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_rels/sheet1.xml.rels" ContentType="application/vnd.openxmlformats-package.relationships+xml"/>
  <Override PartName="/xl/worksheets/_rels/sheet2.xml.rels" ContentType="application/vnd.openxmlformats-package.relationships+xml"/>
  <Override PartName="/xl/worksheets/_rels/sheet3.xml.rels" ContentType="application/vnd.openxmlformats-package.relationships+xml"/>
  <Override PartName="/xl/worksheets/_rels/sheet4.xml.rels" ContentType="application/vnd.openxmlformats-package.relationships+xml"/>
  <Override PartName="/xl/worksheets/_rels/sheet5.xml.rels" ContentType="application/vnd.openxmlformats-package.relationships+xml"/>
  <Override PartName="/xl/worksheets/_rels/sheet6.xml.rels" ContentType="application/vnd.openxmlformats-package.relationships+xml"/>
  <Override PartName="/xl/worksheets/_rels/sheet7.xml.rels" ContentType="application/vnd.openxmlformats-package.relationships+xml"/>
  <Override PartName="/xl/worksheets/_rels/sheet8.xml.rels" ContentType="application/vnd.openxmlformats-package.relationships+xml"/>
  <Override PartName="/xl/worksheets/_rels/sheet16.xml.rels" ContentType="application/vnd.openxmlformats-package.relationships+xml"/>
  <Override PartName="/xl/worksheets/_rels/sheet17.xml.rels" ContentType="application/vnd.openxmlformats-package.relationships+xml"/>
  <Override PartName="/xl/worksheets/_rels/sheet18.xml.rels" ContentType="application/vnd.openxmlformats-package.relationships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sharedStrings.xml" ContentType="application/vnd.openxmlformats-officedocument.spreadsheetml.sharedStrings+xml"/>
  <Override PartName="/xl/media/image1.jpeg" ContentType="image/jpeg"/>
  <Override PartName="/xl/media/image3.png" ContentType="image/png"/>
  <Override PartName="/xl/media/image2.png" ContentType="image/png"/>
  <Override PartName="/xl/media/image4.png" ContentType="image/png"/>
  <Override PartName="/xl/media/image5.png" ContentType="image/png"/>
  <Override PartName="/xl/media/image6.png" ContentType="image/png"/>
  <Override PartName="/xl/media/image7.png" ContentType="image/png"/>
  <Override PartName="/xl/media/image8.png" ContentType="image/png"/>
  <Override PartName="/xl/media/image9.png" ContentType="image/png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_rels/drawing1.xml.rels" ContentType="application/vnd.openxmlformats-package.relationships+xml"/>
  <Override PartName="/xl/drawings/_rels/drawing2.xml.rels" ContentType="application/vnd.openxmlformats-package.relationships+xml"/>
  <Override PartName="/xl/drawings/_rels/drawing3.xml.rels" ContentType="application/vnd.openxmlformats-package.relationships+xml"/>
  <Override PartName="/xl/drawings/_rels/drawing4.xml.rels" ContentType="application/vnd.openxmlformats-package.relationships+xml"/>
  <Override PartName="/xl/drawings/_rels/drawing5.xml.rels" ContentType="application/vnd.openxmlformats-package.relationships+xml"/>
  <Override PartName="/xl/drawings/_rels/drawing6.xml.rels" ContentType="application/vnd.openxmlformats-package.relationships+xml"/>
  <Override PartName="/xl/drawings/_rels/drawing7.xml.rels" ContentType="application/vnd.openxmlformats-package.relationship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3"/>
  </bookViews>
  <sheets>
    <sheet name="Право" sheetId="1" state="visible" r:id="rId2"/>
    <sheet name="Ввод данных" sheetId="2" state="visible" r:id="rId3"/>
    <sheet name="Прайс лист" sheetId="3" state="visible" r:id="rId4"/>
    <sheet name="Смета Внутр" sheetId="4" state="visible" r:id="rId5"/>
    <sheet name="Смета для Зак укр" sheetId="5" state="visible" r:id="rId6"/>
    <sheet name="Смета для Зак Расш" sheetId="6" state="visible" r:id="rId7"/>
    <sheet name="Для Закупа" sheetId="7" state="visible" r:id="rId8"/>
    <sheet name="связи1" sheetId="8" state="visible" r:id="rId9"/>
    <sheet name="пристройка" sheetId="9" state="visible" r:id="rId10"/>
    <sheet name="дома" sheetId="10" state="visible" r:id="rId11"/>
    <sheet name="отделка" sheetId="11" state="visible" r:id="rId12"/>
    <sheet name="перекрытие" sheetId="12" state="visible" r:id="rId13"/>
    <sheet name="фундамент" sheetId="13" state="visible" r:id="rId14"/>
    <sheet name="связи" sheetId="14" state="visible" r:id="rId15"/>
    <sheet name="крыша" sheetId="15" state="visible" r:id="rId16"/>
    <sheet name="Спецификация" sheetId="16" state="visible" r:id="rId17"/>
    <sheet name="инженерка" sheetId="17" state="visible" r:id="rId18"/>
    <sheet name="Смета Расходов" sheetId="18" state="hidden" r:id="rId19"/>
  </sheets>
  <definedNames>
    <definedName function="false" hidden="true" localSheetId="6" name="_xlnm._FilterDatabase" vbProcedure="false">'Для Закупа'!$F$13:$F$1556</definedName>
    <definedName function="false" hidden="true" localSheetId="3" name="_xlnm._FilterDatabase" vbProcedure="false">'Смета Внутр'!$H$12:$H$2160</definedName>
    <definedName function="false" hidden="true" localSheetId="5" name="_xlnm._FilterDatabase" vbProcedure="false">'Смета для Зак Расш'!$J$12:$J$2160</definedName>
    <definedName function="false" hidden="true" localSheetId="4" name="_xlnm._FilterDatabase" vbProcedure="false">'Смета для Зак укр'!$F$12:$F$2160</definedName>
    <definedName function="false" hidden="true" localSheetId="17" name="_xlnm._FilterDatabase" vbProcedure="false">'Смета Расходов'!$B$1:$B$2262</definedName>
    <definedName function="false" hidden="true" localSheetId="15" name="_xlnm._FilterDatabase" vbProcedure="false">Спецификация!$H$3:$H$872</definedName>
    <definedName function="false" hidden="false" name="CR02_55X78" vbProcedure="false">'Прайс лист'!$B$1162:$B$1173</definedName>
    <definedName function="false" hidden="false" name="H_боковых_стен_дома_одинаковая" vbProcedure="false">связи1!$A$128:$A$129</definedName>
    <definedName function="false" hidden="false" name="аааааа" vbProcedure="false">'Прайс лист'!$B$676:$B$687</definedName>
    <definedName function="false" hidden="false" name="ававав" vbProcedure="false">'Прайс лист'!$B$265:$B$277</definedName>
    <definedName function="false" hidden="false" name="ап" vbProcedure="false">связи1!$Q$2:$Q$22</definedName>
    <definedName function="false" hidden="false" name="апап" vbProcedure="false">связи1!$H$26:$H$31</definedName>
    <definedName function="false" hidden="false" name="апапапп" vbProcedure="false">связи1!$H$34:$H$36</definedName>
    <definedName function="false" hidden="false" name="апарппнр" vbProcedure="false">связи1!$A$431:$A$439</definedName>
    <definedName function="false" hidden="false" name="Арматура_М6_каждый_3_й_ряд__2_нити" vbProcedure="false">связи1!$A$355:$A$362</definedName>
    <definedName function="false" hidden="false" name="Арматура_М8" vbProcedure="false">связи1!$A$398:$A$404</definedName>
    <definedName function="false" hidden="false" name="Арматура_стальная_Ø_6" vbProcedure="false">'Прайс лист'!$B$211:$B$222</definedName>
    <definedName function="false" hidden="false" name="Бетон__м200" vbProcedure="false">'Прайс лист'!$B$237:$G$244</definedName>
    <definedName function="false" hidden="false" name="Блок_хаус" vbProcedure="false">'Прайс лист'!$B$549:$B$554</definedName>
    <definedName function="false" hidden="false" name="Блоки_ФБС" vbProcedure="false">связи1!$F$22:$G$23</definedName>
    <definedName function="false" hidden="false" name="бревна" vbProcedure="false">связи1!$A$63:$A$66</definedName>
    <definedName function="false" hidden="false" name="Брус" vbProcedure="false">'Прайс лист'!$B$341:$B$360</definedName>
    <definedName function="false" hidden="false" name="Брус_естественной_влажности__200_100мм" vbProcedure="false">связи1!$A$202:$A$207</definedName>
    <definedName function="false" hidden="false" name="БрусКлееный" vbProcedure="false">'Прайс лист'!$B$361:$B$384</definedName>
    <definedName function="false" hidden="false" name="БрусПрофилированный" vbProcedure="false">'Прайс лист'!$B$410:$B$426</definedName>
    <definedName function="false" hidden="false" name="БрусПрофилированныйсухой" vbProcedure="false">'Прайс лист'!$B$397:$B$409</definedName>
    <definedName function="false" hidden="false" name="вавава" vbProcedure="false">связи1!$A$194:$A$196</definedName>
    <definedName function="false" hidden="false" name="вавававввв" vbProcedure="false">'Прайс лист'!$B$600:$B$638</definedName>
    <definedName function="false" hidden="false" name="вваенр" vbProcedure="false">связи1!$F$201:$F$211</definedName>
    <definedName function="false" hidden="false" name="ввв" vbProcedure="false">связи1!$R$2:$R$155</definedName>
    <definedName function="false" hidden="false" name="ввввв" vbProcedure="false">связи1!$A$407:$A$415</definedName>
    <definedName function="false" hidden="false" name="ввввыывывыв" vbProcedure="false">'Прайс лист'!$B$237:$B$244</definedName>
    <definedName function="false" hidden="false" name="вент_зазор" vbProcedure="false">связи1!$E$12:$E$23</definedName>
    <definedName function="false" hidden="false" name="ВинтовыеСваи" vbProcedure="false">'Прайс лист'!$B$751:$B$811</definedName>
    <definedName function="false" hidden="false" name="Выключатель_1" vbProcedure="false">'Прайс лист'!$B$1075:$B$1079</definedName>
    <definedName function="false" hidden="false" name="выпуски" vbProcedure="false">связи1!$A$99:$A$102</definedName>
    <definedName function="false" hidden="false" name="высота" vbProcedure="false">связи1!$B$44:$D$51</definedName>
    <definedName function="false" hidden="false" name="высота1этажа" vbProcedure="false">связи1!$S$2:$S$42</definedName>
    <definedName function="false" hidden="false" name="выше_основной_кровли" vbProcedure="false">связи1!$A$114:$A$117</definedName>
    <definedName function="false" hidden="false" name="выысота" vbProcedure="false">связи1!$B$44:$B$51</definedName>
    <definedName function="false" hidden="false" name="Газобетон" vbProcedure="false">связи1!$A$253:$A$294</definedName>
    <definedName function="false" hidden="false" name="ддд" vbProcedure="false">связи1!$H$46:$H$48</definedName>
    <definedName function="false" hidden="false" name="Декоративнаяштукатурка" vbProcedure="false">'Прайс лист'!$B$1407:$B$1411</definedName>
    <definedName function="false" hidden="false" name="Деревянное_перекрытие__брус" vbProcedure="false">связи1!$H$38:$H$41</definedName>
    <definedName function="false" hidden="false" name="ДикоеБревно" vbProcedure="false">'Прайс лист'!$B$492:$B$535</definedName>
    <definedName function="false" hidden="false" name="длина" vbProcedure="false">связи1!$S$2:$S$156</definedName>
    <definedName function="false" hidden="false" name="Дом_из_кирпича" vbProcedure="false">связи1!$A$35:$A$41</definedName>
    <definedName function="false" hidden="false" name="Дом_из_одного_материала" vbProcedure="false">связи1!$A$149:$A$183</definedName>
    <definedName function="false" hidden="false" name="Доска_сухая__200_50мм" vbProcedure="false">связи1!$A$407:$A$415</definedName>
    <definedName function="false" hidden="false" name="Доставка" vbProcedure="false">связи1!$F$29:$F$46</definedName>
    <definedName function="false" hidden="false" name="Дренажный_колодец_D300" vbProcedure="false">'Прайс лист'!$B$950:$B$953</definedName>
    <definedName function="false" hidden="false" name="Евровагонка" vbProcedure="false">'Прайс лист'!$B$561:$B$566</definedName>
    <definedName function="false" hidden="false" name="Евровагонка." vbProcedure="false">'Прайс лист'!$B$561:$B$572</definedName>
    <definedName function="false" hidden="false" name="ееее" vbProcedure="false">связи1!$A$417:$A$420</definedName>
    <definedName function="false" hidden="false" name="ен" vbProcedure="false">связи1!$H$8:$H$10</definedName>
    <definedName function="false" hidden="false" name="Имитация_бруса" vbProcedure="false">'Прайс лист'!$B$555:$B$560</definedName>
    <definedName function="false" hidden="false" name="каркасарматуры" vbProcedure="false">связи1!$F$30:$F$32</definedName>
    <definedName function="false" hidden="false" name="Каркасный" vbProcedure="false">связи1!$A$407:$A$415</definedName>
    <definedName function="false" hidden="false" name="Каркасный_дом" vbProcedure="false">связи1!$A$150:$A$183</definedName>
    <definedName function="false" hidden="false" name="Кирпич" vbProcedure="false">'Прайс лист'!$B$822:$B$860</definedName>
    <definedName function="false" hidden="false" name="КирпичОблицовочный" vbProcedure="false">связи1!$A$513:$A$552</definedName>
    <definedName function="false" hidden="false" name="Клей_монтажный_ВК_100" vbProcedure="false">связи1!$A$314:$A$316</definedName>
    <definedName function="false" hidden="false" name="Коллектор_1" vbProcedure="false">'Прайс лист'!$B$919:$B$926</definedName>
    <definedName function="false" hidden="false" name="Конек_по_центру_дома" vbProcedure="false">связи1!$A$132:$A$133</definedName>
    <definedName function="false" hidden="false" name="Контрлаги_считать" vbProcedure="false">связи1!$A$53:$A$54</definedName>
    <definedName function="false" hidden="false" name="Лен_джут_10х0_5х2000" vbProcedure="false">'Прайс лист'!$B$435:$B$439</definedName>
    <definedName function="false" hidden="false" name="ЛенточныйФундамент" vbProcedure="false">связи1!$A$467:$A$472</definedName>
    <definedName function="false" hidden="false" name="м.п." vbProcedure="false">'Ввод данных'!$C$306</definedName>
    <definedName function="false" hidden="false" name="мансара" vbProcedure="false">связи1!$D$44:$D$75</definedName>
    <definedName function="false" hidden="false" name="МатериалБревно" vbProcedure="false">'Прайс лист'!$B$448:$B$535</definedName>
    <definedName function="false" hidden="false" name="МатериалБрус" vbProcedure="false">'Прайс лист'!$B$340:$B$426</definedName>
    <definedName function="false" hidden="false" name="Металлочерепица" vbProcedure="false">связи1!$A$6:$A$9</definedName>
    <definedName function="false" hidden="false" name="Монтаж_свай_гидравлика" vbProcedure="false">связи1!$F$25:$F$26</definedName>
    <definedName function="false" hidden="false" name="монтаж_свай_гидравликой" vbProcedure="false">связи1!$A$482:$A$483</definedName>
    <definedName function="false" hidden="false" name="натяжной" vbProcedure="false">связи1!$H$18:$H$23</definedName>
    <definedName function="false" hidden="false" name="Не_буду_считать" vbProcedure="false">связи1!$A$57:$A$61</definedName>
    <definedName function="false" hidden="false" name="Не_использовать_S_в_доме_под_балкон_терассу" vbProcedure="false">связи1!$A$189:$A$191</definedName>
    <definedName function="false" hidden="false" name="Не_считать_конопатку_дома" vbProcedure="false">связи1!$A$474:$A$475</definedName>
    <definedName function="false" hidden="false" name="нет" vbProcedure="false">связи1!$H$3:$H$5</definedName>
    <definedName function="false" hidden="false" name="Нет_анкерных_болтов" vbProcedure="false">'Прайс лист'!$B$708:$B$720</definedName>
    <definedName function="false" hidden="false" name="нет_ветроизоляции" vbProcedure="false">'Прайс лист'!$B$649:$B$675</definedName>
    <definedName function="false" hidden="false" name="нет_выбора" vbProcedure="false">'Прайс лист'!$B$751:$B$811</definedName>
    <definedName function="false" hidden="false" name="Нет_гвоздей_ершоных" vbProcedure="false">'Прайс лист'!$B$741:$B$743</definedName>
    <definedName function="false" hidden="false" name="Нет_гвоздей_строительных" vbProcedure="false">'Прайс лист'!$B$735:$B$738</definedName>
    <definedName function="false" hidden="false" name="Нет_гидроизоляции" vbProcedure="false">'Прайс лист'!$B$1214:$B$1217</definedName>
    <definedName function="false" hidden="false" name="Нет_гофры" vbProcedure="false">'Прайс лист'!$B$1038:$B$1060</definedName>
    <definedName function="false" hidden="false" name="Нет_грунтовки" vbProcedure="false">'Прайс лист'!$B$1356:$B$1358</definedName>
    <definedName function="false" hidden="false" name="Нет_дна_бетонного" vbProcedure="false">связи1!$A$74:$A$78</definedName>
    <definedName function="false" hidden="false" name="Нет_кабеля" vbProcedure="false">'Прайс лист'!$B$1032:$B$1037</definedName>
    <definedName function="false" hidden="false" name="Нет_колец_бетонных" vbProcedure="false">связи1!$A$79:$A$83</definedName>
    <definedName function="false" hidden="false" name="Нет_краски" vbProcedure="false">'Прайс лист'!$B$1359:$B$1386</definedName>
    <definedName function="false" hidden="false" name="Нет_кровли" vbProcedure="false">связи1!$F$87:$F$92</definedName>
    <definedName function="false" hidden="false" name="Нет_кровли_на_пристройке" vbProcedure="false">связи1!$A$105:$A$111</definedName>
    <definedName function="false" hidden="false" name="Нет_кронштейна" vbProcedure="false">'Прайс лист'!$B$1330:$B$1341</definedName>
    <definedName function="false" hidden="false" name="Нет_крышки_бетонной" vbProcedure="false">связи1!$A$84:$A$88</definedName>
    <definedName function="false" hidden="false" name="Нет_лака" vbProcedure="false">'Прайс лист'!$B$1387:$B$1389</definedName>
    <definedName function="false" hidden="false" name="Нет_люка_для_крышки" vbProcedure="false">связи1!$A$89:$A$91</definedName>
    <definedName function="false" hidden="false" name="Нет_материала" vbProcedure="false">связи1!$F$58:$F$61</definedName>
    <definedName function="false" hidden="false" name="Нет_наждачной_бумаги" vbProcedure="false">'Прайс лист'!$B$1303:$B$1311</definedName>
    <definedName function="false" hidden="false" name="Нет_накладки" vbProcedure="false">'Прайс лист'!$B$427:$B$431</definedName>
    <definedName function="false" hidden="false" name="Нет_наличника" vbProcedure="false">'Прайс лист'!$B$575:$B$581</definedName>
    <definedName function="false" hidden="false" name="Нет_огнебиозащиты" vbProcedure="false">'Прайс лист'!$B$584:$B$593</definedName>
    <definedName function="false" hidden="false" name="нет_пароизоляции" vbProcedure="false">'Прайс лист'!$B$676:$B$687</definedName>
    <definedName function="false" hidden="false" name="Нет_перекрестного_пола" vbProcedure="false">связи1!$A$245:$A$248</definedName>
    <definedName function="false" hidden="false" name="Нет_перекрытия" vbProcedure="false">связи1!$A$44:$A$51</definedName>
    <definedName function="false" hidden="false" name="Нет_перемычки" vbProcedure="false">'Прайс лист'!$B$139:$B$164</definedName>
    <definedName function="false" hidden="false" name="Нет_пластин" vbProcedure="false">'Прайс лист'!$B$698:$B$701</definedName>
    <definedName function="false" hidden="false" name="Нет_плоского_шифера" vbProcedure="false">'Прайс лист'!$B$1346:$B$1351</definedName>
    <definedName function="false" hidden="false" name="нет_подсистемы" vbProcedure="false">связи1!$A$12:$A$14</definedName>
    <definedName function="false" hidden="false" name="Нет_покрытия" vbProcedure="false">связи1!$H$13:$H$15</definedName>
    <definedName function="false" hidden="false" name="Нет_саморезов" vbProcedure="false">'Прайс лист'!$B$724:$B$730</definedName>
    <definedName function="false" hidden="false" name="Нет_уголков" vbProcedure="false">'Прайс лист'!$B$692:$B$695</definedName>
    <definedName function="false" hidden="false" name="Нет_утеплителя" vbProcedure="false">'Прайс лист'!$B$600:$B$638</definedName>
    <definedName function="false" hidden="false" name="Нет_фундамента" vbProcedure="false">связи1!$A$463:$A$465</definedName>
    <definedName function="false" hidden="false" name="нетуфундамента" vbProcedure="false">связи1!$F$81:$F$85</definedName>
    <definedName function="false" hidden="false" name="ннн" vbProcedure="false">связи1!$H$40:$H$43</definedName>
    <definedName function="false" hidden="false" name="ноль" vbProcedure="false">связи1!$Q$2:$Q$73</definedName>
    <definedName function="false" hidden="false" name="номер" vbProcedure="false">связи1!$R$2:$R$77</definedName>
    <definedName function="false" hidden="false" name="обвязочный_брус" vbProcedure="false">связи1!$F$6:$F$12</definedName>
    <definedName function="false" hidden="false" name="Оголовкок_150_150" vbProcedure="false">'Прайс лист'!$B$812:$B$815</definedName>
    <definedName function="false" hidden="false" name="Один_полноценный_этаж" vbProcedure="false">связи1!$A$94:$A$98</definedName>
    <definedName function="false" hidden="false" name="ОтделкаДеревом" vbProcedure="false">'Прайс лист'!$B$543:$B$572</definedName>
    <definedName function="false" hidden="false" name="Открытый_монтаж_проводки" vbProcedure="false">связи1!$A$554:$A$555</definedName>
    <definedName function="false" hidden="false" name="Оцилиндрованное_бревно_сосна_200мм" vbProcedure="false">'Прайс лист'!$B$448:$B$535</definedName>
    <definedName function="false" hidden="false" name="ОцилиндрованноеБревно" vbProcedure="false">'Прайс лист'!$B$448:$B$491</definedName>
    <definedName function="false" hidden="false" name="папап" vbProcedure="false">'Прайс лист'!$B$735:$B$738</definedName>
    <definedName function="false" hidden="false" name="Пенобетон" vbProcedure="false">связи1!$A$382:$A$396</definedName>
    <definedName function="false" hidden="false" name="Пенобетон_60x30x20" vbProcedure="false">связи1!$A$382:$A$396</definedName>
    <definedName function="false" hidden="false" name="пепепе" vbProcedure="false">связи1!$A$487:$A$492</definedName>
    <definedName function="false" hidden="false" name="перегородкинесущие" vbProcedure="false">связи1!$I$313:$I$323</definedName>
    <definedName function="false" hidden="false" name="Перекрестный_пол_есть" vbProcedure="false">связи1!$A$244:$A$245</definedName>
    <definedName function="false" hidden="false" name="перекрытие" vbProcedure="false">связи1!$A$198:$A$241</definedName>
    <definedName function="false" hidden="false" name="Перекрытие_0_этажа_делать" vbProcedure="false">связи1!$A$135:$A$136</definedName>
    <definedName function="false" hidden="false" name="перемычка" vbProcedure="false">'Прайс лист'!$B$139:$B$164</definedName>
    <definedName function="false" hidden="false" name="Планкен" vbProcedure="false">'Прайс лист'!$B$543:$B$548</definedName>
    <definedName function="false" hidden="false" name="ппп" vbProcedure="false">'Прайс лист'!$B$649:$B$675</definedName>
    <definedName function="false" hidden="false" name="пппррол" vbProcedure="false">связи1!$A$455:$A$456</definedName>
    <definedName function="false" hidden="false" name="пппуууу" vbProcedure="false">'Прайс лист'!$B$340:$B$426</definedName>
    <definedName function="false" hidden="false" name="прпролл" vbProcedure="false">'Прайс лист'!$B$821:$B$861</definedName>
    <definedName function="false" hidden="false" name="рад" vbProcedure="false">связи1!#REF!</definedName>
    <definedName function="false" hidden="false" name="Различные_выпуски_по_длине_в_доме" vbProcedure="false">связи1!$A$101:$A$102</definedName>
    <definedName function="false" hidden="false" name="размер_стен_каркас" vbProcedure="false">связи1!$E$2:$E$9</definedName>
    <definedName function="false" hidden="false" name="раствор" vbProcedure="false">связи1!$A$314:$A$320</definedName>
    <definedName function="false" hidden="false" name="Розетка_1" vbProcedure="false">'Прайс лист'!$B$1070:$B$1074</definedName>
    <definedName function="false" hidden="false" name="сайдинг_металлический" vbProcedure="false">связи1!$A$28:$A$31</definedName>
    <definedName function="false" hidden="false" name="Сейсмопояс_Арматура_М6_4_нити" vbProcedure="false">связи1!$A$364:$A$371</definedName>
    <definedName function="false" hidden="false" name="септик" vbProcedure="false">связи1!$A$75:$A$87</definedName>
    <definedName function="false" hidden="false" name="сип_панели" vbProcedure="false">связи1!$F$15:$F$19</definedName>
    <definedName function="false" hidden="false" name="Сиппанели" vbProcedure="false">связи1!$A$297:$A$308</definedName>
    <definedName function="false" hidden="false" name="Система_отопления_однотрубная" vbProcedure="false">связи1!$A$69:$A$70</definedName>
    <definedName function="false" hidden="false" name="Слияние_с_боковой_стеной_дома" vbProcedure="false">связи1!$A$120:$A$123</definedName>
    <definedName function="false" hidden="false" name="Сосна_влаж__200_50мм" vbProcedure="false">'Прайс лист'!$B$298:$B$310</definedName>
    <definedName function="false" hidden="false" name="Сосна_влаж__50_50мм" vbProcedure="false">связи1!$A$418:$A$420</definedName>
    <definedName function="false" hidden="false" name="ссс" vbProcedure="false">связи1!$A$75:$A$79</definedName>
    <definedName function="false" hidden="false" name="стены_монолит" vbProcedure="false">связи1!$H$54:$H$55</definedName>
    <definedName function="false" hidden="false" name="Считать" vbProcedure="false">связи1!$A$2:$A$3</definedName>
    <definedName function="false" hidden="false" name="Считать_по_проекту__высотам" vbProcedure="false">связи1!$F$2:$F$3</definedName>
    <definedName function="false" hidden="false" name="Считать_сверление_для_скрытой_проводки" vbProcedure="false">связи1!$A$557:$A$558</definedName>
    <definedName function="false" hidden="false" name="Термоблок__фактурованный_200х390х390" vbProcedure="false">связи1!$A$253:$A$294</definedName>
    <definedName function="false" hidden="false" name="толщина_стен_газобет" vbProcedure="false">связи1!$E$41:$E$72</definedName>
    <definedName function="false" hidden="false" name="Труба_гофрированная_одностенная_d_63" vbProcedure="false">'Прайс лист'!$B$929:$B$944</definedName>
    <definedName function="false" hidden="false" name="Труба_теплого_пола_1" vbProcedure="false">'Прайс лист'!$B$910:$B$918</definedName>
    <definedName function="false" hidden="false" name="укукукук" vbProcedure="false">связи1!$A$478:$A$480</definedName>
    <definedName function="false" hidden="false" name="ууу" vbProcedure="false">связи1!$F$65:$F$67</definedName>
    <definedName function="false" hidden="false" name="фанера" vbProcedure="false">'Прайс лист'!$B$863:$B$907</definedName>
    <definedName function="false" hidden="false" name="фы" vbProcedure="false">связи1!$A$199:$A$201</definedName>
    <definedName function="false" hidden="false" name="Хомут_для_сейсмопояса_Арматура_М6__шаг_600мм" vbProcedure="false">связи1!$A$373:$A$378</definedName>
    <definedName function="false" hidden="false" name="цокольныйжтаж" vbProcedure="false">связи1!$F$22:$F$23</definedName>
    <definedName function="false" hidden="false" name="шаг" vbProcedure="false">связи1!$D$44:$D$51</definedName>
    <definedName function="false" hidden="false" name="шаг1" vbProcedure="false">связи1!$D$44:$D$57</definedName>
    <definedName function="false" hidden="false" name="шаг_перекрытий" vbProcedure="false">связи1!$E$25:$E$39</definedName>
    <definedName function="false" hidden="false" name="ширина" vbProcedure="false">связи1!$C$44:$C$51</definedName>
    <definedName function="false" hidden="false" name="шифер_плоский_на_все_стены" vbProcedure="false">связи1!$A$18:$A$25</definedName>
    <definedName function="false" hidden="false" name="ШиферПлоский" vbProcedure="false">'Прайс лист'!$B$1346:$B$1351</definedName>
    <definedName function="false" hidden="false" name="Шкант" vbProcedure="false">связи1!$A$458:$A$460</definedName>
    <definedName function="false" hidden="false" name="Шлифовка_стен_дома_внурти" vbProcedure="false">связи1!$A$563:$A$564</definedName>
    <definedName function="false" hidden="false" name="Шлифовка_стен_дома_снаружи" vbProcedure="false">связи1!$A$560:$A$561</definedName>
    <definedName function="false" hidden="false" name="Штиль" vbProcedure="false">'Прайс лист'!$B$567:$B$569</definedName>
    <definedName function="false" hidden="false" name="ыыыукке" vbProcedure="false">связи1!$A$442:$A$453</definedName>
    <definedName function="false" hidden="false" name="ыыыыыыыыыы" vbProcedure="false">связи1!$A$422:$A$429</definedName>
    <definedName function="false" hidden="false" name="Экскаватор_погрузчик" vbProcedure="false">'Прайс лист'!$B$193:$B$206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<sst xmlns="http://schemas.openxmlformats.org/spreadsheetml/2006/main" count="16911" uniqueCount="4334">
  <si>
    <t xml:space="preserve">Программа-калькулятор для расчета смет "SmetaDom" </t>
  </si>
  <si>
    <t xml:space="preserve">Право на розничное распространение данного продукта принадлежит ООО "Дицар". По всем вопросам обращаться по адресу: ООО "Дицар", сайт: www.smetadom.com</t>
  </si>
  <si>
    <t xml:space="preserve">Служба технической поддержки: smetadom.com@ya.ru</t>
  </si>
  <si>
    <t xml:space="preserve">Посмотреть другие программы</t>
  </si>
  <si>
    <t xml:space="preserve">Перейти на сайт https://smetadom.com</t>
  </si>
  <si>
    <t xml:space="preserve">Данная программа является интеллектуальной собственностью. Все права по изменению и реализации данного продукта принадлежат ООО "Дицар" сайт smetadom.com. По вопросам сотрудничества и разработки программ обращаться по адресам: stroydom.smeta@ya.ru, smetadom.com@ya.ru  Тех. служба stroydom.smeta@yandex.ru, smetadom.com@ya.ru</t>
  </si>
  <si>
    <t xml:space="preserve">ООО "Ramdom"</t>
  </si>
  <si>
    <t xml:space="preserve">г. Москва</t>
  </si>
  <si>
    <t xml:space="preserve">ул. Московская, 1, оф . 24</t>
  </si>
  <si>
    <t xml:space="preserve">тел. 8 90 2335 2335</t>
  </si>
  <si>
    <t xml:space="preserve">сайт: ramdom.ru</t>
  </si>
  <si>
    <t xml:space="preserve">Основные размеры дома</t>
  </si>
  <si>
    <t xml:space="preserve">ед.изм</t>
  </si>
  <si>
    <t xml:space="preserve">данные</t>
  </si>
  <si>
    <t xml:space="preserve">Ширина дома</t>
  </si>
  <si>
    <t xml:space="preserve">м.п.</t>
  </si>
  <si>
    <t xml:space="preserve">Длина дома</t>
  </si>
  <si>
    <t xml:space="preserve">Высота 1-го этажа</t>
  </si>
  <si>
    <t xml:space="preserve">Высота 2-го этажа</t>
  </si>
  <si>
    <t xml:space="preserve">Высота от перекрытий 0 эт до конька</t>
  </si>
  <si>
    <t xml:space="preserve">Аттиковая стена, мансардный этаж</t>
  </si>
  <si>
    <t xml:space="preserve">Выбор типа строения по этажности</t>
  </si>
  <si>
    <t xml:space="preserve">1 этаж + 2-ой мансардный</t>
  </si>
  <si>
    <t xml:space="preserve">Выбор материала дома</t>
  </si>
  <si>
    <t xml:space="preserve">Итого:</t>
  </si>
  <si>
    <t xml:space="preserve">Кирпичный дом</t>
  </si>
  <si>
    <t xml:space="preserve">Выбрать фундамент для дома</t>
  </si>
  <si>
    <t xml:space="preserve">Фундамент Свайноростверковый</t>
  </si>
  <si>
    <t xml:space="preserve">Выбрать тип кровли дома</t>
  </si>
  <si>
    <t xml:space="preserve">Кровля Двускатная</t>
  </si>
  <si>
    <t xml:space="preserve">Выбрать тип материала для внешней отделки дома</t>
  </si>
  <si>
    <t xml:space="preserve">Декоративнаяштукатурка</t>
  </si>
  <si>
    <t xml:space="preserve">Перекрытие дома</t>
  </si>
  <si>
    <t xml:space="preserve">Перекрытие 0-го этажа</t>
  </si>
  <si>
    <t xml:space="preserve">Двутавровая деревянная балка, 350*65мм</t>
  </si>
  <si>
    <t xml:space="preserve">Утепление перекрытия 0-го этажа</t>
  </si>
  <si>
    <t xml:space="preserve">Нет</t>
  </si>
  <si>
    <t xml:space="preserve">Перекрытие 1-го этажа</t>
  </si>
  <si>
    <t xml:space="preserve">Монолит, бетон, 200мм, 2 слоя</t>
  </si>
  <si>
    <t xml:space="preserve">Утепление перекрытия 1-го этажа</t>
  </si>
  <si>
    <t xml:space="preserve">Пенопласт ПСБ-С-35, 100мм</t>
  </si>
  <si>
    <t xml:space="preserve">Перекрытие 2-го этажа</t>
  </si>
  <si>
    <t xml:space="preserve">Доска сухая, 200*50мм</t>
  </si>
  <si>
    <t xml:space="preserve">Утепление перекрытия 2-го этажа</t>
  </si>
  <si>
    <t xml:space="preserve">Считать </t>
  </si>
  <si>
    <t xml:space="preserve">Эркер</t>
  </si>
  <si>
    <t xml:space="preserve">Наименование</t>
  </si>
  <si>
    <t xml:space="preserve">Этажность эркера</t>
  </si>
  <si>
    <t xml:space="preserve">шт</t>
  </si>
  <si>
    <t xml:space="preserve">Ширина эркера, А</t>
  </si>
  <si>
    <t xml:space="preserve">Длина эркера, В</t>
  </si>
  <si>
    <t xml:space="preserve">Длина лицевой стены, L</t>
  </si>
  <si>
    <t xml:space="preserve">Длина боковой стены, К</t>
  </si>
  <si>
    <t xml:space="preserve">Высота от перекрытий 0 этажа до конька</t>
  </si>
  <si>
    <t xml:space="preserve">Материал для покрытия кровли на Эркере</t>
  </si>
  <si>
    <t xml:space="preserve">Металлочерепица кровля</t>
  </si>
  <si>
    <t xml:space="preserve">Не считать</t>
  </si>
  <si>
    <t xml:space="preserve">Пристройка к дому</t>
  </si>
  <si>
    <t xml:space="preserve">Количество</t>
  </si>
  <si>
    <t xml:space="preserve">Ширина дома, А</t>
  </si>
  <si>
    <t xml:space="preserve">Длина дома, В</t>
  </si>
  <si>
    <t xml:space="preserve">Высота 1-го этажа, С</t>
  </si>
  <si>
    <t xml:space="preserve">Высота 2-го этажа, D</t>
  </si>
  <si>
    <t xml:space="preserve">Выбрать этажность пристройки</t>
  </si>
  <si>
    <t xml:space="preserve">1 мансардный этаж</t>
  </si>
  <si>
    <t xml:space="preserve">Выбрать тип кровли</t>
  </si>
  <si>
    <t xml:space="preserve">Двускатная кровля</t>
  </si>
  <si>
    <t xml:space="preserve">Материал для покрытия кровли</t>
  </si>
  <si>
    <t xml:space="preserve">Крыльцо дома</t>
  </si>
  <si>
    <t xml:space="preserve">Длина крыльца</t>
  </si>
  <si>
    <t xml:space="preserve">Ширина крыльца</t>
  </si>
  <si>
    <t xml:space="preserve">Высота от пола до конька</t>
  </si>
  <si>
    <t xml:space="preserve">Высота столбов</t>
  </si>
  <si>
    <t xml:space="preserve">Выбрать фундамент для крыльца</t>
  </si>
  <si>
    <t xml:space="preserve">ВинтовыеСваи</t>
  </si>
  <si>
    <t xml:space="preserve">Выберите тип кровли</t>
  </si>
  <si>
    <t xml:space="preserve">Односкатная кровля</t>
  </si>
  <si>
    <t xml:space="preserve">Выбор строения по размерам боковых сторон</t>
  </si>
  <si>
    <t xml:space="preserve">Выберите высоту боковых сторон</t>
  </si>
  <si>
    <t xml:space="preserve">Высота боковых стен дома одинаковая</t>
  </si>
  <si>
    <t xml:space="preserve">Если высота боковых стен разная</t>
  </si>
  <si>
    <t xml:space="preserve">Высота левой боковой стены 1-го этажа</t>
  </si>
  <si>
    <t xml:space="preserve">Высота правой боковой стены 1-го этажа</t>
  </si>
  <si>
    <t xml:space="preserve">Высота левой боковой стены 2-го этажа</t>
  </si>
  <si>
    <t xml:space="preserve">Высота правой боковой стены 2-го этажа</t>
  </si>
  <si>
    <t xml:space="preserve">Выбор расположения конька</t>
  </si>
  <si>
    <t xml:space="preserve">Выберите расположение конька</t>
  </si>
  <si>
    <t xml:space="preserve">Конек по центру дома</t>
  </si>
  <si>
    <t xml:space="preserve">Если конек не по центру дома</t>
  </si>
  <si>
    <t xml:space="preserve">Расстояние от левой стены дома до конька</t>
  </si>
  <si>
    <t xml:space="preserve">Расстояние от правой боковой стены до конька</t>
  </si>
  <si>
    <t xml:space="preserve">Расширенные настройки</t>
  </si>
  <si>
    <t xml:space="preserve">Перекрытие 0-го этажа, В/Ш</t>
  </si>
  <si>
    <t xml:space="preserve">шаг бруса</t>
  </si>
  <si>
    <t xml:space="preserve">Арматура</t>
  </si>
  <si>
    <t xml:space="preserve">шаг арм</t>
  </si>
  <si>
    <t xml:space="preserve">Арматура М10</t>
  </si>
  <si>
    <t xml:space="preserve">Работать в расширенных настройках можно только при покупке программы для Менеджеров. В данной программе для Клиентов все настройки установлены по минимальному значению. При покупке Программы для Менеджеров вы получаете расширенные настройки, которые сами можете менять и ставить код. Видео при покупке прилагается.</t>
  </si>
  <si>
    <t xml:space="preserve">Перекрестный пол</t>
  </si>
  <si>
    <t xml:space="preserve">Нет перекрестного пола</t>
  </si>
  <si>
    <t xml:space="preserve">Черновой пол перекрытия 0 этажа</t>
  </si>
  <si>
    <t xml:space="preserve">нет</t>
  </si>
  <si>
    <t xml:space="preserve">нет ветроизоляции</t>
  </si>
  <si>
    <t xml:space="preserve">нет пароизоляции</t>
  </si>
  <si>
    <t xml:space="preserve">Черновой пол перекрытия 1 этажа</t>
  </si>
  <si>
    <t xml:space="preserve">Арматура М12</t>
  </si>
  <si>
    <t xml:space="preserve">Черновой пол перекрытия 2 этажа</t>
  </si>
  <si>
    <t xml:space="preserve">Транспорт для перекрытий</t>
  </si>
  <si>
    <t xml:space="preserve">Газель</t>
  </si>
  <si>
    <t xml:space="preserve">ед.</t>
  </si>
  <si>
    <t xml:space="preserve">Доставка материала Фура</t>
  </si>
  <si>
    <t xml:space="preserve">Воровайка</t>
  </si>
  <si>
    <t xml:space="preserve">расходные материалы перекрытие</t>
  </si>
  <si>
    <t xml:space="preserve">рублей</t>
  </si>
  <si>
    <t xml:space="preserve">ДАННЫЕ ДЛЯ РАСЧЕТА ПЕРЕКРЫТИЙ В ДОМЕ</t>
  </si>
  <si>
    <t xml:space="preserve">Окна/Проемы. Наружние стены</t>
  </si>
  <si>
    <t xml:space="preserve">ширина</t>
  </si>
  <si>
    <t xml:space="preserve">высота </t>
  </si>
  <si>
    <t xml:space="preserve">кол-во</t>
  </si>
  <si>
    <t xml:space="preserve">Окна, Двери</t>
  </si>
  <si>
    <t xml:space="preserve">Окна/Проемы. Наружние стены. Первый этаж</t>
  </si>
  <si>
    <t xml:space="preserve">Окна, Вариант 1, первый этаж</t>
  </si>
  <si>
    <t xml:space="preserve">Окна, Вариант 2, первый этаж</t>
  </si>
  <si>
    <t xml:space="preserve">Окна, Вариант 3, первый этаж</t>
  </si>
  <si>
    <t xml:space="preserve">Окна, Вариант 4, первый этаж</t>
  </si>
  <si>
    <t xml:space="preserve">Окна, Вариант 5, первый этаж</t>
  </si>
  <si>
    <t xml:space="preserve">Дверь на балкон , первый этаж</t>
  </si>
  <si>
    <t xml:space="preserve">Французское окно, Вариант 1</t>
  </si>
  <si>
    <t xml:space="preserve">Фрунцузское окно, Вариант 2</t>
  </si>
  <si>
    <t xml:space="preserve">Окна/Проемы. Наружние стены. Второй этаж</t>
  </si>
  <si>
    <t xml:space="preserve">Окна, Вариант 6, второй этаж</t>
  </si>
  <si>
    <t xml:space="preserve">Окна, Вариант 7, второй этаж</t>
  </si>
  <si>
    <t xml:space="preserve">Окна, Вариант 8, второй этаж</t>
  </si>
  <si>
    <t xml:space="preserve">Окна, Вариант 9, второй этаж</t>
  </si>
  <si>
    <t xml:space="preserve">Окна, Вариант 10, второй этаж</t>
  </si>
  <si>
    <t xml:space="preserve">Дверь на балкон , второй этаж</t>
  </si>
  <si>
    <t xml:space="preserve">Двери входные. Наружние стены</t>
  </si>
  <si>
    <t xml:space="preserve">высота</t>
  </si>
  <si>
    <t xml:space="preserve">Дверь входная. Вариант 1</t>
  </si>
  <si>
    <t xml:space="preserve">Дверь входная. Вариант 2</t>
  </si>
  <si>
    <t xml:space="preserve">Дверь входная. Вариант 3</t>
  </si>
  <si>
    <t xml:space="preserve">Двери межк-тные/Проемы. Перегородки</t>
  </si>
  <si>
    <t xml:space="preserve">Несущие перегородки. Первый этаж</t>
  </si>
  <si>
    <t xml:space="preserve">Дверь. Вариант 1, первый этаж</t>
  </si>
  <si>
    <t xml:space="preserve">Дверь. Вариант 2, первый этаж</t>
  </si>
  <si>
    <t xml:space="preserve">Проем без дверей Вариант 1, 1 этаж</t>
  </si>
  <si>
    <t xml:space="preserve">Простые перегородки. Первый этаж</t>
  </si>
  <si>
    <t xml:space="preserve">Дверь. Вариант 3, первый этаж</t>
  </si>
  <si>
    <t xml:space="preserve">Дверь. Вариант 4, первый этаж</t>
  </si>
  <si>
    <t xml:space="preserve">Проем без дверей Вариант 2, 1 этаж</t>
  </si>
  <si>
    <t xml:space="preserve">Несущие перегородки. Второй этаж</t>
  </si>
  <si>
    <t xml:space="preserve">Дверь. Вариант 5, второй этаж</t>
  </si>
  <si>
    <t xml:space="preserve">Дверь. Вариант 6, второй этаж</t>
  </si>
  <si>
    <t xml:space="preserve">Проем без дверей Вариант 3, 2 этаж</t>
  </si>
  <si>
    <t xml:space="preserve">Простые перегородки. Второй этаж</t>
  </si>
  <si>
    <t xml:space="preserve">Дверь. Вариант 7, второй этаж</t>
  </si>
  <si>
    <t xml:space="preserve">Дверь. Вариант 8, второй этаж</t>
  </si>
  <si>
    <t xml:space="preserve">Проем без дверей Вариант 4, 2 этаж</t>
  </si>
  <si>
    <t xml:space="preserve">ДАННЫЕ ДЛЯ РАСЧЕТА ОКОН/ПРОЕМОВ/ДВЕРЕЙ ВХОДНЫХ И МЕЖКОМНАТНЫХ</t>
  </si>
  <si>
    <t xml:space="preserve">Данные размеры ставим если этажи мансардные</t>
  </si>
  <si>
    <t xml:space="preserve">Данные для расчета Перегородок и основных перемычек фундамента</t>
  </si>
  <si>
    <t xml:space="preserve">наименование</t>
  </si>
  <si>
    <t xml:space="preserve">ед.изм.</t>
  </si>
  <si>
    <t xml:space="preserve">длина, L</t>
  </si>
  <si>
    <t xml:space="preserve">Высота L1</t>
  </si>
  <si>
    <t xml:space="preserve">Высота L2</t>
  </si>
  <si>
    <t xml:space="preserve">перегородки 1 эт по оси X, перемычки фундамента</t>
  </si>
  <si>
    <t xml:space="preserve">Вид сверху 1-го этажа</t>
  </si>
  <si>
    <t xml:space="preserve">Вид сверху 2-го этажа</t>
  </si>
  <si>
    <t xml:space="preserve">перегородки 1 эт по оси Х</t>
  </si>
  <si>
    <t xml:space="preserve">перегородки 1 эт по оси Y, перемычки фундамента</t>
  </si>
  <si>
    <t xml:space="preserve">Y</t>
  </si>
  <si>
    <t xml:space="preserve">перегородки 1 эт по оси Y</t>
  </si>
  <si>
    <t xml:space="preserve">перегородки 2 эт по оси X, несущие</t>
  </si>
  <si>
    <t xml:space="preserve">X</t>
  </si>
  <si>
    <t xml:space="preserve">перегородки 2 эт по оси X</t>
  </si>
  <si>
    <t xml:space="preserve">L1</t>
  </si>
  <si>
    <t xml:space="preserve">L2</t>
  </si>
  <si>
    <t xml:space="preserve">перегородки 2 эт по оси Y, несущие</t>
  </si>
  <si>
    <t xml:space="preserve">L</t>
  </si>
  <si>
    <t xml:space="preserve">перегородка, если дом мансардный без перекрытия, ось Х</t>
  </si>
  <si>
    <t xml:space="preserve">перегородка, если дом мансардный без перекрытия, Ось Х</t>
  </si>
  <si>
    <t xml:space="preserve">перегородка, если дом мансардный без перекрытия, Ось Y</t>
  </si>
  <si>
    <t xml:space="preserve">перегородки 2 эт по оси Y</t>
  </si>
  <si>
    <t xml:space="preserve">Если дом с мансардным этажом, то необходимо поставить размеры перегородки, указанные на эскизе, L1, L2, в зависимости от выбора типа строения</t>
  </si>
  <si>
    <t xml:space="preserve">ДАННЫЕ ДЛЯ РАСЧЕТА ПЕРЕГОРОДОК И ПЕРЕМЫЧЕК ФУНДАМЕНТА В ДОМЕ</t>
  </si>
  <si>
    <t xml:space="preserve">Кровля односкатная</t>
  </si>
  <si>
    <t xml:space="preserve">Коэффициент расхода материала</t>
  </si>
  <si>
    <t xml:space="preserve">Коэффициент на работу</t>
  </si>
  <si>
    <t xml:space="preserve">Выбрать тип кровли односкатной, в какую сторону скат</t>
  </si>
  <si>
    <t xml:space="preserve">вариант1</t>
  </si>
  <si>
    <t xml:space="preserve">вариант2</t>
  </si>
  <si>
    <t xml:space="preserve">Материал для мауэрлата</t>
  </si>
  <si>
    <t xml:space="preserve">Выпуск кровли карниз, J </t>
  </si>
  <si>
    <t xml:space="preserve">Выпуск кровли карниз, J1</t>
  </si>
  <si>
    <t xml:space="preserve">Вариант №1</t>
  </si>
  <si>
    <t xml:space="preserve">M1</t>
  </si>
  <si>
    <t xml:space="preserve">Выпуск кровли фронтон, M</t>
  </si>
  <si>
    <t xml:space="preserve">Выпуск кровли фронтон, M1</t>
  </si>
  <si>
    <t xml:space="preserve">Дополнительный скат №1</t>
  </si>
  <si>
    <t xml:space="preserve">длина</t>
  </si>
  <si>
    <t xml:space="preserve">J</t>
  </si>
  <si>
    <t xml:space="preserve">Дополнительный скат №2</t>
  </si>
  <si>
    <t xml:space="preserve">Если добавить колонну, выбрать материал</t>
  </si>
  <si>
    <t xml:space="preserve">Кол-во</t>
  </si>
  <si>
    <t xml:space="preserve">ширина дома</t>
  </si>
  <si>
    <t xml:space="preserve">M</t>
  </si>
  <si>
    <t xml:space="preserve">J1</t>
  </si>
  <si>
    <t xml:space="preserve">длина дома</t>
  </si>
  <si>
    <t xml:space="preserve">Материал для стропил</t>
  </si>
  <si>
    <t xml:space="preserve">Доска сырая, 150*50мм</t>
  </si>
  <si>
    <t xml:space="preserve">Материал для обрешетки</t>
  </si>
  <si>
    <t xml:space="preserve">Сосна влаж,100*25мм</t>
  </si>
  <si>
    <t xml:space="preserve">Материал для контробрешетки</t>
  </si>
  <si>
    <t xml:space="preserve">Сосна влаж, 50*50мм</t>
  </si>
  <si>
    <t xml:space="preserve">Материал для монтажа мягкой кровли</t>
  </si>
  <si>
    <t xml:space="preserve">Вариант №2</t>
  </si>
  <si>
    <t xml:space="preserve">Материал для утепления кровли</t>
  </si>
  <si>
    <t xml:space="preserve">Плитный,28кг/м3, технониколь, 100мм</t>
  </si>
  <si>
    <t xml:space="preserve">Труба канализационная</t>
  </si>
  <si>
    <t xml:space="preserve">Труба вентиляционная</t>
  </si>
  <si>
    <t xml:space="preserve">Труба для котла</t>
  </si>
  <si>
    <t xml:space="preserve">Материал для ветроизоляции</t>
  </si>
  <si>
    <t xml:space="preserve">Универсальная Optima C</t>
  </si>
  <si>
    <t xml:space="preserve">Материал для пароизоляции</t>
  </si>
  <si>
    <t xml:space="preserve">Транспорт</t>
  </si>
  <si>
    <t xml:space="preserve">Нет техники</t>
  </si>
  <si>
    <t xml:space="preserve">расходные материалы односкатная кровля</t>
  </si>
  <si>
    <t xml:space="preserve">КРОВЛЯ ОДНОСКАТНАЯ</t>
  </si>
  <si>
    <t xml:space="preserve">Кровля двускатная</t>
  </si>
  <si>
    <t xml:space="preserve">O</t>
  </si>
  <si>
    <t xml:space="preserve">Выпуск кровли карниз, J</t>
  </si>
  <si>
    <t xml:space="preserve">F</t>
  </si>
  <si>
    <t xml:space="preserve">низ низнего ската</t>
  </si>
  <si>
    <t xml:space="preserve">E</t>
  </si>
  <si>
    <t xml:space="preserve">аттиковая стена</t>
  </si>
  <si>
    <t xml:space="preserve">Если нужно добавить дополнительную кровлю</t>
  </si>
  <si>
    <t xml:space="preserve">верх нижгего ската</t>
  </si>
  <si>
    <t xml:space="preserve">высота фронтона</t>
  </si>
  <si>
    <t xml:space="preserve">высота конька</t>
  </si>
  <si>
    <t xml:space="preserve">угол</t>
  </si>
  <si>
    <t xml:space="preserve">град</t>
  </si>
  <si>
    <t xml:space="preserve">расходные материалы двускатная кровля</t>
  </si>
  <si>
    <t xml:space="preserve">КРОВЛЯ ДВУСКАТНАЯ</t>
  </si>
  <si>
    <t xml:space="preserve">Кровля вальмовая</t>
  </si>
  <si>
    <t xml:space="preserve">длина конька кровли, O</t>
  </si>
  <si>
    <t xml:space="preserve">верх низа кровли</t>
  </si>
  <si>
    <t xml:space="preserve">низ конька</t>
  </si>
  <si>
    <t xml:space="preserve">H</t>
  </si>
  <si>
    <t xml:space="preserve">конек</t>
  </si>
  <si>
    <t xml:space="preserve">G</t>
  </si>
  <si>
    <t xml:space="preserve">угол1</t>
  </si>
  <si>
    <t xml:space="preserve">угол2</t>
  </si>
  <si>
    <t xml:space="preserve">N</t>
  </si>
  <si>
    <t xml:space="preserve">K</t>
  </si>
  <si>
    <t xml:space="preserve">расходные материалы вальмовая кровля</t>
  </si>
  <si>
    <t xml:space="preserve">КРОВЛЯ ВАЛЬМОВАЯ</t>
  </si>
  <si>
    <t xml:space="preserve">Кровля полувальмовая</t>
  </si>
  <si>
    <t xml:space="preserve">Кровля Полувальмовая</t>
  </si>
  <si>
    <t xml:space="preserve">Уклон бокового ската от аттиковой ст, J</t>
  </si>
  <si>
    <t xml:space="preserve">Выпуск кровли карниз, G</t>
  </si>
  <si>
    <t xml:space="preserve">Е</t>
  </si>
  <si>
    <t xml:space="preserve">Аттиковая стена</t>
  </si>
  <si>
    <t xml:space="preserve">F1</t>
  </si>
  <si>
    <t xml:space="preserve">расходные материалы полувальмовая кровля</t>
  </si>
  <si>
    <t xml:space="preserve">КРОВЛЯ ПОЛУВАЛЬМОВАЯ</t>
  </si>
  <si>
    <t xml:space="preserve">Элементы кровли</t>
  </si>
  <si>
    <t xml:space="preserve">№1</t>
  </si>
  <si>
    <t xml:space="preserve">Брус естественной влажности, 100*100мм</t>
  </si>
  <si>
    <t xml:space="preserve">номер элемента</t>
  </si>
  <si>
    <t xml:space="preserve">ед.изм. </t>
  </si>
  <si>
    <t xml:space="preserve">№2</t>
  </si>
  <si>
    <t xml:space="preserve">Выбрать количество элементов</t>
  </si>
  <si>
    <t xml:space="preserve">Выпуск кровли карниз</t>
  </si>
  <si>
    <t xml:space="preserve">T</t>
  </si>
  <si>
    <t xml:space="preserve">R</t>
  </si>
  <si>
    <t xml:space="preserve">Выпуск кровли фронтон</t>
  </si>
  <si>
    <t xml:space="preserve">высота, Е</t>
  </si>
  <si>
    <t xml:space="preserve">высота, Е1</t>
  </si>
  <si>
    <t xml:space="preserve">Длина, U</t>
  </si>
  <si>
    <t xml:space="preserve">Ширина, K</t>
  </si>
  <si>
    <t xml:space="preserve">U</t>
  </si>
  <si>
    <t xml:space="preserve">длина конька без выпуска, O</t>
  </si>
  <si>
    <t xml:space="preserve">P1</t>
  </si>
  <si>
    <t xml:space="preserve">Доска сухая, калибр., 35*45мм</t>
  </si>
  <si>
    <t xml:space="preserve">Фанера Березовая марка ФК - влагостойкая,  18 мм </t>
  </si>
  <si>
    <t xml:space="preserve">К</t>
  </si>
  <si>
    <t xml:space="preserve">расходные материалы элементы кровель</t>
  </si>
  <si>
    <t xml:space="preserve">ЭЛЕМЕНТЫ КРОВЛИ</t>
  </si>
  <si>
    <t xml:space="preserve">Пристройка к основной части дома</t>
  </si>
  <si>
    <t xml:space="preserve">Данные для расчета Пристройки</t>
  </si>
  <si>
    <t xml:space="preserve">вариант №1</t>
  </si>
  <si>
    <t xml:space="preserve">ед. изм</t>
  </si>
  <si>
    <t xml:space="preserve">высота 1 эт</t>
  </si>
  <si>
    <t xml:space="preserve">Пристройка к фр-ну, выходит за размер дома</t>
  </si>
  <si>
    <t xml:space="preserve">высота 2 эт</t>
  </si>
  <si>
    <t xml:space="preserve">высота аттик ст</t>
  </si>
  <si>
    <t xml:space="preserve">вариант №2</t>
  </si>
  <si>
    <t xml:space="preserve">высота от перекр</t>
  </si>
  <si>
    <t xml:space="preserve">2 полноценных этажа</t>
  </si>
  <si>
    <t xml:space="preserve">ноль</t>
  </si>
  <si>
    <t xml:space="preserve">Пристр к боку дома</t>
  </si>
  <si>
    <t xml:space="preserve">лаги</t>
  </si>
  <si>
    <t xml:space="preserve">1 этаж</t>
  </si>
  <si>
    <t xml:space="preserve">вариант №3</t>
  </si>
  <si>
    <t xml:space="preserve">перекрытие 1 эт</t>
  </si>
  <si>
    <t xml:space="preserve">Пристройка к фр-ну </t>
  </si>
  <si>
    <t xml:space="preserve">низ ската</t>
  </si>
  <si>
    <t xml:space="preserve">низ ската верх</t>
  </si>
  <si>
    <t xml:space="preserve">вариант №4</t>
  </si>
  <si>
    <t xml:space="preserve">верх ската конек</t>
  </si>
  <si>
    <t xml:space="preserve">1 полноценный этаж</t>
  </si>
  <si>
    <t xml:space="preserve">низ ската конек</t>
  </si>
  <si>
    <t xml:space="preserve">Пристр к боку дома, выходит за размер дома</t>
  </si>
  <si>
    <t xml:space="preserve">перекрытие 2 эт</t>
  </si>
  <si>
    <t xml:space="preserve">высота перекр 2 эт</t>
  </si>
  <si>
    <t xml:space="preserve">аттик0</t>
  </si>
  <si>
    <t xml:space="preserve">Варианты пристройки</t>
  </si>
  <si>
    <t xml:space="preserve">№3</t>
  </si>
  <si>
    <t xml:space="preserve">№4</t>
  </si>
  <si>
    <t xml:space="preserve">Выпуски кровли </t>
  </si>
  <si>
    <t xml:space="preserve">выпуск по скату 1</t>
  </si>
  <si>
    <t xml:space="preserve">выпуск по скату 2</t>
  </si>
  <si>
    <t xml:space="preserve">выпуск по фронтону 1</t>
  </si>
  <si>
    <t xml:space="preserve">выпуск по фронтону 2, односкатная кровля</t>
  </si>
  <si>
    <t xml:space="preserve">длина конька вальмовой кровли от стен дома</t>
  </si>
  <si>
    <t xml:space="preserve">Доска сухая калиброванная, 190*45мм</t>
  </si>
  <si>
    <t xml:space="preserve">Плитный,28кг/м3, технониколь, 200мм</t>
  </si>
  <si>
    <t xml:space="preserve">Мембраны Tyvek Soft</t>
  </si>
  <si>
    <t xml:space="preserve">Пленка Delta-Reflex</t>
  </si>
  <si>
    <t xml:space="preserve">расходные материалы пристройки</t>
  </si>
  <si>
    <t xml:space="preserve">ПРИСТРОЙКА К ОСНОВНОЙ ЧАСТИ ДОМА</t>
  </si>
  <si>
    <t xml:space="preserve">Данные для расчета Эркера</t>
  </si>
  <si>
    <t xml:space="preserve">длина выпуска кровли по скату</t>
  </si>
  <si>
    <t xml:space="preserve">до конька</t>
  </si>
  <si>
    <t xml:space="preserve">L3</t>
  </si>
  <si>
    <t xml:space="preserve">длина первой ст</t>
  </si>
  <si>
    <t xml:space="preserve">боковая стена</t>
  </si>
  <si>
    <t xml:space="preserve">пер1э</t>
  </si>
  <si>
    <t xml:space="preserve">пол2э</t>
  </si>
  <si>
    <t xml:space="preserve">пер2э</t>
  </si>
  <si>
    <t xml:space="preserve">низ скат</t>
  </si>
  <si>
    <t xml:space="preserve">градус</t>
  </si>
  <si>
    <t xml:space="preserve">расходные материалы эркер</t>
  </si>
  <si>
    <t xml:space="preserve">ЭРКЕР</t>
  </si>
  <si>
    <t xml:space="preserve">Балкон внешний и внутри на 2-ом этаже дома</t>
  </si>
  <si>
    <t xml:space="preserve">Балконы</t>
  </si>
  <si>
    <t xml:space="preserve">Балкон внешний</t>
  </si>
  <si>
    <t xml:space="preserve">Вид сверху</t>
  </si>
  <si>
    <t xml:space="preserve">Размеры балкона</t>
  </si>
  <si>
    <t xml:space="preserve">балкон 1</t>
  </si>
  <si>
    <t xml:space="preserve">Количество балконов</t>
  </si>
  <si>
    <t xml:space="preserve">Длина Н14</t>
  </si>
  <si>
    <t xml:space="preserve">Ширина Н15</t>
  </si>
  <si>
    <t xml:space="preserve">Контур дома</t>
  </si>
  <si>
    <t xml:space="preserve">Высота балкона, без учета перекрытия, Н16</t>
  </si>
  <si>
    <t xml:space="preserve">Наружние стены</t>
  </si>
  <si>
    <t xml:space="preserve">Материал стен</t>
  </si>
  <si>
    <t xml:space="preserve">Вид кровельного покрытия сверху</t>
  </si>
  <si>
    <t xml:space="preserve">МатериалБревно</t>
  </si>
  <si>
    <t xml:space="preserve">Тип материала для стен</t>
  </si>
  <si>
    <t xml:space="preserve">Оцилиндрованное бревно сосна 260мм</t>
  </si>
  <si>
    <t xml:space="preserve">Материал перекрытий</t>
  </si>
  <si>
    <t xml:space="preserve">Доска естественной влажности, 200*50мм</t>
  </si>
  <si>
    <t xml:space="preserve">Балкон</t>
  </si>
  <si>
    <t xml:space="preserve">Ширина Н1</t>
  </si>
  <si>
    <t xml:space="preserve">Длина Н1</t>
  </si>
  <si>
    <t xml:space="preserve">Балкон, который находится в черте площади дома</t>
  </si>
  <si>
    <t xml:space="preserve">Высота перил балкона</t>
  </si>
  <si>
    <t xml:space="preserve">Если высота боковых стен разная, конек или по центру дома или не по центру дома</t>
  </si>
  <si>
    <t xml:space="preserve">Считать балкон с левой стороны дома</t>
  </si>
  <si>
    <t xml:space="preserve">Считать балкон с правой стороны дома</t>
  </si>
  <si>
    <t xml:space="preserve">Материал для гидроизоляции, пол балкона</t>
  </si>
  <si>
    <t xml:space="preserve">Гидроизоляция жидкая резина 1</t>
  </si>
  <si>
    <t xml:space="preserve">Материал для пола, черновая отделка</t>
  </si>
  <si>
    <t xml:space="preserve">Kronospan - OSB-3, 22мм</t>
  </si>
  <si>
    <t xml:space="preserve">Материал для столбов</t>
  </si>
  <si>
    <t xml:space="preserve">Проф.брус вл. 200*150мм</t>
  </si>
  <si>
    <t xml:space="preserve">Материал для перил</t>
  </si>
  <si>
    <t xml:space="preserve">Брус клееный проф 2 ламель кедр Шир. 240 выс. 140</t>
  </si>
  <si>
    <t xml:space="preserve">Материал для прожилин</t>
  </si>
  <si>
    <t xml:space="preserve">Брус клееный проф 1 ламель кедр Шир. 240 выс. 140</t>
  </si>
  <si>
    <t xml:space="preserve">Накладка на перила</t>
  </si>
  <si>
    <t xml:space="preserve">Клееная накладка на перила шир 240мм</t>
  </si>
  <si>
    <t xml:space="preserve">расходные материалы балкон</t>
  </si>
  <si>
    <t xml:space="preserve">БАЛКОНЫ В ДОМЕ</t>
  </si>
  <si>
    <t xml:space="preserve">Веранда/терраса открытая снаружи дома и в черте дома</t>
  </si>
  <si>
    <t xml:space="preserve">Веранда деревянная открытая</t>
  </si>
  <si>
    <t xml:space="preserve">коэффициент расхода материала</t>
  </si>
  <si>
    <t xml:space="preserve">коэффициент увеличения/уменьшения работ</t>
  </si>
  <si>
    <t xml:space="preserve">Считать веранду/террасу снаружи дома в 1-2 этажа</t>
  </si>
  <si>
    <t xml:space="preserve">Этажность</t>
  </si>
  <si>
    <t xml:space="preserve">Длина Н17</t>
  </si>
  <si>
    <t xml:space="preserve">Ширина Н18</t>
  </si>
  <si>
    <t xml:space="preserve">Высота Н19</t>
  </si>
  <si>
    <t xml:space="preserve">Высота Н20</t>
  </si>
  <si>
    <t xml:space="preserve">высота от перекрытия 0 этажа до конька, Е</t>
  </si>
  <si>
    <t xml:space="preserve">Вариант расчета с односкатной кровлей</t>
  </si>
  <si>
    <t xml:space="preserve">Выбрать фундамент для веранды</t>
  </si>
  <si>
    <t xml:space="preserve">выбрать тип свай, диаметр/длина/лопасти</t>
  </si>
  <si>
    <t xml:space="preserve">76мм, 3,5м длина, 2 лопасть</t>
  </si>
  <si>
    <t xml:space="preserve">Н20</t>
  </si>
  <si>
    <t xml:space="preserve">Выбрать монтаж свай гидравлика или ручное</t>
  </si>
  <si>
    <t xml:space="preserve">монтаж свай гидравликой</t>
  </si>
  <si>
    <t xml:space="preserve">пробное забуривание</t>
  </si>
  <si>
    <t xml:space="preserve">обвязка металлом, 20/40/3000</t>
  </si>
  <si>
    <t xml:space="preserve">Заливка бетоном свай</t>
  </si>
  <si>
    <t xml:space="preserve">Оголовкок для свай 200*200</t>
  </si>
  <si>
    <t xml:space="preserve">Н19</t>
  </si>
  <si>
    <t xml:space="preserve">Н17</t>
  </si>
  <si>
    <t xml:space="preserve">Н18</t>
  </si>
  <si>
    <t xml:space="preserve">Материал для перекрытия</t>
  </si>
  <si>
    <t xml:space="preserve">Листв. влаж, 200*150мм</t>
  </si>
  <si>
    <t xml:space="preserve">Материал для обвязки по периметру 0 эт.</t>
  </si>
  <si>
    <t xml:space="preserve">Листв. влаж, 200*200мм</t>
  </si>
  <si>
    <t xml:space="preserve">Материал для обвязки перекрытий 1-2 этажей</t>
  </si>
  <si>
    <t xml:space="preserve">Нет накладки</t>
  </si>
  <si>
    <t xml:space="preserve">Материал для дополнительных изделий</t>
  </si>
  <si>
    <t xml:space="preserve">Проф.брус вл. 200*180мм</t>
  </si>
  <si>
    <t xml:space="preserve">Размеры для кровли</t>
  </si>
  <si>
    <t xml:space="preserve">Вариант расчета с двускатной кровлей</t>
  </si>
  <si>
    <t xml:space="preserve">Считать веранду/террасу, на 1-ом этаже в черте дома</t>
  </si>
  <si>
    <t xml:space="preserve">Высота перил </t>
  </si>
  <si>
    <t xml:space="preserve">Количество столбов </t>
  </si>
  <si>
    <t xml:space="preserve">Материал для гидроизоляции, пол веранды</t>
  </si>
  <si>
    <t xml:space="preserve">Веранда</t>
  </si>
  <si>
    <t xml:space="preserve">Крепежные элементы</t>
  </si>
  <si>
    <t xml:space="preserve">Уголок усиленный 90х70х55х2,5        </t>
  </si>
  <si>
    <t xml:space="preserve">Нет уголков</t>
  </si>
  <si>
    <t xml:space="preserve">Пластина соеденительная 100х240х2           </t>
  </si>
  <si>
    <t xml:space="preserve">Нет пластин</t>
  </si>
  <si>
    <t xml:space="preserve">Болты анкерные с гайкой 12,0 x 100          </t>
  </si>
  <si>
    <t xml:space="preserve">Нет анкерных болтов</t>
  </si>
  <si>
    <t xml:space="preserve">Саморезы 3,5 x 45            </t>
  </si>
  <si>
    <t xml:space="preserve">кг</t>
  </si>
  <si>
    <t xml:space="preserve">Нет саморезов</t>
  </si>
  <si>
    <t xml:space="preserve">Гвозди строительные 2,5 x 60            </t>
  </si>
  <si>
    <t xml:space="preserve">Гвозди ершоные 3,4 x 60            </t>
  </si>
  <si>
    <t xml:space="preserve">расходные материалы веранда</t>
  </si>
  <si>
    <t xml:space="preserve">ВЕРАНДА В ДОМЕ</t>
  </si>
  <si>
    <t xml:space="preserve">Крыльцо</t>
  </si>
  <si>
    <t xml:space="preserve">Выпуск кровли по карнизу</t>
  </si>
  <si>
    <t xml:space="preserve">Выпуск кровли по фронтону</t>
  </si>
  <si>
    <t xml:space="preserve">Длина конька для вальмовой пристройки</t>
  </si>
  <si>
    <t xml:space="preserve">Количество ступеней</t>
  </si>
  <si>
    <t xml:space="preserve">Размер ступеней</t>
  </si>
  <si>
    <t xml:space="preserve">Выбрать материал для столбов</t>
  </si>
  <si>
    <t xml:space="preserve">Листв. влаж, 150*100мм</t>
  </si>
  <si>
    <t xml:space="preserve">Листв. влаж, 150*150мм</t>
  </si>
  <si>
    <t xml:space="preserve">Доска сухая, 150*50мм</t>
  </si>
  <si>
    <t xml:space="preserve">Мембраны Tyvek Solid</t>
  </si>
  <si>
    <t xml:space="preserve">Фундамент для крыльца</t>
  </si>
  <si>
    <t xml:space="preserve">89мм, 3м длина, 1 лопасть</t>
  </si>
  <si>
    <t xml:space="preserve">Вариант крыльца с вальмовой кровлей</t>
  </si>
  <si>
    <t xml:space="preserve">Материал для обвязки по периметру низ</t>
  </si>
  <si>
    <t xml:space="preserve">Материал для обвязки по периметру верх</t>
  </si>
  <si>
    <t xml:space="preserve">Сосна влаж, 150*100мм</t>
  </si>
  <si>
    <t xml:space="preserve">Экскаватор погрузчик, бурение</t>
  </si>
  <si>
    <t xml:space="preserve">Расходные материалы крыльцо</t>
  </si>
  <si>
    <t xml:space="preserve">КРЫЛЬЦО</t>
  </si>
  <si>
    <t xml:space="preserve">Винтовые сваи</t>
  </si>
  <si>
    <t xml:space="preserve">Коэффициент увеличения/уменьшения стоимости материалов</t>
  </si>
  <si>
    <t xml:space="preserve">Коэффициент увеличения/уменьшения стоимости работ</t>
  </si>
  <si>
    <t xml:space="preserve">108мм, 2,5м длина, 1 лопасть</t>
  </si>
  <si>
    <t xml:space="preserve">Монтаж свай гидравлика</t>
  </si>
  <si>
    <t xml:space="preserve">Расходные материалы винтовые сваи</t>
  </si>
  <si>
    <t xml:space="preserve">ВИНТОВЫЕ СВАИ</t>
  </si>
  <si>
    <t xml:space="preserve">Свайноростверковый фундамент</t>
  </si>
  <si>
    <t xml:space="preserve">Данные для расчета фундамента</t>
  </si>
  <si>
    <t xml:space="preserve">Глубина ленты фундамента в грунте</t>
  </si>
  <si>
    <t xml:space="preserve">Высота фундамента над грунтом</t>
  </si>
  <si>
    <t xml:space="preserve">ширина ленточного фундамента</t>
  </si>
  <si>
    <t xml:space="preserve">Толщина отсыпки ПГС под лентой</t>
  </si>
  <si>
    <t xml:space="preserve">Ширина отсыпки ПГС под лентой</t>
  </si>
  <si>
    <t xml:space="preserve">Тип бетона для фундамента</t>
  </si>
  <si>
    <t xml:space="preserve">Бетон, м250</t>
  </si>
  <si>
    <t xml:space="preserve">Доска для опалубки</t>
  </si>
  <si>
    <t xml:space="preserve">Сосна влаж,150*40мм</t>
  </si>
  <si>
    <t xml:space="preserve">Арматура для основных нитей фундамента</t>
  </si>
  <si>
    <t xml:space="preserve">Арматура стальная Ø 8</t>
  </si>
  <si>
    <t xml:space="preserve">Арматура для хомутов фундамента</t>
  </si>
  <si>
    <t xml:space="preserve">Арматура стальная Ø 6</t>
  </si>
  <si>
    <t xml:space="preserve">шаг</t>
  </si>
  <si>
    <t xml:space="preserve">Вентиляция</t>
  </si>
  <si>
    <t xml:space="preserve">Утепление снаружи фундамента</t>
  </si>
  <si>
    <t xml:space="preserve">Сваи под ростверк</t>
  </si>
  <si>
    <t xml:space="preserve">выбор</t>
  </si>
  <si>
    <t xml:space="preserve">диаметр свай</t>
  </si>
  <si>
    <t xml:space="preserve">м</t>
  </si>
  <si>
    <t xml:space="preserve">длина свай</t>
  </si>
  <si>
    <t xml:space="preserve">Бетон для свай</t>
  </si>
  <si>
    <t xml:space="preserve">Бетон, м300</t>
  </si>
  <si>
    <t xml:space="preserve">Отмостка фундамента</t>
  </si>
  <si>
    <t xml:space="preserve">Выбор</t>
  </si>
  <si>
    <t xml:space="preserve">ширина отмостки</t>
  </si>
  <si>
    <t xml:space="preserve">толщина отмостки</t>
  </si>
  <si>
    <t xml:space="preserve">Толщина отсыпки под отмостку пгс</t>
  </si>
  <si>
    <t xml:space="preserve">Ширина отсыпки под отмостку пгс</t>
  </si>
  <si>
    <t xml:space="preserve">Утепление отмостки</t>
  </si>
  <si>
    <t xml:space="preserve">Тип бетон для отмостки</t>
  </si>
  <si>
    <t xml:space="preserve">Бетон, м200</t>
  </si>
  <si>
    <t xml:space="preserve">Техника, необходимая для работ</t>
  </si>
  <si>
    <t xml:space="preserve">час</t>
  </si>
  <si>
    <t xml:space="preserve">расходные материалы свайноростверковый фундамент</t>
  </si>
  <si>
    <t xml:space="preserve">СВАЙНОРСТВЕРКОВЫЙ ЛЕНТОЧНЫЙ ФУНДАМЕНТ</t>
  </si>
  <si>
    <t xml:space="preserve">Плита УШП, технология Дороселл</t>
  </si>
  <si>
    <t xml:space="preserve">Толщина отсыпки пгс</t>
  </si>
  <si>
    <t xml:space="preserve">Толщина отсыпки скальник</t>
  </si>
  <si>
    <t xml:space="preserve">Толщина отсыпки песок</t>
  </si>
  <si>
    <t xml:space="preserve">Выбрать утепление фундамента</t>
  </si>
  <si>
    <t xml:space="preserve">Пенопласт ПСБ-С-35</t>
  </si>
  <si>
    <t xml:space="preserve">Толщина утепления под ребрами жест</t>
  </si>
  <si>
    <t xml:space="preserve">Толщина утепления в доме</t>
  </si>
  <si>
    <t xml:space="preserve">Толщина утепления периметр</t>
  </si>
  <si>
    <t xml:space="preserve">Сосна влаж,180*40мм</t>
  </si>
  <si>
    <t xml:space="preserve">Тип бетона для плиты</t>
  </si>
  <si>
    <t xml:space="preserve">Бетон, м350</t>
  </si>
  <si>
    <t xml:space="preserve">Ширина ребер жесткости, бетон</t>
  </si>
  <si>
    <t xml:space="preserve">Толщина ребер жесткости, бетон</t>
  </si>
  <si>
    <t xml:space="preserve">Толщина плиты в доме, бетон</t>
  </si>
  <si>
    <t xml:space="preserve">Тип арматуры для основных нитей ребер</t>
  </si>
  <si>
    <t xml:space="preserve">Арматура стальная Ø 12</t>
  </si>
  <si>
    <t xml:space="preserve">Тип арматуры для хомутов в ребрах жесткости</t>
  </si>
  <si>
    <t xml:space="preserve">Тип арматуры для основной сетки арматурной</t>
  </si>
  <si>
    <t xml:space="preserve">Арматура стальная Ø 10 </t>
  </si>
  <si>
    <t xml:space="preserve">количество рядов арматурного каркаса</t>
  </si>
  <si>
    <t xml:space="preserve">Вид трубы отопления теплого пола</t>
  </si>
  <si>
    <t xml:space="preserve">Труба теплого пола 3</t>
  </si>
  <si>
    <t xml:space="preserve">Тип коллектора</t>
  </si>
  <si>
    <t xml:space="preserve">Коллектор 1</t>
  </si>
  <si>
    <t xml:space="preserve">Тип дренажной трубы</t>
  </si>
  <si>
    <t xml:space="preserve">Труба гофрированная одностенная d110</t>
  </si>
  <si>
    <t xml:space="preserve">Тип дренажных колодцев</t>
  </si>
  <si>
    <t xml:space="preserve">Дренажный колодец D300</t>
  </si>
  <si>
    <t xml:space="preserve">Канализация</t>
  </si>
  <si>
    <t xml:space="preserve">Ввод воды в дом</t>
  </si>
  <si>
    <t xml:space="preserve">Бетон для отмостки</t>
  </si>
  <si>
    <t xml:space="preserve">утепление</t>
  </si>
  <si>
    <t xml:space="preserve">Техника для работ</t>
  </si>
  <si>
    <t xml:space="preserve">расходные материалы плита ушп</t>
  </si>
  <si>
    <t xml:space="preserve">ПЛИТА УШП, ДОРОСЕЛЛ</t>
  </si>
  <si>
    <t xml:space="preserve">Цокольный этаж</t>
  </si>
  <si>
    <t xml:space="preserve">Блоки ФБС</t>
  </si>
  <si>
    <t xml:space="preserve">Длина Н21</t>
  </si>
  <si>
    <t xml:space="preserve">Длина Н22</t>
  </si>
  <si>
    <t xml:space="preserve">Высота Н23</t>
  </si>
  <si>
    <t xml:space="preserve">Перегородки оси X</t>
  </si>
  <si>
    <t xml:space="preserve">Перегородки оси Y</t>
  </si>
  <si>
    <t xml:space="preserve">Проемы, окна</t>
  </si>
  <si>
    <t xml:space="preserve">Х</t>
  </si>
  <si>
    <t xml:space="preserve">окна</t>
  </si>
  <si>
    <t xml:space="preserve">Двери</t>
  </si>
  <si>
    <t xml:space="preserve">Н23</t>
  </si>
  <si>
    <t xml:space="preserve">Ворота</t>
  </si>
  <si>
    <t xml:space="preserve">сейсмопояс</t>
  </si>
  <si>
    <t xml:space="preserve">Н22</t>
  </si>
  <si>
    <t xml:space="preserve">высота сейсмопояса</t>
  </si>
  <si>
    <t xml:space="preserve">Н21</t>
  </si>
  <si>
    <t xml:space="preserve">количество основных нитей арматуры</t>
  </si>
  <si>
    <t xml:space="preserve">шаг хомутов</t>
  </si>
  <si>
    <t xml:space="preserve">монолит стены</t>
  </si>
  <si>
    <t xml:space="preserve">доска для опалубки</t>
  </si>
  <si>
    <t xml:space="preserve">шаг арматурной сетки</t>
  </si>
  <si>
    <t xml:space="preserve">количество рядов арматурной сетки</t>
  </si>
  <si>
    <t xml:space="preserve">бетононасос</t>
  </si>
  <si>
    <t xml:space="preserve">лента под стены цоколя</t>
  </si>
  <si>
    <t xml:space="preserve">земляные работы</t>
  </si>
  <si>
    <t xml:space="preserve">Высота фундамента</t>
  </si>
  <si>
    <t xml:space="preserve">Толщина доски для опалубки</t>
  </si>
  <si>
    <t xml:space="preserve">Количество прутков арматуры в ленте</t>
  </si>
  <si>
    <t xml:space="preserve">хаг хомутов арматурного каркаса</t>
  </si>
  <si>
    <t xml:space="preserve">стяжка цоколь</t>
  </si>
  <si>
    <t xml:space="preserve">Толщина плиты бетон</t>
  </si>
  <si>
    <t xml:space="preserve">Шаг сетки арматурной в плите</t>
  </si>
  <si>
    <t xml:space="preserve">количество слоев арматурной сетки</t>
  </si>
  <si>
    <t xml:space="preserve">Утепление наружних стен</t>
  </si>
  <si>
    <t xml:space="preserve">Коллектор 6</t>
  </si>
  <si>
    <t xml:space="preserve">труба дренажная d90 с перфорацией, в фильтре</t>
  </si>
  <si>
    <t xml:space="preserve">Дренажный колодец D400</t>
  </si>
  <si>
    <t xml:space="preserve">расходные материалы цокольный этаж</t>
  </si>
  <si>
    <t xml:space="preserve">ЦОКОЛЬНЫЙ ЭТАЖ</t>
  </si>
  <si>
    <t xml:space="preserve">Дома из леса</t>
  </si>
  <si>
    <t xml:space="preserve">Материал прямоугольного сечения</t>
  </si>
  <si>
    <t xml:space="preserve">А1</t>
  </si>
  <si>
    <t xml:space="preserve">A2</t>
  </si>
  <si>
    <t xml:space="preserve">Стены дома наружние</t>
  </si>
  <si>
    <t xml:space="preserve">B1</t>
  </si>
  <si>
    <t xml:space="preserve">B2</t>
  </si>
  <si>
    <t xml:space="preserve">Сосна влаж, 200*150мм</t>
  </si>
  <si>
    <t xml:space="preserve">47 ряд пер. 2-го этажа</t>
  </si>
  <si>
    <t xml:space="preserve">Перегородки несущие</t>
  </si>
  <si>
    <t xml:space="preserve">46 ряд</t>
  </si>
  <si>
    <t xml:space="preserve">45 ряд</t>
  </si>
  <si>
    <t xml:space="preserve">Перегородки простые</t>
  </si>
  <si>
    <t xml:space="preserve">44 ряд</t>
  </si>
  <si>
    <t xml:space="preserve">Сосна влаж, 200*100мм</t>
  </si>
  <si>
    <t xml:space="preserve">43 ряд</t>
  </si>
  <si>
    <t xml:space="preserve">Обвязочный брус, нижний венец</t>
  </si>
  <si>
    <t xml:space="preserve">42 ряд</t>
  </si>
  <si>
    <t xml:space="preserve">41 ряд</t>
  </si>
  <si>
    <t xml:space="preserve">40 ряд</t>
  </si>
  <si>
    <t xml:space="preserve">Материал круглого сечения</t>
  </si>
  <si>
    <t xml:space="preserve">39 ряд</t>
  </si>
  <si>
    <t xml:space="preserve">38 ряд</t>
  </si>
  <si>
    <t xml:space="preserve">Оцилиндрованное бревно сосна 220мм</t>
  </si>
  <si>
    <t xml:space="preserve">37 ряд</t>
  </si>
  <si>
    <t xml:space="preserve">36 ряд</t>
  </si>
  <si>
    <t xml:space="preserve">35 ряд</t>
  </si>
  <si>
    <t xml:space="preserve">34 ряд</t>
  </si>
  <si>
    <t xml:space="preserve">33 ряд </t>
  </si>
  <si>
    <t xml:space="preserve">33 ряд</t>
  </si>
  <si>
    <t xml:space="preserve">32 ряд</t>
  </si>
  <si>
    <t xml:space="preserve">Оцилиндрованное бревно лиственница 280мм</t>
  </si>
  <si>
    <t xml:space="preserve">31 ряд</t>
  </si>
  <si>
    <t xml:space="preserve">31ряд</t>
  </si>
  <si>
    <t xml:space="preserve">30 ряд</t>
  </si>
  <si>
    <t xml:space="preserve">30ряд</t>
  </si>
  <si>
    <t xml:space="preserve">29 ряд</t>
  </si>
  <si>
    <t xml:space="preserve">29ряд</t>
  </si>
  <si>
    <t xml:space="preserve">В бревне выруб для кладки другого бревна</t>
  </si>
  <si>
    <t xml:space="preserve">28 ряд</t>
  </si>
  <si>
    <t xml:space="preserve">28ряд</t>
  </si>
  <si>
    <t xml:space="preserve">27 ряд</t>
  </si>
  <si>
    <t xml:space="preserve">27ряд</t>
  </si>
  <si>
    <t xml:space="preserve">Стандартные выпуски по длине в доме</t>
  </si>
  <si>
    <t xml:space="preserve">26 ряд</t>
  </si>
  <si>
    <t xml:space="preserve">26ряд</t>
  </si>
  <si>
    <t xml:space="preserve">Стандартные выпуски, размер</t>
  </si>
  <si>
    <t xml:space="preserve">25 ряд</t>
  </si>
  <si>
    <t xml:space="preserve">25ряд</t>
  </si>
  <si>
    <t xml:space="preserve">24 ряд пер. 1-го этажа</t>
  </si>
  <si>
    <t xml:space="preserve">24ряд перекрытие 1-го этажа</t>
  </si>
  <si>
    <t xml:space="preserve">Фронтоны выпуск</t>
  </si>
  <si>
    <t xml:space="preserve">23 ряд</t>
  </si>
  <si>
    <t xml:space="preserve">23ряд</t>
  </si>
  <si>
    <t xml:space="preserve">выпуск, ряд 33</t>
  </si>
  <si>
    <t xml:space="preserve">22 ряд</t>
  </si>
  <si>
    <t xml:space="preserve">22ряд</t>
  </si>
  <si>
    <t xml:space="preserve">выпуск, ряд 34 </t>
  </si>
  <si>
    <t xml:space="preserve">21 ряд</t>
  </si>
  <si>
    <t xml:space="preserve">21ряд</t>
  </si>
  <si>
    <t xml:space="preserve">выпуск, ряд 35</t>
  </si>
  <si>
    <t xml:space="preserve">20 ряд</t>
  </si>
  <si>
    <t xml:space="preserve">20ряд</t>
  </si>
  <si>
    <t xml:space="preserve">выпуск, ряд 36</t>
  </si>
  <si>
    <t xml:space="preserve">19 ряд</t>
  </si>
  <si>
    <t xml:space="preserve">19ряд</t>
  </si>
  <si>
    <t xml:space="preserve">нижний венец</t>
  </si>
  <si>
    <t xml:space="preserve">18 ряд</t>
  </si>
  <si>
    <t xml:space="preserve">18ряд</t>
  </si>
  <si>
    <t xml:space="preserve">17 ряд </t>
  </si>
  <si>
    <t xml:space="preserve">17ряд</t>
  </si>
  <si>
    <t xml:space="preserve">Доска для окосячки проемов наружних стен</t>
  </si>
  <si>
    <t xml:space="preserve">16 ряд</t>
  </si>
  <si>
    <t xml:space="preserve">16ряд</t>
  </si>
  <si>
    <t xml:space="preserve">15 ряд</t>
  </si>
  <si>
    <t xml:space="preserve">15ряд</t>
  </si>
  <si>
    <t xml:space="preserve">Доска для окосячки проемов перегородок несущих</t>
  </si>
  <si>
    <t xml:space="preserve">14 ряд</t>
  </si>
  <si>
    <t xml:space="preserve">14ряд</t>
  </si>
  <si>
    <t xml:space="preserve">13 ряд</t>
  </si>
  <si>
    <t xml:space="preserve">13ряд</t>
  </si>
  <si>
    <t xml:space="preserve">Доска для окосячки проемов перегородок простых</t>
  </si>
  <si>
    <t xml:space="preserve">12 ряд</t>
  </si>
  <si>
    <t xml:space="preserve">12ряд</t>
  </si>
  <si>
    <t xml:space="preserve">11 ряд</t>
  </si>
  <si>
    <t xml:space="preserve">11ряд</t>
  </si>
  <si>
    <t xml:space="preserve">Брусок для окосячки проемов несущих перегородок</t>
  </si>
  <si>
    <t xml:space="preserve">10 ряд</t>
  </si>
  <si>
    <t xml:space="preserve">10ряд</t>
  </si>
  <si>
    <t xml:space="preserve">9 ряд</t>
  </si>
  <si>
    <t xml:space="preserve">9ряд</t>
  </si>
  <si>
    <t xml:space="preserve">8 ряд</t>
  </si>
  <si>
    <t xml:space="preserve">8ряд</t>
  </si>
  <si>
    <t xml:space="preserve">Джутовое волокно для кладки меж рядов</t>
  </si>
  <si>
    <t xml:space="preserve">7 ряд</t>
  </si>
  <si>
    <t xml:space="preserve">7ряд</t>
  </si>
  <si>
    <t xml:space="preserve">Лен-джут 200х5х20000 мм</t>
  </si>
  <si>
    <t xml:space="preserve">6 ряд</t>
  </si>
  <si>
    <t xml:space="preserve">6ряд</t>
  </si>
  <si>
    <t xml:space="preserve">5 ряд</t>
  </si>
  <si>
    <t xml:space="preserve">5ряд</t>
  </si>
  <si>
    <t xml:space="preserve">Выбрать материал для крепления стен</t>
  </si>
  <si>
    <t xml:space="preserve">4 ряд</t>
  </si>
  <si>
    <t xml:space="preserve">4ряд</t>
  </si>
  <si>
    <t xml:space="preserve">Шкант</t>
  </si>
  <si>
    <t xml:space="preserve">3 ряд</t>
  </si>
  <si>
    <t xml:space="preserve">3ряд</t>
  </si>
  <si>
    <t xml:space="preserve">2 ряд</t>
  </si>
  <si>
    <t xml:space="preserve">2ряд</t>
  </si>
  <si>
    <t xml:space="preserve">Не считать конопатку дома</t>
  </si>
  <si>
    <t xml:space="preserve">1 ряд лаги</t>
  </si>
  <si>
    <t xml:space="preserve">Джутовое волокно для конопатки</t>
  </si>
  <si>
    <t xml:space="preserve">А</t>
  </si>
  <si>
    <t xml:space="preserve">А2</t>
  </si>
  <si>
    <t xml:space="preserve">В</t>
  </si>
  <si>
    <t xml:space="preserve">Обработка огнебиозащитой</t>
  </si>
  <si>
    <t xml:space="preserve">"Профилюкс" Антисептик ОБЗ-1</t>
  </si>
  <si>
    <t xml:space="preserve">Поставьте Расход, литр/м2</t>
  </si>
  <si>
    <t xml:space="preserve">л</t>
  </si>
  <si>
    <t xml:space="preserve">Количество слоев обаботки</t>
  </si>
  <si>
    <t xml:space="preserve">Выбрать пропитку для внешних стен</t>
  </si>
  <si>
    <t xml:space="preserve">Нет пропитки</t>
  </si>
  <si>
    <t xml:space="preserve">Количество слоев попитки</t>
  </si>
  <si>
    <t xml:space="preserve">Выбрать пропитку для внутренних стен</t>
  </si>
  <si>
    <t xml:space="preserve">Для монтажа скрытой электропроводки</t>
  </si>
  <si>
    <t xml:space="preserve">Материал для наличника окон/дверей снаружи</t>
  </si>
  <si>
    <t xml:space="preserve">Нет наличника</t>
  </si>
  <si>
    <t xml:space="preserve">Материал для наличника окон/дверей внутри</t>
  </si>
  <si>
    <t xml:space="preserve">Выбор шлифовки стен дома</t>
  </si>
  <si>
    <t xml:space="preserve">Нет шлифовки стен дома снаружи</t>
  </si>
  <si>
    <t xml:space="preserve">Нет наждачной бумаги</t>
  </si>
  <si>
    <t xml:space="preserve">Нет шлифовки стен дома внутри</t>
  </si>
  <si>
    <t xml:space="preserve">расходные материалы дома из леса</t>
  </si>
  <si>
    <t xml:space="preserve">Командировочные расходы</t>
  </si>
  <si>
    <t xml:space="preserve">Количество человек</t>
  </si>
  <si>
    <t xml:space="preserve">Количество дней</t>
  </si>
  <si>
    <t xml:space="preserve">Стоимость, рублей в день/человек</t>
  </si>
  <si>
    <t xml:space="preserve">ДОМА ИЗ ЛЕСА</t>
  </si>
  <si>
    <t xml:space="preserve">СИП ПАНЕЛИ ДОМ</t>
  </si>
  <si>
    <t xml:space="preserve">Обвязочный брус</t>
  </si>
  <si>
    <t xml:space="preserve">Брус естественной влажности, 150*150мм</t>
  </si>
  <si>
    <t xml:space="preserve">Sip панель 2800*1250*174мм</t>
  </si>
  <si>
    <t xml:space="preserve">Несущие перегородки</t>
  </si>
  <si>
    <t xml:space="preserve">Перегородки</t>
  </si>
  <si>
    <t xml:space="preserve">Sip панель 2800*1250*124мм</t>
  </si>
  <si>
    <t xml:space="preserve">Панели для кровли</t>
  </si>
  <si>
    <t xml:space="preserve">Нет </t>
  </si>
  <si>
    <t xml:space="preserve">Техника </t>
  </si>
  <si>
    <t xml:space="preserve">расходные материалы сип панели</t>
  </si>
  <si>
    <t xml:space="preserve">Каркасный дом</t>
  </si>
  <si>
    <t xml:space="preserve">обвязочный брус</t>
  </si>
  <si>
    <t xml:space="preserve">шаг стоек каркаса наружних стен</t>
  </si>
  <si>
    <t xml:space="preserve">шаг стоек каркаса несущих перегородок</t>
  </si>
  <si>
    <t xml:space="preserve">шаг стоек каркаса простых перегородок</t>
  </si>
  <si>
    <t xml:space="preserve">наружние стены</t>
  </si>
  <si>
    <t xml:space="preserve">Доска сухая калиброванная, 145*45мм</t>
  </si>
  <si>
    <t xml:space="preserve">несущие перегородки</t>
  </si>
  <si>
    <t xml:space="preserve">Доска сухая калиброванная, 100*45мм</t>
  </si>
  <si>
    <t xml:space="preserve">Плитный,28кг/м3, технониколь, 150мм</t>
  </si>
  <si>
    <t xml:space="preserve">Утепление перегородок</t>
  </si>
  <si>
    <t xml:space="preserve">Плитный,28кг/м3, технониколь, 50мм</t>
  </si>
  <si>
    <t xml:space="preserve">Потолок</t>
  </si>
  <si>
    <t xml:space="preserve">Половое покрытие</t>
  </si>
  <si>
    <t xml:space="preserve">Фанера Хвойная, марка ФСФ, 21 мм </t>
  </si>
  <si>
    <t xml:space="preserve">вентиляционный зазор снаружи</t>
  </si>
  <si>
    <t xml:space="preserve">технологический зазор внутри</t>
  </si>
  <si>
    <t xml:space="preserve">ветроизоляция дома наружние стены</t>
  </si>
  <si>
    <t xml:space="preserve">Пароизоляция дома наружние стены</t>
  </si>
  <si>
    <t xml:space="preserve">Техника</t>
  </si>
  <si>
    <t xml:space="preserve">расходные материалы каркасный дом</t>
  </si>
  <si>
    <t xml:space="preserve">КАРКАСНЫЙ ДОМ</t>
  </si>
  <si>
    <t xml:space="preserve">Дом из Газобетона/Пенобетона/Кирпича</t>
  </si>
  <si>
    <t xml:space="preserve">Наружние стены Газобетон</t>
  </si>
  <si>
    <t xml:space="preserve">Газоблок D400 200х300х390 </t>
  </si>
  <si>
    <t xml:space="preserve">Несущие перегородки Газобетон</t>
  </si>
  <si>
    <t xml:space="preserve">Газоблок D400 200х200х390 </t>
  </si>
  <si>
    <t xml:space="preserve">Перегородки Газобетон</t>
  </si>
  <si>
    <t xml:space="preserve">Газоблок D400 200х100х390 </t>
  </si>
  <si>
    <t xml:space="preserve">Наружние стены Пенобетон</t>
  </si>
  <si>
    <t xml:space="preserve">Пенобетон 200x300x600</t>
  </si>
  <si>
    <t xml:space="preserve">Несущие перегородки Пенобетон</t>
  </si>
  <si>
    <t xml:space="preserve">Пенобетон 200x150x600</t>
  </si>
  <si>
    <t xml:space="preserve">Перегородки Пенобетон</t>
  </si>
  <si>
    <t xml:space="preserve">Наружние стены кирпич</t>
  </si>
  <si>
    <t xml:space="preserve">Ширина стен</t>
  </si>
  <si>
    <t xml:space="preserve">0,7НФ/150/75 Красный</t>
  </si>
  <si>
    <t xml:space="preserve">Несущие перегородки кирпич</t>
  </si>
  <si>
    <t xml:space="preserve">Перегородки Кирпич</t>
  </si>
  <si>
    <t xml:space="preserve">Раствор для кладки</t>
  </si>
  <si>
    <t xml:space="preserve">Клей монтажный ВК-100</t>
  </si>
  <si>
    <t xml:space="preserve">Армирование наружних стен</t>
  </si>
  <si>
    <t xml:space="preserve">Арматура М6 каждый 3-й ряд, 2 нити</t>
  </si>
  <si>
    <t xml:space="preserve">Армирование перегородок</t>
  </si>
  <si>
    <t xml:space="preserve">Армирование сейсмопояса</t>
  </si>
  <si>
    <t xml:space="preserve">Сейсмопояс Арматура М10 4 нити</t>
  </si>
  <si>
    <t xml:space="preserve">Хомут для сейсмопояса</t>
  </si>
  <si>
    <t xml:space="preserve">Хомут для сейсмопояса Арматура М6, шаг 400мм</t>
  </si>
  <si>
    <t xml:space="preserve">Ветроизоляция дома наружние стены</t>
  </si>
  <si>
    <t xml:space="preserve">расходные материалы каменные дома</t>
  </si>
  <si>
    <t xml:space="preserve">ДОМ ИЗ ГАЗОБЕТОН/ПЕНОБЕТОН/КИРПИЧ</t>
  </si>
  <si>
    <t xml:space="preserve">Окна и двери в доме</t>
  </si>
  <si>
    <t xml:space="preserve">Выбрать Мансардные окна Velux</t>
  </si>
  <si>
    <t xml:space="preserve">MR10 78X160</t>
  </si>
  <si>
    <t xml:space="preserve">MR08 78X140</t>
  </si>
  <si>
    <t xml:space="preserve">MR04 78X98</t>
  </si>
  <si>
    <t xml:space="preserve">Наименование работ</t>
  </si>
  <si>
    <t xml:space="preserve">окна  </t>
  </si>
  <si>
    <t xml:space="preserve">дверь на балкон</t>
  </si>
  <si>
    <t xml:space="preserve">подоконники</t>
  </si>
  <si>
    <t xml:space="preserve">откосы пластик</t>
  </si>
  <si>
    <t xml:space="preserve">откосы внешние металл</t>
  </si>
  <si>
    <t xml:space="preserve">отливы внешние металл</t>
  </si>
  <si>
    <t xml:space="preserve">Французские окна (в пол)</t>
  </si>
  <si>
    <t xml:space="preserve">двери входные</t>
  </si>
  <si>
    <t xml:space="preserve">двери в котельную</t>
  </si>
  <si>
    <t xml:space="preserve">расходные материалы окна</t>
  </si>
  <si>
    <t xml:space="preserve">ОКНА И ДВЕРИ В ДОМЕ</t>
  </si>
  <si>
    <t xml:space="preserve">Лестница двухмаршевая</t>
  </si>
  <si>
    <t xml:space="preserve">количество ступеней</t>
  </si>
  <si>
    <t xml:space="preserve">расходные материалы лестница</t>
  </si>
  <si>
    <t xml:space="preserve">ЛЕСТНИЦА ДВУХМАРШЕВАЯ</t>
  </si>
  <si>
    <t xml:space="preserve">Отделка внешняя</t>
  </si>
  <si>
    <t xml:space="preserve">Выбрать материал для отделки дома</t>
  </si>
  <si>
    <t xml:space="preserve">Декоративная штукатурка кароед 2 мм</t>
  </si>
  <si>
    <t xml:space="preserve">Если фасад декоративная штукатурка, выберите расход в кг/м2</t>
  </si>
  <si>
    <t xml:space="preserve">Выбрать подсистему для отделки дома</t>
  </si>
  <si>
    <t xml:space="preserve">Выбрать кронштейн для крепления подсистемы</t>
  </si>
  <si>
    <t xml:space="preserve">Нет кронштейна</t>
  </si>
  <si>
    <t xml:space="preserve">Для отделки планкен+камень данные</t>
  </si>
  <si>
    <t xml:space="preserve">углы дома камень, ширина от угла</t>
  </si>
  <si>
    <t xml:space="preserve">Выбрать Шифер плоский стены</t>
  </si>
  <si>
    <t xml:space="preserve">Нет плоского шифера</t>
  </si>
  <si>
    <t xml:space="preserve">Выбрать грунтовку для поверхностей</t>
  </si>
  <si>
    <t xml:space="preserve">Нет грунтовки</t>
  </si>
  <si>
    <t xml:space="preserve">слои</t>
  </si>
  <si>
    <t xml:space="preserve">Выбрать пропитку для поверхностей</t>
  </si>
  <si>
    <t xml:space="preserve">Выбрать лак  поверхностей</t>
  </si>
  <si>
    <t xml:space="preserve">Нет лака</t>
  </si>
  <si>
    <t xml:space="preserve">установка леса строительные</t>
  </si>
  <si>
    <t xml:space="preserve">м2</t>
  </si>
  <si>
    <t xml:space="preserve">отделка цоколя</t>
  </si>
  <si>
    <t xml:space="preserve">Выбрать материал для отделки цоколя</t>
  </si>
  <si>
    <t xml:space="preserve">камень природный</t>
  </si>
  <si>
    <t xml:space="preserve">Выбрать подсистему для отделки цоколя</t>
  </si>
  <si>
    <t xml:space="preserve">Фасадный кронштейн КК 120</t>
  </si>
  <si>
    <t xml:space="preserve">Плоский шифер 8 мм</t>
  </si>
  <si>
    <t xml:space="preserve">высота цоколя над грунтом</t>
  </si>
  <si>
    <t xml:space="preserve">отлив металлический</t>
  </si>
  <si>
    <t xml:space="preserve">подшивка карнизных свесов</t>
  </si>
  <si>
    <t xml:space="preserve">Выбрать материал для отделки карнизов</t>
  </si>
  <si>
    <t xml:space="preserve">Планкен</t>
  </si>
  <si>
    <t xml:space="preserve">Материал для подсистемы</t>
  </si>
  <si>
    <t xml:space="preserve">расходные материалы отделка внешняя</t>
  </si>
  <si>
    <t xml:space="preserve">ОТДЕЛКА ВНЕШНЯЯ</t>
  </si>
  <si>
    <t xml:space="preserve">Чистовая отделка помещений</t>
  </si>
  <si>
    <t xml:space="preserve">отделка дома</t>
  </si>
  <si>
    <t xml:space="preserve">стены</t>
  </si>
  <si>
    <t xml:space="preserve">гкл, 12мм</t>
  </si>
  <si>
    <t xml:space="preserve">Нет подсистемы</t>
  </si>
  <si>
    <t xml:space="preserve">шпаклевка </t>
  </si>
  <si>
    <t xml:space="preserve">обои</t>
  </si>
  <si>
    <t xml:space="preserve">покраска</t>
  </si>
  <si>
    <t xml:space="preserve">имитация бруса</t>
  </si>
  <si>
    <t xml:space="preserve">потолок</t>
  </si>
  <si>
    <t xml:space="preserve">гкл, 9мм</t>
  </si>
  <si>
    <t xml:space="preserve">багет потолочный</t>
  </si>
  <si>
    <t xml:space="preserve">вагонка</t>
  </si>
  <si>
    <t xml:space="preserve">пол</t>
  </si>
  <si>
    <t xml:space="preserve">Нет покрытия</t>
  </si>
  <si>
    <t xml:space="preserve">кафель на определенной площади</t>
  </si>
  <si>
    <t xml:space="preserve">плинтус напольный</t>
  </si>
  <si>
    <t xml:space="preserve">санузел/ванная</t>
  </si>
  <si>
    <t xml:space="preserve">стены ванная</t>
  </si>
  <si>
    <t xml:space="preserve">пол ванная</t>
  </si>
  <si>
    <t xml:space="preserve">потолок ванная</t>
  </si>
  <si>
    <t xml:space="preserve">Кафель стены</t>
  </si>
  <si>
    <t xml:space="preserve">Кафель потолок</t>
  </si>
  <si>
    <t xml:space="preserve">Кафель пол</t>
  </si>
  <si>
    <t xml:space="preserve">двери  </t>
  </si>
  <si>
    <t xml:space="preserve">наличник на двери</t>
  </si>
  <si>
    <t xml:space="preserve">коробка дверная</t>
  </si>
  <si>
    <t xml:space="preserve">порог металлический</t>
  </si>
  <si>
    <t xml:space="preserve">отбойник дверной</t>
  </si>
  <si>
    <t xml:space="preserve">расходные материалы чистовая отделка</t>
  </si>
  <si>
    <t xml:space="preserve">ОТДЕЛКА ВНУТРЕННЯЯ</t>
  </si>
  <si>
    <t xml:space="preserve">Электрика</t>
  </si>
  <si>
    <t xml:space="preserve">Вид монтажа электики</t>
  </si>
  <si>
    <t xml:space="preserve">Открытый монтаж проводки</t>
  </si>
  <si>
    <t xml:space="preserve">Кабель для розеток</t>
  </si>
  <si>
    <t xml:space="preserve">Кабель ВВГнг(А)-LS 3х2,5 0,66</t>
  </si>
  <si>
    <t xml:space="preserve">Гофра. Кабель для монтажа розеток</t>
  </si>
  <si>
    <t xml:space="preserve">Труба ПВХ гофрировонная гибкая 20</t>
  </si>
  <si>
    <t xml:space="preserve">Кабель для освещения</t>
  </si>
  <si>
    <t xml:space="preserve">Кабель ВВГнг(А)-LS 3х1,5 0,66</t>
  </si>
  <si>
    <t xml:space="preserve">Гофра. Кабель для монтажа освещения</t>
  </si>
  <si>
    <t xml:space="preserve">Труба ПВХ гофрировонная гибкая 25</t>
  </si>
  <si>
    <t xml:space="preserve">Кабель для плиты</t>
  </si>
  <si>
    <t xml:space="preserve">Кабель ВВГнг(А)-LS 3х4 0,66</t>
  </si>
  <si>
    <t xml:space="preserve">Гофра. Кабель для монтажа плиты</t>
  </si>
  <si>
    <t xml:space="preserve">Труба ПВХ гофрировонная гибкая 32</t>
  </si>
  <si>
    <t xml:space="preserve">щиток на вводе в дом</t>
  </si>
  <si>
    <t xml:space="preserve">Выбрать тип розеток</t>
  </si>
  <si>
    <t xml:space="preserve">Розетка 2</t>
  </si>
  <si>
    <t xml:space="preserve">Выбрать тип выключателей</t>
  </si>
  <si>
    <t xml:space="preserve">Выключатель 3</t>
  </si>
  <si>
    <t xml:space="preserve">расходные материалы для электрики</t>
  </si>
  <si>
    <t xml:space="preserve">ЭЛЕКТРИКА</t>
  </si>
  <si>
    <t xml:space="preserve">Отопление радиаторное, х/г водоснабжение</t>
  </si>
  <si>
    <t xml:space="preserve">Выбрать систему отопления в доме</t>
  </si>
  <si>
    <t xml:space="preserve">система отопления двутрубная</t>
  </si>
  <si>
    <t xml:space="preserve">Количество радиаторов</t>
  </si>
  <si>
    <t xml:space="preserve">расходные материалы для отопления</t>
  </si>
  <si>
    <t xml:space="preserve">ОТОПЛЕНИЕ, Х/Г ВОДОСНАБЖЕНИЕ</t>
  </si>
  <si>
    <t xml:space="preserve">Скважина</t>
  </si>
  <si>
    <t xml:space="preserve">бурение скважины</t>
  </si>
  <si>
    <t xml:space="preserve">обустройство скважины</t>
  </si>
  <si>
    <t xml:space="preserve">глубина скважины</t>
  </si>
  <si>
    <t xml:space="preserve">расходные материалы скважина</t>
  </si>
  <si>
    <t xml:space="preserve">СКВАЖИНА</t>
  </si>
  <si>
    <t xml:space="preserve">Септик с утепленной канализацией</t>
  </si>
  <si>
    <t xml:space="preserve">Септик основной</t>
  </si>
  <si>
    <t xml:space="preserve">дно бетонное, диаметр 1,5м.п.</t>
  </si>
  <si>
    <t xml:space="preserve">кольцо бетонное, диаметр 1,5м.п.</t>
  </si>
  <si>
    <t xml:space="preserve">крышка бетонная, диаметр 1,5м.п.</t>
  </si>
  <si>
    <t xml:space="preserve">Нет люка для крышки</t>
  </si>
  <si>
    <t xml:space="preserve">Горловина для септика</t>
  </si>
  <si>
    <t xml:space="preserve">Септик второй</t>
  </si>
  <si>
    <t xml:space="preserve">дно бетонное, диаметр 2м.п.</t>
  </si>
  <si>
    <t xml:space="preserve">кольцо бетонное, диаметр 2м.п.</t>
  </si>
  <si>
    <t xml:space="preserve">крышка бетонная, диаметр 2м.п.</t>
  </si>
  <si>
    <t xml:space="preserve">бетонирование</t>
  </si>
  <si>
    <t xml:space="preserve">канализационная труба</t>
  </si>
  <si>
    <t xml:space="preserve">утепление для канашизационной трубы</t>
  </si>
  <si>
    <t xml:space="preserve">Экскаватор погрузчик</t>
  </si>
  <si>
    <t xml:space="preserve">Манипулятор 5т</t>
  </si>
  <si>
    <t xml:space="preserve">расходные материалы для септика</t>
  </si>
  <si>
    <t xml:space="preserve">СЕПТИК УТЕПЛЕННОЙ КАНАЛИЗАЦИЕЙ</t>
  </si>
  <si>
    <t xml:space="preserve">Котельная</t>
  </si>
  <si>
    <t xml:space="preserve">насос на отопление</t>
  </si>
  <si>
    <t xml:space="preserve">насос на горячее водоснабжение</t>
  </si>
  <si>
    <t xml:space="preserve">котел отопления</t>
  </si>
  <si>
    <t xml:space="preserve">бойлер</t>
  </si>
  <si>
    <t xml:space="preserve">гребенка</t>
  </si>
  <si>
    <t xml:space="preserve">расходные материалы котельная</t>
  </si>
  <si>
    <t xml:space="preserve">КОТЕЛЬНАЯ</t>
  </si>
  <si>
    <t xml:space="preserve">Прайс-лист</t>
  </si>
  <si>
    <t xml:space="preserve">ООО "DitsarHome"</t>
  </si>
  <si>
    <t xml:space="preserve">тел. 8 900 000 00 00</t>
  </si>
  <si>
    <t xml:space="preserve">сайт smetadom.com</t>
  </si>
  <si>
    <t xml:space="preserve">Термоблок  фактурованный</t>
  </si>
  <si>
    <t xml:space="preserve">Объем,м3</t>
  </si>
  <si>
    <t xml:space="preserve">Ед.изм.</t>
  </si>
  <si>
    <t xml:space="preserve">Кол-во штук в 1м.куб </t>
  </si>
  <si>
    <t xml:space="preserve">Цена за         1 шт.</t>
  </si>
  <si>
    <t xml:space="preserve">Цена за м.куб.</t>
  </si>
  <si>
    <t xml:space="preserve">Цена </t>
  </si>
  <si>
    <t xml:space="preserve">200х390х390 рядовой</t>
  </si>
  <si>
    <t xml:space="preserve">200х390х590 угловой</t>
  </si>
  <si>
    <t xml:space="preserve">200х390х194 доборный</t>
  </si>
  <si>
    <t xml:space="preserve">200х390х590 угл внутр</t>
  </si>
  <si>
    <t xml:space="preserve"> </t>
  </si>
  <si>
    <t xml:space="preserve">198х340х398 рядовой </t>
  </si>
  <si>
    <t xml:space="preserve">198х340х538 угловой</t>
  </si>
  <si>
    <t xml:space="preserve">198х340х198 доборный </t>
  </si>
  <si>
    <t xml:space="preserve">200х290х390 рядовой</t>
  </si>
  <si>
    <t xml:space="preserve">200х290х490 угловой</t>
  </si>
  <si>
    <t xml:space="preserve">200х290х194 доборный</t>
  </si>
  <si>
    <t xml:space="preserve">Термоблок не фактурованный</t>
  </si>
  <si>
    <t xml:space="preserve">200х400х390 рядовой</t>
  </si>
  <si>
    <t xml:space="preserve">200х400х600 угловой</t>
  </si>
  <si>
    <t xml:space="preserve">200х400х194 доборный</t>
  </si>
  <si>
    <t xml:space="preserve">198х350х398 рядовой</t>
  </si>
  <si>
    <t xml:space="preserve">198х350х548 угловой</t>
  </si>
  <si>
    <t xml:space="preserve">198х350х198 доборный</t>
  </si>
  <si>
    <t xml:space="preserve">200х300х390 рядовой</t>
  </si>
  <si>
    <t xml:space="preserve">200х300х500 угловой</t>
  </si>
  <si>
    <t xml:space="preserve">200х300х194 доборный</t>
  </si>
  <si>
    <t xml:space="preserve">Газоблок  фактурованный</t>
  </si>
  <si>
    <t xml:space="preserve">Поясной блок</t>
  </si>
  <si>
    <t xml:space="preserve">200х-----х390 рядовой</t>
  </si>
  <si>
    <t xml:space="preserve">198х340х548 угловой</t>
  </si>
  <si>
    <t xml:space="preserve">Газоблок D 1000</t>
  </si>
  <si>
    <t xml:space="preserve">Газоблок D1000 200х300х390 </t>
  </si>
  <si>
    <t xml:space="preserve">Газоблок D1000 200х400х390 </t>
  </si>
  <si>
    <t xml:space="preserve">Здесь можно поставить ваше предложение клиенту</t>
  </si>
  <si>
    <t xml:space="preserve">Газоблок D 400</t>
  </si>
  <si>
    <t xml:space="preserve">Газоблок D400 200х400х390 </t>
  </si>
  <si>
    <t xml:space="preserve">Газоблок D 500</t>
  </si>
  <si>
    <t xml:space="preserve">Газоблок D500 200х300х390 </t>
  </si>
  <si>
    <t xml:space="preserve">Газоблок D500 200х400х390 </t>
  </si>
  <si>
    <t xml:space="preserve">Газоблок D 600</t>
  </si>
  <si>
    <t xml:space="preserve">Газоблок D600 200х300х390 </t>
  </si>
  <si>
    <t xml:space="preserve">Газоблок D600 200х400х390 </t>
  </si>
  <si>
    <t xml:space="preserve">Газоблок D 700</t>
  </si>
  <si>
    <t xml:space="preserve">Газоблок D700 200х300х390 </t>
  </si>
  <si>
    <t xml:space="preserve">Газоблок D700 200х400х390 </t>
  </si>
  <si>
    <t xml:space="preserve">Блок Газобетонный</t>
  </si>
  <si>
    <t xml:space="preserve">Длина, Д</t>
  </si>
  <si>
    <t xml:space="preserve">Ширина, Ш</t>
  </si>
  <si>
    <t xml:space="preserve">Высота, В</t>
  </si>
  <si>
    <t xml:space="preserve">Цена с НДС, руб</t>
  </si>
  <si>
    <t xml:space="preserve">Блок Газобетонный D 400* В 2,5</t>
  </si>
  <si>
    <t xml:space="preserve">Блок Газобетонный D 500* В 3,5</t>
  </si>
  <si>
    <t xml:space="preserve">Блок Газобетонный D 600* В 3,5</t>
  </si>
  <si>
    <t xml:space="preserve">Пилонный блок</t>
  </si>
  <si>
    <t xml:space="preserve">Бетонный колпак</t>
  </si>
  <si>
    <t xml:space="preserve">Блок пилон 200х400х400</t>
  </si>
  <si>
    <t xml:space="preserve">Вентиляционные блоки</t>
  </si>
  <si>
    <t xml:space="preserve">3ВБП 30.9.30</t>
  </si>
  <si>
    <t xml:space="preserve">2ВБП 30.7.30</t>
  </si>
  <si>
    <t xml:space="preserve">1ВБП 30.6.30</t>
  </si>
  <si>
    <t xml:space="preserve">3ВБП 10.9.30</t>
  </si>
  <si>
    <t xml:space="preserve">2ВБП 10.7.30</t>
  </si>
  <si>
    <t xml:space="preserve">1ВБП 10.6.30</t>
  </si>
  <si>
    <t xml:space="preserve">под заказ  любых высот</t>
  </si>
  <si>
    <t xml:space="preserve">менее 30.--.--</t>
  </si>
  <si>
    <t xml:space="preserve">Вибропрессованные блоки</t>
  </si>
  <si>
    <t xml:space="preserve">стеновой 190х188х390</t>
  </si>
  <si>
    <t xml:space="preserve">перегородочн 120х188х390</t>
  </si>
  <si>
    <t xml:space="preserve">Вентблок 200х290(390)х390</t>
  </si>
  <si>
    <t xml:space="preserve">               0,023   (0,031)</t>
  </si>
  <si>
    <t xml:space="preserve">            330    (380)</t>
  </si>
  <si>
    <t xml:space="preserve">ЛМ - лестничный марш</t>
  </si>
  <si>
    <t xml:space="preserve">Цена, руб./шт.</t>
  </si>
  <si>
    <t xml:space="preserve">Перемычки                                                 </t>
  </si>
  <si>
    <t xml:space="preserve">Нет перемычки</t>
  </si>
  <si>
    <t xml:space="preserve">2 ПБФ  26-10-п</t>
  </si>
  <si>
    <t xml:space="preserve">1 ПБ  26-17-п</t>
  </si>
  <si>
    <t xml:space="preserve">2 ПБФ  24-10-п</t>
  </si>
  <si>
    <t xml:space="preserve">1 ПБ  24-17-п</t>
  </si>
  <si>
    <t xml:space="preserve">2 ПБФ  22-8-п</t>
  </si>
  <si>
    <t xml:space="preserve">1 ПБ  22-14-п</t>
  </si>
  <si>
    <t xml:space="preserve">2 ПБФ  20-8-п</t>
  </si>
  <si>
    <t xml:space="preserve">1 ПБ  20-12-п</t>
  </si>
  <si>
    <t xml:space="preserve">2 ПБФ  14-6-п</t>
  </si>
  <si>
    <t xml:space="preserve">1 ПБ  14-8-п</t>
  </si>
  <si>
    <t xml:space="preserve">3 ПБФ 22-10-п</t>
  </si>
  <si>
    <t xml:space="preserve">3 ПБФ 20-8-п</t>
  </si>
  <si>
    <t xml:space="preserve">3 ПБФ 14-6-п</t>
  </si>
  <si>
    <t xml:space="preserve">Перемычки армированные, газобетон D600</t>
  </si>
  <si>
    <t xml:space="preserve">ПГБ-25-3</t>
  </si>
  <si>
    <t xml:space="preserve">ПГБ-20-3</t>
  </si>
  <si>
    <t xml:space="preserve">ПГБ-15-3</t>
  </si>
  <si>
    <t xml:space="preserve">ПГБ-25-2</t>
  </si>
  <si>
    <t xml:space="preserve">ПГБ-20-2</t>
  </si>
  <si>
    <t xml:space="preserve">ПГБ-15-2</t>
  </si>
  <si>
    <t xml:space="preserve">ПГБ-25-1,5</t>
  </si>
  <si>
    <t xml:space="preserve">ПГБ-18-1,5</t>
  </si>
  <si>
    <t xml:space="preserve">ПГБ-25-1</t>
  </si>
  <si>
    <t xml:space="preserve">ПГБ-18-1</t>
  </si>
  <si>
    <t xml:space="preserve">Клей для газобетона</t>
  </si>
  <si>
    <t xml:space="preserve">масса</t>
  </si>
  <si>
    <t xml:space="preserve">t работы</t>
  </si>
  <si>
    <t xml:space="preserve">Расход</t>
  </si>
  <si>
    <t xml:space="preserve">Цена 1 меш</t>
  </si>
  <si>
    <t xml:space="preserve">меш</t>
  </si>
  <si>
    <t xml:space="preserve">от+5 и выше</t>
  </si>
  <si>
    <t xml:space="preserve">32,5кг</t>
  </si>
  <si>
    <t xml:space="preserve">Клей монтажный ВК-100z</t>
  </si>
  <si>
    <t xml:space="preserve">от -10до+5</t>
  </si>
  <si>
    <t xml:space="preserve">Плита перекрытия ЖБИ</t>
  </si>
  <si>
    <t xml:space="preserve">Цена</t>
  </si>
  <si>
    <t xml:space="preserve">м3</t>
  </si>
  <si>
    <t xml:space="preserve">Инертные материалы</t>
  </si>
  <si>
    <t xml:space="preserve">цена 1м.п.</t>
  </si>
  <si>
    <t xml:space="preserve">Песок, м3</t>
  </si>
  <si>
    <t xml:space="preserve">Доставка песка</t>
  </si>
  <si>
    <t xml:space="preserve">маш</t>
  </si>
  <si>
    <t xml:space="preserve">ПГС, машина 13м3</t>
  </si>
  <si>
    <t xml:space="preserve">ПГС, машина 5м3</t>
  </si>
  <si>
    <t xml:space="preserve">Скальник, 1 маш 13м3</t>
  </si>
  <si>
    <t xml:space="preserve">Скальник, 1 маш 5м3</t>
  </si>
  <si>
    <t xml:space="preserve">Песок, машина 13м3</t>
  </si>
  <si>
    <t xml:space="preserve">Песок, машина 5м3</t>
  </si>
  <si>
    <t xml:space="preserve">Щебень, 40мм, машина 13м3</t>
  </si>
  <si>
    <t xml:space="preserve">Щебень, 40мм, машина 5м3</t>
  </si>
  <si>
    <t xml:space="preserve">Цемент, мешок, 50кг</t>
  </si>
  <si>
    <t xml:space="preserve">мешок</t>
  </si>
  <si>
    <t xml:space="preserve">Авто для бурения скважин</t>
  </si>
  <si>
    <t xml:space="preserve">Вывоз мусора, камаз</t>
  </si>
  <si>
    <t xml:space="preserve">Вывоз инертных материалов, камаз</t>
  </si>
  <si>
    <t xml:space="preserve">Бетононасос</t>
  </si>
  <si>
    <t xml:space="preserve">Кран Ивановец, 17 тонн</t>
  </si>
  <si>
    <t xml:space="preserve">Маз бортовой</t>
  </si>
  <si>
    <t xml:space="preserve">Виброкаток 5 тонн</t>
  </si>
  <si>
    <t xml:space="preserve">Разгрузка материала вручную</t>
  </si>
  <si>
    <t xml:space="preserve">Доставка виброкатка, 5 тонн</t>
  </si>
  <si>
    <t xml:space="preserve">Арматура стальная</t>
  </si>
  <si>
    <t xml:space="preserve">Цена тонны</t>
  </si>
  <si>
    <t xml:space="preserve">Вес 1м.п.</t>
  </si>
  <si>
    <t xml:space="preserve">Нет арматуры</t>
  </si>
  <si>
    <t xml:space="preserve">Арматура А1 катанка 6,5 мм</t>
  </si>
  <si>
    <t xml:space="preserve">В данном разделе менять стоимость тонны</t>
  </si>
  <si>
    <t xml:space="preserve">Арматура А1 8 мм</t>
  </si>
  <si>
    <t xml:space="preserve">Арматура А1 10 мм </t>
  </si>
  <si>
    <t xml:space="preserve">Арматура стальная Ø 14</t>
  </si>
  <si>
    <t xml:space="preserve">Арматура стальная Ø 16</t>
  </si>
  <si>
    <t xml:space="preserve">Арматура стальная Ø 18</t>
  </si>
  <si>
    <t xml:space="preserve">Арматура стальная Ø 20</t>
  </si>
  <si>
    <t xml:space="preserve">Кладочная сетка, 100*100/150*150/200*200мм</t>
  </si>
  <si>
    <t xml:space="preserve">Вязальная проволока</t>
  </si>
  <si>
    <t xml:space="preserve">Стяжки пластиковые</t>
  </si>
  <si>
    <t xml:space="preserve">Подставка под арматурный каркас</t>
  </si>
  <si>
    <t xml:space="preserve">Пленка гидроизоляционная </t>
  </si>
  <si>
    <t xml:space="preserve">Арматурный скелет для свай</t>
  </si>
  <si>
    <t xml:space="preserve">Демпферная лента</t>
  </si>
  <si>
    <t xml:space="preserve">Праймер для обработки </t>
  </si>
  <si>
    <t xml:space="preserve">Мастика битумная</t>
  </si>
  <si>
    <t xml:space="preserve">Крепления для опалубки</t>
  </si>
  <si>
    <t xml:space="preserve">Электроды ок 47</t>
  </si>
  <si>
    <t xml:space="preserve">Бетон</t>
  </si>
  <si>
    <t xml:space="preserve">Раствор, м200</t>
  </si>
  <si>
    <t xml:space="preserve">Раствор, м250</t>
  </si>
  <si>
    <t xml:space="preserve">Раствор, м300</t>
  </si>
  <si>
    <t xml:space="preserve">Раствор, м350</t>
  </si>
  <si>
    <t xml:space="preserve">Пенобетон</t>
  </si>
  <si>
    <t xml:space="preserve">Длина</t>
  </si>
  <si>
    <t xml:space="preserve">Пенобетон 200x400x600</t>
  </si>
  <si>
    <t xml:space="preserve">Пенобетон 200x200x600</t>
  </si>
  <si>
    <t xml:space="preserve">Пенобетон 200x100x600</t>
  </si>
  <si>
    <t xml:space="preserve">Пенобетон 150x400x600</t>
  </si>
  <si>
    <t xml:space="preserve">Пенобетон 150x300x600</t>
  </si>
  <si>
    <t xml:space="preserve">Пенобетон 150x200x600</t>
  </si>
  <si>
    <t xml:space="preserve">Пенобетон 150x150x600</t>
  </si>
  <si>
    <t xml:space="preserve">Пенобетон 150x100x600</t>
  </si>
  <si>
    <t xml:space="preserve">Пенобетон 100x400x600</t>
  </si>
  <si>
    <t xml:space="preserve">Пенобетон 100x300x600</t>
  </si>
  <si>
    <t xml:space="preserve">Пенобетон 100x200x600</t>
  </si>
  <si>
    <t xml:space="preserve">Пенобетон 100x150x600</t>
  </si>
  <si>
    <t xml:space="preserve">Пенобетон 100x100x600</t>
  </si>
  <si>
    <t xml:space="preserve">Сип панели</t>
  </si>
  <si>
    <t xml:space="preserve">Площадь 1 листа</t>
  </si>
  <si>
    <t xml:space="preserve">Sip панель 2500*1250*124мм</t>
  </si>
  <si>
    <t xml:space="preserve">Sip панель 2500*1250*174мм</t>
  </si>
  <si>
    <t xml:space="preserve">Sip панель 2500*1250*224мм</t>
  </si>
  <si>
    <t xml:space="preserve">Sip панель 2800*1250*224мм</t>
  </si>
  <si>
    <t xml:space="preserve">Sip панель 3000*1250*124мм</t>
  </si>
  <si>
    <t xml:space="preserve">Sip панель 3000*1250*174мм</t>
  </si>
  <si>
    <t xml:space="preserve">Sip панель 3000*1250*224мм</t>
  </si>
  <si>
    <t xml:space="preserve">Sip панель 2500*625*124мм</t>
  </si>
  <si>
    <t xml:space="preserve">Sip панель 2500*625*174мм</t>
  </si>
  <si>
    <t xml:space="preserve">Sip панель 2500*625*224мм</t>
  </si>
  <si>
    <t xml:space="preserve">Двутавровые балки</t>
  </si>
  <si>
    <t xml:space="preserve">Двутавровая деревянная балка, 400*65мм</t>
  </si>
  <si>
    <t xml:space="preserve">Двутавровая деревянная балка, 400*90мм</t>
  </si>
  <si>
    <t xml:space="preserve">Двутавровая деревянная балка, 350*90мм</t>
  </si>
  <si>
    <t xml:space="preserve">Двутавровая деревянная балка, 300*65мм</t>
  </si>
  <si>
    <t xml:space="preserve">Двутавровая деревянная балка, 300*90мм</t>
  </si>
  <si>
    <t xml:space="preserve">Двутавровая деревянная балка, 240*65мм</t>
  </si>
  <si>
    <t xml:space="preserve">Двутавровая деревянная балка, 240*90мм</t>
  </si>
  <si>
    <t xml:space="preserve">Двутавровая деревянная балка, 200*65мм</t>
  </si>
  <si>
    <t xml:space="preserve">Двутавровая деревянная балка, 200*90мм</t>
  </si>
  <si>
    <t xml:space="preserve">Двутавровая деревянная балка, 150*65мм</t>
  </si>
  <si>
    <t xml:space="preserve">Двутавровая деревянная балка, 150*90мм</t>
  </si>
  <si>
    <t xml:space="preserve">Доска сосна/брусок, естественной влажности</t>
  </si>
  <si>
    <t xml:space="preserve">Высота</t>
  </si>
  <si>
    <t xml:space="preserve">Толщина</t>
  </si>
  <si>
    <t xml:space="preserve">Цена 1м.п.</t>
  </si>
  <si>
    <t xml:space="preserve">Сосна влаж, 200*50мм</t>
  </si>
  <si>
    <t xml:space="preserve">Сосна влаж,180*50мм</t>
  </si>
  <si>
    <t xml:space="preserve">Сосна влаж,150*50мм</t>
  </si>
  <si>
    <t xml:space="preserve">Сосна влаж,100*50мм</t>
  </si>
  <si>
    <t xml:space="preserve">Сосна влаж,200*40мм</t>
  </si>
  <si>
    <t xml:space="preserve">Сосна влаж,100*40мм</t>
  </si>
  <si>
    <t xml:space="preserve">Сосна влаж,200*25мм</t>
  </si>
  <si>
    <t xml:space="preserve">Сосна влаж,180*25мм</t>
  </si>
  <si>
    <t xml:space="preserve">Сосна влаж, 150*25мм</t>
  </si>
  <si>
    <t xml:space="preserve">Доска сосна/брусок, калиброванная, сухая</t>
  </si>
  <si>
    <t xml:space="preserve">Ширина</t>
  </si>
  <si>
    <t xml:space="preserve">Доска сухая, калибр., 190*45мм</t>
  </si>
  <si>
    <t xml:space="preserve">Доска сухая калибр., 140*45мм</t>
  </si>
  <si>
    <t xml:space="preserve">Доска сухая калибр., 110*45мм</t>
  </si>
  <si>
    <t xml:space="preserve">Доска сосна/брусок, сухая</t>
  </si>
  <si>
    <t xml:space="preserve">Доска сухая 200*50мм</t>
  </si>
  <si>
    <t xml:space="preserve">Доска сухая 180*50мм</t>
  </si>
  <si>
    <t xml:space="preserve">Доска сухая 150*50мм</t>
  </si>
  <si>
    <t xml:space="preserve">Доска сухая 100*50мм</t>
  </si>
  <si>
    <t xml:space="preserve">Доска сухая 200*40мм</t>
  </si>
  <si>
    <t xml:space="preserve">Доска сухая 180*40мм</t>
  </si>
  <si>
    <t xml:space="preserve">Доска сухая 150*40мм</t>
  </si>
  <si>
    <t xml:space="preserve">Доска сухая 100*40мм</t>
  </si>
  <si>
    <t xml:space="preserve">Доска сухая 200*25мм</t>
  </si>
  <si>
    <t xml:space="preserve">Доска сухая 180*25мм</t>
  </si>
  <si>
    <t xml:space="preserve">Доска сухая 150*25мм</t>
  </si>
  <si>
    <t xml:space="preserve">Доска сухая 100*25мм</t>
  </si>
  <si>
    <t xml:space="preserve">Доска сухая 50*50мм</t>
  </si>
  <si>
    <t xml:space="preserve">Брус: клееный, профилированный, простой</t>
  </si>
  <si>
    <t xml:space="preserve">Листв. влаж, 200*180мм</t>
  </si>
  <si>
    <t xml:space="preserve">Листв. влаж, 200*100мм</t>
  </si>
  <si>
    <t xml:space="preserve">Листв. влаж, 180*180мм</t>
  </si>
  <si>
    <t xml:space="preserve">Листв. влаж, 180*150мм</t>
  </si>
  <si>
    <t xml:space="preserve">Листв. влаж, 180*100мм</t>
  </si>
  <si>
    <t xml:space="preserve">Листв. влаж, 100*100мм</t>
  </si>
  <si>
    <t xml:space="preserve">Сосна влаж, 200*200мм</t>
  </si>
  <si>
    <t xml:space="preserve">Сосна влаж, 200*180мм</t>
  </si>
  <si>
    <t xml:space="preserve">Сосна влаж, 180*180мм</t>
  </si>
  <si>
    <t xml:space="preserve">Сосна влаж, 180*150мм</t>
  </si>
  <si>
    <t xml:space="preserve">Сосна влаж, 180*100мм</t>
  </si>
  <si>
    <t xml:space="preserve">Сосна влаж, 150*150мм</t>
  </si>
  <si>
    <t xml:space="preserve">Сосна влаж, 100*100мм</t>
  </si>
  <si>
    <t xml:space="preserve">Брус клееный профилированный Шир. 240 выс. 270</t>
  </si>
  <si>
    <t xml:space="preserve">Брус клееный профилированный Шир. 200 выс. 270</t>
  </si>
  <si>
    <t xml:space="preserve">Брус клееный профилированный Шир. 160 выс. 270</t>
  </si>
  <si>
    <t xml:space="preserve">Брус клееный профилированный Шир. 120 выс. 270</t>
  </si>
  <si>
    <t xml:space="preserve">Брус клееный профилированный Шир. 240 выс. 230</t>
  </si>
  <si>
    <t xml:space="preserve">Брус клееный профилированный Шир. 200 выс. 230</t>
  </si>
  <si>
    <t xml:space="preserve">Брус клееный профилированный Шир. 160 выс. 230</t>
  </si>
  <si>
    <t xml:space="preserve">Брус клееный профилированный Шир. 120 выс. 230</t>
  </si>
  <si>
    <t xml:space="preserve">Брус клееный профилированный Шир. 240 выс. 185</t>
  </si>
  <si>
    <t xml:space="preserve">Брус клееный профилированный Шир. 200 выс. 185</t>
  </si>
  <si>
    <t xml:space="preserve">Брус клееный профилированный Шир. 160 выс. 185</t>
  </si>
  <si>
    <t xml:space="preserve">Брус клееный профилированный Шир. 120 выс. 185</t>
  </si>
  <si>
    <t xml:space="preserve">Брус клееный профилированный Шир. 240 выс. 180</t>
  </si>
  <si>
    <t xml:space="preserve">Брус клееный профилированный Шир. 200 выс. 180</t>
  </si>
  <si>
    <t xml:space="preserve">Брус клееный профилированный Шир. 160 выс. 180</t>
  </si>
  <si>
    <t xml:space="preserve">Брус клееный профилированный Шир. 120 выс. 180</t>
  </si>
  <si>
    <t xml:space="preserve">Брус клееный профилированный Шир. 240 выс. 160</t>
  </si>
  <si>
    <t xml:space="preserve">Брус клееный профилированный Шир. 200 выс. 160</t>
  </si>
  <si>
    <t xml:space="preserve">Брус клееный профилированный Шир. 160 выс. 160</t>
  </si>
  <si>
    <t xml:space="preserve">Брус клееный профилированный Шир. 120 выс. 160</t>
  </si>
  <si>
    <t xml:space="preserve">Брус клееный профилированный Шир. 240 выс. 145</t>
  </si>
  <si>
    <t xml:space="preserve">Брус клееный профилированный Шир. 200 выс. 145</t>
  </si>
  <si>
    <t xml:space="preserve">Брус клееный профилированный Шир. 160 выс. 145</t>
  </si>
  <si>
    <t xml:space="preserve">Брус клееный профилированный Шир. 120 выс. 145</t>
  </si>
  <si>
    <t xml:space="preserve">Брус клееный проф 1 ламель кедр Шир. 200 выс. 140</t>
  </si>
  <si>
    <t xml:space="preserve">Брус клееный проф 1 ламель кедр Шир. 160 выс. 140</t>
  </si>
  <si>
    <t xml:space="preserve">Брус клееный проф 1 ламель кедр Шир. 120 выс. 140</t>
  </si>
  <si>
    <t xml:space="preserve">Брус клееный проф 2 ламель кедр Шир. 200 выс. 140</t>
  </si>
  <si>
    <t xml:space="preserve">Брус клееный проф 2 ламель кедр Шир. 160 выс. 140</t>
  </si>
  <si>
    <t xml:space="preserve">Брус клееный проф 2 ламель кедр Шир. 120 выс. 140</t>
  </si>
  <si>
    <t xml:space="preserve">Брус клееный проф. лиственница Шир. 240 выс. 140</t>
  </si>
  <si>
    <t xml:space="preserve">Брус клееный проф. лиственница Шир. 200 выс. 140</t>
  </si>
  <si>
    <t xml:space="preserve">Брус клееный проф. лиственница Шир. 160 выс. 140</t>
  </si>
  <si>
    <t xml:space="preserve">Брус клееный проф. лиственница Шир. 120 выс. 140</t>
  </si>
  <si>
    <t xml:space="preserve">Проф.брус сух. 80*100мм</t>
  </si>
  <si>
    <t xml:space="preserve">Проф.брус сух. 80*150мм</t>
  </si>
  <si>
    <t xml:space="preserve">Проф.брус сух. 100*100мм</t>
  </si>
  <si>
    <t xml:space="preserve">Проф.брус сух. 100*150мм</t>
  </si>
  <si>
    <t xml:space="preserve">Проф.брус сух. 140*120мм</t>
  </si>
  <si>
    <t xml:space="preserve">Проф.брус сух. 140*140мм</t>
  </si>
  <si>
    <t xml:space="preserve">Проф.брус сух. 140*190мм</t>
  </si>
  <si>
    <t xml:space="preserve">Проф.брус сух. 150*100мм</t>
  </si>
  <si>
    <t xml:space="preserve">Проф.брус сух. 150*150мм</t>
  </si>
  <si>
    <t xml:space="preserve">Проф.брус сух. 150*180мм</t>
  </si>
  <si>
    <t xml:space="preserve">Проф.брус сух. 200*100мм</t>
  </si>
  <si>
    <t xml:space="preserve">Проф.брус сух. 200*150мм</t>
  </si>
  <si>
    <t xml:space="preserve">Проф.брус сух. 200*180мм</t>
  </si>
  <si>
    <t xml:space="preserve">Проф.брус вл. 80*100мм</t>
  </si>
  <si>
    <t xml:space="preserve">Проф.брус вл. 80*150мм</t>
  </si>
  <si>
    <t xml:space="preserve">Проф.брус вл. 100*100мм</t>
  </si>
  <si>
    <t xml:space="preserve">Проф.брус вл. 100*150мм</t>
  </si>
  <si>
    <t xml:space="preserve">Проф.брус вл. 140*140мм</t>
  </si>
  <si>
    <t xml:space="preserve">Проф.брус вл. 140*190мм</t>
  </si>
  <si>
    <t xml:space="preserve">Проф.брус вл. 140*230мм</t>
  </si>
  <si>
    <t xml:space="preserve">Проф.брус вл. 140*250мм</t>
  </si>
  <si>
    <t xml:space="preserve">Проф.брус вл. 150*100мм</t>
  </si>
  <si>
    <t xml:space="preserve">Проф.брус вл. 150*150мм</t>
  </si>
  <si>
    <t xml:space="preserve">Проф.брус вл. 150*180мм</t>
  </si>
  <si>
    <t xml:space="preserve">Проф.брус вл. 190*190мм</t>
  </si>
  <si>
    <t xml:space="preserve">Проф.брус вл. 190*230мм</t>
  </si>
  <si>
    <t xml:space="preserve">Проф.брус вл. 190*250мм</t>
  </si>
  <si>
    <t xml:space="preserve">Проф.брус вл. 200*100мм</t>
  </si>
  <si>
    <t xml:space="preserve">Клееная накладка на перила шир 200мм</t>
  </si>
  <si>
    <t xml:space="preserve">Клееная накладка на перила шир 160мм</t>
  </si>
  <si>
    <t xml:space="preserve">Клееная накладка на перила шир 120мм</t>
  </si>
  <si>
    <t xml:space="preserve">Лента уплотнения</t>
  </si>
  <si>
    <t xml:space="preserve">рул.</t>
  </si>
  <si>
    <t xml:space="preserve">Глухарь 12*300</t>
  </si>
  <si>
    <t xml:space="preserve">Лен-джут 100х5х20000 мм</t>
  </si>
  <si>
    <t xml:space="preserve">Лен-джут 150х5х20000 мм</t>
  </si>
  <si>
    <t xml:space="preserve">Лен-джут 80х5х20000 мм</t>
  </si>
  <si>
    <t xml:space="preserve">Лен-джут 160х5х20000 мм</t>
  </si>
  <si>
    <t xml:space="preserve">Бензин для пилы</t>
  </si>
  <si>
    <t xml:space="preserve">Масло для пилы</t>
  </si>
  <si>
    <t xml:space="preserve">Цепь для пилы</t>
  </si>
  <si>
    <t xml:space="preserve">Оцилиндрованное бревно/Дикое бревно</t>
  </si>
  <si>
    <t xml:space="preserve">Диаметр</t>
  </si>
  <si>
    <t xml:space="preserve">Оцилиндрованное бревно сосна 200мм</t>
  </si>
  <si>
    <t xml:space="preserve">Оцилиндрованное бревно сосна 240мм</t>
  </si>
  <si>
    <t xml:space="preserve">Оцилиндрованное бревно сосна 280мм</t>
  </si>
  <si>
    <t xml:space="preserve">Оцилиндрованное бревно сосна 300мм</t>
  </si>
  <si>
    <t xml:space="preserve">Оцилиндрованное бревно сосна 320мм</t>
  </si>
  <si>
    <t xml:space="preserve">Оцилиндрованное бревно сосна 340мм</t>
  </si>
  <si>
    <t xml:space="preserve">Оцилиндрованное бревно сосна 360мм</t>
  </si>
  <si>
    <t xml:space="preserve">Оцилиндрованное бревно сосна 380мм</t>
  </si>
  <si>
    <t xml:space="preserve">Оцилиндрованное бревно сосна 400мм</t>
  </si>
  <si>
    <t xml:space="preserve">Оцилиндрованное бревно сосна 420мм</t>
  </si>
  <si>
    <t xml:space="preserve">Оцилиндрованное бревно сосна 440мм</t>
  </si>
  <si>
    <t xml:space="preserve">Оцилиндрованное бревно сосна 460мм</t>
  </si>
  <si>
    <t xml:space="preserve">Оцилиндрованное бревно сосна 480мм</t>
  </si>
  <si>
    <t xml:space="preserve">Оцилиндрованное бревно сосна 500мм</t>
  </si>
  <si>
    <t xml:space="preserve">Оцилиндрованное бревно кедр 200мм</t>
  </si>
  <si>
    <t xml:space="preserve">Оцилиндрованное бревно кедр 220мм</t>
  </si>
  <si>
    <t xml:space="preserve">Оцилиндрованное бревно кедр 240мм</t>
  </si>
  <si>
    <t xml:space="preserve">Оцилиндрованное бревно кедр 260мм</t>
  </si>
  <si>
    <t xml:space="preserve">Оцилиндрованное бревно кедр 280мм</t>
  </si>
  <si>
    <t xml:space="preserve">Оцилиндрованное бревно кедр 300мм</t>
  </si>
  <si>
    <t xml:space="preserve">Оцилиндрованное бревно кедр 320мм</t>
  </si>
  <si>
    <t xml:space="preserve">Оцилиндрованное бревно кедр 340мм</t>
  </si>
  <si>
    <t xml:space="preserve">Оцилиндрованное бревно кедр 360мм</t>
  </si>
  <si>
    <t xml:space="preserve">Оцилиндрованное бревно кедр 380мм</t>
  </si>
  <si>
    <t xml:space="preserve">Оцилиндрованное бревно кедр 400мм</t>
  </si>
  <si>
    <t xml:space="preserve">Оцилиндрованное бревно кедр 420мм</t>
  </si>
  <si>
    <t xml:space="preserve">Оцилиндрованное бревно кедр 440мм</t>
  </si>
  <si>
    <t xml:space="preserve">Оцилиндрованное бревно кедр 460мм</t>
  </si>
  <si>
    <t xml:space="preserve">Оцилиндрованное бревно кедр 480мм</t>
  </si>
  <si>
    <t xml:space="preserve">Оцилиндрованное бревно кедр 500мм</t>
  </si>
  <si>
    <t xml:space="preserve">Оцилиндрованное бревно лиственница 300мм</t>
  </si>
  <si>
    <t xml:space="preserve">Оцилиндрованное бревно лиственница 320мм</t>
  </si>
  <si>
    <t xml:space="preserve">Оцилиндрованное бревно лиственница 340мм</t>
  </si>
  <si>
    <t xml:space="preserve">Оцилиндрованное бревно лиственница 360мм</t>
  </si>
  <si>
    <t xml:space="preserve">Оцилиндрованное бревно лиственница 380мм</t>
  </si>
  <si>
    <t xml:space="preserve">Оцилиндрованное бревно лиственница 400мм</t>
  </si>
  <si>
    <t xml:space="preserve">Оцилиндрованное бревно лиственница 420мм</t>
  </si>
  <si>
    <t xml:space="preserve">Оцилиндрованное бревно лиственница 440мм</t>
  </si>
  <si>
    <t xml:space="preserve">Оцилиндрованное бревно лиственница 460мм</t>
  </si>
  <si>
    <t xml:space="preserve">Оцилиндрованное бревно лиственница 480мм</t>
  </si>
  <si>
    <t xml:space="preserve">Оцилиндрованное бревно лиственница 500мм</t>
  </si>
  <si>
    <t xml:space="preserve">Дикое бревно сосна 200мм</t>
  </si>
  <si>
    <t xml:space="preserve">Дикое бревно сосна 220мм</t>
  </si>
  <si>
    <t xml:space="preserve">Дикое бревно сосна 240мм</t>
  </si>
  <si>
    <t xml:space="preserve">Дикое бревно сосна 260мм</t>
  </si>
  <si>
    <t xml:space="preserve">Дикое бревно сосна 280мм</t>
  </si>
  <si>
    <t xml:space="preserve">Дикое бревно сосна 300мм</t>
  </si>
  <si>
    <t xml:space="preserve">Дикое бревно сосна 320мм</t>
  </si>
  <si>
    <t xml:space="preserve">Дикое бревно сосна 340мм</t>
  </si>
  <si>
    <t xml:space="preserve">Дикое бревно сосна 360мм</t>
  </si>
  <si>
    <t xml:space="preserve">Дикое бревно сосна 380мм</t>
  </si>
  <si>
    <t xml:space="preserve">Дикое бревно сосна 400мм</t>
  </si>
  <si>
    <t xml:space="preserve">Дикое бревно сосна 420мм</t>
  </si>
  <si>
    <t xml:space="preserve">Дикое бревно сосна 440мм</t>
  </si>
  <si>
    <t xml:space="preserve">Дикое бревно сосна 460мм</t>
  </si>
  <si>
    <t xml:space="preserve">Дикое бревно сосна 480мм</t>
  </si>
  <si>
    <t xml:space="preserve">Дикое бревно сосна 500мм</t>
  </si>
  <si>
    <t xml:space="preserve">Дикое бревно кедр 200мм</t>
  </si>
  <si>
    <t xml:space="preserve">Дикое бревно кедр 220мм</t>
  </si>
  <si>
    <t xml:space="preserve">Дикое бревно кедр 240мм</t>
  </si>
  <si>
    <t xml:space="preserve">Дикое бревно кедр 260мм</t>
  </si>
  <si>
    <t xml:space="preserve">Дикое бревно кедр 280мм</t>
  </si>
  <si>
    <t xml:space="preserve">Дикое бревно кедр 300мм</t>
  </si>
  <si>
    <t xml:space="preserve">Дикое бревно кедр 320мм</t>
  </si>
  <si>
    <t xml:space="preserve">Дикое бревно кедр 340мм</t>
  </si>
  <si>
    <t xml:space="preserve">Дикое бревно кедр 360мм</t>
  </si>
  <si>
    <t xml:space="preserve">Дикое бревно кедр 380мм</t>
  </si>
  <si>
    <t xml:space="preserve">Дикое бревно кедр 400мм</t>
  </si>
  <si>
    <t xml:space="preserve">Дикое бревно кедр 420мм</t>
  </si>
  <si>
    <t xml:space="preserve">Дикое бревно кедр 440мм</t>
  </si>
  <si>
    <t xml:space="preserve">Дикое бревно кедр 460мм</t>
  </si>
  <si>
    <t xml:space="preserve">Дикое бревно кедр 480мм</t>
  </si>
  <si>
    <t xml:space="preserve">Дикое бревно кедр 500мм</t>
  </si>
  <si>
    <t xml:space="preserve">Дикое бревно лиственница 280мм</t>
  </si>
  <si>
    <t xml:space="preserve">Дикое бревно лиственница 300мм</t>
  </si>
  <si>
    <t xml:space="preserve">Дикое бревно лиственница 320мм</t>
  </si>
  <si>
    <t xml:space="preserve">Дикое бревно лиственница 340мм</t>
  </si>
  <si>
    <t xml:space="preserve">Дикое бревно лиственница 360мм</t>
  </si>
  <si>
    <t xml:space="preserve">Дикое бревно лиственница 380мм</t>
  </si>
  <si>
    <t xml:space="preserve">Дикое бревно лиственница 400мм</t>
  </si>
  <si>
    <t xml:space="preserve">Дикое бревно лиственница 420мм</t>
  </si>
  <si>
    <t xml:space="preserve">Дикое бревно лиственница 440мм</t>
  </si>
  <si>
    <t xml:space="preserve">Дикое бревно лиственница 460мм</t>
  </si>
  <si>
    <t xml:space="preserve">Дикое бревно лиственница 480мм</t>
  </si>
  <si>
    <t xml:space="preserve">Дикое бревно лиственница 500мм</t>
  </si>
  <si>
    <t xml:space="preserve">Глухарь для сборки сруба</t>
  </si>
  <si>
    <t xml:space="preserve">Гидрокомпенсатор</t>
  </si>
  <si>
    <t xml:space="preserve">Пружинный узел</t>
  </si>
  <si>
    <t xml:space="preserve">Изделия из дерева/погонаж</t>
  </si>
  <si>
    <t xml:space="preserve">Планкен, 100*20мм, А</t>
  </si>
  <si>
    <t xml:space="preserve">Планкен, 140*20мм, А</t>
  </si>
  <si>
    <t xml:space="preserve">Планкен, 100*20мм, В</t>
  </si>
  <si>
    <t xml:space="preserve">Планкен, 140*20мм, В</t>
  </si>
  <si>
    <t xml:space="preserve">Планкен, 100*20мм, С</t>
  </si>
  <si>
    <t xml:space="preserve">Планкен, 140*20мм, С</t>
  </si>
  <si>
    <t xml:space="preserve">Блок-хаус, 110*20мм, А</t>
  </si>
  <si>
    <t xml:space="preserve">Блок-хаус, 110*20мм, В</t>
  </si>
  <si>
    <t xml:space="preserve">Блок-хаус, 110*20мм, С</t>
  </si>
  <si>
    <t xml:space="preserve">Блок-хаус, 140*28мм, А</t>
  </si>
  <si>
    <t xml:space="preserve">Блок-хаус, 140*28мм, В</t>
  </si>
  <si>
    <t xml:space="preserve">Блок-хаус, 140*28мм, С</t>
  </si>
  <si>
    <t xml:space="preserve">Имитация бруса, 140*14мм, А</t>
  </si>
  <si>
    <t xml:space="preserve">Имитация бруса, 140*20мм, А</t>
  </si>
  <si>
    <t xml:space="preserve">Имитация бруса, 140*14мм, В</t>
  </si>
  <si>
    <t xml:space="preserve">Имитация бруса, 140*20мм, В</t>
  </si>
  <si>
    <t xml:space="preserve">Имитация бруса, 140*14мм, С</t>
  </si>
  <si>
    <t xml:space="preserve">Имитация бруса, 140*20мм, С</t>
  </si>
  <si>
    <t xml:space="preserve">Евровагонка, 95*12мм, А</t>
  </si>
  <si>
    <t xml:space="preserve">Евровагонка, 95*14мм, А</t>
  </si>
  <si>
    <t xml:space="preserve">Евровагонка, 95*12мм, В</t>
  </si>
  <si>
    <t xml:space="preserve">Евровагонка, 95*14мм, В</t>
  </si>
  <si>
    <t xml:space="preserve">Евровагонка, 95*12мм, С</t>
  </si>
  <si>
    <t xml:space="preserve">Евровагонка, 95*14мм, С</t>
  </si>
  <si>
    <t xml:space="preserve">Штиль, 140*14мм, А</t>
  </si>
  <si>
    <t xml:space="preserve">Штиль, 140*14мм, В</t>
  </si>
  <si>
    <t xml:space="preserve">Штиль, 140*14мм, С</t>
  </si>
  <si>
    <t xml:space="preserve">Софт лайн, 140*14мм, А</t>
  </si>
  <si>
    <t xml:space="preserve">Софт лайн, 140*14мм, В</t>
  </si>
  <si>
    <t xml:space="preserve">Софт лайн, 140*14мм, С</t>
  </si>
  <si>
    <t xml:space="preserve">Плинтус, 20*65, А</t>
  </si>
  <si>
    <t xml:space="preserve">Плинтус, 20*65, В</t>
  </si>
  <si>
    <t xml:space="preserve">Наличник, 16*80</t>
  </si>
  <si>
    <t xml:space="preserve">Наличник, 16*90</t>
  </si>
  <si>
    <t xml:space="preserve">Наличник, 16*100</t>
  </si>
  <si>
    <t xml:space="preserve">Наличник, 20*80</t>
  </si>
  <si>
    <t xml:space="preserve">Наличник, 20*90</t>
  </si>
  <si>
    <t xml:space="preserve">Наличник, 20*100</t>
  </si>
  <si>
    <t xml:space="preserve">Огнебиозащита</t>
  </si>
  <si>
    <t xml:space="preserve">Цена 1 л</t>
  </si>
  <si>
    <t xml:space="preserve">Нет огнебиозащиты</t>
  </si>
  <si>
    <t xml:space="preserve">литр</t>
  </si>
  <si>
    <t xml:space="preserve">"Профилюкс" Антисептик АНТИПЛЕСЕНЬ</t>
  </si>
  <si>
    <t xml:space="preserve">"Антифлекс" Антисептик АНТИПЛЕСЕНЬ</t>
  </si>
  <si>
    <t xml:space="preserve">"KLEO" Антиплесень</t>
  </si>
  <si>
    <t xml:space="preserve">"White House" Огнебиозащита</t>
  </si>
  <si>
    <t xml:space="preserve">"Профилюкс" Антисептик ОБЗ-2</t>
  </si>
  <si>
    <t xml:space="preserve">"Сенеж" Антисептик ПРОФИ </t>
  </si>
  <si>
    <t xml:space="preserve">"Радугамалер"</t>
  </si>
  <si>
    <t xml:space="preserve">Утеплитель</t>
  </si>
  <si>
    <t xml:space="preserve">Плотность</t>
  </si>
  <si>
    <r>
      <rPr>
        <sz val="12"/>
        <color rgb="FF000000"/>
        <rFont val="Calibri"/>
        <family val="2"/>
        <charset val="204"/>
      </rPr>
      <t xml:space="preserve">16 — 18кг/м</t>
    </r>
    <r>
      <rPr>
        <vertAlign val="superscript"/>
        <sz val="12"/>
        <color rgb="FF000000"/>
        <rFont val="Calibri"/>
        <family val="2"/>
        <charset val="204"/>
      </rPr>
      <t xml:space="preserve">3</t>
    </r>
  </si>
  <si>
    <t xml:space="preserve">Плитный,28кг/м3, технониколь, 250мм</t>
  </si>
  <si>
    <t xml:space="preserve">Плитный,28кг/м3, технониколь, 300мм</t>
  </si>
  <si>
    <t xml:space="preserve">Плитный,30кг/м3, роквулл 50мм</t>
  </si>
  <si>
    <r>
      <rPr>
        <sz val="12"/>
        <color rgb="FF000000"/>
        <rFont val="Calibri"/>
        <family val="2"/>
        <charset val="204"/>
      </rPr>
      <t xml:space="preserve">28 — 30кг/м</t>
    </r>
    <r>
      <rPr>
        <vertAlign val="superscript"/>
        <sz val="12"/>
        <color rgb="FF000000"/>
        <rFont val="Calibri"/>
        <family val="2"/>
        <charset val="204"/>
      </rPr>
      <t xml:space="preserve">3</t>
    </r>
  </si>
  <si>
    <t xml:space="preserve">Плитный,30кг/м3, роквулл 100мм</t>
  </si>
  <si>
    <t xml:space="preserve">Плитный,30кг/м3, роквулл 150мм</t>
  </si>
  <si>
    <t xml:space="preserve">Плитный,30кг/м3, роквулл 200мм</t>
  </si>
  <si>
    <t xml:space="preserve">Плитный,30кг/м3, роквулл 250мм</t>
  </si>
  <si>
    <t xml:space="preserve">Плитный,30кг/м3, роквулл 300мм</t>
  </si>
  <si>
    <t xml:space="preserve">Пенопласт ПСБ-С-15, 50мм</t>
  </si>
  <si>
    <r>
      <rPr>
        <sz val="12"/>
        <color rgb="FF000000"/>
        <rFont val="Calibri"/>
        <family val="2"/>
        <charset val="204"/>
      </rPr>
      <t xml:space="preserve">10 — 12кг/м</t>
    </r>
    <r>
      <rPr>
        <vertAlign val="superscript"/>
        <sz val="12"/>
        <color rgb="FF000000"/>
        <rFont val="Calibri"/>
        <family val="2"/>
        <charset val="204"/>
      </rPr>
      <t xml:space="preserve">3</t>
    </r>
  </si>
  <si>
    <t xml:space="preserve">Пенопласт ПСБ-С-15, 100мм</t>
  </si>
  <si>
    <t xml:space="preserve">Пенопласт ПСБ-С-15, 150мм</t>
  </si>
  <si>
    <t xml:space="preserve">Пенопласт ПСБ-С-15, 200мм</t>
  </si>
  <si>
    <t xml:space="preserve">Пенопласт ПСБ-С-15, 250мм</t>
  </si>
  <si>
    <t xml:space="preserve">Пенопласт ПСБ-С-15, 300мм</t>
  </si>
  <si>
    <t xml:space="preserve">Пенопласт ПСБ-С-25, 50мм</t>
  </si>
  <si>
    <t xml:space="preserve">Пенопласт ПСБ-С-25, 100мм</t>
  </si>
  <si>
    <t xml:space="preserve">Пенопласт ПСБ-С-25, 150мм</t>
  </si>
  <si>
    <t xml:space="preserve">Пенопласт ПСБ-С-25, 200мм</t>
  </si>
  <si>
    <t xml:space="preserve">Пенопласт ПСБ-С-25, 250мм</t>
  </si>
  <si>
    <t xml:space="preserve">Пенопласт ПСБ-С-25, 300мм</t>
  </si>
  <si>
    <t xml:space="preserve">Пенопласт ПСБ-С-35, 50мм</t>
  </si>
  <si>
    <t xml:space="preserve">Пенопласт ПСБ-С-35, 150мм</t>
  </si>
  <si>
    <t xml:space="preserve">Пенопласт ПСБ-С-35, 200мм</t>
  </si>
  <si>
    <t xml:space="preserve">Пенопласт ПСБ-С-35, 250мм</t>
  </si>
  <si>
    <t xml:space="preserve">Пенопласт ПСБ-С-35, 300мм</t>
  </si>
  <si>
    <t xml:space="preserve">Пенополистирол,35кг/м3, 50мм</t>
  </si>
  <si>
    <t xml:space="preserve">Пенополистирол,35кг/м3, 100мм</t>
  </si>
  <si>
    <t xml:space="preserve">Пенополистирол,35кг/м3, 150мм</t>
  </si>
  <si>
    <t xml:space="preserve">Пенополистирол,35кг/м3, 200мм</t>
  </si>
  <si>
    <t xml:space="preserve">Пенополистирол,25кг/м3, 50мм</t>
  </si>
  <si>
    <t xml:space="preserve">Пенополистирол,25кг/м3, 100мм</t>
  </si>
  <si>
    <t xml:space="preserve">Пенополистирол,25кг/м3, 150мм</t>
  </si>
  <si>
    <t xml:space="preserve">Пенополистирол,25кг/м3, 200мм</t>
  </si>
  <si>
    <t xml:space="preserve">Грибок для крепления утеплителя</t>
  </si>
  <si>
    <t xml:space="preserve">Изоляционные материалы</t>
  </si>
  <si>
    <t xml:space="preserve">Рулон</t>
  </si>
  <si>
    <t xml:space="preserve">Гидроизол</t>
  </si>
  <si>
    <t xml:space="preserve">Мастика для дерева</t>
  </si>
  <si>
    <t xml:space="preserve">Рубероид</t>
  </si>
  <si>
    <t xml:space="preserve">Геотекстиль</t>
  </si>
  <si>
    <t xml:space="preserve">Пленка полиэтиленовая</t>
  </si>
  <si>
    <r>
      <rPr>
        <sz val="12"/>
        <color rgb="FF000000"/>
        <rFont val="Calibri"/>
        <family val="2"/>
        <charset val="204"/>
      </rPr>
      <t xml:space="preserve">Пленка  </t>
    </r>
    <r>
      <rPr>
        <b val="true"/>
        <sz val="12"/>
        <rFont val="Calibri"/>
        <family val="2"/>
        <charset val="204"/>
      </rPr>
      <t xml:space="preserve">Д96 Сильвер</t>
    </r>
  </si>
  <si>
    <t xml:space="preserve">Менять стоимость рулона</t>
  </si>
  <si>
    <t xml:space="preserve">1,5*50-75м.кв.</t>
  </si>
  <si>
    <r>
      <rPr>
        <sz val="12"/>
        <color rgb="FF000000"/>
        <rFont val="Calibri"/>
        <family val="2"/>
        <charset val="204"/>
      </rPr>
      <t xml:space="preserve">Пленка </t>
    </r>
    <r>
      <rPr>
        <b val="true"/>
        <sz val="12"/>
        <rFont val="Calibri"/>
        <family val="2"/>
        <charset val="204"/>
      </rPr>
      <t xml:space="preserve">Д110 Стандарт</t>
    </r>
  </si>
  <si>
    <r>
      <rPr>
        <sz val="12"/>
        <color rgb="FF000000"/>
        <rFont val="Calibri"/>
        <family val="2"/>
        <charset val="204"/>
      </rPr>
      <t xml:space="preserve">Мембрана </t>
    </r>
    <r>
      <rPr>
        <b val="true"/>
        <sz val="12"/>
        <rFont val="Calibri"/>
        <family val="2"/>
        <charset val="204"/>
      </rPr>
      <t xml:space="preserve">MD90</t>
    </r>
  </si>
  <si>
    <r>
      <rPr>
        <sz val="12"/>
        <color rgb="FF000000"/>
        <rFont val="Calibri"/>
        <family val="2"/>
        <charset val="204"/>
      </rPr>
      <t xml:space="preserve">Мембраны </t>
    </r>
    <r>
      <rPr>
        <b val="true"/>
        <sz val="12"/>
        <rFont val="Calibri"/>
        <family val="2"/>
        <charset val="204"/>
      </rPr>
      <t xml:space="preserve">Tyvek Soft</t>
    </r>
  </si>
  <si>
    <r>
      <rPr>
        <sz val="12"/>
        <color rgb="FF000000"/>
        <rFont val="Calibri"/>
        <family val="2"/>
        <charset val="204"/>
      </rPr>
      <t xml:space="preserve">Мембраны  </t>
    </r>
    <r>
      <rPr>
        <b val="true"/>
        <sz val="12"/>
        <rFont val="Calibri"/>
        <family val="2"/>
        <charset val="204"/>
      </rPr>
      <t xml:space="preserve">Tyvek Housewrap</t>
    </r>
  </si>
  <si>
    <r>
      <rPr>
        <sz val="12"/>
        <color rgb="FF000000"/>
        <rFont val="Calibri"/>
        <family val="2"/>
        <charset val="204"/>
      </rPr>
      <t xml:space="preserve">Мембраны </t>
    </r>
    <r>
      <rPr>
        <b val="true"/>
        <sz val="12"/>
        <rFont val="Calibri"/>
        <family val="2"/>
        <charset val="204"/>
      </rPr>
      <t xml:space="preserve">Tyvek Solid Silver</t>
    </r>
  </si>
  <si>
    <r>
      <rPr>
        <sz val="12"/>
        <color rgb="FF000000"/>
        <rFont val="Calibri"/>
        <family val="2"/>
        <charset val="204"/>
      </rPr>
      <t xml:space="preserve">Мембраны </t>
    </r>
    <r>
      <rPr>
        <b val="true"/>
        <sz val="12"/>
        <rFont val="Calibri"/>
        <family val="2"/>
        <charset val="204"/>
      </rPr>
      <t xml:space="preserve">Tyvek Solid</t>
    </r>
  </si>
  <si>
    <r>
      <rPr>
        <sz val="12"/>
        <color rgb="FF000000"/>
        <rFont val="Calibri"/>
        <family val="2"/>
        <charset val="204"/>
      </rPr>
      <t xml:space="preserve">Мембраны </t>
    </r>
    <r>
      <rPr>
        <b val="true"/>
        <sz val="12"/>
        <rFont val="Calibri"/>
        <family val="2"/>
        <charset val="204"/>
      </rPr>
      <t xml:space="preserve">Tyvek Supro+Tape</t>
    </r>
    <r>
      <rPr>
        <b val="true"/>
        <sz val="12"/>
        <color rgb="FFFF0000"/>
        <rFont val="Calibri"/>
        <family val="2"/>
        <charset val="204"/>
      </rPr>
      <t xml:space="preserve">/ с самокл.леной</t>
    </r>
  </si>
  <si>
    <r>
      <rPr>
        <sz val="12"/>
        <color rgb="FF000000"/>
        <rFont val="Calibri"/>
        <family val="2"/>
        <charset val="204"/>
      </rPr>
      <t xml:space="preserve">Мембраны </t>
    </r>
    <r>
      <rPr>
        <b val="true"/>
        <sz val="12"/>
        <rFont val="Calibri"/>
        <family val="2"/>
        <charset val="204"/>
      </rPr>
      <t xml:space="preserve">Delta-Vent N</t>
    </r>
  </si>
  <si>
    <r>
      <rPr>
        <sz val="12"/>
        <color rgb="FF000000"/>
        <rFont val="Calibri"/>
        <family val="2"/>
        <charset val="204"/>
      </rPr>
      <t xml:space="preserve">Мембраны </t>
    </r>
    <r>
      <rPr>
        <b val="true"/>
        <sz val="12"/>
        <rFont val="Calibri"/>
        <family val="2"/>
        <charset val="204"/>
      </rPr>
      <t xml:space="preserve">Delta-Vent N Plus</t>
    </r>
    <r>
      <rPr>
        <b val="true"/>
        <sz val="12"/>
        <color rgb="FFFF0000"/>
        <rFont val="Calibri"/>
        <family val="2"/>
        <charset val="204"/>
      </rPr>
      <t xml:space="preserve">/ с самокл.леной</t>
    </r>
  </si>
  <si>
    <r>
      <rPr>
        <sz val="12"/>
        <color rgb="FF000000"/>
        <rFont val="Calibri"/>
        <family val="2"/>
        <charset val="204"/>
      </rPr>
      <t xml:space="preserve">Мембраны </t>
    </r>
    <r>
      <rPr>
        <b val="true"/>
        <sz val="12"/>
        <rFont val="Calibri"/>
        <family val="2"/>
        <charset val="204"/>
      </rPr>
      <t xml:space="preserve">Delta-Maxx</t>
    </r>
  </si>
  <si>
    <r>
      <rPr>
        <sz val="12"/>
        <color rgb="FF000000"/>
        <rFont val="Calibri"/>
        <family val="2"/>
        <charset val="204"/>
      </rPr>
      <t xml:space="preserve">Мембраны </t>
    </r>
    <r>
      <rPr>
        <b val="true"/>
        <sz val="12"/>
        <rFont val="Calibri"/>
        <family val="2"/>
        <charset val="204"/>
      </rPr>
      <t xml:space="preserve">Delta-Maxx Plus</t>
    </r>
    <r>
      <rPr>
        <b val="true"/>
        <sz val="12"/>
        <color rgb="FFFF0000"/>
        <rFont val="Calibri"/>
        <family val="2"/>
        <charset val="204"/>
      </rPr>
      <t xml:space="preserve">/ с самокл.леной</t>
    </r>
  </si>
  <si>
    <r>
      <rPr>
        <sz val="12"/>
        <color rgb="FF000000"/>
        <rFont val="Calibri"/>
        <family val="2"/>
        <charset val="204"/>
      </rPr>
      <t xml:space="preserve">Паропроницаемая </t>
    </r>
    <r>
      <rPr>
        <b val="true"/>
        <sz val="12"/>
        <rFont val="Calibri"/>
        <family val="2"/>
        <charset val="204"/>
      </rPr>
      <t xml:space="preserve"> Opima A</t>
    </r>
  </si>
  <si>
    <t xml:space="preserve">70м.кв.</t>
  </si>
  <si>
    <r>
      <rPr>
        <sz val="12"/>
        <color rgb="FF000000"/>
        <rFont val="Calibri"/>
        <family val="2"/>
        <charset val="204"/>
      </rPr>
      <t xml:space="preserve">Универсальная </t>
    </r>
    <r>
      <rPr>
        <b val="true"/>
        <sz val="12"/>
        <rFont val="Calibri"/>
        <family val="2"/>
        <charset val="204"/>
      </rPr>
      <t xml:space="preserve">Optima C</t>
    </r>
  </si>
  <si>
    <r>
      <rPr>
        <sz val="12"/>
        <color rgb="FF000000"/>
        <rFont val="Calibri"/>
        <family val="2"/>
        <charset val="204"/>
      </rPr>
      <t xml:space="preserve">Универсальная  </t>
    </r>
    <r>
      <rPr>
        <b val="true"/>
        <sz val="12"/>
        <rFont val="Calibri"/>
        <family val="2"/>
        <charset val="204"/>
      </rPr>
      <t xml:space="preserve">Optima D</t>
    </r>
  </si>
  <si>
    <t xml:space="preserve">70 м.кв.</t>
  </si>
  <si>
    <r>
      <rPr>
        <sz val="12"/>
        <color rgb="FF000000"/>
        <rFont val="Calibri"/>
        <family val="2"/>
        <charset val="204"/>
      </rPr>
      <t xml:space="preserve">Пленка </t>
    </r>
    <r>
      <rPr>
        <b val="true"/>
        <sz val="12"/>
        <rFont val="Calibri"/>
        <family val="2"/>
        <charset val="204"/>
      </rPr>
      <t xml:space="preserve">Folder Minima D98</t>
    </r>
  </si>
  <si>
    <t xml:space="preserve">75м.кв.</t>
  </si>
  <si>
    <r>
      <rPr>
        <sz val="12"/>
        <color rgb="FF000000"/>
        <rFont val="Calibri"/>
        <family val="2"/>
        <charset val="204"/>
      </rPr>
      <t xml:space="preserve">Мембрана </t>
    </r>
    <r>
      <rPr>
        <b val="true"/>
        <sz val="12"/>
        <rFont val="Calibri"/>
        <family val="2"/>
        <charset val="204"/>
      </rPr>
      <t xml:space="preserve">Folder Classic</t>
    </r>
  </si>
  <si>
    <t xml:space="preserve">Теплоизолирующая плита 10 мм</t>
  </si>
  <si>
    <t xml:space="preserve">Теплоизолирующая плита 12 мм</t>
  </si>
  <si>
    <t xml:space="preserve">Теплоизолирующая плита 25 мм</t>
  </si>
  <si>
    <t xml:space="preserve">Ветрозащитная плита 12 мм темно-зелёная</t>
  </si>
  <si>
    <t xml:space="preserve">Ветрозащитная плита 25 мм темно-зеленая</t>
  </si>
  <si>
    <t xml:space="preserve">Ветрозащитная плита шип-паз 25 мм</t>
  </si>
  <si>
    <t xml:space="preserve">Кровельная (универсальная) плита 25 мм шип-паз с 4 сторон</t>
  </si>
  <si>
    <t xml:space="preserve">SKANO FAS universal плита 37 мм шип-паз с 4 сторон</t>
  </si>
  <si>
    <t xml:space="preserve">SKANO massiv universal плита 50 мм шип-паз с 4 сторон</t>
  </si>
  <si>
    <r>
      <rPr>
        <sz val="12"/>
        <color rgb="FF000000"/>
        <rFont val="Calibri"/>
        <family val="2"/>
        <charset val="204"/>
      </rPr>
      <t xml:space="preserve">Пленка </t>
    </r>
    <r>
      <rPr>
        <b val="true"/>
        <sz val="12"/>
        <rFont val="Calibri"/>
        <family val="2"/>
        <charset val="204"/>
      </rPr>
      <t xml:space="preserve">Н96 Сильвер </t>
    </r>
  </si>
  <si>
    <r>
      <rPr>
        <sz val="12"/>
        <color rgb="FF000000"/>
        <rFont val="Calibri"/>
        <family val="2"/>
        <charset val="204"/>
      </rPr>
      <t xml:space="preserve">Пленка </t>
    </r>
    <r>
      <rPr>
        <b val="true"/>
        <sz val="12"/>
        <rFont val="Calibri"/>
        <family val="2"/>
        <charset val="204"/>
      </rPr>
      <t xml:space="preserve">Н110 Стандарт</t>
    </r>
  </si>
  <si>
    <r>
      <rPr>
        <sz val="12"/>
        <color rgb="FF000000"/>
        <rFont val="Calibri"/>
        <family val="2"/>
        <charset val="204"/>
      </rPr>
      <t xml:space="preserve">Мембрана </t>
    </r>
    <r>
      <rPr>
        <b val="true"/>
        <sz val="12"/>
        <rFont val="Calibri"/>
        <family val="2"/>
        <charset val="204"/>
      </rPr>
      <t xml:space="preserve">Tyvek AirGuard Reflective</t>
    </r>
  </si>
  <si>
    <r>
      <rPr>
        <sz val="12"/>
        <color rgb="FF000000"/>
        <rFont val="Calibri"/>
        <family val="2"/>
        <charset val="204"/>
      </rPr>
      <t xml:space="preserve">Мембрана </t>
    </r>
    <r>
      <rPr>
        <b val="true"/>
        <sz val="12"/>
        <rFont val="Calibri"/>
        <family val="2"/>
        <charset val="204"/>
      </rPr>
      <t xml:space="preserve">Tyvek AirGuard SD5</t>
    </r>
  </si>
  <si>
    <r>
      <rPr>
        <sz val="12"/>
        <color rgb="FF000000"/>
        <rFont val="Calibri"/>
        <family val="2"/>
        <charset val="204"/>
      </rPr>
      <t xml:space="preserve">Пленка </t>
    </r>
    <r>
      <rPr>
        <b val="true"/>
        <sz val="12"/>
        <rFont val="Calibri"/>
        <family val="2"/>
        <charset val="204"/>
      </rPr>
      <t xml:space="preserve">Delta-Reflex</t>
    </r>
  </si>
  <si>
    <r>
      <rPr>
        <sz val="12"/>
        <color rgb="FF000000"/>
        <rFont val="Calibri"/>
        <family val="2"/>
        <charset val="204"/>
      </rPr>
      <t xml:space="preserve">Пленка </t>
    </r>
    <r>
      <rPr>
        <b val="true"/>
        <sz val="12"/>
        <rFont val="Calibri"/>
        <family val="2"/>
        <charset val="204"/>
      </rPr>
      <t xml:space="preserve">Delta-Reflex Plus</t>
    </r>
    <r>
      <rPr>
        <b val="true"/>
        <sz val="12"/>
        <color rgb="FFFF0000"/>
        <rFont val="Calibri"/>
        <family val="2"/>
        <charset val="204"/>
      </rPr>
      <t xml:space="preserve">/ с самокл.лентой</t>
    </r>
  </si>
  <si>
    <r>
      <rPr>
        <sz val="12"/>
        <color rgb="FF000000"/>
        <rFont val="Calibri"/>
        <family val="2"/>
        <charset val="204"/>
      </rPr>
      <t xml:space="preserve">Пароизоляция</t>
    </r>
    <r>
      <rPr>
        <b val="true"/>
        <sz val="12"/>
        <rFont val="Calibri"/>
        <family val="2"/>
        <charset val="204"/>
      </rPr>
      <t xml:space="preserve"> Optima B</t>
    </r>
  </si>
  <si>
    <r>
      <rPr>
        <sz val="12"/>
        <color rgb="FF000000"/>
        <rFont val="Calibri"/>
        <family val="2"/>
        <charset val="204"/>
      </rPr>
      <t xml:space="preserve">Пленка </t>
    </r>
    <r>
      <rPr>
        <b val="true"/>
        <sz val="12"/>
        <rFont val="Calibri"/>
        <family val="2"/>
        <charset val="204"/>
      </rPr>
      <t xml:space="preserve">Folder Minima H98</t>
    </r>
  </si>
  <si>
    <r>
      <rPr>
        <sz val="12"/>
        <color rgb="FF000000"/>
        <rFont val="Calibri"/>
        <family val="2"/>
        <charset val="204"/>
      </rPr>
      <t xml:space="preserve">Пленка </t>
    </r>
    <r>
      <rPr>
        <b val="true"/>
        <sz val="12"/>
        <rFont val="Calibri"/>
        <family val="2"/>
        <charset val="204"/>
      </rPr>
      <t xml:space="preserve">Folder Alum H90</t>
    </r>
  </si>
  <si>
    <t xml:space="preserve">Скобы для степлера, 1000шт/уп</t>
  </si>
  <si>
    <t xml:space="preserve">Уголок усиленный</t>
  </si>
  <si>
    <t xml:space="preserve">Цена руб/шт.</t>
  </si>
  <si>
    <t xml:space="preserve">шт.</t>
  </si>
  <si>
    <t xml:space="preserve">Уголок усиленный 70х70х55х2,5        </t>
  </si>
  <si>
    <t xml:space="preserve">Уголок усиленный 50х50х55х2,5        </t>
  </si>
  <si>
    <t xml:space="preserve">Пластина соеденительная</t>
  </si>
  <si>
    <t xml:space="preserve">Пластина соеденительная 150х240х2           </t>
  </si>
  <si>
    <t xml:space="preserve">Опора бруса открытая</t>
  </si>
  <si>
    <t xml:space="preserve">Опора бруса          </t>
  </si>
  <si>
    <t xml:space="preserve">Болты анкерные с гайкой</t>
  </si>
  <si>
    <t xml:space="preserve">Диаметр,мм</t>
  </si>
  <si>
    <t xml:space="preserve">Длина, мм</t>
  </si>
  <si>
    <t xml:space="preserve">Цена 1000 шт.</t>
  </si>
  <si>
    <t xml:space="preserve">Цена 1 шт.</t>
  </si>
  <si>
    <t xml:space="preserve">Болты анкерные с гайкой 8,0 x 60           </t>
  </si>
  <si>
    <t xml:space="preserve">Болты анкерные с гайкой 10,0 х 97           </t>
  </si>
  <si>
    <t xml:space="preserve">Болты анкерные с гайкой 12,0 x 120          </t>
  </si>
  <si>
    <t xml:space="preserve">Болты анкерные с гайкой 12,0 х 250          </t>
  </si>
  <si>
    <t xml:space="preserve">Болты анкерные с гайкой 12,0 х 280          </t>
  </si>
  <si>
    <t xml:space="preserve">Болты анкерные с гайкой 12,0 x 300          </t>
  </si>
  <si>
    <t xml:space="preserve">Болты анкерные с гайкой 14,0 х 200          </t>
  </si>
  <si>
    <t xml:space="preserve">Болты анкерные с гайкой 14,0 х 250          </t>
  </si>
  <si>
    <t xml:space="preserve">Болты анкерные с гайкой 20,0 х 300          </t>
  </si>
  <si>
    <t xml:space="preserve">Болты анкерные с гайкой 20,0 х 350          </t>
  </si>
  <si>
    <t xml:space="preserve">Болты анкерные с гайкой 20,0 х 400          </t>
  </si>
  <si>
    <t xml:space="preserve">Саморезы</t>
  </si>
  <si>
    <t xml:space="preserve">Цена руб/шт</t>
  </si>
  <si>
    <t xml:space="preserve">Цена руб/кг.</t>
  </si>
  <si>
    <t xml:space="preserve">кг.</t>
  </si>
  <si>
    <t xml:space="preserve">Саморезы 3,5 x 25            </t>
  </si>
  <si>
    <t xml:space="preserve">Саморезы 3,5 x 55            </t>
  </si>
  <si>
    <t xml:space="preserve">Саморезы 4,2 х 75            </t>
  </si>
  <si>
    <t xml:space="preserve">Саморезы 4,2 x 90            </t>
  </si>
  <si>
    <t xml:space="preserve">Саморезы 4,8 х 90            </t>
  </si>
  <si>
    <t xml:space="preserve">Гвозди строительные</t>
  </si>
  <si>
    <t xml:space="preserve">Нет гвоздей строительных</t>
  </si>
  <si>
    <t xml:space="preserve">Гвозди строительные 3,5 x 90            </t>
  </si>
  <si>
    <t xml:space="preserve">Гвозди строительные 4,2 x 120            </t>
  </si>
  <si>
    <t xml:space="preserve">Гвозди ершоные</t>
  </si>
  <si>
    <t xml:space="preserve">Нет гвоздей ершоных</t>
  </si>
  <si>
    <t xml:space="preserve">Гвозди ершоные 2,8 х 90            </t>
  </si>
  <si>
    <t xml:space="preserve">Пена монтажная</t>
  </si>
  <si>
    <t xml:space="preserve">Пена монтажная, всесезонняя 800мл</t>
  </si>
  <si>
    <t xml:space="preserve">цена</t>
  </si>
  <si>
    <t xml:space="preserve">нет выбора</t>
  </si>
  <si>
    <t xml:space="preserve">76мм, 2,5м,1 л.</t>
  </si>
  <si>
    <t xml:space="preserve">76мм, 3м, 1 л.</t>
  </si>
  <si>
    <t xml:space="preserve">76мм, 3,5м, 1 л.</t>
  </si>
  <si>
    <t xml:space="preserve">76мм, 4м, 1 л.</t>
  </si>
  <si>
    <t xml:space="preserve">76мм, 4,5м, 1 л.</t>
  </si>
  <si>
    <t xml:space="preserve">76мм, 5м, 1 л.</t>
  </si>
  <si>
    <t xml:space="preserve">76мм, 2,5м, 2 л.</t>
  </si>
  <si>
    <t xml:space="preserve">76мм, 3м длина, 2 лопасть</t>
  </si>
  <si>
    <t xml:space="preserve">76мм, 4м длина, 2 лопасть</t>
  </si>
  <si>
    <t xml:space="preserve">76мм, 4,5м длина, 2 лопасть</t>
  </si>
  <si>
    <t xml:space="preserve">76мм, 5м длина, 2 лопасть</t>
  </si>
  <si>
    <t xml:space="preserve">89мм, 2,5м длина, 1 лопасть</t>
  </si>
  <si>
    <t xml:space="preserve">89мм, 3,5м длина, 1 лопасть</t>
  </si>
  <si>
    <t xml:space="preserve">89мм, 4м длина, 1 лопасть</t>
  </si>
  <si>
    <t xml:space="preserve">89мм, 4,5м длина, 1 лопасть</t>
  </si>
  <si>
    <t xml:space="preserve">89мм, 5м длина, 1 лопасть</t>
  </si>
  <si>
    <t xml:space="preserve">89мм, 2,5м длина, 2 лопасть</t>
  </si>
  <si>
    <t xml:space="preserve">89мм, 3м длина, 2 лопасть</t>
  </si>
  <si>
    <t xml:space="preserve">89мм, 3,5м длина, 2 лопасть</t>
  </si>
  <si>
    <t xml:space="preserve">89мм, 4м длина, 2 лопасть</t>
  </si>
  <si>
    <t xml:space="preserve">89мм, 4,5м длина, 2 лопасть</t>
  </si>
  <si>
    <t xml:space="preserve">89мм, 5м длина, 2 лопасть</t>
  </si>
  <si>
    <t xml:space="preserve">108мм, 3м длина, 1 лопасть</t>
  </si>
  <si>
    <t xml:space="preserve">108мм, 3,5м длина, 1 лопасть</t>
  </si>
  <si>
    <t xml:space="preserve">108мм, 4м длина, 1 лопасть</t>
  </si>
  <si>
    <t xml:space="preserve">108мм, 4,5м длина, 1 лопасть</t>
  </si>
  <si>
    <t xml:space="preserve">108мм, 5м длина, 1 лопасть</t>
  </si>
  <si>
    <t xml:space="preserve">108мм, 2,5м длина, 2 лопасть</t>
  </si>
  <si>
    <t xml:space="preserve">108мм, 3м длина, 2 лопасть</t>
  </si>
  <si>
    <t xml:space="preserve">108мм, 3,5м длина, 2 лопасть</t>
  </si>
  <si>
    <t xml:space="preserve">108мм, 4м длина, 2 лопасть</t>
  </si>
  <si>
    <t xml:space="preserve">108мм, 4,5м длина, 2 лопасть</t>
  </si>
  <si>
    <t xml:space="preserve">108мм, 5м длина, 2 лопасть</t>
  </si>
  <si>
    <t xml:space="preserve">122мм, 2,5м длина, 1 лопасть</t>
  </si>
  <si>
    <t xml:space="preserve">122мм, 3м длина, 1 лопасть</t>
  </si>
  <si>
    <t xml:space="preserve">122мм, 3,5м длина, 1 лопасть</t>
  </si>
  <si>
    <t xml:space="preserve">122мм, 4м длина, 1 лопасть</t>
  </si>
  <si>
    <t xml:space="preserve">122мм, 4,5м длина, 1 лопасть</t>
  </si>
  <si>
    <t xml:space="preserve">122мм, 5м длина, 1 лопасть</t>
  </si>
  <si>
    <t xml:space="preserve">122мм, 2,5м длина, 2 лопасть</t>
  </si>
  <si>
    <t xml:space="preserve">122мм, 3м длина, 2 лопасть</t>
  </si>
  <si>
    <t xml:space="preserve">122мм, 3,5м длина, 2 лопасть</t>
  </si>
  <si>
    <t xml:space="preserve">122мм, 4м длина, 2 лопасть</t>
  </si>
  <si>
    <t xml:space="preserve">122мм, 4,5м длина, 2 лопасть</t>
  </si>
  <si>
    <t xml:space="preserve">122мм, 5м длина, 2 лопасть</t>
  </si>
  <si>
    <t xml:space="preserve">133мм, 2,5м длина, 1 лопасть</t>
  </si>
  <si>
    <t xml:space="preserve">133мм, 3м длина, 1 лопасть</t>
  </si>
  <si>
    <t xml:space="preserve">133мм, 3,5м длина, 1 лопасть</t>
  </si>
  <si>
    <t xml:space="preserve">133мм, 4м длина, 1 лопасть</t>
  </si>
  <si>
    <t xml:space="preserve">133мм, 4,5м длина, 1 лопасть</t>
  </si>
  <si>
    <t xml:space="preserve">133мм, 5м длина, 1 лопасть</t>
  </si>
  <si>
    <t xml:space="preserve">133мм, 2,5м длина, 2 лопасть</t>
  </si>
  <si>
    <t xml:space="preserve">133мм, 3м длина, 2 лопасть</t>
  </si>
  <si>
    <t xml:space="preserve">133мм, 3,5м длина, 2 лопасть</t>
  </si>
  <si>
    <t xml:space="preserve">133мм, 4м длина, 2 лопасть</t>
  </si>
  <si>
    <t xml:space="preserve">133мм, 4,5м длина, 2 лопасть</t>
  </si>
  <si>
    <t xml:space="preserve">133мм, 5м длина, 2 лопасть</t>
  </si>
  <si>
    <t xml:space="preserve">Оголовкок для свай 150*150</t>
  </si>
  <si>
    <t xml:space="preserve">Оголовкок для свай 100*100</t>
  </si>
  <si>
    <t xml:space="preserve">Оголовкок для свай 250*250</t>
  </si>
  <si>
    <t xml:space="preserve">обвязка металлом</t>
  </si>
  <si>
    <t xml:space="preserve">Кирпич/Марка/Морозостойкость/Цвет</t>
  </si>
  <si>
    <t xml:space="preserve">цена 1 шт</t>
  </si>
  <si>
    <t xml:space="preserve">0,7НФ/150/75 Аренберг</t>
  </si>
  <si>
    <t xml:space="preserve">0,7НФ/150/75 Гляссе</t>
  </si>
  <si>
    <t xml:space="preserve">0,7НФ/150/75 Терракот</t>
  </si>
  <si>
    <t xml:space="preserve">0,7НФ/150/75 Шоколад</t>
  </si>
  <si>
    <t xml:space="preserve">0,7НФ/150/75 Темный Шоколад</t>
  </si>
  <si>
    <t xml:space="preserve">0,7НФ/150/75 Бавария Микс</t>
  </si>
  <si>
    <t xml:space="preserve">0,7НФ/150/50 Белый</t>
  </si>
  <si>
    <t xml:space="preserve">0,7НФ/150/50 Лотос</t>
  </si>
  <si>
    <t xml:space="preserve">0,7НФ/150/50 Камелот Гляссе</t>
  </si>
  <si>
    <t xml:space="preserve">0,7НФ/150/50 Камелот Терракот</t>
  </si>
  <si>
    <t xml:space="preserve">0,7НФ/150/50 Камелот Шоколад</t>
  </si>
  <si>
    <t xml:space="preserve">0,7НФ/150/50 Камелот Темный Шоколад</t>
  </si>
  <si>
    <t xml:space="preserve">0,7НФ/150/50 Камелот Микс</t>
  </si>
  <si>
    <t xml:space="preserve">1НФ/150/75 Красный</t>
  </si>
  <si>
    <t xml:space="preserve">1НФ/150/75 Аренберг</t>
  </si>
  <si>
    <t xml:space="preserve">1НФ/150/75 Эльц</t>
  </si>
  <si>
    <t xml:space="preserve">1НФ/150/75 Рочестер</t>
  </si>
  <si>
    <t xml:space="preserve">1НФ/150/75 Гляссе</t>
  </si>
  <si>
    <t xml:space="preserve">1НФ/150/75 Терракот</t>
  </si>
  <si>
    <t xml:space="preserve">1НФ/150/75 Шоколад</t>
  </si>
  <si>
    <t xml:space="preserve">1НФ/150/75 Темный Шоколад</t>
  </si>
  <si>
    <t xml:space="preserve">1НФ/150/75 Бавария микс</t>
  </si>
  <si>
    <t xml:space="preserve">1НФ/150/50 Белый</t>
  </si>
  <si>
    <t xml:space="preserve">1НФ/150/50 Лотос</t>
  </si>
  <si>
    <t xml:space="preserve">1НФ/150/50 Камелот Микс</t>
  </si>
  <si>
    <t xml:space="preserve">1НФ/150/50 Камелот Гляссе</t>
  </si>
  <si>
    <t xml:space="preserve">1НФ/150/50 Камелот Терракот</t>
  </si>
  <si>
    <t xml:space="preserve">1НФ/150/50 Камелот Шоколад</t>
  </si>
  <si>
    <t xml:space="preserve">1НФ/150/50 Камелот Темный  Шоколад</t>
  </si>
  <si>
    <t xml:space="preserve">1,4НФ/150/75 Красный</t>
  </si>
  <si>
    <t xml:space="preserve">1,4НФ/150/75 Аренберг</t>
  </si>
  <si>
    <t xml:space="preserve">1,4НФ/150/75 Гляссе</t>
  </si>
  <si>
    <t xml:space="preserve">1,4НФ/150/75 Терракот</t>
  </si>
  <si>
    <t xml:space="preserve">1,4НФ/150/75 Шоколад</t>
  </si>
  <si>
    <t xml:space="preserve">1,4НФ/150/75 Темный Шоколад</t>
  </si>
  <si>
    <t xml:space="preserve">1,4НФ/150/75 Бавария Микс</t>
  </si>
  <si>
    <t xml:space="preserve">1,4НФ/150/50 Белый</t>
  </si>
  <si>
    <t xml:space="preserve">1,4НФ/150/50 Лотос</t>
  </si>
  <si>
    <t xml:space="preserve">Фанера, OSB</t>
  </si>
  <si>
    <t xml:space="preserve">Цена,м2</t>
  </si>
  <si>
    <t xml:space="preserve">OSB-3 КНР (для наружных работ), 9мм</t>
  </si>
  <si>
    <t xml:space="preserve">1220х2440</t>
  </si>
  <si>
    <t xml:space="preserve">Kronospan - OSB-3, 9мм</t>
  </si>
  <si>
    <t xml:space="preserve">1250х2500</t>
  </si>
  <si>
    <t xml:space="preserve">OSB-3 КНР (для наружных работ), 12мм</t>
  </si>
  <si>
    <t xml:space="preserve">Kronospan - OSB-3, 12мм</t>
  </si>
  <si>
    <t xml:space="preserve">Kronospan - OSB-3, 15мм</t>
  </si>
  <si>
    <t xml:space="preserve">Kronospan - OSB-3, 18мм</t>
  </si>
  <si>
    <t xml:space="preserve">Egger \ OSB-3, 10мм</t>
  </si>
  <si>
    <t xml:space="preserve">Egger \ OSB-3, 15мм</t>
  </si>
  <si>
    <t xml:space="preserve">Egger \ OSB-3, 18мм</t>
  </si>
  <si>
    <t xml:space="preserve">Фанера Хвойная, марка ФСФ, 9 мм </t>
  </si>
  <si>
    <t xml:space="preserve">Фанера Хвойная, марка ФСФ, 6,5 мм </t>
  </si>
  <si>
    <t xml:space="preserve">Фанера Хвойная, марка ФСФ, 12 мм </t>
  </si>
  <si>
    <t xml:space="preserve">Фанера Хвойная, марка ФСФ, 15 мм </t>
  </si>
  <si>
    <t xml:space="preserve">Фанера Хвойная, марка ФСФ, 18 мм </t>
  </si>
  <si>
    <t xml:space="preserve">Фанера Хвойная, марка ФСФ, 24 мм </t>
  </si>
  <si>
    <t xml:space="preserve">Фанера Хвойная, марка ФСФ, 27 мм </t>
  </si>
  <si>
    <t xml:space="preserve">Фанера Хвойная, марка ФСФ, 30 мм</t>
  </si>
  <si>
    <t xml:space="preserve">Фанера Ламинированная влагостойкая, 10 мм</t>
  </si>
  <si>
    <t xml:space="preserve">Россия\Береза</t>
  </si>
  <si>
    <t xml:space="preserve">Фанера Ламинированная влагостойкая, 12 мм</t>
  </si>
  <si>
    <t xml:space="preserve">Фанера Ламинированная влагостойкая, 15 мм </t>
  </si>
  <si>
    <t xml:space="preserve">Фанера Ламинированная влагостойкая, 18 мм </t>
  </si>
  <si>
    <t xml:space="preserve">КНР (тополь)</t>
  </si>
  <si>
    <t xml:space="preserve">Фанера Ламинированная влагостойкая, 12 мм </t>
  </si>
  <si>
    <t xml:space="preserve">  КНР \OSB</t>
  </si>
  <si>
    <t xml:space="preserve">Фанера Ламинированная влагостойкая, 20 мм </t>
  </si>
  <si>
    <t xml:space="preserve">Фанера Березовая марка ФК - влагостойкая,  4 мм </t>
  </si>
  <si>
    <t xml:space="preserve">IV / IV </t>
  </si>
  <si>
    <t xml:space="preserve">Фанера Березовая марка ФК - влагостойкая,  6,5 мм </t>
  </si>
  <si>
    <t xml:space="preserve">Фанера Березовая марка ФК - влагостойкая,  8 мм </t>
  </si>
  <si>
    <t xml:space="preserve">Фанера Березовая марка ФК - влагостойкая,  9 мм </t>
  </si>
  <si>
    <t xml:space="preserve">Фанера Березовая марка ФК - влагостойкая,  10 мм</t>
  </si>
  <si>
    <t xml:space="preserve">Фанера Березовая марка ФК - влагостойкая,  12 мм </t>
  </si>
  <si>
    <t xml:space="preserve">Фанера Березовая марка ФК - влагостойкая,  15 мм </t>
  </si>
  <si>
    <t xml:space="preserve">IV / IV</t>
  </si>
  <si>
    <t xml:space="preserve">Фанера Березовая марка ФК - влагостойкая,  21 мм </t>
  </si>
  <si>
    <t xml:space="preserve">Фанера Березовая марка ФК - влагостойкая,  30 мм </t>
  </si>
  <si>
    <t xml:space="preserve">Отопление водяное</t>
  </si>
  <si>
    <t xml:space="preserve">Труба теплого пола 1</t>
  </si>
  <si>
    <t xml:space="preserve">Труба теплого пола 2</t>
  </si>
  <si>
    <t xml:space="preserve">Труба теплого пола 4</t>
  </si>
  <si>
    <t xml:space="preserve">Труба теплого пола 5</t>
  </si>
  <si>
    <t xml:space="preserve">Труба теплого пола 6</t>
  </si>
  <si>
    <t xml:space="preserve">Труба теплого пола 7</t>
  </si>
  <si>
    <t xml:space="preserve">Труба теплого пола 8</t>
  </si>
  <si>
    <t xml:space="preserve">Труба теплого пола 9</t>
  </si>
  <si>
    <t xml:space="preserve">Коллектор 2</t>
  </si>
  <si>
    <t xml:space="preserve">Коллектор 3</t>
  </si>
  <si>
    <t xml:space="preserve">Коллектор 4</t>
  </si>
  <si>
    <t xml:space="preserve">Коллектор 5</t>
  </si>
  <si>
    <t xml:space="preserve">Коллектор 7</t>
  </si>
  <si>
    <t xml:space="preserve">Коллектор 8</t>
  </si>
  <si>
    <t xml:space="preserve">Труба дренажная/канализационная</t>
  </si>
  <si>
    <t xml:space="preserve">Труба гофрированная одностенная d 63</t>
  </si>
  <si>
    <t xml:space="preserve">Труба гофрированная одностенная d 90</t>
  </si>
  <si>
    <t xml:space="preserve">Труба гофрированная одностенная d160</t>
  </si>
  <si>
    <t xml:space="preserve">Труба гофрированная одностенная d200 </t>
  </si>
  <si>
    <t xml:space="preserve">Труба дренажная d63мм с перфорацией, в фильтре</t>
  </si>
  <si>
    <t xml:space="preserve">труба дренажная d110 с перфорацией, в фильтре</t>
  </si>
  <si>
    <t xml:space="preserve">труба дренажная d160 с перфорацией, в фильтре</t>
  </si>
  <si>
    <t xml:space="preserve">труба дренажная d200 с перфорацией, в фильтре</t>
  </si>
  <si>
    <t xml:space="preserve">Труба дренажная двухслойная d110 с перфорацией без фильтра</t>
  </si>
  <si>
    <t xml:space="preserve">труба дренажная двухслойная d110 с перфорацией в фильтре</t>
  </si>
  <si>
    <t xml:space="preserve">Труба дренажная двухслойная d160 с перфорацией без фильтра</t>
  </si>
  <si>
    <t xml:space="preserve">труба дренажная двухслойная d160 с перфорацией, в фильтре</t>
  </si>
  <si>
    <t xml:space="preserve">труба дренажная двухслойная d200 с перфорацией, без фильтра</t>
  </si>
  <si>
    <t xml:space="preserve">труба дренажная двухслойная d200 с перфорацией, в фильтре</t>
  </si>
  <si>
    <t xml:space="preserve">Труба канализационная D110</t>
  </si>
  <si>
    <t xml:space="preserve">Дренажный колодец</t>
  </si>
  <si>
    <t xml:space="preserve">Дренажный колодец D500</t>
  </si>
  <si>
    <t xml:space="preserve">Дренажный колодец D600</t>
  </si>
  <si>
    <t xml:space="preserve">Металлочерепица</t>
  </si>
  <si>
    <t xml:space="preserve">Карнизная планка</t>
  </si>
  <si>
    <t xml:space="preserve">Торцевая планка</t>
  </si>
  <si>
    <t xml:space="preserve">Конек</t>
  </si>
  <si>
    <t xml:space="preserve">Ендова нижняя</t>
  </si>
  <si>
    <t xml:space="preserve">Ендова верхняя</t>
  </si>
  <si>
    <t xml:space="preserve">Планка примыкания</t>
  </si>
  <si>
    <t xml:space="preserve">Кровельный саморез</t>
  </si>
  <si>
    <t xml:space="preserve">Ондулин</t>
  </si>
  <si>
    <t xml:space="preserve">Крепеж для ондулина</t>
  </si>
  <si>
    <t xml:space="preserve">Мягкая кровля</t>
  </si>
  <si>
    <t xml:space="preserve">Рядовая черепица</t>
  </si>
  <si>
    <t xml:space="preserve">Металл оцинк защита (карниз)</t>
  </si>
  <si>
    <t xml:space="preserve">Подкладочный ковер</t>
  </si>
  <si>
    <t xml:space="preserve">Карнизная самоклеющаяся черепица</t>
  </si>
  <si>
    <t xml:space="preserve">Спец ковер ендова нижняя</t>
  </si>
  <si>
    <t xml:space="preserve">Коньковой элемент</t>
  </si>
  <si>
    <t xml:space="preserve">Планка премыкания</t>
  </si>
  <si>
    <t xml:space="preserve">Гвозди для крепления подкладочного ковра</t>
  </si>
  <si>
    <t xml:space="preserve">Гвозди для крепления черепицы</t>
  </si>
  <si>
    <t xml:space="preserve">Клей для монтажа черепицы</t>
  </si>
  <si>
    <t xml:space="preserve">Водосточная система</t>
  </si>
  <si>
    <t xml:space="preserve">желоб</t>
  </si>
  <si>
    <t xml:space="preserve">отвод</t>
  </si>
  <si>
    <t xml:space="preserve">труба водосточная</t>
  </si>
  <si>
    <t xml:space="preserve">заглушка для желоба</t>
  </si>
  <si>
    <t xml:space="preserve">соеденитель для желоба</t>
  </si>
  <si>
    <t xml:space="preserve">кронштейн для желоба</t>
  </si>
  <si>
    <t xml:space="preserve">переход из желоба в трубу</t>
  </si>
  <si>
    <t xml:space="preserve">лента дельта мульти бэнд</t>
  </si>
  <si>
    <t xml:space="preserve">лента дельта sb-60</t>
  </si>
  <si>
    <t xml:space="preserve">проходка кровельная, канализационная</t>
  </si>
  <si>
    <t xml:space="preserve">проходка кровельная, вентиляционная</t>
  </si>
  <si>
    <t xml:space="preserve">проодка кровельная, труба котел</t>
  </si>
  <si>
    <t xml:space="preserve">ед изм</t>
  </si>
  <si>
    <t xml:space="preserve">дно бетонное, диаметр 1м.п.</t>
  </si>
  <si>
    <t xml:space="preserve">дно бетонное, диаметр 3м.п.</t>
  </si>
  <si>
    <t xml:space="preserve">кольцо бетонное, диаметр 1м.п.</t>
  </si>
  <si>
    <t xml:space="preserve">кольцо бетонное, диаметр 3м.п.</t>
  </si>
  <si>
    <t xml:space="preserve">крышка бетонная, диаметр 1м.п.</t>
  </si>
  <si>
    <t xml:space="preserve">крышка бетонная, диаметр 3м.п.</t>
  </si>
  <si>
    <t xml:space="preserve">Люк для крышки пластиковый</t>
  </si>
  <si>
    <t xml:space="preserve">Люк для крышки чугунный</t>
  </si>
  <si>
    <t xml:space="preserve">Скорлупа для утепления канализационной трубы</t>
  </si>
  <si>
    <t xml:space="preserve">Горловина для септика бетонная</t>
  </si>
  <si>
    <t xml:space="preserve">Скотч </t>
  </si>
  <si>
    <t xml:space="preserve">Нет кабеля</t>
  </si>
  <si>
    <t xml:space="preserve">Кабель ВВГнг(А)-LS 2х2,5 0,66</t>
  </si>
  <si>
    <t xml:space="preserve">Кабель ВВГнг(А)-LS 2х1,5 0,66</t>
  </si>
  <si>
    <t xml:space="preserve">Нет гофры</t>
  </si>
  <si>
    <t xml:space="preserve">Труба ПВХ гофрировонная гибкая 16</t>
  </si>
  <si>
    <t xml:space="preserve">Труба ПВХ гофрировонная гибкая 40</t>
  </si>
  <si>
    <t xml:space="preserve">Труба ПВХ гофрировонная гибкая 50</t>
  </si>
  <si>
    <t xml:space="preserve">Труба ПВХ гофрировонная гибкая 63</t>
  </si>
  <si>
    <t xml:space="preserve">Труба ПВХ гофрировонная жесткая 16</t>
  </si>
  <si>
    <t xml:space="preserve">Труба ПВХ гофрировонная жесткая 20</t>
  </si>
  <si>
    <t xml:space="preserve">Труба ПВХ гофрировонная жесткая 25</t>
  </si>
  <si>
    <t xml:space="preserve">Труба ПВХ гофрировонная жесткая 32</t>
  </si>
  <si>
    <t xml:space="preserve">Труба ПВХ гофрировонная жесткая 40</t>
  </si>
  <si>
    <t xml:space="preserve">Труба ПВХ гофрировонная жесткая 50</t>
  </si>
  <si>
    <t xml:space="preserve">Труба ПВХ гофрировонная жесткая 63</t>
  </si>
  <si>
    <t xml:space="preserve">Металлорукав гофра 10мм</t>
  </si>
  <si>
    <t xml:space="preserve">Металлорукав гофра 12мм</t>
  </si>
  <si>
    <t xml:space="preserve">Металлорукав гофра 15мм</t>
  </si>
  <si>
    <t xml:space="preserve">Металлорукав гофра 118мм</t>
  </si>
  <si>
    <t xml:space="preserve">Металлорукав гофра 20мм</t>
  </si>
  <si>
    <t xml:space="preserve">Металлорукав гофра 22мм</t>
  </si>
  <si>
    <t xml:space="preserve">Металлорукав гофра 25мм</t>
  </si>
  <si>
    <t xml:space="preserve">Металлорукав гофра 32мм</t>
  </si>
  <si>
    <t xml:space="preserve">крепления для гофры</t>
  </si>
  <si>
    <t xml:space="preserve">саморез для крепления гофры</t>
  </si>
  <si>
    <t xml:space="preserve">Коробка распределения</t>
  </si>
  <si>
    <t xml:space="preserve">Вага</t>
  </si>
  <si>
    <t xml:space="preserve">Щиток электрический</t>
  </si>
  <si>
    <t xml:space="preserve">автомат, 3 полюса, 32амп</t>
  </si>
  <si>
    <t xml:space="preserve">автомат, 1 полюс, 16амп</t>
  </si>
  <si>
    <t xml:space="preserve">автомат, 1 полюс, 25 амп</t>
  </si>
  <si>
    <t xml:space="preserve">Коробка электрическая</t>
  </si>
  <si>
    <t xml:space="preserve">Розетка 1</t>
  </si>
  <si>
    <t xml:space="preserve">Розетка 3</t>
  </si>
  <si>
    <t xml:space="preserve">Розетка 4</t>
  </si>
  <si>
    <t xml:space="preserve">Розетка 5</t>
  </si>
  <si>
    <t xml:space="preserve">Выключатель 1</t>
  </si>
  <si>
    <t xml:space="preserve">Выключатель 2</t>
  </si>
  <si>
    <t xml:space="preserve">Выключатель 4</t>
  </si>
  <si>
    <t xml:space="preserve">Выключатель 5</t>
  </si>
  <si>
    <t xml:space="preserve">Отопление радиаторное, холодное и горячее водоснабжение</t>
  </si>
  <si>
    <t xml:space="preserve">труба диам 25/32 отопление</t>
  </si>
  <si>
    <t xml:space="preserve">соеденители для трубы</t>
  </si>
  <si>
    <t xml:space="preserve">уголок 90 град</t>
  </si>
  <si>
    <t xml:space="preserve">радиаторы, 1 секция</t>
  </si>
  <si>
    <t xml:space="preserve">комплектующие для радиаторов</t>
  </si>
  <si>
    <t xml:space="preserve">кран американка ду 25/32 для радиаторов</t>
  </si>
  <si>
    <t xml:space="preserve">кран гайка/резьба ду 25/32</t>
  </si>
  <si>
    <t xml:space="preserve">труба диам 20 вода</t>
  </si>
  <si>
    <t xml:space="preserve">комплектующие для хол и гор водоснаб</t>
  </si>
  <si>
    <t xml:space="preserve">бурение</t>
  </si>
  <si>
    <t xml:space="preserve">насос малыш</t>
  </si>
  <si>
    <t xml:space="preserve">шланг для насоса</t>
  </si>
  <si>
    <t xml:space="preserve">тросик для насоса</t>
  </si>
  <si>
    <t xml:space="preserve">изолента</t>
  </si>
  <si>
    <t xml:space="preserve">рул</t>
  </si>
  <si>
    <t xml:space="preserve">гидроаккумулятор, 80л</t>
  </si>
  <si>
    <t xml:space="preserve">автоматика</t>
  </si>
  <si>
    <t xml:space="preserve">пнд труба</t>
  </si>
  <si>
    <t xml:space="preserve">скорлупа утепления двойная</t>
  </si>
  <si>
    <t xml:space="preserve">скважинный адаптер</t>
  </si>
  <si>
    <t xml:space="preserve">котел</t>
  </si>
  <si>
    <t xml:space="preserve">датчик давления</t>
  </si>
  <si>
    <t xml:space="preserve">сбросной клапан</t>
  </si>
  <si>
    <t xml:space="preserve">труба, черная ду 32</t>
  </si>
  <si>
    <t xml:space="preserve">угол ду 32</t>
  </si>
  <si>
    <t xml:space="preserve">бочонок ду 32</t>
  </si>
  <si>
    <t xml:space="preserve">резьба ду 32</t>
  </si>
  <si>
    <t xml:space="preserve">переод с ду 32на 20</t>
  </si>
  <si>
    <t xml:space="preserve">электроды, пачка</t>
  </si>
  <si>
    <t xml:space="preserve">лен</t>
  </si>
  <si>
    <t xml:space="preserve">рулон</t>
  </si>
  <si>
    <t xml:space="preserve">ОКНА и ДВЕРИ в ДОМЕ</t>
  </si>
  <si>
    <t xml:space="preserve">францкзские окна</t>
  </si>
  <si>
    <t xml:space="preserve">окна   </t>
  </si>
  <si>
    <t xml:space="preserve">подоконник</t>
  </si>
  <si>
    <t xml:space="preserve">направляющие для откосов внутр</t>
  </si>
  <si>
    <t xml:space="preserve">откосы внутр</t>
  </si>
  <si>
    <t xml:space="preserve">уголок для откосов внутр</t>
  </si>
  <si>
    <t xml:space="preserve">отлив</t>
  </si>
  <si>
    <t xml:space="preserve">откосы нар</t>
  </si>
  <si>
    <t xml:space="preserve">направляющие для откосов нар</t>
  </si>
  <si>
    <t xml:space="preserve">уголок для откосов нар</t>
  </si>
  <si>
    <t xml:space="preserve">ветроизоляция окон</t>
  </si>
  <si>
    <t xml:space="preserve">пароизоляция окон</t>
  </si>
  <si>
    <t xml:space="preserve">крепления</t>
  </si>
  <si>
    <t xml:space="preserve">Французские окна</t>
  </si>
  <si>
    <t xml:space="preserve">анкерный болт для крепления окно фр</t>
  </si>
  <si>
    <t xml:space="preserve">пластины для крепления</t>
  </si>
  <si>
    <t xml:space="preserve">Двери входные</t>
  </si>
  <si>
    <t xml:space="preserve">Мансардные окна Velux OPTIMA</t>
  </si>
  <si>
    <t xml:space="preserve">Размеры</t>
  </si>
  <si>
    <t xml:space="preserve">Окно</t>
  </si>
  <si>
    <t xml:space="preserve">оклад</t>
  </si>
  <si>
    <t xml:space="preserve">CR02 55X78 </t>
  </si>
  <si>
    <t xml:space="preserve">CR04 55X98</t>
  </si>
  <si>
    <t xml:space="preserve">FR04 66X98</t>
  </si>
  <si>
    <t xml:space="preserve">FR06 66X118</t>
  </si>
  <si>
    <t xml:space="preserve">MR06 78X118</t>
  </si>
  <si>
    <t xml:space="preserve">PR06 94X118</t>
  </si>
  <si>
    <t xml:space="preserve">PR08 94X140</t>
  </si>
  <si>
    <t xml:space="preserve">SR06 114X118</t>
  </si>
  <si>
    <t xml:space="preserve">SR08 114X140</t>
  </si>
  <si>
    <t xml:space="preserve">ступени хвоя</t>
  </si>
  <si>
    <t xml:space="preserve">площадка хвоя</t>
  </si>
  <si>
    <t xml:space="preserve">столб под площадку, 2м</t>
  </si>
  <si>
    <t xml:space="preserve">столб обвязка перил 1 и 2 этажа</t>
  </si>
  <si>
    <t xml:space="preserve">балясина 80*80, первая</t>
  </si>
  <si>
    <t xml:space="preserve">тетева, 3м.п.</t>
  </si>
  <si>
    <t xml:space="preserve">крепления для ступеней, болт</t>
  </si>
  <si>
    <t xml:space="preserve">крепления для площадки</t>
  </si>
  <si>
    <t xml:space="preserve">поручни</t>
  </si>
  <si>
    <t xml:space="preserve">балясины</t>
  </si>
  <si>
    <t xml:space="preserve">кирпич облицовочный</t>
  </si>
  <si>
    <t xml:space="preserve">сайдинг виниловый</t>
  </si>
  <si>
    <t xml:space="preserve">доборные элементы для винил сайдинга</t>
  </si>
  <si>
    <t xml:space="preserve">торцевая планка винил</t>
  </si>
  <si>
    <t xml:space="preserve">стартовый профиль для сайдинга</t>
  </si>
  <si>
    <t xml:space="preserve">сайдинг металлический</t>
  </si>
  <si>
    <t xml:space="preserve">доборные элементы для метал сайдинга</t>
  </si>
  <si>
    <t xml:space="preserve">планкен</t>
  </si>
  <si>
    <t xml:space="preserve">крепления для планкена, змейка</t>
  </si>
  <si>
    <t xml:space="preserve">камень искуственный</t>
  </si>
  <si>
    <t xml:space="preserve">клей для камня </t>
  </si>
  <si>
    <t xml:space="preserve">Нет гидроизоляции жидкой</t>
  </si>
  <si>
    <t xml:space="preserve">Гидроизоляция жидкая резина 2</t>
  </si>
  <si>
    <t xml:space="preserve">Гидроизоляция жидкая резина 3</t>
  </si>
  <si>
    <t xml:space="preserve">Отделка внутренняя</t>
  </si>
  <si>
    <t xml:space="preserve">комнаты стены</t>
  </si>
  <si>
    <t xml:space="preserve">ГКЛ, 12мм</t>
  </si>
  <si>
    <t xml:space="preserve">профиль 60/27/3000</t>
  </si>
  <si>
    <t xml:space="preserve">профиль 27/28/3000</t>
  </si>
  <si>
    <t xml:space="preserve">подвес прямой</t>
  </si>
  <si>
    <t xml:space="preserve">саморез металл/металл, 13мм</t>
  </si>
  <si>
    <t xml:space="preserve">саморез гкл/металл, 25мм</t>
  </si>
  <si>
    <t xml:space="preserve">грунтовка, 10л</t>
  </si>
  <si>
    <t xml:space="preserve">шпаклевка для швов, 25кг</t>
  </si>
  <si>
    <t xml:space="preserve">шпаклевка финишная, 25кг</t>
  </si>
  <si>
    <t xml:space="preserve">серпянка для швов, 50м.п.</t>
  </si>
  <si>
    <t xml:space="preserve">клей обойный</t>
  </si>
  <si>
    <t xml:space="preserve">краска для стен, 10л</t>
  </si>
  <si>
    <t xml:space="preserve">блокхаус</t>
  </si>
  <si>
    <t xml:space="preserve">подсистема, брусок</t>
  </si>
  <si>
    <t xml:space="preserve">уголок крепежный</t>
  </si>
  <si>
    <t xml:space="preserve">гвозди/саморезы для крепления подсистемы</t>
  </si>
  <si>
    <t xml:space="preserve">гвозди/саморезы для крепления</t>
  </si>
  <si>
    <t xml:space="preserve"> комнаты потолок</t>
  </si>
  <si>
    <t xml:space="preserve">ГКЛ, 9мм</t>
  </si>
  <si>
    <t xml:space="preserve">краска для потолков, 10л</t>
  </si>
  <si>
    <t xml:space="preserve">багет 1мп</t>
  </si>
  <si>
    <t xml:space="preserve">шпаклевка для багета, 5 кг</t>
  </si>
  <si>
    <t xml:space="preserve">краска для багета, 5 л</t>
  </si>
  <si>
    <t xml:space="preserve">наждачная бумага финишная</t>
  </si>
  <si>
    <t xml:space="preserve">натяжной потолок</t>
  </si>
  <si>
    <t xml:space="preserve"> комнаты пол</t>
  </si>
  <si>
    <t xml:space="preserve">подложка под покрытие</t>
  </si>
  <si>
    <t xml:space="preserve">линолеум</t>
  </si>
  <si>
    <t xml:space="preserve">ламинат</t>
  </si>
  <si>
    <t xml:space="preserve">уголки, расходные материалы</t>
  </si>
  <si>
    <t xml:space="preserve">плинтус</t>
  </si>
  <si>
    <t xml:space="preserve">кафель</t>
  </si>
  <si>
    <t xml:space="preserve">клей для кафеля, 25кг</t>
  </si>
  <si>
    <t xml:space="preserve">крестики, 100шт</t>
  </si>
  <si>
    <t xml:space="preserve">затирка для швов</t>
  </si>
  <si>
    <t xml:space="preserve">кафель стены</t>
  </si>
  <si>
    <t xml:space="preserve">кафель потолок</t>
  </si>
  <si>
    <t xml:space="preserve">кафель пол</t>
  </si>
  <si>
    <t xml:space="preserve">крестики, 100 шт</t>
  </si>
  <si>
    <t xml:space="preserve">стеновые панели пластик стены</t>
  </si>
  <si>
    <t xml:space="preserve">стеновые панели пластик потолок</t>
  </si>
  <si>
    <t xml:space="preserve">скобы для крепления панелей, 1000шт/уп</t>
  </si>
  <si>
    <t xml:space="preserve">Двери межкомнатные </t>
  </si>
  <si>
    <t xml:space="preserve">двери межкомнатные </t>
  </si>
  <si>
    <t xml:space="preserve">пена монтажная для дверей</t>
  </si>
  <si>
    <t xml:space="preserve">порожки металлические </t>
  </si>
  <si>
    <t xml:space="preserve">отбойник для дверей</t>
  </si>
  <si>
    <t xml:space="preserve">коробка для дверей</t>
  </si>
  <si>
    <t xml:space="preserve">наличник на дверь, комплект</t>
  </si>
  <si>
    <t xml:space="preserve">Наждачная бумага</t>
  </si>
  <si>
    <t xml:space="preserve">Бумага наждачная № 63 F(30)</t>
  </si>
  <si>
    <t xml:space="preserve">Бумага наждачная № 40</t>
  </si>
  <si>
    <t xml:space="preserve">Бумага наждачная № 32 F(50)</t>
  </si>
  <si>
    <t xml:space="preserve">Бумага наждачная № 20 F(70) 900 мм</t>
  </si>
  <si>
    <t xml:space="preserve">Бумага наждачная № 12 F(100)</t>
  </si>
  <si>
    <t xml:space="preserve">Бумага наждачная № 10 F(120)</t>
  </si>
  <si>
    <t xml:space="preserve">Бумага наждачная № 8 F(150)</t>
  </si>
  <si>
    <t xml:space="preserve">Бумага наждачная № 4 F(320)</t>
  </si>
  <si>
    <t xml:space="preserve">Г-образный металлический профиль</t>
  </si>
  <si>
    <t xml:space="preserve">Г-образный профиль 40*30, 9мм</t>
  </si>
  <si>
    <t xml:space="preserve">Г-образный профиль 40*40, 9мм</t>
  </si>
  <si>
    <t xml:space="preserve">Г-образный профиль 40*50, 9мм</t>
  </si>
  <si>
    <t xml:space="preserve">Г-образный профиль 40*60, 9мм</t>
  </si>
  <si>
    <t xml:space="preserve">Г-образный профиль 40*30, 12мм</t>
  </si>
  <si>
    <t xml:space="preserve">Г-образный профиль 40*40, 12мм</t>
  </si>
  <si>
    <t xml:space="preserve">Г-образный профиль 40*50, 12мм</t>
  </si>
  <si>
    <t xml:space="preserve">Г-образный профиль 40*60, 12мм</t>
  </si>
  <si>
    <t xml:space="preserve">Фасадный кронштейн КК 50</t>
  </si>
  <si>
    <t xml:space="preserve">Фасадный кронштейн КК 60</t>
  </si>
  <si>
    <t xml:space="preserve">Фасадный кронштейн КК 90</t>
  </si>
  <si>
    <t xml:space="preserve">Фасадный кронштейн КК 100</t>
  </si>
  <si>
    <t xml:space="preserve">Фасадный кронштейн КК 140</t>
  </si>
  <si>
    <t xml:space="preserve">Фасадный кронштейн КК 160</t>
  </si>
  <si>
    <t xml:space="preserve">Фасадный кронштейн КК 180</t>
  </si>
  <si>
    <t xml:space="preserve">Фасадный кронштейн КК 200</t>
  </si>
  <si>
    <t xml:space="preserve">Фасадный кронштейн КК 220</t>
  </si>
  <si>
    <t xml:space="preserve">Фасадный кронштейн КК 240</t>
  </si>
  <si>
    <t xml:space="preserve">Плоский шифер</t>
  </si>
  <si>
    <t xml:space="preserve">Плоский шифер 6 мм</t>
  </si>
  <si>
    <t xml:space="preserve">Плоский шифер 9 мм</t>
  </si>
  <si>
    <t xml:space="preserve">Плоский шифер 10 мм</t>
  </si>
  <si>
    <t xml:space="preserve">Плоский шифер 12 мм</t>
  </si>
  <si>
    <t xml:space="preserve">Грунтовки, краски, лаки</t>
  </si>
  <si>
    <t xml:space="preserve">Грунт  1</t>
  </si>
  <si>
    <t xml:space="preserve">Грунт  2</t>
  </si>
  <si>
    <t xml:space="preserve">"Тонерол" Антисептик  бесцветный  1л</t>
  </si>
  <si>
    <t xml:space="preserve">"Тонерол" Антисептик  дуб  1л</t>
  </si>
  <si>
    <t xml:space="preserve">"Тонерол" Антисептик  махагон  1л</t>
  </si>
  <si>
    <t xml:space="preserve">"Тонерол" Антисептик  орегон  1л</t>
  </si>
  <si>
    <t xml:space="preserve">"Тонерол" Антисептик  орех  1л</t>
  </si>
  <si>
    <t xml:space="preserve">"Тонерол" Антисептик  палисандр  1л</t>
  </si>
  <si>
    <t xml:space="preserve">"Тонерол" Антисептик  сосна  1л</t>
  </si>
  <si>
    <t xml:space="preserve">"Тонерол" Антисептик  тик  1л</t>
  </si>
  <si>
    <t xml:space="preserve">"Радугамалер" Антисептик  бесцветный 1 л</t>
  </si>
  <si>
    <t xml:space="preserve">"Радугамалер" Антисептик  сосна 1 л</t>
  </si>
  <si>
    <t xml:space="preserve">"Радугамалер" Антисептик  дуб 1 л</t>
  </si>
  <si>
    <t xml:space="preserve">"Радугамалер" Антисептик  орех 1 л</t>
  </si>
  <si>
    <t xml:space="preserve">"Радугамалер" Антисептик  калужница 1 л</t>
  </si>
  <si>
    <t xml:space="preserve">"Радугамалер" Антисептик  палисандр 1 л</t>
  </si>
  <si>
    <t xml:space="preserve">"Радугамалер" Антисептик  орегон 1 л</t>
  </si>
  <si>
    <t xml:space="preserve">"Радугамалер" Антисептик  махагон 1 л</t>
  </si>
  <si>
    <t xml:space="preserve">"Профилюкс" Антисептик PROPITEX бесцветный  1л</t>
  </si>
  <si>
    <t xml:space="preserve">"Профилюкс" Антисептик PROPITEX дуб  1л</t>
  </si>
  <si>
    <t xml:space="preserve">"Профилюкс" Антисептик PROPITEX калужница  1л</t>
  </si>
  <si>
    <t xml:space="preserve">"Профилюкс" Антисептик PROPITEX махагон  1л</t>
  </si>
  <si>
    <t xml:space="preserve">"Профилюкс" Антисептик PROPITEX орегон  1л</t>
  </si>
  <si>
    <t xml:space="preserve">"Профилюкс" Антисептик PROPITEX орех  1л</t>
  </si>
  <si>
    <t xml:space="preserve">"Профилюкс" Антисептик PROPITEX палисандр  1л</t>
  </si>
  <si>
    <t xml:space="preserve">"Профилюкс" Антисептик PROPITEX рябина  1л</t>
  </si>
  <si>
    <t xml:space="preserve">"Профилюкс" Антисептик PROPITEX сосна  1л</t>
  </si>
  <si>
    <t xml:space="preserve">"Профилюкс" Антисептик PROPITEX тик  1л</t>
  </si>
  <si>
    <t xml:space="preserve">"Tikkurila" Антисептик"ВалтиКолорЭкстра" льняным маслом, 1л</t>
  </si>
  <si>
    <t xml:space="preserve">Лак для поверхностей 1</t>
  </si>
  <si>
    <t xml:space="preserve">Лак для поверхностей 2</t>
  </si>
  <si>
    <t xml:space="preserve">Грунтовка для внутренних работ 1</t>
  </si>
  <si>
    <t xml:space="preserve">Грунтовка для внутренних работ 2</t>
  </si>
  <si>
    <t xml:space="preserve">Нет краски</t>
  </si>
  <si>
    <t xml:space="preserve">Краска для стен внутренних 1</t>
  </si>
  <si>
    <t xml:space="preserve">Краска для стен внутренних 2</t>
  </si>
  <si>
    <t xml:space="preserve">Краска для потолка 1</t>
  </si>
  <si>
    <t xml:space="preserve">Краска для потолка 2</t>
  </si>
  <si>
    <t xml:space="preserve">Декоративная штукатурка и компоненты</t>
  </si>
  <si>
    <t xml:space="preserve">Нет штукатурки</t>
  </si>
  <si>
    <t xml:space="preserve">Декоративная штукатурка кароед 3 мм</t>
  </si>
  <si>
    <t xml:space="preserve">Декоративная штукатурка кароед серая 2 мм</t>
  </si>
  <si>
    <t xml:space="preserve">Декоративная штукатурка кароед шуба 3 мм</t>
  </si>
  <si>
    <t xml:space="preserve">Сетка штукатурная ПВС 40 Оцинкованная рулон</t>
  </si>
  <si>
    <t xml:space="preserve">Штукатурка для наружних работ</t>
  </si>
  <si>
    <t xml:space="preserve">Работы</t>
  </si>
  <si>
    <t xml:space="preserve">Монтаж плит ЖБИ</t>
  </si>
  <si>
    <t xml:space="preserve">Монтаж опалубки</t>
  </si>
  <si>
    <t xml:space="preserve">Укладка пленки гидроизоляционной</t>
  </si>
  <si>
    <t xml:space="preserve">Армирование перекрытия/плиты</t>
  </si>
  <si>
    <t xml:space="preserve">армирование фундамента ленты</t>
  </si>
  <si>
    <t xml:space="preserve">м.п</t>
  </si>
  <si>
    <t xml:space="preserve">армирование хомутов в ленте</t>
  </si>
  <si>
    <t xml:space="preserve">армирование свай скелет из арматуры</t>
  </si>
  <si>
    <t xml:space="preserve">армирование отмостки</t>
  </si>
  <si>
    <t xml:space="preserve">Заливка бетоном перекрытия/плиты</t>
  </si>
  <si>
    <t xml:space="preserve">Монтаж перекрытий из бруса</t>
  </si>
  <si>
    <t xml:space="preserve">Монтаж перекрытий Сип-панели</t>
  </si>
  <si>
    <t xml:space="preserve">Монтаж перекрытий из сухой доски</t>
  </si>
  <si>
    <t xml:space="preserve">Монтаж перекрытий из двутавровой балки</t>
  </si>
  <si>
    <t xml:space="preserve">Монтаж перекрестного пола</t>
  </si>
  <si>
    <t xml:space="preserve">Монтаж черновой пол</t>
  </si>
  <si>
    <t xml:space="preserve">Монтаж утеплителя перекрытия</t>
  </si>
  <si>
    <t xml:space="preserve">Монтаж утеплителя стен наружних</t>
  </si>
  <si>
    <t xml:space="preserve">Монтаж ветроизоляции перекрытий</t>
  </si>
  <si>
    <t xml:space="preserve">Монтаж пароизоляции перекрытий</t>
  </si>
  <si>
    <t xml:space="preserve">разбивка осей фундамента</t>
  </si>
  <si>
    <t xml:space="preserve">сборка опалубки</t>
  </si>
  <si>
    <t xml:space="preserve">разборка опалубки</t>
  </si>
  <si>
    <t xml:space="preserve">настил пленки</t>
  </si>
  <si>
    <t xml:space="preserve">укладка утеплителя под плиту</t>
  </si>
  <si>
    <t xml:space="preserve">укладка утеплителя под отмостка</t>
  </si>
  <si>
    <t xml:space="preserve">Обрезка винтовых свай по невелиру</t>
  </si>
  <si>
    <t xml:space="preserve">Наварка оголовка</t>
  </si>
  <si>
    <t xml:space="preserve">настил гидроизола</t>
  </si>
  <si>
    <t xml:space="preserve">Земляные работы</t>
  </si>
  <si>
    <t xml:space="preserve">трамбовка песок</t>
  </si>
  <si>
    <t xml:space="preserve">трамбовка пгс</t>
  </si>
  <si>
    <t xml:space="preserve">трамбовка скальник</t>
  </si>
  <si>
    <t xml:space="preserve">приемка бетона</t>
  </si>
  <si>
    <t xml:space="preserve">утепление фундамента</t>
  </si>
  <si>
    <t xml:space="preserve">утепление отмостки</t>
  </si>
  <si>
    <t xml:space="preserve">кладка сетки</t>
  </si>
  <si>
    <t xml:space="preserve">монтаж свай в ручную</t>
  </si>
  <si>
    <t xml:space="preserve">монтаж оголовков</t>
  </si>
  <si>
    <t xml:space="preserve">обвязка металлом свай</t>
  </si>
  <si>
    <t xml:space="preserve">заливка бетоном свай</t>
  </si>
  <si>
    <t xml:space="preserve">заливка бетоном отмостки</t>
  </si>
  <si>
    <t xml:space="preserve">укладка теп. Пола</t>
  </si>
  <si>
    <t xml:space="preserve">монтаж канализации</t>
  </si>
  <si>
    <t xml:space="preserve">укладка геотекстиля</t>
  </si>
  <si>
    <t xml:space="preserve">укладка дренажа</t>
  </si>
  <si>
    <t xml:space="preserve">монтаж дренажного колодца</t>
  </si>
  <si>
    <t xml:space="preserve">монтаж коллектора</t>
  </si>
  <si>
    <t xml:space="preserve">монтаж демпферная лента</t>
  </si>
  <si>
    <t xml:space="preserve">обработка праймер</t>
  </si>
  <si>
    <t xml:space="preserve">гидроизоляция стен</t>
  </si>
  <si>
    <t xml:space="preserve">Кладка блоков ФБС</t>
  </si>
  <si>
    <t xml:space="preserve">монтаж обвязочного бруса</t>
  </si>
  <si>
    <t xml:space="preserve">обработка мастикой</t>
  </si>
  <si>
    <t xml:space="preserve">монтаж наружних стен сиппанели</t>
  </si>
  <si>
    <t xml:space="preserve">Монтаж несущих перегородок сип панели</t>
  </si>
  <si>
    <t xml:space="preserve">Монтаж перегородок сип панели</t>
  </si>
  <si>
    <t xml:space="preserve">монтаж покрытия кровли</t>
  </si>
  <si>
    <t xml:space="preserve">монтаж стен каркаса</t>
  </si>
  <si>
    <t xml:space="preserve">Монтаж несущих перегородок</t>
  </si>
  <si>
    <t xml:space="preserve">Монтаж перегородок</t>
  </si>
  <si>
    <t xml:space="preserve">монтаж osb/фанера наруж стены</t>
  </si>
  <si>
    <t xml:space="preserve">монтаж osb/фанера перегородки</t>
  </si>
  <si>
    <t xml:space="preserve">монтаж osb/фанера пол</t>
  </si>
  <si>
    <t xml:space="preserve">монтаж osb/фанера потолок</t>
  </si>
  <si>
    <t xml:space="preserve">Монтаж вентиляционного зазора</t>
  </si>
  <si>
    <t xml:space="preserve">Монтаж технологического зазора</t>
  </si>
  <si>
    <t xml:space="preserve">утепление стен дома каркасного</t>
  </si>
  <si>
    <t xml:space="preserve">утепление перегородок каркасного дома</t>
  </si>
  <si>
    <t xml:space="preserve">монтаж ветроизоляции стен</t>
  </si>
  <si>
    <t xml:space="preserve">монтаж пароизоляции стен</t>
  </si>
  <si>
    <t xml:space="preserve">Каменные дома</t>
  </si>
  <si>
    <t xml:space="preserve">кладка газобетона несущие стены</t>
  </si>
  <si>
    <t xml:space="preserve">кладка газобетона несущие перегородки</t>
  </si>
  <si>
    <t xml:space="preserve">кладка газобетона перегородки</t>
  </si>
  <si>
    <t xml:space="preserve">кладка пенобетона несущие стены</t>
  </si>
  <si>
    <t xml:space="preserve">кладка пенобетона несущие перегородки</t>
  </si>
  <si>
    <t xml:space="preserve">кладка пенобетона перегородки</t>
  </si>
  <si>
    <t xml:space="preserve">кладка кирпича</t>
  </si>
  <si>
    <t xml:space="preserve">кладка перегородок из кирпича</t>
  </si>
  <si>
    <t xml:space="preserve">изготовление и монтаж перемычек для окон и дверей</t>
  </si>
  <si>
    <t xml:space="preserve">Замешивание раствора</t>
  </si>
  <si>
    <t xml:space="preserve">Армирование стен наружних и перегородок</t>
  </si>
  <si>
    <t xml:space="preserve">Установка опалубки для сейсмопояса</t>
  </si>
  <si>
    <t xml:space="preserve">Заливка бетоном сейсмопояса</t>
  </si>
  <si>
    <t xml:space="preserve">утепление стен снаружи дома</t>
  </si>
  <si>
    <t xml:space="preserve">Деревянные дома</t>
  </si>
  <si>
    <t xml:space="preserve">кладка бруса</t>
  </si>
  <si>
    <t xml:space="preserve">монтаж черновой пол</t>
  </si>
  <si>
    <t xml:space="preserve">окосячка проемов, м.п.</t>
  </si>
  <si>
    <t xml:space="preserve">кладка Дикого леса</t>
  </si>
  <si>
    <t xml:space="preserve">кладка Оцилиндрованного вревна</t>
  </si>
  <si>
    <t xml:space="preserve">кладка Профилированного бруса</t>
  </si>
  <si>
    <t xml:space="preserve">кладка Клееного бруса</t>
  </si>
  <si>
    <t xml:space="preserve">обработка торцов на брусе</t>
  </si>
  <si>
    <t xml:space="preserve">Монтаж накладки на перила</t>
  </si>
  <si>
    <t xml:space="preserve">Обаботка огнебиозащитой</t>
  </si>
  <si>
    <t xml:space="preserve">Пропитка стен внешних</t>
  </si>
  <si>
    <t xml:space="preserve">Пропитка внутенних стен</t>
  </si>
  <si>
    <t xml:space="preserve">Шлифовка стен дома</t>
  </si>
  <si>
    <t xml:space="preserve">Окна</t>
  </si>
  <si>
    <t xml:space="preserve">монтаж окон</t>
  </si>
  <si>
    <t xml:space="preserve">монтаж подоконника</t>
  </si>
  <si>
    <t xml:space="preserve">монтаж откосов внутренних</t>
  </si>
  <si>
    <t xml:space="preserve">монтаж направл внутренних откосов</t>
  </si>
  <si>
    <t xml:space="preserve">монтаж уголков внутренних откосов</t>
  </si>
  <si>
    <t xml:space="preserve">монтаж отлива</t>
  </si>
  <si>
    <t xml:space="preserve">монтаж откосов внешних</t>
  </si>
  <si>
    <t xml:space="preserve">монтаж направляющих внешних откосов</t>
  </si>
  <si>
    <t xml:space="preserve">монтаж уголков внешних откосов</t>
  </si>
  <si>
    <t xml:space="preserve">монтаж ветроизоляции</t>
  </si>
  <si>
    <t xml:space="preserve">монтаж пароизоляции</t>
  </si>
  <si>
    <t xml:space="preserve">монтаж французского окна</t>
  </si>
  <si>
    <t xml:space="preserve">Монтаж наличника</t>
  </si>
  <si>
    <t xml:space="preserve">Мансардные окна</t>
  </si>
  <si>
    <t xml:space="preserve">монтаж окон мансардных</t>
  </si>
  <si>
    <t xml:space="preserve">Кровля </t>
  </si>
  <si>
    <t xml:space="preserve">монтаж мауэрлат</t>
  </si>
  <si>
    <t xml:space="preserve">монтаж стропил</t>
  </si>
  <si>
    <t xml:space="preserve">обрешетка</t>
  </si>
  <si>
    <t xml:space="preserve">контробеш</t>
  </si>
  <si>
    <t xml:space="preserve">мембрана</t>
  </si>
  <si>
    <t xml:space="preserve">пароизоляц</t>
  </si>
  <si>
    <t xml:space="preserve">утеплитель</t>
  </si>
  <si>
    <t xml:space="preserve">Монтаж металлочерепицы</t>
  </si>
  <si>
    <t xml:space="preserve">Монтаж ондулина</t>
  </si>
  <si>
    <t xml:space="preserve">карнизная планка</t>
  </si>
  <si>
    <t xml:space="preserve">торцевая планка</t>
  </si>
  <si>
    <t xml:space="preserve">ветровая доска</t>
  </si>
  <si>
    <t xml:space="preserve">желоб водосточный</t>
  </si>
  <si>
    <t xml:space="preserve">ендова внутр/наружн</t>
  </si>
  <si>
    <t xml:space="preserve">Монтаж фанеры/osb</t>
  </si>
  <si>
    <t xml:space="preserve">монтаж подкладочного ковра</t>
  </si>
  <si>
    <t xml:space="preserve">Монтаж мягкой кровли</t>
  </si>
  <si>
    <t xml:space="preserve">Монтаж планки примыкания</t>
  </si>
  <si>
    <t xml:space="preserve">Отделка снаружи</t>
  </si>
  <si>
    <t xml:space="preserve">кладка кирпича облицов</t>
  </si>
  <si>
    <t xml:space="preserve">монтаж подсистемы</t>
  </si>
  <si>
    <t xml:space="preserve">сайдинг металл</t>
  </si>
  <si>
    <t xml:space="preserve">камень</t>
  </si>
  <si>
    <t xml:space="preserve">окрашивание поверхности</t>
  </si>
  <si>
    <t xml:space="preserve">лакирование пов-ти</t>
  </si>
  <si>
    <t xml:space="preserve">монтаж плоский шифер</t>
  </si>
  <si>
    <t xml:space="preserve">Монтаж евровагонка</t>
  </si>
  <si>
    <t xml:space="preserve">Монтаж вагонка штиль</t>
  </si>
  <si>
    <t xml:space="preserve">Монтаж софт лайн</t>
  </si>
  <si>
    <t xml:space="preserve">Монтаж блокхаус</t>
  </si>
  <si>
    <t xml:space="preserve">Оштукатуривание поверхности, подготовка</t>
  </si>
  <si>
    <t xml:space="preserve">Наклейка сетки</t>
  </si>
  <si>
    <t xml:space="preserve">Нанесение декоративной штукатурки</t>
  </si>
  <si>
    <t xml:space="preserve">Гидроизоляция рулонная</t>
  </si>
  <si>
    <t xml:space="preserve">цоколь</t>
  </si>
  <si>
    <t xml:space="preserve">монтаж отлив</t>
  </si>
  <si>
    <t xml:space="preserve">сайдинг металл сайдинг</t>
  </si>
  <si>
    <t xml:space="preserve">монтаж камень природ</t>
  </si>
  <si>
    <t xml:space="preserve">монтаж камень искуст-ый</t>
  </si>
  <si>
    <t xml:space="preserve">карнизы</t>
  </si>
  <si>
    <t xml:space="preserve">сайдинг</t>
  </si>
  <si>
    <t xml:space="preserve">монтаж леса стрительные</t>
  </si>
  <si>
    <t xml:space="preserve">отделка внутренняя</t>
  </si>
  <si>
    <t xml:space="preserve">монтаж гкл стены</t>
  </si>
  <si>
    <t xml:space="preserve">шпаклевка швов стены</t>
  </si>
  <si>
    <t xml:space="preserve">шпаклевка финишная стены</t>
  </si>
  <si>
    <t xml:space="preserve">оклейка обои</t>
  </si>
  <si>
    <t xml:space="preserve">покраска стен</t>
  </si>
  <si>
    <t xml:space="preserve">монтаж гкл потолок</t>
  </si>
  <si>
    <t xml:space="preserve">шпаклевка швов потолок</t>
  </si>
  <si>
    <t xml:space="preserve">шпаклевка финишная пот</t>
  </si>
  <si>
    <t xml:space="preserve">окраска потолка</t>
  </si>
  <si>
    <t xml:space="preserve">багем монтаж</t>
  </si>
  <si>
    <t xml:space="preserve">багет шпаклевка</t>
  </si>
  <si>
    <t xml:space="preserve">багет покраска</t>
  </si>
  <si>
    <t xml:space="preserve">подложка</t>
  </si>
  <si>
    <t xml:space="preserve">панели пластик стены</t>
  </si>
  <si>
    <t xml:space="preserve">панели пластик потолок</t>
  </si>
  <si>
    <t xml:space="preserve">двери межкомнатный</t>
  </si>
  <si>
    <t xml:space="preserve">установка дверей</t>
  </si>
  <si>
    <t xml:space="preserve">монтаж коробки</t>
  </si>
  <si>
    <t xml:space="preserve">монтаж наличников</t>
  </si>
  <si>
    <t xml:space="preserve">монтаж порожков</t>
  </si>
  <si>
    <t xml:space="preserve">монтаж отбойников</t>
  </si>
  <si>
    <t xml:space="preserve">Монтаж лестницы в доме</t>
  </si>
  <si>
    <t xml:space="preserve">цена1</t>
  </si>
  <si>
    <t xml:space="preserve">монтаж кабеля</t>
  </si>
  <si>
    <t xml:space="preserve">монтаж гофры</t>
  </si>
  <si>
    <t xml:space="preserve">монтаж коробок распределения</t>
  </si>
  <si>
    <t xml:space="preserve">монтаж коробок розеток</t>
  </si>
  <si>
    <t xml:space="preserve">монтаж коробок выключателей</t>
  </si>
  <si>
    <t xml:space="preserve">монтаж Щитка</t>
  </si>
  <si>
    <t xml:space="preserve">установка розеток</t>
  </si>
  <si>
    <t xml:space="preserve">установка выключателей</t>
  </si>
  <si>
    <t xml:space="preserve">Сверление стен для скрытой проводки</t>
  </si>
  <si>
    <t xml:space="preserve">Отопление</t>
  </si>
  <si>
    <t xml:space="preserve">монтаж трубы</t>
  </si>
  <si>
    <t xml:space="preserve">установка радиаторов</t>
  </si>
  <si>
    <t xml:space="preserve">обустройство  </t>
  </si>
  <si>
    <t xml:space="preserve">контроль за земляными </t>
  </si>
  <si>
    <t xml:space="preserve">контроль за бурением</t>
  </si>
  <si>
    <t xml:space="preserve">установка скважинного адаптера</t>
  </si>
  <si>
    <t xml:space="preserve">установка гидроаккумулятора</t>
  </si>
  <si>
    <t xml:space="preserve">монтаж автоматики</t>
  </si>
  <si>
    <t xml:space="preserve">прокладка пнд с утеплением</t>
  </si>
  <si>
    <t xml:space="preserve">прокачка скважины</t>
  </si>
  <si>
    <t xml:space="preserve">Септик</t>
  </si>
  <si>
    <t xml:space="preserve">монтаж дна</t>
  </si>
  <si>
    <t xml:space="preserve">монтаж колец</t>
  </si>
  <si>
    <t xml:space="preserve">монтаж крышки</t>
  </si>
  <si>
    <t xml:space="preserve">монтаж люка</t>
  </si>
  <si>
    <t xml:space="preserve">м/ж утепленной  канализации</t>
  </si>
  <si>
    <t xml:space="preserve">бетонирование септика</t>
  </si>
  <si>
    <t xml:space="preserve">Монтаж горловины для септика</t>
  </si>
  <si>
    <t xml:space="preserve">котел установка</t>
  </si>
  <si>
    <t xml:space="preserve">бойлер установка</t>
  </si>
  <si>
    <t xml:space="preserve">гребенка установка</t>
  </si>
  <si>
    <t xml:space="preserve">насос установка на отопл</t>
  </si>
  <si>
    <t xml:space="preserve">насос установка на гвс</t>
  </si>
  <si>
    <t xml:space="preserve">монтаж сбросного клапана</t>
  </si>
  <si>
    <t xml:space="preserve">монтаж датчика</t>
  </si>
  <si>
    <t xml:space="preserve">труба обвязка</t>
  </si>
  <si>
    <t xml:space="preserve">монтаж веранды/крыльцо</t>
  </si>
  <si>
    <t xml:space="preserve">монтаж лаги, перекрытия веранды</t>
  </si>
  <si>
    <t xml:space="preserve">монтаж OSB пол</t>
  </si>
  <si>
    <t xml:space="preserve">Монтаж перил</t>
  </si>
  <si>
    <t xml:space="preserve">от "22"07. 2017г.</t>
  </si>
  <si>
    <t xml:space="preserve">Длина дома, м.п.</t>
  </si>
  <si>
    <t xml:space="preserve">Ширина дома, м.п.</t>
  </si>
  <si>
    <t xml:space="preserve">Этажность дома</t>
  </si>
  <si>
    <t xml:space="preserve">S строения общая, м2</t>
  </si>
  <si>
    <t xml:space="preserve">S строения чистая, м2</t>
  </si>
  <si>
    <t xml:space="preserve">СМЕТНЫЙ РАСЧЕТ №4</t>
  </si>
  <si>
    <t xml:space="preserve">Приложение №3 К договору №12 от "22"07. 2017г.</t>
  </si>
  <si>
    <t xml:space="preserve">Наименование работ и затрат</t>
  </si>
  <si>
    <t xml:space="preserve">ед. изм.</t>
  </si>
  <si>
    <t xml:space="preserve">Цена ед.изм.</t>
  </si>
  <si>
    <t xml:space="preserve">Цена с накруткой</t>
  </si>
  <si>
    <t xml:space="preserve">Общая цена</t>
  </si>
  <si>
    <t xml:space="preserve">Цена по прайсу</t>
  </si>
  <si>
    <t xml:space="preserve">Фундамент ленточный, под стены цоколя</t>
  </si>
  <si>
    <t xml:space="preserve">Материалы</t>
  </si>
  <si>
    <t xml:space="preserve">Итого материалы</t>
  </si>
  <si>
    <t xml:space="preserve">Итого работы</t>
  </si>
  <si>
    <t xml:space="preserve">Стяжка в цокольном этаже</t>
  </si>
  <si>
    <t xml:space="preserve">Цокольный этаж из блоков ФБС</t>
  </si>
  <si>
    <t xml:space="preserve">Цокольный этаж из Монолит (бетон)</t>
  </si>
  <si>
    <t xml:space="preserve">Винтовые сваи для дома</t>
  </si>
  <si>
    <t xml:space="preserve">Винтовые сваи для террасы</t>
  </si>
  <si>
    <t xml:space="preserve">Винтовые сваи для крыльца</t>
  </si>
  <si>
    <t xml:space="preserve">Ленточный фундамент</t>
  </si>
  <si>
    <t xml:space="preserve">Сип-Панели</t>
  </si>
  <si>
    <t xml:space="preserve">Дом из Газобетона</t>
  </si>
  <si>
    <t xml:space="preserve">Дом из Пенобетона</t>
  </si>
  <si>
    <t xml:space="preserve">Итого материалы, рублей</t>
  </si>
  <si>
    <t xml:space="preserve">Итого работы, рублей</t>
  </si>
  <si>
    <t xml:space="preserve">Брусовой дом</t>
  </si>
  <si>
    <t xml:space="preserve">Дом из Дикого леса</t>
  </si>
  <si>
    <t xml:space="preserve">Дом из Оцилиндрованного бревна</t>
  </si>
  <si>
    <t xml:space="preserve">Дом из Профилированного бруса</t>
  </si>
  <si>
    <t xml:space="preserve">Дом из Клееного бруса</t>
  </si>
  <si>
    <t xml:space="preserve">Перекрытие 0-1-2 этажей</t>
  </si>
  <si>
    <t xml:space="preserve">Веранда/терасса деревянная</t>
  </si>
  <si>
    <t xml:space="preserve">Итого, работы</t>
  </si>
  <si>
    <t xml:space="preserve">Кровля четырехскатная</t>
  </si>
  <si>
    <t xml:space="preserve">Кровля Полу-Вальмовая</t>
  </si>
  <si>
    <t xml:space="preserve">Элементы на кровле</t>
  </si>
  <si>
    <t xml:space="preserve">Кровля на пристройке</t>
  </si>
  <si>
    <t xml:space="preserve">Кровля на Эркере</t>
  </si>
  <si>
    <t xml:space="preserve">Кровля на террасу/веранду</t>
  </si>
  <si>
    <t xml:space="preserve">Кровля на крыльцо</t>
  </si>
  <si>
    <t xml:space="preserve">Окна и двери</t>
  </si>
  <si>
    <t xml:space="preserve">монтаж откосов вн</t>
  </si>
  <si>
    <t xml:space="preserve">монтаж направл вн</t>
  </si>
  <si>
    <t xml:space="preserve">монтаж уголков вн</t>
  </si>
  <si>
    <t xml:space="preserve">монтаж откосов</t>
  </si>
  <si>
    <t xml:space="preserve">монтаж направляющ</t>
  </si>
  <si>
    <t xml:space="preserve">монтаж уголков</t>
  </si>
  <si>
    <t xml:space="preserve">монтаж франццзских окон</t>
  </si>
  <si>
    <t xml:space="preserve">сборка лестницы</t>
  </si>
  <si>
    <t xml:space="preserve">дом, стены</t>
  </si>
  <si>
    <t xml:space="preserve">кровля, подшивка свесов</t>
  </si>
  <si>
    <t xml:space="preserve">Чистовая отделка</t>
  </si>
  <si>
    <t xml:space="preserve">Стены</t>
  </si>
  <si>
    <t xml:space="preserve">Пол</t>
  </si>
  <si>
    <t xml:space="preserve">устанвка дверей</t>
  </si>
  <si>
    <t xml:space="preserve">установка скваж адап</t>
  </si>
  <si>
    <t xml:space="preserve">установка гидроаккум</t>
  </si>
  <si>
    <t xml:space="preserve">прокладка пнд с утепл</t>
  </si>
  <si>
    <t xml:space="preserve">Итого, рублей</t>
  </si>
  <si>
    <t xml:space="preserve">Расходные материалы</t>
  </si>
  <si>
    <t xml:space="preserve">Всего материалов, рублей</t>
  </si>
  <si>
    <t xml:space="preserve">Всего работы, рублей</t>
  </si>
  <si>
    <t xml:space="preserve">Всего транспортные расходы, рублей</t>
  </si>
  <si>
    <t xml:space="preserve">Всего, командировочные расходы, рублей</t>
  </si>
  <si>
    <t xml:space="preserve">Всего работ и материалов, рублей</t>
  </si>
  <si>
    <t xml:space="preserve">Составил: Инженер             _________________</t>
  </si>
  <si>
    <t xml:space="preserve">С перечнем работ и материалов, ознакомлен, с итоговой стоимостью согласен.</t>
  </si>
  <si>
    <t xml:space="preserve">Подпись Заказчика              _________________</t>
  </si>
  <si>
    <t xml:space="preserve">Подпись Подрядчика          _________________</t>
  </si>
  <si>
    <t xml:space="preserve">Приложение №</t>
  </si>
  <si>
    <t xml:space="preserve">к договору №__________ от __________2017г.</t>
  </si>
  <si>
    <t xml:space="preserve">Стоимость ед.изм в смете</t>
  </si>
  <si>
    <t xml:space="preserve">Итого, стоимость материалов</t>
  </si>
  <si>
    <t xml:space="preserve">Итого, стоимость материалов, рублей</t>
  </si>
  <si>
    <t xml:space="preserve">Всего материалов по смете/ расходов, рублей</t>
  </si>
  <si>
    <t xml:space="preserve">Всего транспортные расходы по смете, расходов, рублей</t>
  </si>
  <si>
    <t xml:space="preserve">Всего командировочные расходы по смете, расходов, рублей</t>
  </si>
  <si>
    <t xml:space="preserve">Всего материалов по смете, расходов, рублей</t>
  </si>
  <si>
    <t xml:space="preserve">размер стен каркас</t>
  </si>
  <si>
    <t xml:space="preserve">как считать </t>
  </si>
  <si>
    <t xml:space="preserve">Выбор материала первого этажа</t>
  </si>
  <si>
    <t xml:space="preserve">номер</t>
  </si>
  <si>
    <t xml:space="preserve">Считать по проекту, высотам</t>
  </si>
  <si>
    <t xml:space="preserve">подшивка карнизов</t>
  </si>
  <si>
    <t xml:space="preserve">Каркасный</t>
  </si>
  <si>
    <t xml:space="preserve">Выбор материала второго этажа</t>
  </si>
  <si>
    <t xml:space="preserve">Считать по эскизу, размерам</t>
  </si>
  <si>
    <t xml:space="preserve">Брус</t>
  </si>
  <si>
    <t xml:space="preserve">покрытие кровли</t>
  </si>
  <si>
    <t xml:space="preserve">Сайдинг виниловый</t>
  </si>
  <si>
    <t xml:space="preserve">Перегородки первого этажа несущие и простые</t>
  </si>
  <si>
    <t xml:space="preserve">Ондулин кровля</t>
  </si>
  <si>
    <t xml:space="preserve">подсистема для ГКЛ</t>
  </si>
  <si>
    <t xml:space="preserve">Сиппанели</t>
  </si>
  <si>
    <t xml:space="preserve">Выбор материала несущих перегородок</t>
  </si>
  <si>
    <t xml:space="preserve">Сип панели 224мм</t>
  </si>
  <si>
    <t xml:space="preserve">Выбор типа несущих перегородок</t>
  </si>
  <si>
    <t xml:space="preserve">Подсистема из металло профиля</t>
  </si>
  <si>
    <t xml:space="preserve">Выбор материала перегородок</t>
  </si>
  <si>
    <t xml:space="preserve">Подсистема деревянный брусок</t>
  </si>
  <si>
    <t xml:space="preserve">Сип панели 174мм</t>
  </si>
  <si>
    <t xml:space="preserve">Выбор типа перегородок</t>
  </si>
  <si>
    <t xml:space="preserve">вент зазор</t>
  </si>
  <si>
    <t xml:space="preserve">Перегородки второго этажа несущие и простые</t>
  </si>
  <si>
    <t xml:space="preserve">нет подсистемы</t>
  </si>
  <si>
    <t xml:space="preserve">Кирпич</t>
  </si>
  <si>
    <t xml:space="preserve">деревянная подсистема, брусок</t>
  </si>
  <si>
    <t xml:space="preserve">Термоблок  фактурованный 200х290х390</t>
  </si>
  <si>
    <t xml:space="preserve">металлическая подсистема, профиль г-обр</t>
  </si>
  <si>
    <t xml:space="preserve">сип панели</t>
  </si>
  <si>
    <t xml:space="preserve">Линолеум</t>
  </si>
  <si>
    <t xml:space="preserve">Ламинат</t>
  </si>
  <si>
    <t xml:space="preserve">Нет отделки дома</t>
  </si>
  <si>
    <t xml:space="preserve">ШиферПлоский</t>
  </si>
  <si>
    <t xml:space="preserve">КирпичОблицовочный</t>
  </si>
  <si>
    <t xml:space="preserve">натяжной</t>
  </si>
  <si>
    <t xml:space="preserve">ОтделкаДеревом</t>
  </si>
  <si>
    <t xml:space="preserve">Планкен + камень</t>
  </si>
  <si>
    <t xml:space="preserve">Монолитные стены</t>
  </si>
  <si>
    <t xml:space="preserve">КаменьИскуственный</t>
  </si>
  <si>
    <t xml:space="preserve">шаг перекрытий</t>
  </si>
  <si>
    <t xml:space="preserve">монтаж свай</t>
  </si>
  <si>
    <t xml:space="preserve">Монтаж свай вручную</t>
  </si>
  <si>
    <t xml:space="preserve">Цоколь</t>
  </si>
  <si>
    <t xml:space="preserve">Доставка</t>
  </si>
  <si>
    <t xml:space="preserve">Декоративная штукатурка</t>
  </si>
  <si>
    <t xml:space="preserve">санузел стены</t>
  </si>
  <si>
    <t xml:space="preserve">Дом из кирпича</t>
  </si>
  <si>
    <t xml:space="preserve">Дом из газобетона</t>
  </si>
  <si>
    <t xml:space="preserve">Стеновые панели на стены</t>
  </si>
  <si>
    <t xml:space="preserve">Дом из пенобеотона</t>
  </si>
  <si>
    <t xml:space="preserve">Дом из пенополистирольных блоков</t>
  </si>
  <si>
    <t xml:space="preserve">сан узел потолок</t>
  </si>
  <si>
    <t xml:space="preserve">толщина стен газобет</t>
  </si>
  <si>
    <t xml:space="preserve">деревянное перекрытие</t>
  </si>
  <si>
    <t xml:space="preserve">Стеновые панели потолок</t>
  </si>
  <si>
    <t xml:space="preserve">Перекрытие</t>
  </si>
  <si>
    <t xml:space="preserve">Натяжной потолок</t>
  </si>
  <si>
    <t xml:space="preserve">Нет перекрытия</t>
  </si>
  <si>
    <t xml:space="preserve">Деревянное перекрытие, брус</t>
  </si>
  <si>
    <t xml:space="preserve">пол санузел</t>
  </si>
  <si>
    <t xml:space="preserve">ЖБИ перекрытие</t>
  </si>
  <si>
    <t xml:space="preserve">Монолитное бетонное перекрытие</t>
  </si>
  <si>
    <t xml:space="preserve">Двутавровые деревянные балки</t>
  </si>
  <si>
    <t xml:space="preserve">Контрлаги считать </t>
  </si>
  <si>
    <t xml:space="preserve">Контрлаги не считать</t>
  </si>
  <si>
    <t xml:space="preserve">Стены монолит бетон</t>
  </si>
  <si>
    <t xml:space="preserve">Не буду считать</t>
  </si>
  <si>
    <t xml:space="preserve">материал для балкона</t>
  </si>
  <si>
    <t xml:space="preserve">Нет материала</t>
  </si>
  <si>
    <t xml:space="preserve">Дом из Бруса</t>
  </si>
  <si>
    <t xml:space="preserve">бревно</t>
  </si>
  <si>
    <t xml:space="preserve">брус</t>
  </si>
  <si>
    <t xml:space="preserve">блоки</t>
  </si>
  <si>
    <t xml:space="preserve">Дом из бревен</t>
  </si>
  <si>
    <t xml:space="preserve">перекрытие балкона</t>
  </si>
  <si>
    <t xml:space="preserve">Монолит бетон</t>
  </si>
  <si>
    <t xml:space="preserve">отопление</t>
  </si>
  <si>
    <t xml:space="preserve">Система отопления однотрубная</t>
  </si>
  <si>
    <t xml:space="preserve">Нет дна бетонного</t>
  </si>
  <si>
    <t xml:space="preserve">Нет колец бетонных</t>
  </si>
  <si>
    <t xml:space="preserve">Нет Фундамента</t>
  </si>
  <si>
    <t xml:space="preserve">Фундамент Ленточный</t>
  </si>
  <si>
    <t xml:space="preserve">Фундамент Винтовые сваи</t>
  </si>
  <si>
    <t xml:space="preserve">Нет крышки бетонной</t>
  </si>
  <si>
    <t xml:space="preserve">Фундамент Плита УШП</t>
  </si>
  <si>
    <t xml:space="preserve">Нет кровли</t>
  </si>
  <si>
    <t xml:space="preserve">Кровля Односкатная, скат по длине дома</t>
  </si>
  <si>
    <t xml:space="preserve">Кровля Односкатная, скат по ширине дома</t>
  </si>
  <si>
    <t xml:space="preserve">Кровля Вальмовая (Четырехскатная)</t>
  </si>
  <si>
    <t xml:space="preserve">этажность</t>
  </si>
  <si>
    <t xml:space="preserve">1 эт + 2-ой мансарда с перекрытием</t>
  </si>
  <si>
    <t xml:space="preserve">выпуски</t>
  </si>
  <si>
    <t xml:space="preserve">Нет выпусков</t>
  </si>
  <si>
    <t xml:space="preserve">Различные выпуски по длине в доме</t>
  </si>
  <si>
    <t xml:space="preserve">кровля на пристройке</t>
  </si>
  <si>
    <t xml:space="preserve">Нет кровли на пристройке</t>
  </si>
  <si>
    <t xml:space="preserve">Вальмовая кровля</t>
  </si>
  <si>
    <t xml:space="preserve">место монтажа кровли</t>
  </si>
  <si>
    <t xml:space="preserve">ниже основной кровли</t>
  </si>
  <si>
    <t xml:space="preserve">слияние с основной кровлей</t>
  </si>
  <si>
    <t xml:space="preserve">выше основной кровли</t>
  </si>
  <si>
    <t xml:space="preserve">Место монтажа пристройки</t>
  </si>
  <si>
    <t xml:space="preserve">Пристройка к фр-ну, слияние с боковой стеной</t>
  </si>
  <si>
    <t xml:space="preserve">Пристройка к боку дома, слияние с фронтоном</t>
  </si>
  <si>
    <t xml:space="preserve">высота боковых стен дома</t>
  </si>
  <si>
    <t xml:space="preserve">Высота боковых стен дома разная</t>
  </si>
  <si>
    <t xml:space="preserve">Конек где находится</t>
  </si>
  <si>
    <t xml:space="preserve">Конек не по центру дома</t>
  </si>
  <si>
    <t xml:space="preserve">Перекрытие 0 этажа делать</t>
  </si>
  <si>
    <t xml:space="preserve">Перекрытие 0 этажа не делать</t>
  </si>
  <si>
    <t xml:space="preserve">Ширина А1</t>
  </si>
  <si>
    <t xml:space="preserve">Ширина А2</t>
  </si>
  <si>
    <t xml:space="preserve">Аттиковая стена левая</t>
  </si>
  <si>
    <t xml:space="preserve">Высота С1</t>
  </si>
  <si>
    <t xml:space="preserve">Высота С2</t>
  </si>
  <si>
    <t xml:space="preserve">Высота D1</t>
  </si>
  <si>
    <t xml:space="preserve">Высота D2</t>
  </si>
  <si>
    <t xml:space="preserve">стены перегородки 1 эт</t>
  </si>
  <si>
    <t xml:space="preserve">стены перегородки 2 эт</t>
  </si>
  <si>
    <t xml:space="preserve">нес перег</t>
  </si>
  <si>
    <t xml:space="preserve">прост перег</t>
  </si>
  <si>
    <t xml:space="preserve">наружние</t>
  </si>
  <si>
    <t xml:space="preserve">несущие</t>
  </si>
  <si>
    <t xml:space="preserve">простыне</t>
  </si>
  <si>
    <t xml:space="preserve">Дом не строить</t>
  </si>
  <si>
    <t xml:space="preserve">Газобетон дом</t>
  </si>
  <si>
    <t xml:space="preserve">Пенобетон дом</t>
  </si>
  <si>
    <t xml:space="preserve">Сип панели дом</t>
  </si>
  <si>
    <t xml:space="preserve">Клееный брус дом</t>
  </si>
  <si>
    <t xml:space="preserve">Профилированный брус дом</t>
  </si>
  <si>
    <t xml:space="preserve">радиан</t>
  </si>
  <si>
    <t xml:space="preserve">из таблицы</t>
  </si>
  <si>
    <t xml:space="preserve">двускатная кровля 1</t>
  </si>
  <si>
    <t xml:space="preserve">второй скат</t>
  </si>
  <si>
    <t xml:space="preserve">Дикое бревно</t>
  </si>
  <si>
    <t xml:space="preserve">Оцилиндрованное бревно</t>
  </si>
  <si>
    <t xml:space="preserve">1-ый эт кирпич 2-ой эт пенобетон</t>
  </si>
  <si>
    <t xml:space="preserve">1-ый эт кирпич 2-ой эт брус</t>
  </si>
  <si>
    <t xml:space="preserve">1-ый эт кирпич 2-ой эт клееный брус</t>
  </si>
  <si>
    <t xml:space="preserve">1-ый эт кирпич 2-ой эт профилированый брус</t>
  </si>
  <si>
    <t xml:space="preserve">1-ый эт кирпич 2-ой эт дикое бревно</t>
  </si>
  <si>
    <t xml:space="preserve">1-ый эт кирпич 2-ой эт оцилиндр бревно</t>
  </si>
  <si>
    <t xml:space="preserve">1-ый эт кирпич 2-ой эт сип панели</t>
  </si>
  <si>
    <t xml:space="preserve">1-ый эт кирпич 2-ой эт каркасник</t>
  </si>
  <si>
    <t xml:space="preserve">1-ый эт кирпич 2-ой эт газобетон</t>
  </si>
  <si>
    <t xml:space="preserve">1-ый эт газобетон 2-ой эт брус</t>
  </si>
  <si>
    <t xml:space="preserve">1-ый эт газобетон 2-ой эт клееный брус</t>
  </si>
  <si>
    <t xml:space="preserve">1-ый эт газобетон 2-ой эт профилированый брус</t>
  </si>
  <si>
    <t xml:space="preserve">1-ый эт газобетон 2-ой эт дикое бревно</t>
  </si>
  <si>
    <t xml:space="preserve">1-ый эт газобетон 2-ой эт оцилиндр бревно</t>
  </si>
  <si>
    <t xml:space="preserve">1-ый эт газобетон 2-ой эт сип панели</t>
  </si>
  <si>
    <t xml:space="preserve">1-ый эт газобетон 2-ой эт каркасник</t>
  </si>
  <si>
    <t xml:space="preserve">1-ый эт газобетон 2-ой эт пенобетон</t>
  </si>
  <si>
    <t xml:space="preserve">1-ый эт пенобетон 2-ой эт газобетон</t>
  </si>
  <si>
    <t xml:space="preserve">1-ый эт пенобетон 2-ой эт брус</t>
  </si>
  <si>
    <t xml:space="preserve">1-ый эт пенобетон 2-ой эт профилированый брус</t>
  </si>
  <si>
    <t xml:space="preserve">1-ый эт пенобетон 2-ой эт оцилиндр бревно</t>
  </si>
  <si>
    <t xml:space="preserve">1-ый эт пенобетон 2-ой эт сип панели</t>
  </si>
  <si>
    <t xml:space="preserve">1-ый эт пенобетон 2-ой эт каркасник</t>
  </si>
  <si>
    <t xml:space="preserve">1-ый эт брус 2-ой эт каркасник</t>
  </si>
  <si>
    <t xml:space="preserve">итого</t>
  </si>
  <si>
    <t xml:space="preserve">наружн стены 1</t>
  </si>
  <si>
    <t xml:space="preserve">нес пер 1 эт</t>
  </si>
  <si>
    <t xml:space="preserve">прост пер 1 эт</t>
  </si>
  <si>
    <t xml:space="preserve">Вся площадь в доме используется</t>
  </si>
  <si>
    <t xml:space="preserve">наружн стены 2</t>
  </si>
  <si>
    <t xml:space="preserve">Площадь в доме не используется</t>
  </si>
  <si>
    <t xml:space="preserve">нес пер 2 эт</t>
  </si>
  <si>
    <t xml:space="preserve">Сделать террасу в середине дома</t>
  </si>
  <si>
    <t xml:space="preserve">прост пер 2 эт</t>
  </si>
  <si>
    <t xml:space="preserve">Сделать терассу с края дома</t>
  </si>
  <si>
    <t xml:space="preserve">Сделать балкон в середине дома</t>
  </si>
  <si>
    <t xml:space="preserve">Сделать балкон с края дома</t>
  </si>
  <si>
    <t xml:space="preserve">для перекрытия сип панели</t>
  </si>
  <si>
    <t xml:space="preserve">толщина</t>
  </si>
  <si>
    <t xml:space="preserve">Доска сухая, 100*50мм</t>
  </si>
  <si>
    <t xml:space="preserve">Брус естественной влажности, 200*100мм</t>
  </si>
  <si>
    <t xml:space="preserve">Брус естественной влажности, 150*100мм</t>
  </si>
  <si>
    <t xml:space="preserve">Доска естественной влажности, 150*50мм</t>
  </si>
  <si>
    <t xml:space="preserve">Монолит, бетон, 300мм, 2 слоя</t>
  </si>
  <si>
    <t xml:space="preserve">Монолит, бетон, 300мм, 1 слой</t>
  </si>
  <si>
    <t xml:space="preserve">Монолит, бетон, 250мм, 2 слоя</t>
  </si>
  <si>
    <t xml:space="preserve">Монолит, бетон, 250мм, 1 слой</t>
  </si>
  <si>
    <t xml:space="preserve">Монолит, бетон, 200мм, 1 слой</t>
  </si>
  <si>
    <t xml:space="preserve">Монолит, бетон, 150мм, 2 слоя</t>
  </si>
  <si>
    <t xml:space="preserve">Монолит, бетон, 150мм, 1 слой</t>
  </si>
  <si>
    <t xml:space="preserve">Высота от перекрытя 1-го эт. до конька</t>
  </si>
  <si>
    <t xml:space="preserve">Аттиковая стена, мансардный 2 этаж</t>
  </si>
  <si>
    <t xml:space="preserve">Доска сырая, 100*50</t>
  </si>
  <si>
    <t xml:space="preserve">Доска сухая, 100*50</t>
  </si>
  <si>
    <t xml:space="preserve">Доска сухая калиброванная, 100*45</t>
  </si>
  <si>
    <t xml:space="preserve">Газобетон</t>
  </si>
  <si>
    <t xml:space="preserve">V одного блока</t>
  </si>
  <si>
    <t xml:space="preserve">цена за 1 м3</t>
  </si>
  <si>
    <t xml:space="preserve">работа</t>
  </si>
  <si>
    <t xml:space="preserve">работа за м2</t>
  </si>
  <si>
    <t xml:space="preserve">угловой внутренний</t>
  </si>
  <si>
    <t xml:space="preserve">угловой</t>
  </si>
  <si>
    <t xml:space="preserve">поясной блок</t>
  </si>
  <si>
    <t xml:space="preserve">Термоблок  фактурованный 200х390х390</t>
  </si>
  <si>
    <t xml:space="preserve">200х390х590 угловой внутренний</t>
  </si>
  <si>
    <t xml:space="preserve">200х390х590 угловой внешний</t>
  </si>
  <si>
    <t xml:space="preserve">Термоблок поясной фактурованный 200х390х390</t>
  </si>
  <si>
    <t xml:space="preserve">Поясной 198х340х538 угловой внутренний200х390х590 угловой внутренний</t>
  </si>
  <si>
    <t xml:space="preserve">Поясной 200х390х590 угловой внешний</t>
  </si>
  <si>
    <t xml:space="preserve">Термоблок  фактурованный 198х340х398 </t>
  </si>
  <si>
    <t xml:space="preserve">198х340х538 угловой внутренний</t>
  </si>
  <si>
    <t xml:space="preserve">198х340х538 угловой внешний</t>
  </si>
  <si>
    <t xml:space="preserve">Термоблок  поясной фактурованный 198х340х398 </t>
  </si>
  <si>
    <t xml:space="preserve">Поясной 198х340х538 угловой внутренний</t>
  </si>
  <si>
    <t xml:space="preserve">Поясной 198х340х538 угловой внешний</t>
  </si>
  <si>
    <t xml:space="preserve">200х290х490 угловой внутренний</t>
  </si>
  <si>
    <t xml:space="preserve">200х290х490 угловой внешний</t>
  </si>
  <si>
    <t xml:space="preserve">Термоблок  поясной фактурованный 200х290х390</t>
  </si>
  <si>
    <t xml:space="preserve">Поясной 200х290х490 угловой внутренний</t>
  </si>
  <si>
    <t xml:space="preserve">Поясной 200х290х490 угловой внешний</t>
  </si>
  <si>
    <t xml:space="preserve">Термоблок не фактурованный 200х400х390</t>
  </si>
  <si>
    <t xml:space="preserve">200х400х600 угловой внутренний</t>
  </si>
  <si>
    <t xml:space="preserve">200х400х600 угловой внешний</t>
  </si>
  <si>
    <t xml:space="preserve">Термоблок поясной  не фактурованный 200х400х390</t>
  </si>
  <si>
    <t xml:space="preserve">Поясной200х400х600 угловой внутренний</t>
  </si>
  <si>
    <t xml:space="preserve">Поясной 200х400х600 угловой внешний</t>
  </si>
  <si>
    <t xml:space="preserve">Термоблок не фактурованный 198х350х398</t>
  </si>
  <si>
    <t xml:space="preserve">198х350х548 угловой внутренний</t>
  </si>
  <si>
    <t xml:space="preserve">198х350х548 угловой внешний</t>
  </si>
  <si>
    <t xml:space="preserve">Термоблок поясной  не фактурованный 198х350х398</t>
  </si>
  <si>
    <t xml:space="preserve">Поясной 198х350х548 угловой внутренний</t>
  </si>
  <si>
    <t xml:space="preserve">Поясной 198х350х548 угловой внешний</t>
  </si>
  <si>
    <t xml:space="preserve">Термоблок не фактурованный 200х300х390</t>
  </si>
  <si>
    <t xml:space="preserve">200х300х500 угловой внутренний</t>
  </si>
  <si>
    <t xml:space="preserve">200х300х500 угловой внешний</t>
  </si>
  <si>
    <t xml:space="preserve">Термоблок поясной не фактурованный 200х300х390</t>
  </si>
  <si>
    <t xml:space="preserve">Поясной 200х300х500 угловой внутренний</t>
  </si>
  <si>
    <t xml:space="preserve">Поясной 200х300х500 угловой внешний</t>
  </si>
  <si>
    <t xml:space="preserve">Газоблок  фактурованный 200х390х390</t>
  </si>
  <si>
    <t xml:space="preserve">Газоблок  поясной фактурованный 200х390х390</t>
  </si>
  <si>
    <t xml:space="preserve">Поясной 200х390х590 угловой внутренний</t>
  </si>
  <si>
    <t xml:space="preserve">Газоблок  фактурованный 198х340х398</t>
  </si>
  <si>
    <t xml:space="preserve">Газоблок  поясной фактурованный 198х340х398</t>
  </si>
  <si>
    <t xml:space="preserve">Газоблок  фактурованный 200х290х390</t>
  </si>
  <si>
    <t xml:space="preserve">Газоблок  поясной фактурованный 200х290х390</t>
  </si>
  <si>
    <t xml:space="preserve">Газоблок поясной D1000 200х300х390 </t>
  </si>
  <si>
    <t xml:space="preserve">Газоблок поясной  D1000 200х400х390 </t>
  </si>
  <si>
    <t xml:space="preserve">Поясной 200х400х600 угловой внутренний</t>
  </si>
  <si>
    <t xml:space="preserve">200х100х600 угловой внутренний</t>
  </si>
  <si>
    <t xml:space="preserve">200х100х600 угловой внешний</t>
  </si>
  <si>
    <t xml:space="preserve">Газоблокпоясной  D400 200х100х390 </t>
  </si>
  <si>
    <t xml:space="preserve">Поясной 200х100х600 угловой внутренний</t>
  </si>
  <si>
    <t xml:space="preserve">Поясной 200х100х600 угловой внешний</t>
  </si>
  <si>
    <t xml:space="preserve">200х200х600 угловой внутренний</t>
  </si>
  <si>
    <t xml:space="preserve">200х200х600 угловой внешний</t>
  </si>
  <si>
    <t xml:space="preserve">Газоблок поясной  D400 200х200х390 </t>
  </si>
  <si>
    <t xml:space="preserve">Поясной 200х200х600 угловой внутренний</t>
  </si>
  <si>
    <t xml:space="preserve">Поясной 200х200х600 угловой внешний</t>
  </si>
  <si>
    <t xml:space="preserve">200х300х600 угловой внутренний</t>
  </si>
  <si>
    <t xml:space="preserve">200х300х600 угловой внешний</t>
  </si>
  <si>
    <t xml:space="preserve">Газоблок поясной D400 200х300х390 </t>
  </si>
  <si>
    <t xml:space="preserve">Поясной 200х300х600 угловой внутренний</t>
  </si>
  <si>
    <t xml:space="preserve">Поясной 200х300х600 угловой внешний</t>
  </si>
  <si>
    <t xml:space="preserve">Газоблок поясной D400 200х400х390 </t>
  </si>
  <si>
    <t xml:space="preserve">Газоблок D500 200х100х390 </t>
  </si>
  <si>
    <t xml:space="preserve">Газоблок поясной D500 200х100х390 </t>
  </si>
  <si>
    <t xml:space="preserve">Газоблок D500 200х200х390 </t>
  </si>
  <si>
    <t xml:space="preserve">Газоблок поясной D500 200х200х390 </t>
  </si>
  <si>
    <t xml:space="preserve">Газоблок поясной D500 200х300х390 </t>
  </si>
  <si>
    <t xml:space="preserve">Газоблок поясной D500 200х400х390 </t>
  </si>
  <si>
    <t xml:space="preserve">Газоблок D600 200х100х390 </t>
  </si>
  <si>
    <t xml:space="preserve">Газоблок поясной D600 200х100х390 </t>
  </si>
  <si>
    <t xml:space="preserve">Газоблок D600 200х200х390 </t>
  </si>
  <si>
    <t xml:space="preserve">Газоблок поясной D600 200х200х390 </t>
  </si>
  <si>
    <t xml:space="preserve">Газоблок поясной D600 200х300х390 </t>
  </si>
  <si>
    <t xml:space="preserve">Газоблок поясной D600 200х400х390 </t>
  </si>
  <si>
    <t xml:space="preserve">Газоблок D700 200х100х390 </t>
  </si>
  <si>
    <t xml:space="preserve">Газоблок поясной D700 200х100х390 </t>
  </si>
  <si>
    <t xml:space="preserve">Газоблок D700 200х200х390 </t>
  </si>
  <si>
    <t xml:space="preserve">Газоблок поясной D700 200х200х390 </t>
  </si>
  <si>
    <t xml:space="preserve">Газоблок поясной D700 200х300х390 </t>
  </si>
  <si>
    <t xml:space="preserve">Газоблок поясной D700 200х400х390 </t>
  </si>
  <si>
    <t xml:space="preserve">Блок Газобетонный D400 250*100*625 В 2,5</t>
  </si>
  <si>
    <t xml:space="preserve">250х100х625 угловой внутренний</t>
  </si>
  <si>
    <t xml:space="preserve">250х100х625 угловой внешний</t>
  </si>
  <si>
    <t xml:space="preserve">Газобетонный поясной D400 250*100*625 В 2,5</t>
  </si>
  <si>
    <t xml:space="preserve">Поясной 250х100х625 угловой внутренний</t>
  </si>
  <si>
    <t xml:space="preserve">Поясной 250х100х625 угловой внешний</t>
  </si>
  <si>
    <t xml:space="preserve">Блок Газобетонный D400 250*200*625 В 2,5</t>
  </si>
  <si>
    <t xml:space="preserve">250х200х625 угловой внутренний</t>
  </si>
  <si>
    <t xml:space="preserve">250х200х625 угловой внешний</t>
  </si>
  <si>
    <t xml:space="preserve">Газобетонный поясной D400 250*200*625 В 2,5</t>
  </si>
  <si>
    <t xml:space="preserve">Поясной 250х200х625 угловой внутренний</t>
  </si>
  <si>
    <t xml:space="preserve">Поясной 250х200х625 угловой внешний</t>
  </si>
  <si>
    <t xml:space="preserve">250*200*200</t>
  </si>
  <si>
    <t xml:space="preserve">Блок Газобетонный D400 250*240*625 В 2,5</t>
  </si>
  <si>
    <t xml:space="preserve">250х240х625 угловой внутренний</t>
  </si>
  <si>
    <t xml:space="preserve">250х240х625 угловой внешний</t>
  </si>
  <si>
    <t xml:space="preserve">Газобетонный поясной D400 250*240*625 В 2,5</t>
  </si>
  <si>
    <t xml:space="preserve">Поясной 250х240х625 угловой внутренний</t>
  </si>
  <si>
    <t xml:space="preserve">Поясной 250х240х625 угловой внешний</t>
  </si>
  <si>
    <t xml:space="preserve">250*240*200</t>
  </si>
  <si>
    <t xml:space="preserve">Блок Газобетонный D400 250*300*625 В 2,5</t>
  </si>
  <si>
    <t xml:space="preserve">250х300х625 угловой внутренний</t>
  </si>
  <si>
    <t xml:space="preserve">250х300х625 угловой внешний</t>
  </si>
  <si>
    <t xml:space="preserve">Газобетонный поясной D400 250*300*625 В 2,5</t>
  </si>
  <si>
    <t xml:space="preserve">Поясной 250х300х625 угловой внутренний</t>
  </si>
  <si>
    <t xml:space="preserve">Поясной 250х300х625 угловой внешний</t>
  </si>
  <si>
    <t xml:space="preserve">250*300*200</t>
  </si>
  <si>
    <t xml:space="preserve">Блок Газобетонный D400 250*400*625 В 2,5</t>
  </si>
  <si>
    <t xml:space="preserve">250х400х625 угловой внутренний</t>
  </si>
  <si>
    <t xml:space="preserve">250х400х625 угловой внешний</t>
  </si>
  <si>
    <t xml:space="preserve">Газобетонный поясной D400 250*400*625 В 2,5</t>
  </si>
  <si>
    <t xml:space="preserve">Поясной 250х400х625 угловой внутренний</t>
  </si>
  <si>
    <t xml:space="preserve">Поясной 250х400х625 угловой внешний</t>
  </si>
  <si>
    <t xml:space="preserve">250*400*200</t>
  </si>
  <si>
    <t xml:space="preserve">Блок Газобетонный D500 250*100*625 В 2,5</t>
  </si>
  <si>
    <t xml:space="preserve">Газобетонный поясной D500 250*100*625 В 2,5</t>
  </si>
  <si>
    <t xml:space="preserve">Блок Газобетонный D500 250*200*625 В 2,5</t>
  </si>
  <si>
    <t xml:space="preserve">Газобетонный поясной D500 250*200*625 В 2,5</t>
  </si>
  <si>
    <t xml:space="preserve">Блок Газобетонный D500 250*240*625 В 2,5</t>
  </si>
  <si>
    <t xml:space="preserve">Газобетонный поясной D500 250*240*625 В 2,5</t>
  </si>
  <si>
    <t xml:space="preserve">Блок Газобетонный D500 250*300*625 В 2,5</t>
  </si>
  <si>
    <t xml:space="preserve">Газобетонный поясной D500 250*300*625 В 2,5</t>
  </si>
  <si>
    <t xml:space="preserve">Блок Газобетонный D500 250*400*625 В 2,5</t>
  </si>
  <si>
    <t xml:space="preserve">Газобетонный поясной D500 250*400*625 В 2,5</t>
  </si>
  <si>
    <t xml:space="preserve">Блок Газобетонный D600 250*100*625 В 2,5</t>
  </si>
  <si>
    <t xml:space="preserve">Газобетонный поясной D600 250*100*625 В 2,5</t>
  </si>
  <si>
    <t xml:space="preserve">Блок Газобетонный D600 250*200*625 В 2,5</t>
  </si>
  <si>
    <t xml:space="preserve">Газобетонный поясной D600 250*200*625 В 2,5</t>
  </si>
  <si>
    <t xml:space="preserve">Блок Газобетонный D600 250*240*625 В 2,5</t>
  </si>
  <si>
    <t xml:space="preserve">Газобетонный поясной D600 250*240*625 В 2,5</t>
  </si>
  <si>
    <t xml:space="preserve">Блок Газобетонный D600 250*300*625 В 2,5</t>
  </si>
  <si>
    <t xml:space="preserve">Газобетонный поясной D600 250*300*625 В 2,5</t>
  </si>
  <si>
    <t xml:space="preserve">Блок Газобетонный D600 250*400*625 В 2,5</t>
  </si>
  <si>
    <t xml:space="preserve">Газобетонный поясной D600 250*400*625 В 2,5</t>
  </si>
  <si>
    <t xml:space="preserve">Раствор собственного изготовления</t>
  </si>
  <si>
    <t xml:space="preserve">Цемент, м250, 50 кг</t>
  </si>
  <si>
    <t xml:space="preserve">Песок,м3</t>
  </si>
  <si>
    <t xml:space="preserve">БрусПрофилированный</t>
  </si>
  <si>
    <t xml:space="preserve">БрусПрофилированныйсухой</t>
  </si>
  <si>
    <t xml:space="preserve">БрусКлееный</t>
  </si>
  <si>
    <t xml:space="preserve">ДикоеБревно</t>
  </si>
  <si>
    <t xml:space="preserve">ОцилиндрованноеБревно</t>
  </si>
  <si>
    <t xml:space="preserve">Окна, проемы</t>
  </si>
  <si>
    <t xml:space="preserve">длина перемычк</t>
  </si>
  <si>
    <t xml:space="preserve">объем</t>
  </si>
  <si>
    <t xml:space="preserve">цена 1м.п</t>
  </si>
  <si>
    <t xml:space="preserve">цена общ</t>
  </si>
  <si>
    <t xml:space="preserve">Перемычка оконная, 1-ый эт. Вариант 1</t>
  </si>
  <si>
    <t xml:space="preserve">Перемычка оконная, 1-ый эт. Вариант 2</t>
  </si>
  <si>
    <t xml:space="preserve">Перемычка оконная, 1-ый эт. Вариант 3</t>
  </si>
  <si>
    <t xml:space="preserve">Перемычка оконная, 1-ый эт. Вариант 4</t>
  </si>
  <si>
    <t xml:space="preserve">Перемычка оконная, 1-ый эт. Вариант 5</t>
  </si>
  <si>
    <t xml:space="preserve">Перемычка оконная, 2-ый эт. Вариант 6</t>
  </si>
  <si>
    <t xml:space="preserve">Перемычка оконная, 2-ый эт. Вариант 7</t>
  </si>
  <si>
    <t xml:space="preserve">Перемычка оконная, 2-ый эт. Вариант 8</t>
  </si>
  <si>
    <t xml:space="preserve">Перемычка оконная, 2-ый эт. Вариант 9</t>
  </si>
  <si>
    <t xml:space="preserve">Перемычка оконная, 2-ый эт. Вариант 10</t>
  </si>
  <si>
    <t xml:space="preserve">Перемычка дверная, 1-ый эт. Вариант 1</t>
  </si>
  <si>
    <t xml:space="preserve">Перемычка дверная, 2-ый эт. Вариант 2</t>
  </si>
  <si>
    <t xml:space="preserve">Перемычка оконная 1-ый эт, Вариант 11</t>
  </si>
  <si>
    <t xml:space="preserve">Перемычка оконная 1-ый эт, Вариант 12</t>
  </si>
  <si>
    <t xml:space="preserve">Перемычка дверная, 1-ый эт. Вариант 4</t>
  </si>
  <si>
    <t xml:space="preserve">Перемычка дверная, 1-ый эт. Вариант 5</t>
  </si>
  <si>
    <t xml:space="preserve">Перемычка дверная, 1-ый эт. Вариант 6</t>
  </si>
  <si>
    <t xml:space="preserve">Перемычка дверная, 2-ый эт. Вариант 7</t>
  </si>
  <si>
    <t xml:space="preserve">Перемычка дверная, 2-ый эт. Вариант 8</t>
  </si>
  <si>
    <t xml:space="preserve">Перемычка дверная, 2-ый эт. Вариант 9</t>
  </si>
  <si>
    <t xml:space="preserve">Перемычка проема, 1-ый эт. Вариант 10</t>
  </si>
  <si>
    <t xml:space="preserve">Перемычка проема, 1-ый эт. Вариант 11</t>
  </si>
  <si>
    <t xml:space="preserve">Перемычка проема, 2-ый эт. Вариант 12</t>
  </si>
  <si>
    <t xml:space="preserve">Перемычка проема, 2-ый эт. Вариант 13</t>
  </si>
  <si>
    <t xml:space="preserve">Перемычка дверная, 1-ый эт. Вариант 2</t>
  </si>
  <si>
    <t xml:space="preserve">Перемычка дверная, 1-ый эт. Вариант 3</t>
  </si>
  <si>
    <t xml:space="preserve">цена 1 м.п.</t>
  </si>
  <si>
    <t xml:space="preserve">Арматура М8 каждый 3-й ряд, 2 нити</t>
  </si>
  <si>
    <t xml:space="preserve">Арматура М10 каждый 3-й ряд, 2 нити</t>
  </si>
  <si>
    <t xml:space="preserve">Арматура М12 каждый 3-й ряд, 2 нити</t>
  </si>
  <si>
    <t xml:space="preserve">Арматура М14 каждый 3-й ряд, 2 нити</t>
  </si>
  <si>
    <t xml:space="preserve">Арматура М16 каждый 3-й ряд, 2 нити</t>
  </si>
  <si>
    <t xml:space="preserve">Арматура М18 каждый 3-й ряд, 2 нити</t>
  </si>
  <si>
    <t xml:space="preserve">Арматура М20 каждый 3-й ряд, 2 нити</t>
  </si>
  <si>
    <t xml:space="preserve">Сейсмопояс Арматура М6 4 нити</t>
  </si>
  <si>
    <t xml:space="preserve">Сейсмопояс Арматура М8 4 нити</t>
  </si>
  <si>
    <t xml:space="preserve">Сейсмопояс Арматура М12 4 нити</t>
  </si>
  <si>
    <t xml:space="preserve">Сейсмопояс Арматура М14 4 нити</t>
  </si>
  <si>
    <t xml:space="preserve">Сейсмопояс Арматура М16 4 нити</t>
  </si>
  <si>
    <t xml:space="preserve">Сейсмопояс Арматура М18 4 нити</t>
  </si>
  <si>
    <t xml:space="preserve">Сейсмопояс Арматура М20 4 нити</t>
  </si>
  <si>
    <t xml:space="preserve">Хомуты</t>
  </si>
  <si>
    <t xml:space="preserve">Хомут для сейсмопояса Арматура М6, шаг 600мм</t>
  </si>
  <si>
    <t xml:space="preserve">Хомут для сейсмопояса Арматура М6, шаг 300мм</t>
  </si>
  <si>
    <t xml:space="preserve">Хомут для сейсмопояса Арматура М8, шаг 600мм</t>
  </si>
  <si>
    <t xml:space="preserve">Хомут для сейсмопояса Арматура М8, шаг 400мм</t>
  </si>
  <si>
    <t xml:space="preserve">Хомут для сейсмопояса Арматура М8, шаг 300мм</t>
  </si>
  <si>
    <t xml:space="preserve">арматура для перекрытий</t>
  </si>
  <si>
    <t xml:space="preserve">Арматура М8 </t>
  </si>
  <si>
    <t xml:space="preserve">Арматура М14 </t>
  </si>
  <si>
    <t xml:space="preserve">Арматура М16</t>
  </si>
  <si>
    <t xml:space="preserve">Арматура М18</t>
  </si>
  <si>
    <t xml:space="preserve">Арматура М20</t>
  </si>
  <si>
    <t xml:space="preserve">Доска сырая, 200*50мм</t>
  </si>
  <si>
    <t xml:space="preserve">Доска сырая, 100*50мм</t>
  </si>
  <si>
    <t xml:space="preserve">Нет утеплителя</t>
  </si>
  <si>
    <t xml:space="preserve">Плитный,28кг/м3, технониколь</t>
  </si>
  <si>
    <t xml:space="preserve">Плитный,30кг/м3, роквулл </t>
  </si>
  <si>
    <t xml:space="preserve">Пенопласт ПСБ-С-15</t>
  </si>
  <si>
    <t xml:space="preserve">Пенопласт ПСБ-С-25</t>
  </si>
  <si>
    <t xml:space="preserve">Пенополистирол,35кг/м3</t>
  </si>
  <si>
    <t xml:space="preserve">Пенополистирол,25кг/м3</t>
  </si>
  <si>
    <t xml:space="preserve">Для подсистемы наружней отделки</t>
  </si>
  <si>
    <t xml:space="preserve">МатериалБрус</t>
  </si>
  <si>
    <t xml:space="preserve">Лента ширина 0,2, высота 0,5</t>
  </si>
  <si>
    <t xml:space="preserve">Лента ширина 0,2, высота 0,6</t>
  </si>
  <si>
    <t xml:space="preserve">Лента ширина 0,3, высота 0,5</t>
  </si>
  <si>
    <t xml:space="preserve">Лента ширина 0,3, высота 0,6</t>
  </si>
  <si>
    <t xml:space="preserve">Лента ширина 0,4, высота 0,5</t>
  </si>
  <si>
    <t xml:space="preserve">Лента ширина 0,4, высота 0,6</t>
  </si>
  <si>
    <t xml:space="preserve">Считать конопатку дома</t>
  </si>
  <si>
    <t xml:space="preserve">Нет фундамента</t>
  </si>
  <si>
    <t xml:space="preserve">Фундамент как у дома</t>
  </si>
  <si>
    <t xml:space="preserve">Окна, двери, проемы прямоугольного и квадратного сечения</t>
  </si>
  <si>
    <t xml:space="preserve">Закрытый монтаж проводки</t>
  </si>
  <si>
    <t xml:space="preserve">Шлифовка стен дома снаружи</t>
  </si>
  <si>
    <t xml:space="preserve">Шлифовка стен дома внурти</t>
  </si>
  <si>
    <t xml:space="preserve">Аттиковая стена, мансарда, 1-го этажа</t>
  </si>
  <si>
    <t xml:space="preserve">Высота от перекрытий 1 эт до конька</t>
  </si>
  <si>
    <t xml:space="preserve">Аттиковая стена, мансарда, 2-го этажа</t>
  </si>
  <si>
    <t xml:space="preserve">выпуск по скату1</t>
  </si>
  <si>
    <t xml:space="preserve">выпуск по скату2</t>
  </si>
  <si>
    <t xml:space="preserve">по высотам</t>
  </si>
  <si>
    <t xml:space="preserve">Пристройка</t>
  </si>
  <si>
    <t xml:space="preserve">Считать пристройку</t>
  </si>
  <si>
    <t xml:space="preserve">по размерам</t>
  </si>
  <si>
    <t xml:space="preserve">в 1 этаж</t>
  </si>
  <si>
    <t xml:space="preserve">S, м2</t>
  </si>
  <si>
    <t xml:space="preserve">выпуск 1</t>
  </si>
  <si>
    <t xml:space="preserve">выпуск 2</t>
  </si>
  <si>
    <t xml:space="preserve">для фронтона 1 этажа</t>
  </si>
  <si>
    <t xml:space="preserve">в 2 этажа</t>
  </si>
  <si>
    <t xml:space="preserve">Перегородки оси X 1 эт</t>
  </si>
  <si>
    <t xml:space="preserve">выбор кровли</t>
  </si>
  <si>
    <t xml:space="preserve">высота 1 этажа</t>
  </si>
  <si>
    <t xml:space="preserve">Перегородки оси Y 1 эт</t>
  </si>
  <si>
    <t xml:space="preserve">перекрытие 1 эт.</t>
  </si>
  <si>
    <t xml:space="preserve">перекрытие 2 эт.</t>
  </si>
  <si>
    <t xml:space="preserve">перегородки ось Х 2 эт</t>
  </si>
  <si>
    <t xml:space="preserve">пол первого этажа</t>
  </si>
  <si>
    <t xml:space="preserve">пол второго этажа</t>
  </si>
  <si>
    <t xml:space="preserve">потолок первого этажа</t>
  </si>
  <si>
    <t xml:space="preserve">потолок второго этажа</t>
  </si>
  <si>
    <t xml:space="preserve">перекрытие 0 эт периметр</t>
  </si>
  <si>
    <t xml:space="preserve">перекрыти 1 эт периметр</t>
  </si>
  <si>
    <t xml:space="preserve">перекрытие 2 эт. Периметр</t>
  </si>
  <si>
    <t xml:space="preserve">вар 1</t>
  </si>
  <si>
    <t xml:space="preserve">вар 2</t>
  </si>
  <si>
    <t xml:space="preserve">вар3</t>
  </si>
  <si>
    <t xml:space="preserve">вар4</t>
  </si>
  <si>
    <t xml:space="preserve">низ ската низ</t>
  </si>
  <si>
    <t xml:space="preserve">периметр</t>
  </si>
  <si>
    <t xml:space="preserve">Ширина Н2</t>
  </si>
  <si>
    <t xml:space="preserve">2эт</t>
  </si>
  <si>
    <t xml:space="preserve">Высота первого эт</t>
  </si>
  <si>
    <t xml:space="preserve">Высота второго эт</t>
  </si>
  <si>
    <t xml:space="preserve">Итого,</t>
  </si>
  <si>
    <t xml:space="preserve">ширин</t>
  </si>
  <si>
    <t xml:space="preserve">высот</t>
  </si>
  <si>
    <t xml:space="preserve">аттиковая стена второго этажа</t>
  </si>
  <si>
    <t xml:space="preserve">катет уклона кровли вертик</t>
  </si>
  <si>
    <t xml:space="preserve">катет для двускатной кр горизонт</t>
  </si>
  <si>
    <t xml:space="preserve">внешние углы 1 эт</t>
  </si>
  <si>
    <t xml:space="preserve">внешние углы 2 жт</t>
  </si>
  <si>
    <t xml:space="preserve">внутренние углы 1 эт</t>
  </si>
  <si>
    <t xml:space="preserve">Внутренние углы 12 эт</t>
  </si>
  <si>
    <t xml:space="preserve">винтовые сваи длина</t>
  </si>
  <si>
    <t xml:space="preserve">винтовые сваи ширина</t>
  </si>
  <si>
    <t xml:space="preserve">Кровля на пристройку</t>
  </si>
  <si>
    <t xml:space="preserve">Двери межкомнатные</t>
  </si>
  <si>
    <t xml:space="preserve">длина ската с выпуском</t>
  </si>
  <si>
    <t xml:space="preserve">длина выпуска по скату 1</t>
  </si>
  <si>
    <t xml:space="preserve">длина выпуска по скату 2</t>
  </si>
  <si>
    <t xml:space="preserve">выпуск по фронтону двускатн/вальмов</t>
  </si>
  <si>
    <t xml:space="preserve">выпуск по фронтну 2 односкатная кровля</t>
  </si>
  <si>
    <t xml:space="preserve">Итого, площадь проемов, м2</t>
  </si>
  <si>
    <t xml:space="preserve">длина ската без выпуска</t>
  </si>
  <si>
    <t xml:space="preserve">длина конька вальмовой кровли</t>
  </si>
  <si>
    <t xml:space="preserve">длина ската по длине дома</t>
  </si>
  <si>
    <t xml:space="preserve">длина наклонной грани кровли вальмовой 1</t>
  </si>
  <si>
    <t xml:space="preserve">длина наклонной грани кровли вальмовой 2</t>
  </si>
  <si>
    <t xml:space="preserve">расст от края кровли по длине до конька</t>
  </si>
  <si>
    <t xml:space="preserve">S левого ската</t>
  </si>
  <si>
    <t xml:space="preserve">S правого ската</t>
  </si>
  <si>
    <t xml:space="preserve">S переднего ската</t>
  </si>
  <si>
    <t xml:space="preserve">S, кровли над пристройкой</t>
  </si>
  <si>
    <t xml:space="preserve">S, кровли общая</t>
  </si>
  <si>
    <t xml:space="preserve">Длина выпуска по скату односкатной</t>
  </si>
  <si>
    <t xml:space="preserve">длина ската односкатной кровли</t>
  </si>
  <si>
    <t xml:space="preserve">1 эт</t>
  </si>
  <si>
    <t xml:space="preserve">Длина выпуска двускатн кр 1 скат</t>
  </si>
  <si>
    <t xml:space="preserve">Длина выпуска двускатн кр 2 скат</t>
  </si>
  <si>
    <t xml:space="preserve">длина ската двускатной кровли 1</t>
  </si>
  <si>
    <t xml:space="preserve">длина ската двускатной кровли 2</t>
  </si>
  <si>
    <t xml:space="preserve">Длина ската по карнизу 1</t>
  </si>
  <si>
    <t xml:space="preserve">Длина ската по карнизу 2</t>
  </si>
  <si>
    <t xml:space="preserve">Длина ската по фронтону</t>
  </si>
  <si>
    <t xml:space="preserve">длина кровли/конек</t>
  </si>
  <si>
    <t xml:space="preserve">2 эт</t>
  </si>
  <si>
    <t xml:space="preserve">S кровли</t>
  </si>
  <si>
    <t xml:space="preserve">S выпусков</t>
  </si>
  <si>
    <t xml:space="preserve">подшивка свесов</t>
  </si>
  <si>
    <t xml:space="preserve">материал для кровли</t>
  </si>
  <si>
    <t xml:space="preserve">общая S</t>
  </si>
  <si>
    <t xml:space="preserve">Считать стропило</t>
  </si>
  <si>
    <t xml:space="preserve">пл вн стен</t>
  </si>
  <si>
    <t xml:space="preserve">нар</t>
  </si>
  <si>
    <t xml:space="preserve">s стен чист</t>
  </si>
  <si>
    <t xml:space="preserve">утепление кровли</t>
  </si>
  <si>
    <t xml:space="preserve">s перегор</t>
  </si>
  <si>
    <t xml:space="preserve">S перег чис</t>
  </si>
  <si>
    <t xml:space="preserve">Фундамент </t>
  </si>
  <si>
    <t xml:space="preserve">s стен вн чист</t>
  </si>
  <si>
    <t xml:space="preserve">S стен отнять</t>
  </si>
  <si>
    <t xml:space="preserve">S общая пола</t>
  </si>
  <si>
    <t xml:space="preserve">S фронтона 1этаж</t>
  </si>
  <si>
    <t xml:space="preserve">вар1</t>
  </si>
  <si>
    <t xml:space="preserve">вар2</t>
  </si>
  <si>
    <t xml:space="preserve">S фронтона 2этаж</t>
  </si>
  <si>
    <t xml:space="preserve">S стен первого этажа</t>
  </si>
  <si>
    <t xml:space="preserve">S стен второго этажа</t>
  </si>
  <si>
    <t xml:space="preserve">S перекрытий 0 этаж</t>
  </si>
  <si>
    <t xml:space="preserve">S перекрытий 1 этаж</t>
  </si>
  <si>
    <t xml:space="preserve">S перекрытий 2 этаж</t>
  </si>
  <si>
    <t xml:space="preserve">S наружних стен чистая</t>
  </si>
  <si>
    <t xml:space="preserve">S внутренних стен 1 этажа</t>
  </si>
  <si>
    <t xml:space="preserve">S внутренних стен 2 этажа</t>
  </si>
  <si>
    <t xml:space="preserve">S стен дома которые надо отнять 1эт</t>
  </si>
  <si>
    <t xml:space="preserve">S стен дома которые надо отнять 2эт</t>
  </si>
  <si>
    <t xml:space="preserve">длина ската 1</t>
  </si>
  <si>
    <t xml:space="preserve">Длина ската 2</t>
  </si>
  <si>
    <t xml:space="preserve">угол наклона кровли, радиан</t>
  </si>
  <si>
    <t xml:space="preserve">угол наклона кровли, градусы</t>
  </si>
  <si>
    <t xml:space="preserve">высота от перекрытия до конька</t>
  </si>
  <si>
    <t xml:space="preserve">Длина кровли от перекрытия до конька</t>
  </si>
  <si>
    <t xml:space="preserve">Длина наклонной кровли от аттик ст</t>
  </si>
  <si>
    <t xml:space="preserve">S наклонной кровли </t>
  </si>
  <si>
    <t xml:space="preserve">S перекрытия 2 этажа</t>
  </si>
  <si>
    <t xml:space="preserve">S наклонной кровли, потолок</t>
  </si>
  <si>
    <t xml:space="preserve">S наклонной кровли, потолок второй</t>
  </si>
  <si>
    <t xml:space="preserve">выпуск основной кровли фронтон1</t>
  </si>
  <si>
    <t xml:space="preserve">выпуск основной кровли фронтон2</t>
  </si>
  <si>
    <t xml:space="preserve">выпуск основной кровли карниз1</t>
  </si>
  <si>
    <t xml:space="preserve">выпуск основной кровли карниз2</t>
  </si>
  <si>
    <t xml:space="preserve">длина ската карниз</t>
  </si>
  <si>
    <t xml:space="preserve">длина ската нижнего</t>
  </si>
  <si>
    <t xml:space="preserve">Аттиковая стена, мансардный 1 этаж</t>
  </si>
  <si>
    <t xml:space="preserve">угол двускат кровли карниз, рад.1</t>
  </si>
  <si>
    <t xml:space="preserve">угол двускат кровли карниз, рад.2</t>
  </si>
  <si>
    <t xml:space="preserve">угол вальмовой кровли карниз</t>
  </si>
  <si>
    <t xml:space="preserve">Угол вальмовой кровли фронтон</t>
  </si>
  <si>
    <t xml:space="preserve">угол вальмовой лом кров кар, рад1</t>
  </si>
  <si>
    <t xml:space="preserve">угол вальмовой лом кров кар, рад2</t>
  </si>
  <si>
    <t xml:space="preserve">угол вальмовой лом кров фрон, рад2</t>
  </si>
  <si>
    <t xml:space="preserve">если дом в 1 этаж</t>
  </si>
  <si>
    <t xml:space="preserve">РАЗМЕР ВЫСТУПА СТЕН</t>
  </si>
  <si>
    <t xml:space="preserve">Пристройка к фр-ну, s кровли</t>
  </si>
  <si>
    <t xml:space="preserve">Пристройка к фр-ну, слияние с бок стеной</t>
  </si>
  <si>
    <t xml:space="preserve">Итого площадь кровли</t>
  </si>
  <si>
    <t xml:space="preserve">S СТЕН ДОПОЛНИТЕЛЬНАЯ</t>
  </si>
  <si>
    <t xml:space="preserve">выбор этажей основного дома</t>
  </si>
  <si>
    <t xml:space="preserve">выбор этажей пристройки</t>
  </si>
  <si>
    <t xml:space="preserve">количество пристроек</t>
  </si>
  <si>
    <t xml:space="preserve">выбор пристройки</t>
  </si>
  <si>
    <t xml:space="preserve">делать или нет доп кровлю на пристр</t>
  </si>
  <si>
    <t xml:space="preserve">высота пристройки</t>
  </si>
  <si>
    <t xml:space="preserve">высота до аттиковой стены дома</t>
  </si>
  <si>
    <t xml:space="preserve">дополнительная кровля на пристр</t>
  </si>
  <si>
    <t xml:space="preserve">ДВУСКАТ КР Пристр к боку дома</t>
  </si>
  <si>
    <t xml:space="preserve">двускатн кр длина скат к карнизу дома </t>
  </si>
  <si>
    <t xml:space="preserve">длина ската 1 пристройки</t>
  </si>
  <si>
    <t xml:space="preserve">длина ската 2 пристройки</t>
  </si>
  <si>
    <t xml:space="preserve">катет</t>
  </si>
  <si>
    <t xml:space="preserve">длина ската на основн кровл где пристр</t>
  </si>
  <si>
    <t xml:space="preserve">ендова наружняя на основной кровле</t>
  </si>
  <si>
    <t xml:space="preserve">s отнять на основной кровле</t>
  </si>
  <si>
    <t xml:space="preserve">конек на пристройке дополнит</t>
  </si>
  <si>
    <t xml:space="preserve">S кровли на пристройке дополнит</t>
  </si>
  <si>
    <t xml:space="preserve">кровля односкатная на пристройке №1</t>
  </si>
  <si>
    <t xml:space="preserve">кровля двускатная на пристройке №1</t>
  </si>
  <si>
    <t xml:space="preserve">мауэрлат</t>
  </si>
  <si>
    <t xml:space="preserve">Слияние с боковой стеной дома</t>
  </si>
  <si>
    <t xml:space="preserve">Выходит за размер боковой стены дома</t>
  </si>
  <si>
    <t xml:space="preserve">Слияние с передней стеной дома</t>
  </si>
  <si>
    <t xml:space="preserve">Выходит за рамер передней стены дома</t>
  </si>
  <si>
    <t xml:space="preserve">S дополнительной кровли</t>
  </si>
  <si>
    <t xml:space="preserve">S кровли отнять от основной </t>
  </si>
  <si>
    <t xml:space="preserve">стропило на пристройку</t>
  </si>
  <si>
    <t xml:space="preserve">обвязка по дому</t>
  </si>
  <si>
    <t xml:space="preserve">капельник конденсата</t>
  </si>
  <si>
    <t xml:space="preserve">ендова нижняя</t>
  </si>
  <si>
    <t xml:space="preserve">ендова верхняя</t>
  </si>
  <si>
    <t xml:space="preserve">карназная планка</t>
  </si>
  <si>
    <t xml:space="preserve">цена 1</t>
  </si>
  <si>
    <t xml:space="preserve">общ цена</t>
  </si>
  <si>
    <t xml:space="preserve">бугель, доска </t>
  </si>
  <si>
    <t xml:space="preserve">металлочерепица</t>
  </si>
  <si>
    <t xml:space="preserve">ондулин</t>
  </si>
  <si>
    <t xml:space="preserve">итого, материалы кровли</t>
  </si>
  <si>
    <t xml:space="preserve">итого, работа кровли</t>
  </si>
  <si>
    <t xml:space="preserve">итого, рублей</t>
  </si>
  <si>
    <t xml:space="preserve">конек </t>
  </si>
  <si>
    <t xml:space="preserve">скат пристройки</t>
  </si>
  <si>
    <t xml:space="preserve">доп кровля</t>
  </si>
  <si>
    <t xml:space="preserve">площадь кровли на основной кровле</t>
  </si>
  <si>
    <t xml:space="preserve">длина ската на основной кровле</t>
  </si>
  <si>
    <t xml:space="preserve">Сделать расчет по высотам</t>
  </si>
  <si>
    <t xml:space="preserve">Высота 1</t>
  </si>
  <si>
    <t xml:space="preserve">Высота 2</t>
  </si>
  <si>
    <t xml:space="preserve">S дома</t>
  </si>
  <si>
    <t xml:space="preserve">Высота 3</t>
  </si>
  <si>
    <t xml:space="preserve">Высота 4</t>
  </si>
  <si>
    <t xml:space="preserve">Высота 5</t>
  </si>
  <si>
    <t xml:space="preserve">Высота 6</t>
  </si>
  <si>
    <t xml:space="preserve">верх низа ската</t>
  </si>
  <si>
    <t xml:space="preserve">верх конька</t>
  </si>
  <si>
    <t xml:space="preserve">Фундамент под дом</t>
  </si>
  <si>
    <t xml:space="preserve">угол наклона кровли</t>
  </si>
  <si>
    <t xml:space="preserve">по выс.</t>
  </si>
  <si>
    <t xml:space="preserve">левая</t>
  </si>
  <si>
    <t xml:space="preserve">правая</t>
  </si>
  <si>
    <t xml:space="preserve">лев ст</t>
  </si>
  <si>
    <t xml:space="preserve">прав ст</t>
  </si>
  <si>
    <t xml:space="preserve">S пер ст</t>
  </si>
  <si>
    <t xml:space="preserve">S зад ст</t>
  </si>
  <si>
    <t xml:space="preserve">этажность дома дома</t>
  </si>
  <si>
    <t xml:space="preserve">ширина дома, А</t>
  </si>
  <si>
    <t xml:space="preserve">длина дома, В</t>
  </si>
  <si>
    <t xml:space="preserve">высота 1-го этажа, С</t>
  </si>
  <si>
    <t xml:space="preserve">S стен 1 эт</t>
  </si>
  <si>
    <t xml:space="preserve">S стен 2 эт</t>
  </si>
  <si>
    <t xml:space="preserve">разница </t>
  </si>
  <si>
    <t xml:space="preserve">высота 2-го этажа</t>
  </si>
  <si>
    <t xml:space="preserve">H бок стены</t>
  </si>
  <si>
    <t xml:space="preserve">разница  бок стен</t>
  </si>
  <si>
    <t xml:space="preserve">аттиковая стена, D</t>
  </si>
  <si>
    <t xml:space="preserve">H от п0 эт до кон</t>
  </si>
  <si>
    <t xml:space="preserve">высота от аттиковой стены до перекрытий</t>
  </si>
  <si>
    <t xml:space="preserve">H от п1 эт до кон</t>
  </si>
  <si>
    <t xml:space="preserve">высота от конька до перекрытий</t>
  </si>
  <si>
    <t xml:space="preserve">перекр</t>
  </si>
  <si>
    <t xml:space="preserve">армат</t>
  </si>
  <si>
    <t xml:space="preserve">H до конька</t>
  </si>
  <si>
    <t xml:space="preserve">кол блок</t>
  </si>
  <si>
    <t xml:space="preserve">округ</t>
  </si>
  <si>
    <t xml:space="preserve">углов</t>
  </si>
  <si>
    <t xml:space="preserve">кол</t>
  </si>
  <si>
    <t xml:space="preserve">длина углов</t>
  </si>
  <si>
    <t xml:space="preserve">разница</t>
  </si>
  <si>
    <t xml:space="preserve">доборка</t>
  </si>
  <si>
    <t xml:space="preserve">ряда доб</t>
  </si>
  <si>
    <t xml:space="preserve">P перекр</t>
  </si>
  <si>
    <t xml:space="preserve">перим</t>
  </si>
  <si>
    <t xml:space="preserve">H ,блока</t>
  </si>
  <si>
    <t xml:space="preserve">кол ряд</t>
  </si>
  <si>
    <t xml:space="preserve">арматура</t>
  </si>
  <si>
    <t xml:space="preserve">Длина от конька до высот бок стены</t>
  </si>
  <si>
    <t xml:space="preserve">высота углов дома внешних 1 эт</t>
  </si>
  <si>
    <t xml:space="preserve">длина ската</t>
  </si>
  <si>
    <t xml:space="preserve">высота углов дома внешних 2 эт</t>
  </si>
  <si>
    <t xml:space="preserve">высота стен всех углов дома внутренних</t>
  </si>
  <si>
    <t xml:space="preserve">угол, радиан</t>
  </si>
  <si>
    <t xml:space="preserve">высота углов пристроек внешних 1 эт</t>
  </si>
  <si>
    <t xml:space="preserve">угол, град</t>
  </si>
  <si>
    <t xml:space="preserve">высота углов пристроек внешних 2 эт</t>
  </si>
  <si>
    <t xml:space="preserve">высота углов пристроек внутренних 1 эт</t>
  </si>
  <si>
    <t xml:space="preserve"> Н разн боковых стен 1 эт</t>
  </si>
  <si>
    <t xml:space="preserve">высота углов пристроек внутренних 2 эт</t>
  </si>
  <si>
    <t xml:space="preserve">высота углов эркера внешних 1 эт</t>
  </si>
  <si>
    <t xml:space="preserve">разн боковых стен 2 эт</t>
  </si>
  <si>
    <t xml:space="preserve">высота углов эркера внешних 2 эт</t>
  </si>
  <si>
    <t xml:space="preserve">высота углов эркера внутренних 1 эт</t>
  </si>
  <si>
    <t xml:space="preserve">высота углов эркера внутренних 2 эт</t>
  </si>
  <si>
    <t xml:space="preserve">гипотенуза 1 эт</t>
  </si>
  <si>
    <t xml:space="preserve">внутренние блок</t>
  </si>
  <si>
    <t xml:space="preserve">длина ската всего</t>
  </si>
  <si>
    <t xml:space="preserve">кол-во рядов в доме</t>
  </si>
  <si>
    <t xml:space="preserve">внешние блок</t>
  </si>
  <si>
    <t xml:space="preserve">количество рядов в пристройках</t>
  </si>
  <si>
    <t xml:space="preserve">количество рядов в эркере</t>
  </si>
  <si>
    <t xml:space="preserve">дом</t>
  </si>
  <si>
    <t xml:space="preserve">пристр</t>
  </si>
  <si>
    <t xml:space="preserve">эркер</t>
  </si>
  <si>
    <t xml:space="preserve">Лаги, перекрытия</t>
  </si>
  <si>
    <t xml:space="preserve">S перек</t>
  </si>
  <si>
    <t xml:space="preserve">внеш</t>
  </si>
  <si>
    <t xml:space="preserve">внутр</t>
  </si>
  <si>
    <t xml:space="preserve">длина ската на 2 этаже</t>
  </si>
  <si>
    <t xml:space="preserve">длина на вводе</t>
  </si>
  <si>
    <t xml:space="preserve">длина выпуска ската по кровле</t>
  </si>
  <si>
    <t xml:space="preserve">длина выпусков по фронтону</t>
  </si>
  <si>
    <t xml:space="preserve">выпуски по фронтону</t>
  </si>
  <si>
    <t xml:space="preserve">S,общ</t>
  </si>
  <si>
    <t xml:space="preserve">S скатов</t>
  </si>
  <si>
    <t xml:space="preserve">Окна, Вариант 1</t>
  </si>
  <si>
    <t xml:space="preserve">L от стены в дом</t>
  </si>
  <si>
    <t xml:space="preserve">S мат кр.</t>
  </si>
  <si>
    <t xml:space="preserve">Окна, Вариант 2</t>
  </si>
  <si>
    <t xml:space="preserve">внешний</t>
  </si>
  <si>
    <t xml:space="preserve">шир отступа от стены дома внутрь 2 эт</t>
  </si>
  <si>
    <t xml:space="preserve">Окна, Вариант 3</t>
  </si>
  <si>
    <t xml:space="preserve">внутренний</t>
  </si>
  <si>
    <t xml:space="preserve">S стен 1-го этажа перед</t>
  </si>
  <si>
    <t xml:space="preserve">Окна, Вариант 4</t>
  </si>
  <si>
    <t xml:space="preserve">периметр несущих перегородок</t>
  </si>
  <si>
    <t xml:space="preserve">Окна, Вариант 5</t>
  </si>
  <si>
    <t xml:space="preserve">S стен 2-го этажа перед</t>
  </si>
  <si>
    <t xml:space="preserve">Окна, Вариант 6</t>
  </si>
  <si>
    <t xml:space="preserve">S фронтона</t>
  </si>
  <si>
    <t xml:space="preserve">Окна, Вариант 7</t>
  </si>
  <si>
    <t xml:space="preserve">S передней стены</t>
  </si>
  <si>
    <t xml:space="preserve">Окна, Вариант 8</t>
  </si>
  <si>
    <t xml:space="preserve">S задней стены</t>
  </si>
  <si>
    <t xml:space="preserve">Окна, Вариант 9</t>
  </si>
  <si>
    <t xml:space="preserve">S боковой стены 1 эт</t>
  </si>
  <si>
    <t xml:space="preserve">Окна, Вариант 10</t>
  </si>
  <si>
    <t xml:space="preserve">S боковой стены 2 эт</t>
  </si>
  <si>
    <t xml:space="preserve">Дверь на балкон 1</t>
  </si>
  <si>
    <t xml:space="preserve">Дверь на балкон 2</t>
  </si>
  <si>
    <t xml:space="preserve">Французское окно 1</t>
  </si>
  <si>
    <t xml:space="preserve">Фрунцузское окно 2</t>
  </si>
  <si>
    <t xml:space="preserve">итого, м2</t>
  </si>
  <si>
    <t xml:space="preserve">S фронтона 1 эт</t>
  </si>
  <si>
    <t xml:space="preserve">S, общ</t>
  </si>
  <si>
    <t xml:space="preserve">S фронтона 2 эт</t>
  </si>
  <si>
    <t xml:space="preserve">Вариант 1</t>
  </si>
  <si>
    <t xml:space="preserve">Вариант 2</t>
  </si>
  <si>
    <t xml:space="preserve">Вариант 3</t>
  </si>
  <si>
    <t xml:space="preserve">Вариант 4</t>
  </si>
  <si>
    <t xml:space="preserve">Вариант 5, 2-ой этаж</t>
  </si>
  <si>
    <t xml:space="preserve">Вариант 6, 2-ой этаж</t>
  </si>
  <si>
    <t xml:space="preserve">S, несущих перегородок</t>
  </si>
  <si>
    <t xml:space="preserve">S, перегородок</t>
  </si>
  <si>
    <t xml:space="preserve">S, чистая перегородок</t>
  </si>
  <si>
    <t xml:space="preserve">S стен 1-го этажа перед без фронтона</t>
  </si>
  <si>
    <t xml:space="preserve">S общая выпусков по дому</t>
  </si>
  <si>
    <t xml:space="preserve">S стен 2-го этажа без фронтона перед</t>
  </si>
  <si>
    <t xml:space="preserve">S перекрытий </t>
  </si>
  <si>
    <t xml:space="preserve">S пристроек стен</t>
  </si>
  <si>
    <t xml:space="preserve">S эркер стен</t>
  </si>
  <si>
    <t xml:space="preserve">S фронтона  1 этаж для двускатной кр</t>
  </si>
  <si>
    <t xml:space="preserve">полн 1эт</t>
  </si>
  <si>
    <t xml:space="preserve">манс 1эт</t>
  </si>
  <si>
    <t xml:space="preserve">S фронтона  2 этаж для двускатн кровли</t>
  </si>
  <si>
    <t xml:space="preserve">полн 2эт</t>
  </si>
  <si>
    <t xml:space="preserve">манс 2эт</t>
  </si>
  <si>
    <t xml:space="preserve">ДОМ</t>
  </si>
  <si>
    <t xml:space="preserve">S</t>
  </si>
  <si>
    <t xml:space="preserve">считать</t>
  </si>
  <si>
    <t xml:space="preserve">потолок кровли</t>
  </si>
  <si>
    <t xml:space="preserve">ПЕРЕКРЫТИЕ дом</t>
  </si>
  <si>
    <t xml:space="preserve">пол дом</t>
  </si>
  <si>
    <t xml:space="preserve">ПОТОЛОК</t>
  </si>
  <si>
    <t xml:space="preserve">s стен1 эт</t>
  </si>
  <si>
    <t xml:space="preserve">s стен2 эт</t>
  </si>
  <si>
    <t xml:space="preserve">s фронтон</t>
  </si>
  <si>
    <t xml:space="preserve">s стенобщ</t>
  </si>
  <si>
    <t xml:space="preserve">0 эт</t>
  </si>
  <si>
    <t xml:space="preserve">S фронтона двускатной кровли</t>
  </si>
  <si>
    <t xml:space="preserve">S фронтона полувальмовой кровли</t>
  </si>
  <si>
    <t xml:space="preserve">S фронтона односкатной кровли</t>
  </si>
  <si>
    <t xml:space="preserve">для 2=го этажа</t>
  </si>
  <si>
    <t xml:space="preserve">S фронтона кукушек</t>
  </si>
  <si>
    <t xml:space="preserve">ПРИСТРОЙКА</t>
  </si>
  <si>
    <t xml:space="preserve">S перекрытия двускатной кровли</t>
  </si>
  <si>
    <t xml:space="preserve">S перекрытия вальмовой кровли</t>
  </si>
  <si>
    <t xml:space="preserve">разные по высотам</t>
  </si>
  <si>
    <t xml:space="preserve">S перекрытия односкатной кровли</t>
  </si>
  <si>
    <t xml:space="preserve">S перкрытия полувальмовой кровли</t>
  </si>
  <si>
    <t xml:space="preserve">комбинированные дома</t>
  </si>
  <si>
    <t xml:space="preserve">перекрытие</t>
  </si>
  <si>
    <t xml:space="preserve">S всего дома</t>
  </si>
  <si>
    <t xml:space="preserve">S перег</t>
  </si>
  <si>
    <t xml:space="preserve">S пер чистая</t>
  </si>
  <si>
    <t xml:space="preserve">фронтон</t>
  </si>
  <si>
    <t xml:space="preserve">S наружних стен 1эт</t>
  </si>
  <si>
    <t xml:space="preserve">площадь внутренних стен дома</t>
  </si>
  <si>
    <t xml:space="preserve">S наружних стен 2эт</t>
  </si>
  <si>
    <t xml:space="preserve">двери межкомнатные несущие 1 этаж</t>
  </si>
  <si>
    <t xml:space="preserve">нес 1 эт</t>
  </si>
  <si>
    <t xml:space="preserve">S несущих общая</t>
  </si>
  <si>
    <t xml:space="preserve">Проем несущие 1 эт</t>
  </si>
  <si>
    <t xml:space="preserve">двери межкомнатные несущие 2 этаж</t>
  </si>
  <si>
    <t xml:space="preserve">нес 2 эт</t>
  </si>
  <si>
    <t xml:space="preserve">S простых общая</t>
  </si>
  <si>
    <t xml:space="preserve">Проем несущие 2 этаж</t>
  </si>
  <si>
    <t xml:space="preserve">двери межкомнатные простые 1 этаж</t>
  </si>
  <si>
    <t xml:space="preserve">прост 1</t>
  </si>
  <si>
    <t xml:space="preserve">S общая 1-эт</t>
  </si>
  <si>
    <t xml:space="preserve">Проем простые 1 эт</t>
  </si>
  <si>
    <t xml:space="preserve">прост 2</t>
  </si>
  <si>
    <t xml:space="preserve">S общая 2-эт</t>
  </si>
  <si>
    <t xml:space="preserve">двери межкомнатные простые 2 этаж</t>
  </si>
  <si>
    <t xml:space="preserve">S общая перег</t>
  </si>
  <si>
    <t xml:space="preserve">Проем простые 2 этаж</t>
  </si>
  <si>
    <t xml:space="preserve">проемы все</t>
  </si>
  <si>
    <t xml:space="preserve">Первый этаж</t>
  </si>
  <si>
    <t xml:space="preserve">S стен</t>
  </si>
  <si>
    <t xml:space="preserve">V нар ст</t>
  </si>
  <si>
    <t xml:space="preserve">нижн обв</t>
  </si>
  <si>
    <t xml:space="preserve">верх обв</t>
  </si>
  <si>
    <t xml:space="preserve">ригель</t>
  </si>
  <si>
    <t xml:space="preserve">Vобв риг</t>
  </si>
  <si>
    <t xml:space="preserve">окн кол</t>
  </si>
  <si>
    <t xml:space="preserve">V стоек</t>
  </si>
  <si>
    <t xml:space="preserve">окна гор</t>
  </si>
  <si>
    <t xml:space="preserve">Дв кол</t>
  </si>
  <si>
    <t xml:space="preserve">Дв гор</t>
  </si>
  <si>
    <t xml:space="preserve">Передней стены общая</t>
  </si>
  <si>
    <t xml:space="preserve">высота левой аттик стены разные высоты</t>
  </si>
  <si>
    <t xml:space="preserve">высота правой аттик стены разные высоты</t>
  </si>
  <si>
    <t xml:space="preserve">S задней стены общая</t>
  </si>
  <si>
    <t xml:space="preserve">Левая боковой стена 1 эт</t>
  </si>
  <si>
    <t xml:space="preserve">Правая боковой стена 1 эт</t>
  </si>
  <si>
    <t xml:space="preserve">если одинаковые высоты коэфф</t>
  </si>
  <si>
    <t xml:space="preserve">если разные высоты коэфф </t>
  </si>
  <si>
    <t xml:space="preserve">толщина стен</t>
  </si>
  <si>
    <t xml:space="preserve">S наружних стен</t>
  </si>
  <si>
    <t xml:space="preserve">Фронтон конек левая сторона</t>
  </si>
  <si>
    <t xml:space="preserve">длина ската левой части фронтона</t>
  </si>
  <si>
    <t xml:space="preserve">количество стоек каркаса левой части фронт</t>
  </si>
  <si>
    <t xml:space="preserve">Разница по высоте стоек фронтона левой ст</t>
  </si>
  <si>
    <t xml:space="preserve">Фронтон конек правая сторона</t>
  </si>
  <si>
    <t xml:space="preserve">длина ската правой части фронтона</t>
  </si>
  <si>
    <t xml:space="preserve">количество стоек каркаса правой части фронт</t>
  </si>
  <si>
    <t xml:space="preserve">Разница по высоте стоек фронтона прав стор</t>
  </si>
  <si>
    <t xml:space="preserve">условие если дом в 1 этаж</t>
  </si>
  <si>
    <t xml:space="preserve">левая сторона дома</t>
  </si>
  <si>
    <t xml:space="preserve">размер</t>
  </si>
  <si>
    <t xml:space="preserve">V</t>
  </si>
  <si>
    <t xml:space="preserve">Стойки каркаса передней/задней стены 1 эт</t>
  </si>
  <si>
    <t xml:space="preserve">Стойки каркаса, левая сторона 1 эт</t>
  </si>
  <si>
    <t xml:space="preserve">Стойки каркаса, правая сторона, 1 эт</t>
  </si>
  <si>
    <t xml:space="preserve">Стойки каркаса левой боковой стены 1 эт</t>
  </si>
  <si>
    <t xml:space="preserve">Стойки каркаса правой боковой стены 1 эт</t>
  </si>
  <si>
    <t xml:space="preserve">Обвязка каркаса верхняя/нижняя наружние стены 1 эт</t>
  </si>
  <si>
    <t xml:space="preserve">Ригель каркаса наружние стены 1 эт</t>
  </si>
  <si>
    <t xml:space="preserve">Стойка каркаса, несущие перегородки, 1 этаж, №1</t>
  </si>
  <si>
    <t xml:space="preserve">Обвязка несущих перегородок верх/низ, 1 этаж</t>
  </si>
  <si>
    <t xml:space="preserve">Ригель несущих перегородок, 1 этаж</t>
  </si>
  <si>
    <t xml:space="preserve">Стойка каркаса, перегородки, 1 этаж</t>
  </si>
  <si>
    <t xml:space="preserve">Обвязка перегородок верх/низ, 1 этаж</t>
  </si>
  <si>
    <t xml:space="preserve">Укосина наружних стен, усиление 1 этаж</t>
  </si>
  <si>
    <t xml:space="preserve">Стойка каркаса по фронтону, левая сторона 1</t>
  </si>
  <si>
    <t xml:space="preserve">Стойка каркаса по фронтону, левая сторона 2</t>
  </si>
  <si>
    <t xml:space="preserve">Стойка каркаса по фронтону, левая сторона 3</t>
  </si>
  <si>
    <t xml:space="preserve">Стойка каркаса по фронтону, левая сторона 4</t>
  </si>
  <si>
    <t xml:space="preserve">Стойка каркаса по фронтону, левая сторона 5</t>
  </si>
  <si>
    <t xml:space="preserve">Стойка каркаса по фронтону, левая сторона 6</t>
  </si>
  <si>
    <t xml:space="preserve">Стойка каркаса по фронтону, левая сторона 7</t>
  </si>
  <si>
    <t xml:space="preserve">Стойка каркаса по фронтону, левая сторона 8</t>
  </si>
  <si>
    <t xml:space="preserve">Стойка каркаса по фронтону, левая сторона 9</t>
  </si>
  <si>
    <t xml:space="preserve">Стойка каркаса по фронтону, левая сторона 10</t>
  </si>
  <si>
    <t xml:space="preserve">Стойка каркаса по фронтону, левая сторона 11</t>
  </si>
  <si>
    <t xml:space="preserve">Стойка каркаса по фронтону, левая сторона 12</t>
  </si>
  <si>
    <t xml:space="preserve">Стойка каркаса по фронтону, левая сторона 13</t>
  </si>
  <si>
    <t xml:space="preserve">Стойка каркаса по фронтону, левая сторона 14</t>
  </si>
  <si>
    <t xml:space="preserve">Стойка каркаса по фронтону, левая сторона 15</t>
  </si>
  <si>
    <t xml:space="preserve">Стойка каркаса по фронтону, левая сторона 16</t>
  </si>
  <si>
    <t xml:space="preserve">Стойка каркаса по фронтону, левая сторона 17</t>
  </si>
  <si>
    <t xml:space="preserve">Стойка каркаса по фронтону, левая сторона 18</t>
  </si>
  <si>
    <t xml:space="preserve">Стойка каркаса по фронтону, левая сторона 19</t>
  </si>
  <si>
    <t xml:space="preserve">Стойка каркаса по фронтону, левая сторона 20</t>
  </si>
  <si>
    <t xml:space="preserve">Стойка каркаса по фронтону, левая сторона 21</t>
  </si>
  <si>
    <t xml:space="preserve">Стойка каркаса по фронтону, левая сторона 22</t>
  </si>
  <si>
    <t xml:space="preserve">Стойка каркаса по фронтону, левая сторона 23</t>
  </si>
  <si>
    <t xml:space="preserve">Стойка каркаса по фронтону, левая сторона 24</t>
  </si>
  <si>
    <t xml:space="preserve">Стойка каркаса по фронтону, левая сторона 25</t>
  </si>
  <si>
    <t xml:space="preserve">Стойка каркаса по фронтону, левая сторона 26</t>
  </si>
  <si>
    <t xml:space="preserve">Стойка каркаса по фронтону, левая сторона 27</t>
  </si>
  <si>
    <t xml:space="preserve">Стойка каркаса по фронтону, левая сторона 28</t>
  </si>
  <si>
    <t xml:space="preserve">Стойка каркаса по фронтону, левая сторона 29</t>
  </si>
  <si>
    <t xml:space="preserve">Стойка каркаса по фронтону, левая сторона 30</t>
  </si>
  <si>
    <t xml:space="preserve">Стойка каркаса по фронтону, левая сторона 31</t>
  </si>
  <si>
    <t xml:space="preserve">Обвязка каркаса фронтона верхняя</t>
  </si>
  <si>
    <t xml:space="preserve">Обвязка каркаса фронтона нижняя</t>
  </si>
  <si>
    <t xml:space="preserve">Ригель каркаса фронтона</t>
  </si>
  <si>
    <t xml:space="preserve">Стойка каркаса по фронтону правая сторона 32</t>
  </si>
  <si>
    <t xml:space="preserve">Стойка каркаса по фронтону правая сторона 33</t>
  </si>
  <si>
    <t xml:space="preserve">Стойка каркаса по фронтону правая сторона 34</t>
  </si>
  <si>
    <t xml:space="preserve">Стойка каркаса по фронтону правая сторона 35</t>
  </si>
  <si>
    <t xml:space="preserve">Стойка каркаса по фронтону правая сторона 36</t>
  </si>
  <si>
    <t xml:space="preserve">Стойка каркаса по фронтону правая сторона 37</t>
  </si>
  <si>
    <t xml:space="preserve">Стойка каркаса по фронтону правая сторона 38</t>
  </si>
  <si>
    <t xml:space="preserve">Стойка каркаса по фронтону правая сторона 39</t>
  </si>
  <si>
    <t xml:space="preserve">Стойка каркаса по фронтону правая сторона 40</t>
  </si>
  <si>
    <t xml:space="preserve">Стойка каркаса по фронтону правая сторона 41</t>
  </si>
  <si>
    <t xml:space="preserve">Стойка каркаса по фронтону правая сторона 42</t>
  </si>
  <si>
    <t xml:space="preserve">Стойка каркаса по фронтону правая сторона 43</t>
  </si>
  <si>
    <t xml:space="preserve">Стойка каркаса по фронтону правая сторона 44</t>
  </si>
  <si>
    <t xml:space="preserve">Стойка каркаса по фронтону правая сторона 45</t>
  </si>
  <si>
    <t xml:space="preserve">Стойка каркаса по фронтону правая сторона 46</t>
  </si>
  <si>
    <t xml:space="preserve">Стойка каркаса по фронтону правая сторона 47</t>
  </si>
  <si>
    <t xml:space="preserve">Стойка каркаса по фронтону правая сторона 48</t>
  </si>
  <si>
    <t xml:space="preserve">Стойка каркаса по фронтону правая сторона 49</t>
  </si>
  <si>
    <t xml:space="preserve">Стойка каркаса по фронтону правая сторона 50</t>
  </si>
  <si>
    <t xml:space="preserve">Стойка каркаса по фронтону правая сторона 51</t>
  </si>
  <si>
    <t xml:space="preserve">Стойка каркаса по фронтону правая сторона 52</t>
  </si>
  <si>
    <t xml:space="preserve">Стойка каркаса по фронтону правая сторона 53</t>
  </si>
  <si>
    <t xml:space="preserve">Стойка каркаса по фронтону правая сторона 54</t>
  </si>
  <si>
    <t xml:space="preserve">Стойка каркаса по фронтону правая сторона 55</t>
  </si>
  <si>
    <t xml:space="preserve">Стойка каркаса по фронтону правая сторона 56</t>
  </si>
  <si>
    <t xml:space="preserve">Стойка каркаса по фронтону правая сторона 57</t>
  </si>
  <si>
    <t xml:space="preserve">Стойка каркаса по фронтону правая сторона 58</t>
  </si>
  <si>
    <t xml:space="preserve">Стойка каркаса по фронтону правая сторона 59</t>
  </si>
  <si>
    <t xml:space="preserve">Стойка каркаса по фронтону правая сторона 60</t>
  </si>
  <si>
    <t xml:space="preserve">Стойка каркаса по фронтону правая сторона 61</t>
  </si>
  <si>
    <t xml:space="preserve">Стойка каркаса по фронтону правая сторона 62</t>
  </si>
  <si>
    <t xml:space="preserve">Стойки каркаса левой боковой стены 1 этаж</t>
  </si>
  <si>
    <t xml:space="preserve">Стойки каркаса правой боковой стены 1 этаж</t>
  </si>
  <si>
    <t xml:space="preserve">Стойка каркаса по фронтону, полувальмовая кровля №1</t>
  </si>
  <si>
    <t xml:space="preserve">Стойка каркаса по фронтону, полувальмовая кровля №2</t>
  </si>
  <si>
    <t xml:space="preserve">Обвязка каркаса нижняя 1 этаж</t>
  </si>
  <si>
    <t xml:space="preserve">Обвязка каркаса верхняя 1 этаж</t>
  </si>
  <si>
    <t xml:space="preserve">Ригель каркаса фронтона 1 этаж</t>
  </si>
  <si>
    <t xml:space="preserve">Обвязка каркаса нижняя, односкатная кровля</t>
  </si>
  <si>
    <t xml:space="preserve">Обвязка каркаса верхняя, односкатная кровля</t>
  </si>
  <si>
    <t xml:space="preserve">Ригель каркаса фронтона, односкатная кровля</t>
  </si>
  <si>
    <t xml:space="preserve">Стойки каркаса передней стены 1 этаж</t>
  </si>
  <si>
    <t xml:space="preserve">Стойки каркаса задней стены 1 этаж</t>
  </si>
  <si>
    <t xml:space="preserve">Стойки каркаса, левая/правая сторона 1 этаж</t>
  </si>
  <si>
    <t xml:space="preserve">Стойка каркаса по фронтону, односкатная кровля №0</t>
  </si>
  <si>
    <t xml:space="preserve">Стойка каркаса по фронтону, односкатная кровля №1</t>
  </si>
  <si>
    <t xml:space="preserve">Стойка каркаса по фронтону, односкатная кровля №2</t>
  </si>
  <si>
    <t xml:space="preserve">Стойка каркаса по фронтону, односкатная кровля №3</t>
  </si>
  <si>
    <t xml:space="preserve">Стойка каркаса по фронтону, односкатная кровля №4</t>
  </si>
  <si>
    <t xml:space="preserve">Стойка каркаса по фронтону, односкатная кровля №5</t>
  </si>
  <si>
    <t xml:space="preserve">Стойка каркаса по фронтону, односкатная кровля №6</t>
  </si>
  <si>
    <t xml:space="preserve">Стойка каркаса по фронтону, односкатная кровля №7</t>
  </si>
  <si>
    <t xml:space="preserve">Стойка каркаса по фронтону, односкатная кровля №8</t>
  </si>
  <si>
    <t xml:space="preserve">Стойка каркаса по фронтону, односкатная кровля №9</t>
  </si>
  <si>
    <t xml:space="preserve">Стойка каркаса по фронтону, односкатная кровля №10</t>
  </si>
  <si>
    <t xml:space="preserve">Стойка каркаса по фронтону, односкатная кровля №11</t>
  </si>
  <si>
    <t xml:space="preserve">Стойка каркаса по фронтону, односкатная кровля №12</t>
  </si>
  <si>
    <t xml:space="preserve">Стойка каркаса по фронтону, односкатная кровля №13</t>
  </si>
  <si>
    <t xml:space="preserve">Стойка каркаса по фронтону, односкатная кровля №14</t>
  </si>
  <si>
    <t xml:space="preserve">Стойка каркаса по фронтону, односкатная кровля №15</t>
  </si>
  <si>
    <t xml:space="preserve">Стойка каркаса по фронтону, односкатная кровля №16</t>
  </si>
  <si>
    <t xml:space="preserve">Стойка каркаса по фронтону, односкатная кровля №17</t>
  </si>
  <si>
    <t xml:space="preserve">Стойка каркаса по фронтону, односкатная кровля №18</t>
  </si>
  <si>
    <t xml:space="preserve">Стойка каркаса по фронтону, односкатная кровля №19</t>
  </si>
  <si>
    <t xml:space="preserve">Стойка каркаса по фронтону, односкатная кровля №20</t>
  </si>
  <si>
    <t xml:space="preserve">Стойка каркаса по фронтону, односкатная кровля №21</t>
  </si>
  <si>
    <t xml:space="preserve">Стойка каркаса по фронтону, односкатная кровля №22</t>
  </si>
  <si>
    <t xml:space="preserve">Стойка каркаса по фронтону, односкатная кровля №23</t>
  </si>
  <si>
    <t xml:space="preserve">Стойка каркаса по фронтону, односкатная кровля №24</t>
  </si>
  <si>
    <t xml:space="preserve">Стойка каркаса по фронтону, односкатная кровля №25</t>
  </si>
  <si>
    <t xml:space="preserve">Стойка каркаса по фронтону, односкатная кровля №26</t>
  </si>
  <si>
    <t xml:space="preserve">Стойка каркаса по фронтону, односкатная кровля №27</t>
  </si>
  <si>
    <t xml:space="preserve">Стойка каркаса по фронтону, односкатная кровля №28</t>
  </si>
  <si>
    <t xml:space="preserve">Стойка каркаса по фронтону, односкатная кровля №29</t>
  </si>
  <si>
    <t xml:space="preserve">Стойка каркаса по фронтону, односкатная кровля №30</t>
  </si>
  <si>
    <t xml:space="preserve">Стойка каркаса по фронтону, односкатная кровля №31</t>
  </si>
  <si>
    <t xml:space="preserve">Стойка каркаса по фронтону, односкатная кровля №32</t>
  </si>
  <si>
    <t xml:space="preserve">Стойка каркаса по фронтону, односкатная кровля №33</t>
  </si>
  <si>
    <t xml:space="preserve">Стойка каркаса по фронтону, односкатная кровля №34</t>
  </si>
  <si>
    <t xml:space="preserve">Стойка каркаса по фронтону, односкатная кровля №35</t>
  </si>
  <si>
    <t xml:space="preserve">Стойка каркаса по фронтону, односкатная кровля №36</t>
  </si>
  <si>
    <t xml:space="preserve">Стойка каркаса по фронтону, односкатная кровля №37</t>
  </si>
  <si>
    <t xml:space="preserve">Стойка каркаса по фронтону, односкатная кровля №38</t>
  </si>
  <si>
    <t xml:space="preserve">Стойка каркаса по фронтону, односкатная кровля №39</t>
  </si>
  <si>
    <t xml:space="preserve">Стойка каркаса по фронтону, односкатная кровля №40</t>
  </si>
  <si>
    <t xml:space="preserve">Стойка каркаса по фронтону, односкатная кровля №41</t>
  </si>
  <si>
    <t xml:space="preserve">Стойки каркаса, левая сторона 2 эт</t>
  </si>
  <si>
    <t xml:space="preserve">Стойки каркаса, правая сторона 2 эт</t>
  </si>
  <si>
    <t xml:space="preserve">Стойки каркаса передней/задней стены 2 эт</t>
  </si>
  <si>
    <t xml:space="preserve">Стойки для окон вертикальные</t>
  </si>
  <si>
    <t xml:space="preserve">Перекладины для окон горизонтальные, 1</t>
  </si>
  <si>
    <t xml:space="preserve">Перекладины для окон горизонтальные, 2</t>
  </si>
  <si>
    <t xml:space="preserve">Перекладины для окон горизонтальные, 3</t>
  </si>
  <si>
    <t xml:space="preserve">Перекладины для окон горизонтальные, 4</t>
  </si>
  <si>
    <t xml:space="preserve">Перекладины для окон горизонтальные, 5</t>
  </si>
  <si>
    <t xml:space="preserve">Стойки для входных дверей вертикальные</t>
  </si>
  <si>
    <t xml:space="preserve">Перекладины для входных дверей горизонтальные,1</t>
  </si>
  <si>
    <t xml:space="preserve">Перекладины для входных дверей горизонтальные,2</t>
  </si>
  <si>
    <t xml:space="preserve">Перекладины для входных дверей горизонтальные,3</t>
  </si>
  <si>
    <t xml:space="preserve">Перекладины для входных дверей горизонтальные,4</t>
  </si>
  <si>
    <t xml:space="preserve">Перекладины для входных дверей горизонтальные,5</t>
  </si>
  <si>
    <t xml:space="preserve">Стойки для межкомнатных дверей вертикальные</t>
  </si>
  <si>
    <t xml:space="preserve">Перекладины для межкомнатных дверей горизонтальные,1</t>
  </si>
  <si>
    <t xml:space="preserve">Перекладины для межкомнатных дверей горизонтальные,2</t>
  </si>
  <si>
    <t xml:space="preserve">Перекладины для межкомнатных дверей горизонтальные,3</t>
  </si>
  <si>
    <t xml:space="preserve">Перекладины для межкомнатных дверей горизонтальные,4</t>
  </si>
  <si>
    <t xml:space="preserve">Стойки для проемов вертикальные</t>
  </si>
  <si>
    <t xml:space="preserve">Перекладины для проемов горизонтальные,1</t>
  </si>
  <si>
    <t xml:space="preserve">Перекладины для проемов горизонтальные,2</t>
  </si>
  <si>
    <t xml:space="preserve">двери межк</t>
  </si>
  <si>
    <t xml:space="preserve">несущие перегододки 1 эт по оси Х</t>
  </si>
  <si>
    <t xml:space="preserve">перегододки 1 эт по оси Х</t>
  </si>
  <si>
    <t xml:space="preserve">несущие перегододки 1 эт по оси Y</t>
  </si>
  <si>
    <t xml:space="preserve">перегододки 1 эт по оси Y</t>
  </si>
  <si>
    <t xml:space="preserve">передняя стена эркера</t>
  </si>
  <si>
    <t xml:space="preserve">боковая стена эркера</t>
  </si>
  <si>
    <t xml:space="preserve">косая стена эркера</t>
  </si>
  <si>
    <t xml:space="preserve">передняя стена пристройки</t>
  </si>
  <si>
    <t xml:space="preserve">Боковая стена пристройки левая</t>
  </si>
  <si>
    <t xml:space="preserve">боковая стена пристройки правая</t>
  </si>
  <si>
    <t xml:space="preserve">выбор по этажности пристройки фронтона высоту 1 эт</t>
  </si>
  <si>
    <t xml:space="preserve">условие , если пристройка в 1 этаж</t>
  </si>
  <si>
    <t xml:space="preserve">левая половина фронтона для односкатной кровли</t>
  </si>
  <si>
    <t xml:space="preserve">количество стоек каркаса фронтона</t>
  </si>
  <si>
    <t xml:space="preserve">разница по высоте стоек каркаса на фронтоне 1 пристр</t>
  </si>
  <si>
    <t xml:space="preserve">разница по высоте стоек каркаса на фронтоне 2 пристр</t>
  </si>
  <si>
    <t xml:space="preserve">разница по высоте стоек каркаса на фронтоне 3 пристр</t>
  </si>
  <si>
    <t xml:space="preserve">разница по высоте стоек каркаса на фронтоне 4 пристр</t>
  </si>
  <si>
    <t xml:space="preserve">Пристройка №1 1 этаж</t>
  </si>
  <si>
    <t xml:space="preserve">Стойки каркаса передней стены 1 эт</t>
  </si>
  <si>
    <t xml:space="preserve">Стойка каркаса по фронтону, 1 этаж, односкатная кровля, №1</t>
  </si>
  <si>
    <t xml:space="preserve">Стойка каркаса по фронтону, 1 этаж, односкатная кровля, №2</t>
  </si>
  <si>
    <t xml:space="preserve">Стойка каркаса по фронтону, 1 этаж, односкатная кровля, №3</t>
  </si>
  <si>
    <t xml:space="preserve">Стойка каркаса по фронтону, 1 этаж, односкатная кровля, №4</t>
  </si>
  <si>
    <t xml:space="preserve">Стойка каркаса по фронтону, 1 этаж, односкатная кровля, №5</t>
  </si>
  <si>
    <t xml:space="preserve">Стойка каркаса по фронтону, 1 этаж, односкатная кровля, №6</t>
  </si>
  <si>
    <t xml:space="preserve">Стойка каркаса по фронтону, 1 этаж, односкатная кровля, №7</t>
  </si>
  <si>
    <t xml:space="preserve">Стойка каркаса по фронтону, 1 этаж, односкатная кровля, №8</t>
  </si>
  <si>
    <t xml:space="preserve">Стойка каркаса по фронтону, 1 этаж, односкатная кровля, №9</t>
  </si>
  <si>
    <t xml:space="preserve">Стойка каркаса по фронтону, 1 этаж, односкатная кровля, №10</t>
  </si>
  <si>
    <t xml:space="preserve">Стойка каркаса по фронтону, 1 этаж, односкатная кровля, №11</t>
  </si>
  <si>
    <t xml:space="preserve">Стойка каркаса по фронтону, 1 этаж, односкатная кровля, №12</t>
  </si>
  <si>
    <t xml:space="preserve">Стойка каркаса по фронтону, 1 этаж, односкатная кровля, №13</t>
  </si>
  <si>
    <t xml:space="preserve">Стойка каркаса по фронтону, 1 этаж, односкатная кровля, №14</t>
  </si>
  <si>
    <t xml:space="preserve">Стойка каркаса по фронтону, 1 этаж, односкатная кровля, №15</t>
  </si>
  <si>
    <t xml:space="preserve">Стойка каркаса по фронтону, 1 этаж, односкатная кровля, №16</t>
  </si>
  <si>
    <t xml:space="preserve">Стойка каркаса по фронтону, 1 этаж, односкатная кровля, №17</t>
  </si>
  <si>
    <t xml:space="preserve">Стойка каркаса по фронтону, 1 этаж, двускатная кровля, №1</t>
  </si>
  <si>
    <t xml:space="preserve">Стойка каркаса по фронтону, 1 этаж, двускатная кровля, №2</t>
  </si>
  <si>
    <t xml:space="preserve">Стойка каркаса по фронтону, 1 этаж, двускатная кровля, №3</t>
  </si>
  <si>
    <t xml:space="preserve">Стойка каркаса по фронтону, 1 этаж, двускатная кровля, №4</t>
  </si>
  <si>
    <t xml:space="preserve">Стойка каркаса по фронтону, 1 этаж, двускатная кровля, №5</t>
  </si>
  <si>
    <t xml:space="preserve">Стойка каркаса по фронтону, 1 этаж, двускатная кровля, №6</t>
  </si>
  <si>
    <t xml:space="preserve">Стойка каркаса по фронтону, 1 этаж, двускатная кровля, №7</t>
  </si>
  <si>
    <t xml:space="preserve">Стойка каркаса по фронтону, 1 этаж, двускатная кровля, №8</t>
  </si>
  <si>
    <t xml:space="preserve">Стойка каркаса по фронтону, 1 этаж, двускатная кровля, №9</t>
  </si>
  <si>
    <t xml:space="preserve">Стойка каркаса по фронтону, 1 этаж, двускатная кровля, №10</t>
  </si>
  <si>
    <t xml:space="preserve">Стойка каркаса по фронтону, 1 этаж, двускатная кровля, №11</t>
  </si>
  <si>
    <t xml:space="preserve">Стойка каркаса по фронтону, 1 этаж, двускатная кровля, №12</t>
  </si>
  <si>
    <t xml:space="preserve">Стойка каркаса по фронтону, 1 этаж, двускатная кровля, №13</t>
  </si>
  <si>
    <t xml:space="preserve">Стойка каркаса по фронтону, 1 этаж, двускатная кровля, №14</t>
  </si>
  <si>
    <t xml:space="preserve">Стойка каркаса по фронтону, 1 этаж, двускатная кровля, №15</t>
  </si>
  <si>
    <t xml:space="preserve">Стойка каркаса по фронтону, 1 этаж, двускатная кровля, №16</t>
  </si>
  <si>
    <t xml:space="preserve">Стойка каркаса по фронтону, 1 этаж, двускатная кровля, №17</t>
  </si>
  <si>
    <t xml:space="preserve">Пристройка №2 1 этаж</t>
  </si>
  <si>
    <t xml:space="preserve">Пристройка №3 1 этаж</t>
  </si>
  <si>
    <t xml:space="preserve">Пристройка №4 1 этаж</t>
  </si>
  <si>
    <t xml:space="preserve">Эркер 1 этаж</t>
  </si>
  <si>
    <t xml:space="preserve">Стойка каркаса 1 этаж</t>
  </si>
  <si>
    <t xml:space="preserve">Обвязка нижняя/верхняя стен каркаса 1 этаж</t>
  </si>
  <si>
    <t xml:space="preserve">Ригель каркаса, 1 этаж</t>
  </si>
  <si>
    <t xml:space="preserve">площадь стен наруж пристройки 1 эт</t>
  </si>
  <si>
    <t xml:space="preserve">площадь стен перекр 0эт пристр</t>
  </si>
  <si>
    <t xml:space="preserve">площадь стен перекр 1эт пристр</t>
  </si>
  <si>
    <t xml:space="preserve">S стен общая наружняя 1 этажа</t>
  </si>
  <si>
    <t xml:space="preserve">отняьть</t>
  </si>
  <si>
    <t xml:space="preserve">S стен внутри наружних 1 этажа</t>
  </si>
  <si>
    <t xml:space="preserve">площадь стен эркера наружних</t>
  </si>
  <si>
    <t xml:space="preserve">S перекрытий стен 0-го этажа</t>
  </si>
  <si>
    <t xml:space="preserve">S перекрытий стен 1-го этажа</t>
  </si>
  <si>
    <t xml:space="preserve">S стен наружних 1 эт общая</t>
  </si>
  <si>
    <t xml:space="preserve">отнять</t>
  </si>
  <si>
    <t xml:space="preserve">площадь наружних стен</t>
  </si>
  <si>
    <t xml:space="preserve">площадь несущих перегородок</t>
  </si>
  <si>
    <t xml:space="preserve">площадь прост перегородок</t>
  </si>
  <si>
    <t xml:space="preserve">площадь наружних стен общая</t>
  </si>
  <si>
    <t xml:space="preserve">S внутри наружних стен</t>
  </si>
  <si>
    <t xml:space="preserve">для газобетона</t>
  </si>
  <si>
    <t xml:space="preserve">площадь стен перекрытий 0 эт</t>
  </si>
  <si>
    <t xml:space="preserve">площадь стен перекрытий 1 эт</t>
  </si>
  <si>
    <t xml:space="preserve">длина арматуры</t>
  </si>
  <si>
    <t xml:space="preserve">периметр перегородок</t>
  </si>
  <si>
    <t xml:space="preserve">площадь стен по полу 1-го этажа</t>
  </si>
  <si>
    <t xml:space="preserve">прибавить площадь стен по полу первого этажа</t>
  </si>
  <si>
    <t xml:space="preserve">ОТНЯТЬ</t>
  </si>
  <si>
    <t xml:space="preserve">Второй этаж</t>
  </si>
  <si>
    <t xml:space="preserve">двери межк и проемы</t>
  </si>
  <si>
    <t xml:space="preserve">высота левой аттик стены</t>
  </si>
  <si>
    <t xml:space="preserve">высота правой аттик стены</t>
  </si>
  <si>
    <t xml:space="preserve">Левая боковой стена 2 эт</t>
  </si>
  <si>
    <t xml:space="preserve">Правая боковой стена 2 эт</t>
  </si>
  <si>
    <t xml:space="preserve">S наружних стен без учета фронтона</t>
  </si>
  <si>
    <t xml:space="preserve">односкатная кровля</t>
  </si>
  <si>
    <t xml:space="preserve">размер дома</t>
  </si>
  <si>
    <t xml:space="preserve">длина фронтона 2</t>
  </si>
  <si>
    <t xml:space="preserve">длина фронтона1 </t>
  </si>
  <si>
    <t xml:space="preserve">кол во стоек 1</t>
  </si>
  <si>
    <t xml:space="preserve">кол во стоек 2</t>
  </si>
  <si>
    <t xml:space="preserve">разница 1</t>
  </si>
  <si>
    <t xml:space="preserve">разница 2</t>
  </si>
  <si>
    <t xml:space="preserve">условие если дом в 2 этажа</t>
  </si>
  <si>
    <t xml:space="preserve">Стойки каркаса левой боковой стены 2 эт</t>
  </si>
  <si>
    <t xml:space="preserve">Обвязка каркаса фронтона верхняя,двускатная кровля</t>
  </si>
  <si>
    <t xml:space="preserve">Обвязка каркаса фронтона нижняя,двускатная кровля</t>
  </si>
  <si>
    <t xml:space="preserve">Ригель каркаса фронтона,двускатная кровля</t>
  </si>
  <si>
    <t xml:space="preserve">Обвязка каркаса верхняя/нижняя наружние стены 2 эт</t>
  </si>
  <si>
    <t xml:space="preserve">Ригель каркаса наружние стены 2 эт</t>
  </si>
  <si>
    <t xml:space="preserve">Стойка каркаса, несущие перегородки, 2 этаж</t>
  </si>
  <si>
    <t xml:space="preserve">Обвязка несущих перегородок верх, 2 этаж</t>
  </si>
  <si>
    <t xml:space="preserve">Ригель несущих перегородок, 2 этаж</t>
  </si>
  <si>
    <t xml:space="preserve">Стойка каркаса, перегородки, 2 этаж</t>
  </si>
  <si>
    <t xml:space="preserve">Обвязка перегородок верх, 2 этаж</t>
  </si>
  <si>
    <t xml:space="preserve">Стойка каркаса по фронтону, левая сторона, двускатная кровля №1</t>
  </si>
  <si>
    <t xml:space="preserve">Стойка каркаса по фронтону, левая сторона, двускатная кровля №2</t>
  </si>
  <si>
    <t xml:space="preserve">Стойка каркаса по фронтону, левая сторона, двускатная кровля №3</t>
  </si>
  <si>
    <t xml:space="preserve">Стойка каркаса по фронтону, левая сторона, двускатная кровля №4</t>
  </si>
  <si>
    <t xml:space="preserve">Стойка каркаса по фронтону, левая сторона, двускатная кровля №5</t>
  </si>
  <si>
    <t xml:space="preserve">Стойка каркаса по фронтону, левая сторона, двускатная кровля №6</t>
  </si>
  <si>
    <t xml:space="preserve">Стойка каркаса по фронтону, левая сторона, двускатная кровля №7</t>
  </si>
  <si>
    <t xml:space="preserve">Стойка каркаса по фронтону, левая сторона, двускатная кровля №8</t>
  </si>
  <si>
    <t xml:space="preserve">Стойка каркаса по фронтону, левая сторона, двускатная кровля №9</t>
  </si>
  <si>
    <t xml:space="preserve">Стойка каркаса по фронтону, левая сторона, двускатная кровля №10</t>
  </si>
  <si>
    <t xml:space="preserve">Стойка каркаса по фронтону, левая сторона, двускатная кровля №11</t>
  </si>
  <si>
    <t xml:space="preserve">Стойка каркаса по фронтону, левая сторона, двускатная кровля №12</t>
  </si>
  <si>
    <t xml:space="preserve">Стойка каркаса по фронтону, левая сторона, двускатная кровля №13</t>
  </si>
  <si>
    <t xml:space="preserve">Стойка каркаса по фронтону, левая сторона, двускатная кровля №14</t>
  </si>
  <si>
    <t xml:space="preserve">Стойка каркаса по фронтону, левая сторона, двускатная кровля №15</t>
  </si>
  <si>
    <t xml:space="preserve">Стойка каркаса по фронтону, левая сторона, двускатная кровля №16</t>
  </si>
  <si>
    <t xml:space="preserve">Стойка каркаса по фронтону, левая сторона, двускатная кровля №17</t>
  </si>
  <si>
    <t xml:space="preserve">Стойка каркаса по фронтону, левая сторона, двускатная кровля №18</t>
  </si>
  <si>
    <t xml:space="preserve">Стойка каркаса по фронтону, левая сторона, двускатная кровля №19</t>
  </si>
  <si>
    <t xml:space="preserve">Стойка каркаса по фронтону, левая сторона, двускатная кровля №20</t>
  </si>
  <si>
    <t xml:space="preserve">Стойка каркаса по фронтону, левая сторона, двускатная кровля №21</t>
  </si>
  <si>
    <t xml:space="preserve">Стойка каркаса по фронтону, левая сторона, двускатная кровля №22</t>
  </si>
  <si>
    <t xml:space="preserve">Стойка каркаса по фронтону, левая сторона, двускатная кровля №23</t>
  </si>
  <si>
    <t xml:space="preserve">Стойка каркаса по фронтону, левая сторона, двускатная кровля №24</t>
  </si>
  <si>
    <t xml:space="preserve">Стойка каркаса по фронтону, левая сторона, двускатная кровля №25</t>
  </si>
  <si>
    <t xml:space="preserve">Стойка каркаса по фронтону, левая сторона, двускатная кровля №26</t>
  </si>
  <si>
    <t xml:space="preserve">Стойка каркаса по фронтону, левая сторона, двускатная кровля №27</t>
  </si>
  <si>
    <t xml:space="preserve">Стойка каркаса по фронтону, левая сторона, двускатная кровля №28</t>
  </si>
  <si>
    <t xml:space="preserve">Стойка каркаса по фронтону, левая сторона, двускатная кровля №29</t>
  </si>
  <si>
    <t xml:space="preserve">Стойка каркаса по фронтону, левая сторона, двускатная кровля №30</t>
  </si>
  <si>
    <t xml:space="preserve">Стойка каркаса по фронтону, левая сторона, двускатная кровля №31</t>
  </si>
  <si>
    <t xml:space="preserve">Стойка каркаса по фронтону, левая сторона, двускатная кровля №32</t>
  </si>
  <si>
    <t xml:space="preserve">Стойка каркаса по фронтону, левая сторона, двускатная кровля №33</t>
  </si>
  <si>
    <t xml:space="preserve">Стойка каркаса по фронтону, левая сторона, двускатная кровля №34</t>
  </si>
  <si>
    <t xml:space="preserve">Стойка каркаса по фронтону, левая сторона, двускатная кровля №35</t>
  </si>
  <si>
    <t xml:space="preserve">Стойка каркаса по фронтону, левая сторона, двускатная кровля №36</t>
  </si>
  <si>
    <t xml:space="preserve">Стойка каркаса по фронтону, левая сторона, двускатная кровля №37</t>
  </si>
  <si>
    <t xml:space="preserve">Стойка каркаса по фронтону, левая сторона, двускатная кровля №38</t>
  </si>
  <si>
    <t xml:space="preserve">Стойка каркаса по фронтону, левая сторона, двускатная кровля №39</t>
  </si>
  <si>
    <t xml:space="preserve">Стойка каркаса по фронтону, левая сторона, двускатная кровля №40</t>
  </si>
  <si>
    <t xml:space="preserve">Стойка каркаса по фронтону, левая сторона, двускатная кровля №41</t>
  </si>
  <si>
    <t xml:space="preserve">Стойка каркаса по фронтону, левая сторона, двускатная кровля №42</t>
  </si>
  <si>
    <t xml:space="preserve">Стойка каркаса по фронтону, левая сторона, двускатная кровля №43</t>
  </si>
  <si>
    <t xml:space="preserve">Стойка каркаса по фронтону, левая сторона, двускатная кровля №44</t>
  </si>
  <si>
    <t xml:space="preserve">Стойка каркаса по фронтону, левая сторона, двускатная кровля №45</t>
  </si>
  <si>
    <t xml:space="preserve">Стойка каркаса по фронтону, левая сторона, двускатная кровля №46</t>
  </si>
  <si>
    <t xml:space="preserve">Стойка каркаса по фронтону, левая сторона, двускатная кровля №47</t>
  </si>
  <si>
    <t xml:space="preserve">Стойка каркаса по фронтону, левая сторона, двускатная кровля №48</t>
  </si>
  <si>
    <t xml:space="preserve">Стойка каркаса по фронтону, левая сторона, двускатная кровля №49</t>
  </si>
  <si>
    <t xml:space="preserve">Стойка каркаса по фронтону, левая сторона, двускатная кровля №50</t>
  </si>
  <si>
    <t xml:space="preserve">Стойка каркаса по фронтону, левая сторона, двускатная кровля №51</t>
  </si>
  <si>
    <t xml:space="preserve">Стойка каркаса по фронтону, левая сторона, двускатная кровля №52</t>
  </si>
  <si>
    <t xml:space="preserve">Стойка каркаса по фронтону, левая сторона, двускатная кровля №53</t>
  </si>
  <si>
    <t xml:space="preserve">Стойка каркаса по фронтону, левая сторона, двускатная кровля №54</t>
  </si>
  <si>
    <t xml:space="preserve">Стойка каркаса по фронтону, левая сторона, двускатная кровля №55</t>
  </si>
  <si>
    <t xml:space="preserve">Стойка каркаса по фронтону, левая сторона, двускатная кровля №56</t>
  </si>
  <si>
    <t xml:space="preserve">Стойка каркаса по фронтону, левая сторона, двускатная кровля №57</t>
  </si>
  <si>
    <t xml:space="preserve">Стойка каркаса по фронтону, левая сторона, двускатная кровля №58</t>
  </si>
  <si>
    <t xml:space="preserve">Стойка каркаса по фронтону, левая сторона, двускатная кровля №59</t>
  </si>
  <si>
    <t xml:space="preserve">Стойка каркаса по фронтону, левая сторона, двускатная кровля №60</t>
  </si>
  <si>
    <t xml:space="preserve">Стойка каркаса по фронтону, левая сторона, двускатная кровля №61</t>
  </si>
  <si>
    <t xml:space="preserve">Стойка каркаса по фронтону, левая сторона, двускатная кровля №62</t>
  </si>
  <si>
    <t xml:space="preserve">Стойки каркаса правой боковой стены 2 эт</t>
  </si>
  <si>
    <t xml:space="preserve">Обвязка каркаса нижняя</t>
  </si>
  <si>
    <t xml:space="preserve">Обвязка каркаса верхняя</t>
  </si>
  <si>
    <t xml:space="preserve">Стойки каркаса передней стены 2 эт</t>
  </si>
  <si>
    <t xml:space="preserve">Стойки каркаса задней стены 2 эт</t>
  </si>
  <si>
    <t xml:space="preserve">Стойки каркаса, левая/правая сторона 2 эт</t>
  </si>
  <si>
    <t xml:space="preserve">если второго этажа нет коэффициент</t>
  </si>
  <si>
    <t xml:space="preserve">коэфф для эркера второго этажа</t>
  </si>
  <si>
    <t xml:space="preserve">коэфф для пристр второго этажа</t>
  </si>
  <si>
    <t xml:space="preserve">Условие если пристройка в 2 этажа</t>
  </si>
  <si>
    <t xml:space="preserve">для односкатной кровли</t>
  </si>
  <si>
    <t xml:space="preserve">для двускатной кровли</t>
  </si>
  <si>
    <t xml:space="preserve">Пристройка №1 2 этаж</t>
  </si>
  <si>
    <t xml:space="preserve">Стойки каркаса передняя стена, 2 эт</t>
  </si>
  <si>
    <t xml:space="preserve">Стойки каркаса , левая стена, 2 эт</t>
  </si>
  <si>
    <t xml:space="preserve">Стойки каркаса , правая стена, 2 эт</t>
  </si>
  <si>
    <t xml:space="preserve">Укосина наружних стен, усиление 2 этаж</t>
  </si>
  <si>
    <t xml:space="preserve">Стойка каркаса по фронтону, 2 этаж, односкатная кровля, №1</t>
  </si>
  <si>
    <t xml:space="preserve">Стойка каркаса по фронтону, 2 этаж, односкатная кровля, №2</t>
  </si>
  <si>
    <t xml:space="preserve">Стойка каркаса по фронтону, 2 этаж, односкатная кровля, №3</t>
  </si>
  <si>
    <t xml:space="preserve">Стойка каркаса по фронтону, 2 этаж, односкатная кровля, №4</t>
  </si>
  <si>
    <t xml:space="preserve">Стойка каркаса по фронтону, 2 этаж, односкатная кровля, №5</t>
  </si>
  <si>
    <t xml:space="preserve">Стойка каркаса по фронтону, 2 этаж, односкатная кровля, №6</t>
  </si>
  <si>
    <t xml:space="preserve">Стойка каркаса по фронтону, 2 этаж, односкатная кровля, №7</t>
  </si>
  <si>
    <t xml:space="preserve">Стойка каркаса по фронтону, 2 этаж, односкатная кровля, №8</t>
  </si>
  <si>
    <t xml:space="preserve">Стойка каркаса по фронтону, 2 этаж, односкатная кровля, №9</t>
  </si>
  <si>
    <t xml:space="preserve">Стойка каркаса по фронтону, 2 этаж, односкатная кровля, №10</t>
  </si>
  <si>
    <t xml:space="preserve">Стойка каркаса по фронтону, 2 этаж, односкатная кровля, №11</t>
  </si>
  <si>
    <t xml:space="preserve">Стойка каркаса по фронтону, 2 этаж, односкатная кровля, №12</t>
  </si>
  <si>
    <t xml:space="preserve">Стойка каркаса по фронтону, 2 этаж, односкатная кровля, №13</t>
  </si>
  <si>
    <t xml:space="preserve">Стойка каркаса по фронтону, 2 этаж, односкатная кровля, №14</t>
  </si>
  <si>
    <t xml:space="preserve">Стойка каркаса по фронтону, 2 этаж, односкатная кровля, №15</t>
  </si>
  <si>
    <t xml:space="preserve">Стойка каркаса по фронтону, 2 этаж, односкатная кровля, №16</t>
  </si>
  <si>
    <t xml:space="preserve">Стойка каркаса по фронтону, 2 этаж, односкатная кровля, №17</t>
  </si>
  <si>
    <t xml:space="preserve">Стойка каркаса по фронтону, 2 этаж, двускатная кровля, №1</t>
  </si>
  <si>
    <t xml:space="preserve">Стойка каркаса по фронтону, 2 этаж, двускатная кровля, №2</t>
  </si>
  <si>
    <t xml:space="preserve">Стойка каркаса по фронтону, 2 этаж, двускатная кровля, №3</t>
  </si>
  <si>
    <t xml:space="preserve">Стойка каркаса по фронтону, 2 этаж, двускатная кровля, №4</t>
  </si>
  <si>
    <t xml:space="preserve">Стойка каркаса по фронтону, 2 этаж, двускатная кровля, №5</t>
  </si>
  <si>
    <t xml:space="preserve">Стойка каркаса по фронтону, 2 этаж, двускатная кровля, №6</t>
  </si>
  <si>
    <t xml:space="preserve">Стойка каркаса по фронтону, 2 этаж, двускатная кровля, №7</t>
  </si>
  <si>
    <t xml:space="preserve">Стойка каркаса по фронтону, 2 этаж, двускатная кровля, №8</t>
  </si>
  <si>
    <t xml:space="preserve">Стойка каркаса по фронтону, 2 этаж, двускатная кровля, №9</t>
  </si>
  <si>
    <t xml:space="preserve">Стойка каркаса по фронтону, 2 этаж, двускатная кровля, №10</t>
  </si>
  <si>
    <t xml:space="preserve">Стойка каркаса по фронтону, 2 этаж, двускатная кровля, №11</t>
  </si>
  <si>
    <t xml:space="preserve">Стойка каркаса по фронтону, 2 этаж, двускатная кровля, №12</t>
  </si>
  <si>
    <t xml:space="preserve">Стойка каркаса по фронтону, 2 этаж, двускатная кровля, №13</t>
  </si>
  <si>
    <t xml:space="preserve">Стойка каркаса по фронтону, 2 этаж, двускатная кровля, №14</t>
  </si>
  <si>
    <t xml:space="preserve">Стойка каркаса по фронтону, 2 этаж, двускатная кровля, №15</t>
  </si>
  <si>
    <t xml:space="preserve">Стойка каркаса по фронтону, 2 этаж, двускатная кровля, №16</t>
  </si>
  <si>
    <t xml:space="preserve">Стойка каркаса по фронтону, 2 этаж, двускатная кровля, №17</t>
  </si>
  <si>
    <t xml:space="preserve">Пристройка №2 2 этаж</t>
  </si>
  <si>
    <t xml:space="preserve">Пристройка №3 2 этаж</t>
  </si>
  <si>
    <t xml:space="preserve">Пристройка №4 2 этаж</t>
  </si>
  <si>
    <t xml:space="preserve">площадь стен наруж пристройки 2 эт</t>
  </si>
  <si>
    <t xml:space="preserve">площадь стен перекр пристр</t>
  </si>
  <si>
    <t xml:space="preserve">S стен общая наружняя 2 этажа</t>
  </si>
  <si>
    <t xml:space="preserve">S стен внутри наружних 2 этажа</t>
  </si>
  <si>
    <t xml:space="preserve">площадь стен по полу 2-го этажа</t>
  </si>
  <si>
    <t xml:space="preserve">S перекрытий стен 2-го этажа</t>
  </si>
  <si>
    <t xml:space="preserve">S стен наружних 2 эт общая</t>
  </si>
  <si>
    <t xml:space="preserve">плоащадь внутренних стен</t>
  </si>
  <si>
    <t xml:space="preserve">площадь стен перекрытий 2 эт</t>
  </si>
  <si>
    <t xml:space="preserve">Второй этаж пристройки</t>
  </si>
  <si>
    <t xml:space="preserve">Односкатная кровля на пристройке</t>
  </si>
  <si>
    <t xml:space="preserve">Первый этаж пристройки</t>
  </si>
  <si>
    <t xml:space="preserve">высота аттиковой стены</t>
  </si>
  <si>
    <t xml:space="preserve">пристройки для стоек каркаса</t>
  </si>
  <si>
    <t xml:space="preserve">перекрытия   </t>
  </si>
  <si>
    <t xml:space="preserve">перегородки</t>
  </si>
  <si>
    <t xml:space="preserve">S   </t>
  </si>
  <si>
    <t xml:space="preserve">нар стены</t>
  </si>
  <si>
    <t xml:space="preserve">несущ</t>
  </si>
  <si>
    <t xml:space="preserve">простые</t>
  </si>
  <si>
    <t xml:space="preserve">Перекрытия 0 этажа</t>
  </si>
  <si>
    <t xml:space="preserve">площадь в доме не используется</t>
  </si>
  <si>
    <t xml:space="preserve">площадь стен</t>
  </si>
  <si>
    <t xml:space="preserve">Пол </t>
  </si>
  <si>
    <t xml:space="preserve">общая</t>
  </si>
  <si>
    <t xml:space="preserve">перегородки стены 1-го этажа</t>
  </si>
  <si>
    <t xml:space="preserve">перегородки стены 2-го этажа</t>
  </si>
  <si>
    <t xml:space="preserve">Потолок второго этажа</t>
  </si>
  <si>
    <t xml:space="preserve">S перекрытия кровли</t>
  </si>
  <si>
    <t xml:space="preserve">S наклонной кровли</t>
  </si>
  <si>
    <t xml:space="preserve">S потолок кровли общая</t>
  </si>
  <si>
    <t xml:space="preserve">перекрытие пол потолок</t>
  </si>
  <si>
    <t xml:space="preserve">высотам</t>
  </si>
  <si>
    <t xml:space="preserve">длина ленты фундамента</t>
  </si>
  <si>
    <t xml:space="preserve">S общая</t>
  </si>
  <si>
    <t xml:space="preserve">Полувальмовая</t>
  </si>
  <si>
    <t xml:space="preserve">односкатная</t>
  </si>
  <si>
    <t xml:space="preserve">высота до края ската</t>
  </si>
  <si>
    <t xml:space="preserve">высота до излома</t>
  </si>
  <si>
    <t xml:space="preserve">высота торцевой доски</t>
  </si>
  <si>
    <t xml:space="preserve">угол наклона кровли 1 верхний карниз</t>
  </si>
  <si>
    <t xml:space="preserve">рад</t>
  </si>
  <si>
    <t xml:space="preserve">угол наклона кровли 2 фронтон</t>
  </si>
  <si>
    <t xml:space="preserve">карниз</t>
  </si>
  <si>
    <t xml:space="preserve">угол наклона кровли 3 карниз</t>
  </si>
  <si>
    <t xml:space="preserve">едизм</t>
  </si>
  <si>
    <t xml:space="preserve">мауэрлат, вар1</t>
  </si>
  <si>
    <t xml:space="preserve">мауэрлат, вар2</t>
  </si>
  <si>
    <t xml:space="preserve">длина дома В</t>
  </si>
  <si>
    <t xml:space="preserve">высота от аттиковой стены до конька, Е</t>
  </si>
  <si>
    <t xml:space="preserve">высота от аттик стены до перекрытия</t>
  </si>
  <si>
    <t xml:space="preserve">высота от перекрытия 2 эт до конька</t>
  </si>
  <si>
    <t xml:space="preserve">уклон нижнего ската от аттик стены</t>
  </si>
  <si>
    <t xml:space="preserve">длина ската без выпуска по ширине дома</t>
  </si>
  <si>
    <t xml:space="preserve">ДЛИНА СКАТА ПОТОЛОК</t>
  </si>
  <si>
    <t xml:space="preserve">длина ската без выпуска по длине дома</t>
  </si>
  <si>
    <t xml:space="preserve">угол наклона ската, рад</t>
  </si>
  <si>
    <t xml:space="preserve">градусы</t>
  </si>
  <si>
    <t xml:space="preserve">противоположный угол в градусах</t>
  </si>
  <si>
    <t xml:space="preserve">угол противоположный, в радианах</t>
  </si>
  <si>
    <t xml:space="preserve">выпуск кровли по карнизу</t>
  </si>
  <si>
    <t xml:space="preserve">длина кровли карниза1, вар 1, вар 2</t>
  </si>
  <si>
    <t xml:space="preserve">длина кровли карниза2, вар1, вар 2</t>
  </si>
  <si>
    <t xml:space="preserve">Длина кровли М вар1</t>
  </si>
  <si>
    <t xml:space="preserve">Длина кровли М вар2</t>
  </si>
  <si>
    <t xml:space="preserve">Длина кровли М1 вар2</t>
  </si>
  <si>
    <t xml:space="preserve">Длина горизонт выпуска фронтон</t>
  </si>
  <si>
    <t xml:space="preserve">Длина ската по фронтону без выпус</t>
  </si>
  <si>
    <t xml:space="preserve">Длина конька без выпускам, O, вар1</t>
  </si>
  <si>
    <t xml:space="preserve">Длина конька без выпускам, O, вар2</t>
  </si>
  <si>
    <t xml:space="preserve">Длина конька с выпускам, O, вар1</t>
  </si>
  <si>
    <t xml:space="preserve">Длина конька с выпускам, O, вар2</t>
  </si>
  <si>
    <t xml:space="preserve">длина ската по фронтону с выпуском</t>
  </si>
  <si>
    <t xml:space="preserve">Длина ската по карнизу, F/ 1 скат ниж</t>
  </si>
  <si>
    <t xml:space="preserve">Длина ската с выпуском по карнизу</t>
  </si>
  <si>
    <t xml:space="preserve">Длина ската по карнизу, F1/2 скат верх</t>
  </si>
  <si>
    <t xml:space="preserve">катет К, по фронтону длине</t>
  </si>
  <si>
    <t xml:space="preserve">катет N, по длине карниза</t>
  </si>
  <si>
    <t xml:space="preserve">S ската по  фронтону G</t>
  </si>
  <si>
    <t xml:space="preserve">S ската по  карнизу H</t>
  </si>
  <si>
    <t xml:space="preserve">S нижнего ската полувальмовой кровли</t>
  </si>
  <si>
    <t xml:space="preserve">S верхнего ската карниз</t>
  </si>
  <si>
    <t xml:space="preserve">S кровли без выпусков, вар1</t>
  </si>
  <si>
    <t xml:space="preserve">S кровли без выпусков, вар2</t>
  </si>
  <si>
    <t xml:space="preserve">S выпусков, подшивка, вар1</t>
  </si>
  <si>
    <t xml:space="preserve">S выпусков, подшивка, вар2</t>
  </si>
  <si>
    <t xml:space="preserve">S кровли с выпусками, вар1</t>
  </si>
  <si>
    <t xml:space="preserve">S кровли с выпусками, вар2</t>
  </si>
  <si>
    <t xml:space="preserve">S материала для кровли, вар1</t>
  </si>
  <si>
    <t xml:space="preserve">S материала для кровли, вар2</t>
  </si>
  <si>
    <t xml:space="preserve">S фронтона, вар1</t>
  </si>
  <si>
    <t xml:space="preserve">S фронтона, вар2</t>
  </si>
  <si>
    <t xml:space="preserve">гипотенуза кровли от конька до перекры</t>
  </si>
  <si>
    <t xml:space="preserve">потолок кровли с перекрытием</t>
  </si>
  <si>
    <t xml:space="preserve">S  перекрытий 2 эт</t>
  </si>
  <si>
    <t xml:space="preserve">S наклонный потолок</t>
  </si>
  <si>
    <t xml:space="preserve">ширина перекрытия 2 этажа</t>
  </si>
  <si>
    <t xml:space="preserve">длина катета по наклонной части потолка</t>
  </si>
  <si>
    <t xml:space="preserve">длина наклонной части потолка</t>
  </si>
  <si>
    <t xml:space="preserve">водосточка,вар 1</t>
  </si>
  <si>
    <t xml:space="preserve">водосточка,вар 2</t>
  </si>
  <si>
    <t xml:space="preserve">капельник, вар1</t>
  </si>
  <si>
    <t xml:space="preserve">капельник, вар2</t>
  </si>
  <si>
    <t xml:space="preserve">торцевая планка, вар1</t>
  </si>
  <si>
    <t xml:space="preserve">торцевая планка, вар2</t>
  </si>
  <si>
    <t xml:space="preserve">кровли все</t>
  </si>
  <si>
    <t xml:space="preserve">вариант</t>
  </si>
  <si>
    <t xml:space="preserve">количество</t>
  </si>
  <si>
    <t xml:space="preserve">высота до конька, P</t>
  </si>
  <si>
    <t xml:space="preserve">высота прямой стены</t>
  </si>
  <si>
    <t xml:space="preserve">скат</t>
  </si>
  <si>
    <t xml:space="preserve">ендова вн</t>
  </si>
  <si>
    <t xml:space="preserve">длина ската конька, T</t>
  </si>
  <si>
    <t xml:space="preserve">Ендова внутренняя, вариант 1, R</t>
  </si>
  <si>
    <t xml:space="preserve">конек мат</t>
  </si>
  <si>
    <t xml:space="preserve">Ендова внутренняя, вариант 2, R</t>
  </si>
  <si>
    <t xml:space="preserve">S стен дома</t>
  </si>
  <si>
    <t xml:space="preserve">S кровли, вариант 1</t>
  </si>
  <si>
    <t xml:space="preserve">енд по дому</t>
  </si>
  <si>
    <t xml:space="preserve">S на  основной кровле</t>
  </si>
  <si>
    <t xml:space="preserve">S матеиала</t>
  </si>
  <si>
    <t xml:space="preserve">S материала для кровли, Вар 1</t>
  </si>
  <si>
    <t xml:space="preserve">S стен на кр</t>
  </si>
  <si>
    <t xml:space="preserve">конек по материалам</t>
  </si>
  <si>
    <t xml:space="preserve">S  на доме</t>
  </si>
  <si>
    <t xml:space="preserve">S выпусков, подшивка</t>
  </si>
  <si>
    <t xml:space="preserve">капельник</t>
  </si>
  <si>
    <t xml:space="preserve">длина ендовы внутренней по дому</t>
  </si>
  <si>
    <t xml:space="preserve">стропило, высота</t>
  </si>
  <si>
    <t xml:space="preserve">ручной ввод</t>
  </si>
  <si>
    <t xml:space="preserve">Считать Эркер</t>
  </si>
  <si>
    <t xml:space="preserve">Считать лаги</t>
  </si>
  <si>
    <t xml:space="preserve">Считать перекрытие 1 эт</t>
  </si>
  <si>
    <t xml:space="preserve">Считать перекрытие 2 эт</t>
  </si>
  <si>
    <t xml:space="preserve">Длина Н6</t>
  </si>
  <si>
    <t xml:space="preserve">Длина Н7</t>
  </si>
  <si>
    <t xml:space="preserve">Длина Н8</t>
  </si>
  <si>
    <t xml:space="preserve">длина 8</t>
  </si>
  <si>
    <t xml:space="preserve">Высота 1 эт</t>
  </si>
  <si>
    <t xml:space="preserve">Высота Н10</t>
  </si>
  <si>
    <t xml:space="preserve">Длина Н11</t>
  </si>
  <si>
    <t xml:space="preserve">Длина Н12</t>
  </si>
  <si>
    <t xml:space="preserve">Высота 2 эт</t>
  </si>
  <si>
    <t xml:space="preserve">Высота внешних углов 1 эт</t>
  </si>
  <si>
    <t xml:space="preserve">Высота внешних углов 2 эт</t>
  </si>
  <si>
    <t xml:space="preserve">Высота внутренних углов 1 эт</t>
  </si>
  <si>
    <t xml:space="preserve">Высота внутренних углов 2эт</t>
  </si>
  <si>
    <t xml:space="preserve">S стен 1 эт отнять</t>
  </si>
  <si>
    <t xml:space="preserve">S стен 2 этажа отнять</t>
  </si>
  <si>
    <t xml:space="preserve">S перекрытия 0 этажа</t>
  </si>
  <si>
    <t xml:space="preserve">S перекрытия 1 этажа</t>
  </si>
  <si>
    <t xml:space="preserve">S стен общая</t>
  </si>
  <si>
    <t xml:space="preserve">S стен чистая</t>
  </si>
  <si>
    <t xml:space="preserve">Кровля</t>
  </si>
  <si>
    <t xml:space="preserve">длина ската, L1</t>
  </si>
  <si>
    <t xml:space="preserve">длина выпуска по скату</t>
  </si>
  <si>
    <t xml:space="preserve">угол уклона ската L1</t>
  </si>
  <si>
    <t xml:space="preserve">длина выпуска по скату L1</t>
  </si>
  <si>
    <t xml:space="preserve">длина ската, L2</t>
  </si>
  <si>
    <t xml:space="preserve">длина ската, L3</t>
  </si>
  <si>
    <t xml:space="preserve">длина L1 с выпуском</t>
  </si>
  <si>
    <t xml:space="preserve">S стен в доме</t>
  </si>
  <si>
    <t xml:space="preserve">длина L2 с выпуском</t>
  </si>
  <si>
    <t xml:space="preserve">прибавить</t>
  </si>
  <si>
    <t xml:space="preserve">длина L3 с выпуском</t>
  </si>
  <si>
    <t xml:space="preserve">Считать кровлю на эркере</t>
  </si>
  <si>
    <t xml:space="preserve">S кровли с выпуском</t>
  </si>
  <si>
    <t xml:space="preserve">Материал для кровли</t>
  </si>
  <si>
    <t xml:space="preserve">площадь кровли</t>
  </si>
  <si>
    <t xml:space="preserve">длина скат</t>
  </si>
  <si>
    <t xml:space="preserve">S 1</t>
  </si>
  <si>
    <t xml:space="preserve">S 2</t>
  </si>
  <si>
    <t xml:space="preserve">площадь по полу</t>
  </si>
  <si>
    <t xml:space="preserve">S 3</t>
  </si>
  <si>
    <t xml:space="preserve">длина углов внутр ендова</t>
  </si>
  <si>
    <t xml:space="preserve">площадь кровли по работе</t>
  </si>
  <si>
    <t xml:space="preserve">ендова внешняя угол</t>
  </si>
  <si>
    <t xml:space="preserve">площ кровли по материалу</t>
  </si>
  <si>
    <t xml:space="preserve">Считать фундамент</t>
  </si>
  <si>
    <t xml:space="preserve">чистая площадь, утепление кровли</t>
  </si>
  <si>
    <t xml:space="preserve">Размеры оконных проемов</t>
  </si>
  <si>
    <t xml:space="preserve">Размеры дверных проемов</t>
  </si>
  <si>
    <t xml:space="preserve">Общ. площадь</t>
  </si>
  <si>
    <t xml:space="preserve">Площадь</t>
  </si>
  <si>
    <t xml:space="preserve">общ площ</t>
  </si>
  <si>
    <t xml:space="preserve">Итого, площадь окон, м2</t>
  </si>
  <si>
    <t xml:space="preserve">ПЛ несущие дверей межк. 1 этаж, м2</t>
  </si>
  <si>
    <t xml:space="preserve">ПЛ простые дверей межк. 1 этаж, м2</t>
  </si>
  <si>
    <t xml:space="preserve">Пл несущие дверей межк. 2 этаж, м2</t>
  </si>
  <si>
    <t xml:space="preserve">Пл простые дверей межк. 2 этаж, м2</t>
  </si>
  <si>
    <t xml:space="preserve">Длина проемов несущие первый этаж</t>
  </si>
  <si>
    <t xml:space="preserve">Длина проемов простые первый этаж</t>
  </si>
  <si>
    <t xml:space="preserve">Общ. Площадь</t>
  </si>
  <si>
    <t xml:space="preserve">Парадная</t>
  </si>
  <si>
    <t xml:space="preserve">Итого, площадь балкона,м2</t>
  </si>
  <si>
    <t xml:space="preserve">Итого, площадь наружних дверей,м2</t>
  </si>
  <si>
    <t xml:space="preserve">окна двери</t>
  </si>
  <si>
    <t xml:space="preserve">Размеры, необходимые для точного расчета стоимости строительства дома</t>
  </si>
  <si>
    <t xml:space="preserve">высота второго этажа</t>
  </si>
  <si>
    <t xml:space="preserve">высота до конька  от перекрыт</t>
  </si>
  <si>
    <t xml:space="preserve">размеры дома</t>
  </si>
  <si>
    <t xml:space="preserve">длина </t>
  </si>
  <si>
    <t xml:space="preserve">общая площ</t>
  </si>
  <si>
    <t xml:space="preserve">катет от кр</t>
  </si>
  <si>
    <t xml:space="preserve">S перегородок</t>
  </si>
  <si>
    <t xml:space="preserve">длина пер</t>
  </si>
  <si>
    <t xml:space="preserve">катет от кровли</t>
  </si>
  <si>
    <t xml:space="preserve">Длина несущих перегородок на 1-ом этаже по оси Х перемычки фундамента</t>
  </si>
  <si>
    <t xml:space="preserve">Длина несущих перегородок на 2-ом этаже по оси Х</t>
  </si>
  <si>
    <t xml:space="preserve">Длина перегородок на 1-ом этаже по оси Х </t>
  </si>
  <si>
    <t xml:space="preserve">Длина перегородок на 2-ом этаже по оси Х</t>
  </si>
  <si>
    <t xml:space="preserve">Длина несущих перегородок на 1-ом этаже по оси Y перемычки фундамента</t>
  </si>
  <si>
    <t xml:space="preserve">Длина несущих перегородок на 2-ом этаже по оси Y</t>
  </si>
  <si>
    <t xml:space="preserve">Длина на 1-ом этаже по оси Y </t>
  </si>
  <si>
    <t xml:space="preserve">Длина перегододок на 2-ом этаже по оси  Y</t>
  </si>
  <si>
    <t xml:space="preserve">несущие 1-ый эт</t>
  </si>
  <si>
    <t xml:space="preserve">несущие 2-ой эт</t>
  </si>
  <si>
    <t xml:space="preserve">простые 1-ый эт</t>
  </si>
  <si>
    <t xml:space="preserve">простые 2-ой эт</t>
  </si>
  <si>
    <t xml:space="preserve">общее несущие</t>
  </si>
  <si>
    <t xml:space="preserve">общее простые</t>
  </si>
  <si>
    <t xml:space="preserve">перегородки считает</t>
  </si>
  <si>
    <t xml:space="preserve">кол-во свай</t>
  </si>
  <si>
    <t xml:space="preserve">обвязочный брус, толщина</t>
  </si>
  <si>
    <t xml:space="preserve">обвязочный брус, ширина</t>
  </si>
  <si>
    <t xml:space="preserve">обвязка</t>
  </si>
  <si>
    <t xml:space="preserve">наружние стены, сип, толщина</t>
  </si>
  <si>
    <t xml:space="preserve">внутренние перегородки, сип, толщина</t>
  </si>
  <si>
    <t xml:space="preserve">мансардный второй этаж</t>
  </si>
  <si>
    <t xml:space="preserve">сип панели + металлочерепица</t>
  </si>
  <si>
    <t xml:space="preserve">стропило+металлочерепица</t>
  </si>
  <si>
    <t xml:space="preserve">коньковой брус</t>
  </si>
  <si>
    <t xml:space="preserve">кровельное покрытие, сип</t>
  </si>
  <si>
    <t xml:space="preserve">площадь перекрытий  на наружних стенах</t>
  </si>
  <si>
    <t xml:space="preserve">расходные материалы</t>
  </si>
  <si>
    <t xml:space="preserve">пристройка</t>
  </si>
  <si>
    <t xml:space="preserve">доставка</t>
  </si>
  <si>
    <t xml:space="preserve">Общие размеры строения</t>
  </si>
  <si>
    <t xml:space="preserve">S общая строения первого этажа</t>
  </si>
  <si>
    <t xml:space="preserve">S чистая строения</t>
  </si>
  <si>
    <t xml:space="preserve">Брус для обвязки несущие стены и перегор</t>
  </si>
  <si>
    <t xml:space="preserve">обвязка наружние стены по этажам</t>
  </si>
  <si>
    <t xml:space="preserve">обвязка перегородки несущие по этажам</t>
  </si>
  <si>
    <t xml:space="preserve">обвязка перегородки по этажам</t>
  </si>
  <si>
    <t xml:space="preserve">S общая наружних стен</t>
  </si>
  <si>
    <t xml:space="preserve">S чистая внутри наружних стен</t>
  </si>
  <si>
    <t xml:space="preserve">S общая несущих перегородок</t>
  </si>
  <si>
    <t xml:space="preserve">S общая перегородок простых</t>
  </si>
  <si>
    <t xml:space="preserve">V углов наружних стен</t>
  </si>
  <si>
    <t xml:space="preserve">S чистая внутренних перегородок</t>
  </si>
  <si>
    <t xml:space="preserve">площадь потолок</t>
  </si>
  <si>
    <t xml:space="preserve">площадь пол </t>
  </si>
  <si>
    <t xml:space="preserve">площадь перекрытия с учетом стен</t>
  </si>
  <si>
    <t xml:space="preserve">площадь лаг</t>
  </si>
  <si>
    <t xml:space="preserve">площадь перекрытий 1</t>
  </si>
  <si>
    <t xml:space="preserve">площадь перекрытий 2</t>
  </si>
  <si>
    <t xml:space="preserve">S перекрытий</t>
  </si>
  <si>
    <t xml:space="preserve">Ендова наружняя, длина</t>
  </si>
  <si>
    <t xml:space="preserve">S карнизных свесов</t>
  </si>
  <si>
    <t xml:space="preserve">СТРОИТЕЛЬСТВО ДОМА СИБ ПАНЕЛИ</t>
  </si>
  <si>
    <t xml:space="preserve">цена ед.изм.</t>
  </si>
  <si>
    <t xml:space="preserve">Площадь 1 л</t>
  </si>
  <si>
    <t xml:space="preserve">Кол-во лист</t>
  </si>
  <si>
    <t xml:space="preserve">Работа</t>
  </si>
  <si>
    <t xml:space="preserve">обвязка наружние стены верх низ</t>
  </si>
  <si>
    <t xml:space="preserve">обвязка несущие перегородки верх низ</t>
  </si>
  <si>
    <t xml:space="preserve">стойки наружние стены</t>
  </si>
  <si>
    <t xml:space="preserve">стойки перегородки несущие</t>
  </si>
  <si>
    <t xml:space="preserve">Стойки перегородки простые</t>
  </si>
  <si>
    <t xml:space="preserve">брус, обвязка кровли, сип панели</t>
  </si>
  <si>
    <t xml:space="preserve">торцевая доска, кровля, сип панели</t>
  </si>
  <si>
    <t xml:space="preserve">итого материалы для каркаса</t>
  </si>
  <si>
    <t xml:space="preserve">работа, изготовление каркаса</t>
  </si>
  <si>
    <t xml:space="preserve">СИП ПАНЕЛИ</t>
  </si>
  <si>
    <t xml:space="preserve">Требуется посчитать, ставьте 1, если нет 0</t>
  </si>
  <si>
    <t xml:space="preserve">Строительство дома, каркас, утепление, осб, гкл</t>
  </si>
  <si>
    <t xml:space="preserve">доска для каркаса, толщина</t>
  </si>
  <si>
    <t xml:space="preserve">наружние стены каркас, ширина</t>
  </si>
  <si>
    <t xml:space="preserve">несущие перегородки, каркас, ширина</t>
  </si>
  <si>
    <t xml:space="preserve">внутренние перегородки, каркас, толщина</t>
  </si>
  <si>
    <t xml:space="preserve">утепление наружних стен</t>
  </si>
  <si>
    <t xml:space="preserve">утепление перегородок</t>
  </si>
  <si>
    <t xml:space="preserve">монтаж osb наружние стены</t>
  </si>
  <si>
    <t xml:space="preserve">монтаж osb перегородки</t>
  </si>
  <si>
    <t xml:space="preserve">монтаж osb потолок</t>
  </si>
  <si>
    <t xml:space="preserve">половое покрытие osb</t>
  </si>
  <si>
    <t xml:space="preserve">ветроизоляция дома снаружи </t>
  </si>
  <si>
    <t xml:space="preserve">пароизоляция дома внутри</t>
  </si>
  <si>
    <t xml:space="preserve">S общая строения</t>
  </si>
  <si>
    <t xml:space="preserve">S по полу чистая</t>
  </si>
  <si>
    <t xml:space="preserve">Брус для обвязки</t>
  </si>
  <si>
    <t xml:space="preserve">обвязка каркаса, верх/низ,риг,наружние стены</t>
  </si>
  <si>
    <t xml:space="preserve">обвязка каркаса, верх/низ,риг,пер-дки несущие</t>
  </si>
  <si>
    <t xml:space="preserve">обвязка каркаса, верх/низ, перегородки </t>
  </si>
  <si>
    <t xml:space="preserve">стойки каркаса наружних стен</t>
  </si>
  <si>
    <t xml:space="preserve">стойки каркаса несущих перегородок</t>
  </si>
  <si>
    <t xml:space="preserve">стойки каркаса перегородок</t>
  </si>
  <si>
    <t xml:space="preserve">S чистая наружних стен</t>
  </si>
  <si>
    <t xml:space="preserve">S общая внутренних перегородок несущих</t>
  </si>
  <si>
    <t xml:space="preserve">S общая внутренних перегородок простых</t>
  </si>
  <si>
    <t xml:space="preserve">площадь пол</t>
  </si>
  <si>
    <t xml:space="preserve">ДОМ КАРКАСНЫЙ, КОРОБКА</t>
  </si>
  <si>
    <t xml:space="preserve">цена 1 м3</t>
  </si>
  <si>
    <t xml:space="preserve">монтаж обвязки</t>
  </si>
  <si>
    <t xml:space="preserve">уп</t>
  </si>
  <si>
    <t xml:space="preserve">Строительство дома из Газобетона/Пенобетона</t>
  </si>
  <si>
    <t xml:space="preserve">газобетон стены</t>
  </si>
  <si>
    <t xml:space="preserve">толщина стен наружних</t>
  </si>
  <si>
    <t xml:space="preserve">тощина несущих перегородок</t>
  </si>
  <si>
    <t xml:space="preserve">толщина перегородок</t>
  </si>
  <si>
    <t xml:space="preserve">балки для проемов, окон, наружние стены</t>
  </si>
  <si>
    <t xml:space="preserve">балки для внутренних перегородок</t>
  </si>
  <si>
    <t xml:space="preserve">армо пояс наружн стен и несущих перегородок, кол-во в доме, 12 арм.</t>
  </si>
  <si>
    <t xml:space="preserve">сейсмопояс перекрытий 1 этажа</t>
  </si>
  <si>
    <t xml:space="preserve">сейсмопояс перекрытий 2 этажа</t>
  </si>
  <si>
    <t xml:space="preserve">объем 1эт</t>
  </si>
  <si>
    <t xml:space="preserve">Длина 2 эт</t>
  </si>
  <si>
    <t xml:space="preserve">объем 2 эт</t>
  </si>
  <si>
    <t xml:space="preserve">сейсмопояс перекрытий наруж , ширина</t>
  </si>
  <si>
    <t xml:space="preserve">сейсмопояс перекрытий нес пер , ширина</t>
  </si>
  <si>
    <t xml:space="preserve">бетононасос для заливки сейсмопояса</t>
  </si>
  <si>
    <t xml:space="preserve">ветроизоляция наружних стен</t>
  </si>
  <si>
    <t xml:space="preserve">обвязка наружние стены</t>
  </si>
  <si>
    <t xml:space="preserve">обвязка перегородки несущие</t>
  </si>
  <si>
    <t xml:space="preserve">V углов</t>
  </si>
  <si>
    <t xml:space="preserve">обвязка перегородки</t>
  </si>
  <si>
    <t xml:space="preserve">блоков</t>
  </si>
  <si>
    <t xml:space="preserve">V 1 блока</t>
  </si>
  <si>
    <t xml:space="preserve">диагон блок</t>
  </si>
  <si>
    <t xml:space="preserve">V блоков</t>
  </si>
  <si>
    <t xml:space="preserve">коэф</t>
  </si>
  <si>
    <t xml:space="preserve">м4</t>
  </si>
  <si>
    <t xml:space="preserve">Дом из пенобетона</t>
  </si>
  <si>
    <t xml:space="preserve">пенобетон стены</t>
  </si>
  <si>
    <t xml:space="preserve">цена 1 ед.изм</t>
  </si>
  <si>
    <t xml:space="preserve">ГАЗОБЕТОН/ПЕНОБЕТОН ДОМ</t>
  </si>
  <si>
    <t xml:space="preserve">Строительство дома из Кирпича</t>
  </si>
  <si>
    <t xml:space="preserve">кладочная сетка каждый 5 ряд</t>
  </si>
  <si>
    <t xml:space="preserve">рядов</t>
  </si>
  <si>
    <t xml:space="preserve">сейсмопояс перекрытий, высота</t>
  </si>
  <si>
    <t xml:space="preserve">сейсмопояс перекрытий, ширина</t>
  </si>
  <si>
    <t xml:space="preserve">итого материалы для коробки</t>
  </si>
  <si>
    <t xml:space="preserve">работа, изготовление коробки</t>
  </si>
  <si>
    <t xml:space="preserve">КИРПИЧНЫЙ ДОМ</t>
  </si>
  <si>
    <t xml:space="preserve">Строительство дома Брусового</t>
  </si>
  <si>
    <t xml:space="preserve">брус лиственница нижний венец</t>
  </si>
  <si>
    <t xml:space="preserve">брус наружние стены, высота</t>
  </si>
  <si>
    <t xml:space="preserve">брус наружние стены, ширина</t>
  </si>
  <si>
    <t xml:space="preserve">откосы</t>
  </si>
  <si>
    <t xml:space="preserve">брус несущие перегородки, высота</t>
  </si>
  <si>
    <t xml:space="preserve">двери</t>
  </si>
  <si>
    <t xml:space="preserve">брус несущие перегородки, ширина</t>
  </si>
  <si>
    <t xml:space="preserve">проемы</t>
  </si>
  <si>
    <t xml:space="preserve">брус перегородки, высота</t>
  </si>
  <si>
    <t xml:space="preserve">брус перегородки, ширина</t>
  </si>
  <si>
    <t xml:space="preserve">брусовой</t>
  </si>
  <si>
    <t xml:space="preserve">профил</t>
  </si>
  <si>
    <t xml:space="preserve">клееный</t>
  </si>
  <si>
    <t xml:space="preserve">оцилиндровка</t>
  </si>
  <si>
    <t xml:space="preserve">дикий</t>
  </si>
  <si>
    <t xml:space="preserve">окосячка окон, дверей наружние стены 1 эт</t>
  </si>
  <si>
    <t xml:space="preserve">окосячка окон, дверей наружние стены 2 эт</t>
  </si>
  <si>
    <t xml:space="preserve">окосячка проемов, дверей перегородки несущие 1 эт</t>
  </si>
  <si>
    <t xml:space="preserve">окосячка проемов, дверей перегородки простые 1 эт</t>
  </si>
  <si>
    <t xml:space="preserve">окосячка проемов, дверей перегородки несущие 2 эт</t>
  </si>
  <si>
    <t xml:space="preserve">окосячка проемов, дверей перегородки простые 2  эт</t>
  </si>
  <si>
    <t xml:space="preserve">различные выпуски по длине</t>
  </si>
  <si>
    <t xml:space="preserve">стандартные выпуски по длине</t>
  </si>
  <si>
    <t xml:space="preserve">площадь вся</t>
  </si>
  <si>
    <t xml:space="preserve">БРУСОВОЙ ДОМ</t>
  </si>
  <si>
    <t xml:space="preserve">Строительство дома из Профилированного Бруса</t>
  </si>
  <si>
    <t xml:space="preserve">объем на балкон</t>
  </si>
  <si>
    <t xml:space="preserve">S общая внутренних перегородок</t>
  </si>
  <si>
    <t xml:space="preserve">S несущих перегородок</t>
  </si>
  <si>
    <t xml:space="preserve">S перекрытий, 0-1-2 этажи</t>
  </si>
  <si>
    <t xml:space="preserve">профилированный брус</t>
  </si>
  <si>
    <t xml:space="preserve">Строительство дома из Клееного Бруса</t>
  </si>
  <si>
    <t xml:space="preserve">клееный брус</t>
  </si>
  <si>
    <t xml:space="preserve">Строительство дома из Оцилиндрованного бревна</t>
  </si>
  <si>
    <t xml:space="preserve">офилиндрованное бревно</t>
  </si>
  <si>
    <t xml:space="preserve">Строительство дома из Дикого Бруса</t>
  </si>
  <si>
    <t xml:space="preserve">дикий лес</t>
  </si>
  <si>
    <t xml:space="preserve">Терраса</t>
  </si>
  <si>
    <t xml:space="preserve">Считать террасу</t>
  </si>
  <si>
    <t xml:space="preserve">2 этажа</t>
  </si>
  <si>
    <t xml:space="preserve">Высота Н19, 1 эт</t>
  </si>
  <si>
    <t xml:space="preserve">Высота Н20, 2 эт</t>
  </si>
  <si>
    <t xml:space="preserve">монтаж веранды</t>
  </si>
  <si>
    <t xml:space="preserve">монтаж лаги, перекрытия</t>
  </si>
  <si>
    <t xml:space="preserve">высота первого этажа</t>
  </si>
  <si>
    <t xml:space="preserve">S террасы</t>
  </si>
  <si>
    <t xml:space="preserve">Периметр перил</t>
  </si>
  <si>
    <t xml:space="preserve">количество столбов основных</t>
  </si>
  <si>
    <t xml:space="preserve">Считать кровлю двускатную</t>
  </si>
  <si>
    <t xml:space="preserve">Высота 9</t>
  </si>
  <si>
    <t xml:space="preserve">высота 2 этажа</t>
  </si>
  <si>
    <t xml:space="preserve">Длина ската по карнизу, F</t>
  </si>
  <si>
    <t xml:space="preserve">Длина конька с выпускам, O</t>
  </si>
  <si>
    <t xml:space="preserve">S кровли без выпусков</t>
  </si>
  <si>
    <t xml:space="preserve">S кровли с выпусками</t>
  </si>
  <si>
    <t xml:space="preserve">S материала для кровли</t>
  </si>
  <si>
    <t xml:space="preserve">материал</t>
  </si>
  <si>
    <t xml:space="preserve">водосточка</t>
  </si>
  <si>
    <t xml:space="preserve">Кровля двускатная терасса</t>
  </si>
  <si>
    <t xml:space="preserve">мауэрлат, ширина</t>
  </si>
  <si>
    <t xml:space="preserve">мауэрлат, толщина</t>
  </si>
  <si>
    <t xml:space="preserve">кровельное покрытие, металлочерепица</t>
  </si>
  <si>
    <t xml:space="preserve">кровельное покрытие, ондулин</t>
  </si>
  <si>
    <t xml:space="preserve">покрытие кровли на сип панели</t>
  </si>
  <si>
    <t xml:space="preserve">КРОВЛЯ ДВУСКАТНАЯ терасса</t>
  </si>
  <si>
    <t xml:space="preserve">выбор балкона</t>
  </si>
  <si>
    <t xml:space="preserve">Размеры балконов</t>
  </si>
  <si>
    <t xml:space="preserve">балкон 2</t>
  </si>
  <si>
    <t xml:space="preserve">Высота Н16</t>
  </si>
  <si>
    <t xml:space="preserve">сччитать балкон на первом этаже</t>
  </si>
  <si>
    <t xml:space="preserve">Двускат кровля</t>
  </si>
  <si>
    <t xml:space="preserve">вальмовая</t>
  </si>
  <si>
    <t xml:space="preserve">полувальмовая</t>
  </si>
  <si>
    <t xml:space="preserve">если</t>
  </si>
  <si>
    <t xml:space="preserve">ширина до конька дома</t>
  </si>
  <si>
    <t xml:space="preserve">разница стен от конька до аттиков стены</t>
  </si>
  <si>
    <t xml:space="preserve">разница от центра дома до стены балкона</t>
  </si>
  <si>
    <t xml:space="preserve">процент длины до конька</t>
  </si>
  <si>
    <t xml:space="preserve">процент на который уменьшилась длина</t>
  </si>
  <si>
    <t xml:space="preserve">высота стены балкона/дома на сколько уменьши</t>
  </si>
  <si>
    <t xml:space="preserve">высота от аттик стены до верха стены балкона</t>
  </si>
  <si>
    <t xml:space="preserve">S дополнительной стены дома</t>
  </si>
  <si>
    <t xml:space="preserve">Высота стойки каркаса которую нужно прибавить</t>
  </si>
  <si>
    <t xml:space="preserve">Высота стойки каркаса, которую нужно отнять</t>
  </si>
  <si>
    <t xml:space="preserve">Количество стоек, которые нужно отнять/прибав</t>
  </si>
  <si>
    <t xml:space="preserve">крыльцо</t>
  </si>
  <si>
    <t xml:space="preserve">двускатная</t>
  </si>
  <si>
    <t xml:space="preserve">длина ската с выпуском справа</t>
  </si>
  <si>
    <t xml:space="preserve">длина ската спереди</t>
  </si>
  <si>
    <t xml:space="preserve">длина грани между скатов</t>
  </si>
  <si>
    <t xml:space="preserve">материал для металлочереп</t>
  </si>
  <si>
    <t xml:space="preserve">матер мягкой кровли</t>
  </si>
  <si>
    <t xml:space="preserve">Желоб</t>
  </si>
  <si>
    <t xml:space="preserve">Труба водосточная</t>
  </si>
  <si>
    <t xml:space="preserve">планка примыкания</t>
  </si>
  <si>
    <t xml:space="preserve">стропило</t>
  </si>
  <si>
    <t xml:space="preserve">металл</t>
  </si>
  <si>
    <t xml:space="preserve">ондул</t>
  </si>
  <si>
    <t xml:space="preserve">мягкая</t>
  </si>
  <si>
    <t xml:space="preserve">каркас</t>
  </si>
  <si>
    <t xml:space="preserve">высота 2-го этажа, до перекрытий</t>
  </si>
  <si>
    <t xml:space="preserve">высота от аттиковой  до конька, Е</t>
  </si>
  <si>
    <t xml:space="preserve">считать фронтон</t>
  </si>
  <si>
    <t xml:space="preserve">Считать фронтон</t>
  </si>
  <si>
    <t xml:space="preserve">Итого, м2</t>
  </si>
  <si>
    <t xml:space="preserve">S, общ.наружних стен</t>
  </si>
  <si>
    <t xml:space="preserve">S, чистая наружних стен</t>
  </si>
  <si>
    <t xml:space="preserve">S, общ. Внутр стен</t>
  </si>
  <si>
    <t xml:space="preserve">Считать кровлю вальмовую</t>
  </si>
  <si>
    <t xml:space="preserve">Длина дома, N</t>
  </si>
  <si>
    <t xml:space="preserve">Ширина дома, K</t>
  </si>
  <si>
    <t xml:space="preserve">длина скат 90 град от конька, H</t>
  </si>
  <si>
    <t xml:space="preserve">длина скат по коньку, G</t>
  </si>
  <si>
    <t xml:space="preserve">Ендова верхняя, F</t>
  </si>
  <si>
    <t xml:space="preserve">S кровли общая</t>
  </si>
  <si>
    <t xml:space="preserve">Считать элементы кровли</t>
  </si>
  <si>
    <t xml:space="preserve">S кровли, вариант 2</t>
  </si>
  <si>
    <t xml:space="preserve">S материала для кровли, Вар 2</t>
  </si>
  <si>
    <t xml:space="preserve">Высота Н3</t>
  </si>
  <si>
    <t xml:space="preserve">Высота Н3.1</t>
  </si>
  <si>
    <t xml:space="preserve">Высота Н4</t>
  </si>
  <si>
    <t xml:space="preserve">Высота Н5</t>
  </si>
  <si>
    <t xml:space="preserve">Высота Н4.1</t>
  </si>
  <si>
    <t xml:space="preserve">Считать ворота</t>
  </si>
  <si>
    <t xml:space="preserve">S перегородок чистая</t>
  </si>
  <si>
    <t xml:space="preserve">S внутренних стен чистая</t>
  </si>
  <si>
    <t xml:space="preserve">Считать кровлю на пристройку</t>
  </si>
  <si>
    <t xml:space="preserve">выпуск по фронтону</t>
  </si>
  <si>
    <t xml:space="preserve">Высота Н9</t>
  </si>
  <si>
    <t xml:space="preserve">Длина Н13</t>
  </si>
  <si>
    <t xml:space="preserve">S,м2</t>
  </si>
  <si>
    <t xml:space="preserve">Проем</t>
  </si>
  <si>
    <t xml:space="preserve">S проемов</t>
  </si>
  <si>
    <t xml:space="preserve">Считать балкон</t>
  </si>
  <si>
    <t xml:space="preserve">Длина Н15</t>
  </si>
  <si>
    <t xml:space="preserve">S пола балкона</t>
  </si>
  <si>
    <t xml:space="preserve">S стен балкона</t>
  </si>
  <si>
    <t xml:space="preserve">Длина Н18</t>
  </si>
  <si>
    <t xml:space="preserve">S, лаги</t>
  </si>
  <si>
    <t xml:space="preserve">S, перекрытия 1 эт</t>
  </si>
  <si>
    <t xml:space="preserve">S, перекрытия 2 эт</t>
  </si>
  <si>
    <t xml:space="preserve">Считать цокольный этаж</t>
  </si>
  <si>
    <t xml:space="preserve">Считать из блоков ФБС</t>
  </si>
  <si>
    <t xml:space="preserve">Монолит</t>
  </si>
  <si>
    <t xml:space="preserve">Считать монолит</t>
  </si>
  <si>
    <t xml:space="preserve">Считать сейсмопояс</t>
  </si>
  <si>
    <t xml:space="preserve">S, этажа</t>
  </si>
  <si>
    <t xml:space="preserve">V, цокольного этажа</t>
  </si>
  <si>
    <t xml:space="preserve">V стен цоколя общий</t>
  </si>
  <si>
    <t xml:space="preserve">Итого, длина перегородок, м.п.</t>
  </si>
  <si>
    <t xml:space="preserve">Итого, S проемов</t>
  </si>
  <si>
    <t xml:space="preserve">V проемов</t>
  </si>
  <si>
    <t xml:space="preserve">V стен цоколя чистый</t>
  </si>
  <si>
    <t xml:space="preserve">S перегородок по полу</t>
  </si>
  <si>
    <t xml:space="preserve">S цоколя чистая</t>
  </si>
  <si>
    <t xml:space="preserve">Значения для полного расчета стоимости строительства домов необходимо вводить в ячейки с цветом</t>
  </si>
  <si>
    <t xml:space="preserve">Дверь на балкон</t>
  </si>
  <si>
    <t xml:space="preserve">Итого, площадь дверей межкомнатных, м2</t>
  </si>
  <si>
    <t xml:space="preserve">высота до конька берем от аттиковой стены</t>
  </si>
  <si>
    <t xml:space="preserve">длина перегородки</t>
  </si>
  <si>
    <t xml:space="preserve">итого,м2</t>
  </si>
  <si>
    <t xml:space="preserve">S окон, вх. Дверей</t>
  </si>
  <si>
    <t xml:space="preserve">S межкомнатных дверей</t>
  </si>
  <si>
    <t xml:space="preserve">расодные материалы</t>
  </si>
  <si>
    <t xml:space="preserve">Анкер болт, 12*200</t>
  </si>
  <si>
    <t xml:space="preserve">итого, материалы отопления</t>
  </si>
  <si>
    <t xml:space="preserve">итого, работа отопления</t>
  </si>
  <si>
    <t xml:space="preserve">камень искуственный на все стены</t>
  </si>
  <si>
    <t xml:space="preserve">шифер плоский на все стены</t>
  </si>
  <si>
    <t xml:space="preserve">Блок хаус</t>
  </si>
  <si>
    <t xml:space="preserve">Софт лайн</t>
  </si>
  <si>
    <t xml:space="preserve">штиль</t>
  </si>
  <si>
    <t xml:space="preserve">Евровагонка</t>
  </si>
  <si>
    <t xml:space="preserve">планкен+камень</t>
  </si>
  <si>
    <t xml:space="preserve">углы дома камень, высота до кровли</t>
  </si>
  <si>
    <t xml:space="preserve">углы дома камень, площадь</t>
  </si>
  <si>
    <t xml:space="preserve">планкен, площадь</t>
  </si>
  <si>
    <t xml:space="preserve">плоский шифер под камень</t>
  </si>
  <si>
    <t xml:space="preserve">окрашивание деревянных поверхностей</t>
  </si>
  <si>
    <t xml:space="preserve">покрытие лаком деревянных поверхностей</t>
  </si>
  <si>
    <t xml:space="preserve">покрытие лаком камень</t>
  </si>
  <si>
    <t xml:space="preserve">периметр цоколя</t>
  </si>
  <si>
    <t xml:space="preserve">плоский шифер под искуственный камень</t>
  </si>
  <si>
    <t xml:space="preserve">кронштейн для крепления подсистемы</t>
  </si>
  <si>
    <t xml:space="preserve">кровля</t>
  </si>
  <si>
    <t xml:space="preserve">подсистема для гкл</t>
  </si>
  <si>
    <t xml:space="preserve">подсистема для деревянной отделки</t>
  </si>
  <si>
    <t xml:space="preserve">подсистема, брусок для деревянной отделки</t>
  </si>
  <si>
    <t xml:space="preserve">стеновые панели стены</t>
  </si>
  <si>
    <t xml:space="preserve">стеновые панели потолок</t>
  </si>
  <si>
    <t xml:space="preserve">двери межкомнатные</t>
  </si>
  <si>
    <t xml:space="preserve">Sпотолок</t>
  </si>
  <si>
    <t xml:space="preserve">Sпол</t>
  </si>
  <si>
    <t xml:space="preserve">потолок чистый</t>
  </si>
  <si>
    <t xml:space="preserve">S чистая внутр наружних стен</t>
  </si>
  <si>
    <t xml:space="preserve">итого, материалы чистовой</t>
  </si>
  <si>
    <t xml:space="preserve">итого, работа чистовой</t>
  </si>
  <si>
    <t xml:space="preserve">ЧИСТОВАЯ ОТДЕЛКА ПОМЕЩЕНИЯ</t>
  </si>
  <si>
    <t xml:space="preserve">мансардные окна</t>
  </si>
  <si>
    <t xml:space="preserve">монтаж</t>
  </si>
  <si>
    <t xml:space="preserve">площадь</t>
  </si>
  <si>
    <t xml:space="preserve">перекрытие жби 0 этаж</t>
  </si>
  <si>
    <t xml:space="preserve">перкрытие жби 1 этаж</t>
  </si>
  <si>
    <t xml:space="preserve">перкрытие жби 2 этаж</t>
  </si>
  <si>
    <t xml:space="preserve">кран для плит перекрытий</t>
  </si>
  <si>
    <t xml:space="preserve">Монолит перекрытие</t>
  </si>
  <si>
    <t xml:space="preserve">перкрытие монолит, 0 этаж</t>
  </si>
  <si>
    <t xml:space="preserve">перкрытие монолит 1 этаж</t>
  </si>
  <si>
    <t xml:space="preserve">перкрытие монолит 2 этаж</t>
  </si>
  <si>
    <t xml:space="preserve">стойки под опалубку перекрытий</t>
  </si>
  <si>
    <t xml:space="preserve">бетононасос для заливки плиты</t>
  </si>
  <si>
    <t xml:space="preserve">Брус естественной влажности</t>
  </si>
  <si>
    <t xml:space="preserve">шаг для форм</t>
  </si>
  <si>
    <t xml:space="preserve">перекрытие деревянное, 0 этаж</t>
  </si>
  <si>
    <t xml:space="preserve">перекрытие деревянное 1 этаж</t>
  </si>
  <si>
    <t xml:space="preserve">перекрытие деревянное 2 этаж</t>
  </si>
  <si>
    <t xml:space="preserve">Контрлаги</t>
  </si>
  <si>
    <t xml:space="preserve">контрлаги</t>
  </si>
  <si>
    <t xml:space="preserve">Доска сухая доска перекрытие</t>
  </si>
  <si>
    <t xml:space="preserve">перекрытие деревянное сух, 0 этаж</t>
  </si>
  <si>
    <t xml:space="preserve">калиброванноедеревянное сух, 0 этаж</t>
  </si>
  <si>
    <t xml:space="preserve">Двутавровые балки перекрытие</t>
  </si>
  <si>
    <t xml:space="preserve">Сип панели перекрытие</t>
  </si>
  <si>
    <t xml:space="preserve">доска обв</t>
  </si>
  <si>
    <t xml:space="preserve">м.п.доски в панели</t>
  </si>
  <si>
    <t xml:space="preserve">пол 0-го этаж, сип, толщина</t>
  </si>
  <si>
    <t xml:space="preserve">м2 панель</t>
  </si>
  <si>
    <t xml:space="preserve">в 1м2 доски</t>
  </si>
  <si>
    <t xml:space="preserve">Плиты перекрытия ЖБИ</t>
  </si>
  <si>
    <t xml:space="preserve">доска для опалубки монолит перекрытий</t>
  </si>
  <si>
    <t xml:space="preserve">бетон, м350</t>
  </si>
  <si>
    <t xml:space="preserve">Плита перекрытия  ЖБИ</t>
  </si>
  <si>
    <t xml:space="preserve">Монтаж чернового пола 0 этажа</t>
  </si>
  <si>
    <t xml:space="preserve">Монтаж чернового пола 1 этажа</t>
  </si>
  <si>
    <t xml:space="preserve">Монтаж чернового пола 2 этажа</t>
  </si>
  <si>
    <t xml:space="preserve">S кровли по материалу</t>
  </si>
  <si>
    <t xml:space="preserve">S на  основной кровли</t>
  </si>
  <si>
    <t xml:space="preserve">Итого, длина перегородок</t>
  </si>
  <si>
    <t xml:space="preserve">Размеры дома </t>
  </si>
  <si>
    <t xml:space="preserve">количество свай</t>
  </si>
  <si>
    <t xml:space="preserve">руб</t>
  </si>
  <si>
    <t xml:space="preserve">разбивка осей</t>
  </si>
  <si>
    <t xml:space="preserve">заливка бетоном</t>
  </si>
  <si>
    <t xml:space="preserve">если винтовые сваи</t>
  </si>
  <si>
    <t xml:space="preserve">Материалы для фундамента под веранду</t>
  </si>
  <si>
    <t xml:space="preserve">Материалы для фундамента под крыльцо</t>
  </si>
  <si>
    <t xml:space="preserve">длина перегородок</t>
  </si>
  <si>
    <t xml:space="preserve">колво</t>
  </si>
  <si>
    <t xml:space="preserve">Длина ленты фундамента, м.п.</t>
  </si>
  <si>
    <t xml:space="preserve">Объем ленточного фундамента</t>
  </si>
  <si>
    <t xml:space="preserve">Утепление снаружи</t>
  </si>
  <si>
    <t xml:space="preserve">Толщина утепления снаружи</t>
  </si>
  <si>
    <t xml:space="preserve">Площадь отмостки</t>
  </si>
  <si>
    <t xml:space="preserve">утепление толщина</t>
  </si>
  <si>
    <t xml:space="preserve">Объем отмостки</t>
  </si>
  <si>
    <t xml:space="preserve">армирование</t>
  </si>
  <si>
    <t xml:space="preserve">трамбовка</t>
  </si>
  <si>
    <t xml:space="preserve">итого, материалы, руб</t>
  </si>
  <si>
    <t xml:space="preserve">итого, работы, руб</t>
  </si>
  <si>
    <t xml:space="preserve">итого, руб</t>
  </si>
  <si>
    <t xml:space="preserve">ЛЕНТОЧНЫЙ ФУНДАМЕНТ</t>
  </si>
  <si>
    <t xml:space="preserve">Толщина утепления</t>
  </si>
  <si>
    <t xml:space="preserve">Сваи </t>
  </si>
  <si>
    <t xml:space="preserve">Сваи для свайного поля</t>
  </si>
  <si>
    <t xml:space="preserve">Объем бетона для свай</t>
  </si>
  <si>
    <t xml:space="preserve">СВАЙНОРОСТВЕРКОВЫЙ ФУНДАМЕНТ</t>
  </si>
  <si>
    <t xml:space="preserve">Длина ребер жесткости</t>
  </si>
  <si>
    <t xml:space="preserve">Объем ребер жесткости, бетон</t>
  </si>
  <si>
    <t xml:space="preserve">Количество прутков арм-ры в ребрах</t>
  </si>
  <si>
    <t xml:space="preserve">Объем плиты в доме, бетон</t>
  </si>
  <si>
    <t xml:space="preserve">Общий объем плиты, бетон</t>
  </si>
  <si>
    <t xml:space="preserve">ч</t>
  </si>
  <si>
    <t xml:space="preserve">Кладочная сетка для трубы теплого пола</t>
  </si>
  <si>
    <t xml:space="preserve">Труба теплого пола, водяное отоплен.</t>
  </si>
  <si>
    <t xml:space="preserve">Коллектор  </t>
  </si>
  <si>
    <t xml:space="preserve">Дренажная труба</t>
  </si>
  <si>
    <t xml:space="preserve">Дренажные колодцы</t>
  </si>
  <si>
    <t xml:space="preserve">теплый пол</t>
  </si>
  <si>
    <t xml:space="preserve">цена за 1</t>
  </si>
  <si>
    <t xml:space="preserve">Общ цена</t>
  </si>
  <si>
    <t xml:space="preserve">сборка/разборка опалубки</t>
  </si>
  <si>
    <t xml:space="preserve">укладка пленки</t>
  </si>
  <si>
    <t xml:space="preserve">армирование пол</t>
  </si>
  <si>
    <t xml:space="preserve">ПЛИТА УШП, ТЕХНОЛОГИЯ ДОРОСЕЛЛ</t>
  </si>
  <si>
    <t xml:space="preserve">коэффициент</t>
  </si>
  <si>
    <t xml:space="preserve"> стены наружние фбс</t>
  </si>
  <si>
    <t xml:space="preserve">стены внутренние фбс</t>
  </si>
  <si>
    <t xml:space="preserve">площадь стен фбс чистая</t>
  </si>
  <si>
    <t xml:space="preserve">сейсмопояс, обвязка монолитной стяжкой стен фбс</t>
  </si>
  <si>
    <t xml:space="preserve">бетон</t>
  </si>
  <si>
    <t xml:space="preserve">стены наружние монолит</t>
  </si>
  <si>
    <t xml:space="preserve">стены внутренние монолит</t>
  </si>
  <si>
    <t xml:space="preserve">площадь стен монолит чистая</t>
  </si>
  <si>
    <t xml:space="preserve">сейсмопояс, обвязка монолитной стяжкой стен монолит</t>
  </si>
  <si>
    <t xml:space="preserve">ширина Н22</t>
  </si>
  <si>
    <t xml:space="preserve">стяжка пол в цок этеже</t>
  </si>
  <si>
    <t xml:space="preserve">S, стен цокольного этажа  общая</t>
  </si>
  <si>
    <t xml:space="preserve">S, стен цокольного этажа  чистая</t>
  </si>
  <si>
    <t xml:space="preserve">толщина утеплителя наружние стены</t>
  </si>
  <si>
    <t xml:space="preserve">S, цокольного этажа</t>
  </si>
  <si>
    <t xml:space="preserve">S, стен цокольного этажа по полу</t>
  </si>
  <si>
    <t xml:space="preserve">S цокольного этажа общая</t>
  </si>
  <si>
    <t xml:space="preserve">S цокольного этажа чистая</t>
  </si>
  <si>
    <t xml:space="preserve">доставки материалов</t>
  </si>
  <si>
    <t xml:space="preserve">основные нити, арматурного каркаса</t>
  </si>
  <si>
    <t xml:space="preserve">хомуты арматурного каркаса</t>
  </si>
  <si>
    <t xml:space="preserve">Доставка материалов</t>
  </si>
  <si>
    <t xml:space="preserve">стяжяка цоколь</t>
  </si>
  <si>
    <t xml:space="preserve">Толщина утепления пол</t>
  </si>
  <si>
    <t xml:space="preserve">Объем плиты, бетон</t>
  </si>
  <si>
    <t xml:space="preserve">количество арматуры для арматурного</t>
  </si>
  <si>
    <t xml:space="preserve">дренажная труба</t>
  </si>
  <si>
    <t xml:space="preserve">дренажный колодец</t>
  </si>
  <si>
    <t xml:space="preserve">цоколь данные</t>
  </si>
  <si>
    <t xml:space="preserve">фундамент ленточный, подготовка основания под стены цоколя</t>
  </si>
  <si>
    <t xml:space="preserve">цена 1 ед.</t>
  </si>
  <si>
    <t xml:space="preserve">ленточный фундамент</t>
  </si>
  <si>
    <t xml:space="preserve">стяжка в цокольном этаже</t>
  </si>
  <si>
    <t xml:space="preserve">укладка карбона</t>
  </si>
  <si>
    <t xml:space="preserve">укладка сетки</t>
  </si>
  <si>
    <t xml:space="preserve">армирование </t>
  </si>
  <si>
    <t xml:space="preserve">монтаж дренажн труб</t>
  </si>
  <si>
    <t xml:space="preserve">монтаж дренаж колодец</t>
  </si>
  <si>
    <t xml:space="preserve">приемка бетона на пол</t>
  </si>
  <si>
    <t xml:space="preserve">демпферная лента</t>
  </si>
  <si>
    <t xml:space="preserve">стены в цокольном этаже из блоков ФБС</t>
  </si>
  <si>
    <t xml:space="preserve">стены в цокольном этаже монолитные (бетон)</t>
  </si>
  <si>
    <t xml:space="preserve">вязка арматуры</t>
  </si>
  <si>
    <t xml:space="preserve">расчет</t>
  </si>
  <si>
    <t xml:space="preserve">Данные для расчета сметы</t>
  </si>
  <si>
    <t xml:space="preserve">Считать по эскизу и размерам</t>
  </si>
  <si>
    <t xml:space="preserve">Считать по проекту</t>
  </si>
  <si>
    <t xml:space="preserve">высота от аттик стены до перекр </t>
  </si>
  <si>
    <t xml:space="preserve">высота от аттиковой до конька, Е</t>
  </si>
  <si>
    <t xml:space="preserve">Покрытие без стропил</t>
  </si>
  <si>
    <t xml:space="preserve">высота от перекрытия до конька, Е</t>
  </si>
  <si>
    <t xml:space="preserve">длина конька, О</t>
  </si>
  <si>
    <t xml:space="preserve">Длина ската, F1</t>
  </si>
  <si>
    <t xml:space="preserve">конек кровли, О</t>
  </si>
  <si>
    <t xml:space="preserve">№ элемента</t>
  </si>
  <si>
    <t xml:space="preserve">длина ската, H</t>
  </si>
  <si>
    <t xml:space="preserve">Длина конька</t>
  </si>
  <si>
    <t xml:space="preserve">Ендова внутр, R</t>
  </si>
  <si>
    <t xml:space="preserve">Длина капельника</t>
  </si>
  <si>
    <t xml:space="preserve">Длина ендовы по дому</t>
  </si>
  <si>
    <t xml:space="preserve">S материала кровли</t>
  </si>
  <si>
    <t xml:space="preserve">S на основной кровле</t>
  </si>
  <si>
    <t xml:space="preserve">Длина пристройки</t>
  </si>
  <si>
    <t xml:space="preserve">Ширина пристройки</t>
  </si>
  <si>
    <t xml:space="preserve">Фундамент</t>
  </si>
  <si>
    <t xml:space="preserve">S пристройки</t>
  </si>
  <si>
    <t xml:space="preserve">Строение</t>
  </si>
  <si>
    <t xml:space="preserve">S внутренних стен</t>
  </si>
  <si>
    <t xml:space="preserve">S выпусков для переруба</t>
  </si>
  <si>
    <t xml:space="preserve">высота от 2-го эт до верх кровли</t>
  </si>
  <si>
    <t xml:space="preserve">высота аттиковая стена</t>
  </si>
  <si>
    <t xml:space="preserve">Длина ската</t>
  </si>
  <si>
    <t xml:space="preserve">Длина кровли по коньку</t>
  </si>
  <si>
    <t xml:space="preserve">монтаж мауэрлата</t>
  </si>
  <si>
    <t xml:space="preserve">стойка под конек</t>
  </si>
  <si>
    <t xml:space="preserve">а1</t>
  </si>
  <si>
    <t xml:space="preserve">б1</t>
  </si>
  <si>
    <t xml:space="preserve">мягкая кровля</t>
  </si>
  <si>
    <t xml:space="preserve">доска стропило, высота</t>
  </si>
  <si>
    <t xml:space="preserve">е</t>
  </si>
  <si>
    <t xml:space="preserve">доска стропило, толщина</t>
  </si>
  <si>
    <t xml:space="preserve">д</t>
  </si>
  <si>
    <t xml:space="preserve">длина конька кровли</t>
  </si>
  <si>
    <t xml:space="preserve">х</t>
  </si>
  <si>
    <t xml:space="preserve">высота от перекрытий до конька</t>
  </si>
  <si>
    <t xml:space="preserve">дж</t>
  </si>
  <si>
    <t xml:space="preserve">длина   </t>
  </si>
  <si>
    <t xml:space="preserve">S1</t>
  </si>
  <si>
    <t xml:space="preserve">S2</t>
  </si>
  <si>
    <t xml:space="preserve">внешний угол скатов, угол соединения</t>
  </si>
  <si>
    <t xml:space="preserve">скат перпендикулярно коньку</t>
  </si>
  <si>
    <t xml:space="preserve">капельник планка</t>
  </si>
  <si>
    <t xml:space="preserve">КРОВЛЯ ЧЕТЫРЕХСКАТНАЯ</t>
  </si>
  <si>
    <t xml:space="preserve">Кровля вальмовая ломаная</t>
  </si>
  <si>
    <t xml:space="preserve">шт0</t>
  </si>
  <si>
    <t xml:space="preserve">ендова верхняяя F</t>
  </si>
  <si>
    <t xml:space="preserve">ендова верхняяя F1</t>
  </si>
  <si>
    <t xml:space="preserve">скат по коньку</t>
  </si>
  <si>
    <t xml:space="preserve">ендова верхняя планка</t>
  </si>
  <si>
    <t xml:space="preserve">ендова наружняя</t>
  </si>
  <si>
    <t xml:space="preserve">ендова внутренняя</t>
  </si>
  <si>
    <t xml:space="preserve">кровля на эркере</t>
  </si>
  <si>
    <t xml:space="preserve">стропило на эркер</t>
  </si>
  <si>
    <t xml:space="preserve">высота от аттиковой стены до конька</t>
  </si>
  <si>
    <t xml:space="preserve">Материалы для  Строительства дома</t>
  </si>
  <si>
    <t xml:space="preserve">S дома общая, м2</t>
  </si>
  <si>
    <t xml:space="preserve">S дома чистая, м2</t>
  </si>
  <si>
    <t xml:space="preserve">L, м.п.</t>
  </si>
  <si>
    <t xml:space="preserve">Материал для Каркасного дома из бруса различных размеров 1 этаж</t>
  </si>
  <si>
    <t xml:space="preserve">Материал для Каркасного дома из бруса различных размеров 2 этаж</t>
  </si>
  <si>
    <t xml:space="preserve">Материал для Каркасной пристройки из бруса различных размеров №1 1 этаж</t>
  </si>
  <si>
    <t xml:space="preserve">Материал для Каркасной пристройки из бруса различных размеров №1 2 этаж</t>
  </si>
  <si>
    <t xml:space="preserve">Материал для Каркасной пристройки из бруса различных размеров №2 1 этаж</t>
  </si>
  <si>
    <t xml:space="preserve">Материал для Каркасной пристройки из бруса различных размеров №2 2 этаж</t>
  </si>
  <si>
    <t xml:space="preserve">Материал для Каркасной пристройки из бруса различных размеров №3 1 этаж</t>
  </si>
  <si>
    <t xml:space="preserve">Материал для Каркасной пристройки из бруса различных размеров №3 2 этаж</t>
  </si>
  <si>
    <t xml:space="preserve">Материал для Каркасной пристройки из бруса различных размеров №4 1 этаж</t>
  </si>
  <si>
    <t xml:space="preserve">Материал для Каркасной пристройки из бруса различных размеров №4 2 этаж</t>
  </si>
  <si>
    <t xml:space="preserve">Каркасная пристройка эркерного типа из бруса различных размеров 1 этаж</t>
  </si>
  <si>
    <t xml:space="preserve">Каркасная пристройка эркерного типа из бруса различных размеров 2 этаж</t>
  </si>
  <si>
    <t xml:space="preserve">Кол-во 6м палок</t>
  </si>
  <si>
    <t xml:space="preserve">V, м3</t>
  </si>
  <si>
    <t xml:space="preserve">Общая объем материала для наружних стен</t>
  </si>
  <si>
    <t xml:space="preserve">м.</t>
  </si>
  <si>
    <t xml:space="preserve">Общая объем материала для несущих перегородок</t>
  </si>
  <si>
    <t xml:space="preserve">Общая объем материала для перегородок</t>
  </si>
  <si>
    <t xml:space="preserve">Материал для дома из Газобетона</t>
  </si>
  <si>
    <t xml:space="preserve">штук</t>
  </si>
  <si>
    <t xml:space="preserve">Общая длина перемычек наружних стен</t>
  </si>
  <si>
    <t xml:space="preserve">Общая длина перемычек несущих перегородок</t>
  </si>
  <si>
    <t xml:space="preserve">Материал для дома из Пенобетона</t>
  </si>
  <si>
    <t xml:space="preserve">Материал для дома из Кирпича</t>
  </si>
  <si>
    <t xml:space="preserve">Материал для дома из SIP панелей</t>
  </si>
  <si>
    <t xml:space="preserve">Площадь стен</t>
  </si>
  <si>
    <t xml:space="preserve">кол-во листов</t>
  </si>
  <si>
    <t xml:space="preserve">выключатели</t>
  </si>
  <si>
    <t xml:space="preserve">розетки</t>
  </si>
  <si>
    <t xml:space="preserve">доставки</t>
  </si>
  <si>
    <t xml:space="preserve">монтаж коробок распр</t>
  </si>
  <si>
    <t xml:space="preserve">монтаж коробок роз</t>
  </si>
  <si>
    <t xml:space="preserve">монтаж коробок выкл</t>
  </si>
  <si>
    <t xml:space="preserve">монтаж щитка</t>
  </si>
  <si>
    <t xml:space="preserve">Итого, материалы, рублей</t>
  </si>
  <si>
    <t xml:space="preserve">Итого, работы, рублей</t>
  </si>
  <si>
    <t xml:space="preserve">система отопления, однотрубная</t>
  </si>
  <si>
    <t xml:space="preserve">система отопления, двутрубная</t>
  </si>
  <si>
    <t xml:space="preserve">скважина</t>
  </si>
  <si>
    <t xml:space="preserve">дно бетонное</t>
  </si>
  <si>
    <t xml:space="preserve">кольцо бетонное</t>
  </si>
  <si>
    <t xml:space="preserve">крышка бетонная  </t>
  </si>
  <si>
    <t xml:space="preserve">люк для крышки</t>
  </si>
  <si>
    <t xml:space="preserve">септик второй</t>
  </si>
  <si>
    <t xml:space="preserve">выгребная яма</t>
  </si>
  <si>
    <t xml:space="preserve">монтаж горловины</t>
  </si>
  <si>
    <t xml:space="preserve">м/ж ут-ной канал</t>
  </si>
  <si>
    <t xml:space="preserve">утепление для канализационной трубы</t>
  </si>
  <si>
    <t xml:space="preserve">раствор для бетонирования</t>
  </si>
  <si>
    <t xml:space="preserve">скотч для скорлупы утепления</t>
  </si>
  <si>
    <t xml:space="preserve">Кол-во материалов в смете</t>
  </si>
  <si>
    <t xml:space="preserve">Кол-во материалов есть</t>
  </si>
  <si>
    <t xml:space="preserve">Цена сметы</t>
  </si>
  <si>
    <t xml:space="preserve">Общая цена договора</t>
  </si>
  <si>
    <t xml:space="preserve">Цена расходов компании</t>
  </si>
  <si>
    <t xml:space="preserve">Итого расход компании</t>
  </si>
  <si>
    <t xml:space="preserve">Прибыль компании</t>
  </si>
  <si>
    <t xml:space="preserve">Итого, стоимость расходов на материалы/прибыль компании, рублей</t>
  </si>
  <si>
    <t xml:space="preserve">Итого, стоимость расходов на работы/прибыль компании, рублей</t>
  </si>
</sst>
</file>

<file path=xl/styles.xml><?xml version="1.0" encoding="utf-8"?>
<styleSheet xmlns="http://schemas.openxmlformats.org/spreadsheetml/2006/main">
  <numFmts count="11">
    <numFmt numFmtId="164" formatCode="General"/>
    <numFmt numFmtId="165" formatCode="0.00"/>
    <numFmt numFmtId="166" formatCode="0"/>
    <numFmt numFmtId="167" formatCode="#,##0.00&quot; ₽&quot;"/>
    <numFmt numFmtId="168" formatCode="0.0"/>
    <numFmt numFmtId="169" formatCode="General"/>
    <numFmt numFmtId="170" formatCode="0.000"/>
    <numFmt numFmtId="171" formatCode="#,##0"/>
    <numFmt numFmtId="172" formatCode="0.00000"/>
    <numFmt numFmtId="173" formatCode="#,##0.00"/>
    <numFmt numFmtId="174" formatCode="0.0000"/>
  </numFmts>
  <fonts count="65">
    <font>
      <sz val="11"/>
      <color rgb="FF000000"/>
      <name val="Calibri"/>
      <family val="2"/>
      <charset val="204"/>
    </font>
    <font>
      <sz val="10"/>
      <name val="Arial"/>
      <family val="0"/>
      <charset val="204"/>
    </font>
    <font>
      <sz val="10"/>
      <name val="Arial"/>
      <family val="0"/>
      <charset val="204"/>
    </font>
    <font>
      <sz val="10"/>
      <name val="Arial"/>
      <family val="0"/>
      <charset val="204"/>
    </font>
    <font>
      <sz val="10"/>
      <name val="Arial Cyr"/>
      <family val="0"/>
      <charset val="204"/>
    </font>
    <font>
      <sz val="18"/>
      <color rgb="FFFFFFFF"/>
      <name val="Calibri"/>
      <family val="2"/>
      <charset val="204"/>
    </font>
    <font>
      <sz val="14"/>
      <color rgb="FFFFFFFF"/>
      <name val="Calibri"/>
      <family val="2"/>
      <charset val="204"/>
    </font>
    <font>
      <sz val="20"/>
      <color rgb="FFFFFFFF"/>
      <name val="Calibri"/>
      <family val="2"/>
      <charset val="204"/>
    </font>
    <font>
      <sz val="10"/>
      <color rgb="FFFFFFFF"/>
      <name val="Calibri"/>
      <family val="2"/>
      <charset val="204"/>
    </font>
    <font>
      <sz val="11"/>
      <name val="Calibri"/>
      <family val="2"/>
      <charset val="204"/>
    </font>
    <font>
      <sz val="11"/>
      <color rgb="FFFFFFFF"/>
      <name val="Calibri"/>
      <family val="2"/>
      <charset val="204"/>
    </font>
    <font>
      <sz val="18"/>
      <color rgb="FF000000"/>
      <name val="Calibri"/>
      <family val="2"/>
      <charset val="204"/>
    </font>
    <font>
      <sz val="12"/>
      <color rgb="FF000000"/>
      <name val="Calibri"/>
      <family val="2"/>
      <charset val="204"/>
    </font>
    <font>
      <sz val="22"/>
      <color rgb="FF000000"/>
      <name val="Calibri"/>
      <family val="2"/>
      <charset val="204"/>
    </font>
    <font>
      <sz val="14"/>
      <color rgb="FF000000"/>
      <name val="Calibri"/>
      <family val="2"/>
      <charset val="204"/>
    </font>
    <font>
      <b val="true"/>
      <sz val="14"/>
      <color rgb="FFFF0000"/>
      <name val="Calibri"/>
      <family val="2"/>
      <charset val="204"/>
    </font>
    <font>
      <sz val="18"/>
      <name val="Calibri"/>
      <family val="2"/>
      <charset val="204"/>
    </font>
    <font>
      <sz val="12"/>
      <name val="Calibri"/>
      <family val="2"/>
      <charset val="204"/>
    </font>
    <font>
      <sz val="12"/>
      <color rgb="FFFFFFFF"/>
      <name val="Calibri"/>
      <family val="2"/>
      <charset val="204"/>
    </font>
    <font>
      <sz val="20"/>
      <color rgb="FF10243E"/>
      <name val="Calibri"/>
      <family val="2"/>
      <charset val="204"/>
    </font>
    <font>
      <sz val="20"/>
      <color rgb="FF984807"/>
      <name val="Calibri"/>
      <family val="2"/>
      <charset val="204"/>
    </font>
    <font>
      <sz val="12"/>
      <color rgb="FF1E1C11"/>
      <name val="Calibri"/>
      <family val="2"/>
      <charset val="204"/>
    </font>
    <font>
      <sz val="10"/>
      <color rgb="FF000000"/>
      <name val="Calibri"/>
      <family val="2"/>
      <charset val="204"/>
    </font>
    <font>
      <b val="true"/>
      <sz val="12"/>
      <color rgb="FFFFFFFF"/>
      <name val="Calibri"/>
      <family val="2"/>
      <charset val="204"/>
    </font>
    <font>
      <sz val="9"/>
      <color rgb="FF000000"/>
      <name val="Calibri"/>
      <family val="2"/>
      <charset val="204"/>
    </font>
    <font>
      <sz val="22"/>
      <color rgb="FFFFFFFF"/>
      <name val="Calibri"/>
      <family val="2"/>
      <charset val="204"/>
    </font>
    <font>
      <b val="true"/>
      <sz val="11"/>
      <color rgb="FFFFFFFF"/>
      <name val="Calibri"/>
      <family val="2"/>
      <charset val="204"/>
    </font>
    <font>
      <b val="true"/>
      <sz val="12"/>
      <color rgb="FF000000"/>
      <name val="Calibri"/>
      <family val="2"/>
      <charset val="204"/>
    </font>
    <font>
      <sz val="16"/>
      <color rgb="FF000000"/>
      <name val="Calibri"/>
      <family val="2"/>
      <charset val="204"/>
    </font>
    <font>
      <b val="true"/>
      <sz val="11"/>
      <color rgb="FF000000"/>
      <name val="Calibri"/>
      <family val="2"/>
      <charset val="204"/>
    </font>
    <font>
      <b val="true"/>
      <sz val="10"/>
      <color rgb="FFFFFFFF"/>
      <name val="Calibri"/>
      <family val="2"/>
      <charset val="204"/>
    </font>
    <font>
      <sz val="22"/>
      <name val="Calibri"/>
      <family val="2"/>
      <charset val="204"/>
    </font>
    <font>
      <b val="true"/>
      <sz val="11"/>
      <color rgb="FF10243E"/>
      <name val="Calibri"/>
      <family val="2"/>
      <charset val="204"/>
    </font>
    <font>
      <b val="true"/>
      <sz val="18"/>
      <color rgb="FF000000"/>
      <name val="Calibri"/>
      <family val="2"/>
      <charset val="204"/>
    </font>
    <font>
      <sz val="12"/>
      <color rgb="FFFF0000"/>
      <name val="Calibri"/>
      <family val="2"/>
      <charset val="204"/>
    </font>
    <font>
      <sz val="11"/>
      <color rgb="FFFF0000"/>
      <name val="Calibri"/>
      <family val="2"/>
      <charset val="204"/>
    </font>
    <font>
      <b val="true"/>
      <sz val="12"/>
      <name val="Calibri"/>
      <family val="2"/>
      <charset val="204"/>
    </font>
    <font>
      <b val="true"/>
      <sz val="18"/>
      <color rgb="FFFF0000"/>
      <name val="Calibri"/>
      <family val="2"/>
      <charset val="204"/>
    </font>
    <font>
      <sz val="14"/>
      <color rgb="FFFF0000"/>
      <name val="Calibri"/>
      <family val="2"/>
      <charset val="204"/>
    </font>
    <font>
      <b val="true"/>
      <sz val="18"/>
      <color rgb="FFFFFFFF"/>
      <name val="Calibri"/>
      <family val="2"/>
      <charset val="204"/>
    </font>
    <font>
      <sz val="14"/>
      <color rgb="FF444444"/>
      <name val="Arial"/>
      <family val="2"/>
      <charset val="204"/>
    </font>
    <font>
      <sz val="9"/>
      <color rgb="FFFFFFFF"/>
      <name val="Calibri"/>
      <family val="2"/>
      <charset val="204"/>
    </font>
    <font>
      <sz val="12"/>
      <color rgb="FF444444"/>
      <name val="Calibri"/>
      <family val="2"/>
      <charset val="204"/>
    </font>
    <font>
      <sz val="26"/>
      <color rgb="FF000000"/>
      <name val="Calibri"/>
      <family val="2"/>
      <charset val="204"/>
    </font>
    <font>
      <sz val="26"/>
      <color rgb="FFFFFFFF"/>
      <name val="Calibri"/>
      <family val="2"/>
      <charset val="204"/>
    </font>
    <font>
      <vertAlign val="superscript"/>
      <sz val="12"/>
      <color rgb="FF000000"/>
      <name val="Calibri"/>
      <family val="2"/>
      <charset val="204"/>
    </font>
    <font>
      <b val="true"/>
      <sz val="12"/>
      <color rgb="FFFF0000"/>
      <name val="Calibri"/>
      <family val="2"/>
      <charset val="204"/>
    </font>
    <font>
      <u val="single"/>
      <sz val="8.8"/>
      <color rgb="FF0000FF"/>
      <name val="Calibri"/>
      <family val="2"/>
      <charset val="204"/>
    </font>
    <font>
      <sz val="12"/>
      <color rgb="FF000000"/>
      <name val="Inherit"/>
      <family val="0"/>
      <charset val="204"/>
    </font>
    <font>
      <sz val="12"/>
      <name val="Arial"/>
      <family val="2"/>
      <charset val="204"/>
    </font>
    <font>
      <b val="true"/>
      <sz val="16"/>
      <color rgb="FF000000"/>
      <name val="Calibri"/>
      <family val="2"/>
      <charset val="204"/>
    </font>
    <font>
      <b val="true"/>
      <sz val="16"/>
      <name val="Calibri"/>
      <family val="2"/>
      <charset val="204"/>
    </font>
    <font>
      <sz val="14"/>
      <name val="Calibri"/>
      <family val="2"/>
      <charset val="204"/>
    </font>
    <font>
      <b val="true"/>
      <sz val="14"/>
      <color rgb="FFFFFFFF"/>
      <name val="Calibri"/>
      <family val="2"/>
      <charset val="204"/>
    </font>
    <font>
      <b val="true"/>
      <sz val="11"/>
      <name val="Calibri"/>
      <family val="2"/>
      <charset val="204"/>
    </font>
    <font>
      <b val="true"/>
      <sz val="11"/>
      <color rgb="FFFF0000"/>
      <name val="Calibri"/>
      <family val="2"/>
      <charset val="204"/>
    </font>
    <font>
      <sz val="11"/>
      <color rgb="FF444444"/>
      <name val="Arial"/>
      <family val="2"/>
      <charset val="204"/>
    </font>
    <font>
      <sz val="11"/>
      <color rgb="FF444444"/>
      <name val="Calibri"/>
      <family val="2"/>
      <charset val="204"/>
    </font>
    <font>
      <b val="true"/>
      <sz val="18"/>
      <name val="Calibri"/>
      <family val="2"/>
      <charset val="204"/>
    </font>
    <font>
      <b val="true"/>
      <sz val="12"/>
      <color rgb="FF4A452A"/>
      <name val="Calibri"/>
      <family val="2"/>
      <charset val="204"/>
    </font>
    <font>
      <b val="true"/>
      <sz val="16"/>
      <color rgb="FFFFFFFF"/>
      <name val="Calibri"/>
      <family val="2"/>
      <charset val="204"/>
    </font>
    <font>
      <b val="true"/>
      <sz val="11"/>
      <color rgb="FF4A452A"/>
      <name val="Calibri"/>
      <family val="2"/>
      <charset val="204"/>
    </font>
    <font>
      <sz val="11"/>
      <color rgb="FF4A452A"/>
      <name val="Calibri"/>
      <family val="2"/>
      <charset val="204"/>
    </font>
    <font>
      <sz val="12"/>
      <color rgb="FF4A452A"/>
      <name val="Calibri"/>
      <family val="2"/>
      <charset val="204"/>
    </font>
    <font>
      <sz val="11"/>
      <color rgb="FF808080"/>
      <name val="Calibri"/>
      <family val="2"/>
      <charset val="204"/>
    </font>
  </fonts>
  <fills count="44">
    <fill>
      <patternFill patternType="none"/>
    </fill>
    <fill>
      <patternFill patternType="gray125"/>
    </fill>
    <fill>
      <patternFill patternType="solid">
        <fgColor rgb="FF000000"/>
        <bgColor rgb="FF0D0D0D"/>
      </patternFill>
    </fill>
    <fill>
      <patternFill patternType="solid">
        <fgColor rgb="FF0D0D0D"/>
        <bgColor rgb="FF000000"/>
      </patternFill>
    </fill>
    <fill>
      <patternFill patternType="solid">
        <fgColor rgb="FFFFFFFF"/>
        <bgColor rgb="FFF2F2F2"/>
      </patternFill>
    </fill>
    <fill>
      <patternFill patternType="solid">
        <fgColor rgb="FFD9D9D9"/>
        <bgColor rgb="FFDDD9C3"/>
      </patternFill>
    </fill>
    <fill>
      <patternFill patternType="solid">
        <fgColor rgb="FF4A452A"/>
        <bgColor rgb="FF444444"/>
      </patternFill>
    </fill>
    <fill>
      <patternFill patternType="solid">
        <fgColor rgb="FFDCE6F2"/>
        <bgColor rgb="FFDBEEF4"/>
      </patternFill>
    </fill>
    <fill>
      <patternFill patternType="solid">
        <fgColor rgb="FF17375E"/>
        <bgColor rgb="FF10243E"/>
      </patternFill>
    </fill>
    <fill>
      <patternFill patternType="solid">
        <fgColor rgb="FFD99694"/>
        <bgColor rgb="FFB3A2C7"/>
      </patternFill>
    </fill>
    <fill>
      <patternFill patternType="solid">
        <fgColor rgb="FFF2F2F2"/>
        <bgColor rgb="FFFDEADA"/>
      </patternFill>
    </fill>
    <fill>
      <patternFill patternType="solid">
        <fgColor rgb="FFE6E0EC"/>
        <bgColor rgb="FFDCE6F2"/>
      </patternFill>
    </fill>
    <fill>
      <patternFill patternType="solid">
        <fgColor rgb="FFD7E4BD"/>
        <bgColor rgb="FFDDD9C3"/>
      </patternFill>
    </fill>
    <fill>
      <patternFill patternType="solid">
        <fgColor rgb="FFE6B9B8"/>
        <bgColor rgb="FFFAC090"/>
      </patternFill>
    </fill>
    <fill>
      <patternFill patternType="solid">
        <fgColor rgb="FFC4BD97"/>
        <bgColor rgb="FFBFBFBF"/>
      </patternFill>
    </fill>
    <fill>
      <patternFill patternType="solid">
        <fgColor rgb="FF10243E"/>
        <bgColor rgb="FF1E1C11"/>
      </patternFill>
    </fill>
    <fill>
      <patternFill patternType="solid">
        <fgColor rgb="FFFFFF00"/>
        <bgColor rgb="FFFFC000"/>
      </patternFill>
    </fill>
    <fill>
      <patternFill patternType="solid">
        <fgColor rgb="FFDBEEF4"/>
        <bgColor rgb="FFDCE6F2"/>
      </patternFill>
    </fill>
    <fill>
      <patternFill patternType="solid">
        <fgColor rgb="FFFDEADA"/>
        <bgColor rgb="FFF2F2F2"/>
      </patternFill>
    </fill>
    <fill>
      <patternFill patternType="solid">
        <fgColor rgb="FFFF0000"/>
        <bgColor rgb="FF800000"/>
      </patternFill>
    </fill>
    <fill>
      <patternFill patternType="solid">
        <fgColor rgb="FF00B0F0"/>
        <bgColor rgb="FF376092"/>
      </patternFill>
    </fill>
    <fill>
      <patternFill patternType="solid">
        <fgColor rgb="FFFFC000"/>
        <bgColor rgb="FFFAC090"/>
      </patternFill>
    </fill>
    <fill>
      <patternFill patternType="solid">
        <fgColor rgb="FFC6D9F1"/>
        <bgColor rgb="FFB7DEE8"/>
      </patternFill>
    </fill>
    <fill>
      <patternFill patternType="solid">
        <fgColor rgb="FFC3D69B"/>
        <bgColor rgb="FFD7E4BD"/>
      </patternFill>
    </fill>
    <fill>
      <patternFill patternType="solid">
        <fgColor rgb="FFDDD9C3"/>
        <bgColor rgb="FFD9D9D9"/>
      </patternFill>
    </fill>
    <fill>
      <patternFill patternType="solid">
        <fgColor rgb="FFFAC090"/>
        <bgColor rgb="FFE6B9B8"/>
      </patternFill>
    </fill>
    <fill>
      <patternFill patternType="solid">
        <fgColor rgb="FF93CDDD"/>
        <bgColor rgb="FF8EB4E3"/>
      </patternFill>
    </fill>
    <fill>
      <patternFill patternType="solid">
        <fgColor rgb="FF1E1C11"/>
        <bgColor rgb="FF0D0D0D"/>
      </patternFill>
    </fill>
    <fill>
      <patternFill patternType="solid">
        <fgColor rgb="FFE46C0A"/>
        <bgColor rgb="FF984807"/>
      </patternFill>
    </fill>
    <fill>
      <patternFill patternType="solid">
        <fgColor rgb="FFB3A2C7"/>
        <bgColor rgb="FFA6A6A6"/>
      </patternFill>
    </fill>
    <fill>
      <patternFill patternType="solid">
        <fgColor rgb="FF95B3D7"/>
        <bgColor rgb="FF8EB4E3"/>
      </patternFill>
    </fill>
    <fill>
      <patternFill patternType="solid">
        <fgColor rgb="FF948A54"/>
        <bgColor rgb="FF77933C"/>
      </patternFill>
    </fill>
    <fill>
      <patternFill patternType="solid">
        <fgColor rgb="FF77933C"/>
        <bgColor rgb="FF948A54"/>
      </patternFill>
    </fill>
    <fill>
      <patternFill patternType="solid">
        <fgColor rgb="FFFCD5B5"/>
        <bgColor rgb="FFDDD9C3"/>
      </patternFill>
    </fill>
    <fill>
      <patternFill patternType="solid">
        <fgColor rgb="FFB7DEE8"/>
        <bgColor rgb="FFC6D9F1"/>
      </patternFill>
    </fill>
    <fill>
      <patternFill patternType="solid">
        <fgColor rgb="FFB9CDE5"/>
        <bgColor rgb="FFC6D9F1"/>
      </patternFill>
    </fill>
    <fill>
      <patternFill patternType="solid">
        <fgColor rgb="FFCCC1DA"/>
        <bgColor rgb="FFBFBFBF"/>
      </patternFill>
    </fill>
    <fill>
      <patternFill patternType="solid">
        <fgColor rgb="FF404040"/>
        <bgColor rgb="FF444444"/>
      </patternFill>
    </fill>
    <fill>
      <patternFill patternType="solid">
        <fgColor rgb="FFBFBFBF"/>
        <bgColor rgb="FFCCC1DA"/>
      </patternFill>
    </fill>
    <fill>
      <patternFill patternType="solid">
        <fgColor rgb="FF4F6228"/>
        <bgColor rgb="FF4A452A"/>
      </patternFill>
    </fill>
    <fill>
      <patternFill patternType="solid">
        <fgColor rgb="FF376092"/>
        <bgColor rgb="FF444444"/>
      </patternFill>
    </fill>
    <fill>
      <patternFill patternType="solid">
        <fgColor rgb="FFA6A6A6"/>
        <bgColor rgb="FFB3A2C7"/>
      </patternFill>
    </fill>
    <fill>
      <patternFill patternType="solid">
        <fgColor rgb="FF8EB4E3"/>
        <bgColor rgb="FF95B3D7"/>
      </patternFill>
    </fill>
    <fill>
      <patternFill patternType="solid">
        <fgColor rgb="FF9BBB59"/>
        <bgColor rgb="FFC4BD97"/>
      </patternFill>
    </fill>
  </fills>
  <borders count="31">
    <border diagonalUp="false" diagonalDown="false">
      <left/>
      <right/>
      <top/>
      <bottom/>
      <diagonal/>
    </border>
    <border diagonalUp="false" diagonalDown="false"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 style="thin"/>
      <right style="thin"/>
      <top/>
      <bottom/>
      <diagonal/>
    </border>
    <border diagonalUp="false" diagonalDown="false">
      <left/>
      <right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/>
      <top/>
      <bottom/>
      <diagonal/>
    </border>
    <border diagonalUp="false" diagonalDown="false">
      <left/>
      <right style="thin"/>
      <top style="thin"/>
      <bottom/>
      <diagonal/>
    </border>
    <border diagonalUp="false" diagonalDown="false">
      <left style="thin"/>
      <right/>
      <top style="thin"/>
      <bottom/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/>
      <top style="thin"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 style="thin"/>
      <top/>
      <bottom/>
      <diagonal/>
    </border>
    <border diagonalUp="false" diagonalDown="false">
      <left style="thin">
        <color rgb="FFFFFFFF"/>
      </left>
      <right style="thin">
        <color rgb="FFFFFFFF"/>
      </right>
      <top style="thin">
        <color rgb="FFFFFFFF"/>
      </top>
      <bottom/>
      <diagonal/>
    </border>
    <border diagonalUp="false" diagonalDown="false">
      <left style="thin">
        <color rgb="FFFFFFFF"/>
      </left>
      <right/>
      <top style="thin">
        <color rgb="FFFFFFFF"/>
      </top>
      <bottom style="thin">
        <color rgb="FFFFFFFF"/>
      </bottom>
      <diagonal/>
    </border>
    <border diagonalUp="false" diagonalDown="false">
      <left/>
      <right style="thin">
        <color rgb="FFFFFFFF"/>
      </right>
      <top style="thin">
        <color rgb="FFFFFFFF"/>
      </top>
      <bottom style="thin">
        <color rgb="FFFFFFFF"/>
      </bottom>
      <diagonal/>
    </border>
    <border diagonalUp="false" diagonalDown="false">
      <left/>
      <right/>
      <top style="thin">
        <color rgb="FFFFFFFF"/>
      </top>
      <bottom style="thin">
        <color rgb="FFFFFFFF"/>
      </bottom>
      <diagonal/>
    </border>
    <border diagonalUp="false" diagonalDown="false">
      <left style="thin">
        <color rgb="FFFFFFFF"/>
      </left>
      <right/>
      <top style="thin">
        <color rgb="FFFFFFFF"/>
      </top>
      <bottom/>
      <diagonal/>
    </border>
    <border diagonalUp="false" diagonalDown="false">
      <left/>
      <right style="thin">
        <color rgb="FFFFFFFF"/>
      </right>
      <top style="thin">
        <color rgb="FFFFFFFF"/>
      </top>
      <bottom/>
      <diagonal/>
    </border>
    <border diagonalUp="false" diagonalDown="false">
      <left style="thin">
        <color rgb="FFFFFFFF"/>
      </left>
      <right style="thin">
        <color rgb="FFFFFFFF"/>
      </right>
      <top/>
      <bottom style="thin">
        <color rgb="FFFFFFFF"/>
      </bottom>
      <diagonal/>
    </border>
    <border diagonalUp="false" diagonalDown="false">
      <left style="thin">
        <color rgb="FFFFFFFF"/>
      </left>
      <right style="thin">
        <color rgb="FFFFFFFF"/>
      </right>
      <top/>
      <bottom/>
      <diagonal/>
    </border>
    <border diagonalUp="false" diagonalDown="false">
      <left style="thin">
        <color rgb="FFFFFFFF"/>
      </left>
      <right/>
      <top/>
      <bottom style="thin">
        <color rgb="FFFFFFFF"/>
      </bottom>
      <diagonal/>
    </border>
    <border diagonalUp="false" diagonalDown="false">
      <left/>
      <right style="thin">
        <color rgb="FFFFFFFF"/>
      </right>
      <top/>
      <bottom/>
      <diagonal/>
    </border>
    <border diagonalUp="false" diagonalDown="false">
      <left/>
      <right style="thin">
        <color rgb="FFFFFFFF"/>
      </right>
      <top/>
      <bottom style="thin">
        <color rgb="FFFFFFFF"/>
      </bottom>
      <diagonal/>
    </border>
    <border diagonalUp="false" diagonalDown="false">
      <left style="thin">
        <color rgb="FFFFFFFF"/>
      </left>
      <right/>
      <top/>
      <bottom/>
      <diagonal/>
    </border>
    <border diagonalUp="false" diagonalDown="false">
      <left style="thin">
        <color rgb="FFFFFFFF"/>
      </left>
      <right style="thin">
        <color rgb="FFFFFFFF"/>
      </right>
      <top style="thin"/>
      <bottom style="thin">
        <color rgb="FFFFFFFF"/>
      </bottom>
      <diagonal/>
    </border>
    <border diagonalUp="false" diagonalDown="false">
      <left/>
      <right/>
      <top/>
      <bottom style="thin">
        <color rgb="FFFFFFFF"/>
      </bottom>
      <diagonal/>
    </border>
  </borders>
  <cellStyleXfs count="24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7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318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5" fillId="3" borderId="0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6" fillId="3" borderId="0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6" fillId="3" borderId="0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7" fillId="2" borderId="0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8" fillId="3" borderId="0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8" fillId="3" borderId="0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11" fillId="4" borderId="0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11" fillId="4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11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11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5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0" fillId="0" borderId="0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0" fillId="0" borderId="0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0" fillId="0" borderId="0" xfId="21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6" fontId="12" fillId="4" borderId="1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13" fillId="4" borderId="0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4" borderId="0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0" borderId="0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4" borderId="0" xfId="0" applyFont="false" applyBorder="false" applyAlignment="true" applyProtection="true">
      <alignment horizontal="general" vertical="center" textRotation="0" wrapText="false" indent="0" shrinkToFit="false"/>
      <protection locked="true" hidden="false"/>
    </xf>
    <xf numFmtId="165" fontId="14" fillId="4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6" fontId="15" fillId="4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2" fillId="4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12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11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6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5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0" fillId="0" borderId="0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4" borderId="0" xfId="0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14" fillId="4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2" fillId="5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7" fillId="5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" fillId="4" borderId="0" xfId="21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0" fillId="4" borderId="0" xfId="21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0" fillId="4" borderId="0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21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0" xfId="21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2" fillId="0" borderId="2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2" fillId="5" borderId="2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2" fillId="0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4" borderId="0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" fillId="4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12" fillId="0" borderId="2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4" borderId="0" xfId="0" applyFont="fals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2" fillId="4" borderId="0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4" borderId="0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0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0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2" fillId="0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2" fillId="4" borderId="0" xfId="21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18" fillId="6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2" fillId="0" borderId="0" xfId="21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9" fillId="4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7" fontId="19" fillId="4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20" fillId="4" borderId="0" xfId="21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5" fontId="17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8" fillId="6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20" fillId="4" borderId="0" xfId="21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2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2" fillId="4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2" fillId="4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11" fillId="4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0" fillId="0" borderId="0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0" fillId="0" borderId="0" xfId="21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12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18" fillId="6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21" fillId="4" borderId="0" xfId="21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0" fillId="4" borderId="0" xfId="21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12" fillId="5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0" fillId="6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10" fillId="6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0" fillId="6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8" fillId="6" borderId="2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0" fillId="4" borderId="0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12" fillId="5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12" fillId="0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2" fillId="0" borderId="4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2" fillId="0" borderId="2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7" fillId="0" borderId="4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8" fillId="6" borderId="2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22" fillId="4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22" fillId="5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2" fillId="0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22" fillId="0" borderId="2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22" fillId="0" borderId="2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22" fillId="4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5" fontId="12" fillId="5" borderId="2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4" fontId="22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2" fillId="5" borderId="5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4" fontId="22" fillId="0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8" fillId="6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2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8" fillId="4" borderId="0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8" fillId="4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0" fillId="4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8" fillId="4" borderId="0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5" fillId="4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0" fillId="4" borderId="0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5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0" fillId="0" borderId="0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7" fillId="4" borderId="0" xfId="21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23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2" fillId="4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7" fillId="0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2" fillId="0" borderId="2" xfId="21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12" fillId="0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18" fillId="6" borderId="6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2" fillId="0" borderId="5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5" fillId="6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2" fillId="5" borderId="2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17" fillId="5" borderId="8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22" fillId="5" borderId="2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22" fillId="4" borderId="0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12" fillId="4" borderId="0" xfId="21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0" fillId="4" borderId="0" xfId="21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9" fillId="4" borderId="0" xfId="21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0" fillId="4" borderId="0" xfId="21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10" fillId="4" borderId="0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10" fillId="4" borderId="0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" fillId="5" borderId="2" xfId="21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2" xfId="0" applyFont="fals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24" fillId="0" borderId="2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0" fillId="4" borderId="0" xfId="0" applyFont="fals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25" fillId="4" borderId="0" xfId="21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5" fontId="10" fillId="4" borderId="0" xfId="21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0" fillId="4" borderId="0" xfId="0" applyFont="fals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12" fillId="4" borderId="0" xfId="21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10" fillId="6" borderId="2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18" fillId="6" borderId="2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10" fillId="6" borderId="3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17" fillId="5" borderId="2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26" fillId="4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2" fillId="5" borderId="8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12" fillId="7" borderId="2" xfId="21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8" xfId="0" applyFont="fals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24" fillId="4" borderId="0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10" fillId="6" borderId="2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0" fillId="5" borderId="2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18" fillId="6" borderId="2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0" fillId="4" borderId="0" xfId="21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0" fillId="0" borderId="2" xfId="0" applyFont="fals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12" fillId="0" borderId="4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22" fillId="0" borderId="2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5" fontId="10" fillId="4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7" fillId="5" borderId="2" xfId="21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10" fillId="4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2" fillId="5" borderId="8" xfId="21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13" fillId="4" borderId="2" xfId="21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12" fillId="0" borderId="2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0" fillId="0" borderId="0" xfId="21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12" fillId="0" borderId="2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6" fontId="12" fillId="0" borderId="2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0" fillId="4" borderId="0" xfId="21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12" fillId="0" borderId="2" xfId="21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6" fontId="12" fillId="0" borderId="2" xfId="21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12" fillId="0" borderId="2" xfId="21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center" textRotation="0" wrapText="false" indent="0" shrinkToFit="false"/>
      <protection locked="true" hidden="false"/>
    </xf>
    <xf numFmtId="165" fontId="12" fillId="5" borderId="4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2" fillId="5" borderId="2" xfId="21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12" fillId="4" borderId="0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0" fillId="4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2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12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12" fillId="4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22" fillId="4" borderId="2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28" fillId="4" borderId="2" xfId="21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4" borderId="0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0" fillId="5" borderId="2" xfId="21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4" borderId="5" xfId="21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28" fillId="4" borderId="0" xfId="21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18" fillId="8" borderId="2" xfId="21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5" fontId="0" fillId="5" borderId="2" xfId="21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0" fillId="4" borderId="2" xfId="21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0" fillId="4" borderId="0" xfId="21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3" fillId="4" borderId="0" xfId="21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13" fillId="4" borderId="0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2" fillId="0" borderId="2" xfId="21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0" fillId="4" borderId="0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9" fillId="4" borderId="0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0" fillId="4" borderId="0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4" borderId="0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0" borderId="0" xfId="21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9" fillId="4" borderId="0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0" borderId="0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0" fillId="4" borderId="2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12" fillId="9" borderId="2" xfId="21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0" fillId="4" borderId="2" xfId="21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4" fontId="0" fillId="4" borderId="0" xfId="21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12" fillId="4" borderId="0" xfId="21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0" fillId="4" borderId="0" xfId="21" applyFont="true" applyBorder="false" applyAlignment="true" applyProtection="true">
      <alignment horizontal="right" vertical="center" textRotation="0" wrapText="false" indent="0" shrinkToFit="false"/>
      <protection locked="true" hidden="false"/>
    </xf>
    <xf numFmtId="164" fontId="0" fillId="4" borderId="0" xfId="21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5" fontId="0" fillId="0" borderId="0" xfId="21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4" fontId="10" fillId="4" borderId="0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9" fillId="4" borderId="0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12" fillId="5" borderId="3" xfId="21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0" fillId="5" borderId="3" xfId="21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0" fillId="0" borderId="5" xfId="21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4" fontId="10" fillId="4" borderId="9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27" fillId="5" borderId="2" xfId="21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29" fillId="4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2" fillId="4" borderId="0" xfId="21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5" fontId="13" fillId="4" borderId="0" xfId="21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12" fillId="0" borderId="2" xfId="21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4" fontId="12" fillId="4" borderId="0" xfId="21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5" fontId="0" fillId="4" borderId="0" xfId="21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27" fillId="4" borderId="0" xfId="21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0" fillId="0" borderId="2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0" fillId="4" borderId="0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0" fillId="4" borderId="0" xfId="21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30" fillId="6" borderId="2" xfId="21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6" fontId="0" fillId="4" borderId="0" xfId="21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0" fillId="4" borderId="0" xfId="21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18" fillId="6" borderId="2" xfId="21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0" fillId="4" borderId="0" xfId="0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17" fillId="0" borderId="0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5" fontId="17" fillId="4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17" fillId="4" borderId="0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0" fillId="4" borderId="0" xfId="0" applyFont="fals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18" fillId="6" borderId="0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8" fontId="12" fillId="0" borderId="2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0" fillId="4" borderId="0" xfId="21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5" fontId="12" fillId="5" borderId="2" xfId="21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0" borderId="0" xfId="0" applyFont="fals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0" fillId="5" borderId="1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2" xfId="21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0" fillId="5" borderId="2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0" fillId="0" borderId="2" xfId="21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18" fillId="6" borderId="4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12" fillId="4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8" fillId="6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5" fontId="12" fillId="4" borderId="0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10" fillId="6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5" fontId="18" fillId="6" borderId="11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12" fillId="0" borderId="2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5" fontId="12" fillId="0" borderId="12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5" fontId="12" fillId="5" borderId="5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12" fillId="0" borderId="5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12" fillId="0" borderId="4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18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6" fontId="12" fillId="0" borderId="2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4" fontId="9" fillId="4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0" fillId="4" borderId="0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5" fontId="0" fillId="4" borderId="0" xfId="21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4" fontId="29" fillId="4" borderId="0" xfId="21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6" fontId="12" fillId="4" borderId="0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17" fillId="0" borderId="0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29" fillId="4" borderId="0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31" fillId="4" borderId="0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29" fillId="5" borderId="2" xfId="21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0" fillId="0" borderId="2" xfId="21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4" fontId="29" fillId="0" borderId="0" xfId="21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0" fillId="0" borderId="0" xfId="21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4" fontId="13" fillId="4" borderId="0" xfId="21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3" fillId="4" borderId="0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9" fillId="4" borderId="0" xfId="21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0" fillId="0" borderId="0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6" fontId="12" fillId="0" borderId="0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5" fontId="0" fillId="0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0" xfId="21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0" fillId="0" borderId="0" xfId="21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17" fillId="0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8" fontId="17" fillId="0" borderId="0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12" fillId="0" borderId="0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0" fillId="0" borderId="0" xfId="21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12" fillId="0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0" xfId="0" applyFont="fals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0" fillId="0" borderId="0" xfId="21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0" xfId="21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0" fillId="4" borderId="0" xfId="21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29" fillId="0" borderId="13" xfId="21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29" fillId="0" borderId="13" xfId="21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29" fillId="5" borderId="2" xfId="21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12" fillId="4" borderId="0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8" fontId="17" fillId="0" borderId="2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29" fillId="0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29" fillId="0" borderId="0" xfId="21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27" fillId="4" borderId="0" xfId="21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28" fillId="4" borderId="2" xfId="21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28" fillId="4" borderId="0" xfId="21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5" borderId="2" xfId="21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17" fillId="0" borderId="3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26" fillId="6" borderId="2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9" fillId="0" borderId="2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8" fontId="12" fillId="0" borderId="2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8" fontId="12" fillId="0" borderId="2" xfId="21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4" fontId="12" fillId="0" borderId="0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right" vertical="center" textRotation="0" wrapText="false" indent="0" shrinkToFit="false"/>
      <protection locked="true" hidden="false"/>
    </xf>
    <xf numFmtId="164" fontId="0" fillId="0" borderId="0" xfId="21" applyFont="true" applyBorder="false" applyAlignment="true" applyProtection="true">
      <alignment horizontal="right" vertical="center" textRotation="0" wrapText="false" indent="0" shrinkToFit="false"/>
      <protection locked="true" hidden="false"/>
    </xf>
    <xf numFmtId="165" fontId="12" fillId="0" borderId="0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5" fontId="0" fillId="4" borderId="0" xfId="0" applyFont="fals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25" fillId="4" borderId="0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5" borderId="2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5" fontId="0" fillId="5" borderId="2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18" fillId="6" borderId="4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0" fillId="5" borderId="8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0" fillId="0" borderId="2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6" fontId="0" fillId="4" borderId="0" xfId="21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8" fillId="6" borderId="5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32" fillId="0" borderId="0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22" fillId="5" borderId="2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5" borderId="4" xfId="21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4" xfId="21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0" fillId="0" borderId="4" xfId="21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0" fillId="0" borderId="4" xfId="0" applyFont="fals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0" fillId="0" borderId="6" xfId="21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0" fillId="0" borderId="9" xfId="21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0" fillId="0" borderId="2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0" fillId="5" borderId="2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0" fillId="0" borderId="2" xfId="0" applyFont="false" applyBorder="true" applyAlignment="true" applyProtection="true">
      <alignment horizontal="right" vertical="center" textRotation="0" wrapText="false" indent="0" shrinkToFit="false"/>
      <protection locked="true" hidden="false"/>
    </xf>
    <xf numFmtId="165" fontId="0" fillId="0" borderId="2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5" fontId="0" fillId="0" borderId="5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5" fontId="10" fillId="0" borderId="0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29" fillId="0" borderId="0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22" fillId="0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22" fillId="0" borderId="0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10" fillId="4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4" borderId="0" xfId="21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25" fillId="4" borderId="0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30" fillId="6" borderId="4" xfId="21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4" fontId="0" fillId="5" borderId="2" xfId="21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0" borderId="0" xfId="21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25" fillId="4" borderId="0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30" fillId="6" borderId="14" xfId="21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4" fontId="0" fillId="4" borderId="0" xfId="0" applyFont="false" applyBorder="true" applyAlignment="true" applyProtection="true">
      <alignment horizontal="left" vertical="center" textRotation="0" wrapText="false" indent="0" shrinkToFit="false"/>
      <protection locked="true" hidden="false"/>
    </xf>
    <xf numFmtId="164" fontId="0" fillId="0" borderId="2" xfId="21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5" fontId="12" fillId="4" borderId="0" xfId="21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2" fillId="5" borderId="2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0" borderId="0" xfId="0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8" fillId="6" borderId="3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9" fillId="4" borderId="0" xfId="21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17" fillId="0" borderId="0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18" fillId="6" borderId="5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12" fillId="0" borderId="2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8" fillId="6" borderId="2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4" fontId="12" fillId="0" borderId="2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18" fillId="0" borderId="0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4" fontId="31" fillId="4" borderId="0" xfId="21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9" fillId="4" borderId="0" xfId="21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5" fontId="9" fillId="4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4" fillId="4" borderId="0" xfId="21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9" fillId="4" borderId="0" xfId="21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0" xfId="0" applyFont="fals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17" fillId="0" borderId="2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9" fillId="5" borderId="2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9" fillId="0" borderId="2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9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17" fillId="5" borderId="2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8" fillId="6" borderId="2" xfId="21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4" fontId="0" fillId="0" borderId="6" xfId="0" applyFont="fals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0" fillId="0" borderId="3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12" fillId="5" borderId="3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5" xfId="0" applyFont="fals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12" fillId="5" borderId="6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6" xfId="0" applyFont="false" applyBorder="true" applyAlignment="true" applyProtection="true">
      <alignment horizontal="general" vertical="center" textRotation="0" wrapText="false" indent="0" shrinkToFit="false"/>
      <protection locked="true" hidden="false"/>
    </xf>
    <xf numFmtId="166" fontId="9" fillId="0" borderId="2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6" fontId="9" fillId="0" borderId="5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5" fontId="12" fillId="0" borderId="2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6" fontId="0" fillId="0" borderId="2" xfId="0" applyFont="fals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33" fillId="10" borderId="2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33" fillId="4" borderId="0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12" fillId="5" borderId="5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12" fillId="0" borderId="5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12" fillId="0" borderId="0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18" fillId="4" borderId="0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6" fillId="4" borderId="0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10" fillId="4" borderId="0" xfId="21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12" fillId="5" borderId="2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12" fillId="4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9" fontId="18" fillId="4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6" fillId="4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4" fillId="4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7" fillId="4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6" fontId="12" fillId="0" borderId="0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27" fillId="10" borderId="2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27" fillId="4" borderId="0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6" fontId="12" fillId="4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2" fillId="5" borderId="5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12" fillId="5" borderId="5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7" fillId="0" borderId="5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12" fillId="5" borderId="2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12" fillId="5" borderId="2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2" fillId="0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0" fillId="0" borderId="0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8" fontId="0" fillId="4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0" fillId="4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5" fontId="9" fillId="0" borderId="2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4" fontId="0" fillId="0" borderId="9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0" fillId="0" borderId="4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10" fillId="0" borderId="0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4" fontId="0" fillId="0" borderId="0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0" fillId="0" borderId="0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18" fillId="6" borderId="3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9" fillId="0" borderId="0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18" fillId="6" borderId="9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0" fillId="0" borderId="0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0" fillId="4" borderId="0" xfId="0" applyFont="true" applyBorder="false" applyAlignment="true" applyProtection="true">
      <alignment horizontal="left" vertical="center" textRotation="0" wrapText="false" indent="0" shrinkToFit="false"/>
      <protection locked="true" hidden="false"/>
    </xf>
    <xf numFmtId="164" fontId="0" fillId="0" borderId="0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0" fillId="4" borderId="0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5" fontId="9" fillId="5" borderId="2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0" fillId="0" borderId="2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0" fillId="0" borderId="12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0" fillId="4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4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5" fontId="26" fillId="0" borderId="11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12" fillId="5" borderId="2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6" fontId="8" fillId="6" borderId="2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5" fontId="17" fillId="0" borderId="2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8" fontId="0" fillId="4" borderId="0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27" fillId="0" borderId="0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6" fontId="0" fillId="4" borderId="0" xfId="0" applyFont="false" applyBorder="true" applyAlignment="true" applyProtection="true">
      <alignment horizontal="left" vertical="center" textRotation="0" wrapText="false" indent="0" shrinkToFit="false"/>
      <protection locked="true" hidden="false"/>
    </xf>
    <xf numFmtId="166" fontId="0" fillId="4" borderId="0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8" fontId="0" fillId="4" borderId="0" xfId="0" applyFont="fals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29" fillId="4" borderId="0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9" fillId="5" borderId="2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8" fillId="6" borderId="2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4" fontId="9" fillId="0" borderId="2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5" fontId="9" fillId="4" borderId="0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9" fillId="0" borderId="0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9" fillId="4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5" fontId="18" fillId="6" borderId="12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0" fillId="5" borderId="5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17" fillId="0" borderId="2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5" fontId="27" fillId="10" borderId="2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5" fontId="27" fillId="4" borderId="0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10" fillId="4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33" fillId="10" borderId="2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33" fillId="4" borderId="0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9" fillId="0" borderId="5" xfId="21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34" fillId="4" borderId="0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35" fillId="4" borderId="0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35" fillId="4" borderId="0" xfId="21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35" fillId="4" borderId="0" xfId="21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35" fillId="4" borderId="0" xfId="21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7" fillId="0" borderId="2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34" fillId="4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29" fillId="5" borderId="2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35" fillId="4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7" fillId="0" borderId="2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8" fontId="0" fillId="4" borderId="0" xfId="0" applyFont="fals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12" fillId="0" borderId="12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12" fillId="0" borderId="9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12" fillId="0" borderId="0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6" fontId="18" fillId="0" borderId="0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5" fontId="12" fillId="0" borderId="3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18" fillId="0" borderId="0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5" fontId="12" fillId="0" borderId="6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36" fillId="5" borderId="2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30" fillId="6" borderId="2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5" fontId="36" fillId="0" borderId="0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23" fillId="0" borderId="0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5" fontId="27" fillId="5" borderId="2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5" fontId="37" fillId="4" borderId="0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35" fillId="4" borderId="0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4" fillId="0" borderId="0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14" fillId="4" borderId="0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38" fillId="4" borderId="0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38" fillId="4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34" fillId="4" borderId="0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0" fillId="0" borderId="2" xfId="21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5" borderId="4" xfId="21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0" fillId="0" borderId="12" xfId="21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0" fillId="5" borderId="5" xfId="21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5" xfId="21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0" fillId="0" borderId="2" xfId="21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29" fillId="5" borderId="4" xfId="21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0" fillId="0" borderId="8" xfId="21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0" fillId="0" borderId="4" xfId="21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14" fillId="0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2" fillId="0" borderId="0" xfId="21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9" fontId="0" fillId="10" borderId="2" xfId="21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0" fillId="10" borderId="2" xfId="21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2" fillId="0" borderId="0" xfId="21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4" fontId="12" fillId="0" borderId="2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5" fontId="18" fillId="6" borderId="6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5" fontId="18" fillId="6" borderId="9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10" fillId="6" borderId="2" xfId="21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10" fillId="6" borderId="0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6" fontId="0" fillId="0" borderId="2" xfId="21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33" fillId="11" borderId="2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33" fillId="4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33" fillId="5" borderId="2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33" fillId="5" borderId="2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9" fillId="4" borderId="0" xfId="21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4" borderId="3" xfId="21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4" borderId="2" xfId="21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9" fillId="4" borderId="3" xfId="21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9" fillId="4" borderId="2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33" fillId="0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33" fillId="0" borderId="0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0" fillId="4" borderId="4" xfId="21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9" fillId="4" borderId="2" xfId="21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29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5" fontId="39" fillId="4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4" borderId="3" xfId="21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9" fillId="4" borderId="0" xfId="21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9" fillId="4" borderId="3" xfId="21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0" fillId="4" borderId="2" xfId="21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14" fillId="4" borderId="2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0" fillId="4" borderId="11" xfId="21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0" fillId="4" borderId="2" xfId="21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14" fillId="4" borderId="4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14" fillId="4" borderId="14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33" fillId="4" borderId="14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33" fillId="4" borderId="2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4" borderId="2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4" borderId="4" xfId="21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14" fillId="4" borderId="8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14" fillId="4" borderId="5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33" fillId="4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33" fillId="4" borderId="5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0" fillId="6" borderId="0" xfId="21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0" fillId="4" borderId="9" xfId="21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0" fillId="4" borderId="2" xfId="0" applyFont="fals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0" fillId="4" borderId="14" xfId="0" applyFont="fals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0" fillId="4" borderId="8" xfId="0" applyFont="fals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0" fillId="4" borderId="2" xfId="0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4" borderId="14" xfId="21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0" fillId="4" borderId="14" xfId="21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4" borderId="8" xfId="21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9" fillId="4" borderId="14" xfId="21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9" fillId="4" borderId="8" xfId="21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29" fillId="0" borderId="0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9" fillId="4" borderId="2" xfId="21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10" fillId="4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4" borderId="12" xfId="21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0" fillId="4" borderId="7" xfId="0" applyFont="fals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0" fillId="4" borderId="15" xfId="0" applyFont="fals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0" fillId="4" borderId="3" xfId="0" applyFont="false" applyBorder="true" applyAlignment="true" applyProtection="true">
      <alignment horizontal="general" vertical="center" textRotation="0" wrapText="false" indent="0" shrinkToFit="false"/>
      <protection locked="true" hidden="false"/>
    </xf>
    <xf numFmtId="166" fontId="0" fillId="0" borderId="0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0" fillId="4" borderId="7" xfId="21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0" fillId="4" borderId="7" xfId="21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9" fillId="4" borderId="5" xfId="21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9" fillId="4" borderId="14" xfId="21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0" fillId="6" borderId="2" xfId="21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0" fillId="4" borderId="11" xfId="21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9" fillId="4" borderId="10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4" borderId="5" xfId="21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9" fillId="4" borderId="2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4" borderId="12" xfId="21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9" fillId="4" borderId="15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4" borderId="4" xfId="21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9" fillId="4" borderId="8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4" borderId="8" xfId="21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9" fillId="4" borderId="0" xfId="21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4" borderId="7" xfId="21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0" fillId="4" borderId="15" xfId="21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0" fillId="4" borderId="13" xfId="21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9" fillId="4" borderId="0" xfId="21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2" xfId="0" applyFont="false" applyBorder="true" applyAlignment="true" applyProtection="true">
      <alignment horizontal="right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10" fillId="6" borderId="4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27" fillId="11" borderId="2" xfId="21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5" fontId="17" fillId="4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18" fillId="4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18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4" fillId="5" borderId="2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4" fillId="5" borderId="2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18" fillId="4" borderId="0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70" fontId="12" fillId="0" borderId="0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0" fillId="4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5" fontId="41" fillId="6" borderId="2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5" fontId="27" fillId="11" borderId="2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5" fontId="12" fillId="4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5" fontId="12" fillId="4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17" fillId="4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18" fillId="4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18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12" fillId="4" borderId="0" xfId="0" applyFont="true" applyBorder="false" applyAlignment="true" applyProtection="true">
      <alignment horizontal="left" vertical="center" textRotation="0" wrapText="false" indent="0" shrinkToFit="false"/>
      <protection locked="true" hidden="false"/>
    </xf>
    <xf numFmtId="168" fontId="12" fillId="4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5" fontId="33" fillId="4" borderId="0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4" fontId="14" fillId="5" borderId="2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14" fillId="4" borderId="0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left" vertical="center" textRotation="0" wrapText="false" indent="0" shrinkToFit="false"/>
      <protection locked="true" hidden="false"/>
    </xf>
    <xf numFmtId="164" fontId="14" fillId="0" borderId="0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5" fontId="12" fillId="4" borderId="0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40" fillId="4" borderId="0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18" fillId="6" borderId="5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42" fillId="4" borderId="0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70" fontId="12" fillId="0" borderId="2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70" fontId="12" fillId="0" borderId="0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0" fillId="0" borderId="0" xfId="0" applyFont="false" applyBorder="true" applyAlignment="true" applyProtection="true">
      <alignment horizontal="left" vertical="center" textRotation="0" wrapText="false" indent="0" shrinkToFit="false"/>
      <protection locked="true" hidden="false"/>
    </xf>
    <xf numFmtId="165" fontId="18" fillId="6" borderId="4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5" fontId="18" fillId="6" borderId="2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5" fontId="18" fillId="6" borderId="3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6" fontId="12" fillId="4" borderId="0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5" fontId="18" fillId="6" borderId="0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5" fontId="18" fillId="0" borderId="0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5" fontId="12" fillId="4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5" fontId="12" fillId="4" borderId="0" xfId="0" applyFont="true" applyBorder="false" applyAlignment="true" applyProtection="true">
      <alignment horizontal="right" vertical="center" textRotation="0" wrapText="false" indent="0" shrinkToFit="false"/>
      <protection locked="true" hidden="false"/>
    </xf>
    <xf numFmtId="165" fontId="39" fillId="4" borderId="0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18" fillId="4" borderId="0" xfId="0" applyFont="true" applyBorder="false" applyAlignment="true" applyProtection="true">
      <alignment horizontal="general" vertical="center" textRotation="0" wrapText="false" indent="0" shrinkToFit="false"/>
      <protection locked="true" hidden="true"/>
    </xf>
    <xf numFmtId="165" fontId="18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true"/>
    </xf>
    <xf numFmtId="165" fontId="12" fillId="4" borderId="0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18" fillId="4" borderId="0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17" fillId="4" borderId="0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4" fontId="10" fillId="6" borderId="6" xfId="21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10" fillId="6" borderId="6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10" fillId="6" borderId="5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10" fillId="6" borderId="0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18" fillId="0" borderId="0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18" fillId="6" borderId="5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12" fillId="5" borderId="8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7" fillId="4" borderId="0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12" fillId="4" borderId="0" xfId="0" applyFont="true" applyBorder="false" applyAlignment="true" applyProtection="true">
      <alignment horizontal="general" vertical="center" textRotation="0" wrapText="false" indent="0" shrinkToFit="false"/>
      <protection locked="true" hidden="true"/>
    </xf>
    <xf numFmtId="165" fontId="17" fillId="4" borderId="0" xfId="0" applyFont="true" applyBorder="false" applyAlignment="true" applyProtection="true">
      <alignment horizontal="general" vertical="center" textRotation="0" wrapText="false" indent="0" shrinkToFit="false"/>
      <protection locked="true" hidden="true"/>
    </xf>
    <xf numFmtId="164" fontId="0" fillId="4" borderId="0" xfId="0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11" fillId="12" borderId="2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18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8" fillId="6" borderId="2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12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8" fontId="12" fillId="4" borderId="0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12" fillId="0" borderId="14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12" fillId="0" borderId="14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5" fontId="27" fillId="12" borderId="2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5" fontId="33" fillId="12" borderId="2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18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0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17" fillId="5" borderId="2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10" fillId="0" borderId="0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6" fontId="12" fillId="5" borderId="2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27" fillId="4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18" fillId="6" borderId="2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6" fontId="12" fillId="5" borderId="4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12" fillId="0" borderId="2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6" fontId="12" fillId="0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33" fillId="13" borderId="2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17" fillId="0" borderId="5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5" fontId="27" fillId="13" borderId="2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5" fontId="12" fillId="4" borderId="0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6" fontId="0" fillId="4" borderId="0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2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2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2" fillId="0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2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4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3" fillId="4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3" fillId="4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6" fontId="12" fillId="4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25" fillId="4" borderId="0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23" fillId="2" borderId="12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23" fillId="2" borderId="5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8" fillId="3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23" fillId="2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3" fillId="2" borderId="5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36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36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36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36" fillId="0" borderId="2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12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7" fillId="0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7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7" fillId="0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7" fillId="0" borderId="2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12" fillId="0" borderId="6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7" fillId="0" borderId="2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17" fillId="0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7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7" fillId="0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7" fillId="0" borderId="2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5" fontId="12" fillId="0" borderId="2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12" fillId="0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3" fillId="2" borderId="4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23" fillId="2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8" fillId="3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23" fillId="2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3" fillId="2" borderId="2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18" fillId="2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18" fillId="2" borderId="2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12" fillId="0" borderId="2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23" fillId="2" borderId="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8" fillId="2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8" fillId="2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2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8" fillId="2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4" fillId="4" borderId="0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2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2" fillId="0" borderId="6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2" fillId="0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3" fillId="3" borderId="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8" fillId="3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8" fillId="3" borderId="2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23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7" fillId="4" borderId="2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70" fontId="17" fillId="4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17" fillId="4" borderId="2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5" fontId="12" fillId="0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0" borderId="6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3" fillId="0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8" fillId="2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8" fillId="2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18" fillId="2" borderId="2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12" fillId="3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2" fillId="3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2" fillId="2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2" fillId="2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23" fillId="2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2" fillId="0" borderId="2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12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12" fillId="0" borderId="2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23" fillId="3" borderId="2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23" fillId="0" borderId="3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70" fontId="12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3" fillId="0" borderId="6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23" fillId="2" borderId="2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5" fontId="23" fillId="2" borderId="4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5" fontId="23" fillId="2" borderId="8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5" fontId="18" fillId="2" borderId="2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18" fillId="2" borderId="2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4" fontId="12" fillId="4" borderId="2" xfId="21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6" fontId="12" fillId="4" borderId="2" xfId="21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12" fillId="4" borderId="2" xfId="21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5" fontId="12" fillId="4" borderId="2" xfId="21" applyFont="true" applyBorder="true" applyAlignment="true" applyProtection="false">
      <alignment horizontal="right" vertical="distributed" textRotation="0" wrapText="true" indent="0" shrinkToFit="false"/>
      <protection locked="true" hidden="false"/>
    </xf>
    <xf numFmtId="164" fontId="23" fillId="2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3" fillId="2" borderId="16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3" fillId="0" borderId="3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4" fontId="17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7" fillId="0" borderId="2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23" fillId="0" borderId="6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5" fontId="12" fillId="0" borderId="2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5" fontId="12" fillId="0" borderId="2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12" fillId="0" borderId="2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17" fillId="0" borderId="2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4" fontId="17" fillId="4" borderId="2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17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18" fillId="6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23" fillId="2" borderId="14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5" fontId="23" fillId="2" borderId="2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4" fontId="12" fillId="0" borderId="1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2" fillId="4" borderId="2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17" fillId="4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12" fillId="4" borderId="2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12" fillId="0" borderId="16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2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3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8" fillId="2" borderId="2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23" fillId="0" borderId="16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7" fillId="0" borderId="2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12" fillId="0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3" fillId="2" borderId="0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5" fontId="23" fillId="2" borderId="16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5" fontId="18" fillId="2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2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2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2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12" fillId="0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17" fillId="0" borderId="2" xfId="0" applyFont="true" applyBorder="true" applyAlignment="true" applyProtection="false">
      <alignment horizontal="justify" vertical="center" textRotation="0" wrapText="true" indent="0" shrinkToFit="false"/>
      <protection locked="true" hidden="false"/>
    </xf>
    <xf numFmtId="164" fontId="17" fillId="0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2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23" fillId="2" borderId="0" xfId="0" applyFont="true" applyBorder="true" applyAlignment="true" applyProtection="true">
      <alignment horizontal="left" vertical="center" textRotation="0" wrapText="false" indent="0" shrinkToFit="false"/>
      <protection locked="true" hidden="true"/>
    </xf>
    <xf numFmtId="165" fontId="23" fillId="2" borderId="16" xfId="0" applyFont="true" applyBorder="true" applyAlignment="true" applyProtection="true">
      <alignment horizontal="left" vertical="center" textRotation="0" wrapText="false" indent="0" shrinkToFit="false"/>
      <protection locked="true" hidden="true"/>
    </xf>
    <xf numFmtId="164" fontId="18" fillId="2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" fillId="0" borderId="1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7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0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7" fillId="4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3" fillId="2" borderId="1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3" fillId="2" borderId="1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8" fillId="2" borderId="2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6" fontId="18" fillId="2" borderId="2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23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8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8" fillId="0" borderId="2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6" fontId="18" fillId="0" borderId="2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8" fontId="12" fillId="0" borderId="2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4" fontId="12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0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23" fillId="2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8" fillId="2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8" fillId="0" borderId="2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5" fontId="18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4" borderId="2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2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12" fillId="4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12" fillId="4" borderId="2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5" fontId="23" fillId="2" borderId="0" xfId="22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5" fontId="23" fillId="2" borderId="16" xfId="22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4" fontId="18" fillId="2" borderId="2" xfId="22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8" fillId="2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8" fillId="2" borderId="2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5" fontId="18" fillId="2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5" fontId="12" fillId="0" borderId="2" xfId="22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4" fontId="12" fillId="0" borderId="2" xfId="22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2" fillId="0" borderId="2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5" fontId="12" fillId="0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12" fillId="0" borderId="2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23" fillId="2" borderId="1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2" fillId="14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2" fillId="0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2" fillId="0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17" fillId="0" borderId="2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71" fontId="17" fillId="0" borderId="2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23" fillId="2" borderId="2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18" fillId="2" borderId="2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5" fontId="18" fillId="2" borderId="2" xfId="0" applyFont="true" applyBorder="true" applyAlignment="true" applyProtection="true">
      <alignment horizontal="right" vertical="bottom" textRotation="0" wrapText="true" indent="0" shrinkToFit="false"/>
      <protection locked="false" hidden="false"/>
    </xf>
    <xf numFmtId="164" fontId="17" fillId="0" borderId="4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7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7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7" fillId="0" borderId="2" xfId="0" applyFont="true" applyBorder="true" applyAlignment="true" applyProtection="true">
      <alignment horizontal="general" vertical="top" textRotation="0" wrapText="true" indent="0" shrinkToFit="false" readingOrder="1"/>
      <protection locked="false" hidden="false"/>
    </xf>
    <xf numFmtId="165" fontId="17" fillId="0" borderId="2" xfId="0" applyFont="true" applyBorder="true" applyAlignment="true" applyProtection="true">
      <alignment horizontal="right" vertical="top" textRotation="0" wrapText="true" indent="0" shrinkToFit="false" readingOrder="1"/>
      <protection locked="false" hidden="false"/>
    </xf>
    <xf numFmtId="164" fontId="17" fillId="0" borderId="1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17" fillId="0" borderId="2" xfId="0" applyFont="true" applyBorder="true" applyAlignment="true" applyProtection="true">
      <alignment horizontal="right" vertical="top" textRotation="0" wrapText="true" indent="0" shrinkToFit="false"/>
      <protection locked="false" hidden="false"/>
    </xf>
    <xf numFmtId="164" fontId="23" fillId="2" borderId="8" xfId="0" applyFont="true" applyBorder="true" applyAlignment="true" applyProtection="true">
      <alignment horizontal="left" vertical="center" textRotation="0" wrapText="true" indent="0" shrinkToFit="false"/>
      <protection locked="false" hidden="false"/>
    </xf>
    <xf numFmtId="164" fontId="17" fillId="0" borderId="13" xfId="0" applyFont="true" applyBorder="true" applyAlignment="true" applyProtection="true">
      <alignment horizontal="left" vertical="center" textRotation="0" wrapText="true" indent="0" shrinkToFit="false"/>
      <protection locked="false" hidden="false"/>
    </xf>
    <xf numFmtId="164" fontId="23" fillId="2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23" fillId="2" borderId="16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7" fillId="0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7" fillId="0" borderId="2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7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7" fillId="0" borderId="2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2" fillId="0" borderId="2" xfId="0" applyFont="true" applyBorder="true" applyAlignment="true" applyProtection="true">
      <alignment horizontal="general" vertical="top" textRotation="0" wrapText="true" indent="0" shrinkToFit="false" readingOrder="1"/>
      <protection locked="false" hidden="false"/>
    </xf>
    <xf numFmtId="165" fontId="12" fillId="0" borderId="2" xfId="0" applyFont="true" applyBorder="true" applyAlignment="true" applyProtection="true">
      <alignment horizontal="general" vertical="top" textRotation="0" wrapText="true" indent="0" shrinkToFit="false" readingOrder="1"/>
      <protection locked="false" hidden="false"/>
    </xf>
    <xf numFmtId="165" fontId="12" fillId="0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2" fillId="0" borderId="2" xfId="0" applyFont="true" applyBorder="true" applyAlignment="true" applyProtection="true">
      <alignment horizontal="right" vertical="top" textRotation="0" wrapText="true" indent="0" shrinkToFit="false"/>
      <protection locked="false" hidden="false"/>
    </xf>
    <xf numFmtId="164" fontId="12" fillId="0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2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2" fillId="0" borderId="2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12" fillId="0" borderId="2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4" fontId="12" fillId="0" borderId="1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3" fillId="2" borderId="8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18" fillId="2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3" fillId="0" borderId="1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12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3" fillId="0" borderId="16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7" fillId="0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17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3" fillId="2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18" fillId="2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23" fillId="0" borderId="16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7" fillId="0" borderId="2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17" fillId="0" borderId="2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1" fontId="17" fillId="0" borderId="2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17" fillId="0" borderId="2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17" fillId="0" borderId="2" xfId="23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7" fillId="0" borderId="2" xfId="21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1" fontId="36" fillId="4" borderId="0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7" fillId="0" borderId="2" xfId="21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71" fontId="17" fillId="0" borderId="2" xfId="21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17" fillId="0" borderId="2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" fillId="0" borderId="2" xfId="0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12" fillId="0" borderId="2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12" fillId="0" borderId="2" xfId="0" applyFont="true" applyBorder="true" applyAlignment="true" applyProtection="true">
      <alignment horizontal="left" vertical="center" textRotation="0" wrapText="false" indent="0" shrinkToFit="false"/>
      <protection locked="true" hidden="true"/>
    </xf>
    <xf numFmtId="165" fontId="12" fillId="0" borderId="2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12" fillId="0" borderId="2" xfId="0" applyFont="true" applyBorder="true" applyAlignment="true" applyProtection="true">
      <alignment horizontal="right" vertical="center" textRotation="0" wrapText="false" indent="0" shrinkToFit="false"/>
      <protection locked="true" hidden="true"/>
    </xf>
    <xf numFmtId="165" fontId="12" fillId="0" borderId="2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6" fontId="12" fillId="0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2" fillId="4" borderId="2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2" fillId="0" borderId="2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12" fillId="0" borderId="2" xfId="0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64" fontId="12" fillId="0" borderId="2" xfId="0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64" fontId="12" fillId="4" borderId="2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12" fillId="0" borderId="2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5" fontId="12" fillId="0" borderId="2" xfId="0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64" fontId="12" fillId="0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12" fillId="0" borderId="2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12" fillId="4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2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4" fontId="17" fillId="0" borderId="2" xfId="2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4" fontId="18" fillId="2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27" fillId="0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7" fillId="0" borderId="2" xfId="0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64" fontId="12" fillId="0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2" fillId="0" borderId="2" xfId="0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64" fontId="12" fillId="4" borderId="2" xfId="0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65" fontId="23" fillId="2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7" fillId="0" borderId="2" xfId="2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5" fontId="12" fillId="0" borderId="2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12" fillId="0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2" fillId="0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2" fillId="0" borderId="2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4" fontId="12" fillId="0" borderId="2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5" fontId="12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8" fillId="2" borderId="15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12" fillId="0" borderId="2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12" fillId="0" borderId="2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4" fontId="48" fillId="4" borderId="2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49" fillId="4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23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23" fillId="15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23" fillId="15" borderId="16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8" fillId="15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18" fillId="15" borderId="2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5" fontId="18" fillId="15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2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8" fontId="12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8" fontId="12" fillId="0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12" fillId="4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2" fillId="0" borderId="2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2" fillId="0" borderId="2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4" fontId="18" fillId="15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18" fillId="15" borderId="3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5" fontId="18" fillId="1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2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12" fillId="0" borderId="0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12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2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2" fillId="0" borderId="0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4" fontId="12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2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12" fillId="0" borderId="0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12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2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2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2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2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2" fillId="4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2" fillId="4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12" fillId="4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2" fillId="4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7" fillId="4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2" fillId="4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7" fillId="4" borderId="1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2" fillId="4" borderId="1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2" fillId="4" borderId="1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2" fillId="4" borderId="17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2" fillId="4" borderId="1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2" fillId="4" borderId="1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2" fillId="4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7" fillId="4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27" fillId="4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2" fillId="4" borderId="1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2" fillId="4" borderId="2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2" fillId="4" borderId="1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36" fillId="4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36" fillId="4" borderId="1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36" fillId="4" borderId="1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6" fillId="4" borderId="17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36" fillId="4" borderId="1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2" fillId="4" borderId="2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" fillId="4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2" fillId="4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2" fillId="4" borderId="2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17" fillId="4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2" fillId="4" borderId="2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2" fillId="4" borderId="1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2" fillId="4" borderId="2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50" fillId="4" borderId="1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18" fillId="4" borderId="1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12" fillId="4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2" fillId="4" borderId="2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7" fillId="4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8" fillId="4" borderId="24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12" fillId="4" borderId="2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2" fillId="4" borderId="2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2" fillId="4" borderId="2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2" fillId="4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2" fillId="4" borderId="2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12" fillId="4" borderId="2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12" fillId="4" borderId="4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17" fillId="4" borderId="2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9" fontId="12" fillId="4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7" fillId="4" borderId="2" xfId="0" applyFont="true" applyBorder="true" applyAlignment="true" applyProtection="true">
      <alignment horizontal="general" vertical="top" textRotation="0" wrapText="false" indent="0" shrinkToFit="false"/>
      <protection locked="true" hidden="true"/>
    </xf>
    <xf numFmtId="164" fontId="36" fillId="4" borderId="2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36" fillId="4" borderId="4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17" fillId="4" borderId="2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8" fontId="27" fillId="4" borderId="24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5" fontId="12" fillId="4" borderId="0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12" fillId="4" borderId="2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2" fillId="4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2" fillId="4" borderId="2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5" fontId="50" fillId="4" borderId="23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18" fillId="4" borderId="23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12" fillId="4" borderId="2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7" fillId="4" borderId="1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8" fillId="4" borderId="17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12" fillId="4" borderId="2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4" fontId="12" fillId="4" borderId="1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2" fillId="4" borderId="2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8" fontId="50" fillId="4" borderId="23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18" fillId="4" borderId="2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3" fillId="4" borderId="17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8" fontId="12" fillId="4" borderId="2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8" fontId="12" fillId="4" borderId="2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18" fillId="4" borderId="24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8" fontId="12" fillId="4" borderId="2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6" fontId="12" fillId="4" borderId="2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6" fontId="12" fillId="4" borderId="2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4" fontId="51" fillId="4" borderId="1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1" fillId="4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8" fillId="4" borderId="0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4" fontId="27" fillId="4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7" fillId="4" borderId="2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17" fillId="4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7" fillId="4" borderId="2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36" fillId="4" borderId="13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36" fillId="4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23" fillId="4" borderId="23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8" fontId="27" fillId="4" borderId="17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5" fontId="18" fillId="4" borderId="17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8" fontId="12" fillId="4" borderId="2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18" fillId="4" borderId="28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8" fontId="50" fillId="4" borderId="23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8" fontId="27" fillId="4" borderId="17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8" fontId="27" fillId="4" borderId="24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4" fontId="12" fillId="4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1" fillId="4" borderId="2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1" fillId="4" borderId="2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8" fillId="4" borderId="23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36" fillId="4" borderId="2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36" fillId="4" borderId="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8" fontId="12" fillId="4" borderId="24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5" fontId="17" fillId="4" borderId="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51" fillId="4" borderId="0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8" fontId="27" fillId="4" borderId="0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18" fillId="4" borderId="0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12" fillId="4" borderId="1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7" fillId="4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2" fillId="4" borderId="2" xfId="21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12" fillId="4" borderId="2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2" fillId="4" borderId="2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12" fillId="4" borderId="2" xfId="21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17" fillId="4" borderId="2" xfId="21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8" fontId="50" fillId="4" borderId="0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8" fontId="27" fillId="4" borderId="21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8" fontId="27" fillId="4" borderId="0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8" fontId="51" fillId="4" borderId="23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8" fontId="51" fillId="4" borderId="23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8" fontId="17" fillId="4" borderId="2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8" fontId="17" fillId="4" borderId="2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8" fontId="17" fillId="4" borderId="2" xfId="0" applyFont="true" applyBorder="true" applyAlignment="true" applyProtection="true">
      <alignment horizontal="right" vertical="center" textRotation="0" wrapText="false" indent="0" shrinkToFit="false"/>
      <protection locked="true" hidden="true"/>
    </xf>
    <xf numFmtId="164" fontId="50" fillId="4" borderId="2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0" fillId="4" borderId="2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8" fillId="4" borderId="2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36" fillId="4" borderId="24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8" fontId="36" fillId="4" borderId="24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8" fontId="36" fillId="4" borderId="0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4" fontId="51" fillId="4" borderId="3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8" fillId="4" borderId="17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5" fontId="12" fillId="4" borderId="2" xfId="0" applyFont="true" applyBorder="true" applyAlignment="true" applyProtection="true">
      <alignment horizontal="general" vertical="bottom" textRotation="0" wrapText="true" indent="0" shrinkToFit="false"/>
      <protection locked="true" hidden="true"/>
    </xf>
    <xf numFmtId="165" fontId="12" fillId="4" borderId="2" xfId="0" applyFont="true" applyBorder="true" applyAlignment="true" applyProtection="true">
      <alignment horizontal="right" vertical="bottom" textRotation="0" wrapText="true" indent="0" shrinkToFit="false"/>
      <protection locked="true" hidden="true"/>
    </xf>
    <xf numFmtId="165" fontId="18" fillId="4" borderId="2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8" fontId="12" fillId="4" borderId="2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8" fontId="12" fillId="4" borderId="8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8" fontId="12" fillId="4" borderId="2" xfId="0" applyFont="true" applyBorder="true" applyAlignment="true" applyProtection="true">
      <alignment horizontal="left" vertical="center" textRotation="0" wrapText="false" indent="0" shrinkToFit="false"/>
      <protection locked="true" hidden="true"/>
    </xf>
    <xf numFmtId="169" fontId="17" fillId="4" borderId="2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9" fontId="17" fillId="4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17" fillId="4" borderId="2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2" fillId="4" borderId="2" xfId="21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8" fontId="12" fillId="4" borderId="8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4" fontId="50" fillId="4" borderId="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0" fillId="4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8" fillId="4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12" fillId="4" borderId="2" xfId="21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17" fillId="4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0" fillId="4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2" fillId="4" borderId="3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2" fillId="4" borderId="3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2" fillId="4" borderId="27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7" fillId="4" borderId="2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2" fillId="4" borderId="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12" fillId="4" borderId="19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17" fillId="4" borderId="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12" fillId="4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12" fillId="4" borderId="2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2" fillId="4" borderId="2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12" fillId="4" borderId="1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2" fillId="4" borderId="19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12" fillId="4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2" fillId="4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1" fontId="12" fillId="4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7" fillId="4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2" fillId="4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4" borderId="0" xfId="0" applyFont="false" applyBorder="false" applyAlignment="false" applyProtection="true">
      <alignment horizontal="general" vertical="bottom" textRotation="0" wrapText="false" indent="0" shrinkToFit="false"/>
      <protection locked="false" hidden="false"/>
    </xf>
    <xf numFmtId="164" fontId="0" fillId="4" borderId="0" xfId="0" applyFont="false" applyBorder="false" applyAlignment="true" applyProtection="true">
      <alignment horizontal="center" vertical="bottom" textRotation="0" wrapText="false" indent="0" shrinkToFit="false"/>
      <protection locked="false" hidden="false"/>
    </xf>
    <xf numFmtId="168" fontId="0" fillId="4" borderId="0" xfId="0" applyFont="false" applyBorder="false" applyAlignment="true" applyProtection="true">
      <alignment horizontal="center" vertical="bottom" textRotation="0" wrapText="false" indent="0" shrinkToFit="false"/>
      <protection locked="false" hidden="false"/>
    </xf>
    <xf numFmtId="165" fontId="0" fillId="4" borderId="0" xfId="0" applyFont="false" applyBorder="false" applyAlignment="true" applyProtection="true">
      <alignment horizontal="center" vertical="bottom" textRotation="0" wrapText="false" indent="0" shrinkToFit="false"/>
      <protection locked="false" hidden="false"/>
    </xf>
    <xf numFmtId="164" fontId="0" fillId="4" borderId="0" xfId="0" applyFont="false" applyBorder="false" applyAlignment="false" applyProtection="true">
      <alignment horizontal="general" vertical="bottom" textRotation="0" wrapText="false" indent="0" shrinkToFit="false"/>
      <protection locked="true" hidden="false"/>
    </xf>
    <xf numFmtId="164" fontId="0" fillId="4" borderId="0" xfId="0" applyFont="false" applyBorder="false" applyAlignment="true" applyProtection="true">
      <alignment horizontal="center" vertical="bottom" textRotation="0" wrapText="false" indent="0" shrinkToFit="false"/>
      <protection locked="true" hidden="false"/>
    </xf>
    <xf numFmtId="168" fontId="0" fillId="4" borderId="0" xfId="0" applyFont="false" applyBorder="false" applyAlignment="true" applyProtection="true">
      <alignment horizontal="center" vertical="bottom" textRotation="0" wrapText="false" indent="0" shrinkToFit="false"/>
      <protection locked="true" hidden="false"/>
    </xf>
    <xf numFmtId="165" fontId="17" fillId="4" borderId="17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0" fillId="4" borderId="0" xfId="0" applyFont="fals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44" fillId="0" borderId="0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9" fontId="0" fillId="4" borderId="0" xfId="0" applyFont="false" applyBorder="true" applyAlignment="true" applyProtection="true">
      <alignment horizontal="right" vertical="bottom" textRotation="0" wrapText="false" indent="0" shrinkToFit="false"/>
      <protection locked="true" hidden="false"/>
    </xf>
    <xf numFmtId="165" fontId="0" fillId="4" borderId="0" xfId="0" applyFont="false" applyBorder="false" applyAlignment="true" applyProtection="true">
      <alignment horizontal="right" vertical="bottom" textRotation="0" wrapText="false" indent="0" shrinkToFit="false"/>
      <protection locked="true" hidden="false"/>
    </xf>
    <xf numFmtId="164" fontId="0" fillId="4" borderId="0" xfId="0" applyFont="false" applyBorder="false" applyAlignment="true" applyProtection="true">
      <alignment horizontal="right" vertical="bottom" textRotation="0" wrapText="false" indent="0" shrinkToFit="false"/>
      <protection locked="true" hidden="false"/>
    </xf>
    <xf numFmtId="169" fontId="0" fillId="4" borderId="0" xfId="0" applyFont="false" applyBorder="true" applyAlignment="true" applyProtection="true">
      <alignment horizontal="center" vertical="bottom" textRotation="0" wrapText="false" indent="0" shrinkToFit="false"/>
      <protection locked="true" hidden="false"/>
    </xf>
    <xf numFmtId="169" fontId="0" fillId="4" borderId="2" xfId="0" applyFont="false" applyBorder="true" applyAlignment="false" applyProtection="true">
      <alignment horizontal="general" vertical="bottom" textRotation="0" wrapText="false" indent="0" shrinkToFit="false"/>
      <protection locked="false" hidden="false"/>
    </xf>
    <xf numFmtId="169" fontId="0" fillId="4" borderId="2" xfId="0" applyFont="false" applyBorder="true" applyAlignment="true" applyProtection="true">
      <alignment horizontal="center" vertical="bottom" textRotation="0" wrapText="false" indent="0" shrinkToFit="false"/>
      <protection locked="false" hidden="false"/>
    </xf>
    <xf numFmtId="168" fontId="0" fillId="4" borderId="2" xfId="0" applyFont="false" applyBorder="true" applyAlignment="true" applyProtection="true">
      <alignment horizontal="center" vertical="bottom" textRotation="0" wrapText="false" indent="0" shrinkToFit="false"/>
      <protection locked="false" hidden="false"/>
    </xf>
    <xf numFmtId="165" fontId="0" fillId="4" borderId="2" xfId="0" applyFont="false" applyBorder="true" applyAlignment="true" applyProtection="true">
      <alignment horizontal="center" vertical="bottom" textRotation="0" wrapText="false" indent="0" shrinkToFit="false"/>
      <protection locked="false" hidden="false"/>
    </xf>
    <xf numFmtId="169" fontId="52" fillId="4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0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9" fillId="4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0" fillId="4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0" fillId="4" borderId="2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0" fillId="4" borderId="2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0" fillId="4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0" fillId="4" borderId="2" xfId="0" applyFont="fals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0" fillId="4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0" fillId="4" borderId="0" xfId="0" applyFont="false" applyBorder="true" applyAlignment="true" applyProtection="false">
      <alignment horizontal="left" vertical="bottom" textRotation="0" wrapText="false" indent="0" shrinkToFit="false"/>
      <protection locked="true" hidden="false"/>
    </xf>
    <xf numFmtId="169" fontId="14" fillId="4" borderId="1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9" fontId="0" fillId="4" borderId="5" xfId="0" applyFont="false" applyBorder="true" applyAlignment="true" applyProtection="false">
      <alignment horizontal="right" vertical="bottom" textRotation="0" wrapText="false" indent="0" shrinkToFit="false"/>
      <protection locked="true" hidden="false"/>
    </xf>
    <xf numFmtId="169" fontId="14" fillId="4" borderId="13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5" fontId="10" fillId="4" borderId="0" xfId="0" applyFont="true" applyBorder="false" applyAlignment="false" applyProtection="true">
      <alignment horizontal="general" vertical="bottom" textRotation="0" wrapText="false" indent="0" shrinkToFit="false"/>
      <protection locked="false" hidden="false"/>
    </xf>
    <xf numFmtId="169" fontId="9" fillId="4" borderId="0" xfId="0" applyFont="true" applyBorder="true" applyAlignment="true" applyProtection="true">
      <alignment horizontal="left" vertical="bottom" textRotation="0" wrapText="false" indent="0" shrinkToFit="false"/>
      <protection locked="false" hidden="false"/>
    </xf>
    <xf numFmtId="165" fontId="10" fillId="4" borderId="2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9" fontId="0" fillId="4" borderId="2" xfId="0" applyFont="false" applyBorder="true" applyAlignment="true" applyProtection="true">
      <alignment horizontal="right" vertical="bottom" textRotation="0" wrapText="false" indent="0" shrinkToFit="false"/>
      <protection locked="false" hidden="false"/>
    </xf>
    <xf numFmtId="165" fontId="0" fillId="4" borderId="2" xfId="0" applyFont="false" applyBorder="true" applyAlignment="false" applyProtection="true">
      <alignment horizontal="general" vertical="bottom" textRotation="0" wrapText="false" indent="0" shrinkToFit="false"/>
      <protection locked="false" hidden="false"/>
    </xf>
    <xf numFmtId="169" fontId="0" fillId="4" borderId="0" xfId="0" applyFont="false" applyBorder="true" applyAlignment="true" applyProtection="true">
      <alignment horizontal="left" vertical="bottom" textRotation="0" wrapText="false" indent="0" shrinkToFit="false"/>
      <protection locked="false" hidden="false"/>
    </xf>
    <xf numFmtId="165" fontId="10" fillId="4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10" fillId="4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4" borderId="2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0" fillId="4" borderId="16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5" fontId="10" fillId="4" borderId="0" xfId="0" applyFont="true" applyBorder="false" applyAlignment="true" applyProtection="true">
      <alignment horizontal="center" vertical="bottom" textRotation="0" wrapText="false" indent="0" shrinkToFit="false"/>
      <protection locked="false" hidden="false"/>
    </xf>
    <xf numFmtId="165" fontId="10" fillId="4" borderId="2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9" fontId="28" fillId="4" borderId="1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9" fontId="14" fillId="4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9" fontId="0" fillId="4" borderId="13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9" fontId="0" fillId="4" borderId="0" xfId="0" applyFont="false" applyBorder="true" applyAlignment="true" applyProtection="true">
      <alignment horizontal="right" vertical="bottom" textRotation="0" wrapText="false" indent="0" shrinkToFit="false"/>
      <protection locked="false" hidden="false"/>
    </xf>
    <xf numFmtId="165" fontId="0" fillId="4" borderId="0" xfId="0" applyFont="false" applyBorder="false" applyAlignment="true" applyProtection="true">
      <alignment horizontal="right" vertical="bottom" textRotation="0" wrapText="false" indent="0" shrinkToFit="false"/>
      <protection locked="false" hidden="false"/>
    </xf>
    <xf numFmtId="165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7" fillId="4" borderId="17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7" fillId="4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0" fillId="4" borderId="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9" fontId="14" fillId="4" borderId="1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0" fillId="4" borderId="0" xfId="0" applyFont="fals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9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4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9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9" fillId="4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17" fillId="4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7" fillId="4" borderId="1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7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7" fillId="4" borderId="2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7" fillId="4" borderId="1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7" fillId="4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52" fillId="4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7" fillId="4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9" fillId="4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52" fillId="4" borderId="1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9" fillId="4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9" fillId="4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9" fillId="4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9" fillId="4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9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9" fillId="4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9" fillId="4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6" fillId="6" borderId="3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12" fillId="0" borderId="0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4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9" fillId="7" borderId="2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26" fillId="6" borderId="5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26" fillId="6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26" fillId="6" borderId="2" xfId="0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65" fontId="12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12" fillId="0" borderId="2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4" fontId="0" fillId="0" borderId="2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2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0" borderId="0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9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0" borderId="2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0" fillId="0" borderId="2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53" fillId="6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4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5" borderId="2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0" borderId="2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8" fillId="6" borderId="2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8" fillId="6" borderId="2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30" fillId="6" borderId="2" xfId="21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0" fillId="0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2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16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0" fillId="0" borderId="2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2" fillId="0" borderId="4" xfId="21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12" fillId="5" borderId="2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2" fillId="0" borderId="2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2" fillId="0" borderId="2" xfId="21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9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9" fillId="0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9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6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8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4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9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9" fillId="0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2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0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4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0" fontId="0" fillId="0" borderId="2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4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6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6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2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9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2" fillId="0" borderId="0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8" fontId="12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2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6" fillId="1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4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0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1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0" fontId="9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12" fillId="0" borderId="0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4" fontId="0" fillId="0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2" fillId="4" borderId="2" xfId="21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6" fontId="12" fillId="4" borderId="2" xfId="21" applyFont="true" applyBorder="true" applyAlignment="true" applyProtection="false">
      <alignment horizontal="right" vertical="distributed" textRotation="0" wrapText="true" indent="0" shrinkToFit="false"/>
      <protection locked="true" hidden="false"/>
    </xf>
    <xf numFmtId="168" fontId="12" fillId="0" borderId="2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4" fontId="0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2" fillId="17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7" fillId="17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2" fillId="17" borderId="2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2" fillId="17" borderId="4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7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7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2" fillId="7" borderId="5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7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2" fillId="7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2" fillId="18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12" fillId="18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2" fillId="7" borderId="2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2" fillId="0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2" fillId="0" borderId="2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12" fillId="18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7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12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71" fontId="17" fillId="4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17" fillId="4" borderId="2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17" fillId="4" borderId="2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3" fontId="17" fillId="4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2" fillId="0" borderId="6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9" fontId="12" fillId="4" borderId="2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2" fillId="18" borderId="6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9" fontId="17" fillId="4" borderId="4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12" fillId="0" borderId="3" xfId="22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4" fontId="12" fillId="0" borderId="2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5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21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6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0" borderId="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0" fillId="0" borderId="0" xfId="0" applyFont="fals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0" borderId="0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21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5" borderId="2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5" fontId="22" fillId="5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22" fillId="5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22" fillId="5" borderId="1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5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5" borderId="4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0" fillId="0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" xfId="21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9" fontId="0" fillId="0" borderId="2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7" borderId="2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0" borderId="2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5" fontId="0" fillId="5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5" borderId="2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0" fillId="19" borderId="0" xfId="21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0" fillId="19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9" fillId="17" borderId="4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17" borderId="2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17" borderId="3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18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6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21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2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0" fillId="18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0" fillId="18" borderId="2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9" fillId="17" borderId="2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17" borderId="2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17" borderId="2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2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21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6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2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9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4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8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9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18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18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9" borderId="4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9" borderId="2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0" fillId="9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0" fillId="9" borderId="2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0" fillId="20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0" fillId="20" borderId="2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7" borderId="4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18" borderId="2" xfId="21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21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7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2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7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2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21" borderId="2" xfId="21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17" borderId="2" xfId="0" applyFont="false" applyBorder="true" applyAlignment="true" applyProtection="true">
      <alignment horizontal="general" vertical="bottom" textRotation="0" wrapText="false" indent="0" shrinkToFit="false"/>
      <protection locked="true" hidden="true"/>
    </xf>
    <xf numFmtId="164" fontId="0" fillId="0" borderId="4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2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4" xfId="21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0" fillId="0" borderId="2" xfId="21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9" fillId="0" borderId="2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2" xfId="0" applyFont="fals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0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0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21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4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7" borderId="2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18" borderId="2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0" fillId="18" borderId="2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18" borderId="2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0" fillId="18" borderId="4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0" fillId="0" borderId="0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6" fontId="0" fillId="21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4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7" borderId="4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7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0" fillId="22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18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21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29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4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18" borderId="4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9" fillId="17" borderId="4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29" fillId="17" borderId="8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17" borderId="2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0" borderId="0" xfId="21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8" fontId="0" fillId="0" borderId="0" xfId="21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9" fontId="0" fillId="0" borderId="2" xfId="21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0" fillId="23" borderId="4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23" borderId="2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23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23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23" borderId="2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0" fillId="23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0" fillId="23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4" borderId="0" xfId="21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0" fillId="24" borderId="0" xfId="21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9" fillId="24" borderId="0" xfId="21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29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5" borderId="4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25" borderId="2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0" fillId="25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6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26" borderId="4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26" borderId="2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0" fillId="26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27" borderId="4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27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10" fillId="27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0" fillId="27" borderId="0" xfId="21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8" fontId="26" fillId="27" borderId="0" xfId="21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8" fontId="26" fillId="2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9" fillId="7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7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7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0" fillId="7" borderId="2" xfId="0" applyFont="fals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0" borderId="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0" fillId="24" borderId="0" xfId="21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8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0" borderId="4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0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0" borderId="2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0" fillId="14" borderId="4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0" fillId="14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14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0" fillId="14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13" borderId="4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0" fillId="13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0" fillId="18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13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2" xfId="21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0" fillId="18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1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0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0" borderId="9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0" fillId="0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1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0" fillId="0" borderId="0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0" fillId="0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28" borderId="2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0" fillId="0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23" borderId="2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0" fillId="21" borderId="2" xfId="0" applyFont="fals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0" fillId="23" borderId="2" xfId="0" applyFont="fals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29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2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29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7" borderId="12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0" fillId="7" borderId="2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6" fontId="0" fillId="0" borderId="8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9" fillId="0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0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2" fillId="0" borderId="12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0" fillId="0" borderId="2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0" fillId="0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18" borderId="1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2" fillId="29" borderId="2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12" fillId="0" borderId="11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0" fillId="29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0" borderId="2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9" fillId="7" borderId="2" xfId="21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29" fillId="7" borderId="2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7" borderId="2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8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5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9" fontId="0" fillId="21" borderId="2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29" fillId="0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0" fillId="16" borderId="2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0" fillId="7" borderId="2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30" borderId="2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30" borderId="2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9" fontId="0" fillId="30" borderId="2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3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30" borderId="2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0" fillId="30" borderId="2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0" fillId="0" borderId="2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0" fillId="30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0" fillId="30" borderId="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30" borderId="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30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2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3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6" borderId="2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26" borderId="2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26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26" borderId="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21" borderId="2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31" borderId="2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31" borderId="2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31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31" borderId="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3" borderId="2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23" borderId="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6" borderId="2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16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29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9" borderId="2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29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5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5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5" borderId="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9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29" borderId="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2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2" borderId="2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32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32" borderId="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32" borderId="2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16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9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8" borderId="2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18" borderId="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8" borderId="2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9" borderId="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1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16" borderId="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16" borderId="2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23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33" borderId="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3" borderId="2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33" borderId="2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33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2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36" fillId="34" borderId="2" xfId="0" applyFont="true" applyBorder="true" applyAlignment="true" applyProtection="true">
      <alignment horizontal="center" vertical="center" textRotation="0" wrapText="true" indent="0" shrinkToFit="false"/>
      <protection locked="true" hidden="true"/>
    </xf>
    <xf numFmtId="165" fontId="36" fillId="23" borderId="2" xfId="0" applyFont="true" applyBorder="true" applyAlignment="true" applyProtection="true">
      <alignment horizontal="center" vertical="center" textRotation="0" wrapText="true" indent="0" shrinkToFit="false"/>
      <protection locked="true" hidden="true"/>
    </xf>
    <xf numFmtId="164" fontId="12" fillId="0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36" fillId="0" borderId="0" xfId="0" applyFont="true" applyBorder="true" applyAlignment="true" applyProtection="true">
      <alignment horizontal="center" vertical="center" textRotation="0" wrapText="true" indent="0" shrinkToFit="false"/>
      <protection locked="true" hidden="true"/>
    </xf>
    <xf numFmtId="165" fontId="36" fillId="0" borderId="2" xfId="0" applyFont="true" applyBorder="true" applyAlignment="true" applyProtection="true">
      <alignment horizontal="center" vertical="center" textRotation="0" wrapText="true" indent="0" shrinkToFit="false"/>
      <protection locked="true" hidden="true"/>
    </xf>
    <xf numFmtId="164" fontId="12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7" fillId="7" borderId="2" xfId="0" applyFont="true" applyBorder="true" applyAlignment="true" applyProtection="true">
      <alignment horizontal="left" vertical="center" textRotation="0" wrapText="true" indent="0" shrinkToFit="false"/>
      <protection locked="true" hidden="true"/>
    </xf>
    <xf numFmtId="165" fontId="17" fillId="7" borderId="5" xfId="0" applyFont="true" applyBorder="true" applyAlignment="true" applyProtection="true">
      <alignment horizontal="center" vertical="center" textRotation="0" wrapText="true" indent="0" shrinkToFit="false"/>
      <protection locked="true" hidden="true"/>
    </xf>
    <xf numFmtId="165" fontId="17" fillId="7" borderId="2" xfId="0" applyFont="true" applyBorder="true" applyAlignment="true" applyProtection="true">
      <alignment horizontal="left" vertical="bottom" textRotation="0" wrapText="true" indent="0" shrinkToFit="false"/>
      <protection locked="true" hidden="true"/>
    </xf>
    <xf numFmtId="165" fontId="17" fillId="7" borderId="2" xfId="0" applyFont="true" applyBorder="true" applyAlignment="true" applyProtection="true">
      <alignment horizontal="center" vertical="bottom" textRotation="0" wrapText="true" indent="0" shrinkToFit="false"/>
      <protection locked="true" hidden="true"/>
    </xf>
    <xf numFmtId="168" fontId="0" fillId="18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7" fillId="0" borderId="2" xfId="0" applyFont="true" applyBorder="true" applyAlignment="true" applyProtection="true">
      <alignment horizontal="left" vertical="bottom" textRotation="0" wrapText="true" indent="0" shrinkToFit="false"/>
      <protection locked="true" hidden="true"/>
    </xf>
    <xf numFmtId="165" fontId="17" fillId="0" borderId="5" xfId="0" applyFont="true" applyBorder="true" applyAlignment="true" applyProtection="true">
      <alignment horizontal="center" vertical="bottom" textRotation="0" wrapText="true" indent="0" shrinkToFit="false"/>
      <protection locked="true" hidden="true"/>
    </xf>
    <xf numFmtId="165" fontId="17" fillId="18" borderId="5" xfId="0" applyFont="true" applyBorder="true" applyAlignment="true" applyProtection="true">
      <alignment horizontal="right" vertical="bottom" textRotation="0" wrapText="true" indent="0" shrinkToFit="false"/>
      <protection locked="true" hidden="true"/>
    </xf>
    <xf numFmtId="165" fontId="17" fillId="18" borderId="2" xfId="0" applyFont="true" applyBorder="true" applyAlignment="true" applyProtection="true">
      <alignment horizontal="right" vertical="bottom" textRotation="0" wrapText="true" indent="0" shrinkToFit="false"/>
      <protection locked="true" hidden="true"/>
    </xf>
    <xf numFmtId="165" fontId="17" fillId="0" borderId="2" xfId="0" applyFont="true" applyBorder="true" applyAlignment="true" applyProtection="true">
      <alignment horizontal="right" vertical="bottom" textRotation="0" wrapText="true" indent="0" shrinkToFit="false"/>
      <protection locked="true" hidden="true"/>
    </xf>
    <xf numFmtId="164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12" fillId="18" borderId="2" xfId="0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65" fontId="0" fillId="0" borderId="2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29" fillId="13" borderId="2" xfId="21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35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2" fillId="35" borderId="5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6" fontId="12" fillId="35" borderId="2" xfId="0" applyFont="true" applyBorder="true" applyAlignment="true" applyProtection="true">
      <alignment horizontal="general" vertical="bottom" textRotation="0" wrapText="true" indent="0" shrinkToFit="false"/>
      <protection locked="true" hidden="tru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35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9" fillId="13" borderId="2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2" fillId="35" borderId="2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12" fillId="19" borderId="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12" fillId="23" borderId="2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6" fontId="12" fillId="23" borderId="2" xfId="0" applyFont="true" applyBorder="true" applyAlignment="true" applyProtection="true">
      <alignment horizontal="general" vertical="bottom" textRotation="0" wrapText="true" indent="0" shrinkToFit="false"/>
      <protection locked="true" hidden="true"/>
    </xf>
    <xf numFmtId="166" fontId="0" fillId="23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2" fillId="0" borderId="5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5" fontId="12" fillId="0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2" fillId="32" borderId="2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5" fontId="12" fillId="32" borderId="2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12" fillId="32" borderId="5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5" fontId="12" fillId="0" borderId="3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5" fontId="12" fillId="0" borderId="3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6" fontId="12" fillId="18" borderId="2" xfId="0" applyFont="true" applyBorder="true" applyAlignment="true" applyProtection="true">
      <alignment horizontal="general" vertical="bottom" textRotation="0" wrapText="true" indent="0" shrinkToFit="false"/>
      <protection locked="true" hidden="true"/>
    </xf>
    <xf numFmtId="165" fontId="12" fillId="0" borderId="3" xfId="0" applyFont="true" applyBorder="true" applyAlignment="true" applyProtection="true">
      <alignment horizontal="left" vertical="center" textRotation="0" wrapText="false" indent="0" shrinkToFit="false"/>
      <protection locked="true" hidden="true"/>
    </xf>
    <xf numFmtId="166" fontId="0" fillId="34" borderId="2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6" fontId="0" fillId="34" borderId="2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6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34" borderId="4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6" fontId="0" fillId="0" borderId="2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6" fontId="0" fillId="0" borderId="2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0" fillId="0" borderId="2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6" fontId="0" fillId="0" borderId="5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6" fontId="0" fillId="0" borderId="0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6" fontId="0" fillId="0" borderId="0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6" fontId="0" fillId="0" borderId="4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6" fontId="0" fillId="0" borderId="0" xfId="0" applyFont="true" applyBorder="false" applyAlignment="false" applyProtection="true">
      <alignment horizontal="general" vertical="bottom" textRotation="0" wrapText="false" indent="0" shrinkToFit="false"/>
      <protection locked="true" hidden="true"/>
    </xf>
    <xf numFmtId="166" fontId="0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6" fontId="0" fillId="0" borderId="2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6" fontId="0" fillId="0" borderId="4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6" fontId="0" fillId="0" borderId="4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6" fontId="0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true"/>
    </xf>
    <xf numFmtId="166" fontId="0" fillId="0" borderId="0" xfId="0" applyFont="true" applyBorder="false" applyAlignment="false" applyProtection="true">
      <alignment horizontal="general" vertical="bottom" textRotation="0" wrapText="false" indent="0" shrinkToFit="false"/>
      <protection locked="true" hidden="true"/>
    </xf>
    <xf numFmtId="166" fontId="24" fillId="0" borderId="2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6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2" fillId="0" borderId="0" xfId="0" applyFont="true" applyBorder="false" applyAlignment="false" applyProtection="true">
      <alignment horizontal="general" vertical="bottom" textRotation="0" wrapText="false" indent="0" shrinkToFit="false"/>
      <protection locked="true" hidden="true"/>
    </xf>
    <xf numFmtId="165" fontId="12" fillId="0" borderId="0" xfId="0" applyFont="true" applyBorder="false" applyAlignment="false" applyProtection="true">
      <alignment horizontal="general" vertical="bottom" textRotation="0" wrapText="false" indent="0" shrinkToFit="false"/>
      <protection locked="true" hidden="true"/>
    </xf>
    <xf numFmtId="168" fontId="12" fillId="0" borderId="0" xfId="0" applyFont="true" applyBorder="false" applyAlignment="false" applyProtection="true">
      <alignment horizontal="general" vertical="bottom" textRotation="0" wrapText="false" indent="0" shrinkToFit="false"/>
      <protection locked="true" hidden="true"/>
    </xf>
    <xf numFmtId="165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0" fillId="17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18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17" borderId="1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17" borderId="8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0" borderId="14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0" fillId="0" borderId="1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0" borderId="13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0" fillId="0" borderId="1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0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0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0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0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0" fillId="0" borderId="0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0" fillId="0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0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0" borderId="0" xfId="21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0" fillId="0" borderId="4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0" borderId="2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0" borderId="2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0" borderId="2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4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0" borderId="5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0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9" fillId="17" borderId="2" xfId="21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0" fillId="18" borderId="2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18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17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17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9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9" fillId="0" borderId="0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0" fillId="0" borderId="2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true"/>
    </xf>
    <xf numFmtId="165" fontId="0" fillId="18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18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36" borderId="2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36" borderId="2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36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23" borderId="2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36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23" borderId="2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23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9" fillId="23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0" borderId="2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0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0" fillId="23" borderId="2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0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0" fillId="0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16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16" borderId="2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16" borderId="2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16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0" xfId="21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0" fillId="16" borderId="4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0" xfId="21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0" fillId="16" borderId="4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23" borderId="0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23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9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0" fillId="16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0" fillId="16" borderId="4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16" borderId="2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9" fillId="9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9" fillId="9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9" borderId="2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9" fillId="9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9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9" borderId="4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9" borderId="4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9" borderId="2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0" fillId="9" borderId="2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55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0" fillId="0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0" fillId="17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17" borderId="2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17" borderId="2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16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0" fillId="1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26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2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23" borderId="2" xfId="21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0" fillId="23" borderId="2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0" fillId="23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0" fillId="23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23" borderId="3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0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0" fillId="0" borderId="14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23" borderId="5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0" fillId="0" borderId="5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0" fillId="23" borderId="5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0" fillId="0" borderId="14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8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23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0" borderId="5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0" fillId="0" borderId="4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0" fillId="0" borderId="2" xfId="21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0" fillId="7" borderId="2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7" borderId="2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0" fillId="3" borderId="2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0" fillId="3" borderId="5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0" fillId="3" borderId="2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7" borderId="2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32" fillId="0" borderId="5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0" borderId="5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0" borderId="2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7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0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7" borderId="2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7" borderId="5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7" borderId="14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7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7" borderId="1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16" borderId="2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0" borderId="5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4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8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29" borderId="2" xfId="21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0" fillId="29" borderId="2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0" fillId="29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0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true"/>
    </xf>
    <xf numFmtId="165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9" fillId="0" borderId="2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9" fillId="7" borderId="5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9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9" fillId="0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9" fillId="0" borderId="2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55" fillId="16" borderId="2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55" fillId="16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9" fillId="0" borderId="2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16" borderId="0" xfId="0" applyFont="true" applyBorder="false" applyAlignment="true" applyProtection="true">
      <alignment horizontal="general" vertical="bottom" textRotation="0" wrapText="false" indent="0" shrinkToFit="false"/>
      <protection locked="true" hidden="true"/>
    </xf>
    <xf numFmtId="165" fontId="0" fillId="25" borderId="2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25" borderId="2" xfId="21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0" fillId="25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6" fillId="37" borderId="2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0" fillId="31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31" borderId="2" xfId="21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0" fillId="31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0" fillId="31" borderId="2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9" fillId="7" borderId="2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16" borderId="0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1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9" fillId="0" borderId="5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9" fillId="0" borderId="2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9" fillId="0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35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3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32" borderId="2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16" borderId="2" xfId="21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9" fillId="16" borderId="5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9" fillId="16" borderId="2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9" fillId="35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35" borderId="2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55" fillId="16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55" fillId="1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0" fillId="35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16" borderId="0" xfId="21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0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35" borderId="2" xfId="21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0" fillId="1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0" fillId="35" borderId="0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9" fillId="7" borderId="2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7" borderId="2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0" fillId="0" borderId="1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3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28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28" borderId="2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26" fillId="3" borderId="3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6" fillId="3" borderId="5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6" fillId="3" borderId="2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6" fillId="3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6" fillId="3" borderId="2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16" borderId="3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16" borderId="5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7" borderId="6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3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3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7" borderId="4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7" borderId="8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4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25" borderId="4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25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25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25" borderId="2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25" borderId="4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23" borderId="4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23" borderId="4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0" borderId="4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36" borderId="2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36" borderId="5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36" borderId="2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38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38" borderId="2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36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0" fillId="36" borderId="6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36" borderId="1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2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0" borderId="6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0" borderId="5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36" borderId="5" xfId="21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0" fillId="28" borderId="5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28" borderId="2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32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32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32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32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32" borderId="2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32" borderId="1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3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0" fillId="0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28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28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6" fillId="27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6" fillId="27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6" fillId="27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6" fillId="27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6" fillId="27" borderId="2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30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30" borderId="2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3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30" borderId="2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24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24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24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0" fillId="33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33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33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0" fillId="39" borderId="2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0" fillId="39" borderId="5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0" fillId="39" borderId="2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0" fillId="39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0" fillId="39" borderId="2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9" fillId="16" borderId="2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0" fillId="27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0" fillId="27" borderId="5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0" fillId="27" borderId="2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0" fillId="27" borderId="2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0" fillId="8" borderId="2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0" fillId="8" borderId="5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0" fillId="8" borderId="2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0" fillId="8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0" fillId="8" borderId="2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0" fillId="3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0" fillId="3" borderId="2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6" fillId="2" borderId="2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6" fillId="2" borderId="5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6" fillId="2" borderId="2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6" fillId="2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6" fillId="2" borderId="2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0" fillId="28" borderId="2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0" fillId="28" borderId="2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0" fillId="28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0" fillId="28" borderId="2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4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40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0" fillId="28" borderId="5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40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28" borderId="1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28" borderId="8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7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7" borderId="1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7" borderId="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7" borderId="2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30" borderId="2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40" borderId="2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0" borderId="1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30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30" borderId="8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29" borderId="2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29" borderId="2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29" borderId="11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3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32" borderId="14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29" borderId="5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29" borderId="5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5" xfId="21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0" fillId="0" borderId="2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0" fillId="39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0" fillId="27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0" fillId="27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40" borderId="1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28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0" fillId="28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9" fillId="16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8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0" fillId="8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0" fillId="8" borderId="2" xfId="21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0" fillId="8" borderId="2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10" fillId="8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32" borderId="0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3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0" fillId="3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6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26" fillId="2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6" fillId="8" borderId="2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6" fillId="8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6" fillId="8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6" fillId="8" borderId="2" xfId="21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6" fillId="8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6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true"/>
    </xf>
    <xf numFmtId="165" fontId="26" fillId="8" borderId="2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6" fillId="8" borderId="2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6" fillId="8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6" fillId="8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6" fillId="0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6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6" fillId="0" borderId="2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6" fillId="0" borderId="2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6" fillId="0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9" fillId="0" borderId="0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0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6" fillId="8" borderId="8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6" fillId="0" borderId="8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6" fillId="0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6" fillId="0" borderId="2" xfId="21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6" fillId="8" borderId="0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6" fillId="0" borderId="0" xfId="21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6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6" fillId="0" borderId="0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6" fillId="0" borderId="0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6" fillId="0" borderId="0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54" fillId="0" borderId="0" xfId="21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54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54" fillId="0" borderId="0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54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54" fillId="0" borderId="0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54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9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9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9" fillId="30" borderId="2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9" fillId="30" borderId="2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9" fillId="3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9" fillId="30" borderId="2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9" fillId="25" borderId="2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9" fillId="25" borderId="2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9" fillId="25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9" fillId="25" borderId="2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9" fillId="30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9" fillId="25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9" fillId="23" borderId="3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9" fillId="23" borderId="2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9" fillId="23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9" fillId="23" borderId="2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9" fillId="23" borderId="2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9" fillId="0" borderId="0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9" fillId="0" borderId="0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6" fillId="15" borderId="0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0" fillId="15" borderId="0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0" fillId="15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0" fillId="15" borderId="0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6" fillId="1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6" fillId="15" borderId="0" xfId="21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6" fillId="15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6" fillId="15" borderId="0" xfId="0" applyFont="true" applyBorder="false" applyAlignment="true" applyProtection="true">
      <alignment horizontal="general" vertical="bottom" textRotation="0" wrapText="false" indent="0" shrinkToFit="false"/>
      <protection locked="true" hidden="true"/>
    </xf>
    <xf numFmtId="165" fontId="29" fillId="17" borderId="12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9" fillId="17" borderId="7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18" borderId="5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12" borderId="2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12" borderId="2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12" borderId="2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9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29" fillId="0" borderId="0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0" fillId="0" borderId="5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0" borderId="5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29" fillId="17" borderId="4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18" borderId="2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0" borderId="2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29" fillId="0" borderId="2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29" fillId="17" borderId="11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18" borderId="4" xfId="21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0" fillId="26" borderId="14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0" borderId="0" xfId="21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5" fontId="0" fillId="0" borderId="2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0" borderId="0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9" fillId="0" borderId="2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0" borderId="2" xfId="21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29" fillId="0" borderId="14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9" fillId="0" borderId="2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9" fillId="0" borderId="2" xfId="21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9" fillId="0" borderId="4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9" fillId="0" borderId="2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0" borderId="0" xfId="21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5" fontId="0" fillId="23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23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9" fillId="23" borderId="2" xfId="21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0" fillId="23" borderId="2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23" borderId="0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23" borderId="0" xfId="21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5" fontId="29" fillId="23" borderId="2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23" borderId="2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9" fillId="23" borderId="2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9" fillId="23" borderId="0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23" borderId="2" xfId="21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0" fillId="23" borderId="0" xfId="21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0" fillId="23" borderId="2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29" fillId="23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2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0" fillId="17" borderId="2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17" borderId="2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9" fillId="0" borderId="2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9" fillId="0" borderId="2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0" fillId="0" borderId="0" xfId="21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0" fillId="0" borderId="4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0" borderId="2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9" fillId="18" borderId="2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0" fillId="18" borderId="0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0" borderId="0" xfId="21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5" fontId="9" fillId="0" borderId="0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0" borderId="2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0" fillId="0" borderId="2" xfId="21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0" fillId="0" borderId="0" xfId="21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0" fillId="0" borderId="4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0" borderId="14" xfId="21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0" fillId="0" borderId="2" xfId="21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0" fillId="0" borderId="0" xfId="21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9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9" fillId="0" borderId="0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0" fillId="0" borderId="2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29" fillId="25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26" borderId="2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26" borderId="2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26" borderId="2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29" fillId="26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2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0" fillId="26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26" borderId="2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0" fillId="7" borderId="4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26" borderId="2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0" fillId="16" borderId="2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16" borderId="2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9" fillId="16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16" borderId="2" xfId="21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0" fillId="16" borderId="0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16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0" fillId="28" borderId="2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28" borderId="2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28" borderId="2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0" fillId="28" borderId="2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29" fillId="28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28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0" fillId="28" borderId="4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28" borderId="2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26" fillId="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0" fillId="0" borderId="0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26" fillId="15" borderId="0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10" fillId="15" borderId="0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10" fillId="15" borderId="0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10" fillId="15" borderId="0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10" fillId="15" borderId="0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0" fillId="1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10" fillId="15" borderId="0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10" fillId="15" borderId="0" xfId="21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0" fillId="15" borderId="0" xfId="0" applyFont="true" applyBorder="false" applyAlignment="true" applyProtection="true">
      <alignment horizontal="general" vertical="bottom" textRotation="0" wrapText="false" indent="0" shrinkToFit="false"/>
      <protection locked="true" hidden="true"/>
    </xf>
    <xf numFmtId="165" fontId="29" fillId="0" borderId="4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29" fillId="0" borderId="14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29" fillId="0" borderId="7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29" fillId="0" borderId="8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0" borderId="2" xfId="0" applyFont="true" applyBorder="true" applyAlignment="true" applyProtection="true">
      <alignment horizontal="left" vertical="center" textRotation="0" wrapText="false" indent="0" shrinkToFit="false"/>
      <protection locked="true" hidden="true"/>
    </xf>
    <xf numFmtId="165" fontId="0" fillId="0" borderId="8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0" fillId="0" borderId="3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3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9" fillId="0" borderId="0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0" fillId="0" borderId="0" xfId="21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0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0" fillId="0" borderId="8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0" borderId="3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0" fillId="15" borderId="0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25" borderId="0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0" borderId="2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0" fillId="1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0" fillId="0" borderId="2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0" fillId="0" borderId="11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26" fillId="15" borderId="0" xfId="21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26" fillId="15" borderId="0" xfId="21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5" fontId="26" fillId="15" borderId="0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26" fillId="15" borderId="0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26" fillId="1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26" fillId="15" borderId="0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26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2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0" fillId="15" borderId="0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15" borderId="0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15" borderId="0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0" fillId="15" borderId="0" xfId="21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0" fillId="15" borderId="0" xfId="21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0" fillId="15" borderId="0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9" fillId="15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6" fillId="15" borderId="2" xfId="21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10" fillId="15" borderId="2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0" fillId="15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0" fillId="15" borderId="6" xfId="21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10" fillId="15" borderId="0" xfId="21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5" fontId="10" fillId="15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0" fillId="15" borderId="0" xfId="21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10" fillId="15" borderId="0" xfId="21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10" fillId="1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0" fillId="15" borderId="0" xfId="21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10" fillId="15" borderId="2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10" fillId="15" borderId="0" xfId="21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6" fillId="15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0" fillId="15" borderId="2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0" fillId="15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6" fillId="15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0" fillId="15" borderId="2" xfId="21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10" fillId="27" borderId="0" xfId="21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5" fontId="10" fillId="3" borderId="0" xfId="21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5" fontId="10" fillId="3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0" fillId="15" borderId="2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0" fillId="15" borderId="4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10" fillId="15" borderId="0" xfId="21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0" fillId="15" borderId="3" xfId="21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10" fillId="15" borderId="3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0" fillId="15" borderId="5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0" fillId="15" borderId="5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1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6" fillId="15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0" fillId="15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0" fillId="15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0" fillId="15" borderId="4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0" fillId="15" borderId="8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0" fillId="15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0" fillId="15" borderId="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0" fillId="15" borderId="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15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10" fillId="15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6" fillId="15" borderId="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6" fillId="15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0" fillId="15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0" fillId="15" borderId="0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6" fillId="15" borderId="2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6" fillId="15" borderId="2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0" fillId="15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26" fillId="15" borderId="2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6" fillId="15" borderId="0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6" fillId="15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6" fillId="15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6" fillId="15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0" fillId="15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6" fillId="15" borderId="0" xfId="21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26" fillId="15" borderId="0" xfId="21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54" fillId="17" borderId="4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54" fillId="17" borderId="14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54" fillId="17" borderId="14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54" fillId="17" borderId="8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54" fillId="17" borderId="14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0" fillId="36" borderId="2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0" fillId="36" borderId="2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0" fillId="18" borderId="2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0" fillId="18" borderId="2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21" borderId="2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18" borderId="2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0" fillId="0" borderId="14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0" fillId="0" borderId="14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0" borderId="8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0" borderId="0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0" fillId="0" borderId="14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0" fillId="0" borderId="14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0" borderId="8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0" borderId="14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26" fillId="15" borderId="0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5" fontId="26" fillId="15" borderId="0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26" fillId="15" borderId="0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10" fillId="15" borderId="0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29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29" fillId="0" borderId="0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0" fillId="36" borderId="0" xfId="0" applyFont="true" applyBorder="false" applyAlignment="true" applyProtection="true">
      <alignment horizontal="general" vertical="bottom" textRotation="0" wrapText="false" indent="0" shrinkToFit="false"/>
      <protection locked="true" hidden="true"/>
    </xf>
    <xf numFmtId="165" fontId="0" fillId="36" borderId="4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5" fontId="0" fillId="36" borderId="8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29" fillId="18" borderId="2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29" fillId="18" borderId="2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29" fillId="18" borderId="2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29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11" borderId="2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11" borderId="2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0" fillId="11" borderId="4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0" fillId="11" borderId="4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18" borderId="4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0" fillId="0" borderId="2" xfId="0" applyFont="true" applyBorder="true" applyAlignment="true" applyProtection="true">
      <alignment horizontal="center" vertical="center" textRotation="0" wrapText="true" indent="0" shrinkToFit="false"/>
      <protection locked="true" hidden="true"/>
    </xf>
    <xf numFmtId="165" fontId="0" fillId="0" borderId="6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0" fillId="0" borderId="5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0" fillId="0" borderId="0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0" fillId="18" borderId="0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0" fillId="0" borderId="0" xfId="0" applyFont="true" applyBorder="true" applyAlignment="true" applyProtection="true">
      <alignment horizontal="right" vertical="center" textRotation="0" wrapText="false" indent="0" shrinkToFit="false"/>
      <protection locked="true" hidden="true"/>
    </xf>
    <xf numFmtId="165" fontId="0" fillId="0" borderId="0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29" fillId="0" borderId="0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29" fillId="0" borderId="0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29" fillId="0" borderId="0" xfId="0" applyFont="true" applyBorder="true" applyAlignment="true" applyProtection="true">
      <alignment horizontal="right" vertical="center" textRotation="0" wrapText="false" indent="0" shrinkToFit="false"/>
      <protection locked="true" hidden="true"/>
    </xf>
    <xf numFmtId="165" fontId="29" fillId="21" borderId="11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29" fillId="21" borderId="13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29" fillId="21" borderId="13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29" fillId="21" borderId="10" xfId="0" applyFont="true" applyBorder="true" applyAlignment="true" applyProtection="true">
      <alignment horizontal="right" vertical="center" textRotation="0" wrapText="false" indent="0" shrinkToFit="false"/>
      <protection locked="true" hidden="true"/>
    </xf>
    <xf numFmtId="165" fontId="56" fillId="0" borderId="0" xfId="0" applyFont="true" applyBorder="false" applyAlignment="true" applyProtection="true">
      <alignment horizontal="general" vertical="top" textRotation="0" wrapText="false" indent="0" shrinkToFit="false"/>
      <protection locked="true" hidden="true"/>
    </xf>
    <xf numFmtId="165" fontId="55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0" borderId="4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29" fillId="21" borderId="12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29" fillId="21" borderId="7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29" fillId="21" borderId="7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29" fillId="21" borderId="15" xfId="0" applyFont="true" applyBorder="true" applyAlignment="true" applyProtection="true">
      <alignment horizontal="right" vertical="center" textRotation="0" wrapText="false" indent="0" shrinkToFit="false"/>
      <protection locked="true" hidden="true"/>
    </xf>
    <xf numFmtId="165" fontId="0" fillId="0" borderId="1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0" borderId="1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0" borderId="1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0" borderId="1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35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0" borderId="2" xfId="0" applyFont="true" applyBorder="true" applyAlignment="true" applyProtection="true">
      <alignment horizontal="right" vertical="center" textRotation="0" wrapText="false" indent="0" shrinkToFit="false"/>
      <protection locked="true" hidden="true"/>
    </xf>
    <xf numFmtId="165" fontId="56" fillId="0" borderId="0" xfId="0" applyFont="true" applyBorder="false" applyAlignment="true" applyProtection="true">
      <alignment horizontal="general" vertical="top" textRotation="0" wrapText="false" indent="0" shrinkToFit="false"/>
      <protection locked="true" hidden="true"/>
    </xf>
    <xf numFmtId="165" fontId="55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true"/>
    </xf>
    <xf numFmtId="165" fontId="0" fillId="0" borderId="0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57" fillId="0" borderId="2" xfId="0" applyFont="true" applyBorder="true" applyAlignment="true" applyProtection="true">
      <alignment horizontal="general" vertical="top" textRotation="0" wrapText="false" indent="0" shrinkToFit="false"/>
      <protection locked="true" hidden="true"/>
    </xf>
    <xf numFmtId="165" fontId="0" fillId="0" borderId="8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0" fillId="18" borderId="4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0" borderId="2" xfId="0" applyFont="true" applyBorder="true" applyAlignment="true" applyProtection="true">
      <alignment horizontal="center" vertical="bottom" textRotation="0" wrapText="true" indent="0" shrinkToFit="false"/>
      <protection locked="true" hidden="true"/>
    </xf>
    <xf numFmtId="165" fontId="0" fillId="0" borderId="3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0" fillId="0" borderId="3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5" fontId="0" fillId="21" borderId="4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21" borderId="14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0" fillId="21" borderId="8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55" fillId="0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0" borderId="2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5" fontId="0" fillId="16" borderId="2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5" fontId="0" fillId="16" borderId="2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9" fillId="21" borderId="4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9" fillId="21" borderId="14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9" fillId="21" borderId="8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0" fillId="33" borderId="2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0" fillId="0" borderId="3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33" borderId="3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29" fillId="21" borderId="4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29" fillId="21" borderId="14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29" fillId="21" borderId="14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29" fillId="21" borderId="14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29" fillId="21" borderId="8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0" borderId="8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0" fillId="0" borderId="10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0" fillId="0" borderId="12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0" borderId="15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0" fillId="0" borderId="0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5" fontId="0" fillId="0" borderId="0" xfId="0" applyFont="true" applyBorder="false" applyAlignment="true" applyProtection="true">
      <alignment horizontal="right" vertical="bottom" textRotation="0" wrapText="false" indent="0" shrinkToFit="false"/>
      <protection locked="true" hidden="true"/>
    </xf>
    <xf numFmtId="165" fontId="0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true"/>
    </xf>
    <xf numFmtId="165" fontId="29" fillId="21" borderId="2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0" borderId="4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29" fillId="35" borderId="11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29" fillId="35" borderId="13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29" fillId="35" borderId="13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29" fillId="35" borderId="13" xfId="0" applyFont="true" applyBorder="true" applyAlignment="true" applyProtection="true">
      <alignment horizontal="right" vertical="center" textRotation="0" wrapText="false" indent="0" shrinkToFit="false"/>
      <protection locked="true" hidden="true"/>
    </xf>
    <xf numFmtId="165" fontId="29" fillId="35" borderId="10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29" fillId="35" borderId="12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29" fillId="35" borderId="7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29" fillId="35" borderId="7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29" fillId="35" borderId="7" xfId="0" applyFont="true" applyBorder="true" applyAlignment="true" applyProtection="true">
      <alignment horizontal="right" vertical="center" textRotation="0" wrapText="false" indent="0" shrinkToFit="false"/>
      <protection locked="true" hidden="true"/>
    </xf>
    <xf numFmtId="165" fontId="29" fillId="35" borderId="15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0" fillId="35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35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0" borderId="3" xfId="0" applyFont="true" applyBorder="true" applyAlignment="true" applyProtection="true">
      <alignment horizontal="left" vertical="center" textRotation="0" wrapText="false" indent="0" shrinkToFit="false"/>
      <protection locked="true" hidden="true"/>
    </xf>
    <xf numFmtId="165" fontId="0" fillId="35" borderId="4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35" borderId="14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0" fillId="35" borderId="8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0" fillId="35" borderId="14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35" borderId="14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0" fillId="35" borderId="8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0" borderId="5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5" fontId="0" fillId="0" borderId="5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0" fillId="0" borderId="5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0" borderId="13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0" borderId="6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0" borderId="7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29" fillId="35" borderId="2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29" fillId="13" borderId="11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29" fillId="13" borderId="13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29" fillId="13" borderId="13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29" fillId="13" borderId="13" xfId="0" applyFont="true" applyBorder="true" applyAlignment="true" applyProtection="true">
      <alignment horizontal="right" vertical="center" textRotation="0" wrapText="false" indent="0" shrinkToFit="false"/>
      <protection locked="true" hidden="true"/>
    </xf>
    <xf numFmtId="165" fontId="29" fillId="13" borderId="10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29" fillId="13" borderId="12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29" fillId="13" borderId="7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29" fillId="13" borderId="7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29" fillId="13" borderId="7" xfId="0" applyFont="true" applyBorder="true" applyAlignment="true" applyProtection="true">
      <alignment horizontal="right" vertical="center" textRotation="0" wrapText="false" indent="0" shrinkToFit="false"/>
      <protection locked="true" hidden="true"/>
    </xf>
    <xf numFmtId="165" fontId="29" fillId="13" borderId="15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0" fillId="18" borderId="2" xfId="0" applyFont="true" applyBorder="true" applyAlignment="true" applyProtection="true">
      <alignment horizontal="right" vertical="center" textRotation="0" wrapText="false" indent="0" shrinkToFit="false"/>
      <protection locked="true" hidden="true"/>
    </xf>
    <xf numFmtId="165" fontId="9" fillId="0" borderId="0" xfId="0" applyFont="true" applyBorder="false" applyAlignment="true" applyProtection="true">
      <alignment horizontal="general" vertical="top" textRotation="0" wrapText="false" indent="0" shrinkToFit="false"/>
      <protection locked="true" hidden="true"/>
    </xf>
    <xf numFmtId="165" fontId="9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true"/>
    </xf>
    <xf numFmtId="165" fontId="9" fillId="0" borderId="0" xfId="0" applyFont="true" applyBorder="false" applyAlignment="true" applyProtection="true">
      <alignment horizontal="right" vertical="bottom" textRotation="0" wrapText="false" indent="0" shrinkToFit="false"/>
      <protection locked="true" hidden="true"/>
    </xf>
    <xf numFmtId="165" fontId="9" fillId="18" borderId="2" xfId="0" applyFont="true" applyBorder="true" applyAlignment="true" applyProtection="true">
      <alignment horizontal="right" vertical="center" textRotation="0" wrapText="false" indent="0" shrinkToFit="false"/>
      <protection locked="true" hidden="true"/>
    </xf>
    <xf numFmtId="165" fontId="9" fillId="0" borderId="3" xfId="0" applyFont="true" applyBorder="true" applyAlignment="true" applyProtection="true">
      <alignment horizontal="general" vertical="top" textRotation="0" wrapText="false" indent="0" shrinkToFit="false"/>
      <protection locked="true" hidden="true"/>
    </xf>
    <xf numFmtId="165" fontId="9" fillId="0" borderId="2" xfId="0" applyFont="true" applyBorder="true" applyAlignment="true" applyProtection="true">
      <alignment horizontal="general" vertical="top" textRotation="0" wrapText="false" indent="0" shrinkToFit="false"/>
      <protection locked="true" hidden="true"/>
    </xf>
    <xf numFmtId="165" fontId="0" fillId="13" borderId="4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13" borderId="14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0" fillId="13" borderId="8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0" fillId="13" borderId="2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5" fontId="0" fillId="13" borderId="2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0" fillId="13" borderId="2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8" fontId="0" fillId="0" borderId="2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70" fontId="0" fillId="0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0" fillId="0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0" fontId="0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8" fontId="0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0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0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13" borderId="8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8" fontId="0" fillId="0" borderId="0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0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0" fillId="0" borderId="4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8" fontId="0" fillId="0" borderId="8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8" fontId="0" fillId="0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8" fontId="0" fillId="0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0" fillId="0" borderId="5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0" fillId="0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0" fillId="0" borderId="5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8" fontId="0" fillId="0" borderId="5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55" fillId="0" borderId="0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5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0" fillId="0" borderId="0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5" fontId="0" fillId="0" borderId="5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13" borderId="5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0" fillId="13" borderId="5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13" borderId="14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8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true"/>
    </xf>
    <xf numFmtId="168" fontId="0" fillId="0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0" fillId="0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8" fontId="0" fillId="0" borderId="11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8" fontId="0" fillId="0" borderId="10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8" fontId="0" fillId="0" borderId="3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8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8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29" fillId="13" borderId="2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true"/>
    </xf>
    <xf numFmtId="165" fontId="0" fillId="0" borderId="0" xfId="0" applyFont="true" applyBorder="false" applyAlignment="true" applyProtection="true">
      <alignment horizontal="right" vertical="bottom" textRotation="0" wrapText="false" indent="0" shrinkToFit="false"/>
      <protection locked="true" hidden="true"/>
    </xf>
    <xf numFmtId="165" fontId="29" fillId="12" borderId="11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29" fillId="12" borderId="13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29" fillId="12" borderId="13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29" fillId="12" borderId="13" xfId="0" applyFont="true" applyBorder="true" applyAlignment="true" applyProtection="true">
      <alignment horizontal="right" vertical="center" textRotation="0" wrapText="false" indent="0" shrinkToFit="false"/>
      <protection locked="true" hidden="true"/>
    </xf>
    <xf numFmtId="165" fontId="29" fillId="12" borderId="10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29" fillId="12" borderId="12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29" fillId="12" borderId="7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29" fillId="12" borderId="7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29" fillId="12" borderId="7" xfId="0" applyFont="true" applyBorder="true" applyAlignment="true" applyProtection="true">
      <alignment horizontal="right" vertical="center" textRotation="0" wrapText="false" indent="0" shrinkToFit="false"/>
      <protection locked="true" hidden="true"/>
    </xf>
    <xf numFmtId="165" fontId="29" fillId="12" borderId="15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0" fillId="0" borderId="1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0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0" borderId="7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0" borderId="15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35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12" borderId="4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12" borderId="14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0" fillId="12" borderId="8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0" fillId="12" borderId="2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5" fontId="0" fillId="12" borderId="2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0" fillId="12" borderId="8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0" fillId="0" borderId="4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5" fontId="29" fillId="12" borderId="2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29" fillId="34" borderId="11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29" fillId="34" borderId="13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29" fillId="34" borderId="13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29" fillId="34" borderId="13" xfId="0" applyFont="true" applyBorder="true" applyAlignment="true" applyProtection="true">
      <alignment horizontal="right" vertical="center" textRotation="0" wrapText="false" indent="0" shrinkToFit="false"/>
      <protection locked="true" hidden="true"/>
    </xf>
    <xf numFmtId="165" fontId="29" fillId="34" borderId="10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0" fillId="0" borderId="8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0" fillId="34" borderId="4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34" borderId="14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0" fillId="34" borderId="8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0" fillId="0" borderId="0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0" fillId="0" borderId="2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0" fillId="34" borderId="2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5" fontId="0" fillId="34" borderId="2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0" fillId="34" borderId="2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34" borderId="14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34" borderId="8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29" fillId="34" borderId="2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0" borderId="14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6" fontId="0" fillId="0" borderId="2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6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true"/>
    </xf>
    <xf numFmtId="166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true"/>
    </xf>
    <xf numFmtId="166" fontId="0" fillId="0" borderId="0" xfId="0" applyFont="true" applyBorder="false" applyAlignment="true" applyProtection="true">
      <alignment horizontal="right" vertical="bottom" textRotation="0" wrapText="false" indent="0" shrinkToFit="false"/>
      <protection locked="true" hidden="true"/>
    </xf>
    <xf numFmtId="166" fontId="0" fillId="0" borderId="0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6" fontId="0" fillId="0" borderId="0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6" fontId="0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29" fillId="17" borderId="3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17" borderId="3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18" borderId="2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3" xfId="21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0" fillId="0" borderId="3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18" borderId="3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0" borderId="4" xfId="21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10" fillId="3" borderId="0" xfId="0" applyFont="true" applyBorder="false" applyAlignment="true" applyProtection="true">
      <alignment horizontal="center" vertical="bottom" textRotation="0" wrapText="false" indent="0" shrinkToFit="false"/>
      <protection locked="true" hidden="true"/>
    </xf>
    <xf numFmtId="165" fontId="29" fillId="17" borderId="14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9" fillId="17" borderId="14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29" fillId="17" borderId="8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17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9" fillId="0" borderId="4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9" fillId="0" borderId="8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9" fillId="0" borderId="5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9" fillId="0" borderId="0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9" fillId="0" borderId="0" xfId="21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0" fillId="0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0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17" borderId="4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17" borderId="14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17" borderId="8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17" borderId="5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9" fillId="0" borderId="14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9" fillId="0" borderId="14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9" fillId="0" borderId="15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9" fillId="0" borderId="5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0" fillId="18" borderId="0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9" fillId="0" borderId="8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0" fillId="0" borderId="14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0" borderId="14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0" borderId="8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9" fillId="0" borderId="0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0" fillId="0" borderId="4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0" fillId="0" borderId="14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0" fillId="19" borderId="0" xfId="21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0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true"/>
    </xf>
    <xf numFmtId="165" fontId="0" fillId="0" borderId="0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0" fillId="0" borderId="4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0" borderId="8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0" borderId="13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0" fillId="0" borderId="10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0" fillId="0" borderId="12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0" fillId="0" borderId="7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0" fillId="0" borderId="15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0" fillId="0" borderId="0" xfId="21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5" fontId="29" fillId="19" borderId="0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54" fillId="34" borderId="11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54" fillId="34" borderId="13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54" fillId="34" borderId="13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54" fillId="34" borderId="13" xfId="0" applyFont="true" applyBorder="true" applyAlignment="true" applyProtection="true">
      <alignment horizontal="right" vertical="center" textRotation="0" wrapText="false" indent="0" shrinkToFit="false"/>
      <protection locked="true" hidden="true"/>
    </xf>
    <xf numFmtId="165" fontId="54" fillId="34" borderId="10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54" fillId="0" borderId="0" xfId="0" applyFont="true" applyBorder="true" applyAlignment="true" applyProtection="true">
      <alignment horizontal="right" vertical="center" textRotation="0" wrapText="false" indent="0" shrinkToFit="false"/>
      <protection locked="true" hidden="true"/>
    </xf>
    <xf numFmtId="165" fontId="54" fillId="0" borderId="0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9" fillId="0" borderId="2" xfId="0" applyFont="true" applyBorder="true" applyAlignment="true" applyProtection="true">
      <alignment horizontal="left" vertical="center" textRotation="0" wrapText="false" indent="0" shrinkToFit="false"/>
      <protection locked="true" hidden="true"/>
    </xf>
    <xf numFmtId="165" fontId="9" fillId="0" borderId="5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9" fillId="18" borderId="2" xfId="0" applyFont="true" applyBorder="true" applyAlignment="true" applyProtection="true">
      <alignment horizontal="left" vertical="center" textRotation="0" wrapText="false" indent="0" shrinkToFit="false"/>
      <protection locked="true" hidden="true"/>
    </xf>
    <xf numFmtId="165" fontId="9" fillId="0" borderId="0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9" fillId="0" borderId="0" xfId="0" applyFont="true" applyBorder="true" applyAlignment="true" applyProtection="true">
      <alignment horizontal="left" vertical="center" textRotation="0" wrapText="false" indent="0" shrinkToFit="false"/>
      <protection locked="true" hidden="true"/>
    </xf>
    <xf numFmtId="165" fontId="10" fillId="0" borderId="0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0" fillId="0" borderId="8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5" fontId="0" fillId="0" borderId="8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0" fillId="0" borderId="13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29" fillId="19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9" fillId="0" borderId="13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17" borderId="2" xfId="21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0" fillId="17" borderId="4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2" xfId="21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0" fillId="0" borderId="0" xfId="21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0" fillId="0" borderId="0" xfId="21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2" xfId="21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5" fontId="0" fillId="0" borderId="2" xfId="21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0" borderId="3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0" borderId="3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0" fillId="0" borderId="10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70" fontId="0" fillId="0" borderId="0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0" fillId="23" borderId="2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0" fillId="25" borderId="2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25" borderId="2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0" fillId="25" borderId="2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0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0" fillId="3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10" fillId="3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6" fillId="3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0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0" fillId="17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2" fillId="17" borderId="5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0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8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18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9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8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9" fillId="0" borderId="4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9" fillId="17" borderId="2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5" fontId="9" fillId="17" borderId="4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17" borderId="2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9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0" fillId="18" borderId="2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17" borderId="2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18" borderId="4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2" xfId="21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0" fillId="17" borderId="2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0" fillId="0" borderId="2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29" fillId="0" borderId="0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17" borderId="4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21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2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0" borderId="0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0" fillId="0" borderId="9" xfId="21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0" fillId="0" borderId="0" xfId="21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0" fillId="0" borderId="0" xfId="21" applyFont="true" applyBorder="true" applyAlignment="true" applyProtection="false">
      <alignment horizontal="center" vertical="center" textRotation="90" wrapText="false" indent="0" shrinkToFit="false"/>
      <protection locked="true" hidden="false"/>
    </xf>
    <xf numFmtId="164" fontId="0" fillId="0" borderId="0" xfId="21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29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0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2" xfId="21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2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29" fillId="17" borderId="2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5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5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0" fillId="0" borderId="2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21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9" fillId="17" borderId="2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7" fillId="0" borderId="2" xfId="0" applyFont="true" applyBorder="true" applyAlignment="true" applyProtection="true">
      <alignment horizontal="left" vertical="center" textRotation="0" wrapText="false" indent="0" shrinkToFit="false"/>
      <protection locked="true" hidden="true"/>
    </xf>
    <xf numFmtId="165" fontId="17" fillId="0" borderId="5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4" fontId="0" fillId="0" borderId="8" xfId="21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17" fillId="0" borderId="0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4" fontId="12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true"/>
    </xf>
    <xf numFmtId="164" fontId="12" fillId="0" borderId="0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4" fontId="0" fillId="0" borderId="14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8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12" fillId="0" borderId="13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12" fillId="0" borderId="10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12" fillId="0" borderId="7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12" fillId="0" borderId="15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4" fontId="0" fillId="0" borderId="0" xfId="21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17" fillId="0" borderId="2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8" fontId="9" fillId="0" borderId="2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17" fillId="18" borderId="8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58" fillId="0" borderId="0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4" fontId="0" fillId="0" borderId="2" xfId="21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2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0" fillId="0" borderId="2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0" borderId="0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9" fillId="0" borderId="0" xfId="21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8" fontId="0" fillId="0" borderId="2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0" fillId="0" borderId="2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4" fontId="9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true"/>
    </xf>
    <xf numFmtId="164" fontId="9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4" fontId="0" fillId="0" borderId="0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12" fillId="0" borderId="0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12" fillId="0" borderId="0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4" fontId="0" fillId="0" borderId="0" xfId="0" applyFont="false" applyBorder="true" applyAlignment="true" applyProtection="true">
      <alignment horizontal="general" vertical="center" textRotation="0" wrapText="false" indent="0" shrinkToFit="false"/>
      <protection locked="true" hidden="true"/>
    </xf>
    <xf numFmtId="164" fontId="0" fillId="0" borderId="0" xfId="0" applyFont="false" applyBorder="true" applyAlignment="true" applyProtection="true">
      <alignment horizontal="general" vertical="bottom" textRotation="0" wrapText="false" indent="0" shrinkToFit="false"/>
      <protection locked="true" hidden="true"/>
    </xf>
    <xf numFmtId="166" fontId="9" fillId="0" borderId="4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4" fontId="0" fillId="0" borderId="14" xfId="21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4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14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8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0" borderId="0" xfId="0" applyFont="fals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9" fillId="17" borderId="8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6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6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true">
      <alignment horizontal="general" vertical="bottom" textRotation="0" wrapText="false" indent="0" shrinkToFit="false"/>
      <protection locked="true" hidden="true"/>
    </xf>
    <xf numFmtId="165" fontId="29" fillId="0" borderId="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0" fillId="18" borderId="2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29" fillId="17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9" fillId="17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17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0" fillId="0" borderId="8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0" fillId="0" borderId="8" xfId="0" applyFont="false" applyBorder="true" applyAlignment="true" applyProtection="false">
      <alignment horizontal="left" vertical="center" textRotation="0" wrapText="false" indent="0" shrinkToFit="false"/>
      <protection locked="true" hidden="false"/>
    </xf>
    <xf numFmtId="164" fontId="29" fillId="17" borderId="2" xfId="21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6" xfId="21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0" xfId="21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5" fontId="0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9" fontId="0" fillId="18" borderId="2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3" xfId="21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6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17" borderId="2" xfId="21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3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0" fillId="0" borderId="2" xfId="21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0" fillId="0" borderId="6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5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9" fillId="17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0" borderId="8" xfId="0" applyFont="fals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21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29" fillId="17" borderId="2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5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9" fillId="17" borderId="2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17" borderId="2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17" borderId="4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29" fillId="17" borderId="3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17" borderId="3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17" borderId="0" xfId="21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29" fillId="0" borderId="0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5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8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17" borderId="0" xfId="21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7" borderId="6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9" fontId="0" fillId="0" borderId="3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50" fillId="0" borderId="2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12" fillId="18" borderId="2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36" fillId="17" borderId="2" xfId="0" applyFont="true" applyBorder="true" applyAlignment="true" applyProtection="true">
      <alignment horizontal="center" vertical="bottom" textRotation="0" wrapText="true" indent="0" shrinkToFit="false"/>
      <protection locked="true" hidden="true"/>
    </xf>
    <xf numFmtId="165" fontId="12" fillId="36" borderId="2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12" fillId="36" borderId="2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5" fontId="12" fillId="36" borderId="2" xfId="0" applyFont="true" applyBorder="true" applyAlignment="true" applyProtection="true">
      <alignment horizontal="general" vertical="bottom" textRotation="0" wrapText="true" indent="0" shrinkToFit="false"/>
      <protection locked="true" hidden="true"/>
    </xf>
    <xf numFmtId="165" fontId="12" fillId="0" borderId="0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5" fontId="12" fillId="18" borderId="2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5" fontId="12" fillId="18" borderId="2" xfId="0" applyFont="true" applyBorder="true" applyAlignment="true" applyProtection="true">
      <alignment horizontal="general" vertical="bottom" textRotation="0" wrapText="true" indent="0" shrinkToFit="false"/>
      <protection locked="true" hidden="true"/>
    </xf>
    <xf numFmtId="165" fontId="12" fillId="0" borderId="2" xfId="0" applyFont="true" applyBorder="true" applyAlignment="true" applyProtection="true">
      <alignment horizontal="general" vertical="bottom" textRotation="0" wrapText="true" indent="0" shrinkToFit="false"/>
      <protection locked="true" hidden="true"/>
    </xf>
    <xf numFmtId="165" fontId="12" fillId="0" borderId="2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5" fontId="12" fillId="0" borderId="2" xfId="0" applyFont="true" applyBorder="true" applyAlignment="true" applyProtection="true">
      <alignment horizontal="general" vertical="bottom" textRotation="0" wrapText="true" indent="0" shrinkToFit="false"/>
      <protection locked="true" hidden="true"/>
    </xf>
    <xf numFmtId="165" fontId="12" fillId="0" borderId="0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5" fontId="27" fillId="0" borderId="0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27" fillId="0" borderId="0" xfId="0" applyFont="true" applyBorder="true" applyAlignment="true" applyProtection="true">
      <alignment horizontal="right" vertical="bottom" textRotation="0" wrapText="true" indent="0" shrinkToFit="false"/>
      <protection locked="true" hidden="true"/>
    </xf>
    <xf numFmtId="165" fontId="27" fillId="0" borderId="0" xfId="0" applyFont="true" applyBorder="true" applyAlignment="true" applyProtection="true">
      <alignment horizontal="general" vertical="bottom" textRotation="0" wrapText="true" indent="0" shrinkToFit="false"/>
      <protection locked="true" hidden="true"/>
    </xf>
    <xf numFmtId="165" fontId="27" fillId="0" borderId="0" xfId="0" applyFont="true" applyBorder="true" applyAlignment="true" applyProtection="true">
      <alignment horizontal="right" vertical="bottom" textRotation="0" wrapText="true" indent="0" shrinkToFit="false"/>
      <protection locked="true" hidden="true"/>
    </xf>
    <xf numFmtId="165" fontId="27" fillId="0" borderId="0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27" fillId="0" borderId="0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5" fontId="12" fillId="36" borderId="0" xfId="0" applyFont="true" applyBorder="false" applyAlignment="true" applyProtection="true">
      <alignment horizontal="general" vertical="bottom" textRotation="0" wrapText="true" indent="0" shrinkToFit="false"/>
      <protection locked="true" hidden="true"/>
    </xf>
    <xf numFmtId="165" fontId="12" fillId="36" borderId="2" xfId="0" applyFont="true" applyBorder="true" applyAlignment="true" applyProtection="true">
      <alignment horizontal="center" vertical="bottom" textRotation="0" wrapText="true" indent="0" shrinkToFit="false"/>
      <protection locked="true" hidden="true"/>
    </xf>
    <xf numFmtId="165" fontId="27" fillId="18" borderId="2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5" fontId="27" fillId="18" borderId="2" xfId="0" applyFont="true" applyBorder="true" applyAlignment="true" applyProtection="true">
      <alignment horizontal="general" vertical="bottom" textRotation="0" wrapText="true" indent="0" shrinkToFit="false"/>
      <protection locked="true" hidden="true"/>
    </xf>
    <xf numFmtId="165" fontId="27" fillId="0" borderId="2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5" fontId="12" fillId="11" borderId="2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12" fillId="11" borderId="2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5" fontId="12" fillId="11" borderId="2" xfId="0" applyFont="true" applyBorder="true" applyAlignment="true" applyProtection="true">
      <alignment horizontal="center" vertical="bottom" textRotation="0" wrapText="true" indent="0" shrinkToFit="false"/>
      <protection locked="true" hidden="true"/>
    </xf>
    <xf numFmtId="165" fontId="12" fillId="11" borderId="2" xfId="0" applyFont="true" applyBorder="true" applyAlignment="true" applyProtection="true">
      <alignment horizontal="general" vertical="bottom" textRotation="0" wrapText="true" indent="0" shrinkToFit="false"/>
      <protection locked="true" hidden="true"/>
    </xf>
    <xf numFmtId="165" fontId="12" fillId="11" borderId="2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12" fillId="0" borderId="2" xfId="0" applyFont="true" applyBorder="true" applyAlignment="true" applyProtection="true">
      <alignment horizontal="center" vertical="center" textRotation="0" wrapText="true" indent="0" shrinkToFit="false"/>
      <protection locked="true" hidden="true"/>
    </xf>
    <xf numFmtId="165" fontId="12" fillId="18" borderId="2" xfId="0" applyFont="true" applyBorder="true" applyAlignment="true" applyProtection="true">
      <alignment horizontal="center" vertical="bottom" textRotation="0" wrapText="true" indent="0" shrinkToFit="false"/>
      <protection locked="true" hidden="true"/>
    </xf>
    <xf numFmtId="165" fontId="27" fillId="0" borderId="0" xfId="0" applyFont="true" applyBorder="true" applyAlignment="true" applyProtection="true">
      <alignment horizontal="center" vertical="bottom" textRotation="0" wrapText="true" indent="0" shrinkToFit="false"/>
      <protection locked="true" hidden="true"/>
    </xf>
    <xf numFmtId="165" fontId="12" fillId="0" borderId="5" xfId="0" applyFont="true" applyBorder="true" applyAlignment="true" applyProtection="true">
      <alignment horizontal="general" vertical="bottom" textRotation="0" wrapText="true" indent="0" shrinkToFit="false"/>
      <protection locked="true" hidden="true"/>
    </xf>
    <xf numFmtId="165" fontId="27" fillId="0" borderId="0" xfId="0" applyFont="true" applyBorder="true" applyAlignment="true" applyProtection="true">
      <alignment horizontal="center" vertical="center" textRotation="0" wrapText="true" indent="0" shrinkToFit="false"/>
      <protection locked="true" hidden="true"/>
    </xf>
    <xf numFmtId="165" fontId="12" fillId="21" borderId="2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4" fontId="0" fillId="0" borderId="0" xfId="0" applyFont="false" applyBorder="true" applyAlignment="true" applyProtection="true">
      <alignment horizontal="center" vertical="bottom" textRotation="0" wrapText="false" indent="0" shrinkToFit="false"/>
      <protection locked="true" hidden="true"/>
    </xf>
    <xf numFmtId="165" fontId="12" fillId="0" borderId="2" xfId="0" applyFont="true" applyBorder="true" applyAlignment="true" applyProtection="true">
      <alignment horizontal="left" vertical="bottom" textRotation="0" wrapText="true" indent="0" shrinkToFit="false"/>
      <protection locked="true" hidden="true"/>
    </xf>
    <xf numFmtId="165" fontId="17" fillId="21" borderId="2" xfId="0" applyFont="true" applyBorder="true" applyAlignment="true" applyProtection="true">
      <alignment horizontal="center" vertical="bottom" textRotation="0" wrapText="true" indent="0" shrinkToFit="false"/>
      <protection locked="true" hidden="true"/>
    </xf>
    <xf numFmtId="165" fontId="12" fillId="33" borderId="2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5" fontId="12" fillId="33" borderId="3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5" fontId="27" fillId="21" borderId="2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4" fontId="0" fillId="18" borderId="2" xfId="0" applyFont="false" applyBorder="true" applyAlignment="false" applyProtection="true">
      <alignment horizontal="general" vertical="bottom" textRotation="0" wrapText="false" indent="0" shrinkToFit="false"/>
      <protection locked="true" hidden="true"/>
    </xf>
    <xf numFmtId="164" fontId="0" fillId="0" borderId="2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12" fillId="0" borderId="0" xfId="0" applyFont="true" applyBorder="false" applyAlignment="true" applyProtection="true">
      <alignment horizontal="general" vertical="bottom" textRotation="0" wrapText="true" indent="0" shrinkToFit="false"/>
      <protection locked="true" hidden="true"/>
    </xf>
    <xf numFmtId="165" fontId="33" fillId="21" borderId="2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33" fillId="0" borderId="0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4" fontId="14" fillId="0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4" fillId="35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33" fillId="0" borderId="0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4" fontId="14" fillId="35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2" fillId="0" borderId="5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12" fillId="0" borderId="5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5" fontId="12" fillId="0" borderId="5" xfId="0" applyFont="true" applyBorder="true" applyAlignment="true" applyProtection="true">
      <alignment horizontal="general" vertical="bottom" textRotation="0" wrapText="true" indent="0" shrinkToFit="false"/>
      <protection locked="true" hidden="true"/>
    </xf>
    <xf numFmtId="165" fontId="12" fillId="0" borderId="0" xfId="0" applyFont="true" applyBorder="false" applyAlignment="true" applyProtection="true">
      <alignment horizontal="general" vertical="bottom" textRotation="0" wrapText="true" indent="0" shrinkToFit="false"/>
      <protection locked="true" hidden="true"/>
    </xf>
    <xf numFmtId="165" fontId="12" fillId="0" borderId="3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5" fontId="12" fillId="0" borderId="4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5" fontId="12" fillId="0" borderId="8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5" fontId="12" fillId="0" borderId="4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12" fillId="0" borderId="8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6" fontId="12" fillId="0" borderId="2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5" fontId="12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true"/>
    </xf>
    <xf numFmtId="165" fontId="33" fillId="34" borderId="2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12" fillId="0" borderId="5" xfId="0" applyFont="true" applyBorder="true" applyAlignment="true" applyProtection="true">
      <alignment horizontal="left" vertical="center" textRotation="0" wrapText="false" indent="0" shrinkToFit="false"/>
      <protection locked="true" hidden="true"/>
    </xf>
    <xf numFmtId="165" fontId="12" fillId="0" borderId="0" xfId="0" applyFont="true" applyBorder="true" applyAlignment="true" applyProtection="true">
      <alignment horizontal="left" vertical="center" textRotation="0" wrapText="false" indent="0" shrinkToFit="false"/>
      <protection locked="true" hidden="true"/>
    </xf>
    <xf numFmtId="165" fontId="12" fillId="34" borderId="2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8" fontId="12" fillId="0" borderId="2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8" fontId="12" fillId="0" borderId="0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8" fontId="12" fillId="0" borderId="5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5" fontId="27" fillId="34" borderId="2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33" fillId="23" borderId="2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14" fillId="35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2" fillId="0" borderId="2" xfId="0" applyFont="true" applyBorder="true" applyAlignment="true" applyProtection="true">
      <alignment horizontal="left" vertical="center" textRotation="0" wrapText="false" indent="0" shrinkToFit="false"/>
      <protection locked="true" hidden="true"/>
    </xf>
    <xf numFmtId="165" fontId="12" fillId="16" borderId="2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12" fillId="16" borderId="0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5" fontId="12" fillId="16" borderId="2" xfId="0" applyFont="true" applyBorder="true" applyAlignment="true" applyProtection="true">
      <alignment horizontal="general" vertical="bottom" textRotation="0" wrapText="true" indent="0" shrinkToFit="false"/>
      <protection locked="true" hidden="true"/>
    </xf>
    <xf numFmtId="165" fontId="12" fillId="0" borderId="0" xfId="0" applyFont="true" applyBorder="true" applyAlignment="true" applyProtection="true">
      <alignment horizontal="general" vertical="bottom" textRotation="0" wrapText="true" indent="0" shrinkToFit="false"/>
      <protection locked="true" hidden="true"/>
    </xf>
    <xf numFmtId="165" fontId="12" fillId="0" borderId="0" xfId="0" applyFont="true" applyBorder="true" applyAlignment="true" applyProtection="true">
      <alignment horizontal="general" vertical="bottom" textRotation="0" wrapText="true" indent="0" shrinkToFit="false"/>
      <protection locked="true" hidden="true"/>
    </xf>
    <xf numFmtId="165" fontId="12" fillId="16" borderId="2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5" fontId="17" fillId="23" borderId="2" xfId="0" applyFont="true" applyBorder="true" applyAlignment="true" applyProtection="true">
      <alignment horizontal="center" vertical="bottom" textRotation="0" wrapText="true" indent="0" shrinkToFit="false"/>
      <protection locked="true" hidden="true"/>
    </xf>
    <xf numFmtId="165" fontId="12" fillId="23" borderId="3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5" fontId="12" fillId="23" borderId="3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12" fillId="23" borderId="3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5" fontId="12" fillId="23" borderId="2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5" fontId="12" fillId="23" borderId="2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5" fontId="12" fillId="0" borderId="4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5" fontId="12" fillId="0" borderId="2" xfId="0" applyFont="true" applyBorder="true" applyAlignment="true" applyProtection="true">
      <alignment horizontal="left" vertical="bottom" textRotation="0" wrapText="true" indent="0" shrinkToFit="false"/>
      <protection locked="true" hidden="true"/>
    </xf>
    <xf numFmtId="165" fontId="12" fillId="0" borderId="4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12" fillId="0" borderId="8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6" fontId="12" fillId="0" borderId="0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5" fontId="27" fillId="23" borderId="2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9" fontId="14" fillId="35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7" fillId="0" borderId="0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12" fillId="18" borderId="8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12" fillId="34" borderId="2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11" fillId="0" borderId="0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12" fillId="0" borderId="4" xfId="0" applyFont="true" applyBorder="true" applyAlignment="true" applyProtection="true">
      <alignment horizontal="left" vertical="center" textRotation="0" wrapText="false" indent="0" shrinkToFit="false"/>
      <protection locked="true" hidden="true"/>
    </xf>
    <xf numFmtId="165" fontId="12" fillId="0" borderId="8" xfId="0" applyFont="true" applyBorder="true" applyAlignment="true" applyProtection="true">
      <alignment horizontal="left" vertical="center" textRotation="0" wrapText="false" indent="0" shrinkToFit="false"/>
      <protection locked="true" hidden="true"/>
    </xf>
    <xf numFmtId="165" fontId="1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2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27" fillId="7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7" fillId="7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2" fillId="7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2" fillId="0" borderId="3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17" fillId="18" borderId="2" xfId="0" applyFont="true" applyBorder="true" applyAlignment="true" applyProtection="true">
      <alignment horizontal="right" vertical="center" textRotation="0" wrapText="false" indent="0" shrinkToFit="false"/>
      <protection locked="true" hidden="true"/>
    </xf>
    <xf numFmtId="165" fontId="17" fillId="0" borderId="0" xfId="0" applyFont="true" applyBorder="false" applyAlignment="true" applyProtection="true">
      <alignment horizontal="general" vertical="top" textRotation="0" wrapText="false" indent="0" shrinkToFit="false"/>
      <protection locked="true" hidden="true"/>
    </xf>
    <xf numFmtId="165" fontId="17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17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true"/>
    </xf>
    <xf numFmtId="165" fontId="17" fillId="0" borderId="0" xfId="0" applyFont="true" applyBorder="false" applyAlignment="true" applyProtection="true">
      <alignment horizontal="right" vertical="bottom" textRotation="0" wrapText="false" indent="0" shrinkToFit="false"/>
      <protection locked="true" hidden="true"/>
    </xf>
    <xf numFmtId="165" fontId="12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true"/>
    </xf>
    <xf numFmtId="165" fontId="12" fillId="18" borderId="2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27" fillId="7" borderId="3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27" fillId="7" borderId="3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17" fillId="7" borderId="2" xfId="0" applyFont="true" applyBorder="true" applyAlignment="true" applyProtection="true">
      <alignment horizontal="general" vertical="top" textRotation="0" wrapText="false" indent="0" shrinkToFit="false"/>
      <protection locked="true" hidden="true"/>
    </xf>
    <xf numFmtId="165" fontId="17" fillId="7" borderId="2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12" fillId="7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2" fillId="7" borderId="2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17" fillId="0" borderId="2" xfId="0" applyFont="true" applyBorder="true" applyAlignment="true" applyProtection="true">
      <alignment horizontal="general" vertical="top" textRotation="0" wrapText="false" indent="0" shrinkToFit="false"/>
      <protection locked="true" hidden="true"/>
    </xf>
    <xf numFmtId="165" fontId="17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12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7" fillId="7" borderId="3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5" fontId="17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true"/>
    </xf>
    <xf numFmtId="165" fontId="27" fillId="7" borderId="2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27" fillId="7" borderId="2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12" fillId="18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2" fillId="9" borderId="2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12" fillId="9" borderId="2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12" fillId="23" borderId="2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0" fillId="29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2" fillId="29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2" fillId="29" borderId="2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0" fillId="14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2" fillId="14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2" fillId="14" borderId="2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12" fillId="13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2" fillId="13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2" fillId="13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2" fillId="13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2" fillId="41" borderId="2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5" fontId="12" fillId="41" borderId="2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12" fillId="41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2" fillId="41" borderId="2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12" fillId="4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2" fillId="35" borderId="2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12" fillId="0" borderId="5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12" fillId="0" borderId="5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12" fillId="13" borderId="2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12" fillId="13" borderId="2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12" fillId="29" borderId="2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0" fillId="26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2" fillId="26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2" fillId="26" borderId="2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0" fillId="41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41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2" fillId="41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2" fillId="23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2" fillId="23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2" fillId="23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2" fillId="23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0" fillId="33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2" fillId="33" borderId="2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12" fillId="33" borderId="2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12" fillId="0" borderId="5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5" fontId="0" fillId="34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2" fillId="34" borderId="2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12" fillId="26" borderId="2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12" fillId="28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2" fillId="28" borderId="2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0" fillId="42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42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2" fillId="42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2" fillId="42" borderId="2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12" fillId="34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2" fillId="34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2" fillId="26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4" fontId="12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2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0" borderId="2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5" fontId="22" fillId="0" borderId="2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22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12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1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2" fillId="17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true"/>
    </xf>
    <xf numFmtId="165" fontId="9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9" fillId="0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9" fillId="17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9" fillId="17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9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0" fillId="0" borderId="2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17" borderId="4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0" fillId="18" borderId="4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9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21" applyFont="true" applyBorder="true" applyAlignment="true" applyProtection="false">
      <alignment horizontal="right" vertical="center" textRotation="90" wrapText="false" indent="0" shrinkToFit="false"/>
      <protection locked="true" hidden="false"/>
    </xf>
    <xf numFmtId="165" fontId="0" fillId="0" borderId="5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17" fillId="18" borderId="15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8" fontId="12" fillId="18" borderId="2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4" fontId="0" fillId="18" borderId="8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0" fillId="18" borderId="2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4" fontId="0" fillId="18" borderId="8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4" fontId="29" fillId="0" borderId="2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0" fillId="18" borderId="2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9" fontId="0" fillId="18" borderId="8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9" fontId="0" fillId="18" borderId="2" xfId="21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0" fillId="0" borderId="5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6" fillId="17" borderId="2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27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27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27" fillId="0" borderId="5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27" fillId="0" borderId="5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4" fontId="29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18" borderId="2" xfId="0" applyFont="false" applyBorder="true" applyAlignment="true" applyProtection="true">
      <alignment horizontal="center" vertical="bottom" textRotation="0" wrapText="false" indent="0" shrinkToFit="false"/>
      <protection locked="true" hidden="true"/>
    </xf>
    <xf numFmtId="165" fontId="27" fillId="11" borderId="2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27" fillId="11" borderId="2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27" fillId="0" borderId="0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27" fillId="0" borderId="0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4" fontId="29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29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4" fontId="33" fillId="12" borderId="2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4" fontId="12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true"/>
    </xf>
    <xf numFmtId="166" fontId="12" fillId="35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9" fontId="27" fillId="0" borderId="0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4" fontId="12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true"/>
    </xf>
    <xf numFmtId="166" fontId="12" fillId="35" borderId="5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2" fillId="0" borderId="5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4" fontId="12" fillId="18" borderId="2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4" fontId="12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6" fontId="12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4" fontId="12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6" fontId="12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12" fillId="12" borderId="2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true"/>
    </xf>
    <xf numFmtId="165" fontId="27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27" fillId="0" borderId="2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8" fontId="0" fillId="0" borderId="2" xfId="0" applyFont="fals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2" fillId="0" borderId="3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12" fillId="0" borderId="11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12" fillId="0" borderId="10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4" fontId="0" fillId="0" borderId="0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0" fillId="0" borderId="2" xfId="0" applyFont="false" applyBorder="true" applyAlignment="true" applyProtection="true">
      <alignment horizontal="general" vertical="bottom" textRotation="0" wrapText="false" indent="0" shrinkToFit="false"/>
      <protection locked="true" hidden="true"/>
    </xf>
    <xf numFmtId="164" fontId="27" fillId="12" borderId="5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4" fontId="0" fillId="18" borderId="5" xfId="0" applyFont="false" applyBorder="true" applyAlignment="true" applyProtection="true">
      <alignment horizontal="general" vertical="bottom" textRotation="0" wrapText="false" indent="0" shrinkToFit="false"/>
      <protection locked="true" hidden="true"/>
    </xf>
    <xf numFmtId="164" fontId="0" fillId="0" borderId="5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4" fontId="33" fillId="11" borderId="2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9" fontId="14" fillId="35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33" fillId="0" borderId="0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4" fontId="0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true"/>
    </xf>
    <xf numFmtId="165" fontId="12" fillId="18" borderId="2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12" fillId="0" borderId="5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9" fontId="0" fillId="18" borderId="2" xfId="0" applyFont="fals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17" fillId="11" borderId="2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4" fontId="55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true"/>
    </xf>
    <xf numFmtId="164" fontId="33" fillId="24" borderId="3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4" fontId="14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2" fillId="0" borderId="3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12" fillId="18" borderId="5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6" fontId="0" fillId="18" borderId="2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0" fillId="0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7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18" borderId="5" xfId="0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65" fontId="0" fillId="18" borderId="2" xfId="0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65" fontId="0" fillId="18" borderId="2" xfId="0" applyFont="true" applyBorder="true" applyAlignment="true" applyProtection="true">
      <alignment horizontal="general" vertical="bottom" textRotation="0" wrapText="true" indent="0" shrinkToFit="false"/>
      <protection locked="true" hidden="true"/>
    </xf>
    <xf numFmtId="165" fontId="0" fillId="7" borderId="3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0" fillId="18" borderId="3" xfId="0" applyFont="true" applyBorder="true" applyAlignment="true" applyProtection="true">
      <alignment horizontal="general" vertical="bottom" textRotation="0" wrapText="true" indent="0" shrinkToFit="false"/>
      <protection locked="true" hidden="true"/>
    </xf>
    <xf numFmtId="165" fontId="27" fillId="24" borderId="3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6" fontId="0" fillId="18" borderId="2" xfId="0" applyFont="fals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12" fillId="7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0" fillId="18" borderId="2" xfId="0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65" fontId="12" fillId="18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2" fillId="7" borderId="2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12" fillId="0" borderId="4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12" fillId="7" borderId="3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12" fillId="18" borderId="3" xfId="0" applyFont="true" applyBorder="true" applyAlignment="true" applyProtection="true">
      <alignment horizontal="general" vertical="bottom" textRotation="0" wrapText="true" indent="0" shrinkToFit="false"/>
      <protection locked="true" hidden="true"/>
    </xf>
    <xf numFmtId="165" fontId="9" fillId="7" borderId="4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9" fillId="18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36" fillId="24" borderId="2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4" fontId="0" fillId="18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2" fillId="24" borderId="2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27" fillId="0" borderId="3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27" fillId="24" borderId="2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33" fillId="11" borderId="2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9" fontId="14" fillId="35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4" fillId="35" borderId="5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12" fillId="18" borderId="2" xfId="0" applyFont="true" applyBorder="true" applyAlignment="true" applyProtection="true">
      <alignment horizontal="right" vertical="center" textRotation="0" wrapText="false" indent="0" shrinkToFit="false"/>
      <protection locked="true" hidden="true"/>
    </xf>
    <xf numFmtId="165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true"/>
    </xf>
    <xf numFmtId="165" fontId="0" fillId="18" borderId="2" xfId="0" applyFont="fals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36" fillId="11" borderId="2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4" fontId="12" fillId="11" borderId="2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12" fillId="0" borderId="4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12" fillId="0" borderId="8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12" fillId="0" borderId="0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5" fontId="12" fillId="0" borderId="5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4" fontId="12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4" fontId="0" fillId="0" borderId="0" xfId="0" applyFont="false" applyBorder="true" applyAlignment="true" applyProtection="true">
      <alignment horizontal="general" vertical="bottom" textRotation="0" wrapText="false" indent="0" shrinkToFit="false"/>
      <protection locked="true" hidden="true"/>
    </xf>
    <xf numFmtId="164" fontId="29" fillId="17" borderId="4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9" fillId="17" borderId="8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12" borderId="4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12" borderId="8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12" borderId="2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0" fillId="12" borderId="2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12" borderId="2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42" borderId="4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42" borderId="8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42" borderId="2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0" fillId="42" borderId="2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42" borderId="2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0" fillId="42" borderId="2" xfId="0" applyFont="false" applyBorder="true" applyAlignment="true" applyProtection="true">
      <alignment horizontal="general" vertical="bottom" textRotation="0" wrapText="false" indent="0" shrinkToFit="false"/>
      <protection locked="true" hidden="true"/>
    </xf>
    <xf numFmtId="164" fontId="0" fillId="42" borderId="5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42" borderId="5" xfId="0" applyFont="false" applyBorder="true" applyAlignment="true" applyProtection="true">
      <alignment horizontal="general" vertical="bottom" textRotation="0" wrapText="false" indent="0" shrinkToFit="false"/>
      <protection locked="true" hidden="true"/>
    </xf>
    <xf numFmtId="164" fontId="0" fillId="0" borderId="5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0" fillId="18" borderId="5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4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2" xfId="0" applyFont="false" applyBorder="true" applyAlignment="true" applyProtection="true">
      <alignment horizontal="general" vertical="bottom" textRotation="0" wrapText="false" indent="0" shrinkToFit="false"/>
      <protection locked="true" hidden="true"/>
    </xf>
    <xf numFmtId="164" fontId="0" fillId="0" borderId="4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8" fillId="30" borderId="2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12" fillId="24" borderId="6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12" fillId="0" borderId="12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5" fontId="12" fillId="0" borderId="15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12" fillId="43" borderId="2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4" fontId="0" fillId="0" borderId="2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12" fillId="36" borderId="2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4" fontId="0" fillId="0" borderId="3" xfId="0" applyFont="fals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0" borderId="2" xfId="0" applyFont="fals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12" fillId="0" borderId="5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4" fontId="29" fillId="17" borderId="11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29" fillId="17" borderId="13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29" fillId="17" borderId="10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17" borderId="3" xfId="21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35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9" fillId="17" borderId="12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29" fillId="17" borderId="7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29" fillId="17" borderId="15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17" borderId="5" xfId="21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5" fontId="12" fillId="0" borderId="14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12" fillId="0" borderId="8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17" fillId="0" borderId="2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12" fillId="0" borderId="2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12" fillId="0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7" fillId="0" borderId="4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17" fillId="0" borderId="14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17" fillId="0" borderId="8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4" fontId="12" fillId="17" borderId="2" xfId="21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0" borderId="2" xfId="21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17" borderId="2" xfId="21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9" fillId="17" borderId="5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17" borderId="5" xfId="21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12" fillId="17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2" fillId="17" borderId="5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2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27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2" fillId="0" borderId="2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2" fillId="0" borderId="8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0" borderId="0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0" borderId="0" xfId="21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0" borderId="2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7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12" fillId="0" borderId="8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2" fillId="0" borderId="0" xfId="21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2" fillId="0" borderId="8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7" fillId="0" borderId="4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2" fillId="0" borderId="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17" fillId="17" borderId="2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5" fontId="17" fillId="17" borderId="4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12" fillId="17" borderId="2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7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12" fillId="0" borderId="4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12" fillId="18" borderId="2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2" fillId="17" borderId="2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2" fillId="0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2" fillId="18" borderId="4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9" fontId="12" fillId="0" borderId="2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2" fillId="0" borderId="2" xfId="21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2" fillId="17" borderId="2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12" fillId="17" borderId="2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2" fillId="0" borderId="2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27" fillId="0" borderId="0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2" fillId="17" borderId="4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0" borderId="2" xfId="21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2" fillId="0" borderId="2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0" borderId="0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7" fillId="0" borderId="0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2" fillId="0" borderId="9" xfId="21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2" fillId="0" borderId="0" xfId="21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12" fillId="0" borderId="0" xfId="21" applyFont="true" applyBorder="true" applyAlignment="true" applyProtection="false">
      <alignment horizontal="center" vertical="center" textRotation="90" wrapText="false" indent="0" shrinkToFit="false"/>
      <protection locked="true" hidden="false"/>
    </xf>
    <xf numFmtId="164" fontId="12" fillId="0" borderId="0" xfId="21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27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2" fillId="0" borderId="0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2" fillId="0" borderId="0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2" fillId="0" borderId="0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2" fillId="0" borderId="0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2" fillId="0" borderId="0" xfId="21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27" fillId="17" borderId="2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2" fillId="0" borderId="2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2" fillId="0" borderId="5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2" fillId="0" borderId="5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12" fillId="0" borderId="2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0" borderId="0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2" fillId="0" borderId="0" xfId="21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7" fillId="17" borderId="2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12" fillId="18" borderId="2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2" fillId="0" borderId="8" xfId="21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2" fillId="0" borderId="2" xfId="21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2" fillId="0" borderId="14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2" fillId="0" borderId="8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2" fillId="0" borderId="0" xfId="21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8" fontId="17" fillId="0" borderId="2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36" fillId="0" borderId="0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4" fontId="12" fillId="0" borderId="2" xfId="21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2" fillId="0" borderId="2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12" fillId="0" borderId="2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12" fillId="0" borderId="0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7" fillId="0" borderId="0" xfId="21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8" fontId="12" fillId="0" borderId="2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12" fillId="0" borderId="2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4" fontId="17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true"/>
    </xf>
    <xf numFmtId="164" fontId="17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4" fontId="12" fillId="0" borderId="2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17" fillId="0" borderId="4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4" fontId="12" fillId="0" borderId="14" xfId="21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2" fillId="0" borderId="8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" fillId="0" borderId="4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2" fillId="0" borderId="14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2" fillId="0" borderId="8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27" fillId="17" borderId="4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7" fillId="17" borderId="8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2" fillId="0" borderId="6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0" borderId="14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2" fillId="0" borderId="6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0" borderId="0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5" fontId="12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2" fillId="0" borderId="2" xfId="21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27" fillId="17" borderId="4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27" fillId="17" borderId="8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2" fillId="17" borderId="2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7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7" fillId="0" borderId="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12" fillId="0" borderId="2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2" fillId="18" borderId="2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12" fillId="0" borderId="1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2" fillId="0" borderId="2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27" fillId="17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7" fillId="17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2" fillId="17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2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2" fillId="0" borderId="4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12" fillId="0" borderId="8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12" fillId="0" borderId="2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12" fillId="0" borderId="0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27" fillId="17" borderId="2" xfId="21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2" fillId="0" borderId="0" xfId="21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2" fillId="0" borderId="0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" fillId="0" borderId="6" xfId="21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2" fillId="0" borderId="0" xfId="21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5" fontId="12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9" fontId="12" fillId="18" borderId="2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" fillId="0" borderId="0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" fillId="0" borderId="3" xfId="21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2" fillId="0" borderId="6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" fillId="17" borderId="2" xfId="21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2" fillId="0" borderId="3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12" fillId="0" borderId="2" xfId="21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12" fillId="0" borderId="6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" fillId="0" borderId="5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7" fillId="17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2" fillId="0" borderId="4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2" fillId="0" borderId="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2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2" fillId="0" borderId="0" xfId="21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12" fillId="0" borderId="2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7" fillId="17" borderId="2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2" fillId="0" borderId="5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27" fillId="0" borderId="0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8" fontId="12" fillId="11" borderId="2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4" fontId="12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27" fillId="0" borderId="0" xfId="0" applyFont="true" applyBorder="true" applyAlignment="true" applyProtection="true">
      <alignment horizontal="general" vertical="bottom" textRotation="0" wrapText="true" indent="0" shrinkToFit="false"/>
      <protection locked="true" hidden="true"/>
    </xf>
    <xf numFmtId="165" fontId="36" fillId="34" borderId="11" xfId="0" applyFont="true" applyBorder="true" applyAlignment="true" applyProtection="true">
      <alignment horizontal="center" vertical="center" textRotation="0" wrapText="true" indent="0" shrinkToFit="false"/>
      <protection locked="true" hidden="true"/>
    </xf>
    <xf numFmtId="165" fontId="36" fillId="34" borderId="13" xfId="0" applyFont="true" applyBorder="true" applyAlignment="true" applyProtection="true">
      <alignment horizontal="general" vertical="center" textRotation="0" wrapText="true" indent="0" shrinkToFit="false"/>
      <protection locked="true" hidden="true"/>
    </xf>
    <xf numFmtId="165" fontId="36" fillId="34" borderId="10" xfId="0" applyFont="true" applyBorder="true" applyAlignment="true" applyProtection="true">
      <alignment horizontal="general" vertical="center" textRotation="0" wrapText="true" indent="0" shrinkToFit="false"/>
      <protection locked="true" hidden="true"/>
    </xf>
    <xf numFmtId="169" fontId="12" fillId="35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7" fillId="0" borderId="2" xfId="0" applyFont="true" applyBorder="true" applyAlignment="true" applyProtection="true">
      <alignment horizontal="left" vertical="center" textRotation="0" wrapText="true" indent="0" shrinkToFit="false"/>
      <protection locked="true" hidden="true"/>
    </xf>
    <xf numFmtId="165" fontId="17" fillId="0" borderId="5" xfId="0" applyFont="true" applyBorder="true" applyAlignment="true" applyProtection="true">
      <alignment horizontal="left" vertical="center" textRotation="0" wrapText="true" indent="0" shrinkToFit="false"/>
      <protection locked="true" hidden="true"/>
    </xf>
    <xf numFmtId="165" fontId="17" fillId="18" borderId="2" xfId="0" applyFont="true" applyBorder="true" applyAlignment="true" applyProtection="true">
      <alignment horizontal="left" vertical="center" textRotation="0" wrapText="true" indent="0" shrinkToFit="false"/>
      <protection locked="true" hidden="true"/>
    </xf>
    <xf numFmtId="165" fontId="17" fillId="0" borderId="0" xfId="0" applyFont="true" applyBorder="true" applyAlignment="true" applyProtection="true">
      <alignment horizontal="center" vertical="center" textRotation="0" wrapText="true" indent="0" shrinkToFit="false"/>
      <protection locked="true" hidden="true"/>
    </xf>
    <xf numFmtId="165" fontId="17" fillId="0" borderId="0" xfId="0" applyFont="true" applyBorder="true" applyAlignment="true" applyProtection="true">
      <alignment horizontal="left" vertical="center" textRotation="0" wrapText="true" indent="0" shrinkToFit="false"/>
      <protection locked="true" hidden="true"/>
    </xf>
    <xf numFmtId="166" fontId="12" fillId="16" borderId="2" xfId="0" applyFont="true" applyBorder="true" applyAlignment="true" applyProtection="true">
      <alignment horizontal="general" vertical="bottom" textRotation="0" wrapText="true" indent="0" shrinkToFit="false"/>
      <protection locked="true" hidden="true"/>
    </xf>
    <xf numFmtId="164" fontId="12" fillId="0" borderId="0" xfId="0" applyFont="true" applyBorder="false" applyAlignment="false" applyProtection="true">
      <alignment horizontal="general" vertical="bottom" textRotation="0" wrapText="false" indent="0" shrinkToFit="false"/>
      <protection locked="true" hidden="true"/>
    </xf>
    <xf numFmtId="164" fontId="12" fillId="0" borderId="0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12" fillId="0" borderId="3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8" fontId="12" fillId="34" borderId="2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5" fontId="12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0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2" fillId="0" borderId="0" xfId="0" applyFont="true" applyBorder="false" applyAlignment="false" applyProtection="true">
      <alignment horizontal="general" vertical="bottom" textRotation="0" wrapText="false" indent="0" shrinkToFit="false"/>
      <protection locked="true" hidden="true"/>
    </xf>
    <xf numFmtId="166" fontId="12" fillId="0" borderId="3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5" fontId="36" fillId="25" borderId="2" xfId="0" applyFont="true" applyBorder="true" applyAlignment="true" applyProtection="true">
      <alignment horizontal="center" vertical="center" textRotation="0" wrapText="true" indent="0" shrinkToFit="false"/>
      <protection locked="true" hidden="true"/>
    </xf>
    <xf numFmtId="164" fontId="12" fillId="35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2" fillId="0" borderId="6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8" fontId="12" fillId="16" borderId="5" xfId="0" applyFont="true" applyBorder="true" applyAlignment="true" applyProtection="true">
      <alignment horizontal="general" vertical="bottom" textRotation="0" wrapText="true" indent="0" shrinkToFit="false"/>
      <protection locked="true" hidden="true"/>
    </xf>
    <xf numFmtId="164" fontId="18" fillId="0" borderId="0" xfId="0" applyFont="true" applyBorder="false" applyAlignment="false" applyProtection="true">
      <alignment horizontal="general" vertical="bottom" textRotation="0" wrapText="false" indent="0" shrinkToFit="false"/>
      <protection locked="true" hidden="true"/>
    </xf>
    <xf numFmtId="164" fontId="17" fillId="0" borderId="0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17" fillId="0" borderId="0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5" fontId="36" fillId="0" borderId="0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8" fontId="12" fillId="18" borderId="5" xfId="0" applyFont="true" applyBorder="true" applyAlignment="true" applyProtection="true">
      <alignment horizontal="general" vertical="bottom" textRotation="0" wrapText="true" indent="0" shrinkToFit="false"/>
      <protection locked="true" hidden="true"/>
    </xf>
    <xf numFmtId="168" fontId="12" fillId="0" borderId="2" xfId="0" applyFont="true" applyBorder="true" applyAlignment="true" applyProtection="true">
      <alignment horizontal="general" vertical="bottom" textRotation="0" wrapText="true" indent="0" shrinkToFit="false"/>
      <protection locked="true" hidden="true"/>
    </xf>
    <xf numFmtId="168" fontId="12" fillId="0" borderId="5" xfId="0" applyFont="true" applyBorder="true" applyAlignment="true" applyProtection="true">
      <alignment horizontal="general" vertical="bottom" textRotation="0" wrapText="true" indent="0" shrinkToFit="false"/>
      <protection locked="true" hidden="true"/>
    </xf>
    <xf numFmtId="165" fontId="12" fillId="25" borderId="2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5" fontId="12" fillId="25" borderId="2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8" fontId="12" fillId="25" borderId="2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5" fontId="12" fillId="0" borderId="4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5" fontId="12" fillId="0" borderId="8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6" fontId="12" fillId="0" borderId="2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5" fontId="17" fillId="18" borderId="2" xfId="0" applyFont="true" applyBorder="true" applyAlignment="true" applyProtection="true">
      <alignment horizontal="center" vertical="center" textRotation="0" wrapText="true" indent="0" shrinkToFit="false"/>
      <protection locked="true" hidden="true"/>
    </xf>
    <xf numFmtId="165" fontId="12" fillId="16" borderId="5" xfId="0" applyFont="true" applyBorder="true" applyAlignment="true" applyProtection="true">
      <alignment horizontal="general" vertical="bottom" textRotation="0" wrapText="true" indent="0" shrinkToFit="false"/>
      <protection locked="true" hidden="true"/>
    </xf>
    <xf numFmtId="165" fontId="18" fillId="0" borderId="0" xfId="0" applyFont="true" applyBorder="false" applyAlignment="false" applyProtection="true">
      <alignment horizontal="general" vertical="bottom" textRotation="0" wrapText="false" indent="0" shrinkToFit="false"/>
      <protection locked="true" hidden="true"/>
    </xf>
    <xf numFmtId="165" fontId="17" fillId="0" borderId="0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12" fillId="18" borderId="5" xfId="0" applyFont="true" applyBorder="true" applyAlignment="true" applyProtection="true">
      <alignment horizontal="general" vertical="bottom" textRotation="0" wrapText="true" indent="0" shrinkToFit="false"/>
      <protection locked="true" hidden="true"/>
    </xf>
    <xf numFmtId="165" fontId="12" fillId="25" borderId="4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12" fillId="25" borderId="8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12" fillId="35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12" fillId="16" borderId="2" xfId="0" applyFont="true" applyBorder="true" applyAlignment="true" applyProtection="true">
      <alignment horizontal="general" vertical="bottom" textRotation="0" wrapText="true" indent="0" shrinkToFit="false"/>
      <protection locked="true" hidden="true"/>
    </xf>
    <xf numFmtId="170" fontId="12" fillId="0" borderId="2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70" fontId="12" fillId="18" borderId="2" xfId="0" applyFont="true" applyBorder="true" applyAlignment="true" applyProtection="true">
      <alignment horizontal="general" vertical="bottom" textRotation="0" wrapText="true" indent="0" shrinkToFit="false"/>
      <protection locked="true" hidden="true"/>
    </xf>
    <xf numFmtId="165" fontId="12" fillId="0" borderId="10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12" fillId="0" borderId="15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12" fillId="0" borderId="4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12" fillId="0" borderId="8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12" fillId="0" borderId="4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5" fontId="12" fillId="34" borderId="4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8" fontId="0" fillId="0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  <xf numFmtId="168" fontId="39" fillId="3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53" fillId="3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53" fillId="3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8" fontId="53" fillId="3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53" fillId="3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8" fontId="39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53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53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8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23" fillId="6" borderId="5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18" fillId="6" borderId="5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23" fillId="6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59" fillId="6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60" fillId="6" borderId="2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26" fillId="6" borderId="2" xfId="21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8" fontId="61" fillId="6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8" fontId="0" fillId="0" borderId="2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0" fillId="6" borderId="2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0" fillId="0" borderId="2" xfId="21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8" fontId="62" fillId="6" borderId="2" xfId="21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8" fontId="62" fillId="6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8" fontId="61" fillId="6" borderId="2" xfId="21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8" fontId="60" fillId="6" borderId="3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0" fillId="6" borderId="2" xfId="21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8" fontId="0" fillId="6" borderId="3" xfId="21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8" fontId="62" fillId="6" borderId="3" xfId="21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8" fontId="53" fillId="6" borderId="2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18" fillId="6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10" fillId="6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18" fillId="6" borderId="2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10" fillId="0" borderId="0" xfId="21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8" fontId="18" fillId="6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0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0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8" fontId="18" fillId="6" borderId="0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18" fillId="6" borderId="0" xfId="21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8" fontId="63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8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10" fillId="6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64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8" fillId="6" borderId="2" xfId="21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18" fillId="6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0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8" fillId="6" borderId="2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18" fillId="6" borderId="2" xfId="21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8" fontId="63" fillId="6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8" fontId="6" fillId="6" borderId="2" xfId="21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39" fillId="6" borderId="2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18" fillId="6" borderId="2" xfId="21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0" fillId="0" borderId="2" xfId="0" applyFont="false" applyBorder="true" applyAlignment="false" applyProtection="true">
      <alignment horizontal="general" vertical="bottom" textRotation="0" wrapText="false" indent="0" shrinkToFit="false"/>
      <protection locked="true" hidden="true"/>
    </xf>
    <xf numFmtId="165" fontId="27" fillId="0" borderId="2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5" fontId="27" fillId="0" borderId="4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5" fontId="27" fillId="0" borderId="8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5" fontId="12" fillId="18" borderId="2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12" fillId="0" borderId="0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12" fillId="17" borderId="2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5" fontId="12" fillId="17" borderId="2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5" fontId="12" fillId="0" borderId="8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5" fontId="12" fillId="0" borderId="5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5" fontId="12" fillId="0" borderId="6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5" fontId="33" fillId="34" borderId="5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33" fillId="34" borderId="0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12" fillId="18" borderId="5" xfId="0" applyFont="true" applyBorder="true" applyAlignment="true" applyProtection="true">
      <alignment horizontal="left" vertical="center" textRotation="0" wrapText="false" indent="0" shrinkToFit="false"/>
      <protection locked="true" hidden="true"/>
    </xf>
    <xf numFmtId="165" fontId="0" fillId="0" borderId="2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0" borderId="2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0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14" fillId="0" borderId="1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0" fillId="5" borderId="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4" xfId="0" applyFont="fals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2" xfId="0" applyFont="fals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0" fillId="0" borderId="13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13" xfId="0" applyFont="false" applyBorder="true" applyAlignment="true" applyProtection="false">
      <alignment horizontal="right" vertical="bottom" textRotation="0" wrapText="false" indent="0" shrinkToFit="false"/>
      <protection locked="true" hidden="false"/>
    </xf>
  </cellXfs>
  <cellStyles count="10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Обычный 2" xfId="21"/>
    <cellStyle name="Обычный 3" xfId="22"/>
    <cellStyle name="Обычный 6" xfId="23"/>
    <cellStyle name="*unknown*" xfId="20" builtinId="8"/>
  </cellStyles>
  <colors>
    <indexedColors>
      <rgbColor rgb="FF000000"/>
      <rgbColor rgb="FFFFFFFF"/>
      <rgbColor rgb="FFFF0000"/>
      <rgbColor rgb="FFDDD9C3"/>
      <rgbColor rgb="FF0000FF"/>
      <rgbColor rgb="FFFFFF00"/>
      <rgbColor rgb="FFFF00FF"/>
      <rgbColor rgb="FFB7DEE8"/>
      <rgbColor rgb="FF800000"/>
      <rgbColor rgb="FF008000"/>
      <rgbColor rgb="FF0D0D0D"/>
      <rgbColor rgb="FF77933C"/>
      <rgbColor rgb="FF800080"/>
      <rgbColor rgb="FFCCC1DA"/>
      <rgbColor rgb="FFBFBFBF"/>
      <rgbColor rgb="FF808080"/>
      <rgbColor rgb="FF8EB4E3"/>
      <rgbColor rgb="FF4A452A"/>
      <rgbColor rgb="FFFDEADA"/>
      <rgbColor rgb="FFDBEEF4"/>
      <rgbColor rgb="FF660066"/>
      <rgbColor rgb="FFD99694"/>
      <rgbColor rgb="FFE6E0EC"/>
      <rgbColor rgb="FFC6D9F1"/>
      <rgbColor rgb="FF000080"/>
      <rgbColor rgb="FFFF00FF"/>
      <rgbColor rgb="FFFCD5B5"/>
      <rgbColor rgb="FFC3D69B"/>
      <rgbColor rgb="FF800080"/>
      <rgbColor rgb="FF800000"/>
      <rgbColor rgb="FFD9D9D9"/>
      <rgbColor rgb="FF0000FF"/>
      <rgbColor rgb="FF00B0F0"/>
      <rgbColor rgb="FFDCE6F2"/>
      <rgbColor rgb="FFD7E4BD"/>
      <rgbColor rgb="FFF2F2F2"/>
      <rgbColor rgb="FF93CDDD"/>
      <rgbColor rgb="FFE6B9B8"/>
      <rgbColor rgb="FFB3A2C7"/>
      <rgbColor rgb="FFFAC090"/>
      <rgbColor rgb="FFB9CDE5"/>
      <rgbColor rgb="FF95B3D7"/>
      <rgbColor rgb="FF9BBB59"/>
      <rgbColor rgb="FFFFC000"/>
      <rgbColor rgb="FFC4BD97"/>
      <rgbColor rgb="FFE46C0A"/>
      <rgbColor rgb="FF376092"/>
      <rgbColor rgb="FFA6A6A6"/>
      <rgbColor rgb="FF17375E"/>
      <rgbColor rgb="FF4F6228"/>
      <rgbColor rgb="FF10243E"/>
      <rgbColor rgb="FF1E1C11"/>
      <rgbColor rgb="FF984807"/>
      <rgbColor rgb="FF948A54"/>
      <rgbColor rgb="FF444444"/>
      <rgbColor rgb="FF404040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4.png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5.png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image" Target="../media/image6.png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image" Target="../media/image7.png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image" Target="../media/image8.png"/>
</Relationships>
</file>

<file path=xl/drawings/_rels/drawing7.xml.rels><?xml version="1.0" encoding="UTF-8"?>
<Relationships xmlns="http://schemas.openxmlformats.org/package/2006/relationships"><Relationship Id="rId1" Type="http://schemas.openxmlformats.org/officeDocument/2006/relationships/image" Target="../media/image9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57240</xdr:colOff>
      <xdr:row>11</xdr:row>
      <xdr:rowOff>133200</xdr:rowOff>
    </xdr:from>
    <xdr:to>
      <xdr:col>12</xdr:col>
      <xdr:colOff>590400</xdr:colOff>
      <xdr:row>27</xdr:row>
      <xdr:rowOff>85320</xdr:rowOff>
    </xdr:to>
    <xdr:pic>
      <xdr:nvPicPr>
        <xdr:cNvPr id="0" name="Рисунок 2" descr="800.jpg"/>
        <xdr:cNvPicPr/>
      </xdr:nvPicPr>
      <xdr:blipFill>
        <a:blip r:embed="rId1"/>
        <a:stretch/>
      </xdr:blipFill>
      <xdr:spPr>
        <a:xfrm>
          <a:off x="329400" y="2466720"/>
          <a:ext cx="8375400" cy="32857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85680</xdr:colOff>
      <xdr:row>0</xdr:row>
      <xdr:rowOff>171360</xdr:rowOff>
    </xdr:from>
    <xdr:to>
      <xdr:col>3</xdr:col>
      <xdr:colOff>94680</xdr:colOff>
      <xdr:row>10</xdr:row>
      <xdr:rowOff>14040</xdr:rowOff>
    </xdr:to>
    <xdr:pic>
      <xdr:nvPicPr>
        <xdr:cNvPr id="1" name="Рисунок 3" descr="ico.png"/>
        <xdr:cNvPicPr/>
      </xdr:nvPicPr>
      <xdr:blipFill>
        <a:blip r:embed="rId2"/>
        <a:stretch/>
      </xdr:blipFill>
      <xdr:spPr>
        <a:xfrm>
          <a:off x="357840" y="171360"/>
          <a:ext cx="2044800" cy="193788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95400</xdr:colOff>
      <xdr:row>0</xdr:row>
      <xdr:rowOff>66600</xdr:rowOff>
    </xdr:from>
    <xdr:to>
      <xdr:col>0</xdr:col>
      <xdr:colOff>1047600</xdr:colOff>
      <xdr:row>5</xdr:row>
      <xdr:rowOff>85680</xdr:rowOff>
    </xdr:to>
    <xdr:pic>
      <xdr:nvPicPr>
        <xdr:cNvPr id="2" name="Рисунок 866" descr="ico.png"/>
        <xdr:cNvPicPr/>
      </xdr:nvPicPr>
      <xdr:blipFill>
        <a:blip r:embed="rId1"/>
        <a:stretch/>
      </xdr:blipFill>
      <xdr:spPr>
        <a:xfrm>
          <a:off x="95400" y="66600"/>
          <a:ext cx="952200" cy="914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190800</xdr:colOff>
      <xdr:row>2</xdr:row>
      <xdr:rowOff>149040</xdr:rowOff>
    </xdr:from>
    <xdr:to>
      <xdr:col>24</xdr:col>
      <xdr:colOff>147600</xdr:colOff>
      <xdr:row>20</xdr:row>
      <xdr:rowOff>13680</xdr:rowOff>
    </xdr:to>
    <xdr:pic>
      <xdr:nvPicPr>
        <xdr:cNvPr id="3" name="Рисунок 875" descr="1459251171_house-71.png"/>
        <xdr:cNvPicPr/>
      </xdr:nvPicPr>
      <xdr:blipFill>
        <a:blip r:embed="rId2"/>
        <a:stretch/>
      </xdr:blipFill>
      <xdr:spPr>
        <a:xfrm>
          <a:off x="6309000" y="506880"/>
          <a:ext cx="4890600" cy="308808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18</xdr:col>
      <xdr:colOff>0</xdr:colOff>
      <xdr:row>503</xdr:row>
      <xdr:rowOff>18720</xdr:rowOff>
    </xdr:from>
    <xdr:to>
      <xdr:col>28</xdr:col>
      <xdr:colOff>171360</xdr:colOff>
      <xdr:row>503</xdr:row>
      <xdr:rowOff>37800</xdr:rowOff>
    </xdr:to>
    <xdr:sp>
      <xdr:nvSpPr>
        <xdr:cNvPr id="4" name="Прямая соединительная линия 3"/>
        <xdr:cNvSpPr/>
      </xdr:nvSpPr>
      <xdr:spPr>
        <a:xfrm flipH="1" flipV="1">
          <a:off x="9794160" y="10069200"/>
          <a:ext cx="2193840" cy="1908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21</xdr:col>
      <xdr:colOff>57600</xdr:colOff>
      <xdr:row>235</xdr:row>
      <xdr:rowOff>57240</xdr:rowOff>
    </xdr:from>
    <xdr:to>
      <xdr:col>31</xdr:col>
      <xdr:colOff>142920</xdr:colOff>
      <xdr:row>235</xdr:row>
      <xdr:rowOff>57600</xdr:rowOff>
    </xdr:to>
    <xdr:sp>
      <xdr:nvSpPr>
        <xdr:cNvPr id="5" name="Прямая со стрелкой 5"/>
        <xdr:cNvSpPr/>
      </xdr:nvSpPr>
      <xdr:spPr>
        <a:xfrm flipV="1">
          <a:off x="10535760" y="7958160"/>
          <a:ext cx="1996920" cy="36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5875">
          <a:solidFill>
            <a:srgbClr val="000000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10</xdr:col>
      <xdr:colOff>162000</xdr:colOff>
      <xdr:row>235</xdr:row>
      <xdr:rowOff>57240</xdr:rowOff>
    </xdr:from>
    <xdr:to>
      <xdr:col>20</xdr:col>
      <xdr:colOff>228240</xdr:colOff>
      <xdr:row>235</xdr:row>
      <xdr:rowOff>57600</xdr:rowOff>
    </xdr:to>
    <xdr:sp>
      <xdr:nvSpPr>
        <xdr:cNvPr id="6" name="Прямая со стрелкой 7"/>
        <xdr:cNvSpPr/>
      </xdr:nvSpPr>
      <xdr:spPr>
        <a:xfrm flipH="1" flipV="1">
          <a:off x="8294760" y="7958160"/>
          <a:ext cx="2109240" cy="36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5875">
          <a:solidFill>
            <a:srgbClr val="000000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12</xdr:col>
      <xdr:colOff>0</xdr:colOff>
      <xdr:row>503</xdr:row>
      <xdr:rowOff>133200</xdr:rowOff>
    </xdr:from>
    <xdr:to>
      <xdr:col>17</xdr:col>
      <xdr:colOff>161640</xdr:colOff>
      <xdr:row>503</xdr:row>
      <xdr:rowOff>142560</xdr:rowOff>
    </xdr:to>
    <xdr:sp>
      <xdr:nvSpPr>
        <xdr:cNvPr id="7" name="Прямая соединительная линия 9"/>
        <xdr:cNvSpPr/>
      </xdr:nvSpPr>
      <xdr:spPr>
        <a:xfrm flipH="1">
          <a:off x="8515800" y="10183680"/>
          <a:ext cx="1117440" cy="936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12</xdr:col>
      <xdr:colOff>0</xdr:colOff>
      <xdr:row>503</xdr:row>
      <xdr:rowOff>85680</xdr:rowOff>
    </xdr:from>
    <xdr:to>
      <xdr:col>23</xdr:col>
      <xdr:colOff>18360</xdr:colOff>
      <xdr:row>503</xdr:row>
      <xdr:rowOff>85680</xdr:rowOff>
    </xdr:to>
    <xdr:sp>
      <xdr:nvSpPr>
        <xdr:cNvPr id="8" name="Прямая соединительная линия 10"/>
        <xdr:cNvSpPr/>
      </xdr:nvSpPr>
      <xdr:spPr>
        <a:xfrm flipH="1">
          <a:off x="8515800" y="10136160"/>
          <a:ext cx="2363400" cy="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28</xdr:col>
      <xdr:colOff>171360</xdr:colOff>
      <xdr:row>503</xdr:row>
      <xdr:rowOff>142560</xdr:rowOff>
    </xdr:from>
    <xdr:to>
      <xdr:col>28</xdr:col>
      <xdr:colOff>191160</xdr:colOff>
      <xdr:row>503</xdr:row>
      <xdr:rowOff>161640</xdr:rowOff>
    </xdr:to>
    <xdr:sp>
      <xdr:nvSpPr>
        <xdr:cNvPr id="9" name="Прямая соединительная линия 12"/>
        <xdr:cNvSpPr/>
      </xdr:nvSpPr>
      <xdr:spPr>
        <a:xfrm flipH="1">
          <a:off x="11988000" y="10193040"/>
          <a:ext cx="19800" cy="1908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10</xdr:col>
      <xdr:colOff>0</xdr:colOff>
      <xdr:row>503</xdr:row>
      <xdr:rowOff>0</xdr:rowOff>
    </xdr:from>
    <xdr:to>
      <xdr:col>18</xdr:col>
      <xdr:colOff>18720</xdr:colOff>
      <xdr:row>503</xdr:row>
      <xdr:rowOff>142560</xdr:rowOff>
    </xdr:to>
    <xdr:sp>
      <xdr:nvSpPr>
        <xdr:cNvPr id="10" name="Прямая соединительная линия 13"/>
        <xdr:cNvSpPr/>
      </xdr:nvSpPr>
      <xdr:spPr>
        <a:xfrm flipH="1">
          <a:off x="8133480" y="10050480"/>
          <a:ext cx="1679400" cy="14256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12</xdr:col>
      <xdr:colOff>37800</xdr:colOff>
      <xdr:row>503</xdr:row>
      <xdr:rowOff>85680</xdr:rowOff>
    </xdr:from>
    <xdr:to>
      <xdr:col>22</xdr:col>
      <xdr:colOff>191160</xdr:colOff>
      <xdr:row>503</xdr:row>
      <xdr:rowOff>104760</xdr:rowOff>
    </xdr:to>
    <xdr:sp>
      <xdr:nvSpPr>
        <xdr:cNvPr id="11" name="Прямая соединительная линия 14"/>
        <xdr:cNvSpPr/>
      </xdr:nvSpPr>
      <xdr:spPr>
        <a:xfrm flipH="1" flipV="1">
          <a:off x="8553600" y="10136160"/>
          <a:ext cx="2307240" cy="1908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23</xdr:col>
      <xdr:colOff>0</xdr:colOff>
      <xdr:row>503</xdr:row>
      <xdr:rowOff>37800</xdr:rowOff>
    </xdr:from>
    <xdr:to>
      <xdr:col>29</xdr:col>
      <xdr:colOff>9360</xdr:colOff>
      <xdr:row>503</xdr:row>
      <xdr:rowOff>95040</xdr:rowOff>
    </xdr:to>
    <xdr:sp>
      <xdr:nvSpPr>
        <xdr:cNvPr id="12" name="Прямая соединительная линия 16"/>
        <xdr:cNvSpPr/>
      </xdr:nvSpPr>
      <xdr:spPr>
        <a:xfrm flipV="1">
          <a:off x="10860840" y="10088280"/>
          <a:ext cx="1156320" cy="5724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23</xdr:col>
      <xdr:colOff>0</xdr:colOff>
      <xdr:row>503</xdr:row>
      <xdr:rowOff>9360</xdr:rowOff>
    </xdr:from>
    <xdr:to>
      <xdr:col>23</xdr:col>
      <xdr:colOff>0</xdr:colOff>
      <xdr:row>503</xdr:row>
      <xdr:rowOff>152280</xdr:rowOff>
    </xdr:to>
    <xdr:sp>
      <xdr:nvSpPr>
        <xdr:cNvPr id="13" name="Прямая соединительная линия 17"/>
        <xdr:cNvSpPr/>
      </xdr:nvSpPr>
      <xdr:spPr>
        <a:xfrm>
          <a:off x="10860840" y="10059840"/>
          <a:ext cx="0" cy="14292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18</xdr:col>
      <xdr:colOff>0</xdr:colOff>
      <xdr:row>503</xdr:row>
      <xdr:rowOff>18720</xdr:rowOff>
    </xdr:from>
    <xdr:to>
      <xdr:col>18</xdr:col>
      <xdr:colOff>0</xdr:colOff>
      <xdr:row>503</xdr:row>
      <xdr:rowOff>161640</xdr:rowOff>
    </xdr:to>
    <xdr:sp>
      <xdr:nvSpPr>
        <xdr:cNvPr id="14" name="Прямая соединительная линия 19"/>
        <xdr:cNvSpPr/>
      </xdr:nvSpPr>
      <xdr:spPr>
        <a:xfrm>
          <a:off x="9794160" y="10069200"/>
          <a:ext cx="0" cy="14292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12</xdr:col>
      <xdr:colOff>28440</xdr:colOff>
      <xdr:row>503</xdr:row>
      <xdr:rowOff>37800</xdr:rowOff>
    </xdr:from>
    <xdr:to>
      <xdr:col>17</xdr:col>
      <xdr:colOff>152280</xdr:colOff>
      <xdr:row>503</xdr:row>
      <xdr:rowOff>75960</xdr:rowOff>
    </xdr:to>
    <xdr:sp>
      <xdr:nvSpPr>
        <xdr:cNvPr id="15" name="Прямая соединительная линия 21"/>
        <xdr:cNvSpPr/>
      </xdr:nvSpPr>
      <xdr:spPr>
        <a:xfrm flipH="1">
          <a:off x="8544240" y="10088280"/>
          <a:ext cx="1079640" cy="3816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11</xdr:col>
      <xdr:colOff>123840</xdr:colOff>
      <xdr:row>503</xdr:row>
      <xdr:rowOff>9360</xdr:rowOff>
    </xdr:from>
    <xdr:to>
      <xdr:col>21</xdr:col>
      <xdr:colOff>161640</xdr:colOff>
      <xdr:row>503</xdr:row>
      <xdr:rowOff>18360</xdr:rowOff>
    </xdr:to>
    <xdr:sp>
      <xdr:nvSpPr>
        <xdr:cNvPr id="16" name="Прямая со стрелкой 22"/>
        <xdr:cNvSpPr/>
      </xdr:nvSpPr>
      <xdr:spPr>
        <a:xfrm>
          <a:off x="8448480" y="10059840"/>
          <a:ext cx="2191680" cy="900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000000"/>
          </a:solidFill>
          <a:round/>
          <a:headEnd len="med" type="arrow" w="med"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18</xdr:col>
      <xdr:colOff>104040</xdr:colOff>
      <xdr:row>503</xdr:row>
      <xdr:rowOff>28440</xdr:rowOff>
    </xdr:from>
    <xdr:to>
      <xdr:col>18</xdr:col>
      <xdr:colOff>104400</xdr:colOff>
      <xdr:row>503</xdr:row>
      <xdr:rowOff>85320</xdr:rowOff>
    </xdr:to>
    <xdr:sp>
      <xdr:nvSpPr>
        <xdr:cNvPr id="17" name="Прямая со стрелкой 23"/>
        <xdr:cNvSpPr/>
      </xdr:nvSpPr>
      <xdr:spPr>
        <a:xfrm flipH="1">
          <a:off x="9898200" y="10078920"/>
          <a:ext cx="360" cy="5688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000000"/>
          </a:solidFill>
          <a:round/>
          <a:headEnd len="med" type="arrow" w="med"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23</xdr:col>
      <xdr:colOff>114840</xdr:colOff>
      <xdr:row>503</xdr:row>
      <xdr:rowOff>152280</xdr:rowOff>
    </xdr:from>
    <xdr:to>
      <xdr:col>29</xdr:col>
      <xdr:colOff>66960</xdr:colOff>
      <xdr:row>503</xdr:row>
      <xdr:rowOff>161280</xdr:rowOff>
    </xdr:to>
    <xdr:sp>
      <xdr:nvSpPr>
        <xdr:cNvPr id="18" name="Прямая со стрелкой 24"/>
        <xdr:cNvSpPr/>
      </xdr:nvSpPr>
      <xdr:spPr>
        <a:xfrm flipV="1">
          <a:off x="10975320" y="10202040"/>
          <a:ext cx="1099080" cy="900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000000"/>
          </a:solidFill>
          <a:round/>
          <a:headEnd len="med" type="arrow" w="med"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14</xdr:col>
      <xdr:colOff>37800</xdr:colOff>
      <xdr:row>542</xdr:row>
      <xdr:rowOff>0</xdr:rowOff>
    </xdr:from>
    <xdr:to>
      <xdr:col>21</xdr:col>
      <xdr:colOff>18720</xdr:colOff>
      <xdr:row>542</xdr:row>
      <xdr:rowOff>18720</xdr:rowOff>
    </xdr:to>
    <xdr:sp>
      <xdr:nvSpPr>
        <xdr:cNvPr id="19" name="Прямая соединительная линия 25"/>
        <xdr:cNvSpPr/>
      </xdr:nvSpPr>
      <xdr:spPr>
        <a:xfrm flipH="1" flipV="1">
          <a:off x="8935920" y="10408680"/>
          <a:ext cx="1561320" cy="1872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14</xdr:col>
      <xdr:colOff>9360</xdr:colOff>
      <xdr:row>542</xdr:row>
      <xdr:rowOff>9360</xdr:rowOff>
    </xdr:from>
    <xdr:to>
      <xdr:col>14</xdr:col>
      <xdr:colOff>18720</xdr:colOff>
      <xdr:row>542</xdr:row>
      <xdr:rowOff>114120</xdr:rowOff>
    </xdr:to>
    <xdr:sp>
      <xdr:nvSpPr>
        <xdr:cNvPr id="20" name="Прямая соединительная линия 27"/>
        <xdr:cNvSpPr/>
      </xdr:nvSpPr>
      <xdr:spPr>
        <a:xfrm>
          <a:off x="8907480" y="10418040"/>
          <a:ext cx="9360" cy="1047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15</xdr:col>
      <xdr:colOff>0</xdr:colOff>
      <xdr:row>542</xdr:row>
      <xdr:rowOff>9360</xdr:rowOff>
    </xdr:from>
    <xdr:to>
      <xdr:col>23</xdr:col>
      <xdr:colOff>28440</xdr:colOff>
      <xdr:row>542</xdr:row>
      <xdr:rowOff>104760</xdr:rowOff>
    </xdr:to>
    <xdr:sp>
      <xdr:nvSpPr>
        <xdr:cNvPr id="21" name="Прямая соединительная линия 29"/>
        <xdr:cNvSpPr/>
      </xdr:nvSpPr>
      <xdr:spPr>
        <a:xfrm flipH="1">
          <a:off x="9089280" y="10418040"/>
          <a:ext cx="1800000" cy="9540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13</xdr:col>
      <xdr:colOff>18720</xdr:colOff>
      <xdr:row>542</xdr:row>
      <xdr:rowOff>0</xdr:rowOff>
    </xdr:from>
    <xdr:to>
      <xdr:col>13</xdr:col>
      <xdr:colOff>171360</xdr:colOff>
      <xdr:row>542</xdr:row>
      <xdr:rowOff>114120</xdr:rowOff>
    </xdr:to>
    <xdr:sp>
      <xdr:nvSpPr>
        <xdr:cNvPr id="22" name="Прямая соединительная линия 32"/>
        <xdr:cNvSpPr/>
      </xdr:nvSpPr>
      <xdr:spPr>
        <a:xfrm flipH="1" flipV="1">
          <a:off x="8725680" y="10408680"/>
          <a:ext cx="152640" cy="11412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23</xdr:col>
      <xdr:colOff>18720</xdr:colOff>
      <xdr:row>542</xdr:row>
      <xdr:rowOff>18720</xdr:rowOff>
    </xdr:from>
    <xdr:to>
      <xdr:col>32</xdr:col>
      <xdr:colOff>123480</xdr:colOff>
      <xdr:row>542</xdr:row>
      <xdr:rowOff>95040</xdr:rowOff>
    </xdr:to>
    <xdr:sp>
      <xdr:nvSpPr>
        <xdr:cNvPr id="23" name="Прямая соединительная линия 33"/>
        <xdr:cNvSpPr/>
      </xdr:nvSpPr>
      <xdr:spPr>
        <a:xfrm flipH="1" flipV="1">
          <a:off x="10879560" y="10427400"/>
          <a:ext cx="1824840" cy="7632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28</xdr:col>
      <xdr:colOff>18720</xdr:colOff>
      <xdr:row>542</xdr:row>
      <xdr:rowOff>85680</xdr:rowOff>
    </xdr:from>
    <xdr:to>
      <xdr:col>31</xdr:col>
      <xdr:colOff>75960</xdr:colOff>
      <xdr:row>542</xdr:row>
      <xdr:rowOff>85680</xdr:rowOff>
    </xdr:to>
    <xdr:sp>
      <xdr:nvSpPr>
        <xdr:cNvPr id="24" name="Прямая соединительная линия 34"/>
        <xdr:cNvSpPr/>
      </xdr:nvSpPr>
      <xdr:spPr>
        <a:xfrm>
          <a:off x="11835360" y="10494360"/>
          <a:ext cx="630720" cy="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15</xdr:col>
      <xdr:colOff>171360</xdr:colOff>
      <xdr:row>542</xdr:row>
      <xdr:rowOff>95040</xdr:rowOff>
    </xdr:from>
    <xdr:to>
      <xdr:col>31</xdr:col>
      <xdr:colOff>85680</xdr:colOff>
      <xdr:row>542</xdr:row>
      <xdr:rowOff>161640</xdr:rowOff>
    </xdr:to>
    <xdr:sp>
      <xdr:nvSpPr>
        <xdr:cNvPr id="25" name="Прямая соединительная линия 35"/>
        <xdr:cNvSpPr/>
      </xdr:nvSpPr>
      <xdr:spPr>
        <a:xfrm flipH="1" flipV="1">
          <a:off x="9260640" y="10503720"/>
          <a:ext cx="3215160" cy="6660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28</xdr:col>
      <xdr:colOff>9360</xdr:colOff>
      <xdr:row>542</xdr:row>
      <xdr:rowOff>161640</xdr:rowOff>
    </xdr:from>
    <xdr:to>
      <xdr:col>31</xdr:col>
      <xdr:colOff>66600</xdr:colOff>
      <xdr:row>542</xdr:row>
      <xdr:rowOff>161640</xdr:rowOff>
    </xdr:to>
    <xdr:sp>
      <xdr:nvSpPr>
        <xdr:cNvPr id="26" name="Прямая соединительная линия 37"/>
        <xdr:cNvSpPr/>
      </xdr:nvSpPr>
      <xdr:spPr>
        <a:xfrm>
          <a:off x="11826000" y="10570320"/>
          <a:ext cx="630720" cy="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13</xdr:col>
      <xdr:colOff>19080</xdr:colOff>
      <xdr:row>542</xdr:row>
      <xdr:rowOff>142560</xdr:rowOff>
    </xdr:from>
    <xdr:to>
      <xdr:col>13</xdr:col>
      <xdr:colOff>38160</xdr:colOff>
      <xdr:row>542</xdr:row>
      <xdr:rowOff>142560</xdr:rowOff>
    </xdr:to>
    <xdr:sp>
      <xdr:nvSpPr>
        <xdr:cNvPr id="27" name="Прямая соединительная линия 39"/>
        <xdr:cNvSpPr/>
      </xdr:nvSpPr>
      <xdr:spPr>
        <a:xfrm flipV="1">
          <a:off x="8735400" y="10541880"/>
          <a:ext cx="0" cy="1908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15</xdr:col>
      <xdr:colOff>171360</xdr:colOff>
      <xdr:row>542</xdr:row>
      <xdr:rowOff>37800</xdr:rowOff>
    </xdr:from>
    <xdr:to>
      <xdr:col>31</xdr:col>
      <xdr:colOff>75960</xdr:colOff>
      <xdr:row>542</xdr:row>
      <xdr:rowOff>85680</xdr:rowOff>
    </xdr:to>
    <xdr:sp>
      <xdr:nvSpPr>
        <xdr:cNvPr id="28" name="Прямая соединительная линия 41"/>
        <xdr:cNvSpPr/>
      </xdr:nvSpPr>
      <xdr:spPr>
        <a:xfrm flipH="1" flipV="1">
          <a:off x="9260640" y="10446480"/>
          <a:ext cx="3205440" cy="4788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15</xdr:col>
      <xdr:colOff>143640</xdr:colOff>
      <xdr:row>542</xdr:row>
      <xdr:rowOff>95040</xdr:rowOff>
    </xdr:from>
    <xdr:to>
      <xdr:col>16</xdr:col>
      <xdr:colOff>47520</xdr:colOff>
      <xdr:row>542</xdr:row>
      <xdr:rowOff>95040</xdr:rowOff>
    </xdr:to>
    <xdr:sp>
      <xdr:nvSpPr>
        <xdr:cNvPr id="29" name="Прямая соединительная линия 42"/>
        <xdr:cNvSpPr/>
      </xdr:nvSpPr>
      <xdr:spPr>
        <a:xfrm flipV="1">
          <a:off x="9280440" y="10456200"/>
          <a:ext cx="0" cy="9504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13</xdr:col>
      <xdr:colOff>47520</xdr:colOff>
      <xdr:row>542</xdr:row>
      <xdr:rowOff>95040</xdr:rowOff>
    </xdr:from>
    <xdr:to>
      <xdr:col>15</xdr:col>
      <xdr:colOff>180720</xdr:colOff>
      <xdr:row>542</xdr:row>
      <xdr:rowOff>95040</xdr:rowOff>
    </xdr:to>
    <xdr:sp>
      <xdr:nvSpPr>
        <xdr:cNvPr id="30" name="Прямая соединительная линия 43"/>
        <xdr:cNvSpPr/>
      </xdr:nvSpPr>
      <xdr:spPr>
        <a:xfrm>
          <a:off x="8754480" y="10503720"/>
          <a:ext cx="515520" cy="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23</xdr:col>
      <xdr:colOff>18720</xdr:colOff>
      <xdr:row>542</xdr:row>
      <xdr:rowOff>9360</xdr:rowOff>
    </xdr:from>
    <xdr:to>
      <xdr:col>28</xdr:col>
      <xdr:colOff>104760</xdr:colOff>
      <xdr:row>542</xdr:row>
      <xdr:rowOff>9360</xdr:rowOff>
    </xdr:to>
    <xdr:sp>
      <xdr:nvSpPr>
        <xdr:cNvPr id="31" name="Прямая соединительная линия 44"/>
        <xdr:cNvSpPr/>
      </xdr:nvSpPr>
      <xdr:spPr>
        <a:xfrm flipH="1">
          <a:off x="10879560" y="10418040"/>
          <a:ext cx="1041840" cy="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11</xdr:col>
      <xdr:colOff>133200</xdr:colOff>
      <xdr:row>542</xdr:row>
      <xdr:rowOff>18720</xdr:rowOff>
    </xdr:from>
    <xdr:to>
      <xdr:col>23</xdr:col>
      <xdr:colOff>37800</xdr:colOff>
      <xdr:row>542</xdr:row>
      <xdr:rowOff>114120</xdr:rowOff>
    </xdr:to>
    <xdr:sp>
      <xdr:nvSpPr>
        <xdr:cNvPr id="32" name="Прямая соединительная линия 45"/>
        <xdr:cNvSpPr/>
      </xdr:nvSpPr>
      <xdr:spPr>
        <a:xfrm flipV="1">
          <a:off x="8457840" y="10427400"/>
          <a:ext cx="2440800" cy="9540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12</xdr:col>
      <xdr:colOff>142560</xdr:colOff>
      <xdr:row>542</xdr:row>
      <xdr:rowOff>9360</xdr:rowOff>
    </xdr:from>
    <xdr:to>
      <xdr:col>23</xdr:col>
      <xdr:colOff>47520</xdr:colOff>
      <xdr:row>542</xdr:row>
      <xdr:rowOff>9360</xdr:rowOff>
    </xdr:to>
    <xdr:sp>
      <xdr:nvSpPr>
        <xdr:cNvPr id="33" name="Прямая соединительная линия 46"/>
        <xdr:cNvSpPr/>
      </xdr:nvSpPr>
      <xdr:spPr>
        <a:xfrm>
          <a:off x="8658360" y="10418040"/>
          <a:ext cx="2250000" cy="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20</xdr:col>
      <xdr:colOff>218880</xdr:colOff>
      <xdr:row>542</xdr:row>
      <xdr:rowOff>0</xdr:rowOff>
    </xdr:from>
    <xdr:to>
      <xdr:col>23</xdr:col>
      <xdr:colOff>37800</xdr:colOff>
      <xdr:row>542</xdr:row>
      <xdr:rowOff>75960</xdr:rowOff>
    </xdr:to>
    <xdr:sp>
      <xdr:nvSpPr>
        <xdr:cNvPr id="34" name="Прямая соединительная линия 47"/>
        <xdr:cNvSpPr/>
      </xdr:nvSpPr>
      <xdr:spPr>
        <a:xfrm flipV="1">
          <a:off x="10395360" y="10408680"/>
          <a:ext cx="503280" cy="759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13</xdr:col>
      <xdr:colOff>162000</xdr:colOff>
      <xdr:row>542</xdr:row>
      <xdr:rowOff>9360</xdr:rowOff>
    </xdr:from>
    <xdr:to>
      <xdr:col>20</xdr:col>
      <xdr:colOff>75960</xdr:colOff>
      <xdr:row>542</xdr:row>
      <xdr:rowOff>151920</xdr:rowOff>
    </xdr:to>
    <xdr:sp>
      <xdr:nvSpPr>
        <xdr:cNvPr id="35" name="Прямая со стрелкой 48"/>
        <xdr:cNvSpPr/>
      </xdr:nvSpPr>
      <xdr:spPr>
        <a:xfrm>
          <a:off x="8868960" y="10418040"/>
          <a:ext cx="1383480" cy="14256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000000"/>
          </a:solidFill>
          <a:round/>
          <a:headEnd len="med" type="arrow" w="med"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28</xdr:col>
      <xdr:colOff>85680</xdr:colOff>
      <xdr:row>542</xdr:row>
      <xdr:rowOff>123840</xdr:rowOff>
    </xdr:from>
    <xdr:to>
      <xdr:col>31</xdr:col>
      <xdr:colOff>161640</xdr:colOff>
      <xdr:row>542</xdr:row>
      <xdr:rowOff>151920</xdr:rowOff>
    </xdr:to>
    <xdr:sp>
      <xdr:nvSpPr>
        <xdr:cNvPr id="36" name="Прямая со стрелкой 51"/>
        <xdr:cNvSpPr/>
      </xdr:nvSpPr>
      <xdr:spPr>
        <a:xfrm flipH="1">
          <a:off x="11902320" y="10532520"/>
          <a:ext cx="649440" cy="2808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000000"/>
          </a:solidFill>
          <a:round/>
          <a:headEnd len="med" type="arrow" w="med"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16</xdr:col>
      <xdr:colOff>9360</xdr:colOff>
      <xdr:row>542</xdr:row>
      <xdr:rowOff>85680</xdr:rowOff>
    </xdr:from>
    <xdr:to>
      <xdr:col>31</xdr:col>
      <xdr:colOff>85320</xdr:colOff>
      <xdr:row>542</xdr:row>
      <xdr:rowOff>86040</xdr:rowOff>
    </xdr:to>
    <xdr:sp>
      <xdr:nvSpPr>
        <xdr:cNvPr id="37" name="Прямая со стрелкой 53"/>
        <xdr:cNvSpPr/>
      </xdr:nvSpPr>
      <xdr:spPr>
        <a:xfrm>
          <a:off x="9289800" y="10494360"/>
          <a:ext cx="3185640" cy="36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000000"/>
          </a:solidFill>
          <a:round/>
          <a:headEnd len="med" type="arrow" w="med"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14</xdr:col>
      <xdr:colOff>9360</xdr:colOff>
      <xdr:row>542</xdr:row>
      <xdr:rowOff>66600</xdr:rowOff>
    </xdr:from>
    <xdr:to>
      <xdr:col>21</xdr:col>
      <xdr:colOff>9360</xdr:colOff>
      <xdr:row>542</xdr:row>
      <xdr:rowOff>75960</xdr:rowOff>
    </xdr:to>
    <xdr:sp>
      <xdr:nvSpPr>
        <xdr:cNvPr id="38" name="Прямая соединительная линия 54"/>
        <xdr:cNvSpPr/>
      </xdr:nvSpPr>
      <xdr:spPr>
        <a:xfrm flipH="1" flipV="1">
          <a:off x="8907480" y="10475280"/>
          <a:ext cx="1580400" cy="93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21</xdr:col>
      <xdr:colOff>0</xdr:colOff>
      <xdr:row>542</xdr:row>
      <xdr:rowOff>18720</xdr:rowOff>
    </xdr:from>
    <xdr:to>
      <xdr:col>28</xdr:col>
      <xdr:colOff>18720</xdr:colOff>
      <xdr:row>542</xdr:row>
      <xdr:rowOff>66600</xdr:rowOff>
    </xdr:to>
    <xdr:sp>
      <xdr:nvSpPr>
        <xdr:cNvPr id="39" name="Прямая соединительная линия 55"/>
        <xdr:cNvSpPr/>
      </xdr:nvSpPr>
      <xdr:spPr>
        <a:xfrm flipH="1">
          <a:off x="10478520" y="10427400"/>
          <a:ext cx="1356840" cy="4788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28</xdr:col>
      <xdr:colOff>28440</xdr:colOff>
      <xdr:row>542</xdr:row>
      <xdr:rowOff>9360</xdr:rowOff>
    </xdr:from>
    <xdr:to>
      <xdr:col>31</xdr:col>
      <xdr:colOff>85680</xdr:colOff>
      <xdr:row>542</xdr:row>
      <xdr:rowOff>9360</xdr:rowOff>
    </xdr:to>
    <xdr:sp>
      <xdr:nvSpPr>
        <xdr:cNvPr id="40" name="Прямая соединительная линия 56"/>
        <xdr:cNvSpPr/>
      </xdr:nvSpPr>
      <xdr:spPr>
        <a:xfrm>
          <a:off x="11845080" y="10418040"/>
          <a:ext cx="630720" cy="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13</xdr:col>
      <xdr:colOff>9360</xdr:colOff>
      <xdr:row>542</xdr:row>
      <xdr:rowOff>133200</xdr:rowOff>
    </xdr:from>
    <xdr:to>
      <xdr:col>15</xdr:col>
      <xdr:colOff>161640</xdr:colOff>
      <xdr:row>542</xdr:row>
      <xdr:rowOff>133200</xdr:rowOff>
    </xdr:to>
    <xdr:sp>
      <xdr:nvSpPr>
        <xdr:cNvPr id="41" name="Прямая соединительная линия 59"/>
        <xdr:cNvSpPr/>
      </xdr:nvSpPr>
      <xdr:spPr>
        <a:xfrm>
          <a:off x="8716320" y="10541880"/>
          <a:ext cx="534600" cy="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32</xdr:col>
      <xdr:colOff>161280</xdr:colOff>
      <xdr:row>542</xdr:row>
      <xdr:rowOff>85680</xdr:rowOff>
    </xdr:from>
    <xdr:to>
      <xdr:col>32</xdr:col>
      <xdr:colOff>170280</xdr:colOff>
      <xdr:row>542</xdr:row>
      <xdr:rowOff>161640</xdr:rowOff>
    </xdr:to>
    <xdr:sp>
      <xdr:nvSpPr>
        <xdr:cNvPr id="42" name="Прямая со стрелкой 60"/>
        <xdr:cNvSpPr/>
      </xdr:nvSpPr>
      <xdr:spPr>
        <a:xfrm flipH="1">
          <a:off x="12742200" y="10494360"/>
          <a:ext cx="9000" cy="7596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000000"/>
          </a:solidFill>
          <a:round/>
          <a:headEnd len="med" type="arrow" w="med"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9</xdr:col>
      <xdr:colOff>152280</xdr:colOff>
      <xdr:row>596</xdr:row>
      <xdr:rowOff>162000</xdr:rowOff>
    </xdr:from>
    <xdr:to>
      <xdr:col>14</xdr:col>
      <xdr:colOff>47160</xdr:colOff>
      <xdr:row>596</xdr:row>
      <xdr:rowOff>162360</xdr:rowOff>
    </xdr:to>
    <xdr:sp>
      <xdr:nvSpPr>
        <xdr:cNvPr id="43" name="Прямая со стрелкой 61"/>
        <xdr:cNvSpPr/>
      </xdr:nvSpPr>
      <xdr:spPr>
        <a:xfrm>
          <a:off x="8094600" y="10928880"/>
          <a:ext cx="850680" cy="36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000000"/>
          </a:solidFill>
          <a:round/>
          <a:headEnd len="med" type="arrow" w="med"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9</xdr:col>
      <xdr:colOff>114120</xdr:colOff>
      <xdr:row>235</xdr:row>
      <xdr:rowOff>56880</xdr:rowOff>
    </xdr:from>
    <xdr:to>
      <xdr:col>9</xdr:col>
      <xdr:colOff>114120</xdr:colOff>
      <xdr:row>235</xdr:row>
      <xdr:rowOff>114120</xdr:rowOff>
    </xdr:to>
    <xdr:sp>
      <xdr:nvSpPr>
        <xdr:cNvPr id="44" name="Прямая соединительная линия 63"/>
        <xdr:cNvSpPr/>
      </xdr:nvSpPr>
      <xdr:spPr>
        <a:xfrm>
          <a:off x="8056440" y="7958520"/>
          <a:ext cx="0" cy="5724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12</xdr:col>
      <xdr:colOff>18720</xdr:colOff>
      <xdr:row>503</xdr:row>
      <xdr:rowOff>9360</xdr:rowOff>
    </xdr:from>
    <xdr:to>
      <xdr:col>22</xdr:col>
      <xdr:colOff>161640</xdr:colOff>
      <xdr:row>503</xdr:row>
      <xdr:rowOff>28440</xdr:rowOff>
    </xdr:to>
    <xdr:sp>
      <xdr:nvSpPr>
        <xdr:cNvPr id="45" name="Прямая соединительная линия 64"/>
        <xdr:cNvSpPr/>
      </xdr:nvSpPr>
      <xdr:spPr>
        <a:xfrm flipH="1" flipV="1">
          <a:off x="8534520" y="10059840"/>
          <a:ext cx="2296800" cy="1908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23</xdr:col>
      <xdr:colOff>0</xdr:colOff>
      <xdr:row>503</xdr:row>
      <xdr:rowOff>152280</xdr:rowOff>
    </xdr:from>
    <xdr:to>
      <xdr:col>28</xdr:col>
      <xdr:colOff>191160</xdr:colOff>
      <xdr:row>503</xdr:row>
      <xdr:rowOff>161640</xdr:rowOff>
    </xdr:to>
    <xdr:sp>
      <xdr:nvSpPr>
        <xdr:cNvPr id="46" name="Прямая соединительная линия 65"/>
        <xdr:cNvSpPr/>
      </xdr:nvSpPr>
      <xdr:spPr>
        <a:xfrm flipV="1">
          <a:off x="10860840" y="10202760"/>
          <a:ext cx="1146960" cy="93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12</xdr:col>
      <xdr:colOff>28440</xdr:colOff>
      <xdr:row>503</xdr:row>
      <xdr:rowOff>28440</xdr:rowOff>
    </xdr:from>
    <xdr:to>
      <xdr:col>18</xdr:col>
      <xdr:colOff>18720</xdr:colOff>
      <xdr:row>503</xdr:row>
      <xdr:rowOff>28440</xdr:rowOff>
    </xdr:to>
    <xdr:sp>
      <xdr:nvSpPr>
        <xdr:cNvPr id="47" name="Прямая соединительная линия 66"/>
        <xdr:cNvSpPr/>
      </xdr:nvSpPr>
      <xdr:spPr>
        <a:xfrm flipH="1">
          <a:off x="8544240" y="10078920"/>
          <a:ext cx="1268640" cy="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24</xdr:col>
      <xdr:colOff>0</xdr:colOff>
      <xdr:row>973</xdr:row>
      <xdr:rowOff>75960</xdr:rowOff>
    </xdr:from>
    <xdr:to>
      <xdr:col>33</xdr:col>
      <xdr:colOff>47520</xdr:colOff>
      <xdr:row>973</xdr:row>
      <xdr:rowOff>114120</xdr:rowOff>
    </xdr:to>
    <xdr:sp>
      <xdr:nvSpPr>
        <xdr:cNvPr id="48" name="Прямая соединительная линия 68"/>
        <xdr:cNvSpPr/>
      </xdr:nvSpPr>
      <xdr:spPr>
        <a:xfrm flipV="1">
          <a:off x="11052000" y="12991680"/>
          <a:ext cx="1767600" cy="381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18</xdr:col>
      <xdr:colOff>0</xdr:colOff>
      <xdr:row>973</xdr:row>
      <xdr:rowOff>18720</xdr:rowOff>
    </xdr:from>
    <xdr:to>
      <xdr:col>18</xdr:col>
      <xdr:colOff>9360</xdr:colOff>
      <xdr:row>973</xdr:row>
      <xdr:rowOff>18720</xdr:rowOff>
    </xdr:to>
    <xdr:sp>
      <xdr:nvSpPr>
        <xdr:cNvPr id="49" name="Прямая соединительная линия 69"/>
        <xdr:cNvSpPr/>
      </xdr:nvSpPr>
      <xdr:spPr>
        <a:xfrm flipH="1">
          <a:off x="9794160" y="12934440"/>
          <a:ext cx="9360" cy="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7</xdr:col>
      <xdr:colOff>152280</xdr:colOff>
      <xdr:row>973</xdr:row>
      <xdr:rowOff>28440</xdr:rowOff>
    </xdr:from>
    <xdr:to>
      <xdr:col>23</xdr:col>
      <xdr:colOff>171000</xdr:colOff>
      <xdr:row>973</xdr:row>
      <xdr:rowOff>94680</xdr:rowOff>
    </xdr:to>
    <xdr:sp>
      <xdr:nvSpPr>
        <xdr:cNvPr id="50" name="Прямая со стрелкой 70"/>
        <xdr:cNvSpPr/>
      </xdr:nvSpPr>
      <xdr:spPr>
        <a:xfrm>
          <a:off x="7590960" y="12944160"/>
          <a:ext cx="3440880" cy="6624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000000"/>
          </a:solidFill>
          <a:round/>
          <a:headEnd len="med" type="arrow" w="med"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24</xdr:col>
      <xdr:colOff>37440</xdr:colOff>
      <xdr:row>973</xdr:row>
      <xdr:rowOff>114120</xdr:rowOff>
    </xdr:from>
    <xdr:to>
      <xdr:col>24</xdr:col>
      <xdr:colOff>46800</xdr:colOff>
      <xdr:row>973</xdr:row>
      <xdr:rowOff>123480</xdr:rowOff>
    </xdr:to>
    <xdr:sp>
      <xdr:nvSpPr>
        <xdr:cNvPr id="51" name="Прямая соединительная линия 72"/>
        <xdr:cNvSpPr/>
      </xdr:nvSpPr>
      <xdr:spPr>
        <a:xfrm>
          <a:off x="11089440" y="13029840"/>
          <a:ext cx="9360" cy="93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7</xdr:col>
      <xdr:colOff>285480</xdr:colOff>
      <xdr:row>973</xdr:row>
      <xdr:rowOff>28440</xdr:rowOff>
    </xdr:from>
    <xdr:to>
      <xdr:col>7</xdr:col>
      <xdr:colOff>312480</xdr:colOff>
      <xdr:row>973</xdr:row>
      <xdr:rowOff>56880</xdr:rowOff>
    </xdr:to>
    <xdr:sp>
      <xdr:nvSpPr>
        <xdr:cNvPr id="52" name="Прямая соединительная линия 73"/>
        <xdr:cNvSpPr/>
      </xdr:nvSpPr>
      <xdr:spPr>
        <a:xfrm>
          <a:off x="7724160" y="12944160"/>
          <a:ext cx="27000" cy="2844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33</xdr:col>
      <xdr:colOff>28440</xdr:colOff>
      <xdr:row>973</xdr:row>
      <xdr:rowOff>56880</xdr:rowOff>
    </xdr:from>
    <xdr:to>
      <xdr:col>33</xdr:col>
      <xdr:colOff>28440</xdr:colOff>
      <xdr:row>973</xdr:row>
      <xdr:rowOff>66600</xdr:rowOff>
    </xdr:to>
    <xdr:sp>
      <xdr:nvSpPr>
        <xdr:cNvPr id="53" name="Прямая соединительная линия 74"/>
        <xdr:cNvSpPr/>
      </xdr:nvSpPr>
      <xdr:spPr>
        <a:xfrm>
          <a:off x="12800520" y="12972600"/>
          <a:ext cx="0" cy="972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8</xdr:col>
      <xdr:colOff>0</xdr:colOff>
      <xdr:row>973</xdr:row>
      <xdr:rowOff>37800</xdr:rowOff>
    </xdr:from>
    <xdr:to>
      <xdr:col>23</xdr:col>
      <xdr:colOff>191160</xdr:colOff>
      <xdr:row>973</xdr:row>
      <xdr:rowOff>114120</xdr:rowOff>
    </xdr:to>
    <xdr:sp>
      <xdr:nvSpPr>
        <xdr:cNvPr id="54" name="Прямая соединительная линия 75"/>
        <xdr:cNvSpPr/>
      </xdr:nvSpPr>
      <xdr:spPr>
        <a:xfrm flipH="1" flipV="1">
          <a:off x="7751160" y="12953520"/>
          <a:ext cx="3300840" cy="7632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23</xdr:col>
      <xdr:colOff>161640</xdr:colOff>
      <xdr:row>973</xdr:row>
      <xdr:rowOff>28440</xdr:rowOff>
    </xdr:from>
    <xdr:to>
      <xdr:col>33</xdr:col>
      <xdr:colOff>28440</xdr:colOff>
      <xdr:row>973</xdr:row>
      <xdr:rowOff>114120</xdr:rowOff>
    </xdr:to>
    <xdr:sp>
      <xdr:nvSpPr>
        <xdr:cNvPr id="55" name="Прямая соединительная линия 76"/>
        <xdr:cNvSpPr/>
      </xdr:nvSpPr>
      <xdr:spPr>
        <a:xfrm flipV="1">
          <a:off x="11022480" y="12944160"/>
          <a:ext cx="1778040" cy="8568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8</xdr:col>
      <xdr:colOff>18720</xdr:colOff>
      <xdr:row>973</xdr:row>
      <xdr:rowOff>9360</xdr:rowOff>
    </xdr:from>
    <xdr:to>
      <xdr:col>17</xdr:col>
      <xdr:colOff>322560</xdr:colOff>
      <xdr:row>973</xdr:row>
      <xdr:rowOff>18720</xdr:rowOff>
    </xdr:to>
    <xdr:sp>
      <xdr:nvSpPr>
        <xdr:cNvPr id="56" name="Прямая соединительная линия 77"/>
        <xdr:cNvSpPr/>
      </xdr:nvSpPr>
      <xdr:spPr>
        <a:xfrm flipH="1">
          <a:off x="7769880" y="12925080"/>
          <a:ext cx="2024280" cy="936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18</xdr:col>
      <xdr:colOff>0</xdr:colOff>
      <xdr:row>973</xdr:row>
      <xdr:rowOff>28440</xdr:rowOff>
    </xdr:from>
    <xdr:to>
      <xdr:col>33</xdr:col>
      <xdr:colOff>37800</xdr:colOff>
      <xdr:row>973</xdr:row>
      <xdr:rowOff>37800</xdr:rowOff>
    </xdr:to>
    <xdr:sp>
      <xdr:nvSpPr>
        <xdr:cNvPr id="57" name="Прямая соединительная линия 78"/>
        <xdr:cNvSpPr/>
      </xdr:nvSpPr>
      <xdr:spPr>
        <a:xfrm flipH="1" flipV="1">
          <a:off x="9794160" y="12944160"/>
          <a:ext cx="3015720" cy="936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20</xdr:col>
      <xdr:colOff>162000</xdr:colOff>
      <xdr:row>973</xdr:row>
      <xdr:rowOff>9360</xdr:rowOff>
    </xdr:from>
    <xdr:to>
      <xdr:col>20</xdr:col>
      <xdr:colOff>171000</xdr:colOff>
      <xdr:row>973</xdr:row>
      <xdr:rowOff>85320</xdr:rowOff>
    </xdr:to>
    <xdr:sp>
      <xdr:nvSpPr>
        <xdr:cNvPr id="58" name="Прямая со стрелкой 79"/>
        <xdr:cNvSpPr/>
      </xdr:nvSpPr>
      <xdr:spPr>
        <a:xfrm>
          <a:off x="10338480" y="12925080"/>
          <a:ext cx="9000" cy="7596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000000"/>
          </a:solidFill>
          <a:round/>
          <a:headEnd len="med" type="arrow" w="med"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8</xdr:col>
      <xdr:colOff>0</xdr:colOff>
      <xdr:row>973</xdr:row>
      <xdr:rowOff>47520</xdr:rowOff>
    </xdr:from>
    <xdr:to>
      <xdr:col>23</xdr:col>
      <xdr:colOff>191160</xdr:colOff>
      <xdr:row>973</xdr:row>
      <xdr:rowOff>123480</xdr:rowOff>
    </xdr:to>
    <xdr:sp>
      <xdr:nvSpPr>
        <xdr:cNvPr id="59" name="Прямая соединительная линия 80"/>
        <xdr:cNvSpPr/>
      </xdr:nvSpPr>
      <xdr:spPr>
        <a:xfrm flipH="1" flipV="1">
          <a:off x="7751160" y="12963240"/>
          <a:ext cx="3300840" cy="759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18</xdr:col>
      <xdr:colOff>9360</xdr:colOff>
      <xdr:row>973</xdr:row>
      <xdr:rowOff>9360</xdr:rowOff>
    </xdr:from>
    <xdr:to>
      <xdr:col>33</xdr:col>
      <xdr:colOff>47520</xdr:colOff>
      <xdr:row>973</xdr:row>
      <xdr:rowOff>56880</xdr:rowOff>
    </xdr:to>
    <xdr:sp>
      <xdr:nvSpPr>
        <xdr:cNvPr id="60" name="Прямая соединительная линия 81"/>
        <xdr:cNvSpPr/>
      </xdr:nvSpPr>
      <xdr:spPr>
        <a:xfrm flipH="1" flipV="1">
          <a:off x="9803520" y="12925080"/>
          <a:ext cx="3016080" cy="4752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7</xdr:col>
      <xdr:colOff>276120</xdr:colOff>
      <xdr:row>973</xdr:row>
      <xdr:rowOff>18720</xdr:rowOff>
    </xdr:from>
    <xdr:to>
      <xdr:col>18</xdr:col>
      <xdr:colOff>9360</xdr:colOff>
      <xdr:row>973</xdr:row>
      <xdr:rowOff>37800</xdr:rowOff>
    </xdr:to>
    <xdr:sp>
      <xdr:nvSpPr>
        <xdr:cNvPr id="61" name="Прямая соединительная линия 82"/>
        <xdr:cNvSpPr/>
      </xdr:nvSpPr>
      <xdr:spPr>
        <a:xfrm flipV="1">
          <a:off x="7714800" y="12934440"/>
          <a:ext cx="2088720" cy="1908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18</xdr:col>
      <xdr:colOff>9360</xdr:colOff>
      <xdr:row>973</xdr:row>
      <xdr:rowOff>0</xdr:rowOff>
    </xdr:from>
    <xdr:to>
      <xdr:col>18</xdr:col>
      <xdr:colOff>18720</xdr:colOff>
      <xdr:row>973</xdr:row>
      <xdr:rowOff>9360</xdr:rowOff>
    </xdr:to>
    <xdr:sp>
      <xdr:nvSpPr>
        <xdr:cNvPr id="62" name="Прямая соединительная линия 83"/>
        <xdr:cNvSpPr/>
      </xdr:nvSpPr>
      <xdr:spPr>
        <a:xfrm flipH="1">
          <a:off x="9803520" y="12915720"/>
          <a:ext cx="9360" cy="93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11</xdr:col>
      <xdr:colOff>95400</xdr:colOff>
      <xdr:row>973</xdr:row>
      <xdr:rowOff>85680</xdr:rowOff>
    </xdr:from>
    <xdr:to>
      <xdr:col>21</xdr:col>
      <xdr:colOff>142560</xdr:colOff>
      <xdr:row>973</xdr:row>
      <xdr:rowOff>86040</xdr:rowOff>
    </xdr:to>
    <xdr:sp>
      <xdr:nvSpPr>
        <xdr:cNvPr id="63" name="Прямая со стрелкой 84"/>
        <xdr:cNvSpPr/>
      </xdr:nvSpPr>
      <xdr:spPr>
        <a:xfrm flipH="1" flipV="1">
          <a:off x="8420040" y="13000680"/>
          <a:ext cx="2201040" cy="36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5875">
          <a:solidFill>
            <a:srgbClr val="000000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8</xdr:col>
      <xdr:colOff>123480</xdr:colOff>
      <xdr:row>326</xdr:row>
      <xdr:rowOff>0</xdr:rowOff>
    </xdr:from>
    <xdr:to>
      <xdr:col>14</xdr:col>
      <xdr:colOff>6120</xdr:colOff>
      <xdr:row>326</xdr:row>
      <xdr:rowOff>142560</xdr:rowOff>
    </xdr:to>
    <xdr:sp>
      <xdr:nvSpPr>
        <xdr:cNvPr id="64" name="Прямая соединительная линия 86"/>
        <xdr:cNvSpPr/>
      </xdr:nvSpPr>
      <xdr:spPr>
        <a:xfrm flipH="1">
          <a:off x="7874640" y="8618040"/>
          <a:ext cx="1029600" cy="1425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14</xdr:col>
      <xdr:colOff>6120</xdr:colOff>
      <xdr:row>326</xdr:row>
      <xdr:rowOff>0</xdr:rowOff>
    </xdr:from>
    <xdr:to>
      <xdr:col>19</xdr:col>
      <xdr:colOff>66600</xdr:colOff>
      <xdr:row>326</xdr:row>
      <xdr:rowOff>66600</xdr:rowOff>
    </xdr:to>
    <xdr:sp>
      <xdr:nvSpPr>
        <xdr:cNvPr id="65" name="Прямая соединительная линия 88"/>
        <xdr:cNvSpPr/>
      </xdr:nvSpPr>
      <xdr:spPr>
        <a:xfrm flipH="1" flipV="1">
          <a:off x="8904240" y="8618040"/>
          <a:ext cx="1147680" cy="6660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27</xdr:col>
      <xdr:colOff>133200</xdr:colOff>
      <xdr:row>326</xdr:row>
      <xdr:rowOff>18720</xdr:rowOff>
    </xdr:from>
    <xdr:to>
      <xdr:col>33</xdr:col>
      <xdr:colOff>95040</xdr:colOff>
      <xdr:row>326</xdr:row>
      <xdr:rowOff>75960</xdr:rowOff>
    </xdr:to>
    <xdr:sp>
      <xdr:nvSpPr>
        <xdr:cNvPr id="66" name="Прямая соединительная линия 89"/>
        <xdr:cNvSpPr/>
      </xdr:nvSpPr>
      <xdr:spPr>
        <a:xfrm flipH="1" flipV="1">
          <a:off x="11758680" y="8636760"/>
          <a:ext cx="1108440" cy="5724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9</xdr:col>
      <xdr:colOff>123480</xdr:colOff>
      <xdr:row>326</xdr:row>
      <xdr:rowOff>28440</xdr:rowOff>
    </xdr:from>
    <xdr:to>
      <xdr:col>16</xdr:col>
      <xdr:colOff>171360</xdr:colOff>
      <xdr:row>326</xdr:row>
      <xdr:rowOff>104760</xdr:rowOff>
    </xdr:to>
    <xdr:sp>
      <xdr:nvSpPr>
        <xdr:cNvPr id="67" name="Прямая соединительная линия 91"/>
        <xdr:cNvSpPr/>
      </xdr:nvSpPr>
      <xdr:spPr>
        <a:xfrm flipH="1">
          <a:off x="8065800" y="8646480"/>
          <a:ext cx="1386000" cy="7632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22</xdr:col>
      <xdr:colOff>9360</xdr:colOff>
      <xdr:row>326</xdr:row>
      <xdr:rowOff>6120</xdr:rowOff>
    </xdr:from>
    <xdr:to>
      <xdr:col>27</xdr:col>
      <xdr:colOff>142560</xdr:colOff>
      <xdr:row>326</xdr:row>
      <xdr:rowOff>142560</xdr:rowOff>
    </xdr:to>
    <xdr:sp>
      <xdr:nvSpPr>
        <xdr:cNvPr id="68" name="Прямая соединительная линия 92"/>
        <xdr:cNvSpPr/>
      </xdr:nvSpPr>
      <xdr:spPr>
        <a:xfrm flipH="1">
          <a:off x="10679040" y="8624160"/>
          <a:ext cx="1089000" cy="13644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27</xdr:col>
      <xdr:colOff>114120</xdr:colOff>
      <xdr:row>326</xdr:row>
      <xdr:rowOff>66600</xdr:rowOff>
    </xdr:from>
    <xdr:to>
      <xdr:col>33</xdr:col>
      <xdr:colOff>56880</xdr:colOff>
      <xdr:row>326</xdr:row>
      <xdr:rowOff>95040</xdr:rowOff>
    </xdr:to>
    <xdr:sp>
      <xdr:nvSpPr>
        <xdr:cNvPr id="69" name="Прямая соединительная линия 94"/>
        <xdr:cNvSpPr/>
      </xdr:nvSpPr>
      <xdr:spPr>
        <a:xfrm flipH="1" flipV="1">
          <a:off x="11739600" y="8684640"/>
          <a:ext cx="1089360" cy="2844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17</xdr:col>
      <xdr:colOff>41040</xdr:colOff>
      <xdr:row>326</xdr:row>
      <xdr:rowOff>133200</xdr:rowOff>
    </xdr:from>
    <xdr:to>
      <xdr:col>22</xdr:col>
      <xdr:colOff>9360</xdr:colOff>
      <xdr:row>326</xdr:row>
      <xdr:rowOff>139680</xdr:rowOff>
    </xdr:to>
    <xdr:sp>
      <xdr:nvSpPr>
        <xdr:cNvPr id="70" name="Прямая соединительная линия 96"/>
        <xdr:cNvSpPr/>
      </xdr:nvSpPr>
      <xdr:spPr>
        <a:xfrm flipH="1">
          <a:off x="9512640" y="8751240"/>
          <a:ext cx="1166400" cy="648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17</xdr:col>
      <xdr:colOff>113400</xdr:colOff>
      <xdr:row>326</xdr:row>
      <xdr:rowOff>9360</xdr:rowOff>
    </xdr:from>
    <xdr:to>
      <xdr:col>22</xdr:col>
      <xdr:colOff>2880</xdr:colOff>
      <xdr:row>326</xdr:row>
      <xdr:rowOff>18720</xdr:rowOff>
    </xdr:to>
    <xdr:sp>
      <xdr:nvSpPr>
        <xdr:cNvPr id="71" name="Прямая соединительная линия 98"/>
        <xdr:cNvSpPr/>
      </xdr:nvSpPr>
      <xdr:spPr>
        <a:xfrm flipH="1">
          <a:off x="9585000" y="8627400"/>
          <a:ext cx="1087560" cy="936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13</xdr:col>
      <xdr:colOff>171360</xdr:colOff>
      <xdr:row>326</xdr:row>
      <xdr:rowOff>9360</xdr:rowOff>
    </xdr:from>
    <xdr:to>
      <xdr:col>19</xdr:col>
      <xdr:colOff>50760</xdr:colOff>
      <xdr:row>326</xdr:row>
      <xdr:rowOff>75960</xdr:rowOff>
    </xdr:to>
    <xdr:sp>
      <xdr:nvSpPr>
        <xdr:cNvPr id="72" name="Прямая соединительная линия 99"/>
        <xdr:cNvSpPr/>
      </xdr:nvSpPr>
      <xdr:spPr>
        <a:xfrm flipH="1" flipV="1">
          <a:off x="8878320" y="8627400"/>
          <a:ext cx="1157760" cy="6660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19</xdr:col>
      <xdr:colOff>56880</xdr:colOff>
      <xdr:row>326</xdr:row>
      <xdr:rowOff>56880</xdr:rowOff>
    </xdr:from>
    <xdr:to>
      <xdr:col>19</xdr:col>
      <xdr:colOff>56880</xdr:colOff>
      <xdr:row>326</xdr:row>
      <xdr:rowOff>104760</xdr:rowOff>
    </xdr:to>
    <xdr:sp>
      <xdr:nvSpPr>
        <xdr:cNvPr id="73" name="Прямая соединительная линия 101"/>
        <xdr:cNvSpPr/>
      </xdr:nvSpPr>
      <xdr:spPr>
        <a:xfrm>
          <a:off x="10042200" y="8674920"/>
          <a:ext cx="0" cy="4788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33</xdr:col>
      <xdr:colOff>85680</xdr:colOff>
      <xdr:row>326</xdr:row>
      <xdr:rowOff>66600</xdr:rowOff>
    </xdr:from>
    <xdr:to>
      <xdr:col>33</xdr:col>
      <xdr:colOff>85680</xdr:colOff>
      <xdr:row>326</xdr:row>
      <xdr:rowOff>114120</xdr:rowOff>
    </xdr:to>
    <xdr:sp>
      <xdr:nvSpPr>
        <xdr:cNvPr id="74" name="Прямая соединительная линия 102"/>
        <xdr:cNvSpPr/>
      </xdr:nvSpPr>
      <xdr:spPr>
        <a:xfrm>
          <a:off x="12857760" y="8684640"/>
          <a:ext cx="0" cy="4752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26</xdr:col>
      <xdr:colOff>56880</xdr:colOff>
      <xdr:row>326</xdr:row>
      <xdr:rowOff>75960</xdr:rowOff>
    </xdr:from>
    <xdr:to>
      <xdr:col>31</xdr:col>
      <xdr:colOff>145800</xdr:colOff>
      <xdr:row>326</xdr:row>
      <xdr:rowOff>75960</xdr:rowOff>
    </xdr:to>
    <xdr:sp>
      <xdr:nvSpPr>
        <xdr:cNvPr id="75" name="Прямая соединительная линия 107"/>
        <xdr:cNvSpPr/>
      </xdr:nvSpPr>
      <xdr:spPr>
        <a:xfrm flipH="1">
          <a:off x="11491200" y="8694000"/>
          <a:ext cx="1044720" cy="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8</xdr:col>
      <xdr:colOff>123480</xdr:colOff>
      <xdr:row>362</xdr:row>
      <xdr:rowOff>18720</xdr:rowOff>
    </xdr:from>
    <xdr:to>
      <xdr:col>17</xdr:col>
      <xdr:colOff>28440</xdr:colOff>
      <xdr:row>362</xdr:row>
      <xdr:rowOff>142560</xdr:rowOff>
    </xdr:to>
    <xdr:sp>
      <xdr:nvSpPr>
        <xdr:cNvPr id="76" name="Прямая соединительная линия 108"/>
        <xdr:cNvSpPr/>
      </xdr:nvSpPr>
      <xdr:spPr>
        <a:xfrm flipH="1">
          <a:off x="7874640" y="8994960"/>
          <a:ext cx="1625400" cy="12384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17</xdr:col>
      <xdr:colOff>9360</xdr:colOff>
      <xdr:row>362</xdr:row>
      <xdr:rowOff>37800</xdr:rowOff>
    </xdr:from>
    <xdr:to>
      <xdr:col>19</xdr:col>
      <xdr:colOff>66600</xdr:colOff>
      <xdr:row>362</xdr:row>
      <xdr:rowOff>66600</xdr:rowOff>
    </xdr:to>
    <xdr:sp>
      <xdr:nvSpPr>
        <xdr:cNvPr id="77" name="Прямая соединительная линия 110"/>
        <xdr:cNvSpPr/>
      </xdr:nvSpPr>
      <xdr:spPr>
        <a:xfrm flipH="1" flipV="1">
          <a:off x="9480960" y="9014040"/>
          <a:ext cx="570960" cy="2880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22</xdr:col>
      <xdr:colOff>9360</xdr:colOff>
      <xdr:row>362</xdr:row>
      <xdr:rowOff>133200</xdr:rowOff>
    </xdr:from>
    <xdr:to>
      <xdr:col>24</xdr:col>
      <xdr:colOff>18720</xdr:colOff>
      <xdr:row>362</xdr:row>
      <xdr:rowOff>142560</xdr:rowOff>
    </xdr:to>
    <xdr:sp>
      <xdr:nvSpPr>
        <xdr:cNvPr id="78" name="Прямая соединительная линия 113"/>
        <xdr:cNvSpPr/>
      </xdr:nvSpPr>
      <xdr:spPr>
        <a:xfrm flipH="1">
          <a:off x="10679040" y="9109440"/>
          <a:ext cx="391680" cy="936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8</xdr:col>
      <xdr:colOff>133200</xdr:colOff>
      <xdr:row>362</xdr:row>
      <xdr:rowOff>133200</xdr:rowOff>
    </xdr:from>
    <xdr:to>
      <xdr:col>22</xdr:col>
      <xdr:colOff>9360</xdr:colOff>
      <xdr:row>362</xdr:row>
      <xdr:rowOff>142560</xdr:rowOff>
    </xdr:to>
    <xdr:sp>
      <xdr:nvSpPr>
        <xdr:cNvPr id="79" name="Прямая соединительная линия 115"/>
        <xdr:cNvSpPr/>
      </xdr:nvSpPr>
      <xdr:spPr>
        <a:xfrm flipH="1">
          <a:off x="7884360" y="9109440"/>
          <a:ext cx="2794680" cy="936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8</xdr:col>
      <xdr:colOff>142560</xdr:colOff>
      <xdr:row>362</xdr:row>
      <xdr:rowOff>9360</xdr:rowOff>
    </xdr:from>
    <xdr:to>
      <xdr:col>22</xdr:col>
      <xdr:colOff>2880</xdr:colOff>
      <xdr:row>362</xdr:row>
      <xdr:rowOff>133200</xdr:rowOff>
    </xdr:to>
    <xdr:sp>
      <xdr:nvSpPr>
        <xdr:cNvPr id="80" name="Прямая соединительная линия 117"/>
        <xdr:cNvSpPr/>
      </xdr:nvSpPr>
      <xdr:spPr>
        <a:xfrm flipH="1">
          <a:off x="7893720" y="8985600"/>
          <a:ext cx="2778840" cy="12384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19</xdr:col>
      <xdr:colOff>56880</xdr:colOff>
      <xdr:row>362</xdr:row>
      <xdr:rowOff>56880</xdr:rowOff>
    </xdr:from>
    <xdr:to>
      <xdr:col>19</xdr:col>
      <xdr:colOff>56880</xdr:colOff>
      <xdr:row>362</xdr:row>
      <xdr:rowOff>104760</xdr:rowOff>
    </xdr:to>
    <xdr:sp>
      <xdr:nvSpPr>
        <xdr:cNvPr id="81" name="Прямая соединительная линия 119"/>
        <xdr:cNvSpPr/>
      </xdr:nvSpPr>
      <xdr:spPr>
        <a:xfrm>
          <a:off x="10042200" y="9033120"/>
          <a:ext cx="0" cy="4788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33</xdr:col>
      <xdr:colOff>85680</xdr:colOff>
      <xdr:row>362</xdr:row>
      <xdr:rowOff>66600</xdr:rowOff>
    </xdr:from>
    <xdr:to>
      <xdr:col>33</xdr:col>
      <xdr:colOff>85680</xdr:colOff>
      <xdr:row>362</xdr:row>
      <xdr:rowOff>114120</xdr:rowOff>
    </xdr:to>
    <xdr:sp>
      <xdr:nvSpPr>
        <xdr:cNvPr id="82" name="Прямая соединительная линия 120"/>
        <xdr:cNvSpPr/>
      </xdr:nvSpPr>
      <xdr:spPr>
        <a:xfrm>
          <a:off x="12857760" y="9042840"/>
          <a:ext cx="0" cy="4752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22</xdr:col>
      <xdr:colOff>18720</xdr:colOff>
      <xdr:row>362</xdr:row>
      <xdr:rowOff>12600</xdr:rowOff>
    </xdr:from>
    <xdr:to>
      <xdr:col>33</xdr:col>
      <xdr:colOff>75960</xdr:colOff>
      <xdr:row>362</xdr:row>
      <xdr:rowOff>66600</xdr:rowOff>
    </xdr:to>
    <xdr:sp>
      <xdr:nvSpPr>
        <xdr:cNvPr id="83" name="Прямая соединительная линия 124"/>
        <xdr:cNvSpPr/>
      </xdr:nvSpPr>
      <xdr:spPr>
        <a:xfrm flipH="1" flipV="1">
          <a:off x="10688400" y="8988840"/>
          <a:ext cx="2159640" cy="5400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12</xdr:col>
      <xdr:colOff>47520</xdr:colOff>
      <xdr:row>442</xdr:row>
      <xdr:rowOff>56880</xdr:rowOff>
    </xdr:from>
    <xdr:to>
      <xdr:col>23</xdr:col>
      <xdr:colOff>133200</xdr:colOff>
      <xdr:row>442</xdr:row>
      <xdr:rowOff>133200</xdr:rowOff>
    </xdr:to>
    <xdr:sp>
      <xdr:nvSpPr>
        <xdr:cNvPr id="84" name="Прямая соединительная линия 127"/>
        <xdr:cNvSpPr/>
      </xdr:nvSpPr>
      <xdr:spPr>
        <a:xfrm flipH="1">
          <a:off x="8563320" y="9749520"/>
          <a:ext cx="2430720" cy="7632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13</xdr:col>
      <xdr:colOff>56880</xdr:colOff>
      <xdr:row>442</xdr:row>
      <xdr:rowOff>47520</xdr:rowOff>
    </xdr:from>
    <xdr:to>
      <xdr:col>23</xdr:col>
      <xdr:colOff>104760</xdr:colOff>
      <xdr:row>442</xdr:row>
      <xdr:rowOff>56880</xdr:rowOff>
    </xdr:to>
    <xdr:sp>
      <xdr:nvSpPr>
        <xdr:cNvPr id="85" name="Прямая соединительная линия 129"/>
        <xdr:cNvSpPr/>
      </xdr:nvSpPr>
      <xdr:spPr>
        <a:xfrm flipH="1">
          <a:off x="8763840" y="9740160"/>
          <a:ext cx="2201760" cy="936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12</xdr:col>
      <xdr:colOff>104760</xdr:colOff>
      <xdr:row>442</xdr:row>
      <xdr:rowOff>47520</xdr:rowOff>
    </xdr:from>
    <xdr:to>
      <xdr:col>13</xdr:col>
      <xdr:colOff>95040</xdr:colOff>
      <xdr:row>442</xdr:row>
      <xdr:rowOff>123480</xdr:rowOff>
    </xdr:to>
    <xdr:sp>
      <xdr:nvSpPr>
        <xdr:cNvPr id="86" name="Прямая соединительная линия 132"/>
        <xdr:cNvSpPr/>
      </xdr:nvSpPr>
      <xdr:spPr>
        <a:xfrm flipH="1">
          <a:off x="8620560" y="9740160"/>
          <a:ext cx="181440" cy="759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21</xdr:col>
      <xdr:colOff>171360</xdr:colOff>
      <xdr:row>442</xdr:row>
      <xdr:rowOff>75960</xdr:rowOff>
    </xdr:from>
    <xdr:to>
      <xdr:col>26</xdr:col>
      <xdr:colOff>56880</xdr:colOff>
      <xdr:row>442</xdr:row>
      <xdr:rowOff>133200</xdr:rowOff>
    </xdr:to>
    <xdr:sp>
      <xdr:nvSpPr>
        <xdr:cNvPr id="87" name="Прямая соединительная линия 133"/>
        <xdr:cNvSpPr/>
      </xdr:nvSpPr>
      <xdr:spPr>
        <a:xfrm flipH="1">
          <a:off x="10649880" y="9768600"/>
          <a:ext cx="841320" cy="5724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26</xdr:col>
      <xdr:colOff>37800</xdr:colOff>
      <xdr:row>442</xdr:row>
      <xdr:rowOff>56880</xdr:rowOff>
    </xdr:from>
    <xdr:to>
      <xdr:col>33</xdr:col>
      <xdr:colOff>123480</xdr:colOff>
      <xdr:row>442</xdr:row>
      <xdr:rowOff>91800</xdr:rowOff>
    </xdr:to>
    <xdr:sp>
      <xdr:nvSpPr>
        <xdr:cNvPr id="88" name="Прямая соединительная линия 135"/>
        <xdr:cNvSpPr/>
      </xdr:nvSpPr>
      <xdr:spPr>
        <a:xfrm flipH="1">
          <a:off x="11472120" y="9749520"/>
          <a:ext cx="1423440" cy="3492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21</xdr:col>
      <xdr:colOff>171360</xdr:colOff>
      <xdr:row>442</xdr:row>
      <xdr:rowOff>56880</xdr:rowOff>
    </xdr:from>
    <xdr:to>
      <xdr:col>33</xdr:col>
      <xdr:colOff>95040</xdr:colOff>
      <xdr:row>442</xdr:row>
      <xdr:rowOff>133200</xdr:rowOff>
    </xdr:to>
    <xdr:sp>
      <xdr:nvSpPr>
        <xdr:cNvPr id="89" name="Прямая соединительная линия 137"/>
        <xdr:cNvSpPr/>
      </xdr:nvSpPr>
      <xdr:spPr>
        <a:xfrm flipH="1">
          <a:off x="10649880" y="9749520"/>
          <a:ext cx="2217240" cy="7632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17</xdr:col>
      <xdr:colOff>18720</xdr:colOff>
      <xdr:row>442</xdr:row>
      <xdr:rowOff>9360</xdr:rowOff>
    </xdr:from>
    <xdr:to>
      <xdr:col>20</xdr:col>
      <xdr:colOff>104760</xdr:colOff>
      <xdr:row>442</xdr:row>
      <xdr:rowOff>18720</xdr:rowOff>
    </xdr:to>
    <xdr:sp>
      <xdr:nvSpPr>
        <xdr:cNvPr id="90" name="Прямая соединительная линия 141"/>
        <xdr:cNvSpPr/>
      </xdr:nvSpPr>
      <xdr:spPr>
        <a:xfrm flipH="1">
          <a:off x="9490320" y="9702000"/>
          <a:ext cx="790920" cy="93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8</xdr:col>
      <xdr:colOff>47520</xdr:colOff>
      <xdr:row>442</xdr:row>
      <xdr:rowOff>123480</xdr:rowOff>
    </xdr:from>
    <xdr:to>
      <xdr:col>8</xdr:col>
      <xdr:colOff>161640</xdr:colOff>
      <xdr:row>442</xdr:row>
      <xdr:rowOff>161640</xdr:rowOff>
    </xdr:to>
    <xdr:sp>
      <xdr:nvSpPr>
        <xdr:cNvPr id="91" name="Прямая соединительная линия 142"/>
        <xdr:cNvSpPr/>
      </xdr:nvSpPr>
      <xdr:spPr>
        <a:xfrm flipH="1">
          <a:off x="7798680" y="9816120"/>
          <a:ext cx="114120" cy="3816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17</xdr:col>
      <xdr:colOff>0</xdr:colOff>
      <xdr:row>442</xdr:row>
      <xdr:rowOff>0</xdr:rowOff>
    </xdr:from>
    <xdr:to>
      <xdr:col>17</xdr:col>
      <xdr:colOff>0</xdr:colOff>
      <xdr:row>442</xdr:row>
      <xdr:rowOff>104760</xdr:rowOff>
    </xdr:to>
    <xdr:sp>
      <xdr:nvSpPr>
        <xdr:cNvPr id="92" name="Прямая соединительная линия 143"/>
        <xdr:cNvSpPr/>
      </xdr:nvSpPr>
      <xdr:spPr>
        <a:xfrm>
          <a:off x="9471600" y="9692640"/>
          <a:ext cx="0" cy="1047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20</xdr:col>
      <xdr:colOff>75960</xdr:colOff>
      <xdr:row>442</xdr:row>
      <xdr:rowOff>28440</xdr:rowOff>
    </xdr:from>
    <xdr:to>
      <xdr:col>20</xdr:col>
      <xdr:colOff>85680</xdr:colOff>
      <xdr:row>442</xdr:row>
      <xdr:rowOff>66600</xdr:rowOff>
    </xdr:to>
    <xdr:sp>
      <xdr:nvSpPr>
        <xdr:cNvPr id="93" name="Прямая соединительная линия 144"/>
        <xdr:cNvSpPr/>
      </xdr:nvSpPr>
      <xdr:spPr>
        <a:xfrm flipH="1">
          <a:off x="10252440" y="9721080"/>
          <a:ext cx="9720" cy="381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17</xdr:col>
      <xdr:colOff>27720</xdr:colOff>
      <xdr:row>442</xdr:row>
      <xdr:rowOff>9360</xdr:rowOff>
    </xdr:from>
    <xdr:to>
      <xdr:col>20</xdr:col>
      <xdr:colOff>152280</xdr:colOff>
      <xdr:row>442</xdr:row>
      <xdr:rowOff>28440</xdr:rowOff>
    </xdr:to>
    <xdr:sp>
      <xdr:nvSpPr>
        <xdr:cNvPr id="94" name="Прямая соединительная линия 147"/>
        <xdr:cNvSpPr/>
      </xdr:nvSpPr>
      <xdr:spPr>
        <a:xfrm flipH="1">
          <a:off x="9499320" y="9702000"/>
          <a:ext cx="829440" cy="1908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8</xdr:col>
      <xdr:colOff>18720</xdr:colOff>
      <xdr:row>442</xdr:row>
      <xdr:rowOff>85680</xdr:rowOff>
    </xdr:from>
    <xdr:to>
      <xdr:col>11</xdr:col>
      <xdr:colOff>171360</xdr:colOff>
      <xdr:row>442</xdr:row>
      <xdr:rowOff>91800</xdr:rowOff>
    </xdr:to>
    <xdr:sp>
      <xdr:nvSpPr>
        <xdr:cNvPr id="95" name="Прямая соединительная линия 148"/>
        <xdr:cNvSpPr/>
      </xdr:nvSpPr>
      <xdr:spPr>
        <a:xfrm flipH="1">
          <a:off x="7769880" y="9778320"/>
          <a:ext cx="726120" cy="612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9</xdr:col>
      <xdr:colOff>9360</xdr:colOff>
      <xdr:row>442</xdr:row>
      <xdr:rowOff>123480</xdr:rowOff>
    </xdr:from>
    <xdr:to>
      <xdr:col>12</xdr:col>
      <xdr:colOff>133200</xdr:colOff>
      <xdr:row>442</xdr:row>
      <xdr:rowOff>133200</xdr:rowOff>
    </xdr:to>
    <xdr:sp>
      <xdr:nvSpPr>
        <xdr:cNvPr id="96" name="Прямая соединительная линия 149"/>
        <xdr:cNvSpPr/>
      </xdr:nvSpPr>
      <xdr:spPr>
        <a:xfrm flipH="1">
          <a:off x="7951680" y="9816120"/>
          <a:ext cx="697320" cy="972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20</xdr:col>
      <xdr:colOff>66600</xdr:colOff>
      <xdr:row>362</xdr:row>
      <xdr:rowOff>75960</xdr:rowOff>
    </xdr:from>
    <xdr:to>
      <xdr:col>31</xdr:col>
      <xdr:colOff>37800</xdr:colOff>
      <xdr:row>362</xdr:row>
      <xdr:rowOff>129960</xdr:rowOff>
    </xdr:to>
    <xdr:sp>
      <xdr:nvSpPr>
        <xdr:cNvPr id="97" name="Прямая соединительная линия 150"/>
        <xdr:cNvSpPr/>
      </xdr:nvSpPr>
      <xdr:spPr>
        <a:xfrm flipH="1" flipV="1">
          <a:off x="10243080" y="9052200"/>
          <a:ext cx="2184840" cy="5400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10</xdr:col>
      <xdr:colOff>161640</xdr:colOff>
      <xdr:row>362</xdr:row>
      <xdr:rowOff>75960</xdr:rowOff>
    </xdr:from>
    <xdr:to>
      <xdr:col>21</xdr:col>
      <xdr:colOff>171360</xdr:colOff>
      <xdr:row>362</xdr:row>
      <xdr:rowOff>129960</xdr:rowOff>
    </xdr:to>
    <xdr:sp>
      <xdr:nvSpPr>
        <xdr:cNvPr id="98" name="Прямая соединительная линия 151"/>
        <xdr:cNvSpPr/>
      </xdr:nvSpPr>
      <xdr:spPr>
        <a:xfrm flipH="1" flipV="1">
          <a:off x="8295120" y="9052200"/>
          <a:ext cx="2354760" cy="5400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10</xdr:col>
      <xdr:colOff>133200</xdr:colOff>
      <xdr:row>362</xdr:row>
      <xdr:rowOff>28440</xdr:rowOff>
    </xdr:from>
    <xdr:to>
      <xdr:col>17</xdr:col>
      <xdr:colOff>18720</xdr:colOff>
      <xdr:row>362</xdr:row>
      <xdr:rowOff>37440</xdr:rowOff>
    </xdr:to>
    <xdr:sp>
      <xdr:nvSpPr>
        <xdr:cNvPr id="99" name="Прямая со стрелкой 155"/>
        <xdr:cNvSpPr/>
      </xdr:nvSpPr>
      <xdr:spPr>
        <a:xfrm flipH="1" flipV="1">
          <a:off x="8265960" y="9003960"/>
          <a:ext cx="1223640" cy="900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000000"/>
          </a:solidFill>
          <a:round/>
          <a:headEnd len="med" type="arrow" w="med"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17</xdr:col>
      <xdr:colOff>66600</xdr:colOff>
      <xdr:row>362</xdr:row>
      <xdr:rowOff>38160</xdr:rowOff>
    </xdr:from>
    <xdr:to>
      <xdr:col>19</xdr:col>
      <xdr:colOff>47160</xdr:colOff>
      <xdr:row>362</xdr:row>
      <xdr:rowOff>85320</xdr:rowOff>
    </xdr:to>
    <xdr:sp>
      <xdr:nvSpPr>
        <xdr:cNvPr id="100" name="Прямая со стрелкой 158"/>
        <xdr:cNvSpPr/>
      </xdr:nvSpPr>
      <xdr:spPr>
        <a:xfrm flipH="1" flipV="1">
          <a:off x="9537480" y="9013680"/>
          <a:ext cx="494280" cy="4716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000000"/>
          </a:solidFill>
          <a:round/>
          <a:headEnd len="med" type="arrow" w="med"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19</xdr:col>
      <xdr:colOff>47880</xdr:colOff>
      <xdr:row>362</xdr:row>
      <xdr:rowOff>0</xdr:rowOff>
    </xdr:from>
    <xdr:to>
      <xdr:col>21</xdr:col>
      <xdr:colOff>180720</xdr:colOff>
      <xdr:row>362</xdr:row>
      <xdr:rowOff>75960</xdr:rowOff>
    </xdr:to>
    <xdr:sp>
      <xdr:nvSpPr>
        <xdr:cNvPr id="101" name="Прямая со стрелкой 159"/>
        <xdr:cNvSpPr/>
      </xdr:nvSpPr>
      <xdr:spPr>
        <a:xfrm flipV="1">
          <a:off x="10032840" y="8975520"/>
          <a:ext cx="626040" cy="7596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000000"/>
          </a:solidFill>
          <a:round/>
          <a:headEnd len="med" type="arrow" w="med"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24</xdr:col>
      <xdr:colOff>142920</xdr:colOff>
      <xdr:row>362</xdr:row>
      <xdr:rowOff>9360</xdr:rowOff>
    </xdr:from>
    <xdr:to>
      <xdr:col>33</xdr:col>
      <xdr:colOff>161640</xdr:colOff>
      <xdr:row>362</xdr:row>
      <xdr:rowOff>85320</xdr:rowOff>
    </xdr:to>
    <xdr:sp>
      <xdr:nvSpPr>
        <xdr:cNvPr id="102" name="Прямая со стрелкой 161"/>
        <xdr:cNvSpPr/>
      </xdr:nvSpPr>
      <xdr:spPr>
        <a:xfrm flipH="1" flipV="1">
          <a:off x="11194920" y="8984880"/>
          <a:ext cx="1738800" cy="7596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000000"/>
          </a:solidFill>
          <a:round/>
          <a:headEnd len="med" type="arrow" w="med"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20</xdr:col>
      <xdr:colOff>104760</xdr:colOff>
      <xdr:row>326</xdr:row>
      <xdr:rowOff>76320</xdr:rowOff>
    </xdr:from>
    <xdr:to>
      <xdr:col>21</xdr:col>
      <xdr:colOff>66240</xdr:colOff>
      <xdr:row>326</xdr:row>
      <xdr:rowOff>95040</xdr:rowOff>
    </xdr:to>
    <xdr:sp>
      <xdr:nvSpPr>
        <xdr:cNvPr id="103" name="Прямая со стрелкой 169"/>
        <xdr:cNvSpPr/>
      </xdr:nvSpPr>
      <xdr:spPr>
        <a:xfrm flipH="1" flipV="1">
          <a:off x="10281240" y="8694360"/>
          <a:ext cx="263520" cy="1872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000000"/>
          </a:solidFill>
          <a:round/>
          <a:headEnd len="med" type="arrow" w="med"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27</xdr:col>
      <xdr:colOff>124200</xdr:colOff>
      <xdr:row>326</xdr:row>
      <xdr:rowOff>104760</xdr:rowOff>
    </xdr:from>
    <xdr:to>
      <xdr:col>27</xdr:col>
      <xdr:colOff>124560</xdr:colOff>
      <xdr:row>326</xdr:row>
      <xdr:rowOff>113760</xdr:rowOff>
    </xdr:to>
    <xdr:sp>
      <xdr:nvSpPr>
        <xdr:cNvPr id="104" name="Прямая со стрелкой 170"/>
        <xdr:cNvSpPr/>
      </xdr:nvSpPr>
      <xdr:spPr>
        <a:xfrm flipV="1">
          <a:off x="11749320" y="8722080"/>
          <a:ext cx="360" cy="900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000000"/>
          </a:solidFill>
          <a:round/>
          <a:headEnd len="med" type="arrow" w="med"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12</xdr:col>
      <xdr:colOff>123840</xdr:colOff>
      <xdr:row>442</xdr:row>
      <xdr:rowOff>114480</xdr:rowOff>
    </xdr:from>
    <xdr:to>
      <xdr:col>23</xdr:col>
      <xdr:colOff>66240</xdr:colOff>
      <xdr:row>442</xdr:row>
      <xdr:rowOff>142560</xdr:rowOff>
    </xdr:to>
    <xdr:sp>
      <xdr:nvSpPr>
        <xdr:cNvPr id="105" name="Прямая со стрелкой 175"/>
        <xdr:cNvSpPr/>
      </xdr:nvSpPr>
      <xdr:spPr>
        <a:xfrm flipV="1">
          <a:off x="8639640" y="9807120"/>
          <a:ext cx="2287440" cy="2808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000000"/>
          </a:solidFill>
          <a:round/>
          <a:headEnd len="med" type="arrow" w="med"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7</xdr:col>
      <xdr:colOff>200160</xdr:colOff>
      <xdr:row>442</xdr:row>
      <xdr:rowOff>19080</xdr:rowOff>
    </xdr:from>
    <xdr:to>
      <xdr:col>11</xdr:col>
      <xdr:colOff>37800</xdr:colOff>
      <xdr:row>442</xdr:row>
      <xdr:rowOff>85320</xdr:rowOff>
    </xdr:to>
    <xdr:sp>
      <xdr:nvSpPr>
        <xdr:cNvPr id="106" name="Прямая со стрелкой 176"/>
        <xdr:cNvSpPr/>
      </xdr:nvSpPr>
      <xdr:spPr>
        <a:xfrm flipV="1">
          <a:off x="7638840" y="9711720"/>
          <a:ext cx="723600" cy="6624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000000"/>
          </a:solidFill>
          <a:round/>
          <a:headEnd len="med" type="arrow" w="med"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12</xdr:col>
      <xdr:colOff>171360</xdr:colOff>
      <xdr:row>442</xdr:row>
      <xdr:rowOff>47520</xdr:rowOff>
    </xdr:from>
    <xdr:to>
      <xdr:col>12</xdr:col>
      <xdr:colOff>190800</xdr:colOff>
      <xdr:row>442</xdr:row>
      <xdr:rowOff>75600</xdr:rowOff>
    </xdr:to>
    <xdr:sp>
      <xdr:nvSpPr>
        <xdr:cNvPr id="107" name="Прямая со стрелкой 179"/>
        <xdr:cNvSpPr/>
      </xdr:nvSpPr>
      <xdr:spPr>
        <a:xfrm flipH="1" flipV="1">
          <a:off x="8687160" y="9740160"/>
          <a:ext cx="19440" cy="2808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000000"/>
          </a:solidFill>
          <a:round/>
          <a:headEnd len="med" type="arrow" w="med"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9</xdr:col>
      <xdr:colOff>47520</xdr:colOff>
      <xdr:row>442</xdr:row>
      <xdr:rowOff>19080</xdr:rowOff>
    </xdr:from>
    <xdr:to>
      <xdr:col>17</xdr:col>
      <xdr:colOff>56520</xdr:colOff>
      <xdr:row>442</xdr:row>
      <xdr:rowOff>28080</xdr:rowOff>
    </xdr:to>
    <xdr:sp>
      <xdr:nvSpPr>
        <xdr:cNvPr id="108" name="Прямая со стрелкой 184"/>
        <xdr:cNvSpPr/>
      </xdr:nvSpPr>
      <xdr:spPr>
        <a:xfrm>
          <a:off x="7989840" y="9711720"/>
          <a:ext cx="1538280" cy="900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000000"/>
          </a:solidFill>
          <a:round/>
          <a:headEnd len="med" type="arrow" w="med"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21</xdr:col>
      <xdr:colOff>162000</xdr:colOff>
      <xdr:row>442</xdr:row>
      <xdr:rowOff>0</xdr:rowOff>
    </xdr:from>
    <xdr:to>
      <xdr:col>30</xdr:col>
      <xdr:colOff>95040</xdr:colOff>
      <xdr:row>442</xdr:row>
      <xdr:rowOff>47160</xdr:rowOff>
    </xdr:to>
    <xdr:sp>
      <xdr:nvSpPr>
        <xdr:cNvPr id="109" name="Прямая со стрелкой 185"/>
        <xdr:cNvSpPr/>
      </xdr:nvSpPr>
      <xdr:spPr>
        <a:xfrm>
          <a:off x="10640520" y="9692640"/>
          <a:ext cx="1653480" cy="4716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000000"/>
          </a:solidFill>
          <a:round/>
          <a:headEnd len="med" type="arrow" w="med"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17</xdr:col>
      <xdr:colOff>85680</xdr:colOff>
      <xdr:row>442</xdr:row>
      <xdr:rowOff>66600</xdr:rowOff>
    </xdr:from>
    <xdr:to>
      <xdr:col>17</xdr:col>
      <xdr:colOff>95040</xdr:colOff>
      <xdr:row>442</xdr:row>
      <xdr:rowOff>85680</xdr:rowOff>
    </xdr:to>
    <xdr:sp>
      <xdr:nvSpPr>
        <xdr:cNvPr id="110" name="Прямая соединительная линия 186"/>
        <xdr:cNvSpPr/>
      </xdr:nvSpPr>
      <xdr:spPr>
        <a:xfrm>
          <a:off x="9557280" y="9759240"/>
          <a:ext cx="9360" cy="1908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17</xdr:col>
      <xdr:colOff>85680</xdr:colOff>
      <xdr:row>442</xdr:row>
      <xdr:rowOff>85680</xdr:rowOff>
    </xdr:from>
    <xdr:to>
      <xdr:col>19</xdr:col>
      <xdr:colOff>142560</xdr:colOff>
      <xdr:row>442</xdr:row>
      <xdr:rowOff>85680</xdr:rowOff>
    </xdr:to>
    <xdr:sp>
      <xdr:nvSpPr>
        <xdr:cNvPr id="111" name="Прямая соединительная линия 187"/>
        <xdr:cNvSpPr/>
      </xdr:nvSpPr>
      <xdr:spPr>
        <a:xfrm flipH="1">
          <a:off x="9557280" y="9778320"/>
          <a:ext cx="570600" cy="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15</xdr:col>
      <xdr:colOff>19080</xdr:colOff>
      <xdr:row>442</xdr:row>
      <xdr:rowOff>38160</xdr:rowOff>
    </xdr:from>
    <xdr:to>
      <xdr:col>15</xdr:col>
      <xdr:colOff>19440</xdr:colOff>
      <xdr:row>442</xdr:row>
      <xdr:rowOff>114120</xdr:rowOff>
    </xdr:to>
    <xdr:sp>
      <xdr:nvSpPr>
        <xdr:cNvPr id="112" name="Прямая со стрелкой 188"/>
        <xdr:cNvSpPr/>
      </xdr:nvSpPr>
      <xdr:spPr>
        <a:xfrm flipH="1" flipV="1">
          <a:off x="9107640" y="9730080"/>
          <a:ext cx="360" cy="7596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000000"/>
          </a:solidFill>
          <a:round/>
          <a:headEnd len="med" type="arrow" w="med"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9</xdr:col>
      <xdr:colOff>0</xdr:colOff>
      <xdr:row>442</xdr:row>
      <xdr:rowOff>123480</xdr:rowOff>
    </xdr:from>
    <xdr:to>
      <xdr:col>12</xdr:col>
      <xdr:colOff>104760</xdr:colOff>
      <xdr:row>442</xdr:row>
      <xdr:rowOff>142560</xdr:rowOff>
    </xdr:to>
    <xdr:sp>
      <xdr:nvSpPr>
        <xdr:cNvPr id="113" name="Прямая соединительная линия 190"/>
        <xdr:cNvSpPr/>
      </xdr:nvSpPr>
      <xdr:spPr>
        <a:xfrm flipH="1">
          <a:off x="7942320" y="9816120"/>
          <a:ext cx="678240" cy="1908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8</xdr:col>
      <xdr:colOff>171360</xdr:colOff>
      <xdr:row>442</xdr:row>
      <xdr:rowOff>9360</xdr:rowOff>
    </xdr:from>
    <xdr:to>
      <xdr:col>17</xdr:col>
      <xdr:colOff>85680</xdr:colOff>
      <xdr:row>442</xdr:row>
      <xdr:rowOff>47520</xdr:rowOff>
    </xdr:to>
    <xdr:sp>
      <xdr:nvSpPr>
        <xdr:cNvPr id="114" name="Прямая соединительная линия 191"/>
        <xdr:cNvSpPr/>
      </xdr:nvSpPr>
      <xdr:spPr>
        <a:xfrm flipH="1" flipV="1">
          <a:off x="7922520" y="9702000"/>
          <a:ext cx="1634760" cy="381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8</xdr:col>
      <xdr:colOff>123480</xdr:colOff>
      <xdr:row>401</xdr:row>
      <xdr:rowOff>114120</xdr:rowOff>
    </xdr:from>
    <xdr:to>
      <xdr:col>16</xdr:col>
      <xdr:colOff>171360</xdr:colOff>
      <xdr:row>401</xdr:row>
      <xdr:rowOff>142560</xdr:rowOff>
    </xdr:to>
    <xdr:sp>
      <xdr:nvSpPr>
        <xdr:cNvPr id="115" name="Прямая соединительная линия 192"/>
        <xdr:cNvSpPr/>
      </xdr:nvSpPr>
      <xdr:spPr>
        <a:xfrm flipH="1">
          <a:off x="7874640" y="9448560"/>
          <a:ext cx="1577160" cy="2844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16</xdr:col>
      <xdr:colOff>171360</xdr:colOff>
      <xdr:row>401</xdr:row>
      <xdr:rowOff>18720</xdr:rowOff>
    </xdr:from>
    <xdr:to>
      <xdr:col>24</xdr:col>
      <xdr:colOff>18720</xdr:colOff>
      <xdr:row>401</xdr:row>
      <xdr:rowOff>95040</xdr:rowOff>
    </xdr:to>
    <xdr:sp>
      <xdr:nvSpPr>
        <xdr:cNvPr id="116" name="Прямая соединительная линия 193"/>
        <xdr:cNvSpPr/>
      </xdr:nvSpPr>
      <xdr:spPr>
        <a:xfrm flipH="1">
          <a:off x="9451800" y="9353160"/>
          <a:ext cx="1618920" cy="7632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24</xdr:col>
      <xdr:colOff>9360</xdr:colOff>
      <xdr:row>401</xdr:row>
      <xdr:rowOff>9360</xdr:rowOff>
    </xdr:from>
    <xdr:to>
      <xdr:col>33</xdr:col>
      <xdr:colOff>95040</xdr:colOff>
      <xdr:row>401</xdr:row>
      <xdr:rowOff>75960</xdr:rowOff>
    </xdr:to>
    <xdr:sp>
      <xdr:nvSpPr>
        <xdr:cNvPr id="117" name="Прямая соединительная линия 195"/>
        <xdr:cNvSpPr/>
      </xdr:nvSpPr>
      <xdr:spPr>
        <a:xfrm flipH="1" flipV="1">
          <a:off x="11061360" y="9343800"/>
          <a:ext cx="1805760" cy="6660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22</xdr:col>
      <xdr:colOff>9360</xdr:colOff>
      <xdr:row>401</xdr:row>
      <xdr:rowOff>18720</xdr:rowOff>
    </xdr:from>
    <xdr:to>
      <xdr:col>24</xdr:col>
      <xdr:colOff>9360</xdr:colOff>
      <xdr:row>401</xdr:row>
      <xdr:rowOff>142560</xdr:rowOff>
    </xdr:to>
    <xdr:sp>
      <xdr:nvSpPr>
        <xdr:cNvPr id="118" name="Прямая соединительная линия 197"/>
        <xdr:cNvSpPr/>
      </xdr:nvSpPr>
      <xdr:spPr>
        <a:xfrm flipH="1">
          <a:off x="10679040" y="9353160"/>
          <a:ext cx="382320" cy="12384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8</xdr:col>
      <xdr:colOff>133200</xdr:colOff>
      <xdr:row>401</xdr:row>
      <xdr:rowOff>133200</xdr:rowOff>
    </xdr:from>
    <xdr:to>
      <xdr:col>22</xdr:col>
      <xdr:colOff>9360</xdr:colOff>
      <xdr:row>401</xdr:row>
      <xdr:rowOff>142560</xdr:rowOff>
    </xdr:to>
    <xdr:sp>
      <xdr:nvSpPr>
        <xdr:cNvPr id="119" name="Прямая соединительная линия 199"/>
        <xdr:cNvSpPr/>
      </xdr:nvSpPr>
      <xdr:spPr>
        <a:xfrm flipH="1">
          <a:off x="7884360" y="9467640"/>
          <a:ext cx="2794680" cy="936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33</xdr:col>
      <xdr:colOff>219240</xdr:colOff>
      <xdr:row>401</xdr:row>
      <xdr:rowOff>9360</xdr:rowOff>
    </xdr:from>
    <xdr:to>
      <xdr:col>34</xdr:col>
      <xdr:colOff>171360</xdr:colOff>
      <xdr:row>401</xdr:row>
      <xdr:rowOff>75600</xdr:rowOff>
    </xdr:to>
    <xdr:sp>
      <xdr:nvSpPr>
        <xdr:cNvPr id="120" name="Прямая со стрелкой 201"/>
        <xdr:cNvSpPr/>
      </xdr:nvSpPr>
      <xdr:spPr>
        <a:xfrm flipH="1" flipV="1">
          <a:off x="12990600" y="9343800"/>
          <a:ext cx="274680" cy="6624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000000"/>
          </a:solidFill>
          <a:round/>
          <a:headEnd len="med" type="arrow" w="med"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16</xdr:col>
      <xdr:colOff>86040</xdr:colOff>
      <xdr:row>401</xdr:row>
      <xdr:rowOff>19080</xdr:rowOff>
    </xdr:from>
    <xdr:to>
      <xdr:col>24</xdr:col>
      <xdr:colOff>19080</xdr:colOff>
      <xdr:row>401</xdr:row>
      <xdr:rowOff>85320</xdr:rowOff>
    </xdr:to>
    <xdr:sp>
      <xdr:nvSpPr>
        <xdr:cNvPr id="121" name="Прямая со стрелкой 202"/>
        <xdr:cNvSpPr/>
      </xdr:nvSpPr>
      <xdr:spPr>
        <a:xfrm flipV="1">
          <a:off x="9366120" y="9353520"/>
          <a:ext cx="1704600" cy="6624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000000"/>
          </a:solidFill>
          <a:round/>
          <a:headEnd len="med" type="arrow" w="med"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19</xdr:col>
      <xdr:colOff>47520</xdr:colOff>
      <xdr:row>401</xdr:row>
      <xdr:rowOff>56880</xdr:rowOff>
    </xdr:from>
    <xdr:to>
      <xdr:col>20</xdr:col>
      <xdr:colOff>18720</xdr:colOff>
      <xdr:row>401</xdr:row>
      <xdr:rowOff>133200</xdr:rowOff>
    </xdr:to>
    <xdr:sp>
      <xdr:nvSpPr>
        <xdr:cNvPr id="122" name="Прямая соединительная линия 203"/>
        <xdr:cNvSpPr/>
      </xdr:nvSpPr>
      <xdr:spPr>
        <a:xfrm flipH="1" flipV="1">
          <a:off x="10032840" y="9391320"/>
          <a:ext cx="162360" cy="7632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33</xdr:col>
      <xdr:colOff>66600</xdr:colOff>
      <xdr:row>401</xdr:row>
      <xdr:rowOff>75960</xdr:rowOff>
    </xdr:from>
    <xdr:to>
      <xdr:col>34</xdr:col>
      <xdr:colOff>123480</xdr:colOff>
      <xdr:row>401</xdr:row>
      <xdr:rowOff>152280</xdr:rowOff>
    </xdr:to>
    <xdr:sp>
      <xdr:nvSpPr>
        <xdr:cNvPr id="123" name="Прямая соединительная линия 204"/>
        <xdr:cNvSpPr/>
      </xdr:nvSpPr>
      <xdr:spPr>
        <a:xfrm flipH="1" flipV="1">
          <a:off x="12838680" y="9410400"/>
          <a:ext cx="379440" cy="7632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19</xdr:col>
      <xdr:colOff>152280</xdr:colOff>
      <xdr:row>401</xdr:row>
      <xdr:rowOff>18720</xdr:rowOff>
    </xdr:from>
    <xdr:to>
      <xdr:col>21</xdr:col>
      <xdr:colOff>9360</xdr:colOff>
      <xdr:row>401</xdr:row>
      <xdr:rowOff>66600</xdr:rowOff>
    </xdr:to>
    <xdr:sp>
      <xdr:nvSpPr>
        <xdr:cNvPr id="124" name="Прямая соединительная линия 209"/>
        <xdr:cNvSpPr/>
      </xdr:nvSpPr>
      <xdr:spPr>
        <a:xfrm flipH="1">
          <a:off x="10137600" y="9353160"/>
          <a:ext cx="350280" cy="4788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3</xdr:col>
      <xdr:colOff>324000</xdr:colOff>
      <xdr:row>401</xdr:row>
      <xdr:rowOff>38160</xdr:rowOff>
    </xdr:from>
    <xdr:to>
      <xdr:col>7</xdr:col>
      <xdr:colOff>9360</xdr:colOff>
      <xdr:row>401</xdr:row>
      <xdr:rowOff>104400</xdr:rowOff>
    </xdr:to>
    <xdr:sp>
      <xdr:nvSpPr>
        <xdr:cNvPr id="125" name="Соединительная линия уступом 210"/>
        <xdr:cNvSpPr/>
      </xdr:nvSpPr>
      <xdr:spPr>
        <a:xfrm>
          <a:off x="4940280" y="9372600"/>
          <a:ext cx="2507760" cy="66240"/>
        </a:xfrm>
        <a:prstGeom prst="bentConnector3">
          <a:avLst>
            <a:gd name="adj1" fmla="val 63527"/>
          </a:avLst>
        </a:prstGeom>
        <a:noFill/>
        <a:ln w="12700">
          <a:solidFill>
            <a:srgbClr val="000000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3</xdr:col>
      <xdr:colOff>590400</xdr:colOff>
      <xdr:row>401</xdr:row>
      <xdr:rowOff>47520</xdr:rowOff>
    </xdr:from>
    <xdr:to>
      <xdr:col>8</xdr:col>
      <xdr:colOff>56520</xdr:colOff>
      <xdr:row>401</xdr:row>
      <xdr:rowOff>56520</xdr:rowOff>
    </xdr:to>
    <xdr:sp>
      <xdr:nvSpPr>
        <xdr:cNvPr id="126" name="Соединительная линия уступом 211"/>
        <xdr:cNvSpPr/>
      </xdr:nvSpPr>
      <xdr:spPr>
        <a:xfrm>
          <a:off x="5206680" y="9381960"/>
          <a:ext cx="2601000" cy="9000"/>
        </a:xfrm>
        <a:prstGeom prst="bentConnector3">
          <a:avLst>
            <a:gd name="adj1" fmla="val 85349"/>
          </a:avLst>
        </a:prstGeom>
        <a:noFill/>
        <a:ln w="12700">
          <a:solidFill>
            <a:srgbClr val="000000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24</xdr:col>
      <xdr:colOff>133200</xdr:colOff>
      <xdr:row>401</xdr:row>
      <xdr:rowOff>28440</xdr:rowOff>
    </xdr:from>
    <xdr:to>
      <xdr:col>33</xdr:col>
      <xdr:colOff>94680</xdr:colOff>
      <xdr:row>401</xdr:row>
      <xdr:rowOff>85320</xdr:rowOff>
    </xdr:to>
    <xdr:sp>
      <xdr:nvSpPr>
        <xdr:cNvPr id="127" name="Прямая со стрелкой 213"/>
        <xdr:cNvSpPr/>
      </xdr:nvSpPr>
      <xdr:spPr>
        <a:xfrm>
          <a:off x="11185200" y="9362880"/>
          <a:ext cx="1681560" cy="5688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000000"/>
          </a:solidFill>
          <a:round/>
          <a:headEnd len="med" type="arrow" w="med"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5</xdr:col>
      <xdr:colOff>399960</xdr:colOff>
      <xdr:row>326</xdr:row>
      <xdr:rowOff>9360</xdr:rowOff>
    </xdr:from>
    <xdr:to>
      <xdr:col>8</xdr:col>
      <xdr:colOff>94680</xdr:colOff>
      <xdr:row>326</xdr:row>
      <xdr:rowOff>113760</xdr:rowOff>
    </xdr:to>
    <xdr:sp>
      <xdr:nvSpPr>
        <xdr:cNvPr id="128" name="Соединительная линия уступом 215"/>
        <xdr:cNvSpPr/>
      </xdr:nvSpPr>
      <xdr:spPr>
        <a:xfrm>
          <a:off x="6518160" y="8627400"/>
          <a:ext cx="1327680" cy="104400"/>
        </a:xfrm>
        <a:prstGeom prst="bentConnector3">
          <a:avLst>
            <a:gd name="adj1" fmla="val 53077"/>
          </a:avLst>
        </a:prstGeom>
        <a:noFill/>
        <a:ln w="12700">
          <a:solidFill>
            <a:srgbClr val="000000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7</xdr:col>
      <xdr:colOff>76320</xdr:colOff>
      <xdr:row>362</xdr:row>
      <xdr:rowOff>28440</xdr:rowOff>
    </xdr:from>
    <xdr:to>
      <xdr:col>16</xdr:col>
      <xdr:colOff>75960</xdr:colOff>
      <xdr:row>362</xdr:row>
      <xdr:rowOff>47160</xdr:rowOff>
    </xdr:to>
    <xdr:sp>
      <xdr:nvSpPr>
        <xdr:cNvPr id="129" name="Соединительная линия уступом 216"/>
        <xdr:cNvSpPr/>
      </xdr:nvSpPr>
      <xdr:spPr>
        <a:xfrm>
          <a:off x="7515000" y="9004680"/>
          <a:ext cx="1841400" cy="18720"/>
        </a:xfrm>
        <a:prstGeom prst="bentConnector3">
          <a:avLst>
            <a:gd name="adj1" fmla="val 50000"/>
          </a:avLst>
        </a:prstGeom>
        <a:noFill/>
        <a:ln w="12700">
          <a:solidFill>
            <a:srgbClr val="000000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4</xdr:col>
      <xdr:colOff>257040</xdr:colOff>
      <xdr:row>362</xdr:row>
      <xdr:rowOff>57240</xdr:rowOff>
    </xdr:from>
    <xdr:to>
      <xdr:col>8</xdr:col>
      <xdr:colOff>47160</xdr:colOff>
      <xdr:row>362</xdr:row>
      <xdr:rowOff>142560</xdr:rowOff>
    </xdr:to>
    <xdr:sp>
      <xdr:nvSpPr>
        <xdr:cNvPr id="130" name="Соединительная линия уступом 217"/>
        <xdr:cNvSpPr/>
      </xdr:nvSpPr>
      <xdr:spPr>
        <a:xfrm>
          <a:off x="5699520" y="9033480"/>
          <a:ext cx="2098800" cy="85320"/>
        </a:xfrm>
        <a:prstGeom prst="bentConnector3">
          <a:avLst>
            <a:gd name="adj1" fmla="val 73494"/>
          </a:avLst>
        </a:prstGeom>
        <a:noFill/>
        <a:ln w="12700">
          <a:solidFill>
            <a:srgbClr val="000000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4</xdr:col>
      <xdr:colOff>371520</xdr:colOff>
      <xdr:row>442</xdr:row>
      <xdr:rowOff>47520</xdr:rowOff>
    </xdr:from>
    <xdr:to>
      <xdr:col>11</xdr:col>
      <xdr:colOff>161640</xdr:colOff>
      <xdr:row>442</xdr:row>
      <xdr:rowOff>123480</xdr:rowOff>
    </xdr:to>
    <xdr:sp>
      <xdr:nvSpPr>
        <xdr:cNvPr id="131" name="Соединительная линия уступом 218"/>
        <xdr:cNvSpPr/>
      </xdr:nvSpPr>
      <xdr:spPr>
        <a:xfrm>
          <a:off x="5814000" y="9740160"/>
          <a:ext cx="2672280" cy="75960"/>
        </a:xfrm>
        <a:prstGeom prst="bentConnector3">
          <a:avLst>
            <a:gd name="adj1" fmla="val 50000"/>
          </a:avLst>
        </a:prstGeom>
        <a:noFill/>
        <a:ln w="12700">
          <a:solidFill>
            <a:srgbClr val="000000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4</xdr:col>
      <xdr:colOff>352440</xdr:colOff>
      <xdr:row>442</xdr:row>
      <xdr:rowOff>47520</xdr:rowOff>
    </xdr:from>
    <xdr:to>
      <xdr:col>7</xdr:col>
      <xdr:colOff>312120</xdr:colOff>
      <xdr:row>442</xdr:row>
      <xdr:rowOff>151920</xdr:rowOff>
    </xdr:to>
    <xdr:sp>
      <xdr:nvSpPr>
        <xdr:cNvPr id="132" name="Соединительная линия уступом 219"/>
        <xdr:cNvSpPr/>
      </xdr:nvSpPr>
      <xdr:spPr>
        <a:xfrm>
          <a:off x="5794920" y="9740160"/>
          <a:ext cx="1955880" cy="104400"/>
        </a:xfrm>
        <a:prstGeom prst="bentConnector3">
          <a:avLst>
            <a:gd name="adj1" fmla="val 71192"/>
          </a:avLst>
        </a:prstGeom>
        <a:noFill/>
        <a:ln w="12700">
          <a:solidFill>
            <a:srgbClr val="000000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17</xdr:col>
      <xdr:colOff>57240</xdr:colOff>
      <xdr:row>442</xdr:row>
      <xdr:rowOff>28440</xdr:rowOff>
    </xdr:from>
    <xdr:to>
      <xdr:col>21</xdr:col>
      <xdr:colOff>123480</xdr:colOff>
      <xdr:row>442</xdr:row>
      <xdr:rowOff>113760</xdr:rowOff>
    </xdr:to>
    <xdr:sp>
      <xdr:nvSpPr>
        <xdr:cNvPr id="133" name="Соединительная линия уступом 220"/>
        <xdr:cNvSpPr/>
      </xdr:nvSpPr>
      <xdr:spPr>
        <a:xfrm>
          <a:off x="9528840" y="9721080"/>
          <a:ext cx="1073160" cy="85320"/>
        </a:xfrm>
        <a:prstGeom prst="bentConnector3">
          <a:avLst>
            <a:gd name="adj1" fmla="val 50000"/>
          </a:avLst>
        </a:prstGeom>
        <a:noFill/>
        <a:ln w="12700">
          <a:solidFill>
            <a:srgbClr val="000000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22</xdr:col>
      <xdr:colOff>152280</xdr:colOff>
      <xdr:row>503</xdr:row>
      <xdr:rowOff>18720</xdr:rowOff>
    </xdr:from>
    <xdr:to>
      <xdr:col>30</xdr:col>
      <xdr:colOff>133200</xdr:colOff>
      <xdr:row>503</xdr:row>
      <xdr:rowOff>104760</xdr:rowOff>
    </xdr:to>
    <xdr:sp>
      <xdr:nvSpPr>
        <xdr:cNvPr id="134" name="Прямая соединительная линия 222"/>
        <xdr:cNvSpPr/>
      </xdr:nvSpPr>
      <xdr:spPr>
        <a:xfrm flipH="1">
          <a:off x="10821960" y="10069200"/>
          <a:ext cx="1510200" cy="8604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8</xdr:col>
      <xdr:colOff>75960</xdr:colOff>
      <xdr:row>503</xdr:row>
      <xdr:rowOff>75960</xdr:rowOff>
    </xdr:from>
    <xdr:to>
      <xdr:col>16</xdr:col>
      <xdr:colOff>123480</xdr:colOff>
      <xdr:row>503</xdr:row>
      <xdr:rowOff>85680</xdr:rowOff>
    </xdr:to>
    <xdr:sp>
      <xdr:nvSpPr>
        <xdr:cNvPr id="135" name="Прямая соединительная линия 223"/>
        <xdr:cNvSpPr/>
      </xdr:nvSpPr>
      <xdr:spPr>
        <a:xfrm flipH="1">
          <a:off x="7827120" y="10126440"/>
          <a:ext cx="1576800" cy="972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22</xdr:col>
      <xdr:colOff>180720</xdr:colOff>
      <xdr:row>503</xdr:row>
      <xdr:rowOff>9360</xdr:rowOff>
    </xdr:from>
    <xdr:to>
      <xdr:col>22</xdr:col>
      <xdr:colOff>180720</xdr:colOff>
      <xdr:row>503</xdr:row>
      <xdr:rowOff>114120</xdr:rowOff>
    </xdr:to>
    <xdr:sp>
      <xdr:nvSpPr>
        <xdr:cNvPr id="136" name="Прямая соединительная линия 226"/>
        <xdr:cNvSpPr/>
      </xdr:nvSpPr>
      <xdr:spPr>
        <a:xfrm>
          <a:off x="10850400" y="10059840"/>
          <a:ext cx="0" cy="1047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8</xdr:col>
      <xdr:colOff>66600</xdr:colOff>
      <xdr:row>503</xdr:row>
      <xdr:rowOff>28440</xdr:rowOff>
    </xdr:from>
    <xdr:to>
      <xdr:col>8</xdr:col>
      <xdr:colOff>66600</xdr:colOff>
      <xdr:row>503</xdr:row>
      <xdr:rowOff>133200</xdr:rowOff>
    </xdr:to>
    <xdr:sp>
      <xdr:nvSpPr>
        <xdr:cNvPr id="137" name="Прямая соединительная линия 227"/>
        <xdr:cNvSpPr/>
      </xdr:nvSpPr>
      <xdr:spPr>
        <a:xfrm>
          <a:off x="7817760" y="10078920"/>
          <a:ext cx="0" cy="1047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16</xdr:col>
      <xdr:colOff>85680</xdr:colOff>
      <xdr:row>503</xdr:row>
      <xdr:rowOff>9360</xdr:rowOff>
    </xdr:from>
    <xdr:to>
      <xdr:col>16</xdr:col>
      <xdr:colOff>85680</xdr:colOff>
      <xdr:row>503</xdr:row>
      <xdr:rowOff>114120</xdr:rowOff>
    </xdr:to>
    <xdr:sp>
      <xdr:nvSpPr>
        <xdr:cNvPr id="138" name="Прямая соединительная линия 228"/>
        <xdr:cNvSpPr/>
      </xdr:nvSpPr>
      <xdr:spPr>
        <a:xfrm>
          <a:off x="9366120" y="10059840"/>
          <a:ext cx="0" cy="10476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8</xdr:col>
      <xdr:colOff>66600</xdr:colOff>
      <xdr:row>503</xdr:row>
      <xdr:rowOff>18720</xdr:rowOff>
    </xdr:from>
    <xdr:to>
      <xdr:col>22</xdr:col>
      <xdr:colOff>180720</xdr:colOff>
      <xdr:row>503</xdr:row>
      <xdr:rowOff>28440</xdr:rowOff>
    </xdr:to>
    <xdr:sp>
      <xdr:nvSpPr>
        <xdr:cNvPr id="139" name="Прямая соединительная линия 230"/>
        <xdr:cNvSpPr/>
      </xdr:nvSpPr>
      <xdr:spPr>
        <a:xfrm flipH="1" flipV="1">
          <a:off x="7817760" y="10069200"/>
          <a:ext cx="3032640" cy="972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16</xdr:col>
      <xdr:colOff>85680</xdr:colOff>
      <xdr:row>503</xdr:row>
      <xdr:rowOff>56880</xdr:rowOff>
    </xdr:from>
    <xdr:to>
      <xdr:col>30</xdr:col>
      <xdr:colOff>114120</xdr:colOff>
      <xdr:row>503</xdr:row>
      <xdr:rowOff>123480</xdr:rowOff>
    </xdr:to>
    <xdr:sp>
      <xdr:nvSpPr>
        <xdr:cNvPr id="140" name="Прямая соединительная линия 231"/>
        <xdr:cNvSpPr/>
      </xdr:nvSpPr>
      <xdr:spPr>
        <a:xfrm flipH="1" flipV="1">
          <a:off x="9366120" y="10107360"/>
          <a:ext cx="2946960" cy="6660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6</xdr:col>
      <xdr:colOff>47520</xdr:colOff>
      <xdr:row>503</xdr:row>
      <xdr:rowOff>38160</xdr:rowOff>
    </xdr:from>
    <xdr:to>
      <xdr:col>8</xdr:col>
      <xdr:colOff>66240</xdr:colOff>
      <xdr:row>503</xdr:row>
      <xdr:rowOff>38520</xdr:rowOff>
    </xdr:to>
    <xdr:sp>
      <xdr:nvSpPr>
        <xdr:cNvPr id="141" name="Соединительная линия уступом 235"/>
        <xdr:cNvSpPr/>
      </xdr:nvSpPr>
      <xdr:spPr>
        <a:xfrm>
          <a:off x="6841080" y="10088640"/>
          <a:ext cx="976320" cy="360"/>
        </a:xfrm>
        <a:prstGeom prst="bentConnector3">
          <a:avLst>
            <a:gd name="adj1" fmla="val 50000"/>
          </a:avLst>
        </a:prstGeom>
        <a:noFill/>
        <a:ln w="12700">
          <a:solidFill>
            <a:srgbClr val="000000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12</xdr:col>
      <xdr:colOff>37800</xdr:colOff>
      <xdr:row>503</xdr:row>
      <xdr:rowOff>75960</xdr:rowOff>
    </xdr:from>
    <xdr:to>
      <xdr:col>23</xdr:col>
      <xdr:colOff>18720</xdr:colOff>
      <xdr:row>503</xdr:row>
      <xdr:rowOff>95040</xdr:rowOff>
    </xdr:to>
    <xdr:sp>
      <xdr:nvSpPr>
        <xdr:cNvPr id="142" name="Прямая соединительная линия 238"/>
        <xdr:cNvSpPr/>
      </xdr:nvSpPr>
      <xdr:spPr>
        <a:xfrm flipH="1" flipV="1">
          <a:off x="8553600" y="10126440"/>
          <a:ext cx="2325960" cy="1908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22</xdr:col>
      <xdr:colOff>161640</xdr:colOff>
      <xdr:row>503</xdr:row>
      <xdr:rowOff>9360</xdr:rowOff>
    </xdr:from>
    <xdr:to>
      <xdr:col>28</xdr:col>
      <xdr:colOff>161640</xdr:colOff>
      <xdr:row>503</xdr:row>
      <xdr:rowOff>18720</xdr:rowOff>
    </xdr:to>
    <xdr:sp>
      <xdr:nvSpPr>
        <xdr:cNvPr id="143" name="Прямая соединительная линия 239"/>
        <xdr:cNvSpPr/>
      </xdr:nvSpPr>
      <xdr:spPr>
        <a:xfrm flipV="1">
          <a:off x="10831320" y="10059840"/>
          <a:ext cx="1146960" cy="93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23</xdr:col>
      <xdr:colOff>18720</xdr:colOff>
      <xdr:row>503</xdr:row>
      <xdr:rowOff>66600</xdr:rowOff>
    </xdr:from>
    <xdr:to>
      <xdr:col>28</xdr:col>
      <xdr:colOff>171360</xdr:colOff>
      <xdr:row>503</xdr:row>
      <xdr:rowOff>114120</xdr:rowOff>
    </xdr:to>
    <xdr:sp>
      <xdr:nvSpPr>
        <xdr:cNvPr id="144" name="Прямая соединительная линия 240"/>
        <xdr:cNvSpPr/>
      </xdr:nvSpPr>
      <xdr:spPr>
        <a:xfrm flipV="1">
          <a:off x="10879560" y="10117080"/>
          <a:ext cx="1108440" cy="4752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34</xdr:col>
      <xdr:colOff>0</xdr:colOff>
      <xdr:row>503</xdr:row>
      <xdr:rowOff>123120</xdr:rowOff>
    </xdr:from>
    <xdr:to>
      <xdr:col>39</xdr:col>
      <xdr:colOff>111600</xdr:colOff>
      <xdr:row>504</xdr:row>
      <xdr:rowOff>67320</xdr:rowOff>
    </xdr:to>
    <xdr:sp>
      <xdr:nvSpPr>
        <xdr:cNvPr id="145" name="Соединительная линия уступом 243"/>
        <xdr:cNvSpPr/>
      </xdr:nvSpPr>
      <xdr:spPr>
        <a:xfrm flipV="1" rot="10800000">
          <a:off x="12027240" y="10050120"/>
          <a:ext cx="1067400" cy="123480"/>
        </a:xfrm>
        <a:prstGeom prst="bentConnector3">
          <a:avLst>
            <a:gd name="adj1" fmla="val 50000"/>
          </a:avLst>
        </a:prstGeom>
        <a:noFill/>
        <a:ln w="12700">
          <a:solidFill>
            <a:srgbClr val="000000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29</xdr:col>
      <xdr:colOff>19800</xdr:colOff>
      <xdr:row>503</xdr:row>
      <xdr:rowOff>0</xdr:rowOff>
    </xdr:from>
    <xdr:to>
      <xdr:col>33</xdr:col>
      <xdr:colOff>162360</xdr:colOff>
      <xdr:row>503</xdr:row>
      <xdr:rowOff>360</xdr:rowOff>
    </xdr:to>
    <xdr:sp>
      <xdr:nvSpPr>
        <xdr:cNvPr id="146" name="Соединительная линия уступом 244"/>
        <xdr:cNvSpPr/>
      </xdr:nvSpPr>
      <xdr:spPr>
        <a:xfrm rot="10800000">
          <a:off x="12027240" y="10050120"/>
          <a:ext cx="906840" cy="360"/>
        </a:xfrm>
        <a:prstGeom prst="bentConnector3">
          <a:avLst>
            <a:gd name="adj1" fmla="val 50000"/>
          </a:avLst>
        </a:prstGeom>
        <a:noFill/>
        <a:ln w="12700">
          <a:solidFill>
            <a:srgbClr val="000000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33</xdr:col>
      <xdr:colOff>257040</xdr:colOff>
      <xdr:row>503</xdr:row>
      <xdr:rowOff>95400</xdr:rowOff>
    </xdr:from>
    <xdr:to>
      <xdr:col>38</xdr:col>
      <xdr:colOff>190800</xdr:colOff>
      <xdr:row>503</xdr:row>
      <xdr:rowOff>152280</xdr:rowOff>
    </xdr:to>
    <xdr:sp>
      <xdr:nvSpPr>
        <xdr:cNvPr id="147" name="Соединительная линия уступом 245"/>
        <xdr:cNvSpPr/>
      </xdr:nvSpPr>
      <xdr:spPr>
        <a:xfrm flipV="1" rot="10800000">
          <a:off x="12008160" y="10089000"/>
          <a:ext cx="1020960" cy="56880"/>
        </a:xfrm>
        <a:prstGeom prst="bentConnector3">
          <a:avLst>
            <a:gd name="adj1" fmla="val 50000"/>
          </a:avLst>
        </a:prstGeom>
        <a:noFill/>
        <a:ln w="12700">
          <a:solidFill>
            <a:srgbClr val="000000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33</xdr:col>
      <xdr:colOff>152280</xdr:colOff>
      <xdr:row>503</xdr:row>
      <xdr:rowOff>161280</xdr:rowOff>
    </xdr:from>
    <xdr:to>
      <xdr:col>37</xdr:col>
      <xdr:colOff>163080</xdr:colOff>
      <xdr:row>504</xdr:row>
      <xdr:rowOff>143640</xdr:rowOff>
    </xdr:to>
    <xdr:sp>
      <xdr:nvSpPr>
        <xdr:cNvPr id="148" name="Соединительная линия уступом 247"/>
        <xdr:cNvSpPr/>
      </xdr:nvSpPr>
      <xdr:spPr>
        <a:xfrm flipV="1" rot="10800000">
          <a:off x="12017520" y="10050120"/>
          <a:ext cx="906840" cy="161640"/>
        </a:xfrm>
        <a:prstGeom prst="bentConnector3">
          <a:avLst>
            <a:gd name="adj1" fmla="val 50000"/>
          </a:avLst>
        </a:prstGeom>
        <a:noFill/>
        <a:ln w="12700">
          <a:solidFill>
            <a:srgbClr val="000000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17</xdr:col>
      <xdr:colOff>75240</xdr:colOff>
      <xdr:row>442</xdr:row>
      <xdr:rowOff>56880</xdr:rowOff>
    </xdr:from>
    <xdr:to>
      <xdr:col>20</xdr:col>
      <xdr:colOff>85680</xdr:colOff>
      <xdr:row>442</xdr:row>
      <xdr:rowOff>85680</xdr:rowOff>
    </xdr:to>
    <xdr:sp>
      <xdr:nvSpPr>
        <xdr:cNvPr id="149" name="Прямая соединительная линия 248"/>
        <xdr:cNvSpPr/>
      </xdr:nvSpPr>
      <xdr:spPr>
        <a:xfrm flipH="1">
          <a:off x="9546840" y="9749520"/>
          <a:ext cx="715320" cy="2880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5</xdr:col>
      <xdr:colOff>343080</xdr:colOff>
      <xdr:row>326</xdr:row>
      <xdr:rowOff>47520</xdr:rowOff>
    </xdr:from>
    <xdr:to>
      <xdr:col>8</xdr:col>
      <xdr:colOff>37800</xdr:colOff>
      <xdr:row>326</xdr:row>
      <xdr:rowOff>161280</xdr:rowOff>
    </xdr:to>
    <xdr:sp>
      <xdr:nvSpPr>
        <xdr:cNvPr id="150" name="Соединительная линия уступом 249"/>
        <xdr:cNvSpPr/>
      </xdr:nvSpPr>
      <xdr:spPr>
        <a:xfrm>
          <a:off x="6461280" y="8665560"/>
          <a:ext cx="1327680" cy="113760"/>
        </a:xfrm>
        <a:prstGeom prst="bentConnector3">
          <a:avLst>
            <a:gd name="adj1" fmla="val 50000"/>
          </a:avLst>
        </a:prstGeom>
        <a:noFill/>
        <a:ln w="12700">
          <a:solidFill>
            <a:srgbClr val="000000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4</xdr:col>
      <xdr:colOff>314280</xdr:colOff>
      <xdr:row>362</xdr:row>
      <xdr:rowOff>38160</xdr:rowOff>
    </xdr:from>
    <xdr:to>
      <xdr:col>8</xdr:col>
      <xdr:colOff>75960</xdr:colOff>
      <xdr:row>362</xdr:row>
      <xdr:rowOff>151920</xdr:rowOff>
    </xdr:to>
    <xdr:sp>
      <xdr:nvSpPr>
        <xdr:cNvPr id="151" name="Соединительная линия уступом 250"/>
        <xdr:cNvSpPr/>
      </xdr:nvSpPr>
      <xdr:spPr>
        <a:xfrm>
          <a:off x="5756760" y="9014400"/>
          <a:ext cx="2070360" cy="113760"/>
        </a:xfrm>
        <a:prstGeom prst="bentConnector3">
          <a:avLst>
            <a:gd name="adj1" fmla="val 50000"/>
          </a:avLst>
        </a:prstGeom>
        <a:noFill/>
        <a:ln w="12700">
          <a:solidFill>
            <a:srgbClr val="000000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11</xdr:col>
      <xdr:colOff>123480</xdr:colOff>
      <xdr:row>442</xdr:row>
      <xdr:rowOff>47520</xdr:rowOff>
    </xdr:from>
    <xdr:to>
      <xdr:col>12</xdr:col>
      <xdr:colOff>123480</xdr:colOff>
      <xdr:row>442</xdr:row>
      <xdr:rowOff>82440</xdr:rowOff>
    </xdr:to>
    <xdr:sp>
      <xdr:nvSpPr>
        <xdr:cNvPr id="152" name="Прямая соединительная линия 251"/>
        <xdr:cNvSpPr/>
      </xdr:nvSpPr>
      <xdr:spPr>
        <a:xfrm flipH="1">
          <a:off x="8448120" y="9740160"/>
          <a:ext cx="191160" cy="3492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17</xdr:col>
      <xdr:colOff>85680</xdr:colOff>
      <xdr:row>442</xdr:row>
      <xdr:rowOff>18720</xdr:rowOff>
    </xdr:from>
    <xdr:to>
      <xdr:col>17</xdr:col>
      <xdr:colOff>85680</xdr:colOff>
      <xdr:row>442</xdr:row>
      <xdr:rowOff>114120</xdr:rowOff>
    </xdr:to>
    <xdr:sp>
      <xdr:nvSpPr>
        <xdr:cNvPr id="153" name="Прямая соединительная линия 252"/>
        <xdr:cNvSpPr/>
      </xdr:nvSpPr>
      <xdr:spPr>
        <a:xfrm>
          <a:off x="9557280" y="9711360"/>
          <a:ext cx="0" cy="9540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12</xdr:col>
      <xdr:colOff>171360</xdr:colOff>
      <xdr:row>442</xdr:row>
      <xdr:rowOff>85680</xdr:rowOff>
    </xdr:from>
    <xdr:to>
      <xdr:col>17</xdr:col>
      <xdr:colOff>161640</xdr:colOff>
      <xdr:row>442</xdr:row>
      <xdr:rowOff>142560</xdr:rowOff>
    </xdr:to>
    <xdr:sp>
      <xdr:nvSpPr>
        <xdr:cNvPr id="154" name="Прямая соединительная линия 253"/>
        <xdr:cNvSpPr/>
      </xdr:nvSpPr>
      <xdr:spPr>
        <a:xfrm flipH="1" flipV="1">
          <a:off x="8687160" y="9778320"/>
          <a:ext cx="946080" cy="5688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8</xdr:col>
      <xdr:colOff>152280</xdr:colOff>
      <xdr:row>442</xdr:row>
      <xdr:rowOff>95040</xdr:rowOff>
    </xdr:from>
    <xdr:to>
      <xdr:col>13</xdr:col>
      <xdr:colOff>9360</xdr:colOff>
      <xdr:row>442</xdr:row>
      <xdr:rowOff>123480</xdr:rowOff>
    </xdr:to>
    <xdr:sp>
      <xdr:nvSpPr>
        <xdr:cNvPr id="155" name="Прямая соединительная линия 254"/>
        <xdr:cNvSpPr/>
      </xdr:nvSpPr>
      <xdr:spPr>
        <a:xfrm flipH="1">
          <a:off x="7903440" y="9787680"/>
          <a:ext cx="812880" cy="2844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9</xdr:col>
      <xdr:colOff>9360</xdr:colOff>
      <xdr:row>442</xdr:row>
      <xdr:rowOff>66600</xdr:rowOff>
    </xdr:from>
    <xdr:to>
      <xdr:col>9</xdr:col>
      <xdr:colOff>9360</xdr:colOff>
      <xdr:row>442</xdr:row>
      <xdr:rowOff>75960</xdr:rowOff>
    </xdr:to>
    <xdr:sp>
      <xdr:nvSpPr>
        <xdr:cNvPr id="156" name="Прямая соединительная линия 255"/>
        <xdr:cNvSpPr/>
      </xdr:nvSpPr>
      <xdr:spPr>
        <a:xfrm>
          <a:off x="7951680" y="9759240"/>
          <a:ext cx="0" cy="936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4</xdr:col>
      <xdr:colOff>295200</xdr:colOff>
      <xdr:row>442</xdr:row>
      <xdr:rowOff>47520</xdr:rowOff>
    </xdr:from>
    <xdr:to>
      <xdr:col>8</xdr:col>
      <xdr:colOff>9000</xdr:colOff>
      <xdr:row>442</xdr:row>
      <xdr:rowOff>113760</xdr:rowOff>
    </xdr:to>
    <xdr:sp>
      <xdr:nvSpPr>
        <xdr:cNvPr id="157" name="Соединительная линия уступом 256"/>
        <xdr:cNvSpPr/>
      </xdr:nvSpPr>
      <xdr:spPr>
        <a:xfrm>
          <a:off x="5737680" y="9740160"/>
          <a:ext cx="2022480" cy="66240"/>
        </a:xfrm>
        <a:prstGeom prst="bentConnector3">
          <a:avLst>
            <a:gd name="adj1" fmla="val 50000"/>
          </a:avLst>
        </a:prstGeom>
        <a:noFill/>
        <a:ln w="12700">
          <a:solidFill>
            <a:srgbClr val="000000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4</xdr:col>
      <xdr:colOff>228600</xdr:colOff>
      <xdr:row>442</xdr:row>
      <xdr:rowOff>38160</xdr:rowOff>
    </xdr:from>
    <xdr:to>
      <xdr:col>8</xdr:col>
      <xdr:colOff>190800</xdr:colOff>
      <xdr:row>442</xdr:row>
      <xdr:rowOff>152280</xdr:rowOff>
    </xdr:to>
    <xdr:sp>
      <xdr:nvSpPr>
        <xdr:cNvPr id="158" name="Соединительная линия уступом 257"/>
        <xdr:cNvSpPr/>
      </xdr:nvSpPr>
      <xdr:spPr>
        <a:xfrm flipV="1">
          <a:off x="5671080" y="9730080"/>
          <a:ext cx="2270880" cy="114120"/>
        </a:xfrm>
        <a:prstGeom prst="bentConnector3">
          <a:avLst>
            <a:gd name="adj1" fmla="val 50000"/>
          </a:avLst>
        </a:prstGeom>
        <a:noFill/>
        <a:ln w="12700">
          <a:solidFill>
            <a:srgbClr val="000000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7</xdr:col>
      <xdr:colOff>75960</xdr:colOff>
      <xdr:row>401</xdr:row>
      <xdr:rowOff>9360</xdr:rowOff>
    </xdr:from>
    <xdr:to>
      <xdr:col>8</xdr:col>
      <xdr:colOff>171360</xdr:colOff>
      <xdr:row>401</xdr:row>
      <xdr:rowOff>28440</xdr:rowOff>
    </xdr:to>
    <xdr:sp>
      <xdr:nvSpPr>
        <xdr:cNvPr id="159" name="Прямая соединительная линия 259"/>
        <xdr:cNvSpPr/>
      </xdr:nvSpPr>
      <xdr:spPr>
        <a:xfrm flipV="1">
          <a:off x="7514640" y="9343800"/>
          <a:ext cx="407880" cy="1908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9</xdr:col>
      <xdr:colOff>9360</xdr:colOff>
      <xdr:row>401</xdr:row>
      <xdr:rowOff>0</xdr:rowOff>
    </xdr:from>
    <xdr:to>
      <xdr:col>19</xdr:col>
      <xdr:colOff>47520</xdr:colOff>
      <xdr:row>401</xdr:row>
      <xdr:rowOff>75960</xdr:rowOff>
    </xdr:to>
    <xdr:sp>
      <xdr:nvSpPr>
        <xdr:cNvPr id="160" name="Прямая соединительная линия 260"/>
        <xdr:cNvSpPr/>
      </xdr:nvSpPr>
      <xdr:spPr>
        <a:xfrm flipH="1" flipV="1">
          <a:off x="7951680" y="9334440"/>
          <a:ext cx="2081160" cy="759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12</xdr:col>
      <xdr:colOff>133200</xdr:colOff>
      <xdr:row>542</xdr:row>
      <xdr:rowOff>9360</xdr:rowOff>
    </xdr:from>
    <xdr:to>
      <xdr:col>20</xdr:col>
      <xdr:colOff>218880</xdr:colOff>
      <xdr:row>542</xdr:row>
      <xdr:rowOff>75960</xdr:rowOff>
    </xdr:to>
    <xdr:sp>
      <xdr:nvSpPr>
        <xdr:cNvPr id="161" name="Прямая соединительная линия 262"/>
        <xdr:cNvSpPr/>
      </xdr:nvSpPr>
      <xdr:spPr>
        <a:xfrm flipH="1" flipV="1">
          <a:off x="8649000" y="10418040"/>
          <a:ext cx="1746360" cy="6660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28</xdr:col>
      <xdr:colOff>142560</xdr:colOff>
      <xdr:row>542</xdr:row>
      <xdr:rowOff>75960</xdr:rowOff>
    </xdr:from>
    <xdr:to>
      <xdr:col>32</xdr:col>
      <xdr:colOff>133200</xdr:colOff>
      <xdr:row>542</xdr:row>
      <xdr:rowOff>133200</xdr:rowOff>
    </xdr:to>
    <xdr:sp>
      <xdr:nvSpPr>
        <xdr:cNvPr id="162" name="Прямая соединительная линия 264"/>
        <xdr:cNvSpPr/>
      </xdr:nvSpPr>
      <xdr:spPr>
        <a:xfrm flipV="1">
          <a:off x="11959200" y="10484640"/>
          <a:ext cx="754920" cy="5724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11</xdr:col>
      <xdr:colOff>123480</xdr:colOff>
      <xdr:row>542</xdr:row>
      <xdr:rowOff>104760</xdr:rowOff>
    </xdr:from>
    <xdr:to>
      <xdr:col>15</xdr:col>
      <xdr:colOff>9360</xdr:colOff>
      <xdr:row>542</xdr:row>
      <xdr:rowOff>104760</xdr:rowOff>
    </xdr:to>
    <xdr:sp>
      <xdr:nvSpPr>
        <xdr:cNvPr id="163" name="Прямая соединительная линия 266"/>
        <xdr:cNvSpPr/>
      </xdr:nvSpPr>
      <xdr:spPr>
        <a:xfrm>
          <a:off x="8448120" y="10513440"/>
          <a:ext cx="650520" cy="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12</xdr:col>
      <xdr:colOff>123480</xdr:colOff>
      <xdr:row>542</xdr:row>
      <xdr:rowOff>95040</xdr:rowOff>
    </xdr:from>
    <xdr:to>
      <xdr:col>23</xdr:col>
      <xdr:colOff>56160</xdr:colOff>
      <xdr:row>542</xdr:row>
      <xdr:rowOff>104760</xdr:rowOff>
    </xdr:to>
    <xdr:sp>
      <xdr:nvSpPr>
        <xdr:cNvPr id="164" name="Прямая соединительная линия 267"/>
        <xdr:cNvSpPr/>
      </xdr:nvSpPr>
      <xdr:spPr>
        <a:xfrm flipV="1">
          <a:off x="8639280" y="10503720"/>
          <a:ext cx="2277720" cy="972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28</xdr:col>
      <xdr:colOff>123480</xdr:colOff>
      <xdr:row>542</xdr:row>
      <xdr:rowOff>9360</xdr:rowOff>
    </xdr:from>
    <xdr:to>
      <xdr:col>32</xdr:col>
      <xdr:colOff>114120</xdr:colOff>
      <xdr:row>542</xdr:row>
      <xdr:rowOff>66600</xdr:rowOff>
    </xdr:to>
    <xdr:sp>
      <xdr:nvSpPr>
        <xdr:cNvPr id="165" name="Прямая соединительная линия 270"/>
        <xdr:cNvSpPr/>
      </xdr:nvSpPr>
      <xdr:spPr>
        <a:xfrm flipV="1">
          <a:off x="11940120" y="10418040"/>
          <a:ext cx="754920" cy="5724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11</xdr:col>
      <xdr:colOff>142560</xdr:colOff>
      <xdr:row>542</xdr:row>
      <xdr:rowOff>56880</xdr:rowOff>
    </xdr:from>
    <xdr:to>
      <xdr:col>12</xdr:col>
      <xdr:colOff>142560</xdr:colOff>
      <xdr:row>542</xdr:row>
      <xdr:rowOff>123480</xdr:rowOff>
    </xdr:to>
    <xdr:sp>
      <xdr:nvSpPr>
        <xdr:cNvPr id="166" name="Прямая соединительная линия 271"/>
        <xdr:cNvSpPr/>
      </xdr:nvSpPr>
      <xdr:spPr>
        <a:xfrm flipH="1" flipV="1">
          <a:off x="8467200" y="10465560"/>
          <a:ext cx="191160" cy="6660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20</xdr:col>
      <xdr:colOff>218880</xdr:colOff>
      <xdr:row>542</xdr:row>
      <xdr:rowOff>75960</xdr:rowOff>
    </xdr:from>
    <xdr:to>
      <xdr:col>23</xdr:col>
      <xdr:colOff>37800</xdr:colOff>
      <xdr:row>542</xdr:row>
      <xdr:rowOff>152280</xdr:rowOff>
    </xdr:to>
    <xdr:sp>
      <xdr:nvSpPr>
        <xdr:cNvPr id="167" name="Прямая соединительная линия 277"/>
        <xdr:cNvSpPr/>
      </xdr:nvSpPr>
      <xdr:spPr>
        <a:xfrm flipV="1">
          <a:off x="10395360" y="10484640"/>
          <a:ext cx="503280" cy="7632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11</xdr:col>
      <xdr:colOff>133200</xdr:colOff>
      <xdr:row>542</xdr:row>
      <xdr:rowOff>56880</xdr:rowOff>
    </xdr:from>
    <xdr:to>
      <xdr:col>15</xdr:col>
      <xdr:colOff>18720</xdr:colOff>
      <xdr:row>542</xdr:row>
      <xdr:rowOff>56880</xdr:rowOff>
    </xdr:to>
    <xdr:sp>
      <xdr:nvSpPr>
        <xdr:cNvPr id="168" name="Прямая соединительная линия 282"/>
        <xdr:cNvSpPr/>
      </xdr:nvSpPr>
      <xdr:spPr>
        <a:xfrm>
          <a:off x="8457840" y="10465560"/>
          <a:ext cx="650160" cy="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23</xdr:col>
      <xdr:colOff>28440</xdr:colOff>
      <xdr:row>542</xdr:row>
      <xdr:rowOff>28440</xdr:rowOff>
    </xdr:from>
    <xdr:to>
      <xdr:col>23</xdr:col>
      <xdr:colOff>28440</xdr:colOff>
      <xdr:row>542</xdr:row>
      <xdr:rowOff>133200</xdr:rowOff>
    </xdr:to>
    <xdr:sp>
      <xdr:nvSpPr>
        <xdr:cNvPr id="169" name="Прямая соединительная линия 284"/>
        <xdr:cNvSpPr/>
      </xdr:nvSpPr>
      <xdr:spPr>
        <a:xfrm>
          <a:off x="10889280" y="10437120"/>
          <a:ext cx="0" cy="10476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13</xdr:col>
      <xdr:colOff>18720</xdr:colOff>
      <xdr:row>542</xdr:row>
      <xdr:rowOff>0</xdr:rowOff>
    </xdr:from>
    <xdr:to>
      <xdr:col>13</xdr:col>
      <xdr:colOff>18720</xdr:colOff>
      <xdr:row>542</xdr:row>
      <xdr:rowOff>9360</xdr:rowOff>
    </xdr:to>
    <xdr:sp>
      <xdr:nvSpPr>
        <xdr:cNvPr id="170" name="Прямая соединительная линия 289"/>
        <xdr:cNvSpPr/>
      </xdr:nvSpPr>
      <xdr:spPr>
        <a:xfrm>
          <a:off x="8725680" y="10408680"/>
          <a:ext cx="0" cy="936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12</xdr:col>
      <xdr:colOff>152280</xdr:colOff>
      <xdr:row>542</xdr:row>
      <xdr:rowOff>9360</xdr:rowOff>
    </xdr:from>
    <xdr:to>
      <xdr:col>16</xdr:col>
      <xdr:colOff>27720</xdr:colOff>
      <xdr:row>542</xdr:row>
      <xdr:rowOff>9360</xdr:rowOff>
    </xdr:to>
    <xdr:sp>
      <xdr:nvSpPr>
        <xdr:cNvPr id="171" name="Прямая соединительная линия 290"/>
        <xdr:cNvSpPr/>
      </xdr:nvSpPr>
      <xdr:spPr>
        <a:xfrm>
          <a:off x="8668080" y="10418040"/>
          <a:ext cx="640080" cy="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14</xdr:col>
      <xdr:colOff>0</xdr:colOff>
      <xdr:row>542</xdr:row>
      <xdr:rowOff>47520</xdr:rowOff>
    </xdr:from>
    <xdr:to>
      <xdr:col>20</xdr:col>
      <xdr:colOff>276120</xdr:colOff>
      <xdr:row>542</xdr:row>
      <xdr:rowOff>85680</xdr:rowOff>
    </xdr:to>
    <xdr:sp>
      <xdr:nvSpPr>
        <xdr:cNvPr id="172" name="Прямая соединительная линия 291"/>
        <xdr:cNvSpPr/>
      </xdr:nvSpPr>
      <xdr:spPr>
        <a:xfrm flipH="1" flipV="1">
          <a:off x="8898120" y="10456200"/>
          <a:ext cx="1554480" cy="381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14</xdr:col>
      <xdr:colOff>37800</xdr:colOff>
      <xdr:row>542</xdr:row>
      <xdr:rowOff>37800</xdr:rowOff>
    </xdr:from>
    <xdr:to>
      <xdr:col>21</xdr:col>
      <xdr:colOff>28440</xdr:colOff>
      <xdr:row>542</xdr:row>
      <xdr:rowOff>56880</xdr:rowOff>
    </xdr:to>
    <xdr:sp>
      <xdr:nvSpPr>
        <xdr:cNvPr id="173" name="Прямая соединительная линия 292"/>
        <xdr:cNvSpPr/>
      </xdr:nvSpPr>
      <xdr:spPr>
        <a:xfrm flipH="1" flipV="1">
          <a:off x="8935920" y="10446480"/>
          <a:ext cx="1571040" cy="1908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28</xdr:col>
      <xdr:colOff>37800</xdr:colOff>
      <xdr:row>542</xdr:row>
      <xdr:rowOff>9360</xdr:rowOff>
    </xdr:from>
    <xdr:to>
      <xdr:col>31</xdr:col>
      <xdr:colOff>95040</xdr:colOff>
      <xdr:row>542</xdr:row>
      <xdr:rowOff>9360</xdr:rowOff>
    </xdr:to>
    <xdr:sp>
      <xdr:nvSpPr>
        <xdr:cNvPr id="174" name="Прямая соединительная линия 295"/>
        <xdr:cNvSpPr/>
      </xdr:nvSpPr>
      <xdr:spPr>
        <a:xfrm>
          <a:off x="11854440" y="10418040"/>
          <a:ext cx="630720" cy="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28</xdr:col>
      <xdr:colOff>9360</xdr:colOff>
      <xdr:row>542</xdr:row>
      <xdr:rowOff>9360</xdr:rowOff>
    </xdr:from>
    <xdr:to>
      <xdr:col>31</xdr:col>
      <xdr:colOff>66600</xdr:colOff>
      <xdr:row>542</xdr:row>
      <xdr:rowOff>9360</xdr:rowOff>
    </xdr:to>
    <xdr:sp>
      <xdr:nvSpPr>
        <xdr:cNvPr id="175" name="Прямая соединительная линия 296"/>
        <xdr:cNvSpPr/>
      </xdr:nvSpPr>
      <xdr:spPr>
        <a:xfrm>
          <a:off x="11826000" y="10418040"/>
          <a:ext cx="630720" cy="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13</xdr:col>
      <xdr:colOff>18720</xdr:colOff>
      <xdr:row>542</xdr:row>
      <xdr:rowOff>114120</xdr:rowOff>
    </xdr:from>
    <xdr:to>
      <xdr:col>15</xdr:col>
      <xdr:colOff>171360</xdr:colOff>
      <xdr:row>542</xdr:row>
      <xdr:rowOff>114120</xdr:rowOff>
    </xdr:to>
    <xdr:sp>
      <xdr:nvSpPr>
        <xdr:cNvPr id="176" name="Прямая соединительная линия 300"/>
        <xdr:cNvSpPr/>
      </xdr:nvSpPr>
      <xdr:spPr>
        <a:xfrm>
          <a:off x="8725680" y="10522800"/>
          <a:ext cx="534960" cy="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6</xdr:col>
      <xdr:colOff>76320</xdr:colOff>
      <xdr:row>542</xdr:row>
      <xdr:rowOff>66600</xdr:rowOff>
    </xdr:from>
    <xdr:to>
      <xdr:col>12</xdr:col>
      <xdr:colOff>171360</xdr:colOff>
      <xdr:row>542</xdr:row>
      <xdr:rowOff>94680</xdr:rowOff>
    </xdr:to>
    <xdr:sp>
      <xdr:nvSpPr>
        <xdr:cNvPr id="177" name="Соединительная линия уступом 304"/>
        <xdr:cNvSpPr/>
      </xdr:nvSpPr>
      <xdr:spPr>
        <a:xfrm>
          <a:off x="6869880" y="10475280"/>
          <a:ext cx="1817280" cy="28080"/>
        </a:xfrm>
        <a:prstGeom prst="bentConnector3">
          <a:avLst>
            <a:gd name="adj1" fmla="val 50000"/>
          </a:avLst>
        </a:prstGeom>
        <a:noFill/>
        <a:ln w="12700">
          <a:solidFill>
            <a:srgbClr val="000000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6</xdr:col>
      <xdr:colOff>57240</xdr:colOff>
      <xdr:row>542</xdr:row>
      <xdr:rowOff>28440</xdr:rowOff>
    </xdr:from>
    <xdr:to>
      <xdr:col>13</xdr:col>
      <xdr:colOff>28440</xdr:colOff>
      <xdr:row>542</xdr:row>
      <xdr:rowOff>94680</xdr:rowOff>
    </xdr:to>
    <xdr:sp>
      <xdr:nvSpPr>
        <xdr:cNvPr id="178" name="Соединительная линия уступом 306"/>
        <xdr:cNvSpPr/>
      </xdr:nvSpPr>
      <xdr:spPr>
        <a:xfrm>
          <a:off x="6850800" y="10437120"/>
          <a:ext cx="1884600" cy="66240"/>
        </a:xfrm>
        <a:prstGeom prst="bentConnector3">
          <a:avLst>
            <a:gd name="adj1" fmla="val 50000"/>
          </a:avLst>
        </a:prstGeom>
        <a:noFill/>
        <a:ln w="12700">
          <a:solidFill>
            <a:srgbClr val="000000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6</xdr:col>
      <xdr:colOff>47520</xdr:colOff>
      <xdr:row>542</xdr:row>
      <xdr:rowOff>47520</xdr:rowOff>
    </xdr:from>
    <xdr:to>
      <xdr:col>13</xdr:col>
      <xdr:colOff>142560</xdr:colOff>
      <xdr:row>542</xdr:row>
      <xdr:rowOff>123480</xdr:rowOff>
    </xdr:to>
    <xdr:sp>
      <xdr:nvSpPr>
        <xdr:cNvPr id="179" name="Соединительная линия уступом 307"/>
        <xdr:cNvSpPr/>
      </xdr:nvSpPr>
      <xdr:spPr>
        <a:xfrm>
          <a:off x="6841080" y="10456200"/>
          <a:ext cx="2008440" cy="75960"/>
        </a:xfrm>
        <a:prstGeom prst="bentConnector3">
          <a:avLst>
            <a:gd name="adj1" fmla="val 50000"/>
          </a:avLst>
        </a:prstGeom>
        <a:noFill/>
        <a:ln w="12700">
          <a:solidFill>
            <a:srgbClr val="000000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6</xdr:col>
      <xdr:colOff>38160</xdr:colOff>
      <xdr:row>542</xdr:row>
      <xdr:rowOff>28440</xdr:rowOff>
    </xdr:from>
    <xdr:to>
      <xdr:col>11</xdr:col>
      <xdr:colOff>123480</xdr:colOff>
      <xdr:row>542</xdr:row>
      <xdr:rowOff>94680</xdr:rowOff>
    </xdr:to>
    <xdr:sp>
      <xdr:nvSpPr>
        <xdr:cNvPr id="180" name="Соединительная линия уступом 308"/>
        <xdr:cNvSpPr/>
      </xdr:nvSpPr>
      <xdr:spPr>
        <a:xfrm>
          <a:off x="6831720" y="10437120"/>
          <a:ext cx="1616400" cy="66240"/>
        </a:xfrm>
        <a:prstGeom prst="bentConnector3">
          <a:avLst>
            <a:gd name="adj1" fmla="val 50000"/>
          </a:avLst>
        </a:prstGeom>
        <a:noFill/>
        <a:ln w="12700">
          <a:solidFill>
            <a:srgbClr val="000000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17</xdr:col>
      <xdr:colOff>0</xdr:colOff>
      <xdr:row>362</xdr:row>
      <xdr:rowOff>56880</xdr:rowOff>
    </xdr:from>
    <xdr:to>
      <xdr:col>17</xdr:col>
      <xdr:colOff>0</xdr:colOff>
      <xdr:row>362</xdr:row>
      <xdr:rowOff>104760</xdr:rowOff>
    </xdr:to>
    <xdr:sp>
      <xdr:nvSpPr>
        <xdr:cNvPr id="181" name="Прямая соединительная линия 312"/>
        <xdr:cNvSpPr/>
      </xdr:nvSpPr>
      <xdr:spPr>
        <a:xfrm>
          <a:off x="9471600" y="9033120"/>
          <a:ext cx="0" cy="4788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17</xdr:col>
      <xdr:colOff>56160</xdr:colOff>
      <xdr:row>362</xdr:row>
      <xdr:rowOff>28440</xdr:rowOff>
    </xdr:from>
    <xdr:to>
      <xdr:col>24</xdr:col>
      <xdr:colOff>9360</xdr:colOff>
      <xdr:row>362</xdr:row>
      <xdr:rowOff>104760</xdr:rowOff>
    </xdr:to>
    <xdr:sp>
      <xdr:nvSpPr>
        <xdr:cNvPr id="182" name="Прямая соединительная линия 313"/>
        <xdr:cNvSpPr/>
      </xdr:nvSpPr>
      <xdr:spPr>
        <a:xfrm flipH="1">
          <a:off x="9527760" y="9004680"/>
          <a:ext cx="1533600" cy="7632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24</xdr:col>
      <xdr:colOff>0</xdr:colOff>
      <xdr:row>362</xdr:row>
      <xdr:rowOff>0</xdr:rowOff>
    </xdr:from>
    <xdr:to>
      <xdr:col>33</xdr:col>
      <xdr:colOff>56880</xdr:colOff>
      <xdr:row>362</xdr:row>
      <xdr:rowOff>66600</xdr:rowOff>
    </xdr:to>
    <xdr:sp>
      <xdr:nvSpPr>
        <xdr:cNvPr id="183" name="Прямая соединительная линия 315"/>
        <xdr:cNvSpPr/>
      </xdr:nvSpPr>
      <xdr:spPr>
        <a:xfrm flipH="1" flipV="1">
          <a:off x="11052000" y="8976240"/>
          <a:ext cx="1776960" cy="6660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17</xdr:col>
      <xdr:colOff>56160</xdr:colOff>
      <xdr:row>362</xdr:row>
      <xdr:rowOff>85680</xdr:rowOff>
    </xdr:from>
    <xdr:to>
      <xdr:col>19</xdr:col>
      <xdr:colOff>37800</xdr:colOff>
      <xdr:row>362</xdr:row>
      <xdr:rowOff>114120</xdr:rowOff>
    </xdr:to>
    <xdr:sp>
      <xdr:nvSpPr>
        <xdr:cNvPr id="184" name="Прямая соединительная линия 316"/>
        <xdr:cNvSpPr/>
      </xdr:nvSpPr>
      <xdr:spPr>
        <a:xfrm flipH="1" flipV="1">
          <a:off x="9527760" y="9061920"/>
          <a:ext cx="495360" cy="2844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22</xdr:col>
      <xdr:colOff>9360</xdr:colOff>
      <xdr:row>362</xdr:row>
      <xdr:rowOff>9360</xdr:rowOff>
    </xdr:from>
    <xdr:to>
      <xdr:col>24</xdr:col>
      <xdr:colOff>18720</xdr:colOff>
      <xdr:row>362</xdr:row>
      <xdr:rowOff>18720</xdr:rowOff>
    </xdr:to>
    <xdr:sp>
      <xdr:nvSpPr>
        <xdr:cNvPr id="185" name="Прямая соединительная линия 317"/>
        <xdr:cNvSpPr/>
      </xdr:nvSpPr>
      <xdr:spPr>
        <a:xfrm flipH="1">
          <a:off x="10679040" y="8985600"/>
          <a:ext cx="391680" cy="936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7</xdr:col>
      <xdr:colOff>66600</xdr:colOff>
      <xdr:row>362</xdr:row>
      <xdr:rowOff>47520</xdr:rowOff>
    </xdr:from>
    <xdr:to>
      <xdr:col>16</xdr:col>
      <xdr:colOff>151920</xdr:colOff>
      <xdr:row>362</xdr:row>
      <xdr:rowOff>113760</xdr:rowOff>
    </xdr:to>
    <xdr:sp>
      <xdr:nvSpPr>
        <xdr:cNvPr id="186" name="Соединительная линия уступом 318"/>
        <xdr:cNvSpPr/>
      </xdr:nvSpPr>
      <xdr:spPr>
        <a:xfrm>
          <a:off x="7505280" y="9023760"/>
          <a:ext cx="1927080" cy="66240"/>
        </a:xfrm>
        <a:prstGeom prst="bentConnector3">
          <a:avLst>
            <a:gd name="adj1" fmla="val 35938"/>
          </a:avLst>
        </a:prstGeom>
        <a:noFill/>
        <a:ln w="12700">
          <a:solidFill>
            <a:srgbClr val="000000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34</xdr:col>
      <xdr:colOff>114120</xdr:colOff>
      <xdr:row>401</xdr:row>
      <xdr:rowOff>133200</xdr:rowOff>
    </xdr:from>
    <xdr:to>
      <xdr:col>34</xdr:col>
      <xdr:colOff>114120</xdr:colOff>
      <xdr:row>401</xdr:row>
      <xdr:rowOff>152280</xdr:rowOff>
    </xdr:to>
    <xdr:sp>
      <xdr:nvSpPr>
        <xdr:cNvPr id="187" name="Прямая соединительная линия 319"/>
        <xdr:cNvSpPr/>
      </xdr:nvSpPr>
      <xdr:spPr>
        <a:xfrm>
          <a:off x="13208760" y="9467640"/>
          <a:ext cx="0" cy="1908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21</xdr:col>
      <xdr:colOff>0</xdr:colOff>
      <xdr:row>401</xdr:row>
      <xdr:rowOff>0</xdr:rowOff>
    </xdr:from>
    <xdr:to>
      <xdr:col>21</xdr:col>
      <xdr:colOff>0</xdr:colOff>
      <xdr:row>401</xdr:row>
      <xdr:rowOff>18720</xdr:rowOff>
    </xdr:to>
    <xdr:sp>
      <xdr:nvSpPr>
        <xdr:cNvPr id="188" name="Прямая соединительная линия 320"/>
        <xdr:cNvSpPr/>
      </xdr:nvSpPr>
      <xdr:spPr>
        <a:xfrm>
          <a:off x="10478520" y="9334440"/>
          <a:ext cx="0" cy="1872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7</xdr:col>
      <xdr:colOff>56880</xdr:colOff>
      <xdr:row>401</xdr:row>
      <xdr:rowOff>0</xdr:rowOff>
    </xdr:from>
    <xdr:to>
      <xdr:col>7</xdr:col>
      <xdr:colOff>56880</xdr:colOff>
      <xdr:row>401</xdr:row>
      <xdr:rowOff>18720</xdr:rowOff>
    </xdr:to>
    <xdr:sp>
      <xdr:nvSpPr>
        <xdr:cNvPr id="189" name="Прямая соединительная линия 321"/>
        <xdr:cNvSpPr/>
      </xdr:nvSpPr>
      <xdr:spPr>
        <a:xfrm>
          <a:off x="7495560" y="9334440"/>
          <a:ext cx="0" cy="1872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19</xdr:col>
      <xdr:colOff>37800</xdr:colOff>
      <xdr:row>401</xdr:row>
      <xdr:rowOff>28440</xdr:rowOff>
    </xdr:from>
    <xdr:to>
      <xdr:col>19</xdr:col>
      <xdr:colOff>37800</xdr:colOff>
      <xdr:row>401</xdr:row>
      <xdr:rowOff>133200</xdr:rowOff>
    </xdr:to>
    <xdr:sp>
      <xdr:nvSpPr>
        <xdr:cNvPr id="190" name="Прямая соединительная линия 322"/>
        <xdr:cNvSpPr/>
      </xdr:nvSpPr>
      <xdr:spPr>
        <a:xfrm>
          <a:off x="10023120" y="9362880"/>
          <a:ext cx="0" cy="1047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8</xdr:col>
      <xdr:colOff>161640</xdr:colOff>
      <xdr:row>401</xdr:row>
      <xdr:rowOff>18720</xdr:rowOff>
    </xdr:from>
    <xdr:to>
      <xdr:col>8</xdr:col>
      <xdr:colOff>161640</xdr:colOff>
      <xdr:row>401</xdr:row>
      <xdr:rowOff>37800</xdr:rowOff>
    </xdr:to>
    <xdr:sp>
      <xdr:nvSpPr>
        <xdr:cNvPr id="191" name="Прямая соединительная линия 323"/>
        <xdr:cNvSpPr/>
      </xdr:nvSpPr>
      <xdr:spPr>
        <a:xfrm>
          <a:off x="7912800" y="9353160"/>
          <a:ext cx="0" cy="1908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20</xdr:col>
      <xdr:colOff>28440</xdr:colOff>
      <xdr:row>401</xdr:row>
      <xdr:rowOff>0</xdr:rowOff>
    </xdr:from>
    <xdr:to>
      <xdr:col>34</xdr:col>
      <xdr:colOff>120600</xdr:colOff>
      <xdr:row>401</xdr:row>
      <xdr:rowOff>145800</xdr:rowOff>
    </xdr:to>
    <xdr:sp>
      <xdr:nvSpPr>
        <xdr:cNvPr id="192" name="Прямая соединительная линия 324"/>
        <xdr:cNvSpPr/>
      </xdr:nvSpPr>
      <xdr:spPr>
        <a:xfrm flipH="1">
          <a:off x="10204920" y="9334440"/>
          <a:ext cx="3010320" cy="14580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7</xdr:col>
      <xdr:colOff>75960</xdr:colOff>
      <xdr:row>401</xdr:row>
      <xdr:rowOff>56880</xdr:rowOff>
    </xdr:from>
    <xdr:to>
      <xdr:col>19</xdr:col>
      <xdr:colOff>123480</xdr:colOff>
      <xdr:row>401</xdr:row>
      <xdr:rowOff>142560</xdr:rowOff>
    </xdr:to>
    <xdr:sp>
      <xdr:nvSpPr>
        <xdr:cNvPr id="193" name="Прямая соединительная линия 325"/>
        <xdr:cNvSpPr/>
      </xdr:nvSpPr>
      <xdr:spPr>
        <a:xfrm flipH="1">
          <a:off x="7514640" y="9391320"/>
          <a:ext cx="2594160" cy="8568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18</xdr:col>
      <xdr:colOff>133200</xdr:colOff>
      <xdr:row>401</xdr:row>
      <xdr:rowOff>28440</xdr:rowOff>
    </xdr:from>
    <xdr:to>
      <xdr:col>21</xdr:col>
      <xdr:colOff>18720</xdr:colOff>
      <xdr:row>401</xdr:row>
      <xdr:rowOff>85680</xdr:rowOff>
    </xdr:to>
    <xdr:sp>
      <xdr:nvSpPr>
        <xdr:cNvPr id="194" name="Прямая соединительная линия 326"/>
        <xdr:cNvSpPr/>
      </xdr:nvSpPr>
      <xdr:spPr>
        <a:xfrm flipH="1">
          <a:off x="9927360" y="9362880"/>
          <a:ext cx="569880" cy="5724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33</xdr:col>
      <xdr:colOff>56880</xdr:colOff>
      <xdr:row>401</xdr:row>
      <xdr:rowOff>114120</xdr:rowOff>
    </xdr:from>
    <xdr:to>
      <xdr:col>33</xdr:col>
      <xdr:colOff>56880</xdr:colOff>
      <xdr:row>401</xdr:row>
      <xdr:rowOff>133200</xdr:rowOff>
    </xdr:to>
    <xdr:sp>
      <xdr:nvSpPr>
        <xdr:cNvPr id="195" name="Прямая соединительная линия 327"/>
        <xdr:cNvSpPr/>
      </xdr:nvSpPr>
      <xdr:spPr>
        <a:xfrm>
          <a:off x="12828960" y="9448560"/>
          <a:ext cx="0" cy="1908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16</xdr:col>
      <xdr:colOff>152280</xdr:colOff>
      <xdr:row>401</xdr:row>
      <xdr:rowOff>104760</xdr:rowOff>
    </xdr:from>
    <xdr:to>
      <xdr:col>19</xdr:col>
      <xdr:colOff>37800</xdr:colOff>
      <xdr:row>401</xdr:row>
      <xdr:rowOff>114120</xdr:rowOff>
    </xdr:to>
    <xdr:sp>
      <xdr:nvSpPr>
        <xdr:cNvPr id="196" name="Прямая соединительная линия 328"/>
        <xdr:cNvSpPr/>
      </xdr:nvSpPr>
      <xdr:spPr>
        <a:xfrm flipH="1" flipV="1">
          <a:off x="9432720" y="9439200"/>
          <a:ext cx="590400" cy="936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8</xdr:col>
      <xdr:colOff>161640</xdr:colOff>
      <xdr:row>401</xdr:row>
      <xdr:rowOff>104760</xdr:rowOff>
    </xdr:from>
    <xdr:to>
      <xdr:col>16</xdr:col>
      <xdr:colOff>180720</xdr:colOff>
      <xdr:row>401</xdr:row>
      <xdr:rowOff>152280</xdr:rowOff>
    </xdr:to>
    <xdr:sp>
      <xdr:nvSpPr>
        <xdr:cNvPr id="197" name="Прямая соединительная линия 329"/>
        <xdr:cNvSpPr/>
      </xdr:nvSpPr>
      <xdr:spPr>
        <a:xfrm flipH="1">
          <a:off x="7912800" y="9439200"/>
          <a:ext cx="1548360" cy="4752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16</xdr:col>
      <xdr:colOff>142560</xdr:colOff>
      <xdr:row>401</xdr:row>
      <xdr:rowOff>47520</xdr:rowOff>
    </xdr:from>
    <xdr:to>
      <xdr:col>24</xdr:col>
      <xdr:colOff>9360</xdr:colOff>
      <xdr:row>401</xdr:row>
      <xdr:rowOff>114120</xdr:rowOff>
    </xdr:to>
    <xdr:sp>
      <xdr:nvSpPr>
        <xdr:cNvPr id="198" name="Прямая соединительная линия 330"/>
        <xdr:cNvSpPr/>
      </xdr:nvSpPr>
      <xdr:spPr>
        <a:xfrm flipH="1">
          <a:off x="9423000" y="9381960"/>
          <a:ext cx="1638360" cy="6660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24</xdr:col>
      <xdr:colOff>0</xdr:colOff>
      <xdr:row>401</xdr:row>
      <xdr:rowOff>37800</xdr:rowOff>
    </xdr:from>
    <xdr:to>
      <xdr:col>33</xdr:col>
      <xdr:colOff>47520</xdr:colOff>
      <xdr:row>401</xdr:row>
      <xdr:rowOff>75960</xdr:rowOff>
    </xdr:to>
    <xdr:sp>
      <xdr:nvSpPr>
        <xdr:cNvPr id="199" name="Прямая соединительная линия 331"/>
        <xdr:cNvSpPr/>
      </xdr:nvSpPr>
      <xdr:spPr>
        <a:xfrm flipH="1" flipV="1">
          <a:off x="11052000" y="9372240"/>
          <a:ext cx="1767600" cy="3816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33</xdr:col>
      <xdr:colOff>37800</xdr:colOff>
      <xdr:row>401</xdr:row>
      <xdr:rowOff>75960</xdr:rowOff>
    </xdr:from>
    <xdr:to>
      <xdr:col>34</xdr:col>
      <xdr:colOff>95040</xdr:colOff>
      <xdr:row>401</xdr:row>
      <xdr:rowOff>152280</xdr:rowOff>
    </xdr:to>
    <xdr:sp>
      <xdr:nvSpPr>
        <xdr:cNvPr id="200" name="Прямая соединительная линия 332"/>
        <xdr:cNvSpPr/>
      </xdr:nvSpPr>
      <xdr:spPr>
        <a:xfrm flipH="1" flipV="1">
          <a:off x="12809880" y="9410400"/>
          <a:ext cx="379800" cy="7632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24</xdr:col>
      <xdr:colOff>0</xdr:colOff>
      <xdr:row>401</xdr:row>
      <xdr:rowOff>18720</xdr:rowOff>
    </xdr:from>
    <xdr:to>
      <xdr:col>24</xdr:col>
      <xdr:colOff>0</xdr:colOff>
      <xdr:row>401</xdr:row>
      <xdr:rowOff>47520</xdr:rowOff>
    </xdr:to>
    <xdr:sp>
      <xdr:nvSpPr>
        <xdr:cNvPr id="201" name="Прямая соединительная линия 333"/>
        <xdr:cNvSpPr/>
      </xdr:nvSpPr>
      <xdr:spPr>
        <a:xfrm>
          <a:off x="11052000" y="9353160"/>
          <a:ext cx="0" cy="2880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16</xdr:col>
      <xdr:colOff>161640</xdr:colOff>
      <xdr:row>401</xdr:row>
      <xdr:rowOff>104760</xdr:rowOff>
    </xdr:from>
    <xdr:to>
      <xdr:col>16</xdr:col>
      <xdr:colOff>161640</xdr:colOff>
      <xdr:row>401</xdr:row>
      <xdr:rowOff>133200</xdr:rowOff>
    </xdr:to>
    <xdr:sp>
      <xdr:nvSpPr>
        <xdr:cNvPr id="202" name="Прямая соединительная линия 334"/>
        <xdr:cNvSpPr/>
      </xdr:nvSpPr>
      <xdr:spPr>
        <a:xfrm>
          <a:off x="9442080" y="9439200"/>
          <a:ext cx="0" cy="2844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22</xdr:col>
      <xdr:colOff>18720</xdr:colOff>
      <xdr:row>401</xdr:row>
      <xdr:rowOff>0</xdr:rowOff>
    </xdr:from>
    <xdr:to>
      <xdr:col>22</xdr:col>
      <xdr:colOff>18720</xdr:colOff>
      <xdr:row>401</xdr:row>
      <xdr:rowOff>28440</xdr:rowOff>
    </xdr:to>
    <xdr:sp>
      <xdr:nvSpPr>
        <xdr:cNvPr id="203" name="Прямая соединительная линия 335"/>
        <xdr:cNvSpPr/>
      </xdr:nvSpPr>
      <xdr:spPr>
        <a:xfrm>
          <a:off x="10688400" y="9334440"/>
          <a:ext cx="0" cy="2844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3</xdr:col>
      <xdr:colOff>542880</xdr:colOff>
      <xdr:row>401</xdr:row>
      <xdr:rowOff>66600</xdr:rowOff>
    </xdr:from>
    <xdr:to>
      <xdr:col>8</xdr:col>
      <xdr:colOff>94680</xdr:colOff>
      <xdr:row>401</xdr:row>
      <xdr:rowOff>123480</xdr:rowOff>
    </xdr:to>
    <xdr:sp>
      <xdr:nvSpPr>
        <xdr:cNvPr id="204" name="Соединительная линия уступом 338"/>
        <xdr:cNvSpPr/>
      </xdr:nvSpPr>
      <xdr:spPr>
        <a:xfrm>
          <a:off x="5159160" y="9401040"/>
          <a:ext cx="2686680" cy="56880"/>
        </a:xfrm>
        <a:prstGeom prst="bentConnector3">
          <a:avLst>
            <a:gd name="adj1" fmla="val 50000"/>
          </a:avLst>
        </a:prstGeom>
        <a:noFill/>
        <a:ln w="12700">
          <a:solidFill>
            <a:srgbClr val="000000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23</xdr:col>
      <xdr:colOff>27720</xdr:colOff>
      <xdr:row>503</xdr:row>
      <xdr:rowOff>0</xdr:rowOff>
    </xdr:from>
    <xdr:to>
      <xdr:col>26</xdr:col>
      <xdr:colOff>95040</xdr:colOff>
      <xdr:row>503</xdr:row>
      <xdr:rowOff>123480</xdr:rowOff>
    </xdr:to>
    <xdr:sp>
      <xdr:nvSpPr>
        <xdr:cNvPr id="205" name="Прямая соединительная линия 342"/>
        <xdr:cNvSpPr/>
      </xdr:nvSpPr>
      <xdr:spPr>
        <a:xfrm flipH="1">
          <a:off x="10888560" y="10050480"/>
          <a:ext cx="640800" cy="12348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12</xdr:col>
      <xdr:colOff>0</xdr:colOff>
      <xdr:row>503</xdr:row>
      <xdr:rowOff>75960</xdr:rowOff>
    </xdr:from>
    <xdr:to>
      <xdr:col>18</xdr:col>
      <xdr:colOff>18720</xdr:colOff>
      <xdr:row>503</xdr:row>
      <xdr:rowOff>95040</xdr:rowOff>
    </xdr:to>
    <xdr:sp>
      <xdr:nvSpPr>
        <xdr:cNvPr id="206" name="Прямая соединительная линия 345"/>
        <xdr:cNvSpPr/>
      </xdr:nvSpPr>
      <xdr:spPr>
        <a:xfrm flipH="1">
          <a:off x="8515800" y="10126440"/>
          <a:ext cx="1297080" cy="1908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22</xdr:col>
      <xdr:colOff>56160</xdr:colOff>
      <xdr:row>401</xdr:row>
      <xdr:rowOff>9360</xdr:rowOff>
    </xdr:from>
    <xdr:to>
      <xdr:col>33</xdr:col>
      <xdr:colOff>47520</xdr:colOff>
      <xdr:row>401</xdr:row>
      <xdr:rowOff>95040</xdr:rowOff>
    </xdr:to>
    <xdr:sp>
      <xdr:nvSpPr>
        <xdr:cNvPr id="207" name="Прямая соединительная линия 348"/>
        <xdr:cNvSpPr/>
      </xdr:nvSpPr>
      <xdr:spPr>
        <a:xfrm flipH="1" flipV="1">
          <a:off x="10725840" y="9343800"/>
          <a:ext cx="2093760" cy="8568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12</xdr:col>
      <xdr:colOff>0</xdr:colOff>
      <xdr:row>503</xdr:row>
      <xdr:rowOff>47520</xdr:rowOff>
    </xdr:from>
    <xdr:to>
      <xdr:col>17</xdr:col>
      <xdr:colOff>123480</xdr:colOff>
      <xdr:row>503</xdr:row>
      <xdr:rowOff>85680</xdr:rowOff>
    </xdr:to>
    <xdr:sp>
      <xdr:nvSpPr>
        <xdr:cNvPr id="208" name="Прямая соединительная линия 350"/>
        <xdr:cNvSpPr/>
      </xdr:nvSpPr>
      <xdr:spPr>
        <a:xfrm flipH="1">
          <a:off x="8515800" y="10098000"/>
          <a:ext cx="1079280" cy="3816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10</xdr:col>
      <xdr:colOff>66600</xdr:colOff>
      <xdr:row>973</xdr:row>
      <xdr:rowOff>66600</xdr:rowOff>
    </xdr:from>
    <xdr:to>
      <xdr:col>19</xdr:col>
      <xdr:colOff>47520</xdr:colOff>
      <xdr:row>973</xdr:row>
      <xdr:rowOff>142560</xdr:rowOff>
    </xdr:to>
    <xdr:sp>
      <xdr:nvSpPr>
        <xdr:cNvPr id="209" name="Прямая соединительная линия 351"/>
        <xdr:cNvSpPr/>
      </xdr:nvSpPr>
      <xdr:spPr>
        <a:xfrm flipV="1">
          <a:off x="8200080" y="12982320"/>
          <a:ext cx="1832760" cy="759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18</xdr:col>
      <xdr:colOff>85680</xdr:colOff>
      <xdr:row>973</xdr:row>
      <xdr:rowOff>9360</xdr:rowOff>
    </xdr:from>
    <xdr:to>
      <xdr:col>32</xdr:col>
      <xdr:colOff>66600</xdr:colOff>
      <xdr:row>973</xdr:row>
      <xdr:rowOff>18720</xdr:rowOff>
    </xdr:to>
    <xdr:sp>
      <xdr:nvSpPr>
        <xdr:cNvPr id="210" name="Прямая соединительная линия 353"/>
        <xdr:cNvSpPr/>
      </xdr:nvSpPr>
      <xdr:spPr>
        <a:xfrm flipH="1" flipV="1">
          <a:off x="9879840" y="12925080"/>
          <a:ext cx="2767680" cy="93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9</xdr:col>
      <xdr:colOff>0</xdr:colOff>
      <xdr:row>973</xdr:row>
      <xdr:rowOff>104760</xdr:rowOff>
    </xdr:from>
    <xdr:to>
      <xdr:col>23</xdr:col>
      <xdr:colOff>114120</xdr:colOff>
      <xdr:row>973</xdr:row>
      <xdr:rowOff>123480</xdr:rowOff>
    </xdr:to>
    <xdr:sp>
      <xdr:nvSpPr>
        <xdr:cNvPr id="211" name="Прямая соединительная линия 354"/>
        <xdr:cNvSpPr/>
      </xdr:nvSpPr>
      <xdr:spPr>
        <a:xfrm flipH="1" flipV="1">
          <a:off x="7942320" y="13020480"/>
          <a:ext cx="3032640" cy="1872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8</xdr:col>
      <xdr:colOff>161640</xdr:colOff>
      <xdr:row>326</xdr:row>
      <xdr:rowOff>18720</xdr:rowOff>
    </xdr:from>
    <xdr:to>
      <xdr:col>19</xdr:col>
      <xdr:colOff>56880</xdr:colOff>
      <xdr:row>326</xdr:row>
      <xdr:rowOff>85680</xdr:rowOff>
    </xdr:to>
    <xdr:sp>
      <xdr:nvSpPr>
        <xdr:cNvPr id="212" name="Прямая соединительная линия 355"/>
        <xdr:cNvSpPr/>
      </xdr:nvSpPr>
      <xdr:spPr>
        <a:xfrm flipH="1" flipV="1">
          <a:off x="7912800" y="8636760"/>
          <a:ext cx="2129400" cy="6696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8</xdr:col>
      <xdr:colOff>9360</xdr:colOff>
      <xdr:row>326</xdr:row>
      <xdr:rowOff>28440</xdr:rowOff>
    </xdr:from>
    <xdr:to>
      <xdr:col>11</xdr:col>
      <xdr:colOff>161280</xdr:colOff>
      <xdr:row>326</xdr:row>
      <xdr:rowOff>104400</xdr:rowOff>
    </xdr:to>
    <xdr:sp>
      <xdr:nvSpPr>
        <xdr:cNvPr id="213" name="Дуга 356"/>
        <xdr:cNvSpPr/>
      </xdr:nvSpPr>
      <xdr:spPr>
        <a:xfrm>
          <a:off x="7760520" y="8646480"/>
          <a:ext cx="725400" cy="75960"/>
        </a:xfrm>
        <a:prstGeom prst="arc">
          <a:avLst>
            <a:gd name="adj1" fmla="val 16550924"/>
            <a:gd name="adj2" fmla="val 0"/>
          </a:avLst>
        </a:prstGeom>
        <a:noFill/>
        <a:ln w="31750">
          <a:solidFill>
            <a:srgbClr val="ff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20</xdr:col>
      <xdr:colOff>95400</xdr:colOff>
      <xdr:row>362</xdr:row>
      <xdr:rowOff>0</xdr:rowOff>
    </xdr:from>
    <xdr:to>
      <xdr:col>24</xdr:col>
      <xdr:colOff>66600</xdr:colOff>
      <xdr:row>362</xdr:row>
      <xdr:rowOff>75960</xdr:rowOff>
    </xdr:to>
    <xdr:sp>
      <xdr:nvSpPr>
        <xdr:cNvPr id="214" name="Дуга 358"/>
        <xdr:cNvSpPr/>
      </xdr:nvSpPr>
      <xdr:spPr>
        <a:xfrm>
          <a:off x="10271880" y="8976240"/>
          <a:ext cx="846720" cy="75960"/>
        </a:xfrm>
        <a:prstGeom prst="arc">
          <a:avLst>
            <a:gd name="adj1" fmla="val 16550924"/>
            <a:gd name="adj2" fmla="val 0"/>
          </a:avLst>
        </a:prstGeom>
        <a:noFill/>
        <a:ln w="28575">
          <a:solidFill>
            <a:srgbClr val="ff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13</xdr:col>
      <xdr:colOff>18720</xdr:colOff>
      <xdr:row>542</xdr:row>
      <xdr:rowOff>142560</xdr:rowOff>
    </xdr:from>
    <xdr:to>
      <xdr:col>16</xdr:col>
      <xdr:colOff>75240</xdr:colOff>
      <xdr:row>542</xdr:row>
      <xdr:rowOff>142560</xdr:rowOff>
    </xdr:to>
    <xdr:sp>
      <xdr:nvSpPr>
        <xdr:cNvPr id="215" name="Прямая соединительная линия 361"/>
        <xdr:cNvSpPr/>
      </xdr:nvSpPr>
      <xdr:spPr>
        <a:xfrm>
          <a:off x="8725680" y="10551240"/>
          <a:ext cx="630000" cy="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14</xdr:col>
      <xdr:colOff>9360</xdr:colOff>
      <xdr:row>542</xdr:row>
      <xdr:rowOff>85680</xdr:rowOff>
    </xdr:from>
    <xdr:to>
      <xdr:col>21</xdr:col>
      <xdr:colOff>47520</xdr:colOff>
      <xdr:row>542</xdr:row>
      <xdr:rowOff>123480</xdr:rowOff>
    </xdr:to>
    <xdr:sp>
      <xdr:nvSpPr>
        <xdr:cNvPr id="216" name="Прямая соединительная линия 363"/>
        <xdr:cNvSpPr/>
      </xdr:nvSpPr>
      <xdr:spPr>
        <a:xfrm flipH="1" flipV="1">
          <a:off x="8907480" y="10494360"/>
          <a:ext cx="1618560" cy="3780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6</xdr:col>
      <xdr:colOff>237960</xdr:colOff>
      <xdr:row>503</xdr:row>
      <xdr:rowOff>38160</xdr:rowOff>
    </xdr:from>
    <xdr:to>
      <xdr:col>16</xdr:col>
      <xdr:colOff>75600</xdr:colOff>
      <xdr:row>503</xdr:row>
      <xdr:rowOff>50400</xdr:rowOff>
    </xdr:to>
    <xdr:sp>
      <xdr:nvSpPr>
        <xdr:cNvPr id="217" name="Соединительная линия уступом 365"/>
        <xdr:cNvSpPr/>
      </xdr:nvSpPr>
      <xdr:spPr>
        <a:xfrm>
          <a:off x="7031520" y="10088640"/>
          <a:ext cx="2324520" cy="12240"/>
        </a:xfrm>
        <a:prstGeom prst="bentConnector3">
          <a:avLst>
            <a:gd name="adj1" fmla="val 50000"/>
          </a:avLst>
        </a:prstGeom>
        <a:noFill/>
        <a:ln w="12700">
          <a:solidFill>
            <a:srgbClr val="000000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6</xdr:col>
      <xdr:colOff>47880</xdr:colOff>
      <xdr:row>362</xdr:row>
      <xdr:rowOff>0</xdr:rowOff>
    </xdr:from>
    <xdr:to>
      <xdr:col>16</xdr:col>
      <xdr:colOff>9360</xdr:colOff>
      <xdr:row>362</xdr:row>
      <xdr:rowOff>18720</xdr:rowOff>
    </xdr:to>
    <xdr:sp>
      <xdr:nvSpPr>
        <xdr:cNvPr id="218" name="Соединительная линия уступом 366"/>
        <xdr:cNvSpPr/>
      </xdr:nvSpPr>
      <xdr:spPr>
        <a:xfrm flipV="1">
          <a:off x="6841080" y="8975880"/>
          <a:ext cx="2448360" cy="18720"/>
        </a:xfrm>
        <a:prstGeom prst="bentConnector3">
          <a:avLst>
            <a:gd name="adj1" fmla="val 50000"/>
          </a:avLst>
        </a:prstGeom>
        <a:noFill/>
        <a:ln w="12700">
          <a:solidFill>
            <a:srgbClr val="000000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28</xdr:col>
      <xdr:colOff>86040</xdr:colOff>
      <xdr:row>542</xdr:row>
      <xdr:rowOff>28800</xdr:rowOff>
    </xdr:from>
    <xdr:to>
      <xdr:col>28</xdr:col>
      <xdr:colOff>191160</xdr:colOff>
      <xdr:row>542</xdr:row>
      <xdr:rowOff>75960</xdr:rowOff>
    </xdr:to>
    <xdr:sp>
      <xdr:nvSpPr>
        <xdr:cNvPr id="219" name="Соединительная линия уступом 372"/>
        <xdr:cNvSpPr/>
      </xdr:nvSpPr>
      <xdr:spPr>
        <a:xfrm rot="5400000">
          <a:off x="11931480" y="10407960"/>
          <a:ext cx="47160" cy="105120"/>
        </a:xfrm>
        <a:prstGeom prst="bentConnector3">
          <a:avLst>
            <a:gd name="adj1" fmla="val 50000"/>
          </a:avLst>
        </a:prstGeom>
        <a:noFill/>
        <a:ln w="12700">
          <a:solidFill>
            <a:srgbClr val="000000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7</xdr:col>
      <xdr:colOff>38160</xdr:colOff>
      <xdr:row>401</xdr:row>
      <xdr:rowOff>38160</xdr:rowOff>
    </xdr:from>
    <xdr:to>
      <xdr:col>8</xdr:col>
      <xdr:colOff>85320</xdr:colOff>
      <xdr:row>401</xdr:row>
      <xdr:rowOff>75960</xdr:rowOff>
    </xdr:to>
    <xdr:sp>
      <xdr:nvSpPr>
        <xdr:cNvPr id="220" name="Прямая со стрелкой 373"/>
        <xdr:cNvSpPr/>
      </xdr:nvSpPr>
      <xdr:spPr>
        <a:xfrm flipH="1" flipV="1">
          <a:off x="7476120" y="9371880"/>
          <a:ext cx="359640" cy="3780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000000"/>
          </a:solidFill>
          <a:round/>
          <a:headEnd len="med" type="arrow" w="med"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20</xdr:col>
      <xdr:colOff>66600</xdr:colOff>
      <xdr:row>401</xdr:row>
      <xdr:rowOff>47520</xdr:rowOff>
    </xdr:from>
    <xdr:to>
      <xdr:col>23</xdr:col>
      <xdr:colOff>18720</xdr:colOff>
      <xdr:row>401</xdr:row>
      <xdr:rowOff>123480</xdr:rowOff>
    </xdr:to>
    <xdr:sp>
      <xdr:nvSpPr>
        <xdr:cNvPr id="221" name="Прямая со стрелкой 374"/>
        <xdr:cNvSpPr/>
      </xdr:nvSpPr>
      <xdr:spPr>
        <a:xfrm flipV="1">
          <a:off x="10243080" y="9381240"/>
          <a:ext cx="636480" cy="7596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000000"/>
          </a:solidFill>
          <a:round/>
          <a:headEnd len="med" type="arrow" w="med"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20</xdr:col>
      <xdr:colOff>38160</xdr:colOff>
      <xdr:row>442</xdr:row>
      <xdr:rowOff>38160</xdr:rowOff>
    </xdr:from>
    <xdr:to>
      <xdr:col>27</xdr:col>
      <xdr:colOff>190800</xdr:colOff>
      <xdr:row>503</xdr:row>
      <xdr:rowOff>37800</xdr:rowOff>
    </xdr:to>
    <xdr:sp>
      <xdr:nvSpPr>
        <xdr:cNvPr id="222" name="Дуга 377"/>
        <xdr:cNvSpPr/>
      </xdr:nvSpPr>
      <xdr:spPr>
        <a:xfrm>
          <a:off x="10214640" y="9730800"/>
          <a:ext cx="1601640" cy="357480"/>
        </a:xfrm>
        <a:prstGeom prst="arc">
          <a:avLst>
            <a:gd name="adj1" fmla="val 16550924"/>
            <a:gd name="adj2" fmla="val 18688810"/>
          </a:avLst>
        </a:prstGeom>
        <a:noFill/>
        <a:ln w="28575">
          <a:solidFill>
            <a:srgbClr val="ff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14</xdr:col>
      <xdr:colOff>38160</xdr:colOff>
      <xdr:row>503</xdr:row>
      <xdr:rowOff>28440</xdr:rowOff>
    </xdr:from>
    <xdr:to>
      <xdr:col>16</xdr:col>
      <xdr:colOff>113400</xdr:colOff>
      <xdr:row>503</xdr:row>
      <xdr:rowOff>28800</xdr:rowOff>
    </xdr:to>
    <xdr:sp>
      <xdr:nvSpPr>
        <xdr:cNvPr id="223" name="Дуга 378"/>
        <xdr:cNvSpPr/>
      </xdr:nvSpPr>
      <xdr:spPr>
        <a:xfrm>
          <a:off x="8936280" y="10078920"/>
          <a:ext cx="457560" cy="360"/>
        </a:xfrm>
        <a:prstGeom prst="arc">
          <a:avLst>
            <a:gd name="adj1" fmla="val 16550924"/>
            <a:gd name="adj2" fmla="val 20190086"/>
          </a:avLst>
        </a:prstGeom>
        <a:noFill/>
        <a:ln w="28575">
          <a:solidFill>
            <a:srgbClr val="ff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6</xdr:col>
      <xdr:colOff>247680</xdr:colOff>
      <xdr:row>701</xdr:row>
      <xdr:rowOff>38160</xdr:rowOff>
    </xdr:from>
    <xdr:to>
      <xdr:col>8</xdr:col>
      <xdr:colOff>95040</xdr:colOff>
      <xdr:row>701</xdr:row>
      <xdr:rowOff>114120</xdr:rowOff>
    </xdr:to>
    <xdr:sp>
      <xdr:nvSpPr>
        <xdr:cNvPr id="224" name="Соединительная линия уступом 381"/>
        <xdr:cNvSpPr/>
      </xdr:nvSpPr>
      <xdr:spPr>
        <a:xfrm>
          <a:off x="7041240" y="11163240"/>
          <a:ext cx="804960" cy="75960"/>
        </a:xfrm>
        <a:prstGeom prst="bentConnector3">
          <a:avLst>
            <a:gd name="adj1" fmla="val 50000"/>
          </a:avLst>
        </a:prstGeom>
        <a:noFill/>
        <a:ln w="12700">
          <a:solidFill>
            <a:srgbClr val="000000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10</xdr:col>
      <xdr:colOff>37800</xdr:colOff>
      <xdr:row>973</xdr:row>
      <xdr:rowOff>66600</xdr:rowOff>
    </xdr:from>
    <xdr:to>
      <xdr:col>18</xdr:col>
      <xdr:colOff>191160</xdr:colOff>
      <xdr:row>973</xdr:row>
      <xdr:rowOff>114120</xdr:rowOff>
    </xdr:to>
    <xdr:sp>
      <xdr:nvSpPr>
        <xdr:cNvPr id="225" name="Прямая соединительная линия 383"/>
        <xdr:cNvSpPr/>
      </xdr:nvSpPr>
      <xdr:spPr>
        <a:xfrm flipH="1">
          <a:off x="8171280" y="12982320"/>
          <a:ext cx="1814040" cy="4752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22</xdr:col>
      <xdr:colOff>66600</xdr:colOff>
      <xdr:row>973</xdr:row>
      <xdr:rowOff>56880</xdr:rowOff>
    </xdr:from>
    <xdr:to>
      <xdr:col>30</xdr:col>
      <xdr:colOff>191160</xdr:colOff>
      <xdr:row>973</xdr:row>
      <xdr:rowOff>66600</xdr:rowOff>
    </xdr:to>
    <xdr:sp>
      <xdr:nvSpPr>
        <xdr:cNvPr id="226" name="Прямая соединительная линия 384"/>
        <xdr:cNvSpPr/>
      </xdr:nvSpPr>
      <xdr:spPr>
        <a:xfrm flipH="1">
          <a:off x="10736280" y="12972600"/>
          <a:ext cx="1653840" cy="972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18</xdr:col>
      <xdr:colOff>28440</xdr:colOff>
      <xdr:row>973</xdr:row>
      <xdr:rowOff>9360</xdr:rowOff>
    </xdr:from>
    <xdr:to>
      <xdr:col>32</xdr:col>
      <xdr:colOff>47520</xdr:colOff>
      <xdr:row>973</xdr:row>
      <xdr:rowOff>114120</xdr:rowOff>
    </xdr:to>
    <xdr:sp>
      <xdr:nvSpPr>
        <xdr:cNvPr id="227" name="Прямая соединительная линия 385"/>
        <xdr:cNvSpPr/>
      </xdr:nvSpPr>
      <xdr:spPr>
        <a:xfrm flipH="1" flipV="1">
          <a:off x="9822600" y="12925080"/>
          <a:ext cx="2805840" cy="10476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9</xdr:col>
      <xdr:colOff>37440</xdr:colOff>
      <xdr:row>973</xdr:row>
      <xdr:rowOff>75960</xdr:rowOff>
    </xdr:from>
    <xdr:to>
      <xdr:col>23</xdr:col>
      <xdr:colOff>66600</xdr:colOff>
      <xdr:row>973</xdr:row>
      <xdr:rowOff>85680</xdr:rowOff>
    </xdr:to>
    <xdr:sp>
      <xdr:nvSpPr>
        <xdr:cNvPr id="228" name="Прямая соединительная линия 386"/>
        <xdr:cNvSpPr/>
      </xdr:nvSpPr>
      <xdr:spPr>
        <a:xfrm flipH="1" flipV="1">
          <a:off x="7979760" y="12991680"/>
          <a:ext cx="2947680" cy="972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22</xdr:col>
      <xdr:colOff>152280</xdr:colOff>
      <xdr:row>973</xdr:row>
      <xdr:rowOff>75960</xdr:rowOff>
    </xdr:from>
    <xdr:to>
      <xdr:col>22</xdr:col>
      <xdr:colOff>152280</xdr:colOff>
      <xdr:row>973</xdr:row>
      <xdr:rowOff>85680</xdr:rowOff>
    </xdr:to>
    <xdr:sp>
      <xdr:nvSpPr>
        <xdr:cNvPr id="229" name="Прямая соединительная линия 391"/>
        <xdr:cNvSpPr/>
      </xdr:nvSpPr>
      <xdr:spPr>
        <a:xfrm>
          <a:off x="10821960" y="12991680"/>
          <a:ext cx="0" cy="972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18</xdr:col>
      <xdr:colOff>9360</xdr:colOff>
      <xdr:row>973</xdr:row>
      <xdr:rowOff>9360</xdr:rowOff>
    </xdr:from>
    <xdr:to>
      <xdr:col>18</xdr:col>
      <xdr:colOff>9360</xdr:colOff>
      <xdr:row>973</xdr:row>
      <xdr:rowOff>18720</xdr:rowOff>
    </xdr:to>
    <xdr:sp>
      <xdr:nvSpPr>
        <xdr:cNvPr id="230" name="Прямая соединительная линия 393"/>
        <xdr:cNvSpPr/>
      </xdr:nvSpPr>
      <xdr:spPr>
        <a:xfrm>
          <a:off x="9803520" y="12925080"/>
          <a:ext cx="0" cy="936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17</xdr:col>
      <xdr:colOff>38160</xdr:colOff>
      <xdr:row>542</xdr:row>
      <xdr:rowOff>95400</xdr:rowOff>
    </xdr:from>
    <xdr:to>
      <xdr:col>21</xdr:col>
      <xdr:colOff>161640</xdr:colOff>
      <xdr:row>542</xdr:row>
      <xdr:rowOff>133200</xdr:rowOff>
    </xdr:to>
    <xdr:sp>
      <xdr:nvSpPr>
        <xdr:cNvPr id="231" name="Дуга 394"/>
        <xdr:cNvSpPr/>
      </xdr:nvSpPr>
      <xdr:spPr>
        <a:xfrm>
          <a:off x="9509760" y="10504080"/>
          <a:ext cx="1130400" cy="37800"/>
        </a:xfrm>
        <a:prstGeom prst="arc">
          <a:avLst>
            <a:gd name="adj1" fmla="val 16315971"/>
            <a:gd name="adj2" fmla="val 18118213"/>
          </a:avLst>
        </a:prstGeom>
        <a:noFill/>
        <a:ln w="28575">
          <a:solidFill>
            <a:srgbClr val="ff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27</xdr:col>
      <xdr:colOff>0</xdr:colOff>
      <xdr:row>542</xdr:row>
      <xdr:rowOff>85680</xdr:rowOff>
    </xdr:from>
    <xdr:to>
      <xdr:col>33</xdr:col>
      <xdr:colOff>75960</xdr:colOff>
      <xdr:row>542</xdr:row>
      <xdr:rowOff>104400</xdr:rowOff>
    </xdr:to>
    <xdr:sp>
      <xdr:nvSpPr>
        <xdr:cNvPr id="232" name="Дуга 395"/>
        <xdr:cNvSpPr/>
      </xdr:nvSpPr>
      <xdr:spPr>
        <a:xfrm flipH="1">
          <a:off x="11625480" y="10494360"/>
          <a:ext cx="1222560" cy="18720"/>
        </a:xfrm>
        <a:prstGeom prst="arc">
          <a:avLst>
            <a:gd name="adj1" fmla="val 16550924"/>
            <a:gd name="adj2" fmla="val 18688810"/>
          </a:avLst>
        </a:prstGeom>
        <a:noFill/>
        <a:ln w="28575">
          <a:solidFill>
            <a:srgbClr val="ff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31</xdr:col>
      <xdr:colOff>0</xdr:colOff>
      <xdr:row>326</xdr:row>
      <xdr:rowOff>0</xdr:rowOff>
    </xdr:from>
    <xdr:to>
      <xdr:col>31</xdr:col>
      <xdr:colOff>0</xdr:colOff>
      <xdr:row>326</xdr:row>
      <xdr:rowOff>37800</xdr:rowOff>
    </xdr:to>
    <xdr:sp>
      <xdr:nvSpPr>
        <xdr:cNvPr id="233" name="Прямая соединительная линия 398"/>
        <xdr:cNvSpPr/>
      </xdr:nvSpPr>
      <xdr:spPr>
        <a:xfrm>
          <a:off x="12390120" y="8618040"/>
          <a:ext cx="0" cy="3780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11</xdr:col>
      <xdr:colOff>75960</xdr:colOff>
      <xdr:row>326</xdr:row>
      <xdr:rowOff>18720</xdr:rowOff>
    </xdr:from>
    <xdr:to>
      <xdr:col>11</xdr:col>
      <xdr:colOff>75960</xdr:colOff>
      <xdr:row>326</xdr:row>
      <xdr:rowOff>133200</xdr:rowOff>
    </xdr:to>
    <xdr:sp>
      <xdr:nvSpPr>
        <xdr:cNvPr id="234" name="Прямая соединительная линия 399"/>
        <xdr:cNvSpPr/>
      </xdr:nvSpPr>
      <xdr:spPr>
        <a:xfrm>
          <a:off x="8400600" y="8636760"/>
          <a:ext cx="0" cy="11448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5</xdr:col>
      <xdr:colOff>381240</xdr:colOff>
      <xdr:row>326</xdr:row>
      <xdr:rowOff>0</xdr:rowOff>
    </xdr:from>
    <xdr:to>
      <xdr:col>17</xdr:col>
      <xdr:colOff>142920</xdr:colOff>
      <xdr:row>326</xdr:row>
      <xdr:rowOff>66240</xdr:rowOff>
    </xdr:to>
    <xdr:sp>
      <xdr:nvSpPr>
        <xdr:cNvPr id="235" name="Соединительная линия уступом 1570"/>
        <xdr:cNvSpPr/>
      </xdr:nvSpPr>
      <xdr:spPr>
        <a:xfrm flipV="1">
          <a:off x="6499080" y="8617680"/>
          <a:ext cx="3115080" cy="66240"/>
        </a:xfrm>
        <a:prstGeom prst="bentConnector3">
          <a:avLst>
            <a:gd name="adj1" fmla="val 88312"/>
          </a:avLst>
        </a:prstGeom>
        <a:noFill/>
        <a:ln w="12700">
          <a:solidFill>
            <a:srgbClr val="000000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31</xdr:col>
      <xdr:colOff>0</xdr:colOff>
      <xdr:row>326</xdr:row>
      <xdr:rowOff>18720</xdr:rowOff>
    </xdr:from>
    <xdr:to>
      <xdr:col>31</xdr:col>
      <xdr:colOff>0</xdr:colOff>
      <xdr:row>326</xdr:row>
      <xdr:rowOff>133200</xdr:rowOff>
    </xdr:to>
    <xdr:sp>
      <xdr:nvSpPr>
        <xdr:cNvPr id="236" name="Прямая соединительная линия 403"/>
        <xdr:cNvSpPr/>
      </xdr:nvSpPr>
      <xdr:spPr>
        <a:xfrm>
          <a:off x="12390120" y="8636760"/>
          <a:ext cx="0" cy="11448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7</xdr:col>
      <xdr:colOff>123480</xdr:colOff>
      <xdr:row>701</xdr:row>
      <xdr:rowOff>0</xdr:rowOff>
    </xdr:from>
    <xdr:to>
      <xdr:col>13</xdr:col>
      <xdr:colOff>6120</xdr:colOff>
      <xdr:row>701</xdr:row>
      <xdr:rowOff>142560</xdr:rowOff>
    </xdr:to>
    <xdr:sp>
      <xdr:nvSpPr>
        <xdr:cNvPr id="237" name="Прямая соединительная линия 404"/>
        <xdr:cNvSpPr/>
      </xdr:nvSpPr>
      <xdr:spPr>
        <a:xfrm flipH="1">
          <a:off x="7562160" y="11125080"/>
          <a:ext cx="1150920" cy="1425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13</xdr:col>
      <xdr:colOff>6120</xdr:colOff>
      <xdr:row>701</xdr:row>
      <xdr:rowOff>0</xdr:rowOff>
    </xdr:from>
    <xdr:to>
      <xdr:col>18</xdr:col>
      <xdr:colOff>66600</xdr:colOff>
      <xdr:row>701</xdr:row>
      <xdr:rowOff>66600</xdr:rowOff>
    </xdr:to>
    <xdr:sp>
      <xdr:nvSpPr>
        <xdr:cNvPr id="238" name="Прямая соединительная линия 406"/>
        <xdr:cNvSpPr/>
      </xdr:nvSpPr>
      <xdr:spPr>
        <a:xfrm flipH="1" flipV="1">
          <a:off x="8713080" y="11125080"/>
          <a:ext cx="1147680" cy="6660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21</xdr:col>
      <xdr:colOff>133200</xdr:colOff>
      <xdr:row>701</xdr:row>
      <xdr:rowOff>18720</xdr:rowOff>
    </xdr:from>
    <xdr:to>
      <xdr:col>26</xdr:col>
      <xdr:colOff>171360</xdr:colOff>
      <xdr:row>701</xdr:row>
      <xdr:rowOff>75960</xdr:rowOff>
    </xdr:to>
    <xdr:sp>
      <xdr:nvSpPr>
        <xdr:cNvPr id="239" name="Прямая соединительная линия 407"/>
        <xdr:cNvSpPr/>
      </xdr:nvSpPr>
      <xdr:spPr>
        <a:xfrm flipH="1" flipV="1">
          <a:off x="10611720" y="11143800"/>
          <a:ext cx="993960" cy="5724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7</xdr:col>
      <xdr:colOff>285480</xdr:colOff>
      <xdr:row>701</xdr:row>
      <xdr:rowOff>18720</xdr:rowOff>
    </xdr:from>
    <xdr:to>
      <xdr:col>10</xdr:col>
      <xdr:colOff>191160</xdr:colOff>
      <xdr:row>701</xdr:row>
      <xdr:rowOff>123480</xdr:rowOff>
    </xdr:to>
    <xdr:sp>
      <xdr:nvSpPr>
        <xdr:cNvPr id="240" name="Прямая соединительная линия 409"/>
        <xdr:cNvSpPr/>
      </xdr:nvSpPr>
      <xdr:spPr>
        <a:xfrm flipH="1">
          <a:off x="7724160" y="11143800"/>
          <a:ext cx="600480" cy="1047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14</xdr:col>
      <xdr:colOff>114120</xdr:colOff>
      <xdr:row>701</xdr:row>
      <xdr:rowOff>114120</xdr:rowOff>
    </xdr:from>
    <xdr:to>
      <xdr:col>19</xdr:col>
      <xdr:colOff>152280</xdr:colOff>
      <xdr:row>701</xdr:row>
      <xdr:rowOff>133200</xdr:rowOff>
    </xdr:to>
    <xdr:sp>
      <xdr:nvSpPr>
        <xdr:cNvPr id="241" name="Прямая соединительная линия 411"/>
        <xdr:cNvSpPr/>
      </xdr:nvSpPr>
      <xdr:spPr>
        <a:xfrm flipH="1" flipV="1">
          <a:off x="9012240" y="11239200"/>
          <a:ext cx="1125360" cy="1908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17</xdr:col>
      <xdr:colOff>161640</xdr:colOff>
      <xdr:row>701</xdr:row>
      <xdr:rowOff>28440</xdr:rowOff>
    </xdr:from>
    <xdr:to>
      <xdr:col>25</xdr:col>
      <xdr:colOff>191160</xdr:colOff>
      <xdr:row>701</xdr:row>
      <xdr:rowOff>142560</xdr:rowOff>
    </xdr:to>
    <xdr:sp>
      <xdr:nvSpPr>
        <xdr:cNvPr id="242" name="Прямая соединительная линия 412"/>
        <xdr:cNvSpPr/>
      </xdr:nvSpPr>
      <xdr:spPr>
        <a:xfrm flipH="1">
          <a:off x="9633240" y="11153520"/>
          <a:ext cx="1801080" cy="11412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10</xdr:col>
      <xdr:colOff>142560</xdr:colOff>
      <xdr:row>701</xdr:row>
      <xdr:rowOff>18720</xdr:rowOff>
    </xdr:from>
    <xdr:to>
      <xdr:col>16</xdr:col>
      <xdr:colOff>75960</xdr:colOff>
      <xdr:row>701</xdr:row>
      <xdr:rowOff>56880</xdr:rowOff>
    </xdr:to>
    <xdr:sp>
      <xdr:nvSpPr>
        <xdr:cNvPr id="243" name="Прямая соединительная линия 415"/>
        <xdr:cNvSpPr/>
      </xdr:nvSpPr>
      <xdr:spPr>
        <a:xfrm flipH="1">
          <a:off x="8276040" y="11143800"/>
          <a:ext cx="1080360" cy="3816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13</xdr:col>
      <xdr:colOff>75240</xdr:colOff>
      <xdr:row>701</xdr:row>
      <xdr:rowOff>47520</xdr:rowOff>
    </xdr:from>
    <xdr:to>
      <xdr:col>18</xdr:col>
      <xdr:colOff>50760</xdr:colOff>
      <xdr:row>701</xdr:row>
      <xdr:rowOff>75960</xdr:rowOff>
    </xdr:to>
    <xdr:sp>
      <xdr:nvSpPr>
        <xdr:cNvPr id="244" name="Прямая соединительная линия 416"/>
        <xdr:cNvSpPr/>
      </xdr:nvSpPr>
      <xdr:spPr>
        <a:xfrm flipH="1" flipV="1">
          <a:off x="8782200" y="11172600"/>
          <a:ext cx="1062720" cy="2844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18</xdr:col>
      <xdr:colOff>56880</xdr:colOff>
      <xdr:row>701</xdr:row>
      <xdr:rowOff>56880</xdr:rowOff>
    </xdr:from>
    <xdr:to>
      <xdr:col>18</xdr:col>
      <xdr:colOff>56880</xdr:colOff>
      <xdr:row>701</xdr:row>
      <xdr:rowOff>104760</xdr:rowOff>
    </xdr:to>
    <xdr:sp>
      <xdr:nvSpPr>
        <xdr:cNvPr id="245" name="Прямая соединительная линия 418"/>
        <xdr:cNvSpPr/>
      </xdr:nvSpPr>
      <xdr:spPr>
        <a:xfrm>
          <a:off x="9851040" y="11181960"/>
          <a:ext cx="0" cy="4788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26</xdr:col>
      <xdr:colOff>171360</xdr:colOff>
      <xdr:row>701</xdr:row>
      <xdr:rowOff>56880</xdr:rowOff>
    </xdr:from>
    <xdr:to>
      <xdr:col>26</xdr:col>
      <xdr:colOff>171360</xdr:colOff>
      <xdr:row>701</xdr:row>
      <xdr:rowOff>104760</xdr:rowOff>
    </xdr:to>
    <xdr:sp>
      <xdr:nvSpPr>
        <xdr:cNvPr id="246" name="Прямая соединительная линия 419"/>
        <xdr:cNvSpPr/>
      </xdr:nvSpPr>
      <xdr:spPr>
        <a:xfrm>
          <a:off x="11605680" y="11181960"/>
          <a:ext cx="0" cy="4788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18</xdr:col>
      <xdr:colOff>180720</xdr:colOff>
      <xdr:row>701</xdr:row>
      <xdr:rowOff>56880</xdr:rowOff>
    </xdr:from>
    <xdr:to>
      <xdr:col>18</xdr:col>
      <xdr:colOff>191160</xdr:colOff>
      <xdr:row>701</xdr:row>
      <xdr:rowOff>104760</xdr:rowOff>
    </xdr:to>
    <xdr:sp>
      <xdr:nvSpPr>
        <xdr:cNvPr id="247" name="Прямая соединительная линия 424"/>
        <xdr:cNvSpPr/>
      </xdr:nvSpPr>
      <xdr:spPr>
        <a:xfrm>
          <a:off x="9974880" y="11181960"/>
          <a:ext cx="10440" cy="4788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19</xdr:col>
      <xdr:colOff>0</xdr:colOff>
      <xdr:row>701</xdr:row>
      <xdr:rowOff>85680</xdr:rowOff>
    </xdr:from>
    <xdr:to>
      <xdr:col>26</xdr:col>
      <xdr:colOff>9360</xdr:colOff>
      <xdr:row>701</xdr:row>
      <xdr:rowOff>95040</xdr:rowOff>
    </xdr:to>
    <xdr:sp>
      <xdr:nvSpPr>
        <xdr:cNvPr id="248" name="Прямая соединительная линия 428"/>
        <xdr:cNvSpPr/>
      </xdr:nvSpPr>
      <xdr:spPr>
        <a:xfrm flipH="1">
          <a:off x="9985320" y="11210760"/>
          <a:ext cx="1458360" cy="93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17</xdr:col>
      <xdr:colOff>104760</xdr:colOff>
      <xdr:row>701</xdr:row>
      <xdr:rowOff>18720</xdr:rowOff>
    </xdr:from>
    <xdr:to>
      <xdr:col>17</xdr:col>
      <xdr:colOff>104760</xdr:colOff>
      <xdr:row>701</xdr:row>
      <xdr:rowOff>114120</xdr:rowOff>
    </xdr:to>
    <xdr:sp>
      <xdr:nvSpPr>
        <xdr:cNvPr id="249" name="Прямая соединительная линия 429"/>
        <xdr:cNvSpPr/>
      </xdr:nvSpPr>
      <xdr:spPr>
        <a:xfrm>
          <a:off x="9576360" y="11143800"/>
          <a:ext cx="0" cy="9540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25</xdr:col>
      <xdr:colOff>171360</xdr:colOff>
      <xdr:row>701</xdr:row>
      <xdr:rowOff>0</xdr:rowOff>
    </xdr:from>
    <xdr:to>
      <xdr:col>25</xdr:col>
      <xdr:colOff>171360</xdr:colOff>
      <xdr:row>701</xdr:row>
      <xdr:rowOff>133200</xdr:rowOff>
    </xdr:to>
    <xdr:sp>
      <xdr:nvSpPr>
        <xdr:cNvPr id="250" name="Прямая соединительная линия 433"/>
        <xdr:cNvSpPr/>
      </xdr:nvSpPr>
      <xdr:spPr>
        <a:xfrm>
          <a:off x="11414520" y="11125080"/>
          <a:ext cx="0" cy="13320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19</xdr:col>
      <xdr:colOff>0</xdr:colOff>
      <xdr:row>701</xdr:row>
      <xdr:rowOff>47520</xdr:rowOff>
    </xdr:from>
    <xdr:to>
      <xdr:col>25</xdr:col>
      <xdr:colOff>161640</xdr:colOff>
      <xdr:row>701</xdr:row>
      <xdr:rowOff>123480</xdr:rowOff>
    </xdr:to>
    <xdr:sp>
      <xdr:nvSpPr>
        <xdr:cNvPr id="251" name="Прямая соединительная линия 435"/>
        <xdr:cNvSpPr/>
      </xdr:nvSpPr>
      <xdr:spPr>
        <a:xfrm flipH="1">
          <a:off x="9985320" y="11172600"/>
          <a:ext cx="1419480" cy="759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17</xdr:col>
      <xdr:colOff>85680</xdr:colOff>
      <xdr:row>701</xdr:row>
      <xdr:rowOff>28440</xdr:rowOff>
    </xdr:from>
    <xdr:to>
      <xdr:col>26</xdr:col>
      <xdr:colOff>18720</xdr:colOff>
      <xdr:row>701</xdr:row>
      <xdr:rowOff>152280</xdr:rowOff>
    </xdr:to>
    <xdr:sp>
      <xdr:nvSpPr>
        <xdr:cNvPr id="252" name="Прямая соединительная линия 438"/>
        <xdr:cNvSpPr/>
      </xdr:nvSpPr>
      <xdr:spPr>
        <a:xfrm flipH="1" flipV="1">
          <a:off x="9557280" y="11153520"/>
          <a:ext cx="1895760" cy="12384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18</xdr:col>
      <xdr:colOff>180720</xdr:colOff>
      <xdr:row>701</xdr:row>
      <xdr:rowOff>104760</xdr:rowOff>
    </xdr:from>
    <xdr:to>
      <xdr:col>25</xdr:col>
      <xdr:colOff>180720</xdr:colOff>
      <xdr:row>701</xdr:row>
      <xdr:rowOff>114120</xdr:rowOff>
    </xdr:to>
    <xdr:sp>
      <xdr:nvSpPr>
        <xdr:cNvPr id="253" name="Прямая соединительная линия 445"/>
        <xdr:cNvSpPr/>
      </xdr:nvSpPr>
      <xdr:spPr>
        <a:xfrm flipH="1">
          <a:off x="9974880" y="11229840"/>
          <a:ext cx="1449000" cy="93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10</xdr:col>
      <xdr:colOff>152280</xdr:colOff>
      <xdr:row>701</xdr:row>
      <xdr:rowOff>18720</xdr:rowOff>
    </xdr:from>
    <xdr:to>
      <xdr:col>17</xdr:col>
      <xdr:colOff>104760</xdr:colOff>
      <xdr:row>701</xdr:row>
      <xdr:rowOff>117360</xdr:rowOff>
    </xdr:to>
    <xdr:sp>
      <xdr:nvSpPr>
        <xdr:cNvPr id="254" name="Прямая соединительная линия 447"/>
        <xdr:cNvSpPr/>
      </xdr:nvSpPr>
      <xdr:spPr>
        <a:xfrm flipH="1">
          <a:off x="8285760" y="11143800"/>
          <a:ext cx="1290600" cy="9864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10</xdr:col>
      <xdr:colOff>152280</xdr:colOff>
      <xdr:row>701</xdr:row>
      <xdr:rowOff>56880</xdr:rowOff>
    </xdr:from>
    <xdr:to>
      <xdr:col>17</xdr:col>
      <xdr:colOff>104760</xdr:colOff>
      <xdr:row>701</xdr:row>
      <xdr:rowOff>155520</xdr:rowOff>
    </xdr:to>
    <xdr:sp>
      <xdr:nvSpPr>
        <xdr:cNvPr id="255" name="Прямая соединительная линия 448"/>
        <xdr:cNvSpPr/>
      </xdr:nvSpPr>
      <xdr:spPr>
        <a:xfrm flipH="1">
          <a:off x="8285760" y="11181960"/>
          <a:ext cx="1290600" cy="9864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17</xdr:col>
      <xdr:colOff>95040</xdr:colOff>
      <xdr:row>701</xdr:row>
      <xdr:rowOff>66600</xdr:rowOff>
    </xdr:from>
    <xdr:to>
      <xdr:col>26</xdr:col>
      <xdr:colOff>9360</xdr:colOff>
      <xdr:row>701</xdr:row>
      <xdr:rowOff>85680</xdr:rowOff>
    </xdr:to>
    <xdr:sp>
      <xdr:nvSpPr>
        <xdr:cNvPr id="256" name="Прямая соединительная линия 450"/>
        <xdr:cNvSpPr/>
      </xdr:nvSpPr>
      <xdr:spPr>
        <a:xfrm flipH="1" flipV="1">
          <a:off x="9566640" y="11191680"/>
          <a:ext cx="1877040" cy="1908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17</xdr:col>
      <xdr:colOff>114120</xdr:colOff>
      <xdr:row>701</xdr:row>
      <xdr:rowOff>28440</xdr:rowOff>
    </xdr:from>
    <xdr:to>
      <xdr:col>25</xdr:col>
      <xdr:colOff>171360</xdr:colOff>
      <xdr:row>701</xdr:row>
      <xdr:rowOff>47520</xdr:rowOff>
    </xdr:to>
    <xdr:sp>
      <xdr:nvSpPr>
        <xdr:cNvPr id="257" name="Прямая соединительная линия 451"/>
        <xdr:cNvSpPr/>
      </xdr:nvSpPr>
      <xdr:spPr>
        <a:xfrm flipH="1" flipV="1">
          <a:off x="9585720" y="11153520"/>
          <a:ext cx="1828800" cy="1908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31</xdr:col>
      <xdr:colOff>0</xdr:colOff>
      <xdr:row>701</xdr:row>
      <xdr:rowOff>66600</xdr:rowOff>
    </xdr:from>
    <xdr:to>
      <xdr:col>34</xdr:col>
      <xdr:colOff>21600</xdr:colOff>
      <xdr:row>701</xdr:row>
      <xdr:rowOff>123480</xdr:rowOff>
    </xdr:to>
    <xdr:sp>
      <xdr:nvSpPr>
        <xdr:cNvPr id="258" name="Соединительная линия уступом 459"/>
        <xdr:cNvSpPr/>
      </xdr:nvSpPr>
      <xdr:spPr>
        <a:xfrm flipV="1" rot="10800000">
          <a:off x="11664000" y="11134800"/>
          <a:ext cx="726120" cy="56880"/>
        </a:xfrm>
        <a:prstGeom prst="bentConnector3">
          <a:avLst>
            <a:gd name="adj1" fmla="val 50000"/>
          </a:avLst>
        </a:prstGeom>
        <a:noFill/>
        <a:ln w="12700">
          <a:solidFill>
            <a:srgbClr val="000000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7</xdr:col>
      <xdr:colOff>142920</xdr:colOff>
      <xdr:row>701</xdr:row>
      <xdr:rowOff>38160</xdr:rowOff>
    </xdr:from>
    <xdr:to>
      <xdr:col>18</xdr:col>
      <xdr:colOff>142560</xdr:colOff>
      <xdr:row>701</xdr:row>
      <xdr:rowOff>56880</xdr:rowOff>
    </xdr:to>
    <xdr:sp>
      <xdr:nvSpPr>
        <xdr:cNvPr id="259" name="Соединительная линия уступом 461"/>
        <xdr:cNvSpPr/>
      </xdr:nvSpPr>
      <xdr:spPr>
        <a:xfrm>
          <a:off x="7581600" y="11163240"/>
          <a:ext cx="2355120" cy="18720"/>
        </a:xfrm>
        <a:prstGeom prst="bentConnector3">
          <a:avLst>
            <a:gd name="adj1" fmla="val 50000"/>
          </a:avLst>
        </a:prstGeom>
        <a:noFill/>
        <a:ln w="12700">
          <a:solidFill>
            <a:srgbClr val="000000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16</xdr:col>
      <xdr:colOff>95400</xdr:colOff>
      <xdr:row>701</xdr:row>
      <xdr:rowOff>104760</xdr:rowOff>
    </xdr:from>
    <xdr:to>
      <xdr:col>20</xdr:col>
      <xdr:colOff>18720</xdr:colOff>
      <xdr:row>701</xdr:row>
      <xdr:rowOff>142560</xdr:rowOff>
    </xdr:to>
    <xdr:sp>
      <xdr:nvSpPr>
        <xdr:cNvPr id="260" name="Дуга 462"/>
        <xdr:cNvSpPr/>
      </xdr:nvSpPr>
      <xdr:spPr>
        <a:xfrm>
          <a:off x="9375840" y="11229840"/>
          <a:ext cx="819360" cy="37800"/>
        </a:xfrm>
        <a:prstGeom prst="arc">
          <a:avLst>
            <a:gd name="adj1" fmla="val 16315971"/>
            <a:gd name="adj2" fmla="val 18118213"/>
          </a:avLst>
        </a:prstGeom>
        <a:noFill/>
        <a:ln w="28575">
          <a:solidFill>
            <a:srgbClr val="ff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26</xdr:col>
      <xdr:colOff>47520</xdr:colOff>
      <xdr:row>401</xdr:row>
      <xdr:rowOff>57240</xdr:rowOff>
    </xdr:from>
    <xdr:to>
      <xdr:col>32</xdr:col>
      <xdr:colOff>123480</xdr:colOff>
      <xdr:row>401</xdr:row>
      <xdr:rowOff>114120</xdr:rowOff>
    </xdr:to>
    <xdr:sp>
      <xdr:nvSpPr>
        <xdr:cNvPr id="261" name="Дуга 464"/>
        <xdr:cNvSpPr/>
      </xdr:nvSpPr>
      <xdr:spPr>
        <a:xfrm flipH="1">
          <a:off x="11481840" y="9391680"/>
          <a:ext cx="1222560" cy="56880"/>
        </a:xfrm>
        <a:prstGeom prst="arc">
          <a:avLst>
            <a:gd name="adj1" fmla="val 16550924"/>
            <a:gd name="adj2" fmla="val 20190086"/>
          </a:avLst>
        </a:prstGeom>
        <a:noFill/>
        <a:ln w="28575">
          <a:solidFill>
            <a:srgbClr val="ff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34</xdr:col>
      <xdr:colOff>9360</xdr:colOff>
      <xdr:row>401</xdr:row>
      <xdr:rowOff>57240</xdr:rowOff>
    </xdr:from>
    <xdr:to>
      <xdr:col>41</xdr:col>
      <xdr:colOff>120960</xdr:colOff>
      <xdr:row>401</xdr:row>
      <xdr:rowOff>114120</xdr:rowOff>
    </xdr:to>
    <xdr:sp>
      <xdr:nvSpPr>
        <xdr:cNvPr id="262" name="Соединительная линия уступом 465"/>
        <xdr:cNvSpPr/>
      </xdr:nvSpPr>
      <xdr:spPr>
        <a:xfrm flipV="1" rot="10800000">
          <a:off x="11654280" y="9334800"/>
          <a:ext cx="1449720" cy="56880"/>
        </a:xfrm>
        <a:prstGeom prst="bentConnector3">
          <a:avLst>
            <a:gd name="adj1" fmla="val 50000"/>
          </a:avLst>
        </a:prstGeom>
        <a:noFill/>
        <a:ln w="12700">
          <a:solidFill>
            <a:srgbClr val="000000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27</xdr:col>
      <xdr:colOff>9360</xdr:colOff>
      <xdr:row>442</xdr:row>
      <xdr:rowOff>56880</xdr:rowOff>
    </xdr:from>
    <xdr:to>
      <xdr:col>30</xdr:col>
      <xdr:colOff>191160</xdr:colOff>
      <xdr:row>442</xdr:row>
      <xdr:rowOff>142560</xdr:rowOff>
    </xdr:to>
    <xdr:sp>
      <xdr:nvSpPr>
        <xdr:cNvPr id="263" name="Прямая соединительная линия 467"/>
        <xdr:cNvSpPr/>
      </xdr:nvSpPr>
      <xdr:spPr>
        <a:xfrm flipH="1" flipV="1">
          <a:off x="11634840" y="9749520"/>
          <a:ext cx="755280" cy="8568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23</xdr:col>
      <xdr:colOff>66600</xdr:colOff>
      <xdr:row>442</xdr:row>
      <xdr:rowOff>47520</xdr:rowOff>
    </xdr:from>
    <xdr:to>
      <xdr:col>27</xdr:col>
      <xdr:colOff>9360</xdr:colOff>
      <xdr:row>442</xdr:row>
      <xdr:rowOff>85680</xdr:rowOff>
    </xdr:to>
    <xdr:sp>
      <xdr:nvSpPr>
        <xdr:cNvPr id="264" name="Прямая соединительная линия 468"/>
        <xdr:cNvSpPr/>
      </xdr:nvSpPr>
      <xdr:spPr>
        <a:xfrm flipV="1">
          <a:off x="10927440" y="9740160"/>
          <a:ext cx="707400" cy="3816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23</xdr:col>
      <xdr:colOff>95040</xdr:colOff>
      <xdr:row>442</xdr:row>
      <xdr:rowOff>85680</xdr:rowOff>
    </xdr:from>
    <xdr:to>
      <xdr:col>30</xdr:col>
      <xdr:colOff>171360</xdr:colOff>
      <xdr:row>442</xdr:row>
      <xdr:rowOff>123480</xdr:rowOff>
    </xdr:to>
    <xdr:sp>
      <xdr:nvSpPr>
        <xdr:cNvPr id="265" name="Прямая соединительная линия 469"/>
        <xdr:cNvSpPr/>
      </xdr:nvSpPr>
      <xdr:spPr>
        <a:xfrm flipH="1" flipV="1">
          <a:off x="10955880" y="9778320"/>
          <a:ext cx="1414440" cy="3780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7</xdr:col>
      <xdr:colOff>85680</xdr:colOff>
      <xdr:row>503</xdr:row>
      <xdr:rowOff>28440</xdr:rowOff>
    </xdr:from>
    <xdr:to>
      <xdr:col>13</xdr:col>
      <xdr:colOff>123480</xdr:colOff>
      <xdr:row>503</xdr:row>
      <xdr:rowOff>37440</xdr:rowOff>
    </xdr:to>
    <xdr:sp>
      <xdr:nvSpPr>
        <xdr:cNvPr id="266" name="Соединительная линия уступом 470"/>
        <xdr:cNvSpPr/>
      </xdr:nvSpPr>
      <xdr:spPr>
        <a:xfrm flipV="1">
          <a:off x="7524360" y="10078200"/>
          <a:ext cx="1306080" cy="9000"/>
        </a:xfrm>
        <a:prstGeom prst="bentConnector3">
          <a:avLst>
            <a:gd name="adj1" fmla="val 50000"/>
          </a:avLst>
        </a:prstGeom>
        <a:noFill/>
        <a:ln w="12700">
          <a:solidFill>
            <a:srgbClr val="000000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9</xdr:col>
      <xdr:colOff>95040</xdr:colOff>
      <xdr:row>235</xdr:row>
      <xdr:rowOff>95040</xdr:rowOff>
    </xdr:from>
    <xdr:to>
      <xdr:col>19</xdr:col>
      <xdr:colOff>133200</xdr:colOff>
      <xdr:row>235</xdr:row>
      <xdr:rowOff>95040</xdr:rowOff>
    </xdr:to>
    <xdr:sp>
      <xdr:nvSpPr>
        <xdr:cNvPr id="267" name="Прямая соединительная линия 471"/>
        <xdr:cNvSpPr/>
      </xdr:nvSpPr>
      <xdr:spPr>
        <a:xfrm flipH="1">
          <a:off x="8037360" y="7996680"/>
          <a:ext cx="2081160" cy="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14</xdr:col>
      <xdr:colOff>141120</xdr:colOff>
      <xdr:row>283</xdr:row>
      <xdr:rowOff>29880</xdr:rowOff>
    </xdr:from>
    <xdr:to>
      <xdr:col>28</xdr:col>
      <xdr:colOff>174600</xdr:colOff>
      <xdr:row>283</xdr:row>
      <xdr:rowOff>95040</xdr:rowOff>
    </xdr:to>
    <xdr:sp>
      <xdr:nvSpPr>
        <xdr:cNvPr id="268" name="Прямая соединительная линия 475"/>
        <xdr:cNvSpPr/>
      </xdr:nvSpPr>
      <xdr:spPr>
        <a:xfrm flipH="1" flipV="1">
          <a:off x="9039240" y="8289720"/>
          <a:ext cx="2952000" cy="6516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17</xdr:col>
      <xdr:colOff>43560</xdr:colOff>
      <xdr:row>283</xdr:row>
      <xdr:rowOff>0</xdr:rowOff>
    </xdr:from>
    <xdr:to>
      <xdr:col>17</xdr:col>
      <xdr:colOff>43920</xdr:colOff>
      <xdr:row>283</xdr:row>
      <xdr:rowOff>56880</xdr:rowOff>
    </xdr:to>
    <xdr:sp>
      <xdr:nvSpPr>
        <xdr:cNvPr id="269" name="Прямая со стрелкой 477"/>
        <xdr:cNvSpPr/>
      </xdr:nvSpPr>
      <xdr:spPr>
        <a:xfrm flipH="1">
          <a:off x="9515160" y="8259840"/>
          <a:ext cx="360" cy="5688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000000"/>
          </a:solidFill>
          <a:round/>
          <a:headEnd len="med" type="arrow" w="med"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28</xdr:col>
      <xdr:colOff>149040</xdr:colOff>
      <xdr:row>283</xdr:row>
      <xdr:rowOff>71280</xdr:rowOff>
    </xdr:from>
    <xdr:to>
      <xdr:col>28</xdr:col>
      <xdr:colOff>149040</xdr:colOff>
      <xdr:row>283</xdr:row>
      <xdr:rowOff>141120</xdr:rowOff>
    </xdr:to>
    <xdr:sp>
      <xdr:nvSpPr>
        <xdr:cNvPr id="270" name="Прямая соединительная линия 481"/>
        <xdr:cNvSpPr/>
      </xdr:nvSpPr>
      <xdr:spPr>
        <a:xfrm>
          <a:off x="11965680" y="8331120"/>
          <a:ext cx="0" cy="6984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7</xdr:col>
      <xdr:colOff>7920</xdr:colOff>
      <xdr:row>283</xdr:row>
      <xdr:rowOff>9360</xdr:rowOff>
    </xdr:from>
    <xdr:to>
      <xdr:col>7</xdr:col>
      <xdr:colOff>9360</xdr:colOff>
      <xdr:row>283</xdr:row>
      <xdr:rowOff>9360</xdr:rowOff>
    </xdr:to>
    <xdr:sp>
      <xdr:nvSpPr>
        <xdr:cNvPr id="271" name="Прямая соединительная линия 483"/>
        <xdr:cNvSpPr/>
      </xdr:nvSpPr>
      <xdr:spPr>
        <a:xfrm flipH="1">
          <a:off x="7446600" y="8269200"/>
          <a:ext cx="1440" cy="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14</xdr:col>
      <xdr:colOff>150480</xdr:colOff>
      <xdr:row>283</xdr:row>
      <xdr:rowOff>37800</xdr:rowOff>
    </xdr:from>
    <xdr:to>
      <xdr:col>14</xdr:col>
      <xdr:colOff>152280</xdr:colOff>
      <xdr:row>283</xdr:row>
      <xdr:rowOff>79200</xdr:rowOff>
    </xdr:to>
    <xdr:sp>
      <xdr:nvSpPr>
        <xdr:cNvPr id="272" name="Прямая соединительная линия 484"/>
        <xdr:cNvSpPr/>
      </xdr:nvSpPr>
      <xdr:spPr>
        <a:xfrm flipH="1">
          <a:off x="9048600" y="8297640"/>
          <a:ext cx="1800" cy="4140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14</xdr:col>
      <xdr:colOff>133200</xdr:colOff>
      <xdr:row>283</xdr:row>
      <xdr:rowOff>18720</xdr:rowOff>
    </xdr:from>
    <xdr:to>
      <xdr:col>28</xdr:col>
      <xdr:colOff>161640</xdr:colOff>
      <xdr:row>283</xdr:row>
      <xdr:rowOff>85680</xdr:rowOff>
    </xdr:to>
    <xdr:sp>
      <xdr:nvSpPr>
        <xdr:cNvPr id="273" name="Прямая соединительная линия 487"/>
        <xdr:cNvSpPr/>
      </xdr:nvSpPr>
      <xdr:spPr>
        <a:xfrm flipH="1" flipV="1">
          <a:off x="9031320" y="8278560"/>
          <a:ext cx="2946960" cy="669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20</xdr:col>
      <xdr:colOff>257040</xdr:colOff>
      <xdr:row>283</xdr:row>
      <xdr:rowOff>83880</xdr:rowOff>
    </xdr:from>
    <xdr:to>
      <xdr:col>28</xdr:col>
      <xdr:colOff>134640</xdr:colOff>
      <xdr:row>283</xdr:row>
      <xdr:rowOff>172800</xdr:rowOff>
    </xdr:to>
    <xdr:sp>
      <xdr:nvSpPr>
        <xdr:cNvPr id="274" name="Прямая соединительная линия 488"/>
        <xdr:cNvSpPr/>
      </xdr:nvSpPr>
      <xdr:spPr>
        <a:xfrm flipH="1">
          <a:off x="10433520" y="8343720"/>
          <a:ext cx="1517760" cy="8892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20</xdr:col>
      <xdr:colOff>188640</xdr:colOff>
      <xdr:row>283</xdr:row>
      <xdr:rowOff>123480</xdr:rowOff>
    </xdr:from>
    <xdr:to>
      <xdr:col>20</xdr:col>
      <xdr:colOff>188640</xdr:colOff>
      <xdr:row>283</xdr:row>
      <xdr:rowOff>174600</xdr:rowOff>
    </xdr:to>
    <xdr:sp>
      <xdr:nvSpPr>
        <xdr:cNvPr id="275" name="Прямая соединительная линия 489"/>
        <xdr:cNvSpPr/>
      </xdr:nvSpPr>
      <xdr:spPr>
        <a:xfrm>
          <a:off x="10365120" y="8383320"/>
          <a:ext cx="0" cy="5112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14</xdr:col>
      <xdr:colOff>6120</xdr:colOff>
      <xdr:row>283</xdr:row>
      <xdr:rowOff>36360</xdr:rowOff>
    </xdr:from>
    <xdr:to>
      <xdr:col>27</xdr:col>
      <xdr:colOff>166680</xdr:colOff>
      <xdr:row>283</xdr:row>
      <xdr:rowOff>142560</xdr:rowOff>
    </xdr:to>
    <xdr:sp>
      <xdr:nvSpPr>
        <xdr:cNvPr id="276" name="Прямая соединительная линия 492"/>
        <xdr:cNvSpPr/>
      </xdr:nvSpPr>
      <xdr:spPr>
        <a:xfrm flipH="1" flipV="1">
          <a:off x="8904240" y="8296200"/>
          <a:ext cx="2887920" cy="10620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9</xdr:col>
      <xdr:colOff>55440</xdr:colOff>
      <xdr:row>283</xdr:row>
      <xdr:rowOff>147600</xdr:rowOff>
    </xdr:from>
    <xdr:to>
      <xdr:col>15</xdr:col>
      <xdr:colOff>74520</xdr:colOff>
      <xdr:row>283</xdr:row>
      <xdr:rowOff>166680</xdr:rowOff>
    </xdr:to>
    <xdr:sp>
      <xdr:nvSpPr>
        <xdr:cNvPr id="277" name="Прямая соединительная линия 493"/>
        <xdr:cNvSpPr/>
      </xdr:nvSpPr>
      <xdr:spPr>
        <a:xfrm flipH="1">
          <a:off x="7997760" y="8407440"/>
          <a:ext cx="1166040" cy="1908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10</xdr:col>
      <xdr:colOff>171360</xdr:colOff>
      <xdr:row>283</xdr:row>
      <xdr:rowOff>28440</xdr:rowOff>
    </xdr:from>
    <xdr:to>
      <xdr:col>14</xdr:col>
      <xdr:colOff>9000</xdr:colOff>
      <xdr:row>283</xdr:row>
      <xdr:rowOff>85320</xdr:rowOff>
    </xdr:to>
    <xdr:sp>
      <xdr:nvSpPr>
        <xdr:cNvPr id="278" name="Дуга 495"/>
        <xdr:cNvSpPr/>
      </xdr:nvSpPr>
      <xdr:spPr>
        <a:xfrm>
          <a:off x="8304840" y="8288280"/>
          <a:ext cx="602280" cy="56880"/>
        </a:xfrm>
        <a:prstGeom prst="arc">
          <a:avLst>
            <a:gd name="adj1" fmla="val 16550924"/>
            <a:gd name="adj2" fmla="val 20190086"/>
          </a:avLst>
        </a:prstGeom>
        <a:noFill/>
        <a:ln w="28575">
          <a:solidFill>
            <a:srgbClr val="ff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19</xdr:col>
      <xdr:colOff>118800</xdr:colOff>
      <xdr:row>283</xdr:row>
      <xdr:rowOff>39600</xdr:rowOff>
    </xdr:from>
    <xdr:to>
      <xdr:col>27</xdr:col>
      <xdr:colOff>18720</xdr:colOff>
      <xdr:row>283</xdr:row>
      <xdr:rowOff>63360</xdr:rowOff>
    </xdr:to>
    <xdr:sp>
      <xdr:nvSpPr>
        <xdr:cNvPr id="279" name="Прямая соединительная линия 497"/>
        <xdr:cNvSpPr/>
      </xdr:nvSpPr>
      <xdr:spPr>
        <a:xfrm flipH="1">
          <a:off x="10104120" y="8299440"/>
          <a:ext cx="1540080" cy="2376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20</xdr:col>
      <xdr:colOff>180720</xdr:colOff>
      <xdr:row>283</xdr:row>
      <xdr:rowOff>37800</xdr:rowOff>
    </xdr:from>
    <xdr:to>
      <xdr:col>26</xdr:col>
      <xdr:colOff>37800</xdr:colOff>
      <xdr:row>283</xdr:row>
      <xdr:rowOff>37800</xdr:rowOff>
    </xdr:to>
    <xdr:sp>
      <xdr:nvSpPr>
        <xdr:cNvPr id="280" name="Прямая соединительная линия 502"/>
        <xdr:cNvSpPr/>
      </xdr:nvSpPr>
      <xdr:spPr>
        <a:xfrm flipH="1">
          <a:off x="10357200" y="8297640"/>
          <a:ext cx="1114920" cy="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9</xdr:col>
      <xdr:colOff>37800</xdr:colOff>
      <xdr:row>283</xdr:row>
      <xdr:rowOff>37800</xdr:rowOff>
    </xdr:from>
    <xdr:to>
      <xdr:col>15</xdr:col>
      <xdr:colOff>56880</xdr:colOff>
      <xdr:row>283</xdr:row>
      <xdr:rowOff>56880</xdr:rowOff>
    </xdr:to>
    <xdr:sp>
      <xdr:nvSpPr>
        <xdr:cNvPr id="281" name="Прямая соединительная линия 503"/>
        <xdr:cNvSpPr/>
      </xdr:nvSpPr>
      <xdr:spPr>
        <a:xfrm flipH="1">
          <a:off x="7980120" y="8297640"/>
          <a:ext cx="1166040" cy="1908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14</xdr:col>
      <xdr:colOff>141120</xdr:colOff>
      <xdr:row>283</xdr:row>
      <xdr:rowOff>29880</xdr:rowOff>
    </xdr:from>
    <xdr:to>
      <xdr:col>28</xdr:col>
      <xdr:colOff>174600</xdr:colOff>
      <xdr:row>283</xdr:row>
      <xdr:rowOff>95040</xdr:rowOff>
    </xdr:to>
    <xdr:sp>
      <xdr:nvSpPr>
        <xdr:cNvPr id="282" name="Прямая соединительная линия 507"/>
        <xdr:cNvSpPr/>
      </xdr:nvSpPr>
      <xdr:spPr>
        <a:xfrm flipH="1" flipV="1">
          <a:off x="9039240" y="8289720"/>
          <a:ext cx="2952000" cy="6516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17</xdr:col>
      <xdr:colOff>43560</xdr:colOff>
      <xdr:row>283</xdr:row>
      <xdr:rowOff>0</xdr:rowOff>
    </xdr:from>
    <xdr:to>
      <xdr:col>17</xdr:col>
      <xdr:colOff>43920</xdr:colOff>
      <xdr:row>283</xdr:row>
      <xdr:rowOff>56880</xdr:rowOff>
    </xdr:to>
    <xdr:sp>
      <xdr:nvSpPr>
        <xdr:cNvPr id="283" name="Прямая со стрелкой 509"/>
        <xdr:cNvSpPr/>
      </xdr:nvSpPr>
      <xdr:spPr>
        <a:xfrm flipH="1">
          <a:off x="9515160" y="8259840"/>
          <a:ext cx="360" cy="5688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000000"/>
          </a:solidFill>
          <a:round/>
          <a:headEnd len="med" type="arrow" w="med"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28</xdr:col>
      <xdr:colOff>149040</xdr:colOff>
      <xdr:row>283</xdr:row>
      <xdr:rowOff>71280</xdr:rowOff>
    </xdr:from>
    <xdr:to>
      <xdr:col>28</xdr:col>
      <xdr:colOff>149040</xdr:colOff>
      <xdr:row>283</xdr:row>
      <xdr:rowOff>141120</xdr:rowOff>
    </xdr:to>
    <xdr:sp>
      <xdr:nvSpPr>
        <xdr:cNvPr id="284" name="Прямая соединительная линия 513"/>
        <xdr:cNvSpPr/>
      </xdr:nvSpPr>
      <xdr:spPr>
        <a:xfrm>
          <a:off x="11965680" y="8331120"/>
          <a:ext cx="0" cy="6984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7</xdr:col>
      <xdr:colOff>17280</xdr:colOff>
      <xdr:row>283</xdr:row>
      <xdr:rowOff>37800</xdr:rowOff>
    </xdr:from>
    <xdr:to>
      <xdr:col>7</xdr:col>
      <xdr:colOff>18720</xdr:colOff>
      <xdr:row>283</xdr:row>
      <xdr:rowOff>37800</xdr:rowOff>
    </xdr:to>
    <xdr:sp>
      <xdr:nvSpPr>
        <xdr:cNvPr id="285" name="Прямая соединительная линия 515"/>
        <xdr:cNvSpPr/>
      </xdr:nvSpPr>
      <xdr:spPr>
        <a:xfrm flipH="1">
          <a:off x="7455960" y="8297640"/>
          <a:ext cx="1440" cy="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14</xdr:col>
      <xdr:colOff>150480</xdr:colOff>
      <xdr:row>283</xdr:row>
      <xdr:rowOff>37800</xdr:rowOff>
    </xdr:from>
    <xdr:to>
      <xdr:col>14</xdr:col>
      <xdr:colOff>152280</xdr:colOff>
      <xdr:row>283</xdr:row>
      <xdr:rowOff>79200</xdr:rowOff>
    </xdr:to>
    <xdr:sp>
      <xdr:nvSpPr>
        <xdr:cNvPr id="286" name="Прямая соединительная линия 516"/>
        <xdr:cNvSpPr/>
      </xdr:nvSpPr>
      <xdr:spPr>
        <a:xfrm flipH="1">
          <a:off x="9048600" y="8297640"/>
          <a:ext cx="1800" cy="4140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14</xdr:col>
      <xdr:colOff>133200</xdr:colOff>
      <xdr:row>283</xdr:row>
      <xdr:rowOff>18720</xdr:rowOff>
    </xdr:from>
    <xdr:to>
      <xdr:col>28</xdr:col>
      <xdr:colOff>161640</xdr:colOff>
      <xdr:row>283</xdr:row>
      <xdr:rowOff>85680</xdr:rowOff>
    </xdr:to>
    <xdr:sp>
      <xdr:nvSpPr>
        <xdr:cNvPr id="287" name="Прямая соединительная линия 519"/>
        <xdr:cNvSpPr/>
      </xdr:nvSpPr>
      <xdr:spPr>
        <a:xfrm flipH="1" flipV="1">
          <a:off x="9031320" y="8278560"/>
          <a:ext cx="2946960" cy="669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20</xdr:col>
      <xdr:colOff>257040</xdr:colOff>
      <xdr:row>283</xdr:row>
      <xdr:rowOff>83880</xdr:rowOff>
    </xdr:from>
    <xdr:to>
      <xdr:col>28</xdr:col>
      <xdr:colOff>134640</xdr:colOff>
      <xdr:row>283</xdr:row>
      <xdr:rowOff>172800</xdr:rowOff>
    </xdr:to>
    <xdr:sp>
      <xdr:nvSpPr>
        <xdr:cNvPr id="288" name="Прямая соединительная линия 520"/>
        <xdr:cNvSpPr/>
      </xdr:nvSpPr>
      <xdr:spPr>
        <a:xfrm flipH="1">
          <a:off x="10433520" y="8343720"/>
          <a:ext cx="1517760" cy="8892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20</xdr:col>
      <xdr:colOff>188640</xdr:colOff>
      <xdr:row>283</xdr:row>
      <xdr:rowOff>123480</xdr:rowOff>
    </xdr:from>
    <xdr:to>
      <xdr:col>20</xdr:col>
      <xdr:colOff>188640</xdr:colOff>
      <xdr:row>283</xdr:row>
      <xdr:rowOff>174600</xdr:rowOff>
    </xdr:to>
    <xdr:sp>
      <xdr:nvSpPr>
        <xdr:cNvPr id="289" name="Прямая соединительная линия 521"/>
        <xdr:cNvSpPr/>
      </xdr:nvSpPr>
      <xdr:spPr>
        <a:xfrm>
          <a:off x="10365120" y="8383320"/>
          <a:ext cx="0" cy="5112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14</xdr:col>
      <xdr:colOff>6120</xdr:colOff>
      <xdr:row>283</xdr:row>
      <xdr:rowOff>36360</xdr:rowOff>
    </xdr:from>
    <xdr:to>
      <xdr:col>27</xdr:col>
      <xdr:colOff>166680</xdr:colOff>
      <xdr:row>283</xdr:row>
      <xdr:rowOff>142560</xdr:rowOff>
    </xdr:to>
    <xdr:sp>
      <xdr:nvSpPr>
        <xdr:cNvPr id="290" name="Прямая соединительная линия 524"/>
        <xdr:cNvSpPr/>
      </xdr:nvSpPr>
      <xdr:spPr>
        <a:xfrm flipH="1" flipV="1">
          <a:off x="8904240" y="8296200"/>
          <a:ext cx="2887920" cy="10620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9</xdr:col>
      <xdr:colOff>55440</xdr:colOff>
      <xdr:row>283</xdr:row>
      <xdr:rowOff>147600</xdr:rowOff>
    </xdr:from>
    <xdr:to>
      <xdr:col>15</xdr:col>
      <xdr:colOff>74520</xdr:colOff>
      <xdr:row>283</xdr:row>
      <xdr:rowOff>166680</xdr:rowOff>
    </xdr:to>
    <xdr:sp>
      <xdr:nvSpPr>
        <xdr:cNvPr id="291" name="Прямая соединительная линия 525"/>
        <xdr:cNvSpPr/>
      </xdr:nvSpPr>
      <xdr:spPr>
        <a:xfrm flipH="1">
          <a:off x="7997760" y="8407440"/>
          <a:ext cx="1166040" cy="1908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10</xdr:col>
      <xdr:colOff>171360</xdr:colOff>
      <xdr:row>283</xdr:row>
      <xdr:rowOff>28440</xdr:rowOff>
    </xdr:from>
    <xdr:to>
      <xdr:col>14</xdr:col>
      <xdr:colOff>9000</xdr:colOff>
      <xdr:row>283</xdr:row>
      <xdr:rowOff>85320</xdr:rowOff>
    </xdr:to>
    <xdr:sp>
      <xdr:nvSpPr>
        <xdr:cNvPr id="292" name="Дуга 527"/>
        <xdr:cNvSpPr/>
      </xdr:nvSpPr>
      <xdr:spPr>
        <a:xfrm>
          <a:off x="8304840" y="8288280"/>
          <a:ext cx="602280" cy="56880"/>
        </a:xfrm>
        <a:prstGeom prst="arc">
          <a:avLst>
            <a:gd name="adj1" fmla="val 16550924"/>
            <a:gd name="adj2" fmla="val 20190086"/>
          </a:avLst>
        </a:prstGeom>
        <a:noFill/>
        <a:ln w="28575">
          <a:solidFill>
            <a:srgbClr val="ff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19</xdr:col>
      <xdr:colOff>118800</xdr:colOff>
      <xdr:row>283</xdr:row>
      <xdr:rowOff>39600</xdr:rowOff>
    </xdr:from>
    <xdr:to>
      <xdr:col>27</xdr:col>
      <xdr:colOff>18720</xdr:colOff>
      <xdr:row>283</xdr:row>
      <xdr:rowOff>63360</xdr:rowOff>
    </xdr:to>
    <xdr:sp>
      <xdr:nvSpPr>
        <xdr:cNvPr id="293" name="Прямая соединительная линия 529"/>
        <xdr:cNvSpPr/>
      </xdr:nvSpPr>
      <xdr:spPr>
        <a:xfrm flipH="1">
          <a:off x="10104120" y="8299440"/>
          <a:ext cx="1540080" cy="2376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20</xdr:col>
      <xdr:colOff>180720</xdr:colOff>
      <xdr:row>283</xdr:row>
      <xdr:rowOff>37800</xdr:rowOff>
    </xdr:from>
    <xdr:to>
      <xdr:col>26</xdr:col>
      <xdr:colOff>37800</xdr:colOff>
      <xdr:row>283</xdr:row>
      <xdr:rowOff>37800</xdr:rowOff>
    </xdr:to>
    <xdr:sp>
      <xdr:nvSpPr>
        <xdr:cNvPr id="294" name="Прямая соединительная линия 534"/>
        <xdr:cNvSpPr/>
      </xdr:nvSpPr>
      <xdr:spPr>
        <a:xfrm flipH="1">
          <a:off x="10357200" y="8297640"/>
          <a:ext cx="1114920" cy="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9</xdr:col>
      <xdr:colOff>37800</xdr:colOff>
      <xdr:row>283</xdr:row>
      <xdr:rowOff>37800</xdr:rowOff>
    </xdr:from>
    <xdr:to>
      <xdr:col>15</xdr:col>
      <xdr:colOff>56880</xdr:colOff>
      <xdr:row>283</xdr:row>
      <xdr:rowOff>56880</xdr:rowOff>
    </xdr:to>
    <xdr:sp>
      <xdr:nvSpPr>
        <xdr:cNvPr id="295" name="Прямая соединительная линия 535"/>
        <xdr:cNvSpPr/>
      </xdr:nvSpPr>
      <xdr:spPr>
        <a:xfrm flipH="1">
          <a:off x="7980120" y="8297640"/>
          <a:ext cx="1166040" cy="1908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17</xdr:col>
      <xdr:colOff>38160</xdr:colOff>
      <xdr:row>442</xdr:row>
      <xdr:rowOff>9360</xdr:rowOff>
    </xdr:from>
    <xdr:to>
      <xdr:col>25</xdr:col>
      <xdr:colOff>171000</xdr:colOff>
      <xdr:row>442</xdr:row>
      <xdr:rowOff>85320</xdr:rowOff>
    </xdr:to>
    <xdr:sp>
      <xdr:nvSpPr>
        <xdr:cNvPr id="296" name="Соединительная линия уступом 537"/>
        <xdr:cNvSpPr/>
      </xdr:nvSpPr>
      <xdr:spPr>
        <a:xfrm flipV="1">
          <a:off x="9509760" y="9701280"/>
          <a:ext cx="1904400" cy="75960"/>
        </a:xfrm>
        <a:prstGeom prst="bentConnector3">
          <a:avLst>
            <a:gd name="adj1" fmla="val 50000"/>
          </a:avLst>
        </a:prstGeom>
        <a:noFill/>
        <a:ln w="12700">
          <a:solidFill>
            <a:srgbClr val="000000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9</xdr:col>
      <xdr:colOff>95040</xdr:colOff>
      <xdr:row>235</xdr:row>
      <xdr:rowOff>75960</xdr:rowOff>
    </xdr:from>
    <xdr:to>
      <xdr:col>19</xdr:col>
      <xdr:colOff>133200</xdr:colOff>
      <xdr:row>235</xdr:row>
      <xdr:rowOff>75960</xdr:rowOff>
    </xdr:to>
    <xdr:sp>
      <xdr:nvSpPr>
        <xdr:cNvPr id="297" name="Прямая соединительная линия 538"/>
        <xdr:cNvSpPr/>
      </xdr:nvSpPr>
      <xdr:spPr>
        <a:xfrm flipH="1">
          <a:off x="8037360" y="7977600"/>
          <a:ext cx="2081160" cy="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22</xdr:col>
      <xdr:colOff>28440</xdr:colOff>
      <xdr:row>235</xdr:row>
      <xdr:rowOff>66600</xdr:rowOff>
    </xdr:from>
    <xdr:to>
      <xdr:col>22</xdr:col>
      <xdr:colOff>28440</xdr:colOff>
      <xdr:row>235</xdr:row>
      <xdr:rowOff>123480</xdr:rowOff>
    </xdr:to>
    <xdr:sp>
      <xdr:nvSpPr>
        <xdr:cNvPr id="298" name="Прямая соединительная линия 539"/>
        <xdr:cNvSpPr/>
      </xdr:nvSpPr>
      <xdr:spPr>
        <a:xfrm>
          <a:off x="10698120" y="7968240"/>
          <a:ext cx="0" cy="5688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33</xdr:col>
      <xdr:colOff>18720</xdr:colOff>
      <xdr:row>235</xdr:row>
      <xdr:rowOff>56880</xdr:rowOff>
    </xdr:from>
    <xdr:to>
      <xdr:col>33</xdr:col>
      <xdr:colOff>18720</xdr:colOff>
      <xdr:row>235</xdr:row>
      <xdr:rowOff>114120</xdr:rowOff>
    </xdr:to>
    <xdr:sp>
      <xdr:nvSpPr>
        <xdr:cNvPr id="299" name="Прямая соединительная линия 540"/>
        <xdr:cNvSpPr/>
      </xdr:nvSpPr>
      <xdr:spPr>
        <a:xfrm>
          <a:off x="12790800" y="7958520"/>
          <a:ext cx="0" cy="5724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19</xdr:col>
      <xdr:colOff>123480</xdr:colOff>
      <xdr:row>235</xdr:row>
      <xdr:rowOff>56880</xdr:rowOff>
    </xdr:from>
    <xdr:to>
      <xdr:col>19</xdr:col>
      <xdr:colOff>123480</xdr:colOff>
      <xdr:row>235</xdr:row>
      <xdr:rowOff>114120</xdr:rowOff>
    </xdr:to>
    <xdr:sp>
      <xdr:nvSpPr>
        <xdr:cNvPr id="300" name="Прямая соединительная линия 541"/>
        <xdr:cNvSpPr/>
      </xdr:nvSpPr>
      <xdr:spPr>
        <a:xfrm>
          <a:off x="10108800" y="7958520"/>
          <a:ext cx="0" cy="5724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22</xdr:col>
      <xdr:colOff>28440</xdr:colOff>
      <xdr:row>235</xdr:row>
      <xdr:rowOff>75960</xdr:rowOff>
    </xdr:from>
    <xdr:to>
      <xdr:col>33</xdr:col>
      <xdr:colOff>9360</xdr:colOff>
      <xdr:row>235</xdr:row>
      <xdr:rowOff>75960</xdr:rowOff>
    </xdr:to>
    <xdr:sp>
      <xdr:nvSpPr>
        <xdr:cNvPr id="301" name="Прямая соединительная линия 542"/>
        <xdr:cNvSpPr/>
      </xdr:nvSpPr>
      <xdr:spPr>
        <a:xfrm flipH="1">
          <a:off x="10698120" y="7977600"/>
          <a:ext cx="2083320" cy="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22</xdr:col>
      <xdr:colOff>47520</xdr:colOff>
      <xdr:row>235</xdr:row>
      <xdr:rowOff>104760</xdr:rowOff>
    </xdr:from>
    <xdr:to>
      <xdr:col>33</xdr:col>
      <xdr:colOff>28440</xdr:colOff>
      <xdr:row>235</xdr:row>
      <xdr:rowOff>104760</xdr:rowOff>
    </xdr:to>
    <xdr:sp>
      <xdr:nvSpPr>
        <xdr:cNvPr id="302" name="Прямая соединительная линия 543"/>
        <xdr:cNvSpPr/>
      </xdr:nvSpPr>
      <xdr:spPr>
        <a:xfrm flipH="1">
          <a:off x="10717200" y="8006400"/>
          <a:ext cx="2083320" cy="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17</xdr:col>
      <xdr:colOff>57240</xdr:colOff>
      <xdr:row>701</xdr:row>
      <xdr:rowOff>76320</xdr:rowOff>
    </xdr:from>
    <xdr:to>
      <xdr:col>17</xdr:col>
      <xdr:colOff>57600</xdr:colOff>
      <xdr:row>701</xdr:row>
      <xdr:rowOff>76680</xdr:rowOff>
    </xdr:to>
    <xdr:sp>
      <xdr:nvSpPr>
        <xdr:cNvPr id="303" name="Прямая со стрелкой 547"/>
        <xdr:cNvSpPr/>
      </xdr:nvSpPr>
      <xdr:spPr>
        <a:xfrm>
          <a:off x="9528840" y="11201400"/>
          <a:ext cx="360" cy="36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000000"/>
          </a:solidFill>
          <a:round/>
          <a:headEnd len="med" type="arrow" w="med"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27</xdr:col>
      <xdr:colOff>139680</xdr:colOff>
      <xdr:row>701</xdr:row>
      <xdr:rowOff>99720</xdr:rowOff>
    </xdr:from>
    <xdr:to>
      <xdr:col>27</xdr:col>
      <xdr:colOff>139680</xdr:colOff>
      <xdr:row>701</xdr:row>
      <xdr:rowOff>169560</xdr:rowOff>
    </xdr:to>
    <xdr:sp>
      <xdr:nvSpPr>
        <xdr:cNvPr id="304" name="Прямая соединительная линия 551"/>
        <xdr:cNvSpPr/>
      </xdr:nvSpPr>
      <xdr:spPr>
        <a:xfrm>
          <a:off x="11765160" y="11224800"/>
          <a:ext cx="0" cy="6984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7</xdr:col>
      <xdr:colOff>29520</xdr:colOff>
      <xdr:row>701</xdr:row>
      <xdr:rowOff>0</xdr:rowOff>
    </xdr:from>
    <xdr:to>
      <xdr:col>7</xdr:col>
      <xdr:colOff>30960</xdr:colOff>
      <xdr:row>701</xdr:row>
      <xdr:rowOff>0</xdr:rowOff>
    </xdr:to>
    <xdr:sp>
      <xdr:nvSpPr>
        <xdr:cNvPr id="305" name="Прямая соединительная линия 553"/>
        <xdr:cNvSpPr/>
      </xdr:nvSpPr>
      <xdr:spPr>
        <a:xfrm flipH="1">
          <a:off x="7468200" y="11125080"/>
          <a:ext cx="1440" cy="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13</xdr:col>
      <xdr:colOff>150480</xdr:colOff>
      <xdr:row>701</xdr:row>
      <xdr:rowOff>37800</xdr:rowOff>
    </xdr:from>
    <xdr:to>
      <xdr:col>13</xdr:col>
      <xdr:colOff>152280</xdr:colOff>
      <xdr:row>701</xdr:row>
      <xdr:rowOff>79200</xdr:rowOff>
    </xdr:to>
    <xdr:sp>
      <xdr:nvSpPr>
        <xdr:cNvPr id="306" name="Прямая соединительная линия 554"/>
        <xdr:cNvSpPr/>
      </xdr:nvSpPr>
      <xdr:spPr>
        <a:xfrm flipH="1">
          <a:off x="8857440" y="11162880"/>
          <a:ext cx="1800" cy="4140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13</xdr:col>
      <xdr:colOff>133200</xdr:colOff>
      <xdr:row>701</xdr:row>
      <xdr:rowOff>66600</xdr:rowOff>
    </xdr:from>
    <xdr:to>
      <xdr:col>27</xdr:col>
      <xdr:colOff>161640</xdr:colOff>
      <xdr:row>701</xdr:row>
      <xdr:rowOff>133200</xdr:rowOff>
    </xdr:to>
    <xdr:sp>
      <xdr:nvSpPr>
        <xdr:cNvPr id="307" name="Прямая соединительная линия 557"/>
        <xdr:cNvSpPr/>
      </xdr:nvSpPr>
      <xdr:spPr>
        <a:xfrm flipH="1" flipV="1">
          <a:off x="8840160" y="11191680"/>
          <a:ext cx="2946960" cy="6660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20</xdr:col>
      <xdr:colOff>188640</xdr:colOff>
      <xdr:row>701</xdr:row>
      <xdr:rowOff>123480</xdr:rowOff>
    </xdr:from>
    <xdr:to>
      <xdr:col>20</xdr:col>
      <xdr:colOff>188640</xdr:colOff>
      <xdr:row>701</xdr:row>
      <xdr:rowOff>174600</xdr:rowOff>
    </xdr:to>
    <xdr:sp>
      <xdr:nvSpPr>
        <xdr:cNvPr id="308" name="Прямая соединительная линия 559"/>
        <xdr:cNvSpPr/>
      </xdr:nvSpPr>
      <xdr:spPr>
        <a:xfrm>
          <a:off x="10365120" y="11248560"/>
          <a:ext cx="0" cy="5112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14</xdr:col>
      <xdr:colOff>6120</xdr:colOff>
      <xdr:row>701</xdr:row>
      <xdr:rowOff>36360</xdr:rowOff>
    </xdr:from>
    <xdr:to>
      <xdr:col>27</xdr:col>
      <xdr:colOff>166680</xdr:colOff>
      <xdr:row>701</xdr:row>
      <xdr:rowOff>142560</xdr:rowOff>
    </xdr:to>
    <xdr:sp>
      <xdr:nvSpPr>
        <xdr:cNvPr id="309" name="Прямая соединительная линия 562"/>
        <xdr:cNvSpPr/>
      </xdr:nvSpPr>
      <xdr:spPr>
        <a:xfrm flipH="1" flipV="1">
          <a:off x="8904240" y="11161440"/>
          <a:ext cx="2887920" cy="10620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9</xdr:col>
      <xdr:colOff>55440</xdr:colOff>
      <xdr:row>701</xdr:row>
      <xdr:rowOff>147600</xdr:rowOff>
    </xdr:from>
    <xdr:to>
      <xdr:col>15</xdr:col>
      <xdr:colOff>74520</xdr:colOff>
      <xdr:row>701</xdr:row>
      <xdr:rowOff>166680</xdr:rowOff>
    </xdr:to>
    <xdr:sp>
      <xdr:nvSpPr>
        <xdr:cNvPr id="310" name="Прямая соединительная линия 563"/>
        <xdr:cNvSpPr/>
      </xdr:nvSpPr>
      <xdr:spPr>
        <a:xfrm flipH="1">
          <a:off x="7997760" y="11272680"/>
          <a:ext cx="1166040" cy="1908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10</xdr:col>
      <xdr:colOff>171360</xdr:colOff>
      <xdr:row>701</xdr:row>
      <xdr:rowOff>28440</xdr:rowOff>
    </xdr:from>
    <xdr:to>
      <xdr:col>14</xdr:col>
      <xdr:colOff>9000</xdr:colOff>
      <xdr:row>701</xdr:row>
      <xdr:rowOff>85320</xdr:rowOff>
    </xdr:to>
    <xdr:sp>
      <xdr:nvSpPr>
        <xdr:cNvPr id="311" name="Дуга 565"/>
        <xdr:cNvSpPr/>
      </xdr:nvSpPr>
      <xdr:spPr>
        <a:xfrm>
          <a:off x="8304840" y="11153520"/>
          <a:ext cx="602280" cy="56880"/>
        </a:xfrm>
        <a:prstGeom prst="arc">
          <a:avLst>
            <a:gd name="adj1" fmla="val 16550924"/>
            <a:gd name="adj2" fmla="val 20190086"/>
          </a:avLst>
        </a:prstGeom>
        <a:noFill/>
        <a:ln w="28575">
          <a:solidFill>
            <a:srgbClr val="ff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19</xdr:col>
      <xdr:colOff>75960</xdr:colOff>
      <xdr:row>701</xdr:row>
      <xdr:rowOff>66600</xdr:rowOff>
    </xdr:from>
    <xdr:to>
      <xdr:col>25</xdr:col>
      <xdr:colOff>191160</xdr:colOff>
      <xdr:row>701</xdr:row>
      <xdr:rowOff>66600</xdr:rowOff>
    </xdr:to>
    <xdr:sp>
      <xdr:nvSpPr>
        <xdr:cNvPr id="312" name="Прямая соединительная линия 567"/>
        <xdr:cNvSpPr/>
      </xdr:nvSpPr>
      <xdr:spPr>
        <a:xfrm flipH="1">
          <a:off x="10061280" y="11191680"/>
          <a:ext cx="1373040" cy="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20</xdr:col>
      <xdr:colOff>171360</xdr:colOff>
      <xdr:row>701</xdr:row>
      <xdr:rowOff>9360</xdr:rowOff>
    </xdr:from>
    <xdr:to>
      <xdr:col>26</xdr:col>
      <xdr:colOff>28440</xdr:colOff>
      <xdr:row>701</xdr:row>
      <xdr:rowOff>9360</xdr:rowOff>
    </xdr:to>
    <xdr:sp>
      <xdr:nvSpPr>
        <xdr:cNvPr id="313" name="Прямая соединительная линия 571"/>
        <xdr:cNvSpPr/>
      </xdr:nvSpPr>
      <xdr:spPr>
        <a:xfrm flipH="1">
          <a:off x="10347840" y="11134440"/>
          <a:ext cx="1114920" cy="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9</xdr:col>
      <xdr:colOff>47520</xdr:colOff>
      <xdr:row>701</xdr:row>
      <xdr:rowOff>0</xdr:rowOff>
    </xdr:from>
    <xdr:to>
      <xdr:col>15</xdr:col>
      <xdr:colOff>66600</xdr:colOff>
      <xdr:row>701</xdr:row>
      <xdr:rowOff>18720</xdr:rowOff>
    </xdr:to>
    <xdr:sp>
      <xdr:nvSpPr>
        <xdr:cNvPr id="314" name="Прямая соединительная линия 572"/>
        <xdr:cNvSpPr/>
      </xdr:nvSpPr>
      <xdr:spPr>
        <a:xfrm flipH="1">
          <a:off x="7989840" y="11125080"/>
          <a:ext cx="1166040" cy="1872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15</xdr:col>
      <xdr:colOff>47520</xdr:colOff>
      <xdr:row>701</xdr:row>
      <xdr:rowOff>0</xdr:rowOff>
    </xdr:from>
    <xdr:to>
      <xdr:col>26</xdr:col>
      <xdr:colOff>9360</xdr:colOff>
      <xdr:row>701</xdr:row>
      <xdr:rowOff>161640</xdr:rowOff>
    </xdr:to>
    <xdr:sp>
      <xdr:nvSpPr>
        <xdr:cNvPr id="315" name="Прямая соединительная линия 573"/>
        <xdr:cNvSpPr/>
      </xdr:nvSpPr>
      <xdr:spPr>
        <a:xfrm flipH="1" flipV="1">
          <a:off x="9136800" y="11125080"/>
          <a:ext cx="2306880" cy="16164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10</xdr:col>
      <xdr:colOff>171720</xdr:colOff>
      <xdr:row>701</xdr:row>
      <xdr:rowOff>28440</xdr:rowOff>
    </xdr:from>
    <xdr:to>
      <xdr:col>10</xdr:col>
      <xdr:colOff>172080</xdr:colOff>
      <xdr:row>701</xdr:row>
      <xdr:rowOff>47160</xdr:rowOff>
    </xdr:to>
    <xdr:sp>
      <xdr:nvSpPr>
        <xdr:cNvPr id="316" name="Прямая со стрелкой 577"/>
        <xdr:cNvSpPr/>
      </xdr:nvSpPr>
      <xdr:spPr>
        <a:xfrm flipV="1">
          <a:off x="8304840" y="11153520"/>
          <a:ext cx="360" cy="1872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000000"/>
          </a:solidFill>
          <a:round/>
          <a:headEnd len="med" type="arrow" w="med"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11</xdr:col>
      <xdr:colOff>18720</xdr:colOff>
      <xdr:row>776</xdr:row>
      <xdr:rowOff>28440</xdr:rowOff>
    </xdr:from>
    <xdr:to>
      <xdr:col>11</xdr:col>
      <xdr:colOff>18720</xdr:colOff>
      <xdr:row>776</xdr:row>
      <xdr:rowOff>142560</xdr:rowOff>
    </xdr:to>
    <xdr:sp>
      <xdr:nvSpPr>
        <xdr:cNvPr id="317" name="Прямая соединительная линия 579"/>
        <xdr:cNvSpPr/>
      </xdr:nvSpPr>
      <xdr:spPr>
        <a:xfrm>
          <a:off x="8343360" y="11511720"/>
          <a:ext cx="0" cy="11412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18</xdr:col>
      <xdr:colOff>18720</xdr:colOff>
      <xdr:row>776</xdr:row>
      <xdr:rowOff>0</xdr:rowOff>
    </xdr:from>
    <xdr:to>
      <xdr:col>18</xdr:col>
      <xdr:colOff>18720</xdr:colOff>
      <xdr:row>776</xdr:row>
      <xdr:rowOff>75960</xdr:rowOff>
    </xdr:to>
    <xdr:sp>
      <xdr:nvSpPr>
        <xdr:cNvPr id="318" name="Прямая соединительная линия 580"/>
        <xdr:cNvSpPr/>
      </xdr:nvSpPr>
      <xdr:spPr>
        <a:xfrm>
          <a:off x="9812880" y="11483280"/>
          <a:ext cx="0" cy="759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16</xdr:col>
      <xdr:colOff>114120</xdr:colOff>
      <xdr:row>776</xdr:row>
      <xdr:rowOff>18720</xdr:rowOff>
    </xdr:from>
    <xdr:to>
      <xdr:col>23</xdr:col>
      <xdr:colOff>28440</xdr:colOff>
      <xdr:row>776</xdr:row>
      <xdr:rowOff>104760</xdr:rowOff>
    </xdr:to>
    <xdr:sp>
      <xdr:nvSpPr>
        <xdr:cNvPr id="319" name="Прямая соединительная линия 581"/>
        <xdr:cNvSpPr/>
      </xdr:nvSpPr>
      <xdr:spPr>
        <a:xfrm flipH="1">
          <a:off x="9394560" y="11502000"/>
          <a:ext cx="1494720" cy="86040"/>
        </a:xfrm>
        <a:prstGeom prst="line">
          <a:avLst/>
        </a:prstGeom>
        <a:ln w="1905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8</xdr:col>
      <xdr:colOff>171360</xdr:colOff>
      <xdr:row>776</xdr:row>
      <xdr:rowOff>75960</xdr:rowOff>
    </xdr:from>
    <xdr:to>
      <xdr:col>16</xdr:col>
      <xdr:colOff>133200</xdr:colOff>
      <xdr:row>776</xdr:row>
      <xdr:rowOff>161640</xdr:rowOff>
    </xdr:to>
    <xdr:sp>
      <xdr:nvSpPr>
        <xdr:cNvPr id="320" name="Прямая соединительная линия 582"/>
        <xdr:cNvSpPr/>
      </xdr:nvSpPr>
      <xdr:spPr>
        <a:xfrm flipH="1">
          <a:off x="7922520" y="11559240"/>
          <a:ext cx="1491120" cy="85680"/>
        </a:xfrm>
        <a:prstGeom prst="line">
          <a:avLst/>
        </a:prstGeom>
        <a:ln w="1905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10</xdr:col>
      <xdr:colOff>171360</xdr:colOff>
      <xdr:row>776</xdr:row>
      <xdr:rowOff>37800</xdr:rowOff>
    </xdr:from>
    <xdr:to>
      <xdr:col>18</xdr:col>
      <xdr:colOff>9360</xdr:colOff>
      <xdr:row>776</xdr:row>
      <xdr:rowOff>152280</xdr:rowOff>
    </xdr:to>
    <xdr:sp>
      <xdr:nvSpPr>
        <xdr:cNvPr id="321" name="Прямая соединительная линия 584"/>
        <xdr:cNvSpPr/>
      </xdr:nvSpPr>
      <xdr:spPr>
        <a:xfrm flipH="1" flipV="1">
          <a:off x="8304840" y="11521080"/>
          <a:ext cx="1498680" cy="114480"/>
        </a:xfrm>
        <a:prstGeom prst="line">
          <a:avLst/>
        </a:prstGeom>
        <a:ln w="1905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16</xdr:col>
      <xdr:colOff>85680</xdr:colOff>
      <xdr:row>776</xdr:row>
      <xdr:rowOff>0</xdr:rowOff>
    </xdr:from>
    <xdr:to>
      <xdr:col>16</xdr:col>
      <xdr:colOff>95040</xdr:colOff>
      <xdr:row>776</xdr:row>
      <xdr:rowOff>133200</xdr:rowOff>
    </xdr:to>
    <xdr:sp>
      <xdr:nvSpPr>
        <xdr:cNvPr id="322" name="Прямая соединительная линия 589"/>
        <xdr:cNvSpPr/>
      </xdr:nvSpPr>
      <xdr:spPr>
        <a:xfrm flipH="1">
          <a:off x="9366120" y="11483280"/>
          <a:ext cx="9360" cy="133200"/>
        </a:xfrm>
        <a:prstGeom prst="line">
          <a:avLst/>
        </a:prstGeom>
        <a:ln w="1905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7</xdr:col>
      <xdr:colOff>285480</xdr:colOff>
      <xdr:row>776</xdr:row>
      <xdr:rowOff>123480</xdr:rowOff>
    </xdr:from>
    <xdr:to>
      <xdr:col>15</xdr:col>
      <xdr:colOff>47520</xdr:colOff>
      <xdr:row>776</xdr:row>
      <xdr:rowOff>161640</xdr:rowOff>
    </xdr:to>
    <xdr:sp>
      <xdr:nvSpPr>
        <xdr:cNvPr id="323" name="Прямая соединительная линия 592"/>
        <xdr:cNvSpPr/>
      </xdr:nvSpPr>
      <xdr:spPr>
        <a:xfrm flipH="1">
          <a:off x="7724160" y="11606760"/>
          <a:ext cx="1412640" cy="381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18</xdr:col>
      <xdr:colOff>152280</xdr:colOff>
      <xdr:row>776</xdr:row>
      <xdr:rowOff>56880</xdr:rowOff>
    </xdr:from>
    <xdr:to>
      <xdr:col>25</xdr:col>
      <xdr:colOff>104760</xdr:colOff>
      <xdr:row>776</xdr:row>
      <xdr:rowOff>95040</xdr:rowOff>
    </xdr:to>
    <xdr:sp>
      <xdr:nvSpPr>
        <xdr:cNvPr id="324" name="Прямая соединительная линия 593"/>
        <xdr:cNvSpPr/>
      </xdr:nvSpPr>
      <xdr:spPr>
        <a:xfrm flipH="1">
          <a:off x="9946440" y="11540160"/>
          <a:ext cx="1401480" cy="381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8</xdr:col>
      <xdr:colOff>9360</xdr:colOff>
      <xdr:row>776</xdr:row>
      <xdr:rowOff>0</xdr:rowOff>
    </xdr:from>
    <xdr:to>
      <xdr:col>19</xdr:col>
      <xdr:colOff>9360</xdr:colOff>
      <xdr:row>776</xdr:row>
      <xdr:rowOff>114120</xdr:rowOff>
    </xdr:to>
    <xdr:sp>
      <xdr:nvSpPr>
        <xdr:cNvPr id="325" name="Прямая соединительная линия 596"/>
        <xdr:cNvSpPr/>
      </xdr:nvSpPr>
      <xdr:spPr>
        <a:xfrm flipH="1" flipV="1">
          <a:off x="7760520" y="11483280"/>
          <a:ext cx="2234160" cy="11412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18</xdr:col>
      <xdr:colOff>152280</xdr:colOff>
      <xdr:row>776</xdr:row>
      <xdr:rowOff>18720</xdr:rowOff>
    </xdr:from>
    <xdr:to>
      <xdr:col>25</xdr:col>
      <xdr:colOff>104760</xdr:colOff>
      <xdr:row>776</xdr:row>
      <xdr:rowOff>56880</xdr:rowOff>
    </xdr:to>
    <xdr:sp>
      <xdr:nvSpPr>
        <xdr:cNvPr id="326" name="Прямая соединительная линия 598"/>
        <xdr:cNvSpPr/>
      </xdr:nvSpPr>
      <xdr:spPr>
        <a:xfrm flipH="1">
          <a:off x="9946440" y="11502000"/>
          <a:ext cx="1401480" cy="381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8</xdr:col>
      <xdr:colOff>0</xdr:colOff>
      <xdr:row>776</xdr:row>
      <xdr:rowOff>66600</xdr:rowOff>
    </xdr:from>
    <xdr:to>
      <xdr:col>15</xdr:col>
      <xdr:colOff>56880</xdr:colOff>
      <xdr:row>776</xdr:row>
      <xdr:rowOff>104760</xdr:rowOff>
    </xdr:to>
    <xdr:sp>
      <xdr:nvSpPr>
        <xdr:cNvPr id="327" name="Прямая соединительная линия 599"/>
        <xdr:cNvSpPr/>
      </xdr:nvSpPr>
      <xdr:spPr>
        <a:xfrm flipH="1">
          <a:off x="7751160" y="11549880"/>
          <a:ext cx="1395000" cy="38160"/>
        </a:xfrm>
        <a:prstGeom prst="line">
          <a:avLst/>
        </a:prstGeom>
        <a:ln w="1905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16</xdr:col>
      <xdr:colOff>85680</xdr:colOff>
      <xdr:row>776</xdr:row>
      <xdr:rowOff>123480</xdr:rowOff>
    </xdr:from>
    <xdr:to>
      <xdr:col>16</xdr:col>
      <xdr:colOff>85680</xdr:colOff>
      <xdr:row>776</xdr:row>
      <xdr:rowOff>152280</xdr:rowOff>
    </xdr:to>
    <xdr:sp>
      <xdr:nvSpPr>
        <xdr:cNvPr id="328" name="Прямая соединительная линия 602"/>
        <xdr:cNvSpPr/>
      </xdr:nvSpPr>
      <xdr:spPr>
        <a:xfrm>
          <a:off x="9366120" y="11606760"/>
          <a:ext cx="0" cy="2880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22</xdr:col>
      <xdr:colOff>171360</xdr:colOff>
      <xdr:row>776</xdr:row>
      <xdr:rowOff>37800</xdr:rowOff>
    </xdr:from>
    <xdr:to>
      <xdr:col>22</xdr:col>
      <xdr:colOff>191160</xdr:colOff>
      <xdr:row>776</xdr:row>
      <xdr:rowOff>95040</xdr:rowOff>
    </xdr:to>
    <xdr:sp>
      <xdr:nvSpPr>
        <xdr:cNvPr id="329" name="Прямая соединительная линия 603"/>
        <xdr:cNvSpPr/>
      </xdr:nvSpPr>
      <xdr:spPr>
        <a:xfrm flipH="1">
          <a:off x="10841040" y="11521080"/>
          <a:ext cx="19800" cy="5724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9</xdr:col>
      <xdr:colOff>47520</xdr:colOff>
      <xdr:row>776</xdr:row>
      <xdr:rowOff>123480</xdr:rowOff>
    </xdr:from>
    <xdr:to>
      <xdr:col>16</xdr:col>
      <xdr:colOff>104760</xdr:colOff>
      <xdr:row>776</xdr:row>
      <xdr:rowOff>161640</xdr:rowOff>
    </xdr:to>
    <xdr:sp>
      <xdr:nvSpPr>
        <xdr:cNvPr id="330" name="Прямая соединительная линия 604"/>
        <xdr:cNvSpPr/>
      </xdr:nvSpPr>
      <xdr:spPr>
        <a:xfrm flipH="1">
          <a:off x="7989840" y="11606760"/>
          <a:ext cx="1395360" cy="38160"/>
        </a:xfrm>
        <a:prstGeom prst="line">
          <a:avLst/>
        </a:prstGeom>
        <a:ln w="1905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16</xdr:col>
      <xdr:colOff>142560</xdr:colOff>
      <xdr:row>776</xdr:row>
      <xdr:rowOff>95040</xdr:rowOff>
    </xdr:from>
    <xdr:to>
      <xdr:col>22</xdr:col>
      <xdr:colOff>191160</xdr:colOff>
      <xdr:row>776</xdr:row>
      <xdr:rowOff>104760</xdr:rowOff>
    </xdr:to>
    <xdr:sp>
      <xdr:nvSpPr>
        <xdr:cNvPr id="331" name="Прямая соединительная линия 605"/>
        <xdr:cNvSpPr/>
      </xdr:nvSpPr>
      <xdr:spPr>
        <a:xfrm flipH="1">
          <a:off x="9423000" y="11578320"/>
          <a:ext cx="1437840" cy="9720"/>
        </a:xfrm>
        <a:prstGeom prst="line">
          <a:avLst/>
        </a:prstGeom>
        <a:ln w="1905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11</xdr:col>
      <xdr:colOff>18720</xdr:colOff>
      <xdr:row>776</xdr:row>
      <xdr:rowOff>28440</xdr:rowOff>
    </xdr:from>
    <xdr:to>
      <xdr:col>11</xdr:col>
      <xdr:colOff>18720</xdr:colOff>
      <xdr:row>776</xdr:row>
      <xdr:rowOff>142560</xdr:rowOff>
    </xdr:to>
    <xdr:sp>
      <xdr:nvSpPr>
        <xdr:cNvPr id="332" name="Прямая соединительная линия 612"/>
        <xdr:cNvSpPr/>
      </xdr:nvSpPr>
      <xdr:spPr>
        <a:xfrm>
          <a:off x="8343360" y="11511720"/>
          <a:ext cx="0" cy="11412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18</xdr:col>
      <xdr:colOff>18720</xdr:colOff>
      <xdr:row>776</xdr:row>
      <xdr:rowOff>0</xdr:rowOff>
    </xdr:from>
    <xdr:to>
      <xdr:col>18</xdr:col>
      <xdr:colOff>18720</xdr:colOff>
      <xdr:row>776</xdr:row>
      <xdr:rowOff>75960</xdr:rowOff>
    </xdr:to>
    <xdr:sp>
      <xdr:nvSpPr>
        <xdr:cNvPr id="333" name="Прямая соединительная линия 613"/>
        <xdr:cNvSpPr/>
      </xdr:nvSpPr>
      <xdr:spPr>
        <a:xfrm>
          <a:off x="9812880" y="11483280"/>
          <a:ext cx="0" cy="759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18</xdr:col>
      <xdr:colOff>9360</xdr:colOff>
      <xdr:row>776</xdr:row>
      <xdr:rowOff>18720</xdr:rowOff>
    </xdr:from>
    <xdr:to>
      <xdr:col>23</xdr:col>
      <xdr:colOff>28440</xdr:colOff>
      <xdr:row>776</xdr:row>
      <xdr:rowOff>161640</xdr:rowOff>
    </xdr:to>
    <xdr:sp>
      <xdr:nvSpPr>
        <xdr:cNvPr id="334" name="Прямая соединительная линия 614"/>
        <xdr:cNvSpPr/>
      </xdr:nvSpPr>
      <xdr:spPr>
        <a:xfrm flipH="1">
          <a:off x="9803520" y="11502000"/>
          <a:ext cx="1085760" cy="142920"/>
        </a:xfrm>
        <a:prstGeom prst="line">
          <a:avLst/>
        </a:prstGeom>
        <a:ln w="1905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15</xdr:col>
      <xdr:colOff>9360</xdr:colOff>
      <xdr:row>776</xdr:row>
      <xdr:rowOff>28440</xdr:rowOff>
    </xdr:from>
    <xdr:to>
      <xdr:col>25</xdr:col>
      <xdr:colOff>66600</xdr:colOff>
      <xdr:row>776</xdr:row>
      <xdr:rowOff>114120</xdr:rowOff>
    </xdr:to>
    <xdr:sp>
      <xdr:nvSpPr>
        <xdr:cNvPr id="335" name="Прямая соединительная линия 616"/>
        <xdr:cNvSpPr/>
      </xdr:nvSpPr>
      <xdr:spPr>
        <a:xfrm flipH="1" flipV="1">
          <a:off x="9098640" y="11511720"/>
          <a:ext cx="2211120" cy="85680"/>
        </a:xfrm>
        <a:prstGeom prst="line">
          <a:avLst/>
        </a:prstGeom>
        <a:ln w="1905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16</xdr:col>
      <xdr:colOff>85680</xdr:colOff>
      <xdr:row>776</xdr:row>
      <xdr:rowOff>75960</xdr:rowOff>
    </xdr:from>
    <xdr:to>
      <xdr:col>16</xdr:col>
      <xdr:colOff>85680</xdr:colOff>
      <xdr:row>776</xdr:row>
      <xdr:rowOff>133200</xdr:rowOff>
    </xdr:to>
    <xdr:sp>
      <xdr:nvSpPr>
        <xdr:cNvPr id="336" name="Прямая соединительная линия 622"/>
        <xdr:cNvSpPr/>
      </xdr:nvSpPr>
      <xdr:spPr>
        <a:xfrm>
          <a:off x="9366120" y="11559240"/>
          <a:ext cx="0" cy="57240"/>
        </a:xfrm>
        <a:prstGeom prst="line">
          <a:avLst/>
        </a:prstGeom>
        <a:ln w="1905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16</xdr:col>
      <xdr:colOff>85680</xdr:colOff>
      <xdr:row>776</xdr:row>
      <xdr:rowOff>152280</xdr:rowOff>
    </xdr:from>
    <xdr:to>
      <xdr:col>16</xdr:col>
      <xdr:colOff>85680</xdr:colOff>
      <xdr:row>776</xdr:row>
      <xdr:rowOff>152280</xdr:rowOff>
    </xdr:to>
    <xdr:sp>
      <xdr:nvSpPr>
        <xdr:cNvPr id="337" name="Прямая соединительная линия 627"/>
        <xdr:cNvSpPr/>
      </xdr:nvSpPr>
      <xdr:spPr>
        <a:xfrm>
          <a:off x="9366120" y="11635560"/>
          <a:ext cx="360" cy="360"/>
        </a:xfrm>
        <a:custGeom>
          <a:avLst/>
          <a:gdLst/>
          <a:ahLst/>
          <a:rect l="0" t="0" r="r" b="b"/>
          <a:pathLst>
            <a:path w="1" h="1">
              <a:moveTo>
                <a:pt x="0" y="0"/>
              </a:moveTo>
              <a:lnTo>
                <a:pt x="0" y="0"/>
              </a:lnTo>
            </a:path>
          </a:pathLst>
        </a:custGeom>
        <a:ln w="38100">
          <a:solidFill>
            <a:srgbClr val="000000"/>
          </a:solidFill>
          <a:round/>
        </a:ln>
      </xdr:spPr>
    </xdr:sp>
    <xdr:clientData/>
  </xdr:twoCellAnchor>
  <xdr:twoCellAnchor editAs="twoCell">
    <xdr:from>
      <xdr:col>22</xdr:col>
      <xdr:colOff>171360</xdr:colOff>
      <xdr:row>776</xdr:row>
      <xdr:rowOff>37800</xdr:rowOff>
    </xdr:from>
    <xdr:to>
      <xdr:col>22</xdr:col>
      <xdr:colOff>191160</xdr:colOff>
      <xdr:row>776</xdr:row>
      <xdr:rowOff>95040</xdr:rowOff>
    </xdr:to>
    <xdr:sp>
      <xdr:nvSpPr>
        <xdr:cNvPr id="338" name="Прямая соединительная линия 628"/>
        <xdr:cNvSpPr/>
      </xdr:nvSpPr>
      <xdr:spPr>
        <a:xfrm flipH="1">
          <a:off x="10841040" y="11521080"/>
          <a:ext cx="19800" cy="5724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18</xdr:col>
      <xdr:colOff>85680</xdr:colOff>
      <xdr:row>776</xdr:row>
      <xdr:rowOff>75960</xdr:rowOff>
    </xdr:from>
    <xdr:to>
      <xdr:col>25</xdr:col>
      <xdr:colOff>18720</xdr:colOff>
      <xdr:row>776</xdr:row>
      <xdr:rowOff>114120</xdr:rowOff>
    </xdr:to>
    <xdr:sp>
      <xdr:nvSpPr>
        <xdr:cNvPr id="339" name="Прямая соединительная линия 639"/>
        <xdr:cNvSpPr/>
      </xdr:nvSpPr>
      <xdr:spPr>
        <a:xfrm flipH="1">
          <a:off x="9879840" y="11559240"/>
          <a:ext cx="1382040" cy="381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18</xdr:col>
      <xdr:colOff>95040</xdr:colOff>
      <xdr:row>776</xdr:row>
      <xdr:rowOff>28440</xdr:rowOff>
    </xdr:from>
    <xdr:to>
      <xdr:col>25</xdr:col>
      <xdr:colOff>28440</xdr:colOff>
      <xdr:row>776</xdr:row>
      <xdr:rowOff>66600</xdr:rowOff>
    </xdr:to>
    <xdr:sp>
      <xdr:nvSpPr>
        <xdr:cNvPr id="340" name="Прямая соединительная линия 640"/>
        <xdr:cNvSpPr/>
      </xdr:nvSpPr>
      <xdr:spPr>
        <a:xfrm flipH="1">
          <a:off x="9889200" y="11511720"/>
          <a:ext cx="1382400" cy="381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7</xdr:col>
      <xdr:colOff>257040</xdr:colOff>
      <xdr:row>776</xdr:row>
      <xdr:rowOff>37800</xdr:rowOff>
    </xdr:from>
    <xdr:to>
      <xdr:col>15</xdr:col>
      <xdr:colOff>37800</xdr:colOff>
      <xdr:row>776</xdr:row>
      <xdr:rowOff>95040</xdr:rowOff>
    </xdr:to>
    <xdr:sp>
      <xdr:nvSpPr>
        <xdr:cNvPr id="341" name="Прямая соединительная линия 641"/>
        <xdr:cNvSpPr/>
      </xdr:nvSpPr>
      <xdr:spPr>
        <a:xfrm flipH="1">
          <a:off x="7695720" y="11521080"/>
          <a:ext cx="1431360" cy="57240"/>
        </a:xfrm>
        <a:prstGeom prst="line">
          <a:avLst/>
        </a:prstGeom>
        <a:ln w="1905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8</xdr:col>
      <xdr:colOff>9360</xdr:colOff>
      <xdr:row>235</xdr:row>
      <xdr:rowOff>0</xdr:rowOff>
    </xdr:from>
    <xdr:to>
      <xdr:col>8</xdr:col>
      <xdr:colOff>9360</xdr:colOff>
      <xdr:row>235</xdr:row>
      <xdr:rowOff>152280</xdr:rowOff>
    </xdr:to>
    <xdr:sp>
      <xdr:nvSpPr>
        <xdr:cNvPr id="342" name="Прямая соединительная линия 644"/>
        <xdr:cNvSpPr/>
      </xdr:nvSpPr>
      <xdr:spPr>
        <a:xfrm>
          <a:off x="7760520" y="7901640"/>
          <a:ext cx="0" cy="152280"/>
        </a:xfrm>
        <a:prstGeom prst="line">
          <a:avLst/>
        </a:prstGeom>
        <a:ln w="254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14</xdr:col>
      <xdr:colOff>9360</xdr:colOff>
      <xdr:row>235</xdr:row>
      <xdr:rowOff>9360</xdr:rowOff>
    </xdr:from>
    <xdr:to>
      <xdr:col>14</xdr:col>
      <xdr:colOff>9360</xdr:colOff>
      <xdr:row>235</xdr:row>
      <xdr:rowOff>161640</xdr:rowOff>
    </xdr:to>
    <xdr:sp>
      <xdr:nvSpPr>
        <xdr:cNvPr id="343" name="Прямая соединительная линия 645"/>
        <xdr:cNvSpPr/>
      </xdr:nvSpPr>
      <xdr:spPr>
        <a:xfrm>
          <a:off x="8907480" y="7911000"/>
          <a:ext cx="0" cy="152280"/>
        </a:xfrm>
        <a:prstGeom prst="line">
          <a:avLst/>
        </a:prstGeom>
        <a:ln w="254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8</xdr:col>
      <xdr:colOff>0</xdr:colOff>
      <xdr:row>235</xdr:row>
      <xdr:rowOff>142560</xdr:rowOff>
    </xdr:from>
    <xdr:to>
      <xdr:col>14</xdr:col>
      <xdr:colOff>9360</xdr:colOff>
      <xdr:row>235</xdr:row>
      <xdr:rowOff>142560</xdr:rowOff>
    </xdr:to>
    <xdr:sp>
      <xdr:nvSpPr>
        <xdr:cNvPr id="344" name="Прямая соединительная линия 646"/>
        <xdr:cNvSpPr/>
      </xdr:nvSpPr>
      <xdr:spPr>
        <a:xfrm flipH="1">
          <a:off x="7751160" y="8044200"/>
          <a:ext cx="1156320" cy="0"/>
        </a:xfrm>
        <a:prstGeom prst="line">
          <a:avLst/>
        </a:prstGeom>
        <a:ln w="254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22</xdr:col>
      <xdr:colOff>171360</xdr:colOff>
      <xdr:row>235</xdr:row>
      <xdr:rowOff>0</xdr:rowOff>
    </xdr:from>
    <xdr:to>
      <xdr:col>22</xdr:col>
      <xdr:colOff>171360</xdr:colOff>
      <xdr:row>235</xdr:row>
      <xdr:rowOff>152280</xdr:rowOff>
    </xdr:to>
    <xdr:sp>
      <xdr:nvSpPr>
        <xdr:cNvPr id="345" name="Прямая соединительная линия 649"/>
        <xdr:cNvSpPr/>
      </xdr:nvSpPr>
      <xdr:spPr>
        <a:xfrm>
          <a:off x="10841040" y="7901640"/>
          <a:ext cx="0" cy="152280"/>
        </a:xfrm>
        <a:prstGeom prst="line">
          <a:avLst/>
        </a:prstGeom>
        <a:ln w="254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17</xdr:col>
      <xdr:colOff>18720</xdr:colOff>
      <xdr:row>235</xdr:row>
      <xdr:rowOff>133200</xdr:rowOff>
    </xdr:from>
    <xdr:to>
      <xdr:col>23</xdr:col>
      <xdr:colOff>9360</xdr:colOff>
      <xdr:row>235</xdr:row>
      <xdr:rowOff>133200</xdr:rowOff>
    </xdr:to>
    <xdr:sp>
      <xdr:nvSpPr>
        <xdr:cNvPr id="346" name="Прямая соединительная линия 650"/>
        <xdr:cNvSpPr/>
      </xdr:nvSpPr>
      <xdr:spPr>
        <a:xfrm flipH="1">
          <a:off x="9490320" y="8034840"/>
          <a:ext cx="1379880" cy="0"/>
        </a:xfrm>
        <a:prstGeom prst="line">
          <a:avLst/>
        </a:prstGeom>
        <a:ln w="254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19</xdr:col>
      <xdr:colOff>152280</xdr:colOff>
      <xdr:row>235</xdr:row>
      <xdr:rowOff>18720</xdr:rowOff>
    </xdr:from>
    <xdr:to>
      <xdr:col>22</xdr:col>
      <xdr:colOff>171360</xdr:colOff>
      <xdr:row>235</xdr:row>
      <xdr:rowOff>18720</xdr:rowOff>
    </xdr:to>
    <xdr:sp>
      <xdr:nvSpPr>
        <xdr:cNvPr id="347" name="Прямая соединительная линия 651"/>
        <xdr:cNvSpPr/>
      </xdr:nvSpPr>
      <xdr:spPr>
        <a:xfrm flipH="1">
          <a:off x="10137600" y="7920360"/>
          <a:ext cx="703440" cy="0"/>
        </a:xfrm>
        <a:prstGeom prst="line">
          <a:avLst/>
        </a:prstGeom>
        <a:ln w="254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17</xdr:col>
      <xdr:colOff>9360</xdr:colOff>
      <xdr:row>235</xdr:row>
      <xdr:rowOff>18720</xdr:rowOff>
    </xdr:from>
    <xdr:to>
      <xdr:col>19</xdr:col>
      <xdr:colOff>171360</xdr:colOff>
      <xdr:row>235</xdr:row>
      <xdr:rowOff>161640</xdr:rowOff>
    </xdr:to>
    <xdr:sp>
      <xdr:nvSpPr>
        <xdr:cNvPr id="348" name="Прямая соединительная линия 652"/>
        <xdr:cNvSpPr/>
      </xdr:nvSpPr>
      <xdr:spPr>
        <a:xfrm flipH="1">
          <a:off x="9480960" y="7920360"/>
          <a:ext cx="675720" cy="142920"/>
        </a:xfrm>
        <a:prstGeom prst="line">
          <a:avLst/>
        </a:prstGeom>
        <a:ln w="254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26</xdr:col>
      <xdr:colOff>9360</xdr:colOff>
      <xdr:row>235</xdr:row>
      <xdr:rowOff>9360</xdr:rowOff>
    </xdr:from>
    <xdr:to>
      <xdr:col>26</xdr:col>
      <xdr:colOff>9360</xdr:colOff>
      <xdr:row>235</xdr:row>
      <xdr:rowOff>161640</xdr:rowOff>
    </xdr:to>
    <xdr:sp>
      <xdr:nvSpPr>
        <xdr:cNvPr id="349" name="Прямая соединительная линия 654"/>
        <xdr:cNvSpPr/>
      </xdr:nvSpPr>
      <xdr:spPr>
        <a:xfrm>
          <a:off x="11443680" y="7911000"/>
          <a:ext cx="0" cy="152280"/>
        </a:xfrm>
        <a:prstGeom prst="line">
          <a:avLst/>
        </a:prstGeom>
        <a:ln w="254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26</xdr:col>
      <xdr:colOff>9360</xdr:colOff>
      <xdr:row>235</xdr:row>
      <xdr:rowOff>28440</xdr:rowOff>
    </xdr:from>
    <xdr:to>
      <xdr:col>32</xdr:col>
      <xdr:colOff>18720</xdr:colOff>
      <xdr:row>235</xdr:row>
      <xdr:rowOff>28440</xdr:rowOff>
    </xdr:to>
    <xdr:sp>
      <xdr:nvSpPr>
        <xdr:cNvPr id="350" name="Прямая соединительная линия 655"/>
        <xdr:cNvSpPr/>
      </xdr:nvSpPr>
      <xdr:spPr>
        <a:xfrm flipH="1">
          <a:off x="11443680" y="7930080"/>
          <a:ext cx="1155960" cy="0"/>
        </a:xfrm>
        <a:prstGeom prst="line">
          <a:avLst/>
        </a:prstGeom>
        <a:ln w="254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26</xdr:col>
      <xdr:colOff>9360</xdr:colOff>
      <xdr:row>235</xdr:row>
      <xdr:rowOff>152280</xdr:rowOff>
    </xdr:from>
    <xdr:to>
      <xdr:col>32</xdr:col>
      <xdr:colOff>18720</xdr:colOff>
      <xdr:row>235</xdr:row>
      <xdr:rowOff>152280</xdr:rowOff>
    </xdr:to>
    <xdr:sp>
      <xdr:nvSpPr>
        <xdr:cNvPr id="351" name="Прямая соединительная линия 656"/>
        <xdr:cNvSpPr/>
      </xdr:nvSpPr>
      <xdr:spPr>
        <a:xfrm flipH="1">
          <a:off x="11443680" y="8053920"/>
          <a:ext cx="1155960" cy="0"/>
        </a:xfrm>
        <a:prstGeom prst="line">
          <a:avLst/>
        </a:prstGeom>
        <a:ln w="254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12</xdr:col>
      <xdr:colOff>18720</xdr:colOff>
      <xdr:row>776</xdr:row>
      <xdr:rowOff>28440</xdr:rowOff>
    </xdr:from>
    <xdr:to>
      <xdr:col>12</xdr:col>
      <xdr:colOff>18720</xdr:colOff>
      <xdr:row>776</xdr:row>
      <xdr:rowOff>142560</xdr:rowOff>
    </xdr:to>
    <xdr:sp>
      <xdr:nvSpPr>
        <xdr:cNvPr id="352" name="Прямая соединительная линия 657"/>
        <xdr:cNvSpPr/>
      </xdr:nvSpPr>
      <xdr:spPr>
        <a:xfrm>
          <a:off x="8534520" y="11511720"/>
          <a:ext cx="0" cy="11412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19</xdr:col>
      <xdr:colOff>18720</xdr:colOff>
      <xdr:row>776</xdr:row>
      <xdr:rowOff>0</xdr:rowOff>
    </xdr:from>
    <xdr:to>
      <xdr:col>19</xdr:col>
      <xdr:colOff>18720</xdr:colOff>
      <xdr:row>776</xdr:row>
      <xdr:rowOff>75960</xdr:rowOff>
    </xdr:to>
    <xdr:sp>
      <xdr:nvSpPr>
        <xdr:cNvPr id="353" name="Прямая соединительная линия 658"/>
        <xdr:cNvSpPr/>
      </xdr:nvSpPr>
      <xdr:spPr>
        <a:xfrm>
          <a:off x="10004040" y="11483280"/>
          <a:ext cx="0" cy="759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19</xdr:col>
      <xdr:colOff>9360</xdr:colOff>
      <xdr:row>776</xdr:row>
      <xdr:rowOff>18720</xdr:rowOff>
    </xdr:from>
    <xdr:to>
      <xdr:col>24</xdr:col>
      <xdr:colOff>28440</xdr:colOff>
      <xdr:row>776</xdr:row>
      <xdr:rowOff>161640</xdr:rowOff>
    </xdr:to>
    <xdr:sp>
      <xdr:nvSpPr>
        <xdr:cNvPr id="354" name="Прямая соединительная линия 659"/>
        <xdr:cNvSpPr/>
      </xdr:nvSpPr>
      <xdr:spPr>
        <a:xfrm flipH="1">
          <a:off x="9994680" y="11502000"/>
          <a:ext cx="1085760" cy="142920"/>
        </a:xfrm>
        <a:prstGeom prst="line">
          <a:avLst/>
        </a:prstGeom>
        <a:ln w="1905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16</xdr:col>
      <xdr:colOff>9360</xdr:colOff>
      <xdr:row>776</xdr:row>
      <xdr:rowOff>28440</xdr:rowOff>
    </xdr:from>
    <xdr:to>
      <xdr:col>26</xdr:col>
      <xdr:colOff>66600</xdr:colOff>
      <xdr:row>776</xdr:row>
      <xdr:rowOff>114120</xdr:rowOff>
    </xdr:to>
    <xdr:sp>
      <xdr:nvSpPr>
        <xdr:cNvPr id="355" name="Прямая соединительная линия 661"/>
        <xdr:cNvSpPr/>
      </xdr:nvSpPr>
      <xdr:spPr>
        <a:xfrm flipH="1" flipV="1">
          <a:off x="9289800" y="11511720"/>
          <a:ext cx="2211120" cy="85680"/>
        </a:xfrm>
        <a:prstGeom prst="line">
          <a:avLst/>
        </a:prstGeom>
        <a:ln w="1905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9</xdr:col>
      <xdr:colOff>0</xdr:colOff>
      <xdr:row>776</xdr:row>
      <xdr:rowOff>28440</xdr:rowOff>
    </xdr:from>
    <xdr:to>
      <xdr:col>16</xdr:col>
      <xdr:colOff>191160</xdr:colOff>
      <xdr:row>776</xdr:row>
      <xdr:rowOff>104760</xdr:rowOff>
    </xdr:to>
    <xdr:sp>
      <xdr:nvSpPr>
        <xdr:cNvPr id="356" name="Прямая соединительная линия 666"/>
        <xdr:cNvSpPr/>
      </xdr:nvSpPr>
      <xdr:spPr>
        <a:xfrm flipH="1">
          <a:off x="7942320" y="11511720"/>
          <a:ext cx="1529280" cy="7632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17</xdr:col>
      <xdr:colOff>85680</xdr:colOff>
      <xdr:row>776</xdr:row>
      <xdr:rowOff>75960</xdr:rowOff>
    </xdr:from>
    <xdr:to>
      <xdr:col>17</xdr:col>
      <xdr:colOff>85680</xdr:colOff>
      <xdr:row>776</xdr:row>
      <xdr:rowOff>133200</xdr:rowOff>
    </xdr:to>
    <xdr:sp>
      <xdr:nvSpPr>
        <xdr:cNvPr id="357" name="Прямая соединительная линия 667"/>
        <xdr:cNvSpPr/>
      </xdr:nvSpPr>
      <xdr:spPr>
        <a:xfrm>
          <a:off x="9557280" y="11559240"/>
          <a:ext cx="0" cy="57240"/>
        </a:xfrm>
        <a:prstGeom prst="line">
          <a:avLst/>
        </a:prstGeom>
        <a:ln w="1905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17</xdr:col>
      <xdr:colOff>85680</xdr:colOff>
      <xdr:row>776</xdr:row>
      <xdr:rowOff>152280</xdr:rowOff>
    </xdr:from>
    <xdr:to>
      <xdr:col>17</xdr:col>
      <xdr:colOff>85680</xdr:colOff>
      <xdr:row>776</xdr:row>
      <xdr:rowOff>152280</xdr:rowOff>
    </xdr:to>
    <xdr:sp>
      <xdr:nvSpPr>
        <xdr:cNvPr id="358" name="Прямая соединительная линия 672"/>
        <xdr:cNvSpPr/>
      </xdr:nvSpPr>
      <xdr:spPr>
        <a:xfrm>
          <a:off x="9557280" y="11635560"/>
          <a:ext cx="360" cy="360"/>
        </a:xfrm>
        <a:custGeom>
          <a:avLst/>
          <a:gdLst/>
          <a:ahLst/>
          <a:rect l="0" t="0" r="r" b="b"/>
          <a:pathLst>
            <a:path w="1" h="1">
              <a:moveTo>
                <a:pt x="0" y="0"/>
              </a:moveTo>
              <a:lnTo>
                <a:pt x="0" y="0"/>
              </a:lnTo>
            </a:path>
          </a:pathLst>
        </a:custGeom>
        <a:ln w="38100">
          <a:solidFill>
            <a:srgbClr val="000000"/>
          </a:solidFill>
          <a:round/>
        </a:ln>
      </xdr:spPr>
    </xdr:sp>
    <xdr:clientData/>
  </xdr:twoCellAnchor>
  <xdr:twoCellAnchor editAs="twoCell">
    <xdr:from>
      <xdr:col>23</xdr:col>
      <xdr:colOff>171360</xdr:colOff>
      <xdr:row>776</xdr:row>
      <xdr:rowOff>37800</xdr:rowOff>
    </xdr:from>
    <xdr:to>
      <xdr:col>23</xdr:col>
      <xdr:colOff>191160</xdr:colOff>
      <xdr:row>776</xdr:row>
      <xdr:rowOff>95040</xdr:rowOff>
    </xdr:to>
    <xdr:sp>
      <xdr:nvSpPr>
        <xdr:cNvPr id="359" name="Прямая соединительная линия 673"/>
        <xdr:cNvSpPr/>
      </xdr:nvSpPr>
      <xdr:spPr>
        <a:xfrm flipH="1">
          <a:off x="11032200" y="11521080"/>
          <a:ext cx="19800" cy="5724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16</xdr:col>
      <xdr:colOff>171360</xdr:colOff>
      <xdr:row>776</xdr:row>
      <xdr:rowOff>37800</xdr:rowOff>
    </xdr:from>
    <xdr:to>
      <xdr:col>18</xdr:col>
      <xdr:colOff>133200</xdr:colOff>
      <xdr:row>776</xdr:row>
      <xdr:rowOff>152280</xdr:rowOff>
    </xdr:to>
    <xdr:sp>
      <xdr:nvSpPr>
        <xdr:cNvPr id="360" name="Прямая соединительная линия 682"/>
        <xdr:cNvSpPr/>
      </xdr:nvSpPr>
      <xdr:spPr>
        <a:xfrm flipH="1" flipV="1">
          <a:off x="9451800" y="11521080"/>
          <a:ext cx="475560" cy="11448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18</xdr:col>
      <xdr:colOff>123480</xdr:colOff>
      <xdr:row>776</xdr:row>
      <xdr:rowOff>75960</xdr:rowOff>
    </xdr:from>
    <xdr:to>
      <xdr:col>26</xdr:col>
      <xdr:colOff>18720</xdr:colOff>
      <xdr:row>776</xdr:row>
      <xdr:rowOff>152280</xdr:rowOff>
    </xdr:to>
    <xdr:sp>
      <xdr:nvSpPr>
        <xdr:cNvPr id="361" name="Прямая соединительная линия 684"/>
        <xdr:cNvSpPr/>
      </xdr:nvSpPr>
      <xdr:spPr>
        <a:xfrm flipH="1">
          <a:off x="9917640" y="11559240"/>
          <a:ext cx="1535400" cy="7632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18</xdr:col>
      <xdr:colOff>104760</xdr:colOff>
      <xdr:row>776</xdr:row>
      <xdr:rowOff>28440</xdr:rowOff>
    </xdr:from>
    <xdr:to>
      <xdr:col>26</xdr:col>
      <xdr:colOff>28440</xdr:colOff>
      <xdr:row>776</xdr:row>
      <xdr:rowOff>133200</xdr:rowOff>
    </xdr:to>
    <xdr:sp>
      <xdr:nvSpPr>
        <xdr:cNvPr id="362" name="Прямая соединительная линия 685"/>
        <xdr:cNvSpPr/>
      </xdr:nvSpPr>
      <xdr:spPr>
        <a:xfrm flipH="1">
          <a:off x="9898920" y="11511720"/>
          <a:ext cx="1563840" cy="1047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9</xdr:col>
      <xdr:colOff>65880</xdr:colOff>
      <xdr:row>776</xdr:row>
      <xdr:rowOff>37800</xdr:rowOff>
    </xdr:from>
    <xdr:to>
      <xdr:col>16</xdr:col>
      <xdr:colOff>37800</xdr:colOff>
      <xdr:row>776</xdr:row>
      <xdr:rowOff>95040</xdr:rowOff>
    </xdr:to>
    <xdr:sp>
      <xdr:nvSpPr>
        <xdr:cNvPr id="363" name="Прямая соединительная линия 686"/>
        <xdr:cNvSpPr/>
      </xdr:nvSpPr>
      <xdr:spPr>
        <a:xfrm flipH="1">
          <a:off x="8008200" y="11521080"/>
          <a:ext cx="1310040" cy="57240"/>
        </a:xfrm>
        <a:prstGeom prst="line">
          <a:avLst/>
        </a:prstGeom>
        <a:ln w="1905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9</xdr:col>
      <xdr:colOff>28440</xdr:colOff>
      <xdr:row>776</xdr:row>
      <xdr:rowOff>66600</xdr:rowOff>
    </xdr:from>
    <xdr:to>
      <xdr:col>18</xdr:col>
      <xdr:colOff>152280</xdr:colOff>
      <xdr:row>776</xdr:row>
      <xdr:rowOff>133200</xdr:rowOff>
    </xdr:to>
    <xdr:sp>
      <xdr:nvSpPr>
        <xdr:cNvPr id="364" name="Прямая соединительная линия 687"/>
        <xdr:cNvSpPr/>
      </xdr:nvSpPr>
      <xdr:spPr>
        <a:xfrm flipH="1" flipV="1">
          <a:off x="7970760" y="11549880"/>
          <a:ext cx="1975680" cy="6660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9</xdr:col>
      <xdr:colOff>0</xdr:colOff>
      <xdr:row>776</xdr:row>
      <xdr:rowOff>114120</xdr:rowOff>
    </xdr:from>
    <xdr:to>
      <xdr:col>18</xdr:col>
      <xdr:colOff>114120</xdr:colOff>
      <xdr:row>776</xdr:row>
      <xdr:rowOff>142560</xdr:rowOff>
    </xdr:to>
    <xdr:sp>
      <xdr:nvSpPr>
        <xdr:cNvPr id="365" name="Прямая соединительная линия 688"/>
        <xdr:cNvSpPr/>
      </xdr:nvSpPr>
      <xdr:spPr>
        <a:xfrm flipH="1" flipV="1">
          <a:off x="7942320" y="11597400"/>
          <a:ext cx="1965960" cy="2844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7</xdr:col>
      <xdr:colOff>9360</xdr:colOff>
      <xdr:row>596</xdr:row>
      <xdr:rowOff>0</xdr:rowOff>
    </xdr:from>
    <xdr:to>
      <xdr:col>7</xdr:col>
      <xdr:colOff>9360</xdr:colOff>
      <xdr:row>596</xdr:row>
      <xdr:rowOff>133200</xdr:rowOff>
    </xdr:to>
    <xdr:sp>
      <xdr:nvSpPr>
        <xdr:cNvPr id="366" name="Прямая соединительная линия 689"/>
        <xdr:cNvSpPr/>
      </xdr:nvSpPr>
      <xdr:spPr>
        <a:xfrm>
          <a:off x="7448040" y="10766880"/>
          <a:ext cx="0" cy="13320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17</xdr:col>
      <xdr:colOff>0</xdr:colOff>
      <xdr:row>596</xdr:row>
      <xdr:rowOff>0</xdr:rowOff>
    </xdr:from>
    <xdr:to>
      <xdr:col>17</xdr:col>
      <xdr:colOff>0</xdr:colOff>
      <xdr:row>596</xdr:row>
      <xdr:rowOff>142560</xdr:rowOff>
    </xdr:to>
    <xdr:sp>
      <xdr:nvSpPr>
        <xdr:cNvPr id="367" name="Прямая соединительная линия 690"/>
        <xdr:cNvSpPr/>
      </xdr:nvSpPr>
      <xdr:spPr>
        <a:xfrm>
          <a:off x="9471600" y="10766880"/>
          <a:ext cx="0" cy="1425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7</xdr:col>
      <xdr:colOff>9360</xdr:colOff>
      <xdr:row>596</xdr:row>
      <xdr:rowOff>18720</xdr:rowOff>
    </xdr:from>
    <xdr:to>
      <xdr:col>16</xdr:col>
      <xdr:colOff>191160</xdr:colOff>
      <xdr:row>596</xdr:row>
      <xdr:rowOff>18720</xdr:rowOff>
    </xdr:to>
    <xdr:sp>
      <xdr:nvSpPr>
        <xdr:cNvPr id="368" name="Прямая соединительная линия 691"/>
        <xdr:cNvSpPr/>
      </xdr:nvSpPr>
      <xdr:spPr>
        <a:xfrm flipH="1">
          <a:off x="7448040" y="10785600"/>
          <a:ext cx="2023560" cy="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7</xdr:col>
      <xdr:colOff>0</xdr:colOff>
      <xdr:row>596</xdr:row>
      <xdr:rowOff>152280</xdr:rowOff>
    </xdr:from>
    <xdr:to>
      <xdr:col>11</xdr:col>
      <xdr:colOff>9360</xdr:colOff>
      <xdr:row>596</xdr:row>
      <xdr:rowOff>152280</xdr:rowOff>
    </xdr:to>
    <xdr:sp>
      <xdr:nvSpPr>
        <xdr:cNvPr id="369" name="Прямая соединительная линия 692"/>
        <xdr:cNvSpPr/>
      </xdr:nvSpPr>
      <xdr:spPr>
        <a:xfrm flipH="1">
          <a:off x="7438680" y="10919160"/>
          <a:ext cx="895320" cy="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10</xdr:col>
      <xdr:colOff>161640</xdr:colOff>
      <xdr:row>596</xdr:row>
      <xdr:rowOff>123480</xdr:rowOff>
    </xdr:from>
    <xdr:to>
      <xdr:col>16</xdr:col>
      <xdr:colOff>191160</xdr:colOff>
      <xdr:row>596</xdr:row>
      <xdr:rowOff>123480</xdr:rowOff>
    </xdr:to>
    <xdr:sp>
      <xdr:nvSpPr>
        <xdr:cNvPr id="370" name="Прямая соединительная линия 693"/>
        <xdr:cNvSpPr/>
      </xdr:nvSpPr>
      <xdr:spPr>
        <a:xfrm flipH="1">
          <a:off x="8295120" y="10890360"/>
          <a:ext cx="1176480" cy="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6</xdr:col>
      <xdr:colOff>419040</xdr:colOff>
      <xdr:row>596</xdr:row>
      <xdr:rowOff>18720</xdr:rowOff>
    </xdr:from>
    <xdr:to>
      <xdr:col>6</xdr:col>
      <xdr:colOff>419040</xdr:colOff>
      <xdr:row>596</xdr:row>
      <xdr:rowOff>152280</xdr:rowOff>
    </xdr:to>
    <xdr:sp>
      <xdr:nvSpPr>
        <xdr:cNvPr id="371" name="Прямая соединительная линия 695"/>
        <xdr:cNvSpPr/>
      </xdr:nvSpPr>
      <xdr:spPr>
        <a:xfrm>
          <a:off x="7212600" y="10785600"/>
          <a:ext cx="0" cy="133560"/>
        </a:xfrm>
        <a:prstGeom prst="line">
          <a:avLst/>
        </a:prstGeom>
        <a:ln w="19050">
          <a:solidFill>
            <a:srgbClr val="eeece1">
              <a:lumMod val="50000"/>
            </a:srgbClr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17</xdr:col>
      <xdr:colOff>209520</xdr:colOff>
      <xdr:row>596</xdr:row>
      <xdr:rowOff>28440</xdr:rowOff>
    </xdr:from>
    <xdr:to>
      <xdr:col>17</xdr:col>
      <xdr:colOff>209520</xdr:colOff>
      <xdr:row>596</xdr:row>
      <xdr:rowOff>161640</xdr:rowOff>
    </xdr:to>
    <xdr:sp>
      <xdr:nvSpPr>
        <xdr:cNvPr id="372" name="Прямая соединительная линия 696"/>
        <xdr:cNvSpPr/>
      </xdr:nvSpPr>
      <xdr:spPr>
        <a:xfrm>
          <a:off x="9681120" y="10795320"/>
          <a:ext cx="0" cy="133200"/>
        </a:xfrm>
        <a:prstGeom prst="line">
          <a:avLst/>
        </a:prstGeom>
        <a:ln w="19050">
          <a:solidFill>
            <a:srgbClr val="eeece1">
              <a:lumMod val="50000"/>
            </a:srgbClr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6</xdr:col>
      <xdr:colOff>409320</xdr:colOff>
      <xdr:row>596</xdr:row>
      <xdr:rowOff>28440</xdr:rowOff>
    </xdr:from>
    <xdr:to>
      <xdr:col>17</xdr:col>
      <xdr:colOff>218880</xdr:colOff>
      <xdr:row>596</xdr:row>
      <xdr:rowOff>28440</xdr:rowOff>
    </xdr:to>
    <xdr:sp>
      <xdr:nvSpPr>
        <xdr:cNvPr id="373" name="Прямая соединительная линия 697"/>
        <xdr:cNvSpPr/>
      </xdr:nvSpPr>
      <xdr:spPr>
        <a:xfrm>
          <a:off x="7202880" y="10795320"/>
          <a:ext cx="2487600" cy="0"/>
        </a:xfrm>
        <a:prstGeom prst="line">
          <a:avLst/>
        </a:prstGeom>
        <a:ln w="19050">
          <a:solidFill>
            <a:srgbClr val="eeece1">
              <a:lumMod val="50000"/>
            </a:srgbClr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6</xdr:col>
      <xdr:colOff>419040</xdr:colOff>
      <xdr:row>596</xdr:row>
      <xdr:rowOff>142560</xdr:rowOff>
    </xdr:from>
    <xdr:to>
      <xdr:col>17</xdr:col>
      <xdr:colOff>228600</xdr:colOff>
      <xdr:row>596</xdr:row>
      <xdr:rowOff>142560</xdr:rowOff>
    </xdr:to>
    <xdr:sp>
      <xdr:nvSpPr>
        <xdr:cNvPr id="374" name="Прямая соединительная линия 698"/>
        <xdr:cNvSpPr/>
      </xdr:nvSpPr>
      <xdr:spPr>
        <a:xfrm>
          <a:off x="7212600" y="10909440"/>
          <a:ext cx="2487600" cy="0"/>
        </a:xfrm>
        <a:prstGeom prst="line">
          <a:avLst/>
        </a:prstGeom>
        <a:ln w="19050">
          <a:solidFill>
            <a:srgbClr val="eeece1">
              <a:lumMod val="50000"/>
            </a:srgbClr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11</xdr:col>
      <xdr:colOff>142560</xdr:colOff>
      <xdr:row>596</xdr:row>
      <xdr:rowOff>28440</xdr:rowOff>
    </xdr:from>
    <xdr:to>
      <xdr:col>11</xdr:col>
      <xdr:colOff>142560</xdr:colOff>
      <xdr:row>596</xdr:row>
      <xdr:rowOff>161640</xdr:rowOff>
    </xdr:to>
    <xdr:sp>
      <xdr:nvSpPr>
        <xdr:cNvPr id="375" name="Прямая соединительная линия 699"/>
        <xdr:cNvSpPr/>
      </xdr:nvSpPr>
      <xdr:spPr>
        <a:xfrm>
          <a:off x="8467200" y="10795320"/>
          <a:ext cx="0" cy="133200"/>
        </a:xfrm>
        <a:prstGeom prst="line">
          <a:avLst/>
        </a:prstGeom>
        <a:ln w="19050">
          <a:solidFill>
            <a:srgbClr val="eeece1">
              <a:lumMod val="50000"/>
            </a:srgbClr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17</xdr:col>
      <xdr:colOff>18360</xdr:colOff>
      <xdr:row>596</xdr:row>
      <xdr:rowOff>0</xdr:rowOff>
    </xdr:from>
    <xdr:to>
      <xdr:col>19</xdr:col>
      <xdr:colOff>122760</xdr:colOff>
      <xdr:row>596</xdr:row>
      <xdr:rowOff>360</xdr:rowOff>
    </xdr:to>
    <xdr:sp>
      <xdr:nvSpPr>
        <xdr:cNvPr id="376" name="Прямая со стрелкой 700"/>
        <xdr:cNvSpPr/>
      </xdr:nvSpPr>
      <xdr:spPr>
        <a:xfrm flipH="1">
          <a:off x="9489960" y="10766880"/>
          <a:ext cx="618120" cy="36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38100">
          <a:solidFill>
            <a:srgbClr val="4a7ebb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17</xdr:col>
      <xdr:colOff>228600</xdr:colOff>
      <xdr:row>596</xdr:row>
      <xdr:rowOff>57240</xdr:rowOff>
    </xdr:from>
    <xdr:to>
      <xdr:col>19</xdr:col>
      <xdr:colOff>104400</xdr:colOff>
      <xdr:row>596</xdr:row>
      <xdr:rowOff>57600</xdr:rowOff>
    </xdr:to>
    <xdr:sp>
      <xdr:nvSpPr>
        <xdr:cNvPr id="377" name="Прямая со стрелкой 701"/>
        <xdr:cNvSpPr/>
      </xdr:nvSpPr>
      <xdr:spPr>
        <a:xfrm flipH="1">
          <a:off x="9700200" y="10824120"/>
          <a:ext cx="389520" cy="36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38100">
          <a:solidFill>
            <a:srgbClr val="4a7ebb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7</xdr:col>
      <xdr:colOff>9360</xdr:colOff>
      <xdr:row>596</xdr:row>
      <xdr:rowOff>0</xdr:rowOff>
    </xdr:from>
    <xdr:to>
      <xdr:col>7</xdr:col>
      <xdr:colOff>9360</xdr:colOff>
      <xdr:row>596</xdr:row>
      <xdr:rowOff>142560</xdr:rowOff>
    </xdr:to>
    <xdr:sp>
      <xdr:nvSpPr>
        <xdr:cNvPr id="378" name="Прямая соединительная линия 702"/>
        <xdr:cNvSpPr/>
      </xdr:nvSpPr>
      <xdr:spPr>
        <a:xfrm>
          <a:off x="7448040" y="10766880"/>
          <a:ext cx="0" cy="1425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17</xdr:col>
      <xdr:colOff>0</xdr:colOff>
      <xdr:row>596</xdr:row>
      <xdr:rowOff>0</xdr:rowOff>
    </xdr:from>
    <xdr:to>
      <xdr:col>17</xdr:col>
      <xdr:colOff>0</xdr:colOff>
      <xdr:row>596</xdr:row>
      <xdr:rowOff>142560</xdr:rowOff>
    </xdr:to>
    <xdr:sp>
      <xdr:nvSpPr>
        <xdr:cNvPr id="379" name="Прямая соединительная линия 703"/>
        <xdr:cNvSpPr/>
      </xdr:nvSpPr>
      <xdr:spPr>
        <a:xfrm>
          <a:off x="9471600" y="10766880"/>
          <a:ext cx="0" cy="1425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7</xdr:col>
      <xdr:colOff>9360</xdr:colOff>
      <xdr:row>596</xdr:row>
      <xdr:rowOff>18720</xdr:rowOff>
    </xdr:from>
    <xdr:to>
      <xdr:col>16</xdr:col>
      <xdr:colOff>191160</xdr:colOff>
      <xdr:row>596</xdr:row>
      <xdr:rowOff>18720</xdr:rowOff>
    </xdr:to>
    <xdr:sp>
      <xdr:nvSpPr>
        <xdr:cNvPr id="380" name="Прямая соединительная линия 704"/>
        <xdr:cNvSpPr/>
      </xdr:nvSpPr>
      <xdr:spPr>
        <a:xfrm flipH="1">
          <a:off x="7448040" y="10785600"/>
          <a:ext cx="2023560" cy="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9</xdr:col>
      <xdr:colOff>152280</xdr:colOff>
      <xdr:row>596</xdr:row>
      <xdr:rowOff>66600</xdr:rowOff>
    </xdr:from>
    <xdr:to>
      <xdr:col>14</xdr:col>
      <xdr:colOff>95040</xdr:colOff>
      <xdr:row>596</xdr:row>
      <xdr:rowOff>66600</xdr:rowOff>
    </xdr:to>
    <xdr:sp>
      <xdr:nvSpPr>
        <xdr:cNvPr id="381" name="Прямая соединительная линия 705"/>
        <xdr:cNvSpPr/>
      </xdr:nvSpPr>
      <xdr:spPr>
        <a:xfrm flipH="1">
          <a:off x="8094600" y="10833480"/>
          <a:ext cx="898560" cy="0"/>
        </a:xfrm>
        <a:prstGeom prst="line">
          <a:avLst/>
        </a:prstGeom>
        <a:ln w="38100">
          <a:solidFill>
            <a:srgbClr val="1f497d">
              <a:lumMod val="60000"/>
              <a:lumOff val="40000"/>
            </a:srgbClr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7</xdr:col>
      <xdr:colOff>9360</xdr:colOff>
      <xdr:row>596</xdr:row>
      <xdr:rowOff>123480</xdr:rowOff>
    </xdr:from>
    <xdr:to>
      <xdr:col>16</xdr:col>
      <xdr:colOff>191160</xdr:colOff>
      <xdr:row>596</xdr:row>
      <xdr:rowOff>123480</xdr:rowOff>
    </xdr:to>
    <xdr:sp>
      <xdr:nvSpPr>
        <xdr:cNvPr id="382" name="Прямая соединительная линия 706"/>
        <xdr:cNvSpPr/>
      </xdr:nvSpPr>
      <xdr:spPr>
        <a:xfrm flipH="1">
          <a:off x="7448040" y="10890360"/>
          <a:ext cx="2023560" cy="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6</xdr:col>
      <xdr:colOff>419040</xdr:colOff>
      <xdr:row>596</xdr:row>
      <xdr:rowOff>18720</xdr:rowOff>
    </xdr:from>
    <xdr:to>
      <xdr:col>6</xdr:col>
      <xdr:colOff>419040</xdr:colOff>
      <xdr:row>596</xdr:row>
      <xdr:rowOff>152280</xdr:rowOff>
    </xdr:to>
    <xdr:sp>
      <xdr:nvSpPr>
        <xdr:cNvPr id="383" name="Прямая соединительная линия 708"/>
        <xdr:cNvSpPr/>
      </xdr:nvSpPr>
      <xdr:spPr>
        <a:xfrm>
          <a:off x="7212600" y="10785600"/>
          <a:ext cx="0" cy="133560"/>
        </a:xfrm>
        <a:prstGeom prst="line">
          <a:avLst/>
        </a:prstGeom>
        <a:ln w="19050">
          <a:solidFill>
            <a:srgbClr val="eeece1">
              <a:lumMod val="50000"/>
            </a:srgbClr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17</xdr:col>
      <xdr:colOff>209520</xdr:colOff>
      <xdr:row>596</xdr:row>
      <xdr:rowOff>28440</xdr:rowOff>
    </xdr:from>
    <xdr:to>
      <xdr:col>17</xdr:col>
      <xdr:colOff>209520</xdr:colOff>
      <xdr:row>596</xdr:row>
      <xdr:rowOff>161640</xdr:rowOff>
    </xdr:to>
    <xdr:sp>
      <xdr:nvSpPr>
        <xdr:cNvPr id="384" name="Прямая соединительная линия 709"/>
        <xdr:cNvSpPr/>
      </xdr:nvSpPr>
      <xdr:spPr>
        <a:xfrm>
          <a:off x="9681120" y="10795320"/>
          <a:ext cx="0" cy="133200"/>
        </a:xfrm>
        <a:prstGeom prst="line">
          <a:avLst/>
        </a:prstGeom>
        <a:ln w="19050">
          <a:solidFill>
            <a:srgbClr val="eeece1">
              <a:lumMod val="50000"/>
            </a:srgbClr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6</xdr:col>
      <xdr:colOff>409320</xdr:colOff>
      <xdr:row>596</xdr:row>
      <xdr:rowOff>28440</xdr:rowOff>
    </xdr:from>
    <xdr:to>
      <xdr:col>17</xdr:col>
      <xdr:colOff>218880</xdr:colOff>
      <xdr:row>596</xdr:row>
      <xdr:rowOff>28440</xdr:rowOff>
    </xdr:to>
    <xdr:sp>
      <xdr:nvSpPr>
        <xdr:cNvPr id="385" name="Прямая соединительная линия 710"/>
        <xdr:cNvSpPr/>
      </xdr:nvSpPr>
      <xdr:spPr>
        <a:xfrm>
          <a:off x="7202880" y="10795320"/>
          <a:ext cx="2487600" cy="0"/>
        </a:xfrm>
        <a:prstGeom prst="line">
          <a:avLst/>
        </a:prstGeom>
        <a:ln w="19050">
          <a:solidFill>
            <a:srgbClr val="eeece1">
              <a:lumMod val="50000"/>
            </a:srgbClr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6</xdr:col>
      <xdr:colOff>419040</xdr:colOff>
      <xdr:row>596</xdr:row>
      <xdr:rowOff>142560</xdr:rowOff>
    </xdr:from>
    <xdr:to>
      <xdr:col>17</xdr:col>
      <xdr:colOff>228600</xdr:colOff>
      <xdr:row>596</xdr:row>
      <xdr:rowOff>142560</xdr:rowOff>
    </xdr:to>
    <xdr:sp>
      <xdr:nvSpPr>
        <xdr:cNvPr id="386" name="Прямая соединительная линия 711"/>
        <xdr:cNvSpPr/>
      </xdr:nvSpPr>
      <xdr:spPr>
        <a:xfrm>
          <a:off x="7212600" y="10909440"/>
          <a:ext cx="2487600" cy="0"/>
        </a:xfrm>
        <a:prstGeom prst="line">
          <a:avLst/>
        </a:prstGeom>
        <a:ln w="19050">
          <a:solidFill>
            <a:srgbClr val="eeece1">
              <a:lumMod val="50000"/>
            </a:srgbClr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11</xdr:col>
      <xdr:colOff>142560</xdr:colOff>
      <xdr:row>596</xdr:row>
      <xdr:rowOff>28440</xdr:rowOff>
    </xdr:from>
    <xdr:to>
      <xdr:col>11</xdr:col>
      <xdr:colOff>142560</xdr:colOff>
      <xdr:row>596</xdr:row>
      <xdr:rowOff>161640</xdr:rowOff>
    </xdr:to>
    <xdr:sp>
      <xdr:nvSpPr>
        <xdr:cNvPr id="387" name="Прямая соединительная линия 712"/>
        <xdr:cNvSpPr/>
      </xdr:nvSpPr>
      <xdr:spPr>
        <a:xfrm>
          <a:off x="8467200" y="10795320"/>
          <a:ext cx="0" cy="133200"/>
        </a:xfrm>
        <a:prstGeom prst="line">
          <a:avLst/>
        </a:prstGeom>
        <a:ln w="19050">
          <a:solidFill>
            <a:srgbClr val="eeece1">
              <a:lumMod val="50000"/>
            </a:srgbClr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17</xdr:col>
      <xdr:colOff>18360</xdr:colOff>
      <xdr:row>596</xdr:row>
      <xdr:rowOff>0</xdr:rowOff>
    </xdr:from>
    <xdr:to>
      <xdr:col>19</xdr:col>
      <xdr:colOff>122760</xdr:colOff>
      <xdr:row>596</xdr:row>
      <xdr:rowOff>360</xdr:rowOff>
    </xdr:to>
    <xdr:sp>
      <xdr:nvSpPr>
        <xdr:cNvPr id="388" name="Прямая со стрелкой 713"/>
        <xdr:cNvSpPr/>
      </xdr:nvSpPr>
      <xdr:spPr>
        <a:xfrm flipH="1">
          <a:off x="9489960" y="10766880"/>
          <a:ext cx="618120" cy="36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38100">
          <a:solidFill>
            <a:srgbClr val="4a7ebb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17</xdr:col>
      <xdr:colOff>228600</xdr:colOff>
      <xdr:row>596</xdr:row>
      <xdr:rowOff>57240</xdr:rowOff>
    </xdr:from>
    <xdr:to>
      <xdr:col>19</xdr:col>
      <xdr:colOff>104400</xdr:colOff>
      <xdr:row>596</xdr:row>
      <xdr:rowOff>57600</xdr:rowOff>
    </xdr:to>
    <xdr:sp>
      <xdr:nvSpPr>
        <xdr:cNvPr id="389" name="Прямая со стрелкой 714"/>
        <xdr:cNvSpPr/>
      </xdr:nvSpPr>
      <xdr:spPr>
        <a:xfrm flipH="1">
          <a:off x="9700200" y="10824120"/>
          <a:ext cx="389520" cy="36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38100">
          <a:solidFill>
            <a:srgbClr val="4a7ebb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6</xdr:col>
      <xdr:colOff>599760</xdr:colOff>
      <xdr:row>596</xdr:row>
      <xdr:rowOff>123480</xdr:rowOff>
    </xdr:from>
    <xdr:to>
      <xdr:col>10</xdr:col>
      <xdr:colOff>191160</xdr:colOff>
      <xdr:row>596</xdr:row>
      <xdr:rowOff>123480</xdr:rowOff>
    </xdr:to>
    <xdr:sp>
      <xdr:nvSpPr>
        <xdr:cNvPr id="390" name="Прямая соединительная линия 716"/>
        <xdr:cNvSpPr/>
      </xdr:nvSpPr>
      <xdr:spPr>
        <a:xfrm flipH="1">
          <a:off x="7393320" y="10890360"/>
          <a:ext cx="931320" cy="0"/>
        </a:xfrm>
        <a:prstGeom prst="line">
          <a:avLst/>
        </a:prstGeom>
        <a:ln w="38100">
          <a:solidFill>
            <a:srgbClr val="1f497d">
              <a:lumMod val="60000"/>
              <a:lumOff val="40000"/>
            </a:srgbClr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7</xdr:col>
      <xdr:colOff>9360</xdr:colOff>
      <xdr:row>596</xdr:row>
      <xdr:rowOff>0</xdr:rowOff>
    </xdr:from>
    <xdr:to>
      <xdr:col>7</xdr:col>
      <xdr:colOff>9360</xdr:colOff>
      <xdr:row>596</xdr:row>
      <xdr:rowOff>133200</xdr:rowOff>
    </xdr:to>
    <xdr:sp>
      <xdr:nvSpPr>
        <xdr:cNvPr id="391" name="Прямая соединительная линия 717"/>
        <xdr:cNvSpPr/>
      </xdr:nvSpPr>
      <xdr:spPr>
        <a:xfrm>
          <a:off x="7448040" y="10766880"/>
          <a:ext cx="0" cy="133200"/>
        </a:xfrm>
        <a:prstGeom prst="line">
          <a:avLst/>
        </a:prstGeom>
        <a:ln w="38100">
          <a:solidFill>
            <a:srgbClr val="1f497d">
              <a:lumMod val="60000"/>
              <a:lumOff val="40000"/>
            </a:srgbClr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6</xdr:col>
      <xdr:colOff>362160</xdr:colOff>
      <xdr:row>596</xdr:row>
      <xdr:rowOff>0</xdr:rowOff>
    </xdr:from>
    <xdr:to>
      <xdr:col>6</xdr:col>
      <xdr:colOff>362520</xdr:colOff>
      <xdr:row>596</xdr:row>
      <xdr:rowOff>75960</xdr:rowOff>
    </xdr:to>
    <xdr:sp>
      <xdr:nvSpPr>
        <xdr:cNvPr id="392" name="Прямая со стрелкой 718"/>
        <xdr:cNvSpPr/>
      </xdr:nvSpPr>
      <xdr:spPr>
        <a:xfrm flipV="1">
          <a:off x="7155360" y="10766160"/>
          <a:ext cx="360" cy="7596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000000"/>
          </a:solidFill>
          <a:round/>
          <a:headEnd len="med" type="arrow" w="med"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6</xdr:col>
      <xdr:colOff>590400</xdr:colOff>
      <xdr:row>596</xdr:row>
      <xdr:rowOff>76320</xdr:rowOff>
    </xdr:from>
    <xdr:to>
      <xdr:col>10</xdr:col>
      <xdr:colOff>123480</xdr:colOff>
      <xdr:row>596</xdr:row>
      <xdr:rowOff>76680</xdr:rowOff>
    </xdr:to>
    <xdr:sp>
      <xdr:nvSpPr>
        <xdr:cNvPr id="393" name="Прямая со стрелкой 719"/>
        <xdr:cNvSpPr/>
      </xdr:nvSpPr>
      <xdr:spPr>
        <a:xfrm>
          <a:off x="7383960" y="10843200"/>
          <a:ext cx="873000" cy="36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000000"/>
          </a:solidFill>
          <a:round/>
          <a:headEnd len="med" type="arrow" w="med"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7</xdr:col>
      <xdr:colOff>9360</xdr:colOff>
      <xdr:row>701</xdr:row>
      <xdr:rowOff>0</xdr:rowOff>
    </xdr:from>
    <xdr:to>
      <xdr:col>7</xdr:col>
      <xdr:colOff>9360</xdr:colOff>
      <xdr:row>701</xdr:row>
      <xdr:rowOff>133200</xdr:rowOff>
    </xdr:to>
    <xdr:sp>
      <xdr:nvSpPr>
        <xdr:cNvPr id="394" name="Прямая соединительная линия 720"/>
        <xdr:cNvSpPr/>
      </xdr:nvSpPr>
      <xdr:spPr>
        <a:xfrm>
          <a:off x="7448040" y="11125080"/>
          <a:ext cx="0" cy="13320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17</xdr:col>
      <xdr:colOff>0</xdr:colOff>
      <xdr:row>701</xdr:row>
      <xdr:rowOff>0</xdr:rowOff>
    </xdr:from>
    <xdr:to>
      <xdr:col>17</xdr:col>
      <xdr:colOff>0</xdr:colOff>
      <xdr:row>701</xdr:row>
      <xdr:rowOff>142560</xdr:rowOff>
    </xdr:to>
    <xdr:sp>
      <xdr:nvSpPr>
        <xdr:cNvPr id="395" name="Прямая соединительная линия 721"/>
        <xdr:cNvSpPr/>
      </xdr:nvSpPr>
      <xdr:spPr>
        <a:xfrm>
          <a:off x="9471600" y="11125080"/>
          <a:ext cx="0" cy="1425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7</xdr:col>
      <xdr:colOff>9360</xdr:colOff>
      <xdr:row>701</xdr:row>
      <xdr:rowOff>18720</xdr:rowOff>
    </xdr:from>
    <xdr:to>
      <xdr:col>16</xdr:col>
      <xdr:colOff>191160</xdr:colOff>
      <xdr:row>701</xdr:row>
      <xdr:rowOff>18720</xdr:rowOff>
    </xdr:to>
    <xdr:sp>
      <xdr:nvSpPr>
        <xdr:cNvPr id="396" name="Прямая соединительная линия 722"/>
        <xdr:cNvSpPr/>
      </xdr:nvSpPr>
      <xdr:spPr>
        <a:xfrm flipH="1">
          <a:off x="7448040" y="11143800"/>
          <a:ext cx="2023560" cy="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7</xdr:col>
      <xdr:colOff>0</xdr:colOff>
      <xdr:row>701</xdr:row>
      <xdr:rowOff>152280</xdr:rowOff>
    </xdr:from>
    <xdr:to>
      <xdr:col>11</xdr:col>
      <xdr:colOff>9360</xdr:colOff>
      <xdr:row>701</xdr:row>
      <xdr:rowOff>152280</xdr:rowOff>
    </xdr:to>
    <xdr:sp>
      <xdr:nvSpPr>
        <xdr:cNvPr id="397" name="Прямая соединительная линия 723"/>
        <xdr:cNvSpPr/>
      </xdr:nvSpPr>
      <xdr:spPr>
        <a:xfrm flipH="1">
          <a:off x="7438680" y="11277360"/>
          <a:ext cx="895320" cy="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10</xdr:col>
      <xdr:colOff>161640</xdr:colOff>
      <xdr:row>701</xdr:row>
      <xdr:rowOff>123480</xdr:rowOff>
    </xdr:from>
    <xdr:to>
      <xdr:col>16</xdr:col>
      <xdr:colOff>191160</xdr:colOff>
      <xdr:row>701</xdr:row>
      <xdr:rowOff>123480</xdr:rowOff>
    </xdr:to>
    <xdr:sp>
      <xdr:nvSpPr>
        <xdr:cNvPr id="398" name="Прямая соединительная линия 724"/>
        <xdr:cNvSpPr/>
      </xdr:nvSpPr>
      <xdr:spPr>
        <a:xfrm flipH="1">
          <a:off x="8295120" y="11248560"/>
          <a:ext cx="1176480" cy="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6</xdr:col>
      <xdr:colOff>419040</xdr:colOff>
      <xdr:row>701</xdr:row>
      <xdr:rowOff>18720</xdr:rowOff>
    </xdr:from>
    <xdr:to>
      <xdr:col>6</xdr:col>
      <xdr:colOff>419040</xdr:colOff>
      <xdr:row>701</xdr:row>
      <xdr:rowOff>152280</xdr:rowOff>
    </xdr:to>
    <xdr:sp>
      <xdr:nvSpPr>
        <xdr:cNvPr id="399" name="Прямая соединительная линия 726"/>
        <xdr:cNvSpPr/>
      </xdr:nvSpPr>
      <xdr:spPr>
        <a:xfrm>
          <a:off x="7212600" y="11143800"/>
          <a:ext cx="0" cy="133560"/>
        </a:xfrm>
        <a:prstGeom prst="line">
          <a:avLst/>
        </a:prstGeom>
        <a:ln w="19050">
          <a:solidFill>
            <a:srgbClr val="eeece1">
              <a:lumMod val="50000"/>
            </a:srgbClr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17</xdr:col>
      <xdr:colOff>209520</xdr:colOff>
      <xdr:row>701</xdr:row>
      <xdr:rowOff>28440</xdr:rowOff>
    </xdr:from>
    <xdr:to>
      <xdr:col>17</xdr:col>
      <xdr:colOff>209520</xdr:colOff>
      <xdr:row>701</xdr:row>
      <xdr:rowOff>161640</xdr:rowOff>
    </xdr:to>
    <xdr:sp>
      <xdr:nvSpPr>
        <xdr:cNvPr id="400" name="Прямая соединительная линия 727"/>
        <xdr:cNvSpPr/>
      </xdr:nvSpPr>
      <xdr:spPr>
        <a:xfrm>
          <a:off x="9681120" y="11153520"/>
          <a:ext cx="0" cy="133200"/>
        </a:xfrm>
        <a:prstGeom prst="line">
          <a:avLst/>
        </a:prstGeom>
        <a:ln w="19050">
          <a:solidFill>
            <a:srgbClr val="eeece1">
              <a:lumMod val="50000"/>
            </a:srgbClr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6</xdr:col>
      <xdr:colOff>409320</xdr:colOff>
      <xdr:row>701</xdr:row>
      <xdr:rowOff>28440</xdr:rowOff>
    </xdr:from>
    <xdr:to>
      <xdr:col>17</xdr:col>
      <xdr:colOff>218880</xdr:colOff>
      <xdr:row>701</xdr:row>
      <xdr:rowOff>28440</xdr:rowOff>
    </xdr:to>
    <xdr:sp>
      <xdr:nvSpPr>
        <xdr:cNvPr id="401" name="Прямая соединительная линия 728"/>
        <xdr:cNvSpPr/>
      </xdr:nvSpPr>
      <xdr:spPr>
        <a:xfrm>
          <a:off x="7202880" y="11153520"/>
          <a:ext cx="2487600" cy="0"/>
        </a:xfrm>
        <a:prstGeom prst="line">
          <a:avLst/>
        </a:prstGeom>
        <a:ln w="19050">
          <a:solidFill>
            <a:srgbClr val="eeece1">
              <a:lumMod val="50000"/>
            </a:srgbClr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6</xdr:col>
      <xdr:colOff>419040</xdr:colOff>
      <xdr:row>701</xdr:row>
      <xdr:rowOff>142560</xdr:rowOff>
    </xdr:from>
    <xdr:to>
      <xdr:col>17</xdr:col>
      <xdr:colOff>228600</xdr:colOff>
      <xdr:row>701</xdr:row>
      <xdr:rowOff>142560</xdr:rowOff>
    </xdr:to>
    <xdr:sp>
      <xdr:nvSpPr>
        <xdr:cNvPr id="402" name="Прямая соединительная линия 729"/>
        <xdr:cNvSpPr/>
      </xdr:nvSpPr>
      <xdr:spPr>
        <a:xfrm>
          <a:off x="7212600" y="11267640"/>
          <a:ext cx="2487600" cy="0"/>
        </a:xfrm>
        <a:prstGeom prst="line">
          <a:avLst/>
        </a:prstGeom>
        <a:ln w="19050">
          <a:solidFill>
            <a:srgbClr val="eeece1">
              <a:lumMod val="50000"/>
            </a:srgbClr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11</xdr:col>
      <xdr:colOff>142560</xdr:colOff>
      <xdr:row>701</xdr:row>
      <xdr:rowOff>28440</xdr:rowOff>
    </xdr:from>
    <xdr:to>
      <xdr:col>11</xdr:col>
      <xdr:colOff>142560</xdr:colOff>
      <xdr:row>701</xdr:row>
      <xdr:rowOff>161640</xdr:rowOff>
    </xdr:to>
    <xdr:sp>
      <xdr:nvSpPr>
        <xdr:cNvPr id="403" name="Прямая соединительная линия 730"/>
        <xdr:cNvSpPr/>
      </xdr:nvSpPr>
      <xdr:spPr>
        <a:xfrm>
          <a:off x="8467200" y="11153520"/>
          <a:ext cx="0" cy="133200"/>
        </a:xfrm>
        <a:prstGeom prst="line">
          <a:avLst/>
        </a:prstGeom>
        <a:ln w="19050">
          <a:solidFill>
            <a:srgbClr val="eeece1">
              <a:lumMod val="50000"/>
            </a:srgbClr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17</xdr:col>
      <xdr:colOff>18360</xdr:colOff>
      <xdr:row>701</xdr:row>
      <xdr:rowOff>0</xdr:rowOff>
    </xdr:from>
    <xdr:to>
      <xdr:col>19</xdr:col>
      <xdr:colOff>122760</xdr:colOff>
      <xdr:row>701</xdr:row>
      <xdr:rowOff>360</xdr:rowOff>
    </xdr:to>
    <xdr:sp>
      <xdr:nvSpPr>
        <xdr:cNvPr id="404" name="Прямая со стрелкой 731"/>
        <xdr:cNvSpPr/>
      </xdr:nvSpPr>
      <xdr:spPr>
        <a:xfrm flipH="1">
          <a:off x="9489960" y="11125080"/>
          <a:ext cx="618120" cy="36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38100">
          <a:solidFill>
            <a:srgbClr val="4a7ebb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17</xdr:col>
      <xdr:colOff>228600</xdr:colOff>
      <xdr:row>701</xdr:row>
      <xdr:rowOff>57240</xdr:rowOff>
    </xdr:from>
    <xdr:to>
      <xdr:col>19</xdr:col>
      <xdr:colOff>104400</xdr:colOff>
      <xdr:row>701</xdr:row>
      <xdr:rowOff>57600</xdr:rowOff>
    </xdr:to>
    <xdr:sp>
      <xdr:nvSpPr>
        <xdr:cNvPr id="405" name="Прямая со стрелкой 732"/>
        <xdr:cNvSpPr/>
      </xdr:nvSpPr>
      <xdr:spPr>
        <a:xfrm flipH="1">
          <a:off x="9700200" y="11182320"/>
          <a:ext cx="389520" cy="36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38100">
          <a:solidFill>
            <a:srgbClr val="4a7ebb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6</xdr:col>
      <xdr:colOff>599760</xdr:colOff>
      <xdr:row>701</xdr:row>
      <xdr:rowOff>123480</xdr:rowOff>
    </xdr:from>
    <xdr:to>
      <xdr:col>10</xdr:col>
      <xdr:colOff>191160</xdr:colOff>
      <xdr:row>701</xdr:row>
      <xdr:rowOff>123480</xdr:rowOff>
    </xdr:to>
    <xdr:sp>
      <xdr:nvSpPr>
        <xdr:cNvPr id="406" name="Прямая соединительная линия 733"/>
        <xdr:cNvSpPr/>
      </xdr:nvSpPr>
      <xdr:spPr>
        <a:xfrm flipH="1">
          <a:off x="7393320" y="11248560"/>
          <a:ext cx="931320" cy="0"/>
        </a:xfrm>
        <a:prstGeom prst="line">
          <a:avLst/>
        </a:prstGeom>
        <a:ln w="38100">
          <a:solidFill>
            <a:srgbClr val="1f497d">
              <a:lumMod val="60000"/>
              <a:lumOff val="40000"/>
            </a:srgbClr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7</xdr:col>
      <xdr:colOff>9360</xdr:colOff>
      <xdr:row>701</xdr:row>
      <xdr:rowOff>0</xdr:rowOff>
    </xdr:from>
    <xdr:to>
      <xdr:col>7</xdr:col>
      <xdr:colOff>9360</xdr:colOff>
      <xdr:row>701</xdr:row>
      <xdr:rowOff>133200</xdr:rowOff>
    </xdr:to>
    <xdr:sp>
      <xdr:nvSpPr>
        <xdr:cNvPr id="407" name="Прямая соединительная линия 734"/>
        <xdr:cNvSpPr/>
      </xdr:nvSpPr>
      <xdr:spPr>
        <a:xfrm>
          <a:off x="7448040" y="11125080"/>
          <a:ext cx="0" cy="133200"/>
        </a:xfrm>
        <a:prstGeom prst="line">
          <a:avLst/>
        </a:prstGeom>
        <a:ln w="38100">
          <a:solidFill>
            <a:srgbClr val="1f497d">
              <a:lumMod val="60000"/>
              <a:lumOff val="40000"/>
            </a:srgbClr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6</xdr:col>
      <xdr:colOff>362160</xdr:colOff>
      <xdr:row>701</xdr:row>
      <xdr:rowOff>0</xdr:rowOff>
    </xdr:from>
    <xdr:to>
      <xdr:col>6</xdr:col>
      <xdr:colOff>362520</xdr:colOff>
      <xdr:row>701</xdr:row>
      <xdr:rowOff>75960</xdr:rowOff>
    </xdr:to>
    <xdr:sp>
      <xdr:nvSpPr>
        <xdr:cNvPr id="408" name="Прямая со стрелкой 735"/>
        <xdr:cNvSpPr/>
      </xdr:nvSpPr>
      <xdr:spPr>
        <a:xfrm flipV="1">
          <a:off x="7155360" y="11124360"/>
          <a:ext cx="360" cy="7596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000000"/>
          </a:solidFill>
          <a:round/>
          <a:headEnd len="med" type="arrow" w="med"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6</xdr:col>
      <xdr:colOff>590400</xdr:colOff>
      <xdr:row>701</xdr:row>
      <xdr:rowOff>76320</xdr:rowOff>
    </xdr:from>
    <xdr:to>
      <xdr:col>10</xdr:col>
      <xdr:colOff>123480</xdr:colOff>
      <xdr:row>701</xdr:row>
      <xdr:rowOff>76680</xdr:rowOff>
    </xdr:to>
    <xdr:sp>
      <xdr:nvSpPr>
        <xdr:cNvPr id="409" name="Прямая со стрелкой 736"/>
        <xdr:cNvSpPr/>
      </xdr:nvSpPr>
      <xdr:spPr>
        <a:xfrm>
          <a:off x="7383960" y="11201400"/>
          <a:ext cx="873000" cy="36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000000"/>
          </a:solidFill>
          <a:round/>
          <a:headEnd len="med" type="arrow" w="med"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4</xdr:col>
      <xdr:colOff>143280</xdr:colOff>
      <xdr:row>1074</xdr:row>
      <xdr:rowOff>9360</xdr:rowOff>
    </xdr:from>
    <xdr:to>
      <xdr:col>6</xdr:col>
      <xdr:colOff>581040</xdr:colOff>
      <xdr:row>1074</xdr:row>
      <xdr:rowOff>28080</xdr:rowOff>
    </xdr:to>
    <xdr:sp>
      <xdr:nvSpPr>
        <xdr:cNvPr id="410" name="Соединительная линия уступом 741"/>
        <xdr:cNvSpPr/>
      </xdr:nvSpPr>
      <xdr:spPr>
        <a:xfrm flipV="1">
          <a:off x="5585400" y="13283280"/>
          <a:ext cx="1788840" cy="18720"/>
        </a:xfrm>
        <a:prstGeom prst="bentConnector3">
          <a:avLst>
            <a:gd name="adj1" fmla="val 71667"/>
          </a:avLst>
        </a:prstGeom>
        <a:noFill/>
        <a:ln w="12700">
          <a:solidFill>
            <a:srgbClr val="000000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4</xdr:col>
      <xdr:colOff>276480</xdr:colOff>
      <xdr:row>1074</xdr:row>
      <xdr:rowOff>9360</xdr:rowOff>
    </xdr:from>
    <xdr:to>
      <xdr:col>6</xdr:col>
      <xdr:colOff>514080</xdr:colOff>
      <xdr:row>1074</xdr:row>
      <xdr:rowOff>47160</xdr:rowOff>
    </xdr:to>
    <xdr:sp>
      <xdr:nvSpPr>
        <xdr:cNvPr id="411" name="Соединительная линия уступом 742"/>
        <xdr:cNvSpPr/>
      </xdr:nvSpPr>
      <xdr:spPr>
        <a:xfrm flipV="1">
          <a:off x="5718600" y="13282560"/>
          <a:ext cx="1588680" cy="37800"/>
        </a:xfrm>
        <a:prstGeom prst="bentConnector3">
          <a:avLst>
            <a:gd name="adj1" fmla="val 50000"/>
          </a:avLst>
        </a:prstGeom>
        <a:noFill/>
        <a:ln w="12700">
          <a:solidFill>
            <a:srgbClr val="000000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4</xdr:col>
      <xdr:colOff>352440</xdr:colOff>
      <xdr:row>1074</xdr:row>
      <xdr:rowOff>28440</xdr:rowOff>
    </xdr:from>
    <xdr:to>
      <xdr:col>6</xdr:col>
      <xdr:colOff>590040</xdr:colOff>
      <xdr:row>1074</xdr:row>
      <xdr:rowOff>28800</xdr:rowOff>
    </xdr:to>
    <xdr:sp>
      <xdr:nvSpPr>
        <xdr:cNvPr id="412" name="Соединительная линия уступом 743"/>
        <xdr:cNvSpPr/>
      </xdr:nvSpPr>
      <xdr:spPr>
        <a:xfrm>
          <a:off x="5794920" y="13302360"/>
          <a:ext cx="1588680" cy="360"/>
        </a:xfrm>
        <a:prstGeom prst="bentConnector3">
          <a:avLst>
            <a:gd name="adj1" fmla="val 50000"/>
          </a:avLst>
        </a:prstGeom>
        <a:noFill/>
        <a:ln w="12700">
          <a:solidFill>
            <a:srgbClr val="000000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4</xdr:col>
      <xdr:colOff>381240</xdr:colOff>
      <xdr:row>1074</xdr:row>
      <xdr:rowOff>0</xdr:rowOff>
    </xdr:from>
    <xdr:to>
      <xdr:col>11</xdr:col>
      <xdr:colOff>95040</xdr:colOff>
      <xdr:row>1074</xdr:row>
      <xdr:rowOff>28080</xdr:rowOff>
    </xdr:to>
    <xdr:sp>
      <xdr:nvSpPr>
        <xdr:cNvPr id="413" name="Соединительная линия уступом 744"/>
        <xdr:cNvSpPr/>
      </xdr:nvSpPr>
      <xdr:spPr>
        <a:xfrm flipV="1">
          <a:off x="5823360" y="13273920"/>
          <a:ext cx="2595960" cy="28080"/>
        </a:xfrm>
        <a:prstGeom prst="bentConnector3">
          <a:avLst>
            <a:gd name="adj1" fmla="val 50000"/>
          </a:avLst>
        </a:prstGeom>
        <a:noFill/>
        <a:ln w="12700">
          <a:solidFill>
            <a:srgbClr val="000000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38160</xdr:colOff>
      <xdr:row>0</xdr:row>
      <xdr:rowOff>28440</xdr:rowOff>
    </xdr:from>
    <xdr:to>
      <xdr:col>1</xdr:col>
      <xdr:colOff>580680</xdr:colOff>
      <xdr:row>6</xdr:row>
      <xdr:rowOff>128160</xdr:rowOff>
    </xdr:to>
    <xdr:pic>
      <xdr:nvPicPr>
        <xdr:cNvPr id="414" name="Рисунок 1" descr="ico.png"/>
        <xdr:cNvPicPr/>
      </xdr:nvPicPr>
      <xdr:blipFill>
        <a:blip r:embed="rId1"/>
        <a:stretch/>
      </xdr:blipFill>
      <xdr:spPr>
        <a:xfrm>
          <a:off x="38160" y="28440"/>
          <a:ext cx="1359000" cy="118548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28440</xdr:colOff>
      <xdr:row>1</xdr:row>
      <xdr:rowOff>9360</xdr:rowOff>
    </xdr:from>
    <xdr:to>
      <xdr:col>1</xdr:col>
      <xdr:colOff>1358280</xdr:colOff>
      <xdr:row>7</xdr:row>
      <xdr:rowOff>9000</xdr:rowOff>
    </xdr:to>
    <xdr:pic>
      <xdr:nvPicPr>
        <xdr:cNvPr id="415" name="Рисунок 1" descr="ico.png"/>
        <xdr:cNvPicPr/>
      </xdr:nvPicPr>
      <xdr:blipFill>
        <a:blip r:embed="rId1"/>
        <a:stretch/>
      </xdr:blipFill>
      <xdr:spPr>
        <a:xfrm>
          <a:off x="78480" y="209160"/>
          <a:ext cx="1329840" cy="119988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38160</xdr:colOff>
      <xdr:row>1</xdr:row>
      <xdr:rowOff>47520</xdr:rowOff>
    </xdr:from>
    <xdr:to>
      <xdr:col>1</xdr:col>
      <xdr:colOff>1485720</xdr:colOff>
      <xdr:row>7</xdr:row>
      <xdr:rowOff>162720</xdr:rowOff>
    </xdr:to>
    <xdr:pic>
      <xdr:nvPicPr>
        <xdr:cNvPr id="416" name="Рисунок 1" descr="ico.png"/>
        <xdr:cNvPicPr/>
      </xdr:nvPicPr>
      <xdr:blipFill>
        <a:blip r:embed="rId1"/>
        <a:stretch/>
      </xdr:blipFill>
      <xdr:spPr>
        <a:xfrm>
          <a:off x="400680" y="247320"/>
          <a:ext cx="1447560" cy="130572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133200</xdr:colOff>
      <xdr:row>1</xdr:row>
      <xdr:rowOff>76320</xdr:rowOff>
    </xdr:from>
    <xdr:to>
      <xdr:col>1</xdr:col>
      <xdr:colOff>1281960</xdr:colOff>
      <xdr:row>7</xdr:row>
      <xdr:rowOff>75960</xdr:rowOff>
    </xdr:to>
    <xdr:pic>
      <xdr:nvPicPr>
        <xdr:cNvPr id="417" name="Рисунок 1" descr="ico.png"/>
        <xdr:cNvPicPr/>
      </xdr:nvPicPr>
      <xdr:blipFill>
        <a:blip r:embed="rId1"/>
        <a:stretch/>
      </xdr:blipFill>
      <xdr:spPr>
        <a:xfrm>
          <a:off x="133200" y="276120"/>
          <a:ext cx="1339560" cy="119988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9360</xdr:colOff>
      <xdr:row>0</xdr:row>
      <xdr:rowOff>171360</xdr:rowOff>
    </xdr:from>
    <xdr:to>
      <xdr:col>1</xdr:col>
      <xdr:colOff>1339200</xdr:colOff>
      <xdr:row>6</xdr:row>
      <xdr:rowOff>180360</xdr:rowOff>
    </xdr:to>
    <xdr:pic>
      <xdr:nvPicPr>
        <xdr:cNvPr id="418" name="Рисунок 1" descr="ico.png"/>
        <xdr:cNvPicPr/>
      </xdr:nvPicPr>
      <xdr:blipFill>
        <a:blip r:embed="rId1"/>
        <a:stretch/>
      </xdr:blipFill>
      <xdr:spPr>
        <a:xfrm>
          <a:off x="250560" y="171360"/>
          <a:ext cx="1329840" cy="119952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1</xdr:col>
      <xdr:colOff>0</xdr:colOff>
      <xdr:row>507</xdr:row>
      <xdr:rowOff>28440</xdr:rowOff>
    </xdr:from>
    <xdr:to>
      <xdr:col>1</xdr:col>
      <xdr:colOff>0</xdr:colOff>
      <xdr:row>510</xdr:row>
      <xdr:rowOff>190800</xdr:rowOff>
    </xdr:to>
    <xdr:sp>
      <xdr:nvSpPr>
        <xdr:cNvPr id="419" name="Прямая соединительная линия 1"/>
        <xdr:cNvSpPr/>
      </xdr:nvSpPr>
      <xdr:spPr>
        <a:xfrm>
          <a:off x="3013560" y="98707320"/>
          <a:ext cx="0" cy="73368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6</xdr:col>
      <xdr:colOff>18720</xdr:colOff>
      <xdr:row>504</xdr:row>
      <xdr:rowOff>28440</xdr:rowOff>
    </xdr:from>
    <xdr:to>
      <xdr:col>6</xdr:col>
      <xdr:colOff>18720</xdr:colOff>
      <xdr:row>510</xdr:row>
      <xdr:rowOff>152280</xdr:rowOff>
    </xdr:to>
    <xdr:sp>
      <xdr:nvSpPr>
        <xdr:cNvPr id="420" name="Прямая соединительная линия 2"/>
        <xdr:cNvSpPr/>
      </xdr:nvSpPr>
      <xdr:spPr>
        <a:xfrm>
          <a:off x="11055600" y="98135640"/>
          <a:ext cx="0" cy="126684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</xdr:col>
      <xdr:colOff>0</xdr:colOff>
      <xdr:row>510</xdr:row>
      <xdr:rowOff>161640</xdr:rowOff>
    </xdr:from>
    <xdr:to>
      <xdr:col>8</xdr:col>
      <xdr:colOff>28440</xdr:colOff>
      <xdr:row>510</xdr:row>
      <xdr:rowOff>161640</xdr:rowOff>
    </xdr:to>
    <xdr:sp>
      <xdr:nvSpPr>
        <xdr:cNvPr id="421" name="Прямая соединительная линия 3"/>
        <xdr:cNvSpPr/>
      </xdr:nvSpPr>
      <xdr:spPr>
        <a:xfrm>
          <a:off x="3013560" y="99411840"/>
          <a:ext cx="9936360" cy="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0</xdr:col>
      <xdr:colOff>171360</xdr:colOff>
      <xdr:row>504</xdr:row>
      <xdr:rowOff>37800</xdr:rowOff>
    </xdr:from>
    <xdr:to>
      <xdr:col>6</xdr:col>
      <xdr:colOff>18720</xdr:colOff>
      <xdr:row>507</xdr:row>
      <xdr:rowOff>47520</xdr:rowOff>
    </xdr:to>
    <xdr:sp>
      <xdr:nvSpPr>
        <xdr:cNvPr id="422" name="Прямая соединительная линия 4"/>
        <xdr:cNvSpPr/>
      </xdr:nvSpPr>
      <xdr:spPr>
        <a:xfrm flipH="1">
          <a:off x="171360" y="98145000"/>
          <a:ext cx="10884240" cy="58140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12</xdr:col>
      <xdr:colOff>18720</xdr:colOff>
      <xdr:row>506</xdr:row>
      <xdr:rowOff>0</xdr:rowOff>
    </xdr:from>
    <xdr:to>
      <xdr:col>12</xdr:col>
      <xdr:colOff>18720</xdr:colOff>
      <xdr:row>510</xdr:row>
      <xdr:rowOff>161640</xdr:rowOff>
    </xdr:to>
    <xdr:sp>
      <xdr:nvSpPr>
        <xdr:cNvPr id="423" name="Прямая соединительная линия 5"/>
        <xdr:cNvSpPr/>
      </xdr:nvSpPr>
      <xdr:spPr>
        <a:xfrm>
          <a:off x="19452240" y="98488440"/>
          <a:ext cx="0" cy="92340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19</xdr:col>
      <xdr:colOff>28440</xdr:colOff>
      <xdr:row>502</xdr:row>
      <xdr:rowOff>47520</xdr:rowOff>
    </xdr:from>
    <xdr:to>
      <xdr:col>19</xdr:col>
      <xdr:colOff>28440</xdr:colOff>
      <xdr:row>510</xdr:row>
      <xdr:rowOff>152280</xdr:rowOff>
    </xdr:to>
    <xdr:sp>
      <xdr:nvSpPr>
        <xdr:cNvPr id="424" name="Прямая соединительная линия 6"/>
        <xdr:cNvSpPr/>
      </xdr:nvSpPr>
      <xdr:spPr>
        <a:xfrm>
          <a:off x="32083200" y="97773840"/>
          <a:ext cx="0" cy="162864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12</xdr:col>
      <xdr:colOff>18720</xdr:colOff>
      <xdr:row>510</xdr:row>
      <xdr:rowOff>142560</xdr:rowOff>
    </xdr:from>
    <xdr:to>
      <xdr:col>19</xdr:col>
      <xdr:colOff>47520</xdr:colOff>
      <xdr:row>510</xdr:row>
      <xdr:rowOff>142560</xdr:rowOff>
    </xdr:to>
    <xdr:sp>
      <xdr:nvSpPr>
        <xdr:cNvPr id="425" name="Прямая соединительная линия 7"/>
        <xdr:cNvSpPr/>
      </xdr:nvSpPr>
      <xdr:spPr>
        <a:xfrm>
          <a:off x="19452240" y="99392760"/>
          <a:ext cx="12650040" cy="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15</xdr:col>
      <xdr:colOff>28440</xdr:colOff>
      <xdr:row>502</xdr:row>
      <xdr:rowOff>66600</xdr:rowOff>
    </xdr:from>
    <xdr:to>
      <xdr:col>19</xdr:col>
      <xdr:colOff>37800</xdr:colOff>
      <xdr:row>502</xdr:row>
      <xdr:rowOff>66600</xdr:rowOff>
    </xdr:to>
    <xdr:sp>
      <xdr:nvSpPr>
        <xdr:cNvPr id="426" name="Прямая соединительная линия 8"/>
        <xdr:cNvSpPr/>
      </xdr:nvSpPr>
      <xdr:spPr>
        <a:xfrm>
          <a:off x="26024400" y="97792920"/>
          <a:ext cx="6068160" cy="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12</xdr:col>
      <xdr:colOff>18720</xdr:colOff>
      <xdr:row>502</xdr:row>
      <xdr:rowOff>75960</xdr:rowOff>
    </xdr:from>
    <xdr:to>
      <xdr:col>15</xdr:col>
      <xdr:colOff>28440</xdr:colOff>
      <xdr:row>506</xdr:row>
      <xdr:rowOff>18720</xdr:rowOff>
    </xdr:to>
    <xdr:sp>
      <xdr:nvSpPr>
        <xdr:cNvPr id="427" name="Прямая соединительная линия 9"/>
        <xdr:cNvSpPr/>
      </xdr:nvSpPr>
      <xdr:spPr>
        <a:xfrm flipV="1">
          <a:off x="19452240" y="97802280"/>
          <a:ext cx="6572160" cy="70488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</xdr:col>
      <xdr:colOff>9360</xdr:colOff>
      <xdr:row>494</xdr:row>
      <xdr:rowOff>28440</xdr:rowOff>
    </xdr:from>
    <xdr:to>
      <xdr:col>1</xdr:col>
      <xdr:colOff>9360</xdr:colOff>
      <xdr:row>501</xdr:row>
      <xdr:rowOff>9360</xdr:rowOff>
    </xdr:to>
    <xdr:sp>
      <xdr:nvSpPr>
        <xdr:cNvPr id="428" name="Прямая соединительная линия 10"/>
        <xdr:cNvSpPr/>
      </xdr:nvSpPr>
      <xdr:spPr>
        <a:xfrm>
          <a:off x="3022920" y="96230880"/>
          <a:ext cx="0" cy="13143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</xdr:col>
      <xdr:colOff>0</xdr:colOff>
      <xdr:row>500</xdr:row>
      <xdr:rowOff>161640</xdr:rowOff>
    </xdr:from>
    <xdr:to>
      <xdr:col>6</xdr:col>
      <xdr:colOff>18720</xdr:colOff>
      <xdr:row>500</xdr:row>
      <xdr:rowOff>161640</xdr:rowOff>
    </xdr:to>
    <xdr:sp>
      <xdr:nvSpPr>
        <xdr:cNvPr id="429" name="Прямая соединительная линия 11"/>
        <xdr:cNvSpPr/>
      </xdr:nvSpPr>
      <xdr:spPr>
        <a:xfrm>
          <a:off x="3013560" y="97507080"/>
          <a:ext cx="8042040" cy="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</xdr:col>
      <xdr:colOff>0</xdr:colOff>
      <xdr:row>494</xdr:row>
      <xdr:rowOff>28440</xdr:rowOff>
    </xdr:from>
    <xdr:to>
      <xdr:col>6</xdr:col>
      <xdr:colOff>18720</xdr:colOff>
      <xdr:row>494</xdr:row>
      <xdr:rowOff>28440</xdr:rowOff>
    </xdr:to>
    <xdr:sp>
      <xdr:nvSpPr>
        <xdr:cNvPr id="430" name="Прямая соединительная линия 12"/>
        <xdr:cNvSpPr/>
      </xdr:nvSpPr>
      <xdr:spPr>
        <a:xfrm>
          <a:off x="3013560" y="96230880"/>
          <a:ext cx="8042040" cy="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6</xdr:col>
      <xdr:colOff>0</xdr:colOff>
      <xdr:row>494</xdr:row>
      <xdr:rowOff>18720</xdr:rowOff>
    </xdr:from>
    <xdr:to>
      <xdr:col>6</xdr:col>
      <xdr:colOff>0</xdr:colOff>
      <xdr:row>500</xdr:row>
      <xdr:rowOff>190440</xdr:rowOff>
    </xdr:to>
    <xdr:sp>
      <xdr:nvSpPr>
        <xdr:cNvPr id="431" name="Прямая соединительная линия 13"/>
        <xdr:cNvSpPr/>
      </xdr:nvSpPr>
      <xdr:spPr>
        <a:xfrm>
          <a:off x="11036880" y="96221160"/>
          <a:ext cx="0" cy="131472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8</xdr:col>
      <xdr:colOff>56520</xdr:colOff>
      <xdr:row>495</xdr:row>
      <xdr:rowOff>0</xdr:rowOff>
    </xdr:from>
    <xdr:to>
      <xdr:col>9</xdr:col>
      <xdr:colOff>122760</xdr:colOff>
      <xdr:row>496</xdr:row>
      <xdr:rowOff>75960</xdr:rowOff>
    </xdr:to>
    <xdr:sp>
      <xdr:nvSpPr>
        <xdr:cNvPr id="432" name="Стрелка вправо 14"/>
        <xdr:cNvSpPr/>
      </xdr:nvSpPr>
      <xdr:spPr>
        <a:xfrm flipH="1">
          <a:off x="12978000" y="96392880"/>
          <a:ext cx="2999160" cy="266400"/>
        </a:xfrm>
        <a:prstGeom prst="rightArrow">
          <a:avLst>
            <a:gd name="adj1" fmla="val 50000"/>
            <a:gd name="adj2" fmla="val 50000"/>
          </a:avLst>
        </a:prstGeom>
        <a:solidFill>
          <a:srgbClr val="4f81bd"/>
        </a:solidFill>
        <a:ln>
          <a:solidFill>
            <a:srgbClr val="3a5f8b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9</xdr:col>
      <xdr:colOff>161640</xdr:colOff>
      <xdr:row>131</xdr:row>
      <xdr:rowOff>104760</xdr:rowOff>
    </xdr:from>
    <xdr:to>
      <xdr:col>10</xdr:col>
      <xdr:colOff>161640</xdr:colOff>
      <xdr:row>131</xdr:row>
      <xdr:rowOff>139680</xdr:rowOff>
    </xdr:to>
    <xdr:sp>
      <xdr:nvSpPr>
        <xdr:cNvPr id="433" name="Прямая соединительная линия 1"/>
        <xdr:cNvSpPr/>
      </xdr:nvSpPr>
      <xdr:spPr>
        <a:xfrm flipH="1">
          <a:off x="8940960" y="26498520"/>
          <a:ext cx="612000" cy="3492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drawing" Target="../drawings/drawing8.xml"/>
</Relationships>
</file>

<file path=xl/worksheets/_rels/sheet16.xml.rels><?xml version="1.0" encoding="UTF-8"?>
<Relationships xmlns="http://schemas.openxmlformats.org/package/2006/relationships"><Relationship Id="rId1" Type="http://schemas.openxmlformats.org/officeDocument/2006/relationships/drawing" Target="../drawings/drawing9.xml"/>
</Relationships>
</file>

<file path=xl/worksheets/_rels/sheet17.xml.rels><?xml version="1.0" encoding="UTF-8"?>
<Relationships xmlns="http://schemas.openxmlformats.org/package/2006/relationships"><Relationship Id="rId1" Type="http://schemas.openxmlformats.org/officeDocument/2006/relationships/drawing" Target="../drawings/drawing10.xml"/>
</Relationships>
</file>

<file path=xl/worksheets/_rels/sheet18.xml.rels><?xml version="1.0" encoding="UTF-8"?>
<Relationships xmlns="http://schemas.openxmlformats.org/package/2006/relationships"><Relationship Id="rId1" Type="http://schemas.openxmlformats.org/officeDocument/2006/relationships/drawing" Target="../drawings/drawing1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R3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O5" activeCellId="0" sqref="O5"/>
    </sheetView>
  </sheetViews>
  <sheetFormatPr defaultColWidth="9.15625" defaultRowHeight="15" zeroHeight="false" outlineLevelRow="0" outlineLevelCol="0"/>
  <cols>
    <col collapsed="false" customWidth="true" hidden="false" outlineLevel="0" max="1" min="1" style="1" width="3.86"/>
    <col collapsed="false" customWidth="true" hidden="false" outlineLevel="0" max="2" min="2" style="1" width="19.71"/>
    <col collapsed="false" customWidth="false" hidden="false" outlineLevel="0" max="1024" min="3" style="1" width="9.14"/>
  </cols>
  <sheetData>
    <row r="1" customFormat="false" ht="15" hidden="false" customHeight="true" outlineLevel="0" collapsed="false">
      <c r="A1" s="2"/>
      <c r="B1" s="2"/>
      <c r="C1" s="3"/>
      <c r="D1" s="4" t="s">
        <v>0</v>
      </c>
      <c r="E1" s="4"/>
      <c r="F1" s="4"/>
      <c r="G1" s="4"/>
      <c r="H1" s="4"/>
      <c r="I1" s="4"/>
      <c r="J1" s="4"/>
      <c r="K1" s="4"/>
      <c r="L1" s="4"/>
      <c r="M1" s="4"/>
    </row>
    <row r="2" customFormat="false" ht="15" hidden="false" customHeight="true" outlineLevel="0" collapsed="false">
      <c r="A2" s="2"/>
      <c r="B2" s="2"/>
      <c r="C2" s="3"/>
      <c r="D2" s="4"/>
      <c r="E2" s="4"/>
      <c r="F2" s="4"/>
      <c r="G2" s="4"/>
      <c r="H2" s="4"/>
      <c r="I2" s="4"/>
      <c r="J2" s="4"/>
      <c r="K2" s="4"/>
      <c r="L2" s="4"/>
      <c r="M2" s="4"/>
    </row>
    <row r="3" customFormat="false" ht="15" hidden="false" customHeight="true" outlineLevel="0" collapsed="false">
      <c r="A3" s="2"/>
      <c r="B3" s="2"/>
      <c r="C3" s="5"/>
      <c r="D3" s="6" t="s">
        <v>1</v>
      </c>
      <c r="E3" s="6"/>
      <c r="F3" s="6"/>
      <c r="G3" s="6"/>
      <c r="H3" s="6"/>
      <c r="I3" s="6"/>
      <c r="J3" s="6"/>
      <c r="K3" s="6"/>
      <c r="L3" s="6"/>
      <c r="M3" s="6"/>
      <c r="N3" s="7"/>
      <c r="O3" s="7"/>
      <c r="P3" s="7"/>
      <c r="Q3" s="7"/>
      <c r="R3" s="7"/>
    </row>
    <row r="4" customFormat="false" ht="15" hidden="false" customHeight="true" outlineLevel="0" collapsed="false">
      <c r="A4" s="2"/>
      <c r="B4" s="2"/>
      <c r="C4" s="5"/>
      <c r="D4" s="6"/>
      <c r="E4" s="6"/>
      <c r="F4" s="6"/>
      <c r="G4" s="6"/>
      <c r="H4" s="6"/>
      <c r="I4" s="6"/>
      <c r="J4" s="6"/>
      <c r="K4" s="6"/>
      <c r="L4" s="6"/>
      <c r="M4" s="6"/>
      <c r="N4" s="7"/>
      <c r="O4" s="7"/>
      <c r="P4" s="7"/>
      <c r="Q4" s="7"/>
      <c r="R4" s="7"/>
    </row>
    <row r="5" customFormat="false" ht="18.75" hidden="false" customHeight="true" outlineLevel="0" collapsed="false">
      <c r="A5" s="2"/>
      <c r="B5" s="2"/>
      <c r="C5" s="5"/>
      <c r="D5" s="6"/>
      <c r="E5" s="6"/>
      <c r="F5" s="6"/>
      <c r="G5" s="6"/>
      <c r="H5" s="6"/>
      <c r="I5" s="6"/>
      <c r="J5" s="6"/>
      <c r="K5" s="6"/>
      <c r="L5" s="6"/>
      <c r="M5" s="6"/>
      <c r="N5" s="7"/>
      <c r="O5" s="7"/>
      <c r="P5" s="7"/>
      <c r="Q5" s="7"/>
      <c r="R5" s="7"/>
    </row>
    <row r="6" customFormat="false" ht="15" hidden="false" customHeight="true" outlineLevel="0" collapsed="false">
      <c r="A6" s="2"/>
      <c r="B6" s="2"/>
      <c r="C6" s="5"/>
      <c r="D6" s="6"/>
      <c r="E6" s="6"/>
      <c r="F6" s="6"/>
      <c r="G6" s="6"/>
      <c r="H6" s="6"/>
      <c r="I6" s="6"/>
      <c r="J6" s="6"/>
      <c r="K6" s="6"/>
      <c r="L6" s="6"/>
      <c r="M6" s="6"/>
      <c r="N6" s="7"/>
      <c r="O6" s="7"/>
      <c r="P6" s="7"/>
      <c r="Q6" s="7"/>
      <c r="R6" s="7"/>
    </row>
    <row r="7" customFormat="false" ht="15" hidden="false" customHeight="true" outlineLevel="0" collapsed="false">
      <c r="A7" s="2"/>
      <c r="B7" s="2"/>
      <c r="C7" s="5"/>
      <c r="D7" s="6"/>
      <c r="E7" s="6"/>
      <c r="F7" s="6"/>
      <c r="G7" s="6"/>
      <c r="H7" s="6"/>
      <c r="I7" s="6"/>
      <c r="J7" s="6"/>
      <c r="K7" s="6"/>
      <c r="L7" s="6"/>
      <c r="M7" s="6"/>
      <c r="N7" s="7"/>
      <c r="O7" s="7"/>
      <c r="P7" s="7"/>
      <c r="Q7" s="7"/>
      <c r="R7" s="7"/>
    </row>
    <row r="8" customFormat="false" ht="18.75" hidden="false" customHeight="true" outlineLevel="0" collapsed="false">
      <c r="A8" s="2"/>
      <c r="B8" s="2"/>
      <c r="C8" s="5"/>
      <c r="D8" s="6" t="s">
        <v>2</v>
      </c>
      <c r="E8" s="6"/>
      <c r="F8" s="6"/>
      <c r="G8" s="6"/>
      <c r="H8" s="6"/>
      <c r="I8" s="6"/>
      <c r="J8" s="6"/>
      <c r="K8" s="6"/>
      <c r="L8" s="6"/>
      <c r="M8" s="6"/>
      <c r="N8" s="7"/>
      <c r="O8" s="7"/>
      <c r="P8" s="7"/>
      <c r="Q8" s="7"/>
      <c r="R8" s="7"/>
    </row>
    <row r="9" customFormat="false" ht="18.75" hidden="false" customHeight="true" outlineLevel="0" collapsed="false">
      <c r="A9" s="2"/>
      <c r="B9" s="2"/>
      <c r="C9" s="5"/>
      <c r="D9" s="6"/>
      <c r="E9" s="6"/>
      <c r="F9" s="6"/>
      <c r="G9" s="6"/>
      <c r="H9" s="6"/>
      <c r="I9" s="6"/>
      <c r="J9" s="6"/>
      <c r="K9" s="6"/>
      <c r="L9" s="6"/>
      <c r="M9" s="6"/>
      <c r="N9" s="7"/>
      <c r="O9" s="7"/>
      <c r="P9" s="7"/>
      <c r="Q9" s="7"/>
      <c r="R9" s="7"/>
    </row>
    <row r="10" customFormat="false" ht="18.75" hidden="false" customHeight="true" outlineLevel="0" collapsed="false">
      <c r="A10" s="2"/>
      <c r="B10" s="2"/>
      <c r="C10" s="5"/>
      <c r="D10" s="6" t="s">
        <v>3</v>
      </c>
      <c r="E10" s="6"/>
      <c r="F10" s="6"/>
      <c r="G10" s="6"/>
      <c r="H10" s="6"/>
      <c r="I10" s="6"/>
      <c r="J10" s="6"/>
      <c r="K10" s="6"/>
      <c r="L10" s="6"/>
      <c r="M10" s="6"/>
      <c r="N10" s="7"/>
      <c r="O10" s="7"/>
      <c r="P10" s="7"/>
      <c r="Q10" s="7"/>
      <c r="R10" s="7"/>
    </row>
    <row r="11" customFormat="false" ht="18.75" hidden="false" customHeight="true" outlineLevel="0" collapsed="false">
      <c r="A11" s="2"/>
      <c r="B11" s="2"/>
      <c r="C11" s="5"/>
      <c r="D11" s="6" t="s">
        <v>4</v>
      </c>
      <c r="E11" s="6"/>
      <c r="F11" s="6"/>
      <c r="G11" s="6"/>
      <c r="H11" s="6"/>
      <c r="I11" s="6"/>
      <c r="J11" s="6"/>
      <c r="K11" s="6"/>
      <c r="L11" s="6"/>
      <c r="M11" s="6"/>
      <c r="N11" s="7"/>
      <c r="O11" s="7"/>
      <c r="P11" s="7"/>
      <c r="Q11" s="7"/>
      <c r="R11" s="7"/>
    </row>
    <row r="12" customFormat="false" ht="18.75" hidden="false" customHeight="true" outlineLevel="0" collapsed="false">
      <c r="A12" s="2"/>
      <c r="B12" s="2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7"/>
      <c r="O12" s="7"/>
      <c r="P12" s="7"/>
      <c r="Q12" s="7"/>
      <c r="R12" s="7"/>
    </row>
    <row r="13" customFormat="false" ht="18.75" hidden="false" customHeight="true" outlineLevel="0" collapsed="false">
      <c r="A13" s="2"/>
      <c r="B13" s="2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7"/>
      <c r="O13" s="7"/>
      <c r="P13" s="7"/>
      <c r="Q13" s="7"/>
      <c r="R13" s="7"/>
    </row>
    <row r="14" customFormat="false" ht="18.75" hidden="false" customHeight="true" outlineLevel="0" collapsed="false">
      <c r="A14" s="2"/>
      <c r="B14" s="2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7"/>
      <c r="O14" s="7"/>
      <c r="P14" s="7"/>
      <c r="Q14" s="7"/>
      <c r="R14" s="7"/>
    </row>
    <row r="15" customFormat="false" ht="18.75" hidden="false" customHeight="true" outlineLevel="0" collapsed="false">
      <c r="A15" s="2"/>
      <c r="B15" s="2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7"/>
      <c r="O15" s="7"/>
      <c r="P15" s="7"/>
      <c r="Q15" s="7"/>
      <c r="R15" s="7"/>
    </row>
    <row r="16" customFormat="false" ht="18.75" hidden="false" customHeight="true" outlineLevel="0" collapsed="false">
      <c r="A16" s="2"/>
      <c r="B16" s="2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7"/>
      <c r="O16" s="7"/>
      <c r="P16" s="7"/>
      <c r="Q16" s="7"/>
      <c r="R16" s="7"/>
    </row>
    <row r="17" customFormat="false" ht="18.75" hidden="false" customHeight="true" outlineLevel="0" collapsed="false">
      <c r="A17" s="2"/>
      <c r="B17" s="2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7"/>
      <c r="O17" s="7"/>
      <c r="P17" s="7"/>
      <c r="Q17" s="7"/>
      <c r="R17" s="7"/>
    </row>
    <row r="18" customFormat="false" ht="15" hidden="false" customHeight="true" outlineLevel="0" collapsed="false">
      <c r="A18" s="2"/>
      <c r="B18" s="2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7"/>
      <c r="O18" s="7"/>
      <c r="P18" s="7"/>
      <c r="Q18" s="7"/>
      <c r="R18" s="7"/>
    </row>
    <row r="19" customFormat="false" ht="15" hidden="false" customHeight="true" outlineLevel="0" collapsed="false">
      <c r="A19" s="2"/>
      <c r="B19" s="2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</row>
    <row r="20" customFormat="false" ht="15" hidden="false" customHeight="true" outlineLevel="0" collapsed="false">
      <c r="A20" s="2"/>
      <c r="B20" s="2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</row>
    <row r="21" customFormat="false" ht="15" hidden="false" customHeight="true" outlineLevel="0" collapsed="false">
      <c r="A21" s="2"/>
      <c r="B21" s="2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</row>
    <row r="22" customFormat="false" ht="15" hidden="false" customHeight="true" outlineLevel="0" collapsed="false">
      <c r="A22" s="2"/>
      <c r="B22" s="2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</row>
    <row r="23" customFormat="false" ht="15" hidden="false" customHeight="true" outlineLevel="0" collapsed="false">
      <c r="A23" s="2"/>
      <c r="B23" s="2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</row>
    <row r="24" customFormat="false" ht="15" hidden="false" customHeight="false" outlineLevel="0" collapsed="false">
      <c r="A24" s="2"/>
      <c r="B24" s="2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</row>
    <row r="25" customFormat="false" ht="15" hidden="false" customHeight="false" outlineLevel="0" collapsed="false">
      <c r="A25" s="2"/>
      <c r="B25" s="2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</row>
    <row r="26" customFormat="false" ht="15" hidden="false" customHeight="false" outlineLevel="0" collapsed="false">
      <c r="A26" s="2"/>
      <c r="B26" s="2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</row>
    <row r="27" customFormat="false" ht="15" hidden="false" customHeight="false" outlineLevel="0" collapsed="false">
      <c r="A27" s="2"/>
      <c r="B27" s="2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</row>
    <row r="28" customFormat="false" ht="15" hidden="false" customHeight="false" outlineLevel="0" collapsed="false">
      <c r="A28" s="2"/>
      <c r="B28" s="2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</row>
    <row r="29" customFormat="false" ht="15" hidden="false" customHeight="true" outlineLevel="0" collapsed="false">
      <c r="A29" s="2"/>
      <c r="B29" s="9" t="s">
        <v>5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</row>
    <row r="30" customFormat="false" ht="15" hidden="false" customHeight="false" outlineLevel="0" collapsed="false">
      <c r="A30" s="2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</row>
    <row r="31" customFormat="false" ht="15" hidden="false" customHeight="false" outlineLevel="0" collapsed="false">
      <c r="A31" s="2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</row>
  </sheetData>
  <sheetProtection sheet="true" password="ebed" objects="true" scenarios="true"/>
  <mergeCells count="6">
    <mergeCell ref="D1:M2"/>
    <mergeCell ref="D3:M7"/>
    <mergeCell ref="D8:M9"/>
    <mergeCell ref="D10:M10"/>
    <mergeCell ref="D11:M11"/>
    <mergeCell ref="B29:M31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00B0F0"/>
    <pageSetUpPr fitToPage="false"/>
  </sheetPr>
  <dimension ref="A1:BF1462"/>
  <sheetViews>
    <sheetView showFormulas="false" showGridLines="true" showRowColHeaders="true" showZeros="true" rightToLeft="false" tabSelected="false" showOutlineSymbols="true" defaultGridColor="true" view="normal" topLeftCell="A7" colorId="64" zoomScale="110" zoomScaleNormal="110" zoomScalePageLayoutView="100" workbookViewId="0">
      <selection pane="topLeft" activeCell="C25" activeCellId="0" sqref="C25"/>
    </sheetView>
  </sheetViews>
  <sheetFormatPr defaultColWidth="9.15625" defaultRowHeight="14.1" zeroHeight="false" outlineLevelRow="1" outlineLevelCol="0"/>
  <cols>
    <col collapsed="false" customWidth="true" hidden="false" outlineLevel="0" max="1" min="1" style="10" width="45.14"/>
    <col collapsed="false" customWidth="true" hidden="false" outlineLevel="0" max="2" min="2" style="11" width="9.29"/>
    <col collapsed="false" customWidth="true" hidden="false" outlineLevel="0" max="3" min="3" style="10" width="10.99"/>
    <col collapsed="false" customWidth="true" hidden="false" outlineLevel="0" max="4" min="4" style="10" width="11.71"/>
    <col collapsed="false" customWidth="true" hidden="false" outlineLevel="0" max="6" min="5" style="10" width="9.58"/>
    <col collapsed="false" customWidth="false" hidden="false" outlineLevel="0" max="7" min="7" style="10" width="9.14"/>
    <col collapsed="false" customWidth="true" hidden="false" outlineLevel="0" max="8" min="8" style="10" width="4.43"/>
    <col collapsed="false" customWidth="true" hidden="false" outlineLevel="0" max="17" min="9" style="10" width="2.71"/>
    <col collapsed="false" customWidth="true" hidden="false" outlineLevel="0" max="18" min="18" style="10" width="4.57"/>
    <col collapsed="false" customWidth="true" hidden="false" outlineLevel="0" max="20" min="19" style="10" width="2.71"/>
    <col collapsed="false" customWidth="true" hidden="false" outlineLevel="0" max="21" min="21" style="10" width="4.29"/>
    <col collapsed="false" customWidth="true" hidden="false" outlineLevel="0" max="33" min="22" style="10" width="2.71"/>
    <col collapsed="false" customWidth="true" hidden="false" outlineLevel="0" max="34" min="34" style="10" width="4.57"/>
    <col collapsed="false" customWidth="true" hidden="false" outlineLevel="0" max="40" min="35" style="10" width="2.71"/>
    <col collapsed="false" customWidth="true" hidden="false" outlineLevel="0" max="42" min="41" style="12" width="2.71"/>
    <col collapsed="false" customWidth="true" hidden="false" outlineLevel="0" max="44" min="43" style="13" width="2.71"/>
    <col collapsed="false" customWidth="false" hidden="false" outlineLevel="0" max="58" min="45" style="13" width="9.14"/>
    <col collapsed="false" customWidth="false" hidden="false" outlineLevel="0" max="1024" min="59" style="10" width="9.14"/>
  </cols>
  <sheetData>
    <row r="1" customFormat="false" ht="14.1" hidden="false" customHeight="true" outlineLevel="0" collapsed="false">
      <c r="A1" s="14"/>
      <c r="B1" s="14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6"/>
      <c r="AJ1" s="16"/>
      <c r="AK1" s="16"/>
      <c r="AL1" s="16"/>
      <c r="AM1" s="16"/>
      <c r="AN1" s="16"/>
      <c r="AO1" s="16"/>
      <c r="AP1" s="17"/>
      <c r="AQ1" s="18"/>
      <c r="AR1" s="18"/>
      <c r="AS1" s="18"/>
      <c r="AT1" s="19"/>
      <c r="AU1" s="19"/>
      <c r="AV1" s="19"/>
      <c r="AW1" s="19"/>
      <c r="AX1" s="19"/>
      <c r="AY1" s="19"/>
      <c r="AZ1" s="20"/>
      <c r="BA1" s="20"/>
      <c r="BB1" s="20"/>
      <c r="BC1" s="21"/>
      <c r="BD1" s="21"/>
      <c r="BE1" s="21"/>
    </row>
    <row r="2" customFormat="false" ht="14.1" hidden="false" customHeight="true" outlineLevel="0" collapsed="false">
      <c r="A2" s="14"/>
      <c r="B2" s="22" t="s">
        <v>6</v>
      </c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  <c r="AA2" s="23"/>
      <c r="AB2" s="23"/>
      <c r="AC2" s="23"/>
      <c r="AD2" s="24"/>
      <c r="AE2" s="24"/>
      <c r="AF2" s="24"/>
      <c r="AG2" s="24"/>
      <c r="AH2" s="24"/>
      <c r="AI2" s="25"/>
      <c r="AJ2" s="16"/>
      <c r="AK2" s="16"/>
      <c r="AL2" s="16"/>
      <c r="AM2" s="16"/>
      <c r="AN2" s="16"/>
      <c r="AO2" s="16"/>
      <c r="AP2" s="17"/>
      <c r="AQ2" s="18"/>
      <c r="AR2" s="18"/>
      <c r="AS2" s="18"/>
      <c r="AT2" s="19"/>
      <c r="AU2" s="19"/>
      <c r="AV2" s="19"/>
      <c r="AW2" s="19"/>
      <c r="AX2" s="19"/>
      <c r="AY2" s="19"/>
      <c r="AZ2" s="20"/>
      <c r="BA2" s="20"/>
      <c r="BB2" s="20"/>
      <c r="BC2" s="21"/>
      <c r="BD2" s="21"/>
      <c r="BE2" s="21"/>
    </row>
    <row r="3" customFormat="false" ht="14.1" hidden="false" customHeight="true" outlineLevel="0" collapsed="false">
      <c r="A3" s="26"/>
      <c r="B3" s="22" t="s">
        <v>7</v>
      </c>
      <c r="C3" s="27"/>
      <c r="D3" s="27"/>
      <c r="E3" s="27"/>
      <c r="F3" s="27"/>
      <c r="G3" s="28"/>
      <c r="H3" s="29"/>
      <c r="I3" s="29"/>
      <c r="J3" s="29"/>
      <c r="K3" s="29"/>
      <c r="L3" s="29"/>
      <c r="M3" s="29"/>
      <c r="N3" s="29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  <c r="AD3" s="24"/>
      <c r="AE3" s="24"/>
      <c r="AF3" s="24"/>
      <c r="AG3" s="24"/>
      <c r="AH3" s="24"/>
      <c r="AI3" s="25"/>
      <c r="AJ3" s="30"/>
      <c r="AK3" s="30"/>
      <c r="AL3" s="31"/>
      <c r="AM3" s="31"/>
      <c r="AN3" s="31"/>
      <c r="AO3" s="32"/>
      <c r="AP3" s="32"/>
      <c r="AQ3" s="33"/>
      <c r="AR3" s="33"/>
      <c r="AS3" s="33"/>
      <c r="AT3" s="34"/>
      <c r="AU3" s="34"/>
      <c r="AV3" s="34"/>
      <c r="AW3" s="34"/>
      <c r="AX3" s="34"/>
      <c r="AY3" s="34"/>
      <c r="AZ3" s="21"/>
      <c r="BA3" s="21"/>
      <c r="BB3" s="21"/>
      <c r="BC3" s="21"/>
      <c r="BD3" s="21"/>
      <c r="BE3" s="21"/>
    </row>
    <row r="4" customFormat="false" ht="14.1" hidden="false" customHeight="true" outlineLevel="0" collapsed="false">
      <c r="A4" s="26"/>
      <c r="B4" s="22" t="s">
        <v>8</v>
      </c>
      <c r="C4" s="27"/>
      <c r="D4" s="27"/>
      <c r="E4" s="27"/>
      <c r="F4" s="27"/>
      <c r="G4" s="28"/>
      <c r="H4" s="29"/>
      <c r="I4" s="29"/>
      <c r="J4" s="29"/>
      <c r="K4" s="29"/>
      <c r="L4" s="29"/>
      <c r="M4" s="29"/>
      <c r="N4" s="29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4"/>
      <c r="AE4" s="24"/>
      <c r="AF4" s="24"/>
      <c r="AG4" s="24"/>
      <c r="AH4" s="24"/>
      <c r="AI4" s="25"/>
      <c r="AJ4" s="30"/>
      <c r="AK4" s="30"/>
      <c r="AL4" s="31"/>
      <c r="AM4" s="31"/>
      <c r="AN4" s="31"/>
      <c r="AO4" s="32"/>
      <c r="AP4" s="32"/>
      <c r="AQ4" s="33"/>
      <c r="AR4" s="33"/>
      <c r="AS4" s="33"/>
      <c r="AT4" s="34"/>
      <c r="AU4" s="34"/>
      <c r="AV4" s="34"/>
      <c r="AW4" s="34"/>
      <c r="AX4" s="34"/>
      <c r="AY4" s="34"/>
      <c r="AZ4" s="21"/>
      <c r="BA4" s="21"/>
      <c r="BB4" s="21"/>
      <c r="BC4" s="21"/>
      <c r="BD4" s="21"/>
      <c r="BE4" s="21"/>
    </row>
    <row r="5" customFormat="false" ht="14.1" hidden="false" customHeight="true" outlineLevel="0" collapsed="false">
      <c r="A5" s="26"/>
      <c r="B5" s="22" t="s">
        <v>9</v>
      </c>
      <c r="C5" s="27"/>
      <c r="D5" s="27"/>
      <c r="E5" s="27"/>
      <c r="F5" s="27"/>
      <c r="G5" s="28"/>
      <c r="H5" s="29"/>
      <c r="I5" s="29"/>
      <c r="J5" s="29"/>
      <c r="K5" s="29"/>
      <c r="L5" s="29"/>
      <c r="M5" s="29"/>
      <c r="N5" s="29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4"/>
      <c r="AE5" s="24"/>
      <c r="AF5" s="24"/>
      <c r="AG5" s="24"/>
      <c r="AH5" s="24"/>
      <c r="AI5" s="25"/>
      <c r="AJ5" s="30"/>
      <c r="AK5" s="30"/>
      <c r="AL5" s="31"/>
      <c r="AM5" s="31"/>
      <c r="AN5" s="31"/>
      <c r="AO5" s="32"/>
      <c r="AP5" s="32"/>
      <c r="AQ5" s="33"/>
      <c r="AR5" s="33"/>
      <c r="AS5" s="33"/>
      <c r="AT5" s="34"/>
      <c r="AU5" s="34"/>
      <c r="AV5" s="34"/>
      <c r="AW5" s="34"/>
      <c r="AX5" s="34"/>
      <c r="AY5" s="34"/>
      <c r="AZ5" s="21"/>
      <c r="BA5" s="21"/>
      <c r="BB5" s="21"/>
      <c r="BC5" s="21"/>
      <c r="BD5" s="21"/>
      <c r="BE5" s="21"/>
    </row>
    <row r="6" customFormat="false" ht="14.1" hidden="false" customHeight="true" outlineLevel="0" collapsed="false">
      <c r="A6" s="26"/>
      <c r="B6" s="22" t="s">
        <v>10</v>
      </c>
      <c r="C6" s="27"/>
      <c r="D6" s="27"/>
      <c r="E6" s="27"/>
      <c r="F6" s="27"/>
      <c r="G6" s="28"/>
      <c r="H6" s="29"/>
      <c r="I6" s="29"/>
      <c r="J6" s="29"/>
      <c r="K6" s="29"/>
      <c r="L6" s="29"/>
      <c r="M6" s="29"/>
      <c r="N6" s="29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4"/>
      <c r="AE6" s="24"/>
      <c r="AF6" s="24"/>
      <c r="AG6" s="24"/>
      <c r="AH6" s="24"/>
      <c r="AI6" s="25"/>
      <c r="AJ6" s="30"/>
      <c r="AK6" s="30"/>
      <c r="AL6" s="31"/>
      <c r="AM6" s="31"/>
      <c r="AN6" s="31"/>
      <c r="AO6" s="32"/>
      <c r="AP6" s="32"/>
      <c r="AQ6" s="33"/>
      <c r="AR6" s="33"/>
      <c r="AS6" s="33"/>
      <c r="AT6" s="34"/>
      <c r="AU6" s="34"/>
      <c r="AV6" s="34"/>
      <c r="AW6" s="34"/>
      <c r="AX6" s="34"/>
      <c r="AY6" s="34"/>
      <c r="AZ6" s="21"/>
      <c r="BA6" s="21"/>
      <c r="BB6" s="21"/>
      <c r="BC6" s="21"/>
      <c r="BD6" s="21"/>
      <c r="BE6" s="21"/>
    </row>
    <row r="7" customFormat="false" ht="14.1" hidden="false" customHeight="true" outlineLevel="0" collapsed="false">
      <c r="A7" s="35"/>
      <c r="B7" s="36"/>
      <c r="C7" s="27"/>
      <c r="D7" s="27"/>
      <c r="E7" s="27"/>
      <c r="F7" s="27"/>
      <c r="G7" s="28"/>
      <c r="H7" s="29"/>
      <c r="I7" s="29"/>
      <c r="J7" s="29"/>
      <c r="K7" s="29"/>
      <c r="L7" s="29"/>
      <c r="M7" s="29"/>
      <c r="N7" s="29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4"/>
      <c r="AE7" s="24"/>
      <c r="AF7" s="24"/>
      <c r="AG7" s="24"/>
      <c r="AH7" s="24"/>
      <c r="AI7" s="25"/>
      <c r="AJ7" s="30"/>
      <c r="AK7" s="30"/>
      <c r="AL7" s="31"/>
      <c r="AM7" s="31"/>
      <c r="AN7" s="31"/>
      <c r="AO7" s="32"/>
      <c r="AP7" s="32"/>
      <c r="AQ7" s="33"/>
      <c r="AR7" s="33"/>
      <c r="AS7" s="33"/>
      <c r="AT7" s="34"/>
      <c r="AU7" s="34"/>
      <c r="AV7" s="34"/>
      <c r="AW7" s="34"/>
      <c r="AX7" s="34"/>
      <c r="AY7" s="34"/>
      <c r="AZ7" s="21"/>
      <c r="BA7" s="21"/>
      <c r="BB7" s="21"/>
      <c r="BC7" s="21"/>
      <c r="BD7" s="21"/>
      <c r="BE7" s="21"/>
    </row>
    <row r="8" customFormat="false" ht="14.1" hidden="false" customHeight="true" outlineLevel="0" collapsed="false">
      <c r="A8" s="37" t="s">
        <v>11</v>
      </c>
      <c r="B8" s="38" t="s">
        <v>12</v>
      </c>
      <c r="C8" s="37" t="s">
        <v>13</v>
      </c>
      <c r="D8" s="39"/>
      <c r="E8" s="40"/>
      <c r="F8" s="40"/>
      <c r="G8" s="40"/>
      <c r="H8" s="35"/>
      <c r="I8" s="35"/>
      <c r="J8" s="41"/>
      <c r="K8" s="24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4"/>
      <c r="AE8" s="24"/>
      <c r="AF8" s="24"/>
      <c r="AG8" s="24"/>
      <c r="AH8" s="24"/>
      <c r="AI8" s="25"/>
      <c r="AJ8" s="42"/>
      <c r="AK8" s="42"/>
      <c r="AL8" s="42"/>
      <c r="AM8" s="42"/>
      <c r="AN8" s="42"/>
      <c r="AO8" s="43"/>
      <c r="AP8" s="43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</row>
    <row r="9" customFormat="false" ht="14.1" hidden="false" customHeight="true" outlineLevel="0" collapsed="false">
      <c r="A9" s="44" t="s">
        <v>14</v>
      </c>
      <c r="B9" s="45" t="s">
        <v>15</v>
      </c>
      <c r="C9" s="46" t="n">
        <v>8</v>
      </c>
      <c r="D9" s="39"/>
      <c r="E9" s="40"/>
      <c r="F9" s="40"/>
      <c r="G9" s="40"/>
      <c r="H9" s="35"/>
      <c r="I9" s="35"/>
      <c r="J9" s="47"/>
      <c r="K9" s="24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4"/>
      <c r="AE9" s="24"/>
      <c r="AF9" s="24"/>
      <c r="AG9" s="24"/>
      <c r="AH9" s="24"/>
      <c r="AI9" s="25"/>
      <c r="AJ9" s="42"/>
      <c r="AK9" s="42"/>
      <c r="AL9" s="42"/>
      <c r="AM9" s="42"/>
      <c r="AN9" s="42"/>
      <c r="AO9" s="43"/>
      <c r="AP9" s="43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</row>
    <row r="10" customFormat="false" ht="14.1" hidden="false" customHeight="true" outlineLevel="0" collapsed="false">
      <c r="A10" s="44" t="s">
        <v>16</v>
      </c>
      <c r="B10" s="45" t="s">
        <v>15</v>
      </c>
      <c r="C10" s="46" t="n">
        <v>8</v>
      </c>
      <c r="D10" s="48"/>
      <c r="E10" s="35"/>
      <c r="F10" s="35"/>
      <c r="G10" s="39"/>
      <c r="H10" s="35"/>
      <c r="I10" s="47"/>
      <c r="J10" s="47"/>
      <c r="K10" s="24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4"/>
      <c r="AE10" s="24"/>
      <c r="AF10" s="24"/>
      <c r="AG10" s="24"/>
      <c r="AH10" s="24"/>
      <c r="AI10" s="25"/>
      <c r="AJ10" s="42"/>
      <c r="AK10" s="42"/>
      <c r="AL10" s="42"/>
      <c r="AM10" s="42"/>
      <c r="AN10" s="42"/>
      <c r="AO10" s="43"/>
      <c r="AP10" s="43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</row>
    <row r="11" s="56" customFormat="true" ht="14.1" hidden="false" customHeight="true" outlineLevel="0" collapsed="false">
      <c r="A11" s="44" t="s">
        <v>17</v>
      </c>
      <c r="B11" s="45" t="s">
        <v>15</v>
      </c>
      <c r="C11" s="49" t="n">
        <v>2.8</v>
      </c>
      <c r="D11" s="48"/>
      <c r="E11" s="50"/>
      <c r="F11" s="50"/>
      <c r="G11" s="51"/>
      <c r="H11" s="50"/>
      <c r="I11" s="50"/>
      <c r="J11" s="50"/>
      <c r="K11" s="24"/>
      <c r="L11" s="23"/>
      <c r="M11" s="23"/>
      <c r="N11" s="23"/>
      <c r="O11" s="23"/>
      <c r="P11" s="23"/>
      <c r="Q11" s="52"/>
      <c r="R11" s="23"/>
      <c r="S11" s="23"/>
      <c r="T11" s="24"/>
      <c r="U11" s="23"/>
      <c r="V11" s="23"/>
      <c r="W11" s="23"/>
      <c r="X11" s="23"/>
      <c r="Y11" s="23"/>
      <c r="Z11" s="23"/>
      <c r="AA11" s="23"/>
      <c r="AB11" s="23"/>
      <c r="AC11" s="23"/>
      <c r="AD11" s="24"/>
      <c r="AE11" s="24"/>
      <c r="AF11" s="24"/>
      <c r="AG11" s="24"/>
      <c r="AH11" s="24"/>
      <c r="AI11" s="25"/>
      <c r="AJ11" s="53"/>
      <c r="AK11" s="53"/>
      <c r="AL11" s="53"/>
      <c r="AM11" s="53"/>
      <c r="AN11" s="53"/>
      <c r="AO11" s="54"/>
      <c r="AP11" s="54"/>
      <c r="AQ11" s="19"/>
      <c r="AR11" s="19"/>
      <c r="AS11" s="19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19"/>
      <c r="BE11" s="19"/>
      <c r="BF11" s="55"/>
    </row>
    <row r="12" s="56" customFormat="true" ht="14.1" hidden="false" customHeight="true" outlineLevel="0" collapsed="false">
      <c r="A12" s="44" t="s">
        <v>18</v>
      </c>
      <c r="B12" s="45" t="s">
        <v>15</v>
      </c>
      <c r="C12" s="49" t="n">
        <v>2.6</v>
      </c>
      <c r="D12" s="48"/>
      <c r="E12" s="50"/>
      <c r="F12" s="50"/>
      <c r="G12" s="51"/>
      <c r="H12" s="50"/>
      <c r="I12" s="50"/>
      <c r="J12" s="50"/>
      <c r="K12" s="24"/>
      <c r="L12" s="23"/>
      <c r="M12" s="23"/>
      <c r="N12" s="23"/>
      <c r="O12" s="23"/>
      <c r="P12" s="23"/>
      <c r="Q12" s="52"/>
      <c r="R12" s="23"/>
      <c r="S12" s="23"/>
      <c r="T12" s="24"/>
      <c r="U12" s="23"/>
      <c r="V12" s="23"/>
      <c r="W12" s="23"/>
      <c r="X12" s="23"/>
      <c r="Y12" s="23"/>
      <c r="Z12" s="23"/>
      <c r="AA12" s="23"/>
      <c r="AB12" s="23"/>
      <c r="AC12" s="23"/>
      <c r="AD12" s="24"/>
      <c r="AE12" s="24"/>
      <c r="AF12" s="24"/>
      <c r="AG12" s="24"/>
      <c r="AH12" s="24"/>
      <c r="AI12" s="25"/>
      <c r="AJ12" s="53"/>
      <c r="AK12" s="53"/>
      <c r="AL12" s="53"/>
      <c r="AM12" s="53"/>
      <c r="AN12" s="53"/>
      <c r="AO12" s="54"/>
      <c r="AP12" s="54"/>
      <c r="AQ12" s="19"/>
      <c r="AR12" s="19"/>
      <c r="AS12" s="19"/>
      <c r="AT12" s="19"/>
      <c r="AU12" s="19"/>
      <c r="AV12" s="19"/>
      <c r="AW12" s="19"/>
      <c r="AX12" s="19"/>
      <c r="AY12" s="19"/>
      <c r="AZ12" s="19"/>
      <c r="BA12" s="19"/>
      <c r="BB12" s="19"/>
      <c r="BC12" s="19"/>
      <c r="BD12" s="19"/>
      <c r="BE12" s="19"/>
      <c r="BF12" s="55"/>
    </row>
    <row r="13" customFormat="false" ht="14.1" hidden="false" customHeight="true" outlineLevel="0" collapsed="false">
      <c r="A13" s="57" t="s">
        <v>19</v>
      </c>
      <c r="B13" s="45" t="s">
        <v>15</v>
      </c>
      <c r="C13" s="49" t="n">
        <v>8</v>
      </c>
      <c r="D13" s="48"/>
      <c r="E13" s="35"/>
      <c r="F13" s="35"/>
      <c r="G13" s="39"/>
      <c r="H13" s="35"/>
      <c r="I13" s="50"/>
      <c r="J13" s="50"/>
      <c r="K13" s="24"/>
      <c r="L13" s="23"/>
      <c r="M13" s="23"/>
      <c r="N13" s="23"/>
      <c r="O13" s="24"/>
      <c r="P13" s="24"/>
      <c r="Q13" s="24"/>
      <c r="R13" s="24"/>
      <c r="S13" s="24"/>
      <c r="T13" s="52"/>
      <c r="U13" s="24"/>
      <c r="V13" s="24"/>
      <c r="W13" s="24"/>
      <c r="X13" s="24"/>
      <c r="Y13" s="24"/>
      <c r="Z13" s="24"/>
      <c r="AA13" s="24"/>
      <c r="AB13" s="24"/>
      <c r="AC13" s="24"/>
      <c r="AD13" s="24"/>
      <c r="AE13" s="24"/>
      <c r="AF13" s="24"/>
      <c r="AG13" s="24"/>
      <c r="AH13" s="24"/>
      <c r="AI13" s="25"/>
      <c r="AJ13" s="42"/>
      <c r="AK13" s="42"/>
      <c r="AL13" s="42"/>
      <c r="AM13" s="42"/>
      <c r="AN13" s="42"/>
      <c r="AO13" s="43"/>
      <c r="AP13" s="43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</row>
    <row r="14" s="56" customFormat="true" ht="14.1" hidden="false" customHeight="true" outlineLevel="0" collapsed="false">
      <c r="A14" s="44" t="s">
        <v>20</v>
      </c>
      <c r="B14" s="45" t="s">
        <v>15</v>
      </c>
      <c r="C14" s="49" t="n">
        <v>1.6</v>
      </c>
      <c r="D14" s="48"/>
      <c r="E14" s="50"/>
      <c r="F14" s="50"/>
      <c r="G14" s="51"/>
      <c r="H14" s="50"/>
      <c r="I14" s="35"/>
      <c r="J14" s="41"/>
      <c r="K14" s="24"/>
      <c r="L14" s="23"/>
      <c r="M14" s="23"/>
      <c r="N14" s="23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5"/>
      <c r="AJ14" s="53"/>
      <c r="AK14" s="53"/>
      <c r="AL14" s="53"/>
      <c r="AM14" s="53"/>
      <c r="AN14" s="53"/>
      <c r="AO14" s="54"/>
      <c r="AP14" s="54"/>
      <c r="AQ14" s="19"/>
      <c r="AR14" s="19"/>
      <c r="AS14" s="19"/>
      <c r="AT14" s="19"/>
      <c r="AU14" s="19"/>
      <c r="AV14" s="19"/>
      <c r="AW14" s="19"/>
      <c r="AX14" s="19"/>
      <c r="AY14" s="19"/>
      <c r="AZ14" s="19"/>
      <c r="BA14" s="19"/>
      <c r="BB14" s="19"/>
      <c r="BC14" s="19"/>
      <c r="BD14" s="19"/>
      <c r="BE14" s="19"/>
      <c r="BF14" s="55"/>
    </row>
    <row r="15" s="56" customFormat="true" ht="14.1" hidden="false" customHeight="true" outlineLevel="0" collapsed="false">
      <c r="A15" s="50"/>
      <c r="B15" s="50"/>
      <c r="C15" s="50"/>
      <c r="D15" s="48"/>
      <c r="E15" s="50"/>
      <c r="F15" s="50"/>
      <c r="G15" s="51"/>
      <c r="H15" s="50"/>
      <c r="I15" s="35"/>
      <c r="J15" s="47"/>
      <c r="K15" s="24"/>
      <c r="L15" s="23"/>
      <c r="M15" s="23"/>
      <c r="N15" s="23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5"/>
      <c r="AJ15" s="53"/>
      <c r="AK15" s="53"/>
      <c r="AL15" s="53"/>
      <c r="AM15" s="53"/>
      <c r="AN15" s="53"/>
      <c r="AO15" s="54"/>
      <c r="AP15" s="54"/>
      <c r="AQ15" s="19"/>
      <c r="AR15" s="19"/>
      <c r="AS15" s="19"/>
      <c r="AT15" s="19"/>
      <c r="AU15" s="19"/>
      <c r="AV15" s="19"/>
      <c r="AW15" s="19"/>
      <c r="AX15" s="19"/>
      <c r="AY15" s="19"/>
      <c r="AZ15" s="19"/>
      <c r="BA15" s="19"/>
      <c r="BB15" s="19"/>
      <c r="BC15" s="19"/>
      <c r="BD15" s="19"/>
      <c r="BE15" s="19"/>
      <c r="BF15" s="55"/>
    </row>
    <row r="16" s="56" customFormat="true" ht="14.1" hidden="false" customHeight="true" outlineLevel="0" collapsed="false">
      <c r="A16" s="58" t="s">
        <v>21</v>
      </c>
      <c r="B16" s="48"/>
      <c r="C16" s="48"/>
      <c r="D16" s="48"/>
      <c r="E16" s="50"/>
      <c r="F16" s="50"/>
      <c r="G16" s="51"/>
      <c r="H16" s="50"/>
      <c r="I16" s="24"/>
      <c r="J16" s="24"/>
      <c r="K16" s="24"/>
      <c r="L16" s="23"/>
      <c r="M16" s="23"/>
      <c r="N16" s="23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  <c r="AD16" s="24"/>
      <c r="AE16" s="24"/>
      <c r="AF16" s="24"/>
      <c r="AG16" s="24"/>
      <c r="AH16" s="24"/>
      <c r="AI16" s="25"/>
      <c r="AJ16" s="53"/>
      <c r="AK16" s="53"/>
      <c r="AL16" s="53"/>
      <c r="AM16" s="53"/>
      <c r="AN16" s="53"/>
      <c r="AO16" s="54"/>
      <c r="AP16" s="54"/>
      <c r="AQ16" s="19"/>
      <c r="AR16" s="19"/>
      <c r="AS16" s="19"/>
      <c r="AT16" s="19"/>
      <c r="AU16" s="19"/>
      <c r="AV16" s="19"/>
      <c r="AW16" s="19"/>
      <c r="AX16" s="19"/>
      <c r="AY16" s="19"/>
      <c r="AZ16" s="19"/>
      <c r="BA16" s="19"/>
      <c r="BB16" s="19"/>
      <c r="BC16" s="19"/>
      <c r="BD16" s="19"/>
      <c r="BE16" s="19"/>
      <c r="BF16" s="55"/>
    </row>
    <row r="17" s="56" customFormat="true" ht="14.1" hidden="false" customHeight="true" outlineLevel="0" collapsed="false">
      <c r="A17" s="59" t="s">
        <v>22</v>
      </c>
      <c r="B17" s="48"/>
      <c r="C17" s="48"/>
      <c r="D17" s="48"/>
      <c r="E17" s="50"/>
      <c r="F17" s="50"/>
      <c r="G17" s="51"/>
      <c r="H17" s="50"/>
      <c r="I17" s="24"/>
      <c r="J17" s="24"/>
      <c r="K17" s="24"/>
      <c r="L17" s="35"/>
      <c r="M17" s="41"/>
      <c r="N17" s="23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  <c r="AD17" s="24"/>
      <c r="AE17" s="24"/>
      <c r="AF17" s="24"/>
      <c r="AG17" s="24"/>
      <c r="AH17" s="24"/>
      <c r="AI17" s="25"/>
      <c r="AJ17" s="53"/>
      <c r="AK17" s="53"/>
      <c r="AL17" s="53"/>
      <c r="AM17" s="53"/>
      <c r="AN17" s="53"/>
      <c r="AO17" s="54"/>
      <c r="AP17" s="54"/>
      <c r="AQ17" s="19"/>
      <c r="AR17" s="19"/>
      <c r="AS17" s="19"/>
      <c r="AT17" s="19"/>
      <c r="AU17" s="19"/>
      <c r="AV17" s="19"/>
      <c r="AW17" s="19"/>
      <c r="AX17" s="19"/>
      <c r="AY17" s="19"/>
      <c r="AZ17" s="19"/>
      <c r="BA17" s="19"/>
      <c r="BB17" s="19"/>
      <c r="BC17" s="19"/>
      <c r="BD17" s="19"/>
      <c r="BE17" s="19"/>
      <c r="BF17" s="55"/>
    </row>
    <row r="18" s="56" customFormat="true" ht="14.1" hidden="false" customHeight="true" outlineLevel="0" collapsed="false">
      <c r="A18" s="60" t="s">
        <v>23</v>
      </c>
      <c r="B18" s="48"/>
      <c r="C18" s="61" t="s">
        <v>24</v>
      </c>
      <c r="D18" s="62" t="n">
        <f aca="false">'Смета Внутр'!H2166</f>
        <v>2502516.55761031</v>
      </c>
      <c r="E18" s="62"/>
      <c r="F18" s="62"/>
      <c r="G18" s="51"/>
      <c r="H18" s="50"/>
      <c r="I18" s="24"/>
      <c r="J18" s="24"/>
      <c r="K18" s="52"/>
      <c r="L18" s="35"/>
      <c r="M18" s="24"/>
      <c r="N18" s="23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5"/>
      <c r="AJ18" s="53"/>
      <c r="AK18" s="53"/>
      <c r="AL18" s="53"/>
      <c r="AM18" s="53"/>
      <c r="AN18" s="53"/>
      <c r="AO18" s="54"/>
      <c r="AP18" s="54"/>
      <c r="AQ18" s="19"/>
      <c r="AR18" s="19"/>
      <c r="AS18" s="19"/>
      <c r="AT18" s="19"/>
      <c r="AU18" s="19"/>
      <c r="AV18" s="19"/>
      <c r="AW18" s="19"/>
      <c r="AX18" s="19"/>
      <c r="AY18" s="19"/>
      <c r="AZ18" s="19"/>
      <c r="BA18" s="19"/>
      <c r="BB18" s="19"/>
      <c r="BC18" s="19"/>
      <c r="BD18" s="19"/>
      <c r="BE18" s="19"/>
      <c r="BF18" s="55"/>
    </row>
    <row r="19" s="56" customFormat="true" ht="14.1" hidden="false" customHeight="true" outlineLevel="0" collapsed="false">
      <c r="A19" s="59" t="s">
        <v>25</v>
      </c>
      <c r="B19" s="48"/>
      <c r="C19" s="61"/>
      <c r="D19" s="62"/>
      <c r="E19" s="62"/>
      <c r="F19" s="62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5"/>
      <c r="AJ19" s="53"/>
      <c r="AK19" s="53"/>
      <c r="AL19" s="53"/>
      <c r="AM19" s="53"/>
      <c r="AN19" s="53"/>
      <c r="AO19" s="54"/>
      <c r="AP19" s="54"/>
      <c r="AQ19" s="19"/>
      <c r="AR19" s="19"/>
      <c r="AS19" s="19"/>
      <c r="AT19" s="19"/>
      <c r="AU19" s="19"/>
      <c r="AV19" s="19"/>
      <c r="AW19" s="19"/>
      <c r="AX19" s="19"/>
      <c r="AY19" s="19"/>
      <c r="AZ19" s="19"/>
      <c r="BA19" s="19"/>
      <c r="BB19" s="19"/>
      <c r="BC19" s="19"/>
      <c r="BD19" s="19"/>
      <c r="BE19" s="19"/>
      <c r="BF19" s="55"/>
    </row>
    <row r="20" s="56" customFormat="true" ht="14.1" hidden="false" customHeight="true" outlineLevel="0" collapsed="false">
      <c r="A20" s="64" t="s">
        <v>26</v>
      </c>
      <c r="B20" s="48"/>
      <c r="C20" s="61"/>
      <c r="D20" s="62"/>
      <c r="E20" s="62"/>
      <c r="F20" s="62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24"/>
      <c r="Z20" s="24"/>
      <c r="AA20" s="24"/>
      <c r="AB20" s="24"/>
      <c r="AC20" s="24"/>
      <c r="AD20" s="24"/>
      <c r="AE20" s="24"/>
      <c r="AF20" s="24"/>
      <c r="AG20" s="24"/>
      <c r="AH20" s="24"/>
      <c r="AI20" s="25"/>
      <c r="AJ20" s="53"/>
      <c r="AK20" s="53"/>
      <c r="AL20" s="53"/>
      <c r="AM20" s="53"/>
      <c r="AN20" s="53"/>
      <c r="AO20" s="54"/>
      <c r="AP20" s="54"/>
      <c r="AQ20" s="19"/>
      <c r="AR20" s="19"/>
      <c r="AS20" s="19"/>
      <c r="AT20" s="19"/>
      <c r="AU20" s="19"/>
      <c r="AV20" s="19"/>
      <c r="AW20" s="19"/>
      <c r="AX20" s="19"/>
      <c r="AY20" s="19"/>
      <c r="AZ20" s="19"/>
      <c r="BA20" s="19"/>
      <c r="BB20" s="19"/>
      <c r="BC20" s="19"/>
      <c r="BD20" s="19"/>
      <c r="BE20" s="19"/>
      <c r="BF20" s="55"/>
    </row>
    <row r="21" s="56" customFormat="true" ht="14.1" hidden="false" customHeight="true" outlineLevel="0" collapsed="false">
      <c r="A21" s="65" t="s">
        <v>27</v>
      </c>
      <c r="B21" s="58"/>
      <c r="C21" s="48"/>
      <c r="D21" s="48"/>
      <c r="E21" s="50"/>
      <c r="F21" s="50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6"/>
      <c r="Z21" s="24"/>
      <c r="AA21" s="24"/>
      <c r="AB21" s="24"/>
      <c r="AC21" s="24"/>
      <c r="AD21" s="24"/>
      <c r="AE21" s="24"/>
      <c r="AF21" s="24"/>
      <c r="AG21" s="24"/>
      <c r="AH21" s="24"/>
      <c r="AI21" s="25"/>
      <c r="AJ21" s="53"/>
      <c r="AK21" s="53"/>
      <c r="AL21" s="53"/>
      <c r="AM21" s="53"/>
      <c r="AN21" s="53"/>
      <c r="AO21" s="54"/>
      <c r="AP21" s="54"/>
      <c r="AQ21" s="19"/>
      <c r="AR21" s="19"/>
      <c r="AS21" s="19"/>
      <c r="AT21" s="19"/>
      <c r="AU21" s="19"/>
      <c r="AV21" s="19"/>
      <c r="AW21" s="19"/>
      <c r="AX21" s="19"/>
      <c r="AY21" s="19"/>
      <c r="AZ21" s="19"/>
      <c r="BA21" s="19"/>
      <c r="BB21" s="19"/>
      <c r="BC21" s="19"/>
      <c r="BD21" s="19"/>
      <c r="BE21" s="19"/>
      <c r="BF21" s="55"/>
    </row>
    <row r="22" customFormat="false" ht="14.1" hidden="false" customHeight="true" outlineLevel="0" collapsed="false">
      <c r="A22" s="67" t="s">
        <v>28</v>
      </c>
      <c r="B22" s="68"/>
      <c r="C22" s="69"/>
      <c r="D22" s="69"/>
      <c r="E22" s="35"/>
      <c r="F22" s="35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6"/>
      <c r="Z22" s="24"/>
      <c r="AA22" s="24"/>
      <c r="AB22" s="24"/>
      <c r="AC22" s="24"/>
      <c r="AD22" s="24"/>
      <c r="AE22" s="24"/>
      <c r="AF22" s="24"/>
      <c r="AG22" s="24"/>
      <c r="AH22" s="24"/>
      <c r="AI22" s="24"/>
      <c r="AJ22" s="70"/>
      <c r="AK22" s="40"/>
      <c r="AL22" s="40"/>
      <c r="AM22" s="40"/>
      <c r="AN22" s="40"/>
      <c r="AO22" s="43"/>
      <c r="AP22" s="43"/>
      <c r="AQ22" s="21"/>
      <c r="AR22" s="21"/>
      <c r="AS22" s="21"/>
      <c r="AT22" s="33"/>
      <c r="AU22" s="33"/>
      <c r="AV22" s="33"/>
      <c r="AW22" s="71"/>
      <c r="AX22" s="71"/>
      <c r="AY22" s="71"/>
      <c r="AZ22" s="21"/>
      <c r="BA22" s="21"/>
      <c r="BB22" s="21"/>
      <c r="BC22" s="21" t="n">
        <v>1</v>
      </c>
      <c r="BD22" s="72" t="n">
        <f aca="false">связи1!H79</f>
        <v>0</v>
      </c>
      <c r="BE22" s="21"/>
    </row>
    <row r="23" customFormat="false" ht="14.1" hidden="false" customHeight="true" outlineLevel="0" collapsed="false">
      <c r="A23" s="65" t="s">
        <v>29</v>
      </c>
      <c r="B23" s="68"/>
      <c r="C23" s="69"/>
      <c r="D23" s="69"/>
      <c r="E23" s="35"/>
      <c r="F23" s="35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6"/>
      <c r="Z23" s="24"/>
      <c r="AA23" s="24"/>
      <c r="AB23" s="24"/>
      <c r="AC23" s="24"/>
      <c r="AD23" s="24"/>
      <c r="AE23" s="24"/>
      <c r="AF23" s="24"/>
      <c r="AG23" s="24"/>
      <c r="AH23" s="24"/>
      <c r="AI23" s="24"/>
      <c r="AJ23" s="70"/>
      <c r="AK23" s="40"/>
      <c r="AL23" s="40"/>
      <c r="AM23" s="40"/>
      <c r="AN23" s="40"/>
      <c r="AO23" s="43"/>
      <c r="AP23" s="43"/>
      <c r="AQ23" s="21"/>
      <c r="AR23" s="21"/>
      <c r="AS23" s="21"/>
      <c r="AT23" s="33"/>
      <c r="AU23" s="33"/>
      <c r="AV23" s="33"/>
      <c r="AW23" s="71"/>
      <c r="AX23" s="71"/>
      <c r="AY23" s="71"/>
      <c r="AZ23" s="21"/>
      <c r="BA23" s="21"/>
      <c r="BB23" s="21"/>
      <c r="BC23" s="21"/>
      <c r="BD23" s="72"/>
      <c r="BE23" s="21"/>
    </row>
    <row r="24" customFormat="false" ht="14.1" hidden="false" customHeight="true" outlineLevel="0" collapsed="false">
      <c r="A24" s="73" t="s">
        <v>30</v>
      </c>
      <c r="B24" s="68"/>
      <c r="C24" s="69"/>
      <c r="D24" s="69"/>
      <c r="E24" s="35"/>
      <c r="F24" s="35"/>
      <c r="G24" s="66"/>
      <c r="H24" s="66"/>
      <c r="I24" s="66"/>
      <c r="J24" s="66"/>
      <c r="K24" s="66"/>
      <c r="L24" s="66"/>
      <c r="M24" s="66"/>
      <c r="N24" s="66"/>
      <c r="O24" s="66"/>
      <c r="P24" s="66"/>
      <c r="Q24" s="66"/>
      <c r="R24" s="66"/>
      <c r="S24" s="66"/>
      <c r="T24" s="66"/>
      <c r="U24" s="66"/>
      <c r="V24" s="66"/>
      <c r="W24" s="66"/>
      <c r="X24" s="66"/>
      <c r="Y24" s="66"/>
      <c r="Z24" s="24"/>
      <c r="AA24" s="24"/>
      <c r="AB24" s="24"/>
      <c r="AC24" s="24"/>
      <c r="AD24" s="24"/>
      <c r="AE24" s="24"/>
      <c r="AF24" s="24"/>
      <c r="AG24" s="24"/>
      <c r="AH24" s="24"/>
      <c r="AI24" s="24"/>
      <c r="AJ24" s="70"/>
      <c r="AK24" s="40"/>
      <c r="AL24" s="40"/>
      <c r="AM24" s="40"/>
      <c r="AN24" s="40"/>
      <c r="AO24" s="43"/>
      <c r="AP24" s="43"/>
      <c r="AQ24" s="21"/>
      <c r="AR24" s="21"/>
      <c r="AS24" s="21"/>
      <c r="AT24" s="33"/>
      <c r="AU24" s="33"/>
      <c r="AV24" s="33"/>
      <c r="AW24" s="71"/>
      <c r="AX24" s="71"/>
      <c r="AY24" s="71"/>
      <c r="AZ24" s="21"/>
      <c r="BA24" s="21"/>
      <c r="BB24" s="21"/>
      <c r="BC24" s="21"/>
      <c r="BD24" s="72"/>
      <c r="BE24" s="21"/>
    </row>
    <row r="25" customFormat="false" ht="14.1" hidden="false" customHeight="true" outlineLevel="0" collapsed="false">
      <c r="A25" s="74" t="s">
        <v>31</v>
      </c>
      <c r="B25" s="68"/>
      <c r="C25" s="69"/>
      <c r="D25" s="69"/>
      <c r="E25" s="35"/>
      <c r="F25" s="35"/>
      <c r="G25" s="75"/>
      <c r="H25" s="75"/>
      <c r="I25" s="75"/>
      <c r="J25" s="75"/>
      <c r="K25" s="75"/>
      <c r="L25" s="75"/>
      <c r="M25" s="75"/>
      <c r="N25" s="75"/>
      <c r="O25" s="75"/>
      <c r="P25" s="75"/>
      <c r="Q25" s="75"/>
      <c r="R25" s="75"/>
      <c r="S25" s="75"/>
      <c r="T25" s="75"/>
      <c r="U25" s="75"/>
      <c r="V25" s="75"/>
      <c r="W25" s="75"/>
      <c r="X25" s="24"/>
      <c r="Y25" s="24"/>
      <c r="Z25" s="24"/>
      <c r="AA25" s="24"/>
      <c r="AB25" s="24"/>
      <c r="AC25" s="24"/>
      <c r="AD25" s="24"/>
      <c r="AE25" s="24"/>
      <c r="AF25" s="24"/>
      <c r="AG25" s="24"/>
      <c r="AH25" s="24"/>
      <c r="AI25" s="24"/>
      <c r="AJ25" s="70"/>
      <c r="AK25" s="40"/>
      <c r="AL25" s="40"/>
      <c r="AM25" s="40"/>
      <c r="AN25" s="40"/>
      <c r="AO25" s="43"/>
      <c r="AP25" s="43"/>
      <c r="AQ25" s="21"/>
      <c r="AR25" s="21"/>
      <c r="AS25" s="21"/>
      <c r="AT25" s="33"/>
      <c r="AU25" s="33"/>
      <c r="AV25" s="33"/>
      <c r="AW25" s="71"/>
      <c r="AX25" s="71"/>
      <c r="AY25" s="71"/>
      <c r="AZ25" s="21"/>
      <c r="BA25" s="21"/>
      <c r="BB25" s="21"/>
      <c r="BC25" s="21"/>
      <c r="BD25" s="72"/>
      <c r="BE25" s="21"/>
    </row>
    <row r="26" customFormat="false" ht="14.1" hidden="false" customHeight="true" outlineLevel="0" collapsed="false">
      <c r="A26" s="67"/>
      <c r="B26" s="68"/>
      <c r="C26" s="69"/>
      <c r="D26" s="69"/>
      <c r="E26" s="35"/>
      <c r="F26" s="35"/>
      <c r="G26" s="39"/>
      <c r="H26" s="35"/>
      <c r="I26" s="24"/>
      <c r="J26" s="24"/>
      <c r="K26" s="24"/>
      <c r="L26" s="35"/>
      <c r="M26" s="24"/>
      <c r="N26" s="24"/>
      <c r="O26" s="24"/>
      <c r="P26" s="24"/>
      <c r="Q26" s="24"/>
      <c r="R26" s="76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  <c r="AJ26" s="70"/>
      <c r="AK26" s="40"/>
      <c r="AL26" s="40"/>
      <c r="AM26" s="40"/>
      <c r="AN26" s="40"/>
      <c r="AO26" s="43"/>
      <c r="AP26" s="43"/>
      <c r="AQ26" s="21"/>
      <c r="AR26" s="21"/>
      <c r="AS26" s="21"/>
      <c r="AT26" s="33"/>
      <c r="AU26" s="33"/>
      <c r="AV26" s="33"/>
      <c r="AW26" s="71"/>
      <c r="AX26" s="71"/>
      <c r="AY26" s="71"/>
      <c r="AZ26" s="21"/>
      <c r="BA26" s="21"/>
      <c r="BB26" s="21"/>
      <c r="BC26" s="21"/>
      <c r="BD26" s="72"/>
      <c r="BE26" s="21"/>
    </row>
    <row r="27" customFormat="false" ht="14.1" hidden="true" customHeight="true" outlineLevel="1" collapsed="false">
      <c r="A27" s="77" t="s">
        <v>32</v>
      </c>
      <c r="B27" s="77"/>
      <c r="C27" s="67"/>
      <c r="D27" s="69"/>
      <c r="E27" s="35"/>
      <c r="F27" s="35"/>
      <c r="G27" s="39"/>
      <c r="H27" s="35"/>
      <c r="I27" s="24"/>
      <c r="J27" s="24"/>
      <c r="K27" s="24"/>
      <c r="L27" s="35"/>
      <c r="M27" s="24"/>
      <c r="N27" s="24"/>
      <c r="O27" s="24"/>
      <c r="P27" s="24"/>
      <c r="Q27" s="24"/>
      <c r="R27" s="76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  <c r="AE27" s="24"/>
      <c r="AF27" s="24"/>
      <c r="AG27" s="24"/>
      <c r="AH27" s="24"/>
      <c r="AI27" s="24"/>
      <c r="AJ27" s="70"/>
      <c r="AK27" s="40"/>
      <c r="AL27" s="40"/>
      <c r="AM27" s="40"/>
      <c r="AN27" s="40"/>
      <c r="AO27" s="43"/>
      <c r="AP27" s="43"/>
      <c r="AQ27" s="21"/>
      <c r="AR27" s="21"/>
      <c r="AS27" s="21"/>
      <c r="AT27" s="33"/>
      <c r="AU27" s="33"/>
      <c r="AV27" s="33"/>
      <c r="AW27" s="71"/>
      <c r="AX27" s="71"/>
      <c r="AY27" s="71"/>
      <c r="AZ27" s="21"/>
      <c r="BA27" s="21"/>
      <c r="BB27" s="21"/>
      <c r="BC27" s="21"/>
      <c r="BD27" s="72"/>
      <c r="BE27" s="21"/>
    </row>
    <row r="28" customFormat="false" ht="14.1" hidden="true" customHeight="true" outlineLevel="1" collapsed="false">
      <c r="A28" s="69"/>
      <c r="B28" s="68"/>
      <c r="C28" s="69"/>
      <c r="D28" s="69"/>
      <c r="E28" s="35"/>
      <c r="F28" s="35"/>
      <c r="G28" s="39"/>
      <c r="H28" s="35"/>
      <c r="I28" s="24"/>
      <c r="J28" s="24"/>
      <c r="K28" s="24"/>
      <c r="L28" s="35"/>
      <c r="M28" s="24"/>
      <c r="N28" s="24"/>
      <c r="O28" s="24"/>
      <c r="P28" s="24"/>
      <c r="Q28" s="24"/>
      <c r="R28" s="76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  <c r="AE28" s="24"/>
      <c r="AF28" s="24"/>
      <c r="AG28" s="24"/>
      <c r="AH28" s="24"/>
      <c r="AI28" s="24"/>
      <c r="AJ28" s="70"/>
      <c r="AK28" s="40"/>
      <c r="AL28" s="40"/>
      <c r="AM28" s="40"/>
      <c r="AN28" s="40"/>
      <c r="AO28" s="43"/>
      <c r="AP28" s="43"/>
      <c r="AQ28" s="21"/>
      <c r="AR28" s="21"/>
      <c r="AS28" s="21"/>
      <c r="AT28" s="33"/>
      <c r="AU28" s="33"/>
      <c r="AV28" s="33"/>
      <c r="AW28" s="71"/>
      <c r="AX28" s="71"/>
      <c r="AY28" s="71"/>
      <c r="AZ28" s="21"/>
      <c r="BA28" s="21"/>
      <c r="BB28" s="21"/>
      <c r="BC28" s="21"/>
      <c r="BD28" s="72"/>
      <c r="BE28" s="21"/>
    </row>
    <row r="29" customFormat="false" ht="14.1" hidden="true" customHeight="true" outlineLevel="1" collapsed="false">
      <c r="A29" s="69" t="s">
        <v>33</v>
      </c>
      <c r="B29" s="68"/>
      <c r="C29" s="69"/>
      <c r="D29" s="69"/>
      <c r="E29" s="35"/>
      <c r="F29" s="35"/>
      <c r="G29" s="39"/>
      <c r="H29" s="35"/>
      <c r="I29" s="24"/>
      <c r="J29" s="24"/>
      <c r="K29" s="24"/>
      <c r="L29" s="35"/>
      <c r="M29" s="24"/>
      <c r="N29" s="24"/>
      <c r="O29" s="24"/>
      <c r="P29" s="24"/>
      <c r="Q29" s="24"/>
      <c r="R29" s="76"/>
      <c r="S29" s="24"/>
      <c r="T29" s="24"/>
      <c r="U29" s="24"/>
      <c r="V29" s="24"/>
      <c r="W29" s="24"/>
      <c r="X29" s="24"/>
      <c r="Y29" s="24"/>
      <c r="Z29" s="24"/>
      <c r="AA29" s="24"/>
      <c r="AB29" s="24"/>
      <c r="AC29" s="24"/>
      <c r="AD29" s="24"/>
      <c r="AE29" s="24"/>
      <c r="AF29" s="24"/>
      <c r="AG29" s="24"/>
      <c r="AH29" s="24"/>
      <c r="AI29" s="24"/>
      <c r="AJ29" s="70"/>
      <c r="AK29" s="40"/>
      <c r="AL29" s="40"/>
      <c r="AM29" s="40"/>
      <c r="AN29" s="40"/>
      <c r="AO29" s="43"/>
      <c r="AP29" s="43"/>
      <c r="AQ29" s="21"/>
      <c r="AR29" s="21"/>
      <c r="AS29" s="21"/>
      <c r="AT29" s="33"/>
      <c r="AU29" s="33"/>
      <c r="AV29" s="33"/>
      <c r="AW29" s="71"/>
      <c r="AX29" s="71"/>
      <c r="AY29" s="71"/>
      <c r="AZ29" s="21"/>
      <c r="BA29" s="21"/>
      <c r="BB29" s="21"/>
      <c r="BC29" s="21"/>
      <c r="BD29" s="72"/>
      <c r="BE29" s="21"/>
    </row>
    <row r="30" customFormat="false" ht="14.1" hidden="true" customHeight="true" outlineLevel="1" collapsed="false">
      <c r="A30" s="78" t="s">
        <v>34</v>
      </c>
      <c r="B30" s="68"/>
      <c r="C30" s="69"/>
      <c r="D30" s="69"/>
      <c r="E30" s="35"/>
      <c r="F30" s="35"/>
      <c r="G30" s="39"/>
      <c r="H30" s="35"/>
      <c r="I30" s="24"/>
      <c r="J30" s="24"/>
      <c r="K30" s="24"/>
      <c r="L30" s="35"/>
      <c r="M30" s="24"/>
      <c r="N30" s="24"/>
      <c r="O30" s="24"/>
      <c r="P30" s="24"/>
      <c r="Q30" s="24"/>
      <c r="R30" s="76"/>
      <c r="S30" s="24"/>
      <c r="T30" s="24"/>
      <c r="U30" s="24"/>
      <c r="V30" s="24"/>
      <c r="W30" s="24"/>
      <c r="X30" s="24"/>
      <c r="Y30" s="24"/>
      <c r="Z30" s="24"/>
      <c r="AA30" s="24"/>
      <c r="AB30" s="24"/>
      <c r="AC30" s="24"/>
      <c r="AD30" s="24"/>
      <c r="AE30" s="24"/>
      <c r="AF30" s="24"/>
      <c r="AG30" s="24"/>
      <c r="AH30" s="24"/>
      <c r="AI30" s="24"/>
      <c r="AJ30" s="70"/>
      <c r="AK30" s="40"/>
      <c r="AL30" s="40"/>
      <c r="AM30" s="40"/>
      <c r="AN30" s="40"/>
      <c r="AO30" s="43"/>
      <c r="AP30" s="43"/>
      <c r="AQ30" s="21"/>
      <c r="AR30" s="21"/>
      <c r="AS30" s="21"/>
      <c r="AT30" s="33"/>
      <c r="AU30" s="33"/>
      <c r="AV30" s="33"/>
      <c r="AW30" s="71"/>
      <c r="AX30" s="71"/>
      <c r="AY30" s="71"/>
      <c r="AZ30" s="21"/>
      <c r="BA30" s="21"/>
      <c r="BB30" s="21"/>
      <c r="BC30" s="21"/>
      <c r="BD30" s="72"/>
      <c r="BE30" s="21"/>
    </row>
    <row r="31" customFormat="false" ht="14.1" hidden="true" customHeight="true" outlineLevel="1" collapsed="false">
      <c r="A31" s="67" t="s">
        <v>35</v>
      </c>
      <c r="B31" s="68"/>
      <c r="C31" s="69"/>
      <c r="D31" s="69"/>
      <c r="E31" s="35"/>
      <c r="F31" s="35"/>
      <c r="G31" s="39"/>
      <c r="H31" s="35"/>
      <c r="I31" s="24"/>
      <c r="J31" s="24"/>
      <c r="K31" s="24"/>
      <c r="L31" s="35"/>
      <c r="M31" s="24"/>
      <c r="N31" s="24"/>
      <c r="O31" s="24"/>
      <c r="P31" s="24"/>
      <c r="Q31" s="24"/>
      <c r="R31" s="76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  <c r="AJ31" s="70"/>
      <c r="AK31" s="40"/>
      <c r="AL31" s="40"/>
      <c r="AM31" s="40"/>
      <c r="AN31" s="40"/>
      <c r="AO31" s="43"/>
      <c r="AP31" s="43"/>
      <c r="AQ31" s="21"/>
      <c r="AR31" s="21"/>
      <c r="AS31" s="21"/>
      <c r="AT31" s="33"/>
      <c r="AU31" s="33"/>
      <c r="AV31" s="33"/>
      <c r="AW31" s="71"/>
      <c r="AX31" s="71"/>
      <c r="AY31" s="71"/>
      <c r="AZ31" s="21"/>
      <c r="BA31" s="21"/>
      <c r="BB31" s="21"/>
      <c r="BC31" s="21"/>
      <c r="BD31" s="72"/>
      <c r="BE31" s="21"/>
    </row>
    <row r="32" customFormat="false" ht="14.1" hidden="true" customHeight="true" outlineLevel="1" collapsed="false">
      <c r="A32" s="79" t="s">
        <v>36</v>
      </c>
      <c r="B32" s="68"/>
      <c r="C32" s="69"/>
      <c r="D32" s="69"/>
      <c r="E32" s="35"/>
      <c r="F32" s="35"/>
      <c r="G32" s="39"/>
      <c r="H32" s="35"/>
      <c r="I32" s="24"/>
      <c r="J32" s="24"/>
      <c r="K32" s="24"/>
      <c r="L32" s="35"/>
      <c r="M32" s="24"/>
      <c r="N32" s="24"/>
      <c r="O32" s="24"/>
      <c r="P32" s="24"/>
      <c r="Q32" s="24"/>
      <c r="R32" s="76"/>
      <c r="S32" s="24"/>
      <c r="T32" s="24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4"/>
      <c r="AG32" s="24"/>
      <c r="AH32" s="24"/>
      <c r="AI32" s="24"/>
      <c r="AJ32" s="70"/>
      <c r="AK32" s="40"/>
      <c r="AL32" s="40"/>
      <c r="AM32" s="40"/>
      <c r="AN32" s="40"/>
      <c r="AO32" s="43"/>
      <c r="AP32" s="43"/>
      <c r="AQ32" s="21"/>
      <c r="AR32" s="21"/>
      <c r="AS32" s="21"/>
      <c r="AT32" s="33"/>
      <c r="AU32" s="33"/>
      <c r="AV32" s="33"/>
      <c r="AW32" s="71"/>
      <c r="AX32" s="71"/>
      <c r="AY32" s="71"/>
      <c r="AZ32" s="21"/>
      <c r="BA32" s="21"/>
      <c r="BB32" s="21"/>
      <c r="BC32" s="21"/>
      <c r="BD32" s="72"/>
      <c r="BE32" s="21"/>
    </row>
    <row r="33" customFormat="false" ht="14.1" hidden="true" customHeight="true" outlineLevel="1" collapsed="false">
      <c r="A33" s="69"/>
      <c r="B33" s="68"/>
      <c r="C33" s="69"/>
      <c r="D33" s="69"/>
      <c r="E33" s="35"/>
      <c r="F33" s="35"/>
      <c r="G33" s="39"/>
      <c r="H33" s="35"/>
      <c r="I33" s="24"/>
      <c r="J33" s="24"/>
      <c r="K33" s="24"/>
      <c r="L33" s="35"/>
      <c r="M33" s="24"/>
      <c r="N33" s="24"/>
      <c r="O33" s="24"/>
      <c r="P33" s="24"/>
      <c r="Q33" s="24"/>
      <c r="R33" s="76"/>
      <c r="S33" s="24"/>
      <c r="T33" s="24"/>
      <c r="U33" s="24"/>
      <c r="V33" s="24"/>
      <c r="W33" s="24"/>
      <c r="X33" s="24"/>
      <c r="Y33" s="24"/>
      <c r="Z33" s="24"/>
      <c r="AA33" s="24"/>
      <c r="AB33" s="24"/>
      <c r="AC33" s="24"/>
      <c r="AD33" s="24"/>
      <c r="AE33" s="24"/>
      <c r="AF33" s="24"/>
      <c r="AG33" s="24"/>
      <c r="AH33" s="24"/>
      <c r="AI33" s="24"/>
      <c r="AJ33" s="70"/>
      <c r="AK33" s="40"/>
      <c r="AL33" s="40"/>
      <c r="AM33" s="40"/>
      <c r="AN33" s="40"/>
      <c r="AO33" s="43"/>
      <c r="AP33" s="43"/>
      <c r="AQ33" s="21"/>
      <c r="AR33" s="21"/>
      <c r="AS33" s="21"/>
      <c r="AT33" s="33"/>
      <c r="AU33" s="33"/>
      <c r="AV33" s="33"/>
      <c r="AW33" s="71"/>
      <c r="AX33" s="71"/>
      <c r="AY33" s="71"/>
      <c r="AZ33" s="21"/>
      <c r="BA33" s="21"/>
      <c r="BB33" s="21"/>
      <c r="BC33" s="21"/>
      <c r="BD33" s="72"/>
      <c r="BE33" s="21"/>
    </row>
    <row r="34" customFormat="false" ht="14.1" hidden="true" customHeight="true" outlineLevel="1" collapsed="false">
      <c r="A34" s="69" t="s">
        <v>37</v>
      </c>
      <c r="B34" s="68"/>
      <c r="C34" s="69"/>
      <c r="D34" s="69"/>
      <c r="E34" s="35"/>
      <c r="F34" s="35"/>
      <c r="G34" s="39"/>
      <c r="H34" s="35"/>
      <c r="I34" s="24"/>
      <c r="J34" s="24"/>
      <c r="K34" s="24"/>
      <c r="L34" s="35"/>
      <c r="M34" s="24"/>
      <c r="N34" s="24"/>
      <c r="O34" s="24"/>
      <c r="P34" s="24"/>
      <c r="Q34" s="24"/>
      <c r="R34" s="76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70"/>
      <c r="AK34" s="40"/>
      <c r="AL34" s="40"/>
      <c r="AM34" s="40"/>
      <c r="AN34" s="40"/>
      <c r="AO34" s="43"/>
      <c r="AP34" s="43"/>
      <c r="AQ34" s="21"/>
      <c r="AR34" s="21"/>
      <c r="AS34" s="21"/>
      <c r="AT34" s="33"/>
      <c r="AU34" s="33"/>
      <c r="AV34" s="33"/>
      <c r="AW34" s="71"/>
      <c r="AX34" s="71"/>
      <c r="AY34" s="71"/>
      <c r="AZ34" s="21"/>
      <c r="BA34" s="21"/>
      <c r="BB34" s="21"/>
      <c r="BC34" s="21"/>
      <c r="BD34" s="72"/>
      <c r="BE34" s="21"/>
    </row>
    <row r="35" customFormat="false" ht="14.1" hidden="true" customHeight="true" outlineLevel="1" collapsed="false">
      <c r="A35" s="79" t="s">
        <v>38</v>
      </c>
      <c r="B35" s="68"/>
      <c r="C35" s="69"/>
      <c r="D35" s="69"/>
      <c r="E35" s="35"/>
      <c r="F35" s="35"/>
      <c r="G35" s="39"/>
      <c r="H35" s="35"/>
      <c r="I35" s="24"/>
      <c r="J35" s="24"/>
      <c r="K35" s="24"/>
      <c r="L35" s="35"/>
      <c r="M35" s="24"/>
      <c r="N35" s="24"/>
      <c r="O35" s="24"/>
      <c r="P35" s="24"/>
      <c r="Q35" s="24"/>
      <c r="R35" s="76"/>
      <c r="S35" s="24"/>
      <c r="T35" s="24"/>
      <c r="U35" s="24"/>
      <c r="V35" s="24"/>
      <c r="W35" s="24"/>
      <c r="X35" s="24"/>
      <c r="Y35" s="24"/>
      <c r="Z35" s="24"/>
      <c r="AA35" s="24"/>
      <c r="AB35" s="24"/>
      <c r="AC35" s="24"/>
      <c r="AD35" s="24"/>
      <c r="AE35" s="24"/>
      <c r="AF35" s="24"/>
      <c r="AG35" s="24"/>
      <c r="AH35" s="24"/>
      <c r="AI35" s="24"/>
      <c r="AJ35" s="70"/>
      <c r="AK35" s="40"/>
      <c r="AL35" s="40"/>
      <c r="AM35" s="40"/>
      <c r="AN35" s="40"/>
      <c r="AO35" s="43"/>
      <c r="AP35" s="43"/>
      <c r="AQ35" s="21"/>
      <c r="AR35" s="21"/>
      <c r="AS35" s="21"/>
      <c r="AT35" s="33"/>
      <c r="AU35" s="33"/>
      <c r="AV35" s="33"/>
      <c r="AW35" s="71"/>
      <c r="AX35" s="71"/>
      <c r="AY35" s="71"/>
      <c r="AZ35" s="21"/>
      <c r="BA35" s="21"/>
      <c r="BB35" s="21"/>
      <c r="BC35" s="21"/>
      <c r="BD35" s="72"/>
      <c r="BE35" s="21"/>
    </row>
    <row r="36" customFormat="false" ht="14.1" hidden="true" customHeight="true" outlineLevel="1" collapsed="false">
      <c r="A36" s="67" t="s">
        <v>39</v>
      </c>
      <c r="B36" s="68"/>
      <c r="C36" s="69"/>
      <c r="D36" s="69"/>
      <c r="E36" s="35"/>
      <c r="F36" s="35"/>
      <c r="G36" s="39"/>
      <c r="H36" s="35"/>
      <c r="I36" s="24"/>
      <c r="J36" s="24"/>
      <c r="K36" s="24"/>
      <c r="L36" s="35"/>
      <c r="M36" s="24"/>
      <c r="N36" s="24"/>
      <c r="O36" s="24"/>
      <c r="P36" s="24"/>
      <c r="Q36" s="24"/>
      <c r="R36" s="76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70"/>
      <c r="AK36" s="40"/>
      <c r="AL36" s="40"/>
      <c r="AM36" s="40"/>
      <c r="AN36" s="40"/>
      <c r="AO36" s="43"/>
      <c r="AP36" s="43"/>
      <c r="AQ36" s="21"/>
      <c r="AR36" s="21"/>
      <c r="AS36" s="21"/>
      <c r="AT36" s="33"/>
      <c r="AU36" s="33"/>
      <c r="AV36" s="33"/>
      <c r="AW36" s="71"/>
      <c r="AX36" s="71"/>
      <c r="AY36" s="71"/>
      <c r="AZ36" s="21"/>
      <c r="BA36" s="21"/>
      <c r="BB36" s="21"/>
      <c r="BC36" s="21"/>
      <c r="BD36" s="72"/>
      <c r="BE36" s="21"/>
    </row>
    <row r="37" customFormat="false" ht="14.1" hidden="true" customHeight="true" outlineLevel="1" collapsed="false">
      <c r="A37" s="79" t="s">
        <v>40</v>
      </c>
      <c r="B37" s="68"/>
      <c r="C37" s="69"/>
      <c r="D37" s="69"/>
      <c r="E37" s="35"/>
      <c r="F37" s="35"/>
      <c r="G37" s="39"/>
      <c r="H37" s="35"/>
      <c r="I37" s="24"/>
      <c r="J37" s="24"/>
      <c r="K37" s="24"/>
      <c r="L37" s="35"/>
      <c r="M37" s="24"/>
      <c r="N37" s="24"/>
      <c r="O37" s="24"/>
      <c r="P37" s="24"/>
      <c r="Q37" s="24"/>
      <c r="R37" s="76"/>
      <c r="S37" s="24"/>
      <c r="T37" s="24"/>
      <c r="U37" s="24"/>
      <c r="V37" s="24"/>
      <c r="W37" s="24"/>
      <c r="X37" s="24"/>
      <c r="Y37" s="24"/>
      <c r="Z37" s="24"/>
      <c r="AA37" s="24"/>
      <c r="AB37" s="24"/>
      <c r="AC37" s="24"/>
      <c r="AD37" s="24"/>
      <c r="AE37" s="24"/>
      <c r="AF37" s="24"/>
      <c r="AG37" s="24"/>
      <c r="AH37" s="24"/>
      <c r="AI37" s="24"/>
      <c r="AJ37" s="70"/>
      <c r="AK37" s="40"/>
      <c r="AL37" s="40"/>
      <c r="AM37" s="40"/>
      <c r="AN37" s="40"/>
      <c r="AO37" s="43"/>
      <c r="AP37" s="43"/>
      <c r="AQ37" s="21"/>
      <c r="AR37" s="21"/>
      <c r="AS37" s="21"/>
      <c r="AT37" s="33"/>
      <c r="AU37" s="33"/>
      <c r="AV37" s="33"/>
      <c r="AW37" s="71"/>
      <c r="AX37" s="71"/>
      <c r="AY37" s="71"/>
      <c r="AZ37" s="21"/>
      <c r="BA37" s="21"/>
      <c r="BB37" s="21"/>
      <c r="BC37" s="21"/>
      <c r="BD37" s="72"/>
      <c r="BE37" s="21"/>
    </row>
    <row r="38" customFormat="false" ht="14.1" hidden="true" customHeight="true" outlineLevel="1" collapsed="false">
      <c r="A38" s="69"/>
      <c r="B38" s="68"/>
      <c r="C38" s="69"/>
      <c r="D38" s="69"/>
      <c r="E38" s="35"/>
      <c r="F38" s="35"/>
      <c r="G38" s="39"/>
      <c r="H38" s="35"/>
      <c r="I38" s="24"/>
      <c r="J38" s="24"/>
      <c r="K38" s="24"/>
      <c r="L38" s="35"/>
      <c r="M38" s="24"/>
      <c r="N38" s="24"/>
      <c r="O38" s="24"/>
      <c r="P38" s="24"/>
      <c r="Q38" s="24"/>
      <c r="R38" s="76"/>
      <c r="S38" s="24"/>
      <c r="T38" s="24"/>
      <c r="U38" s="24"/>
      <c r="V38" s="24"/>
      <c r="W38" s="24"/>
      <c r="X38" s="24"/>
      <c r="Y38" s="24"/>
      <c r="Z38" s="24"/>
      <c r="AA38" s="24"/>
      <c r="AB38" s="24"/>
      <c r="AC38" s="24"/>
      <c r="AD38" s="24"/>
      <c r="AE38" s="24"/>
      <c r="AF38" s="24"/>
      <c r="AG38" s="24"/>
      <c r="AH38" s="24"/>
      <c r="AI38" s="24"/>
      <c r="AJ38" s="70"/>
      <c r="AK38" s="40"/>
      <c r="AL38" s="40"/>
      <c r="AM38" s="40"/>
      <c r="AN38" s="40"/>
      <c r="AO38" s="43"/>
      <c r="AP38" s="43"/>
      <c r="AQ38" s="21"/>
      <c r="AR38" s="21"/>
      <c r="AS38" s="21"/>
      <c r="AT38" s="33"/>
      <c r="AU38" s="33"/>
      <c r="AV38" s="33"/>
      <c r="AW38" s="71"/>
      <c r="AX38" s="71"/>
      <c r="AY38" s="71"/>
      <c r="AZ38" s="21"/>
      <c r="BA38" s="21"/>
      <c r="BB38" s="21"/>
      <c r="BC38" s="21"/>
      <c r="BD38" s="72"/>
      <c r="BE38" s="21"/>
    </row>
    <row r="39" customFormat="false" ht="14.1" hidden="true" customHeight="true" outlineLevel="1" collapsed="false">
      <c r="A39" s="69" t="s">
        <v>41</v>
      </c>
      <c r="B39" s="68"/>
      <c r="C39" s="69"/>
      <c r="D39" s="69"/>
      <c r="E39" s="35"/>
      <c r="F39" s="35"/>
      <c r="G39" s="39"/>
      <c r="H39" s="35"/>
      <c r="I39" s="24"/>
      <c r="J39" s="24"/>
      <c r="K39" s="24"/>
      <c r="L39" s="35"/>
      <c r="M39" s="24"/>
      <c r="N39" s="24"/>
      <c r="O39" s="24"/>
      <c r="P39" s="24"/>
      <c r="Q39" s="24"/>
      <c r="R39" s="76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24"/>
      <c r="AG39" s="24"/>
      <c r="AH39" s="24"/>
      <c r="AI39" s="24"/>
      <c r="AJ39" s="70"/>
      <c r="AK39" s="40"/>
      <c r="AL39" s="40"/>
      <c r="AM39" s="40"/>
      <c r="AN39" s="40"/>
      <c r="AO39" s="43"/>
      <c r="AP39" s="43"/>
      <c r="AQ39" s="21"/>
      <c r="AR39" s="21"/>
      <c r="AS39" s="21"/>
      <c r="AT39" s="33"/>
      <c r="AU39" s="33"/>
      <c r="AV39" s="33"/>
      <c r="AW39" s="71"/>
      <c r="AX39" s="71"/>
      <c r="AY39" s="71"/>
      <c r="AZ39" s="21"/>
      <c r="BA39" s="21"/>
      <c r="BB39" s="21"/>
      <c r="BC39" s="21"/>
      <c r="BD39" s="72"/>
      <c r="BE39" s="21"/>
    </row>
    <row r="40" customFormat="false" ht="14.1" hidden="true" customHeight="true" outlineLevel="1" collapsed="false">
      <c r="A40" s="79" t="s">
        <v>42</v>
      </c>
      <c r="B40" s="68"/>
      <c r="C40" s="69"/>
      <c r="D40" s="69"/>
      <c r="E40" s="35"/>
      <c r="F40" s="35"/>
      <c r="G40" s="39"/>
      <c r="H40" s="35"/>
      <c r="I40" s="24"/>
      <c r="J40" s="24"/>
      <c r="K40" s="24"/>
      <c r="L40" s="35"/>
      <c r="M40" s="24"/>
      <c r="N40" s="24"/>
      <c r="O40" s="24"/>
      <c r="P40" s="24"/>
      <c r="Q40" s="24"/>
      <c r="R40" s="76"/>
      <c r="S40" s="24"/>
      <c r="T40" s="24"/>
      <c r="U40" s="24"/>
      <c r="V40" s="24"/>
      <c r="W40" s="24"/>
      <c r="X40" s="24"/>
      <c r="Y40" s="24"/>
      <c r="Z40" s="24"/>
      <c r="AA40" s="24"/>
      <c r="AB40" s="24"/>
      <c r="AC40" s="24"/>
      <c r="AD40" s="24"/>
      <c r="AE40" s="24"/>
      <c r="AF40" s="24"/>
      <c r="AG40" s="24"/>
      <c r="AH40" s="24"/>
      <c r="AI40" s="24"/>
      <c r="AJ40" s="70"/>
      <c r="AK40" s="40"/>
      <c r="AL40" s="40"/>
      <c r="AM40" s="40"/>
      <c r="AN40" s="40"/>
      <c r="AO40" s="43"/>
      <c r="AP40" s="43"/>
      <c r="AQ40" s="21"/>
      <c r="AR40" s="21"/>
      <c r="AS40" s="21"/>
      <c r="AT40" s="33"/>
      <c r="AU40" s="33"/>
      <c r="AV40" s="33"/>
      <c r="AW40" s="71"/>
      <c r="AX40" s="71"/>
      <c r="AY40" s="71"/>
      <c r="AZ40" s="21"/>
      <c r="BA40" s="21"/>
      <c r="BB40" s="21"/>
      <c r="BC40" s="21"/>
      <c r="BD40" s="72"/>
      <c r="BE40" s="21"/>
    </row>
    <row r="41" customFormat="false" ht="14.1" hidden="true" customHeight="true" outlineLevel="1" collapsed="false">
      <c r="A41" s="67" t="s">
        <v>43</v>
      </c>
      <c r="B41" s="68"/>
      <c r="C41" s="69"/>
      <c r="D41" s="69"/>
      <c r="E41" s="35"/>
      <c r="F41" s="35"/>
      <c r="G41" s="39"/>
      <c r="H41" s="35"/>
      <c r="I41" s="24"/>
      <c r="J41" s="24"/>
      <c r="K41" s="24"/>
      <c r="L41" s="35"/>
      <c r="M41" s="24"/>
      <c r="N41" s="24"/>
      <c r="O41" s="24"/>
      <c r="P41" s="24"/>
      <c r="Q41" s="24"/>
      <c r="R41" s="76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  <c r="AJ41" s="70"/>
      <c r="AK41" s="40"/>
      <c r="AL41" s="40"/>
      <c r="AM41" s="40"/>
      <c r="AN41" s="40"/>
      <c r="AO41" s="43"/>
      <c r="AP41" s="43"/>
      <c r="AQ41" s="21"/>
      <c r="AR41" s="21"/>
      <c r="AS41" s="21"/>
      <c r="AT41" s="33"/>
      <c r="AU41" s="33"/>
      <c r="AV41" s="33"/>
      <c r="AW41" s="71"/>
      <c r="AX41" s="71"/>
      <c r="AY41" s="71"/>
      <c r="AZ41" s="21"/>
      <c r="BA41" s="21"/>
      <c r="BB41" s="21"/>
      <c r="BC41" s="21"/>
      <c r="BD41" s="72"/>
      <c r="BE41" s="21"/>
    </row>
    <row r="42" customFormat="false" ht="14.1" hidden="true" customHeight="true" outlineLevel="1" collapsed="false">
      <c r="A42" s="80" t="s">
        <v>36</v>
      </c>
      <c r="B42" s="68"/>
      <c r="C42" s="69"/>
      <c r="D42" s="69"/>
      <c r="E42" s="35"/>
      <c r="F42" s="35"/>
      <c r="G42" s="39"/>
      <c r="H42" s="35"/>
      <c r="I42" s="24"/>
      <c r="J42" s="24"/>
      <c r="K42" s="24"/>
      <c r="L42" s="35"/>
      <c r="M42" s="24"/>
      <c r="N42" s="24"/>
      <c r="O42" s="24"/>
      <c r="P42" s="24"/>
      <c r="Q42" s="24"/>
      <c r="R42" s="76"/>
      <c r="S42" s="24"/>
      <c r="T42" s="24"/>
      <c r="U42" s="24"/>
      <c r="V42" s="24"/>
      <c r="W42" s="24"/>
      <c r="X42" s="24"/>
      <c r="Y42" s="24"/>
      <c r="Z42" s="24"/>
      <c r="AA42" s="24"/>
      <c r="AB42" s="24"/>
      <c r="AC42" s="24"/>
      <c r="AD42" s="24"/>
      <c r="AE42" s="24"/>
      <c r="AF42" s="24"/>
      <c r="AG42" s="24"/>
      <c r="AH42" s="24"/>
      <c r="AI42" s="24"/>
      <c r="AJ42" s="70"/>
      <c r="AK42" s="40"/>
      <c r="AL42" s="40"/>
      <c r="AM42" s="40"/>
      <c r="AN42" s="40"/>
      <c r="AO42" s="43"/>
      <c r="AP42" s="43"/>
      <c r="AQ42" s="21"/>
      <c r="AR42" s="21"/>
      <c r="AS42" s="21"/>
      <c r="AT42" s="33"/>
      <c r="AU42" s="33"/>
      <c r="AV42" s="33"/>
      <c r="AW42" s="71"/>
      <c r="AX42" s="71"/>
      <c r="AY42" s="71"/>
      <c r="AZ42" s="21"/>
      <c r="BA42" s="21"/>
      <c r="BB42" s="21"/>
      <c r="BC42" s="21"/>
      <c r="BD42" s="72"/>
      <c r="BE42" s="21"/>
    </row>
    <row r="43" customFormat="false" ht="14.1" hidden="true" customHeight="true" outlineLevel="1" collapsed="false">
      <c r="A43" s="67"/>
      <c r="B43" s="68"/>
      <c r="C43" s="69"/>
      <c r="D43" s="69"/>
      <c r="E43" s="35"/>
      <c r="F43" s="35"/>
      <c r="G43" s="39"/>
      <c r="H43" s="35"/>
      <c r="I43" s="24"/>
      <c r="J43" s="24"/>
      <c r="K43" s="24"/>
      <c r="L43" s="35"/>
      <c r="M43" s="24"/>
      <c r="N43" s="24"/>
      <c r="O43" s="24"/>
      <c r="P43" s="24"/>
      <c r="Q43" s="24"/>
      <c r="R43" s="76"/>
      <c r="S43" s="24"/>
      <c r="T43" s="24"/>
      <c r="U43" s="24"/>
      <c r="V43" s="24"/>
      <c r="W43" s="24"/>
      <c r="X43" s="24"/>
      <c r="Y43" s="24"/>
      <c r="Z43" s="24"/>
      <c r="AA43" s="24"/>
      <c r="AB43" s="24"/>
      <c r="AC43" s="24"/>
      <c r="AD43" s="24"/>
      <c r="AE43" s="24"/>
      <c r="AF43" s="24"/>
      <c r="AG43" s="24"/>
      <c r="AH43" s="24"/>
      <c r="AI43" s="24"/>
      <c r="AJ43" s="70"/>
      <c r="AK43" s="40"/>
      <c r="AL43" s="40"/>
      <c r="AM43" s="40"/>
      <c r="AN43" s="40"/>
      <c r="AO43" s="43"/>
      <c r="AP43" s="43"/>
      <c r="AQ43" s="21"/>
      <c r="AR43" s="21"/>
      <c r="AS43" s="21"/>
      <c r="AT43" s="33"/>
      <c r="AU43" s="33"/>
      <c r="AV43" s="33"/>
      <c r="AW43" s="71"/>
      <c r="AX43" s="71"/>
      <c r="AY43" s="71"/>
      <c r="AZ43" s="21"/>
      <c r="BA43" s="21"/>
      <c r="BB43" s="21"/>
      <c r="BC43" s="21"/>
      <c r="BD43" s="72"/>
      <c r="BE43" s="21"/>
    </row>
    <row r="44" customFormat="false" ht="14.1" hidden="false" customHeight="true" outlineLevel="0" collapsed="false">
      <c r="A44" s="77" t="s">
        <v>32</v>
      </c>
      <c r="B44" s="77"/>
      <c r="C44" s="81" t="s">
        <v>44</v>
      </c>
      <c r="D44" s="69"/>
      <c r="E44" s="35"/>
      <c r="F44" s="35"/>
      <c r="G44" s="39"/>
      <c r="H44" s="35"/>
      <c r="I44" s="24"/>
      <c r="J44" s="24"/>
      <c r="K44" s="24"/>
      <c r="L44" s="35"/>
      <c r="M44" s="24"/>
      <c r="N44" s="24"/>
      <c r="O44" s="24"/>
      <c r="P44" s="24"/>
      <c r="Q44" s="24"/>
      <c r="R44" s="76"/>
      <c r="S44" s="24"/>
      <c r="T44" s="24"/>
      <c r="U44" s="24"/>
      <c r="V44" s="24"/>
      <c r="W44" s="24"/>
      <c r="X44" s="24"/>
      <c r="Y44" s="24"/>
      <c r="Z44" s="24"/>
      <c r="AA44" s="24"/>
      <c r="AB44" s="24"/>
      <c r="AC44" s="24"/>
      <c r="AD44" s="24"/>
      <c r="AE44" s="24"/>
      <c r="AF44" s="24"/>
      <c r="AG44" s="24"/>
      <c r="AH44" s="24"/>
      <c r="AI44" s="24"/>
      <c r="AJ44" s="70"/>
      <c r="AK44" s="40"/>
      <c r="AL44" s="40"/>
      <c r="AM44" s="40"/>
      <c r="AN44" s="40"/>
      <c r="AO44" s="43"/>
      <c r="AP44" s="43"/>
      <c r="AQ44" s="21"/>
      <c r="AR44" s="21"/>
      <c r="AS44" s="21"/>
      <c r="AT44" s="33"/>
      <c r="AU44" s="33"/>
      <c r="AV44" s="33"/>
      <c r="AW44" s="71"/>
      <c r="AX44" s="71"/>
      <c r="AY44" s="71"/>
      <c r="AZ44" s="21"/>
      <c r="BA44" s="21"/>
      <c r="BB44" s="21"/>
      <c r="BC44" s="21"/>
      <c r="BD44" s="72"/>
      <c r="BE44" s="21"/>
    </row>
    <row r="45" customFormat="false" ht="14.1" hidden="false" customHeight="true" outlineLevel="0" collapsed="false">
      <c r="A45" s="69"/>
      <c r="B45" s="68"/>
      <c r="C45" s="69"/>
      <c r="D45" s="69"/>
      <c r="E45" s="35"/>
      <c r="F45" s="35"/>
      <c r="G45" s="39"/>
      <c r="H45" s="35"/>
      <c r="I45" s="24"/>
      <c r="J45" s="24"/>
      <c r="K45" s="24"/>
      <c r="L45" s="35"/>
      <c r="M45" s="24"/>
      <c r="N45" s="24"/>
      <c r="O45" s="24"/>
      <c r="P45" s="24"/>
      <c r="Q45" s="24"/>
      <c r="R45" s="76"/>
      <c r="S45" s="24"/>
      <c r="T45" s="24"/>
      <c r="U45" s="24"/>
      <c r="V45" s="24"/>
      <c r="W45" s="24"/>
      <c r="X45" s="24"/>
      <c r="Y45" s="24"/>
      <c r="Z45" s="24"/>
      <c r="AA45" s="24"/>
      <c r="AB45" s="24"/>
      <c r="AC45" s="24"/>
      <c r="AD45" s="24"/>
      <c r="AE45" s="24"/>
      <c r="AF45" s="24"/>
      <c r="AG45" s="24"/>
      <c r="AH45" s="24"/>
      <c r="AI45" s="24"/>
      <c r="AJ45" s="70"/>
      <c r="AK45" s="40"/>
      <c r="AL45" s="40"/>
      <c r="AM45" s="40"/>
      <c r="AN45" s="40"/>
      <c r="AO45" s="43"/>
      <c r="AP45" s="43"/>
      <c r="AQ45" s="21"/>
      <c r="AR45" s="21"/>
      <c r="AS45" s="21"/>
      <c r="AT45" s="33"/>
      <c r="AU45" s="33"/>
      <c r="AV45" s="33"/>
      <c r="AW45" s="71"/>
      <c r="AX45" s="71"/>
      <c r="AY45" s="71"/>
      <c r="AZ45" s="21"/>
      <c r="BA45" s="21"/>
      <c r="BB45" s="21"/>
      <c r="BC45" s="21"/>
      <c r="BD45" s="72"/>
      <c r="BE45" s="21"/>
    </row>
    <row r="46" customFormat="false" ht="14.1" hidden="true" customHeight="true" outlineLevel="1" collapsed="false">
      <c r="A46" s="77" t="s">
        <v>45</v>
      </c>
      <c r="B46" s="77"/>
      <c r="C46" s="69"/>
      <c r="D46" s="69"/>
      <c r="E46" s="35"/>
      <c r="F46" s="35"/>
      <c r="G46" s="39"/>
      <c r="H46" s="35"/>
      <c r="I46" s="24"/>
      <c r="J46" s="24"/>
      <c r="K46" s="82"/>
      <c r="L46" s="24"/>
      <c r="M46" s="24"/>
      <c r="N46" s="24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70"/>
      <c r="AK46" s="40"/>
      <c r="AL46" s="40"/>
      <c r="AM46" s="40"/>
      <c r="AN46" s="40"/>
      <c r="AO46" s="43"/>
      <c r="AP46" s="43"/>
      <c r="AQ46" s="21"/>
      <c r="AR46" s="21"/>
      <c r="AS46" s="21"/>
      <c r="AT46" s="33"/>
      <c r="AU46" s="33"/>
      <c r="AV46" s="33"/>
      <c r="AW46" s="71"/>
      <c r="AX46" s="71"/>
      <c r="AY46" s="71"/>
      <c r="AZ46" s="21"/>
      <c r="BA46" s="21"/>
      <c r="BB46" s="21"/>
      <c r="BC46" s="21"/>
      <c r="BD46" s="72"/>
      <c r="BE46" s="21"/>
    </row>
    <row r="47" customFormat="false" ht="14.1" hidden="true" customHeight="true" outlineLevel="1" collapsed="false">
      <c r="A47" s="83" t="s">
        <v>46</v>
      </c>
      <c r="B47" s="37" t="s">
        <v>12</v>
      </c>
      <c r="C47" s="37" t="s">
        <v>13</v>
      </c>
      <c r="D47" s="69"/>
      <c r="E47" s="35"/>
      <c r="F47" s="35"/>
      <c r="G47" s="39"/>
      <c r="H47" s="35"/>
      <c r="I47" s="24"/>
      <c r="J47" s="35"/>
      <c r="K47" s="41"/>
      <c r="L47" s="52"/>
      <c r="M47" s="24"/>
      <c r="N47" s="24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70"/>
      <c r="AK47" s="40"/>
      <c r="AL47" s="40"/>
      <c r="AM47" s="40"/>
      <c r="AN47" s="40"/>
      <c r="AO47" s="43"/>
      <c r="AP47" s="43"/>
      <c r="AQ47" s="21"/>
      <c r="AR47" s="21"/>
      <c r="AS47" s="21"/>
      <c r="AT47" s="33"/>
      <c r="AU47" s="33"/>
      <c r="AV47" s="33"/>
      <c r="AW47" s="71"/>
      <c r="AX47" s="71"/>
      <c r="AY47" s="71"/>
      <c r="AZ47" s="21"/>
      <c r="BA47" s="21"/>
      <c r="BB47" s="21"/>
      <c r="BC47" s="21"/>
      <c r="BD47" s="72"/>
      <c r="BE47" s="21"/>
    </row>
    <row r="48" customFormat="false" ht="14.1" hidden="true" customHeight="true" outlineLevel="1" collapsed="false">
      <c r="A48" s="84" t="s">
        <v>47</v>
      </c>
      <c r="B48" s="45" t="s">
        <v>48</v>
      </c>
      <c r="C48" s="46" t="n">
        <v>2</v>
      </c>
      <c r="D48" s="69"/>
      <c r="E48" s="35"/>
      <c r="F48" s="35"/>
      <c r="G48" s="39"/>
      <c r="H48" s="35"/>
      <c r="I48" s="24"/>
      <c r="J48" s="35"/>
      <c r="K48" s="24"/>
      <c r="L48" s="24"/>
      <c r="M48" s="24"/>
      <c r="N48" s="24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70"/>
      <c r="AK48" s="40"/>
      <c r="AL48" s="40"/>
      <c r="AM48" s="40"/>
      <c r="AN48" s="40"/>
      <c r="AO48" s="43"/>
      <c r="AP48" s="43"/>
      <c r="AQ48" s="21"/>
      <c r="AR48" s="21"/>
      <c r="AS48" s="21"/>
      <c r="AT48" s="33"/>
      <c r="AU48" s="33"/>
      <c r="AV48" s="33"/>
      <c r="AW48" s="71"/>
      <c r="AX48" s="71"/>
      <c r="AY48" s="71"/>
      <c r="AZ48" s="21"/>
      <c r="BA48" s="21"/>
      <c r="BB48" s="21"/>
      <c r="BC48" s="21"/>
      <c r="BD48" s="72"/>
      <c r="BE48" s="21"/>
    </row>
    <row r="49" customFormat="false" ht="14.1" hidden="true" customHeight="true" outlineLevel="1" collapsed="false">
      <c r="A49" s="85" t="s">
        <v>49</v>
      </c>
      <c r="B49" s="45" t="s">
        <v>15</v>
      </c>
      <c r="C49" s="86" t="n">
        <v>4</v>
      </c>
      <c r="D49" s="69"/>
      <c r="E49" s="35"/>
      <c r="F49" s="35"/>
      <c r="G49" s="39"/>
      <c r="H49" s="35"/>
      <c r="I49" s="82"/>
      <c r="J49" s="24"/>
      <c r="K49" s="24"/>
      <c r="L49" s="24"/>
      <c r="M49" s="24"/>
      <c r="N49" s="24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70"/>
      <c r="AK49" s="40"/>
      <c r="AL49" s="40"/>
      <c r="AM49" s="40"/>
      <c r="AN49" s="40"/>
      <c r="AO49" s="43"/>
      <c r="AP49" s="43"/>
      <c r="AQ49" s="21"/>
      <c r="AR49" s="21"/>
      <c r="AS49" s="21"/>
      <c r="AT49" s="33"/>
      <c r="AU49" s="33"/>
      <c r="AV49" s="33"/>
      <c r="AW49" s="71"/>
      <c r="AX49" s="71"/>
      <c r="AY49" s="71"/>
      <c r="AZ49" s="21"/>
      <c r="BA49" s="21"/>
      <c r="BB49" s="21"/>
      <c r="BC49" s="21"/>
      <c r="BD49" s="72"/>
      <c r="BE49" s="21"/>
    </row>
    <row r="50" customFormat="false" ht="14.1" hidden="true" customHeight="true" outlineLevel="1" collapsed="false">
      <c r="A50" s="85" t="s">
        <v>50</v>
      </c>
      <c r="B50" s="45" t="s">
        <v>15</v>
      </c>
      <c r="C50" s="86" t="n">
        <v>5</v>
      </c>
      <c r="D50" s="69"/>
      <c r="E50" s="35"/>
      <c r="F50" s="35"/>
      <c r="G50" s="39"/>
      <c r="H50" s="40"/>
      <c r="I50" s="24"/>
      <c r="J50" s="52"/>
      <c r="K50" s="24"/>
      <c r="L50" s="24"/>
      <c r="M50" s="24"/>
      <c r="N50" s="24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70"/>
      <c r="AK50" s="40"/>
      <c r="AL50" s="40"/>
      <c r="AM50" s="40"/>
      <c r="AN50" s="40"/>
      <c r="AO50" s="43"/>
      <c r="AP50" s="43"/>
      <c r="AQ50" s="21"/>
      <c r="AR50" s="21"/>
      <c r="AS50" s="21"/>
      <c r="AT50" s="33"/>
      <c r="AU50" s="33"/>
      <c r="AV50" s="33"/>
      <c r="AW50" s="71"/>
      <c r="AX50" s="71"/>
      <c r="AY50" s="71"/>
      <c r="AZ50" s="21"/>
      <c r="BA50" s="21"/>
      <c r="BB50" s="21"/>
      <c r="BC50" s="21"/>
      <c r="BD50" s="72"/>
      <c r="BE50" s="21"/>
    </row>
    <row r="51" customFormat="false" ht="14.1" hidden="true" customHeight="true" outlineLevel="1" collapsed="false">
      <c r="A51" s="67" t="s">
        <v>51</v>
      </c>
      <c r="B51" s="45" t="s">
        <v>15</v>
      </c>
      <c r="C51" s="86" t="n">
        <v>2</v>
      </c>
      <c r="D51" s="69"/>
      <c r="E51" s="35"/>
      <c r="F51" s="35"/>
      <c r="G51" s="39"/>
      <c r="H51" s="40"/>
      <c r="I51" s="24"/>
      <c r="J51" s="24"/>
      <c r="K51" s="24"/>
      <c r="L51" s="24"/>
      <c r="M51" s="24"/>
      <c r="N51" s="24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70"/>
      <c r="AK51" s="40"/>
      <c r="AL51" s="40"/>
      <c r="AM51" s="40"/>
      <c r="AN51" s="40"/>
      <c r="AO51" s="43"/>
      <c r="AP51" s="43"/>
      <c r="AQ51" s="21"/>
      <c r="AR51" s="21"/>
      <c r="AS51" s="21"/>
      <c r="AT51" s="33"/>
      <c r="AU51" s="33"/>
      <c r="AV51" s="33"/>
      <c r="AW51" s="71"/>
      <c r="AX51" s="71"/>
      <c r="AY51" s="71"/>
      <c r="AZ51" s="21"/>
      <c r="BA51" s="21"/>
      <c r="BB51" s="21"/>
      <c r="BC51" s="21"/>
      <c r="BD51" s="72"/>
      <c r="BE51" s="21"/>
    </row>
    <row r="52" customFormat="false" ht="14.1" hidden="true" customHeight="true" outlineLevel="1" collapsed="false">
      <c r="A52" s="44" t="s">
        <v>52</v>
      </c>
      <c r="B52" s="45" t="s">
        <v>15</v>
      </c>
      <c r="C52" s="86" t="n">
        <v>1.5</v>
      </c>
      <c r="D52" s="69"/>
      <c r="E52" s="35"/>
      <c r="F52" s="35"/>
      <c r="G52" s="39"/>
      <c r="H52" s="40"/>
      <c r="I52" s="24"/>
      <c r="J52" s="24"/>
      <c r="K52" s="24"/>
      <c r="L52" s="24"/>
      <c r="M52" s="24"/>
      <c r="N52" s="24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70"/>
      <c r="AK52" s="40"/>
      <c r="AL52" s="40"/>
      <c r="AM52" s="40"/>
      <c r="AN52" s="40"/>
      <c r="AO52" s="43"/>
      <c r="AP52" s="43"/>
      <c r="AQ52" s="21"/>
      <c r="AR52" s="21"/>
      <c r="AS52" s="21"/>
      <c r="AT52" s="33"/>
      <c r="AU52" s="33"/>
      <c r="AV52" s="33"/>
      <c r="AW52" s="71"/>
      <c r="AX52" s="71"/>
      <c r="AY52" s="71"/>
      <c r="AZ52" s="21"/>
      <c r="BA52" s="21"/>
      <c r="BB52" s="21"/>
      <c r="BC52" s="21"/>
      <c r="BD52" s="72"/>
      <c r="BE52" s="21"/>
    </row>
    <row r="53" customFormat="false" ht="14.1" hidden="true" customHeight="true" outlineLevel="1" collapsed="false">
      <c r="A53" s="85" t="s">
        <v>17</v>
      </c>
      <c r="B53" s="45" t="s">
        <v>15</v>
      </c>
      <c r="C53" s="86" t="n">
        <v>3.2</v>
      </c>
      <c r="D53" s="69"/>
      <c r="E53" s="35"/>
      <c r="F53" s="35"/>
      <c r="G53" s="39"/>
      <c r="H53" s="40"/>
      <c r="I53" s="24"/>
      <c r="J53" s="24"/>
      <c r="K53" s="24"/>
      <c r="L53" s="24"/>
      <c r="M53" s="24"/>
      <c r="N53" s="24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70"/>
      <c r="AK53" s="40"/>
      <c r="AL53" s="40"/>
      <c r="AM53" s="40"/>
      <c r="AN53" s="40"/>
      <c r="AO53" s="43"/>
      <c r="AP53" s="43"/>
      <c r="AQ53" s="21"/>
      <c r="AR53" s="21"/>
      <c r="AS53" s="21"/>
      <c r="AT53" s="33"/>
      <c r="AU53" s="33"/>
      <c r="AV53" s="33"/>
      <c r="AW53" s="71"/>
      <c r="AX53" s="71"/>
      <c r="AY53" s="71"/>
      <c r="AZ53" s="21"/>
      <c r="BA53" s="21"/>
      <c r="BB53" s="21"/>
      <c r="BC53" s="21"/>
      <c r="BD53" s="72"/>
      <c r="BE53" s="21"/>
    </row>
    <row r="54" customFormat="false" ht="14.1" hidden="true" customHeight="true" outlineLevel="1" collapsed="false">
      <c r="A54" s="85" t="s">
        <v>18</v>
      </c>
      <c r="B54" s="45" t="s">
        <v>15</v>
      </c>
      <c r="C54" s="86" t="n">
        <v>2.2</v>
      </c>
      <c r="D54" s="69"/>
      <c r="E54" s="35"/>
      <c r="F54" s="35"/>
      <c r="G54" s="39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70"/>
      <c r="AK54" s="40"/>
      <c r="AL54" s="40"/>
      <c r="AM54" s="40"/>
      <c r="AN54" s="40"/>
      <c r="AO54" s="43"/>
      <c r="AP54" s="43"/>
      <c r="AQ54" s="21"/>
      <c r="AR54" s="21"/>
      <c r="AS54" s="21"/>
      <c r="AT54" s="33"/>
      <c r="AU54" s="33"/>
      <c r="AV54" s="33"/>
      <c r="AW54" s="71"/>
      <c r="AX54" s="71"/>
      <c r="AY54" s="71"/>
      <c r="AZ54" s="21"/>
      <c r="BA54" s="21"/>
      <c r="BB54" s="21"/>
      <c r="BC54" s="21"/>
      <c r="BD54" s="72"/>
      <c r="BE54" s="21"/>
    </row>
    <row r="55" customFormat="false" ht="14.1" hidden="true" customHeight="true" outlineLevel="1" collapsed="false">
      <c r="A55" s="87" t="s">
        <v>53</v>
      </c>
      <c r="B55" s="45" t="s">
        <v>15</v>
      </c>
      <c r="C55" s="86" t="n">
        <v>8</v>
      </c>
      <c r="D55" s="69"/>
      <c r="E55" s="35"/>
      <c r="F55" s="35"/>
      <c r="G55" s="39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70"/>
      <c r="AK55" s="40"/>
      <c r="AL55" s="40"/>
      <c r="AM55" s="40"/>
      <c r="AN55" s="40"/>
      <c r="AO55" s="43"/>
      <c r="AP55" s="43"/>
      <c r="AQ55" s="21"/>
      <c r="AR55" s="21"/>
      <c r="AS55" s="21"/>
      <c r="AT55" s="33"/>
      <c r="AU55" s="33"/>
      <c r="AV55" s="33"/>
      <c r="AW55" s="71"/>
      <c r="AX55" s="71"/>
      <c r="AY55" s="71"/>
      <c r="AZ55" s="21"/>
      <c r="BA55" s="21"/>
      <c r="BB55" s="21"/>
      <c r="BC55" s="21"/>
      <c r="BD55" s="72"/>
      <c r="BE55" s="21"/>
    </row>
    <row r="56" customFormat="false" ht="14.1" hidden="true" customHeight="true" outlineLevel="1" collapsed="false">
      <c r="A56" s="69"/>
      <c r="B56" s="68"/>
      <c r="C56" s="69"/>
      <c r="D56" s="69"/>
      <c r="E56" s="35"/>
      <c r="F56" s="35"/>
      <c r="G56" s="39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70"/>
      <c r="AK56" s="40"/>
      <c r="AL56" s="40"/>
      <c r="AM56" s="40"/>
      <c r="AN56" s="40"/>
      <c r="AO56" s="43"/>
      <c r="AP56" s="43"/>
      <c r="AQ56" s="21"/>
      <c r="AR56" s="21"/>
      <c r="AS56" s="21"/>
      <c r="AT56" s="33"/>
      <c r="AU56" s="33"/>
      <c r="AV56" s="33"/>
      <c r="AW56" s="71"/>
      <c r="AX56" s="71"/>
      <c r="AY56" s="71"/>
      <c r="AZ56" s="21"/>
      <c r="BA56" s="21"/>
      <c r="BB56" s="21"/>
      <c r="BC56" s="21"/>
      <c r="BD56" s="72"/>
      <c r="BE56" s="21"/>
    </row>
    <row r="57" customFormat="false" ht="14.1" hidden="true" customHeight="true" outlineLevel="1" collapsed="false">
      <c r="A57" s="69" t="s">
        <v>54</v>
      </c>
      <c r="B57" s="68"/>
      <c r="C57" s="69"/>
      <c r="D57" s="69"/>
      <c r="E57" s="35"/>
      <c r="F57" s="35"/>
      <c r="G57" s="39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70"/>
      <c r="AK57" s="40"/>
      <c r="AL57" s="40"/>
      <c r="AM57" s="40"/>
      <c r="AN57" s="40"/>
      <c r="AO57" s="43"/>
      <c r="AP57" s="43"/>
      <c r="AQ57" s="21"/>
      <c r="AR57" s="21"/>
      <c r="AS57" s="21"/>
      <c r="AT57" s="33"/>
      <c r="AU57" s="33"/>
      <c r="AV57" s="33"/>
      <c r="AW57" s="71"/>
      <c r="AX57" s="71"/>
      <c r="AY57" s="71"/>
      <c r="AZ57" s="21"/>
      <c r="BA57" s="21"/>
      <c r="BB57" s="21"/>
      <c r="BC57" s="21"/>
      <c r="BD57" s="72"/>
      <c r="BE57" s="21"/>
    </row>
    <row r="58" customFormat="false" ht="14.1" hidden="true" customHeight="true" outlineLevel="1" collapsed="false">
      <c r="A58" s="88" t="s">
        <v>55</v>
      </c>
      <c r="B58" s="68"/>
      <c r="C58" s="69"/>
      <c r="D58" s="69"/>
      <c r="E58" s="35"/>
      <c r="F58" s="35"/>
      <c r="G58" s="39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70"/>
      <c r="AK58" s="40"/>
      <c r="AL58" s="40"/>
      <c r="AM58" s="40"/>
      <c r="AN58" s="40"/>
      <c r="AO58" s="43"/>
      <c r="AP58" s="43"/>
      <c r="AQ58" s="21"/>
      <c r="AR58" s="21"/>
      <c r="AS58" s="21"/>
      <c r="AT58" s="33"/>
      <c r="AU58" s="33"/>
      <c r="AV58" s="33"/>
      <c r="AW58" s="71"/>
      <c r="AX58" s="71"/>
      <c r="AY58" s="71"/>
      <c r="AZ58" s="21"/>
      <c r="BA58" s="21"/>
      <c r="BB58" s="21"/>
      <c r="BC58" s="21"/>
      <c r="BD58" s="72"/>
      <c r="BE58" s="21"/>
    </row>
    <row r="59" customFormat="false" ht="14.1" hidden="true" customHeight="true" outlineLevel="1" collapsed="false">
      <c r="A59" s="67"/>
      <c r="B59" s="68"/>
      <c r="C59" s="69"/>
      <c r="D59" s="69"/>
      <c r="E59" s="35"/>
      <c r="F59" s="35"/>
      <c r="G59" s="39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70"/>
      <c r="AK59" s="40"/>
      <c r="AL59" s="40"/>
      <c r="AM59" s="40"/>
      <c r="AN59" s="40"/>
      <c r="AO59" s="43"/>
      <c r="AP59" s="43"/>
      <c r="AQ59" s="21"/>
      <c r="AR59" s="21"/>
      <c r="AS59" s="21"/>
      <c r="AT59" s="33"/>
      <c r="AU59" s="33"/>
      <c r="AV59" s="33"/>
      <c r="AW59" s="71"/>
      <c r="AX59" s="71"/>
      <c r="AY59" s="71"/>
      <c r="AZ59" s="21"/>
      <c r="BA59" s="21"/>
      <c r="BB59" s="21"/>
      <c r="BC59" s="21"/>
      <c r="BD59" s="72"/>
      <c r="BE59" s="21"/>
    </row>
    <row r="60" customFormat="false" ht="14.1" hidden="false" customHeight="true" outlineLevel="0" collapsed="false">
      <c r="A60" s="77" t="s">
        <v>45</v>
      </c>
      <c r="B60" s="77"/>
      <c r="C60" s="81" t="s">
        <v>56</v>
      </c>
      <c r="D60" s="69"/>
      <c r="E60" s="35"/>
      <c r="F60" s="35"/>
      <c r="G60" s="39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70"/>
      <c r="AK60" s="40"/>
      <c r="AL60" s="40"/>
      <c r="AM60" s="40"/>
      <c r="AN60" s="40"/>
      <c r="AO60" s="43"/>
      <c r="AP60" s="43"/>
      <c r="AQ60" s="21"/>
      <c r="AR60" s="21"/>
      <c r="AS60" s="21"/>
      <c r="AT60" s="33"/>
      <c r="AU60" s="33"/>
      <c r="AV60" s="33"/>
      <c r="AW60" s="71"/>
      <c r="AX60" s="71"/>
      <c r="AY60" s="71"/>
      <c r="AZ60" s="21"/>
      <c r="BA60" s="21"/>
      <c r="BB60" s="21"/>
      <c r="BC60" s="21"/>
      <c r="BD60" s="72"/>
      <c r="BE60" s="21"/>
    </row>
    <row r="61" customFormat="false" ht="14.1" hidden="false" customHeight="true" outlineLevel="0" collapsed="false">
      <c r="A61" s="69"/>
      <c r="B61" s="68"/>
      <c r="C61" s="89"/>
      <c r="D61" s="69"/>
      <c r="E61" s="35"/>
      <c r="F61" s="35"/>
      <c r="G61" s="39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70"/>
      <c r="AK61" s="40"/>
      <c r="AL61" s="40"/>
      <c r="AM61" s="40"/>
      <c r="AN61" s="40"/>
      <c r="AO61" s="43"/>
      <c r="AP61" s="43"/>
      <c r="AQ61" s="21"/>
      <c r="AR61" s="21"/>
      <c r="AS61" s="21"/>
      <c r="AT61" s="33"/>
      <c r="AU61" s="33"/>
      <c r="AV61" s="33"/>
      <c r="AW61" s="71"/>
      <c r="AX61" s="71"/>
      <c r="AY61" s="71"/>
      <c r="AZ61" s="21"/>
      <c r="BA61" s="21"/>
      <c r="BB61" s="21"/>
      <c r="BC61" s="21"/>
      <c r="BD61" s="72"/>
      <c r="BE61" s="21"/>
    </row>
    <row r="62" customFormat="false" ht="14.1" hidden="true" customHeight="true" outlineLevel="1" collapsed="false">
      <c r="A62" s="77" t="s">
        <v>57</v>
      </c>
      <c r="B62" s="77"/>
      <c r="C62" s="89"/>
      <c r="D62" s="69"/>
      <c r="E62" s="35"/>
      <c r="F62" s="35"/>
      <c r="G62" s="39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70"/>
      <c r="AK62" s="40"/>
      <c r="AL62" s="40"/>
      <c r="AM62" s="40"/>
      <c r="AN62" s="40"/>
      <c r="AO62" s="43"/>
      <c r="AP62" s="43"/>
      <c r="AQ62" s="21"/>
      <c r="AR62" s="21"/>
      <c r="AS62" s="21"/>
      <c r="AT62" s="33"/>
      <c r="AU62" s="33"/>
      <c r="AV62" s="33"/>
      <c r="AW62" s="71"/>
      <c r="AX62" s="71"/>
      <c r="AY62" s="71"/>
      <c r="AZ62" s="21"/>
      <c r="BA62" s="21"/>
      <c r="BB62" s="21"/>
      <c r="BC62" s="21"/>
      <c r="BD62" s="72"/>
      <c r="BE62" s="21"/>
    </row>
    <row r="63" customFormat="false" ht="14.1" hidden="true" customHeight="true" outlineLevel="1" collapsed="false">
      <c r="A63" s="83" t="s">
        <v>46</v>
      </c>
      <c r="B63" s="37" t="s">
        <v>12</v>
      </c>
      <c r="C63" s="90" t="s">
        <v>13</v>
      </c>
      <c r="D63" s="69"/>
      <c r="E63" s="35"/>
      <c r="F63" s="35"/>
      <c r="G63" s="39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70"/>
      <c r="AK63" s="40"/>
      <c r="AL63" s="40"/>
      <c r="AM63" s="40"/>
      <c r="AN63" s="40"/>
      <c r="AO63" s="43"/>
      <c r="AP63" s="43"/>
      <c r="AQ63" s="21"/>
      <c r="AR63" s="21"/>
      <c r="AS63" s="21"/>
      <c r="AT63" s="33"/>
      <c r="AU63" s="33"/>
      <c r="AV63" s="33"/>
      <c r="AW63" s="71"/>
      <c r="AX63" s="71"/>
      <c r="AY63" s="71"/>
      <c r="AZ63" s="21"/>
      <c r="BA63" s="21"/>
      <c r="BB63" s="21"/>
      <c r="BC63" s="21"/>
      <c r="BD63" s="72"/>
      <c r="BE63" s="21"/>
    </row>
    <row r="64" customFormat="false" ht="14.1" hidden="true" customHeight="true" outlineLevel="1" collapsed="false">
      <c r="A64" s="57" t="s">
        <v>58</v>
      </c>
      <c r="B64" s="45" t="s">
        <v>48</v>
      </c>
      <c r="C64" s="91" t="n">
        <v>1</v>
      </c>
      <c r="D64" s="69"/>
      <c r="E64" s="35"/>
      <c r="F64" s="35"/>
      <c r="G64" s="39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70"/>
      <c r="AK64" s="40"/>
      <c r="AL64" s="40"/>
      <c r="AM64" s="40"/>
      <c r="AN64" s="40"/>
      <c r="AO64" s="43"/>
      <c r="AP64" s="43"/>
      <c r="AQ64" s="21"/>
      <c r="AR64" s="21"/>
      <c r="AS64" s="21"/>
      <c r="AT64" s="33"/>
      <c r="AU64" s="33"/>
      <c r="AV64" s="33"/>
      <c r="AW64" s="71"/>
      <c r="AX64" s="71"/>
      <c r="AY64" s="71"/>
      <c r="AZ64" s="21"/>
      <c r="BA64" s="21"/>
      <c r="BB64" s="21"/>
      <c r="BC64" s="21"/>
      <c r="BD64" s="72"/>
      <c r="BE64" s="21"/>
    </row>
    <row r="65" customFormat="false" ht="14.1" hidden="true" customHeight="true" outlineLevel="1" collapsed="false">
      <c r="A65" s="85" t="s">
        <v>59</v>
      </c>
      <c r="B65" s="45" t="s">
        <v>15</v>
      </c>
      <c r="C65" s="92" t="n">
        <v>3</v>
      </c>
      <c r="D65" s="69"/>
      <c r="E65" s="35"/>
      <c r="F65" s="35"/>
      <c r="G65" s="39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70"/>
      <c r="AK65" s="40"/>
      <c r="AL65" s="40"/>
      <c r="AM65" s="40"/>
      <c r="AN65" s="40"/>
      <c r="AO65" s="43"/>
      <c r="AP65" s="43"/>
      <c r="AQ65" s="21"/>
      <c r="AR65" s="21"/>
      <c r="AS65" s="21"/>
      <c r="AT65" s="33"/>
      <c r="AU65" s="33"/>
      <c r="AV65" s="33"/>
      <c r="AW65" s="71"/>
      <c r="AX65" s="71"/>
      <c r="AY65" s="71"/>
      <c r="AZ65" s="21"/>
      <c r="BA65" s="21"/>
      <c r="BB65" s="21"/>
      <c r="BC65" s="21"/>
      <c r="BD65" s="72"/>
      <c r="BE65" s="21"/>
    </row>
    <row r="66" customFormat="false" ht="14.1" hidden="true" customHeight="true" outlineLevel="1" collapsed="false">
      <c r="A66" s="85" t="s">
        <v>60</v>
      </c>
      <c r="B66" s="45" t="s">
        <v>15</v>
      </c>
      <c r="C66" s="92" t="n">
        <v>6</v>
      </c>
      <c r="D66" s="69"/>
      <c r="E66" s="35"/>
      <c r="F66" s="35"/>
      <c r="G66" s="39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70"/>
      <c r="AK66" s="40"/>
      <c r="AL66" s="40"/>
      <c r="AM66" s="40"/>
      <c r="AN66" s="40"/>
      <c r="AO66" s="43"/>
      <c r="AP66" s="43"/>
      <c r="AQ66" s="21"/>
      <c r="AR66" s="21"/>
      <c r="AS66" s="21"/>
      <c r="AT66" s="33"/>
      <c r="AU66" s="33"/>
      <c r="AV66" s="33"/>
      <c r="AW66" s="71"/>
      <c r="AX66" s="71"/>
      <c r="AY66" s="71"/>
      <c r="AZ66" s="21"/>
      <c r="BA66" s="21"/>
      <c r="BB66" s="21"/>
      <c r="BC66" s="21"/>
      <c r="BD66" s="72"/>
      <c r="BE66" s="21"/>
    </row>
    <row r="67" customFormat="false" ht="14.1" hidden="true" customHeight="true" outlineLevel="1" collapsed="false">
      <c r="A67" s="85" t="s">
        <v>61</v>
      </c>
      <c r="B67" s="45" t="s">
        <v>15</v>
      </c>
      <c r="C67" s="93" t="n">
        <v>2.9</v>
      </c>
      <c r="D67" s="69"/>
      <c r="E67" s="35"/>
      <c r="F67" s="35"/>
      <c r="G67" s="39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70"/>
      <c r="AK67" s="40"/>
      <c r="AL67" s="40"/>
      <c r="AM67" s="40"/>
      <c r="AN67" s="40"/>
      <c r="AO67" s="43"/>
      <c r="AP67" s="43"/>
      <c r="AQ67" s="21"/>
      <c r="AR67" s="21"/>
      <c r="AS67" s="21"/>
      <c r="AT67" s="33"/>
      <c r="AU67" s="33"/>
      <c r="AV67" s="33"/>
      <c r="AW67" s="71"/>
      <c r="AX67" s="71"/>
      <c r="AY67" s="71"/>
      <c r="AZ67" s="21"/>
      <c r="BA67" s="21"/>
      <c r="BB67" s="21"/>
      <c r="BC67" s="21"/>
      <c r="BD67" s="72"/>
      <c r="BE67" s="21"/>
    </row>
    <row r="68" customFormat="false" ht="14.1" hidden="true" customHeight="true" outlineLevel="1" collapsed="false">
      <c r="A68" s="85" t="s">
        <v>19</v>
      </c>
      <c r="B68" s="45" t="s">
        <v>15</v>
      </c>
      <c r="C68" s="91" t="n">
        <v>5</v>
      </c>
      <c r="D68" s="69"/>
      <c r="E68" s="35"/>
      <c r="F68" s="35"/>
      <c r="G68" s="39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70"/>
      <c r="AK68" s="40"/>
      <c r="AL68" s="40"/>
      <c r="AM68" s="40"/>
      <c r="AN68" s="40"/>
      <c r="AO68" s="43"/>
      <c r="AP68" s="43"/>
      <c r="AQ68" s="21"/>
      <c r="AR68" s="21"/>
      <c r="AS68" s="21"/>
      <c r="AT68" s="33"/>
      <c r="AU68" s="33"/>
      <c r="AV68" s="33"/>
      <c r="AW68" s="71"/>
      <c r="AX68" s="71"/>
      <c r="AY68" s="71"/>
      <c r="AZ68" s="21"/>
      <c r="BA68" s="21"/>
      <c r="BB68" s="21"/>
      <c r="BC68" s="21"/>
      <c r="BD68" s="72"/>
      <c r="BE68" s="21"/>
    </row>
    <row r="69" customFormat="false" ht="14.1" hidden="true" customHeight="true" outlineLevel="1" collapsed="false">
      <c r="A69" s="85" t="s">
        <v>20</v>
      </c>
      <c r="B69" s="45" t="s">
        <v>15</v>
      </c>
      <c r="C69" s="91" t="n">
        <v>1.2</v>
      </c>
      <c r="D69" s="69"/>
      <c r="E69" s="35"/>
      <c r="F69" s="35"/>
      <c r="G69" s="39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70"/>
      <c r="AK69" s="40"/>
      <c r="AL69" s="40"/>
      <c r="AM69" s="40"/>
      <c r="AN69" s="40"/>
      <c r="AO69" s="43"/>
      <c r="AP69" s="43"/>
      <c r="AQ69" s="21"/>
      <c r="AR69" s="21"/>
      <c r="AS69" s="21"/>
      <c r="AT69" s="33"/>
      <c r="AU69" s="33"/>
      <c r="AV69" s="33"/>
      <c r="AW69" s="71"/>
      <c r="AX69" s="71"/>
      <c r="AY69" s="71"/>
      <c r="AZ69" s="21"/>
      <c r="BA69" s="21"/>
      <c r="BB69" s="21"/>
      <c r="BC69" s="21"/>
      <c r="BD69" s="72"/>
      <c r="BE69" s="21"/>
    </row>
    <row r="70" customFormat="false" ht="14.1" hidden="true" customHeight="true" outlineLevel="1" collapsed="false">
      <c r="A70" s="85" t="s">
        <v>62</v>
      </c>
      <c r="B70" s="45" t="s">
        <v>15</v>
      </c>
      <c r="C70" s="93" t="n">
        <v>2.5</v>
      </c>
      <c r="D70" s="69"/>
      <c r="E70" s="35"/>
      <c r="F70" s="35"/>
      <c r="G70" s="39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70"/>
      <c r="AK70" s="40"/>
      <c r="AL70" s="40"/>
      <c r="AM70" s="40"/>
      <c r="AN70" s="40"/>
      <c r="AO70" s="43"/>
      <c r="AP70" s="43"/>
      <c r="AQ70" s="21"/>
      <c r="AR70" s="21"/>
      <c r="AS70" s="21"/>
      <c r="AT70" s="33"/>
      <c r="AU70" s="33"/>
      <c r="AV70" s="33"/>
      <c r="AW70" s="71"/>
      <c r="AX70" s="71"/>
      <c r="AY70" s="71"/>
      <c r="AZ70" s="21"/>
      <c r="BA70" s="21"/>
      <c r="BB70" s="21"/>
      <c r="BC70" s="21"/>
      <c r="BD70" s="72"/>
      <c r="BE70" s="21"/>
    </row>
    <row r="71" customFormat="false" ht="14.1" hidden="true" customHeight="true" outlineLevel="1" collapsed="false">
      <c r="A71" s="69"/>
      <c r="B71" s="68"/>
      <c r="C71" s="89"/>
      <c r="D71" s="69"/>
      <c r="E71" s="35"/>
      <c r="F71" s="35"/>
      <c r="G71" s="39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70"/>
      <c r="AK71" s="40"/>
      <c r="AL71" s="40"/>
      <c r="AM71" s="40"/>
      <c r="AN71" s="40"/>
      <c r="AO71" s="43"/>
      <c r="AP71" s="43"/>
      <c r="AQ71" s="21"/>
      <c r="AR71" s="21"/>
      <c r="AS71" s="21"/>
      <c r="AT71" s="33"/>
      <c r="AU71" s="33"/>
      <c r="AV71" s="33"/>
      <c r="AW71" s="71"/>
      <c r="AX71" s="71"/>
      <c r="AY71" s="71"/>
      <c r="AZ71" s="21"/>
      <c r="BA71" s="21"/>
      <c r="BB71" s="21"/>
      <c r="BC71" s="21"/>
      <c r="BD71" s="72"/>
      <c r="BE71" s="21"/>
    </row>
    <row r="72" customFormat="false" ht="14.1" hidden="true" customHeight="true" outlineLevel="1" collapsed="false">
      <c r="A72" s="69" t="s">
        <v>63</v>
      </c>
      <c r="B72" s="68"/>
      <c r="C72" s="89"/>
      <c r="D72" s="69"/>
      <c r="E72" s="35"/>
      <c r="F72" s="35"/>
      <c r="G72" s="39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70"/>
      <c r="AK72" s="40"/>
      <c r="AL72" s="40"/>
      <c r="AM72" s="40"/>
      <c r="AN72" s="40"/>
      <c r="AO72" s="43"/>
      <c r="AP72" s="43"/>
      <c r="AQ72" s="21"/>
      <c r="AR72" s="21"/>
      <c r="AS72" s="21"/>
      <c r="AT72" s="33"/>
      <c r="AU72" s="33"/>
      <c r="AV72" s="33"/>
      <c r="AW72" s="71"/>
      <c r="AX72" s="71"/>
      <c r="AY72" s="71"/>
      <c r="AZ72" s="21"/>
      <c r="BA72" s="21"/>
      <c r="BB72" s="21"/>
      <c r="BC72" s="21"/>
      <c r="BD72" s="72"/>
      <c r="BE72" s="21"/>
    </row>
    <row r="73" customFormat="false" ht="14.1" hidden="true" customHeight="true" outlineLevel="1" collapsed="false">
      <c r="A73" s="59" t="s">
        <v>64</v>
      </c>
      <c r="B73" s="68"/>
      <c r="C73" s="89"/>
      <c r="D73" s="69"/>
      <c r="E73" s="35"/>
      <c r="F73" s="35"/>
      <c r="G73" s="39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70"/>
      <c r="AK73" s="40"/>
      <c r="AL73" s="40"/>
      <c r="AM73" s="40"/>
      <c r="AN73" s="40"/>
      <c r="AO73" s="43"/>
      <c r="AP73" s="43"/>
      <c r="AQ73" s="21"/>
      <c r="AR73" s="21"/>
      <c r="AS73" s="21"/>
      <c r="AT73" s="33"/>
      <c r="AU73" s="33"/>
      <c r="AV73" s="33"/>
      <c r="AW73" s="71"/>
      <c r="AX73" s="71"/>
      <c r="AY73" s="71"/>
      <c r="AZ73" s="21"/>
      <c r="BA73" s="21"/>
      <c r="BB73" s="21"/>
      <c r="BC73" s="21"/>
      <c r="BD73" s="72"/>
      <c r="BE73" s="21"/>
    </row>
    <row r="74" customFormat="false" ht="14.1" hidden="true" customHeight="true" outlineLevel="1" collapsed="false">
      <c r="A74" s="67" t="s">
        <v>65</v>
      </c>
      <c r="B74" s="68"/>
      <c r="C74" s="89"/>
      <c r="D74" s="69"/>
      <c r="E74" s="35"/>
      <c r="F74" s="35"/>
      <c r="G74" s="39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70"/>
      <c r="AK74" s="40"/>
      <c r="AL74" s="40"/>
      <c r="AM74" s="40"/>
      <c r="AN74" s="40"/>
      <c r="AO74" s="43"/>
      <c r="AP74" s="43"/>
      <c r="AQ74" s="21"/>
      <c r="AR74" s="21"/>
      <c r="AS74" s="21"/>
      <c r="AT74" s="33"/>
      <c r="AU74" s="33"/>
      <c r="AV74" s="33"/>
      <c r="AW74" s="71"/>
      <c r="AX74" s="71"/>
      <c r="AY74" s="71"/>
      <c r="AZ74" s="21"/>
      <c r="BA74" s="21"/>
      <c r="BB74" s="21"/>
      <c r="BC74" s="21"/>
      <c r="BD74" s="72"/>
      <c r="BE74" s="21"/>
    </row>
    <row r="75" customFormat="false" ht="14.1" hidden="true" customHeight="true" outlineLevel="1" collapsed="false">
      <c r="A75" s="88" t="s">
        <v>66</v>
      </c>
      <c r="B75" s="68"/>
      <c r="C75" s="89"/>
      <c r="D75" s="69"/>
      <c r="E75" s="35"/>
      <c r="F75" s="35"/>
      <c r="G75" s="39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70"/>
      <c r="AK75" s="40"/>
      <c r="AL75" s="40"/>
      <c r="AM75" s="40"/>
      <c r="AN75" s="40"/>
      <c r="AO75" s="43"/>
      <c r="AP75" s="43"/>
      <c r="AQ75" s="21"/>
      <c r="AR75" s="21"/>
      <c r="AS75" s="21"/>
      <c r="AT75" s="33"/>
      <c r="AU75" s="33"/>
      <c r="AV75" s="33"/>
      <c r="AW75" s="71"/>
      <c r="AX75" s="71"/>
      <c r="AY75" s="71"/>
      <c r="AZ75" s="21"/>
      <c r="BA75" s="21"/>
      <c r="BB75" s="21"/>
      <c r="BC75" s="21"/>
      <c r="BD75" s="72"/>
      <c r="BE75" s="21"/>
    </row>
    <row r="76" customFormat="false" ht="14.1" hidden="true" customHeight="true" outlineLevel="1" collapsed="false">
      <c r="A76" s="67" t="s">
        <v>67</v>
      </c>
      <c r="B76" s="68"/>
      <c r="C76" s="89"/>
      <c r="D76" s="69"/>
      <c r="E76" s="35"/>
      <c r="F76" s="35"/>
      <c r="G76" s="39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70"/>
      <c r="AK76" s="40"/>
      <c r="AL76" s="40"/>
      <c r="AM76" s="40"/>
      <c r="AN76" s="40"/>
      <c r="AO76" s="43"/>
      <c r="AP76" s="43"/>
      <c r="AQ76" s="21"/>
      <c r="AR76" s="21"/>
      <c r="AS76" s="21"/>
      <c r="AT76" s="33"/>
      <c r="AU76" s="33"/>
      <c r="AV76" s="33"/>
      <c r="AW76" s="71"/>
      <c r="AX76" s="71"/>
      <c r="AY76" s="71"/>
      <c r="AZ76" s="21"/>
      <c r="BA76" s="21"/>
      <c r="BB76" s="21"/>
      <c r="BC76" s="21"/>
      <c r="BD76" s="72"/>
      <c r="BE76" s="21"/>
    </row>
    <row r="77" customFormat="false" ht="14.1" hidden="true" customHeight="true" outlineLevel="1" collapsed="false">
      <c r="A77" s="88" t="s">
        <v>55</v>
      </c>
      <c r="B77" s="68"/>
      <c r="C77" s="89"/>
      <c r="D77" s="69"/>
      <c r="E77" s="35"/>
      <c r="F77" s="35"/>
      <c r="G77" s="39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Z77" s="35"/>
      <c r="AA77" s="35"/>
      <c r="AB77" s="35"/>
      <c r="AC77" s="35"/>
      <c r="AD77" s="35"/>
      <c r="AE77" s="35"/>
      <c r="AF77" s="35"/>
      <c r="AG77" s="35"/>
      <c r="AH77" s="35"/>
      <c r="AI77" s="35"/>
      <c r="AJ77" s="70"/>
      <c r="AK77" s="40"/>
      <c r="AL77" s="40"/>
      <c r="AM77" s="40"/>
      <c r="AN77" s="40"/>
      <c r="AO77" s="43"/>
      <c r="AP77" s="43"/>
      <c r="AQ77" s="21"/>
      <c r="AR77" s="21"/>
      <c r="AS77" s="21"/>
      <c r="AT77" s="33"/>
      <c r="AU77" s="33"/>
      <c r="AV77" s="33"/>
      <c r="AW77" s="71"/>
      <c r="AX77" s="71"/>
      <c r="AY77" s="71"/>
      <c r="AZ77" s="21"/>
      <c r="BA77" s="21"/>
      <c r="BB77" s="21"/>
      <c r="BC77" s="21"/>
      <c r="BD77" s="72"/>
      <c r="BE77" s="21"/>
    </row>
    <row r="78" customFormat="false" ht="14.1" hidden="true" customHeight="true" outlineLevel="1" collapsed="false">
      <c r="A78" s="67"/>
      <c r="B78" s="68"/>
      <c r="C78" s="89"/>
      <c r="D78" s="69"/>
      <c r="E78" s="35"/>
      <c r="F78" s="35"/>
      <c r="G78" s="39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Y78" s="35"/>
      <c r="Z78" s="35"/>
      <c r="AA78" s="35"/>
      <c r="AB78" s="35"/>
      <c r="AC78" s="35"/>
      <c r="AD78" s="35"/>
      <c r="AE78" s="35"/>
      <c r="AF78" s="35"/>
      <c r="AG78" s="35"/>
      <c r="AH78" s="35"/>
      <c r="AI78" s="35"/>
      <c r="AJ78" s="70"/>
      <c r="AK78" s="40"/>
      <c r="AL78" s="40"/>
      <c r="AM78" s="40"/>
      <c r="AN78" s="40"/>
      <c r="AO78" s="43"/>
      <c r="AP78" s="43"/>
      <c r="AQ78" s="21"/>
      <c r="AR78" s="21"/>
      <c r="AS78" s="21"/>
      <c r="AT78" s="33"/>
      <c r="AU78" s="33"/>
      <c r="AV78" s="33"/>
      <c r="AW78" s="71"/>
      <c r="AX78" s="71"/>
      <c r="AY78" s="71"/>
      <c r="AZ78" s="21"/>
      <c r="BA78" s="21"/>
      <c r="BB78" s="21"/>
      <c r="BC78" s="21"/>
      <c r="BD78" s="72"/>
      <c r="BE78" s="21"/>
    </row>
    <row r="79" customFormat="false" ht="14.1" hidden="false" customHeight="true" outlineLevel="0" collapsed="false">
      <c r="A79" s="77" t="s">
        <v>57</v>
      </c>
      <c r="B79" s="77"/>
      <c r="C79" s="81" t="s">
        <v>56</v>
      </c>
      <c r="D79" s="69"/>
      <c r="E79" s="35"/>
      <c r="F79" s="35"/>
      <c r="G79" s="39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Z79" s="35"/>
      <c r="AA79" s="35"/>
      <c r="AB79" s="35"/>
      <c r="AC79" s="35"/>
      <c r="AD79" s="35"/>
      <c r="AE79" s="35"/>
      <c r="AF79" s="35"/>
      <c r="AG79" s="35"/>
      <c r="AH79" s="35"/>
      <c r="AI79" s="35"/>
      <c r="AJ79" s="70"/>
      <c r="AK79" s="40"/>
      <c r="AL79" s="40"/>
      <c r="AM79" s="40"/>
      <c r="AN79" s="40"/>
      <c r="AO79" s="43"/>
      <c r="AP79" s="43"/>
      <c r="AQ79" s="21"/>
      <c r="AR79" s="21"/>
      <c r="AS79" s="21"/>
      <c r="AT79" s="33"/>
      <c r="AU79" s="33"/>
      <c r="AV79" s="33"/>
      <c r="AW79" s="71"/>
      <c r="AX79" s="71"/>
      <c r="AY79" s="71"/>
      <c r="AZ79" s="21"/>
      <c r="BA79" s="21"/>
      <c r="BB79" s="21"/>
      <c r="BC79" s="21"/>
      <c r="BD79" s="72"/>
      <c r="BE79" s="21"/>
    </row>
    <row r="80" customFormat="false" ht="14.1" hidden="false" customHeight="true" outlineLevel="0" collapsed="false">
      <c r="A80" s="69"/>
      <c r="B80" s="68"/>
      <c r="C80" s="94"/>
      <c r="D80" s="69"/>
      <c r="E80" s="35"/>
      <c r="F80" s="35"/>
      <c r="G80" s="39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  <c r="AA80" s="35"/>
      <c r="AB80" s="35"/>
      <c r="AC80" s="35"/>
      <c r="AD80" s="35"/>
      <c r="AE80" s="35"/>
      <c r="AF80" s="35"/>
      <c r="AG80" s="35"/>
      <c r="AH80" s="35"/>
      <c r="AI80" s="35"/>
      <c r="AJ80" s="70"/>
      <c r="AK80" s="40"/>
      <c r="AL80" s="40"/>
      <c r="AM80" s="40"/>
      <c r="AN80" s="40"/>
      <c r="AO80" s="43"/>
      <c r="AP80" s="43"/>
      <c r="AQ80" s="21"/>
      <c r="AR80" s="21"/>
      <c r="AS80" s="21"/>
      <c r="AT80" s="33"/>
      <c r="AU80" s="33"/>
      <c r="AV80" s="33"/>
      <c r="AW80" s="71"/>
      <c r="AX80" s="71"/>
      <c r="AY80" s="71"/>
      <c r="AZ80" s="21"/>
      <c r="BA80" s="21"/>
      <c r="BB80" s="21"/>
      <c r="BC80" s="21"/>
      <c r="BD80" s="72"/>
      <c r="BE80" s="21"/>
    </row>
    <row r="81" customFormat="false" ht="14.1" hidden="true" customHeight="true" outlineLevel="1" collapsed="false">
      <c r="A81" s="77" t="s">
        <v>68</v>
      </c>
      <c r="B81" s="77"/>
      <c r="C81" s="94"/>
      <c r="D81" s="69"/>
      <c r="E81" s="35"/>
      <c r="F81" s="35"/>
      <c r="G81" s="39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  <c r="AB81" s="35"/>
      <c r="AC81" s="35"/>
      <c r="AD81" s="35"/>
      <c r="AE81" s="35"/>
      <c r="AF81" s="35"/>
      <c r="AG81" s="35"/>
      <c r="AH81" s="35"/>
      <c r="AI81" s="35"/>
      <c r="AJ81" s="70"/>
      <c r="AK81" s="40"/>
      <c r="AL81" s="40"/>
      <c r="AM81" s="40"/>
      <c r="AN81" s="40"/>
      <c r="AO81" s="43"/>
      <c r="AP81" s="43"/>
      <c r="AQ81" s="21"/>
      <c r="AR81" s="21"/>
      <c r="AS81" s="21"/>
      <c r="AT81" s="33"/>
      <c r="AU81" s="33"/>
      <c r="AV81" s="33"/>
      <c r="AW81" s="71"/>
      <c r="AX81" s="71"/>
      <c r="AY81" s="71"/>
      <c r="AZ81" s="21"/>
      <c r="BA81" s="21"/>
      <c r="BB81" s="21"/>
      <c r="BC81" s="21"/>
      <c r="BD81" s="72"/>
      <c r="BE81" s="21"/>
    </row>
    <row r="82" customFormat="false" ht="14.1" hidden="true" customHeight="true" outlineLevel="1" collapsed="false">
      <c r="A82" s="69"/>
      <c r="B82" s="68"/>
      <c r="C82" s="94"/>
      <c r="D82" s="69"/>
      <c r="E82" s="35"/>
      <c r="F82" s="35"/>
      <c r="G82" s="39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  <c r="AB82" s="35"/>
      <c r="AC82" s="35"/>
      <c r="AD82" s="35"/>
      <c r="AE82" s="35"/>
      <c r="AF82" s="35"/>
      <c r="AG82" s="35"/>
      <c r="AH82" s="35"/>
      <c r="AI82" s="35"/>
      <c r="AJ82" s="70"/>
      <c r="AK82" s="40"/>
      <c r="AL82" s="40"/>
      <c r="AM82" s="40"/>
      <c r="AN82" s="40"/>
      <c r="AO82" s="43"/>
      <c r="AP82" s="43"/>
      <c r="AQ82" s="21"/>
      <c r="AR82" s="21"/>
      <c r="AS82" s="21"/>
      <c r="AT82" s="33"/>
      <c r="AU82" s="33"/>
      <c r="AV82" s="33"/>
      <c r="AW82" s="71"/>
      <c r="AX82" s="71"/>
      <c r="AY82" s="71"/>
      <c r="AZ82" s="21"/>
      <c r="BA82" s="21"/>
      <c r="BB82" s="21"/>
      <c r="BC82" s="21"/>
      <c r="BD82" s="72"/>
      <c r="BE82" s="21"/>
    </row>
    <row r="83" customFormat="false" ht="14.1" hidden="true" customHeight="true" outlineLevel="1" collapsed="false">
      <c r="A83" s="83" t="s">
        <v>46</v>
      </c>
      <c r="B83" s="37" t="s">
        <v>12</v>
      </c>
      <c r="C83" s="90" t="s">
        <v>13</v>
      </c>
      <c r="D83" s="69"/>
      <c r="E83" s="35"/>
      <c r="F83" s="35"/>
      <c r="G83" s="39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5"/>
      <c r="AI83" s="35"/>
      <c r="AJ83" s="70"/>
      <c r="AK83" s="40"/>
      <c r="AL83" s="40"/>
      <c r="AM83" s="40"/>
      <c r="AN83" s="40"/>
      <c r="AO83" s="43"/>
      <c r="AP83" s="43"/>
      <c r="AQ83" s="21"/>
      <c r="AR83" s="21"/>
      <c r="AS83" s="21"/>
      <c r="AT83" s="33"/>
      <c r="AU83" s="33"/>
      <c r="AV83" s="33"/>
      <c r="AW83" s="71"/>
      <c r="AX83" s="71"/>
      <c r="AY83" s="71"/>
      <c r="AZ83" s="21"/>
      <c r="BA83" s="21"/>
      <c r="BB83" s="21"/>
      <c r="BC83" s="21"/>
      <c r="BD83" s="72"/>
      <c r="BE83" s="21"/>
    </row>
    <row r="84" customFormat="false" ht="14.1" hidden="true" customHeight="true" outlineLevel="1" collapsed="false">
      <c r="A84" s="57" t="s">
        <v>69</v>
      </c>
      <c r="B84" s="95" t="s">
        <v>15</v>
      </c>
      <c r="C84" s="96" t="n">
        <v>3</v>
      </c>
      <c r="D84" s="69"/>
      <c r="E84" s="35"/>
      <c r="F84" s="35"/>
      <c r="G84" s="39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70"/>
      <c r="AK84" s="40"/>
      <c r="AL84" s="40"/>
      <c r="AM84" s="40"/>
      <c r="AN84" s="40"/>
      <c r="AO84" s="43"/>
      <c r="AP84" s="43"/>
      <c r="AQ84" s="21"/>
      <c r="AR84" s="21"/>
      <c r="AS84" s="21"/>
      <c r="AT84" s="33"/>
      <c r="AU84" s="33"/>
      <c r="AV84" s="33"/>
      <c r="AW84" s="71"/>
      <c r="AX84" s="71"/>
      <c r="AY84" s="71"/>
      <c r="AZ84" s="21"/>
      <c r="BA84" s="21"/>
      <c r="BB84" s="21"/>
      <c r="BC84" s="21"/>
      <c r="BD84" s="72"/>
      <c r="BE84" s="21"/>
    </row>
    <row r="85" customFormat="false" ht="14.1" hidden="true" customHeight="true" outlineLevel="1" collapsed="false">
      <c r="A85" s="57" t="s">
        <v>70</v>
      </c>
      <c r="B85" s="95" t="s">
        <v>15</v>
      </c>
      <c r="C85" s="96" t="n">
        <v>1</v>
      </c>
      <c r="D85" s="69"/>
      <c r="E85" s="35"/>
      <c r="F85" s="35"/>
      <c r="G85" s="39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Z85" s="35"/>
      <c r="AA85" s="35"/>
      <c r="AB85" s="35"/>
      <c r="AC85" s="35"/>
      <c r="AD85" s="35"/>
      <c r="AE85" s="35"/>
      <c r="AF85" s="35"/>
      <c r="AG85" s="35"/>
      <c r="AH85" s="35"/>
      <c r="AI85" s="35"/>
      <c r="AJ85" s="70"/>
      <c r="AK85" s="40"/>
      <c r="AL85" s="40"/>
      <c r="AM85" s="40"/>
      <c r="AN85" s="40"/>
      <c r="AO85" s="43"/>
      <c r="AP85" s="43"/>
      <c r="AQ85" s="21"/>
      <c r="AR85" s="21"/>
      <c r="AS85" s="21"/>
      <c r="AT85" s="33"/>
      <c r="AU85" s="33"/>
      <c r="AV85" s="33"/>
      <c r="AW85" s="71"/>
      <c r="AX85" s="71"/>
      <c r="AY85" s="71"/>
      <c r="AZ85" s="21"/>
      <c r="BA85" s="21"/>
      <c r="BB85" s="21"/>
      <c r="BC85" s="21"/>
      <c r="BD85" s="72"/>
      <c r="BE85" s="21"/>
    </row>
    <row r="86" customFormat="false" ht="14.1" hidden="true" customHeight="true" outlineLevel="1" collapsed="false">
      <c r="A86" s="57" t="s">
        <v>71</v>
      </c>
      <c r="B86" s="95" t="s">
        <v>15</v>
      </c>
      <c r="C86" s="96" t="n">
        <v>4</v>
      </c>
      <c r="D86" s="69"/>
      <c r="E86" s="35"/>
      <c r="F86" s="35"/>
      <c r="G86" s="39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  <c r="AA86" s="35"/>
      <c r="AB86" s="35"/>
      <c r="AC86" s="35"/>
      <c r="AD86" s="35"/>
      <c r="AE86" s="35"/>
      <c r="AF86" s="35"/>
      <c r="AG86" s="35"/>
      <c r="AH86" s="35"/>
      <c r="AI86" s="35"/>
      <c r="AJ86" s="70"/>
      <c r="AK86" s="40"/>
      <c r="AL86" s="40"/>
      <c r="AM86" s="40"/>
      <c r="AN86" s="40"/>
      <c r="AO86" s="43"/>
      <c r="AP86" s="43"/>
      <c r="AQ86" s="21"/>
      <c r="AR86" s="21"/>
      <c r="AS86" s="21"/>
      <c r="AT86" s="33"/>
      <c r="AU86" s="33"/>
      <c r="AV86" s="33"/>
      <c r="AW86" s="71"/>
      <c r="AX86" s="71"/>
      <c r="AY86" s="71"/>
      <c r="AZ86" s="21"/>
      <c r="BA86" s="21"/>
      <c r="BB86" s="21"/>
      <c r="BC86" s="21"/>
      <c r="BD86" s="72"/>
      <c r="BE86" s="21"/>
    </row>
    <row r="87" customFormat="false" ht="14.1" hidden="true" customHeight="true" outlineLevel="1" collapsed="false">
      <c r="A87" s="57" t="s">
        <v>72</v>
      </c>
      <c r="B87" s="97" t="s">
        <v>15</v>
      </c>
      <c r="C87" s="98" t="n">
        <v>2.3</v>
      </c>
      <c r="D87" s="69"/>
      <c r="E87" s="35"/>
      <c r="F87" s="35"/>
      <c r="G87" s="39"/>
      <c r="H87" s="35"/>
      <c r="I87" s="35"/>
      <c r="J87" s="35"/>
      <c r="K87" s="35"/>
      <c r="L87" s="35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Z87" s="35"/>
      <c r="AA87" s="35"/>
      <c r="AB87" s="35"/>
      <c r="AC87" s="35"/>
      <c r="AD87" s="35"/>
      <c r="AE87" s="35"/>
      <c r="AF87" s="35"/>
      <c r="AG87" s="35"/>
      <c r="AH87" s="35"/>
      <c r="AI87" s="35"/>
      <c r="AJ87" s="70"/>
      <c r="AK87" s="40"/>
      <c r="AL87" s="40"/>
      <c r="AM87" s="40"/>
      <c r="AN87" s="40"/>
      <c r="AO87" s="43"/>
      <c r="AP87" s="43"/>
      <c r="AQ87" s="21"/>
      <c r="AR87" s="21"/>
      <c r="AS87" s="21"/>
      <c r="AT87" s="33"/>
      <c r="AU87" s="33"/>
      <c r="AV87" s="33"/>
      <c r="AW87" s="71"/>
      <c r="AX87" s="71"/>
      <c r="AY87" s="71"/>
      <c r="AZ87" s="21"/>
      <c r="BA87" s="21"/>
      <c r="BB87" s="21"/>
      <c r="BC87" s="21"/>
      <c r="BD87" s="72"/>
      <c r="BE87" s="21"/>
    </row>
    <row r="88" customFormat="false" ht="14.1" hidden="true" customHeight="true" outlineLevel="1" collapsed="false">
      <c r="A88" s="69"/>
      <c r="B88" s="68"/>
      <c r="C88" s="94"/>
      <c r="D88" s="69"/>
      <c r="E88" s="35"/>
      <c r="F88" s="35"/>
      <c r="G88" s="39"/>
      <c r="H88" s="35"/>
      <c r="I88" s="35"/>
      <c r="J88" s="35"/>
      <c r="K88" s="35"/>
      <c r="L88" s="35"/>
      <c r="M88" s="35"/>
      <c r="N88" s="35"/>
      <c r="O88" s="35"/>
      <c r="P88" s="35"/>
      <c r="Q88" s="35"/>
      <c r="R88" s="35"/>
      <c r="S88" s="35"/>
      <c r="T88" s="35"/>
      <c r="U88" s="35"/>
      <c r="V88" s="35"/>
      <c r="W88" s="35"/>
      <c r="X88" s="35"/>
      <c r="Y88" s="35"/>
      <c r="Z88" s="35"/>
      <c r="AA88" s="35"/>
      <c r="AB88" s="35"/>
      <c r="AC88" s="35"/>
      <c r="AD88" s="35"/>
      <c r="AE88" s="35"/>
      <c r="AF88" s="35"/>
      <c r="AG88" s="35"/>
      <c r="AH88" s="35"/>
      <c r="AI88" s="35"/>
      <c r="AJ88" s="70"/>
      <c r="AK88" s="40"/>
      <c r="AL88" s="40"/>
      <c r="AM88" s="40"/>
      <c r="AN88" s="40"/>
      <c r="AO88" s="43"/>
      <c r="AP88" s="43"/>
      <c r="AQ88" s="21"/>
      <c r="AR88" s="21"/>
      <c r="AS88" s="21"/>
      <c r="AT88" s="33"/>
      <c r="AU88" s="33"/>
      <c r="AV88" s="33"/>
      <c r="AW88" s="71"/>
      <c r="AX88" s="71"/>
      <c r="AY88" s="71"/>
      <c r="AZ88" s="21"/>
      <c r="BA88" s="21"/>
      <c r="BB88" s="21"/>
      <c r="BC88" s="21"/>
      <c r="BD88" s="72"/>
      <c r="BE88" s="21"/>
    </row>
    <row r="89" customFormat="false" ht="14.1" hidden="true" customHeight="true" outlineLevel="1" collapsed="false">
      <c r="A89" s="69" t="s">
        <v>73</v>
      </c>
      <c r="B89" s="68"/>
      <c r="C89" s="94"/>
      <c r="D89" s="69"/>
      <c r="E89" s="35"/>
      <c r="F89" s="35"/>
      <c r="G89" s="39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  <c r="AA89" s="35"/>
      <c r="AB89" s="35"/>
      <c r="AC89" s="35"/>
      <c r="AD89" s="35"/>
      <c r="AE89" s="35"/>
      <c r="AF89" s="35"/>
      <c r="AG89" s="35"/>
      <c r="AH89" s="35"/>
      <c r="AI89" s="35"/>
      <c r="AJ89" s="70"/>
      <c r="AK89" s="40"/>
      <c r="AL89" s="40"/>
      <c r="AM89" s="40"/>
      <c r="AN89" s="40"/>
      <c r="AO89" s="43"/>
      <c r="AP89" s="43"/>
      <c r="AQ89" s="21"/>
      <c r="AR89" s="21"/>
      <c r="AS89" s="21"/>
      <c r="AT89" s="33"/>
      <c r="AU89" s="33"/>
      <c r="AV89" s="33"/>
      <c r="AW89" s="71"/>
      <c r="AX89" s="71"/>
      <c r="AY89" s="71"/>
      <c r="AZ89" s="21"/>
      <c r="BA89" s="21"/>
      <c r="BB89" s="21"/>
      <c r="BC89" s="21"/>
      <c r="BD89" s="72"/>
      <c r="BE89" s="21"/>
    </row>
    <row r="90" customFormat="false" ht="14.1" hidden="true" customHeight="true" outlineLevel="1" collapsed="false">
      <c r="A90" s="99" t="s">
        <v>74</v>
      </c>
      <c r="B90" s="68"/>
      <c r="C90" s="94"/>
      <c r="D90" s="69"/>
      <c r="E90" s="35"/>
      <c r="F90" s="35"/>
      <c r="G90" s="39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5"/>
      <c r="T90" s="35"/>
      <c r="U90" s="35"/>
      <c r="V90" s="35"/>
      <c r="W90" s="35"/>
      <c r="X90" s="35"/>
      <c r="Y90" s="35"/>
      <c r="Z90" s="35"/>
      <c r="AA90" s="35"/>
      <c r="AB90" s="35"/>
      <c r="AC90" s="35"/>
      <c r="AD90" s="35"/>
      <c r="AE90" s="35"/>
      <c r="AF90" s="35"/>
      <c r="AG90" s="35"/>
      <c r="AH90" s="35"/>
      <c r="AI90" s="35"/>
      <c r="AJ90" s="70"/>
      <c r="AK90" s="40"/>
      <c r="AL90" s="40"/>
      <c r="AM90" s="40"/>
      <c r="AN90" s="40"/>
      <c r="AO90" s="43"/>
      <c r="AP90" s="43"/>
      <c r="AQ90" s="21"/>
      <c r="AR90" s="21"/>
      <c r="AS90" s="21"/>
      <c r="AT90" s="33"/>
      <c r="AU90" s="33"/>
      <c r="AV90" s="33"/>
      <c r="AW90" s="71"/>
      <c r="AX90" s="71"/>
      <c r="AY90" s="71"/>
      <c r="AZ90" s="21"/>
      <c r="BA90" s="21"/>
      <c r="BB90" s="21"/>
      <c r="BC90" s="21"/>
      <c r="BD90" s="72"/>
      <c r="BE90" s="21"/>
    </row>
    <row r="91" customFormat="false" ht="14.1" hidden="true" customHeight="true" outlineLevel="1" collapsed="false">
      <c r="A91" s="67" t="s">
        <v>75</v>
      </c>
      <c r="B91" s="68"/>
      <c r="C91" s="94"/>
      <c r="D91" s="69"/>
      <c r="E91" s="35"/>
      <c r="F91" s="35"/>
      <c r="G91" s="39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5"/>
      <c r="T91" s="35"/>
      <c r="U91" s="35"/>
      <c r="V91" s="35"/>
      <c r="W91" s="35"/>
      <c r="X91" s="35"/>
      <c r="Y91" s="35"/>
      <c r="Z91" s="35"/>
      <c r="AA91" s="35"/>
      <c r="AB91" s="35"/>
      <c r="AC91" s="35"/>
      <c r="AD91" s="35"/>
      <c r="AE91" s="35"/>
      <c r="AF91" s="35"/>
      <c r="AG91" s="35"/>
      <c r="AH91" s="35"/>
      <c r="AI91" s="35"/>
      <c r="AJ91" s="70"/>
      <c r="AK91" s="40"/>
      <c r="AL91" s="40"/>
      <c r="AM91" s="40"/>
      <c r="AN91" s="40"/>
      <c r="AO91" s="43"/>
      <c r="AP91" s="43"/>
      <c r="AQ91" s="21"/>
      <c r="AR91" s="21"/>
      <c r="AS91" s="21"/>
      <c r="AT91" s="33"/>
      <c r="AU91" s="33"/>
      <c r="AV91" s="33"/>
      <c r="AW91" s="71"/>
      <c r="AX91" s="71"/>
      <c r="AY91" s="71"/>
      <c r="AZ91" s="21"/>
      <c r="BA91" s="21"/>
      <c r="BB91" s="21"/>
      <c r="BC91" s="21"/>
      <c r="BD91" s="72"/>
      <c r="BE91" s="21"/>
    </row>
    <row r="92" customFormat="false" ht="14.1" hidden="true" customHeight="true" outlineLevel="1" collapsed="false">
      <c r="A92" s="88" t="s">
        <v>76</v>
      </c>
      <c r="B92" s="68"/>
      <c r="C92" s="94"/>
      <c r="D92" s="69"/>
      <c r="E92" s="35"/>
      <c r="F92" s="35"/>
      <c r="G92" s="39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5"/>
      <c r="T92" s="35"/>
      <c r="U92" s="35"/>
      <c r="V92" s="35"/>
      <c r="W92" s="35"/>
      <c r="X92" s="35"/>
      <c r="Y92" s="35"/>
      <c r="Z92" s="35"/>
      <c r="AA92" s="35"/>
      <c r="AB92" s="35"/>
      <c r="AC92" s="35"/>
      <c r="AD92" s="35"/>
      <c r="AE92" s="35"/>
      <c r="AF92" s="35"/>
      <c r="AG92" s="35"/>
      <c r="AH92" s="35"/>
      <c r="AI92" s="35"/>
      <c r="AJ92" s="70"/>
      <c r="AK92" s="40"/>
      <c r="AL92" s="40"/>
      <c r="AM92" s="40"/>
      <c r="AN92" s="40"/>
      <c r="AO92" s="43"/>
      <c r="AP92" s="43"/>
      <c r="AQ92" s="21"/>
      <c r="AR92" s="21"/>
      <c r="AS92" s="21"/>
      <c r="AT92" s="33"/>
      <c r="AU92" s="33"/>
      <c r="AV92" s="33"/>
      <c r="AW92" s="71"/>
      <c r="AX92" s="71"/>
      <c r="AY92" s="71"/>
      <c r="AZ92" s="21"/>
      <c r="BA92" s="21"/>
      <c r="BB92" s="21"/>
      <c r="BC92" s="21"/>
      <c r="BD92" s="72"/>
      <c r="BE92" s="21"/>
    </row>
    <row r="93" customFormat="false" ht="14.1" hidden="true" customHeight="true" outlineLevel="1" collapsed="false">
      <c r="A93" s="67" t="s">
        <v>67</v>
      </c>
      <c r="B93" s="68"/>
      <c r="C93" s="94"/>
      <c r="D93" s="69"/>
      <c r="E93" s="35"/>
      <c r="F93" s="35"/>
      <c r="G93" s="39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5"/>
      <c r="T93" s="35"/>
      <c r="U93" s="35"/>
      <c r="V93" s="35"/>
      <c r="W93" s="35"/>
      <c r="X93" s="35"/>
      <c r="Y93" s="35"/>
      <c r="Z93" s="35"/>
      <c r="AA93" s="35"/>
      <c r="AB93" s="35"/>
      <c r="AC93" s="35"/>
      <c r="AD93" s="35"/>
      <c r="AE93" s="35"/>
      <c r="AF93" s="35"/>
      <c r="AG93" s="35"/>
      <c r="AH93" s="35"/>
      <c r="AI93" s="35"/>
      <c r="AJ93" s="70"/>
      <c r="AK93" s="40"/>
      <c r="AL93" s="40"/>
      <c r="AM93" s="40"/>
      <c r="AN93" s="40"/>
      <c r="AO93" s="43"/>
      <c r="AP93" s="43"/>
      <c r="AQ93" s="21"/>
      <c r="AR93" s="21"/>
      <c r="AS93" s="21"/>
      <c r="AT93" s="33"/>
      <c r="AU93" s="33"/>
      <c r="AV93" s="33"/>
      <c r="AW93" s="71"/>
      <c r="AX93" s="71"/>
      <c r="AY93" s="71"/>
      <c r="AZ93" s="21"/>
      <c r="BA93" s="21"/>
      <c r="BB93" s="21"/>
      <c r="BC93" s="21"/>
      <c r="BD93" s="72"/>
      <c r="BE93" s="21"/>
    </row>
    <row r="94" customFormat="false" ht="14.1" hidden="true" customHeight="true" outlineLevel="1" collapsed="false">
      <c r="A94" s="88" t="s">
        <v>55</v>
      </c>
      <c r="B94" s="68"/>
      <c r="C94" s="94"/>
      <c r="D94" s="69"/>
      <c r="E94" s="35"/>
      <c r="F94" s="35"/>
      <c r="G94" s="39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  <c r="AA94" s="35"/>
      <c r="AB94" s="35"/>
      <c r="AC94" s="35"/>
      <c r="AD94" s="35"/>
      <c r="AE94" s="35"/>
      <c r="AF94" s="35"/>
      <c r="AG94" s="35"/>
      <c r="AH94" s="35"/>
      <c r="AI94" s="35"/>
      <c r="AJ94" s="70"/>
      <c r="AK94" s="40"/>
      <c r="AL94" s="40"/>
      <c r="AM94" s="40"/>
      <c r="AN94" s="40"/>
      <c r="AO94" s="43"/>
      <c r="AP94" s="43"/>
      <c r="AQ94" s="21"/>
      <c r="AR94" s="21"/>
      <c r="AS94" s="21"/>
      <c r="AT94" s="33"/>
      <c r="AU94" s="33"/>
      <c r="AV94" s="33"/>
      <c r="AW94" s="71"/>
      <c r="AX94" s="71"/>
      <c r="AY94" s="71"/>
      <c r="AZ94" s="21"/>
      <c r="BA94" s="21"/>
      <c r="BB94" s="21"/>
      <c r="BC94" s="21"/>
      <c r="BD94" s="72"/>
      <c r="BE94" s="21"/>
    </row>
    <row r="95" customFormat="false" ht="14.1" hidden="true" customHeight="true" outlineLevel="1" collapsed="false">
      <c r="A95" s="67"/>
      <c r="B95" s="68"/>
      <c r="C95" s="94"/>
      <c r="D95" s="69"/>
      <c r="E95" s="35"/>
      <c r="F95" s="35"/>
      <c r="G95" s="39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Z95" s="35"/>
      <c r="AA95" s="35"/>
      <c r="AB95" s="35"/>
      <c r="AC95" s="35"/>
      <c r="AD95" s="35"/>
      <c r="AE95" s="35"/>
      <c r="AF95" s="35"/>
      <c r="AG95" s="35"/>
      <c r="AH95" s="35"/>
      <c r="AI95" s="35"/>
      <c r="AJ95" s="70"/>
      <c r="AK95" s="40"/>
      <c r="AL95" s="40"/>
      <c r="AM95" s="40"/>
      <c r="AN95" s="40"/>
      <c r="AO95" s="43"/>
      <c r="AP95" s="43"/>
      <c r="AQ95" s="21"/>
      <c r="AR95" s="21"/>
      <c r="AS95" s="21"/>
      <c r="AT95" s="33"/>
      <c r="AU95" s="33"/>
      <c r="AV95" s="33"/>
      <c r="AW95" s="71"/>
      <c r="AX95" s="71"/>
      <c r="AY95" s="71"/>
      <c r="AZ95" s="21"/>
      <c r="BA95" s="21"/>
      <c r="BB95" s="21"/>
      <c r="BC95" s="21"/>
      <c r="BD95" s="72"/>
      <c r="BE95" s="21"/>
    </row>
    <row r="96" customFormat="false" ht="14.1" hidden="false" customHeight="true" outlineLevel="0" collapsed="false">
      <c r="A96" s="77" t="s">
        <v>68</v>
      </c>
      <c r="B96" s="77"/>
      <c r="C96" s="81" t="s">
        <v>56</v>
      </c>
      <c r="D96" s="69"/>
      <c r="E96" s="35"/>
      <c r="F96" s="35"/>
      <c r="G96" s="39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  <c r="AA96" s="35"/>
      <c r="AB96" s="35"/>
      <c r="AC96" s="35"/>
      <c r="AD96" s="35"/>
      <c r="AE96" s="35"/>
      <c r="AF96" s="35"/>
      <c r="AG96" s="35"/>
      <c r="AH96" s="35"/>
      <c r="AI96" s="35"/>
      <c r="AJ96" s="70"/>
      <c r="AK96" s="40"/>
      <c r="AL96" s="40"/>
      <c r="AM96" s="40"/>
      <c r="AN96" s="40"/>
      <c r="AO96" s="43"/>
      <c r="AP96" s="43"/>
      <c r="AQ96" s="21"/>
      <c r="AR96" s="21"/>
      <c r="AS96" s="21"/>
      <c r="AT96" s="33"/>
      <c r="AU96" s="33"/>
      <c r="AV96" s="33"/>
      <c r="AW96" s="71"/>
      <c r="AX96" s="71"/>
      <c r="AY96" s="71"/>
      <c r="AZ96" s="21"/>
      <c r="BA96" s="21"/>
      <c r="BB96" s="21"/>
      <c r="BC96" s="21"/>
      <c r="BD96" s="72"/>
      <c r="BE96" s="21"/>
    </row>
    <row r="97" customFormat="false" ht="14.1" hidden="false" customHeight="true" outlineLevel="0" collapsed="false">
      <c r="A97" s="69"/>
      <c r="B97" s="68"/>
      <c r="C97" s="89"/>
      <c r="D97" s="69"/>
      <c r="E97" s="35"/>
      <c r="F97" s="35"/>
      <c r="G97" s="39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5"/>
      <c r="T97" s="35"/>
      <c r="U97" s="35"/>
      <c r="V97" s="35"/>
      <c r="W97" s="35"/>
      <c r="X97" s="35"/>
      <c r="Y97" s="35"/>
      <c r="Z97" s="35"/>
      <c r="AA97" s="35"/>
      <c r="AB97" s="35"/>
      <c r="AC97" s="35"/>
      <c r="AD97" s="35"/>
      <c r="AE97" s="35"/>
      <c r="AF97" s="35"/>
      <c r="AG97" s="35"/>
      <c r="AH97" s="35"/>
      <c r="AI97" s="35"/>
      <c r="AJ97" s="70"/>
      <c r="AK97" s="40"/>
      <c r="AL97" s="40"/>
      <c r="AM97" s="40"/>
      <c r="AN97" s="40"/>
      <c r="AO97" s="43"/>
      <c r="AP97" s="43"/>
      <c r="AQ97" s="21"/>
      <c r="AR97" s="21"/>
      <c r="AS97" s="21"/>
      <c r="AT97" s="33"/>
      <c r="AU97" s="33"/>
      <c r="AV97" s="33"/>
      <c r="AW97" s="71"/>
      <c r="AX97" s="71"/>
      <c r="AY97" s="71"/>
      <c r="AZ97" s="21"/>
      <c r="BA97" s="21"/>
      <c r="BB97" s="21"/>
      <c r="BC97" s="21"/>
      <c r="BD97" s="72"/>
      <c r="BE97" s="21"/>
    </row>
    <row r="98" customFormat="false" ht="14.1" hidden="true" customHeight="true" outlineLevel="1" collapsed="false">
      <c r="A98" s="45" t="s">
        <v>77</v>
      </c>
      <c r="B98" s="45"/>
      <c r="C98" s="100"/>
      <c r="D98" s="69"/>
      <c r="E98" s="35"/>
      <c r="F98" s="35"/>
      <c r="G98" s="39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5"/>
      <c r="T98" s="35"/>
      <c r="U98" s="35"/>
      <c r="V98" s="35"/>
      <c r="W98" s="35"/>
      <c r="X98" s="35"/>
      <c r="Y98" s="35"/>
      <c r="Z98" s="35"/>
      <c r="AA98" s="35"/>
      <c r="AB98" s="35"/>
      <c r="AC98" s="35"/>
      <c r="AD98" s="35"/>
      <c r="AE98" s="35"/>
      <c r="AF98" s="35"/>
      <c r="AG98" s="35"/>
      <c r="AH98" s="35"/>
      <c r="AI98" s="35"/>
      <c r="AJ98" s="70"/>
      <c r="AK98" s="40"/>
      <c r="AL98" s="40"/>
      <c r="AM98" s="40"/>
      <c r="AN98" s="40"/>
      <c r="AO98" s="43"/>
      <c r="AP98" s="43"/>
      <c r="AQ98" s="21"/>
      <c r="AR98" s="21"/>
      <c r="AS98" s="21"/>
      <c r="AT98" s="33"/>
      <c r="AU98" s="33"/>
      <c r="AV98" s="33"/>
      <c r="AW98" s="71"/>
      <c r="AX98" s="71"/>
      <c r="AY98" s="71"/>
      <c r="AZ98" s="21"/>
      <c r="BA98" s="21"/>
      <c r="BB98" s="21"/>
      <c r="BC98" s="21"/>
      <c r="BD98" s="72"/>
      <c r="BE98" s="21"/>
    </row>
    <row r="99" s="55" customFormat="true" ht="14.1" hidden="true" customHeight="true" outlineLevel="1" collapsed="false">
      <c r="A99" s="101"/>
      <c r="B99" s="101"/>
      <c r="C99" s="102"/>
      <c r="D99" s="102"/>
      <c r="E99" s="103"/>
      <c r="F99" s="103"/>
      <c r="G99" s="104"/>
      <c r="H99" s="103"/>
      <c r="I99" s="103"/>
      <c r="J99" s="103"/>
      <c r="K99" s="103"/>
      <c r="L99" s="103"/>
      <c r="M99" s="103"/>
      <c r="N99" s="103"/>
      <c r="O99" s="103"/>
      <c r="P99" s="103"/>
      <c r="Q99" s="103"/>
      <c r="R99" s="103"/>
      <c r="S99" s="103"/>
      <c r="T99" s="103"/>
      <c r="U99" s="103"/>
      <c r="V99" s="103"/>
      <c r="W99" s="103"/>
      <c r="X99" s="103"/>
      <c r="Y99" s="103"/>
      <c r="Z99" s="103"/>
      <c r="AA99" s="103"/>
      <c r="AB99" s="103"/>
      <c r="AC99" s="103"/>
      <c r="AD99" s="103"/>
      <c r="AE99" s="103"/>
      <c r="AF99" s="103"/>
      <c r="AG99" s="103"/>
      <c r="AH99" s="103"/>
      <c r="AI99" s="103"/>
      <c r="AJ99" s="105"/>
      <c r="AK99" s="106"/>
      <c r="AL99" s="106"/>
      <c r="AM99" s="106"/>
      <c r="AN99" s="106"/>
      <c r="AO99" s="19"/>
      <c r="AP99" s="19"/>
      <c r="AQ99" s="19"/>
      <c r="AR99" s="19"/>
      <c r="AS99" s="19"/>
      <c r="AT99" s="107"/>
      <c r="AU99" s="107"/>
      <c r="AV99" s="107"/>
      <c r="AW99" s="71"/>
      <c r="AX99" s="71"/>
      <c r="AY99" s="71"/>
      <c r="AZ99" s="19"/>
      <c r="BA99" s="19"/>
      <c r="BB99" s="19"/>
      <c r="BC99" s="19"/>
      <c r="BD99" s="108"/>
      <c r="BE99" s="19"/>
    </row>
    <row r="100" s="55" customFormat="true" ht="14.1" hidden="true" customHeight="true" outlineLevel="1" collapsed="false">
      <c r="A100" s="109" t="s">
        <v>78</v>
      </c>
      <c r="B100" s="101"/>
      <c r="C100" s="102"/>
      <c r="D100" s="102"/>
      <c r="E100" s="103"/>
      <c r="F100" s="103"/>
      <c r="G100" s="104"/>
      <c r="H100" s="103"/>
      <c r="I100" s="103"/>
      <c r="J100" s="103"/>
      <c r="K100" s="103"/>
      <c r="L100" s="103"/>
      <c r="M100" s="103"/>
      <c r="N100" s="103"/>
      <c r="O100" s="103"/>
      <c r="P100" s="103"/>
      <c r="Q100" s="103"/>
      <c r="R100" s="103"/>
      <c r="S100" s="103"/>
      <c r="T100" s="103"/>
      <c r="U100" s="103"/>
      <c r="V100" s="103"/>
      <c r="W100" s="103"/>
      <c r="X100" s="103"/>
      <c r="Y100" s="103"/>
      <c r="Z100" s="103"/>
      <c r="AA100" s="103"/>
      <c r="AB100" s="103"/>
      <c r="AC100" s="103"/>
      <c r="AD100" s="103"/>
      <c r="AE100" s="103"/>
      <c r="AF100" s="103"/>
      <c r="AG100" s="103"/>
      <c r="AH100" s="103"/>
      <c r="AI100" s="103"/>
      <c r="AJ100" s="105"/>
      <c r="AK100" s="106"/>
      <c r="AL100" s="106"/>
      <c r="AM100" s="106"/>
      <c r="AN100" s="106"/>
      <c r="AO100" s="19"/>
      <c r="AP100" s="19"/>
      <c r="AQ100" s="19"/>
      <c r="AR100" s="19"/>
      <c r="AS100" s="19"/>
      <c r="AT100" s="107"/>
      <c r="AU100" s="107"/>
      <c r="AV100" s="107"/>
      <c r="AW100" s="71"/>
      <c r="AX100" s="71"/>
      <c r="AY100" s="71"/>
      <c r="AZ100" s="19"/>
      <c r="BA100" s="19"/>
      <c r="BB100" s="19"/>
      <c r="BC100" s="19"/>
      <c r="BD100" s="108"/>
      <c r="BE100" s="19"/>
    </row>
    <row r="101" customFormat="false" ht="14.1" hidden="true" customHeight="true" outlineLevel="1" collapsed="false">
      <c r="A101" s="59" t="s">
        <v>79</v>
      </c>
      <c r="B101" s="68"/>
      <c r="C101" s="69"/>
      <c r="D101" s="69"/>
      <c r="E101" s="35"/>
      <c r="F101" s="35"/>
      <c r="G101" s="39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70"/>
      <c r="AK101" s="40"/>
      <c r="AL101" s="40"/>
      <c r="AM101" s="40"/>
      <c r="AN101" s="40"/>
      <c r="AO101" s="43"/>
      <c r="AP101" s="43"/>
      <c r="AQ101" s="21"/>
      <c r="AR101" s="21"/>
      <c r="AS101" s="21"/>
      <c r="AT101" s="33"/>
      <c r="AU101" s="33"/>
      <c r="AV101" s="33"/>
      <c r="AW101" s="71"/>
      <c r="AX101" s="71"/>
      <c r="AY101" s="71"/>
      <c r="AZ101" s="21"/>
      <c r="BA101" s="21"/>
      <c r="BB101" s="21"/>
      <c r="BC101" s="21"/>
      <c r="BD101" s="72"/>
      <c r="BE101" s="21"/>
    </row>
    <row r="102" s="56" customFormat="true" ht="14.1" hidden="true" customHeight="true" outlineLevel="1" collapsed="false">
      <c r="A102" s="110"/>
      <c r="B102" s="111"/>
      <c r="C102" s="48"/>
      <c r="D102" s="48"/>
      <c r="E102" s="50"/>
      <c r="F102" s="50"/>
      <c r="G102" s="51"/>
      <c r="H102" s="50"/>
      <c r="I102" s="50"/>
      <c r="J102" s="50"/>
      <c r="K102" s="50"/>
      <c r="L102" s="50"/>
      <c r="M102" s="50"/>
      <c r="N102" s="50"/>
      <c r="O102" s="50"/>
      <c r="P102" s="50"/>
      <c r="Q102" s="50"/>
      <c r="R102" s="50"/>
      <c r="S102" s="50"/>
      <c r="T102" s="50"/>
      <c r="U102" s="50"/>
      <c r="V102" s="50"/>
      <c r="W102" s="50"/>
      <c r="X102" s="50"/>
      <c r="Y102" s="50"/>
      <c r="Z102" s="50"/>
      <c r="AA102" s="50"/>
      <c r="AB102" s="50"/>
      <c r="AC102" s="50"/>
      <c r="AD102" s="50"/>
      <c r="AE102" s="50"/>
      <c r="AF102" s="50"/>
      <c r="AG102" s="50"/>
      <c r="AH102" s="50"/>
      <c r="AI102" s="50"/>
      <c r="AJ102" s="70"/>
      <c r="AK102" s="52"/>
      <c r="AL102" s="52"/>
      <c r="AM102" s="52"/>
      <c r="AN102" s="52"/>
      <c r="AO102" s="54"/>
      <c r="AP102" s="54"/>
      <c r="AQ102" s="19"/>
      <c r="AR102" s="19"/>
      <c r="AS102" s="19"/>
      <c r="AT102" s="107"/>
      <c r="AU102" s="107"/>
      <c r="AV102" s="107"/>
      <c r="AW102" s="71"/>
      <c r="AX102" s="71"/>
      <c r="AY102" s="71"/>
      <c r="AZ102" s="19"/>
      <c r="BA102" s="19"/>
      <c r="BB102" s="19"/>
      <c r="BC102" s="19"/>
      <c r="BD102" s="108"/>
      <c r="BE102" s="19"/>
      <c r="BF102" s="55"/>
    </row>
    <row r="103" customFormat="false" ht="14.1" hidden="true" customHeight="true" outlineLevel="1" collapsed="false">
      <c r="A103" s="38" t="s">
        <v>80</v>
      </c>
      <c r="B103" s="38"/>
      <c r="C103" s="38"/>
      <c r="D103" s="69"/>
      <c r="E103" s="35"/>
      <c r="F103" s="35"/>
      <c r="G103" s="39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Z103" s="35"/>
      <c r="AA103" s="35"/>
      <c r="AB103" s="35"/>
      <c r="AC103" s="35"/>
      <c r="AD103" s="35"/>
      <c r="AE103" s="35"/>
      <c r="AF103" s="35"/>
      <c r="AG103" s="35"/>
      <c r="AH103" s="35"/>
      <c r="AI103" s="35"/>
      <c r="AJ103" s="70"/>
      <c r="AK103" s="40"/>
      <c r="AL103" s="40"/>
      <c r="AM103" s="40"/>
      <c r="AN103" s="40"/>
      <c r="AO103" s="43"/>
      <c r="AP103" s="43"/>
      <c r="AQ103" s="21"/>
      <c r="AR103" s="21"/>
      <c r="AS103" s="21"/>
      <c r="AT103" s="33"/>
      <c r="AU103" s="33"/>
      <c r="AV103" s="33"/>
      <c r="AW103" s="71"/>
      <c r="AX103" s="71"/>
      <c r="AY103" s="71"/>
      <c r="AZ103" s="21"/>
      <c r="BA103" s="21"/>
      <c r="BB103" s="21"/>
      <c r="BC103" s="21"/>
      <c r="BD103" s="72"/>
      <c r="BE103" s="21"/>
    </row>
    <row r="104" customFormat="false" ht="14.1" hidden="true" customHeight="true" outlineLevel="1" collapsed="false">
      <c r="A104" s="112" t="s">
        <v>81</v>
      </c>
      <c r="B104" s="45" t="s">
        <v>15</v>
      </c>
      <c r="C104" s="113" t="n">
        <v>3</v>
      </c>
      <c r="D104" s="69"/>
      <c r="E104" s="35"/>
      <c r="F104" s="35"/>
      <c r="G104" s="39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Z104" s="35"/>
      <c r="AA104" s="35"/>
      <c r="AB104" s="35"/>
      <c r="AC104" s="35"/>
      <c r="AD104" s="35"/>
      <c r="AE104" s="35"/>
      <c r="AF104" s="35"/>
      <c r="AG104" s="35"/>
      <c r="AH104" s="35"/>
      <c r="AI104" s="35"/>
      <c r="AJ104" s="70"/>
      <c r="AK104" s="40"/>
      <c r="AL104" s="40"/>
      <c r="AM104" s="40"/>
      <c r="AN104" s="40"/>
      <c r="AO104" s="43"/>
      <c r="AP104" s="43"/>
      <c r="AQ104" s="21"/>
      <c r="AR104" s="21"/>
      <c r="AS104" s="21"/>
      <c r="AT104" s="33"/>
      <c r="AU104" s="33"/>
      <c r="AV104" s="33"/>
      <c r="AW104" s="71"/>
      <c r="AX104" s="71"/>
      <c r="AY104" s="71"/>
      <c r="AZ104" s="21"/>
      <c r="BA104" s="21"/>
      <c r="BB104" s="21"/>
      <c r="BC104" s="21"/>
      <c r="BD104" s="72"/>
      <c r="BE104" s="21"/>
    </row>
    <row r="105" customFormat="false" ht="14.1" hidden="true" customHeight="true" outlineLevel="1" collapsed="false">
      <c r="A105" s="112" t="s">
        <v>82</v>
      </c>
      <c r="B105" s="45" t="s">
        <v>15</v>
      </c>
      <c r="C105" s="113" t="n">
        <v>4</v>
      </c>
      <c r="D105" s="69"/>
      <c r="E105" s="35"/>
      <c r="F105" s="35"/>
      <c r="G105" s="39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Z105" s="35"/>
      <c r="AA105" s="35"/>
      <c r="AB105" s="35"/>
      <c r="AC105" s="35"/>
      <c r="AD105" s="35"/>
      <c r="AE105" s="35"/>
      <c r="AF105" s="35"/>
      <c r="AG105" s="35"/>
      <c r="AH105" s="35"/>
      <c r="AI105" s="35"/>
      <c r="AJ105" s="70"/>
      <c r="AK105" s="40"/>
      <c r="AL105" s="40"/>
      <c r="AM105" s="40"/>
      <c r="AN105" s="40"/>
      <c r="AO105" s="43"/>
      <c r="AP105" s="43"/>
      <c r="AQ105" s="21"/>
      <c r="AR105" s="21"/>
      <c r="AS105" s="21"/>
      <c r="AT105" s="33"/>
      <c r="AU105" s="33"/>
      <c r="AV105" s="33"/>
      <c r="AW105" s="71"/>
      <c r="AX105" s="71"/>
      <c r="AY105" s="71"/>
      <c r="AZ105" s="21"/>
      <c r="BA105" s="21"/>
      <c r="BB105" s="21"/>
      <c r="BC105" s="21"/>
      <c r="BD105" s="72"/>
      <c r="BE105" s="21"/>
    </row>
    <row r="106" customFormat="false" ht="14.1" hidden="true" customHeight="true" outlineLevel="1" collapsed="false">
      <c r="A106" s="112" t="s">
        <v>83</v>
      </c>
      <c r="B106" s="45" t="s">
        <v>15</v>
      </c>
      <c r="C106" s="114" t="n">
        <v>0</v>
      </c>
      <c r="D106" s="69"/>
      <c r="E106" s="35"/>
      <c r="F106" s="35"/>
      <c r="G106" s="39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5"/>
      <c r="T106" s="35"/>
      <c r="U106" s="35"/>
      <c r="V106" s="35"/>
      <c r="W106" s="35"/>
      <c r="X106" s="35"/>
      <c r="Y106" s="35"/>
      <c r="Z106" s="35"/>
      <c r="AA106" s="35"/>
      <c r="AB106" s="35"/>
      <c r="AC106" s="35"/>
      <c r="AD106" s="35"/>
      <c r="AE106" s="35"/>
      <c r="AF106" s="35"/>
      <c r="AG106" s="35"/>
      <c r="AH106" s="35"/>
      <c r="AI106" s="35"/>
      <c r="AJ106" s="70"/>
      <c r="AK106" s="40"/>
      <c r="AL106" s="40"/>
      <c r="AM106" s="40"/>
      <c r="AN106" s="40"/>
      <c r="AO106" s="43"/>
      <c r="AP106" s="43"/>
      <c r="AQ106" s="21"/>
      <c r="AR106" s="21"/>
      <c r="AS106" s="21"/>
      <c r="AT106" s="33"/>
      <c r="AU106" s="33"/>
      <c r="AV106" s="33"/>
      <c r="AW106" s="71"/>
      <c r="AX106" s="71"/>
      <c r="AY106" s="71"/>
      <c r="AZ106" s="21"/>
      <c r="BA106" s="21"/>
      <c r="BB106" s="21"/>
      <c r="BC106" s="21"/>
      <c r="BD106" s="72"/>
      <c r="BE106" s="21"/>
    </row>
    <row r="107" customFormat="false" ht="14.1" hidden="true" customHeight="true" outlineLevel="1" collapsed="false">
      <c r="A107" s="112" t="s">
        <v>84</v>
      </c>
      <c r="B107" s="45" t="s">
        <v>15</v>
      </c>
      <c r="C107" s="114" t="n">
        <v>1.5</v>
      </c>
      <c r="D107" s="69"/>
      <c r="E107" s="35"/>
      <c r="F107" s="35"/>
      <c r="G107" s="39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70"/>
      <c r="AK107" s="40"/>
      <c r="AL107" s="40"/>
      <c r="AM107" s="40"/>
      <c r="AN107" s="40"/>
      <c r="AO107" s="43"/>
      <c r="AP107" s="43"/>
      <c r="AQ107" s="21"/>
      <c r="AR107" s="21"/>
      <c r="AS107" s="21"/>
      <c r="AT107" s="33"/>
      <c r="AU107" s="33"/>
      <c r="AV107" s="33"/>
      <c r="AW107" s="71"/>
      <c r="AX107" s="71"/>
      <c r="AY107" s="71"/>
      <c r="AZ107" s="21"/>
      <c r="BA107" s="21"/>
      <c r="BB107" s="21"/>
      <c r="BC107" s="21"/>
      <c r="BD107" s="72"/>
      <c r="BE107" s="21"/>
    </row>
    <row r="108" customFormat="false" ht="14.1" hidden="true" customHeight="true" outlineLevel="1" collapsed="false">
      <c r="A108" s="69"/>
      <c r="B108" s="68"/>
      <c r="C108" s="69"/>
      <c r="D108" s="69"/>
      <c r="E108" s="35"/>
      <c r="F108" s="35"/>
      <c r="G108" s="39"/>
      <c r="H108" s="35"/>
      <c r="I108" s="35"/>
      <c r="J108" s="35"/>
      <c r="K108" s="35"/>
      <c r="L108" s="35"/>
      <c r="M108" s="35"/>
      <c r="N108" s="35"/>
      <c r="O108" s="35"/>
      <c r="P108" s="35"/>
      <c r="Q108" s="35"/>
      <c r="R108" s="35"/>
      <c r="S108" s="35"/>
      <c r="T108" s="35"/>
      <c r="U108" s="35"/>
      <c r="V108" s="35"/>
      <c r="W108" s="35"/>
      <c r="X108" s="35"/>
      <c r="Y108" s="35"/>
      <c r="Z108" s="35"/>
      <c r="AA108" s="35"/>
      <c r="AB108" s="35"/>
      <c r="AC108" s="35"/>
      <c r="AD108" s="35"/>
      <c r="AE108" s="35"/>
      <c r="AF108" s="35"/>
      <c r="AG108" s="35"/>
      <c r="AH108" s="35"/>
      <c r="AI108" s="35"/>
      <c r="AJ108" s="70"/>
      <c r="AK108" s="40"/>
      <c r="AL108" s="40"/>
      <c r="AM108" s="40"/>
      <c r="AN108" s="40"/>
      <c r="AO108" s="43"/>
      <c r="AP108" s="43"/>
      <c r="AQ108" s="21"/>
      <c r="AR108" s="21"/>
      <c r="AS108" s="21"/>
      <c r="AT108" s="33"/>
      <c r="AU108" s="33"/>
      <c r="AV108" s="33"/>
      <c r="AW108" s="71"/>
      <c r="AX108" s="71"/>
      <c r="AY108" s="71"/>
      <c r="AZ108" s="21"/>
      <c r="BA108" s="21"/>
      <c r="BB108" s="21"/>
      <c r="BC108" s="21"/>
      <c r="BD108" s="72"/>
      <c r="BE108" s="21"/>
    </row>
    <row r="109" customFormat="false" ht="14.1" hidden="false" customHeight="true" outlineLevel="0" collapsed="false">
      <c r="A109" s="45" t="s">
        <v>77</v>
      </c>
      <c r="B109" s="45"/>
      <c r="C109" s="67"/>
      <c r="D109" s="69"/>
      <c r="E109" s="35"/>
      <c r="F109" s="35"/>
      <c r="G109" s="39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5"/>
      <c r="S109" s="35"/>
      <c r="T109" s="35"/>
      <c r="U109" s="35"/>
      <c r="V109" s="35"/>
      <c r="W109" s="35"/>
      <c r="X109" s="35"/>
      <c r="Y109" s="35"/>
      <c r="Z109" s="35"/>
      <c r="AA109" s="35"/>
      <c r="AB109" s="35"/>
      <c r="AC109" s="35"/>
      <c r="AD109" s="35"/>
      <c r="AE109" s="35"/>
      <c r="AF109" s="35"/>
      <c r="AG109" s="35"/>
      <c r="AH109" s="35"/>
      <c r="AI109" s="35"/>
      <c r="AJ109" s="70"/>
      <c r="AK109" s="40"/>
      <c r="AL109" s="40"/>
      <c r="AM109" s="40"/>
      <c r="AN109" s="40"/>
      <c r="AO109" s="43"/>
      <c r="AP109" s="43"/>
      <c r="AQ109" s="21"/>
      <c r="AR109" s="21"/>
      <c r="AS109" s="21"/>
      <c r="AT109" s="33"/>
      <c r="AU109" s="33"/>
      <c r="AV109" s="33"/>
      <c r="AW109" s="71"/>
      <c r="AX109" s="71"/>
      <c r="AY109" s="71"/>
      <c r="AZ109" s="21"/>
      <c r="BA109" s="21"/>
      <c r="BB109" s="21"/>
      <c r="BC109" s="21"/>
      <c r="BD109" s="72"/>
      <c r="BE109" s="21"/>
    </row>
    <row r="110" customFormat="false" ht="14.1" hidden="false" customHeight="true" outlineLevel="0" collapsed="false">
      <c r="A110" s="69"/>
      <c r="B110" s="68"/>
      <c r="C110" s="69"/>
      <c r="D110" s="69"/>
      <c r="E110" s="35"/>
      <c r="F110" s="35"/>
      <c r="G110" s="39"/>
      <c r="H110" s="35"/>
      <c r="I110" s="35"/>
      <c r="J110" s="35"/>
      <c r="K110" s="35"/>
      <c r="L110" s="35"/>
      <c r="M110" s="35"/>
      <c r="N110" s="35"/>
      <c r="O110" s="35"/>
      <c r="P110" s="35"/>
      <c r="Q110" s="35"/>
      <c r="R110" s="35"/>
      <c r="S110" s="35"/>
      <c r="T110" s="35"/>
      <c r="U110" s="35"/>
      <c r="V110" s="35"/>
      <c r="W110" s="35"/>
      <c r="X110" s="35"/>
      <c r="Y110" s="35"/>
      <c r="Z110" s="35"/>
      <c r="AA110" s="35"/>
      <c r="AB110" s="35"/>
      <c r="AC110" s="35"/>
      <c r="AD110" s="35"/>
      <c r="AE110" s="35"/>
      <c r="AF110" s="35"/>
      <c r="AG110" s="35"/>
      <c r="AH110" s="35"/>
      <c r="AI110" s="35"/>
      <c r="AJ110" s="70"/>
      <c r="AK110" s="40"/>
      <c r="AL110" s="40"/>
      <c r="AM110" s="40"/>
      <c r="AN110" s="40"/>
      <c r="AO110" s="43"/>
      <c r="AP110" s="43"/>
      <c r="AQ110" s="21"/>
      <c r="AR110" s="21"/>
      <c r="AS110" s="21"/>
      <c r="AT110" s="33"/>
      <c r="AU110" s="33"/>
      <c r="AV110" s="33"/>
      <c r="AW110" s="71"/>
      <c r="AX110" s="71"/>
      <c r="AY110" s="71"/>
      <c r="AZ110" s="21"/>
      <c r="BA110" s="21"/>
      <c r="BB110" s="21"/>
      <c r="BC110" s="21"/>
      <c r="BD110" s="72"/>
      <c r="BE110" s="21"/>
    </row>
    <row r="111" customFormat="false" ht="14.1" hidden="true" customHeight="true" outlineLevel="1" collapsed="false">
      <c r="A111" s="45" t="s">
        <v>85</v>
      </c>
      <c r="B111" s="45"/>
      <c r="C111" s="67"/>
      <c r="D111" s="69"/>
      <c r="E111" s="35"/>
      <c r="F111" s="35"/>
      <c r="G111" s="39"/>
      <c r="H111" s="35"/>
      <c r="I111" s="35"/>
      <c r="J111" s="35"/>
      <c r="K111" s="35"/>
      <c r="L111" s="35"/>
      <c r="M111" s="35"/>
      <c r="N111" s="35"/>
      <c r="O111" s="35"/>
      <c r="P111" s="35"/>
      <c r="Q111" s="35"/>
      <c r="R111" s="35"/>
      <c r="S111" s="35"/>
      <c r="T111" s="35"/>
      <c r="U111" s="35"/>
      <c r="V111" s="35"/>
      <c r="W111" s="35"/>
      <c r="X111" s="35"/>
      <c r="Y111" s="35"/>
      <c r="Z111" s="35"/>
      <c r="AA111" s="35"/>
      <c r="AB111" s="35"/>
      <c r="AC111" s="35"/>
      <c r="AD111" s="35"/>
      <c r="AE111" s="35"/>
      <c r="AF111" s="35"/>
      <c r="AG111" s="35"/>
      <c r="AH111" s="35"/>
      <c r="AI111" s="35"/>
      <c r="AJ111" s="70"/>
      <c r="AK111" s="40"/>
      <c r="AL111" s="40"/>
      <c r="AM111" s="40"/>
      <c r="AN111" s="40"/>
      <c r="AO111" s="43"/>
      <c r="AP111" s="43"/>
      <c r="AQ111" s="21"/>
      <c r="AR111" s="21"/>
      <c r="AS111" s="21"/>
      <c r="AT111" s="33"/>
      <c r="AU111" s="33"/>
      <c r="AV111" s="33"/>
      <c r="AW111" s="71"/>
      <c r="AX111" s="71"/>
      <c r="AY111" s="71"/>
      <c r="AZ111" s="21"/>
      <c r="BA111" s="21"/>
      <c r="BB111" s="21"/>
      <c r="BC111" s="21"/>
      <c r="BD111" s="72"/>
      <c r="BE111" s="21"/>
    </row>
    <row r="112" customFormat="false" ht="14.1" hidden="true" customHeight="true" outlineLevel="1" collapsed="false">
      <c r="A112" s="69"/>
      <c r="B112" s="68"/>
      <c r="C112" s="69"/>
      <c r="D112" s="69"/>
      <c r="E112" s="35"/>
      <c r="F112" s="35"/>
      <c r="G112" s="39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Z112" s="35"/>
      <c r="AA112" s="35"/>
      <c r="AB112" s="35"/>
      <c r="AC112" s="35"/>
      <c r="AD112" s="35"/>
      <c r="AE112" s="35"/>
      <c r="AF112" s="35"/>
      <c r="AG112" s="35"/>
      <c r="AH112" s="35"/>
      <c r="AI112" s="35"/>
      <c r="AJ112" s="70"/>
      <c r="AK112" s="40"/>
      <c r="AL112" s="40"/>
      <c r="AM112" s="40"/>
      <c r="AN112" s="40"/>
      <c r="AO112" s="43"/>
      <c r="AP112" s="43"/>
      <c r="AQ112" s="21"/>
      <c r="AR112" s="21"/>
      <c r="AS112" s="21"/>
      <c r="AT112" s="33"/>
      <c r="AU112" s="33"/>
      <c r="AV112" s="33"/>
      <c r="AW112" s="71"/>
      <c r="AX112" s="71"/>
      <c r="AY112" s="71"/>
      <c r="AZ112" s="21"/>
      <c r="BA112" s="21"/>
      <c r="BB112" s="21"/>
      <c r="BC112" s="21"/>
      <c r="BD112" s="72"/>
      <c r="BE112" s="21"/>
    </row>
    <row r="113" customFormat="false" ht="14.1" hidden="true" customHeight="true" outlineLevel="1" collapsed="false">
      <c r="A113" s="69" t="s">
        <v>86</v>
      </c>
      <c r="B113" s="68"/>
      <c r="C113" s="69"/>
      <c r="D113" s="69"/>
      <c r="E113" s="35"/>
      <c r="F113" s="35"/>
      <c r="G113" s="39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5"/>
      <c r="T113" s="35"/>
      <c r="U113" s="35"/>
      <c r="V113" s="35"/>
      <c r="W113" s="35"/>
      <c r="X113" s="35"/>
      <c r="Y113" s="35"/>
      <c r="Z113" s="35"/>
      <c r="AA113" s="35"/>
      <c r="AB113" s="35"/>
      <c r="AC113" s="35"/>
      <c r="AD113" s="35"/>
      <c r="AE113" s="35"/>
      <c r="AF113" s="35"/>
      <c r="AG113" s="35"/>
      <c r="AH113" s="35"/>
      <c r="AI113" s="35"/>
      <c r="AJ113" s="70"/>
      <c r="AK113" s="40"/>
      <c r="AL113" s="40"/>
      <c r="AM113" s="40"/>
      <c r="AN113" s="40"/>
      <c r="AO113" s="43"/>
      <c r="AP113" s="43"/>
      <c r="AQ113" s="21"/>
      <c r="AR113" s="21"/>
      <c r="AS113" s="21"/>
      <c r="AT113" s="33"/>
      <c r="AU113" s="33"/>
      <c r="AV113" s="33"/>
      <c r="AW113" s="71"/>
      <c r="AX113" s="71"/>
      <c r="AY113" s="71"/>
      <c r="AZ113" s="21"/>
      <c r="BA113" s="21"/>
      <c r="BB113" s="21"/>
      <c r="BC113" s="21"/>
      <c r="BD113" s="72"/>
      <c r="BE113" s="21"/>
    </row>
    <row r="114" customFormat="false" ht="14.1" hidden="true" customHeight="true" outlineLevel="1" collapsed="false">
      <c r="A114" s="115" t="s">
        <v>87</v>
      </c>
      <c r="B114" s="58"/>
      <c r="C114" s="48"/>
      <c r="D114" s="69"/>
      <c r="E114" s="35"/>
      <c r="F114" s="35"/>
      <c r="G114" s="39"/>
      <c r="H114" s="35"/>
      <c r="I114" s="35"/>
      <c r="J114" s="35"/>
      <c r="K114" s="35"/>
      <c r="L114" s="35"/>
      <c r="M114" s="35"/>
      <c r="N114" s="35"/>
      <c r="O114" s="35"/>
      <c r="P114" s="35"/>
      <c r="Q114" s="35"/>
      <c r="R114" s="35"/>
      <c r="S114" s="35"/>
      <c r="T114" s="35"/>
      <c r="U114" s="35"/>
      <c r="V114" s="35"/>
      <c r="W114" s="35"/>
      <c r="X114" s="35"/>
      <c r="Y114" s="35"/>
      <c r="Z114" s="35"/>
      <c r="AA114" s="35"/>
      <c r="AB114" s="35"/>
      <c r="AC114" s="35"/>
      <c r="AD114" s="35"/>
      <c r="AE114" s="35"/>
      <c r="AF114" s="35"/>
      <c r="AG114" s="35"/>
      <c r="AH114" s="35"/>
      <c r="AI114" s="35"/>
      <c r="AJ114" s="70"/>
      <c r="AK114" s="40"/>
      <c r="AL114" s="40"/>
      <c r="AM114" s="40"/>
      <c r="AN114" s="40"/>
      <c r="AO114" s="43"/>
      <c r="AP114" s="43"/>
      <c r="AQ114" s="21"/>
      <c r="AR114" s="21"/>
      <c r="AS114" s="21"/>
      <c r="AT114" s="33"/>
      <c r="AU114" s="33"/>
      <c r="AV114" s="33"/>
      <c r="AW114" s="71"/>
      <c r="AX114" s="71"/>
      <c r="AY114" s="71"/>
      <c r="AZ114" s="21"/>
      <c r="BA114" s="21"/>
      <c r="BB114" s="21"/>
      <c r="BC114" s="21"/>
      <c r="BD114" s="72"/>
      <c r="BE114" s="21"/>
    </row>
    <row r="115" customFormat="false" ht="14.1" hidden="true" customHeight="true" outlineLevel="1" collapsed="false">
      <c r="A115" s="69"/>
      <c r="B115" s="68"/>
      <c r="C115" s="69"/>
      <c r="D115" s="69"/>
      <c r="E115" s="35"/>
      <c r="F115" s="35"/>
      <c r="G115" s="39"/>
      <c r="H115" s="35"/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5"/>
      <c r="T115" s="35"/>
      <c r="U115" s="35"/>
      <c r="V115" s="35"/>
      <c r="W115" s="35"/>
      <c r="X115" s="35"/>
      <c r="Y115" s="35"/>
      <c r="Z115" s="35"/>
      <c r="AA115" s="35"/>
      <c r="AB115" s="35"/>
      <c r="AC115" s="35"/>
      <c r="AD115" s="35"/>
      <c r="AE115" s="35"/>
      <c r="AF115" s="35"/>
      <c r="AG115" s="35"/>
      <c r="AH115" s="35"/>
      <c r="AI115" s="35"/>
      <c r="AJ115" s="70"/>
      <c r="AK115" s="40"/>
      <c r="AL115" s="40"/>
      <c r="AM115" s="40"/>
      <c r="AN115" s="40"/>
      <c r="AO115" s="43"/>
      <c r="AP115" s="43"/>
      <c r="AQ115" s="21"/>
      <c r="AR115" s="21"/>
      <c r="AS115" s="21"/>
      <c r="AT115" s="33"/>
      <c r="AU115" s="33"/>
      <c r="AV115" s="33"/>
      <c r="AW115" s="71"/>
      <c r="AX115" s="71"/>
      <c r="AY115" s="71"/>
      <c r="AZ115" s="21"/>
      <c r="BA115" s="21"/>
      <c r="BB115" s="21"/>
      <c r="BC115" s="21"/>
      <c r="BD115" s="72"/>
      <c r="BE115" s="21"/>
    </row>
    <row r="116" customFormat="false" ht="14.1" hidden="true" customHeight="true" outlineLevel="1" collapsed="false">
      <c r="A116" s="38" t="s">
        <v>88</v>
      </c>
      <c r="B116" s="38"/>
      <c r="C116" s="38"/>
      <c r="D116" s="69"/>
      <c r="E116" s="35"/>
      <c r="F116" s="35"/>
      <c r="G116" s="39"/>
      <c r="H116" s="35"/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5"/>
      <c r="T116" s="35"/>
      <c r="U116" s="35"/>
      <c r="V116" s="35"/>
      <c r="W116" s="35"/>
      <c r="X116" s="35"/>
      <c r="Y116" s="35"/>
      <c r="Z116" s="35"/>
      <c r="AA116" s="35"/>
      <c r="AB116" s="35"/>
      <c r="AC116" s="35"/>
      <c r="AD116" s="35"/>
      <c r="AE116" s="35"/>
      <c r="AF116" s="35"/>
      <c r="AG116" s="35"/>
      <c r="AH116" s="35"/>
      <c r="AI116" s="35"/>
      <c r="AJ116" s="70"/>
      <c r="AK116" s="40"/>
      <c r="AL116" s="40"/>
      <c r="AM116" s="40"/>
      <c r="AN116" s="40"/>
      <c r="AO116" s="43"/>
      <c r="AP116" s="43"/>
      <c r="AQ116" s="21"/>
      <c r="AR116" s="21"/>
      <c r="AS116" s="21"/>
      <c r="AT116" s="33"/>
      <c r="AU116" s="33"/>
      <c r="AV116" s="33"/>
      <c r="AW116" s="71"/>
      <c r="AX116" s="71"/>
      <c r="AY116" s="71"/>
      <c r="AZ116" s="21"/>
      <c r="BA116" s="21"/>
      <c r="BB116" s="21"/>
      <c r="BC116" s="21"/>
      <c r="BD116" s="72"/>
      <c r="BE116" s="21"/>
    </row>
    <row r="117" customFormat="false" ht="14.1" hidden="true" customHeight="true" outlineLevel="1" collapsed="false">
      <c r="A117" s="112" t="s">
        <v>89</v>
      </c>
      <c r="B117" s="45" t="s">
        <v>15</v>
      </c>
      <c r="C117" s="116" t="n">
        <v>4</v>
      </c>
      <c r="D117" s="69"/>
      <c r="E117" s="35"/>
      <c r="F117" s="35"/>
      <c r="G117" s="39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5"/>
      <c r="T117" s="35"/>
      <c r="U117" s="35"/>
      <c r="V117" s="35"/>
      <c r="W117" s="35"/>
      <c r="X117" s="35"/>
      <c r="Y117" s="35"/>
      <c r="Z117" s="35"/>
      <c r="AA117" s="35"/>
      <c r="AB117" s="35"/>
      <c r="AC117" s="35"/>
      <c r="AD117" s="35"/>
      <c r="AE117" s="35"/>
      <c r="AF117" s="35"/>
      <c r="AG117" s="35"/>
      <c r="AH117" s="35"/>
      <c r="AI117" s="35"/>
      <c r="AJ117" s="70"/>
      <c r="AK117" s="40"/>
      <c r="AL117" s="40"/>
      <c r="AM117" s="40"/>
      <c r="AN117" s="40"/>
      <c r="AO117" s="43"/>
      <c r="AP117" s="43"/>
      <c r="AQ117" s="21"/>
      <c r="AR117" s="21"/>
      <c r="AS117" s="21"/>
      <c r="AT117" s="33"/>
      <c r="AU117" s="33"/>
      <c r="AV117" s="33"/>
      <c r="AW117" s="71"/>
      <c r="AX117" s="71"/>
      <c r="AY117" s="71"/>
      <c r="AZ117" s="21"/>
      <c r="BA117" s="21"/>
      <c r="BB117" s="21"/>
      <c r="BC117" s="21"/>
      <c r="BD117" s="72"/>
      <c r="BE117" s="21"/>
    </row>
    <row r="118" customFormat="false" ht="14.1" hidden="true" customHeight="true" outlineLevel="1" collapsed="false">
      <c r="A118" s="112" t="s">
        <v>90</v>
      </c>
      <c r="B118" s="45" t="s">
        <v>15</v>
      </c>
      <c r="C118" s="86" t="n">
        <v>5</v>
      </c>
      <c r="D118" s="69"/>
      <c r="E118" s="35"/>
      <c r="F118" s="35"/>
      <c r="G118" s="39"/>
      <c r="H118" s="35"/>
      <c r="I118" s="35"/>
      <c r="J118" s="35"/>
      <c r="K118" s="35"/>
      <c r="L118" s="35"/>
      <c r="M118" s="35"/>
      <c r="N118" s="35"/>
      <c r="O118" s="35"/>
      <c r="P118" s="35"/>
      <c r="Q118" s="35"/>
      <c r="R118" s="35"/>
      <c r="S118" s="35"/>
      <c r="T118" s="35"/>
      <c r="U118" s="35"/>
      <c r="V118" s="35"/>
      <c r="W118" s="35"/>
      <c r="X118" s="35"/>
      <c r="Y118" s="35"/>
      <c r="Z118" s="35"/>
      <c r="AA118" s="35"/>
      <c r="AB118" s="35"/>
      <c r="AC118" s="35"/>
      <c r="AD118" s="35"/>
      <c r="AE118" s="35"/>
      <c r="AF118" s="35"/>
      <c r="AG118" s="35"/>
      <c r="AH118" s="35"/>
      <c r="AI118" s="35"/>
      <c r="AJ118" s="70"/>
      <c r="AK118" s="40"/>
      <c r="AL118" s="40"/>
      <c r="AM118" s="40"/>
      <c r="AN118" s="40"/>
      <c r="AO118" s="43"/>
      <c r="AP118" s="43"/>
      <c r="AQ118" s="21"/>
      <c r="AR118" s="21"/>
      <c r="AS118" s="21"/>
      <c r="AT118" s="33"/>
      <c r="AU118" s="33"/>
      <c r="AV118" s="33"/>
      <c r="AW118" s="71"/>
      <c r="AX118" s="71"/>
      <c r="AY118" s="71"/>
      <c r="AZ118" s="21"/>
      <c r="BA118" s="21"/>
      <c r="BB118" s="21"/>
      <c r="BC118" s="21"/>
      <c r="BD118" s="72"/>
      <c r="BE118" s="21"/>
    </row>
    <row r="119" customFormat="false" ht="14.1" hidden="true" customHeight="true" outlineLevel="1" collapsed="false">
      <c r="A119" s="69"/>
      <c r="B119" s="68"/>
      <c r="C119" s="69"/>
      <c r="D119" s="69"/>
      <c r="E119" s="35"/>
      <c r="F119" s="35"/>
      <c r="G119" s="39"/>
      <c r="H119" s="35"/>
      <c r="I119" s="35"/>
      <c r="J119" s="35"/>
      <c r="K119" s="35"/>
      <c r="L119" s="35"/>
      <c r="M119" s="35"/>
      <c r="N119" s="35"/>
      <c r="O119" s="35"/>
      <c r="P119" s="35"/>
      <c r="Q119" s="35"/>
      <c r="R119" s="35"/>
      <c r="S119" s="35"/>
      <c r="T119" s="35"/>
      <c r="U119" s="35"/>
      <c r="V119" s="35"/>
      <c r="W119" s="35"/>
      <c r="X119" s="35"/>
      <c r="Y119" s="35"/>
      <c r="Z119" s="35"/>
      <c r="AA119" s="35"/>
      <c r="AB119" s="35"/>
      <c r="AC119" s="35"/>
      <c r="AD119" s="35"/>
      <c r="AE119" s="35"/>
      <c r="AF119" s="35"/>
      <c r="AG119" s="35"/>
      <c r="AH119" s="35"/>
      <c r="AI119" s="35"/>
      <c r="AJ119" s="70"/>
      <c r="AK119" s="40"/>
      <c r="AL119" s="40"/>
      <c r="AM119" s="40"/>
      <c r="AN119" s="40"/>
      <c r="AO119" s="43"/>
      <c r="AP119" s="43"/>
      <c r="AQ119" s="21"/>
      <c r="AR119" s="21"/>
      <c r="AS119" s="21"/>
      <c r="AT119" s="33"/>
      <c r="AU119" s="33"/>
      <c r="AV119" s="33"/>
      <c r="AW119" s="71"/>
      <c r="AX119" s="71"/>
      <c r="AY119" s="71"/>
      <c r="AZ119" s="21"/>
      <c r="BA119" s="21"/>
      <c r="BB119" s="21"/>
      <c r="BC119" s="21"/>
      <c r="BD119" s="72"/>
      <c r="BE119" s="21"/>
    </row>
    <row r="120" customFormat="false" ht="14.1" hidden="false" customHeight="true" outlineLevel="0" collapsed="false">
      <c r="A120" s="45" t="s">
        <v>85</v>
      </c>
      <c r="B120" s="45"/>
      <c r="C120" s="69"/>
      <c r="D120" s="69"/>
      <c r="E120" s="35"/>
      <c r="F120" s="35"/>
      <c r="G120" s="39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5"/>
      <c r="T120" s="35"/>
      <c r="U120" s="35"/>
      <c r="V120" s="35"/>
      <c r="W120" s="35"/>
      <c r="X120" s="35"/>
      <c r="Y120" s="35"/>
      <c r="Z120" s="35"/>
      <c r="AA120" s="35"/>
      <c r="AB120" s="35"/>
      <c r="AC120" s="35"/>
      <c r="AD120" s="35"/>
      <c r="AE120" s="35"/>
      <c r="AF120" s="35"/>
      <c r="AG120" s="35"/>
      <c r="AH120" s="35"/>
      <c r="AI120" s="35"/>
      <c r="AJ120" s="70"/>
      <c r="AK120" s="40"/>
      <c r="AL120" s="40"/>
      <c r="AM120" s="40"/>
      <c r="AN120" s="40"/>
      <c r="AO120" s="43"/>
      <c r="AP120" s="43"/>
      <c r="AQ120" s="21"/>
      <c r="AR120" s="21"/>
      <c r="AS120" s="21"/>
      <c r="AT120" s="33"/>
      <c r="AU120" s="33"/>
      <c r="AV120" s="33"/>
      <c r="AW120" s="71"/>
      <c r="AX120" s="71"/>
      <c r="AY120" s="71"/>
      <c r="AZ120" s="21"/>
      <c r="BA120" s="21"/>
      <c r="BB120" s="21"/>
      <c r="BC120" s="21"/>
      <c r="BD120" s="72"/>
      <c r="BE120" s="21"/>
    </row>
    <row r="121" customFormat="false" ht="14.1" hidden="false" customHeight="true" outlineLevel="0" collapsed="false">
      <c r="A121" s="69"/>
      <c r="B121" s="68"/>
      <c r="C121" s="69"/>
      <c r="D121" s="69"/>
      <c r="E121" s="35"/>
      <c r="F121" s="35"/>
      <c r="G121" s="39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5"/>
      <c r="S121" s="35"/>
      <c r="T121" s="35"/>
      <c r="U121" s="35"/>
      <c r="V121" s="35"/>
      <c r="W121" s="35"/>
      <c r="X121" s="35"/>
      <c r="Y121" s="35"/>
      <c r="Z121" s="35"/>
      <c r="AA121" s="35"/>
      <c r="AB121" s="35"/>
      <c r="AC121" s="35"/>
      <c r="AD121" s="35"/>
      <c r="AE121" s="35"/>
      <c r="AF121" s="35"/>
      <c r="AG121" s="35"/>
      <c r="AH121" s="35"/>
      <c r="AI121" s="35"/>
      <c r="AJ121" s="70"/>
      <c r="AK121" s="40"/>
      <c r="AL121" s="40"/>
      <c r="AM121" s="40"/>
      <c r="AN121" s="40"/>
      <c r="AO121" s="43"/>
      <c r="AP121" s="43"/>
      <c r="AQ121" s="21"/>
      <c r="AR121" s="21"/>
      <c r="AS121" s="21"/>
      <c r="AT121" s="33"/>
      <c r="AU121" s="33"/>
      <c r="AV121" s="33"/>
      <c r="AW121" s="71"/>
      <c r="AX121" s="71"/>
      <c r="AY121" s="71"/>
      <c r="AZ121" s="21"/>
      <c r="BA121" s="21"/>
      <c r="BB121" s="21"/>
      <c r="BC121" s="21"/>
      <c r="BD121" s="72"/>
      <c r="BE121" s="21"/>
    </row>
    <row r="122" s="118" customFormat="true" ht="15" hidden="false" customHeight="false" outlineLevel="0" collapsed="false">
      <c r="A122" s="117" t="s">
        <v>91</v>
      </c>
      <c r="B122" s="117"/>
      <c r="C122" s="117"/>
      <c r="D122" s="117"/>
      <c r="E122" s="117"/>
    </row>
    <row r="123" s="118" customFormat="true" ht="15" hidden="false" customHeight="false" outlineLevel="0" collapsed="false">
      <c r="A123" s="117"/>
      <c r="B123" s="117"/>
      <c r="C123" s="117"/>
      <c r="D123" s="117"/>
      <c r="E123" s="117"/>
    </row>
    <row r="124" customFormat="false" ht="14.1" hidden="true" customHeight="true" outlineLevel="1" collapsed="false">
      <c r="A124" s="119" t="s">
        <v>92</v>
      </c>
      <c r="B124" s="120" t="s">
        <v>12</v>
      </c>
      <c r="C124" s="121" t="s">
        <v>93</v>
      </c>
      <c r="D124" s="121" t="s">
        <v>94</v>
      </c>
      <c r="E124" s="121" t="s">
        <v>95</v>
      </c>
      <c r="F124" s="122"/>
      <c r="G124" s="123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35"/>
      <c r="AI124" s="35"/>
      <c r="AJ124" s="124"/>
      <c r="AK124" s="40"/>
      <c r="AL124" s="40"/>
      <c r="AM124" s="40"/>
      <c r="AN124" s="40"/>
      <c r="AO124" s="125"/>
      <c r="AP124" s="125"/>
      <c r="AQ124" s="126"/>
      <c r="AR124" s="126"/>
      <c r="AS124" s="126"/>
      <c r="AT124" s="127"/>
      <c r="AU124" s="105"/>
      <c r="AV124" s="105"/>
      <c r="AW124" s="128"/>
      <c r="AX124" s="128"/>
      <c r="AY124" s="128"/>
      <c r="AZ124" s="126"/>
      <c r="BA124" s="126"/>
      <c r="BB124" s="21"/>
      <c r="BC124" s="21" t="n">
        <v>2</v>
      </c>
      <c r="BD124" s="72" t="n">
        <f aca="false">связи1!H75</f>
        <v>0.2</v>
      </c>
      <c r="BE124" s="21"/>
    </row>
    <row r="125" customFormat="false" ht="14.1" hidden="true" customHeight="true" outlineLevel="1" collapsed="false">
      <c r="A125" s="26"/>
      <c r="B125" s="129" t="s">
        <v>15</v>
      </c>
      <c r="C125" s="130" t="n">
        <v>0.6</v>
      </c>
      <c r="D125" s="131" t="s">
        <v>96</v>
      </c>
      <c r="E125" s="130" t="n">
        <v>0.15</v>
      </c>
      <c r="F125" s="132"/>
      <c r="G125" s="133" t="s">
        <v>97</v>
      </c>
      <c r="H125" s="133"/>
      <c r="I125" s="133"/>
      <c r="J125" s="133"/>
      <c r="K125" s="133"/>
      <c r="L125" s="133"/>
      <c r="M125" s="133"/>
      <c r="N125" s="133"/>
      <c r="O125" s="133"/>
      <c r="P125" s="133"/>
      <c r="Q125" s="133"/>
      <c r="R125" s="133"/>
      <c r="S125" s="133"/>
      <c r="T125" s="133"/>
      <c r="U125" s="133"/>
      <c r="V125" s="133"/>
      <c r="W125" s="133"/>
      <c r="X125" s="133"/>
      <c r="Y125" s="133"/>
      <c r="Z125" s="133"/>
      <c r="AA125" s="133"/>
      <c r="AB125" s="133"/>
      <c r="AC125" s="133"/>
      <c r="AD125" s="133"/>
      <c r="AE125" s="133"/>
      <c r="AF125" s="26"/>
      <c r="AG125" s="26"/>
      <c r="AH125" s="35"/>
      <c r="AI125" s="35"/>
      <c r="AJ125" s="124"/>
      <c r="AK125" s="40"/>
      <c r="AL125" s="40"/>
      <c r="AM125" s="40"/>
      <c r="AN125" s="40"/>
      <c r="AO125" s="125"/>
      <c r="AP125" s="125"/>
      <c r="AQ125" s="126"/>
      <c r="AR125" s="126"/>
      <c r="AS125" s="126"/>
      <c r="AT125" s="134"/>
      <c r="AU125" s="105"/>
      <c r="AV125" s="105"/>
      <c r="AW125" s="128"/>
      <c r="AX125" s="128"/>
      <c r="AY125" s="128"/>
      <c r="AZ125" s="126"/>
      <c r="BA125" s="126"/>
      <c r="BB125" s="21"/>
      <c r="BC125" s="21" t="n">
        <v>3</v>
      </c>
      <c r="BD125" s="72" t="n">
        <f aca="false">связи1!H71</f>
        <v>3</v>
      </c>
      <c r="BE125" s="21"/>
    </row>
    <row r="126" customFormat="false" ht="14.1" hidden="true" customHeight="true" outlineLevel="1" collapsed="false">
      <c r="A126" s="26" t="s">
        <v>98</v>
      </c>
      <c r="B126" s="135"/>
      <c r="C126" s="26"/>
      <c r="D126" s="26"/>
      <c r="E126" s="26"/>
      <c r="F126" s="136"/>
      <c r="G126" s="133"/>
      <c r="H126" s="133"/>
      <c r="I126" s="133"/>
      <c r="J126" s="133"/>
      <c r="K126" s="133"/>
      <c r="L126" s="133"/>
      <c r="M126" s="133"/>
      <c r="N126" s="133"/>
      <c r="O126" s="133"/>
      <c r="P126" s="133"/>
      <c r="Q126" s="133"/>
      <c r="R126" s="133"/>
      <c r="S126" s="133"/>
      <c r="T126" s="133"/>
      <c r="U126" s="133"/>
      <c r="V126" s="133"/>
      <c r="W126" s="133"/>
      <c r="X126" s="133"/>
      <c r="Y126" s="133"/>
      <c r="Z126" s="133"/>
      <c r="AA126" s="133"/>
      <c r="AB126" s="133"/>
      <c r="AC126" s="133"/>
      <c r="AD126" s="133"/>
      <c r="AE126" s="133"/>
      <c r="AF126" s="26"/>
      <c r="AG126" s="26"/>
      <c r="AH126" s="35"/>
      <c r="AI126" s="35"/>
      <c r="AJ126" s="124"/>
      <c r="AK126" s="40"/>
      <c r="AL126" s="40"/>
      <c r="AM126" s="40"/>
      <c r="AN126" s="40"/>
      <c r="AO126" s="125"/>
      <c r="AP126" s="125"/>
      <c r="AQ126" s="126"/>
      <c r="AR126" s="126"/>
      <c r="AS126" s="126"/>
      <c r="AT126" s="134"/>
      <c r="AU126" s="105"/>
      <c r="AV126" s="105"/>
      <c r="AW126" s="128"/>
      <c r="AX126" s="128"/>
      <c r="AY126" s="128"/>
      <c r="AZ126" s="126"/>
      <c r="BA126" s="126"/>
      <c r="BB126" s="21"/>
      <c r="BC126" s="21"/>
      <c r="BD126" s="72"/>
      <c r="BE126" s="21"/>
    </row>
    <row r="127" customFormat="false" ht="14.1" hidden="true" customHeight="true" outlineLevel="1" collapsed="false">
      <c r="A127" s="137" t="s">
        <v>99</v>
      </c>
      <c r="B127" s="129" t="s">
        <v>15</v>
      </c>
      <c r="C127" s="130" t="n">
        <v>0.4</v>
      </c>
      <c r="D127" s="132"/>
      <c r="E127" s="136"/>
      <c r="F127" s="136"/>
      <c r="G127" s="133"/>
      <c r="H127" s="133"/>
      <c r="I127" s="133"/>
      <c r="J127" s="133"/>
      <c r="K127" s="133"/>
      <c r="L127" s="133"/>
      <c r="M127" s="133"/>
      <c r="N127" s="133"/>
      <c r="O127" s="133"/>
      <c r="P127" s="133"/>
      <c r="Q127" s="133"/>
      <c r="R127" s="133"/>
      <c r="S127" s="133"/>
      <c r="T127" s="133"/>
      <c r="U127" s="133"/>
      <c r="V127" s="133"/>
      <c r="W127" s="133"/>
      <c r="X127" s="133"/>
      <c r="Y127" s="133"/>
      <c r="Z127" s="133"/>
      <c r="AA127" s="133"/>
      <c r="AB127" s="133"/>
      <c r="AC127" s="133"/>
      <c r="AD127" s="133"/>
      <c r="AE127" s="133"/>
      <c r="AF127" s="26"/>
      <c r="AG127" s="26"/>
      <c r="AH127" s="35"/>
      <c r="AI127" s="35"/>
      <c r="AJ127" s="124"/>
      <c r="AK127" s="40"/>
      <c r="AL127" s="40"/>
      <c r="AM127" s="40"/>
      <c r="AN127" s="40"/>
      <c r="AO127" s="125"/>
      <c r="AP127" s="125"/>
      <c r="AQ127" s="126"/>
      <c r="AR127" s="126"/>
      <c r="AS127" s="126"/>
      <c r="AT127" s="134"/>
      <c r="AU127" s="105"/>
      <c r="AV127" s="105"/>
      <c r="AW127" s="128"/>
      <c r="AX127" s="128"/>
      <c r="AY127" s="128"/>
      <c r="AZ127" s="126"/>
      <c r="BA127" s="126"/>
      <c r="BB127" s="21"/>
      <c r="BC127" s="21"/>
      <c r="BD127" s="72"/>
      <c r="BE127" s="21"/>
    </row>
    <row r="128" customFormat="false" ht="14.1" hidden="true" customHeight="true" outlineLevel="1" collapsed="false">
      <c r="A128" s="138" t="s">
        <v>100</v>
      </c>
      <c r="B128" s="135"/>
      <c r="C128" s="26"/>
      <c r="D128" s="26"/>
      <c r="E128" s="26"/>
      <c r="F128" s="136"/>
      <c r="G128" s="133"/>
      <c r="H128" s="133"/>
      <c r="I128" s="133"/>
      <c r="J128" s="133"/>
      <c r="K128" s="133"/>
      <c r="L128" s="133"/>
      <c r="M128" s="133"/>
      <c r="N128" s="133"/>
      <c r="O128" s="133"/>
      <c r="P128" s="133"/>
      <c r="Q128" s="133"/>
      <c r="R128" s="133"/>
      <c r="S128" s="133"/>
      <c r="T128" s="133"/>
      <c r="U128" s="133"/>
      <c r="V128" s="133"/>
      <c r="W128" s="133"/>
      <c r="X128" s="133"/>
      <c r="Y128" s="133"/>
      <c r="Z128" s="133"/>
      <c r="AA128" s="133"/>
      <c r="AB128" s="133"/>
      <c r="AC128" s="133"/>
      <c r="AD128" s="133"/>
      <c r="AE128" s="133"/>
      <c r="AF128" s="26"/>
      <c r="AG128" s="26"/>
      <c r="AH128" s="35"/>
      <c r="AI128" s="35"/>
      <c r="AJ128" s="124"/>
      <c r="AK128" s="40"/>
      <c r="AL128" s="40"/>
      <c r="AM128" s="40"/>
      <c r="AN128" s="40"/>
      <c r="AO128" s="125"/>
      <c r="AP128" s="125"/>
      <c r="AQ128" s="126"/>
      <c r="AR128" s="126"/>
      <c r="AS128" s="126"/>
      <c r="AT128" s="134"/>
      <c r="AU128" s="105"/>
      <c r="AV128" s="105"/>
      <c r="AW128" s="128"/>
      <c r="AX128" s="128"/>
      <c r="AY128" s="128"/>
      <c r="AZ128" s="126"/>
      <c r="BA128" s="126"/>
      <c r="BB128" s="21"/>
      <c r="BC128" s="21"/>
      <c r="BD128" s="72"/>
      <c r="BE128" s="21"/>
    </row>
    <row r="129" customFormat="false" ht="14.1" hidden="true" customHeight="true" outlineLevel="1" collapsed="false">
      <c r="A129" s="139" t="s">
        <v>101</v>
      </c>
      <c r="B129" s="135"/>
      <c r="C129" s="26"/>
      <c r="D129" s="26"/>
      <c r="E129" s="26"/>
      <c r="F129" s="136"/>
      <c r="G129" s="133"/>
      <c r="H129" s="133"/>
      <c r="I129" s="133"/>
      <c r="J129" s="133"/>
      <c r="K129" s="133"/>
      <c r="L129" s="133"/>
      <c r="M129" s="133"/>
      <c r="N129" s="133"/>
      <c r="O129" s="133"/>
      <c r="P129" s="133"/>
      <c r="Q129" s="133"/>
      <c r="R129" s="133"/>
      <c r="S129" s="133"/>
      <c r="T129" s="133"/>
      <c r="U129" s="133"/>
      <c r="V129" s="133"/>
      <c r="W129" s="133"/>
      <c r="X129" s="133"/>
      <c r="Y129" s="133"/>
      <c r="Z129" s="133"/>
      <c r="AA129" s="133"/>
      <c r="AB129" s="133"/>
      <c r="AC129" s="133"/>
      <c r="AD129" s="133"/>
      <c r="AE129" s="133"/>
      <c r="AF129" s="26"/>
      <c r="AG129" s="26"/>
      <c r="AH129" s="35"/>
      <c r="AI129" s="35"/>
      <c r="AJ129" s="124"/>
      <c r="AK129" s="40"/>
      <c r="AL129" s="40"/>
      <c r="AM129" s="40"/>
      <c r="AN129" s="40"/>
      <c r="AO129" s="125"/>
      <c r="AP129" s="125"/>
      <c r="AQ129" s="126"/>
      <c r="AR129" s="126"/>
      <c r="AS129" s="126"/>
      <c r="AT129" s="134"/>
      <c r="AU129" s="105"/>
      <c r="AV129" s="105"/>
      <c r="AW129" s="128"/>
      <c r="AX129" s="128"/>
      <c r="AY129" s="128"/>
      <c r="AZ129" s="126"/>
      <c r="BA129" s="126"/>
      <c r="BB129" s="21"/>
      <c r="BC129" s="21"/>
      <c r="BD129" s="72"/>
      <c r="BE129" s="21"/>
    </row>
    <row r="130" customFormat="false" ht="14.1" hidden="true" customHeight="true" outlineLevel="1" collapsed="false">
      <c r="A130" s="139" t="s">
        <v>101</v>
      </c>
      <c r="B130" s="135"/>
      <c r="C130" s="26"/>
      <c r="D130" s="26"/>
      <c r="E130" s="26"/>
      <c r="F130" s="122"/>
      <c r="G130" s="133"/>
      <c r="H130" s="133"/>
      <c r="I130" s="133"/>
      <c r="J130" s="133"/>
      <c r="K130" s="133"/>
      <c r="L130" s="133"/>
      <c r="M130" s="133"/>
      <c r="N130" s="133"/>
      <c r="O130" s="133"/>
      <c r="P130" s="133"/>
      <c r="Q130" s="133"/>
      <c r="R130" s="133"/>
      <c r="S130" s="133"/>
      <c r="T130" s="133"/>
      <c r="U130" s="133"/>
      <c r="V130" s="133"/>
      <c r="W130" s="133"/>
      <c r="X130" s="133"/>
      <c r="Y130" s="133"/>
      <c r="Z130" s="133"/>
      <c r="AA130" s="133"/>
      <c r="AB130" s="133"/>
      <c r="AC130" s="133"/>
      <c r="AD130" s="133"/>
      <c r="AE130" s="133"/>
      <c r="AF130" s="26"/>
      <c r="AG130" s="26"/>
      <c r="AH130" s="35"/>
      <c r="AI130" s="35"/>
      <c r="AJ130" s="124"/>
      <c r="AK130" s="40"/>
      <c r="AL130" s="40"/>
      <c r="AM130" s="40"/>
      <c r="AN130" s="40"/>
      <c r="AO130" s="125"/>
      <c r="AP130" s="125"/>
      <c r="AQ130" s="126"/>
      <c r="AR130" s="126"/>
      <c r="AS130" s="126"/>
      <c r="AT130" s="134"/>
      <c r="AU130" s="127"/>
      <c r="AV130" s="105"/>
      <c r="AW130" s="128"/>
      <c r="AX130" s="128"/>
      <c r="AY130" s="128"/>
      <c r="AZ130" s="126"/>
      <c r="BA130" s="126"/>
      <c r="BB130" s="21"/>
      <c r="BC130" s="21" t="n">
        <v>4</v>
      </c>
      <c r="BD130" s="72" t="n">
        <f aca="false">связи1!H67</f>
        <v>3.2</v>
      </c>
      <c r="BE130" s="21"/>
    </row>
    <row r="131" customFormat="false" ht="14.1" hidden="true" customHeight="true" outlineLevel="1" collapsed="false">
      <c r="A131" s="137" t="s">
        <v>102</v>
      </c>
      <c r="B131" s="123"/>
      <c r="C131" s="132"/>
      <c r="D131" s="132"/>
      <c r="E131" s="136"/>
      <c r="F131" s="136"/>
      <c r="G131" s="133"/>
      <c r="H131" s="133"/>
      <c r="I131" s="133"/>
      <c r="J131" s="133"/>
      <c r="K131" s="133"/>
      <c r="L131" s="133"/>
      <c r="M131" s="133"/>
      <c r="N131" s="133"/>
      <c r="O131" s="133"/>
      <c r="P131" s="133"/>
      <c r="Q131" s="133"/>
      <c r="R131" s="133"/>
      <c r="S131" s="133"/>
      <c r="T131" s="133"/>
      <c r="U131" s="133"/>
      <c r="V131" s="133"/>
      <c r="W131" s="133"/>
      <c r="X131" s="133"/>
      <c r="Y131" s="133"/>
      <c r="Z131" s="133"/>
      <c r="AA131" s="133"/>
      <c r="AB131" s="133"/>
      <c r="AC131" s="133"/>
      <c r="AD131" s="133"/>
      <c r="AE131" s="133"/>
      <c r="AF131" s="26"/>
      <c r="AG131" s="26"/>
      <c r="AH131" s="35"/>
      <c r="AI131" s="35"/>
      <c r="AJ131" s="124"/>
      <c r="AK131" s="40"/>
      <c r="AL131" s="40"/>
      <c r="AM131" s="40"/>
      <c r="AN131" s="40"/>
      <c r="AO131" s="125"/>
      <c r="AP131" s="125"/>
      <c r="AQ131" s="126"/>
      <c r="AR131" s="126"/>
      <c r="AS131" s="126"/>
      <c r="AT131" s="134"/>
      <c r="AU131" s="127"/>
      <c r="AV131" s="105"/>
      <c r="AW131" s="128"/>
      <c r="AX131" s="128"/>
      <c r="AY131" s="128"/>
      <c r="AZ131" s="126"/>
      <c r="BA131" s="126"/>
      <c r="BB131" s="21"/>
      <c r="BC131" s="21"/>
      <c r="BD131" s="72"/>
      <c r="BE131" s="21"/>
    </row>
    <row r="132" customFormat="false" ht="14.1" hidden="true" customHeight="true" outlineLevel="1" collapsed="false">
      <c r="A132" s="140" t="s">
        <v>103</v>
      </c>
      <c r="B132" s="123"/>
      <c r="C132" s="132"/>
      <c r="D132" s="132"/>
      <c r="E132" s="136"/>
      <c r="F132" s="136"/>
      <c r="G132" s="133"/>
      <c r="H132" s="133"/>
      <c r="I132" s="133"/>
      <c r="J132" s="133"/>
      <c r="K132" s="133"/>
      <c r="L132" s="133"/>
      <c r="M132" s="133"/>
      <c r="N132" s="133"/>
      <c r="O132" s="133"/>
      <c r="P132" s="133"/>
      <c r="Q132" s="133"/>
      <c r="R132" s="133"/>
      <c r="S132" s="133"/>
      <c r="T132" s="133"/>
      <c r="U132" s="133"/>
      <c r="V132" s="133"/>
      <c r="W132" s="133"/>
      <c r="X132" s="133"/>
      <c r="Y132" s="133"/>
      <c r="Z132" s="133"/>
      <c r="AA132" s="133"/>
      <c r="AB132" s="133"/>
      <c r="AC132" s="133"/>
      <c r="AD132" s="133"/>
      <c r="AE132" s="133"/>
      <c r="AF132" s="26"/>
      <c r="AG132" s="26"/>
      <c r="AH132" s="35"/>
      <c r="AI132" s="35"/>
      <c r="AJ132" s="124"/>
      <c r="AK132" s="40"/>
      <c r="AL132" s="40"/>
      <c r="AM132" s="40"/>
      <c r="AN132" s="40"/>
      <c r="AO132" s="125"/>
      <c r="AP132" s="125"/>
      <c r="AQ132" s="126"/>
      <c r="AR132" s="126"/>
      <c r="AS132" s="126"/>
      <c r="AT132" s="134"/>
      <c r="AU132" s="127"/>
      <c r="AV132" s="105"/>
      <c r="AW132" s="128"/>
      <c r="AX132" s="128"/>
      <c r="AY132" s="128"/>
      <c r="AZ132" s="126"/>
      <c r="BA132" s="126"/>
      <c r="BB132" s="21"/>
      <c r="BC132" s="21"/>
      <c r="BD132" s="72"/>
      <c r="BE132" s="21"/>
    </row>
    <row r="133" customFormat="false" ht="14.1" hidden="true" customHeight="true" outlineLevel="1" collapsed="false">
      <c r="A133" s="119" t="s">
        <v>37</v>
      </c>
      <c r="B133" s="141" t="s">
        <v>12</v>
      </c>
      <c r="C133" s="121" t="s">
        <v>93</v>
      </c>
      <c r="D133" s="121" t="s">
        <v>94</v>
      </c>
      <c r="E133" s="121" t="s">
        <v>95</v>
      </c>
      <c r="F133" s="136"/>
      <c r="G133" s="133"/>
      <c r="H133" s="133"/>
      <c r="I133" s="133"/>
      <c r="J133" s="133"/>
      <c r="K133" s="133"/>
      <c r="L133" s="133"/>
      <c r="M133" s="133"/>
      <c r="N133" s="133"/>
      <c r="O133" s="133"/>
      <c r="P133" s="133"/>
      <c r="Q133" s="133"/>
      <c r="R133" s="133"/>
      <c r="S133" s="133"/>
      <c r="T133" s="133"/>
      <c r="U133" s="133"/>
      <c r="V133" s="133"/>
      <c r="W133" s="133"/>
      <c r="X133" s="133"/>
      <c r="Y133" s="133"/>
      <c r="Z133" s="133"/>
      <c r="AA133" s="133"/>
      <c r="AB133" s="133"/>
      <c r="AC133" s="133"/>
      <c r="AD133" s="133"/>
      <c r="AE133" s="133"/>
      <c r="AF133" s="26"/>
      <c r="AG133" s="26"/>
      <c r="AH133" s="35"/>
      <c r="AI133" s="35"/>
      <c r="AJ133" s="124"/>
      <c r="AK133" s="40"/>
      <c r="AL133" s="40"/>
      <c r="AM133" s="40"/>
      <c r="AN133" s="40"/>
      <c r="AO133" s="125"/>
      <c r="AP133" s="125"/>
      <c r="AQ133" s="126"/>
      <c r="AR133" s="126"/>
      <c r="AS133" s="126"/>
      <c r="AT133" s="134"/>
      <c r="AU133" s="127"/>
      <c r="AV133" s="105"/>
      <c r="AW133" s="128"/>
      <c r="AX133" s="128"/>
      <c r="AY133" s="128"/>
      <c r="AZ133" s="126"/>
      <c r="BA133" s="126"/>
      <c r="BB133" s="21"/>
      <c r="BC133" s="21"/>
      <c r="BD133" s="72"/>
      <c r="BE133" s="21"/>
    </row>
    <row r="134" customFormat="false" ht="14.1" hidden="true" customHeight="true" outlineLevel="1" collapsed="false">
      <c r="A134" s="26"/>
      <c r="B134" s="129" t="s">
        <v>15</v>
      </c>
      <c r="C134" s="130" t="n">
        <v>0.6</v>
      </c>
      <c r="D134" s="131" t="s">
        <v>96</v>
      </c>
      <c r="E134" s="130" t="n">
        <v>0.2</v>
      </c>
      <c r="F134" s="122"/>
      <c r="G134" s="133"/>
      <c r="H134" s="133"/>
      <c r="I134" s="133"/>
      <c r="J134" s="133"/>
      <c r="K134" s="133"/>
      <c r="L134" s="133"/>
      <c r="M134" s="133"/>
      <c r="N134" s="133"/>
      <c r="O134" s="133"/>
      <c r="P134" s="133"/>
      <c r="Q134" s="133"/>
      <c r="R134" s="133"/>
      <c r="S134" s="133"/>
      <c r="T134" s="133"/>
      <c r="U134" s="133"/>
      <c r="V134" s="133"/>
      <c r="W134" s="133"/>
      <c r="X134" s="133"/>
      <c r="Y134" s="133"/>
      <c r="Z134" s="133"/>
      <c r="AA134" s="133"/>
      <c r="AB134" s="133"/>
      <c r="AC134" s="133"/>
      <c r="AD134" s="133"/>
      <c r="AE134" s="133"/>
      <c r="AF134" s="26"/>
      <c r="AG134" s="26"/>
      <c r="AH134" s="35"/>
      <c r="AI134" s="35"/>
      <c r="AJ134" s="124"/>
      <c r="AK134" s="40"/>
      <c r="AL134" s="40"/>
      <c r="AM134" s="40"/>
      <c r="AN134" s="40"/>
      <c r="AO134" s="125"/>
      <c r="AP134" s="125"/>
      <c r="AQ134" s="126"/>
      <c r="AR134" s="126"/>
      <c r="AS134" s="126"/>
      <c r="AT134" s="134"/>
      <c r="AU134" s="134"/>
      <c r="AV134" s="105"/>
      <c r="AW134" s="128"/>
      <c r="AX134" s="128"/>
      <c r="AY134" s="128"/>
      <c r="AZ134" s="126"/>
      <c r="BA134" s="126"/>
      <c r="BB134" s="21"/>
      <c r="BC134" s="21" t="n">
        <v>6</v>
      </c>
      <c r="BD134" s="72" t="n">
        <f aca="false">связи1!H59</f>
        <v>5.3</v>
      </c>
      <c r="BE134" s="21"/>
    </row>
    <row r="135" customFormat="false" ht="14.1" hidden="true" customHeight="true" outlineLevel="1" collapsed="false">
      <c r="A135" s="26" t="s">
        <v>104</v>
      </c>
      <c r="B135" s="123"/>
      <c r="C135" s="132"/>
      <c r="D135" s="132"/>
      <c r="E135" s="136"/>
      <c r="F135" s="132"/>
      <c r="G135" s="133"/>
      <c r="H135" s="133"/>
      <c r="I135" s="133"/>
      <c r="J135" s="133"/>
      <c r="K135" s="133"/>
      <c r="L135" s="133"/>
      <c r="M135" s="133"/>
      <c r="N135" s="133"/>
      <c r="O135" s="133"/>
      <c r="P135" s="133"/>
      <c r="Q135" s="133"/>
      <c r="R135" s="133"/>
      <c r="S135" s="133"/>
      <c r="T135" s="133"/>
      <c r="U135" s="133"/>
      <c r="V135" s="133"/>
      <c r="W135" s="133"/>
      <c r="X135" s="133"/>
      <c r="Y135" s="133"/>
      <c r="Z135" s="133"/>
      <c r="AA135" s="133"/>
      <c r="AB135" s="133"/>
      <c r="AC135" s="133"/>
      <c r="AD135" s="133"/>
      <c r="AE135" s="133"/>
      <c r="AF135" s="26"/>
      <c r="AG135" s="26"/>
      <c r="AH135" s="35"/>
      <c r="AI135" s="35"/>
      <c r="AJ135" s="124"/>
      <c r="AK135" s="40"/>
      <c r="AL135" s="40"/>
      <c r="AM135" s="40"/>
      <c r="AN135" s="40"/>
      <c r="AO135" s="125"/>
      <c r="AP135" s="125"/>
      <c r="AQ135" s="126"/>
      <c r="AR135" s="126"/>
      <c r="AS135" s="126"/>
      <c r="AT135" s="134"/>
      <c r="AU135" s="134"/>
      <c r="AV135" s="142"/>
      <c r="AW135" s="134"/>
      <c r="AX135" s="134"/>
      <c r="AY135" s="134"/>
      <c r="AZ135" s="126"/>
      <c r="BA135" s="126"/>
      <c r="BB135" s="21"/>
      <c r="BC135" s="21"/>
      <c r="BD135" s="72"/>
      <c r="BE135" s="21"/>
    </row>
    <row r="136" customFormat="false" ht="14.1" hidden="true" customHeight="true" outlineLevel="1" collapsed="false">
      <c r="A136" s="139" t="s">
        <v>101</v>
      </c>
      <c r="B136" s="135"/>
      <c r="C136" s="26"/>
      <c r="D136" s="26"/>
      <c r="E136" s="26"/>
      <c r="F136" s="26"/>
      <c r="G136" s="133"/>
      <c r="H136" s="133"/>
      <c r="I136" s="133"/>
      <c r="J136" s="133"/>
      <c r="K136" s="133"/>
      <c r="L136" s="133"/>
      <c r="M136" s="133"/>
      <c r="N136" s="133"/>
      <c r="O136" s="133"/>
      <c r="P136" s="133"/>
      <c r="Q136" s="133"/>
      <c r="R136" s="133"/>
      <c r="S136" s="133"/>
      <c r="T136" s="133"/>
      <c r="U136" s="133"/>
      <c r="V136" s="133"/>
      <c r="W136" s="133"/>
      <c r="X136" s="133"/>
      <c r="Y136" s="133"/>
      <c r="Z136" s="133"/>
      <c r="AA136" s="133"/>
      <c r="AB136" s="133"/>
      <c r="AC136" s="133"/>
      <c r="AD136" s="133"/>
      <c r="AE136" s="133"/>
      <c r="AF136" s="26"/>
      <c r="AG136" s="26"/>
      <c r="AH136" s="35"/>
      <c r="AI136" s="35"/>
      <c r="AJ136" s="124"/>
      <c r="AK136" s="40"/>
      <c r="AL136" s="40"/>
      <c r="AM136" s="40"/>
      <c r="AN136" s="40"/>
      <c r="AO136" s="125"/>
      <c r="AP136" s="125"/>
      <c r="AQ136" s="126"/>
      <c r="AR136" s="126"/>
      <c r="AS136" s="126"/>
      <c r="AT136" s="134"/>
      <c r="AU136" s="134"/>
      <c r="AV136" s="127"/>
      <c r="AW136" s="127"/>
      <c r="AX136" s="134"/>
      <c r="AY136" s="134"/>
      <c r="AZ136" s="126"/>
      <c r="BA136" s="126"/>
      <c r="BB136" s="21"/>
      <c r="BC136" s="21"/>
      <c r="BD136" s="72"/>
      <c r="BE136" s="21"/>
    </row>
    <row r="137" customFormat="false" ht="14.1" hidden="true" customHeight="true" outlineLevel="1" collapsed="false">
      <c r="A137" s="139" t="s">
        <v>101</v>
      </c>
      <c r="B137" s="135"/>
      <c r="C137" s="26"/>
      <c r="D137" s="26"/>
      <c r="E137" s="26"/>
      <c r="F137" s="26"/>
      <c r="G137" s="133"/>
      <c r="H137" s="133"/>
      <c r="I137" s="133"/>
      <c r="J137" s="133"/>
      <c r="K137" s="133"/>
      <c r="L137" s="133"/>
      <c r="M137" s="133"/>
      <c r="N137" s="133"/>
      <c r="O137" s="133"/>
      <c r="P137" s="133"/>
      <c r="Q137" s="133"/>
      <c r="R137" s="133"/>
      <c r="S137" s="133"/>
      <c r="T137" s="133"/>
      <c r="U137" s="133"/>
      <c r="V137" s="133"/>
      <c r="W137" s="133"/>
      <c r="X137" s="133"/>
      <c r="Y137" s="133"/>
      <c r="Z137" s="133"/>
      <c r="AA137" s="133"/>
      <c r="AB137" s="133"/>
      <c r="AC137" s="133"/>
      <c r="AD137" s="133"/>
      <c r="AE137" s="133"/>
      <c r="AF137" s="26"/>
      <c r="AG137" s="26"/>
      <c r="AH137" s="35"/>
      <c r="AI137" s="35"/>
      <c r="AJ137" s="124"/>
      <c r="AK137" s="40"/>
      <c r="AL137" s="40"/>
      <c r="AM137" s="40"/>
      <c r="AN137" s="40"/>
      <c r="AO137" s="125"/>
      <c r="AP137" s="125"/>
      <c r="AQ137" s="126"/>
      <c r="AR137" s="126"/>
      <c r="AS137" s="126"/>
      <c r="AT137" s="134"/>
      <c r="AU137" s="134"/>
      <c r="AV137" s="127"/>
      <c r="AW137" s="127"/>
      <c r="AX137" s="134"/>
      <c r="AY137" s="134"/>
      <c r="AZ137" s="126"/>
      <c r="BA137" s="126"/>
      <c r="BB137" s="21"/>
      <c r="BC137" s="21"/>
      <c r="BD137" s="72"/>
      <c r="BE137" s="21"/>
    </row>
    <row r="138" customFormat="false" ht="14.1" hidden="true" customHeight="true" outlineLevel="1" collapsed="false">
      <c r="A138" s="137" t="s">
        <v>102</v>
      </c>
      <c r="B138" s="135"/>
      <c r="C138" s="26"/>
      <c r="D138" s="26"/>
      <c r="E138" s="26"/>
      <c r="F138" s="26"/>
      <c r="G138" s="133"/>
      <c r="H138" s="133"/>
      <c r="I138" s="133"/>
      <c r="J138" s="133"/>
      <c r="K138" s="133"/>
      <c r="L138" s="133"/>
      <c r="M138" s="133"/>
      <c r="N138" s="133"/>
      <c r="O138" s="133"/>
      <c r="P138" s="133"/>
      <c r="Q138" s="133"/>
      <c r="R138" s="133"/>
      <c r="S138" s="133"/>
      <c r="T138" s="133"/>
      <c r="U138" s="133"/>
      <c r="V138" s="133"/>
      <c r="W138" s="133"/>
      <c r="X138" s="133"/>
      <c r="Y138" s="133"/>
      <c r="Z138" s="133"/>
      <c r="AA138" s="133"/>
      <c r="AB138" s="133"/>
      <c r="AC138" s="133"/>
      <c r="AD138" s="133"/>
      <c r="AE138" s="133"/>
      <c r="AF138" s="26"/>
      <c r="AG138" s="26"/>
      <c r="AH138" s="35"/>
      <c r="AI138" s="35"/>
      <c r="AJ138" s="124"/>
      <c r="AK138" s="40"/>
      <c r="AL138" s="40"/>
      <c r="AM138" s="40"/>
      <c r="AN138" s="40"/>
      <c r="AO138" s="125"/>
      <c r="AP138" s="125"/>
      <c r="AQ138" s="126"/>
      <c r="AR138" s="126"/>
      <c r="AS138" s="126"/>
      <c r="AT138" s="134"/>
      <c r="AU138" s="134"/>
      <c r="AV138" s="127"/>
      <c r="AW138" s="127"/>
      <c r="AX138" s="134"/>
      <c r="AY138" s="134"/>
      <c r="AZ138" s="126"/>
      <c r="BA138" s="126"/>
      <c r="BB138" s="21"/>
      <c r="BC138" s="21"/>
      <c r="BD138" s="72"/>
      <c r="BE138" s="21"/>
    </row>
    <row r="139" customFormat="false" ht="14.1" hidden="true" customHeight="true" outlineLevel="1" collapsed="false">
      <c r="A139" s="137" t="s">
        <v>103</v>
      </c>
      <c r="B139" s="123"/>
      <c r="C139" s="132"/>
      <c r="D139" s="132"/>
      <c r="E139" s="136"/>
      <c r="F139" s="26"/>
      <c r="G139" s="133"/>
      <c r="H139" s="133"/>
      <c r="I139" s="133"/>
      <c r="J139" s="133"/>
      <c r="K139" s="133"/>
      <c r="L139" s="133"/>
      <c r="M139" s="133"/>
      <c r="N139" s="133"/>
      <c r="O139" s="133"/>
      <c r="P139" s="133"/>
      <c r="Q139" s="133"/>
      <c r="R139" s="133"/>
      <c r="S139" s="133"/>
      <c r="T139" s="133"/>
      <c r="U139" s="133"/>
      <c r="V139" s="133"/>
      <c r="W139" s="133"/>
      <c r="X139" s="133"/>
      <c r="Y139" s="133"/>
      <c r="Z139" s="133"/>
      <c r="AA139" s="133"/>
      <c r="AB139" s="133"/>
      <c r="AC139" s="133"/>
      <c r="AD139" s="133"/>
      <c r="AE139" s="133"/>
      <c r="AF139" s="26"/>
      <c r="AG139" s="26"/>
      <c r="AH139" s="35"/>
      <c r="AI139" s="35"/>
      <c r="AJ139" s="124"/>
      <c r="AK139" s="40"/>
      <c r="AL139" s="40"/>
      <c r="AM139" s="40"/>
      <c r="AN139" s="40"/>
      <c r="AO139" s="125"/>
      <c r="AP139" s="125"/>
      <c r="AQ139" s="126"/>
      <c r="AR139" s="126"/>
      <c r="AS139" s="126"/>
      <c r="AT139" s="134"/>
      <c r="AU139" s="134"/>
      <c r="AV139" s="127"/>
      <c r="AW139" s="127"/>
      <c r="AX139" s="134"/>
      <c r="AY139" s="134"/>
      <c r="AZ139" s="126"/>
      <c r="BA139" s="126"/>
      <c r="BB139" s="21"/>
      <c r="BC139" s="21"/>
      <c r="BD139" s="72"/>
      <c r="BE139" s="21"/>
    </row>
    <row r="140" customFormat="false" ht="14.1" hidden="true" customHeight="true" outlineLevel="1" collapsed="false">
      <c r="A140" s="138"/>
      <c r="B140" s="123"/>
      <c r="C140" s="132"/>
      <c r="D140" s="132"/>
      <c r="E140" s="136"/>
      <c r="F140" s="26"/>
      <c r="G140" s="133"/>
      <c r="H140" s="133"/>
      <c r="I140" s="133"/>
      <c r="J140" s="133"/>
      <c r="K140" s="133"/>
      <c r="L140" s="133"/>
      <c r="M140" s="133"/>
      <c r="N140" s="133"/>
      <c r="O140" s="133"/>
      <c r="P140" s="133"/>
      <c r="Q140" s="133"/>
      <c r="R140" s="133"/>
      <c r="S140" s="133"/>
      <c r="T140" s="133"/>
      <c r="U140" s="133"/>
      <c r="V140" s="133"/>
      <c r="W140" s="133"/>
      <c r="X140" s="133"/>
      <c r="Y140" s="133"/>
      <c r="Z140" s="133"/>
      <c r="AA140" s="133"/>
      <c r="AB140" s="133"/>
      <c r="AC140" s="133"/>
      <c r="AD140" s="133"/>
      <c r="AE140" s="133"/>
      <c r="AF140" s="26"/>
      <c r="AG140" s="26"/>
      <c r="AH140" s="35"/>
      <c r="AI140" s="35"/>
      <c r="AJ140" s="124"/>
      <c r="AK140" s="40"/>
      <c r="AL140" s="40"/>
      <c r="AM140" s="40"/>
      <c r="AN140" s="40"/>
      <c r="AO140" s="125"/>
      <c r="AP140" s="125"/>
      <c r="AQ140" s="126"/>
      <c r="AR140" s="126"/>
      <c r="AS140" s="126"/>
      <c r="AT140" s="134"/>
      <c r="AU140" s="134"/>
      <c r="AV140" s="134"/>
      <c r="AW140" s="127"/>
      <c r="AX140" s="134"/>
      <c r="AY140" s="134"/>
      <c r="AZ140" s="126"/>
      <c r="BA140" s="126"/>
      <c r="BB140" s="21"/>
      <c r="BC140" s="21"/>
      <c r="BD140" s="21"/>
      <c r="BE140" s="21"/>
    </row>
    <row r="141" customFormat="false" ht="14.1" hidden="true" customHeight="true" outlineLevel="1" collapsed="false">
      <c r="A141" s="119" t="s">
        <v>41</v>
      </c>
      <c r="B141" s="141" t="s">
        <v>12</v>
      </c>
      <c r="C141" s="121" t="s">
        <v>93</v>
      </c>
      <c r="D141" s="121" t="s">
        <v>94</v>
      </c>
      <c r="E141" s="143" t="s">
        <v>95</v>
      </c>
      <c r="F141" s="26"/>
      <c r="G141" s="133"/>
      <c r="H141" s="133"/>
      <c r="I141" s="133"/>
      <c r="J141" s="133"/>
      <c r="K141" s="133"/>
      <c r="L141" s="133"/>
      <c r="M141" s="133"/>
      <c r="N141" s="133"/>
      <c r="O141" s="133"/>
      <c r="P141" s="133"/>
      <c r="Q141" s="133"/>
      <c r="R141" s="133"/>
      <c r="S141" s="133"/>
      <c r="T141" s="133"/>
      <c r="U141" s="133"/>
      <c r="V141" s="133"/>
      <c r="W141" s="133"/>
      <c r="X141" s="133"/>
      <c r="Y141" s="133"/>
      <c r="Z141" s="133"/>
      <c r="AA141" s="133"/>
      <c r="AB141" s="133"/>
      <c r="AC141" s="133"/>
      <c r="AD141" s="133"/>
      <c r="AE141" s="133"/>
      <c r="AF141" s="26"/>
      <c r="AG141" s="26"/>
      <c r="AH141" s="35"/>
      <c r="AI141" s="35"/>
      <c r="AJ141" s="124"/>
      <c r="AK141" s="40"/>
      <c r="AL141" s="40"/>
      <c r="AM141" s="40"/>
      <c r="AN141" s="40"/>
      <c r="AO141" s="125"/>
      <c r="AP141" s="125"/>
      <c r="AQ141" s="126"/>
      <c r="AR141" s="126"/>
      <c r="AS141" s="126"/>
      <c r="AT141" s="134"/>
      <c r="AU141" s="134"/>
      <c r="AV141" s="134"/>
      <c r="AW141" s="127"/>
      <c r="AX141" s="134"/>
      <c r="AY141" s="134"/>
      <c r="AZ141" s="126"/>
      <c r="BA141" s="126"/>
      <c r="BB141" s="21"/>
      <c r="BC141" s="21"/>
      <c r="BD141" s="21"/>
      <c r="BE141" s="21"/>
    </row>
    <row r="142" customFormat="false" ht="14.1" hidden="true" customHeight="true" outlineLevel="1" collapsed="false">
      <c r="A142" s="26"/>
      <c r="B142" s="144" t="s">
        <v>15</v>
      </c>
      <c r="C142" s="130" t="n">
        <v>0.6</v>
      </c>
      <c r="D142" s="131" t="s">
        <v>105</v>
      </c>
      <c r="E142" s="145" t="n">
        <v>0.25</v>
      </c>
      <c r="F142" s="26"/>
      <c r="G142" s="133"/>
      <c r="H142" s="133"/>
      <c r="I142" s="133"/>
      <c r="J142" s="133"/>
      <c r="K142" s="133"/>
      <c r="L142" s="133"/>
      <c r="M142" s="133"/>
      <c r="N142" s="133"/>
      <c r="O142" s="133"/>
      <c r="P142" s="133"/>
      <c r="Q142" s="133"/>
      <c r="R142" s="133"/>
      <c r="S142" s="133"/>
      <c r="T142" s="133"/>
      <c r="U142" s="133"/>
      <c r="V142" s="133"/>
      <c r="W142" s="133"/>
      <c r="X142" s="133"/>
      <c r="Y142" s="133"/>
      <c r="Z142" s="133"/>
      <c r="AA142" s="133"/>
      <c r="AB142" s="133"/>
      <c r="AC142" s="133"/>
      <c r="AD142" s="133"/>
      <c r="AE142" s="133"/>
      <c r="AF142" s="26"/>
      <c r="AG142" s="26"/>
      <c r="AH142" s="35"/>
      <c r="AI142" s="35"/>
      <c r="AJ142" s="124"/>
      <c r="AK142" s="40"/>
      <c r="AL142" s="40"/>
      <c r="AM142" s="40"/>
      <c r="AN142" s="40"/>
      <c r="AO142" s="125"/>
      <c r="AP142" s="125"/>
      <c r="AQ142" s="126"/>
      <c r="AR142" s="126"/>
      <c r="AS142" s="126"/>
      <c r="AT142" s="134"/>
      <c r="AU142" s="134"/>
      <c r="AV142" s="134"/>
      <c r="AW142" s="127"/>
      <c r="AX142" s="134"/>
      <c r="AY142" s="134"/>
      <c r="AZ142" s="126"/>
      <c r="BA142" s="126"/>
      <c r="BB142" s="21"/>
      <c r="BC142" s="21"/>
      <c r="BD142" s="21"/>
      <c r="BE142" s="21"/>
    </row>
    <row r="143" customFormat="false" ht="14.1" hidden="true" customHeight="true" outlineLevel="1" collapsed="false">
      <c r="A143" s="26" t="s">
        <v>106</v>
      </c>
      <c r="B143" s="123"/>
      <c r="C143" s="132"/>
      <c r="D143" s="146"/>
      <c r="E143" s="132"/>
      <c r="F143" s="26"/>
      <c r="G143" s="133"/>
      <c r="H143" s="133"/>
      <c r="I143" s="133"/>
      <c r="J143" s="133"/>
      <c r="K143" s="133"/>
      <c r="L143" s="133"/>
      <c r="M143" s="133"/>
      <c r="N143" s="133"/>
      <c r="O143" s="133"/>
      <c r="P143" s="133"/>
      <c r="Q143" s="133"/>
      <c r="R143" s="133"/>
      <c r="S143" s="133"/>
      <c r="T143" s="133"/>
      <c r="U143" s="133"/>
      <c r="V143" s="133"/>
      <c r="W143" s="133"/>
      <c r="X143" s="133"/>
      <c r="Y143" s="133"/>
      <c r="Z143" s="133"/>
      <c r="AA143" s="133"/>
      <c r="AB143" s="133"/>
      <c r="AC143" s="133"/>
      <c r="AD143" s="133"/>
      <c r="AE143" s="133"/>
      <c r="AF143" s="26"/>
      <c r="AG143" s="26"/>
      <c r="AH143" s="35"/>
      <c r="AI143" s="35"/>
      <c r="AJ143" s="124"/>
      <c r="AK143" s="40"/>
      <c r="AL143" s="40"/>
      <c r="AM143" s="40"/>
      <c r="AN143" s="40"/>
      <c r="AO143" s="125"/>
      <c r="AP143" s="125"/>
      <c r="AQ143" s="126"/>
      <c r="AR143" s="126"/>
      <c r="AS143" s="126"/>
      <c r="AT143" s="134"/>
      <c r="AU143" s="134"/>
      <c r="AV143" s="134"/>
      <c r="AW143" s="127"/>
      <c r="AX143" s="134"/>
      <c r="AY143" s="134"/>
      <c r="AZ143" s="126"/>
      <c r="BA143" s="126"/>
      <c r="BB143" s="21"/>
      <c r="BC143" s="21"/>
      <c r="BD143" s="21"/>
      <c r="BE143" s="21"/>
    </row>
    <row r="144" customFormat="false" ht="14.1" hidden="true" customHeight="true" outlineLevel="1" collapsed="false">
      <c r="A144" s="139" t="s">
        <v>101</v>
      </c>
      <c r="B144" s="123"/>
      <c r="C144" s="132"/>
      <c r="D144" s="146"/>
      <c r="E144" s="132"/>
      <c r="F144" s="26"/>
      <c r="G144" s="133"/>
      <c r="H144" s="133"/>
      <c r="I144" s="133"/>
      <c r="J144" s="133"/>
      <c r="K144" s="133"/>
      <c r="L144" s="133"/>
      <c r="M144" s="133"/>
      <c r="N144" s="133"/>
      <c r="O144" s="133"/>
      <c r="P144" s="133"/>
      <c r="Q144" s="133"/>
      <c r="R144" s="133"/>
      <c r="S144" s="133"/>
      <c r="T144" s="133"/>
      <c r="U144" s="133"/>
      <c r="V144" s="133"/>
      <c r="W144" s="133"/>
      <c r="X144" s="133"/>
      <c r="Y144" s="133"/>
      <c r="Z144" s="133"/>
      <c r="AA144" s="133"/>
      <c r="AB144" s="133"/>
      <c r="AC144" s="133"/>
      <c r="AD144" s="133"/>
      <c r="AE144" s="133"/>
      <c r="AF144" s="26"/>
      <c r="AG144" s="26"/>
      <c r="AH144" s="35"/>
      <c r="AI144" s="35"/>
      <c r="AJ144" s="124"/>
      <c r="AK144" s="40"/>
      <c r="AL144" s="40"/>
      <c r="AM144" s="40"/>
      <c r="AN144" s="40"/>
      <c r="AO144" s="125"/>
      <c r="AP144" s="125"/>
      <c r="AQ144" s="126"/>
      <c r="AR144" s="126"/>
      <c r="AS144" s="126"/>
      <c r="AT144" s="134"/>
      <c r="AU144" s="134"/>
      <c r="AV144" s="134"/>
      <c r="AW144" s="127"/>
      <c r="AX144" s="134"/>
      <c r="AY144" s="134"/>
      <c r="AZ144" s="126"/>
      <c r="BA144" s="126"/>
      <c r="BB144" s="21"/>
      <c r="BC144" s="21"/>
      <c r="BD144" s="21"/>
      <c r="BE144" s="21"/>
    </row>
    <row r="145" customFormat="false" ht="14.1" hidden="true" customHeight="true" outlineLevel="1" collapsed="false">
      <c r="A145" s="139" t="s">
        <v>101</v>
      </c>
      <c r="B145" s="123"/>
      <c r="C145" s="132"/>
      <c r="D145" s="146"/>
      <c r="E145" s="132"/>
      <c r="F145" s="26"/>
      <c r="G145" s="133"/>
      <c r="H145" s="133"/>
      <c r="I145" s="133"/>
      <c r="J145" s="133"/>
      <c r="K145" s="133"/>
      <c r="L145" s="133"/>
      <c r="M145" s="133"/>
      <c r="N145" s="133"/>
      <c r="O145" s="133"/>
      <c r="P145" s="133"/>
      <c r="Q145" s="133"/>
      <c r="R145" s="133"/>
      <c r="S145" s="133"/>
      <c r="T145" s="133"/>
      <c r="U145" s="133"/>
      <c r="V145" s="133"/>
      <c r="W145" s="133"/>
      <c r="X145" s="133"/>
      <c r="Y145" s="133"/>
      <c r="Z145" s="133"/>
      <c r="AA145" s="133"/>
      <c r="AB145" s="133"/>
      <c r="AC145" s="133"/>
      <c r="AD145" s="133"/>
      <c r="AE145" s="133"/>
      <c r="AF145" s="26"/>
      <c r="AG145" s="26"/>
      <c r="AH145" s="35"/>
      <c r="AI145" s="35"/>
      <c r="AJ145" s="124"/>
      <c r="AK145" s="40"/>
      <c r="AL145" s="40"/>
      <c r="AM145" s="40"/>
      <c r="AN145" s="40"/>
      <c r="AO145" s="125"/>
      <c r="AP145" s="125"/>
      <c r="AQ145" s="126"/>
      <c r="AR145" s="126"/>
      <c r="AS145" s="126"/>
      <c r="AT145" s="134"/>
      <c r="AU145" s="134"/>
      <c r="AV145" s="134"/>
      <c r="AW145" s="127"/>
      <c r="AX145" s="134"/>
      <c r="AY145" s="134"/>
      <c r="AZ145" s="126"/>
      <c r="BA145" s="126"/>
      <c r="BB145" s="21"/>
      <c r="BC145" s="21"/>
      <c r="BD145" s="21"/>
      <c r="BE145" s="21"/>
    </row>
    <row r="146" customFormat="false" ht="14.1" hidden="true" customHeight="true" outlineLevel="1" collapsed="false">
      <c r="A146" s="147" t="s">
        <v>102</v>
      </c>
      <c r="B146" s="135"/>
      <c r="C146" s="26"/>
      <c r="D146" s="26"/>
      <c r="E146" s="26"/>
      <c r="F146" s="26"/>
      <c r="G146" s="133"/>
      <c r="H146" s="133"/>
      <c r="I146" s="133"/>
      <c r="J146" s="133"/>
      <c r="K146" s="133"/>
      <c r="L146" s="133"/>
      <c r="M146" s="133"/>
      <c r="N146" s="133"/>
      <c r="O146" s="133"/>
      <c r="P146" s="133"/>
      <c r="Q146" s="133"/>
      <c r="R146" s="133"/>
      <c r="S146" s="133"/>
      <c r="T146" s="133"/>
      <c r="U146" s="133"/>
      <c r="V146" s="133"/>
      <c r="W146" s="133"/>
      <c r="X146" s="133"/>
      <c r="Y146" s="133"/>
      <c r="Z146" s="133"/>
      <c r="AA146" s="133"/>
      <c r="AB146" s="133"/>
      <c r="AC146" s="133"/>
      <c r="AD146" s="133"/>
      <c r="AE146" s="133"/>
      <c r="AF146" s="26"/>
      <c r="AG146" s="26"/>
      <c r="AH146" s="35"/>
      <c r="AI146" s="35"/>
      <c r="AJ146" s="124"/>
      <c r="AK146" s="40"/>
      <c r="AL146" s="40"/>
      <c r="AM146" s="40"/>
      <c r="AN146" s="40"/>
      <c r="AO146" s="125"/>
      <c r="AP146" s="125"/>
      <c r="AQ146" s="126"/>
      <c r="AR146" s="126"/>
      <c r="AS146" s="126"/>
      <c r="AT146" s="134"/>
      <c r="AU146" s="134"/>
      <c r="AV146" s="134"/>
      <c r="AW146" s="127"/>
      <c r="AX146" s="134"/>
      <c r="AY146" s="134"/>
      <c r="AZ146" s="126"/>
      <c r="BA146" s="126"/>
      <c r="BB146" s="21"/>
      <c r="BC146" s="21"/>
      <c r="BD146" s="21"/>
      <c r="BE146" s="21"/>
    </row>
    <row r="147" customFormat="false" ht="14.1" hidden="true" customHeight="true" outlineLevel="1" collapsed="false">
      <c r="A147" s="147" t="s">
        <v>103</v>
      </c>
      <c r="B147" s="135"/>
      <c r="C147" s="26"/>
      <c r="D147" s="26"/>
      <c r="E147" s="26"/>
      <c r="F147" s="26"/>
      <c r="G147" s="133"/>
      <c r="H147" s="133"/>
      <c r="I147" s="133"/>
      <c r="J147" s="133"/>
      <c r="K147" s="133"/>
      <c r="L147" s="133"/>
      <c r="M147" s="133"/>
      <c r="N147" s="133"/>
      <c r="O147" s="133"/>
      <c r="P147" s="133"/>
      <c r="Q147" s="133"/>
      <c r="R147" s="133"/>
      <c r="S147" s="133"/>
      <c r="T147" s="133"/>
      <c r="U147" s="133"/>
      <c r="V147" s="133"/>
      <c r="W147" s="133"/>
      <c r="X147" s="133"/>
      <c r="Y147" s="133"/>
      <c r="Z147" s="133"/>
      <c r="AA147" s="133"/>
      <c r="AB147" s="133"/>
      <c r="AC147" s="133"/>
      <c r="AD147" s="133"/>
      <c r="AE147" s="133"/>
      <c r="AF147" s="26"/>
      <c r="AG147" s="26"/>
      <c r="AH147" s="35"/>
      <c r="AI147" s="35"/>
      <c r="AJ147" s="124"/>
      <c r="AK147" s="40"/>
      <c r="AL147" s="40"/>
      <c r="AM147" s="40"/>
      <c r="AN147" s="40"/>
      <c r="AO147" s="125"/>
      <c r="AP147" s="125"/>
      <c r="AQ147" s="126"/>
      <c r="AR147" s="126"/>
      <c r="AS147" s="126"/>
      <c r="AT147" s="134"/>
      <c r="AU147" s="134"/>
      <c r="AV147" s="134"/>
      <c r="AW147" s="127"/>
      <c r="AX147" s="134"/>
      <c r="AY147" s="134"/>
      <c r="AZ147" s="126"/>
      <c r="BA147" s="126"/>
      <c r="BB147" s="21"/>
      <c r="BC147" s="21"/>
      <c r="BD147" s="21"/>
      <c r="BE147" s="21"/>
    </row>
    <row r="148" customFormat="false" ht="14.1" hidden="true" customHeight="true" outlineLevel="1" collapsed="false">
      <c r="A148" s="138"/>
      <c r="B148" s="135"/>
      <c r="C148" s="26"/>
      <c r="D148" s="26"/>
      <c r="E148" s="26"/>
      <c r="F148" s="26"/>
      <c r="G148" s="133"/>
      <c r="H148" s="133"/>
      <c r="I148" s="133"/>
      <c r="J148" s="133"/>
      <c r="K148" s="133"/>
      <c r="L148" s="133"/>
      <c r="M148" s="133"/>
      <c r="N148" s="133"/>
      <c r="O148" s="133"/>
      <c r="P148" s="133"/>
      <c r="Q148" s="133"/>
      <c r="R148" s="133"/>
      <c r="S148" s="133"/>
      <c r="T148" s="133"/>
      <c r="U148" s="133"/>
      <c r="V148" s="133"/>
      <c r="W148" s="133"/>
      <c r="X148" s="133"/>
      <c r="Y148" s="133"/>
      <c r="Z148" s="133"/>
      <c r="AA148" s="133"/>
      <c r="AB148" s="133"/>
      <c r="AC148" s="133"/>
      <c r="AD148" s="133"/>
      <c r="AE148" s="133"/>
      <c r="AF148" s="26"/>
      <c r="AG148" s="26"/>
      <c r="AH148" s="35"/>
      <c r="AI148" s="35"/>
      <c r="AJ148" s="124"/>
      <c r="AK148" s="40"/>
      <c r="AL148" s="40"/>
      <c r="AM148" s="40"/>
      <c r="AN148" s="40"/>
      <c r="AO148" s="125"/>
      <c r="AP148" s="125"/>
      <c r="AQ148" s="126"/>
      <c r="AR148" s="126"/>
      <c r="AS148" s="126"/>
      <c r="AT148" s="134"/>
      <c r="AU148" s="134"/>
      <c r="AV148" s="134"/>
      <c r="AW148" s="127"/>
      <c r="AX148" s="134"/>
      <c r="AY148" s="134"/>
      <c r="AZ148" s="126"/>
      <c r="BA148" s="126"/>
      <c r="BB148" s="21"/>
      <c r="BC148" s="21"/>
      <c r="BD148" s="21"/>
      <c r="BE148" s="21"/>
    </row>
    <row r="149" customFormat="false" ht="14.1" hidden="true" customHeight="true" outlineLevel="1" collapsed="false">
      <c r="A149" s="148" t="s">
        <v>107</v>
      </c>
      <c r="B149" s="135"/>
      <c r="C149" s="26"/>
      <c r="D149" s="26"/>
      <c r="E149" s="26"/>
      <c r="F149" s="26"/>
      <c r="G149" s="133"/>
      <c r="H149" s="133"/>
      <c r="I149" s="133"/>
      <c r="J149" s="133"/>
      <c r="K149" s="133"/>
      <c r="L149" s="133"/>
      <c r="M149" s="133"/>
      <c r="N149" s="133"/>
      <c r="O149" s="133"/>
      <c r="P149" s="133"/>
      <c r="Q149" s="133"/>
      <c r="R149" s="133"/>
      <c r="S149" s="133"/>
      <c r="T149" s="133"/>
      <c r="U149" s="133"/>
      <c r="V149" s="133"/>
      <c r="W149" s="133"/>
      <c r="X149" s="133"/>
      <c r="Y149" s="133"/>
      <c r="Z149" s="133"/>
      <c r="AA149" s="133"/>
      <c r="AB149" s="133"/>
      <c r="AC149" s="133"/>
      <c r="AD149" s="133"/>
      <c r="AE149" s="133"/>
      <c r="AF149" s="26"/>
      <c r="AG149" s="26"/>
      <c r="AH149" s="35"/>
      <c r="AI149" s="35"/>
      <c r="AJ149" s="124"/>
      <c r="AK149" s="40"/>
      <c r="AL149" s="40"/>
      <c r="AM149" s="40"/>
      <c r="AN149" s="40"/>
      <c r="AO149" s="125"/>
      <c r="AP149" s="125"/>
      <c r="AQ149" s="126"/>
      <c r="AR149" s="126"/>
      <c r="AS149" s="126"/>
      <c r="AT149" s="134"/>
      <c r="AU149" s="134"/>
      <c r="AV149" s="134"/>
      <c r="AW149" s="127"/>
      <c r="AX149" s="134"/>
      <c r="AY149" s="134"/>
      <c r="AZ149" s="126"/>
      <c r="BA149" s="126"/>
      <c r="BB149" s="21"/>
      <c r="BC149" s="21"/>
      <c r="BD149" s="21"/>
      <c r="BE149" s="21"/>
    </row>
    <row r="150" customFormat="false" ht="14.1" hidden="true" customHeight="true" outlineLevel="1" collapsed="false">
      <c r="A150" s="149" t="s">
        <v>108</v>
      </c>
      <c r="B150" s="119" t="s">
        <v>109</v>
      </c>
      <c r="C150" s="130" t="n">
        <v>0</v>
      </c>
      <c r="D150" s="26"/>
      <c r="E150" s="26"/>
      <c r="F150" s="26"/>
      <c r="G150" s="136"/>
      <c r="H150" s="150"/>
      <c r="I150" s="26"/>
      <c r="J150" s="132"/>
      <c r="K150" s="132"/>
      <c r="L150" s="132"/>
      <c r="M150" s="132"/>
      <c r="N150" s="132"/>
      <c r="O150" s="132"/>
      <c r="P150" s="132"/>
      <c r="Q150" s="132"/>
      <c r="R150" s="132"/>
      <c r="S150" s="132"/>
      <c r="T150" s="132"/>
      <c r="U150" s="132"/>
      <c r="V150" s="132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35"/>
      <c r="AI150" s="35"/>
      <c r="AJ150" s="124"/>
      <c r="AK150" s="40"/>
      <c r="AL150" s="40"/>
      <c r="AM150" s="40"/>
      <c r="AN150" s="40"/>
      <c r="AO150" s="125"/>
      <c r="AP150" s="125"/>
      <c r="AQ150" s="126"/>
      <c r="AR150" s="126"/>
      <c r="AS150" s="126"/>
      <c r="AT150" s="134"/>
      <c r="AU150" s="134"/>
      <c r="AV150" s="134"/>
      <c r="AW150" s="127"/>
      <c r="AX150" s="134"/>
      <c r="AY150" s="134"/>
      <c r="AZ150" s="126"/>
      <c r="BA150" s="126"/>
      <c r="BB150" s="21"/>
      <c r="BC150" s="21"/>
      <c r="BD150" s="21"/>
      <c r="BE150" s="21"/>
    </row>
    <row r="151" customFormat="false" ht="14.1" hidden="true" customHeight="true" outlineLevel="1" collapsed="false">
      <c r="A151" s="147" t="s">
        <v>110</v>
      </c>
      <c r="B151" s="119" t="s">
        <v>109</v>
      </c>
      <c r="C151" s="151" t="n">
        <v>0</v>
      </c>
      <c r="D151" s="26"/>
      <c r="E151" s="26"/>
      <c r="F151" s="26"/>
      <c r="G151" s="136"/>
      <c r="H151" s="150"/>
      <c r="I151" s="26"/>
      <c r="J151" s="132"/>
      <c r="K151" s="132"/>
      <c r="L151" s="132"/>
      <c r="M151" s="132"/>
      <c r="N151" s="132"/>
      <c r="O151" s="132"/>
      <c r="P151" s="132"/>
      <c r="Q151" s="132"/>
      <c r="R151" s="132"/>
      <c r="S151" s="132"/>
      <c r="T151" s="132"/>
      <c r="U151" s="132"/>
      <c r="V151" s="132"/>
      <c r="W151" s="26"/>
      <c r="X151" s="26"/>
      <c r="Y151" s="26"/>
      <c r="Z151" s="26"/>
      <c r="AA151" s="26"/>
      <c r="AB151" s="26"/>
      <c r="AC151" s="26"/>
      <c r="AD151" s="26"/>
      <c r="AE151" s="26"/>
      <c r="AF151" s="26"/>
      <c r="AG151" s="26"/>
      <c r="AH151" s="35"/>
      <c r="AI151" s="35"/>
      <c r="AJ151" s="124"/>
      <c r="AK151" s="40"/>
      <c r="AL151" s="40"/>
      <c r="AM151" s="40"/>
      <c r="AN151" s="40"/>
      <c r="AO151" s="125"/>
      <c r="AP151" s="125"/>
      <c r="AQ151" s="126"/>
      <c r="AR151" s="126"/>
      <c r="AS151" s="126"/>
      <c r="AT151" s="134"/>
      <c r="AU151" s="134"/>
      <c r="AV151" s="134"/>
      <c r="AW151" s="127"/>
      <c r="AX151" s="134"/>
      <c r="AY151" s="134"/>
      <c r="AZ151" s="126"/>
      <c r="BA151" s="126"/>
      <c r="BB151" s="21"/>
      <c r="BC151" s="21"/>
      <c r="BD151" s="21"/>
      <c r="BE151" s="21"/>
    </row>
    <row r="152" customFormat="false" ht="14.1" hidden="true" customHeight="true" outlineLevel="1" collapsed="false">
      <c r="A152" s="147" t="s">
        <v>111</v>
      </c>
      <c r="B152" s="119" t="s">
        <v>109</v>
      </c>
      <c r="C152" s="151" t="n">
        <v>0</v>
      </c>
      <c r="D152" s="26"/>
      <c r="E152" s="26"/>
      <c r="F152" s="26"/>
      <c r="G152" s="136"/>
      <c r="H152" s="150"/>
      <c r="I152" s="26"/>
      <c r="J152" s="132"/>
      <c r="K152" s="132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/>
      <c r="AB152" s="26"/>
      <c r="AC152" s="26"/>
      <c r="AD152" s="26"/>
      <c r="AE152" s="26"/>
      <c r="AF152" s="26"/>
      <c r="AG152" s="26"/>
      <c r="AH152" s="35"/>
      <c r="AI152" s="35"/>
      <c r="AJ152" s="124"/>
      <c r="AK152" s="40"/>
      <c r="AL152" s="40"/>
      <c r="AM152" s="40"/>
      <c r="AN152" s="40"/>
      <c r="AO152" s="125"/>
      <c r="AP152" s="125"/>
      <c r="AQ152" s="126"/>
      <c r="AR152" s="126"/>
      <c r="AS152" s="126"/>
      <c r="AT152" s="134"/>
      <c r="AU152" s="134"/>
      <c r="AV152" s="134"/>
      <c r="AW152" s="127"/>
      <c r="AX152" s="134"/>
      <c r="AY152" s="134"/>
      <c r="AZ152" s="126"/>
      <c r="BA152" s="126"/>
      <c r="BB152" s="21"/>
      <c r="BC152" s="21"/>
      <c r="BD152" s="72"/>
      <c r="BE152" s="21"/>
    </row>
    <row r="153" customFormat="false" ht="14.1" hidden="true" customHeight="true" outlineLevel="1" collapsed="false">
      <c r="A153" s="152" t="s">
        <v>112</v>
      </c>
      <c r="B153" s="119" t="s">
        <v>113</v>
      </c>
      <c r="C153" s="153" t="n">
        <v>0</v>
      </c>
      <c r="D153" s="26"/>
      <c r="E153" s="26"/>
      <c r="F153" s="26"/>
      <c r="G153" s="136"/>
      <c r="H153" s="150"/>
      <c r="I153" s="26"/>
      <c r="J153" s="132"/>
      <c r="K153" s="132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  <c r="AA153" s="26"/>
      <c r="AB153" s="26"/>
      <c r="AC153" s="26"/>
      <c r="AD153" s="26"/>
      <c r="AE153" s="26"/>
      <c r="AF153" s="26"/>
      <c r="AG153" s="26"/>
      <c r="AH153" s="35"/>
      <c r="AI153" s="35"/>
      <c r="AJ153" s="124"/>
      <c r="AK153" s="40"/>
      <c r="AL153" s="40"/>
      <c r="AM153" s="40"/>
      <c r="AN153" s="40"/>
      <c r="AO153" s="125"/>
      <c r="AP153" s="125"/>
      <c r="AQ153" s="126"/>
      <c r="AR153" s="126"/>
      <c r="AS153" s="126"/>
      <c r="AT153" s="134"/>
      <c r="AU153" s="134"/>
      <c r="AV153" s="126"/>
      <c r="AW153" s="154"/>
      <c r="AX153" s="134"/>
      <c r="AY153" s="134"/>
      <c r="AZ153" s="126"/>
      <c r="BA153" s="126"/>
      <c r="BB153" s="21"/>
      <c r="BC153" s="21"/>
      <c r="BD153" s="21"/>
      <c r="BE153" s="21"/>
    </row>
    <row r="154" customFormat="false" ht="14.1" hidden="false" customHeight="true" outlineLevel="0" collapsed="false">
      <c r="A154" s="155" t="s">
        <v>114</v>
      </c>
      <c r="B154" s="155"/>
      <c r="C154" s="155"/>
      <c r="D154" s="155"/>
      <c r="E154" s="155"/>
      <c r="F154" s="26"/>
      <c r="G154" s="136"/>
      <c r="H154" s="150"/>
      <c r="I154" s="26"/>
      <c r="J154" s="132"/>
      <c r="K154" s="132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35"/>
      <c r="AI154" s="35"/>
      <c r="AJ154" s="124"/>
      <c r="AK154" s="40"/>
      <c r="AL154" s="40"/>
      <c r="AM154" s="40"/>
      <c r="AN154" s="40"/>
      <c r="AO154" s="125"/>
      <c r="AP154" s="125"/>
      <c r="AQ154" s="126"/>
      <c r="AR154" s="126"/>
      <c r="AS154" s="126"/>
      <c r="AT154" s="134"/>
      <c r="AU154" s="134"/>
      <c r="AV154" s="126"/>
      <c r="AW154" s="154"/>
      <c r="AX154" s="134"/>
      <c r="AY154" s="134"/>
      <c r="AZ154" s="126"/>
      <c r="BA154" s="126"/>
      <c r="BB154" s="21"/>
      <c r="BC154" s="21"/>
      <c r="BD154" s="21"/>
      <c r="BE154" s="21"/>
    </row>
    <row r="155" s="35" customFormat="true" ht="14.1" hidden="false" customHeight="true" outlineLevel="0" collapsed="false">
      <c r="A155" s="26"/>
      <c r="B155" s="135"/>
      <c r="C155" s="26"/>
      <c r="D155" s="26"/>
      <c r="E155" s="26"/>
      <c r="F155" s="26"/>
      <c r="G155" s="136"/>
      <c r="H155" s="150"/>
      <c r="I155" s="26"/>
      <c r="J155" s="132"/>
      <c r="K155" s="132"/>
      <c r="L155" s="132"/>
      <c r="M155" s="132"/>
      <c r="N155" s="132"/>
      <c r="O155" s="132"/>
      <c r="P155" s="132"/>
      <c r="Q155" s="132"/>
      <c r="R155" s="132"/>
      <c r="S155" s="132"/>
      <c r="T155" s="132"/>
      <c r="U155" s="132"/>
      <c r="V155" s="132"/>
      <c r="W155" s="26"/>
      <c r="X155" s="26"/>
      <c r="Y155" s="26"/>
      <c r="Z155" s="26"/>
      <c r="AA155" s="26"/>
      <c r="AB155" s="26"/>
      <c r="AC155" s="26"/>
      <c r="AD155" s="26"/>
      <c r="AE155" s="26"/>
      <c r="AF155" s="26"/>
      <c r="AG155" s="26"/>
      <c r="AJ155" s="124"/>
      <c r="AK155" s="40"/>
      <c r="AL155" s="40"/>
      <c r="AM155" s="40"/>
      <c r="AN155" s="40"/>
      <c r="AO155" s="125"/>
      <c r="AP155" s="125"/>
      <c r="AQ155" s="126"/>
      <c r="AR155" s="126"/>
      <c r="AS155" s="126"/>
      <c r="AT155" s="134"/>
      <c r="AU155" s="134"/>
      <c r="AV155" s="126"/>
      <c r="AW155" s="126"/>
      <c r="AX155" s="134"/>
      <c r="AY155" s="134"/>
      <c r="AZ155" s="126"/>
      <c r="BA155" s="126"/>
      <c r="BB155" s="126"/>
      <c r="BC155" s="126"/>
      <c r="BD155" s="126"/>
      <c r="BE155" s="126"/>
      <c r="BF155" s="156"/>
    </row>
    <row r="156" customFormat="false" ht="14.1" hidden="true" customHeight="true" outlineLevel="1" collapsed="false">
      <c r="A156" s="119" t="s">
        <v>115</v>
      </c>
      <c r="B156" s="141" t="s">
        <v>12</v>
      </c>
      <c r="C156" s="129" t="s">
        <v>116</v>
      </c>
      <c r="D156" s="129" t="s">
        <v>117</v>
      </c>
      <c r="E156" s="157" t="s">
        <v>118</v>
      </c>
      <c r="F156" s="123"/>
      <c r="G156" s="26"/>
      <c r="H156" s="150"/>
      <c r="I156" s="26"/>
      <c r="J156" s="26"/>
      <c r="K156" s="26"/>
      <c r="L156" s="158" t="s">
        <v>119</v>
      </c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  <c r="AA156" s="158"/>
      <c r="AB156" s="158"/>
      <c r="AC156" s="158"/>
      <c r="AD156" s="158"/>
      <c r="AE156" s="158"/>
      <c r="AF156" s="26"/>
      <c r="AG156" s="26"/>
      <c r="AH156" s="35"/>
      <c r="AI156" s="35"/>
      <c r="AJ156" s="47"/>
      <c r="AK156" s="40"/>
      <c r="AL156" s="40"/>
      <c r="AM156" s="40"/>
      <c r="AN156" s="40"/>
      <c r="AO156" s="125"/>
      <c r="AP156" s="125"/>
      <c r="AQ156" s="126"/>
      <c r="AR156" s="126"/>
      <c r="AS156" s="126"/>
      <c r="AT156" s="128"/>
      <c r="AU156" s="128"/>
      <c r="AV156" s="134"/>
      <c r="AW156" s="134"/>
      <c r="AX156" s="134"/>
      <c r="AY156" s="134"/>
      <c r="AZ156" s="126"/>
      <c r="BA156" s="126"/>
      <c r="BB156" s="21"/>
      <c r="BC156" s="21"/>
      <c r="BD156" s="21"/>
      <c r="BE156" s="21"/>
    </row>
    <row r="157" s="162" customFormat="true" ht="14.1" hidden="true" customHeight="true" outlineLevel="1" collapsed="false">
      <c r="A157" s="159" t="s">
        <v>120</v>
      </c>
      <c r="B157" s="159"/>
      <c r="C157" s="159"/>
      <c r="D157" s="159"/>
      <c r="E157" s="159"/>
      <c r="F157" s="123"/>
      <c r="G157" s="26"/>
      <c r="H157" s="150"/>
      <c r="I157" s="26"/>
      <c r="J157" s="26"/>
      <c r="K157" s="26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  <c r="AA157" s="158"/>
      <c r="AB157" s="158"/>
      <c r="AC157" s="158"/>
      <c r="AD157" s="158"/>
      <c r="AE157" s="158"/>
      <c r="AF157" s="26"/>
      <c r="AG157" s="26"/>
      <c r="AH157" s="35"/>
      <c r="AI157" s="35"/>
      <c r="AJ157" s="47"/>
      <c r="AK157" s="40"/>
      <c r="AL157" s="40"/>
      <c r="AM157" s="40"/>
      <c r="AN157" s="40"/>
      <c r="AO157" s="125"/>
      <c r="AP157" s="125"/>
      <c r="AQ157" s="126"/>
      <c r="AR157" s="126"/>
      <c r="AS157" s="126"/>
      <c r="AT157" s="128"/>
      <c r="AU157" s="128"/>
      <c r="AV157" s="134"/>
      <c r="AW157" s="134"/>
      <c r="AX157" s="134"/>
      <c r="AY157" s="134"/>
      <c r="AZ157" s="126"/>
      <c r="BA157" s="126"/>
      <c r="BB157" s="160"/>
      <c r="BC157" s="160"/>
      <c r="BD157" s="160"/>
      <c r="BE157" s="160"/>
      <c r="BF157" s="161"/>
    </row>
    <row r="158" customFormat="false" ht="14.1" hidden="true" customHeight="true" outlineLevel="1" collapsed="false">
      <c r="A158" s="163" t="s">
        <v>121</v>
      </c>
      <c r="B158" s="119" t="s">
        <v>15</v>
      </c>
      <c r="C158" s="163" t="n">
        <v>1</v>
      </c>
      <c r="D158" s="163" t="n">
        <v>1.2</v>
      </c>
      <c r="E158" s="164" t="n">
        <v>1</v>
      </c>
      <c r="F158" s="26"/>
      <c r="G158" s="26"/>
      <c r="H158" s="150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  <c r="AB158" s="26"/>
      <c r="AC158" s="26"/>
      <c r="AD158" s="26"/>
      <c r="AE158" s="26"/>
      <c r="AF158" s="26"/>
      <c r="AG158" s="26"/>
      <c r="AH158" s="35"/>
      <c r="AI158" s="35"/>
      <c r="AJ158" s="47"/>
      <c r="AK158" s="40"/>
      <c r="AL158" s="40"/>
      <c r="AM158" s="40"/>
      <c r="AN158" s="40"/>
      <c r="AO158" s="125"/>
      <c r="AP158" s="125"/>
      <c r="AQ158" s="126"/>
      <c r="AR158" s="126"/>
      <c r="AS158" s="126"/>
      <c r="AT158" s="128"/>
      <c r="AU158" s="128"/>
      <c r="AV158" s="134"/>
      <c r="AW158" s="134"/>
      <c r="AX158" s="134"/>
      <c r="AY158" s="134"/>
      <c r="AZ158" s="126"/>
      <c r="BA158" s="126"/>
      <c r="BB158" s="21"/>
      <c r="BC158" s="21"/>
      <c r="BD158" s="21"/>
      <c r="BE158" s="21"/>
    </row>
    <row r="159" customFormat="false" ht="14.1" hidden="true" customHeight="true" outlineLevel="1" collapsed="false">
      <c r="A159" s="163" t="s">
        <v>122</v>
      </c>
      <c r="B159" s="119" t="s">
        <v>15</v>
      </c>
      <c r="C159" s="163" t="n">
        <v>0.6</v>
      </c>
      <c r="D159" s="163" t="n">
        <v>0.6</v>
      </c>
      <c r="E159" s="164" t="n">
        <v>0</v>
      </c>
      <c r="F159" s="26"/>
      <c r="G159" s="26"/>
      <c r="H159" s="150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  <c r="AF159" s="26"/>
      <c r="AG159" s="26"/>
      <c r="AH159" s="35"/>
      <c r="AI159" s="35"/>
      <c r="AJ159" s="47"/>
      <c r="AK159" s="40"/>
      <c r="AL159" s="40"/>
      <c r="AM159" s="40"/>
      <c r="AN159" s="40"/>
      <c r="AO159" s="125"/>
      <c r="AP159" s="125"/>
      <c r="AQ159" s="126"/>
      <c r="AR159" s="126"/>
      <c r="AS159" s="126"/>
      <c r="AT159" s="128"/>
      <c r="AU159" s="128"/>
      <c r="AV159" s="134"/>
      <c r="AW159" s="134"/>
      <c r="AX159" s="134"/>
      <c r="AY159" s="134"/>
      <c r="AZ159" s="126"/>
      <c r="BA159" s="126"/>
      <c r="BB159" s="21"/>
      <c r="BC159" s="21"/>
      <c r="BD159" s="21"/>
      <c r="BE159" s="21"/>
    </row>
    <row r="160" customFormat="false" ht="14.1" hidden="true" customHeight="true" outlineLevel="1" collapsed="false">
      <c r="A160" s="163" t="s">
        <v>123</v>
      </c>
      <c r="B160" s="119" t="s">
        <v>15</v>
      </c>
      <c r="C160" s="163" t="n">
        <v>1</v>
      </c>
      <c r="D160" s="163" t="n">
        <v>2</v>
      </c>
      <c r="E160" s="164" t="n">
        <v>0</v>
      </c>
      <c r="F160" s="26"/>
      <c r="G160" s="26"/>
      <c r="H160" s="150"/>
      <c r="I160" s="165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  <c r="AB160" s="26"/>
      <c r="AC160" s="26"/>
      <c r="AD160" s="150"/>
      <c r="AE160" s="150"/>
      <c r="AF160" s="150"/>
      <c r="AG160" s="150"/>
      <c r="AH160" s="40"/>
      <c r="AI160" s="40"/>
      <c r="AJ160" s="40"/>
      <c r="AK160" s="40"/>
      <c r="AL160" s="40"/>
      <c r="AM160" s="40"/>
      <c r="AN160" s="40"/>
      <c r="AO160" s="125"/>
      <c r="AP160" s="125"/>
      <c r="AQ160" s="126"/>
      <c r="AR160" s="126"/>
      <c r="AS160" s="128"/>
      <c r="AT160" s="128"/>
      <c r="AU160" s="128"/>
      <c r="AV160" s="134"/>
      <c r="AW160" s="134"/>
      <c r="AX160" s="134"/>
      <c r="AY160" s="134"/>
      <c r="AZ160" s="126"/>
      <c r="BA160" s="126"/>
      <c r="BB160" s="21"/>
      <c r="BC160" s="21"/>
      <c r="BD160" s="21"/>
      <c r="BE160" s="21"/>
    </row>
    <row r="161" customFormat="false" ht="14.1" hidden="true" customHeight="true" outlineLevel="1" collapsed="false">
      <c r="A161" s="152" t="s">
        <v>124</v>
      </c>
      <c r="B161" s="129" t="s">
        <v>15</v>
      </c>
      <c r="C161" s="166" t="n">
        <v>0.6</v>
      </c>
      <c r="D161" s="166" t="n">
        <v>1.5</v>
      </c>
      <c r="E161" s="167" t="n">
        <v>0</v>
      </c>
      <c r="F161" s="26"/>
      <c r="G161" s="26"/>
      <c r="H161" s="150"/>
      <c r="I161" s="165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6"/>
      <c r="AE161" s="26"/>
      <c r="AF161" s="150"/>
      <c r="AG161" s="150"/>
      <c r="AH161" s="40"/>
      <c r="AI161" s="40"/>
      <c r="AJ161" s="40"/>
      <c r="AK161" s="40"/>
      <c r="AL161" s="40"/>
      <c r="AM161" s="40"/>
      <c r="AN161" s="40"/>
      <c r="AO161" s="125"/>
      <c r="AP161" s="125"/>
      <c r="AQ161" s="126"/>
      <c r="AR161" s="126"/>
      <c r="AS161" s="128"/>
      <c r="AT161" s="128"/>
      <c r="AU161" s="128"/>
      <c r="AV161" s="134"/>
      <c r="AW161" s="134"/>
      <c r="AX161" s="134"/>
      <c r="AY161" s="134"/>
      <c r="AZ161" s="126"/>
      <c r="BA161" s="126"/>
      <c r="BB161" s="21"/>
      <c r="BC161" s="21"/>
      <c r="BD161" s="21"/>
      <c r="BE161" s="21"/>
    </row>
    <row r="162" customFormat="false" ht="14.1" hidden="true" customHeight="true" outlineLevel="1" collapsed="false">
      <c r="A162" s="152" t="s">
        <v>125</v>
      </c>
      <c r="B162" s="129" t="s">
        <v>15</v>
      </c>
      <c r="C162" s="166" t="n">
        <v>0.5</v>
      </c>
      <c r="D162" s="166" t="n">
        <v>1.5</v>
      </c>
      <c r="E162" s="167" t="n">
        <v>0</v>
      </c>
      <c r="F162" s="26"/>
      <c r="G162" s="26"/>
      <c r="H162" s="150"/>
      <c r="I162" s="165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26"/>
      <c r="AE162" s="26"/>
      <c r="AF162" s="26"/>
      <c r="AG162" s="150"/>
      <c r="AH162" s="40"/>
      <c r="AI162" s="40"/>
      <c r="AJ162" s="40"/>
      <c r="AK162" s="40"/>
      <c r="AL162" s="40"/>
      <c r="AM162" s="40"/>
      <c r="AN162" s="40"/>
      <c r="AO162" s="125"/>
      <c r="AP162" s="125"/>
      <c r="AQ162" s="126"/>
      <c r="AR162" s="126"/>
      <c r="AS162" s="128"/>
      <c r="AT162" s="128"/>
      <c r="AU162" s="128"/>
      <c r="AV162" s="134"/>
      <c r="AW162" s="134"/>
      <c r="AX162" s="134"/>
      <c r="AY162" s="134"/>
      <c r="AZ162" s="126"/>
      <c r="BA162" s="126"/>
      <c r="BB162" s="21"/>
      <c r="BC162" s="21"/>
      <c r="BD162" s="21"/>
      <c r="BE162" s="21"/>
    </row>
    <row r="163" customFormat="false" ht="14.1" hidden="true" customHeight="true" outlineLevel="1" collapsed="false">
      <c r="A163" s="152" t="s">
        <v>126</v>
      </c>
      <c r="B163" s="119" t="s">
        <v>15</v>
      </c>
      <c r="C163" s="163" t="n">
        <v>0.8</v>
      </c>
      <c r="D163" s="163" t="n">
        <v>2.1</v>
      </c>
      <c r="E163" s="164" t="n">
        <v>0</v>
      </c>
      <c r="F163" s="26"/>
      <c r="G163" s="26"/>
      <c r="H163" s="150"/>
      <c r="I163" s="165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6"/>
      <c r="AE163" s="26"/>
      <c r="AF163" s="26"/>
      <c r="AG163" s="150"/>
      <c r="AH163" s="40"/>
      <c r="AI163" s="40"/>
      <c r="AJ163" s="40"/>
      <c r="AK163" s="40"/>
      <c r="AL163" s="40"/>
      <c r="AM163" s="40"/>
      <c r="AN163" s="40"/>
      <c r="AO163" s="125"/>
      <c r="AP163" s="125"/>
      <c r="AQ163" s="126"/>
      <c r="AR163" s="126"/>
      <c r="AS163" s="128"/>
      <c r="AT163" s="128"/>
      <c r="AU163" s="128"/>
      <c r="AV163" s="134"/>
      <c r="AW163" s="134"/>
      <c r="AX163" s="134"/>
      <c r="AY163" s="134"/>
      <c r="AZ163" s="126"/>
      <c r="BA163" s="126"/>
      <c r="BB163" s="21"/>
      <c r="BC163" s="21"/>
      <c r="BD163" s="21"/>
      <c r="BE163" s="21"/>
    </row>
    <row r="164" customFormat="false" ht="14.1" hidden="true" customHeight="true" outlineLevel="1" collapsed="false">
      <c r="A164" s="168" t="s">
        <v>127</v>
      </c>
      <c r="B164" s="129" t="s">
        <v>15</v>
      </c>
      <c r="C164" s="166" t="n">
        <v>2</v>
      </c>
      <c r="D164" s="166" t="n">
        <v>2</v>
      </c>
      <c r="E164" s="167" t="n">
        <v>0</v>
      </c>
      <c r="F164" s="26"/>
      <c r="G164" s="26"/>
      <c r="H164" s="150"/>
      <c r="I164" s="165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6"/>
      <c r="AE164" s="26"/>
      <c r="AF164" s="26"/>
      <c r="AG164" s="150"/>
      <c r="AH164" s="40"/>
      <c r="AI164" s="40"/>
      <c r="AJ164" s="40"/>
      <c r="AK164" s="40"/>
      <c r="AL164" s="40"/>
      <c r="AM164" s="40"/>
      <c r="AN164" s="40"/>
      <c r="AO164" s="125"/>
      <c r="AP164" s="125"/>
      <c r="AQ164" s="126"/>
      <c r="AR164" s="126"/>
      <c r="AS164" s="128"/>
      <c r="AT164" s="128"/>
      <c r="AU164" s="128"/>
      <c r="AV164" s="134"/>
      <c r="AW164" s="134"/>
      <c r="AX164" s="134"/>
      <c r="AY164" s="134"/>
      <c r="AZ164" s="126"/>
      <c r="BA164" s="126"/>
      <c r="BB164" s="21"/>
      <c r="BC164" s="21"/>
      <c r="BD164" s="21"/>
      <c r="BE164" s="21"/>
    </row>
    <row r="165" customFormat="false" ht="14.1" hidden="true" customHeight="true" outlineLevel="1" collapsed="false">
      <c r="A165" s="168" t="s">
        <v>128</v>
      </c>
      <c r="B165" s="129" t="s">
        <v>15</v>
      </c>
      <c r="C165" s="166" t="n">
        <v>0</v>
      </c>
      <c r="D165" s="166" t="n">
        <v>3</v>
      </c>
      <c r="E165" s="167" t="n">
        <v>0</v>
      </c>
      <c r="F165" s="26"/>
      <c r="G165" s="26"/>
      <c r="H165" s="150"/>
      <c r="I165" s="165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  <c r="AA165" s="26"/>
      <c r="AB165" s="26"/>
      <c r="AC165" s="26"/>
      <c r="AD165" s="26"/>
      <c r="AE165" s="26"/>
      <c r="AF165" s="26"/>
      <c r="AG165" s="150"/>
      <c r="AH165" s="40"/>
      <c r="AI165" s="40"/>
      <c r="AJ165" s="40"/>
      <c r="AK165" s="40"/>
      <c r="AL165" s="40"/>
      <c r="AM165" s="40"/>
      <c r="AN165" s="40"/>
      <c r="AO165" s="125"/>
      <c r="AP165" s="125"/>
      <c r="AQ165" s="126"/>
      <c r="AR165" s="126"/>
      <c r="AS165" s="128"/>
      <c r="AT165" s="128"/>
      <c r="AU165" s="128"/>
      <c r="AV165" s="134"/>
      <c r="AW165" s="134"/>
      <c r="AX165" s="134"/>
      <c r="AY165" s="134"/>
      <c r="AZ165" s="126"/>
      <c r="BA165" s="126"/>
      <c r="BB165" s="21"/>
      <c r="BC165" s="21"/>
      <c r="BD165" s="21"/>
      <c r="BE165" s="21"/>
    </row>
    <row r="166" customFormat="false" ht="14.1" hidden="true" customHeight="true" outlineLevel="1" collapsed="false">
      <c r="A166" s="159" t="s">
        <v>129</v>
      </c>
      <c r="B166" s="159"/>
      <c r="C166" s="159"/>
      <c r="D166" s="159"/>
      <c r="E166" s="159"/>
      <c r="F166" s="26"/>
      <c r="G166" s="26"/>
      <c r="H166" s="150"/>
      <c r="I166" s="165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  <c r="AB166" s="26"/>
      <c r="AC166" s="26"/>
      <c r="AD166" s="26"/>
      <c r="AE166" s="26"/>
      <c r="AF166" s="26"/>
      <c r="AG166" s="150"/>
      <c r="AH166" s="40"/>
      <c r="AI166" s="40"/>
      <c r="AJ166" s="40"/>
      <c r="AK166" s="40"/>
      <c r="AL166" s="40"/>
      <c r="AM166" s="40"/>
      <c r="AN166" s="40"/>
      <c r="AO166" s="125"/>
      <c r="AP166" s="125"/>
      <c r="AQ166" s="126"/>
      <c r="AR166" s="126"/>
      <c r="AS166" s="128"/>
      <c r="AT166" s="128"/>
      <c r="AU166" s="128"/>
      <c r="AV166" s="134"/>
      <c r="AW166" s="134"/>
      <c r="AX166" s="134"/>
      <c r="AY166" s="134"/>
      <c r="AZ166" s="126"/>
      <c r="BA166" s="126"/>
      <c r="BB166" s="21"/>
      <c r="BC166" s="21"/>
      <c r="BD166" s="21"/>
      <c r="BE166" s="21"/>
    </row>
    <row r="167" customFormat="false" ht="14.1" hidden="true" customHeight="true" outlineLevel="1" collapsed="false">
      <c r="A167" s="152" t="s">
        <v>130</v>
      </c>
      <c r="B167" s="129" t="s">
        <v>15</v>
      </c>
      <c r="C167" s="166" t="n">
        <v>0.6</v>
      </c>
      <c r="D167" s="166" t="n">
        <v>0.6</v>
      </c>
      <c r="E167" s="167" t="n">
        <v>0</v>
      </c>
      <c r="F167" s="26"/>
      <c r="G167" s="26"/>
      <c r="H167" s="150"/>
      <c r="I167" s="165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150"/>
      <c r="AH167" s="40"/>
      <c r="AI167" s="40"/>
      <c r="AJ167" s="40"/>
      <c r="AK167" s="40"/>
      <c r="AL167" s="40"/>
      <c r="AM167" s="40"/>
      <c r="AN167" s="40"/>
      <c r="AO167" s="125"/>
      <c r="AP167" s="125"/>
      <c r="AQ167" s="126"/>
      <c r="AR167" s="126"/>
      <c r="AS167" s="128"/>
      <c r="AT167" s="128"/>
      <c r="AU167" s="128"/>
      <c r="AV167" s="134"/>
      <c r="AW167" s="134"/>
      <c r="AX167" s="134"/>
      <c r="AY167" s="134"/>
      <c r="AZ167" s="126"/>
      <c r="BA167" s="126"/>
      <c r="BB167" s="21"/>
      <c r="BC167" s="21"/>
      <c r="BD167" s="21"/>
      <c r="BE167" s="21"/>
    </row>
    <row r="168" customFormat="false" ht="14.1" hidden="true" customHeight="true" outlineLevel="1" collapsed="false">
      <c r="A168" s="152" t="s">
        <v>131</v>
      </c>
      <c r="B168" s="129" t="s">
        <v>15</v>
      </c>
      <c r="C168" s="166" t="n">
        <v>0.8</v>
      </c>
      <c r="D168" s="166" t="n">
        <v>0.8</v>
      </c>
      <c r="E168" s="167" t="n">
        <v>0</v>
      </c>
      <c r="F168" s="26"/>
      <c r="G168" s="26"/>
      <c r="H168" s="150"/>
      <c r="I168" s="165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150"/>
      <c r="AH168" s="40"/>
      <c r="AI168" s="40"/>
      <c r="AJ168" s="40"/>
      <c r="AK168" s="40"/>
      <c r="AL168" s="40"/>
      <c r="AM168" s="40"/>
      <c r="AN168" s="40"/>
      <c r="AO168" s="125"/>
      <c r="AP168" s="125"/>
      <c r="AQ168" s="126"/>
      <c r="AR168" s="126"/>
      <c r="AS168" s="128"/>
      <c r="AT168" s="128"/>
      <c r="AU168" s="128"/>
      <c r="AV168" s="134"/>
      <c r="AW168" s="134"/>
      <c r="AX168" s="134"/>
      <c r="AY168" s="134"/>
      <c r="AZ168" s="126"/>
      <c r="BA168" s="126"/>
      <c r="BB168" s="21"/>
      <c r="BC168" s="21"/>
      <c r="BD168" s="21"/>
      <c r="BE168" s="21"/>
    </row>
    <row r="169" customFormat="false" ht="14.1" hidden="true" customHeight="true" outlineLevel="1" collapsed="false">
      <c r="A169" s="152" t="s">
        <v>132</v>
      </c>
      <c r="B169" s="129" t="s">
        <v>15</v>
      </c>
      <c r="C169" s="166" t="n">
        <v>1</v>
      </c>
      <c r="D169" s="166" t="n">
        <v>0.7</v>
      </c>
      <c r="E169" s="167" t="n">
        <v>0</v>
      </c>
      <c r="F169" s="26"/>
      <c r="G169" s="26"/>
      <c r="H169" s="150"/>
      <c r="I169" s="165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  <c r="AB169" s="26"/>
      <c r="AC169" s="26"/>
      <c r="AD169" s="26"/>
      <c r="AE169" s="26"/>
      <c r="AF169" s="26"/>
      <c r="AG169" s="150"/>
      <c r="AH169" s="40"/>
      <c r="AI169" s="40"/>
      <c r="AJ169" s="40"/>
      <c r="AK169" s="40"/>
      <c r="AL169" s="40"/>
      <c r="AM169" s="40"/>
      <c r="AN169" s="40"/>
      <c r="AO169" s="125"/>
      <c r="AP169" s="125"/>
      <c r="AQ169" s="126"/>
      <c r="AR169" s="126"/>
      <c r="AS169" s="128"/>
      <c r="AT169" s="128"/>
      <c r="AU169" s="128"/>
      <c r="AV169" s="134"/>
      <c r="AW169" s="134"/>
      <c r="AX169" s="134"/>
      <c r="AY169" s="134"/>
      <c r="AZ169" s="126"/>
      <c r="BA169" s="126"/>
      <c r="BB169" s="21"/>
      <c r="BC169" s="21"/>
      <c r="BD169" s="21"/>
      <c r="BE169" s="21"/>
    </row>
    <row r="170" customFormat="false" ht="14.1" hidden="true" customHeight="true" outlineLevel="1" collapsed="false">
      <c r="A170" s="152" t="s">
        <v>133</v>
      </c>
      <c r="B170" s="129" t="s">
        <v>15</v>
      </c>
      <c r="C170" s="166" t="n">
        <v>5</v>
      </c>
      <c r="D170" s="166" t="n">
        <v>3</v>
      </c>
      <c r="E170" s="167" t="n">
        <v>0</v>
      </c>
      <c r="F170" s="26"/>
      <c r="G170" s="26"/>
      <c r="H170" s="150"/>
      <c r="I170" s="165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150"/>
      <c r="AH170" s="40"/>
      <c r="AI170" s="40"/>
      <c r="AJ170" s="40"/>
      <c r="AK170" s="40"/>
      <c r="AL170" s="40"/>
      <c r="AM170" s="40"/>
      <c r="AN170" s="40"/>
      <c r="AO170" s="125"/>
      <c r="AP170" s="125"/>
      <c r="AQ170" s="126"/>
      <c r="AR170" s="126"/>
      <c r="AS170" s="128"/>
      <c r="AT170" s="128"/>
      <c r="AU170" s="128"/>
      <c r="AV170" s="134"/>
      <c r="AW170" s="134"/>
      <c r="AX170" s="134"/>
      <c r="AY170" s="134"/>
      <c r="AZ170" s="126"/>
      <c r="BA170" s="126"/>
      <c r="BB170" s="21"/>
      <c r="BC170" s="21"/>
      <c r="BD170" s="21"/>
      <c r="BE170" s="21"/>
    </row>
    <row r="171" s="162" customFormat="true" ht="14.1" hidden="true" customHeight="true" outlineLevel="1" collapsed="false">
      <c r="A171" s="152" t="s">
        <v>134</v>
      </c>
      <c r="B171" s="129" t="s">
        <v>15</v>
      </c>
      <c r="C171" s="166" t="n">
        <v>6</v>
      </c>
      <c r="D171" s="166" t="n">
        <v>2</v>
      </c>
      <c r="E171" s="167" t="n">
        <v>0</v>
      </c>
      <c r="F171" s="26"/>
      <c r="G171" s="26"/>
      <c r="H171" s="150"/>
      <c r="I171" s="165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150"/>
      <c r="AG171" s="150"/>
      <c r="AH171" s="40"/>
      <c r="AI171" s="40"/>
      <c r="AJ171" s="40"/>
      <c r="AK171" s="40"/>
      <c r="AL171" s="40"/>
      <c r="AM171" s="40"/>
      <c r="AN171" s="40"/>
      <c r="AO171" s="125"/>
      <c r="AP171" s="125"/>
      <c r="AQ171" s="126"/>
      <c r="AR171" s="126"/>
      <c r="AS171" s="128"/>
      <c r="AT171" s="128"/>
      <c r="AU171" s="128"/>
      <c r="AV171" s="134"/>
      <c r="AW171" s="134"/>
      <c r="AX171" s="134"/>
      <c r="AY171" s="134"/>
      <c r="AZ171" s="126"/>
      <c r="BA171" s="126"/>
      <c r="BB171" s="160"/>
      <c r="BC171" s="160"/>
      <c r="BD171" s="160"/>
      <c r="BE171" s="160"/>
      <c r="BF171" s="161"/>
    </row>
    <row r="172" s="162" customFormat="true" ht="14.1" hidden="true" customHeight="true" outlineLevel="1" collapsed="false">
      <c r="A172" s="152" t="s">
        <v>135</v>
      </c>
      <c r="B172" s="119" t="s">
        <v>15</v>
      </c>
      <c r="C172" s="163" t="n">
        <v>0.8</v>
      </c>
      <c r="D172" s="163" t="n">
        <v>2.1</v>
      </c>
      <c r="E172" s="164" t="n">
        <v>0</v>
      </c>
      <c r="F172" s="26"/>
      <c r="G172" s="26"/>
      <c r="H172" s="150"/>
      <c r="I172" s="165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  <c r="AB172" s="26"/>
      <c r="AC172" s="26"/>
      <c r="AD172" s="26"/>
      <c r="AE172" s="26"/>
      <c r="AF172" s="150"/>
      <c r="AG172" s="150"/>
      <c r="AH172" s="40"/>
      <c r="AI172" s="40"/>
      <c r="AJ172" s="40"/>
      <c r="AK172" s="40"/>
      <c r="AL172" s="40"/>
      <c r="AM172" s="40"/>
      <c r="AN172" s="40"/>
      <c r="AO172" s="125"/>
      <c r="AP172" s="125"/>
      <c r="AQ172" s="126"/>
      <c r="AR172" s="126"/>
      <c r="AS172" s="128"/>
      <c r="AT172" s="128"/>
      <c r="AU172" s="128"/>
      <c r="AV172" s="134"/>
      <c r="AW172" s="134"/>
      <c r="AX172" s="134"/>
      <c r="AY172" s="134"/>
      <c r="AZ172" s="126"/>
      <c r="BA172" s="126"/>
      <c r="BB172" s="160"/>
      <c r="BC172" s="160"/>
      <c r="BD172" s="160"/>
      <c r="BE172" s="160"/>
      <c r="BF172" s="161"/>
    </row>
    <row r="173" s="162" customFormat="true" ht="14.1" hidden="true" customHeight="true" outlineLevel="1" collapsed="false">
      <c r="A173" s="169"/>
      <c r="B173" s="169"/>
      <c r="C173" s="169"/>
      <c r="D173" s="169"/>
      <c r="E173" s="169"/>
      <c r="F173" s="132"/>
      <c r="G173" s="132"/>
      <c r="H173" s="150"/>
      <c r="I173" s="165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6"/>
      <c r="AE173" s="26"/>
      <c r="AF173" s="150"/>
      <c r="AG173" s="150"/>
      <c r="AH173" s="40"/>
      <c r="AI173" s="40"/>
      <c r="AJ173" s="40"/>
      <c r="AK173" s="40"/>
      <c r="AL173" s="40"/>
      <c r="AM173" s="40"/>
      <c r="AN173" s="40"/>
      <c r="AO173" s="125"/>
      <c r="AP173" s="125"/>
      <c r="AQ173" s="126"/>
      <c r="AR173" s="126"/>
      <c r="AS173" s="128"/>
      <c r="AT173" s="128"/>
      <c r="AU173" s="128"/>
      <c r="AV173" s="134"/>
      <c r="AW173" s="134"/>
      <c r="AX173" s="134"/>
      <c r="AY173" s="134"/>
      <c r="AZ173" s="126"/>
      <c r="BA173" s="126"/>
      <c r="BB173" s="160"/>
      <c r="BC173" s="160"/>
      <c r="BD173" s="160"/>
      <c r="BE173" s="160"/>
      <c r="BF173" s="161"/>
    </row>
    <row r="174" s="162" customFormat="true" ht="14.1" hidden="true" customHeight="true" outlineLevel="1" collapsed="false">
      <c r="A174" s="170" t="s">
        <v>136</v>
      </c>
      <c r="B174" s="141" t="s">
        <v>12</v>
      </c>
      <c r="C174" s="171" t="s">
        <v>116</v>
      </c>
      <c r="D174" s="171" t="s">
        <v>137</v>
      </c>
      <c r="E174" s="171" t="s">
        <v>118</v>
      </c>
      <c r="F174" s="172"/>
      <c r="G174" s="136"/>
      <c r="H174" s="150"/>
      <c r="I174" s="165"/>
      <c r="J174" s="150"/>
      <c r="K174" s="150"/>
      <c r="L174" s="150"/>
      <c r="M174" s="173"/>
      <c r="N174" s="173"/>
      <c r="O174" s="173"/>
      <c r="P174" s="173"/>
      <c r="Q174" s="150"/>
      <c r="R174" s="150"/>
      <c r="S174" s="150"/>
      <c r="T174" s="150"/>
      <c r="U174" s="150"/>
      <c r="V174" s="150"/>
      <c r="W174" s="150"/>
      <c r="X174" s="150"/>
      <c r="Y174" s="150"/>
      <c r="Z174" s="150"/>
      <c r="AA174" s="150"/>
      <c r="AB174" s="150"/>
      <c r="AC174" s="150"/>
      <c r="AD174" s="150"/>
      <c r="AE174" s="150"/>
      <c r="AF174" s="150"/>
      <c r="AG174" s="150"/>
      <c r="AH174" s="40"/>
      <c r="AI174" s="40"/>
      <c r="AJ174" s="40"/>
      <c r="AK174" s="40"/>
      <c r="AL174" s="40"/>
      <c r="AM174" s="40"/>
      <c r="AN174" s="40"/>
      <c r="AO174" s="125"/>
      <c r="AP174" s="125"/>
      <c r="AQ174" s="126"/>
      <c r="AR174" s="126"/>
      <c r="AS174" s="128"/>
      <c r="AT174" s="128"/>
      <c r="AU174" s="128"/>
      <c r="AV174" s="134"/>
      <c r="AW174" s="134"/>
      <c r="AX174" s="134"/>
      <c r="AY174" s="134"/>
      <c r="AZ174" s="126"/>
      <c r="BA174" s="126"/>
      <c r="BB174" s="160"/>
      <c r="BC174" s="160"/>
      <c r="BD174" s="160"/>
      <c r="BE174" s="160"/>
      <c r="BF174" s="161"/>
    </row>
    <row r="175" s="162" customFormat="true" ht="14.1" hidden="true" customHeight="true" outlineLevel="1" collapsed="false">
      <c r="A175" s="152" t="s">
        <v>138</v>
      </c>
      <c r="B175" s="119" t="s">
        <v>15</v>
      </c>
      <c r="C175" s="166" t="n">
        <v>0.8</v>
      </c>
      <c r="D175" s="166" t="n">
        <v>2</v>
      </c>
      <c r="E175" s="166" t="n">
        <v>0</v>
      </c>
      <c r="F175" s="172"/>
      <c r="G175" s="136"/>
      <c r="H175" s="150"/>
      <c r="I175" s="165"/>
      <c r="J175" s="150"/>
      <c r="K175" s="150"/>
      <c r="L175" s="150"/>
      <c r="M175" s="173"/>
      <c r="N175" s="173"/>
      <c r="O175" s="173"/>
      <c r="P175" s="173"/>
      <c r="Q175" s="150"/>
      <c r="R175" s="150"/>
      <c r="S175" s="150"/>
      <c r="T175" s="150"/>
      <c r="U175" s="150"/>
      <c r="V175" s="150"/>
      <c r="W175" s="150"/>
      <c r="X175" s="150"/>
      <c r="Y175" s="150"/>
      <c r="Z175" s="150"/>
      <c r="AA175" s="150"/>
      <c r="AB175" s="150"/>
      <c r="AC175" s="150"/>
      <c r="AD175" s="150"/>
      <c r="AE175" s="150"/>
      <c r="AF175" s="150"/>
      <c r="AG175" s="150"/>
      <c r="AH175" s="40"/>
      <c r="AI175" s="40"/>
      <c r="AJ175" s="40"/>
      <c r="AK175" s="40"/>
      <c r="AL175" s="40"/>
      <c r="AM175" s="40"/>
      <c r="AN175" s="40"/>
      <c r="AO175" s="125"/>
      <c r="AP175" s="125"/>
      <c r="AQ175" s="126"/>
      <c r="AR175" s="126"/>
      <c r="AS175" s="128"/>
      <c r="AT175" s="128"/>
      <c r="AU175" s="128"/>
      <c r="AV175" s="134"/>
      <c r="AW175" s="134"/>
      <c r="AX175" s="134"/>
      <c r="AY175" s="134"/>
      <c r="AZ175" s="126"/>
      <c r="BA175" s="126"/>
      <c r="BB175" s="160"/>
      <c r="BC175" s="160"/>
      <c r="BD175" s="160"/>
      <c r="BE175" s="160"/>
      <c r="BF175" s="161"/>
    </row>
    <row r="176" s="162" customFormat="true" ht="14.1" hidden="true" customHeight="true" outlineLevel="1" collapsed="false">
      <c r="A176" s="163" t="s">
        <v>139</v>
      </c>
      <c r="B176" s="119" t="s">
        <v>15</v>
      </c>
      <c r="C176" s="166" t="n">
        <v>0.9</v>
      </c>
      <c r="D176" s="166" t="n">
        <v>2.1</v>
      </c>
      <c r="E176" s="166" t="n">
        <v>1</v>
      </c>
      <c r="F176" s="172"/>
      <c r="G176" s="136"/>
      <c r="H176" s="150"/>
      <c r="I176" s="165"/>
      <c r="J176" s="150"/>
      <c r="K176" s="150"/>
      <c r="L176" s="150"/>
      <c r="M176" s="173"/>
      <c r="N176" s="173"/>
      <c r="O176" s="173"/>
      <c r="P176" s="173"/>
      <c r="Q176" s="150"/>
      <c r="R176" s="150"/>
      <c r="S176" s="150"/>
      <c r="T176" s="150"/>
      <c r="U176" s="150"/>
      <c r="V176" s="150"/>
      <c r="W176" s="150"/>
      <c r="X176" s="150"/>
      <c r="Y176" s="150"/>
      <c r="Z176" s="150"/>
      <c r="AA176" s="150"/>
      <c r="AB176" s="150"/>
      <c r="AC176" s="150"/>
      <c r="AD176" s="150"/>
      <c r="AE176" s="150"/>
      <c r="AF176" s="150"/>
      <c r="AG176" s="150"/>
      <c r="AH176" s="40"/>
      <c r="AI176" s="40"/>
      <c r="AJ176" s="40"/>
      <c r="AK176" s="40"/>
      <c r="AL176" s="40"/>
      <c r="AM176" s="40"/>
      <c r="AN176" s="40"/>
      <c r="AO176" s="125"/>
      <c r="AP176" s="125"/>
      <c r="AQ176" s="126"/>
      <c r="AR176" s="126"/>
      <c r="AS176" s="128"/>
      <c r="AT176" s="128"/>
      <c r="AU176" s="128"/>
      <c r="AV176" s="134"/>
      <c r="AW176" s="134"/>
      <c r="AX176" s="134"/>
      <c r="AY176" s="134"/>
      <c r="AZ176" s="126"/>
      <c r="BA176" s="126"/>
      <c r="BB176" s="160"/>
      <c r="BC176" s="160"/>
      <c r="BD176" s="160"/>
      <c r="BE176" s="160"/>
      <c r="BF176" s="161"/>
    </row>
    <row r="177" s="162" customFormat="true" ht="14.1" hidden="true" customHeight="true" outlineLevel="1" collapsed="false">
      <c r="A177" s="163" t="s">
        <v>140</v>
      </c>
      <c r="B177" s="119" t="s">
        <v>15</v>
      </c>
      <c r="C177" s="166" t="n">
        <v>1</v>
      </c>
      <c r="D177" s="166" t="n">
        <v>2</v>
      </c>
      <c r="E177" s="166" t="n">
        <v>0</v>
      </c>
      <c r="F177" s="172"/>
      <c r="G177" s="136"/>
      <c r="H177" s="150"/>
      <c r="I177" s="165"/>
      <c r="J177" s="150"/>
      <c r="K177" s="150"/>
      <c r="L177" s="150"/>
      <c r="M177" s="173"/>
      <c r="N177" s="173"/>
      <c r="O177" s="173"/>
      <c r="P177" s="173"/>
      <c r="Q177" s="150"/>
      <c r="R177" s="150"/>
      <c r="S177" s="150"/>
      <c r="T177" s="150"/>
      <c r="U177" s="150"/>
      <c r="V177" s="150"/>
      <c r="W177" s="150"/>
      <c r="X177" s="150"/>
      <c r="Y177" s="150"/>
      <c r="Z177" s="150"/>
      <c r="AA177" s="150"/>
      <c r="AB177" s="150"/>
      <c r="AC177" s="150"/>
      <c r="AD177" s="150"/>
      <c r="AE177" s="150"/>
      <c r="AF177" s="150"/>
      <c r="AG177" s="150"/>
      <c r="AH177" s="40"/>
      <c r="AI177" s="40"/>
      <c r="AJ177" s="40"/>
      <c r="AK177" s="40"/>
      <c r="AL177" s="40"/>
      <c r="AM177" s="40"/>
      <c r="AN177" s="40"/>
      <c r="AO177" s="125"/>
      <c r="AP177" s="125"/>
      <c r="AQ177" s="126"/>
      <c r="AR177" s="126"/>
      <c r="AS177" s="128"/>
      <c r="AT177" s="128"/>
      <c r="AU177" s="128"/>
      <c r="AV177" s="134"/>
      <c r="AW177" s="134"/>
      <c r="AX177" s="134"/>
      <c r="AY177" s="134"/>
      <c r="AZ177" s="126"/>
      <c r="BA177" s="126"/>
      <c r="BB177" s="160"/>
      <c r="BC177" s="160"/>
      <c r="BD177" s="160"/>
      <c r="BE177" s="160"/>
      <c r="BF177" s="161"/>
    </row>
    <row r="178" s="162" customFormat="true" ht="14.1" hidden="true" customHeight="true" outlineLevel="1" collapsed="false">
      <c r="A178" s="174"/>
      <c r="B178" s="175"/>
      <c r="C178" s="174"/>
      <c r="D178" s="174"/>
      <c r="E178" s="174"/>
      <c r="F178" s="172"/>
      <c r="G178" s="136"/>
      <c r="H178" s="150"/>
      <c r="I178" s="165"/>
      <c r="J178" s="150"/>
      <c r="K178" s="150"/>
      <c r="L178" s="150"/>
      <c r="M178" s="173"/>
      <c r="N178" s="173"/>
      <c r="O178" s="173"/>
      <c r="P178" s="173"/>
      <c r="Q178" s="150"/>
      <c r="R178" s="150"/>
      <c r="S178" s="150"/>
      <c r="T178" s="150"/>
      <c r="U178" s="150"/>
      <c r="V178" s="150"/>
      <c r="W178" s="150"/>
      <c r="X178" s="150"/>
      <c r="Y178" s="150"/>
      <c r="Z178" s="150"/>
      <c r="AA178" s="150"/>
      <c r="AB178" s="150"/>
      <c r="AC178" s="150"/>
      <c r="AD178" s="150"/>
      <c r="AE178" s="150"/>
      <c r="AF178" s="150"/>
      <c r="AG178" s="150"/>
      <c r="AH178" s="40"/>
      <c r="AI178" s="40"/>
      <c r="AJ178" s="40"/>
      <c r="AK178" s="40"/>
      <c r="AL178" s="40"/>
      <c r="AM178" s="40"/>
      <c r="AN178" s="40"/>
      <c r="AO178" s="125"/>
      <c r="AP178" s="125"/>
      <c r="AQ178" s="126"/>
      <c r="AR178" s="126"/>
      <c r="AS178" s="128"/>
      <c r="AT178" s="128"/>
      <c r="AU178" s="128"/>
      <c r="AV178" s="134"/>
      <c r="AW178" s="134"/>
      <c r="AX178" s="134"/>
      <c r="AY178" s="134"/>
      <c r="AZ178" s="126"/>
      <c r="BA178" s="126"/>
      <c r="BB178" s="160"/>
      <c r="BC178" s="160"/>
      <c r="BD178" s="160"/>
      <c r="BE178" s="160"/>
      <c r="BF178" s="161"/>
    </row>
    <row r="179" s="162" customFormat="true" ht="14.1" hidden="true" customHeight="true" outlineLevel="1" collapsed="false">
      <c r="A179" s="170" t="s">
        <v>141</v>
      </c>
      <c r="B179" s="141" t="s">
        <v>12</v>
      </c>
      <c r="C179" s="171" t="s">
        <v>116</v>
      </c>
      <c r="D179" s="171" t="s">
        <v>137</v>
      </c>
      <c r="E179" s="171" t="s">
        <v>118</v>
      </c>
      <c r="F179" s="136"/>
      <c r="G179" s="136"/>
      <c r="H179" s="150"/>
      <c r="I179" s="165"/>
      <c r="J179" s="150"/>
      <c r="K179" s="150"/>
      <c r="L179" s="150"/>
      <c r="M179" s="173"/>
      <c r="N179" s="173"/>
      <c r="O179" s="173"/>
      <c r="P179" s="173"/>
      <c r="Q179" s="150"/>
      <c r="R179" s="150"/>
      <c r="S179" s="150"/>
      <c r="T179" s="150"/>
      <c r="U179" s="150"/>
      <c r="V179" s="150"/>
      <c r="W179" s="150"/>
      <c r="X179" s="150"/>
      <c r="Y179" s="150"/>
      <c r="Z179" s="150"/>
      <c r="AA179" s="150"/>
      <c r="AB179" s="150"/>
      <c r="AC179" s="150"/>
      <c r="AD179" s="150"/>
      <c r="AE179" s="150"/>
      <c r="AF179" s="150"/>
      <c r="AG179" s="150"/>
      <c r="AH179" s="40"/>
      <c r="AI179" s="40"/>
      <c r="AJ179" s="40"/>
      <c r="AK179" s="40"/>
      <c r="AL179" s="40"/>
      <c r="AM179" s="40"/>
      <c r="AN179" s="40"/>
      <c r="AO179" s="125"/>
      <c r="AP179" s="125"/>
      <c r="AQ179" s="126"/>
      <c r="AR179" s="126"/>
      <c r="AS179" s="128"/>
      <c r="AT179" s="128"/>
      <c r="AU179" s="128"/>
      <c r="AV179" s="134"/>
      <c r="AW179" s="134"/>
      <c r="AX179" s="134"/>
      <c r="AY179" s="134"/>
      <c r="AZ179" s="126"/>
      <c r="BA179" s="126"/>
      <c r="BB179" s="160"/>
      <c r="BC179" s="160"/>
      <c r="BD179" s="160"/>
      <c r="BE179" s="160"/>
      <c r="BF179" s="161"/>
    </row>
    <row r="180" s="162" customFormat="true" ht="14.1" hidden="true" customHeight="true" outlineLevel="1" collapsed="false">
      <c r="A180" s="159" t="s">
        <v>142</v>
      </c>
      <c r="B180" s="159"/>
      <c r="C180" s="159"/>
      <c r="D180" s="159"/>
      <c r="E180" s="159"/>
      <c r="F180" s="136"/>
      <c r="G180" s="136"/>
      <c r="H180" s="150"/>
      <c r="I180" s="165"/>
      <c r="J180" s="150"/>
      <c r="K180" s="150"/>
      <c r="L180" s="150"/>
      <c r="M180" s="173"/>
      <c r="N180" s="173"/>
      <c r="O180" s="173"/>
      <c r="P180" s="173"/>
      <c r="Q180" s="150"/>
      <c r="R180" s="150"/>
      <c r="S180" s="150"/>
      <c r="T180" s="150"/>
      <c r="U180" s="150"/>
      <c r="V180" s="150"/>
      <c r="W180" s="150"/>
      <c r="X180" s="150"/>
      <c r="Y180" s="150"/>
      <c r="Z180" s="150"/>
      <c r="AA180" s="150"/>
      <c r="AB180" s="150"/>
      <c r="AC180" s="150"/>
      <c r="AD180" s="150"/>
      <c r="AE180" s="150"/>
      <c r="AF180" s="150"/>
      <c r="AG180" s="150"/>
      <c r="AH180" s="40"/>
      <c r="AI180" s="40"/>
      <c r="AJ180" s="40"/>
      <c r="AK180" s="40"/>
      <c r="AL180" s="40"/>
      <c r="AM180" s="40"/>
      <c r="AN180" s="40"/>
      <c r="AO180" s="125"/>
      <c r="AP180" s="125"/>
      <c r="AQ180" s="126"/>
      <c r="AR180" s="126"/>
      <c r="AS180" s="128"/>
      <c r="AT180" s="128"/>
      <c r="AU180" s="128"/>
      <c r="AV180" s="134"/>
      <c r="AW180" s="134"/>
      <c r="AX180" s="134"/>
      <c r="AY180" s="134"/>
      <c r="AZ180" s="126"/>
      <c r="BA180" s="126"/>
      <c r="BB180" s="160"/>
      <c r="BC180" s="160"/>
      <c r="BD180" s="160"/>
      <c r="BE180" s="160"/>
      <c r="BF180" s="161"/>
    </row>
    <row r="181" s="162" customFormat="true" ht="14.1" hidden="true" customHeight="true" outlineLevel="1" collapsed="false">
      <c r="A181" s="152" t="s">
        <v>143</v>
      </c>
      <c r="B181" s="119" t="s">
        <v>15</v>
      </c>
      <c r="C181" s="166" t="n">
        <v>0.8</v>
      </c>
      <c r="D181" s="166" t="n">
        <v>2.1</v>
      </c>
      <c r="E181" s="166" t="n">
        <v>3</v>
      </c>
      <c r="F181" s="136"/>
      <c r="G181" s="136"/>
      <c r="H181" s="150"/>
      <c r="I181" s="165"/>
      <c r="J181" s="150"/>
      <c r="K181" s="150"/>
      <c r="L181" s="150"/>
      <c r="M181" s="173"/>
      <c r="N181" s="173"/>
      <c r="O181" s="173"/>
      <c r="P181" s="173"/>
      <c r="Q181" s="150"/>
      <c r="R181" s="150"/>
      <c r="S181" s="150"/>
      <c r="T181" s="150"/>
      <c r="U181" s="150"/>
      <c r="V181" s="150"/>
      <c r="W181" s="150"/>
      <c r="X181" s="150"/>
      <c r="Y181" s="150"/>
      <c r="Z181" s="150"/>
      <c r="AA181" s="150"/>
      <c r="AB181" s="150"/>
      <c r="AC181" s="150"/>
      <c r="AD181" s="150"/>
      <c r="AE181" s="150"/>
      <c r="AF181" s="150"/>
      <c r="AG181" s="150"/>
      <c r="AH181" s="40"/>
      <c r="AI181" s="40"/>
      <c r="AJ181" s="40"/>
      <c r="AK181" s="40"/>
      <c r="AL181" s="40"/>
      <c r="AM181" s="40"/>
      <c r="AN181" s="40"/>
      <c r="AO181" s="125"/>
      <c r="AP181" s="125"/>
      <c r="AQ181" s="126"/>
      <c r="AR181" s="126"/>
      <c r="AS181" s="128"/>
      <c r="AT181" s="128"/>
      <c r="AU181" s="128"/>
      <c r="AV181" s="134"/>
      <c r="AW181" s="134"/>
      <c r="AX181" s="134"/>
      <c r="AY181" s="134"/>
      <c r="AZ181" s="126"/>
      <c r="BA181" s="126"/>
      <c r="BB181" s="160"/>
      <c r="BC181" s="160"/>
      <c r="BD181" s="160"/>
      <c r="BE181" s="160"/>
      <c r="BF181" s="161"/>
    </row>
    <row r="182" s="162" customFormat="true" ht="14.1" hidden="true" customHeight="true" outlineLevel="1" collapsed="false">
      <c r="A182" s="152" t="s">
        <v>144</v>
      </c>
      <c r="B182" s="119" t="s">
        <v>15</v>
      </c>
      <c r="C182" s="166" t="n">
        <v>0.6</v>
      </c>
      <c r="D182" s="166" t="n">
        <v>2</v>
      </c>
      <c r="E182" s="166" t="n">
        <v>0</v>
      </c>
      <c r="F182" s="136"/>
      <c r="G182" s="136"/>
      <c r="H182" s="150"/>
      <c r="I182" s="165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  <c r="AB182" s="26"/>
      <c r="AC182" s="26"/>
      <c r="AD182" s="26"/>
      <c r="AE182" s="150"/>
      <c r="AF182" s="150"/>
      <c r="AG182" s="150"/>
      <c r="AH182" s="40"/>
      <c r="AI182" s="40"/>
      <c r="AJ182" s="40"/>
      <c r="AK182" s="40"/>
      <c r="AL182" s="40"/>
      <c r="AM182" s="40"/>
      <c r="AN182" s="40"/>
      <c r="AO182" s="125"/>
      <c r="AP182" s="125"/>
      <c r="AQ182" s="126"/>
      <c r="AR182" s="126"/>
      <c r="AS182" s="128"/>
      <c r="AT182" s="128"/>
      <c r="AU182" s="128"/>
      <c r="AV182" s="134"/>
      <c r="AW182" s="134"/>
      <c r="AX182" s="134"/>
      <c r="AY182" s="134"/>
      <c r="AZ182" s="126"/>
      <c r="BA182" s="126"/>
      <c r="BB182" s="160"/>
      <c r="BC182" s="160"/>
      <c r="BD182" s="160"/>
      <c r="BE182" s="160"/>
      <c r="BF182" s="161"/>
    </row>
    <row r="183" s="162" customFormat="true" ht="14.1" hidden="true" customHeight="true" outlineLevel="1" collapsed="false">
      <c r="A183" s="168" t="s">
        <v>145</v>
      </c>
      <c r="B183" s="119" t="s">
        <v>15</v>
      </c>
      <c r="C183" s="166" t="n">
        <v>2</v>
      </c>
      <c r="D183" s="166" t="n">
        <v>2.3</v>
      </c>
      <c r="E183" s="166" t="n">
        <v>0</v>
      </c>
      <c r="F183" s="136"/>
      <c r="G183" s="136"/>
      <c r="H183" s="150"/>
      <c r="I183" s="165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  <c r="AA183" s="26"/>
      <c r="AB183" s="26"/>
      <c r="AC183" s="26"/>
      <c r="AD183" s="26"/>
      <c r="AE183" s="150"/>
      <c r="AF183" s="150"/>
      <c r="AG183" s="150"/>
      <c r="AH183" s="40"/>
      <c r="AI183" s="40"/>
      <c r="AJ183" s="40"/>
      <c r="AK183" s="40"/>
      <c r="AL183" s="40"/>
      <c r="AM183" s="40"/>
      <c r="AN183" s="40"/>
      <c r="AO183" s="125"/>
      <c r="AP183" s="125"/>
      <c r="AQ183" s="126"/>
      <c r="AR183" s="126"/>
      <c r="AS183" s="128"/>
      <c r="AT183" s="128"/>
      <c r="AU183" s="128"/>
      <c r="AV183" s="134"/>
      <c r="AW183" s="134"/>
      <c r="AX183" s="134"/>
      <c r="AY183" s="134"/>
      <c r="AZ183" s="126"/>
      <c r="BA183" s="126"/>
      <c r="BB183" s="160"/>
      <c r="BC183" s="160"/>
      <c r="BD183" s="160"/>
      <c r="BE183" s="160"/>
      <c r="BF183" s="161"/>
    </row>
    <row r="184" s="162" customFormat="true" ht="14.1" hidden="true" customHeight="true" outlineLevel="1" collapsed="false">
      <c r="A184" s="159" t="s">
        <v>146</v>
      </c>
      <c r="B184" s="159"/>
      <c r="C184" s="159"/>
      <c r="D184" s="159"/>
      <c r="E184" s="159"/>
      <c r="F184" s="136"/>
      <c r="G184" s="136"/>
      <c r="H184" s="150"/>
      <c r="I184" s="165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  <c r="AA184" s="26"/>
      <c r="AB184" s="26"/>
      <c r="AC184" s="26"/>
      <c r="AD184" s="26"/>
      <c r="AE184" s="150"/>
      <c r="AF184" s="150"/>
      <c r="AG184" s="150"/>
      <c r="AH184" s="40"/>
      <c r="AI184" s="40"/>
      <c r="AJ184" s="40"/>
      <c r="AK184" s="40"/>
      <c r="AL184" s="40"/>
      <c r="AM184" s="40"/>
      <c r="AN184" s="40"/>
      <c r="AO184" s="125"/>
      <c r="AP184" s="125"/>
      <c r="AQ184" s="126"/>
      <c r="AR184" s="126"/>
      <c r="AS184" s="128"/>
      <c r="AT184" s="128"/>
      <c r="AU184" s="128"/>
      <c r="AV184" s="134"/>
      <c r="AW184" s="134"/>
      <c r="AX184" s="134"/>
      <c r="AY184" s="134"/>
      <c r="AZ184" s="126"/>
      <c r="BA184" s="126"/>
      <c r="BB184" s="160"/>
      <c r="BC184" s="160"/>
      <c r="BD184" s="160"/>
      <c r="BE184" s="160"/>
      <c r="BF184" s="161"/>
    </row>
    <row r="185" s="162" customFormat="true" ht="14.1" hidden="true" customHeight="true" outlineLevel="1" collapsed="false">
      <c r="A185" s="152" t="s">
        <v>147</v>
      </c>
      <c r="B185" s="119" t="s">
        <v>15</v>
      </c>
      <c r="C185" s="166" t="n">
        <v>0.9</v>
      </c>
      <c r="D185" s="166" t="n">
        <v>2.1</v>
      </c>
      <c r="E185" s="166" t="n">
        <v>0</v>
      </c>
      <c r="F185" s="136"/>
      <c r="G185" s="136"/>
      <c r="H185" s="150"/>
      <c r="I185" s="165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  <c r="AA185" s="26"/>
      <c r="AB185" s="26"/>
      <c r="AC185" s="26"/>
      <c r="AD185" s="26"/>
      <c r="AE185" s="150"/>
      <c r="AF185" s="150"/>
      <c r="AG185" s="150"/>
      <c r="AH185" s="40"/>
      <c r="AI185" s="40"/>
      <c r="AJ185" s="40"/>
      <c r="AK185" s="40"/>
      <c r="AL185" s="40"/>
      <c r="AM185" s="40"/>
      <c r="AN185" s="40"/>
      <c r="AO185" s="125"/>
      <c r="AP185" s="125"/>
      <c r="AQ185" s="126"/>
      <c r="AR185" s="126"/>
      <c r="AS185" s="128"/>
      <c r="AT185" s="128"/>
      <c r="AU185" s="128"/>
      <c r="AV185" s="134"/>
      <c r="AW185" s="134"/>
      <c r="AX185" s="134"/>
      <c r="AY185" s="134"/>
      <c r="AZ185" s="126"/>
      <c r="BA185" s="126"/>
      <c r="BB185" s="160"/>
      <c r="BC185" s="160"/>
      <c r="BD185" s="160"/>
      <c r="BE185" s="160"/>
      <c r="BF185" s="161"/>
    </row>
    <row r="186" s="162" customFormat="true" ht="14.1" hidden="true" customHeight="true" outlineLevel="1" collapsed="false">
      <c r="A186" s="152" t="s">
        <v>148</v>
      </c>
      <c r="B186" s="119"/>
      <c r="C186" s="166" t="n">
        <v>1</v>
      </c>
      <c r="D186" s="166" t="n">
        <v>2</v>
      </c>
      <c r="E186" s="166" t="n">
        <v>0</v>
      </c>
      <c r="F186" s="136"/>
      <c r="G186" s="136"/>
      <c r="H186" s="150"/>
      <c r="I186" s="165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150"/>
      <c r="AF186" s="150"/>
      <c r="AG186" s="150"/>
      <c r="AH186" s="40"/>
      <c r="AI186" s="40"/>
      <c r="AJ186" s="40"/>
      <c r="AK186" s="40"/>
      <c r="AL186" s="40"/>
      <c r="AM186" s="40"/>
      <c r="AN186" s="40"/>
      <c r="AO186" s="125"/>
      <c r="AP186" s="125"/>
      <c r="AQ186" s="126"/>
      <c r="AR186" s="126"/>
      <c r="AS186" s="128"/>
      <c r="AT186" s="128"/>
      <c r="AU186" s="128"/>
      <c r="AV186" s="134"/>
      <c r="AW186" s="134"/>
      <c r="AX186" s="134"/>
      <c r="AY186" s="134"/>
      <c r="AZ186" s="126"/>
      <c r="BA186" s="126"/>
      <c r="BB186" s="160"/>
      <c r="BC186" s="160"/>
      <c r="BD186" s="160"/>
      <c r="BE186" s="160"/>
      <c r="BF186" s="161"/>
    </row>
    <row r="187" s="162" customFormat="true" ht="14.1" hidden="true" customHeight="true" outlineLevel="1" collapsed="false">
      <c r="A187" s="168" t="s">
        <v>149</v>
      </c>
      <c r="B187" s="119" t="s">
        <v>15</v>
      </c>
      <c r="C187" s="166" t="n">
        <v>1.4</v>
      </c>
      <c r="D187" s="166" t="n">
        <v>3</v>
      </c>
      <c r="E187" s="166" t="n">
        <v>0</v>
      </c>
      <c r="F187" s="136"/>
      <c r="G187" s="136"/>
      <c r="H187" s="150"/>
      <c r="I187" s="165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  <c r="AB187" s="26"/>
      <c r="AC187" s="26"/>
      <c r="AD187" s="26"/>
      <c r="AE187" s="150"/>
      <c r="AF187" s="150"/>
      <c r="AG187" s="150"/>
      <c r="AH187" s="40"/>
      <c r="AI187" s="40"/>
      <c r="AJ187" s="40"/>
      <c r="AK187" s="40"/>
      <c r="AL187" s="40"/>
      <c r="AM187" s="40"/>
      <c r="AN187" s="40"/>
      <c r="AO187" s="125"/>
      <c r="AP187" s="125"/>
      <c r="AQ187" s="126"/>
      <c r="AR187" s="126"/>
      <c r="AS187" s="128"/>
      <c r="AT187" s="128"/>
      <c r="AU187" s="128"/>
      <c r="AV187" s="134"/>
      <c r="AW187" s="134"/>
      <c r="AX187" s="134"/>
      <c r="AY187" s="134"/>
      <c r="AZ187" s="126"/>
      <c r="BA187" s="126"/>
      <c r="BB187" s="160"/>
      <c r="BC187" s="160"/>
      <c r="BD187" s="160"/>
      <c r="BE187" s="160"/>
      <c r="BF187" s="161"/>
    </row>
    <row r="188" s="162" customFormat="true" ht="14.1" hidden="true" customHeight="true" outlineLevel="1" collapsed="false">
      <c r="A188" s="159" t="s">
        <v>150</v>
      </c>
      <c r="B188" s="159"/>
      <c r="C188" s="159"/>
      <c r="D188" s="159"/>
      <c r="E188" s="159"/>
      <c r="F188" s="136"/>
      <c r="G188" s="136"/>
      <c r="H188" s="150"/>
      <c r="I188" s="165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150"/>
      <c r="AF188" s="150"/>
      <c r="AG188" s="150"/>
      <c r="AH188" s="40"/>
      <c r="AI188" s="40"/>
      <c r="AJ188" s="40"/>
      <c r="AK188" s="40"/>
      <c r="AL188" s="40"/>
      <c r="AM188" s="40"/>
      <c r="AN188" s="40"/>
      <c r="AO188" s="125"/>
      <c r="AP188" s="125"/>
      <c r="AQ188" s="126"/>
      <c r="AR188" s="126"/>
      <c r="AS188" s="128"/>
      <c r="AT188" s="128"/>
      <c r="AU188" s="128"/>
      <c r="AV188" s="134"/>
      <c r="AW188" s="134"/>
      <c r="AX188" s="134"/>
      <c r="AY188" s="134"/>
      <c r="AZ188" s="126"/>
      <c r="BA188" s="126"/>
      <c r="BB188" s="160"/>
      <c r="BC188" s="160"/>
      <c r="BD188" s="160"/>
      <c r="BE188" s="160"/>
      <c r="BF188" s="161"/>
    </row>
    <row r="189" s="162" customFormat="true" ht="14.1" hidden="true" customHeight="true" outlineLevel="1" collapsed="false">
      <c r="A189" s="152" t="s">
        <v>151</v>
      </c>
      <c r="B189" s="119" t="s">
        <v>15</v>
      </c>
      <c r="C189" s="166" t="n">
        <v>0.8</v>
      </c>
      <c r="D189" s="166" t="n">
        <v>2.1</v>
      </c>
      <c r="E189" s="166" t="n">
        <v>0</v>
      </c>
      <c r="F189" s="136"/>
      <c r="G189" s="136"/>
      <c r="H189" s="150"/>
      <c r="I189" s="165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150"/>
      <c r="AF189" s="150"/>
      <c r="AG189" s="150"/>
      <c r="AH189" s="40"/>
      <c r="AI189" s="40"/>
      <c r="AJ189" s="40"/>
      <c r="AK189" s="40"/>
      <c r="AL189" s="40"/>
      <c r="AM189" s="40"/>
      <c r="AN189" s="40"/>
      <c r="AO189" s="125"/>
      <c r="AP189" s="125"/>
      <c r="AQ189" s="126"/>
      <c r="AR189" s="126"/>
      <c r="AS189" s="128"/>
      <c r="AT189" s="128"/>
      <c r="AU189" s="128"/>
      <c r="AV189" s="134"/>
      <c r="AW189" s="134"/>
      <c r="AX189" s="134"/>
      <c r="AY189" s="134"/>
      <c r="AZ189" s="126"/>
      <c r="BA189" s="126"/>
      <c r="BB189" s="160"/>
      <c r="BC189" s="160"/>
      <c r="BD189" s="160"/>
      <c r="BE189" s="160"/>
      <c r="BF189" s="161"/>
    </row>
    <row r="190" s="162" customFormat="true" ht="14.1" hidden="true" customHeight="true" outlineLevel="1" collapsed="false">
      <c r="A190" s="152" t="s">
        <v>152</v>
      </c>
      <c r="B190" s="119" t="s">
        <v>15</v>
      </c>
      <c r="C190" s="166" t="n">
        <v>1</v>
      </c>
      <c r="D190" s="166" t="n">
        <v>2</v>
      </c>
      <c r="E190" s="166" t="n">
        <v>0</v>
      </c>
      <c r="F190" s="136"/>
      <c r="G190" s="136"/>
      <c r="H190" s="150"/>
      <c r="I190" s="165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  <c r="AA190" s="26"/>
      <c r="AB190" s="26"/>
      <c r="AC190" s="26"/>
      <c r="AD190" s="26"/>
      <c r="AE190" s="150"/>
      <c r="AF190" s="150"/>
      <c r="AG190" s="150"/>
      <c r="AH190" s="40"/>
      <c r="AI190" s="40"/>
      <c r="AJ190" s="40"/>
      <c r="AK190" s="40"/>
      <c r="AL190" s="40"/>
      <c r="AM190" s="40"/>
      <c r="AN190" s="40"/>
      <c r="AO190" s="125"/>
      <c r="AP190" s="125"/>
      <c r="AQ190" s="126"/>
      <c r="AR190" s="126"/>
      <c r="AS190" s="128"/>
      <c r="AT190" s="128"/>
      <c r="AU190" s="128"/>
      <c r="AV190" s="134"/>
      <c r="AW190" s="134"/>
      <c r="AX190" s="134"/>
      <c r="AY190" s="134"/>
      <c r="AZ190" s="126"/>
      <c r="BA190" s="126"/>
      <c r="BB190" s="160"/>
      <c r="BC190" s="160"/>
      <c r="BD190" s="160"/>
      <c r="BE190" s="160"/>
      <c r="BF190" s="161"/>
    </row>
    <row r="191" s="162" customFormat="true" ht="14.1" hidden="true" customHeight="true" outlineLevel="1" collapsed="false">
      <c r="A191" s="168" t="s">
        <v>153</v>
      </c>
      <c r="B191" s="119" t="s">
        <v>15</v>
      </c>
      <c r="C191" s="166" t="n">
        <v>2</v>
      </c>
      <c r="D191" s="166" t="n">
        <v>2.2</v>
      </c>
      <c r="E191" s="166" t="n">
        <v>0</v>
      </c>
      <c r="F191" s="136"/>
      <c r="G191" s="136"/>
      <c r="H191" s="150"/>
      <c r="I191" s="165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  <c r="AA191" s="26"/>
      <c r="AB191" s="26"/>
      <c r="AC191" s="26"/>
      <c r="AD191" s="26"/>
      <c r="AE191" s="150"/>
      <c r="AF191" s="150"/>
      <c r="AG191" s="150"/>
      <c r="AH191" s="40"/>
      <c r="AI191" s="40"/>
      <c r="AJ191" s="40"/>
      <c r="AK191" s="40"/>
      <c r="AL191" s="40"/>
      <c r="AM191" s="40"/>
      <c r="AN191" s="40"/>
      <c r="AO191" s="125"/>
      <c r="AP191" s="125"/>
      <c r="AQ191" s="126"/>
      <c r="AR191" s="126"/>
      <c r="AS191" s="128"/>
      <c r="AT191" s="128"/>
      <c r="AU191" s="128"/>
      <c r="AV191" s="134"/>
      <c r="AW191" s="134"/>
      <c r="AX191" s="134"/>
      <c r="AY191" s="134"/>
      <c r="AZ191" s="126"/>
      <c r="BA191" s="126"/>
      <c r="BB191" s="160"/>
      <c r="BC191" s="160"/>
      <c r="BD191" s="160"/>
      <c r="BE191" s="160"/>
      <c r="BF191" s="161"/>
    </row>
    <row r="192" s="162" customFormat="true" ht="14.1" hidden="true" customHeight="true" outlineLevel="1" collapsed="false">
      <c r="A192" s="159" t="s">
        <v>154</v>
      </c>
      <c r="B192" s="159"/>
      <c r="C192" s="159"/>
      <c r="D192" s="159"/>
      <c r="E192" s="159"/>
      <c r="F192" s="136"/>
      <c r="G192" s="136"/>
      <c r="H192" s="150"/>
      <c r="I192" s="165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  <c r="AA192" s="26"/>
      <c r="AB192" s="26"/>
      <c r="AC192" s="26"/>
      <c r="AD192" s="26"/>
      <c r="AE192" s="150"/>
      <c r="AF192" s="150"/>
      <c r="AG192" s="150"/>
      <c r="AH192" s="40"/>
      <c r="AI192" s="40"/>
      <c r="AJ192" s="40"/>
      <c r="AK192" s="40"/>
      <c r="AL192" s="40"/>
      <c r="AM192" s="40"/>
      <c r="AN192" s="40"/>
      <c r="AO192" s="125"/>
      <c r="AP192" s="125"/>
      <c r="AQ192" s="126"/>
      <c r="AR192" s="126"/>
      <c r="AS192" s="128"/>
      <c r="AT192" s="128"/>
      <c r="AU192" s="128"/>
      <c r="AV192" s="134"/>
      <c r="AW192" s="134"/>
      <c r="AX192" s="134"/>
      <c r="AY192" s="134"/>
      <c r="AZ192" s="126"/>
      <c r="BA192" s="126"/>
      <c r="BB192" s="160"/>
      <c r="BC192" s="160"/>
      <c r="BD192" s="160"/>
      <c r="BE192" s="160"/>
      <c r="BF192" s="161"/>
    </row>
    <row r="193" s="162" customFormat="true" ht="14.1" hidden="true" customHeight="true" outlineLevel="1" collapsed="false">
      <c r="A193" s="152" t="s">
        <v>155</v>
      </c>
      <c r="B193" s="119" t="s">
        <v>15</v>
      </c>
      <c r="C193" s="166" t="n">
        <v>1</v>
      </c>
      <c r="D193" s="166" t="n">
        <v>2</v>
      </c>
      <c r="E193" s="166" t="n">
        <v>0</v>
      </c>
      <c r="F193" s="136"/>
      <c r="G193" s="136"/>
      <c r="H193" s="150"/>
      <c r="I193" s="165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  <c r="AA193" s="26"/>
      <c r="AB193" s="26"/>
      <c r="AC193" s="26"/>
      <c r="AD193" s="26"/>
      <c r="AE193" s="150"/>
      <c r="AF193" s="150"/>
      <c r="AG193" s="150"/>
      <c r="AH193" s="40"/>
      <c r="AI193" s="40"/>
      <c r="AJ193" s="40"/>
      <c r="AK193" s="40"/>
      <c r="AL193" s="40"/>
      <c r="AM193" s="40"/>
      <c r="AN193" s="40"/>
      <c r="AO193" s="125"/>
      <c r="AP193" s="125"/>
      <c r="AQ193" s="126"/>
      <c r="AR193" s="126"/>
      <c r="AS193" s="128"/>
      <c r="AT193" s="128"/>
      <c r="AU193" s="128"/>
      <c r="AV193" s="134"/>
      <c r="AW193" s="134"/>
      <c r="AX193" s="134"/>
      <c r="AY193" s="134"/>
      <c r="AZ193" s="126"/>
      <c r="BA193" s="126"/>
      <c r="BB193" s="160"/>
      <c r="BC193" s="160"/>
      <c r="BD193" s="160"/>
      <c r="BE193" s="160"/>
      <c r="BF193" s="161"/>
    </row>
    <row r="194" s="162" customFormat="true" ht="14.1" hidden="true" customHeight="true" outlineLevel="1" collapsed="false">
      <c r="A194" s="152" t="s">
        <v>156</v>
      </c>
      <c r="B194" s="119" t="s">
        <v>15</v>
      </c>
      <c r="C194" s="166" t="n">
        <v>1</v>
      </c>
      <c r="D194" s="166" t="n">
        <v>2</v>
      </c>
      <c r="E194" s="166" t="n">
        <v>0</v>
      </c>
      <c r="F194" s="136"/>
      <c r="G194" s="136"/>
      <c r="H194" s="150"/>
      <c r="I194" s="165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  <c r="AA194" s="26"/>
      <c r="AB194" s="26"/>
      <c r="AC194" s="26"/>
      <c r="AD194" s="26"/>
      <c r="AE194" s="150"/>
      <c r="AF194" s="150"/>
      <c r="AG194" s="150"/>
      <c r="AH194" s="40"/>
      <c r="AI194" s="40"/>
      <c r="AJ194" s="40"/>
      <c r="AK194" s="40"/>
      <c r="AL194" s="40"/>
      <c r="AM194" s="40"/>
      <c r="AN194" s="40"/>
      <c r="AO194" s="125"/>
      <c r="AP194" s="125"/>
      <c r="AQ194" s="126"/>
      <c r="AR194" s="126"/>
      <c r="AS194" s="128"/>
      <c r="AT194" s="128"/>
      <c r="AU194" s="128"/>
      <c r="AV194" s="134"/>
      <c r="AW194" s="134"/>
      <c r="AX194" s="134"/>
      <c r="AY194" s="134"/>
      <c r="AZ194" s="126"/>
      <c r="BA194" s="126"/>
      <c r="BB194" s="160"/>
      <c r="BC194" s="160"/>
      <c r="BD194" s="160"/>
      <c r="BE194" s="160"/>
      <c r="BF194" s="161"/>
    </row>
    <row r="195" s="162" customFormat="true" ht="14.1" hidden="true" customHeight="true" outlineLevel="1" collapsed="false">
      <c r="A195" s="168" t="s">
        <v>157</v>
      </c>
      <c r="B195" s="119" t="s">
        <v>15</v>
      </c>
      <c r="C195" s="166" t="n">
        <v>2</v>
      </c>
      <c r="D195" s="166" t="n">
        <v>2</v>
      </c>
      <c r="E195" s="166" t="n">
        <v>0</v>
      </c>
      <c r="F195" s="136"/>
      <c r="G195" s="136"/>
      <c r="H195" s="150"/>
      <c r="I195" s="165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150"/>
      <c r="AF195" s="150"/>
      <c r="AG195" s="150"/>
      <c r="AH195" s="40"/>
      <c r="AI195" s="40"/>
      <c r="AJ195" s="40"/>
      <c r="AK195" s="40"/>
      <c r="AL195" s="40"/>
      <c r="AM195" s="40"/>
      <c r="AN195" s="40"/>
      <c r="AO195" s="125"/>
      <c r="AP195" s="125"/>
      <c r="AQ195" s="126"/>
      <c r="AR195" s="126"/>
      <c r="AS195" s="128"/>
      <c r="AT195" s="128"/>
      <c r="AU195" s="128"/>
      <c r="AV195" s="134"/>
      <c r="AW195" s="134"/>
      <c r="AX195" s="134"/>
      <c r="AY195" s="134"/>
      <c r="AZ195" s="126"/>
      <c r="BA195" s="126"/>
      <c r="BB195" s="160"/>
      <c r="BC195" s="160"/>
      <c r="BD195" s="160"/>
      <c r="BE195" s="160"/>
      <c r="BF195" s="161"/>
    </row>
    <row r="196" s="162" customFormat="true" ht="14.1" hidden="false" customHeight="true" outlineLevel="0" collapsed="false">
      <c r="A196" s="155" t="s">
        <v>158</v>
      </c>
      <c r="B196" s="155"/>
      <c r="C196" s="155"/>
      <c r="D196" s="155"/>
      <c r="E196" s="155"/>
      <c r="F196" s="136"/>
      <c r="G196" s="136"/>
      <c r="H196" s="150"/>
      <c r="I196" s="165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  <c r="AA196" s="26"/>
      <c r="AB196" s="26"/>
      <c r="AC196" s="26"/>
      <c r="AD196" s="26"/>
      <c r="AE196" s="150"/>
      <c r="AF196" s="150"/>
      <c r="AG196" s="150"/>
      <c r="AH196" s="40"/>
      <c r="AI196" s="40"/>
      <c r="AJ196" s="40"/>
      <c r="AK196" s="40"/>
      <c r="AL196" s="40"/>
      <c r="AM196" s="40"/>
      <c r="AN196" s="40"/>
      <c r="AO196" s="125"/>
      <c r="AP196" s="125"/>
      <c r="AQ196" s="126"/>
      <c r="AR196" s="126"/>
      <c r="AS196" s="128"/>
      <c r="AT196" s="128"/>
      <c r="AU196" s="128"/>
      <c r="AV196" s="134"/>
      <c r="AW196" s="134"/>
      <c r="AX196" s="134"/>
      <c r="AY196" s="134"/>
      <c r="AZ196" s="126"/>
      <c r="BA196" s="126"/>
      <c r="BB196" s="160"/>
      <c r="BC196" s="160"/>
      <c r="BD196" s="160"/>
      <c r="BE196" s="160"/>
      <c r="BF196" s="161"/>
    </row>
    <row r="197" s="35" customFormat="true" ht="14.1" hidden="false" customHeight="true" outlineLevel="0" collapsed="false">
      <c r="A197" s="26"/>
      <c r="B197" s="26"/>
      <c r="C197" s="26"/>
      <c r="D197" s="26"/>
      <c r="E197" s="26"/>
      <c r="F197" s="136"/>
      <c r="G197" s="136"/>
      <c r="H197" s="150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I197" s="40"/>
      <c r="AJ197" s="40"/>
      <c r="AK197" s="40"/>
      <c r="AL197" s="40"/>
      <c r="AM197" s="40"/>
      <c r="AN197" s="40"/>
      <c r="AO197" s="125"/>
      <c r="AP197" s="125"/>
      <c r="AQ197" s="126"/>
      <c r="AR197" s="126"/>
      <c r="AS197" s="128"/>
      <c r="AT197" s="128"/>
      <c r="AU197" s="128"/>
      <c r="AV197" s="134"/>
      <c r="AW197" s="134"/>
      <c r="AX197" s="134"/>
      <c r="AY197" s="134"/>
      <c r="AZ197" s="126"/>
      <c r="BA197" s="126"/>
      <c r="BB197" s="126"/>
      <c r="BC197" s="126"/>
      <c r="BD197" s="126"/>
      <c r="BE197" s="126"/>
      <c r="BF197" s="156"/>
    </row>
    <row r="198" s="162" customFormat="true" ht="14.1" hidden="true" customHeight="true" outlineLevel="1" collapsed="false">
      <c r="A198" s="176"/>
      <c r="B198" s="176"/>
      <c r="C198" s="176"/>
      <c r="D198" s="176"/>
      <c r="E198" s="177" t="s">
        <v>159</v>
      </c>
      <c r="F198" s="177"/>
      <c r="G198" s="26"/>
      <c r="H198" s="178" t="s">
        <v>160</v>
      </c>
      <c r="I198" s="178"/>
      <c r="J198" s="178"/>
      <c r="K198" s="178"/>
      <c r="L198" s="178"/>
      <c r="M198" s="178"/>
      <c r="N198" s="178"/>
      <c r="O198" s="178"/>
      <c r="P198" s="178"/>
      <c r="Q198" s="178"/>
      <c r="R198" s="178"/>
      <c r="S198" s="178"/>
      <c r="T198" s="178"/>
      <c r="U198" s="178"/>
      <c r="V198" s="178"/>
      <c r="W198" s="178"/>
      <c r="X198" s="178"/>
      <c r="Y198" s="178"/>
      <c r="Z198" s="178"/>
      <c r="AA198" s="178"/>
      <c r="AB198" s="178"/>
      <c r="AC198" s="178"/>
      <c r="AD198" s="178"/>
      <c r="AE198" s="178"/>
      <c r="AF198" s="178"/>
      <c r="AG198" s="178"/>
      <c r="AH198" s="40"/>
      <c r="AI198" s="40"/>
      <c r="AJ198" s="40"/>
      <c r="AK198" s="40"/>
      <c r="AL198" s="40"/>
      <c r="AM198" s="40"/>
      <c r="AN198" s="40"/>
      <c r="AO198" s="125"/>
      <c r="AP198" s="125"/>
      <c r="AQ198" s="126"/>
      <c r="AR198" s="126"/>
      <c r="AS198" s="128"/>
      <c r="AT198" s="128"/>
      <c r="AU198" s="128"/>
      <c r="AV198" s="134"/>
      <c r="AW198" s="134"/>
      <c r="AX198" s="134"/>
      <c r="AY198" s="134"/>
      <c r="AZ198" s="126"/>
      <c r="BA198" s="126"/>
      <c r="BB198" s="160"/>
      <c r="BC198" s="160"/>
      <c r="BD198" s="160"/>
      <c r="BE198" s="160"/>
      <c r="BF198" s="161"/>
    </row>
    <row r="199" s="162" customFormat="true" ht="14.1" hidden="true" customHeight="true" outlineLevel="1" collapsed="false">
      <c r="A199" s="176"/>
      <c r="B199" s="176"/>
      <c r="C199" s="176"/>
      <c r="D199" s="179"/>
      <c r="E199" s="177"/>
      <c r="F199" s="177"/>
      <c r="G199" s="26"/>
      <c r="H199" s="178"/>
      <c r="I199" s="178"/>
      <c r="J199" s="178"/>
      <c r="K199" s="178"/>
      <c r="L199" s="178"/>
      <c r="M199" s="178"/>
      <c r="N199" s="178"/>
      <c r="O199" s="178"/>
      <c r="P199" s="178"/>
      <c r="Q199" s="178"/>
      <c r="R199" s="178"/>
      <c r="S199" s="178"/>
      <c r="T199" s="178"/>
      <c r="U199" s="178"/>
      <c r="V199" s="178"/>
      <c r="W199" s="178"/>
      <c r="X199" s="178"/>
      <c r="Y199" s="178"/>
      <c r="Z199" s="178"/>
      <c r="AA199" s="178"/>
      <c r="AB199" s="178"/>
      <c r="AC199" s="178"/>
      <c r="AD199" s="178"/>
      <c r="AE199" s="178"/>
      <c r="AF199" s="178"/>
      <c r="AG199" s="178"/>
      <c r="AH199" s="40"/>
      <c r="AI199" s="40"/>
      <c r="AJ199" s="40"/>
      <c r="AK199" s="40"/>
      <c r="AL199" s="40"/>
      <c r="AM199" s="40"/>
      <c r="AN199" s="40"/>
      <c r="AO199" s="125"/>
      <c r="AP199" s="125"/>
      <c r="AQ199" s="126"/>
      <c r="AR199" s="126"/>
      <c r="AS199" s="128"/>
      <c r="AT199" s="128"/>
      <c r="AU199" s="128"/>
      <c r="AV199" s="134"/>
      <c r="AW199" s="134"/>
      <c r="AX199" s="134"/>
      <c r="AY199" s="134"/>
      <c r="AZ199" s="126"/>
      <c r="BA199" s="126"/>
      <c r="BB199" s="160"/>
      <c r="BC199" s="160"/>
      <c r="BD199" s="160"/>
      <c r="BE199" s="160"/>
      <c r="BF199" s="161"/>
    </row>
    <row r="200" s="162" customFormat="true" ht="14.1" hidden="true" customHeight="true" outlineLevel="1" collapsed="false">
      <c r="A200" s="176"/>
      <c r="B200" s="176"/>
      <c r="C200" s="176"/>
      <c r="D200" s="179"/>
      <c r="E200" s="177"/>
      <c r="F200" s="177"/>
      <c r="G200" s="26"/>
      <c r="H200" s="178"/>
      <c r="I200" s="178"/>
      <c r="J200" s="178"/>
      <c r="K200" s="178"/>
      <c r="L200" s="178"/>
      <c r="M200" s="178"/>
      <c r="N200" s="178"/>
      <c r="O200" s="178"/>
      <c r="P200" s="178"/>
      <c r="Q200" s="178"/>
      <c r="R200" s="178"/>
      <c r="S200" s="178"/>
      <c r="T200" s="178"/>
      <c r="U200" s="178"/>
      <c r="V200" s="178"/>
      <c r="W200" s="178"/>
      <c r="X200" s="178"/>
      <c r="Y200" s="178"/>
      <c r="Z200" s="178"/>
      <c r="AA200" s="178"/>
      <c r="AB200" s="178"/>
      <c r="AC200" s="178"/>
      <c r="AD200" s="178"/>
      <c r="AE200" s="178"/>
      <c r="AF200" s="178"/>
      <c r="AG200" s="178"/>
      <c r="AH200" s="40"/>
      <c r="AI200" s="40"/>
      <c r="AJ200" s="40"/>
      <c r="AK200" s="40"/>
      <c r="AL200" s="40"/>
      <c r="AM200" s="40"/>
      <c r="AN200" s="40"/>
      <c r="AO200" s="125"/>
      <c r="AP200" s="125"/>
      <c r="AQ200" s="126"/>
      <c r="AR200" s="126"/>
      <c r="AS200" s="128"/>
      <c r="AT200" s="128"/>
      <c r="AU200" s="128"/>
      <c r="AV200" s="134"/>
      <c r="AW200" s="134"/>
      <c r="AX200" s="134"/>
      <c r="AY200" s="134"/>
      <c r="AZ200" s="126"/>
      <c r="BA200" s="126"/>
      <c r="BB200" s="160"/>
      <c r="BC200" s="160"/>
      <c r="BD200" s="160"/>
      <c r="BE200" s="160"/>
      <c r="BF200" s="161"/>
    </row>
    <row r="201" customFormat="false" ht="14.1" hidden="true" customHeight="true" outlineLevel="1" collapsed="false">
      <c r="A201" s="129" t="s">
        <v>161</v>
      </c>
      <c r="B201" s="180" t="s">
        <v>162</v>
      </c>
      <c r="C201" s="180" t="s">
        <v>163</v>
      </c>
      <c r="D201" s="180" t="s">
        <v>118</v>
      </c>
      <c r="E201" s="181" t="s">
        <v>164</v>
      </c>
      <c r="F201" s="181" t="s">
        <v>165</v>
      </c>
      <c r="G201" s="26"/>
      <c r="H201" s="26"/>
      <c r="I201" s="26"/>
      <c r="J201" s="182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  <c r="AA201" s="26"/>
      <c r="AB201" s="26"/>
      <c r="AC201" s="26"/>
      <c r="AD201" s="26"/>
      <c r="AE201" s="26"/>
      <c r="AF201" s="26"/>
      <c r="AG201" s="26"/>
      <c r="AH201" s="35"/>
      <c r="AI201" s="35"/>
      <c r="AJ201" s="40"/>
      <c r="AK201" s="40"/>
      <c r="AL201" s="40"/>
      <c r="AM201" s="40"/>
      <c r="AN201" s="40"/>
      <c r="AO201" s="125"/>
      <c r="AP201" s="125"/>
      <c r="AQ201" s="126"/>
      <c r="AR201" s="126"/>
      <c r="AS201" s="128"/>
      <c r="AT201" s="128"/>
      <c r="AU201" s="128"/>
      <c r="AV201" s="134"/>
      <c r="AW201" s="134"/>
      <c r="AX201" s="134"/>
      <c r="AY201" s="134"/>
      <c r="AZ201" s="126"/>
      <c r="BA201" s="126"/>
      <c r="BB201" s="21"/>
      <c r="BC201" s="21"/>
      <c r="BD201" s="21"/>
      <c r="BE201" s="21"/>
    </row>
    <row r="202" customFormat="false" ht="14.1" hidden="true" customHeight="true" outlineLevel="1" collapsed="false">
      <c r="A202" s="183" t="s">
        <v>166</v>
      </c>
      <c r="B202" s="129" t="s">
        <v>15</v>
      </c>
      <c r="C202" s="184" t="n">
        <v>6</v>
      </c>
      <c r="D202" s="184" t="n">
        <v>2</v>
      </c>
      <c r="E202" s="185" t="n">
        <v>0</v>
      </c>
      <c r="F202" s="185" t="n">
        <v>0</v>
      </c>
      <c r="G202" s="26"/>
      <c r="H202" s="26"/>
      <c r="I202" s="26"/>
      <c r="J202" s="150"/>
      <c r="K202" s="150"/>
      <c r="L202" s="165"/>
      <c r="M202" s="150" t="s">
        <v>167</v>
      </c>
      <c r="N202" s="165"/>
      <c r="O202" s="186"/>
      <c r="P202" s="186"/>
      <c r="Q202" s="186"/>
      <c r="R202" s="186"/>
      <c r="S202" s="186"/>
      <c r="T202" s="186"/>
      <c r="U202" s="165"/>
      <c r="V202" s="165"/>
      <c r="W202" s="150" t="s">
        <v>168</v>
      </c>
      <c r="X202" s="165"/>
      <c r="Y202" s="165"/>
      <c r="Z202" s="150"/>
      <c r="AA202" s="150"/>
      <c r="AB202" s="150"/>
      <c r="AC202" s="150"/>
      <c r="AD202" s="150"/>
      <c r="AE202" s="150"/>
      <c r="AF202" s="150"/>
      <c r="AG202" s="150"/>
      <c r="AH202" s="40"/>
      <c r="AI202" s="35"/>
      <c r="AJ202" s="40"/>
      <c r="AK202" s="40"/>
      <c r="AL202" s="40"/>
      <c r="AM202" s="40"/>
      <c r="AN202" s="40"/>
      <c r="AO202" s="125"/>
      <c r="AP202" s="125"/>
      <c r="AQ202" s="126"/>
      <c r="AR202" s="126"/>
      <c r="AS202" s="128"/>
      <c r="AT202" s="128"/>
      <c r="AU202" s="128"/>
      <c r="AV202" s="134"/>
      <c r="AW202" s="134"/>
      <c r="AX202" s="134"/>
      <c r="AY202" s="134"/>
      <c r="AZ202" s="126"/>
      <c r="BA202" s="126"/>
      <c r="BB202" s="21"/>
      <c r="BC202" s="21"/>
      <c r="BD202" s="21"/>
      <c r="BE202" s="21"/>
    </row>
    <row r="203" customFormat="false" ht="14.1" hidden="true" customHeight="true" outlineLevel="1" collapsed="false">
      <c r="A203" s="183"/>
      <c r="B203" s="129" t="s">
        <v>15</v>
      </c>
      <c r="C203" s="184" t="n">
        <v>4</v>
      </c>
      <c r="D203" s="184" t="n">
        <v>1</v>
      </c>
      <c r="E203" s="185" t="n">
        <v>0</v>
      </c>
      <c r="F203" s="185" t="n">
        <v>0</v>
      </c>
      <c r="G203" s="26"/>
      <c r="H203" s="26"/>
      <c r="I203" s="26"/>
      <c r="J203" s="150"/>
      <c r="K203" s="26"/>
      <c r="L203" s="165"/>
      <c r="M203" s="150" t="s">
        <v>14</v>
      </c>
      <c r="N203" s="165"/>
      <c r="O203" s="165"/>
      <c r="P203" s="165"/>
      <c r="Q203" s="165"/>
      <c r="R203" s="165"/>
      <c r="S203" s="165"/>
      <c r="T203" s="165"/>
      <c r="U203" s="165"/>
      <c r="V203" s="165"/>
      <c r="W203" s="165"/>
      <c r="X203" s="165"/>
      <c r="Y203" s="150" t="s">
        <v>14</v>
      </c>
      <c r="Z203" s="187"/>
      <c r="AA203" s="187"/>
      <c r="AB203" s="187"/>
      <c r="AC203" s="187"/>
      <c r="AD203" s="26"/>
      <c r="AE203" s="187"/>
      <c r="AF203" s="187"/>
      <c r="AG203" s="187"/>
      <c r="AH203" s="188"/>
      <c r="AI203" s="35"/>
      <c r="AJ203" s="40"/>
      <c r="AK203" s="40"/>
      <c r="AL203" s="40"/>
      <c r="AM203" s="40"/>
      <c r="AN203" s="40"/>
      <c r="AO203" s="125"/>
      <c r="AP203" s="125"/>
      <c r="AQ203" s="126"/>
      <c r="AR203" s="126"/>
      <c r="AS203" s="128"/>
      <c r="AT203" s="128"/>
      <c r="AU203" s="128"/>
      <c r="AV203" s="134"/>
      <c r="AW203" s="134"/>
      <c r="AX203" s="134"/>
      <c r="AY203" s="134"/>
      <c r="AZ203" s="126"/>
      <c r="BA203" s="126"/>
      <c r="BB203" s="21"/>
      <c r="BC203" s="21"/>
      <c r="BD203" s="21"/>
      <c r="BE203" s="21"/>
    </row>
    <row r="204" customFormat="false" ht="14.1" hidden="true" customHeight="true" outlineLevel="1" collapsed="false">
      <c r="A204" s="183"/>
      <c r="B204" s="129" t="s">
        <v>15</v>
      </c>
      <c r="C204" s="184" t="n">
        <v>0</v>
      </c>
      <c r="D204" s="184" t="n">
        <v>0</v>
      </c>
      <c r="E204" s="185" t="n">
        <v>0</v>
      </c>
      <c r="F204" s="185" t="n">
        <v>0</v>
      </c>
      <c r="G204" s="26"/>
      <c r="H204" s="26"/>
      <c r="I204" s="26"/>
      <c r="J204" s="150"/>
      <c r="K204" s="150"/>
      <c r="L204" s="165"/>
      <c r="M204" s="165"/>
      <c r="N204" s="165"/>
      <c r="O204" s="165"/>
      <c r="P204" s="165"/>
      <c r="Q204" s="165"/>
      <c r="R204" s="165"/>
      <c r="S204" s="165"/>
      <c r="T204" s="165"/>
      <c r="U204" s="165"/>
      <c r="V204" s="165"/>
      <c r="W204" s="165"/>
      <c r="X204" s="165"/>
      <c r="Y204" s="165"/>
      <c r="Z204" s="187"/>
      <c r="AA204" s="187"/>
      <c r="AB204" s="187"/>
      <c r="AC204" s="187"/>
      <c r="AD204" s="187"/>
      <c r="AE204" s="187"/>
      <c r="AF204" s="187"/>
      <c r="AG204" s="187"/>
      <c r="AH204" s="188"/>
      <c r="AI204" s="40"/>
      <c r="AJ204" s="40"/>
      <c r="AK204" s="40"/>
      <c r="AL204" s="40"/>
      <c r="AM204" s="40"/>
      <c r="AN204" s="40"/>
      <c r="AO204" s="125"/>
      <c r="AP204" s="125"/>
      <c r="AQ204" s="126"/>
      <c r="AR204" s="126"/>
      <c r="AS204" s="128"/>
      <c r="AT204" s="128"/>
      <c r="AU204" s="128"/>
      <c r="AV204" s="134"/>
      <c r="AW204" s="134"/>
      <c r="AX204" s="134"/>
      <c r="AY204" s="134"/>
      <c r="AZ204" s="126"/>
      <c r="BA204" s="126"/>
      <c r="BB204" s="21"/>
      <c r="BC204" s="21"/>
      <c r="BD204" s="21"/>
      <c r="BE204" s="21"/>
    </row>
    <row r="205" customFormat="false" ht="14.1" hidden="true" customHeight="true" outlineLevel="1" collapsed="false">
      <c r="A205" s="183"/>
      <c r="B205" s="129" t="s">
        <v>15</v>
      </c>
      <c r="C205" s="184" t="n">
        <v>0</v>
      </c>
      <c r="D205" s="184" t="n">
        <v>0</v>
      </c>
      <c r="E205" s="185" t="n">
        <v>0</v>
      </c>
      <c r="F205" s="185" t="n">
        <v>0</v>
      </c>
      <c r="G205" s="26"/>
      <c r="H205" s="26"/>
      <c r="I205" s="26"/>
      <c r="J205" s="150"/>
      <c r="K205" s="150"/>
      <c r="L205" s="165"/>
      <c r="M205" s="165"/>
      <c r="N205" s="165"/>
      <c r="O205" s="165"/>
      <c r="P205" s="165"/>
      <c r="Q205" s="165"/>
      <c r="R205" s="165"/>
      <c r="S205" s="165"/>
      <c r="T205" s="165"/>
      <c r="U205" s="165"/>
      <c r="V205" s="165"/>
      <c r="W205" s="165"/>
      <c r="X205" s="165"/>
      <c r="Y205" s="165"/>
      <c r="Z205" s="187"/>
      <c r="AA205" s="187"/>
      <c r="AB205" s="187"/>
      <c r="AC205" s="187"/>
      <c r="AD205" s="187"/>
      <c r="AE205" s="187"/>
      <c r="AF205" s="187"/>
      <c r="AG205" s="187"/>
      <c r="AH205" s="188"/>
      <c r="AI205" s="40"/>
      <c r="AJ205" s="40"/>
      <c r="AK205" s="40"/>
      <c r="AL205" s="40"/>
      <c r="AM205" s="40"/>
      <c r="AN205" s="40"/>
      <c r="AO205" s="125"/>
      <c r="AP205" s="125"/>
      <c r="AQ205" s="126"/>
      <c r="AR205" s="126"/>
      <c r="AS205" s="128"/>
      <c r="AT205" s="128"/>
      <c r="AU205" s="128"/>
      <c r="AV205" s="134"/>
      <c r="AW205" s="134"/>
      <c r="AX205" s="134"/>
      <c r="AY205" s="134"/>
      <c r="AZ205" s="126"/>
      <c r="BA205" s="126"/>
      <c r="BB205" s="21"/>
      <c r="BC205" s="21"/>
      <c r="BD205" s="21"/>
      <c r="BE205" s="21"/>
    </row>
    <row r="206" customFormat="false" ht="14.1" hidden="true" customHeight="true" outlineLevel="1" collapsed="false">
      <c r="A206" s="189" t="s">
        <v>169</v>
      </c>
      <c r="B206" s="129" t="s">
        <v>15</v>
      </c>
      <c r="C206" s="184" t="n">
        <v>1.8</v>
      </c>
      <c r="D206" s="184" t="n">
        <v>1</v>
      </c>
      <c r="E206" s="185" t="n">
        <v>0</v>
      </c>
      <c r="F206" s="185" t="n">
        <v>0</v>
      </c>
      <c r="G206" s="26"/>
      <c r="H206" s="26"/>
      <c r="I206" s="26"/>
      <c r="J206" s="150"/>
      <c r="K206" s="150"/>
      <c r="L206" s="165"/>
      <c r="M206" s="165"/>
      <c r="N206" s="165"/>
      <c r="O206" s="165"/>
      <c r="P206" s="165"/>
      <c r="Q206" s="165"/>
      <c r="R206" s="165"/>
      <c r="S206" s="165"/>
      <c r="T206" s="165"/>
      <c r="U206" s="165"/>
      <c r="V206" s="165"/>
      <c r="W206" s="165"/>
      <c r="X206" s="165"/>
      <c r="Y206" s="165"/>
      <c r="Z206" s="187"/>
      <c r="AA206" s="187"/>
      <c r="AB206" s="187"/>
      <c r="AC206" s="187"/>
      <c r="AD206" s="187"/>
      <c r="AE206" s="187"/>
      <c r="AF206" s="187"/>
      <c r="AG206" s="187"/>
      <c r="AH206" s="188"/>
      <c r="AI206" s="40"/>
      <c r="AJ206" s="40"/>
      <c r="AK206" s="40"/>
      <c r="AL206" s="40"/>
      <c r="AM206" s="40"/>
      <c r="AN206" s="40"/>
      <c r="AO206" s="125"/>
      <c r="AP206" s="125"/>
      <c r="AQ206" s="126"/>
      <c r="AR206" s="126"/>
      <c r="AS206" s="128"/>
      <c r="AT206" s="128"/>
      <c r="AU206" s="128"/>
      <c r="AV206" s="134"/>
      <c r="AW206" s="134"/>
      <c r="AX206" s="134"/>
      <c r="AY206" s="134"/>
      <c r="AZ206" s="126"/>
      <c r="BA206" s="126"/>
      <c r="BB206" s="21"/>
      <c r="BC206" s="21"/>
      <c r="BD206" s="21"/>
      <c r="BE206" s="21"/>
    </row>
    <row r="207" customFormat="false" ht="14.1" hidden="true" customHeight="true" outlineLevel="1" collapsed="false">
      <c r="A207" s="189"/>
      <c r="B207" s="129" t="s">
        <v>15</v>
      </c>
      <c r="C207" s="184" t="n">
        <v>0</v>
      </c>
      <c r="D207" s="184" t="n">
        <v>0</v>
      </c>
      <c r="E207" s="185" t="n">
        <v>0</v>
      </c>
      <c r="F207" s="185" t="n">
        <v>0</v>
      </c>
      <c r="G207" s="26"/>
      <c r="H207" s="26"/>
      <c r="I207" s="26"/>
      <c r="J207" s="150"/>
      <c r="K207" s="150"/>
      <c r="L207" s="165"/>
      <c r="M207" s="165"/>
      <c r="N207" s="165"/>
      <c r="O207" s="165"/>
      <c r="P207" s="165"/>
      <c r="Q207" s="165"/>
      <c r="R207" s="165"/>
      <c r="S207" s="165"/>
      <c r="T207" s="165"/>
      <c r="U207" s="165"/>
      <c r="V207" s="165"/>
      <c r="W207" s="165"/>
      <c r="X207" s="165"/>
      <c r="Y207" s="165"/>
      <c r="Z207" s="150"/>
      <c r="AA207" s="150"/>
      <c r="AB207" s="150"/>
      <c r="AC207" s="150"/>
      <c r="AD207" s="150"/>
      <c r="AE207" s="150"/>
      <c r="AF207" s="150"/>
      <c r="AG207" s="150"/>
      <c r="AH207" s="40"/>
      <c r="AI207" s="40"/>
      <c r="AJ207" s="40"/>
      <c r="AK207" s="40"/>
      <c r="AL207" s="40"/>
      <c r="AM207" s="35"/>
      <c r="AN207" s="35"/>
      <c r="AO207" s="125"/>
      <c r="AP207" s="125"/>
      <c r="AQ207" s="126"/>
      <c r="AR207" s="126"/>
      <c r="AS207" s="128"/>
      <c r="AT207" s="128"/>
      <c r="AU207" s="128"/>
      <c r="AV207" s="134"/>
      <c r="AW207" s="134"/>
      <c r="AX207" s="134"/>
      <c r="AY207" s="134"/>
      <c r="AZ207" s="126"/>
      <c r="BA207" s="126"/>
      <c r="BB207" s="21"/>
      <c r="BC207" s="21"/>
      <c r="BD207" s="21"/>
      <c r="BE207" s="21"/>
    </row>
    <row r="208" customFormat="false" ht="14.1" hidden="true" customHeight="true" outlineLevel="1" collapsed="false">
      <c r="A208" s="189"/>
      <c r="B208" s="129" t="s">
        <v>15</v>
      </c>
      <c r="C208" s="184" t="n">
        <v>0</v>
      </c>
      <c r="D208" s="184" t="n">
        <v>0</v>
      </c>
      <c r="E208" s="185" t="n">
        <v>0</v>
      </c>
      <c r="F208" s="185" t="n">
        <v>0</v>
      </c>
      <c r="G208" s="26"/>
      <c r="H208" s="26"/>
      <c r="I208" s="26"/>
      <c r="J208" s="150"/>
      <c r="K208" s="150"/>
      <c r="L208" s="165"/>
      <c r="M208" s="165"/>
      <c r="N208" s="165"/>
      <c r="O208" s="165"/>
      <c r="P208" s="165"/>
      <c r="Q208" s="165"/>
      <c r="R208" s="165"/>
      <c r="S208" s="165"/>
      <c r="T208" s="165"/>
      <c r="U208" s="165"/>
      <c r="V208" s="165"/>
      <c r="W208" s="165"/>
      <c r="X208" s="165"/>
      <c r="Y208" s="165"/>
      <c r="Z208" s="150"/>
      <c r="AA208" s="190"/>
      <c r="AB208" s="190"/>
      <c r="AC208" s="190"/>
      <c r="AD208" s="186"/>
      <c r="AE208" s="186"/>
      <c r="AF208" s="186"/>
      <c r="AG208" s="186"/>
      <c r="AH208" s="52"/>
      <c r="AI208" s="40"/>
      <c r="AJ208" s="40"/>
      <c r="AK208" s="40"/>
      <c r="AL208" s="40"/>
      <c r="AM208" s="35"/>
      <c r="AN208" s="35"/>
      <c r="AO208" s="191"/>
      <c r="AP208" s="191"/>
      <c r="AQ208" s="192"/>
      <c r="AR208" s="192"/>
      <c r="AS208" s="192"/>
      <c r="AT208" s="126"/>
      <c r="AU208" s="126"/>
      <c r="AV208" s="126"/>
      <c r="AW208" s="126"/>
      <c r="AX208" s="126"/>
      <c r="AY208" s="126"/>
      <c r="AZ208" s="126"/>
      <c r="BA208" s="126"/>
      <c r="BB208" s="21"/>
      <c r="BC208" s="21"/>
      <c r="BD208" s="21"/>
      <c r="BE208" s="21"/>
    </row>
    <row r="209" customFormat="false" ht="14.1" hidden="true" customHeight="true" outlineLevel="1" collapsed="false">
      <c r="A209" s="189"/>
      <c r="B209" s="129" t="s">
        <v>15</v>
      </c>
      <c r="C209" s="184" t="n">
        <v>0</v>
      </c>
      <c r="D209" s="184" t="n">
        <v>0</v>
      </c>
      <c r="E209" s="185" t="n">
        <v>0</v>
      </c>
      <c r="F209" s="185" t="n">
        <v>0</v>
      </c>
      <c r="G209" s="26"/>
      <c r="H209" s="26"/>
      <c r="I209" s="26"/>
      <c r="J209" s="150"/>
      <c r="K209" s="150"/>
      <c r="L209" s="165"/>
      <c r="M209" s="165"/>
      <c r="N209" s="165"/>
      <c r="O209" s="165"/>
      <c r="P209" s="165"/>
      <c r="Q209" s="165"/>
      <c r="R209" s="165"/>
      <c r="S209" s="165"/>
      <c r="T209" s="165"/>
      <c r="U209" s="165"/>
      <c r="V209" s="165"/>
      <c r="W209" s="165"/>
      <c r="X209" s="165"/>
      <c r="Y209" s="165"/>
      <c r="Z209" s="150"/>
      <c r="AA209" s="150"/>
      <c r="AB209" s="150"/>
      <c r="AC209" s="150"/>
      <c r="AD209" s="150"/>
      <c r="AE209" s="150"/>
      <c r="AF209" s="150"/>
      <c r="AG209" s="150"/>
      <c r="AH209" s="193"/>
      <c r="AI209" s="188"/>
      <c r="AJ209" s="188"/>
      <c r="AK209" s="188"/>
      <c r="AL209" s="40"/>
      <c r="AM209" s="35"/>
      <c r="AN209" s="35"/>
      <c r="AO209" s="191"/>
      <c r="AP209" s="191"/>
      <c r="AQ209" s="192"/>
      <c r="AR209" s="192"/>
      <c r="AS209" s="192"/>
      <c r="AT209" s="126"/>
      <c r="AU209" s="126"/>
      <c r="AV209" s="126"/>
      <c r="AW209" s="126"/>
      <c r="AX209" s="126"/>
      <c r="AY209" s="126"/>
      <c r="AZ209" s="126"/>
      <c r="BA209" s="126"/>
      <c r="BB209" s="21"/>
      <c r="BC209" s="21"/>
      <c r="BD209" s="21"/>
      <c r="BE209" s="21"/>
    </row>
    <row r="210" customFormat="false" ht="14.1" hidden="true" customHeight="true" outlineLevel="1" collapsed="false">
      <c r="A210" s="183" t="s">
        <v>170</v>
      </c>
      <c r="B210" s="129" t="s">
        <v>15</v>
      </c>
      <c r="C210" s="184" t="n">
        <v>0</v>
      </c>
      <c r="D210" s="184" t="n">
        <v>0</v>
      </c>
      <c r="E210" s="194"/>
      <c r="F210" s="185" t="n">
        <v>0</v>
      </c>
      <c r="G210" s="26"/>
      <c r="H210" s="26"/>
      <c r="I210" s="26"/>
      <c r="J210" s="150"/>
      <c r="K210" s="150"/>
      <c r="L210" s="165"/>
      <c r="M210" s="165"/>
      <c r="N210" s="165"/>
      <c r="O210" s="165"/>
      <c r="P210" s="165"/>
      <c r="Q210" s="165"/>
      <c r="R210" s="165"/>
      <c r="S210" s="165"/>
      <c r="T210" s="165"/>
      <c r="U210" s="165"/>
      <c r="V210" s="165"/>
      <c r="W210" s="165"/>
      <c r="X210" s="165"/>
      <c r="Y210" s="165"/>
      <c r="Z210" s="150"/>
      <c r="AA210" s="165"/>
      <c r="AB210" s="165"/>
      <c r="AC210" s="165"/>
      <c r="AD210" s="165"/>
      <c r="AE210" s="165"/>
      <c r="AF210" s="165"/>
      <c r="AG210" s="165"/>
      <c r="AH210" s="52"/>
      <c r="AI210" s="188"/>
      <c r="AJ210" s="188"/>
      <c r="AK210" s="188"/>
      <c r="AL210" s="40"/>
      <c r="AM210" s="35"/>
      <c r="AN210" s="35"/>
      <c r="AO210" s="191"/>
      <c r="AP210" s="191"/>
      <c r="AQ210" s="192"/>
      <c r="AR210" s="192"/>
      <c r="AS210" s="192"/>
      <c r="AT210" s="126"/>
      <c r="AU210" s="126"/>
      <c r="AV210" s="126"/>
      <c r="AW210" s="126"/>
      <c r="AX210" s="126"/>
      <c r="AY210" s="126"/>
      <c r="AZ210" s="126"/>
      <c r="BA210" s="126"/>
      <c r="BB210" s="21"/>
      <c r="BC210" s="21"/>
      <c r="BD210" s="21"/>
      <c r="BE210" s="21"/>
    </row>
    <row r="211" customFormat="false" ht="14.1" hidden="true" customHeight="true" outlineLevel="1" collapsed="false">
      <c r="A211" s="183"/>
      <c r="B211" s="129" t="s">
        <v>15</v>
      </c>
      <c r="C211" s="184" t="n">
        <v>0</v>
      </c>
      <c r="D211" s="184" t="n">
        <v>0</v>
      </c>
      <c r="E211" s="194"/>
      <c r="F211" s="185" t="n">
        <v>0</v>
      </c>
      <c r="G211" s="26"/>
      <c r="H211" s="26"/>
      <c r="I211" s="26"/>
      <c r="J211" s="150"/>
      <c r="K211" s="150"/>
      <c r="L211" s="165"/>
      <c r="M211" s="165"/>
      <c r="N211" s="165"/>
      <c r="O211" s="165"/>
      <c r="P211" s="165"/>
      <c r="Q211" s="165"/>
      <c r="R211" s="26"/>
      <c r="S211" s="165"/>
      <c r="T211" s="165"/>
      <c r="U211" s="186" t="s">
        <v>171</v>
      </c>
      <c r="V211" s="165"/>
      <c r="W211" s="165"/>
      <c r="X211" s="165"/>
      <c r="Y211" s="165"/>
      <c r="Z211" s="150"/>
      <c r="AA211" s="165"/>
      <c r="AB211" s="165"/>
      <c r="AC211" s="165"/>
      <c r="AD211" s="165"/>
      <c r="AE211" s="165"/>
      <c r="AF211" s="165"/>
      <c r="AG211" s="165"/>
      <c r="AH211" s="52"/>
      <c r="AI211" s="188"/>
      <c r="AJ211" s="188"/>
      <c r="AK211" s="188"/>
      <c r="AL211" s="193"/>
      <c r="AM211" s="35"/>
      <c r="AN211" s="35"/>
      <c r="AO211" s="191"/>
      <c r="AP211" s="191"/>
      <c r="AQ211" s="192"/>
      <c r="AR211" s="192"/>
      <c r="AS211" s="192"/>
      <c r="AT211" s="126"/>
      <c r="AU211" s="126"/>
      <c r="AV211" s="126"/>
      <c r="AW211" s="126"/>
      <c r="AX211" s="126"/>
      <c r="AY211" s="126"/>
      <c r="AZ211" s="126"/>
      <c r="BA211" s="126"/>
      <c r="BB211" s="21"/>
      <c r="BC211" s="21"/>
      <c r="BD211" s="21"/>
      <c r="BE211" s="21"/>
    </row>
    <row r="212" customFormat="false" ht="14.1" hidden="true" customHeight="true" outlineLevel="1" collapsed="false">
      <c r="A212" s="183"/>
      <c r="B212" s="129" t="s">
        <v>15</v>
      </c>
      <c r="C212" s="184" t="n">
        <v>0</v>
      </c>
      <c r="D212" s="184" t="n">
        <v>0</v>
      </c>
      <c r="E212" s="194"/>
      <c r="F212" s="185" t="n">
        <v>0</v>
      </c>
      <c r="G212" s="26"/>
      <c r="H212" s="26"/>
      <c r="I212" s="26"/>
      <c r="J212" s="150"/>
      <c r="K212" s="150"/>
      <c r="L212" s="165"/>
      <c r="M212" s="165"/>
      <c r="N212" s="165"/>
      <c r="O212" s="165"/>
      <c r="P212" s="165"/>
      <c r="Q212" s="165"/>
      <c r="R212" s="165"/>
      <c r="S212" s="165"/>
      <c r="T212" s="165"/>
      <c r="U212" s="165"/>
      <c r="V212" s="165"/>
      <c r="W212" s="165"/>
      <c r="X212" s="165"/>
      <c r="Y212" s="165"/>
      <c r="Z212" s="150"/>
      <c r="AA212" s="165"/>
      <c r="AB212" s="165"/>
      <c r="AC212" s="165"/>
      <c r="AD212" s="165"/>
      <c r="AE212" s="165"/>
      <c r="AF212" s="165"/>
      <c r="AG212" s="165"/>
      <c r="AH212" s="52"/>
      <c r="AI212" s="188"/>
      <c r="AJ212" s="188"/>
      <c r="AK212" s="188"/>
      <c r="AL212" s="40"/>
      <c r="AM212" s="35"/>
      <c r="AN212" s="35"/>
      <c r="AO212" s="125"/>
      <c r="AP212" s="125"/>
      <c r="AQ212" s="126"/>
      <c r="AR212" s="126"/>
      <c r="AS212" s="192"/>
      <c r="AT212" s="126"/>
      <c r="AU212" s="126"/>
      <c r="AV212" s="126"/>
      <c r="AW212" s="126"/>
      <c r="AX212" s="126"/>
      <c r="AY212" s="126"/>
      <c r="AZ212" s="126"/>
      <c r="BA212" s="126"/>
      <c r="BB212" s="21"/>
      <c r="BC212" s="21"/>
      <c r="BD212" s="21"/>
      <c r="BE212" s="21"/>
    </row>
    <row r="213" customFormat="false" ht="14.1" hidden="true" customHeight="true" outlineLevel="1" collapsed="false">
      <c r="A213" s="183"/>
      <c r="B213" s="129" t="s">
        <v>15</v>
      </c>
      <c r="C213" s="184" t="n">
        <v>0</v>
      </c>
      <c r="D213" s="184" t="n">
        <v>0</v>
      </c>
      <c r="E213" s="194"/>
      <c r="F213" s="185" t="n">
        <v>0</v>
      </c>
      <c r="G213" s="26"/>
      <c r="H213" s="26"/>
      <c r="I213" s="26"/>
      <c r="J213" s="150"/>
      <c r="K213" s="150"/>
      <c r="L213" s="165"/>
      <c r="M213" s="165"/>
      <c r="N213" s="165"/>
      <c r="O213" s="165"/>
      <c r="P213" s="165"/>
      <c r="Q213" s="165"/>
      <c r="R213" s="165"/>
      <c r="S213" s="165"/>
      <c r="T213" s="165"/>
      <c r="U213" s="165"/>
      <c r="V213" s="165"/>
      <c r="W213" s="165"/>
      <c r="X213" s="165"/>
      <c r="Y213" s="165"/>
      <c r="Z213" s="150"/>
      <c r="AA213" s="165"/>
      <c r="AB213" s="165"/>
      <c r="AC213" s="165"/>
      <c r="AD213" s="165"/>
      <c r="AE213" s="165"/>
      <c r="AF213" s="165"/>
      <c r="AG213" s="165"/>
      <c r="AH213" s="52"/>
      <c r="AI213" s="40"/>
      <c r="AJ213" s="40"/>
      <c r="AK213" s="40"/>
      <c r="AL213" s="40"/>
      <c r="AM213" s="35"/>
      <c r="AN213" s="35"/>
      <c r="AO213" s="125"/>
      <c r="AP213" s="125"/>
      <c r="AQ213" s="126"/>
      <c r="AR213" s="126"/>
      <c r="AS213" s="126"/>
      <c r="AT213" s="126"/>
      <c r="AU213" s="126"/>
      <c r="AV213" s="126"/>
      <c r="AW213" s="126"/>
      <c r="AX213" s="126"/>
      <c r="AY213" s="126"/>
      <c r="AZ213" s="126"/>
      <c r="BA213" s="126"/>
      <c r="BB213" s="21"/>
      <c r="BC213" s="21"/>
      <c r="BD213" s="21"/>
      <c r="BE213" s="21"/>
    </row>
    <row r="214" customFormat="false" ht="14.1" hidden="true" customHeight="true" outlineLevel="1" collapsed="false">
      <c r="A214" s="189" t="s">
        <v>172</v>
      </c>
      <c r="B214" s="129" t="s">
        <v>15</v>
      </c>
      <c r="C214" s="184" t="n">
        <v>3</v>
      </c>
      <c r="D214" s="184" t="n">
        <v>2</v>
      </c>
      <c r="E214" s="194"/>
      <c r="F214" s="185" t="n">
        <v>0</v>
      </c>
      <c r="G214" s="26"/>
      <c r="H214" s="26"/>
      <c r="I214" s="26"/>
      <c r="J214" s="150"/>
      <c r="K214" s="150"/>
      <c r="L214" s="165"/>
      <c r="M214" s="165"/>
      <c r="N214" s="165"/>
      <c r="O214" s="165"/>
      <c r="P214" s="165"/>
      <c r="Q214" s="165"/>
      <c r="R214" s="165"/>
      <c r="S214" s="165"/>
      <c r="T214" s="165"/>
      <c r="U214" s="165"/>
      <c r="V214" s="165"/>
      <c r="W214" s="165"/>
      <c r="X214" s="165"/>
      <c r="Y214" s="165"/>
      <c r="Z214" s="150"/>
      <c r="AA214" s="165"/>
      <c r="AB214" s="165"/>
      <c r="AC214" s="165"/>
      <c r="AD214" s="165"/>
      <c r="AE214" s="165"/>
      <c r="AF214" s="165"/>
      <c r="AG214" s="165"/>
      <c r="AH214" s="52"/>
      <c r="AI214" s="52"/>
      <c r="AJ214" s="52"/>
      <c r="AK214" s="52"/>
      <c r="AL214" s="52"/>
      <c r="AM214" s="35"/>
      <c r="AN214" s="35"/>
      <c r="AO214" s="195"/>
      <c r="AP214" s="125"/>
      <c r="AQ214" s="192"/>
      <c r="AR214" s="192"/>
      <c r="AS214" s="192"/>
      <c r="AT214" s="126"/>
      <c r="AU214" s="126"/>
      <c r="AV214" s="126"/>
      <c r="AW214" s="126"/>
      <c r="AX214" s="126"/>
      <c r="AY214" s="126"/>
      <c r="AZ214" s="126"/>
      <c r="BA214" s="126"/>
      <c r="BB214" s="21"/>
      <c r="BC214" s="21"/>
      <c r="BD214" s="21"/>
      <c r="BE214" s="21"/>
    </row>
    <row r="215" customFormat="false" ht="14.1" hidden="true" customHeight="true" outlineLevel="1" collapsed="false">
      <c r="A215" s="189"/>
      <c r="B215" s="129" t="s">
        <v>15</v>
      </c>
      <c r="C215" s="184" t="n">
        <v>0</v>
      </c>
      <c r="D215" s="184" t="n">
        <v>0</v>
      </c>
      <c r="E215" s="194"/>
      <c r="F215" s="185" t="n">
        <v>0</v>
      </c>
      <c r="G215" s="26"/>
      <c r="H215" s="26"/>
      <c r="I215" s="26"/>
      <c r="J215" s="150"/>
      <c r="K215" s="150"/>
      <c r="L215" s="165"/>
      <c r="M215" s="165"/>
      <c r="N215" s="165"/>
      <c r="O215" s="165"/>
      <c r="P215" s="165"/>
      <c r="Q215" s="165"/>
      <c r="R215" s="165"/>
      <c r="S215" s="165"/>
      <c r="T215" s="165"/>
      <c r="U215" s="165"/>
      <c r="V215" s="165"/>
      <c r="W215" s="165"/>
      <c r="X215" s="165"/>
      <c r="Y215" s="165"/>
      <c r="Z215" s="150"/>
      <c r="AA215" s="165"/>
      <c r="AB215" s="165"/>
      <c r="AC215" s="165"/>
      <c r="AD215" s="165"/>
      <c r="AE215" s="165"/>
      <c r="AF215" s="165"/>
      <c r="AG215" s="165"/>
      <c r="AH215" s="52"/>
      <c r="AI215" s="193"/>
      <c r="AJ215" s="193"/>
      <c r="AK215" s="193"/>
      <c r="AL215" s="193"/>
      <c r="AM215" s="35"/>
      <c r="AN215" s="35"/>
      <c r="AO215" s="191"/>
      <c r="AP215" s="191"/>
      <c r="AQ215" s="126"/>
      <c r="AR215" s="126"/>
      <c r="AS215" s="126"/>
      <c r="AT215" s="126"/>
      <c r="AU215" s="126"/>
      <c r="AV215" s="126"/>
      <c r="AW215" s="106"/>
      <c r="AX215" s="126"/>
      <c r="AY215" s="126"/>
      <c r="AZ215" s="126"/>
      <c r="BA215" s="126"/>
      <c r="BB215" s="21"/>
      <c r="BC215" s="21"/>
      <c r="BD215" s="21"/>
      <c r="BE215" s="21"/>
    </row>
    <row r="216" customFormat="false" ht="14.1" hidden="true" customHeight="true" outlineLevel="1" collapsed="false">
      <c r="A216" s="189"/>
      <c r="B216" s="129" t="s">
        <v>15</v>
      </c>
      <c r="C216" s="184" t="n">
        <v>0</v>
      </c>
      <c r="D216" s="184" t="n">
        <v>0</v>
      </c>
      <c r="E216" s="194"/>
      <c r="F216" s="185" t="n">
        <v>0</v>
      </c>
      <c r="G216" s="26"/>
      <c r="H216" s="26"/>
      <c r="I216" s="26"/>
      <c r="J216" s="150"/>
      <c r="K216" s="150"/>
      <c r="L216" s="165"/>
      <c r="M216" s="165"/>
      <c r="N216" s="165"/>
      <c r="O216" s="165"/>
      <c r="P216" s="165"/>
      <c r="Q216" s="165"/>
      <c r="R216" s="165"/>
      <c r="S216" s="165"/>
      <c r="T216" s="165"/>
      <c r="U216" s="165"/>
      <c r="V216" s="165"/>
      <c r="W216" s="165"/>
      <c r="X216" s="165"/>
      <c r="Y216" s="165"/>
      <c r="Z216" s="150"/>
      <c r="AA216" s="165"/>
      <c r="AB216" s="165"/>
      <c r="AC216" s="165"/>
      <c r="AD216" s="165"/>
      <c r="AE216" s="165"/>
      <c r="AF216" s="165"/>
      <c r="AG216" s="165"/>
      <c r="AH216" s="52"/>
      <c r="AI216" s="52"/>
      <c r="AJ216" s="52"/>
      <c r="AK216" s="52"/>
      <c r="AL216" s="52"/>
      <c r="AM216" s="35"/>
      <c r="AN216" s="35"/>
      <c r="AO216" s="195"/>
      <c r="AP216" s="191"/>
      <c r="AQ216" s="106"/>
      <c r="AR216" s="106"/>
      <c r="AS216" s="106"/>
      <c r="AT216" s="106"/>
      <c r="AU216" s="106"/>
      <c r="AV216" s="106"/>
      <c r="AW216" s="106"/>
      <c r="AX216" s="126"/>
      <c r="AY216" s="126"/>
      <c r="AZ216" s="126"/>
      <c r="BA216" s="126"/>
      <c r="BB216" s="21"/>
      <c r="BC216" s="21"/>
      <c r="BD216" s="21"/>
      <c r="BE216" s="21"/>
    </row>
    <row r="217" customFormat="false" ht="14.1" hidden="true" customHeight="true" outlineLevel="1" collapsed="false">
      <c r="A217" s="189"/>
      <c r="B217" s="129" t="s">
        <v>15</v>
      </c>
      <c r="C217" s="184" t="n">
        <v>0</v>
      </c>
      <c r="D217" s="184" t="n">
        <v>0</v>
      </c>
      <c r="E217" s="196"/>
      <c r="F217" s="197" t="n">
        <v>0</v>
      </c>
      <c r="G217" s="26"/>
      <c r="H217" s="26"/>
      <c r="I217" s="26"/>
      <c r="J217" s="150"/>
      <c r="K217" s="150"/>
      <c r="L217" s="165"/>
      <c r="M217" s="165"/>
      <c r="N217" s="165"/>
      <c r="O217" s="165"/>
      <c r="P217" s="165"/>
      <c r="Q217" s="165"/>
      <c r="R217" s="165"/>
      <c r="S217" s="165"/>
      <c r="T217" s="165"/>
      <c r="U217" s="165"/>
      <c r="V217" s="165"/>
      <c r="W217" s="165"/>
      <c r="X217" s="165"/>
      <c r="Y217" s="165"/>
      <c r="Z217" s="150"/>
      <c r="AA217" s="165"/>
      <c r="AB217" s="165"/>
      <c r="AC217" s="165"/>
      <c r="AD217" s="165"/>
      <c r="AE217" s="165"/>
      <c r="AF217" s="165"/>
      <c r="AG217" s="165"/>
      <c r="AH217" s="52"/>
      <c r="AI217" s="52"/>
      <c r="AJ217" s="52"/>
      <c r="AK217" s="52"/>
      <c r="AL217" s="52"/>
      <c r="AM217" s="35"/>
      <c r="AN217" s="35"/>
      <c r="AO217" s="195"/>
      <c r="AP217" s="195"/>
      <c r="AQ217" s="106"/>
      <c r="AR217" s="106"/>
      <c r="AS217" s="106"/>
      <c r="AT217" s="106"/>
      <c r="AU217" s="106"/>
      <c r="AV217" s="106"/>
      <c r="AW217" s="106"/>
      <c r="AX217" s="126"/>
      <c r="AY217" s="126"/>
      <c r="AZ217" s="126"/>
      <c r="BA217" s="126"/>
      <c r="BB217" s="21"/>
      <c r="BC217" s="21"/>
      <c r="BD217" s="21"/>
      <c r="BE217" s="21"/>
    </row>
    <row r="218" customFormat="false" ht="14.1" hidden="true" customHeight="true" outlineLevel="1" collapsed="false">
      <c r="A218" s="198" t="s">
        <v>173</v>
      </c>
      <c r="B218" s="129" t="s">
        <v>15</v>
      </c>
      <c r="C218" s="184" t="n">
        <v>3.5</v>
      </c>
      <c r="D218" s="184" t="n">
        <v>1</v>
      </c>
      <c r="E218" s="199" t="n">
        <v>1.1</v>
      </c>
      <c r="F218" s="199" t="n">
        <v>2.2</v>
      </c>
      <c r="G218" s="26"/>
      <c r="H218" s="26"/>
      <c r="I218" s="26"/>
      <c r="J218" s="150"/>
      <c r="K218" s="150"/>
      <c r="L218" s="26"/>
      <c r="M218" s="165"/>
      <c r="N218" s="165"/>
      <c r="O218" s="165"/>
      <c r="P218" s="200" t="s">
        <v>174</v>
      </c>
      <c r="Q218" s="165"/>
      <c r="R218" s="26"/>
      <c r="S218" s="165"/>
      <c r="T218" s="165"/>
      <c r="U218" s="165"/>
      <c r="V218" s="26"/>
      <c r="W218" s="26"/>
      <c r="X218" s="165"/>
      <c r="Y218" s="165"/>
      <c r="Z218" s="150"/>
      <c r="AA218" s="200" t="s">
        <v>174</v>
      </c>
      <c r="AB218" s="165"/>
      <c r="AC218" s="165"/>
      <c r="AD218" s="165"/>
      <c r="AE218" s="165"/>
      <c r="AF218" s="165"/>
      <c r="AG218" s="165"/>
      <c r="AH218" s="52"/>
      <c r="AI218" s="52"/>
      <c r="AJ218" s="52"/>
      <c r="AK218" s="52"/>
      <c r="AL218" s="52"/>
      <c r="AM218" s="35"/>
      <c r="AN218" s="35"/>
      <c r="AO218" s="195"/>
      <c r="AP218" s="195"/>
      <c r="AQ218" s="106"/>
      <c r="AR218" s="106"/>
      <c r="AS218" s="106"/>
      <c r="AT218" s="106"/>
      <c r="AU218" s="106"/>
      <c r="AV218" s="106"/>
      <c r="AW218" s="106"/>
      <c r="AX218" s="126"/>
      <c r="AY218" s="126"/>
      <c r="AZ218" s="126"/>
      <c r="BA218" s="126"/>
      <c r="BB218" s="21"/>
      <c r="BC218" s="21"/>
      <c r="BD218" s="21"/>
      <c r="BE218" s="21"/>
    </row>
    <row r="219" customFormat="false" ht="14.1" hidden="true" customHeight="true" outlineLevel="1" collapsed="false">
      <c r="A219" s="198"/>
      <c r="B219" s="129" t="s">
        <v>15</v>
      </c>
      <c r="C219" s="184" t="n">
        <v>0</v>
      </c>
      <c r="D219" s="184" t="n">
        <v>0</v>
      </c>
      <c r="E219" s="199" t="n">
        <v>0</v>
      </c>
      <c r="F219" s="199" t="n">
        <v>0</v>
      </c>
      <c r="G219" s="26"/>
      <c r="H219" s="26"/>
      <c r="I219" s="26"/>
      <c r="J219" s="150"/>
      <c r="K219" s="26"/>
      <c r="L219" s="26"/>
      <c r="M219" s="165"/>
      <c r="N219" s="165"/>
      <c r="O219" s="165"/>
      <c r="P219" s="165"/>
      <c r="Q219" s="165"/>
      <c r="R219" s="165"/>
      <c r="S219" s="165"/>
      <c r="T219" s="165"/>
      <c r="U219" s="165"/>
      <c r="V219" s="150"/>
      <c r="W219" s="150"/>
      <c r="X219" s="165"/>
      <c r="Y219" s="165"/>
      <c r="Z219" s="165"/>
      <c r="AA219" s="165"/>
      <c r="AB219" s="165"/>
      <c r="AC219" s="165"/>
      <c r="AD219" s="165"/>
      <c r="AE219" s="165"/>
      <c r="AF219" s="165"/>
      <c r="AG219" s="26"/>
      <c r="AH219" s="35"/>
      <c r="AI219" s="52"/>
      <c r="AJ219" s="52"/>
      <c r="AK219" s="52"/>
      <c r="AL219" s="52"/>
      <c r="AM219" s="35"/>
      <c r="AN219" s="35"/>
      <c r="AO219" s="195"/>
      <c r="AP219" s="195"/>
      <c r="AQ219" s="106"/>
      <c r="AR219" s="106"/>
      <c r="AS219" s="106"/>
      <c r="AT219" s="106"/>
      <c r="AU219" s="106"/>
      <c r="AV219" s="106"/>
      <c r="AW219" s="106"/>
      <c r="AX219" s="126"/>
      <c r="AY219" s="126"/>
      <c r="AZ219" s="126"/>
      <c r="BA219" s="126"/>
      <c r="BB219" s="21"/>
      <c r="BC219" s="21"/>
      <c r="BD219" s="21"/>
      <c r="BE219" s="21"/>
    </row>
    <row r="220" customFormat="false" ht="14.1" hidden="true" customHeight="true" outlineLevel="1" collapsed="false">
      <c r="A220" s="198"/>
      <c r="B220" s="129" t="s">
        <v>15</v>
      </c>
      <c r="C220" s="184" t="n">
        <v>0</v>
      </c>
      <c r="D220" s="184" t="n">
        <v>0</v>
      </c>
      <c r="E220" s="199" t="n">
        <v>0</v>
      </c>
      <c r="F220" s="199" t="n">
        <v>0</v>
      </c>
      <c r="G220" s="26"/>
      <c r="H220" s="26"/>
      <c r="I220" s="26"/>
      <c r="J220" s="201"/>
      <c r="K220" s="201"/>
      <c r="L220" s="201"/>
      <c r="M220" s="201"/>
      <c r="N220" s="165"/>
      <c r="O220" s="165"/>
      <c r="P220" s="165"/>
      <c r="Q220" s="165"/>
      <c r="R220" s="165"/>
      <c r="S220" s="165"/>
      <c r="T220" s="165"/>
      <c r="U220" s="165"/>
      <c r="V220" s="150"/>
      <c r="W220" s="150"/>
      <c r="X220" s="165"/>
      <c r="Y220" s="165"/>
      <c r="Z220" s="165"/>
      <c r="AA220" s="165"/>
      <c r="AB220" s="165"/>
      <c r="AC220" s="165"/>
      <c r="AD220" s="165"/>
      <c r="AE220" s="165"/>
      <c r="AF220" s="165"/>
      <c r="AG220" s="26"/>
      <c r="AH220" s="35"/>
      <c r="AI220" s="52"/>
      <c r="AJ220" s="52"/>
      <c r="AK220" s="52"/>
      <c r="AL220" s="52"/>
      <c r="AM220" s="35"/>
      <c r="AN220" s="35"/>
      <c r="AO220" s="195"/>
      <c r="AP220" s="195"/>
      <c r="AQ220" s="106"/>
      <c r="AR220" s="106"/>
      <c r="AS220" s="106"/>
      <c r="AT220" s="106"/>
      <c r="AU220" s="106"/>
      <c r="AV220" s="106"/>
      <c r="AW220" s="106"/>
      <c r="AX220" s="126"/>
      <c r="AY220" s="126"/>
      <c r="AZ220" s="126"/>
      <c r="BA220" s="126"/>
      <c r="BB220" s="21"/>
      <c r="BC220" s="21"/>
      <c r="BD220" s="21"/>
      <c r="BE220" s="21"/>
    </row>
    <row r="221" customFormat="false" ht="14.1" hidden="true" customHeight="true" outlineLevel="1" collapsed="false">
      <c r="A221" s="198"/>
      <c r="B221" s="129" t="s">
        <v>15</v>
      </c>
      <c r="C221" s="184" t="n">
        <v>0</v>
      </c>
      <c r="D221" s="184" t="n">
        <v>0</v>
      </c>
      <c r="E221" s="199" t="n">
        <v>0</v>
      </c>
      <c r="F221" s="199" t="n">
        <v>0</v>
      </c>
      <c r="G221" s="26"/>
      <c r="H221" s="26"/>
      <c r="I221" s="26"/>
      <c r="J221" s="150"/>
      <c r="K221" s="150"/>
      <c r="L221" s="165"/>
      <c r="M221" s="165"/>
      <c r="N221" s="165"/>
      <c r="O221" s="150"/>
      <c r="P221" s="165"/>
      <c r="Q221" s="165"/>
      <c r="R221" s="165"/>
      <c r="S221" s="165"/>
      <c r="T221" s="165"/>
      <c r="U221" s="165"/>
      <c r="V221" s="150"/>
      <c r="W221" s="150"/>
      <c r="X221" s="165"/>
      <c r="Y221" s="165"/>
      <c r="Z221" s="165"/>
      <c r="AA221" s="150"/>
      <c r="AB221" s="165"/>
      <c r="AC221" s="165"/>
      <c r="AD221" s="165"/>
      <c r="AE221" s="165"/>
      <c r="AF221" s="165"/>
      <c r="AG221" s="165"/>
      <c r="AH221" s="52"/>
      <c r="AI221" s="52"/>
      <c r="AJ221" s="52"/>
      <c r="AK221" s="52"/>
      <c r="AL221" s="52"/>
      <c r="AM221" s="35"/>
      <c r="AN221" s="35"/>
      <c r="AO221" s="195"/>
      <c r="AP221" s="195"/>
      <c r="AQ221" s="106"/>
      <c r="AR221" s="106"/>
      <c r="AS221" s="106"/>
      <c r="AT221" s="106"/>
      <c r="AU221" s="106"/>
      <c r="AV221" s="106"/>
      <c r="AW221" s="106"/>
      <c r="AX221" s="126"/>
      <c r="AY221" s="126"/>
      <c r="AZ221" s="126"/>
      <c r="BA221" s="126"/>
      <c r="BB221" s="21"/>
      <c r="BC221" s="21"/>
      <c r="BD221" s="21"/>
      <c r="BE221" s="21"/>
    </row>
    <row r="222" customFormat="false" ht="14.1" hidden="true" customHeight="true" outlineLevel="1" collapsed="false">
      <c r="A222" s="198" t="s">
        <v>175</v>
      </c>
      <c r="B222" s="129" t="s">
        <v>15</v>
      </c>
      <c r="C222" s="184" t="n">
        <v>0</v>
      </c>
      <c r="D222" s="184" t="n">
        <v>0</v>
      </c>
      <c r="E222" s="199" t="n">
        <v>0</v>
      </c>
      <c r="F222" s="199" t="n">
        <v>0</v>
      </c>
      <c r="G222" s="26"/>
      <c r="H222" s="26"/>
      <c r="I222" s="26"/>
      <c r="J222" s="165"/>
      <c r="K222" s="165"/>
      <c r="L222" s="165"/>
      <c r="M222" s="165"/>
      <c r="N222" s="165"/>
      <c r="O222" s="165"/>
      <c r="P222" s="165"/>
      <c r="Q222" s="165"/>
      <c r="R222" s="165"/>
      <c r="S222" s="165"/>
      <c r="T222" s="165"/>
      <c r="U222" s="165"/>
      <c r="V222" s="165"/>
      <c r="W222" s="165"/>
      <c r="X222" s="165"/>
      <c r="Y222" s="165"/>
      <c r="Z222" s="165"/>
      <c r="AA222" s="165"/>
      <c r="AB222" s="165"/>
      <c r="AC222" s="165"/>
      <c r="AD222" s="165"/>
      <c r="AE222" s="165"/>
      <c r="AF222" s="165"/>
      <c r="AG222" s="165"/>
      <c r="AH222" s="52"/>
      <c r="AI222" s="52"/>
      <c r="AJ222" s="52"/>
      <c r="AK222" s="52"/>
      <c r="AL222" s="52"/>
      <c r="AM222" s="35"/>
      <c r="AN222" s="35"/>
      <c r="AO222" s="195"/>
      <c r="AP222" s="195"/>
      <c r="AQ222" s="106"/>
      <c r="AR222" s="106"/>
      <c r="AS222" s="106"/>
      <c r="AT222" s="106"/>
      <c r="AU222" s="106"/>
      <c r="AV222" s="106"/>
      <c r="AW222" s="106"/>
      <c r="AX222" s="126"/>
      <c r="AY222" s="126"/>
      <c r="AZ222" s="126"/>
      <c r="BA222" s="126"/>
      <c r="BB222" s="21"/>
      <c r="BC222" s="21"/>
      <c r="BD222" s="21"/>
      <c r="BE222" s="21"/>
    </row>
    <row r="223" customFormat="false" ht="14.1" hidden="true" customHeight="true" outlineLevel="1" collapsed="false">
      <c r="A223" s="198"/>
      <c r="B223" s="129" t="s">
        <v>15</v>
      </c>
      <c r="C223" s="184" t="n">
        <v>0</v>
      </c>
      <c r="D223" s="184" t="n">
        <v>0</v>
      </c>
      <c r="E223" s="199" t="n">
        <v>0</v>
      </c>
      <c r="F223" s="199" t="n">
        <v>0</v>
      </c>
      <c r="G223" s="26"/>
      <c r="H223" s="26"/>
      <c r="I223" s="26"/>
      <c r="J223" s="150"/>
      <c r="K223" s="150"/>
      <c r="L223" s="150"/>
      <c r="M223" s="150"/>
      <c r="N223" s="150"/>
      <c r="O223" s="150"/>
      <c r="P223" s="150"/>
      <c r="Q223" s="150"/>
      <c r="R223" s="150"/>
      <c r="S223" s="26"/>
      <c r="T223" s="150"/>
      <c r="U223" s="150"/>
      <c r="V223" s="150"/>
      <c r="W223" s="150"/>
      <c r="X223" s="26"/>
      <c r="Y223" s="26"/>
      <c r="Z223" s="150"/>
      <c r="AA223" s="150"/>
      <c r="AB223" s="200"/>
      <c r="AC223" s="200"/>
      <c r="AD223" s="150"/>
      <c r="AE223" s="150"/>
      <c r="AF223" s="26"/>
      <c r="AG223" s="165"/>
      <c r="AH223" s="52"/>
      <c r="AI223" s="52"/>
      <c r="AJ223" s="52"/>
      <c r="AK223" s="52"/>
      <c r="AL223" s="52"/>
      <c r="AM223" s="35"/>
      <c r="AN223" s="35"/>
      <c r="AO223" s="195"/>
      <c r="AP223" s="195"/>
      <c r="AQ223" s="106"/>
      <c r="AR223" s="106"/>
      <c r="AS223" s="106"/>
      <c r="AT223" s="106"/>
      <c r="AU223" s="106"/>
      <c r="AV223" s="106"/>
      <c r="AW223" s="106"/>
      <c r="AX223" s="126"/>
      <c r="AY223" s="126"/>
      <c r="AZ223" s="126"/>
      <c r="BA223" s="126"/>
      <c r="BB223" s="21"/>
      <c r="BC223" s="21"/>
      <c r="BD223" s="21"/>
      <c r="BE223" s="21"/>
    </row>
    <row r="224" customFormat="false" ht="14.1" hidden="true" customHeight="true" outlineLevel="1" collapsed="false">
      <c r="A224" s="198"/>
      <c r="B224" s="129" t="s">
        <v>15</v>
      </c>
      <c r="C224" s="184" t="n">
        <v>0</v>
      </c>
      <c r="D224" s="184" t="n">
        <v>0</v>
      </c>
      <c r="E224" s="199" t="n">
        <v>0</v>
      </c>
      <c r="F224" s="199" t="n">
        <v>0</v>
      </c>
      <c r="G224" s="26"/>
      <c r="H224" s="190" t="s">
        <v>176</v>
      </c>
      <c r="I224" s="26"/>
      <c r="J224" s="150"/>
      <c r="K224" s="150"/>
      <c r="L224" s="150"/>
      <c r="M224" s="150"/>
      <c r="N224" s="150"/>
      <c r="O224" s="202" t="s">
        <v>177</v>
      </c>
      <c r="P224" s="150"/>
      <c r="Q224" s="150" t="s">
        <v>176</v>
      </c>
      <c r="R224" s="26"/>
      <c r="S224" s="150"/>
      <c r="T224" s="150"/>
      <c r="U224" s="150"/>
      <c r="V224" s="150"/>
      <c r="W224" s="150"/>
      <c r="X224" s="203" t="s">
        <v>177</v>
      </c>
      <c r="Y224" s="26"/>
      <c r="Z224" s="203" t="s">
        <v>177</v>
      </c>
      <c r="AA224" s="150"/>
      <c r="AB224" s="150"/>
      <c r="AC224" s="150"/>
      <c r="AD224" s="26"/>
      <c r="AE224" s="150"/>
      <c r="AF224" s="165"/>
      <c r="AG224" s="203" t="s">
        <v>177</v>
      </c>
      <c r="AH224" s="52"/>
      <c r="AI224" s="52"/>
      <c r="AJ224" s="52"/>
      <c r="AK224" s="52"/>
      <c r="AL224" s="52"/>
      <c r="AM224" s="35"/>
      <c r="AN224" s="35"/>
      <c r="AO224" s="195"/>
      <c r="AP224" s="195"/>
      <c r="AQ224" s="106"/>
      <c r="AR224" s="106"/>
      <c r="AS224" s="106"/>
      <c r="AT224" s="106"/>
      <c r="AU224" s="106"/>
      <c r="AV224" s="106"/>
      <c r="AW224" s="106"/>
      <c r="AX224" s="126"/>
      <c r="AY224" s="126"/>
      <c r="AZ224" s="126"/>
      <c r="BA224" s="126"/>
      <c r="BB224" s="21"/>
      <c r="BC224" s="21"/>
      <c r="BD224" s="21"/>
      <c r="BE224" s="21"/>
    </row>
    <row r="225" customFormat="false" ht="14.1" hidden="true" customHeight="true" outlineLevel="1" collapsed="false">
      <c r="A225" s="198"/>
      <c r="B225" s="129" t="s">
        <v>15</v>
      </c>
      <c r="C225" s="184" t="n">
        <v>0</v>
      </c>
      <c r="D225" s="184" t="n">
        <v>0</v>
      </c>
      <c r="E225" s="199" t="n">
        <v>0</v>
      </c>
      <c r="F225" s="199" t="n">
        <v>0</v>
      </c>
      <c r="G225" s="26"/>
      <c r="H225" s="26"/>
      <c r="I225" s="26"/>
      <c r="J225" s="26"/>
      <c r="K225" s="150"/>
      <c r="L225" s="26"/>
      <c r="M225" s="150"/>
      <c r="N225" s="150"/>
      <c r="O225" s="150"/>
      <c r="P225" s="150"/>
      <c r="Q225" s="150"/>
      <c r="R225" s="150"/>
      <c r="S225" s="150"/>
      <c r="T225" s="150"/>
      <c r="U225" s="150"/>
      <c r="V225" s="26"/>
      <c r="W225" s="150"/>
      <c r="X225" s="26"/>
      <c r="Y225" s="150"/>
      <c r="Z225" s="150"/>
      <c r="AA225" s="150"/>
      <c r="AB225" s="150"/>
      <c r="AC225" s="150"/>
      <c r="AD225" s="150"/>
      <c r="AE225" s="150"/>
      <c r="AF225" s="165"/>
      <c r="AG225" s="165"/>
      <c r="AH225" s="52"/>
      <c r="AI225" s="52"/>
      <c r="AJ225" s="52"/>
      <c r="AK225" s="52"/>
      <c r="AL225" s="52"/>
      <c r="AM225" s="35"/>
      <c r="AN225" s="35"/>
      <c r="AO225" s="195"/>
      <c r="AP225" s="195"/>
      <c r="AQ225" s="106"/>
      <c r="AR225" s="106"/>
      <c r="AS225" s="106"/>
      <c r="AT225" s="106"/>
      <c r="AU225" s="106"/>
      <c r="AV225" s="106"/>
      <c r="AW225" s="106"/>
      <c r="AX225" s="126"/>
      <c r="AY225" s="126"/>
      <c r="AZ225" s="126"/>
      <c r="BA225" s="126"/>
      <c r="BB225" s="21"/>
      <c r="BC225" s="21"/>
      <c r="BD225" s="21"/>
      <c r="BE225" s="21"/>
    </row>
    <row r="226" customFormat="false" ht="14.1" hidden="true" customHeight="true" outlineLevel="1" collapsed="false">
      <c r="A226" s="189" t="s">
        <v>178</v>
      </c>
      <c r="B226" s="129" t="s">
        <v>15</v>
      </c>
      <c r="C226" s="184" t="n">
        <v>4</v>
      </c>
      <c r="D226" s="184" t="n">
        <v>1</v>
      </c>
      <c r="E226" s="204"/>
      <c r="F226" s="199" t="n">
        <v>2.2</v>
      </c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165"/>
      <c r="AH226" s="52"/>
      <c r="AI226" s="52"/>
      <c r="AJ226" s="52"/>
      <c r="AK226" s="52"/>
      <c r="AL226" s="52"/>
      <c r="AM226" s="35"/>
      <c r="AN226" s="35"/>
      <c r="AO226" s="195"/>
      <c r="AP226" s="195"/>
      <c r="AQ226" s="106"/>
      <c r="AR226" s="106"/>
      <c r="AS226" s="106"/>
      <c r="AT226" s="106"/>
      <c r="AU226" s="106"/>
      <c r="AV226" s="106"/>
      <c r="AW226" s="106"/>
      <c r="AX226" s="126"/>
      <c r="AY226" s="126"/>
      <c r="AZ226" s="126"/>
      <c r="BA226" s="126"/>
      <c r="BB226" s="21"/>
      <c r="BC226" s="21"/>
      <c r="BD226" s="21"/>
      <c r="BE226" s="21"/>
    </row>
    <row r="227" customFormat="false" ht="14.1" hidden="true" customHeight="true" outlineLevel="1" collapsed="false">
      <c r="A227" s="189"/>
      <c r="B227" s="129" t="s">
        <v>15</v>
      </c>
      <c r="C227" s="184" t="n">
        <v>2</v>
      </c>
      <c r="D227" s="184" t="n">
        <v>1</v>
      </c>
      <c r="E227" s="204"/>
      <c r="F227" s="199" t="n">
        <v>2.2</v>
      </c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  <c r="AA227" s="26"/>
      <c r="AB227" s="26"/>
      <c r="AC227" s="26"/>
      <c r="AD227" s="26"/>
      <c r="AE227" s="26"/>
      <c r="AF227" s="26"/>
      <c r="AG227" s="165"/>
      <c r="AH227" s="52"/>
      <c r="AI227" s="52"/>
      <c r="AJ227" s="52"/>
      <c r="AK227" s="52"/>
      <c r="AL227" s="52"/>
      <c r="AM227" s="35"/>
      <c r="AN227" s="35"/>
      <c r="AO227" s="195"/>
      <c r="AP227" s="195"/>
      <c r="AQ227" s="106"/>
      <c r="AR227" s="106"/>
      <c r="AS227" s="106"/>
      <c r="AT227" s="106"/>
      <c r="AU227" s="106"/>
      <c r="AV227" s="106"/>
      <c r="AW227" s="106"/>
      <c r="AX227" s="126"/>
      <c r="AY227" s="126"/>
      <c r="AZ227" s="126"/>
      <c r="BA227" s="126"/>
      <c r="BB227" s="21"/>
      <c r="BC227" s="21"/>
      <c r="BD227" s="21"/>
      <c r="BE227" s="21"/>
    </row>
    <row r="228" customFormat="false" ht="14.1" hidden="true" customHeight="true" outlineLevel="1" collapsed="false">
      <c r="A228" s="189"/>
      <c r="B228" s="129" t="s">
        <v>15</v>
      </c>
      <c r="C228" s="184" t="n">
        <v>3</v>
      </c>
      <c r="D228" s="184" t="n">
        <v>1</v>
      </c>
      <c r="E228" s="204"/>
      <c r="F228" s="199" t="n">
        <v>2.2</v>
      </c>
      <c r="G228" s="26"/>
      <c r="H228" s="26"/>
      <c r="I228" s="26"/>
      <c r="J228" s="26"/>
      <c r="K228" s="26" t="s">
        <v>179</v>
      </c>
      <c r="L228" s="26"/>
      <c r="M228" s="26"/>
      <c r="N228" s="26"/>
      <c r="O228" s="26"/>
      <c r="P228" s="26"/>
      <c r="Q228" s="26"/>
      <c r="R228" s="26"/>
      <c r="S228" s="26"/>
      <c r="T228" s="26" t="s">
        <v>179</v>
      </c>
      <c r="U228" s="26"/>
      <c r="V228" s="26"/>
      <c r="W228" s="26"/>
      <c r="X228" s="26"/>
      <c r="Y228" s="26"/>
      <c r="Z228" s="26"/>
      <c r="AA228" s="26"/>
      <c r="AB228" s="26"/>
      <c r="AC228" s="26" t="s">
        <v>179</v>
      </c>
      <c r="AD228" s="26"/>
      <c r="AE228" s="26"/>
      <c r="AF228" s="26"/>
      <c r="AG228" s="165"/>
      <c r="AH228" s="52"/>
      <c r="AI228" s="52"/>
      <c r="AJ228" s="52"/>
      <c r="AK228" s="52"/>
      <c r="AL228" s="52"/>
      <c r="AM228" s="35"/>
      <c r="AN228" s="35"/>
      <c r="AO228" s="195"/>
      <c r="AP228" s="195"/>
      <c r="AQ228" s="106"/>
      <c r="AR228" s="106"/>
      <c r="AS228" s="106"/>
      <c r="AT228" s="106"/>
      <c r="AU228" s="106"/>
      <c r="AV228" s="106"/>
      <c r="AW228" s="106"/>
      <c r="AX228" s="126"/>
      <c r="AY228" s="126"/>
      <c r="AZ228" s="126"/>
      <c r="BA228" s="126"/>
      <c r="BB228" s="21"/>
      <c r="BC228" s="21"/>
      <c r="BD228" s="21"/>
      <c r="BE228" s="21"/>
    </row>
    <row r="229" customFormat="false" ht="14.1" hidden="true" customHeight="true" outlineLevel="1" collapsed="false">
      <c r="A229" s="189"/>
      <c r="B229" s="129" t="s">
        <v>15</v>
      </c>
      <c r="C229" s="184" t="n">
        <v>0</v>
      </c>
      <c r="D229" s="184" t="n">
        <v>0</v>
      </c>
      <c r="E229" s="204"/>
      <c r="F229" s="199" t="n">
        <v>0</v>
      </c>
      <c r="G229" s="26"/>
      <c r="H229" s="205" t="s">
        <v>180</v>
      </c>
      <c r="I229" s="205"/>
      <c r="J229" s="205"/>
      <c r="K229" s="205"/>
      <c r="L229" s="205"/>
      <c r="M229" s="205"/>
      <c r="N229" s="205"/>
      <c r="O229" s="205"/>
      <c r="P229" s="26"/>
      <c r="Q229" s="26"/>
      <c r="R229" s="205" t="s">
        <v>181</v>
      </c>
      <c r="S229" s="205"/>
      <c r="T229" s="205"/>
      <c r="U229" s="205"/>
      <c r="V229" s="205"/>
      <c r="W229" s="205"/>
      <c r="X229" s="205"/>
      <c r="Y229" s="206"/>
      <c r="Z229" s="205" t="s">
        <v>182</v>
      </c>
      <c r="AA229" s="205"/>
      <c r="AB229" s="205"/>
      <c r="AC229" s="205"/>
      <c r="AD229" s="205"/>
      <c r="AE229" s="205"/>
      <c r="AF229" s="205"/>
      <c r="AG229" s="205"/>
      <c r="AH229" s="35"/>
      <c r="AI229" s="52"/>
      <c r="AJ229" s="52"/>
      <c r="AK229" s="52"/>
      <c r="AL229" s="52"/>
      <c r="AM229" s="35"/>
      <c r="AN229" s="35"/>
      <c r="AO229" s="195"/>
      <c r="AP229" s="195"/>
      <c r="AQ229" s="106"/>
      <c r="AR229" s="106"/>
      <c r="AS229" s="106"/>
      <c r="AT229" s="106"/>
      <c r="AU229" s="106"/>
      <c r="AV229" s="106"/>
      <c r="AW229" s="106"/>
      <c r="AX229" s="126"/>
      <c r="AY229" s="126"/>
      <c r="AZ229" s="126"/>
      <c r="BA229" s="126"/>
      <c r="BB229" s="21"/>
      <c r="BC229" s="21"/>
      <c r="BD229" s="21"/>
      <c r="BE229" s="21"/>
    </row>
    <row r="230" customFormat="false" ht="14.1" hidden="true" customHeight="true" outlineLevel="1" collapsed="false">
      <c r="A230" s="189" t="s">
        <v>183</v>
      </c>
      <c r="B230" s="207" t="s">
        <v>15</v>
      </c>
      <c r="C230" s="208" t="n">
        <v>0</v>
      </c>
      <c r="D230" s="184" t="n">
        <v>0</v>
      </c>
      <c r="E230" s="204"/>
      <c r="F230" s="199" t="n">
        <v>0</v>
      </c>
      <c r="G230" s="26"/>
      <c r="H230" s="205"/>
      <c r="I230" s="205"/>
      <c r="J230" s="205"/>
      <c r="K230" s="205"/>
      <c r="L230" s="205"/>
      <c r="M230" s="205"/>
      <c r="N230" s="205"/>
      <c r="O230" s="205"/>
      <c r="P230" s="26"/>
      <c r="Q230" s="26"/>
      <c r="R230" s="205"/>
      <c r="S230" s="205"/>
      <c r="T230" s="205"/>
      <c r="U230" s="205"/>
      <c r="V230" s="205"/>
      <c r="W230" s="205"/>
      <c r="X230" s="205"/>
      <c r="Y230" s="206"/>
      <c r="Z230" s="205"/>
      <c r="AA230" s="205"/>
      <c r="AB230" s="205"/>
      <c r="AC230" s="205"/>
      <c r="AD230" s="205"/>
      <c r="AE230" s="205"/>
      <c r="AF230" s="205"/>
      <c r="AG230" s="205"/>
      <c r="AH230" s="35"/>
      <c r="AI230" s="52"/>
      <c r="AJ230" s="52"/>
      <c r="AK230" s="52"/>
      <c r="AL230" s="52"/>
      <c r="AM230" s="35"/>
      <c r="AN230" s="35"/>
      <c r="AO230" s="195"/>
      <c r="AP230" s="195"/>
      <c r="AQ230" s="106"/>
      <c r="AR230" s="106"/>
      <c r="AS230" s="106"/>
      <c r="AT230" s="106"/>
      <c r="AU230" s="106"/>
      <c r="AV230" s="106"/>
      <c r="AW230" s="106"/>
      <c r="AX230" s="126"/>
      <c r="AY230" s="126"/>
      <c r="AZ230" s="126"/>
      <c r="BA230" s="126"/>
      <c r="BB230" s="21"/>
      <c r="BC230" s="21"/>
      <c r="BD230" s="21"/>
      <c r="BE230" s="21"/>
    </row>
    <row r="231" customFormat="false" ht="14.1" hidden="true" customHeight="true" outlineLevel="1" collapsed="false">
      <c r="A231" s="189"/>
      <c r="B231" s="129" t="s">
        <v>15</v>
      </c>
      <c r="C231" s="184" t="n">
        <v>0</v>
      </c>
      <c r="D231" s="184" t="n">
        <v>0</v>
      </c>
      <c r="E231" s="204"/>
      <c r="F231" s="199" t="n">
        <v>0</v>
      </c>
      <c r="G231" s="26"/>
      <c r="H231" s="205"/>
      <c r="I231" s="205"/>
      <c r="J231" s="205"/>
      <c r="K231" s="205"/>
      <c r="L231" s="205"/>
      <c r="M231" s="205"/>
      <c r="N231" s="205"/>
      <c r="O231" s="205"/>
      <c r="P231" s="26"/>
      <c r="Q231" s="26"/>
      <c r="R231" s="205"/>
      <c r="S231" s="205"/>
      <c r="T231" s="205"/>
      <c r="U231" s="205"/>
      <c r="V231" s="205"/>
      <c r="W231" s="205"/>
      <c r="X231" s="205"/>
      <c r="Y231" s="26"/>
      <c r="Z231" s="205"/>
      <c r="AA231" s="205"/>
      <c r="AB231" s="205"/>
      <c r="AC231" s="205"/>
      <c r="AD231" s="205"/>
      <c r="AE231" s="205"/>
      <c r="AF231" s="205"/>
      <c r="AG231" s="205"/>
      <c r="AH231" s="35"/>
      <c r="AI231" s="52"/>
      <c r="AJ231" s="52"/>
      <c r="AK231" s="52"/>
      <c r="AL231" s="52"/>
      <c r="AM231" s="35"/>
      <c r="AN231" s="35"/>
      <c r="AO231" s="195"/>
      <c r="AP231" s="195"/>
      <c r="AQ231" s="106"/>
      <c r="AR231" s="106"/>
      <c r="AS231" s="106"/>
      <c r="AT231" s="106"/>
      <c r="AU231" s="106"/>
      <c r="AV231" s="106"/>
      <c r="AW231" s="106"/>
      <c r="AX231" s="126"/>
      <c r="AY231" s="126"/>
      <c r="AZ231" s="126"/>
      <c r="BA231" s="126"/>
      <c r="BB231" s="21"/>
      <c r="BC231" s="21"/>
      <c r="BD231" s="21"/>
      <c r="BE231" s="21"/>
    </row>
    <row r="232" customFormat="false" ht="14.1" hidden="true" customHeight="true" outlineLevel="1" collapsed="false">
      <c r="A232" s="189"/>
      <c r="B232" s="129" t="s">
        <v>15</v>
      </c>
      <c r="C232" s="184" t="n">
        <v>0</v>
      </c>
      <c r="D232" s="184" t="n">
        <v>0</v>
      </c>
      <c r="E232" s="204"/>
      <c r="F232" s="199" t="n">
        <v>0</v>
      </c>
      <c r="G232" s="26"/>
      <c r="H232" s="205"/>
      <c r="I232" s="205"/>
      <c r="J232" s="205"/>
      <c r="K232" s="205"/>
      <c r="L232" s="205"/>
      <c r="M232" s="205"/>
      <c r="N232" s="205"/>
      <c r="O232" s="205"/>
      <c r="P232" s="26"/>
      <c r="Q232" s="26"/>
      <c r="R232" s="205"/>
      <c r="S232" s="205"/>
      <c r="T232" s="205"/>
      <c r="U232" s="205"/>
      <c r="V232" s="205"/>
      <c r="W232" s="205"/>
      <c r="X232" s="205"/>
      <c r="Y232" s="26"/>
      <c r="Z232" s="205"/>
      <c r="AA232" s="205"/>
      <c r="AB232" s="205"/>
      <c r="AC232" s="205"/>
      <c r="AD232" s="205"/>
      <c r="AE232" s="205"/>
      <c r="AF232" s="205"/>
      <c r="AG232" s="205"/>
      <c r="AH232" s="52"/>
      <c r="AI232" s="52"/>
      <c r="AJ232" s="52"/>
      <c r="AK232" s="52"/>
      <c r="AL232" s="52"/>
      <c r="AM232" s="52"/>
      <c r="AN232" s="52"/>
      <c r="AO232" s="195"/>
      <c r="AP232" s="195"/>
      <c r="AQ232" s="106"/>
      <c r="AR232" s="106"/>
      <c r="AS232" s="106"/>
      <c r="AT232" s="106"/>
      <c r="AU232" s="106"/>
      <c r="AV232" s="106"/>
      <c r="AW232" s="106"/>
      <c r="AX232" s="126"/>
      <c r="AY232" s="126"/>
      <c r="AZ232" s="126"/>
      <c r="BA232" s="126"/>
      <c r="BB232" s="21"/>
      <c r="BC232" s="21"/>
      <c r="BD232" s="21"/>
      <c r="BE232" s="21"/>
    </row>
    <row r="233" customFormat="false" ht="14.1" hidden="true" customHeight="true" outlineLevel="1" collapsed="false">
      <c r="A233" s="189"/>
      <c r="B233" s="129" t="s">
        <v>15</v>
      </c>
      <c r="C233" s="184" t="n">
        <v>0</v>
      </c>
      <c r="D233" s="184" t="n">
        <v>0</v>
      </c>
      <c r="E233" s="209"/>
      <c r="F233" s="199" t="n">
        <v>0</v>
      </c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35"/>
      <c r="AI233" s="52"/>
      <c r="AJ233" s="52"/>
      <c r="AK233" s="52"/>
      <c r="AL233" s="52"/>
      <c r="AM233" s="52"/>
      <c r="AN233" s="193"/>
      <c r="AO233" s="195"/>
      <c r="AP233" s="195"/>
      <c r="AQ233" s="106"/>
      <c r="AR233" s="106"/>
      <c r="AS233" s="106"/>
      <c r="AT233" s="106"/>
      <c r="AU233" s="106"/>
      <c r="AV233" s="106"/>
      <c r="AW233" s="106"/>
      <c r="AX233" s="126"/>
      <c r="AY233" s="126"/>
      <c r="AZ233" s="126"/>
      <c r="BA233" s="126"/>
      <c r="BB233" s="21"/>
      <c r="BC233" s="21"/>
      <c r="BD233" s="21"/>
      <c r="BE233" s="21"/>
    </row>
    <row r="234" customFormat="false" ht="14.1" hidden="true" customHeight="true" outlineLevel="1" collapsed="false">
      <c r="A234" s="150"/>
      <c r="B234" s="200"/>
      <c r="C234" s="150"/>
      <c r="D234" s="150"/>
      <c r="E234" s="150"/>
      <c r="F234" s="150"/>
      <c r="G234" s="150"/>
      <c r="H234" s="210" t="s">
        <v>184</v>
      </c>
      <c r="I234" s="210"/>
      <c r="J234" s="210"/>
      <c r="K234" s="210"/>
      <c r="L234" s="210"/>
      <c r="M234" s="210"/>
      <c r="N234" s="210"/>
      <c r="O234" s="210"/>
      <c r="P234" s="210"/>
      <c r="Q234" s="210"/>
      <c r="R234" s="210"/>
      <c r="S234" s="210"/>
      <c r="T234" s="210"/>
      <c r="U234" s="210"/>
      <c r="V234" s="210"/>
      <c r="W234" s="210"/>
      <c r="X234" s="210"/>
      <c r="Y234" s="210"/>
      <c r="Z234" s="210"/>
      <c r="AA234" s="210"/>
      <c r="AB234" s="210"/>
      <c r="AC234" s="210"/>
      <c r="AD234" s="210"/>
      <c r="AE234" s="210"/>
      <c r="AF234" s="210"/>
      <c r="AG234" s="210"/>
      <c r="AH234" s="52"/>
      <c r="AI234" s="52"/>
      <c r="AJ234" s="52"/>
      <c r="AK234" s="52"/>
      <c r="AL234" s="52"/>
      <c r="AM234" s="52"/>
      <c r="AN234" s="52"/>
      <c r="AO234" s="195"/>
      <c r="AP234" s="195"/>
      <c r="AQ234" s="106"/>
      <c r="AR234" s="106"/>
      <c r="AS234" s="106"/>
      <c r="AT234" s="106"/>
      <c r="AU234" s="106"/>
      <c r="AV234" s="106"/>
      <c r="AW234" s="106"/>
      <c r="AX234" s="126"/>
      <c r="AY234" s="126"/>
      <c r="AZ234" s="126"/>
      <c r="BA234" s="126"/>
      <c r="BB234" s="21"/>
      <c r="BC234" s="21"/>
      <c r="BD234" s="21"/>
      <c r="BE234" s="21"/>
    </row>
    <row r="235" customFormat="false" ht="14.1" hidden="true" customHeight="true" outlineLevel="1" collapsed="false">
      <c r="A235" s="150"/>
      <c r="B235" s="200"/>
      <c r="C235" s="150"/>
      <c r="D235" s="150"/>
      <c r="E235" s="150"/>
      <c r="F235" s="150"/>
      <c r="G235" s="150"/>
      <c r="H235" s="210"/>
      <c r="I235" s="210"/>
      <c r="J235" s="210"/>
      <c r="K235" s="210"/>
      <c r="L235" s="210"/>
      <c r="M235" s="210"/>
      <c r="N235" s="210"/>
      <c r="O235" s="210"/>
      <c r="P235" s="210"/>
      <c r="Q235" s="210"/>
      <c r="R235" s="210"/>
      <c r="S235" s="210"/>
      <c r="T235" s="210"/>
      <c r="U235" s="210"/>
      <c r="V235" s="210"/>
      <c r="W235" s="210"/>
      <c r="X235" s="210"/>
      <c r="Y235" s="210"/>
      <c r="Z235" s="210"/>
      <c r="AA235" s="210"/>
      <c r="AB235" s="210"/>
      <c r="AC235" s="210"/>
      <c r="AD235" s="210"/>
      <c r="AE235" s="210"/>
      <c r="AF235" s="210"/>
      <c r="AG235" s="210"/>
      <c r="AH235" s="52"/>
      <c r="AI235" s="52"/>
      <c r="AJ235" s="52"/>
      <c r="AK235" s="52"/>
      <c r="AL235" s="52"/>
      <c r="AM235" s="52"/>
      <c r="AN235" s="52"/>
      <c r="AO235" s="195"/>
      <c r="AP235" s="195"/>
      <c r="AQ235" s="106"/>
      <c r="AR235" s="106"/>
      <c r="AS235" s="106"/>
      <c r="AT235" s="106"/>
      <c r="AU235" s="106"/>
      <c r="AV235" s="106"/>
      <c r="AW235" s="106"/>
      <c r="AX235" s="126"/>
      <c r="AY235" s="126"/>
      <c r="AZ235" s="126"/>
      <c r="BA235" s="126"/>
      <c r="BB235" s="21"/>
      <c r="BC235" s="21"/>
      <c r="BD235" s="21"/>
      <c r="BE235" s="21"/>
    </row>
    <row r="236" s="162" customFormat="true" ht="14.1" hidden="false" customHeight="true" outlineLevel="0" collapsed="false">
      <c r="A236" s="155" t="s">
        <v>185</v>
      </c>
      <c r="B236" s="155"/>
      <c r="C236" s="155"/>
      <c r="D236" s="155"/>
      <c r="E236" s="155"/>
      <c r="F236" s="150"/>
      <c r="G236" s="150"/>
      <c r="H236" s="205"/>
      <c r="I236" s="205"/>
      <c r="J236" s="205"/>
      <c r="K236" s="205"/>
      <c r="L236" s="205"/>
      <c r="M236" s="205"/>
      <c r="N236" s="205"/>
      <c r="O236" s="205"/>
      <c r="P236" s="205"/>
      <c r="Q236" s="205"/>
      <c r="R236" s="205"/>
      <c r="S236" s="205"/>
      <c r="T236" s="205"/>
      <c r="U236" s="205"/>
      <c r="V236" s="205"/>
      <c r="W236" s="205"/>
      <c r="X236" s="205"/>
      <c r="Y236" s="205"/>
      <c r="Z236" s="205"/>
      <c r="AA236" s="205"/>
      <c r="AB236" s="205"/>
      <c r="AC236" s="205"/>
      <c r="AD236" s="205"/>
      <c r="AE236" s="205"/>
      <c r="AF236" s="205"/>
      <c r="AG236" s="205"/>
      <c r="AH236" s="52"/>
      <c r="AI236" s="52"/>
      <c r="AJ236" s="52"/>
      <c r="AK236" s="52"/>
      <c r="AL236" s="52"/>
      <c r="AM236" s="52"/>
      <c r="AN236" s="52"/>
      <c r="AO236" s="195"/>
      <c r="AP236" s="195"/>
      <c r="AQ236" s="106"/>
      <c r="AR236" s="106"/>
      <c r="AS236" s="106"/>
      <c r="AT236" s="106"/>
      <c r="AU236" s="106"/>
      <c r="AV236" s="106"/>
      <c r="AW236" s="106"/>
      <c r="AX236" s="126"/>
      <c r="AY236" s="126"/>
      <c r="AZ236" s="126"/>
      <c r="BA236" s="126"/>
      <c r="BB236" s="160"/>
      <c r="BC236" s="160"/>
      <c r="BD236" s="160"/>
      <c r="BE236" s="160"/>
      <c r="BF236" s="161"/>
    </row>
    <row r="237" s="35" customFormat="true" ht="14.1" hidden="false" customHeight="true" outlineLevel="0" collapsed="false">
      <c r="A237" s="150"/>
      <c r="B237" s="200"/>
      <c r="C237" s="150"/>
      <c r="D237" s="150"/>
      <c r="E237" s="150"/>
      <c r="F237" s="150"/>
      <c r="G237" s="150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  <c r="AA237" s="26"/>
      <c r="AB237" s="26"/>
      <c r="AC237" s="26"/>
      <c r="AD237" s="26"/>
      <c r="AE237" s="26"/>
      <c r="AF237" s="26"/>
      <c r="AG237" s="165"/>
      <c r="AH237" s="52"/>
      <c r="AI237" s="52"/>
      <c r="AJ237" s="52"/>
      <c r="AK237" s="52"/>
      <c r="AL237" s="52"/>
      <c r="AM237" s="52"/>
      <c r="AN237" s="52"/>
      <c r="AO237" s="195"/>
      <c r="AP237" s="195"/>
      <c r="AQ237" s="106"/>
      <c r="AR237" s="106"/>
      <c r="AS237" s="106"/>
      <c r="AT237" s="106"/>
      <c r="AU237" s="106"/>
      <c r="AV237" s="106"/>
      <c r="AW237" s="106"/>
      <c r="AX237" s="126"/>
      <c r="AY237" s="126"/>
      <c r="AZ237" s="126"/>
      <c r="BA237" s="126"/>
      <c r="BB237" s="126"/>
      <c r="BC237" s="126"/>
      <c r="BD237" s="126"/>
      <c r="BE237" s="126"/>
      <c r="BF237" s="156"/>
    </row>
    <row r="238" customFormat="false" ht="14.1" hidden="true" customHeight="true" outlineLevel="1" collapsed="false">
      <c r="A238" s="211" t="s">
        <v>186</v>
      </c>
      <c r="B238" s="211"/>
      <c r="C238" s="211"/>
      <c r="D238" s="211"/>
      <c r="E238" s="211"/>
      <c r="F238" s="26"/>
      <c r="G238" s="26"/>
      <c r="H238" s="150"/>
      <c r="I238" s="212"/>
      <c r="J238" s="150"/>
      <c r="K238" s="150"/>
      <c r="L238" s="150"/>
      <c r="M238" s="158" t="s">
        <v>186</v>
      </c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  <c r="AA238" s="158"/>
      <c r="AB238" s="158"/>
      <c r="AC238" s="158"/>
      <c r="AD238" s="158"/>
      <c r="AE238" s="158"/>
      <c r="AF238" s="158"/>
      <c r="AG238" s="165"/>
      <c r="AH238" s="52"/>
      <c r="AI238" s="52"/>
      <c r="AJ238" s="52"/>
      <c r="AK238" s="52"/>
      <c r="AL238" s="52"/>
      <c r="AM238" s="52"/>
      <c r="AN238" s="52"/>
      <c r="AO238" s="195"/>
      <c r="AP238" s="195"/>
      <c r="AQ238" s="106"/>
      <c r="AR238" s="106"/>
      <c r="AS238" s="106"/>
      <c r="AT238" s="106"/>
      <c r="AU238" s="106"/>
      <c r="AV238" s="106"/>
      <c r="AW238" s="106"/>
      <c r="AX238" s="126"/>
      <c r="AY238" s="126"/>
      <c r="AZ238" s="126"/>
      <c r="BA238" s="126"/>
      <c r="BB238" s="21"/>
      <c r="BC238" s="21"/>
      <c r="BD238" s="21"/>
      <c r="BE238" s="21"/>
    </row>
    <row r="239" customFormat="false" ht="14.1" hidden="true" customHeight="true" outlineLevel="1" collapsed="false">
      <c r="A239" s="201"/>
      <c r="B239" s="213"/>
      <c r="C239" s="201"/>
      <c r="D239" s="201"/>
      <c r="E239" s="201"/>
      <c r="F239" s="201"/>
      <c r="G239" s="214"/>
      <c r="H239" s="26"/>
      <c r="I239" s="26"/>
      <c r="J239" s="26"/>
      <c r="K239" s="26"/>
      <c r="L239" s="26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  <c r="AA239" s="158"/>
      <c r="AB239" s="158"/>
      <c r="AC239" s="158"/>
      <c r="AD239" s="158"/>
      <c r="AE239" s="158"/>
      <c r="AF239" s="158"/>
      <c r="AG239" s="165"/>
      <c r="AH239" s="52"/>
      <c r="AI239" s="52"/>
      <c r="AJ239" s="52"/>
      <c r="AK239" s="52"/>
      <c r="AL239" s="52"/>
      <c r="AM239" s="52"/>
      <c r="AN239" s="52"/>
      <c r="AO239" s="195"/>
      <c r="AP239" s="195"/>
      <c r="AQ239" s="106"/>
      <c r="AR239" s="106"/>
      <c r="AS239" s="106"/>
      <c r="AT239" s="106"/>
      <c r="AU239" s="106"/>
      <c r="AV239" s="106"/>
      <c r="AW239" s="106"/>
      <c r="AX239" s="126"/>
      <c r="AY239" s="126"/>
      <c r="AZ239" s="126"/>
      <c r="BA239" s="126"/>
      <c r="BB239" s="21"/>
      <c r="BC239" s="21"/>
      <c r="BD239" s="21"/>
      <c r="BE239" s="21"/>
    </row>
    <row r="240" customFormat="false" ht="14.1" hidden="true" customHeight="true" outlineLevel="1" collapsed="false">
      <c r="A240" s="155" t="s">
        <v>187</v>
      </c>
      <c r="B240" s="155"/>
      <c r="C240" s="155"/>
      <c r="D240" s="155"/>
      <c r="E240" s="215" t="n">
        <v>1</v>
      </c>
      <c r="F240" s="216"/>
      <c r="G240" s="217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165"/>
      <c r="AH240" s="52"/>
      <c r="AI240" s="52"/>
      <c r="AJ240" s="52"/>
      <c r="AK240" s="52"/>
      <c r="AL240" s="52"/>
      <c r="AM240" s="52"/>
      <c r="AN240" s="52"/>
      <c r="AO240" s="195"/>
      <c r="AP240" s="195"/>
      <c r="AQ240" s="106"/>
      <c r="AR240" s="106"/>
      <c r="AS240" s="106"/>
      <c r="AT240" s="106"/>
      <c r="AU240" s="106"/>
      <c r="AV240" s="106"/>
      <c r="AW240" s="106"/>
      <c r="AX240" s="126"/>
      <c r="AY240" s="126"/>
      <c r="AZ240" s="126"/>
      <c r="BA240" s="126"/>
      <c r="BB240" s="21"/>
      <c r="BC240" s="21"/>
      <c r="BD240" s="21"/>
      <c r="BE240" s="21"/>
    </row>
    <row r="241" customFormat="false" ht="14.1" hidden="true" customHeight="true" outlineLevel="1" collapsed="false">
      <c r="A241" s="155" t="s">
        <v>188</v>
      </c>
      <c r="B241" s="155"/>
      <c r="C241" s="155"/>
      <c r="D241" s="155"/>
      <c r="E241" s="215" t="n">
        <v>1</v>
      </c>
      <c r="F241" s="216"/>
      <c r="G241" s="217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  <c r="AA241" s="26"/>
      <c r="AB241" s="26"/>
      <c r="AC241" s="26"/>
      <c r="AD241" s="26"/>
      <c r="AE241" s="26"/>
      <c r="AF241" s="26"/>
      <c r="AG241" s="165"/>
      <c r="AH241" s="52"/>
      <c r="AI241" s="52"/>
      <c r="AJ241" s="52"/>
      <c r="AK241" s="52"/>
      <c r="AL241" s="52"/>
      <c r="AM241" s="52"/>
      <c r="AN241" s="52"/>
      <c r="AO241" s="195"/>
      <c r="AP241" s="195"/>
      <c r="AQ241" s="106"/>
      <c r="AR241" s="106"/>
      <c r="AS241" s="106"/>
      <c r="AT241" s="106"/>
      <c r="AU241" s="106"/>
      <c r="AV241" s="106"/>
      <c r="AW241" s="106"/>
      <c r="AX241" s="126"/>
      <c r="AY241" s="126"/>
      <c r="AZ241" s="126"/>
      <c r="BA241" s="126"/>
      <c r="BB241" s="21"/>
      <c r="BC241" s="21"/>
      <c r="BD241" s="21"/>
      <c r="BE241" s="21"/>
    </row>
    <row r="242" customFormat="false" ht="14.1" hidden="true" customHeight="true" outlineLevel="1" collapsed="false">
      <c r="A242" s="26"/>
      <c r="B242" s="135"/>
      <c r="C242" s="26"/>
      <c r="D242" s="218"/>
      <c r="E242" s="218"/>
      <c r="F242" s="218"/>
      <c r="G242" s="217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165"/>
      <c r="AH242" s="52"/>
      <c r="AI242" s="52"/>
      <c r="AJ242" s="52"/>
      <c r="AK242" s="52"/>
      <c r="AL242" s="52"/>
      <c r="AM242" s="52"/>
      <c r="AN242" s="52"/>
      <c r="AO242" s="195"/>
      <c r="AP242" s="195"/>
      <c r="AQ242" s="106"/>
      <c r="AR242" s="106"/>
      <c r="AS242" s="106"/>
      <c r="AT242" s="106"/>
      <c r="AU242" s="106"/>
      <c r="AV242" s="106"/>
      <c r="AW242" s="106"/>
      <c r="AX242" s="126"/>
      <c r="AY242" s="126"/>
      <c r="AZ242" s="126"/>
      <c r="BA242" s="126"/>
      <c r="BB242" s="21"/>
      <c r="BC242" s="21"/>
      <c r="BD242" s="21"/>
      <c r="BE242" s="21"/>
    </row>
    <row r="243" customFormat="false" ht="14.1" hidden="true" customHeight="true" outlineLevel="1" collapsed="false">
      <c r="A243" s="180" t="s">
        <v>46</v>
      </c>
      <c r="B243" s="180" t="s">
        <v>162</v>
      </c>
      <c r="C243" s="180" t="s">
        <v>15</v>
      </c>
      <c r="D243" s="136"/>
      <c r="E243" s="136"/>
      <c r="F243" s="136"/>
      <c r="G243" s="217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165"/>
      <c r="AH243" s="52"/>
      <c r="AI243" s="52"/>
      <c r="AJ243" s="52"/>
      <c r="AK243" s="52"/>
      <c r="AL243" s="52"/>
      <c r="AM243" s="52"/>
      <c r="AN243" s="52"/>
      <c r="AO243" s="195"/>
      <c r="AP243" s="195"/>
      <c r="AQ243" s="106"/>
      <c r="AR243" s="106"/>
      <c r="AS243" s="106"/>
      <c r="AT243" s="106"/>
      <c r="AU243" s="106"/>
      <c r="AV243" s="106"/>
      <c r="AW243" s="106"/>
      <c r="AX243" s="126"/>
      <c r="AY243" s="126"/>
      <c r="AZ243" s="126"/>
      <c r="BA243" s="126"/>
      <c r="BB243" s="21"/>
      <c r="BC243" s="21"/>
      <c r="BD243" s="21"/>
      <c r="BE243" s="21"/>
    </row>
    <row r="244" customFormat="false" ht="14.1" hidden="true" customHeight="true" outlineLevel="1" collapsed="false">
      <c r="A244" s="219" t="s">
        <v>189</v>
      </c>
      <c r="B244" s="219" t="s">
        <v>190</v>
      </c>
      <c r="C244" s="151" t="s">
        <v>191</v>
      </c>
      <c r="D244" s="220"/>
      <c r="E244" s="26"/>
      <c r="F244" s="26"/>
      <c r="G244" s="217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21"/>
      <c r="AF244" s="214"/>
      <c r="AG244" s="214"/>
      <c r="AH244" s="52"/>
      <c r="AI244" s="52"/>
      <c r="AJ244" s="52"/>
      <c r="AK244" s="52"/>
      <c r="AL244" s="52"/>
      <c r="AM244" s="52"/>
      <c r="AN244" s="52"/>
      <c r="AO244" s="195"/>
      <c r="AP244" s="195"/>
      <c r="AQ244" s="106"/>
      <c r="AR244" s="106"/>
      <c r="AS244" s="106"/>
      <c r="AT244" s="106"/>
      <c r="AU244" s="106"/>
      <c r="AV244" s="106"/>
      <c r="AW244" s="106"/>
      <c r="AX244" s="126"/>
      <c r="AY244" s="126"/>
      <c r="AZ244" s="126"/>
      <c r="BA244" s="126"/>
      <c r="BB244" s="21"/>
      <c r="BC244" s="21"/>
      <c r="BD244" s="21"/>
      <c r="BE244" s="21"/>
    </row>
    <row r="245" customFormat="false" ht="14.1" hidden="true" customHeight="true" outlineLevel="1" collapsed="false">
      <c r="A245" s="219"/>
      <c r="B245" s="222" t="s">
        <v>44</v>
      </c>
      <c r="C245" s="222" t="s">
        <v>56</v>
      </c>
      <c r="D245" s="220"/>
      <c r="E245" s="26"/>
      <c r="F245" s="26"/>
      <c r="G245" s="217"/>
      <c r="H245" s="214"/>
      <c r="I245" s="214"/>
      <c r="J245" s="214"/>
      <c r="K245" s="221"/>
      <c r="L245" s="221"/>
      <c r="M245" s="214"/>
      <c r="N245" s="214"/>
      <c r="O245" s="214"/>
      <c r="P245" s="214"/>
      <c r="Q245" s="214"/>
      <c r="R245" s="214"/>
      <c r="S245" s="214"/>
      <c r="T245" s="214"/>
      <c r="U245" s="214"/>
      <c r="V245" s="214"/>
      <c r="W245" s="214"/>
      <c r="X245" s="165"/>
      <c r="Y245" s="165"/>
      <c r="Z245" s="223"/>
      <c r="AA245" s="223"/>
      <c r="AB245" s="214"/>
      <c r="AC245" s="214"/>
      <c r="AD245" s="214"/>
      <c r="AE245" s="221"/>
      <c r="AF245" s="221"/>
      <c r="AG245" s="221"/>
      <c r="AH245" s="52"/>
      <c r="AI245" s="52"/>
      <c r="AJ245" s="52"/>
      <c r="AK245" s="52"/>
      <c r="AL245" s="52"/>
      <c r="AM245" s="52"/>
      <c r="AN245" s="52"/>
      <c r="AO245" s="195"/>
      <c r="AP245" s="195"/>
      <c r="AQ245" s="106"/>
      <c r="AR245" s="106"/>
      <c r="AS245" s="106"/>
      <c r="AT245" s="106"/>
      <c r="AU245" s="106"/>
      <c r="AV245" s="106"/>
      <c r="AW245" s="106"/>
      <c r="AX245" s="126"/>
      <c r="AY245" s="126"/>
      <c r="AZ245" s="126"/>
      <c r="BA245" s="126"/>
      <c r="BB245" s="21"/>
      <c r="BC245" s="21"/>
      <c r="BD245" s="21"/>
      <c r="BE245" s="21"/>
    </row>
    <row r="246" customFormat="false" ht="14.1" hidden="true" customHeight="true" outlineLevel="1" collapsed="false">
      <c r="A246" s="138" t="s">
        <v>67</v>
      </c>
      <c r="B246" s="186"/>
      <c r="C246" s="186"/>
      <c r="D246" s="220"/>
      <c r="E246" s="26"/>
      <c r="F246" s="26"/>
      <c r="G246" s="217"/>
      <c r="H246" s="217"/>
      <c r="I246" s="217"/>
      <c r="J246" s="221"/>
      <c r="K246" s="221"/>
      <c r="L246" s="221"/>
      <c r="M246" s="224"/>
      <c r="N246" s="224"/>
      <c r="O246" s="224"/>
      <c r="P246" s="224"/>
      <c r="Q246" s="224"/>
      <c r="R246" s="224"/>
      <c r="S246" s="224"/>
      <c r="T246" s="224"/>
      <c r="U246" s="221"/>
      <c r="V246" s="221"/>
      <c r="W246" s="221"/>
      <c r="X246" s="165"/>
      <c r="Y246" s="165"/>
      <c r="Z246" s="223"/>
      <c r="AA246" s="223"/>
      <c r="AB246" s="221"/>
      <c r="AC246" s="221"/>
      <c r="AD246" s="221"/>
      <c r="AE246" s="217"/>
      <c r="AF246" s="221"/>
      <c r="AG246" s="221"/>
      <c r="AH246" s="52"/>
      <c r="AI246" s="52"/>
      <c r="AJ246" s="52"/>
      <c r="AK246" s="52"/>
      <c r="AL246" s="52"/>
      <c r="AM246" s="52"/>
      <c r="AN246" s="52"/>
      <c r="AO246" s="195"/>
      <c r="AP246" s="195"/>
      <c r="AQ246" s="106"/>
      <c r="AR246" s="106"/>
      <c r="AS246" s="106"/>
      <c r="AT246" s="106"/>
      <c r="AU246" s="106"/>
      <c r="AV246" s="106"/>
      <c r="AW246" s="106"/>
      <c r="AX246" s="126"/>
      <c r="AY246" s="126"/>
      <c r="AZ246" s="126"/>
      <c r="BA246" s="126"/>
      <c r="BB246" s="21"/>
      <c r="BC246" s="21"/>
      <c r="BD246" s="21"/>
      <c r="BE246" s="21"/>
    </row>
    <row r="247" customFormat="false" ht="14.1" hidden="true" customHeight="true" outlineLevel="1" collapsed="false">
      <c r="A247" s="225" t="s">
        <v>55</v>
      </c>
      <c r="B247" s="135"/>
      <c r="C247" s="26"/>
      <c r="D247" s="220"/>
      <c r="E247" s="26"/>
      <c r="F247" s="26"/>
      <c r="G247" s="217"/>
      <c r="H247" s="226"/>
      <c r="I247" s="226"/>
      <c r="J247" s="221"/>
      <c r="K247" s="221"/>
      <c r="L247" s="221"/>
      <c r="M247" s="224"/>
      <c r="N247" s="224"/>
      <c r="O247" s="224"/>
      <c r="P247" s="224"/>
      <c r="Q247" s="224"/>
      <c r="R247" s="224"/>
      <c r="S247" s="224"/>
      <c r="T247" s="224"/>
      <c r="U247" s="221"/>
      <c r="V247" s="221"/>
      <c r="W247" s="221"/>
      <c r="X247" s="221"/>
      <c r="Y247" s="221"/>
      <c r="Z247" s="221"/>
      <c r="AA247" s="221"/>
      <c r="AB247" s="221"/>
      <c r="AC247" s="221"/>
      <c r="AD247" s="221"/>
      <c r="AE247" s="217"/>
      <c r="AF247" s="217"/>
      <c r="AG247" s="217"/>
      <c r="AH247" s="52"/>
      <c r="AI247" s="52"/>
      <c r="AJ247" s="52"/>
      <c r="AK247" s="52"/>
      <c r="AL247" s="52"/>
      <c r="AM247" s="52"/>
      <c r="AN247" s="52"/>
      <c r="AO247" s="195"/>
      <c r="AP247" s="195"/>
      <c r="AQ247" s="106"/>
      <c r="AR247" s="106"/>
      <c r="AS247" s="106"/>
      <c r="AT247" s="106"/>
      <c r="AU247" s="106"/>
      <c r="AV247" s="106"/>
      <c r="AW247" s="106"/>
      <c r="AX247" s="126"/>
      <c r="AY247" s="126"/>
      <c r="AZ247" s="126"/>
      <c r="BA247" s="126"/>
      <c r="BB247" s="21"/>
      <c r="BC247" s="21"/>
      <c r="BD247" s="21"/>
      <c r="BE247" s="21"/>
    </row>
    <row r="248" customFormat="false" ht="14.1" hidden="true" customHeight="true" outlineLevel="1" collapsed="false">
      <c r="A248" s="227" t="s">
        <v>192</v>
      </c>
      <c r="B248" s="228"/>
      <c r="C248" s="229"/>
      <c r="D248" s="226"/>
      <c r="E248" s="226"/>
      <c r="F248" s="226"/>
      <c r="G248" s="217"/>
      <c r="H248" s="221"/>
      <c r="I248" s="221"/>
      <c r="J248" s="217"/>
      <c r="K248" s="221"/>
      <c r="L248" s="221"/>
      <c r="M248" s="224"/>
      <c r="N248" s="221"/>
      <c r="O248" s="221"/>
      <c r="P248" s="221"/>
      <c r="Q248" s="221"/>
      <c r="R248" s="221"/>
      <c r="S248" s="221"/>
      <c r="T248" s="221"/>
      <c r="U248" s="221"/>
      <c r="V248" s="221"/>
      <c r="W248" s="221"/>
      <c r="X248" s="221"/>
      <c r="Y248" s="221"/>
      <c r="Z248" s="221"/>
      <c r="AA248" s="221"/>
      <c r="AB248" s="217"/>
      <c r="AC248" s="217"/>
      <c r="AD248" s="217"/>
      <c r="AE248" s="217"/>
      <c r="AF248" s="230"/>
      <c r="AG248" s="217"/>
      <c r="AH248" s="52"/>
      <c r="AI248" s="52"/>
      <c r="AJ248" s="52"/>
      <c r="AK248" s="52"/>
      <c r="AL248" s="52"/>
      <c r="AM248" s="52"/>
      <c r="AN248" s="52"/>
      <c r="AO248" s="195"/>
      <c r="AP248" s="195"/>
      <c r="AQ248" s="106"/>
      <c r="AR248" s="106"/>
      <c r="AS248" s="106"/>
      <c r="AT248" s="106"/>
      <c r="AU248" s="106"/>
      <c r="AV248" s="106"/>
      <c r="AW248" s="106"/>
      <c r="AX248" s="126"/>
      <c r="AY248" s="126"/>
      <c r="AZ248" s="126"/>
      <c r="BA248" s="126"/>
      <c r="BB248" s="21"/>
      <c r="BC248" s="21"/>
      <c r="BD248" s="21"/>
      <c r="BE248" s="21"/>
    </row>
    <row r="249" customFormat="false" ht="14.1" hidden="true" customHeight="true" outlineLevel="1" collapsed="false">
      <c r="A249" s="231" t="s">
        <v>101</v>
      </c>
      <c r="B249" s="228"/>
      <c r="C249" s="229"/>
      <c r="D249" s="220"/>
      <c r="E249" s="220"/>
      <c r="F249" s="220"/>
      <c r="G249" s="217"/>
      <c r="H249" s="221"/>
      <c r="I249" s="221"/>
      <c r="J249" s="217"/>
      <c r="K249" s="221"/>
      <c r="L249" s="221"/>
      <c r="M249" s="224"/>
      <c r="N249" s="221"/>
      <c r="O249" s="221"/>
      <c r="P249" s="221"/>
      <c r="Q249" s="221"/>
      <c r="R249" s="221"/>
      <c r="S249" s="221"/>
      <c r="T249" s="221"/>
      <c r="U249" s="221"/>
      <c r="V249" s="221"/>
      <c r="W249" s="221"/>
      <c r="X249" s="221"/>
      <c r="Y249" s="221"/>
      <c r="Z249" s="221"/>
      <c r="AA249" s="221"/>
      <c r="AB249" s="217"/>
      <c r="AC249" s="217"/>
      <c r="AD249" s="217"/>
      <c r="AE249" s="217"/>
      <c r="AF249" s="221"/>
      <c r="AG249" s="217"/>
      <c r="AH249" s="52"/>
      <c r="AI249" s="52"/>
      <c r="AJ249" s="52"/>
      <c r="AK249" s="52"/>
      <c r="AL249" s="52"/>
      <c r="AM249" s="52"/>
      <c r="AN249" s="52"/>
      <c r="AO249" s="195"/>
      <c r="AP249" s="195"/>
      <c r="AQ249" s="106"/>
      <c r="AR249" s="106"/>
      <c r="AS249" s="106"/>
      <c r="AT249" s="106"/>
      <c r="AU249" s="106"/>
      <c r="AV249" s="106"/>
      <c r="AW249" s="106"/>
      <c r="AX249" s="126"/>
      <c r="AY249" s="126"/>
      <c r="AZ249" s="126"/>
      <c r="BA249" s="126"/>
      <c r="BB249" s="21"/>
      <c r="BC249" s="21"/>
      <c r="BD249" s="21"/>
      <c r="BE249" s="21"/>
    </row>
    <row r="250" customFormat="false" ht="14.1" hidden="true" customHeight="true" outlineLevel="1" collapsed="false">
      <c r="A250" s="163" t="s">
        <v>193</v>
      </c>
      <c r="B250" s="119" t="s">
        <v>15</v>
      </c>
      <c r="C250" s="232" t="n">
        <v>0.8</v>
      </c>
      <c r="D250" s="220"/>
      <c r="E250" s="220"/>
      <c r="F250" s="220"/>
      <c r="G250" s="217"/>
      <c r="H250" s="217"/>
      <c r="I250" s="217"/>
      <c r="J250" s="217"/>
      <c r="K250" s="221"/>
      <c r="L250" s="221"/>
      <c r="M250" s="224"/>
      <c r="N250" s="221"/>
      <c r="O250" s="221"/>
      <c r="P250" s="221"/>
      <c r="Q250" s="221"/>
      <c r="R250" s="221"/>
      <c r="S250" s="233"/>
      <c r="T250" s="221"/>
      <c r="U250" s="221"/>
      <c r="V250" s="221"/>
      <c r="W250" s="221"/>
      <c r="X250" s="221"/>
      <c r="Y250" s="221"/>
      <c r="Z250" s="221"/>
      <c r="AA250" s="221"/>
      <c r="AB250" s="217"/>
      <c r="AC250" s="217"/>
      <c r="AD250" s="217"/>
      <c r="AE250" s="217"/>
      <c r="AF250" s="221"/>
      <c r="AG250" s="217"/>
      <c r="AH250" s="52"/>
      <c r="AI250" s="52"/>
      <c r="AJ250" s="52"/>
      <c r="AK250" s="52"/>
      <c r="AL250" s="52"/>
      <c r="AM250" s="52"/>
      <c r="AN250" s="52"/>
      <c r="AO250" s="195"/>
      <c r="AP250" s="195"/>
      <c r="AQ250" s="106"/>
      <c r="AR250" s="106"/>
      <c r="AS250" s="106"/>
      <c r="AT250" s="106"/>
      <c r="AU250" s="106"/>
      <c r="AV250" s="106"/>
      <c r="AW250" s="106"/>
      <c r="AX250" s="126"/>
      <c r="AY250" s="126"/>
      <c r="AZ250" s="126"/>
      <c r="BA250" s="126"/>
      <c r="BB250" s="21"/>
      <c r="BC250" s="21"/>
      <c r="BD250" s="21"/>
      <c r="BE250" s="21"/>
    </row>
    <row r="251" customFormat="false" ht="14.1" hidden="true" customHeight="true" outlineLevel="1" collapsed="false">
      <c r="A251" s="163" t="s">
        <v>194</v>
      </c>
      <c r="B251" s="119" t="s">
        <v>15</v>
      </c>
      <c r="C251" s="232" t="n">
        <v>1</v>
      </c>
      <c r="D251" s="220"/>
      <c r="E251" s="217"/>
      <c r="F251" s="234" t="s">
        <v>195</v>
      </c>
      <c r="G251" s="217"/>
      <c r="H251" s="217"/>
      <c r="I251" s="217"/>
      <c r="J251" s="217"/>
      <c r="K251" s="221"/>
      <c r="L251" s="221"/>
      <c r="M251" s="224"/>
      <c r="N251" s="221"/>
      <c r="O251" s="221"/>
      <c r="P251" s="221"/>
      <c r="Q251" s="221"/>
      <c r="R251" s="221"/>
      <c r="S251" s="221"/>
      <c r="T251" s="221"/>
      <c r="U251" s="221"/>
      <c r="V251" s="221"/>
      <c r="W251" s="221"/>
      <c r="X251" s="221"/>
      <c r="Y251" s="221"/>
      <c r="Z251" s="221"/>
      <c r="AA251" s="221"/>
      <c r="AB251" s="217"/>
      <c r="AC251" s="217"/>
      <c r="AD251" s="217" t="s">
        <v>196</v>
      </c>
      <c r="AE251" s="217"/>
      <c r="AF251" s="226"/>
      <c r="AG251" s="226"/>
      <c r="AH251" s="52"/>
      <c r="AI251" s="52"/>
      <c r="AJ251" s="52"/>
      <c r="AK251" s="52"/>
      <c r="AL251" s="52"/>
      <c r="AM251" s="52"/>
      <c r="AN251" s="52"/>
      <c r="AO251" s="195"/>
      <c r="AP251" s="195"/>
      <c r="AQ251" s="106"/>
      <c r="AR251" s="106"/>
      <c r="AS251" s="106"/>
      <c r="AT251" s="106"/>
      <c r="AU251" s="106"/>
      <c r="AV251" s="106"/>
      <c r="AW251" s="106"/>
      <c r="AX251" s="126"/>
      <c r="AY251" s="126"/>
      <c r="AZ251" s="126"/>
      <c r="BA251" s="126"/>
      <c r="BB251" s="21"/>
      <c r="BC251" s="21"/>
      <c r="BD251" s="21"/>
      <c r="BE251" s="21"/>
    </row>
    <row r="252" customFormat="false" ht="14.1" hidden="true" customHeight="true" outlineLevel="1" collapsed="false">
      <c r="A252" s="163" t="s">
        <v>197</v>
      </c>
      <c r="B252" s="119" t="s">
        <v>15</v>
      </c>
      <c r="C252" s="232" t="n">
        <v>0.7</v>
      </c>
      <c r="D252" s="220"/>
      <c r="E252" s="217"/>
      <c r="F252" s="234"/>
      <c r="G252" s="217"/>
      <c r="H252" s="217"/>
      <c r="I252" s="217"/>
      <c r="J252" s="217"/>
      <c r="K252" s="221"/>
      <c r="L252" s="221"/>
      <c r="M252" s="224"/>
      <c r="N252" s="221"/>
      <c r="O252" s="221"/>
      <c r="P252" s="221"/>
      <c r="Q252" s="221"/>
      <c r="R252" s="221"/>
      <c r="S252" s="221"/>
      <c r="T252" s="221"/>
      <c r="U252" s="221"/>
      <c r="V252" s="221"/>
      <c r="W252" s="221"/>
      <c r="X252" s="221"/>
      <c r="Y252" s="221"/>
      <c r="Z252" s="221"/>
      <c r="AA252" s="221"/>
      <c r="AB252" s="217"/>
      <c r="AC252" s="217"/>
      <c r="AD252" s="221"/>
      <c r="AE252" s="132"/>
      <c r="AF252" s="221"/>
      <c r="AG252" s="221"/>
      <c r="AH252" s="52"/>
      <c r="AI252" s="52"/>
      <c r="AJ252" s="52"/>
      <c r="AK252" s="52"/>
      <c r="AL252" s="52"/>
      <c r="AM252" s="52"/>
      <c r="AN252" s="52"/>
      <c r="AO252" s="195"/>
      <c r="AP252" s="195"/>
      <c r="AQ252" s="106"/>
      <c r="AR252" s="106"/>
      <c r="AS252" s="106"/>
      <c r="AT252" s="106"/>
      <c r="AU252" s="106"/>
      <c r="AV252" s="106"/>
      <c r="AW252" s="106"/>
      <c r="AX252" s="126"/>
      <c r="AY252" s="126"/>
      <c r="AZ252" s="126"/>
      <c r="BA252" s="126"/>
      <c r="BB252" s="21"/>
      <c r="BC252" s="21"/>
      <c r="BD252" s="21"/>
      <c r="BE252" s="21"/>
    </row>
    <row r="253" customFormat="false" ht="14.1" hidden="true" customHeight="true" outlineLevel="1" collapsed="false">
      <c r="A253" s="163" t="s">
        <v>198</v>
      </c>
      <c r="B253" s="119" t="s">
        <v>15</v>
      </c>
      <c r="C253" s="232" t="n">
        <v>1</v>
      </c>
      <c r="D253" s="220"/>
      <c r="E253" s="217"/>
      <c r="F253" s="234"/>
      <c r="G253" s="221"/>
      <c r="H253" s="217"/>
      <c r="I253" s="217"/>
      <c r="J253" s="217"/>
      <c r="K253" s="221"/>
      <c r="L253" s="221"/>
      <c r="M253" s="224"/>
      <c r="N253" s="221"/>
      <c r="O253" s="221"/>
      <c r="P253" s="221"/>
      <c r="Q253" s="221"/>
      <c r="R253" s="221"/>
      <c r="S253" s="221"/>
      <c r="T253" s="221"/>
      <c r="U253" s="221"/>
      <c r="V253" s="221"/>
      <c r="W253" s="221"/>
      <c r="X253" s="221"/>
      <c r="Y253" s="221"/>
      <c r="Z253" s="221"/>
      <c r="AA253" s="221"/>
      <c r="AB253" s="217"/>
      <c r="AC253" s="217"/>
      <c r="AD253" s="217"/>
      <c r="AE253" s="132"/>
      <c r="AF253" s="221"/>
      <c r="AG253" s="221"/>
      <c r="AH253" s="52"/>
      <c r="AI253" s="52"/>
      <c r="AJ253" s="52"/>
      <c r="AK253" s="52"/>
      <c r="AL253" s="52"/>
      <c r="AM253" s="52"/>
      <c r="AN253" s="52"/>
      <c r="AO253" s="195"/>
      <c r="AP253" s="195"/>
      <c r="AQ253" s="106"/>
      <c r="AR253" s="106"/>
      <c r="AS253" s="106"/>
      <c r="AT253" s="106"/>
      <c r="AU253" s="106"/>
      <c r="AV253" s="106"/>
      <c r="AW253" s="106"/>
      <c r="AX253" s="126"/>
      <c r="AY253" s="126"/>
      <c r="AZ253" s="126"/>
      <c r="BA253" s="126"/>
      <c r="BB253" s="21"/>
      <c r="BC253" s="21"/>
      <c r="BD253" s="21"/>
      <c r="BE253" s="21"/>
    </row>
    <row r="254" customFormat="false" ht="14.1" hidden="true" customHeight="true" outlineLevel="1" collapsed="false">
      <c r="A254" s="138"/>
      <c r="B254" s="235"/>
      <c r="C254" s="138"/>
      <c r="D254" s="220"/>
      <c r="E254" s="217"/>
      <c r="F254" s="234"/>
      <c r="G254" s="221"/>
      <c r="H254" s="217"/>
      <c r="I254" s="217"/>
      <c r="J254" s="217"/>
      <c r="K254" s="221"/>
      <c r="L254" s="221"/>
      <c r="M254" s="224"/>
      <c r="N254" s="221"/>
      <c r="O254" s="221"/>
      <c r="P254" s="221"/>
      <c r="Q254" s="221"/>
      <c r="R254" s="221"/>
      <c r="S254" s="221"/>
      <c r="T254" s="221"/>
      <c r="U254" s="221"/>
      <c r="V254" s="221"/>
      <c r="W254" s="221"/>
      <c r="X254" s="221"/>
      <c r="Y254" s="221"/>
      <c r="Z254" s="221"/>
      <c r="AA254" s="221"/>
      <c r="AB254" s="217"/>
      <c r="AC254" s="217"/>
      <c r="AD254" s="217"/>
      <c r="AE254" s="132"/>
      <c r="AF254" s="217"/>
      <c r="AG254" s="217"/>
      <c r="AH254" s="52"/>
      <c r="AI254" s="52"/>
      <c r="AJ254" s="52"/>
      <c r="AK254" s="52"/>
      <c r="AL254" s="52"/>
      <c r="AM254" s="52"/>
      <c r="AN254" s="52"/>
      <c r="AO254" s="195"/>
      <c r="AP254" s="195"/>
      <c r="AQ254" s="106"/>
      <c r="AR254" s="106"/>
      <c r="AS254" s="106"/>
      <c r="AT254" s="106"/>
      <c r="AU254" s="106"/>
      <c r="AV254" s="106"/>
      <c r="AW254" s="106"/>
      <c r="AX254" s="126"/>
      <c r="AY254" s="126"/>
      <c r="AZ254" s="126"/>
      <c r="BA254" s="126"/>
      <c r="BB254" s="21"/>
      <c r="BC254" s="21"/>
      <c r="BD254" s="21"/>
      <c r="BE254" s="21"/>
    </row>
    <row r="255" customFormat="false" ht="14.1" hidden="true" customHeight="true" outlineLevel="1" collapsed="false">
      <c r="A255" s="236" t="s">
        <v>199</v>
      </c>
      <c r="B255" s="148" t="s">
        <v>162</v>
      </c>
      <c r="C255" s="148" t="s">
        <v>200</v>
      </c>
      <c r="D255" s="180" t="s">
        <v>116</v>
      </c>
      <c r="E255" s="217"/>
      <c r="F255" s="217"/>
      <c r="G255" s="221"/>
      <c r="H255" s="217"/>
      <c r="I255" s="217"/>
      <c r="J255" s="217"/>
      <c r="K255" s="221"/>
      <c r="L255" s="221"/>
      <c r="M255" s="224"/>
      <c r="N255" s="221"/>
      <c r="O255" s="221"/>
      <c r="P255" s="221"/>
      <c r="Q255" s="221"/>
      <c r="R255" s="221"/>
      <c r="S255" s="221"/>
      <c r="T255" s="221"/>
      <c r="U255" s="221"/>
      <c r="V255" s="221"/>
      <c r="W255" s="221"/>
      <c r="X255" s="221"/>
      <c r="Y255" s="221"/>
      <c r="Z255" s="221"/>
      <c r="AA255" s="221"/>
      <c r="AB255" s="217"/>
      <c r="AC255" s="217"/>
      <c r="AD255" s="217"/>
      <c r="AE255" s="221"/>
      <c r="AF255" s="226"/>
      <c r="AG255" s="226"/>
      <c r="AH255" s="52"/>
      <c r="AI255" s="52"/>
      <c r="AJ255" s="52"/>
      <c r="AK255" s="52"/>
      <c r="AL255" s="52"/>
      <c r="AM255" s="52"/>
      <c r="AN255" s="52"/>
      <c r="AO255" s="195"/>
      <c r="AP255" s="195"/>
      <c r="AQ255" s="106"/>
      <c r="AR255" s="106"/>
      <c r="AS255" s="106"/>
      <c r="AT255" s="106"/>
      <c r="AU255" s="106"/>
      <c r="AV255" s="106"/>
      <c r="AW255" s="106"/>
      <c r="AX255" s="126"/>
      <c r="AY255" s="126"/>
      <c r="AZ255" s="126"/>
      <c r="BA255" s="126"/>
      <c r="BB255" s="21"/>
      <c r="BC255" s="21"/>
      <c r="BD255" s="21"/>
      <c r="BE255" s="21"/>
    </row>
    <row r="256" customFormat="false" ht="14.1" hidden="true" customHeight="true" outlineLevel="1" collapsed="false">
      <c r="A256" s="236"/>
      <c r="B256" s="148" t="s">
        <v>15</v>
      </c>
      <c r="C256" s="151" t="n">
        <v>3</v>
      </c>
      <c r="D256" s="237" t="n">
        <v>2</v>
      </c>
      <c r="E256" s="217"/>
      <c r="F256" s="217"/>
      <c r="G256" s="214"/>
      <c r="H256" s="217" t="s">
        <v>201</v>
      </c>
      <c r="I256" s="217"/>
      <c r="J256" s="217"/>
      <c r="K256" s="221"/>
      <c r="L256" s="221"/>
      <c r="M256" s="224"/>
      <c r="N256" s="221"/>
      <c r="O256" s="221"/>
      <c r="P256" s="221"/>
      <c r="Q256" s="221"/>
      <c r="R256" s="221"/>
      <c r="S256" s="221"/>
      <c r="T256" s="221"/>
      <c r="U256" s="221"/>
      <c r="V256" s="221"/>
      <c r="W256" s="221"/>
      <c r="X256" s="221"/>
      <c r="Y256" s="221"/>
      <c r="Z256" s="221"/>
      <c r="AA256" s="221"/>
      <c r="AB256" s="217"/>
      <c r="AC256" s="217"/>
      <c r="AD256" s="217"/>
      <c r="AE256" s="214"/>
      <c r="AF256" s="221"/>
      <c r="AG256" s="221"/>
      <c r="AH256" s="52"/>
      <c r="AI256" s="52"/>
      <c r="AJ256" s="52"/>
      <c r="AK256" s="52"/>
      <c r="AL256" s="52"/>
      <c r="AM256" s="52"/>
      <c r="AN256" s="52"/>
      <c r="AO256" s="195"/>
      <c r="AP256" s="195"/>
      <c r="AQ256" s="106"/>
      <c r="AR256" s="106"/>
      <c r="AS256" s="106"/>
      <c r="AT256" s="106"/>
      <c r="AU256" s="106"/>
      <c r="AV256" s="106"/>
      <c r="AW256" s="106"/>
      <c r="AX256" s="126"/>
      <c r="AY256" s="126"/>
      <c r="AZ256" s="126"/>
      <c r="BA256" s="126"/>
      <c r="BB256" s="21"/>
      <c r="BC256" s="21"/>
      <c r="BD256" s="21"/>
      <c r="BE256" s="21"/>
    </row>
    <row r="257" customFormat="false" ht="14.1" hidden="true" customHeight="true" outlineLevel="1" collapsed="false">
      <c r="A257" s="236" t="s">
        <v>202</v>
      </c>
      <c r="B257" s="148" t="s">
        <v>162</v>
      </c>
      <c r="C257" s="148" t="s">
        <v>200</v>
      </c>
      <c r="D257" s="180" t="s">
        <v>116</v>
      </c>
      <c r="E257" s="217"/>
      <c r="F257" s="217"/>
      <c r="G257" s="217"/>
      <c r="H257" s="217"/>
      <c r="I257" s="217"/>
      <c r="J257" s="217"/>
      <c r="K257" s="221"/>
      <c r="L257" s="221"/>
      <c r="M257" s="224"/>
      <c r="N257" s="221"/>
      <c r="O257" s="221"/>
      <c r="P257" s="221"/>
      <c r="Q257" s="221"/>
      <c r="R257" s="221"/>
      <c r="S257" s="221"/>
      <c r="T257" s="221"/>
      <c r="U257" s="221"/>
      <c r="V257" s="221"/>
      <c r="W257" s="221"/>
      <c r="X257" s="221"/>
      <c r="Y257" s="221"/>
      <c r="Z257" s="221"/>
      <c r="AA257" s="221"/>
      <c r="AB257" s="217"/>
      <c r="AC257" s="217"/>
      <c r="AD257" s="217"/>
      <c r="AE257" s="221"/>
      <c r="AF257" s="221"/>
      <c r="AG257" s="221"/>
      <c r="AH257" s="52"/>
      <c r="AI257" s="52"/>
      <c r="AJ257" s="52"/>
      <c r="AK257" s="52"/>
      <c r="AL257" s="52"/>
      <c r="AM257" s="52"/>
      <c r="AN257" s="52"/>
      <c r="AO257" s="195"/>
      <c r="AP257" s="195"/>
      <c r="AQ257" s="106"/>
      <c r="AR257" s="106"/>
      <c r="AS257" s="106"/>
      <c r="AT257" s="106"/>
      <c r="AU257" s="106"/>
      <c r="AV257" s="106"/>
      <c r="AW257" s="106"/>
      <c r="AX257" s="126"/>
      <c r="AY257" s="126"/>
      <c r="AZ257" s="126"/>
      <c r="BA257" s="126"/>
      <c r="BB257" s="21"/>
      <c r="BC257" s="21"/>
      <c r="BD257" s="21"/>
      <c r="BE257" s="21"/>
    </row>
    <row r="258" customFormat="false" ht="14.1" hidden="true" customHeight="true" outlineLevel="1" collapsed="false">
      <c r="A258" s="236"/>
      <c r="B258" s="148" t="s">
        <v>15</v>
      </c>
      <c r="C258" s="151"/>
      <c r="D258" s="237"/>
      <c r="E258" s="26"/>
      <c r="F258" s="26"/>
      <c r="G258" s="217"/>
      <c r="H258" s="217"/>
      <c r="I258" s="217"/>
      <c r="J258" s="217"/>
      <c r="K258" s="221"/>
      <c r="L258" s="221"/>
      <c r="M258" s="224"/>
      <c r="N258" s="221"/>
      <c r="O258" s="221"/>
      <c r="P258" s="221"/>
      <c r="Q258" s="221"/>
      <c r="R258" s="221"/>
      <c r="S258" s="221"/>
      <c r="T258" s="221"/>
      <c r="U258" s="221"/>
      <c r="V258" s="221"/>
      <c r="W258" s="221"/>
      <c r="X258" s="221"/>
      <c r="Y258" s="221"/>
      <c r="Z258" s="221"/>
      <c r="AA258" s="221"/>
      <c r="AB258" s="217"/>
      <c r="AC258" s="217"/>
      <c r="AD258" s="217"/>
      <c r="AE258" s="221"/>
      <c r="AF258" s="132"/>
      <c r="AG258" s="217"/>
      <c r="AH258" s="52"/>
      <c r="AI258" s="52"/>
      <c r="AJ258" s="52"/>
      <c r="AK258" s="52"/>
      <c r="AL258" s="52"/>
      <c r="AM258" s="52"/>
      <c r="AN258" s="52"/>
      <c r="AO258" s="195"/>
      <c r="AP258" s="195"/>
      <c r="AQ258" s="106"/>
      <c r="AR258" s="106"/>
      <c r="AS258" s="106"/>
      <c r="AT258" s="106"/>
      <c r="AU258" s="106"/>
      <c r="AV258" s="106"/>
      <c r="AW258" s="106"/>
      <c r="AX258" s="126"/>
      <c r="AY258" s="126"/>
      <c r="AZ258" s="126"/>
      <c r="BA258" s="126"/>
      <c r="BB258" s="21"/>
      <c r="BC258" s="21"/>
      <c r="BD258" s="21"/>
      <c r="BE258" s="21"/>
    </row>
    <row r="259" customFormat="false" ht="14.1" hidden="true" customHeight="true" outlineLevel="1" collapsed="false">
      <c r="A259" s="238" t="s">
        <v>203</v>
      </c>
      <c r="B259" s="148" t="s">
        <v>162</v>
      </c>
      <c r="C259" s="148" t="s">
        <v>200</v>
      </c>
      <c r="D259" s="180" t="s">
        <v>204</v>
      </c>
      <c r="E259" s="26"/>
      <c r="F259" s="26"/>
      <c r="G259" s="217"/>
      <c r="H259" s="221"/>
      <c r="I259" s="221"/>
      <c r="J259" s="221" t="s">
        <v>205</v>
      </c>
      <c r="K259" s="221"/>
      <c r="L259" s="221"/>
      <c r="M259" s="221"/>
      <c r="N259" s="221"/>
      <c r="O259" s="221"/>
      <c r="P259" s="221"/>
      <c r="Q259" s="221"/>
      <c r="R259" s="221"/>
      <c r="S259" s="221"/>
      <c r="T259" s="26"/>
      <c r="U259" s="221"/>
      <c r="V259" s="221"/>
      <c r="W259" s="221" t="s">
        <v>206</v>
      </c>
      <c r="X259" s="221"/>
      <c r="Y259" s="221"/>
      <c r="Z259" s="165"/>
      <c r="AA259" s="221"/>
      <c r="AB259" s="217"/>
      <c r="AC259" s="217"/>
      <c r="AD259" s="217"/>
      <c r="AE259" s="217"/>
      <c r="AF259" s="226"/>
      <c r="AG259" s="226"/>
      <c r="AH259" s="52"/>
      <c r="AI259" s="52"/>
      <c r="AJ259" s="52"/>
      <c r="AK259" s="52"/>
      <c r="AL259" s="52"/>
      <c r="AM259" s="52"/>
      <c r="AN259" s="52"/>
      <c r="AO259" s="195"/>
      <c r="AP259" s="195"/>
      <c r="AQ259" s="106"/>
      <c r="AR259" s="106"/>
      <c r="AS259" s="106"/>
      <c r="AT259" s="106"/>
      <c r="AU259" s="106"/>
      <c r="AV259" s="106"/>
      <c r="AW259" s="106"/>
      <c r="AX259" s="126"/>
      <c r="AY259" s="126"/>
      <c r="AZ259" s="126"/>
      <c r="BA259" s="126"/>
      <c r="BB259" s="21"/>
      <c r="BC259" s="21"/>
      <c r="BD259" s="21"/>
      <c r="BE259" s="21"/>
    </row>
    <row r="260" customFormat="false" ht="14.1" hidden="true" customHeight="true" outlineLevel="1" collapsed="false">
      <c r="A260" s="231" t="s">
        <v>36</v>
      </c>
      <c r="B260" s="148" t="s">
        <v>15</v>
      </c>
      <c r="C260" s="151"/>
      <c r="D260" s="239"/>
      <c r="E260" s="26"/>
      <c r="F260" s="26"/>
      <c r="G260" s="217"/>
      <c r="H260" s="221"/>
      <c r="I260" s="221"/>
      <c r="J260" s="217"/>
      <c r="K260" s="221"/>
      <c r="L260" s="221"/>
      <c r="M260" s="26"/>
      <c r="N260" s="26"/>
      <c r="O260" s="221"/>
      <c r="P260" s="221"/>
      <c r="Q260" s="221"/>
      <c r="R260" s="221"/>
      <c r="S260" s="150"/>
      <c r="T260" s="221" t="s">
        <v>207</v>
      </c>
      <c r="U260" s="221"/>
      <c r="V260" s="221"/>
      <c r="W260" s="221"/>
      <c r="X260" s="221" t="s">
        <v>208</v>
      </c>
      <c r="Y260" s="221"/>
      <c r="Z260" s="221"/>
      <c r="AA260" s="221"/>
      <c r="AB260" s="217"/>
      <c r="AC260" s="217"/>
      <c r="AD260" s="217"/>
      <c r="AE260" s="230"/>
      <c r="AF260" s="221"/>
      <c r="AG260" s="221"/>
      <c r="AH260" s="52"/>
      <c r="AI260" s="52"/>
      <c r="AJ260" s="52"/>
      <c r="AK260" s="52"/>
      <c r="AL260" s="52"/>
      <c r="AM260" s="52"/>
      <c r="AN260" s="52"/>
      <c r="AO260" s="195"/>
      <c r="AP260" s="195"/>
      <c r="AQ260" s="106"/>
      <c r="AR260" s="106"/>
      <c r="AS260" s="106"/>
      <c r="AT260" s="106"/>
      <c r="AU260" s="106"/>
      <c r="AV260" s="106"/>
      <c r="AW260" s="106"/>
      <c r="AX260" s="126"/>
      <c r="AY260" s="126"/>
      <c r="AZ260" s="126"/>
      <c r="BA260" s="126"/>
      <c r="BB260" s="21"/>
      <c r="BC260" s="21"/>
      <c r="BD260" s="21"/>
      <c r="BE260" s="21"/>
    </row>
    <row r="261" customFormat="false" ht="14.1" hidden="true" customHeight="true" outlineLevel="1" collapsed="false">
      <c r="A261" s="138" t="s">
        <v>209</v>
      </c>
      <c r="B261" s="135"/>
      <c r="C261" s="26"/>
      <c r="D261" s="220"/>
      <c r="E261" s="26"/>
      <c r="F261" s="26"/>
      <c r="G261" s="217"/>
      <c r="H261" s="221"/>
      <c r="I261" s="221"/>
      <c r="J261" s="217"/>
      <c r="K261" s="221"/>
      <c r="L261" s="221"/>
      <c r="M261" s="26"/>
      <c r="N261" s="26"/>
      <c r="O261" s="221"/>
      <c r="P261" s="221"/>
      <c r="Q261" s="221"/>
      <c r="R261" s="221"/>
      <c r="S261" s="150"/>
      <c r="T261" s="150"/>
      <c r="U261" s="221"/>
      <c r="V261" s="221"/>
      <c r="W261" s="221"/>
      <c r="X261" s="221"/>
      <c r="Y261" s="221"/>
      <c r="Z261" s="221"/>
      <c r="AA261" s="221"/>
      <c r="AB261" s="221"/>
      <c r="AC261" s="221"/>
      <c r="AD261" s="221"/>
      <c r="AE261" s="221"/>
      <c r="AF261" s="221"/>
      <c r="AG261" s="221"/>
      <c r="AH261" s="52"/>
      <c r="AI261" s="52"/>
      <c r="AJ261" s="52"/>
      <c r="AK261" s="52"/>
      <c r="AL261" s="52"/>
      <c r="AM261" s="52"/>
      <c r="AN261" s="52"/>
      <c r="AO261" s="195"/>
      <c r="AP261" s="195"/>
      <c r="AQ261" s="106"/>
      <c r="AR261" s="106"/>
      <c r="AS261" s="106"/>
      <c r="AT261" s="106"/>
      <c r="AU261" s="106"/>
      <c r="AV261" s="106"/>
      <c r="AW261" s="106"/>
      <c r="AX261" s="126"/>
      <c r="AY261" s="126"/>
      <c r="AZ261" s="126"/>
      <c r="BA261" s="126"/>
      <c r="BB261" s="21"/>
      <c r="BC261" s="21"/>
      <c r="BD261" s="21"/>
      <c r="BE261" s="21"/>
    </row>
    <row r="262" customFormat="false" ht="14.1" hidden="true" customHeight="true" outlineLevel="1" collapsed="false">
      <c r="A262" s="240" t="s">
        <v>210</v>
      </c>
      <c r="B262" s="241"/>
      <c r="C262" s="229"/>
      <c r="D262" s="220"/>
      <c r="E262" s="221"/>
      <c r="F262" s="221"/>
      <c r="G262" s="217"/>
      <c r="H262" s="214"/>
      <c r="I262" s="214"/>
      <c r="J262" s="214"/>
      <c r="K262" s="221"/>
      <c r="L262" s="221"/>
      <c r="M262" s="214"/>
      <c r="N262" s="214"/>
      <c r="O262" s="214"/>
      <c r="P262" s="214"/>
      <c r="Q262" s="214"/>
      <c r="R262" s="214"/>
      <c r="S262" s="214"/>
      <c r="T262" s="214"/>
      <c r="U262" s="214"/>
      <c r="V262" s="214"/>
      <c r="W262" s="214"/>
      <c r="X262" s="165"/>
      <c r="Y262" s="165"/>
      <c r="Z262" s="223"/>
      <c r="AA262" s="223"/>
      <c r="AB262" s="214"/>
      <c r="AC262" s="214"/>
      <c r="AD262" s="214"/>
      <c r="AE262" s="221"/>
      <c r="AF262" s="132"/>
      <c r="AG262" s="132"/>
      <c r="AH262" s="52"/>
      <c r="AI262" s="52"/>
      <c r="AJ262" s="52"/>
      <c r="AK262" s="52"/>
      <c r="AL262" s="52"/>
      <c r="AM262" s="52"/>
      <c r="AN262" s="52"/>
      <c r="AO262" s="195"/>
      <c r="AP262" s="195"/>
      <c r="AQ262" s="106"/>
      <c r="AR262" s="106"/>
      <c r="AS262" s="106"/>
      <c r="AT262" s="106"/>
      <c r="AU262" s="106"/>
      <c r="AV262" s="106"/>
      <c r="AW262" s="106"/>
      <c r="AX262" s="126"/>
      <c r="AY262" s="126"/>
      <c r="AZ262" s="126"/>
      <c r="BA262" s="126"/>
      <c r="BB262" s="21"/>
      <c r="BC262" s="21"/>
      <c r="BD262" s="21"/>
      <c r="BE262" s="21"/>
    </row>
    <row r="263" customFormat="false" ht="14.1" hidden="true" customHeight="true" outlineLevel="1" collapsed="false">
      <c r="A263" s="138" t="s">
        <v>211</v>
      </c>
      <c r="B263" s="135"/>
      <c r="C263" s="26"/>
      <c r="D263" s="220"/>
      <c r="E263" s="221"/>
      <c r="F263" s="221"/>
      <c r="G263" s="217"/>
      <c r="H263" s="217"/>
      <c r="I263" s="217"/>
      <c r="J263" s="221"/>
      <c r="K263" s="221"/>
      <c r="L263" s="221"/>
      <c r="M263" s="224"/>
      <c r="N263" s="224"/>
      <c r="O263" s="224"/>
      <c r="P263" s="224"/>
      <c r="Q263" s="224"/>
      <c r="R263" s="224"/>
      <c r="S263" s="224"/>
      <c r="T263" s="224"/>
      <c r="U263" s="221"/>
      <c r="V263" s="221"/>
      <c r="W263" s="221"/>
      <c r="X263" s="165"/>
      <c r="Y263" s="165"/>
      <c r="Z263" s="223"/>
      <c r="AA263" s="223"/>
      <c r="AB263" s="221"/>
      <c r="AC263" s="221"/>
      <c r="AD263" s="221"/>
      <c r="AE263" s="217"/>
      <c r="AF263" s="226"/>
      <c r="AG263" s="226"/>
      <c r="AH263" s="52"/>
      <c r="AI263" s="52"/>
      <c r="AJ263" s="52"/>
      <c r="AK263" s="52"/>
      <c r="AL263" s="52"/>
      <c r="AM263" s="52"/>
      <c r="AN263" s="52"/>
      <c r="AO263" s="195"/>
      <c r="AP263" s="195"/>
      <c r="AQ263" s="106"/>
      <c r="AR263" s="106"/>
      <c r="AS263" s="106"/>
      <c r="AT263" s="106"/>
      <c r="AU263" s="106"/>
      <c r="AV263" s="106"/>
      <c r="AW263" s="106"/>
      <c r="AX263" s="126"/>
      <c r="AY263" s="126"/>
      <c r="AZ263" s="126"/>
      <c r="BA263" s="126"/>
      <c r="BB263" s="21"/>
      <c r="BC263" s="21"/>
      <c r="BD263" s="21"/>
      <c r="BE263" s="21"/>
    </row>
    <row r="264" customFormat="false" ht="14.1" hidden="true" customHeight="true" outlineLevel="1" collapsed="false">
      <c r="A264" s="242" t="s">
        <v>212</v>
      </c>
      <c r="B264" s="135"/>
      <c r="C264" s="26"/>
      <c r="D264" s="220"/>
      <c r="E264" s="221"/>
      <c r="F264" s="221"/>
      <c r="G264" s="217"/>
      <c r="H264" s="226"/>
      <c r="I264" s="226"/>
      <c r="J264" s="221"/>
      <c r="K264" s="221"/>
      <c r="L264" s="221"/>
      <c r="M264" s="224"/>
      <c r="N264" s="224"/>
      <c r="O264" s="224"/>
      <c r="P264" s="224"/>
      <c r="Q264" s="224"/>
      <c r="R264" s="224"/>
      <c r="S264" s="224"/>
      <c r="T264" s="224"/>
      <c r="U264" s="221"/>
      <c r="V264" s="221"/>
      <c r="W264" s="221"/>
      <c r="X264" s="221"/>
      <c r="Y264" s="221"/>
      <c r="Z264" s="221"/>
      <c r="AA264" s="221"/>
      <c r="AB264" s="221"/>
      <c r="AC264" s="221"/>
      <c r="AD264" s="221"/>
      <c r="AE264" s="217"/>
      <c r="AF264" s="221"/>
      <c r="AG264" s="221"/>
      <c r="AH264" s="52"/>
      <c r="AI264" s="52"/>
      <c r="AJ264" s="52"/>
      <c r="AK264" s="52"/>
      <c r="AL264" s="52"/>
      <c r="AM264" s="52"/>
      <c r="AN264" s="52"/>
      <c r="AO264" s="195"/>
      <c r="AP264" s="195"/>
      <c r="AQ264" s="106"/>
      <c r="AR264" s="106"/>
      <c r="AS264" s="106"/>
      <c r="AT264" s="106"/>
      <c r="AU264" s="106"/>
      <c r="AV264" s="106"/>
      <c r="AW264" s="106"/>
      <c r="AX264" s="126"/>
      <c r="AY264" s="126"/>
      <c r="AZ264" s="126"/>
      <c r="BA264" s="126"/>
      <c r="BB264" s="21"/>
      <c r="BC264" s="21"/>
      <c r="BD264" s="21"/>
      <c r="BE264" s="21"/>
    </row>
    <row r="265" customFormat="false" ht="14.1" hidden="true" customHeight="true" outlineLevel="1" collapsed="false">
      <c r="A265" s="138" t="s">
        <v>213</v>
      </c>
      <c r="B265" s="135"/>
      <c r="C265" s="26"/>
      <c r="D265" s="220"/>
      <c r="E265" s="221"/>
      <c r="F265" s="221"/>
      <c r="G265" s="217"/>
      <c r="H265" s="221"/>
      <c r="I265" s="221"/>
      <c r="J265" s="217"/>
      <c r="K265" s="221"/>
      <c r="L265" s="221"/>
      <c r="M265" s="224"/>
      <c r="N265" s="221"/>
      <c r="O265" s="221"/>
      <c r="P265" s="221"/>
      <c r="Q265" s="221"/>
      <c r="R265" s="221"/>
      <c r="S265" s="221"/>
      <c r="T265" s="221"/>
      <c r="U265" s="221"/>
      <c r="V265" s="221"/>
      <c r="W265" s="221"/>
      <c r="X265" s="221"/>
      <c r="Y265" s="221"/>
      <c r="Z265" s="221"/>
      <c r="AA265" s="221"/>
      <c r="AB265" s="217"/>
      <c r="AC265" s="217"/>
      <c r="AD265" s="217"/>
      <c r="AE265" s="217"/>
      <c r="AF265" s="221"/>
      <c r="AG265" s="221"/>
      <c r="AH265" s="52"/>
      <c r="AI265" s="52"/>
      <c r="AJ265" s="52"/>
      <c r="AK265" s="52"/>
      <c r="AL265" s="52"/>
      <c r="AM265" s="52"/>
      <c r="AN265" s="52"/>
      <c r="AO265" s="195"/>
      <c r="AP265" s="195"/>
      <c r="AQ265" s="106"/>
      <c r="AR265" s="106"/>
      <c r="AS265" s="106"/>
      <c r="AT265" s="106"/>
      <c r="AU265" s="106"/>
      <c r="AV265" s="106"/>
      <c r="AW265" s="106"/>
      <c r="AX265" s="126"/>
      <c r="AY265" s="126"/>
      <c r="AZ265" s="126"/>
      <c r="BA265" s="126"/>
      <c r="BB265" s="21"/>
      <c r="BC265" s="21"/>
      <c r="BD265" s="21"/>
      <c r="BE265" s="21"/>
    </row>
    <row r="266" customFormat="false" ht="14.1" hidden="true" customHeight="true" outlineLevel="1" collapsed="false">
      <c r="A266" s="242" t="s">
        <v>214</v>
      </c>
      <c r="B266" s="135"/>
      <c r="C266" s="26"/>
      <c r="D266" s="220"/>
      <c r="E266" s="229"/>
      <c r="F266" s="229"/>
      <c r="G266" s="217"/>
      <c r="H266" s="221"/>
      <c r="I266" s="221"/>
      <c r="J266" s="217"/>
      <c r="K266" s="221"/>
      <c r="L266" s="221"/>
      <c r="M266" s="224"/>
      <c r="N266" s="221"/>
      <c r="O266" s="221"/>
      <c r="P266" s="221"/>
      <c r="Q266" s="221"/>
      <c r="R266" s="221"/>
      <c r="S266" s="221"/>
      <c r="T266" s="221"/>
      <c r="U266" s="221"/>
      <c r="V266" s="221"/>
      <c r="W266" s="221"/>
      <c r="X266" s="221"/>
      <c r="Y266" s="221"/>
      <c r="Z266" s="221"/>
      <c r="AA266" s="221"/>
      <c r="AB266" s="217"/>
      <c r="AC266" s="217"/>
      <c r="AD266" s="217"/>
      <c r="AE266" s="217"/>
      <c r="AF266" s="165"/>
      <c r="AG266" s="165"/>
      <c r="AH266" s="52"/>
      <c r="AI266" s="52"/>
      <c r="AJ266" s="52"/>
      <c r="AK266" s="52"/>
      <c r="AL266" s="52"/>
      <c r="AM266" s="52"/>
      <c r="AN266" s="52"/>
      <c r="AO266" s="195"/>
      <c r="AP266" s="195"/>
      <c r="AQ266" s="106"/>
      <c r="AR266" s="106"/>
      <c r="AS266" s="106"/>
      <c r="AT266" s="106"/>
      <c r="AU266" s="106"/>
      <c r="AV266" s="106"/>
      <c r="AW266" s="106"/>
      <c r="AX266" s="126"/>
      <c r="AY266" s="126"/>
      <c r="AZ266" s="126"/>
      <c r="BA266" s="126"/>
      <c r="BB266" s="21"/>
      <c r="BC266" s="21"/>
      <c r="BD266" s="21"/>
      <c r="BE266" s="21"/>
    </row>
    <row r="267" customFormat="false" ht="14.1" hidden="true" customHeight="true" outlineLevel="1" collapsed="false">
      <c r="A267" s="138" t="s">
        <v>215</v>
      </c>
      <c r="B267" s="135"/>
      <c r="C267" s="26"/>
      <c r="D267" s="220"/>
      <c r="E267" s="243"/>
      <c r="F267" s="234" t="s">
        <v>216</v>
      </c>
      <c r="G267" s="217"/>
      <c r="H267" s="217"/>
      <c r="I267" s="217"/>
      <c r="J267" s="217"/>
      <c r="K267" s="221"/>
      <c r="L267" s="221"/>
      <c r="M267" s="224"/>
      <c r="N267" s="221"/>
      <c r="O267" s="221"/>
      <c r="P267" s="221"/>
      <c r="Q267" s="221"/>
      <c r="R267" s="221"/>
      <c r="S267" s="233"/>
      <c r="T267" s="221"/>
      <c r="U267" s="221"/>
      <c r="V267" s="221"/>
      <c r="W267" s="221"/>
      <c r="X267" s="221"/>
      <c r="Y267" s="221"/>
      <c r="Z267" s="221"/>
      <c r="AA267" s="221"/>
      <c r="AB267" s="217"/>
      <c r="AC267" s="217"/>
      <c r="AD267" s="217"/>
      <c r="AE267" s="217"/>
      <c r="AF267" s="165"/>
      <c r="AG267" s="165"/>
      <c r="AH267" s="52"/>
      <c r="AI267" s="52"/>
      <c r="AJ267" s="52"/>
      <c r="AK267" s="52"/>
      <c r="AL267" s="52"/>
      <c r="AM267" s="52"/>
      <c r="AN267" s="52"/>
      <c r="AO267" s="195"/>
      <c r="AP267" s="195"/>
      <c r="AQ267" s="106"/>
      <c r="AR267" s="106"/>
      <c r="AS267" s="106"/>
      <c r="AT267" s="106"/>
      <c r="AU267" s="106"/>
      <c r="AV267" s="106"/>
      <c r="AW267" s="106"/>
      <c r="AX267" s="126"/>
      <c r="AY267" s="126"/>
      <c r="AZ267" s="126"/>
      <c r="BA267" s="126"/>
      <c r="BB267" s="21"/>
      <c r="BC267" s="21"/>
      <c r="BD267" s="21"/>
      <c r="BE267" s="21"/>
    </row>
    <row r="268" customFormat="false" ht="14.1" hidden="true" customHeight="true" outlineLevel="1" collapsed="false">
      <c r="A268" s="244" t="s">
        <v>101</v>
      </c>
      <c r="B268" s="135"/>
      <c r="C268" s="26"/>
      <c r="D268" s="243"/>
      <c r="E268" s="150"/>
      <c r="F268" s="234"/>
      <c r="G268" s="217"/>
      <c r="H268" s="217"/>
      <c r="I268" s="217"/>
      <c r="J268" s="217"/>
      <c r="K268" s="221"/>
      <c r="L268" s="221"/>
      <c r="M268" s="224"/>
      <c r="N268" s="221"/>
      <c r="O268" s="221"/>
      <c r="P268" s="221"/>
      <c r="Q268" s="221"/>
      <c r="R268" s="221"/>
      <c r="S268" s="221"/>
      <c r="T268" s="221"/>
      <c r="U268" s="221"/>
      <c r="V268" s="221"/>
      <c r="W268" s="221"/>
      <c r="X268" s="221"/>
      <c r="Y268" s="221"/>
      <c r="Z268" s="221"/>
      <c r="AA268" s="221"/>
      <c r="AB268" s="217"/>
      <c r="AC268" s="217"/>
      <c r="AD268" s="217" t="s">
        <v>196</v>
      </c>
      <c r="AE268" s="217"/>
      <c r="AF268" s="165"/>
      <c r="AG268" s="165"/>
      <c r="AH268" s="52"/>
      <c r="AI268" s="52"/>
      <c r="AJ268" s="52"/>
      <c r="AK268" s="52"/>
      <c r="AL268" s="52"/>
      <c r="AM268" s="52"/>
      <c r="AN268" s="52"/>
      <c r="AO268" s="195"/>
      <c r="AP268" s="195"/>
      <c r="AQ268" s="106"/>
      <c r="AR268" s="106"/>
      <c r="AS268" s="106"/>
      <c r="AT268" s="106"/>
      <c r="AU268" s="106"/>
      <c r="AV268" s="106"/>
      <c r="AW268" s="106"/>
      <c r="AX268" s="126"/>
      <c r="AY268" s="126"/>
      <c r="AZ268" s="126"/>
      <c r="BA268" s="126"/>
      <c r="BB268" s="21"/>
      <c r="BC268" s="21"/>
      <c r="BD268" s="21"/>
      <c r="BE268" s="21"/>
    </row>
    <row r="269" customFormat="false" ht="14.1" hidden="true" customHeight="true" outlineLevel="1" collapsed="false">
      <c r="A269" s="138" t="s">
        <v>217</v>
      </c>
      <c r="B269" s="135"/>
      <c r="C269" s="26"/>
      <c r="D269" s="165"/>
      <c r="E269" s="150"/>
      <c r="F269" s="234"/>
      <c r="G269" s="217"/>
      <c r="H269" s="217"/>
      <c r="I269" s="217"/>
      <c r="J269" s="217"/>
      <c r="K269" s="221"/>
      <c r="L269" s="221"/>
      <c r="M269" s="224"/>
      <c r="N269" s="221"/>
      <c r="O269" s="221"/>
      <c r="P269" s="221"/>
      <c r="Q269" s="221"/>
      <c r="R269" s="221"/>
      <c r="S269" s="221"/>
      <c r="T269" s="221"/>
      <c r="U269" s="221"/>
      <c r="V269" s="221"/>
      <c r="W269" s="221"/>
      <c r="X269" s="221"/>
      <c r="Y269" s="221"/>
      <c r="Z269" s="221"/>
      <c r="AA269" s="221"/>
      <c r="AB269" s="217"/>
      <c r="AC269" s="217"/>
      <c r="AD269" s="221"/>
      <c r="AE269" s="132"/>
      <c r="AF269" s="165"/>
      <c r="AG269" s="165"/>
      <c r="AH269" s="52"/>
      <c r="AI269" s="52"/>
      <c r="AJ269" s="52"/>
      <c r="AK269" s="52"/>
      <c r="AL269" s="52"/>
      <c r="AM269" s="52"/>
      <c r="AN269" s="52"/>
      <c r="AO269" s="195"/>
      <c r="AP269" s="195"/>
      <c r="AQ269" s="106"/>
      <c r="AR269" s="106"/>
      <c r="AS269" s="106"/>
      <c r="AT269" s="106"/>
      <c r="AU269" s="106"/>
      <c r="AV269" s="106"/>
      <c r="AW269" s="106"/>
      <c r="AX269" s="126"/>
      <c r="AY269" s="126"/>
      <c r="AZ269" s="126"/>
      <c r="BA269" s="126"/>
      <c r="BB269" s="21"/>
      <c r="BC269" s="21"/>
      <c r="BD269" s="21"/>
      <c r="BE269" s="21"/>
    </row>
    <row r="270" customFormat="false" ht="14.1" hidden="true" customHeight="true" outlineLevel="1" collapsed="false">
      <c r="A270" s="245" t="s">
        <v>218</v>
      </c>
      <c r="B270" s="241"/>
      <c r="C270" s="229"/>
      <c r="D270" s="150"/>
      <c r="E270" s="150"/>
      <c r="F270" s="234"/>
      <c r="G270" s="221"/>
      <c r="H270" s="217"/>
      <c r="I270" s="217"/>
      <c r="J270" s="217"/>
      <c r="K270" s="221"/>
      <c r="L270" s="221"/>
      <c r="M270" s="224"/>
      <c r="N270" s="221"/>
      <c r="O270" s="221"/>
      <c r="P270" s="221"/>
      <c r="Q270" s="221"/>
      <c r="R270" s="221"/>
      <c r="S270" s="221"/>
      <c r="T270" s="221"/>
      <c r="U270" s="221"/>
      <c r="V270" s="221"/>
      <c r="W270" s="221"/>
      <c r="X270" s="221"/>
      <c r="Y270" s="221"/>
      <c r="Z270" s="221"/>
      <c r="AA270" s="221"/>
      <c r="AB270" s="217"/>
      <c r="AC270" s="217"/>
      <c r="AD270" s="217"/>
      <c r="AE270" s="132"/>
      <c r="AF270" s="165"/>
      <c r="AG270" s="165"/>
      <c r="AH270" s="52"/>
      <c r="AI270" s="52"/>
      <c r="AJ270" s="52"/>
      <c r="AK270" s="52"/>
      <c r="AL270" s="52"/>
      <c r="AM270" s="52"/>
      <c r="AN270" s="52"/>
      <c r="AO270" s="195"/>
      <c r="AP270" s="195"/>
      <c r="AQ270" s="106"/>
      <c r="AR270" s="106"/>
      <c r="AS270" s="106"/>
      <c r="AT270" s="106"/>
      <c r="AU270" s="106"/>
      <c r="AV270" s="106"/>
      <c r="AW270" s="106"/>
      <c r="AX270" s="126"/>
      <c r="AY270" s="126"/>
      <c r="AZ270" s="126"/>
      <c r="BA270" s="126"/>
      <c r="BB270" s="21"/>
      <c r="BC270" s="21"/>
      <c r="BD270" s="21"/>
      <c r="BE270" s="21"/>
    </row>
    <row r="271" customFormat="false" ht="14.1" hidden="true" customHeight="true" outlineLevel="1" collapsed="false">
      <c r="A271" s="246" t="s">
        <v>219</v>
      </c>
      <c r="B271" s="119" t="s">
        <v>48</v>
      </c>
      <c r="C271" s="163" t="n">
        <v>0</v>
      </c>
      <c r="D271" s="150"/>
      <c r="E271" s="150"/>
      <c r="F271" s="150"/>
      <c r="G271" s="221"/>
      <c r="H271" s="217"/>
      <c r="I271" s="217"/>
      <c r="J271" s="217"/>
      <c r="K271" s="221"/>
      <c r="L271" s="221"/>
      <c r="M271" s="224"/>
      <c r="N271" s="221"/>
      <c r="O271" s="221"/>
      <c r="P271" s="221"/>
      <c r="Q271" s="221"/>
      <c r="R271" s="221"/>
      <c r="S271" s="221"/>
      <c r="T271" s="221"/>
      <c r="U271" s="221"/>
      <c r="V271" s="221"/>
      <c r="W271" s="221"/>
      <c r="X271" s="221"/>
      <c r="Y271" s="221"/>
      <c r="Z271" s="221"/>
      <c r="AA271" s="221"/>
      <c r="AB271" s="217"/>
      <c r="AC271" s="217"/>
      <c r="AD271" s="217"/>
      <c r="AE271" s="132"/>
      <c r="AF271" s="165"/>
      <c r="AG271" s="165"/>
      <c r="AH271" s="52"/>
      <c r="AI271" s="52"/>
      <c r="AJ271" s="52"/>
      <c r="AK271" s="52"/>
      <c r="AL271" s="52"/>
      <c r="AM271" s="52"/>
      <c r="AN271" s="52"/>
      <c r="AO271" s="195"/>
      <c r="AP271" s="195"/>
      <c r="AQ271" s="106"/>
      <c r="AR271" s="106"/>
      <c r="AS271" s="106"/>
      <c r="AT271" s="106"/>
      <c r="AU271" s="106"/>
      <c r="AV271" s="106"/>
      <c r="AW271" s="106"/>
      <c r="AX271" s="126"/>
      <c r="AY271" s="126"/>
      <c r="AZ271" s="126"/>
      <c r="BA271" s="126"/>
      <c r="BB271" s="21"/>
      <c r="BC271" s="21"/>
      <c r="BD271" s="21"/>
      <c r="BE271" s="21"/>
    </row>
    <row r="272" customFormat="false" ht="14.1" hidden="true" customHeight="true" outlineLevel="1" collapsed="false">
      <c r="A272" s="247" t="s">
        <v>220</v>
      </c>
      <c r="B272" s="248" t="s">
        <v>48</v>
      </c>
      <c r="C272" s="249" t="n">
        <v>0</v>
      </c>
      <c r="D272" s="150"/>
      <c r="E272" s="150"/>
      <c r="F272" s="150"/>
      <c r="G272" s="150"/>
      <c r="H272" s="217"/>
      <c r="I272" s="217"/>
      <c r="J272" s="217"/>
      <c r="K272" s="221"/>
      <c r="L272" s="221"/>
      <c r="M272" s="224"/>
      <c r="N272" s="221"/>
      <c r="O272" s="221"/>
      <c r="P272" s="221"/>
      <c r="Q272" s="221"/>
      <c r="R272" s="221"/>
      <c r="S272" s="221"/>
      <c r="T272" s="221"/>
      <c r="U272" s="221"/>
      <c r="V272" s="221"/>
      <c r="W272" s="221"/>
      <c r="X272" s="221"/>
      <c r="Y272" s="221"/>
      <c r="Z272" s="221"/>
      <c r="AA272" s="221"/>
      <c r="AB272" s="217"/>
      <c r="AC272" s="217"/>
      <c r="AD272" s="217"/>
      <c r="AE272" s="165"/>
      <c r="AF272" s="165"/>
      <c r="AG272" s="165"/>
      <c r="AH272" s="52"/>
      <c r="AI272" s="52"/>
      <c r="AJ272" s="52"/>
      <c r="AK272" s="52"/>
      <c r="AL272" s="52"/>
      <c r="AM272" s="52"/>
      <c r="AN272" s="52"/>
      <c r="AO272" s="195"/>
      <c r="AP272" s="195"/>
      <c r="AQ272" s="106"/>
      <c r="AR272" s="106"/>
      <c r="AS272" s="106"/>
      <c r="AT272" s="106"/>
      <c r="AU272" s="106"/>
      <c r="AV272" s="106"/>
      <c r="AW272" s="106"/>
      <c r="AX272" s="126"/>
      <c r="AY272" s="126"/>
      <c r="AZ272" s="126"/>
      <c r="BA272" s="126"/>
      <c r="BB272" s="21"/>
      <c r="BC272" s="21"/>
      <c r="BD272" s="21"/>
      <c r="BE272" s="21"/>
    </row>
    <row r="273" customFormat="false" ht="14.1" hidden="true" customHeight="true" outlineLevel="1" collapsed="false">
      <c r="A273" s="250" t="s">
        <v>221</v>
      </c>
      <c r="B273" s="119" t="s">
        <v>48</v>
      </c>
      <c r="C273" s="163" t="n">
        <v>0</v>
      </c>
      <c r="D273" s="150"/>
      <c r="E273" s="150"/>
      <c r="F273" s="150"/>
      <c r="G273" s="150"/>
      <c r="H273" s="217" t="s">
        <v>201</v>
      </c>
      <c r="I273" s="217"/>
      <c r="J273" s="217"/>
      <c r="K273" s="221"/>
      <c r="L273" s="221"/>
      <c r="M273" s="224"/>
      <c r="N273" s="221"/>
      <c r="O273" s="221"/>
      <c r="P273" s="221"/>
      <c r="Q273" s="221"/>
      <c r="R273" s="221"/>
      <c r="S273" s="221"/>
      <c r="T273" s="221"/>
      <c r="U273" s="221"/>
      <c r="V273" s="221"/>
      <c r="W273" s="221"/>
      <c r="X273" s="221"/>
      <c r="Y273" s="221"/>
      <c r="Z273" s="221"/>
      <c r="AA273" s="221"/>
      <c r="AB273" s="217"/>
      <c r="AC273" s="217"/>
      <c r="AD273" s="217"/>
      <c r="AE273" s="165"/>
      <c r="AF273" s="165"/>
      <c r="AG273" s="165"/>
      <c r="AH273" s="52"/>
      <c r="AI273" s="52"/>
      <c r="AJ273" s="52"/>
      <c r="AK273" s="52"/>
      <c r="AL273" s="52"/>
      <c r="AM273" s="52"/>
      <c r="AN273" s="52"/>
      <c r="AO273" s="195"/>
      <c r="AP273" s="195"/>
      <c r="AQ273" s="106"/>
      <c r="AR273" s="106"/>
      <c r="AS273" s="106"/>
      <c r="AT273" s="106"/>
      <c r="AU273" s="106"/>
      <c r="AV273" s="106"/>
      <c r="AW273" s="106"/>
      <c r="AX273" s="126"/>
      <c r="AY273" s="126"/>
      <c r="AZ273" s="126"/>
      <c r="BA273" s="126"/>
      <c r="BB273" s="21"/>
      <c r="BC273" s="21"/>
      <c r="BD273" s="21"/>
      <c r="BE273" s="21"/>
    </row>
    <row r="274" customFormat="false" ht="14.1" hidden="true" customHeight="true" outlineLevel="1" collapsed="false">
      <c r="A274" s="138" t="s">
        <v>222</v>
      </c>
      <c r="B274" s="135"/>
      <c r="C274" s="26"/>
      <c r="D274" s="150"/>
      <c r="E274" s="150"/>
      <c r="F274" s="150"/>
      <c r="G274" s="150"/>
      <c r="H274" s="217"/>
      <c r="I274" s="217"/>
      <c r="J274" s="217"/>
      <c r="K274" s="221"/>
      <c r="L274" s="221"/>
      <c r="M274" s="224"/>
      <c r="N274" s="221"/>
      <c r="O274" s="221"/>
      <c r="P274" s="221"/>
      <c r="Q274" s="221"/>
      <c r="R274" s="221"/>
      <c r="S274" s="221"/>
      <c r="T274" s="221"/>
      <c r="U274" s="221"/>
      <c r="V274" s="221"/>
      <c r="W274" s="221"/>
      <c r="X274" s="221"/>
      <c r="Y274" s="221"/>
      <c r="Z274" s="221"/>
      <c r="AA274" s="221"/>
      <c r="AB274" s="217"/>
      <c r="AC274" s="217"/>
      <c r="AD274" s="217"/>
      <c r="AE274" s="165"/>
      <c r="AF274" s="165"/>
      <c r="AG274" s="165"/>
      <c r="AH274" s="52"/>
      <c r="AI274" s="52"/>
      <c r="AJ274" s="52"/>
      <c r="AK274" s="52"/>
      <c r="AL274" s="52"/>
      <c r="AM274" s="52"/>
      <c r="AN274" s="52"/>
      <c r="AO274" s="195"/>
      <c r="AP274" s="195"/>
      <c r="AQ274" s="106"/>
      <c r="AR274" s="106"/>
      <c r="AS274" s="106"/>
      <c r="AT274" s="106"/>
      <c r="AU274" s="106"/>
      <c r="AV274" s="106"/>
      <c r="AW274" s="106"/>
      <c r="AX274" s="126"/>
      <c r="AY274" s="126"/>
      <c r="AZ274" s="126"/>
      <c r="BA274" s="126"/>
      <c r="BB274" s="21"/>
      <c r="BC274" s="21"/>
      <c r="BD274" s="21"/>
      <c r="BE274" s="21"/>
    </row>
    <row r="275" customFormat="false" ht="14.1" hidden="true" customHeight="true" outlineLevel="1" collapsed="false">
      <c r="A275" s="242" t="s">
        <v>223</v>
      </c>
      <c r="B275" s="26"/>
      <c r="C275" s="26"/>
      <c r="D275" s="150"/>
      <c r="E275" s="150"/>
      <c r="F275" s="150"/>
      <c r="G275" s="150"/>
      <c r="H275" s="217"/>
      <c r="I275" s="217"/>
      <c r="J275" s="217"/>
      <c r="K275" s="221"/>
      <c r="L275" s="221"/>
      <c r="M275" s="224"/>
      <c r="N275" s="221"/>
      <c r="O275" s="221"/>
      <c r="P275" s="221"/>
      <c r="Q275" s="221"/>
      <c r="R275" s="221"/>
      <c r="S275" s="221"/>
      <c r="T275" s="221"/>
      <c r="U275" s="221"/>
      <c r="V275" s="221"/>
      <c r="W275" s="221"/>
      <c r="X275" s="221"/>
      <c r="Y275" s="221"/>
      <c r="Z275" s="221"/>
      <c r="AA275" s="221"/>
      <c r="AB275" s="217"/>
      <c r="AC275" s="217"/>
      <c r="AD275" s="217"/>
      <c r="AE275" s="165"/>
      <c r="AF275" s="165"/>
      <c r="AG275" s="165"/>
      <c r="AH275" s="52"/>
      <c r="AI275" s="52"/>
      <c r="AJ275" s="52"/>
      <c r="AK275" s="52"/>
      <c r="AL275" s="52"/>
      <c r="AM275" s="52"/>
      <c r="AN275" s="52"/>
      <c r="AO275" s="195"/>
      <c r="AP275" s="195"/>
      <c r="AQ275" s="106"/>
      <c r="AR275" s="106"/>
      <c r="AS275" s="106"/>
      <c r="AT275" s="106"/>
      <c r="AU275" s="106"/>
      <c r="AV275" s="106"/>
      <c r="AW275" s="106"/>
      <c r="AX275" s="126"/>
      <c r="AY275" s="126"/>
      <c r="AZ275" s="126"/>
      <c r="BA275" s="126"/>
      <c r="BB275" s="21"/>
      <c r="BC275" s="21"/>
      <c r="BD275" s="21"/>
      <c r="BE275" s="21"/>
    </row>
    <row r="276" customFormat="false" ht="14.1" hidden="true" customHeight="true" outlineLevel="1" collapsed="false">
      <c r="A276" s="138" t="s">
        <v>224</v>
      </c>
      <c r="B276" s="26"/>
      <c r="C276" s="26"/>
      <c r="D276" s="150"/>
      <c r="E276" s="150"/>
      <c r="F276" s="150"/>
      <c r="G276" s="150"/>
      <c r="H276" s="221"/>
      <c r="I276" s="221"/>
      <c r="J276" s="221" t="s">
        <v>16</v>
      </c>
      <c r="K276" s="221"/>
      <c r="L276" s="221"/>
      <c r="M276" s="221"/>
      <c r="N276" s="221"/>
      <c r="O276" s="221"/>
      <c r="P276" s="221"/>
      <c r="Q276" s="221"/>
      <c r="R276" s="221"/>
      <c r="S276" s="221"/>
      <c r="T276" s="26"/>
      <c r="U276" s="221"/>
      <c r="V276" s="221"/>
      <c r="W276" s="221" t="s">
        <v>206</v>
      </c>
      <c r="X276" s="221"/>
      <c r="Y276" s="221"/>
      <c r="Z276" s="165"/>
      <c r="AA276" s="221"/>
      <c r="AB276" s="217"/>
      <c r="AC276" s="217"/>
      <c r="AD276" s="217"/>
      <c r="AE276" s="165"/>
      <c r="AF276" s="165"/>
      <c r="AG276" s="165"/>
      <c r="AH276" s="52"/>
      <c r="AI276" s="52"/>
      <c r="AJ276" s="52"/>
      <c r="AK276" s="52"/>
      <c r="AL276" s="52"/>
      <c r="AM276" s="52"/>
      <c r="AN276" s="52"/>
      <c r="AO276" s="195"/>
      <c r="AP276" s="195"/>
      <c r="AQ276" s="106"/>
      <c r="AR276" s="106"/>
      <c r="AS276" s="106"/>
      <c r="AT276" s="106"/>
      <c r="AU276" s="106"/>
      <c r="AV276" s="106"/>
      <c r="AW276" s="106"/>
      <c r="AX276" s="126"/>
      <c r="AY276" s="126"/>
      <c r="AZ276" s="126"/>
      <c r="BA276" s="126"/>
      <c r="BB276" s="21"/>
      <c r="BC276" s="21"/>
      <c r="BD276" s="21"/>
      <c r="BE276" s="21"/>
    </row>
    <row r="277" customFormat="false" ht="14.1" hidden="true" customHeight="true" outlineLevel="1" collapsed="false">
      <c r="A277" s="242" t="s">
        <v>223</v>
      </c>
      <c r="B277" s="26"/>
      <c r="C277" s="26"/>
      <c r="D277" s="150"/>
      <c r="E277" s="150"/>
      <c r="F277" s="150"/>
      <c r="G277" s="150"/>
      <c r="H277" s="221"/>
      <c r="I277" s="221"/>
      <c r="J277" s="217"/>
      <c r="K277" s="221"/>
      <c r="L277" s="221"/>
      <c r="M277" s="26"/>
      <c r="N277" s="26"/>
      <c r="O277" s="221"/>
      <c r="P277" s="221"/>
      <c r="Q277" s="221"/>
      <c r="R277" s="221"/>
      <c r="S277" s="150"/>
      <c r="T277" s="221" t="s">
        <v>207</v>
      </c>
      <c r="U277" s="221"/>
      <c r="V277" s="221"/>
      <c r="W277" s="221"/>
      <c r="X277" s="221" t="s">
        <v>205</v>
      </c>
      <c r="Y277" s="221"/>
      <c r="Z277" s="221"/>
      <c r="AA277" s="221"/>
      <c r="AB277" s="217"/>
      <c r="AC277" s="217"/>
      <c r="AD277" s="217"/>
      <c r="AE277" s="165"/>
      <c r="AF277" s="165"/>
      <c r="AG277" s="165"/>
      <c r="AH277" s="52"/>
      <c r="AI277" s="52"/>
      <c r="AJ277" s="52"/>
      <c r="AK277" s="52"/>
      <c r="AL277" s="52"/>
      <c r="AM277" s="52"/>
      <c r="AN277" s="52"/>
      <c r="AO277" s="195"/>
      <c r="AP277" s="195"/>
      <c r="AQ277" s="106"/>
      <c r="AR277" s="106"/>
      <c r="AS277" s="106"/>
      <c r="AT277" s="106"/>
      <c r="AU277" s="106"/>
      <c r="AV277" s="106"/>
      <c r="AW277" s="106"/>
      <c r="AX277" s="126"/>
      <c r="AY277" s="126"/>
      <c r="AZ277" s="126"/>
      <c r="BA277" s="126"/>
      <c r="BB277" s="21"/>
      <c r="BC277" s="21"/>
      <c r="BD277" s="21"/>
      <c r="BE277" s="21"/>
    </row>
    <row r="278" s="162" customFormat="true" ht="14.1" hidden="true" customHeight="true" outlineLevel="1" collapsed="false">
      <c r="A278" s="251"/>
      <c r="B278" s="26"/>
      <c r="C278" s="26"/>
      <c r="D278" s="150"/>
      <c r="E278" s="150"/>
      <c r="F278" s="150"/>
      <c r="G278" s="150"/>
      <c r="H278" s="221"/>
      <c r="I278" s="221"/>
      <c r="J278" s="217"/>
      <c r="K278" s="221"/>
      <c r="L278" s="221"/>
      <c r="M278" s="26"/>
      <c r="N278" s="26"/>
      <c r="O278" s="221"/>
      <c r="P278" s="221"/>
      <c r="Q278" s="221"/>
      <c r="R278" s="221"/>
      <c r="S278" s="150"/>
      <c r="T278" s="221"/>
      <c r="U278" s="221"/>
      <c r="V278" s="221"/>
      <c r="W278" s="221"/>
      <c r="X278" s="221"/>
      <c r="Y278" s="221"/>
      <c r="Z278" s="221"/>
      <c r="AA278" s="221"/>
      <c r="AB278" s="217"/>
      <c r="AC278" s="217"/>
      <c r="AD278" s="217"/>
      <c r="AE278" s="165"/>
      <c r="AF278" s="165"/>
      <c r="AG278" s="165"/>
      <c r="AH278" s="52"/>
      <c r="AI278" s="52"/>
      <c r="AJ278" s="52"/>
      <c r="AK278" s="52"/>
      <c r="AL278" s="52"/>
      <c r="AM278" s="52"/>
      <c r="AN278" s="52"/>
      <c r="AO278" s="195"/>
      <c r="AP278" s="195"/>
      <c r="AQ278" s="106"/>
      <c r="AR278" s="106"/>
      <c r="AS278" s="106"/>
      <c r="AT278" s="106"/>
      <c r="AU278" s="106"/>
      <c r="AV278" s="106"/>
      <c r="AW278" s="106"/>
      <c r="AX278" s="126"/>
      <c r="AY278" s="126"/>
      <c r="AZ278" s="126"/>
      <c r="BA278" s="126"/>
      <c r="BB278" s="160"/>
      <c r="BC278" s="160"/>
      <c r="BD278" s="160"/>
      <c r="BE278" s="160"/>
      <c r="BF278" s="161"/>
    </row>
    <row r="279" customFormat="false" ht="14.1" hidden="true" customHeight="true" outlineLevel="1" collapsed="false">
      <c r="A279" s="138" t="s">
        <v>225</v>
      </c>
      <c r="B279" s="135"/>
      <c r="C279" s="26"/>
      <c r="D279" s="150"/>
      <c r="E279" s="150"/>
      <c r="F279" s="150"/>
      <c r="G279" s="150"/>
      <c r="H279" s="150"/>
      <c r="I279" s="212"/>
      <c r="J279" s="150"/>
      <c r="K279" s="150"/>
      <c r="L279" s="150"/>
      <c r="M279" s="150"/>
      <c r="N279" s="150"/>
      <c r="O279" s="150"/>
      <c r="P279" s="150"/>
      <c r="Q279" s="150"/>
      <c r="R279" s="150"/>
      <c r="S279" s="150"/>
      <c r="T279" s="150"/>
      <c r="U279" s="150"/>
      <c r="V279" s="150"/>
      <c r="W279" s="150"/>
      <c r="X279" s="150"/>
      <c r="Y279" s="150"/>
      <c r="Z279" s="150"/>
      <c r="AA279" s="150"/>
      <c r="AB279" s="150"/>
      <c r="AC279" s="150"/>
      <c r="AD279" s="165"/>
      <c r="AE279" s="165"/>
      <c r="AF279" s="165"/>
      <c r="AG279" s="165"/>
      <c r="AH279" s="52"/>
      <c r="AI279" s="52"/>
      <c r="AJ279" s="52"/>
      <c r="AK279" s="52"/>
      <c r="AL279" s="52"/>
      <c r="AM279" s="52"/>
      <c r="AN279" s="52"/>
      <c r="AO279" s="195"/>
      <c r="AP279" s="195"/>
      <c r="AQ279" s="106"/>
      <c r="AR279" s="106"/>
      <c r="AS279" s="106"/>
      <c r="AT279" s="106"/>
      <c r="AU279" s="106"/>
      <c r="AV279" s="106"/>
      <c r="AW279" s="106"/>
      <c r="AX279" s="126"/>
      <c r="AY279" s="126"/>
      <c r="AZ279" s="126"/>
      <c r="BA279" s="126"/>
      <c r="BB279" s="21"/>
      <c r="BC279" s="21"/>
      <c r="BD279" s="21"/>
      <c r="BE279" s="21"/>
    </row>
    <row r="280" customFormat="false" ht="14.1" hidden="true" customHeight="true" outlineLevel="1" collapsed="false">
      <c r="A280" s="149" t="s">
        <v>226</v>
      </c>
      <c r="B280" s="119" t="s">
        <v>109</v>
      </c>
      <c r="C280" s="130" t="n">
        <v>0</v>
      </c>
      <c r="D280" s="150"/>
      <c r="E280" s="150"/>
      <c r="F280" s="150"/>
      <c r="G280" s="150"/>
      <c r="H280" s="150"/>
      <c r="I280" s="212"/>
      <c r="J280" s="150"/>
      <c r="K280" s="150"/>
      <c r="L280" s="150"/>
      <c r="M280" s="150"/>
      <c r="N280" s="150"/>
      <c r="O280" s="150"/>
      <c r="P280" s="150"/>
      <c r="Q280" s="150"/>
      <c r="R280" s="150"/>
      <c r="S280" s="150"/>
      <c r="T280" s="150"/>
      <c r="U280" s="150"/>
      <c r="V280" s="150"/>
      <c r="W280" s="150"/>
      <c r="X280" s="150"/>
      <c r="Y280" s="150"/>
      <c r="Z280" s="150"/>
      <c r="AA280" s="150"/>
      <c r="AB280" s="150"/>
      <c r="AC280" s="150"/>
      <c r="AD280" s="165"/>
      <c r="AE280" s="165"/>
      <c r="AF280" s="165"/>
      <c r="AG280" s="165"/>
      <c r="AH280" s="52"/>
      <c r="AI280" s="52"/>
      <c r="AJ280" s="52"/>
      <c r="AK280" s="52"/>
      <c r="AL280" s="52"/>
      <c r="AM280" s="52"/>
      <c r="AN280" s="52"/>
      <c r="AO280" s="195"/>
      <c r="AP280" s="195"/>
      <c r="AQ280" s="106"/>
      <c r="AR280" s="106"/>
      <c r="AS280" s="106"/>
      <c r="AT280" s="106"/>
      <c r="AU280" s="106"/>
      <c r="AV280" s="106"/>
      <c r="AW280" s="106"/>
      <c r="AX280" s="126"/>
      <c r="AY280" s="126"/>
      <c r="AZ280" s="126"/>
      <c r="BA280" s="126"/>
      <c r="BB280" s="21"/>
      <c r="BC280" s="21"/>
      <c r="BD280" s="21"/>
      <c r="BE280" s="21"/>
    </row>
    <row r="281" customFormat="false" ht="14.1" hidden="true" customHeight="true" outlineLevel="1" collapsed="false">
      <c r="A281" s="147" t="s">
        <v>226</v>
      </c>
      <c r="B281" s="119" t="s">
        <v>109</v>
      </c>
      <c r="C281" s="151" t="n">
        <v>0</v>
      </c>
      <c r="D281" s="150"/>
      <c r="E281" s="150"/>
      <c r="F281" s="150"/>
      <c r="G281" s="150"/>
      <c r="H281" s="150"/>
      <c r="I281" s="212"/>
      <c r="J281" s="150"/>
      <c r="K281" s="150"/>
      <c r="L281" s="150"/>
      <c r="M281" s="150"/>
      <c r="N281" s="150"/>
      <c r="O281" s="150"/>
      <c r="P281" s="150"/>
      <c r="Q281" s="150"/>
      <c r="R281" s="150"/>
      <c r="S281" s="150"/>
      <c r="T281" s="150"/>
      <c r="U281" s="150"/>
      <c r="V281" s="150"/>
      <c r="W281" s="150"/>
      <c r="X281" s="150"/>
      <c r="Y281" s="150"/>
      <c r="Z281" s="150"/>
      <c r="AA281" s="150"/>
      <c r="AB281" s="150"/>
      <c r="AC281" s="150"/>
      <c r="AD281" s="165"/>
      <c r="AE281" s="165"/>
      <c r="AF281" s="165"/>
      <c r="AG281" s="165"/>
      <c r="AH281" s="52"/>
      <c r="AI281" s="52"/>
      <c r="AJ281" s="52"/>
      <c r="AK281" s="52"/>
      <c r="AL281" s="52"/>
      <c r="AM281" s="52"/>
      <c r="AN281" s="52"/>
      <c r="AO281" s="195"/>
      <c r="AP281" s="195"/>
      <c r="AQ281" s="106"/>
      <c r="AR281" s="106"/>
      <c r="AS281" s="106"/>
      <c r="AT281" s="106"/>
      <c r="AU281" s="106"/>
      <c r="AV281" s="106"/>
      <c r="AW281" s="106"/>
      <c r="AX281" s="126"/>
      <c r="AY281" s="126"/>
      <c r="AZ281" s="126"/>
      <c r="BA281" s="126"/>
      <c r="BB281" s="21"/>
      <c r="BC281" s="21"/>
      <c r="BD281" s="21"/>
      <c r="BE281" s="21"/>
    </row>
    <row r="282" customFormat="false" ht="14.1" hidden="true" customHeight="true" outlineLevel="1" collapsed="false">
      <c r="A282" s="138"/>
      <c r="B282" s="235"/>
      <c r="C282" s="138"/>
      <c r="D282" s="150"/>
      <c r="E282" s="150"/>
      <c r="F282" s="150"/>
      <c r="G282" s="150"/>
      <c r="H282" s="150"/>
      <c r="I282" s="212"/>
      <c r="J282" s="150"/>
      <c r="K282" s="150"/>
      <c r="L282" s="150"/>
      <c r="M282" s="150"/>
      <c r="N282" s="150"/>
      <c r="O282" s="150"/>
      <c r="P282" s="150"/>
      <c r="Q282" s="150"/>
      <c r="R282" s="150"/>
      <c r="S282" s="150"/>
      <c r="T282" s="150"/>
      <c r="U282" s="150"/>
      <c r="V282" s="150"/>
      <c r="W282" s="150"/>
      <c r="X282" s="150"/>
      <c r="Y282" s="150"/>
      <c r="Z282" s="150"/>
      <c r="AA282" s="150"/>
      <c r="AB282" s="150"/>
      <c r="AC282" s="150"/>
      <c r="AD282" s="165"/>
      <c r="AE282" s="165"/>
      <c r="AF282" s="165"/>
      <c r="AG282" s="165"/>
      <c r="AH282" s="52"/>
      <c r="AI282" s="52"/>
      <c r="AJ282" s="52"/>
      <c r="AK282" s="52"/>
      <c r="AL282" s="52"/>
      <c r="AM282" s="52"/>
      <c r="AN282" s="52"/>
      <c r="AO282" s="195"/>
      <c r="AP282" s="195"/>
      <c r="AQ282" s="106"/>
      <c r="AR282" s="106"/>
      <c r="AS282" s="106"/>
      <c r="AT282" s="106"/>
      <c r="AU282" s="106"/>
      <c r="AV282" s="106"/>
      <c r="AW282" s="106"/>
      <c r="AX282" s="126"/>
      <c r="AY282" s="126"/>
      <c r="AZ282" s="126"/>
      <c r="BA282" s="126"/>
      <c r="BB282" s="21"/>
      <c r="BC282" s="21"/>
      <c r="BD282" s="21"/>
      <c r="BE282" s="21"/>
    </row>
    <row r="283" customFormat="false" ht="14.1" hidden="true" customHeight="true" outlineLevel="1" collapsed="false">
      <c r="A283" s="152" t="s">
        <v>227</v>
      </c>
      <c r="B283" s="119" t="s">
        <v>113</v>
      </c>
      <c r="C283" s="252" t="n">
        <v>3000</v>
      </c>
      <c r="D283" s="150"/>
      <c r="E283" s="150"/>
      <c r="F283" s="150"/>
      <c r="G283" s="150"/>
      <c r="H283" s="150"/>
      <c r="I283" s="212"/>
      <c r="J283" s="150"/>
      <c r="K283" s="150"/>
      <c r="L283" s="150"/>
      <c r="M283" s="150"/>
      <c r="N283" s="150"/>
      <c r="O283" s="150"/>
      <c r="P283" s="150"/>
      <c r="Q283" s="150"/>
      <c r="R283" s="150"/>
      <c r="S283" s="150"/>
      <c r="T283" s="150"/>
      <c r="U283" s="150"/>
      <c r="V283" s="150"/>
      <c r="W283" s="150"/>
      <c r="X283" s="150"/>
      <c r="Y283" s="150"/>
      <c r="Z283" s="150"/>
      <c r="AA283" s="150"/>
      <c r="AB283" s="150"/>
      <c r="AC283" s="150"/>
      <c r="AD283" s="165"/>
      <c r="AE283" s="165"/>
      <c r="AF283" s="165"/>
      <c r="AG283" s="165"/>
      <c r="AH283" s="52"/>
      <c r="AI283" s="52"/>
      <c r="AJ283" s="52"/>
      <c r="AK283" s="52"/>
      <c r="AL283" s="52"/>
      <c r="AM283" s="52"/>
      <c r="AN283" s="52"/>
      <c r="AO283" s="195"/>
      <c r="AP283" s="195"/>
      <c r="AQ283" s="106"/>
      <c r="AR283" s="106"/>
      <c r="AS283" s="106"/>
      <c r="AT283" s="106"/>
      <c r="AU283" s="106"/>
      <c r="AV283" s="106"/>
      <c r="AW283" s="106"/>
      <c r="AX283" s="126"/>
      <c r="AY283" s="126"/>
      <c r="AZ283" s="126"/>
      <c r="BA283" s="126"/>
      <c r="BB283" s="21"/>
      <c r="BC283" s="21"/>
      <c r="BD283" s="21"/>
      <c r="BE283" s="21"/>
    </row>
    <row r="284" customFormat="false" ht="14.1" hidden="false" customHeight="true" outlineLevel="0" collapsed="false">
      <c r="A284" s="155" t="s">
        <v>228</v>
      </c>
      <c r="B284" s="155"/>
      <c r="C284" s="155"/>
      <c r="D284" s="155"/>
      <c r="E284" s="155"/>
      <c r="F284" s="26"/>
      <c r="G284" s="150"/>
      <c r="H284" s="150"/>
      <c r="I284" s="212"/>
      <c r="J284" s="150"/>
      <c r="K284" s="150"/>
      <c r="L284" s="150"/>
      <c r="M284" s="150"/>
      <c r="N284" s="150"/>
      <c r="O284" s="150"/>
      <c r="P284" s="150"/>
      <c r="Q284" s="150"/>
      <c r="R284" s="150"/>
      <c r="S284" s="150"/>
      <c r="T284" s="150"/>
      <c r="U284" s="150"/>
      <c r="V284" s="150"/>
      <c r="W284" s="150"/>
      <c r="X284" s="150"/>
      <c r="Y284" s="150"/>
      <c r="Z284" s="150"/>
      <c r="AA284" s="150"/>
      <c r="AB284" s="150"/>
      <c r="AC284" s="150"/>
      <c r="AD284" s="165"/>
      <c r="AE284" s="165"/>
      <c r="AF284" s="165"/>
      <c r="AG284" s="165"/>
      <c r="AH284" s="52"/>
      <c r="AI284" s="52"/>
      <c r="AJ284" s="52"/>
      <c r="AK284" s="52"/>
      <c r="AL284" s="52"/>
      <c r="AM284" s="52"/>
      <c r="AN284" s="52"/>
      <c r="AO284" s="195"/>
      <c r="AP284" s="195"/>
      <c r="AQ284" s="106"/>
      <c r="AR284" s="106"/>
      <c r="AS284" s="106"/>
      <c r="AT284" s="106"/>
      <c r="AU284" s="106"/>
      <c r="AV284" s="106"/>
      <c r="AW284" s="106"/>
      <c r="AX284" s="126"/>
      <c r="AY284" s="126"/>
      <c r="AZ284" s="126"/>
      <c r="BA284" s="126"/>
      <c r="BB284" s="21"/>
      <c r="BC284" s="21"/>
      <c r="BD284" s="21"/>
      <c r="BE284" s="21"/>
    </row>
    <row r="285" s="35" customFormat="true" ht="14.1" hidden="false" customHeight="true" outlineLevel="0" collapsed="false">
      <c r="A285" s="150"/>
      <c r="B285" s="200"/>
      <c r="C285" s="150"/>
      <c r="D285" s="150"/>
      <c r="E285" s="150"/>
      <c r="F285" s="150"/>
      <c r="G285" s="150"/>
      <c r="H285" s="150"/>
      <c r="I285" s="212"/>
      <c r="J285" s="150"/>
      <c r="K285" s="150"/>
      <c r="L285" s="150"/>
      <c r="M285" s="150"/>
      <c r="N285" s="150"/>
      <c r="O285" s="150"/>
      <c r="P285" s="150"/>
      <c r="Q285" s="150"/>
      <c r="R285" s="150"/>
      <c r="S285" s="150"/>
      <c r="T285" s="150"/>
      <c r="U285" s="150"/>
      <c r="V285" s="150"/>
      <c r="W285" s="150"/>
      <c r="X285" s="150"/>
      <c r="Y285" s="150"/>
      <c r="Z285" s="150"/>
      <c r="AA285" s="150"/>
      <c r="AB285" s="150"/>
      <c r="AC285" s="150"/>
      <c r="AD285" s="165"/>
      <c r="AE285" s="165"/>
      <c r="AF285" s="165"/>
      <c r="AG285" s="165"/>
      <c r="AH285" s="52"/>
      <c r="AI285" s="52"/>
      <c r="AJ285" s="52"/>
      <c r="AK285" s="52"/>
      <c r="AL285" s="52"/>
      <c r="AM285" s="52"/>
      <c r="AN285" s="52"/>
      <c r="AO285" s="195"/>
      <c r="AP285" s="195"/>
      <c r="AQ285" s="106"/>
      <c r="AR285" s="106"/>
      <c r="AS285" s="106"/>
      <c r="AT285" s="106"/>
      <c r="AU285" s="106"/>
      <c r="AV285" s="106"/>
      <c r="AW285" s="106"/>
      <c r="AX285" s="126"/>
      <c r="AY285" s="126"/>
      <c r="AZ285" s="126"/>
      <c r="BA285" s="126"/>
      <c r="BB285" s="126"/>
      <c r="BC285" s="126"/>
      <c r="BD285" s="126"/>
      <c r="BE285" s="126"/>
      <c r="BF285" s="156"/>
    </row>
    <row r="286" customFormat="false" ht="14.1" hidden="true" customHeight="true" outlineLevel="1" collapsed="false">
      <c r="A286" s="211" t="s">
        <v>229</v>
      </c>
      <c r="B286" s="211"/>
      <c r="C286" s="211"/>
      <c r="D286" s="211"/>
      <c r="E286" s="211"/>
      <c r="F286" s="26"/>
      <c r="G286" s="26"/>
      <c r="H286" s="150"/>
      <c r="I286" s="212"/>
      <c r="J286" s="150"/>
      <c r="K286" s="150"/>
      <c r="L286" s="150"/>
      <c r="M286" s="158" t="s">
        <v>229</v>
      </c>
      <c r="N286" s="158"/>
      <c r="O286" s="158"/>
      <c r="P286" s="158"/>
      <c r="Q286" s="158"/>
      <c r="R286" s="158"/>
      <c r="S286" s="158"/>
      <c r="T286" s="158"/>
      <c r="U286" s="158"/>
      <c r="V286" s="158"/>
      <c r="W286" s="158"/>
      <c r="X286" s="158"/>
      <c r="Y286" s="158"/>
      <c r="Z286" s="158"/>
      <c r="AA286" s="158"/>
      <c r="AB286" s="158"/>
      <c r="AC286" s="158"/>
      <c r="AD286" s="158"/>
      <c r="AE286" s="158"/>
      <c r="AF286" s="158"/>
      <c r="AG286" s="165"/>
      <c r="AH286" s="52"/>
      <c r="AI286" s="52"/>
      <c r="AJ286" s="52"/>
      <c r="AK286" s="52"/>
      <c r="AL286" s="52"/>
      <c r="AM286" s="52"/>
      <c r="AN286" s="52"/>
      <c r="AO286" s="195"/>
      <c r="AP286" s="195"/>
      <c r="AQ286" s="106"/>
      <c r="AR286" s="106"/>
      <c r="AS286" s="106"/>
      <c r="AT286" s="106"/>
      <c r="AU286" s="106"/>
      <c r="AV286" s="192"/>
      <c r="AW286" s="106"/>
      <c r="AX286" s="126"/>
      <c r="AY286" s="126"/>
      <c r="AZ286" s="126"/>
      <c r="BA286" s="126"/>
      <c r="BB286" s="21"/>
      <c r="BC286" s="21"/>
      <c r="BD286" s="21"/>
      <c r="BE286" s="21"/>
    </row>
    <row r="287" customFormat="false" ht="14.1" hidden="true" customHeight="true" outlineLevel="1" collapsed="false">
      <c r="A287" s="201"/>
      <c r="B287" s="213"/>
      <c r="C287" s="201"/>
      <c r="D287" s="201"/>
      <c r="E287" s="201"/>
      <c r="F287" s="201"/>
      <c r="G287" s="150"/>
      <c r="H287" s="150"/>
      <c r="I287" s="212"/>
      <c r="J287" s="150"/>
      <c r="K287" s="150"/>
      <c r="L287" s="150"/>
      <c r="M287" s="158"/>
      <c r="N287" s="158"/>
      <c r="O287" s="158"/>
      <c r="P287" s="158"/>
      <c r="Q287" s="158"/>
      <c r="R287" s="158"/>
      <c r="S287" s="158"/>
      <c r="T287" s="158"/>
      <c r="U287" s="158"/>
      <c r="V287" s="158"/>
      <c r="W287" s="158"/>
      <c r="X287" s="158"/>
      <c r="Y287" s="158"/>
      <c r="Z287" s="158"/>
      <c r="AA287" s="158"/>
      <c r="AB287" s="158"/>
      <c r="AC287" s="158"/>
      <c r="AD287" s="158"/>
      <c r="AE287" s="158"/>
      <c r="AF287" s="158"/>
      <c r="AG287" s="165"/>
      <c r="AH287" s="52"/>
      <c r="AI287" s="52"/>
      <c r="AJ287" s="52"/>
      <c r="AK287" s="52"/>
      <c r="AL287" s="52"/>
      <c r="AM287" s="52"/>
      <c r="AN287" s="52"/>
      <c r="AO287" s="195"/>
      <c r="AP287" s="195"/>
      <c r="AQ287" s="106"/>
      <c r="AR287" s="106"/>
      <c r="AS287" s="106"/>
      <c r="AT287" s="106"/>
      <c r="AU287" s="106"/>
      <c r="AV287" s="192"/>
      <c r="AW287" s="126"/>
      <c r="AX287" s="126"/>
      <c r="AY287" s="126"/>
      <c r="AZ287" s="126"/>
      <c r="BA287" s="126"/>
      <c r="BB287" s="21"/>
      <c r="BC287" s="21"/>
      <c r="BD287" s="21"/>
      <c r="BE287" s="21"/>
    </row>
    <row r="288" customFormat="false" ht="14.1" hidden="true" customHeight="true" outlineLevel="1" collapsed="false">
      <c r="A288" s="155" t="s">
        <v>187</v>
      </c>
      <c r="B288" s="155"/>
      <c r="C288" s="155"/>
      <c r="D288" s="155"/>
      <c r="E288" s="215" t="n">
        <v>1</v>
      </c>
      <c r="F288" s="216"/>
      <c r="G288" s="150"/>
      <c r="H288" s="150"/>
      <c r="I288" s="212"/>
      <c r="J288" s="150"/>
      <c r="K288" s="150"/>
      <c r="L288" s="150"/>
      <c r="M288" s="150"/>
      <c r="N288" s="150"/>
      <c r="O288" s="150"/>
      <c r="P288" s="150"/>
      <c r="Q288" s="150"/>
      <c r="R288" s="150"/>
      <c r="S288" s="150"/>
      <c r="T288" s="150"/>
      <c r="U288" s="150"/>
      <c r="V288" s="150"/>
      <c r="W288" s="150"/>
      <c r="X288" s="150"/>
      <c r="Y288" s="150"/>
      <c r="Z288" s="150"/>
      <c r="AA288" s="150"/>
      <c r="AB288" s="150"/>
      <c r="AC288" s="150"/>
      <c r="AD288" s="150"/>
      <c r="AE288" s="150"/>
      <c r="AF288" s="150"/>
      <c r="AG288" s="150"/>
      <c r="AH288" s="40"/>
      <c r="AI288" s="40"/>
      <c r="AJ288" s="40"/>
      <c r="AK288" s="40"/>
      <c r="AL288" s="40"/>
      <c r="AM288" s="40"/>
      <c r="AN288" s="40"/>
      <c r="AO288" s="125"/>
      <c r="AP288" s="125"/>
      <c r="AQ288" s="126"/>
      <c r="AR288" s="126"/>
      <c r="AS288" s="126"/>
      <c r="AT288" s="126"/>
      <c r="AU288" s="126"/>
      <c r="AV288" s="126"/>
      <c r="AW288" s="126"/>
      <c r="AX288" s="126"/>
      <c r="AY288" s="126"/>
      <c r="AZ288" s="126"/>
      <c r="BA288" s="126"/>
      <c r="BB288" s="21"/>
      <c r="BC288" s="21"/>
      <c r="BD288" s="21"/>
      <c r="BE288" s="21"/>
    </row>
    <row r="289" customFormat="false" ht="14.1" hidden="true" customHeight="true" outlineLevel="1" collapsed="false">
      <c r="A289" s="155" t="s">
        <v>188</v>
      </c>
      <c r="B289" s="155"/>
      <c r="C289" s="155"/>
      <c r="D289" s="155"/>
      <c r="E289" s="215" t="n">
        <v>1</v>
      </c>
      <c r="F289" s="216"/>
      <c r="G289" s="150"/>
      <c r="H289" s="150"/>
      <c r="I289" s="165"/>
      <c r="J289" s="165"/>
      <c r="K289" s="165"/>
      <c r="L289" s="165"/>
      <c r="M289" s="165"/>
      <c r="N289" s="165"/>
      <c r="O289" s="26"/>
      <c r="P289" s="226"/>
      <c r="Q289" s="165"/>
      <c r="R289" s="165"/>
      <c r="S289" s="165"/>
      <c r="T289" s="165"/>
      <c r="U289" s="165"/>
      <c r="V289" s="165"/>
      <c r="W289" s="165"/>
      <c r="X289" s="165"/>
      <c r="Y289" s="165"/>
      <c r="Z289" s="165"/>
      <c r="AA289" s="165"/>
      <c r="AB289" s="165"/>
      <c r="AC289" s="165"/>
      <c r="AD289" s="165"/>
      <c r="AE289" s="165"/>
      <c r="AF289" s="165"/>
      <c r="AG289" s="165"/>
      <c r="AH289" s="52"/>
      <c r="AI289" s="52"/>
      <c r="AJ289" s="52"/>
      <c r="AK289" s="52"/>
      <c r="AL289" s="52"/>
      <c r="AM289" s="52"/>
      <c r="AN289" s="52"/>
      <c r="AO289" s="125"/>
      <c r="AP289" s="125"/>
      <c r="AQ289" s="126"/>
      <c r="AR289" s="126"/>
      <c r="AS289" s="126"/>
      <c r="AT289" s="126"/>
      <c r="AU289" s="126"/>
      <c r="AV289" s="126"/>
      <c r="AW289" s="126"/>
      <c r="AX289" s="126"/>
      <c r="AY289" s="126"/>
      <c r="AZ289" s="126"/>
      <c r="BA289" s="126"/>
      <c r="BB289" s="21"/>
      <c r="BC289" s="21"/>
      <c r="BD289" s="21"/>
      <c r="BE289" s="21"/>
    </row>
    <row r="290" customFormat="false" ht="14.1" hidden="true" customHeight="true" outlineLevel="1" collapsed="false">
      <c r="A290" s="26"/>
      <c r="B290" s="135"/>
      <c r="C290" s="26"/>
      <c r="D290" s="218"/>
      <c r="E290" s="218"/>
      <c r="F290" s="218"/>
      <c r="G290" s="150"/>
      <c r="H290" s="150"/>
      <c r="I290" s="165"/>
      <c r="J290" s="165"/>
      <c r="K290" s="165"/>
      <c r="L290" s="165"/>
      <c r="M290" s="165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  <c r="AA290" s="26"/>
      <c r="AB290" s="26"/>
      <c r="AC290" s="26"/>
      <c r="AD290" s="26"/>
      <c r="AE290" s="26"/>
      <c r="AF290" s="26"/>
      <c r="AG290" s="26"/>
      <c r="AH290" s="35"/>
      <c r="AI290" s="35"/>
      <c r="AJ290" s="35"/>
      <c r="AK290" s="35"/>
      <c r="AL290" s="35"/>
      <c r="AM290" s="35"/>
      <c r="AN290" s="35"/>
      <c r="AO290" s="253"/>
      <c r="AP290" s="125"/>
      <c r="AQ290" s="126"/>
      <c r="AR290" s="126"/>
      <c r="AS290" s="126"/>
      <c r="AT290" s="126"/>
      <c r="AU290" s="126"/>
      <c r="AV290" s="126"/>
      <c r="AW290" s="126"/>
      <c r="AX290" s="126"/>
      <c r="AY290" s="126"/>
      <c r="AZ290" s="126"/>
      <c r="BA290" s="126"/>
      <c r="BB290" s="21"/>
      <c r="BC290" s="21"/>
      <c r="BD290" s="21"/>
      <c r="BE290" s="21"/>
    </row>
    <row r="291" customFormat="false" ht="14.1" hidden="true" customHeight="true" outlineLevel="1" collapsed="false">
      <c r="A291" s="180" t="s">
        <v>46</v>
      </c>
      <c r="B291" s="180" t="s">
        <v>162</v>
      </c>
      <c r="C291" s="180" t="s">
        <v>15</v>
      </c>
      <c r="D291" s="136"/>
      <c r="E291" s="136"/>
      <c r="F291" s="254" t="s">
        <v>15</v>
      </c>
      <c r="G291" s="150"/>
      <c r="H291" s="224"/>
      <c r="I291" s="221"/>
      <c r="J291" s="221"/>
      <c r="K291" s="221"/>
      <c r="L291" s="26"/>
      <c r="M291" s="2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35"/>
      <c r="AI291" s="35"/>
      <c r="AJ291" s="35"/>
      <c r="AK291" s="35"/>
      <c r="AL291" s="35"/>
      <c r="AM291" s="35"/>
      <c r="AN291" s="35"/>
      <c r="AO291" s="253"/>
      <c r="AP291" s="125"/>
      <c r="AQ291" s="126"/>
      <c r="AR291" s="126"/>
      <c r="AS291" s="126"/>
      <c r="AT291" s="126"/>
      <c r="AU291" s="126"/>
      <c r="AV291" s="126"/>
      <c r="AW291" s="126"/>
      <c r="AX291" s="126"/>
      <c r="AY291" s="126"/>
      <c r="AZ291" s="126"/>
      <c r="BA291" s="126"/>
      <c r="BB291" s="21"/>
      <c r="BC291" s="21"/>
      <c r="BD291" s="21"/>
      <c r="BE291" s="21"/>
    </row>
    <row r="292" customFormat="false" ht="14.1" hidden="true" customHeight="true" outlineLevel="1" collapsed="false">
      <c r="A292" s="26" t="s">
        <v>67</v>
      </c>
      <c r="B292" s="186"/>
      <c r="C292" s="186"/>
      <c r="D292" s="165"/>
      <c r="E292" s="165"/>
      <c r="F292" s="255" t="n">
        <v>8.1</v>
      </c>
      <c r="G292" s="150"/>
      <c r="H292" s="224"/>
      <c r="I292" s="221"/>
      <c r="J292" s="221"/>
      <c r="K292" s="221"/>
      <c r="L292" s="26"/>
      <c r="M292" s="221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  <c r="AA292" s="26"/>
      <c r="AB292" s="26"/>
      <c r="AC292" s="26"/>
      <c r="AD292" s="26"/>
      <c r="AE292" s="26"/>
      <c r="AF292" s="26"/>
      <c r="AG292" s="26"/>
      <c r="AH292" s="35"/>
      <c r="AI292" s="35"/>
      <c r="AJ292" s="35"/>
      <c r="AK292" s="35"/>
      <c r="AL292" s="35"/>
      <c r="AM292" s="35"/>
      <c r="AN292" s="35"/>
      <c r="AO292" s="253"/>
      <c r="AP292" s="125"/>
      <c r="AQ292" s="126"/>
      <c r="AR292" s="126"/>
      <c r="AS292" s="126"/>
      <c r="AT292" s="126"/>
      <c r="AU292" s="126"/>
      <c r="AV292" s="126"/>
      <c r="AW292" s="126"/>
      <c r="AX292" s="126"/>
      <c r="AY292" s="126"/>
      <c r="AZ292" s="126"/>
      <c r="BA292" s="126"/>
      <c r="BB292" s="21"/>
      <c r="BC292" s="21"/>
      <c r="BD292" s="21"/>
      <c r="BE292" s="21"/>
    </row>
    <row r="293" customFormat="false" ht="14.1" hidden="true" customHeight="true" outlineLevel="1" collapsed="false">
      <c r="A293" s="225" t="s">
        <v>55</v>
      </c>
      <c r="B293" s="135"/>
      <c r="C293" s="26"/>
      <c r="D293" s="165"/>
      <c r="E293" s="256"/>
      <c r="F293" s="256"/>
      <c r="G293" s="150"/>
      <c r="H293" s="165"/>
      <c r="I293" s="26"/>
      <c r="J293" s="221"/>
      <c r="K293" s="165"/>
      <c r="L293" s="165"/>
      <c r="M293" s="165"/>
      <c r="N293" s="165"/>
      <c r="O293" s="165"/>
      <c r="P293" s="165"/>
      <c r="Q293" s="165"/>
      <c r="R293" s="165"/>
      <c r="S293" s="165"/>
      <c r="T293" s="165"/>
      <c r="U293" s="165"/>
      <c r="V293" s="165"/>
      <c r="W293" s="165"/>
      <c r="X293" s="165"/>
      <c r="Y293" s="165"/>
      <c r="Z293" s="165"/>
      <c r="AA293" s="165"/>
      <c r="AB293" s="165"/>
      <c r="AC293" s="165"/>
      <c r="AD293" s="165"/>
      <c r="AE293" s="165"/>
      <c r="AF293" s="165"/>
      <c r="AG293" s="165"/>
      <c r="AH293" s="52"/>
      <c r="AI293" s="125"/>
      <c r="AJ293" s="35"/>
      <c r="AK293" s="35"/>
      <c r="AL293" s="35"/>
      <c r="AM293" s="35"/>
      <c r="AN293" s="35"/>
      <c r="AO293" s="253"/>
      <c r="AP293" s="125"/>
      <c r="AQ293" s="126"/>
      <c r="AR293" s="126"/>
      <c r="AS293" s="126"/>
      <c r="AT293" s="126"/>
      <c r="AU293" s="126"/>
      <c r="AV293" s="126"/>
      <c r="AW293" s="126"/>
      <c r="AX293" s="126"/>
      <c r="AY293" s="126"/>
      <c r="AZ293" s="126"/>
      <c r="BA293" s="126"/>
      <c r="BB293" s="21"/>
      <c r="BC293" s="21"/>
      <c r="BD293" s="21"/>
      <c r="BE293" s="21"/>
    </row>
    <row r="294" customFormat="false" ht="14.1" hidden="true" customHeight="true" outlineLevel="1" collapsed="false">
      <c r="A294" s="227" t="s">
        <v>192</v>
      </c>
      <c r="B294" s="228"/>
      <c r="C294" s="229"/>
      <c r="D294" s="165"/>
      <c r="E294" s="256"/>
      <c r="F294" s="254" t="s">
        <v>15</v>
      </c>
      <c r="G294" s="150"/>
      <c r="H294" s="165"/>
      <c r="I294" s="221"/>
      <c r="J294" s="221"/>
      <c r="K294" s="165"/>
      <c r="L294" s="165"/>
      <c r="M294" s="165"/>
      <c r="N294" s="165"/>
      <c r="O294" s="165"/>
      <c r="P294" s="165"/>
      <c r="Q294" s="165"/>
      <c r="R294" s="165"/>
      <c r="S294" s="165"/>
      <c r="T294" s="186" t="s">
        <v>230</v>
      </c>
      <c r="U294" s="165"/>
      <c r="V294" s="165"/>
      <c r="W294" s="165"/>
      <c r="X294" s="165"/>
      <c r="Y294" s="165"/>
      <c r="Z294" s="165"/>
      <c r="AA294" s="165"/>
      <c r="AB294" s="165"/>
      <c r="AC294" s="165"/>
      <c r="AD294" s="165"/>
      <c r="AE294" s="165"/>
      <c r="AF294" s="165"/>
      <c r="AG294" s="165"/>
      <c r="AH294" s="52"/>
      <c r="AI294" s="125"/>
      <c r="AJ294" s="35"/>
      <c r="AK294" s="35"/>
      <c r="AL294" s="35"/>
      <c r="AM294" s="35"/>
      <c r="AN294" s="35"/>
      <c r="AO294" s="253"/>
      <c r="AP294" s="125"/>
      <c r="AQ294" s="126"/>
      <c r="AR294" s="126"/>
      <c r="AS294" s="126"/>
      <c r="AT294" s="126"/>
      <c r="AU294" s="126"/>
      <c r="AV294" s="126"/>
      <c r="AW294" s="126"/>
      <c r="AX294" s="126"/>
      <c r="AY294" s="126"/>
      <c r="AZ294" s="126"/>
      <c r="BA294" s="126"/>
      <c r="BB294" s="21"/>
      <c r="BC294" s="21"/>
      <c r="BD294" s="21"/>
      <c r="BE294" s="21"/>
    </row>
    <row r="295" customFormat="false" ht="14.1" hidden="true" customHeight="true" outlineLevel="1" collapsed="false">
      <c r="A295" s="231" t="s">
        <v>101</v>
      </c>
      <c r="B295" s="228"/>
      <c r="C295" s="229"/>
      <c r="D295" s="243"/>
      <c r="E295" s="257"/>
      <c r="F295" s="255" t="n">
        <v>7.8</v>
      </c>
      <c r="G295" s="150"/>
      <c r="H295" s="165"/>
      <c r="I295" s="165"/>
      <c r="J295" s="165"/>
      <c r="K295" s="165"/>
      <c r="L295" s="165"/>
      <c r="M295" s="165"/>
      <c r="N295" s="165"/>
      <c r="O295" s="165"/>
      <c r="P295" s="165"/>
      <c r="Q295" s="165"/>
      <c r="R295" s="165"/>
      <c r="S295" s="165"/>
      <c r="T295" s="186"/>
      <c r="U295" s="165"/>
      <c r="V295" s="165"/>
      <c r="W295" s="165"/>
      <c r="X295" s="165"/>
      <c r="Y295" s="165"/>
      <c r="Z295" s="165"/>
      <c r="AA295" s="165"/>
      <c r="AB295" s="165"/>
      <c r="AC295" s="165"/>
      <c r="AD295" s="165"/>
      <c r="AE295" s="165"/>
      <c r="AF295" s="165"/>
      <c r="AG295" s="165"/>
      <c r="AH295" s="52"/>
      <c r="AI295" s="125"/>
      <c r="AJ295" s="35"/>
      <c r="AK295" s="35"/>
      <c r="AL295" s="35"/>
      <c r="AM295" s="35"/>
      <c r="AN295" s="35"/>
      <c r="AO295" s="253"/>
      <c r="AP295" s="125"/>
      <c r="AQ295" s="126"/>
      <c r="AR295" s="126"/>
      <c r="AS295" s="126"/>
      <c r="AT295" s="126"/>
      <c r="AU295" s="126"/>
      <c r="AV295" s="126"/>
      <c r="AW295" s="126"/>
      <c r="AX295" s="126"/>
      <c r="AY295" s="126"/>
      <c r="AZ295" s="126"/>
      <c r="BA295" s="126"/>
      <c r="BB295" s="21"/>
      <c r="BC295" s="21"/>
      <c r="BD295" s="21"/>
      <c r="BE295" s="21"/>
    </row>
    <row r="296" customFormat="false" ht="14.1" hidden="true" customHeight="true" outlineLevel="1" collapsed="false">
      <c r="A296" s="163" t="s">
        <v>231</v>
      </c>
      <c r="B296" s="119" t="s">
        <v>15</v>
      </c>
      <c r="C296" s="232" t="n">
        <v>0.5</v>
      </c>
      <c r="D296" s="243"/>
      <c r="E296" s="257"/>
      <c r="F296" s="257"/>
      <c r="G296" s="150"/>
      <c r="H296" s="165"/>
      <c r="I296" s="165"/>
      <c r="J296" s="165"/>
      <c r="K296" s="165"/>
      <c r="L296" s="165"/>
      <c r="M296" s="165"/>
      <c r="N296" s="165"/>
      <c r="O296" s="165"/>
      <c r="P296" s="165"/>
      <c r="Q296" s="165"/>
      <c r="R296" s="165"/>
      <c r="S296" s="165"/>
      <c r="T296" s="165"/>
      <c r="U296" s="165"/>
      <c r="V296" s="165"/>
      <c r="W296" s="165"/>
      <c r="X296" s="165"/>
      <c r="Y296" s="165"/>
      <c r="Z296" s="165"/>
      <c r="AA296" s="165"/>
      <c r="AB296" s="165"/>
      <c r="AC296" s="165"/>
      <c r="AD296" s="165"/>
      <c r="AE296" s="165"/>
      <c r="AF296" s="165"/>
      <c r="AG296" s="165"/>
      <c r="AH296" s="52"/>
      <c r="AI296" s="125"/>
      <c r="AJ296" s="35"/>
      <c r="AK296" s="35"/>
      <c r="AL296" s="35"/>
      <c r="AM296" s="35"/>
      <c r="AN296" s="35"/>
      <c r="AO296" s="253"/>
      <c r="AP296" s="125"/>
      <c r="AQ296" s="126"/>
      <c r="AR296" s="126"/>
      <c r="AS296" s="126"/>
      <c r="AT296" s="126"/>
      <c r="AU296" s="126"/>
      <c r="AV296" s="126"/>
      <c r="AW296" s="126"/>
      <c r="AX296" s="126"/>
      <c r="AY296" s="126"/>
      <c r="AZ296" s="126"/>
      <c r="BA296" s="126"/>
      <c r="BB296" s="160"/>
      <c r="BC296" s="160"/>
      <c r="BD296" s="160"/>
      <c r="BE296" s="160"/>
    </row>
    <row r="297" customFormat="false" ht="14.1" hidden="true" customHeight="true" outlineLevel="1" collapsed="false">
      <c r="A297" s="163" t="s">
        <v>231</v>
      </c>
      <c r="B297" s="119" t="s">
        <v>15</v>
      </c>
      <c r="C297" s="232" t="n">
        <v>0.5</v>
      </c>
      <c r="D297" s="243"/>
      <c r="E297" s="257"/>
      <c r="F297" s="254" t="s">
        <v>15</v>
      </c>
      <c r="G297" s="150"/>
      <c r="H297" s="221"/>
      <c r="I297" s="221"/>
      <c r="J297" s="221"/>
      <c r="K297" s="165"/>
      <c r="L297" s="165"/>
      <c r="M297" s="165"/>
      <c r="N297" s="165"/>
      <c r="O297" s="165"/>
      <c r="P297" s="165"/>
      <c r="Q297" s="165"/>
      <c r="R297" s="165"/>
      <c r="S297" s="165"/>
      <c r="T297" s="165"/>
      <c r="U297" s="165"/>
      <c r="V297" s="165"/>
      <c r="W297" s="165"/>
      <c r="X297" s="165"/>
      <c r="Y297" s="165"/>
      <c r="Z297" s="165"/>
      <c r="AA297" s="165"/>
      <c r="AB297" s="165"/>
      <c r="AC297" s="165"/>
      <c r="AD297" s="165"/>
      <c r="AE297" s="165"/>
      <c r="AF297" s="165"/>
      <c r="AG297" s="165"/>
      <c r="AH297" s="52"/>
      <c r="AI297" s="125"/>
      <c r="AJ297" s="35"/>
      <c r="AK297" s="35"/>
      <c r="AL297" s="35"/>
      <c r="AM297" s="35"/>
      <c r="AN297" s="35"/>
      <c r="AO297" s="253"/>
      <c r="AP297" s="125"/>
      <c r="AQ297" s="126"/>
      <c r="AR297" s="126"/>
      <c r="AS297" s="126"/>
      <c r="AT297" s="126"/>
      <c r="AU297" s="126"/>
      <c r="AV297" s="126"/>
      <c r="AW297" s="126"/>
      <c r="AX297" s="126"/>
      <c r="AY297" s="126"/>
      <c r="AZ297" s="126"/>
      <c r="BA297" s="126"/>
      <c r="BB297" s="160"/>
      <c r="BC297" s="160"/>
      <c r="BD297" s="160"/>
      <c r="BE297" s="160"/>
    </row>
    <row r="298" customFormat="false" ht="14.1" hidden="true" customHeight="true" outlineLevel="1" collapsed="false">
      <c r="A298" s="163" t="s">
        <v>197</v>
      </c>
      <c r="B298" s="119" t="s">
        <v>15</v>
      </c>
      <c r="C298" s="232" t="n">
        <v>0.5</v>
      </c>
      <c r="D298" s="150"/>
      <c r="E298" s="150"/>
      <c r="F298" s="255" t="n">
        <v>5</v>
      </c>
      <c r="G298" s="150"/>
      <c r="H298" s="221"/>
      <c r="I298" s="221"/>
      <c r="J298" s="221"/>
      <c r="K298" s="165"/>
      <c r="L298" s="165"/>
      <c r="M298" s="165"/>
      <c r="N298" s="165"/>
      <c r="O298" s="165"/>
      <c r="P298" s="165"/>
      <c r="Q298" s="165"/>
      <c r="R298" s="165"/>
      <c r="S298" s="165"/>
      <c r="T298" s="165"/>
      <c r="U298" s="165"/>
      <c r="V298" s="165"/>
      <c r="W298" s="165"/>
      <c r="X298" s="165"/>
      <c r="Y298" s="165"/>
      <c r="Z298" s="165"/>
      <c r="AA298" s="165"/>
      <c r="AB298" s="165"/>
      <c r="AC298" s="165"/>
      <c r="AD298" s="165"/>
      <c r="AE298" s="165"/>
      <c r="AF298" s="203" t="s">
        <v>232</v>
      </c>
      <c r="AG298" s="165"/>
      <c r="AH298" s="52"/>
      <c r="AI298" s="125"/>
      <c r="AJ298" s="35"/>
      <c r="AK298" s="35"/>
      <c r="AL298" s="35"/>
      <c r="AM298" s="35"/>
      <c r="AN298" s="35"/>
      <c r="AO298" s="253"/>
      <c r="AP298" s="125"/>
      <c r="AQ298" s="126"/>
      <c r="AR298" s="126"/>
      <c r="AS298" s="126"/>
      <c r="AT298" s="126"/>
      <c r="AU298" s="126"/>
      <c r="AV298" s="126"/>
      <c r="AW298" s="126"/>
      <c r="AX298" s="126"/>
      <c r="AY298" s="126"/>
      <c r="AZ298" s="126"/>
      <c r="BA298" s="126"/>
      <c r="BB298" s="21"/>
      <c r="BC298" s="21"/>
      <c r="BD298" s="21"/>
      <c r="BE298" s="21"/>
    </row>
    <row r="299" customFormat="false" ht="14.1" hidden="true" customHeight="true" outlineLevel="1" collapsed="false">
      <c r="A299" s="163" t="s">
        <v>198</v>
      </c>
      <c r="B299" s="119" t="s">
        <v>15</v>
      </c>
      <c r="C299" s="232" t="n">
        <v>0.5</v>
      </c>
      <c r="D299" s="150"/>
      <c r="E299" s="150"/>
      <c r="F299" s="150"/>
      <c r="G299" s="150"/>
      <c r="H299" s="221"/>
      <c r="I299" s="221"/>
      <c r="J299" s="221"/>
      <c r="K299" s="165"/>
      <c r="L299" s="165"/>
      <c r="M299" s="165"/>
      <c r="N299" s="165"/>
      <c r="O299" s="165"/>
      <c r="P299" s="165"/>
      <c r="Q299" s="165"/>
      <c r="R299" s="165"/>
      <c r="S299" s="165"/>
      <c r="T299" s="165"/>
      <c r="U299" s="165"/>
      <c r="V299" s="165"/>
      <c r="W299" s="165"/>
      <c r="X299" s="165"/>
      <c r="Y299" s="165"/>
      <c r="Z299" s="165"/>
      <c r="AA299" s="165"/>
      <c r="AB299" s="165"/>
      <c r="AC299" s="165"/>
      <c r="AD299" s="165"/>
      <c r="AE299" s="165"/>
      <c r="AF299" s="165"/>
      <c r="AG299" s="165"/>
      <c r="AH299" s="52"/>
      <c r="AI299" s="125"/>
      <c r="AJ299" s="35"/>
      <c r="AK299" s="35"/>
      <c r="AL299" s="35"/>
      <c r="AM299" s="35"/>
      <c r="AN299" s="35"/>
      <c r="AO299" s="253"/>
      <c r="AP299" s="125"/>
      <c r="AQ299" s="126"/>
      <c r="AR299" s="126"/>
      <c r="AS299" s="126"/>
      <c r="AT299" s="126"/>
      <c r="AU299" s="126"/>
      <c r="AV299" s="126"/>
      <c r="AW299" s="126"/>
      <c r="AX299" s="126"/>
      <c r="AY299" s="126"/>
      <c r="AZ299" s="126"/>
      <c r="BA299" s="126"/>
      <c r="BB299" s="21"/>
      <c r="BC299" s="21" t="s">
        <v>233</v>
      </c>
      <c r="BD299" s="72" t="n">
        <f aca="false">F301</f>
        <v>4.7</v>
      </c>
      <c r="BE299" s="21"/>
    </row>
    <row r="300" customFormat="false" ht="14.1" hidden="true" customHeight="true" outlineLevel="1" collapsed="false">
      <c r="A300" s="26"/>
      <c r="B300" s="135"/>
      <c r="C300" s="26"/>
      <c r="D300" s="150"/>
      <c r="E300" s="150"/>
      <c r="F300" s="254" t="s">
        <v>15</v>
      </c>
      <c r="G300" s="26"/>
      <c r="H300" s="221"/>
      <c r="I300" s="221"/>
      <c r="J300" s="221"/>
      <c r="K300" s="165" t="s">
        <v>232</v>
      </c>
      <c r="L300" s="165"/>
      <c r="M300" s="165"/>
      <c r="N300" s="165"/>
      <c r="O300" s="165"/>
      <c r="P300" s="165"/>
      <c r="Q300" s="165"/>
      <c r="R300" s="165"/>
      <c r="S300" s="165"/>
      <c r="T300" s="165"/>
      <c r="U300" s="165"/>
      <c r="V300" s="165"/>
      <c r="W300" s="165"/>
      <c r="X300" s="165"/>
      <c r="Y300" s="165"/>
      <c r="Z300" s="165"/>
      <c r="AA300" s="165"/>
      <c r="AB300" s="165"/>
      <c r="AC300" s="165" t="s">
        <v>234</v>
      </c>
      <c r="AD300" s="165"/>
      <c r="AE300" s="165"/>
      <c r="AF300" s="165"/>
      <c r="AG300" s="165"/>
      <c r="AH300" s="52"/>
      <c r="AI300" s="125"/>
      <c r="AJ300" s="35"/>
      <c r="AK300" s="35"/>
      <c r="AL300" s="35"/>
      <c r="AM300" s="35"/>
      <c r="AN300" s="35"/>
      <c r="AO300" s="253"/>
      <c r="AP300" s="125"/>
      <c r="AQ300" s="126"/>
      <c r="AR300" s="126"/>
      <c r="AS300" s="126"/>
      <c r="AT300" s="126"/>
      <c r="AU300" s="126"/>
      <c r="AV300" s="126"/>
      <c r="AW300" s="126"/>
      <c r="AX300" s="126"/>
      <c r="AY300" s="126"/>
      <c r="AZ300" s="126"/>
      <c r="BA300" s="126"/>
      <c r="BB300" s="21"/>
      <c r="BC300" s="21" t="s">
        <v>235</v>
      </c>
      <c r="BD300" s="72" t="n">
        <f aca="false">F311</f>
        <v>5.3</v>
      </c>
      <c r="BE300" s="21"/>
    </row>
    <row r="301" customFormat="false" ht="14.1" hidden="true" customHeight="true" outlineLevel="1" collapsed="false">
      <c r="A301" s="148" t="s">
        <v>236</v>
      </c>
      <c r="B301" s="148" t="s">
        <v>162</v>
      </c>
      <c r="C301" s="148" t="s">
        <v>200</v>
      </c>
      <c r="D301" s="180" t="s">
        <v>116</v>
      </c>
      <c r="E301" s="150"/>
      <c r="F301" s="255" t="n">
        <v>4.7</v>
      </c>
      <c r="G301" s="26"/>
      <c r="H301" s="221"/>
      <c r="I301" s="221"/>
      <c r="J301" s="221"/>
      <c r="K301" s="165"/>
      <c r="L301" s="165"/>
      <c r="M301" s="165"/>
      <c r="N301" s="165"/>
      <c r="O301" s="165"/>
      <c r="P301" s="165"/>
      <c r="Q301" s="165"/>
      <c r="R301" s="165" t="s">
        <v>206</v>
      </c>
      <c r="S301" s="165"/>
      <c r="T301" s="165"/>
      <c r="U301" s="165"/>
      <c r="V301" s="165"/>
      <c r="W301" s="165"/>
      <c r="X301" s="165"/>
      <c r="Y301" s="165"/>
      <c r="Z301" s="165"/>
      <c r="AA301" s="165"/>
      <c r="AB301" s="165"/>
      <c r="AC301" s="165"/>
      <c r="AD301" s="165"/>
      <c r="AE301" s="165"/>
      <c r="AF301" s="165"/>
      <c r="AG301" s="165"/>
      <c r="AH301" s="52"/>
      <c r="AI301" s="125"/>
      <c r="AJ301" s="35"/>
      <c r="AK301" s="35"/>
      <c r="AL301" s="35"/>
      <c r="AM301" s="35"/>
      <c r="AN301" s="35"/>
      <c r="AO301" s="253"/>
      <c r="AP301" s="125"/>
      <c r="AQ301" s="126"/>
      <c r="AR301" s="126"/>
      <c r="AS301" s="126"/>
      <c r="AT301" s="126"/>
      <c r="AU301" s="126"/>
      <c r="AV301" s="126"/>
      <c r="AW301" s="126"/>
      <c r="AX301" s="126"/>
      <c r="AY301" s="126"/>
      <c r="AZ301" s="126"/>
      <c r="BA301" s="126"/>
      <c r="BB301" s="21"/>
      <c r="BC301" s="21"/>
      <c r="BD301" s="72"/>
      <c r="BE301" s="21"/>
    </row>
    <row r="302" customFormat="false" ht="14.1" hidden="true" customHeight="true" outlineLevel="1" collapsed="false">
      <c r="A302" s="148"/>
      <c r="B302" s="148" t="s">
        <v>15</v>
      </c>
      <c r="C302" s="151"/>
      <c r="D302" s="237"/>
      <c r="E302" s="150"/>
      <c r="F302" s="150"/>
      <c r="G302" s="26"/>
      <c r="H302" s="221"/>
      <c r="I302" s="221"/>
      <c r="J302" s="221"/>
      <c r="K302" s="165"/>
      <c r="L302" s="165"/>
      <c r="M302" s="165"/>
      <c r="N302" s="165"/>
      <c r="O302" s="165"/>
      <c r="P302" s="165"/>
      <c r="Q302" s="165"/>
      <c r="R302" s="165"/>
      <c r="S302" s="165"/>
      <c r="T302" s="165"/>
      <c r="U302" s="165"/>
      <c r="V302" s="165"/>
      <c r="W302" s="165"/>
      <c r="X302" s="165"/>
      <c r="Y302" s="165"/>
      <c r="Z302" s="165"/>
      <c r="AA302" s="165"/>
      <c r="AB302" s="165"/>
      <c r="AC302" s="165"/>
      <c r="AD302" s="165"/>
      <c r="AE302" s="165"/>
      <c r="AF302" s="165"/>
      <c r="AG302" s="165"/>
      <c r="AH302" s="52"/>
      <c r="AI302" s="125"/>
      <c r="AJ302" s="35"/>
      <c r="AK302" s="35"/>
      <c r="AL302" s="35"/>
      <c r="AM302" s="35"/>
      <c r="AN302" s="35"/>
      <c r="AO302" s="253"/>
      <c r="AP302" s="125"/>
      <c r="AQ302" s="126"/>
      <c r="AR302" s="126"/>
      <c r="AS302" s="126"/>
      <c r="AT302" s="126"/>
      <c r="AU302" s="126"/>
      <c r="AV302" s="126"/>
      <c r="AW302" s="126"/>
      <c r="AX302" s="126"/>
      <c r="AY302" s="126"/>
      <c r="AZ302" s="126"/>
      <c r="BA302" s="126"/>
      <c r="BB302" s="21"/>
      <c r="BC302" s="21" t="s">
        <v>237</v>
      </c>
      <c r="BD302" s="72" t="n">
        <f aca="false">F298</f>
        <v>5</v>
      </c>
      <c r="BE302" s="21"/>
    </row>
    <row r="303" customFormat="false" ht="14.1" hidden="true" customHeight="true" outlineLevel="1" collapsed="false">
      <c r="A303" s="138" t="s">
        <v>203</v>
      </c>
      <c r="B303" s="148" t="s">
        <v>162</v>
      </c>
      <c r="C303" s="148" t="s">
        <v>200</v>
      </c>
      <c r="D303" s="180" t="s">
        <v>204</v>
      </c>
      <c r="E303" s="150"/>
      <c r="F303" s="150"/>
      <c r="G303" s="150"/>
      <c r="H303" s="221"/>
      <c r="I303" s="221"/>
      <c r="J303" s="221"/>
      <c r="K303" s="165"/>
      <c r="L303" s="165"/>
      <c r="M303" s="165"/>
      <c r="N303" s="165"/>
      <c r="O303" s="165"/>
      <c r="P303" s="165"/>
      <c r="Q303" s="165"/>
      <c r="R303" s="165"/>
      <c r="S303" s="165"/>
      <c r="T303" s="165"/>
      <c r="U303" s="165"/>
      <c r="V303" s="165"/>
      <c r="W303" s="165"/>
      <c r="X303" s="165"/>
      <c r="Y303" s="165"/>
      <c r="Z303" s="165"/>
      <c r="AA303" s="165"/>
      <c r="AB303" s="165"/>
      <c r="AC303" s="165"/>
      <c r="AD303" s="165"/>
      <c r="AE303" s="165"/>
      <c r="AF303" s="165"/>
      <c r="AG303" s="165"/>
      <c r="AH303" s="52"/>
      <c r="AI303" s="125"/>
      <c r="AJ303" s="35"/>
      <c r="AK303" s="35"/>
      <c r="AL303" s="35"/>
      <c r="AM303" s="35"/>
      <c r="AN303" s="35"/>
      <c r="AO303" s="253"/>
      <c r="AP303" s="125"/>
      <c r="AQ303" s="126"/>
      <c r="AR303" s="126"/>
      <c r="AS303" s="126"/>
      <c r="AT303" s="126"/>
      <c r="AU303" s="126"/>
      <c r="AV303" s="126"/>
      <c r="AW303" s="126"/>
      <c r="AX303" s="126"/>
      <c r="AY303" s="126"/>
      <c r="AZ303" s="126"/>
      <c r="BA303" s="126"/>
      <c r="BB303" s="21"/>
      <c r="BC303" s="21" t="s">
        <v>238</v>
      </c>
      <c r="BD303" s="72" t="n">
        <f aca="false">F295</f>
        <v>7.8</v>
      </c>
      <c r="BE303" s="21"/>
    </row>
    <row r="304" customFormat="false" ht="14.1" hidden="true" customHeight="true" outlineLevel="1" collapsed="false">
      <c r="A304" s="231" t="s">
        <v>36</v>
      </c>
      <c r="B304" s="148" t="s">
        <v>15</v>
      </c>
      <c r="C304" s="151"/>
      <c r="D304" s="239"/>
      <c r="E304" s="165"/>
      <c r="F304" s="26"/>
      <c r="G304" s="150"/>
      <c r="H304" s="221"/>
      <c r="I304" s="221"/>
      <c r="J304" s="221"/>
      <c r="K304" s="165"/>
      <c r="L304" s="165"/>
      <c r="M304" s="165"/>
      <c r="N304" s="165"/>
      <c r="O304" s="165"/>
      <c r="P304" s="165"/>
      <c r="Q304" s="165"/>
      <c r="R304" s="165"/>
      <c r="S304" s="165"/>
      <c r="T304" s="165"/>
      <c r="U304" s="165"/>
      <c r="V304" s="165"/>
      <c r="W304" s="165"/>
      <c r="X304" s="165"/>
      <c r="Y304" s="165"/>
      <c r="Z304" s="165"/>
      <c r="AA304" s="165"/>
      <c r="AB304" s="165"/>
      <c r="AC304" s="165"/>
      <c r="AD304" s="165"/>
      <c r="AE304" s="165"/>
      <c r="AF304" s="165"/>
      <c r="AG304" s="165"/>
      <c r="AH304" s="52"/>
      <c r="AI304" s="125"/>
      <c r="AJ304" s="35"/>
      <c r="AK304" s="35"/>
      <c r="AL304" s="35"/>
      <c r="AM304" s="35"/>
      <c r="AN304" s="35"/>
      <c r="AO304" s="253"/>
      <c r="AP304" s="125"/>
      <c r="AQ304" s="126"/>
      <c r="AR304" s="126"/>
      <c r="AS304" s="126"/>
      <c r="AT304" s="126"/>
      <c r="AU304" s="126"/>
      <c r="AV304" s="126"/>
      <c r="AW304" s="126"/>
      <c r="AX304" s="126"/>
      <c r="AY304" s="126"/>
      <c r="AZ304" s="126"/>
      <c r="BA304" s="126"/>
      <c r="BB304" s="21"/>
      <c r="BC304" s="21" t="s">
        <v>239</v>
      </c>
      <c r="BD304" s="72" t="n">
        <f aca="false">F292</f>
        <v>8.1</v>
      </c>
      <c r="BE304" s="21"/>
    </row>
    <row r="305" customFormat="false" ht="14.1" hidden="true" customHeight="true" outlineLevel="1" collapsed="false">
      <c r="A305" s="138" t="s">
        <v>209</v>
      </c>
      <c r="B305" s="135"/>
      <c r="C305" s="26"/>
      <c r="D305" s="243"/>
      <c r="E305" s="229"/>
      <c r="F305" s="26"/>
      <c r="G305" s="150"/>
      <c r="H305" s="165"/>
      <c r="I305" s="165"/>
      <c r="J305" s="165"/>
      <c r="K305" s="165"/>
      <c r="L305" s="165"/>
      <c r="M305" s="165"/>
      <c r="N305" s="165"/>
      <c r="O305" s="165"/>
      <c r="P305" s="165"/>
      <c r="Q305" s="165"/>
      <c r="R305" s="165"/>
      <c r="S305" s="165"/>
      <c r="T305" s="165"/>
      <c r="U305" s="165"/>
      <c r="V305" s="186" t="s">
        <v>201</v>
      </c>
      <c r="W305" s="165"/>
      <c r="X305" s="165"/>
      <c r="Y305" s="165"/>
      <c r="Z305" s="165"/>
      <c r="AA305" s="165"/>
      <c r="AB305" s="165"/>
      <c r="AC305" s="165"/>
      <c r="AD305" s="165"/>
      <c r="AE305" s="165"/>
      <c r="AF305" s="165"/>
      <c r="AG305" s="165"/>
      <c r="AH305" s="52"/>
      <c r="AI305" s="125"/>
      <c r="AJ305" s="35"/>
      <c r="AK305" s="35"/>
      <c r="AL305" s="35"/>
      <c r="AM305" s="35"/>
      <c r="AN305" s="35"/>
      <c r="AO305" s="253"/>
      <c r="AP305" s="125"/>
      <c r="AQ305" s="126"/>
      <c r="AR305" s="126"/>
      <c r="AS305" s="126"/>
      <c r="AT305" s="126"/>
      <c r="AU305" s="126"/>
      <c r="AV305" s="126"/>
      <c r="AW305" s="126"/>
      <c r="AX305" s="126"/>
      <c r="AY305" s="126"/>
      <c r="AZ305" s="126"/>
      <c r="BA305" s="126"/>
      <c r="BB305" s="21"/>
      <c r="BC305" s="21" t="s">
        <v>240</v>
      </c>
      <c r="BD305" s="21" t="n">
        <f aca="false">F307</f>
        <v>60</v>
      </c>
      <c r="BE305" s="21"/>
    </row>
    <row r="306" customFormat="false" ht="14.1" hidden="true" customHeight="true" outlineLevel="1" collapsed="false">
      <c r="A306" s="240" t="s">
        <v>42</v>
      </c>
      <c r="B306" s="241"/>
      <c r="C306" s="229"/>
      <c r="D306" s="165"/>
      <c r="E306" s="165"/>
      <c r="F306" s="254" t="s">
        <v>241</v>
      </c>
      <c r="G306" s="187"/>
      <c r="H306" s="165"/>
      <c r="I306" s="165"/>
      <c r="J306" s="165"/>
      <c r="K306" s="165"/>
      <c r="L306" s="165"/>
      <c r="M306" s="165"/>
      <c r="N306" s="165"/>
      <c r="O306" s="165"/>
      <c r="P306" s="165"/>
      <c r="Q306" s="165"/>
      <c r="R306" s="165"/>
      <c r="S306" s="165"/>
      <c r="T306" s="165"/>
      <c r="U306" s="165"/>
      <c r="V306" s="186"/>
      <c r="W306" s="165"/>
      <c r="X306" s="165"/>
      <c r="Y306" s="165"/>
      <c r="Z306" s="165"/>
      <c r="AA306" s="165"/>
      <c r="AB306" s="165"/>
      <c r="AC306" s="165"/>
      <c r="AD306" s="165"/>
      <c r="AE306" s="165"/>
      <c r="AF306" s="165"/>
      <c r="AG306" s="165"/>
      <c r="AH306" s="52"/>
      <c r="AI306" s="125"/>
      <c r="AJ306" s="35"/>
      <c r="AK306" s="35"/>
      <c r="AL306" s="35"/>
      <c r="AM306" s="35"/>
      <c r="AN306" s="35"/>
      <c r="AO306" s="253"/>
      <c r="AP306" s="125"/>
      <c r="AQ306" s="126"/>
      <c r="AR306" s="126"/>
      <c r="AS306" s="126"/>
      <c r="AT306" s="126"/>
      <c r="AU306" s="126"/>
      <c r="AV306" s="126"/>
      <c r="AW306" s="126"/>
      <c r="AX306" s="126"/>
      <c r="AY306" s="126"/>
      <c r="AZ306" s="126"/>
      <c r="BA306" s="126"/>
      <c r="BB306" s="21"/>
      <c r="BC306" s="21"/>
      <c r="BD306" s="21"/>
      <c r="BE306" s="21"/>
    </row>
    <row r="307" customFormat="false" ht="14.1" hidden="true" customHeight="true" outlineLevel="1" collapsed="false">
      <c r="A307" s="138" t="s">
        <v>211</v>
      </c>
      <c r="B307" s="135"/>
      <c r="C307" s="26"/>
      <c r="D307" s="243"/>
      <c r="E307" s="229"/>
      <c r="F307" s="203" t="n">
        <v>60</v>
      </c>
      <c r="G307" s="187"/>
      <c r="H307" s="165"/>
      <c r="I307" s="165"/>
      <c r="J307" s="165"/>
      <c r="K307" s="165"/>
      <c r="L307" s="165"/>
      <c r="M307" s="165"/>
      <c r="N307" s="165"/>
      <c r="O307" s="165"/>
      <c r="P307" s="165"/>
      <c r="Q307" s="165"/>
      <c r="R307" s="165"/>
      <c r="S307" s="165"/>
      <c r="T307" s="165"/>
      <c r="U307" s="165"/>
      <c r="V307" s="165"/>
      <c r="W307" s="165"/>
      <c r="X307" s="165"/>
      <c r="Y307" s="165"/>
      <c r="Z307" s="165"/>
      <c r="AA307" s="165"/>
      <c r="AB307" s="165"/>
      <c r="AC307" s="165"/>
      <c r="AD307" s="165"/>
      <c r="AE307" s="165"/>
      <c r="AF307" s="165"/>
      <c r="AG307" s="165"/>
      <c r="AH307" s="52"/>
      <c r="AI307" s="125"/>
      <c r="AJ307" s="35"/>
      <c r="AK307" s="35"/>
      <c r="AL307" s="35"/>
      <c r="AM307" s="35"/>
      <c r="AN307" s="35"/>
      <c r="AO307" s="253"/>
      <c r="AP307" s="125"/>
      <c r="AQ307" s="126"/>
      <c r="AR307" s="126"/>
      <c r="AS307" s="126"/>
      <c r="AT307" s="126"/>
      <c r="AU307" s="126"/>
      <c r="AV307" s="126"/>
      <c r="AW307" s="126"/>
      <c r="AX307" s="126"/>
      <c r="AY307" s="126"/>
      <c r="AZ307" s="126"/>
      <c r="BA307" s="126"/>
      <c r="BB307" s="21"/>
      <c r="BC307" s="21"/>
      <c r="BD307" s="21"/>
      <c r="BE307" s="21"/>
    </row>
    <row r="308" customFormat="false" ht="14.1" hidden="true" customHeight="true" outlineLevel="1" collapsed="false">
      <c r="A308" s="242" t="s">
        <v>212</v>
      </c>
      <c r="B308" s="135"/>
      <c r="C308" s="26"/>
      <c r="D308" s="243"/>
      <c r="E308" s="229"/>
      <c r="F308" s="26"/>
      <c r="G308" s="187"/>
      <c r="H308" s="165"/>
      <c r="I308" s="165"/>
      <c r="J308" s="165"/>
      <c r="K308" s="165"/>
      <c r="L308" s="165"/>
      <c r="M308" s="165"/>
      <c r="N308" s="165"/>
      <c r="O308" s="165"/>
      <c r="P308" s="165"/>
      <c r="Q308" s="165"/>
      <c r="R308" s="165"/>
      <c r="S308" s="165"/>
      <c r="T308" s="165"/>
      <c r="U308" s="165"/>
      <c r="V308" s="165"/>
      <c r="W308" s="165"/>
      <c r="X308" s="165"/>
      <c r="Y308" s="165"/>
      <c r="Z308" s="165"/>
      <c r="AA308" s="165"/>
      <c r="AB308" s="165"/>
      <c r="AC308" s="165"/>
      <c r="AD308" s="165"/>
      <c r="AE308" s="165"/>
      <c r="AF308" s="165"/>
      <c r="AG308" s="165"/>
      <c r="AH308" s="52"/>
      <c r="AI308" s="125"/>
      <c r="AJ308" s="40"/>
      <c r="AK308" s="40"/>
      <c r="AL308" s="40"/>
      <c r="AM308" s="40"/>
      <c r="AN308" s="40"/>
      <c r="AO308" s="125"/>
      <c r="AP308" s="125"/>
      <c r="AQ308" s="126"/>
      <c r="AR308" s="126"/>
      <c r="AS308" s="126"/>
      <c r="AT308" s="126"/>
      <c r="AU308" s="126"/>
      <c r="AV308" s="126"/>
      <c r="AW308" s="126"/>
      <c r="AX308" s="126"/>
      <c r="AY308" s="126"/>
      <c r="AZ308" s="126"/>
      <c r="BA308" s="126"/>
      <c r="BB308" s="21"/>
      <c r="BC308" s="21"/>
      <c r="BD308" s="21"/>
      <c r="BE308" s="21"/>
    </row>
    <row r="309" customFormat="false" ht="14.1" hidden="true" customHeight="true" outlineLevel="1" collapsed="false">
      <c r="A309" s="138" t="s">
        <v>213</v>
      </c>
      <c r="B309" s="135"/>
      <c r="C309" s="26"/>
      <c r="D309" s="243"/>
      <c r="E309" s="229"/>
      <c r="F309" s="229"/>
      <c r="G309" s="187"/>
      <c r="H309" s="187"/>
      <c r="I309" s="187"/>
      <c r="J309" s="187"/>
      <c r="K309" s="187"/>
      <c r="L309" s="187"/>
      <c r="M309" s="26"/>
      <c r="N309" s="165"/>
      <c r="O309" s="187"/>
      <c r="P309" s="187"/>
      <c r="Q309" s="187"/>
      <c r="R309" s="187"/>
      <c r="S309" s="187"/>
      <c r="T309" s="187"/>
      <c r="U309" s="187"/>
      <c r="V309" s="187"/>
      <c r="W309" s="187"/>
      <c r="X309" s="187"/>
      <c r="Y309" s="165"/>
      <c r="Z309" s="165"/>
      <c r="AA309" s="165"/>
      <c r="AB309" s="165"/>
      <c r="AC309" s="165"/>
      <c r="AD309" s="165"/>
      <c r="AE309" s="165"/>
      <c r="AF309" s="165"/>
      <c r="AG309" s="165"/>
      <c r="AH309" s="52"/>
      <c r="AI309" s="125"/>
      <c r="AJ309" s="40"/>
      <c r="AK309" s="40"/>
      <c r="AL309" s="40"/>
      <c r="AM309" s="40"/>
      <c r="AN309" s="40"/>
      <c r="AO309" s="125"/>
      <c r="AP309" s="125"/>
      <c r="AQ309" s="126"/>
      <c r="AR309" s="126"/>
      <c r="AS309" s="126"/>
      <c r="AT309" s="126"/>
      <c r="AU309" s="126"/>
      <c r="AV309" s="126"/>
      <c r="AW309" s="126"/>
      <c r="AX309" s="126"/>
      <c r="AY309" s="126"/>
      <c r="AZ309" s="126"/>
      <c r="BA309" s="126"/>
      <c r="BB309" s="21"/>
      <c r="BC309" s="21"/>
      <c r="BD309" s="21"/>
      <c r="BE309" s="21"/>
    </row>
    <row r="310" customFormat="false" ht="14.1" hidden="true" customHeight="true" outlineLevel="1" collapsed="false">
      <c r="A310" s="242" t="s">
        <v>214</v>
      </c>
      <c r="B310" s="135"/>
      <c r="C310" s="26"/>
      <c r="D310" s="243"/>
      <c r="E310" s="229"/>
      <c r="F310" s="254" t="s">
        <v>15</v>
      </c>
      <c r="G310" s="187"/>
      <c r="H310" s="187"/>
      <c r="I310" s="187"/>
      <c r="J310" s="187"/>
      <c r="K310" s="187"/>
      <c r="L310" s="187"/>
      <c r="M310" s="165"/>
      <c r="N310" s="165"/>
      <c r="O310" s="187"/>
      <c r="P310" s="187"/>
      <c r="Q310" s="187"/>
      <c r="R310" s="187"/>
      <c r="S310" s="187"/>
      <c r="T310" s="187"/>
      <c r="U310" s="187"/>
      <c r="V310" s="187"/>
      <c r="W310" s="187"/>
      <c r="X310" s="187"/>
      <c r="Y310" s="165"/>
      <c r="Z310" s="165"/>
      <c r="AA310" s="165"/>
      <c r="AB310" s="165"/>
      <c r="AC310" s="165"/>
      <c r="AD310" s="165"/>
      <c r="AE310" s="165"/>
      <c r="AF310" s="165"/>
      <c r="AG310" s="165"/>
      <c r="AH310" s="52"/>
      <c r="AI310" s="125"/>
      <c r="AJ310" s="40"/>
      <c r="AK310" s="40"/>
      <c r="AL310" s="40"/>
      <c r="AM310" s="40"/>
      <c r="AN310" s="40"/>
      <c r="AO310" s="125"/>
      <c r="AP310" s="125"/>
      <c r="AQ310" s="126"/>
      <c r="AR310" s="126"/>
      <c r="AS310" s="126"/>
      <c r="AT310" s="126"/>
      <c r="AU310" s="126"/>
      <c r="AV310" s="126"/>
      <c r="AW310" s="126"/>
      <c r="AX310" s="126"/>
      <c r="AY310" s="126"/>
      <c r="AZ310" s="126"/>
      <c r="BA310" s="126"/>
      <c r="BB310" s="21"/>
      <c r="BC310" s="21"/>
      <c r="BD310" s="21"/>
      <c r="BE310" s="21"/>
    </row>
    <row r="311" customFormat="false" ht="14.1" hidden="true" customHeight="true" outlineLevel="1" collapsed="false">
      <c r="A311" s="138" t="s">
        <v>215</v>
      </c>
      <c r="B311" s="135"/>
      <c r="C311" s="26"/>
      <c r="D311" s="243"/>
      <c r="E311" s="229"/>
      <c r="F311" s="221" t="n">
        <f aca="false">связи1!H59</f>
        <v>5.3</v>
      </c>
      <c r="G311" s="187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  <c r="AA311" s="26"/>
      <c r="AB311" s="26"/>
      <c r="AC311" s="26"/>
      <c r="AD311" s="26"/>
      <c r="AE311" s="26"/>
      <c r="AF311" s="26"/>
      <c r="AG311" s="26"/>
      <c r="AH311" s="35"/>
      <c r="AI311" s="35"/>
      <c r="AJ311" s="40"/>
      <c r="AK311" s="40"/>
      <c r="AL311" s="40"/>
      <c r="AM311" s="40"/>
      <c r="AN311" s="40"/>
      <c r="AO311" s="125"/>
      <c r="AP311" s="125"/>
      <c r="AQ311" s="126"/>
      <c r="AR311" s="126"/>
      <c r="AS311" s="126"/>
      <c r="AT311" s="126"/>
      <c r="AU311" s="126"/>
      <c r="AV311" s="126"/>
      <c r="AW311" s="126"/>
      <c r="AX311" s="126"/>
      <c r="AY311" s="126"/>
      <c r="AZ311" s="126"/>
      <c r="BA311" s="126"/>
      <c r="BB311" s="21"/>
      <c r="BC311" s="21"/>
      <c r="BD311" s="21"/>
      <c r="BE311" s="21"/>
    </row>
    <row r="312" s="162" customFormat="true" ht="14.1" hidden="true" customHeight="true" outlineLevel="1" collapsed="false">
      <c r="A312" s="244" t="s">
        <v>101</v>
      </c>
      <c r="B312" s="135"/>
      <c r="C312" s="26"/>
      <c r="D312" s="243"/>
      <c r="E312" s="229"/>
      <c r="F312" s="258"/>
      <c r="G312" s="187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35"/>
      <c r="AI312" s="35"/>
      <c r="AJ312" s="40"/>
      <c r="AK312" s="40"/>
      <c r="AL312" s="40"/>
      <c r="AM312" s="40"/>
      <c r="AN312" s="40"/>
      <c r="AO312" s="125"/>
      <c r="AP312" s="125"/>
      <c r="AQ312" s="126"/>
      <c r="AR312" s="126"/>
      <c r="AS312" s="126"/>
      <c r="AT312" s="126"/>
      <c r="AU312" s="126"/>
      <c r="AV312" s="126"/>
      <c r="AW312" s="126"/>
      <c r="AX312" s="126"/>
      <c r="AY312" s="126"/>
      <c r="AZ312" s="126"/>
      <c r="BA312" s="126"/>
      <c r="BB312" s="160"/>
      <c r="BC312" s="160"/>
      <c r="BD312" s="160"/>
      <c r="BE312" s="160"/>
      <c r="BF312" s="161"/>
    </row>
    <row r="313" s="162" customFormat="true" ht="14.1" hidden="true" customHeight="true" outlineLevel="1" collapsed="false">
      <c r="A313" s="138" t="s">
        <v>217</v>
      </c>
      <c r="B313" s="135"/>
      <c r="C313" s="26"/>
      <c r="D313" s="243"/>
      <c r="E313" s="229"/>
      <c r="F313" s="229"/>
      <c r="G313" s="187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  <c r="AA313" s="26"/>
      <c r="AB313" s="26"/>
      <c r="AC313" s="26"/>
      <c r="AD313" s="26"/>
      <c r="AE313" s="26"/>
      <c r="AF313" s="26"/>
      <c r="AG313" s="26"/>
      <c r="AH313" s="35"/>
      <c r="AI313" s="35"/>
      <c r="AJ313" s="40"/>
      <c r="AK313" s="40"/>
      <c r="AL313" s="40"/>
      <c r="AM313" s="40"/>
      <c r="AN313" s="40"/>
      <c r="AO313" s="125"/>
      <c r="AP313" s="125"/>
      <c r="AQ313" s="126"/>
      <c r="AR313" s="126"/>
      <c r="AS313" s="126"/>
      <c r="AT313" s="126"/>
      <c r="AU313" s="126"/>
      <c r="AV313" s="126"/>
      <c r="AW313" s="126"/>
      <c r="AX313" s="126"/>
      <c r="AY313" s="126"/>
      <c r="AZ313" s="126"/>
      <c r="BA313" s="126"/>
      <c r="BB313" s="160"/>
      <c r="BC313" s="160"/>
      <c r="BD313" s="160"/>
      <c r="BE313" s="160"/>
      <c r="BF313" s="161"/>
    </row>
    <row r="314" s="162" customFormat="true" ht="14.1" hidden="true" customHeight="true" outlineLevel="1" collapsed="false">
      <c r="A314" s="245" t="s">
        <v>218</v>
      </c>
      <c r="B314" s="241"/>
      <c r="C314" s="229"/>
      <c r="D314" s="243"/>
      <c r="E314" s="229"/>
      <c r="F314" s="229"/>
      <c r="G314" s="187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35"/>
      <c r="AI314" s="35"/>
      <c r="AJ314" s="40"/>
      <c r="AK314" s="40"/>
      <c r="AL314" s="40"/>
      <c r="AM314" s="40"/>
      <c r="AN314" s="40"/>
      <c r="AO314" s="125"/>
      <c r="AP314" s="125"/>
      <c r="AQ314" s="126"/>
      <c r="AR314" s="126"/>
      <c r="AS314" s="126"/>
      <c r="AT314" s="126"/>
      <c r="AU314" s="126"/>
      <c r="AV314" s="126"/>
      <c r="AW314" s="126"/>
      <c r="AX314" s="126"/>
      <c r="AY314" s="126"/>
      <c r="AZ314" s="126"/>
      <c r="BA314" s="126"/>
      <c r="BB314" s="160"/>
      <c r="BC314" s="160"/>
      <c r="BD314" s="160"/>
      <c r="BE314" s="160"/>
      <c r="BF314" s="161"/>
    </row>
    <row r="315" customFormat="false" ht="14.1" hidden="true" customHeight="true" outlineLevel="1" collapsed="false">
      <c r="A315" s="246" t="s">
        <v>219</v>
      </c>
      <c r="B315" s="119" t="s">
        <v>48</v>
      </c>
      <c r="C315" s="163" t="n">
        <v>0</v>
      </c>
      <c r="D315" s="165"/>
      <c r="E315" s="243"/>
      <c r="F315" s="243"/>
      <c r="G315" s="150"/>
      <c r="H315" s="150"/>
      <c r="I315" s="150"/>
      <c r="J315" s="150"/>
      <c r="K315" s="150"/>
      <c r="L315" s="150"/>
      <c r="M315" s="150"/>
      <c r="N315" s="150"/>
      <c r="O315" s="150"/>
      <c r="P315" s="150"/>
      <c r="Q315" s="150"/>
      <c r="R315" s="150"/>
      <c r="S315" s="150"/>
      <c r="T315" s="150"/>
      <c r="U315" s="150"/>
      <c r="V315" s="150"/>
      <c r="W315" s="150"/>
      <c r="X315" s="150"/>
      <c r="Y315" s="150"/>
      <c r="Z315" s="150"/>
      <c r="AA315" s="150"/>
      <c r="AB315" s="150"/>
      <c r="AC315" s="150"/>
      <c r="AD315" s="150"/>
      <c r="AE315" s="150"/>
      <c r="AF315" s="150"/>
      <c r="AG315" s="150"/>
      <c r="AH315" s="40"/>
      <c r="AI315" s="40"/>
      <c r="AJ315" s="40"/>
      <c r="AK315" s="40"/>
      <c r="AL315" s="40"/>
      <c r="AM315" s="40"/>
      <c r="AN315" s="40"/>
      <c r="AO315" s="125"/>
      <c r="AP315" s="125"/>
      <c r="AQ315" s="126"/>
      <c r="AR315" s="126"/>
      <c r="AS315" s="126"/>
      <c r="AT315" s="126"/>
      <c r="AU315" s="126"/>
      <c r="AV315" s="126"/>
      <c r="AW315" s="126"/>
      <c r="AX315" s="126"/>
      <c r="AY315" s="126"/>
      <c r="AZ315" s="126"/>
      <c r="BA315" s="126"/>
      <c r="BB315" s="21"/>
      <c r="BC315" s="21"/>
      <c r="BD315" s="21"/>
      <c r="BE315" s="21"/>
    </row>
    <row r="316" customFormat="false" ht="14.1" hidden="true" customHeight="true" outlineLevel="1" collapsed="false">
      <c r="A316" s="247" t="s">
        <v>220</v>
      </c>
      <c r="B316" s="248" t="s">
        <v>48</v>
      </c>
      <c r="C316" s="249" t="n">
        <v>0</v>
      </c>
      <c r="D316" s="150"/>
      <c r="E316" s="150"/>
      <c r="F316" s="150"/>
      <c r="G316" s="150"/>
      <c r="H316" s="150"/>
      <c r="I316" s="259"/>
      <c r="J316" s="150"/>
      <c r="K316" s="150"/>
      <c r="L316" s="150"/>
      <c r="M316" s="150"/>
      <c r="N316" s="150"/>
      <c r="O316" s="187"/>
      <c r="P316" s="187"/>
      <c r="Q316" s="187"/>
      <c r="R316" s="150"/>
      <c r="S316" s="150"/>
      <c r="T316" s="150"/>
      <c r="U316" s="150"/>
      <c r="V316" s="150"/>
      <c r="W316" s="150"/>
      <c r="X316" s="150"/>
      <c r="Y316" s="150"/>
      <c r="Z316" s="150"/>
      <c r="AA316" s="150"/>
      <c r="AB316" s="150"/>
      <c r="AC316" s="150"/>
      <c r="AD316" s="150"/>
      <c r="AE316" s="150"/>
      <c r="AF316" s="150"/>
      <c r="AG316" s="150"/>
      <c r="AH316" s="40"/>
      <c r="AI316" s="40"/>
      <c r="AJ316" s="40"/>
      <c r="AK316" s="40"/>
      <c r="AL316" s="188"/>
      <c r="AM316" s="188"/>
      <c r="AN316" s="188"/>
      <c r="AO316" s="260"/>
      <c r="AP316" s="125"/>
      <c r="AQ316" s="126"/>
      <c r="AR316" s="126"/>
      <c r="AS316" s="126"/>
      <c r="AT316" s="126"/>
      <c r="AU316" s="126"/>
      <c r="AV316" s="126"/>
      <c r="AW316" s="126"/>
      <c r="AX316" s="126"/>
      <c r="AY316" s="126"/>
      <c r="AZ316" s="126"/>
      <c r="BA316" s="126"/>
      <c r="BB316" s="160"/>
      <c r="BC316" s="160"/>
      <c r="BD316" s="160"/>
      <c r="BE316" s="160"/>
    </row>
    <row r="317" customFormat="false" ht="14.1" hidden="true" customHeight="true" outlineLevel="1" collapsed="false">
      <c r="A317" s="250" t="s">
        <v>221</v>
      </c>
      <c r="B317" s="119" t="s">
        <v>48</v>
      </c>
      <c r="C317" s="163" t="n">
        <v>0</v>
      </c>
      <c r="D317" s="150"/>
      <c r="E317" s="150"/>
      <c r="F317" s="150"/>
      <c r="G317" s="150"/>
      <c r="H317" s="150"/>
      <c r="I317" s="259"/>
      <c r="J317" s="150"/>
      <c r="K317" s="150"/>
      <c r="L317" s="150"/>
      <c r="M317" s="150"/>
      <c r="N317" s="150"/>
      <c r="O317" s="187"/>
      <c r="P317" s="187"/>
      <c r="Q317" s="187"/>
      <c r="R317" s="150"/>
      <c r="S317" s="150"/>
      <c r="T317" s="150"/>
      <c r="U317" s="150"/>
      <c r="V317" s="150"/>
      <c r="W317" s="150"/>
      <c r="X317" s="150"/>
      <c r="Y317" s="150"/>
      <c r="Z317" s="150"/>
      <c r="AA317" s="150"/>
      <c r="AB317" s="150"/>
      <c r="AC317" s="150"/>
      <c r="AD317" s="150"/>
      <c r="AE317" s="150"/>
      <c r="AF317" s="150"/>
      <c r="AG317" s="150"/>
      <c r="AH317" s="40"/>
      <c r="AI317" s="40"/>
      <c r="AJ317" s="40"/>
      <c r="AK317" s="40"/>
      <c r="AL317" s="188"/>
      <c r="AM317" s="188"/>
      <c r="AN317" s="188"/>
      <c r="AO317" s="260"/>
      <c r="AP317" s="125"/>
      <c r="AQ317" s="126"/>
      <c r="AR317" s="126"/>
      <c r="AS317" s="126"/>
      <c r="AT317" s="126"/>
      <c r="AU317" s="126"/>
      <c r="AV317" s="126"/>
      <c r="AW317" s="126"/>
      <c r="AX317" s="126"/>
      <c r="AY317" s="126"/>
      <c r="AZ317" s="126"/>
      <c r="BA317" s="126"/>
      <c r="BB317" s="160"/>
      <c r="BC317" s="160"/>
      <c r="BD317" s="160"/>
      <c r="BE317" s="160"/>
    </row>
    <row r="318" customFormat="false" ht="14.1" hidden="true" customHeight="true" outlineLevel="1" collapsed="false">
      <c r="A318" s="138" t="s">
        <v>222</v>
      </c>
      <c r="B318" s="135"/>
      <c r="C318" s="26"/>
      <c r="D318" s="150"/>
      <c r="E318" s="150"/>
      <c r="F318" s="150"/>
      <c r="G318" s="150"/>
      <c r="H318" s="150"/>
      <c r="I318" s="259"/>
      <c r="J318" s="150"/>
      <c r="K318" s="150"/>
      <c r="L318" s="150"/>
      <c r="M318" s="150"/>
      <c r="N318" s="150"/>
      <c r="O318" s="187"/>
      <c r="P318" s="187"/>
      <c r="Q318" s="187"/>
      <c r="R318" s="150"/>
      <c r="S318" s="150"/>
      <c r="T318" s="150"/>
      <c r="U318" s="150"/>
      <c r="V318" s="150"/>
      <c r="W318" s="150"/>
      <c r="X318" s="150"/>
      <c r="Y318" s="150"/>
      <c r="Z318" s="150"/>
      <c r="AA318" s="150"/>
      <c r="AB318" s="150"/>
      <c r="AC318" s="150"/>
      <c r="AD318" s="150"/>
      <c r="AE318" s="150"/>
      <c r="AF318" s="150"/>
      <c r="AG318" s="150"/>
      <c r="AH318" s="40"/>
      <c r="AI318" s="40"/>
      <c r="AJ318" s="40"/>
      <c r="AK318" s="40"/>
      <c r="AL318" s="188"/>
      <c r="AM318" s="188"/>
      <c r="AN318" s="188"/>
      <c r="AO318" s="260"/>
      <c r="AP318" s="125"/>
      <c r="AQ318" s="126"/>
      <c r="AR318" s="126"/>
      <c r="AS318" s="126"/>
      <c r="AT318" s="126"/>
      <c r="AU318" s="126"/>
      <c r="AV318" s="126"/>
      <c r="AW318" s="126"/>
      <c r="AX318" s="126"/>
      <c r="AY318" s="126"/>
      <c r="AZ318" s="126"/>
      <c r="BA318" s="126"/>
      <c r="BB318" s="160"/>
      <c r="BC318" s="160"/>
      <c r="BD318" s="160"/>
      <c r="BE318" s="160"/>
    </row>
    <row r="319" customFormat="false" ht="14.1" hidden="true" customHeight="true" outlineLevel="1" collapsed="false">
      <c r="A319" s="242" t="s">
        <v>223</v>
      </c>
      <c r="B319" s="26"/>
      <c r="C319" s="26"/>
      <c r="D319" s="150"/>
      <c r="E319" s="150"/>
      <c r="F319" s="150"/>
      <c r="G319" s="150"/>
      <c r="H319" s="150"/>
      <c r="I319" s="259"/>
      <c r="J319" s="150"/>
      <c r="K319" s="150"/>
      <c r="L319" s="150"/>
      <c r="M319" s="150"/>
      <c r="N319" s="150"/>
      <c r="O319" s="187"/>
      <c r="P319" s="187"/>
      <c r="Q319" s="187"/>
      <c r="R319" s="150"/>
      <c r="S319" s="150"/>
      <c r="T319" s="150"/>
      <c r="U319" s="150"/>
      <c r="V319" s="150"/>
      <c r="W319" s="150"/>
      <c r="X319" s="150"/>
      <c r="Y319" s="150"/>
      <c r="Z319" s="150"/>
      <c r="AA319" s="150"/>
      <c r="AB319" s="150"/>
      <c r="AC319" s="150"/>
      <c r="AD319" s="150"/>
      <c r="AE319" s="150"/>
      <c r="AF319" s="150"/>
      <c r="AG319" s="150"/>
      <c r="AH319" s="40"/>
      <c r="AI319" s="40"/>
      <c r="AJ319" s="40"/>
      <c r="AK319" s="40"/>
      <c r="AL319" s="188"/>
      <c r="AM319" s="188"/>
      <c r="AN319" s="188"/>
      <c r="AO319" s="260"/>
      <c r="AP319" s="125"/>
      <c r="AQ319" s="126"/>
      <c r="AR319" s="126"/>
      <c r="AS319" s="126"/>
      <c r="AT319" s="126"/>
      <c r="AU319" s="126"/>
      <c r="AV319" s="126"/>
      <c r="AW319" s="126"/>
      <c r="AX319" s="126"/>
      <c r="AY319" s="126"/>
      <c r="AZ319" s="126"/>
      <c r="BA319" s="126"/>
      <c r="BB319" s="160"/>
      <c r="BC319" s="160"/>
      <c r="BD319" s="160"/>
      <c r="BE319" s="160"/>
    </row>
    <row r="320" customFormat="false" ht="14.1" hidden="true" customHeight="true" outlineLevel="1" collapsed="false">
      <c r="A320" s="138" t="s">
        <v>224</v>
      </c>
      <c r="B320" s="26"/>
      <c r="C320" s="26"/>
      <c r="D320" s="150"/>
      <c r="E320" s="150"/>
      <c r="F320" s="150"/>
      <c r="G320" s="150"/>
      <c r="H320" s="150"/>
      <c r="I320" s="259"/>
      <c r="J320" s="150"/>
      <c r="K320" s="150"/>
      <c r="L320" s="150"/>
      <c r="M320" s="150"/>
      <c r="N320" s="150"/>
      <c r="O320" s="187"/>
      <c r="P320" s="187"/>
      <c r="Q320" s="187"/>
      <c r="R320" s="150"/>
      <c r="S320" s="150"/>
      <c r="T320" s="150"/>
      <c r="U320" s="150"/>
      <c r="V320" s="150"/>
      <c r="W320" s="150"/>
      <c r="X320" s="150"/>
      <c r="Y320" s="150"/>
      <c r="Z320" s="150"/>
      <c r="AA320" s="150"/>
      <c r="AB320" s="150"/>
      <c r="AC320" s="150"/>
      <c r="AD320" s="150"/>
      <c r="AE320" s="150"/>
      <c r="AF320" s="150"/>
      <c r="AG320" s="150"/>
      <c r="AH320" s="40"/>
      <c r="AI320" s="40"/>
      <c r="AJ320" s="40"/>
      <c r="AK320" s="40"/>
      <c r="AL320" s="188"/>
      <c r="AM320" s="188"/>
      <c r="AN320" s="188"/>
      <c r="AO320" s="260"/>
      <c r="AP320" s="125"/>
      <c r="AQ320" s="126"/>
      <c r="AR320" s="126"/>
      <c r="AS320" s="126"/>
      <c r="AT320" s="126"/>
      <c r="AU320" s="126"/>
      <c r="AV320" s="126"/>
      <c r="AW320" s="126"/>
      <c r="AX320" s="126"/>
      <c r="AY320" s="126"/>
      <c r="AZ320" s="126"/>
      <c r="BA320" s="126"/>
      <c r="BB320" s="160"/>
      <c r="BC320" s="160"/>
      <c r="BD320" s="160"/>
      <c r="BE320" s="160"/>
    </row>
    <row r="321" customFormat="false" ht="14.1" hidden="true" customHeight="true" outlineLevel="1" collapsed="false">
      <c r="A321" s="242" t="s">
        <v>223</v>
      </c>
      <c r="B321" s="26"/>
      <c r="C321" s="26"/>
      <c r="D321" s="150"/>
      <c r="E321" s="150"/>
      <c r="F321" s="150"/>
      <c r="G321" s="150"/>
      <c r="H321" s="150"/>
      <c r="I321" s="259"/>
      <c r="J321" s="150"/>
      <c r="K321" s="150"/>
      <c r="L321" s="150"/>
      <c r="M321" s="150"/>
      <c r="N321" s="150"/>
      <c r="O321" s="187"/>
      <c r="P321" s="187"/>
      <c r="Q321" s="187"/>
      <c r="R321" s="150"/>
      <c r="S321" s="150"/>
      <c r="T321" s="150"/>
      <c r="U321" s="150"/>
      <c r="V321" s="150"/>
      <c r="W321" s="150"/>
      <c r="X321" s="150"/>
      <c r="Y321" s="150"/>
      <c r="Z321" s="150"/>
      <c r="AA321" s="150"/>
      <c r="AB321" s="150"/>
      <c r="AC321" s="150"/>
      <c r="AD321" s="150"/>
      <c r="AE321" s="150"/>
      <c r="AF321" s="150"/>
      <c r="AG321" s="150"/>
      <c r="AH321" s="40"/>
      <c r="AI321" s="40"/>
      <c r="AJ321" s="40"/>
      <c r="AK321" s="40"/>
      <c r="AL321" s="188"/>
      <c r="AM321" s="188"/>
      <c r="AN321" s="188"/>
      <c r="AO321" s="260"/>
      <c r="AP321" s="125"/>
      <c r="AQ321" s="126"/>
      <c r="AR321" s="126"/>
      <c r="AS321" s="126"/>
      <c r="AT321" s="126"/>
      <c r="AU321" s="126"/>
      <c r="AV321" s="126"/>
      <c r="AW321" s="126"/>
      <c r="AX321" s="126"/>
      <c r="AY321" s="126"/>
      <c r="AZ321" s="126"/>
      <c r="BA321" s="126"/>
      <c r="BB321" s="160"/>
      <c r="BC321" s="160"/>
      <c r="BD321" s="160"/>
      <c r="BE321" s="160"/>
    </row>
    <row r="322" customFormat="false" ht="14.1" hidden="true" customHeight="true" outlineLevel="1" collapsed="false">
      <c r="A322" s="138" t="s">
        <v>225</v>
      </c>
      <c r="B322" s="135"/>
      <c r="C322" s="26"/>
      <c r="D322" s="150"/>
      <c r="E322" s="150"/>
      <c r="F322" s="150"/>
      <c r="G322" s="150"/>
      <c r="H322" s="150"/>
      <c r="I322" s="259"/>
      <c r="J322" s="150"/>
      <c r="K322" s="150"/>
      <c r="L322" s="150"/>
      <c r="M322" s="150"/>
      <c r="N322" s="150"/>
      <c r="O322" s="187"/>
      <c r="P322" s="187"/>
      <c r="Q322" s="187"/>
      <c r="R322" s="150"/>
      <c r="S322" s="150"/>
      <c r="T322" s="150"/>
      <c r="U322" s="150"/>
      <c r="V322" s="150"/>
      <c r="W322" s="150"/>
      <c r="X322" s="150"/>
      <c r="Y322" s="150"/>
      <c r="Z322" s="150"/>
      <c r="AA322" s="150"/>
      <c r="AB322" s="150"/>
      <c r="AC322" s="150"/>
      <c r="AD322" s="150"/>
      <c r="AE322" s="150"/>
      <c r="AF322" s="150"/>
      <c r="AG322" s="150"/>
      <c r="AH322" s="40"/>
      <c r="AI322" s="40"/>
      <c r="AJ322" s="40"/>
      <c r="AK322" s="40"/>
      <c r="AL322" s="188"/>
      <c r="AM322" s="188"/>
      <c r="AN322" s="188"/>
      <c r="AO322" s="260"/>
      <c r="AP322" s="125"/>
      <c r="AQ322" s="126"/>
      <c r="AR322" s="126"/>
      <c r="AS322" s="126"/>
      <c r="AT322" s="126"/>
      <c r="AU322" s="126"/>
      <c r="AV322" s="126"/>
      <c r="AW322" s="126"/>
      <c r="AX322" s="126"/>
      <c r="AY322" s="126"/>
      <c r="AZ322" s="126"/>
      <c r="BA322" s="126"/>
      <c r="BB322" s="160"/>
      <c r="BC322" s="160"/>
      <c r="BD322" s="160"/>
      <c r="BE322" s="160"/>
    </row>
    <row r="323" customFormat="false" ht="14.1" hidden="true" customHeight="true" outlineLevel="1" collapsed="false">
      <c r="A323" s="149" t="s">
        <v>226</v>
      </c>
      <c r="B323" s="119" t="s">
        <v>109</v>
      </c>
      <c r="C323" s="130" t="n">
        <v>4</v>
      </c>
      <c r="D323" s="150"/>
      <c r="E323" s="150"/>
      <c r="F323" s="150"/>
      <c r="G323" s="150"/>
      <c r="H323" s="150"/>
      <c r="I323" s="259"/>
      <c r="J323" s="150"/>
      <c r="K323" s="150"/>
      <c r="L323" s="150"/>
      <c r="M323" s="150"/>
      <c r="N323" s="150"/>
      <c r="O323" s="187"/>
      <c r="P323" s="187"/>
      <c r="Q323" s="187"/>
      <c r="R323" s="150"/>
      <c r="S323" s="150"/>
      <c r="T323" s="150"/>
      <c r="U323" s="150"/>
      <c r="V323" s="150"/>
      <c r="W323" s="150"/>
      <c r="X323" s="150"/>
      <c r="Y323" s="150"/>
      <c r="Z323" s="150"/>
      <c r="AA323" s="150"/>
      <c r="AB323" s="150"/>
      <c r="AC323" s="150"/>
      <c r="AD323" s="150"/>
      <c r="AE323" s="150"/>
      <c r="AF323" s="150"/>
      <c r="AG323" s="150"/>
      <c r="AH323" s="40"/>
      <c r="AI323" s="40"/>
      <c r="AJ323" s="40"/>
      <c r="AK323" s="40"/>
      <c r="AL323" s="188"/>
      <c r="AM323" s="188"/>
      <c r="AN323" s="188"/>
      <c r="AO323" s="260"/>
      <c r="AP323" s="125"/>
      <c r="AQ323" s="126"/>
      <c r="AR323" s="126"/>
      <c r="AS323" s="126"/>
      <c r="AT323" s="126"/>
      <c r="AU323" s="126"/>
      <c r="AV323" s="126"/>
      <c r="AW323" s="126"/>
      <c r="AX323" s="126"/>
      <c r="AY323" s="126"/>
      <c r="AZ323" s="126"/>
      <c r="BA323" s="126"/>
      <c r="BB323" s="160"/>
      <c r="BC323" s="160"/>
      <c r="BD323" s="160"/>
      <c r="BE323" s="160"/>
    </row>
    <row r="324" customFormat="false" ht="14.1" hidden="true" customHeight="true" outlineLevel="1" collapsed="false">
      <c r="A324" s="147" t="s">
        <v>226</v>
      </c>
      <c r="B324" s="119" t="s">
        <v>109</v>
      </c>
      <c r="C324" s="151" t="n">
        <v>0</v>
      </c>
      <c r="D324" s="150"/>
      <c r="E324" s="150"/>
      <c r="F324" s="150"/>
      <c r="G324" s="150"/>
      <c r="H324" s="150"/>
      <c r="I324" s="259"/>
      <c r="J324" s="150"/>
      <c r="K324" s="150"/>
      <c r="L324" s="150"/>
      <c r="M324" s="150"/>
      <c r="N324" s="150"/>
      <c r="O324" s="187"/>
      <c r="P324" s="187"/>
      <c r="Q324" s="187"/>
      <c r="R324" s="150"/>
      <c r="S324" s="150"/>
      <c r="T324" s="150"/>
      <c r="U324" s="150"/>
      <c r="V324" s="150"/>
      <c r="W324" s="150"/>
      <c r="X324" s="150"/>
      <c r="Y324" s="150"/>
      <c r="Z324" s="150"/>
      <c r="AA324" s="150"/>
      <c r="AB324" s="150"/>
      <c r="AC324" s="150"/>
      <c r="AD324" s="150"/>
      <c r="AE324" s="150"/>
      <c r="AF324" s="150"/>
      <c r="AG324" s="150"/>
      <c r="AH324" s="40"/>
      <c r="AI324" s="40"/>
      <c r="AJ324" s="40"/>
      <c r="AK324" s="40"/>
      <c r="AL324" s="188"/>
      <c r="AM324" s="188"/>
      <c r="AN324" s="188"/>
      <c r="AO324" s="260"/>
      <c r="AP324" s="125"/>
      <c r="AQ324" s="126"/>
      <c r="AR324" s="126"/>
      <c r="AS324" s="126"/>
      <c r="AT324" s="126"/>
      <c r="AU324" s="126"/>
      <c r="AV324" s="126"/>
      <c r="AW324" s="126"/>
      <c r="AX324" s="126"/>
      <c r="AY324" s="126"/>
      <c r="AZ324" s="126"/>
      <c r="BA324" s="126"/>
      <c r="BB324" s="160"/>
      <c r="BC324" s="160"/>
      <c r="BD324" s="160"/>
      <c r="BE324" s="160"/>
    </row>
    <row r="325" customFormat="false" ht="14.1" hidden="true" customHeight="true" outlineLevel="1" collapsed="false">
      <c r="A325" s="26"/>
      <c r="B325" s="135"/>
      <c r="C325" s="26"/>
      <c r="D325" s="150"/>
      <c r="E325" s="150"/>
      <c r="F325" s="150"/>
      <c r="G325" s="150"/>
      <c r="H325" s="150"/>
      <c r="I325" s="259"/>
      <c r="J325" s="150"/>
      <c r="K325" s="150"/>
      <c r="L325" s="150"/>
      <c r="M325" s="150"/>
      <c r="N325" s="150"/>
      <c r="O325" s="187"/>
      <c r="P325" s="187"/>
      <c r="Q325" s="187"/>
      <c r="R325" s="150"/>
      <c r="S325" s="150"/>
      <c r="T325" s="150"/>
      <c r="U325" s="150"/>
      <c r="V325" s="150"/>
      <c r="W325" s="150"/>
      <c r="X325" s="150"/>
      <c r="Y325" s="150"/>
      <c r="Z325" s="150"/>
      <c r="AA325" s="150"/>
      <c r="AB325" s="150"/>
      <c r="AC325" s="150"/>
      <c r="AD325" s="150"/>
      <c r="AE325" s="150"/>
      <c r="AF325" s="150"/>
      <c r="AG325" s="150"/>
      <c r="AH325" s="40"/>
      <c r="AI325" s="40"/>
      <c r="AJ325" s="40"/>
      <c r="AK325" s="40"/>
      <c r="AL325" s="188"/>
      <c r="AM325" s="188"/>
      <c r="AN325" s="188"/>
      <c r="AO325" s="260"/>
      <c r="AP325" s="125"/>
      <c r="AQ325" s="126"/>
      <c r="AR325" s="126"/>
      <c r="AS325" s="126"/>
      <c r="AT325" s="126"/>
      <c r="AU325" s="126"/>
      <c r="AV325" s="126"/>
      <c r="AW325" s="126"/>
      <c r="AX325" s="126"/>
      <c r="AY325" s="126"/>
      <c r="AZ325" s="126"/>
      <c r="BA325" s="126"/>
      <c r="BB325" s="160"/>
      <c r="BC325" s="160"/>
      <c r="BD325" s="160"/>
      <c r="BE325" s="160"/>
    </row>
    <row r="326" customFormat="false" ht="14.1" hidden="true" customHeight="true" outlineLevel="1" collapsed="false">
      <c r="A326" s="152" t="s">
        <v>242</v>
      </c>
      <c r="B326" s="119" t="s">
        <v>113</v>
      </c>
      <c r="C326" s="252" t="n">
        <v>3000</v>
      </c>
      <c r="D326" s="150"/>
      <c r="E326" s="150"/>
      <c r="F326" s="150"/>
      <c r="G326" s="150"/>
      <c r="H326" s="150"/>
      <c r="I326" s="259"/>
      <c r="J326" s="150"/>
      <c r="K326" s="150"/>
      <c r="L326" s="150"/>
      <c r="M326" s="150"/>
      <c r="N326" s="150"/>
      <c r="O326" s="187"/>
      <c r="P326" s="187"/>
      <c r="Q326" s="187"/>
      <c r="R326" s="150"/>
      <c r="S326" s="150"/>
      <c r="T326" s="150"/>
      <c r="U326" s="150"/>
      <c r="V326" s="150"/>
      <c r="W326" s="150"/>
      <c r="X326" s="150"/>
      <c r="Y326" s="150"/>
      <c r="Z326" s="150"/>
      <c r="AA326" s="150"/>
      <c r="AB326" s="150"/>
      <c r="AC326" s="150"/>
      <c r="AD326" s="150"/>
      <c r="AE326" s="150"/>
      <c r="AF326" s="150"/>
      <c r="AG326" s="150"/>
      <c r="AH326" s="40"/>
      <c r="AI326" s="40"/>
      <c r="AJ326" s="40"/>
      <c r="AK326" s="40"/>
      <c r="AL326" s="188"/>
      <c r="AM326" s="188"/>
      <c r="AN326" s="188"/>
      <c r="AO326" s="260"/>
      <c r="AP326" s="125"/>
      <c r="AQ326" s="126"/>
      <c r="AR326" s="126"/>
      <c r="AS326" s="126"/>
      <c r="AT326" s="126"/>
      <c r="AU326" s="126"/>
      <c r="AV326" s="126"/>
      <c r="AW326" s="126"/>
      <c r="AX326" s="126"/>
      <c r="AY326" s="126"/>
      <c r="AZ326" s="126"/>
      <c r="BA326" s="126"/>
      <c r="BB326" s="160"/>
      <c r="BC326" s="160"/>
      <c r="BD326" s="160"/>
      <c r="BE326" s="160"/>
    </row>
    <row r="327" customFormat="false" ht="14.1" hidden="false" customHeight="true" outlineLevel="0" collapsed="false">
      <c r="A327" s="155" t="s">
        <v>243</v>
      </c>
      <c r="B327" s="155"/>
      <c r="C327" s="155"/>
      <c r="D327" s="155"/>
      <c r="E327" s="155"/>
      <c r="F327" s="26"/>
      <c r="G327" s="150"/>
      <c r="H327" s="150"/>
      <c r="I327" s="259"/>
      <c r="J327" s="150"/>
      <c r="K327" s="150"/>
      <c r="L327" s="150"/>
      <c r="M327" s="150"/>
      <c r="N327" s="150"/>
      <c r="O327" s="187"/>
      <c r="P327" s="187"/>
      <c r="Q327" s="187"/>
      <c r="R327" s="150"/>
      <c r="S327" s="150"/>
      <c r="T327" s="150"/>
      <c r="U327" s="150"/>
      <c r="V327" s="150"/>
      <c r="W327" s="150"/>
      <c r="X327" s="150"/>
      <c r="Y327" s="150"/>
      <c r="Z327" s="150"/>
      <c r="AA327" s="150"/>
      <c r="AB327" s="150"/>
      <c r="AC327" s="150"/>
      <c r="AD327" s="150"/>
      <c r="AE327" s="150"/>
      <c r="AF327" s="150"/>
      <c r="AG327" s="150"/>
      <c r="AH327" s="40"/>
      <c r="AI327" s="40"/>
      <c r="AJ327" s="40"/>
      <c r="AK327" s="40"/>
      <c r="AL327" s="188"/>
      <c r="AM327" s="188"/>
      <c r="AN327" s="188"/>
      <c r="AO327" s="260"/>
      <c r="AP327" s="125"/>
      <c r="AQ327" s="126"/>
      <c r="AR327" s="126"/>
      <c r="AS327" s="126"/>
      <c r="AT327" s="126"/>
      <c r="AU327" s="126"/>
      <c r="AV327" s="126"/>
      <c r="AW327" s="126"/>
      <c r="AX327" s="126"/>
      <c r="AY327" s="126"/>
      <c r="AZ327" s="126"/>
      <c r="BA327" s="126"/>
      <c r="BB327" s="160"/>
      <c r="BC327" s="160"/>
      <c r="BD327" s="160"/>
      <c r="BE327" s="160"/>
    </row>
    <row r="328" s="35" customFormat="true" ht="14.1" hidden="false" customHeight="true" outlineLevel="0" collapsed="false">
      <c r="A328" s="150"/>
      <c r="B328" s="200"/>
      <c r="C328" s="150"/>
      <c r="D328" s="150"/>
      <c r="E328" s="150"/>
      <c r="F328" s="150"/>
      <c r="G328" s="150"/>
      <c r="H328" s="150"/>
      <c r="I328" s="259"/>
      <c r="J328" s="150"/>
      <c r="K328" s="150"/>
      <c r="L328" s="150"/>
      <c r="M328" s="150"/>
      <c r="N328" s="150"/>
      <c r="O328" s="187"/>
      <c r="P328" s="187"/>
      <c r="Q328" s="187"/>
      <c r="R328" s="150"/>
      <c r="S328" s="150"/>
      <c r="T328" s="150"/>
      <c r="U328" s="150"/>
      <c r="V328" s="150"/>
      <c r="W328" s="150"/>
      <c r="X328" s="150"/>
      <c r="Y328" s="150"/>
      <c r="Z328" s="150"/>
      <c r="AA328" s="150"/>
      <c r="AB328" s="150"/>
      <c r="AC328" s="150"/>
      <c r="AD328" s="150"/>
      <c r="AE328" s="150"/>
      <c r="AF328" s="150"/>
      <c r="AG328" s="150"/>
      <c r="AH328" s="40"/>
      <c r="AI328" s="40"/>
      <c r="AJ328" s="40"/>
      <c r="AK328" s="40"/>
      <c r="AL328" s="188"/>
      <c r="AM328" s="188"/>
      <c r="AN328" s="188"/>
      <c r="AO328" s="260"/>
      <c r="AP328" s="125"/>
      <c r="AQ328" s="126"/>
      <c r="AR328" s="126"/>
      <c r="AS328" s="126"/>
      <c r="AT328" s="126"/>
      <c r="AU328" s="126"/>
      <c r="AV328" s="126"/>
      <c r="AW328" s="126"/>
      <c r="AX328" s="126"/>
      <c r="AY328" s="126"/>
      <c r="AZ328" s="126"/>
      <c r="BA328" s="126"/>
      <c r="BB328" s="126"/>
      <c r="BC328" s="126"/>
      <c r="BD328" s="126"/>
      <c r="BE328" s="126"/>
      <c r="BF328" s="156"/>
    </row>
    <row r="329" customFormat="false" ht="14.1" hidden="true" customHeight="true" outlineLevel="1" collapsed="false">
      <c r="A329" s="211" t="s">
        <v>244</v>
      </c>
      <c r="B329" s="211"/>
      <c r="C329" s="211"/>
      <c r="D329" s="211"/>
      <c r="E329" s="211"/>
      <c r="F329" s="138"/>
      <c r="G329" s="26"/>
      <c r="H329" s="150"/>
      <c r="I329" s="259"/>
      <c r="J329" s="158" t="s">
        <v>244</v>
      </c>
      <c r="K329" s="158"/>
      <c r="L329" s="158"/>
      <c r="M329" s="158"/>
      <c r="N329" s="158"/>
      <c r="O329" s="158"/>
      <c r="P329" s="158"/>
      <c r="Q329" s="158"/>
      <c r="R329" s="158"/>
      <c r="S329" s="158"/>
      <c r="T329" s="158"/>
      <c r="U329" s="158"/>
      <c r="V329" s="158"/>
      <c r="W329" s="158"/>
      <c r="X329" s="158"/>
      <c r="Y329" s="158"/>
      <c r="Z329" s="158"/>
      <c r="AA329" s="158"/>
      <c r="AB329" s="158"/>
      <c r="AC329" s="158"/>
      <c r="AD329" s="150"/>
      <c r="AE329" s="150"/>
      <c r="AF329" s="150"/>
      <c r="AG329" s="150"/>
      <c r="AH329" s="40"/>
      <c r="AI329" s="40"/>
      <c r="AJ329" s="40"/>
      <c r="AK329" s="40"/>
      <c r="AL329" s="40"/>
      <c r="AM329" s="40"/>
      <c r="AN329" s="40"/>
      <c r="AO329" s="125"/>
      <c r="AP329" s="125"/>
      <c r="AQ329" s="126"/>
      <c r="AR329" s="126"/>
      <c r="AS329" s="126"/>
      <c r="AT329" s="126"/>
      <c r="AU329" s="126"/>
      <c r="AV329" s="126"/>
      <c r="AW329" s="126"/>
      <c r="AX329" s="126"/>
      <c r="AY329" s="126"/>
      <c r="AZ329" s="126"/>
      <c r="BA329" s="126"/>
      <c r="BB329" s="160"/>
      <c r="BC329" s="160"/>
      <c r="BD329" s="160"/>
      <c r="BE329" s="160"/>
    </row>
    <row r="330" customFormat="false" ht="14.1" hidden="true" customHeight="true" outlineLevel="1" collapsed="false">
      <c r="A330" s="261" t="s">
        <v>187</v>
      </c>
      <c r="B330" s="261"/>
      <c r="C330" s="261"/>
      <c r="D330" s="261"/>
      <c r="E330" s="262" t="n">
        <v>1</v>
      </c>
      <c r="F330" s="263"/>
      <c r="G330" s="256"/>
      <c r="H330" s="150"/>
      <c r="I330" s="150"/>
      <c r="J330" s="158"/>
      <c r="K330" s="158"/>
      <c r="L330" s="158"/>
      <c r="M330" s="158"/>
      <c r="N330" s="158"/>
      <c r="O330" s="158"/>
      <c r="P330" s="158"/>
      <c r="Q330" s="158"/>
      <c r="R330" s="158"/>
      <c r="S330" s="158"/>
      <c r="T330" s="158"/>
      <c r="U330" s="158"/>
      <c r="V330" s="158"/>
      <c r="W330" s="158"/>
      <c r="X330" s="158"/>
      <c r="Y330" s="158"/>
      <c r="Z330" s="158"/>
      <c r="AA330" s="158"/>
      <c r="AB330" s="158"/>
      <c r="AC330" s="158"/>
      <c r="AD330" s="150"/>
      <c r="AE330" s="150"/>
      <c r="AF330" s="150"/>
      <c r="AG330" s="150"/>
      <c r="AH330" s="40"/>
      <c r="AI330" s="40"/>
      <c r="AJ330" s="40"/>
      <c r="AK330" s="40"/>
      <c r="AL330" s="40"/>
      <c r="AM330" s="40"/>
      <c r="AN330" s="40"/>
      <c r="AO330" s="125"/>
      <c r="AP330" s="125"/>
      <c r="AQ330" s="126"/>
      <c r="AR330" s="126"/>
      <c r="AS330" s="126"/>
      <c r="AT330" s="126"/>
      <c r="AU330" s="126"/>
      <c r="AV330" s="126"/>
      <c r="AW330" s="126"/>
      <c r="AX330" s="126"/>
      <c r="AY330" s="126"/>
      <c r="AZ330" s="126"/>
      <c r="BA330" s="126"/>
      <c r="BB330" s="160"/>
      <c r="BC330" s="160"/>
      <c r="BD330" s="160"/>
      <c r="BE330" s="160"/>
    </row>
    <row r="331" customFormat="false" ht="14.1" hidden="true" customHeight="true" outlineLevel="1" collapsed="false">
      <c r="A331" s="261" t="s">
        <v>188</v>
      </c>
      <c r="B331" s="261"/>
      <c r="C331" s="261"/>
      <c r="D331" s="261"/>
      <c r="E331" s="262" t="n">
        <v>1</v>
      </c>
      <c r="F331" s="264"/>
      <c r="G331" s="150"/>
      <c r="H331" s="165"/>
      <c r="I331" s="150"/>
      <c r="J331" s="150"/>
      <c r="K331" s="150"/>
      <c r="L331" s="150"/>
      <c r="M331" s="150"/>
      <c r="N331" s="150"/>
      <c r="O331" s="150"/>
      <c r="P331" s="150"/>
      <c r="Q331" s="150"/>
      <c r="R331" s="265"/>
      <c r="S331" s="265"/>
      <c r="T331" s="265"/>
      <c r="U331" s="265"/>
      <c r="V331" s="265"/>
      <c r="W331" s="265"/>
      <c r="X331" s="265"/>
      <c r="Y331" s="265"/>
      <c r="Z331" s="265"/>
      <c r="AA331" s="265"/>
      <c r="AB331" s="265"/>
      <c r="AC331" s="265"/>
      <c r="AD331" s="265"/>
      <c r="AE331" s="265"/>
      <c r="AF331" s="265"/>
      <c r="AG331" s="265"/>
      <c r="AH331" s="266"/>
      <c r="AI331" s="266"/>
      <c r="AJ331" s="266"/>
      <c r="AK331" s="266"/>
      <c r="AL331" s="40"/>
      <c r="AM331" s="40"/>
      <c r="AN331" s="40"/>
      <c r="AO331" s="125"/>
      <c r="AP331" s="125"/>
      <c r="AQ331" s="126"/>
      <c r="AR331" s="126"/>
      <c r="AS331" s="126"/>
      <c r="AT331" s="126"/>
      <c r="AU331" s="126"/>
      <c r="AV331" s="126"/>
      <c r="AW331" s="126"/>
      <c r="AX331" s="126"/>
      <c r="AY331" s="126"/>
      <c r="AZ331" s="126"/>
      <c r="BA331" s="126"/>
      <c r="BB331" s="160"/>
      <c r="BC331" s="160"/>
      <c r="BD331" s="160"/>
      <c r="BE331" s="160"/>
    </row>
    <row r="332" customFormat="false" ht="14.1" hidden="true" customHeight="true" outlineLevel="1" collapsed="false">
      <c r="A332" s="138"/>
      <c r="B332" s="235"/>
      <c r="C332" s="138"/>
      <c r="D332" s="138"/>
      <c r="E332" s="138"/>
      <c r="F332" s="264"/>
      <c r="G332" s="267"/>
      <c r="H332" s="165"/>
      <c r="I332" s="150"/>
      <c r="J332" s="150"/>
      <c r="K332" s="150"/>
      <c r="L332" s="150"/>
      <c r="M332" s="150"/>
      <c r="N332" s="150"/>
      <c r="O332" s="150"/>
      <c r="P332" s="150"/>
      <c r="Q332" s="150"/>
      <c r="R332" s="265"/>
      <c r="S332" s="265"/>
      <c r="T332" s="265"/>
      <c r="U332" s="265"/>
      <c r="V332" s="265"/>
      <c r="W332" s="265"/>
      <c r="X332" s="265"/>
      <c r="Y332" s="265"/>
      <c r="Z332" s="265"/>
      <c r="AA332" s="265"/>
      <c r="AB332" s="265"/>
      <c r="AC332" s="265"/>
      <c r="AD332" s="265"/>
      <c r="AE332" s="265"/>
      <c r="AF332" s="265"/>
      <c r="AG332" s="265"/>
      <c r="AH332" s="266"/>
      <c r="AI332" s="266"/>
      <c r="AJ332" s="266"/>
      <c r="AK332" s="266"/>
      <c r="AL332" s="40"/>
      <c r="AM332" s="40"/>
      <c r="AN332" s="40"/>
      <c r="AO332" s="125"/>
      <c r="AP332" s="125"/>
      <c r="AQ332" s="126"/>
      <c r="AR332" s="126"/>
      <c r="AS332" s="126"/>
      <c r="AT332" s="126"/>
      <c r="AU332" s="126"/>
      <c r="AV332" s="126"/>
      <c r="AW332" s="126"/>
      <c r="AX332" s="126"/>
      <c r="AY332" s="126"/>
      <c r="AZ332" s="126"/>
      <c r="BA332" s="126"/>
      <c r="BB332" s="160"/>
      <c r="BC332" s="160"/>
      <c r="BD332" s="160"/>
      <c r="BE332" s="160"/>
    </row>
    <row r="333" customFormat="false" ht="14.1" hidden="true" customHeight="true" outlineLevel="1" collapsed="false">
      <c r="A333" s="180" t="s">
        <v>46</v>
      </c>
      <c r="B333" s="180" t="s">
        <v>162</v>
      </c>
      <c r="C333" s="180" t="s">
        <v>15</v>
      </c>
      <c r="D333" s="268"/>
      <c r="E333" s="269"/>
      <c r="F333" s="269"/>
      <c r="G333" s="150"/>
      <c r="H333" s="226" t="s">
        <v>15</v>
      </c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35"/>
      <c r="AI333" s="35"/>
      <c r="AJ333" s="35"/>
      <c r="AK333" s="40"/>
      <c r="AL333" s="40"/>
      <c r="AM333" s="40"/>
      <c r="AN333" s="40"/>
      <c r="AO333" s="125"/>
      <c r="AP333" s="125"/>
      <c r="AQ333" s="126"/>
      <c r="AR333" s="126"/>
      <c r="AS333" s="126"/>
      <c r="AT333" s="126"/>
      <c r="AU333" s="126"/>
      <c r="AV333" s="126"/>
      <c r="AW333" s="126"/>
      <c r="AX333" s="126"/>
      <c r="AY333" s="126"/>
      <c r="AZ333" s="126"/>
      <c r="BA333" s="126"/>
      <c r="BB333" s="160"/>
      <c r="BC333" s="160"/>
      <c r="BD333" s="160"/>
      <c r="BE333" s="160"/>
    </row>
    <row r="334" customFormat="false" ht="14.1" hidden="true" customHeight="true" outlineLevel="1" collapsed="false">
      <c r="A334" s="138" t="s">
        <v>67</v>
      </c>
      <c r="B334" s="270"/>
      <c r="C334" s="196"/>
      <c r="D334" s="268"/>
      <c r="E334" s="269"/>
      <c r="F334" s="269"/>
      <c r="G334" s="150"/>
      <c r="H334" s="217" t="n">
        <v>9.1</v>
      </c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35"/>
      <c r="AI334" s="35"/>
      <c r="AJ334" s="35"/>
      <c r="AK334" s="40"/>
      <c r="AL334" s="40"/>
      <c r="AM334" s="40"/>
      <c r="AN334" s="40"/>
      <c r="AO334" s="125"/>
      <c r="AP334" s="125"/>
      <c r="AQ334" s="126"/>
      <c r="AR334" s="126"/>
      <c r="AS334" s="126"/>
      <c r="AT334" s="126"/>
      <c r="AU334" s="126"/>
      <c r="AV334" s="126"/>
      <c r="AW334" s="126"/>
      <c r="AX334" s="126"/>
      <c r="AY334" s="126"/>
      <c r="AZ334" s="126"/>
      <c r="BA334" s="126"/>
      <c r="BB334" s="160"/>
      <c r="BC334" s="160"/>
      <c r="BD334" s="160"/>
      <c r="BE334" s="160"/>
    </row>
    <row r="335" customFormat="false" ht="14.1" hidden="true" customHeight="true" outlineLevel="1" collapsed="false">
      <c r="A335" s="225" t="s">
        <v>55</v>
      </c>
      <c r="B335" s="235"/>
      <c r="C335" s="138"/>
      <c r="D335" s="271"/>
      <c r="E335" s="272"/>
      <c r="F335" s="272"/>
      <c r="G335" s="165"/>
      <c r="H335" s="165"/>
      <c r="I335" s="165"/>
      <c r="J335" s="165"/>
      <c r="K335" s="165"/>
      <c r="L335" s="165"/>
      <c r="M335" s="26"/>
      <c r="N335" s="226"/>
      <c r="O335" s="165"/>
      <c r="P335" s="165"/>
      <c r="Q335" s="165"/>
      <c r="R335" s="165"/>
      <c r="S335" s="165"/>
      <c r="T335" s="165"/>
      <c r="U335" s="165"/>
      <c r="V335" s="165"/>
      <c r="W335" s="165"/>
      <c r="X335" s="165"/>
      <c r="Y335" s="165"/>
      <c r="Z335" s="165"/>
      <c r="AA335" s="165"/>
      <c r="AB335" s="165"/>
      <c r="AC335" s="165"/>
      <c r="AD335" s="165"/>
      <c r="AE335" s="165"/>
      <c r="AF335" s="165"/>
      <c r="AG335" s="165"/>
      <c r="AH335" s="52"/>
      <c r="AI335" s="35"/>
      <c r="AJ335" s="35"/>
      <c r="AK335" s="40"/>
      <c r="AL335" s="40"/>
      <c r="AM335" s="40"/>
      <c r="AN335" s="40"/>
      <c r="AO335" s="125"/>
      <c r="AP335" s="125"/>
      <c r="AQ335" s="126"/>
      <c r="AR335" s="126"/>
      <c r="AS335" s="126"/>
      <c r="AT335" s="126"/>
      <c r="AU335" s="126"/>
      <c r="AV335" s="126"/>
      <c r="AW335" s="126"/>
      <c r="AX335" s="126"/>
      <c r="AY335" s="126"/>
      <c r="AZ335" s="126"/>
      <c r="BA335" s="126"/>
      <c r="BB335" s="160"/>
      <c r="BC335" s="160"/>
      <c r="BD335" s="160"/>
      <c r="BE335" s="160"/>
    </row>
    <row r="336" customFormat="false" ht="14.1" hidden="true" customHeight="true" outlineLevel="1" collapsed="false">
      <c r="A336" s="227" t="s">
        <v>192</v>
      </c>
      <c r="B336" s="235"/>
      <c r="C336" s="138"/>
      <c r="D336" s="271"/>
      <c r="E336" s="272"/>
      <c r="F336" s="272"/>
      <c r="G336" s="165"/>
      <c r="H336" s="226" t="s">
        <v>15</v>
      </c>
      <c r="I336" s="26"/>
      <c r="J336" s="226"/>
      <c r="K336" s="165"/>
      <c r="L336" s="165"/>
      <c r="M336" s="26"/>
      <c r="N336" s="217"/>
      <c r="O336" s="165"/>
      <c r="P336" s="165"/>
      <c r="Q336" s="165"/>
      <c r="R336" s="165"/>
      <c r="S336" s="165"/>
      <c r="T336" s="165"/>
      <c r="U336" s="165" t="s">
        <v>230</v>
      </c>
      <c r="V336" s="165"/>
      <c r="W336" s="165"/>
      <c r="X336" s="165"/>
      <c r="Y336" s="165"/>
      <c r="Z336" s="165"/>
      <c r="AA336" s="165"/>
      <c r="AB336" s="165"/>
      <c r="AC336" s="165"/>
      <c r="AD336" s="165"/>
      <c r="AE336" s="165"/>
      <c r="AF336" s="203" t="s">
        <v>241</v>
      </c>
      <c r="AG336" s="165"/>
      <c r="AH336" s="52"/>
      <c r="AI336" s="35"/>
      <c r="AJ336" s="35"/>
      <c r="AK336" s="40"/>
      <c r="AL336" s="40"/>
      <c r="AM336" s="40"/>
      <c r="AN336" s="40"/>
      <c r="AO336" s="125"/>
      <c r="AP336" s="125"/>
      <c r="AQ336" s="126"/>
      <c r="AR336" s="126"/>
      <c r="AS336" s="126"/>
      <c r="AT336" s="126"/>
      <c r="AU336" s="126"/>
      <c r="AV336" s="126"/>
      <c r="AW336" s="126"/>
      <c r="AX336" s="126"/>
      <c r="AY336" s="126"/>
      <c r="AZ336" s="126"/>
      <c r="BA336" s="126"/>
      <c r="BB336" s="160"/>
      <c r="BC336" s="160"/>
      <c r="BD336" s="160"/>
      <c r="BE336" s="160"/>
    </row>
    <row r="337" customFormat="false" ht="14.1" hidden="true" customHeight="true" outlineLevel="1" collapsed="false">
      <c r="A337" s="231" t="s">
        <v>101</v>
      </c>
      <c r="B337" s="273"/>
      <c r="C337" s="274"/>
      <c r="D337" s="271"/>
      <c r="E337" s="272"/>
      <c r="F337" s="272"/>
      <c r="G337" s="165"/>
      <c r="H337" s="186" t="n">
        <v>7.9</v>
      </c>
      <c r="I337" s="26"/>
      <c r="J337" s="186"/>
      <c r="K337" s="187"/>
      <c r="L337" s="187"/>
      <c r="M337" s="217"/>
      <c r="N337" s="217"/>
      <c r="O337" s="187"/>
      <c r="P337" s="187"/>
      <c r="Q337" s="187"/>
      <c r="R337" s="187"/>
      <c r="S337" s="187"/>
      <c r="T337" s="187"/>
      <c r="U337" s="187"/>
      <c r="V337" s="187"/>
      <c r="W337" s="187"/>
      <c r="X337" s="187"/>
      <c r="Y337" s="187"/>
      <c r="Z337" s="187"/>
      <c r="AA337" s="165"/>
      <c r="AB337" s="165"/>
      <c r="AC337" s="165"/>
      <c r="AD337" s="165"/>
      <c r="AE337" s="165"/>
      <c r="AF337" s="186" t="n">
        <v>41</v>
      </c>
      <c r="AG337" s="186"/>
      <c r="AH337" s="52"/>
      <c r="AI337" s="35"/>
      <c r="AJ337" s="35"/>
      <c r="AK337" s="40"/>
      <c r="AL337" s="40"/>
      <c r="AM337" s="40"/>
      <c r="AN337" s="40"/>
      <c r="AO337" s="125"/>
      <c r="AP337" s="125"/>
      <c r="AQ337" s="126"/>
      <c r="AR337" s="126"/>
      <c r="AS337" s="126"/>
      <c r="AT337" s="126"/>
      <c r="AU337" s="126"/>
      <c r="AV337" s="126"/>
      <c r="AW337" s="126"/>
      <c r="AX337" s="126"/>
      <c r="AY337" s="126"/>
      <c r="AZ337" s="126"/>
      <c r="BA337" s="126"/>
      <c r="BB337" s="160"/>
      <c r="BC337" s="160"/>
      <c r="BD337" s="160"/>
      <c r="BE337" s="160"/>
    </row>
    <row r="338" customFormat="false" ht="14.1" hidden="true" customHeight="true" outlineLevel="1" collapsed="false">
      <c r="A338" s="152" t="s">
        <v>245</v>
      </c>
      <c r="B338" s="119" t="s">
        <v>15</v>
      </c>
      <c r="C338" s="232" t="n">
        <v>5</v>
      </c>
      <c r="D338" s="271"/>
      <c r="E338" s="272"/>
      <c r="F338" s="272"/>
      <c r="G338" s="165"/>
      <c r="H338" s="165"/>
      <c r="I338" s="186"/>
      <c r="J338" s="186"/>
      <c r="K338" s="165"/>
      <c r="L338" s="165"/>
      <c r="M338" s="165"/>
      <c r="N338" s="165"/>
      <c r="O338" s="165"/>
      <c r="P338" s="165"/>
      <c r="Q338" s="165"/>
      <c r="R338" s="165"/>
      <c r="S338" s="165"/>
      <c r="T338" s="165"/>
      <c r="U338" s="165"/>
      <c r="V338" s="165"/>
      <c r="W338" s="165"/>
      <c r="X338" s="165"/>
      <c r="Y338" s="165"/>
      <c r="Z338" s="165"/>
      <c r="AA338" s="165"/>
      <c r="AB338" s="165"/>
      <c r="AC338" s="165"/>
      <c r="AD338" s="165"/>
      <c r="AE338" s="165"/>
      <c r="AF338" s="186"/>
      <c r="AG338" s="186"/>
      <c r="AH338" s="52"/>
      <c r="AI338" s="35"/>
      <c r="AJ338" s="35"/>
      <c r="AK338" s="40"/>
      <c r="AL338" s="40"/>
      <c r="AM338" s="40"/>
      <c r="AN338" s="40"/>
      <c r="AO338" s="125"/>
      <c r="AP338" s="125"/>
      <c r="AQ338" s="126"/>
      <c r="AR338" s="126"/>
      <c r="AS338" s="126"/>
      <c r="AT338" s="126"/>
      <c r="AU338" s="126"/>
      <c r="AV338" s="126"/>
      <c r="AW338" s="126"/>
      <c r="AX338" s="126"/>
      <c r="AY338" s="126"/>
      <c r="AZ338" s="126"/>
      <c r="BA338" s="126"/>
      <c r="BB338" s="160"/>
      <c r="BC338" s="160"/>
      <c r="BD338" s="160"/>
      <c r="BE338" s="160"/>
    </row>
    <row r="339" customFormat="false" ht="14.1" hidden="true" customHeight="true" outlineLevel="1" collapsed="false">
      <c r="A339" s="152" t="s">
        <v>231</v>
      </c>
      <c r="B339" s="119" t="s">
        <v>15</v>
      </c>
      <c r="C339" s="232" t="n">
        <v>0.5</v>
      </c>
      <c r="D339" s="271"/>
      <c r="E339" s="270" t="s">
        <v>15</v>
      </c>
      <c r="F339" s="270"/>
      <c r="G339" s="165"/>
      <c r="H339" s="165"/>
      <c r="I339" s="165"/>
      <c r="J339" s="165"/>
      <c r="K339" s="165"/>
      <c r="L339" s="165"/>
      <c r="M339" s="165"/>
      <c r="N339" s="165"/>
      <c r="O339" s="165"/>
      <c r="P339" s="165"/>
      <c r="Q339" s="165"/>
      <c r="R339" s="165"/>
      <c r="S339" s="165"/>
      <c r="T339" s="165"/>
      <c r="U339" s="165"/>
      <c r="V339" s="165"/>
      <c r="W339" s="165"/>
      <c r="X339" s="165"/>
      <c r="Y339" s="165"/>
      <c r="Z339" s="165"/>
      <c r="AA339" s="165"/>
      <c r="AB339" s="165"/>
      <c r="AC339" s="165"/>
      <c r="AD339" s="165"/>
      <c r="AE339" s="165"/>
      <c r="AF339" s="165"/>
      <c r="AG339" s="165"/>
      <c r="AH339" s="52"/>
      <c r="AI339" s="35"/>
      <c r="AJ339" s="35"/>
      <c r="AK339" s="40"/>
      <c r="AL339" s="40"/>
      <c r="AM339" s="40"/>
      <c r="AN339" s="40"/>
      <c r="AO339" s="125"/>
      <c r="AP339" s="125"/>
      <c r="AQ339" s="126"/>
      <c r="AR339" s="126"/>
      <c r="AS339" s="126"/>
      <c r="AT339" s="126"/>
      <c r="AU339" s="126"/>
      <c r="AV339" s="126"/>
      <c r="AW339" s="126"/>
      <c r="AX339" s="126" t="n">
        <v>1</v>
      </c>
      <c r="AY339" s="134" t="n">
        <f aca="false">E346</f>
        <v>5.3</v>
      </c>
      <c r="AZ339" s="126" t="s">
        <v>235</v>
      </c>
      <c r="BA339" s="126"/>
      <c r="BB339" s="160"/>
      <c r="BC339" s="160"/>
      <c r="BD339" s="160"/>
      <c r="BE339" s="160"/>
    </row>
    <row r="340" customFormat="false" ht="14.1" hidden="true" customHeight="true" outlineLevel="1" collapsed="false">
      <c r="A340" s="163" t="s">
        <v>197</v>
      </c>
      <c r="B340" s="119" t="s">
        <v>15</v>
      </c>
      <c r="C340" s="232" t="n">
        <v>0.5</v>
      </c>
      <c r="D340" s="275"/>
      <c r="E340" s="276" t="n">
        <v>5.6</v>
      </c>
      <c r="F340" s="276"/>
      <c r="G340" s="165"/>
      <c r="H340" s="26"/>
      <c r="I340" s="226"/>
      <c r="J340" s="165"/>
      <c r="K340" s="165"/>
      <c r="L340" s="165"/>
      <c r="M340" s="165"/>
      <c r="N340" s="165"/>
      <c r="O340" s="165"/>
      <c r="P340" s="165"/>
      <c r="Q340" s="165"/>
      <c r="R340" s="165"/>
      <c r="S340" s="165"/>
      <c r="T340" s="165"/>
      <c r="U340" s="165"/>
      <c r="V340" s="165"/>
      <c r="W340" s="165"/>
      <c r="X340" s="165"/>
      <c r="Y340" s="165"/>
      <c r="Z340" s="165"/>
      <c r="AA340" s="165"/>
      <c r="AB340" s="165"/>
      <c r="AC340" s="165"/>
      <c r="AD340" s="165" t="s">
        <v>232</v>
      </c>
      <c r="AE340" s="165"/>
      <c r="AF340" s="165"/>
      <c r="AG340" s="165"/>
      <c r="AH340" s="52"/>
      <c r="AI340" s="35"/>
      <c r="AJ340" s="35"/>
      <c r="AK340" s="40"/>
      <c r="AL340" s="40"/>
      <c r="AM340" s="40"/>
      <c r="AN340" s="40"/>
      <c r="AO340" s="125"/>
      <c r="AP340" s="125"/>
      <c r="AQ340" s="126"/>
      <c r="AR340" s="126"/>
      <c r="AS340" s="126"/>
      <c r="AT340" s="126"/>
      <c r="AU340" s="126"/>
      <c r="AV340" s="126"/>
      <c r="AW340" s="126"/>
      <c r="AX340" s="126" t="n">
        <v>2</v>
      </c>
      <c r="AY340" s="126" t="n">
        <f aca="false">E340</f>
        <v>5.6</v>
      </c>
      <c r="AZ340" s="126" t="s">
        <v>246</v>
      </c>
      <c r="BA340" s="126"/>
      <c r="BB340" s="160"/>
      <c r="BC340" s="160"/>
      <c r="BD340" s="160"/>
      <c r="BE340" s="160"/>
    </row>
    <row r="341" customFormat="false" ht="14.1" hidden="true" customHeight="true" outlineLevel="1" collapsed="false">
      <c r="A341" s="138" t="s">
        <v>209</v>
      </c>
      <c r="B341" s="235"/>
      <c r="C341" s="138"/>
      <c r="D341" s="275"/>
      <c r="E341" s="272"/>
      <c r="F341" s="272"/>
      <c r="G341" s="165"/>
      <c r="H341" s="26"/>
      <c r="I341" s="186"/>
      <c r="J341" s="165"/>
      <c r="K341" s="165"/>
      <c r="L341" s="165"/>
      <c r="M341" s="165"/>
      <c r="N341" s="165"/>
      <c r="O341" s="165"/>
      <c r="P341" s="165"/>
      <c r="Q341" s="165"/>
      <c r="R341" s="165"/>
      <c r="S341" s="165"/>
      <c r="T341" s="165"/>
      <c r="U341" s="165"/>
      <c r="V341" s="165"/>
      <c r="W341" s="165"/>
      <c r="X341" s="165"/>
      <c r="Y341" s="165"/>
      <c r="Z341" s="165"/>
      <c r="AA341" s="165"/>
      <c r="AB341" s="165"/>
      <c r="AC341" s="165"/>
      <c r="AD341" s="165"/>
      <c r="AE341" s="165"/>
      <c r="AF341" s="165"/>
      <c r="AG341" s="165"/>
      <c r="AH341" s="52"/>
      <c r="AI341" s="35"/>
      <c r="AJ341" s="35"/>
      <c r="AK341" s="40"/>
      <c r="AL341" s="40"/>
      <c r="AM341" s="40"/>
      <c r="AN341" s="40"/>
      <c r="AO341" s="125"/>
      <c r="AP341" s="125"/>
      <c r="AQ341" s="126"/>
      <c r="AR341" s="126"/>
      <c r="AS341" s="126"/>
      <c r="AT341" s="126"/>
      <c r="AU341" s="126"/>
      <c r="AV341" s="126"/>
      <c r="AW341" s="126"/>
      <c r="AX341" s="126" t="n">
        <v>3</v>
      </c>
      <c r="AY341" s="126" t="n">
        <f aca="false">H337</f>
        <v>7.9</v>
      </c>
      <c r="AZ341" s="126" t="s">
        <v>247</v>
      </c>
      <c r="BA341" s="126"/>
      <c r="BB341" s="160"/>
      <c r="BC341" s="160"/>
      <c r="BD341" s="160"/>
      <c r="BE341" s="160"/>
    </row>
    <row r="342" customFormat="false" ht="14.1" hidden="true" customHeight="true" outlineLevel="1" collapsed="false">
      <c r="A342" s="240" t="s">
        <v>210</v>
      </c>
      <c r="B342" s="277"/>
      <c r="C342" s="258"/>
      <c r="D342" s="275"/>
      <c r="E342" s="272"/>
      <c r="F342" s="272"/>
      <c r="G342" s="165"/>
      <c r="H342" s="186"/>
      <c r="I342" s="186"/>
      <c r="J342" s="165"/>
      <c r="K342" s="165"/>
      <c r="L342" s="165"/>
      <c r="M342" s="165"/>
      <c r="N342" s="165"/>
      <c r="O342" s="165"/>
      <c r="P342" s="165"/>
      <c r="Q342" s="165"/>
      <c r="R342" s="165"/>
      <c r="S342" s="165"/>
      <c r="T342" s="165"/>
      <c r="U342" s="165" t="s">
        <v>234</v>
      </c>
      <c r="V342" s="165"/>
      <c r="W342" s="165"/>
      <c r="X342" s="186" t="s">
        <v>248</v>
      </c>
      <c r="Y342" s="186"/>
      <c r="Z342" s="165"/>
      <c r="AA342" s="165"/>
      <c r="AB342" s="165"/>
      <c r="AC342" s="165"/>
      <c r="AD342" s="165"/>
      <c r="AE342" s="165"/>
      <c r="AF342" s="165"/>
      <c r="AG342" s="165"/>
      <c r="AH342" s="52"/>
      <c r="AI342" s="35"/>
      <c r="AJ342" s="35"/>
      <c r="AK342" s="40"/>
      <c r="AL342" s="40"/>
      <c r="AM342" s="40"/>
      <c r="AN342" s="40"/>
      <c r="AO342" s="125"/>
      <c r="AP342" s="125"/>
      <c r="AQ342" s="126"/>
      <c r="AR342" s="126"/>
      <c r="AS342" s="126"/>
      <c r="AT342" s="126"/>
      <c r="AU342" s="126"/>
      <c r="AV342" s="126"/>
      <c r="AW342" s="126"/>
      <c r="AX342" s="126" t="n">
        <v>4</v>
      </c>
      <c r="AY342" s="134" t="n">
        <f aca="false">H334</f>
        <v>9.1</v>
      </c>
      <c r="AZ342" s="126" t="s">
        <v>249</v>
      </c>
      <c r="BA342" s="126"/>
      <c r="BB342" s="160"/>
      <c r="BC342" s="160"/>
      <c r="BD342" s="160"/>
      <c r="BE342" s="160"/>
    </row>
    <row r="343" customFormat="false" ht="14.1" hidden="true" customHeight="true" outlineLevel="1" collapsed="false">
      <c r="A343" s="138" t="s">
        <v>211</v>
      </c>
      <c r="B343" s="235"/>
      <c r="C343" s="138"/>
      <c r="D343" s="275"/>
      <c r="E343" s="278"/>
      <c r="F343" s="278"/>
      <c r="G343" s="165"/>
      <c r="H343" s="165"/>
      <c r="I343" s="165"/>
      <c r="J343" s="165"/>
      <c r="K343" s="165"/>
      <c r="L343" s="165"/>
      <c r="M343" s="165"/>
      <c r="N343" s="165"/>
      <c r="O343" s="165"/>
      <c r="P343" s="165"/>
      <c r="Q343" s="165" t="s">
        <v>250</v>
      </c>
      <c r="R343" s="165"/>
      <c r="S343" s="165"/>
      <c r="T343" s="165"/>
      <c r="U343" s="165"/>
      <c r="V343" s="165"/>
      <c r="W343" s="165"/>
      <c r="X343" s="165"/>
      <c r="Y343" s="165"/>
      <c r="Z343" s="165"/>
      <c r="AA343" s="165"/>
      <c r="AB343" s="165"/>
      <c r="AC343" s="165"/>
      <c r="AD343" s="165"/>
      <c r="AE343" s="165"/>
      <c r="AF343" s="165"/>
      <c r="AG343" s="165"/>
      <c r="AH343" s="52"/>
      <c r="AI343" s="35"/>
      <c r="AJ343" s="35"/>
      <c r="AK343" s="40"/>
      <c r="AL343" s="40"/>
      <c r="AM343" s="40"/>
      <c r="AN343" s="40"/>
      <c r="AO343" s="125"/>
      <c r="AP343" s="125"/>
      <c r="AQ343" s="126"/>
      <c r="AR343" s="126"/>
      <c r="AS343" s="126"/>
      <c r="AT343" s="126"/>
      <c r="AU343" s="126"/>
      <c r="AV343" s="126"/>
      <c r="AW343" s="126"/>
      <c r="AX343" s="126" t="n">
        <v>5</v>
      </c>
      <c r="AY343" s="126" t="n">
        <f aca="false">G351</f>
        <v>48</v>
      </c>
      <c r="AZ343" s="126" t="s">
        <v>251</v>
      </c>
      <c r="BA343" s="126"/>
      <c r="BB343" s="160"/>
      <c r="BC343" s="160"/>
      <c r="BD343" s="160"/>
      <c r="BE343" s="160"/>
    </row>
    <row r="344" customFormat="false" ht="14.1" hidden="true" customHeight="true" outlineLevel="1" collapsed="false">
      <c r="A344" s="242" t="s">
        <v>212</v>
      </c>
      <c r="B344" s="235"/>
      <c r="C344" s="138"/>
      <c r="D344" s="272"/>
      <c r="E344" s="278"/>
      <c r="F344" s="278"/>
      <c r="G344" s="165"/>
      <c r="H344" s="165"/>
      <c r="I344" s="165"/>
      <c r="J344" s="165"/>
      <c r="K344" s="165"/>
      <c r="L344" s="165"/>
      <c r="M344" s="165"/>
      <c r="N344" s="165"/>
      <c r="O344" s="165"/>
      <c r="P344" s="165"/>
      <c r="Q344" s="165"/>
      <c r="R344" s="165"/>
      <c r="S344" s="165"/>
      <c r="T344" s="165"/>
      <c r="U344" s="165"/>
      <c r="V344" s="165"/>
      <c r="W344" s="165"/>
      <c r="X344" s="165"/>
      <c r="Y344" s="165"/>
      <c r="Z344" s="165"/>
      <c r="AA344" s="165"/>
      <c r="AB344" s="165"/>
      <c r="AC344" s="165"/>
      <c r="AD344" s="165"/>
      <c r="AE344" s="165"/>
      <c r="AF344" s="165"/>
      <c r="AG344" s="165"/>
      <c r="AH344" s="52"/>
      <c r="AI344" s="35"/>
      <c r="AJ344" s="35"/>
      <c r="AK344" s="40"/>
      <c r="AL344" s="40"/>
      <c r="AM344" s="40"/>
      <c r="AN344" s="40"/>
      <c r="AO344" s="125"/>
      <c r="AP344" s="125"/>
      <c r="AQ344" s="126"/>
      <c r="AR344" s="126"/>
      <c r="AS344" s="126"/>
      <c r="AT344" s="126"/>
      <c r="AU344" s="126"/>
      <c r="AV344" s="126"/>
      <c r="AW344" s="126"/>
      <c r="AX344" s="126" t="n">
        <v>6</v>
      </c>
      <c r="AY344" s="126" t="n">
        <f aca="false">AF337</f>
        <v>41</v>
      </c>
      <c r="AZ344" s="126" t="s">
        <v>252</v>
      </c>
      <c r="BA344" s="126"/>
      <c r="BB344" s="160"/>
      <c r="BC344" s="160"/>
      <c r="BD344" s="160"/>
      <c r="BE344" s="160"/>
    </row>
    <row r="345" customFormat="false" ht="14.1" hidden="true" customHeight="true" outlineLevel="1" collapsed="false">
      <c r="A345" s="138" t="s">
        <v>213</v>
      </c>
      <c r="B345" s="235"/>
      <c r="C345" s="138"/>
      <c r="D345" s="275"/>
      <c r="E345" s="270" t="s">
        <v>15</v>
      </c>
      <c r="F345" s="270"/>
      <c r="G345" s="226"/>
      <c r="H345" s="165"/>
      <c r="I345" s="165"/>
      <c r="J345" s="165"/>
      <c r="K345" s="165"/>
      <c r="L345" s="165"/>
      <c r="M345" s="165"/>
      <c r="N345" s="165"/>
      <c r="O345" s="165"/>
      <c r="P345" s="165"/>
      <c r="Q345" s="165"/>
      <c r="R345" s="165"/>
      <c r="S345" s="165"/>
      <c r="T345" s="165"/>
      <c r="U345" s="165"/>
      <c r="V345" s="165"/>
      <c r="W345" s="165"/>
      <c r="X345" s="165"/>
      <c r="Y345" s="165"/>
      <c r="Z345" s="165"/>
      <c r="AA345" s="165"/>
      <c r="AB345" s="165"/>
      <c r="AC345" s="165"/>
      <c r="AD345" s="165"/>
      <c r="AE345" s="165"/>
      <c r="AF345" s="165"/>
      <c r="AG345" s="165"/>
      <c r="AH345" s="52"/>
      <c r="AI345" s="35"/>
      <c r="AJ345" s="35"/>
      <c r="AK345" s="40"/>
      <c r="AL345" s="40"/>
      <c r="AM345" s="40"/>
      <c r="AN345" s="40"/>
      <c r="AO345" s="125"/>
      <c r="AP345" s="125"/>
      <c r="AQ345" s="126"/>
      <c r="AR345" s="126"/>
      <c r="AS345" s="126"/>
      <c r="AT345" s="126"/>
      <c r="AU345" s="126"/>
      <c r="AV345" s="126"/>
      <c r="AW345" s="126"/>
      <c r="AX345" s="126"/>
      <c r="AY345" s="126"/>
      <c r="AZ345" s="126"/>
      <c r="BA345" s="126"/>
      <c r="BB345" s="160"/>
      <c r="BC345" s="160"/>
      <c r="BD345" s="160"/>
      <c r="BE345" s="160"/>
    </row>
    <row r="346" customFormat="false" ht="14.1" hidden="true" customHeight="true" outlineLevel="1" collapsed="false">
      <c r="A346" s="242" t="s">
        <v>214</v>
      </c>
      <c r="B346" s="235"/>
      <c r="C346" s="138"/>
      <c r="D346" s="275"/>
      <c r="E346" s="279" t="n">
        <f aca="false">связи1!H59</f>
        <v>5.3</v>
      </c>
      <c r="F346" s="279"/>
      <c r="G346" s="217"/>
      <c r="H346" s="165"/>
      <c r="I346" s="165"/>
      <c r="J346" s="165"/>
      <c r="K346" s="165"/>
      <c r="L346" s="165"/>
      <c r="M346" s="165"/>
      <c r="N346" s="165"/>
      <c r="O346" s="165"/>
      <c r="P346" s="165"/>
      <c r="Q346" s="165"/>
      <c r="R346" s="165"/>
      <c r="S346" s="165"/>
      <c r="T346" s="165"/>
      <c r="U346" s="165"/>
      <c r="V346" s="165"/>
      <c r="W346" s="165"/>
      <c r="X346" s="165"/>
      <c r="Y346" s="165"/>
      <c r="Z346" s="165"/>
      <c r="AA346" s="165"/>
      <c r="AB346" s="165"/>
      <c r="AC346" s="165"/>
      <c r="AD346" s="165"/>
      <c r="AE346" s="165"/>
      <c r="AF346" s="165"/>
      <c r="AG346" s="165"/>
      <c r="AH346" s="52"/>
      <c r="AI346" s="35"/>
      <c r="AJ346" s="35"/>
      <c r="AK346" s="40"/>
      <c r="AL346" s="40"/>
      <c r="AM346" s="40"/>
      <c r="AN346" s="40"/>
      <c r="AO346" s="125"/>
      <c r="AP346" s="125"/>
      <c r="AQ346" s="126"/>
      <c r="AR346" s="126"/>
      <c r="AS346" s="126"/>
      <c r="AT346" s="126"/>
      <c r="AU346" s="126"/>
      <c r="AV346" s="126"/>
      <c r="AW346" s="126"/>
      <c r="AX346" s="126"/>
      <c r="AY346" s="126"/>
      <c r="AZ346" s="126"/>
      <c r="BA346" s="126"/>
      <c r="BB346" s="160"/>
      <c r="BC346" s="160"/>
      <c r="BD346" s="160"/>
      <c r="BE346" s="160"/>
    </row>
    <row r="347" customFormat="false" ht="14.1" hidden="true" customHeight="true" outlineLevel="1" collapsed="false">
      <c r="A347" s="138" t="s">
        <v>215</v>
      </c>
      <c r="B347" s="235"/>
      <c r="C347" s="138"/>
      <c r="D347" s="280"/>
      <c r="E347" s="279"/>
      <c r="F347" s="279"/>
      <c r="G347" s="217"/>
      <c r="H347" s="165"/>
      <c r="I347" s="165"/>
      <c r="J347" s="165"/>
      <c r="K347" s="165"/>
      <c r="L347" s="165"/>
      <c r="M347" s="165"/>
      <c r="N347" s="165"/>
      <c r="O347" s="165"/>
      <c r="P347" s="165"/>
      <c r="Q347" s="165"/>
      <c r="R347" s="165"/>
      <c r="S347" s="165"/>
      <c r="T347" s="165"/>
      <c r="U347" s="165"/>
      <c r="V347" s="165"/>
      <c r="W347" s="165"/>
      <c r="X347" s="165"/>
      <c r="Y347" s="165"/>
      <c r="Z347" s="165"/>
      <c r="AA347" s="165"/>
      <c r="AB347" s="165"/>
      <c r="AC347" s="165"/>
      <c r="AD347" s="165"/>
      <c r="AE347" s="165"/>
      <c r="AF347" s="165"/>
      <c r="AG347" s="165"/>
      <c r="AH347" s="52"/>
      <c r="AI347" s="35"/>
      <c r="AJ347" s="35"/>
      <c r="AK347" s="40"/>
      <c r="AL347" s="40"/>
      <c r="AM347" s="40"/>
      <c r="AN347" s="40"/>
      <c r="AO347" s="125"/>
      <c r="AP347" s="125"/>
      <c r="AQ347" s="126"/>
      <c r="AR347" s="126"/>
      <c r="AS347" s="126"/>
      <c r="AT347" s="126"/>
      <c r="AU347" s="126"/>
      <c r="AV347" s="126"/>
      <c r="AW347" s="126"/>
      <c r="AX347" s="126"/>
      <c r="AY347" s="126"/>
      <c r="AZ347" s="126"/>
      <c r="BA347" s="126"/>
      <c r="BB347" s="21"/>
      <c r="BC347" s="21"/>
      <c r="BD347" s="21"/>
      <c r="BE347" s="21"/>
    </row>
    <row r="348" customFormat="false" ht="14.1" hidden="true" customHeight="true" outlineLevel="1" collapsed="false">
      <c r="A348" s="244" t="s">
        <v>101</v>
      </c>
      <c r="B348" s="235"/>
      <c r="C348" s="138"/>
      <c r="D348" s="280"/>
      <c r="E348" s="272"/>
      <c r="F348" s="272"/>
      <c r="G348" s="165"/>
      <c r="H348" s="165"/>
      <c r="I348" s="165"/>
      <c r="J348" s="165"/>
      <c r="K348" s="165"/>
      <c r="L348" s="165"/>
      <c r="M348" s="165"/>
      <c r="N348" s="165"/>
      <c r="O348" s="165"/>
      <c r="P348" s="165"/>
      <c r="Q348" s="165"/>
      <c r="R348" s="165"/>
      <c r="S348" s="165"/>
      <c r="T348" s="165"/>
      <c r="U348" s="165"/>
      <c r="V348" s="165"/>
      <c r="W348" s="165"/>
      <c r="X348" s="165"/>
      <c r="Y348" s="165"/>
      <c r="Z348" s="165"/>
      <c r="AA348" s="165"/>
      <c r="AB348" s="165"/>
      <c r="AC348" s="165"/>
      <c r="AD348" s="165"/>
      <c r="AE348" s="165"/>
      <c r="AF348" s="165"/>
      <c r="AG348" s="165"/>
      <c r="AH348" s="52"/>
      <c r="AI348" s="35"/>
      <c r="AJ348" s="35"/>
      <c r="AK348" s="40"/>
      <c r="AL348" s="40"/>
      <c r="AM348" s="40"/>
      <c r="AN348" s="40"/>
      <c r="AO348" s="125"/>
      <c r="AP348" s="125"/>
      <c r="AQ348" s="126"/>
      <c r="AR348" s="126"/>
      <c r="AS348" s="126"/>
      <c r="AT348" s="126"/>
      <c r="AU348" s="126"/>
      <c r="AV348" s="126"/>
      <c r="AW348" s="126"/>
      <c r="AX348" s="126"/>
      <c r="AY348" s="126"/>
      <c r="AZ348" s="126"/>
      <c r="BA348" s="126"/>
      <c r="BB348" s="21"/>
      <c r="BC348" s="21"/>
      <c r="BD348" s="21"/>
      <c r="BE348" s="21"/>
    </row>
    <row r="349" customFormat="false" ht="14.1" hidden="true" customHeight="true" outlineLevel="1" collapsed="false">
      <c r="A349" s="138" t="s">
        <v>217</v>
      </c>
      <c r="B349" s="235"/>
      <c r="C349" s="138"/>
      <c r="D349" s="280"/>
      <c r="E349" s="272"/>
      <c r="F349" s="272"/>
      <c r="G349" s="165"/>
      <c r="H349" s="165"/>
      <c r="I349" s="165"/>
      <c r="J349" s="165"/>
      <c r="K349" s="165"/>
      <c r="L349" s="165"/>
      <c r="M349" s="165"/>
      <c r="N349" s="165"/>
      <c r="O349" s="165"/>
      <c r="P349" s="165"/>
      <c r="Q349" s="165"/>
      <c r="R349" s="165"/>
      <c r="S349" s="165"/>
      <c r="T349" s="165"/>
      <c r="U349" s="165"/>
      <c r="V349" s="165"/>
      <c r="W349" s="165"/>
      <c r="X349" s="165"/>
      <c r="Y349" s="165"/>
      <c r="Z349" s="165"/>
      <c r="AA349" s="165"/>
      <c r="AB349" s="165"/>
      <c r="AC349" s="165"/>
      <c r="AD349" s="165"/>
      <c r="AE349" s="165"/>
      <c r="AF349" s="165"/>
      <c r="AG349" s="165" t="s">
        <v>206</v>
      </c>
      <c r="AH349" s="52"/>
      <c r="AI349" s="35"/>
      <c r="AJ349" s="35"/>
      <c r="AK349" s="40"/>
      <c r="AL349" s="40"/>
      <c r="AM349" s="40"/>
      <c r="AN349" s="40"/>
      <c r="AO349" s="125"/>
      <c r="AP349" s="125"/>
      <c r="AQ349" s="126"/>
      <c r="AR349" s="126"/>
      <c r="AS349" s="126"/>
      <c r="AT349" s="126"/>
      <c r="AU349" s="126"/>
      <c r="AV349" s="126"/>
      <c r="AW349" s="126"/>
      <c r="AX349" s="126"/>
      <c r="AY349" s="126"/>
      <c r="AZ349" s="126"/>
      <c r="BA349" s="126"/>
      <c r="BB349" s="21"/>
      <c r="BC349" s="21"/>
      <c r="BD349" s="21"/>
      <c r="BE349" s="21"/>
    </row>
    <row r="350" customFormat="false" ht="14.1" hidden="true" customHeight="true" outlineLevel="1" collapsed="false">
      <c r="A350" s="245" t="s">
        <v>218</v>
      </c>
      <c r="B350" s="235"/>
      <c r="C350" s="138"/>
      <c r="D350" s="280"/>
      <c r="E350" s="272"/>
      <c r="F350" s="272"/>
      <c r="G350" s="165" t="s">
        <v>241</v>
      </c>
      <c r="H350" s="165"/>
      <c r="I350" s="165"/>
      <c r="J350" s="165" t="s">
        <v>201</v>
      </c>
      <c r="K350" s="165"/>
      <c r="L350" s="165"/>
      <c r="M350" s="165"/>
      <c r="N350" s="165"/>
      <c r="O350" s="165"/>
      <c r="P350" s="165"/>
      <c r="Q350" s="165"/>
      <c r="R350" s="165"/>
      <c r="S350" s="165"/>
      <c r="T350" s="165"/>
      <c r="U350" s="165"/>
      <c r="V350" s="165"/>
      <c r="W350" s="165"/>
      <c r="X350" s="165"/>
      <c r="Y350" s="165"/>
      <c r="Z350" s="165"/>
      <c r="AA350" s="165"/>
      <c r="AB350" s="165" t="s">
        <v>253</v>
      </c>
      <c r="AC350" s="165"/>
      <c r="AD350" s="165"/>
      <c r="AE350" s="165"/>
      <c r="AF350" s="165"/>
      <c r="AG350" s="165"/>
      <c r="AH350" s="52"/>
      <c r="AI350" s="35"/>
      <c r="AJ350" s="35"/>
      <c r="AK350" s="40"/>
      <c r="AL350" s="40"/>
      <c r="AM350" s="40"/>
      <c r="AN350" s="40"/>
      <c r="AO350" s="125"/>
      <c r="AP350" s="125"/>
      <c r="AQ350" s="126"/>
      <c r="AR350" s="126"/>
      <c r="AS350" s="126"/>
      <c r="AT350" s="126"/>
      <c r="AU350" s="126"/>
      <c r="AV350" s="126"/>
      <c r="AW350" s="126"/>
      <c r="AX350" s="126"/>
      <c r="AY350" s="126"/>
      <c r="AZ350" s="126"/>
      <c r="BA350" s="126"/>
      <c r="BB350" s="21"/>
      <c r="BC350" s="21"/>
      <c r="BD350" s="21"/>
      <c r="BE350" s="21"/>
    </row>
    <row r="351" customFormat="false" ht="14.1" hidden="true" customHeight="true" outlineLevel="1" collapsed="false">
      <c r="A351" s="250" t="s">
        <v>219</v>
      </c>
      <c r="B351" s="119" t="s">
        <v>48</v>
      </c>
      <c r="C351" s="163" t="n">
        <v>0</v>
      </c>
      <c r="D351" s="280"/>
      <c r="E351" s="272"/>
      <c r="F351" s="272"/>
      <c r="G351" s="281" t="n">
        <v>48</v>
      </c>
      <c r="H351" s="186"/>
      <c r="I351" s="165"/>
      <c r="J351" s="165"/>
      <c r="K351" s="165"/>
      <c r="L351" s="165"/>
      <c r="M351" s="165"/>
      <c r="N351" s="165"/>
      <c r="O351" s="165" t="s">
        <v>254</v>
      </c>
      <c r="P351" s="165"/>
      <c r="Q351" s="165"/>
      <c r="R351" s="165"/>
      <c r="S351" s="165"/>
      <c r="T351" s="165"/>
      <c r="U351" s="165"/>
      <c r="V351" s="165"/>
      <c r="W351" s="165"/>
      <c r="X351" s="165"/>
      <c r="Y351" s="165"/>
      <c r="Z351" s="165"/>
      <c r="AA351" s="165"/>
      <c r="AB351" s="165"/>
      <c r="AC351" s="165"/>
      <c r="AD351" s="165"/>
      <c r="AE351" s="165"/>
      <c r="AF351" s="165"/>
      <c r="AG351" s="165"/>
      <c r="AH351" s="52"/>
      <c r="AI351" s="40"/>
      <c r="AJ351" s="40"/>
      <c r="AK351" s="40"/>
      <c r="AL351" s="40"/>
      <c r="AM351" s="40"/>
      <c r="AN351" s="40"/>
      <c r="AO351" s="125"/>
      <c r="AP351" s="125"/>
      <c r="AQ351" s="126"/>
      <c r="AR351" s="126"/>
      <c r="AS351" s="126"/>
      <c r="AT351" s="126"/>
      <c r="AU351" s="126"/>
      <c r="AV351" s="126"/>
      <c r="AW351" s="126"/>
      <c r="AX351" s="126"/>
      <c r="AY351" s="126"/>
      <c r="AZ351" s="126"/>
      <c r="BA351" s="126"/>
      <c r="BB351" s="21"/>
      <c r="BC351" s="21"/>
      <c r="BD351" s="21"/>
      <c r="BE351" s="21"/>
    </row>
    <row r="352" customFormat="false" ht="14.1" hidden="true" customHeight="true" outlineLevel="1" collapsed="false">
      <c r="A352" s="250" t="s">
        <v>220</v>
      </c>
      <c r="B352" s="119" t="s">
        <v>48</v>
      </c>
      <c r="C352" s="163" t="n">
        <v>0</v>
      </c>
      <c r="D352" s="280"/>
      <c r="E352" s="272"/>
      <c r="F352" s="272"/>
      <c r="G352" s="186"/>
      <c r="H352" s="186"/>
      <c r="I352" s="165"/>
      <c r="J352" s="165"/>
      <c r="K352" s="165"/>
      <c r="L352" s="165"/>
      <c r="M352" s="165"/>
      <c r="N352" s="165"/>
      <c r="O352" s="165"/>
      <c r="P352" s="165"/>
      <c r="Q352" s="165"/>
      <c r="R352" s="165"/>
      <c r="S352" s="165" t="s">
        <v>201</v>
      </c>
      <c r="T352" s="165"/>
      <c r="U352" s="165" t="s">
        <v>206</v>
      </c>
      <c r="V352" s="165"/>
      <c r="W352" s="165"/>
      <c r="X352" s="165"/>
      <c r="Y352" s="165"/>
      <c r="Z352" s="165"/>
      <c r="AA352" s="165"/>
      <c r="AB352" s="165"/>
      <c r="AC352" s="165"/>
      <c r="AD352" s="165"/>
      <c r="AE352" s="165"/>
      <c r="AF352" s="165"/>
      <c r="AG352" s="165"/>
      <c r="AH352" s="52"/>
      <c r="AI352" s="40"/>
      <c r="AJ352" s="40"/>
      <c r="AK352" s="40"/>
      <c r="AL352" s="40"/>
      <c r="AM352" s="40"/>
      <c r="AN352" s="40"/>
      <c r="AO352" s="125"/>
      <c r="AP352" s="125"/>
      <c r="AQ352" s="126"/>
      <c r="AR352" s="126"/>
      <c r="AS352" s="126"/>
      <c r="AT352" s="126"/>
      <c r="AU352" s="126"/>
      <c r="AV352" s="126"/>
      <c r="AW352" s="126"/>
      <c r="AX352" s="126"/>
      <c r="AY352" s="126"/>
      <c r="AZ352" s="126"/>
      <c r="BA352" s="126"/>
      <c r="BB352" s="21"/>
      <c r="BC352" s="21"/>
      <c r="BD352" s="21"/>
      <c r="BE352" s="21"/>
    </row>
    <row r="353" customFormat="false" ht="14.1" hidden="true" customHeight="true" outlineLevel="1" collapsed="false">
      <c r="A353" s="250" t="s">
        <v>221</v>
      </c>
      <c r="B353" s="119" t="s">
        <v>48</v>
      </c>
      <c r="C353" s="163" t="n">
        <v>0</v>
      </c>
      <c r="D353" s="275"/>
      <c r="E353" s="196"/>
      <c r="F353" s="196"/>
      <c r="G353" s="132"/>
      <c r="H353" s="206"/>
      <c r="I353" s="212"/>
      <c r="J353" s="212"/>
      <c r="K353" s="212"/>
      <c r="L353" s="212"/>
      <c r="M353" s="212"/>
      <c r="N353" s="186"/>
      <c r="O353" s="187"/>
      <c r="P353" s="187"/>
      <c r="Q353" s="165"/>
      <c r="R353" s="165"/>
      <c r="S353" s="165"/>
      <c r="T353" s="165"/>
      <c r="U353" s="165"/>
      <c r="V353" s="165"/>
      <c r="W353" s="165"/>
      <c r="X353" s="165"/>
      <c r="Y353" s="165"/>
      <c r="Z353" s="165"/>
      <c r="AA353" s="165"/>
      <c r="AB353" s="165"/>
      <c r="AC353" s="165"/>
      <c r="AD353" s="165"/>
      <c r="AE353" s="165"/>
      <c r="AF353" s="165"/>
      <c r="AG353" s="165"/>
      <c r="AH353" s="52"/>
      <c r="AI353" s="40"/>
      <c r="AJ353" s="40"/>
      <c r="AK353" s="40"/>
      <c r="AL353" s="40"/>
      <c r="AM353" s="40"/>
      <c r="AN353" s="40"/>
      <c r="AO353" s="125"/>
      <c r="AP353" s="125"/>
      <c r="AQ353" s="192"/>
      <c r="AR353" s="192"/>
      <c r="AS353" s="192"/>
      <c r="AT353" s="126"/>
      <c r="AU353" s="126"/>
      <c r="AV353" s="126"/>
      <c r="AW353" s="126"/>
      <c r="AX353" s="126"/>
      <c r="AY353" s="126"/>
      <c r="AZ353" s="126"/>
      <c r="BA353" s="126"/>
      <c r="BB353" s="21"/>
      <c r="BC353" s="21"/>
      <c r="BD353" s="21"/>
      <c r="BE353" s="21"/>
    </row>
    <row r="354" customFormat="false" ht="14.1" hidden="true" customHeight="true" outlineLevel="1" collapsed="false">
      <c r="A354" s="138" t="s">
        <v>222</v>
      </c>
      <c r="B354" s="235"/>
      <c r="C354" s="138"/>
      <c r="D354" s="275"/>
      <c r="E354" s="196"/>
      <c r="F354" s="196"/>
      <c r="G354" s="132"/>
      <c r="H354" s="206"/>
      <c r="I354" s="212"/>
      <c r="J354" s="212"/>
      <c r="K354" s="212"/>
      <c r="L354" s="212"/>
      <c r="M354" s="212"/>
      <c r="N354" s="186"/>
      <c r="O354" s="187"/>
      <c r="P354" s="187"/>
      <c r="Q354" s="150"/>
      <c r="R354" s="150"/>
      <c r="S354" s="150"/>
      <c r="T354" s="150"/>
      <c r="U354" s="150"/>
      <c r="V354" s="150"/>
      <c r="W354" s="150"/>
      <c r="X354" s="150"/>
      <c r="Y354" s="150"/>
      <c r="Z354" s="150"/>
      <c r="AA354" s="150"/>
      <c r="AB354" s="150"/>
      <c r="AC354" s="150"/>
      <c r="AD354" s="150"/>
      <c r="AE354" s="150"/>
      <c r="AF354" s="150"/>
      <c r="AG354" s="150"/>
      <c r="AH354" s="40"/>
      <c r="AI354" s="40"/>
      <c r="AJ354" s="40"/>
      <c r="AK354" s="40"/>
      <c r="AL354" s="40"/>
      <c r="AM354" s="40"/>
      <c r="AN354" s="40"/>
      <c r="AO354" s="125"/>
      <c r="AP354" s="125"/>
      <c r="AQ354" s="192"/>
      <c r="AR354" s="192"/>
      <c r="AS354" s="192"/>
      <c r="AT354" s="126"/>
      <c r="AU354" s="126"/>
      <c r="AV354" s="126"/>
      <c r="AW354" s="126"/>
      <c r="AX354" s="126"/>
      <c r="AY354" s="126"/>
      <c r="AZ354" s="126"/>
      <c r="BA354" s="126"/>
      <c r="BB354" s="21"/>
      <c r="BC354" s="21"/>
      <c r="BD354" s="21"/>
      <c r="BE354" s="21"/>
    </row>
    <row r="355" customFormat="false" ht="14.1" hidden="true" customHeight="true" outlineLevel="1" collapsed="false">
      <c r="A355" s="242" t="s">
        <v>223</v>
      </c>
      <c r="B355" s="235"/>
      <c r="C355" s="138"/>
      <c r="D355" s="275"/>
      <c r="E355" s="196"/>
      <c r="F355" s="196"/>
      <c r="G355" s="132"/>
      <c r="H355" s="206"/>
      <c r="I355" s="212"/>
      <c r="J355" s="212"/>
      <c r="K355" s="212"/>
      <c r="L355" s="212"/>
      <c r="M355" s="212"/>
      <c r="N355" s="186"/>
      <c r="O355" s="187"/>
      <c r="P355" s="187"/>
      <c r="Q355" s="150"/>
      <c r="R355" s="150"/>
      <c r="S355" s="150"/>
      <c r="T355" s="150"/>
      <c r="U355" s="150"/>
      <c r="V355" s="150"/>
      <c r="W355" s="150"/>
      <c r="X355" s="150"/>
      <c r="Y355" s="150"/>
      <c r="Z355" s="150"/>
      <c r="AA355" s="150"/>
      <c r="AB355" s="150"/>
      <c r="AC355" s="150"/>
      <c r="AD355" s="150"/>
      <c r="AE355" s="150"/>
      <c r="AF355" s="150"/>
      <c r="AG355" s="150"/>
      <c r="AH355" s="40"/>
      <c r="AI355" s="40"/>
      <c r="AJ355" s="40"/>
      <c r="AK355" s="40"/>
      <c r="AL355" s="40"/>
      <c r="AM355" s="40"/>
      <c r="AN355" s="40"/>
      <c r="AO355" s="125"/>
      <c r="AP355" s="125"/>
      <c r="AQ355" s="192"/>
      <c r="AR355" s="192"/>
      <c r="AS355" s="192"/>
      <c r="AT355" s="126"/>
      <c r="AU355" s="126"/>
      <c r="AV355" s="126"/>
      <c r="AW355" s="126"/>
      <c r="AX355" s="126"/>
      <c r="AY355" s="126"/>
      <c r="AZ355" s="126"/>
      <c r="BA355" s="126"/>
      <c r="BB355" s="21"/>
      <c r="BC355" s="21"/>
      <c r="BD355" s="21"/>
      <c r="BE355" s="21"/>
    </row>
    <row r="356" customFormat="false" ht="14.1" hidden="true" customHeight="true" outlineLevel="1" collapsed="false">
      <c r="A356" s="138" t="s">
        <v>224</v>
      </c>
      <c r="B356" s="235"/>
      <c r="C356" s="138"/>
      <c r="D356" s="275"/>
      <c r="E356" s="196"/>
      <c r="F356" s="196"/>
      <c r="G356" s="132"/>
      <c r="H356" s="206"/>
      <c r="I356" s="212"/>
      <c r="J356" s="212"/>
      <c r="K356" s="212"/>
      <c r="L356" s="212"/>
      <c r="M356" s="212"/>
      <c r="N356" s="186"/>
      <c r="O356" s="187"/>
      <c r="P356" s="187"/>
      <c r="Q356" s="150"/>
      <c r="R356" s="150"/>
      <c r="S356" s="150"/>
      <c r="T356" s="150"/>
      <c r="U356" s="150"/>
      <c r="V356" s="150"/>
      <c r="W356" s="150"/>
      <c r="X356" s="150"/>
      <c r="Y356" s="150"/>
      <c r="Z356" s="150"/>
      <c r="AA356" s="150"/>
      <c r="AB356" s="150"/>
      <c r="AC356" s="150"/>
      <c r="AD356" s="150"/>
      <c r="AE356" s="150"/>
      <c r="AF356" s="150"/>
      <c r="AG356" s="150"/>
      <c r="AH356" s="40"/>
      <c r="AI356" s="40"/>
      <c r="AJ356" s="40"/>
      <c r="AK356" s="40"/>
      <c r="AL356" s="40"/>
      <c r="AM356" s="40"/>
      <c r="AN356" s="40"/>
      <c r="AO356" s="125"/>
      <c r="AP356" s="125"/>
      <c r="AQ356" s="192"/>
      <c r="AR356" s="192"/>
      <c r="AS356" s="192"/>
      <c r="AT356" s="126"/>
      <c r="AU356" s="126"/>
      <c r="AV356" s="126"/>
      <c r="AW356" s="126"/>
      <c r="AX356" s="126"/>
      <c r="AY356" s="126"/>
      <c r="AZ356" s="126"/>
      <c r="BA356" s="126"/>
      <c r="BB356" s="21"/>
      <c r="BC356" s="21"/>
      <c r="BD356" s="21"/>
      <c r="BE356" s="21"/>
    </row>
    <row r="357" customFormat="false" ht="14.1" hidden="true" customHeight="true" outlineLevel="1" collapsed="false">
      <c r="A357" s="242" t="s">
        <v>223</v>
      </c>
      <c r="B357" s="235"/>
      <c r="C357" s="138"/>
      <c r="D357" s="275"/>
      <c r="E357" s="196"/>
      <c r="F357" s="196"/>
      <c r="G357" s="132"/>
      <c r="H357" s="206"/>
      <c r="I357" s="212"/>
      <c r="J357" s="212"/>
      <c r="K357" s="212"/>
      <c r="L357" s="212"/>
      <c r="M357" s="212"/>
      <c r="N357" s="186"/>
      <c r="O357" s="187"/>
      <c r="P357" s="187"/>
      <c r="Q357" s="150"/>
      <c r="R357" s="150"/>
      <c r="S357" s="150"/>
      <c r="T357" s="150"/>
      <c r="U357" s="150"/>
      <c r="V357" s="150"/>
      <c r="W357" s="150"/>
      <c r="X357" s="150"/>
      <c r="Y357" s="150"/>
      <c r="Z357" s="150"/>
      <c r="AA357" s="150"/>
      <c r="AB357" s="150"/>
      <c r="AC357" s="150"/>
      <c r="AD357" s="150"/>
      <c r="AE357" s="150"/>
      <c r="AF357" s="150"/>
      <c r="AG357" s="150"/>
      <c r="AH357" s="40"/>
      <c r="AI357" s="40"/>
      <c r="AJ357" s="40"/>
      <c r="AK357" s="40"/>
      <c r="AL357" s="40"/>
      <c r="AM357" s="40"/>
      <c r="AN357" s="40"/>
      <c r="AO357" s="125"/>
      <c r="AP357" s="125"/>
      <c r="AQ357" s="192"/>
      <c r="AR357" s="192"/>
      <c r="AS357" s="192"/>
      <c r="AT357" s="126"/>
      <c r="AU357" s="126"/>
      <c r="AV357" s="126"/>
      <c r="AW357" s="126"/>
      <c r="AX357" s="126"/>
      <c r="AY357" s="126"/>
      <c r="AZ357" s="126"/>
      <c r="BA357" s="126"/>
      <c r="BB357" s="21"/>
      <c r="BC357" s="21"/>
      <c r="BD357" s="21"/>
      <c r="BE357" s="21"/>
    </row>
    <row r="358" customFormat="false" ht="14.1" hidden="true" customHeight="true" outlineLevel="1" collapsed="false">
      <c r="A358" s="138" t="s">
        <v>225</v>
      </c>
      <c r="B358" s="235"/>
      <c r="C358" s="138"/>
      <c r="D358" s="275"/>
      <c r="E358" s="196"/>
      <c r="F358" s="196"/>
      <c r="G358" s="132"/>
      <c r="H358" s="206"/>
      <c r="I358" s="212"/>
      <c r="J358" s="212"/>
      <c r="K358" s="212"/>
      <c r="L358" s="212"/>
      <c r="M358" s="212"/>
      <c r="N358" s="186"/>
      <c r="O358" s="187"/>
      <c r="P358" s="187"/>
      <c r="Q358" s="150"/>
      <c r="R358" s="150"/>
      <c r="S358" s="150"/>
      <c r="T358" s="150"/>
      <c r="U358" s="150"/>
      <c r="V358" s="150"/>
      <c r="W358" s="150"/>
      <c r="X358" s="150"/>
      <c r="Y358" s="150"/>
      <c r="Z358" s="150"/>
      <c r="AA358" s="150"/>
      <c r="AB358" s="150"/>
      <c r="AC358" s="150"/>
      <c r="AD358" s="150"/>
      <c r="AE358" s="150"/>
      <c r="AF358" s="150"/>
      <c r="AG358" s="150"/>
      <c r="AH358" s="40"/>
      <c r="AI358" s="40"/>
      <c r="AJ358" s="40"/>
      <c r="AK358" s="40"/>
      <c r="AL358" s="40"/>
      <c r="AM358" s="40"/>
      <c r="AN358" s="40"/>
      <c r="AO358" s="125"/>
      <c r="AP358" s="125"/>
      <c r="AQ358" s="192"/>
      <c r="AR358" s="192"/>
      <c r="AS358" s="192"/>
      <c r="AT358" s="126"/>
      <c r="AU358" s="126"/>
      <c r="AV358" s="126"/>
      <c r="AW358" s="126"/>
      <c r="AX358" s="126"/>
      <c r="AY358" s="126"/>
      <c r="AZ358" s="126"/>
      <c r="BA358" s="126"/>
      <c r="BB358" s="21"/>
      <c r="BC358" s="21"/>
      <c r="BD358" s="21"/>
      <c r="BE358" s="21"/>
    </row>
    <row r="359" customFormat="false" ht="14.1" hidden="true" customHeight="true" outlineLevel="1" collapsed="false">
      <c r="A359" s="149" t="s">
        <v>226</v>
      </c>
      <c r="B359" s="119" t="s">
        <v>109</v>
      </c>
      <c r="C359" s="130" t="n">
        <v>4</v>
      </c>
      <c r="D359" s="275"/>
      <c r="E359" s="196"/>
      <c r="F359" s="196"/>
      <c r="G359" s="132"/>
      <c r="H359" s="206"/>
      <c r="I359" s="212"/>
      <c r="J359" s="212"/>
      <c r="K359" s="212"/>
      <c r="L359" s="212"/>
      <c r="M359" s="212"/>
      <c r="N359" s="186"/>
      <c r="O359" s="187"/>
      <c r="P359" s="187"/>
      <c r="Q359" s="150"/>
      <c r="R359" s="150"/>
      <c r="S359" s="150"/>
      <c r="T359" s="150"/>
      <c r="U359" s="150"/>
      <c r="V359" s="150"/>
      <c r="W359" s="150"/>
      <c r="X359" s="150"/>
      <c r="Y359" s="150"/>
      <c r="Z359" s="150"/>
      <c r="AA359" s="150"/>
      <c r="AB359" s="150"/>
      <c r="AC359" s="150"/>
      <c r="AD359" s="150"/>
      <c r="AE359" s="150"/>
      <c r="AF359" s="150"/>
      <c r="AG359" s="150"/>
      <c r="AH359" s="40"/>
      <c r="AI359" s="40"/>
      <c r="AJ359" s="40"/>
      <c r="AK359" s="40"/>
      <c r="AL359" s="40"/>
      <c r="AM359" s="40"/>
      <c r="AN359" s="40"/>
      <c r="AO359" s="125"/>
      <c r="AP359" s="125"/>
      <c r="AQ359" s="192"/>
      <c r="AR359" s="192"/>
      <c r="AS359" s="192"/>
      <c r="AT359" s="126"/>
      <c r="AU359" s="126"/>
      <c r="AV359" s="126"/>
      <c r="AW359" s="126"/>
      <c r="AX359" s="126"/>
      <c r="AY359" s="126"/>
      <c r="AZ359" s="126"/>
      <c r="BA359" s="126"/>
      <c r="BB359" s="21"/>
      <c r="BC359" s="21"/>
      <c r="BD359" s="21"/>
      <c r="BE359" s="21"/>
    </row>
    <row r="360" customFormat="false" ht="14.1" hidden="true" customHeight="true" outlineLevel="1" collapsed="false">
      <c r="A360" s="139" t="s">
        <v>226</v>
      </c>
      <c r="B360" s="119" t="s">
        <v>109</v>
      </c>
      <c r="C360" s="151" t="n">
        <v>0</v>
      </c>
      <c r="D360" s="275"/>
      <c r="E360" s="196"/>
      <c r="F360" s="196"/>
      <c r="G360" s="132"/>
      <c r="H360" s="206"/>
      <c r="I360" s="212"/>
      <c r="J360" s="212"/>
      <c r="K360" s="212"/>
      <c r="L360" s="212"/>
      <c r="M360" s="212"/>
      <c r="N360" s="186"/>
      <c r="O360" s="187"/>
      <c r="P360" s="187"/>
      <c r="Q360" s="150"/>
      <c r="R360" s="150"/>
      <c r="S360" s="150"/>
      <c r="T360" s="150"/>
      <c r="U360" s="150"/>
      <c r="V360" s="150"/>
      <c r="W360" s="150"/>
      <c r="X360" s="150"/>
      <c r="Y360" s="150"/>
      <c r="Z360" s="150"/>
      <c r="AA360" s="150"/>
      <c r="AB360" s="150"/>
      <c r="AC360" s="150"/>
      <c r="AD360" s="150"/>
      <c r="AE360" s="150"/>
      <c r="AF360" s="150"/>
      <c r="AG360" s="150"/>
      <c r="AH360" s="40"/>
      <c r="AI360" s="40"/>
      <c r="AJ360" s="40"/>
      <c r="AK360" s="40"/>
      <c r="AL360" s="40"/>
      <c r="AM360" s="40"/>
      <c r="AN360" s="40"/>
      <c r="AO360" s="125"/>
      <c r="AP360" s="125"/>
      <c r="AQ360" s="192"/>
      <c r="AR360" s="192"/>
      <c r="AS360" s="192"/>
      <c r="AT360" s="126"/>
      <c r="AU360" s="126"/>
      <c r="AV360" s="126"/>
      <c r="AW360" s="126"/>
      <c r="AX360" s="126"/>
      <c r="AY360" s="126"/>
      <c r="AZ360" s="126"/>
      <c r="BA360" s="126"/>
      <c r="BB360" s="21"/>
      <c r="BC360" s="21"/>
      <c r="BD360" s="21"/>
      <c r="BE360" s="21"/>
    </row>
    <row r="361" customFormat="false" ht="14.1" hidden="true" customHeight="true" outlineLevel="1" collapsed="false">
      <c r="A361" s="138"/>
      <c r="B361" s="235"/>
      <c r="C361" s="138"/>
      <c r="D361" s="275"/>
      <c r="E361" s="196"/>
      <c r="F361" s="196"/>
      <c r="G361" s="132"/>
      <c r="H361" s="206"/>
      <c r="I361" s="212"/>
      <c r="J361" s="212"/>
      <c r="K361" s="212"/>
      <c r="L361" s="212"/>
      <c r="M361" s="212"/>
      <c r="N361" s="186"/>
      <c r="O361" s="187"/>
      <c r="P361" s="187"/>
      <c r="Q361" s="150"/>
      <c r="R361" s="150"/>
      <c r="S361" s="150"/>
      <c r="T361" s="150"/>
      <c r="U361" s="150"/>
      <c r="V361" s="150"/>
      <c r="W361" s="150"/>
      <c r="X361" s="150"/>
      <c r="Y361" s="150"/>
      <c r="Z361" s="150"/>
      <c r="AA361" s="150"/>
      <c r="AB361" s="150"/>
      <c r="AC361" s="150"/>
      <c r="AD361" s="150"/>
      <c r="AE361" s="150"/>
      <c r="AF361" s="150"/>
      <c r="AG361" s="150"/>
      <c r="AH361" s="40"/>
      <c r="AI361" s="40"/>
      <c r="AJ361" s="40"/>
      <c r="AK361" s="40"/>
      <c r="AL361" s="40"/>
      <c r="AM361" s="40"/>
      <c r="AN361" s="40"/>
      <c r="AO361" s="125"/>
      <c r="AP361" s="125"/>
      <c r="AQ361" s="192"/>
      <c r="AR361" s="192"/>
      <c r="AS361" s="192"/>
      <c r="AT361" s="126"/>
      <c r="AU361" s="126"/>
      <c r="AV361" s="126"/>
      <c r="AW361" s="126"/>
      <c r="AX361" s="126"/>
      <c r="AY361" s="126"/>
      <c r="AZ361" s="126"/>
      <c r="BA361" s="126"/>
      <c r="BB361" s="21"/>
      <c r="BC361" s="21"/>
      <c r="BD361" s="21"/>
      <c r="BE361" s="21"/>
    </row>
    <row r="362" customFormat="false" ht="14.1" hidden="true" customHeight="true" outlineLevel="1" collapsed="false">
      <c r="A362" s="152" t="s">
        <v>255</v>
      </c>
      <c r="B362" s="119" t="s">
        <v>113</v>
      </c>
      <c r="C362" s="252" t="n">
        <v>3000</v>
      </c>
      <c r="D362" s="275"/>
      <c r="E362" s="196"/>
      <c r="F362" s="196"/>
      <c r="G362" s="132"/>
      <c r="H362" s="206"/>
      <c r="I362" s="212"/>
      <c r="J362" s="212"/>
      <c r="K362" s="212"/>
      <c r="L362" s="212"/>
      <c r="M362" s="212"/>
      <c r="N362" s="186"/>
      <c r="O362" s="187"/>
      <c r="P362" s="187"/>
      <c r="Q362" s="150"/>
      <c r="R362" s="150"/>
      <c r="S362" s="150"/>
      <c r="T362" s="150"/>
      <c r="U362" s="150"/>
      <c r="V362" s="150"/>
      <c r="W362" s="150"/>
      <c r="X362" s="150"/>
      <c r="Y362" s="150"/>
      <c r="Z362" s="150"/>
      <c r="AA362" s="150"/>
      <c r="AB362" s="150"/>
      <c r="AC362" s="150"/>
      <c r="AD362" s="150"/>
      <c r="AE362" s="150"/>
      <c r="AF362" s="150"/>
      <c r="AG362" s="150"/>
      <c r="AH362" s="40"/>
      <c r="AI362" s="40"/>
      <c r="AJ362" s="40"/>
      <c r="AK362" s="40"/>
      <c r="AL362" s="40"/>
      <c r="AM362" s="40"/>
      <c r="AN362" s="40"/>
      <c r="AO362" s="125"/>
      <c r="AP362" s="125"/>
      <c r="AQ362" s="192"/>
      <c r="AR362" s="192"/>
      <c r="AS362" s="192"/>
      <c r="AT362" s="126"/>
      <c r="AU362" s="126"/>
      <c r="AV362" s="126"/>
      <c r="AW362" s="126"/>
      <c r="AX362" s="126"/>
      <c r="AY362" s="126"/>
      <c r="AZ362" s="126"/>
      <c r="BA362" s="126"/>
      <c r="BB362" s="21"/>
      <c r="BC362" s="21"/>
      <c r="BD362" s="21"/>
      <c r="BE362" s="21"/>
    </row>
    <row r="363" customFormat="false" ht="14.1" hidden="false" customHeight="true" outlineLevel="0" collapsed="false">
      <c r="A363" s="155" t="s">
        <v>256</v>
      </c>
      <c r="B363" s="155"/>
      <c r="C363" s="155"/>
      <c r="D363" s="155"/>
      <c r="E363" s="155"/>
      <c r="F363" s="138"/>
      <c r="G363" s="132"/>
      <c r="H363" s="206"/>
      <c r="I363" s="212"/>
      <c r="J363" s="212"/>
      <c r="K363" s="212"/>
      <c r="L363" s="212"/>
      <c r="M363" s="212"/>
      <c r="N363" s="186"/>
      <c r="O363" s="187"/>
      <c r="P363" s="187"/>
      <c r="Q363" s="150"/>
      <c r="R363" s="150"/>
      <c r="S363" s="150"/>
      <c r="T363" s="150"/>
      <c r="U363" s="150"/>
      <c r="V363" s="150"/>
      <c r="W363" s="150"/>
      <c r="X363" s="150"/>
      <c r="Y363" s="150"/>
      <c r="Z363" s="150"/>
      <c r="AA363" s="150"/>
      <c r="AB363" s="150"/>
      <c r="AC363" s="150"/>
      <c r="AD363" s="150"/>
      <c r="AE363" s="150"/>
      <c r="AF363" s="150"/>
      <c r="AG363" s="150"/>
      <c r="AH363" s="40"/>
      <c r="AI363" s="40"/>
      <c r="AJ363" s="40"/>
      <c r="AK363" s="40"/>
      <c r="AL363" s="40"/>
      <c r="AM363" s="40"/>
      <c r="AN363" s="40"/>
      <c r="AO363" s="125"/>
      <c r="AP363" s="125"/>
      <c r="AQ363" s="192"/>
      <c r="AR363" s="192"/>
      <c r="AS363" s="192"/>
      <c r="AT363" s="126"/>
      <c r="AU363" s="126"/>
      <c r="AV363" s="126"/>
      <c r="AW363" s="126"/>
      <c r="AX363" s="126"/>
      <c r="AY363" s="126"/>
      <c r="AZ363" s="126"/>
      <c r="BA363" s="126"/>
      <c r="BB363" s="21"/>
      <c r="BC363" s="21"/>
      <c r="BD363" s="21"/>
      <c r="BE363" s="21"/>
    </row>
    <row r="364" s="35" customFormat="true" ht="14.1" hidden="false" customHeight="true" outlineLevel="0" collapsed="false">
      <c r="A364" s="241"/>
      <c r="B364" s="241"/>
      <c r="C364" s="241"/>
      <c r="D364" s="243"/>
      <c r="E364" s="220"/>
      <c r="F364" s="220"/>
      <c r="G364" s="132"/>
      <c r="H364" s="206"/>
      <c r="I364" s="212"/>
      <c r="J364" s="212"/>
      <c r="K364" s="212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150"/>
      <c r="AH364" s="40"/>
      <c r="AI364" s="40"/>
      <c r="AJ364" s="40"/>
      <c r="AK364" s="40"/>
      <c r="AL364" s="40"/>
      <c r="AM364" s="40"/>
      <c r="AN364" s="40"/>
      <c r="AO364" s="125"/>
      <c r="AP364" s="125"/>
      <c r="AQ364" s="192"/>
      <c r="AR364" s="192"/>
      <c r="AS364" s="192"/>
      <c r="AT364" s="126"/>
      <c r="AU364" s="126"/>
      <c r="AV364" s="126"/>
      <c r="AW364" s="126"/>
      <c r="AX364" s="126"/>
      <c r="AY364" s="126"/>
      <c r="AZ364" s="126"/>
      <c r="BA364" s="126"/>
      <c r="BB364" s="126"/>
      <c r="BC364" s="126"/>
      <c r="BD364" s="126"/>
      <c r="BE364" s="126"/>
      <c r="BF364" s="156"/>
    </row>
    <row r="365" customFormat="false" ht="14.1" hidden="true" customHeight="true" outlineLevel="1" collapsed="false">
      <c r="A365" s="211" t="s">
        <v>257</v>
      </c>
      <c r="B365" s="211"/>
      <c r="C365" s="211"/>
      <c r="D365" s="211"/>
      <c r="E365" s="211"/>
      <c r="F365" s="26"/>
      <c r="G365" s="26"/>
      <c r="H365" s="150"/>
      <c r="I365" s="150"/>
      <c r="J365" s="158" t="s">
        <v>258</v>
      </c>
      <c r="K365" s="158"/>
      <c r="L365" s="158"/>
      <c r="M365" s="158"/>
      <c r="N365" s="158"/>
      <c r="O365" s="158"/>
      <c r="P365" s="158"/>
      <c r="Q365" s="158"/>
      <c r="R365" s="158"/>
      <c r="S365" s="158"/>
      <c r="T365" s="158"/>
      <c r="U365" s="158"/>
      <c r="V365" s="158"/>
      <c r="W365" s="158"/>
      <c r="X365" s="158"/>
      <c r="Y365" s="158"/>
      <c r="Z365" s="158"/>
      <c r="AA365" s="158"/>
      <c r="AB365" s="158"/>
      <c r="AC365" s="158"/>
      <c r="AD365" s="26"/>
      <c r="AE365" s="26"/>
      <c r="AF365" s="26"/>
      <c r="AG365" s="150"/>
      <c r="AH365" s="40"/>
      <c r="AI365" s="40"/>
      <c r="AJ365" s="40"/>
      <c r="AK365" s="40"/>
      <c r="AL365" s="40"/>
      <c r="AM365" s="40"/>
      <c r="AN365" s="40"/>
      <c r="AO365" s="125"/>
      <c r="AP365" s="125"/>
      <c r="AQ365" s="192"/>
      <c r="AR365" s="192"/>
      <c r="AS365" s="192"/>
      <c r="AT365" s="126"/>
      <c r="AU365" s="126"/>
      <c r="AV365" s="126"/>
      <c r="AW365" s="126"/>
      <c r="AX365" s="126"/>
      <c r="AY365" s="126"/>
      <c r="AZ365" s="126"/>
      <c r="BA365" s="126"/>
      <c r="BB365" s="21"/>
      <c r="BC365" s="21"/>
      <c r="BD365" s="21"/>
      <c r="BE365" s="21"/>
    </row>
    <row r="366" customFormat="false" ht="14.1" hidden="true" customHeight="true" outlineLevel="1" collapsed="false">
      <c r="A366" s="271"/>
      <c r="B366" s="282"/>
      <c r="C366" s="283"/>
      <c r="D366" s="283"/>
      <c r="E366" s="283"/>
      <c r="F366" s="256"/>
      <c r="G366" s="165"/>
      <c r="H366" s="165"/>
      <c r="I366" s="212"/>
      <c r="J366" s="158"/>
      <c r="K366" s="158"/>
      <c r="L366" s="158"/>
      <c r="M366" s="158"/>
      <c r="N366" s="158"/>
      <c r="O366" s="158"/>
      <c r="P366" s="158"/>
      <c r="Q366" s="158"/>
      <c r="R366" s="158"/>
      <c r="S366" s="158"/>
      <c r="T366" s="158"/>
      <c r="U366" s="158"/>
      <c r="V366" s="158"/>
      <c r="W366" s="158"/>
      <c r="X366" s="158"/>
      <c r="Y366" s="158"/>
      <c r="Z366" s="158"/>
      <c r="AA366" s="158"/>
      <c r="AB366" s="158"/>
      <c r="AC366" s="158"/>
      <c r="AD366" s="265"/>
      <c r="AE366" s="265"/>
      <c r="AF366" s="265"/>
      <c r="AG366" s="265"/>
      <c r="AH366" s="266"/>
      <c r="AI366" s="266"/>
      <c r="AJ366" s="266"/>
      <c r="AK366" s="266"/>
      <c r="AL366" s="40"/>
      <c r="AM366" s="40"/>
      <c r="AN366" s="40"/>
      <c r="AO366" s="125"/>
      <c r="AP366" s="125"/>
      <c r="AQ366" s="192"/>
      <c r="AR366" s="192"/>
      <c r="AS366" s="192"/>
      <c r="AT366" s="126"/>
      <c r="AU366" s="126"/>
      <c r="AV366" s="126"/>
      <c r="AW366" s="126"/>
      <c r="AX366" s="126"/>
      <c r="AY366" s="126"/>
      <c r="AZ366" s="126"/>
      <c r="BA366" s="126"/>
      <c r="BB366" s="160"/>
      <c r="BC366" s="160"/>
      <c r="BD366" s="160"/>
      <c r="BE366" s="160"/>
    </row>
    <row r="367" customFormat="false" ht="14.1" hidden="true" customHeight="true" outlineLevel="1" collapsed="false">
      <c r="A367" s="284" t="s">
        <v>187</v>
      </c>
      <c r="B367" s="284"/>
      <c r="C367" s="284"/>
      <c r="D367" s="284"/>
      <c r="E367" s="262" t="n">
        <v>1</v>
      </c>
      <c r="F367" s="203"/>
      <c r="G367" s="267"/>
      <c r="H367" s="165"/>
      <c r="I367" s="212"/>
      <c r="J367" s="150"/>
      <c r="K367" s="150"/>
      <c r="L367" s="150"/>
      <c r="M367" s="212"/>
      <c r="N367" s="186"/>
      <c r="O367" s="187"/>
      <c r="P367" s="187"/>
      <c r="Q367" s="150"/>
      <c r="R367" s="265"/>
      <c r="S367" s="265"/>
      <c r="T367" s="265"/>
      <c r="U367" s="265"/>
      <c r="V367" s="265"/>
      <c r="W367" s="265"/>
      <c r="X367" s="265"/>
      <c r="Y367" s="265"/>
      <c r="Z367" s="265"/>
      <c r="AA367" s="265"/>
      <c r="AB367" s="265"/>
      <c r="AC367" s="265"/>
      <c r="AD367" s="265"/>
      <c r="AE367" s="265"/>
      <c r="AF367" s="265"/>
      <c r="AG367" s="265"/>
      <c r="AH367" s="266"/>
      <c r="AI367" s="266"/>
      <c r="AJ367" s="266"/>
      <c r="AK367" s="266"/>
      <c r="AL367" s="40"/>
      <c r="AM367" s="40"/>
      <c r="AN367" s="40"/>
      <c r="AO367" s="125"/>
      <c r="AP367" s="125"/>
      <c r="AQ367" s="192"/>
      <c r="AR367" s="192"/>
      <c r="AS367" s="192"/>
      <c r="AT367" s="126"/>
      <c r="AU367" s="126"/>
      <c r="AV367" s="126"/>
      <c r="AW367" s="126"/>
      <c r="AX367" s="126"/>
      <c r="AY367" s="126"/>
      <c r="AZ367" s="126"/>
      <c r="BA367" s="126"/>
      <c r="BB367" s="160"/>
      <c r="BC367" s="160"/>
      <c r="BD367" s="160"/>
      <c r="BE367" s="160"/>
    </row>
    <row r="368" customFormat="false" ht="14.1" hidden="true" customHeight="true" outlineLevel="1" collapsed="false">
      <c r="A368" s="261" t="s">
        <v>188</v>
      </c>
      <c r="B368" s="261"/>
      <c r="C368" s="261"/>
      <c r="D368" s="261"/>
      <c r="E368" s="262" t="n">
        <v>1</v>
      </c>
      <c r="F368" s="203"/>
      <c r="G368" s="218"/>
      <c r="H368" s="165"/>
      <c r="I368" s="212"/>
      <c r="J368" s="150"/>
      <c r="K368" s="150"/>
      <c r="L368" s="150"/>
      <c r="M368" s="212"/>
      <c r="N368" s="186"/>
      <c r="O368" s="187"/>
      <c r="P368" s="187"/>
      <c r="Q368" s="150"/>
      <c r="R368" s="265"/>
      <c r="S368" s="265"/>
      <c r="T368" s="265"/>
      <c r="U368" s="265"/>
      <c r="V368" s="265"/>
      <c r="W368" s="265"/>
      <c r="X368" s="265"/>
      <c r="Y368" s="265"/>
      <c r="Z368" s="265"/>
      <c r="AA368" s="265"/>
      <c r="AB368" s="265"/>
      <c r="AC368" s="265"/>
      <c r="AD368" s="265"/>
      <c r="AE368" s="265"/>
      <c r="AF368" s="265"/>
      <c r="AG368" s="265"/>
      <c r="AH368" s="266"/>
      <c r="AI368" s="266"/>
      <c r="AJ368" s="266"/>
      <c r="AK368" s="266"/>
      <c r="AL368" s="40"/>
      <c r="AM368" s="40"/>
      <c r="AN368" s="40"/>
      <c r="AO368" s="125"/>
      <c r="AP368" s="125"/>
      <c r="AQ368" s="192"/>
      <c r="AR368" s="192"/>
      <c r="AS368" s="192"/>
      <c r="AT368" s="126"/>
      <c r="AU368" s="126"/>
      <c r="AV368" s="126"/>
      <c r="AW368" s="126"/>
      <c r="AX368" s="126"/>
      <c r="AY368" s="126"/>
      <c r="AZ368" s="126"/>
      <c r="BA368" s="126"/>
      <c r="BB368" s="21"/>
      <c r="BC368" s="21"/>
      <c r="BD368" s="21"/>
      <c r="BE368" s="21"/>
    </row>
    <row r="369" customFormat="false" ht="14.1" hidden="true" customHeight="true" outlineLevel="1" collapsed="false">
      <c r="A369" s="138"/>
      <c r="B369" s="270"/>
      <c r="C369" s="196"/>
      <c r="D369" s="268"/>
      <c r="E369" s="269"/>
      <c r="F369" s="285"/>
      <c r="G369" s="218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  <c r="AA369" s="26"/>
      <c r="AB369" s="26"/>
      <c r="AC369" s="26"/>
      <c r="AD369" s="26"/>
      <c r="AE369" s="26"/>
      <c r="AF369" s="26"/>
      <c r="AG369" s="26"/>
      <c r="AH369" s="35"/>
      <c r="AI369" s="35"/>
      <c r="AJ369" s="35"/>
      <c r="AK369" s="35"/>
      <c r="AL369" s="35"/>
      <c r="AM369" s="35"/>
      <c r="AN369" s="35"/>
      <c r="AO369" s="253"/>
      <c r="AP369" s="253"/>
      <c r="AQ369" s="192"/>
      <c r="AR369" s="192"/>
      <c r="AS369" s="192"/>
      <c r="AT369" s="126"/>
      <c r="AU369" s="126"/>
      <c r="AV369" s="126"/>
      <c r="AW369" s="126"/>
      <c r="AX369" s="126"/>
      <c r="AY369" s="126"/>
      <c r="AZ369" s="126"/>
      <c r="BA369" s="126"/>
      <c r="BB369" s="21"/>
      <c r="BC369" s="21"/>
      <c r="BD369" s="21"/>
      <c r="BE369" s="21"/>
    </row>
    <row r="370" customFormat="false" ht="14.1" hidden="true" customHeight="true" outlineLevel="1" collapsed="false">
      <c r="A370" s="180" t="s">
        <v>46</v>
      </c>
      <c r="B370" s="180" t="s">
        <v>162</v>
      </c>
      <c r="C370" s="180" t="s">
        <v>15</v>
      </c>
      <c r="D370" s="280"/>
      <c r="E370" s="280"/>
      <c r="F370" s="150"/>
      <c r="G370" s="228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35"/>
      <c r="AI370" s="35"/>
      <c r="AJ370" s="35"/>
      <c r="AK370" s="35"/>
      <c r="AL370" s="35"/>
      <c r="AM370" s="35"/>
      <c r="AN370" s="35"/>
      <c r="AO370" s="253"/>
      <c r="AP370" s="253"/>
      <c r="AQ370" s="126"/>
      <c r="AR370" s="126"/>
      <c r="AS370" s="126"/>
      <c r="AT370" s="126"/>
      <c r="AU370" s="192"/>
      <c r="AV370" s="192"/>
      <c r="AW370" s="126"/>
      <c r="AX370" s="126"/>
      <c r="AY370" s="126"/>
      <c r="AZ370" s="126"/>
      <c r="BA370" s="126"/>
      <c r="BB370" s="21"/>
      <c r="BC370" s="21"/>
      <c r="BD370" s="21"/>
      <c r="BE370" s="21"/>
    </row>
    <row r="371" customFormat="false" ht="14.1" hidden="true" customHeight="true" outlineLevel="1" collapsed="false">
      <c r="A371" s="138" t="s">
        <v>67</v>
      </c>
      <c r="B371" s="235"/>
      <c r="C371" s="138"/>
      <c r="D371" s="268" t="s">
        <v>15</v>
      </c>
      <c r="E371" s="280"/>
      <c r="F371" s="150"/>
      <c r="G371" s="228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  <c r="AA371" s="26"/>
      <c r="AB371" s="26"/>
      <c r="AC371" s="26"/>
      <c r="AD371" s="26"/>
      <c r="AE371" s="26"/>
      <c r="AF371" s="26"/>
      <c r="AG371" s="26"/>
      <c r="AH371" s="35"/>
      <c r="AI371" s="35"/>
      <c r="AJ371" s="35"/>
      <c r="AK371" s="35"/>
      <c r="AL371" s="35"/>
      <c r="AM371" s="35"/>
      <c r="AN371" s="35"/>
      <c r="AO371" s="253"/>
      <c r="AP371" s="253"/>
      <c r="AQ371" s="126"/>
      <c r="AR371" s="126"/>
      <c r="AS371" s="126"/>
      <c r="AT371" s="126"/>
      <c r="AU371" s="192"/>
      <c r="AV371" s="192"/>
      <c r="AW371" s="126"/>
      <c r="AX371" s="126"/>
      <c r="AY371" s="126"/>
      <c r="AZ371" s="126"/>
      <c r="BA371" s="126"/>
      <c r="BB371" s="21"/>
      <c r="BC371" s="21"/>
      <c r="BD371" s="21"/>
      <c r="BE371" s="21"/>
    </row>
    <row r="372" customFormat="false" ht="14.1" hidden="true" customHeight="true" outlineLevel="1" collapsed="false">
      <c r="A372" s="225" t="s">
        <v>55</v>
      </c>
      <c r="B372" s="235"/>
      <c r="C372" s="138"/>
      <c r="D372" s="204" t="n">
        <v>7.48</v>
      </c>
      <c r="E372" s="280"/>
      <c r="F372" s="150"/>
      <c r="G372" s="228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  <c r="AA372" s="26"/>
      <c r="AB372" s="26"/>
      <c r="AC372" s="26"/>
      <c r="AD372" s="26"/>
      <c r="AE372" s="26"/>
      <c r="AF372" s="26"/>
      <c r="AG372" s="26"/>
      <c r="AH372" s="35"/>
      <c r="AI372" s="35"/>
      <c r="AJ372" s="35"/>
      <c r="AK372" s="35"/>
      <c r="AL372" s="35"/>
      <c r="AM372" s="35"/>
      <c r="AN372" s="35"/>
      <c r="AO372" s="253"/>
      <c r="AP372" s="253"/>
      <c r="AQ372" s="126"/>
      <c r="AR372" s="126"/>
      <c r="AS372" s="126"/>
      <c r="AT372" s="126"/>
      <c r="AU372" s="126"/>
      <c r="AV372" s="126"/>
      <c r="AW372" s="126"/>
      <c r="AX372" s="126"/>
      <c r="AY372" s="126"/>
      <c r="AZ372" s="126"/>
      <c r="BA372" s="126"/>
      <c r="BB372" s="21"/>
      <c r="BC372" s="21"/>
      <c r="BD372" s="21"/>
      <c r="BE372" s="21"/>
    </row>
    <row r="373" customFormat="false" ht="14.1" hidden="true" customHeight="true" outlineLevel="1" collapsed="false">
      <c r="A373" s="227" t="s">
        <v>192</v>
      </c>
      <c r="B373" s="273"/>
      <c r="C373" s="274"/>
      <c r="D373" s="272"/>
      <c r="E373" s="272"/>
      <c r="F373" s="165"/>
      <c r="G373" s="136"/>
      <c r="H373" s="132"/>
      <c r="I373" s="132"/>
      <c r="J373" s="132"/>
      <c r="K373" s="132"/>
      <c r="L373" s="132"/>
      <c r="M373" s="132"/>
      <c r="N373" s="132"/>
      <c r="O373" s="132"/>
      <c r="P373" s="132"/>
      <c r="Q373" s="132"/>
      <c r="R373" s="132"/>
      <c r="S373" s="132"/>
      <c r="T373" s="132"/>
      <c r="U373" s="132"/>
      <c r="V373" s="132"/>
      <c r="W373" s="132"/>
      <c r="X373" s="132"/>
      <c r="Y373" s="132"/>
      <c r="Z373" s="132"/>
      <c r="AA373" s="132"/>
      <c r="AB373" s="132"/>
      <c r="AC373" s="132"/>
      <c r="AD373" s="132"/>
      <c r="AE373" s="132"/>
      <c r="AF373" s="132"/>
      <c r="AG373" s="132"/>
      <c r="AH373" s="50"/>
      <c r="AI373" s="50"/>
      <c r="AJ373" s="50"/>
      <c r="AK373" s="50"/>
      <c r="AL373" s="35"/>
      <c r="AM373" s="35"/>
      <c r="AN373" s="35"/>
      <c r="AO373" s="253"/>
      <c r="AP373" s="253"/>
      <c r="AQ373" s="126"/>
      <c r="AR373" s="126"/>
      <c r="AS373" s="126"/>
      <c r="AT373" s="126"/>
      <c r="AU373" s="126"/>
      <c r="AV373" s="126"/>
      <c r="AW373" s="126"/>
      <c r="AX373" s="126"/>
      <c r="AY373" s="126"/>
      <c r="AZ373" s="126"/>
      <c r="BA373" s="126"/>
      <c r="BB373" s="21"/>
      <c r="BC373" s="21"/>
      <c r="BD373" s="21"/>
      <c r="BE373" s="21"/>
    </row>
    <row r="374" customFormat="false" ht="14.1" hidden="true" customHeight="true" outlineLevel="1" collapsed="false">
      <c r="A374" s="231" t="s">
        <v>101</v>
      </c>
      <c r="B374" s="273"/>
      <c r="C374" s="274"/>
      <c r="D374" s="270"/>
      <c r="E374" s="270"/>
      <c r="F374" s="173"/>
      <c r="G374" s="173"/>
      <c r="H374" s="214"/>
      <c r="I374" s="221"/>
      <c r="J374" s="221"/>
      <c r="K374" s="221"/>
      <c r="L374" s="165"/>
      <c r="M374" s="165"/>
      <c r="N374" s="221"/>
      <c r="O374" s="221"/>
      <c r="P374" s="165"/>
      <c r="Q374" s="165"/>
      <c r="R374" s="165"/>
      <c r="S374" s="165"/>
      <c r="T374" s="165" t="s">
        <v>230</v>
      </c>
      <c r="U374" s="165"/>
      <c r="V374" s="165"/>
      <c r="W374" s="165"/>
      <c r="X374" s="165"/>
      <c r="Y374" s="165"/>
      <c r="Z374" s="165"/>
      <c r="AA374" s="165"/>
      <c r="AB374" s="165"/>
      <c r="AC374" s="165"/>
      <c r="AD374" s="165"/>
      <c r="AE374" s="165"/>
      <c r="AF374" s="165"/>
      <c r="AG374" s="165" t="s">
        <v>241</v>
      </c>
      <c r="AH374" s="52"/>
      <c r="AI374" s="191"/>
      <c r="AJ374" s="195"/>
      <c r="AK374" s="50"/>
      <c r="AL374" s="35"/>
      <c r="AM374" s="35"/>
      <c r="AN374" s="35"/>
      <c r="AO374" s="253"/>
      <c r="AP374" s="253"/>
      <c r="AQ374" s="126"/>
      <c r="AR374" s="126"/>
      <c r="AS374" s="126"/>
      <c r="AT374" s="126"/>
      <c r="AU374" s="126"/>
      <c r="AV374" s="126"/>
      <c r="AW374" s="126"/>
      <c r="AX374" s="126"/>
      <c r="AY374" s="126"/>
      <c r="AZ374" s="126"/>
      <c r="BA374" s="126"/>
      <c r="BB374" s="21"/>
      <c r="BC374" s="21"/>
      <c r="BD374" s="21"/>
      <c r="BE374" s="21"/>
    </row>
    <row r="375" customFormat="false" ht="14.1" hidden="true" customHeight="true" outlineLevel="1" collapsed="false">
      <c r="A375" s="239" t="s">
        <v>259</v>
      </c>
      <c r="B375" s="180" t="s">
        <v>15</v>
      </c>
      <c r="C375" s="166" t="n">
        <v>0.5</v>
      </c>
      <c r="D375" s="268" t="s">
        <v>15</v>
      </c>
      <c r="E375" s="270"/>
      <c r="F375" s="173"/>
      <c r="G375" s="173"/>
      <c r="H375" s="214"/>
      <c r="I375" s="26"/>
      <c r="J375" s="226"/>
      <c r="K375" s="221"/>
      <c r="L375" s="221"/>
      <c r="M375" s="221"/>
      <c r="N375" s="221"/>
      <c r="O375" s="221"/>
      <c r="P375" s="165"/>
      <c r="Q375" s="165"/>
      <c r="R375" s="165"/>
      <c r="S375" s="165"/>
      <c r="T375" s="165"/>
      <c r="U375" s="165"/>
      <c r="V375" s="165"/>
      <c r="W375" s="165"/>
      <c r="X375" s="165"/>
      <c r="Y375" s="165"/>
      <c r="Z375" s="165"/>
      <c r="AA375" s="165"/>
      <c r="AB375" s="165"/>
      <c r="AC375" s="165"/>
      <c r="AD375" s="165"/>
      <c r="AE375" s="165"/>
      <c r="AF375" s="165"/>
      <c r="AG375" s="165" t="n">
        <v>24</v>
      </c>
      <c r="AH375" s="52"/>
      <c r="AI375" s="191"/>
      <c r="AJ375" s="191"/>
      <c r="AK375" s="50"/>
      <c r="AL375" s="35"/>
      <c r="AM375" s="35"/>
      <c r="AN375" s="35"/>
      <c r="AO375" s="253"/>
      <c r="AP375" s="253"/>
      <c r="AQ375" s="126"/>
      <c r="AR375" s="126"/>
      <c r="AS375" s="126"/>
      <c r="AT375" s="126"/>
      <c r="AU375" s="126"/>
      <c r="AV375" s="126"/>
      <c r="AW375" s="126"/>
      <c r="AX375" s="126"/>
      <c r="AY375" s="126"/>
      <c r="AZ375" s="126"/>
      <c r="BA375" s="126"/>
      <c r="BB375" s="21"/>
      <c r="BC375" s="21" t="n">
        <v>1</v>
      </c>
      <c r="BD375" s="72" t="n">
        <f aca="false">D387</f>
        <v>3.7</v>
      </c>
      <c r="BE375" s="21"/>
    </row>
    <row r="376" customFormat="false" ht="14.1" hidden="true" customHeight="true" outlineLevel="1" collapsed="false">
      <c r="A376" s="163" t="s">
        <v>245</v>
      </c>
      <c r="B376" s="119" t="s">
        <v>15</v>
      </c>
      <c r="C376" s="232" t="n">
        <v>6</v>
      </c>
      <c r="D376" s="204" t="n">
        <v>6.4</v>
      </c>
      <c r="E376" s="270"/>
      <c r="F376" s="173"/>
      <c r="G376" s="173"/>
      <c r="H376" s="214"/>
      <c r="I376" s="26"/>
      <c r="J376" s="221"/>
      <c r="K376" s="221"/>
      <c r="L376" s="221"/>
      <c r="M376" s="221"/>
      <c r="N376" s="221"/>
      <c r="O376" s="221"/>
      <c r="P376" s="165"/>
      <c r="Q376" s="165"/>
      <c r="R376" s="165"/>
      <c r="S376" s="165"/>
      <c r="T376" s="165"/>
      <c r="U376" s="165"/>
      <c r="V376" s="165"/>
      <c r="W376" s="165"/>
      <c r="X376" s="165"/>
      <c r="Y376" s="165"/>
      <c r="Z376" s="165"/>
      <c r="AA376" s="165"/>
      <c r="AB376" s="165"/>
      <c r="AC376" s="165"/>
      <c r="AD376" s="165" t="s">
        <v>232</v>
      </c>
      <c r="AE376" s="165"/>
      <c r="AF376" s="165"/>
      <c r="AG376" s="165"/>
      <c r="AH376" s="52"/>
      <c r="AI376" s="191"/>
      <c r="AJ376" s="191"/>
      <c r="AK376" s="50"/>
      <c r="AL376" s="35"/>
      <c r="AM376" s="35"/>
      <c r="AN376" s="35"/>
      <c r="AO376" s="253"/>
      <c r="AP376" s="253"/>
      <c r="AQ376" s="126"/>
      <c r="AR376" s="126"/>
      <c r="AS376" s="126"/>
      <c r="AT376" s="126"/>
      <c r="AU376" s="126"/>
      <c r="AV376" s="126"/>
      <c r="AW376" s="126"/>
      <c r="AX376" s="126"/>
      <c r="AY376" s="126"/>
      <c r="AZ376" s="126"/>
      <c r="BA376" s="126"/>
      <c r="BB376" s="21"/>
      <c r="BC376" s="21" t="n">
        <v>2</v>
      </c>
      <c r="BD376" s="72" t="n">
        <f aca="false">D384</f>
        <v>4</v>
      </c>
      <c r="BE376" s="21"/>
    </row>
    <row r="377" customFormat="false" ht="14.1" hidden="true" customHeight="true" outlineLevel="1" collapsed="false">
      <c r="A377" s="163" t="s">
        <v>197</v>
      </c>
      <c r="B377" s="119" t="s">
        <v>15</v>
      </c>
      <c r="C377" s="232" t="n">
        <v>0.5</v>
      </c>
      <c r="D377" s="268"/>
      <c r="E377" s="270"/>
      <c r="F377" s="173"/>
      <c r="G377" s="173"/>
      <c r="H377" s="214"/>
      <c r="I377" s="221"/>
      <c r="J377" s="221"/>
      <c r="K377" s="221"/>
      <c r="L377" s="221"/>
      <c r="M377" s="221"/>
      <c r="N377" s="221"/>
      <c r="O377" s="221"/>
      <c r="P377" s="165"/>
      <c r="Q377" s="165"/>
      <c r="R377" s="165"/>
      <c r="S377" s="165"/>
      <c r="T377" s="165"/>
      <c r="U377" s="165"/>
      <c r="V377" s="165"/>
      <c r="W377" s="165"/>
      <c r="X377" s="165"/>
      <c r="Y377" s="165"/>
      <c r="Z377" s="165"/>
      <c r="AA377" s="165"/>
      <c r="AB377" s="165"/>
      <c r="AC377" s="165"/>
      <c r="AD377" s="165"/>
      <c r="AE377" s="165"/>
      <c r="AF377" s="165"/>
      <c r="AG377" s="165"/>
      <c r="AH377" s="52"/>
      <c r="AI377" s="191"/>
      <c r="AJ377" s="191"/>
      <c r="AK377" s="50"/>
      <c r="AL377" s="35"/>
      <c r="AM377" s="35"/>
      <c r="AN377" s="35"/>
      <c r="AO377" s="253"/>
      <c r="AP377" s="253"/>
      <c r="AQ377" s="126"/>
      <c r="AR377" s="126"/>
      <c r="AS377" s="126"/>
      <c r="AT377" s="126"/>
      <c r="AU377" s="126"/>
      <c r="AV377" s="126"/>
      <c r="AW377" s="126"/>
      <c r="AX377" s="126"/>
      <c r="AY377" s="126"/>
      <c r="AZ377" s="126"/>
      <c r="BA377" s="126"/>
      <c r="BB377" s="21"/>
      <c r="BC377" s="21" t="n">
        <v>3</v>
      </c>
      <c r="BD377" s="72" t="n">
        <f aca="false">D380</f>
        <v>6.1</v>
      </c>
      <c r="BE377" s="21"/>
    </row>
    <row r="378" customFormat="false" ht="14.1" hidden="true" customHeight="true" outlineLevel="1" collapsed="false">
      <c r="A378" s="163" t="s">
        <v>260</v>
      </c>
      <c r="B378" s="119" t="s">
        <v>15</v>
      </c>
      <c r="C378" s="232" t="n">
        <v>0.5</v>
      </c>
      <c r="D378" s="268"/>
      <c r="E378" s="270"/>
      <c r="F378" s="173"/>
      <c r="G378" s="173"/>
      <c r="H378" s="214"/>
      <c r="I378" s="221"/>
      <c r="J378" s="221"/>
      <c r="K378" s="221"/>
      <c r="L378" s="221"/>
      <c r="M378" s="221"/>
      <c r="N378" s="221"/>
      <c r="O378" s="221"/>
      <c r="P378" s="165"/>
      <c r="Q378" s="165"/>
      <c r="R378" s="165"/>
      <c r="S378" s="165"/>
      <c r="T378" s="165"/>
      <c r="U378" s="165" t="s">
        <v>261</v>
      </c>
      <c r="V378" s="165"/>
      <c r="W378" s="165"/>
      <c r="X378" s="165"/>
      <c r="Y378" s="165"/>
      <c r="Z378" s="165"/>
      <c r="AA378" s="165"/>
      <c r="AB378" s="165"/>
      <c r="AC378" s="165"/>
      <c r="AD378" s="165"/>
      <c r="AE378" s="165"/>
      <c r="AF378" s="165"/>
      <c r="AG378" s="165"/>
      <c r="AH378" s="52"/>
      <c r="AI378" s="191"/>
      <c r="AJ378" s="191"/>
      <c r="AK378" s="50"/>
      <c r="AL378" s="35"/>
      <c r="AM378" s="35"/>
      <c r="AN378" s="35"/>
      <c r="AO378" s="253"/>
      <c r="AP378" s="253"/>
      <c r="AQ378" s="126"/>
      <c r="AR378" s="126"/>
      <c r="AS378" s="126"/>
      <c r="AT378" s="126"/>
      <c r="AU378" s="126"/>
      <c r="AV378" s="126"/>
      <c r="AW378" s="126"/>
      <c r="AX378" s="126"/>
      <c r="AY378" s="126"/>
      <c r="AZ378" s="126"/>
      <c r="BA378" s="126"/>
      <c r="BB378" s="21"/>
      <c r="BC378" s="21" t="n">
        <v>4</v>
      </c>
      <c r="BD378" s="72" t="n">
        <f aca="false">D376</f>
        <v>6.4</v>
      </c>
      <c r="BE378" s="21"/>
    </row>
    <row r="379" customFormat="false" ht="14.1" hidden="true" customHeight="true" outlineLevel="1" collapsed="false">
      <c r="A379" s="239" t="s">
        <v>262</v>
      </c>
      <c r="B379" s="180" t="s">
        <v>15</v>
      </c>
      <c r="C379" s="286" t="n">
        <f aca="false">'Ввод данных'!C14</f>
        <v>1.6</v>
      </c>
      <c r="D379" s="268" t="s">
        <v>15</v>
      </c>
      <c r="E379" s="138"/>
      <c r="F379" s="26"/>
      <c r="G379" s="226"/>
      <c r="H379" s="214"/>
      <c r="I379" s="221"/>
      <c r="J379" s="221"/>
      <c r="K379" s="221"/>
      <c r="L379" s="221"/>
      <c r="M379" s="221"/>
      <c r="N379" s="221"/>
      <c r="O379" s="221"/>
      <c r="P379" s="165"/>
      <c r="Q379" s="165"/>
      <c r="R379" s="165"/>
      <c r="S379" s="165"/>
      <c r="T379" s="165"/>
      <c r="U379" s="165"/>
      <c r="V379" s="165"/>
      <c r="W379" s="165"/>
      <c r="X379" s="165"/>
      <c r="Y379" s="165"/>
      <c r="Z379" s="165"/>
      <c r="AA379" s="165"/>
      <c r="AB379" s="165"/>
      <c r="AC379" s="165"/>
      <c r="AD379" s="165"/>
      <c r="AE379" s="165"/>
      <c r="AF379" s="165"/>
      <c r="AG379" s="165"/>
      <c r="AH379" s="52"/>
      <c r="AI379" s="191"/>
      <c r="AJ379" s="191"/>
      <c r="AK379" s="50"/>
      <c r="AL379" s="35"/>
      <c r="AM379" s="35"/>
      <c r="AN379" s="35"/>
      <c r="AO379" s="253"/>
      <c r="AP379" s="253"/>
      <c r="AQ379" s="126"/>
      <c r="AR379" s="126"/>
      <c r="AS379" s="126"/>
      <c r="AT379" s="126"/>
      <c r="AU379" s="126"/>
      <c r="AV379" s="126"/>
      <c r="AW379" s="126"/>
      <c r="AX379" s="126"/>
      <c r="AY379" s="126"/>
      <c r="AZ379" s="126"/>
      <c r="BA379" s="126"/>
      <c r="BB379" s="21"/>
      <c r="BC379" s="21" t="n">
        <v>5</v>
      </c>
      <c r="BD379" s="72" t="n">
        <f aca="false">D372</f>
        <v>7.48</v>
      </c>
      <c r="BE379" s="21"/>
    </row>
    <row r="380" customFormat="false" ht="14.1" hidden="true" customHeight="true" outlineLevel="1" collapsed="false">
      <c r="A380" s="138" t="s">
        <v>209</v>
      </c>
      <c r="B380" s="277"/>
      <c r="C380" s="275"/>
      <c r="D380" s="268" t="n">
        <v>6.1</v>
      </c>
      <c r="E380" s="138"/>
      <c r="F380" s="26"/>
      <c r="G380" s="173"/>
      <c r="H380" s="214"/>
      <c r="I380" s="221"/>
      <c r="J380" s="221"/>
      <c r="K380" s="221"/>
      <c r="L380" s="221"/>
      <c r="M380" s="221"/>
      <c r="N380" s="221"/>
      <c r="O380" s="221"/>
      <c r="P380" s="165"/>
      <c r="Q380" s="165"/>
      <c r="R380" s="165"/>
      <c r="S380" s="165"/>
      <c r="T380" s="165"/>
      <c r="U380" s="165"/>
      <c r="V380" s="165"/>
      <c r="W380" s="165"/>
      <c r="X380" s="165"/>
      <c r="Y380" s="165"/>
      <c r="Z380" s="165"/>
      <c r="AA380" s="165"/>
      <c r="AB380" s="165"/>
      <c r="AC380" s="165"/>
      <c r="AD380" s="165"/>
      <c r="AE380" s="165"/>
      <c r="AF380" s="165"/>
      <c r="AG380" s="165"/>
      <c r="AH380" s="52"/>
      <c r="AI380" s="191"/>
      <c r="AJ380" s="191"/>
      <c r="AK380" s="50"/>
      <c r="AL380" s="35"/>
      <c r="AM380" s="35"/>
      <c r="AN380" s="35"/>
      <c r="AO380" s="253"/>
      <c r="AP380" s="253"/>
      <c r="AQ380" s="126"/>
      <c r="AR380" s="126"/>
      <c r="AS380" s="126"/>
      <c r="AT380" s="126"/>
      <c r="AU380" s="126"/>
      <c r="AV380" s="126"/>
      <c r="AW380" s="126"/>
      <c r="AX380" s="126"/>
      <c r="AY380" s="126"/>
      <c r="AZ380" s="126"/>
      <c r="BA380" s="126"/>
      <c r="BB380" s="21"/>
      <c r="BC380" s="21" t="n">
        <v>6</v>
      </c>
      <c r="BD380" s="21" t="n">
        <f aca="false">Q391</f>
        <v>25</v>
      </c>
      <c r="BE380" s="21"/>
    </row>
    <row r="381" customFormat="false" ht="14.1" hidden="true" customHeight="true" outlineLevel="1" collapsed="false">
      <c r="A381" s="240" t="s">
        <v>210</v>
      </c>
      <c r="B381" s="277"/>
      <c r="C381" s="275"/>
      <c r="D381" s="270"/>
      <c r="E381" s="270"/>
      <c r="F381" s="173"/>
      <c r="G381" s="173"/>
      <c r="H381" s="214"/>
      <c r="I381" s="221"/>
      <c r="J381" s="221"/>
      <c r="K381" s="221"/>
      <c r="L381" s="221"/>
      <c r="M381" s="221"/>
      <c r="N381" s="221"/>
      <c r="O381" s="221"/>
      <c r="P381" s="165"/>
      <c r="Q381" s="165"/>
      <c r="R381" s="165"/>
      <c r="S381" s="165"/>
      <c r="T381" s="165"/>
      <c r="U381" s="165"/>
      <c r="V381" s="165"/>
      <c r="W381" s="165"/>
      <c r="X381" s="165"/>
      <c r="Y381" s="165"/>
      <c r="Z381" s="165"/>
      <c r="AA381" s="165"/>
      <c r="AB381" s="165"/>
      <c r="AC381" s="165"/>
      <c r="AD381" s="165"/>
      <c r="AE381" s="165"/>
      <c r="AF381" s="165"/>
      <c r="AG381" s="165"/>
      <c r="AH381" s="52"/>
      <c r="AI381" s="191"/>
      <c r="AJ381" s="191"/>
      <c r="AK381" s="50"/>
      <c r="AL381" s="35"/>
      <c r="AM381" s="35"/>
      <c r="AN381" s="35"/>
      <c r="AO381" s="253"/>
      <c r="AP381" s="253"/>
      <c r="AQ381" s="126"/>
      <c r="AR381" s="126"/>
      <c r="AS381" s="126"/>
      <c r="AT381" s="126"/>
      <c r="AU381" s="126"/>
      <c r="AV381" s="126"/>
      <c r="AW381" s="126"/>
      <c r="AX381" s="126"/>
      <c r="AY381" s="126"/>
      <c r="AZ381" s="126"/>
      <c r="BA381" s="126"/>
      <c r="BB381" s="21"/>
      <c r="BC381" s="21" t="n">
        <v>7</v>
      </c>
      <c r="BD381" s="21" t="n">
        <f aca="false">N391</f>
        <v>70</v>
      </c>
      <c r="BE381" s="21"/>
    </row>
    <row r="382" customFormat="false" ht="14.1" hidden="true" customHeight="true" outlineLevel="1" collapsed="false">
      <c r="A382" s="138" t="s">
        <v>211</v>
      </c>
      <c r="B382" s="235"/>
      <c r="C382" s="138"/>
      <c r="D382" s="270"/>
      <c r="E382" s="270"/>
      <c r="F382" s="173"/>
      <c r="G382" s="173"/>
      <c r="H382" s="214"/>
      <c r="I382" s="221"/>
      <c r="J382" s="221"/>
      <c r="K382" s="221"/>
      <c r="L382" s="221"/>
      <c r="M382" s="221"/>
      <c r="N382" s="221"/>
      <c r="O382" s="221"/>
      <c r="P382" s="165"/>
      <c r="Q382" s="165"/>
      <c r="R382" s="165"/>
      <c r="S382" s="165"/>
      <c r="T382" s="165"/>
      <c r="U382" s="165"/>
      <c r="V382" s="165"/>
      <c r="W382" s="165"/>
      <c r="X382" s="165"/>
      <c r="Y382" s="165"/>
      <c r="Z382" s="165"/>
      <c r="AA382" s="165"/>
      <c r="AB382" s="165"/>
      <c r="AC382" s="165"/>
      <c r="AD382" s="165"/>
      <c r="AE382" s="165"/>
      <c r="AF382" s="165"/>
      <c r="AG382" s="165"/>
      <c r="AH382" s="52"/>
      <c r="AI382" s="191" t="s">
        <v>263</v>
      </c>
      <c r="AJ382" s="191"/>
      <c r="AK382" s="50"/>
      <c r="AL382" s="35"/>
      <c r="AM382" s="35"/>
      <c r="AN382" s="35"/>
      <c r="AO382" s="253"/>
      <c r="AP382" s="253"/>
      <c r="AQ382" s="126"/>
      <c r="AR382" s="126"/>
      <c r="AS382" s="126"/>
      <c r="AT382" s="126"/>
      <c r="AU382" s="126"/>
      <c r="AV382" s="126"/>
      <c r="AW382" s="126"/>
      <c r="AX382" s="126"/>
      <c r="AY382" s="126"/>
      <c r="AZ382" s="126"/>
      <c r="BA382" s="126"/>
      <c r="BB382" s="21"/>
      <c r="BC382" s="21" t="n">
        <v>8</v>
      </c>
      <c r="BD382" s="21" t="n">
        <f aca="false">AG375</f>
        <v>24</v>
      </c>
      <c r="BE382" s="21"/>
    </row>
    <row r="383" customFormat="false" ht="14.1" hidden="true" customHeight="true" outlineLevel="1" collapsed="false">
      <c r="A383" s="242" t="s">
        <v>212</v>
      </c>
      <c r="B383" s="235"/>
      <c r="C383" s="138"/>
      <c r="D383" s="270" t="s">
        <v>15</v>
      </c>
      <c r="E383" s="270"/>
      <c r="F383" s="173"/>
      <c r="G383" s="26"/>
      <c r="H383" s="214"/>
      <c r="I383" s="221"/>
      <c r="J383" s="221"/>
      <c r="K383" s="221"/>
      <c r="L383" s="221"/>
      <c r="M383" s="221"/>
      <c r="N383" s="221"/>
      <c r="O383" s="221"/>
      <c r="P383" s="165"/>
      <c r="Q383" s="165"/>
      <c r="R383" s="165"/>
      <c r="S383" s="165"/>
      <c r="T383" s="165"/>
      <c r="U383" s="165"/>
      <c r="V383" s="165"/>
      <c r="W383" s="165"/>
      <c r="X383" s="165"/>
      <c r="Y383" s="165"/>
      <c r="Z383" s="165"/>
      <c r="AA383" s="165"/>
      <c r="AB383" s="165"/>
      <c r="AC383" s="165"/>
      <c r="AD383" s="165"/>
      <c r="AE383" s="165"/>
      <c r="AF383" s="165"/>
      <c r="AG383" s="165"/>
      <c r="AH383" s="52"/>
      <c r="AI383" s="191"/>
      <c r="AJ383" s="35"/>
      <c r="AK383" s="50"/>
      <c r="AL383" s="35"/>
      <c r="AM383" s="35"/>
      <c r="AN383" s="35"/>
      <c r="AO383" s="253"/>
      <c r="AP383" s="253"/>
      <c r="AQ383" s="126"/>
      <c r="AR383" s="126"/>
      <c r="AS383" s="126"/>
      <c r="AT383" s="126"/>
      <c r="AU383" s="126"/>
      <c r="AV383" s="126"/>
      <c r="AW383" s="126"/>
      <c r="AX383" s="126"/>
      <c r="AY383" s="126"/>
      <c r="AZ383" s="126"/>
      <c r="BA383" s="126"/>
      <c r="BB383" s="21"/>
      <c r="BC383" s="21"/>
      <c r="BD383" s="21"/>
      <c r="BE383" s="21"/>
    </row>
    <row r="384" customFormat="false" ht="14.1" hidden="true" customHeight="true" outlineLevel="1" collapsed="false">
      <c r="A384" s="138" t="s">
        <v>213</v>
      </c>
      <c r="B384" s="235"/>
      <c r="C384" s="138"/>
      <c r="D384" s="270" t="n">
        <v>4</v>
      </c>
      <c r="E384" s="270"/>
      <c r="F384" s="173"/>
      <c r="G384" s="26"/>
      <c r="H384" s="214"/>
      <c r="I384" s="221"/>
      <c r="J384" s="221"/>
      <c r="K384" s="221"/>
      <c r="L384" s="221"/>
      <c r="M384" s="221"/>
      <c r="N384" s="221"/>
      <c r="O384" s="221"/>
      <c r="P384" s="165"/>
      <c r="Q384" s="165"/>
      <c r="R384" s="165"/>
      <c r="S384" s="165"/>
      <c r="T384" s="165"/>
      <c r="U384" s="165"/>
      <c r="V384" s="165"/>
      <c r="W384" s="165"/>
      <c r="X384" s="165"/>
      <c r="Y384" s="165"/>
      <c r="Z384" s="165"/>
      <c r="AA384" s="165"/>
      <c r="AB384" s="165"/>
      <c r="AC384" s="165"/>
      <c r="AD384" s="165"/>
      <c r="AE384" s="165"/>
      <c r="AF384" s="165"/>
      <c r="AG384" s="165"/>
      <c r="AH384" s="52"/>
      <c r="AI384" s="191"/>
      <c r="AJ384" s="191"/>
      <c r="AK384" s="50"/>
      <c r="AL384" s="35"/>
      <c r="AM384" s="35"/>
      <c r="AN384" s="35"/>
      <c r="AO384" s="253"/>
      <c r="AP384" s="253"/>
      <c r="AQ384" s="126"/>
      <c r="AR384" s="126"/>
      <c r="AS384" s="126"/>
      <c r="AT384" s="126"/>
      <c r="AU384" s="126"/>
      <c r="AV384" s="126"/>
      <c r="AW384" s="126"/>
      <c r="AX384" s="126"/>
      <c r="AY384" s="126"/>
      <c r="AZ384" s="126"/>
      <c r="BA384" s="126"/>
      <c r="BB384" s="21"/>
      <c r="BC384" s="21"/>
      <c r="BD384" s="21"/>
      <c r="BE384" s="21"/>
    </row>
    <row r="385" customFormat="false" ht="14.1" hidden="true" customHeight="true" outlineLevel="1" collapsed="false">
      <c r="A385" s="242" t="s">
        <v>214</v>
      </c>
      <c r="B385" s="235"/>
      <c r="C385" s="138"/>
      <c r="D385" s="270"/>
      <c r="E385" s="270"/>
      <c r="F385" s="173"/>
      <c r="G385" s="173"/>
      <c r="H385" s="214"/>
      <c r="I385" s="221"/>
      <c r="J385" s="221"/>
      <c r="K385" s="221"/>
      <c r="L385" s="221"/>
      <c r="M385" s="221"/>
      <c r="N385" s="221"/>
      <c r="O385" s="221"/>
      <c r="P385" s="165"/>
      <c r="Q385" s="165"/>
      <c r="R385" s="165"/>
      <c r="S385" s="165"/>
      <c r="T385" s="165"/>
      <c r="U385" s="165"/>
      <c r="V385" s="165"/>
      <c r="W385" s="165"/>
      <c r="X385" s="165"/>
      <c r="Y385" s="165"/>
      <c r="Z385" s="165"/>
      <c r="AA385" s="165"/>
      <c r="AB385" s="165"/>
      <c r="AC385" s="165"/>
      <c r="AD385" s="165"/>
      <c r="AE385" s="165"/>
      <c r="AF385" s="165"/>
      <c r="AG385" s="165"/>
      <c r="AH385" s="52"/>
      <c r="AI385" s="191"/>
      <c r="AJ385" s="191"/>
      <c r="AK385" s="50"/>
      <c r="AL385" s="35"/>
      <c r="AM385" s="35"/>
      <c r="AN385" s="35"/>
      <c r="AO385" s="253"/>
      <c r="AP385" s="253"/>
      <c r="AQ385" s="126"/>
      <c r="AR385" s="126"/>
      <c r="AS385" s="126"/>
      <c r="AT385" s="126"/>
      <c r="AU385" s="126"/>
      <c r="AV385" s="126"/>
      <c r="AW385" s="126"/>
      <c r="AX385" s="126"/>
      <c r="AY385" s="126"/>
      <c r="AZ385" s="126"/>
      <c r="BA385" s="126"/>
      <c r="BB385" s="21"/>
      <c r="BC385" s="21"/>
      <c r="BD385" s="21"/>
      <c r="BE385" s="21"/>
    </row>
    <row r="386" customFormat="false" ht="14.1" hidden="true" customHeight="true" outlineLevel="1" collapsed="false">
      <c r="A386" s="138" t="s">
        <v>215</v>
      </c>
      <c r="B386" s="235"/>
      <c r="C386" s="138"/>
      <c r="D386" s="270" t="s">
        <v>15</v>
      </c>
      <c r="E386" s="270"/>
      <c r="F386" s="226"/>
      <c r="G386" s="173"/>
      <c r="H386" s="214"/>
      <c r="I386" s="221"/>
      <c r="J386" s="221"/>
      <c r="K386" s="221"/>
      <c r="L386" s="221"/>
      <c r="M386" s="221"/>
      <c r="N386" s="221"/>
      <c r="O386" s="221"/>
      <c r="P386" s="165"/>
      <c r="Q386" s="165"/>
      <c r="R386" s="165"/>
      <c r="S386" s="165"/>
      <c r="T386" s="165"/>
      <c r="U386" s="165"/>
      <c r="V386" s="165"/>
      <c r="W386" s="165"/>
      <c r="X386" s="165"/>
      <c r="Y386" s="165"/>
      <c r="Z386" s="165"/>
      <c r="AA386" s="165"/>
      <c r="AB386" s="165"/>
      <c r="AC386" s="165"/>
      <c r="AD386" s="165"/>
      <c r="AE386" s="165"/>
      <c r="AF386" s="165"/>
      <c r="AG386" s="165"/>
      <c r="AH386" s="52"/>
      <c r="AI386" s="191"/>
      <c r="AJ386" s="191"/>
      <c r="AK386" s="50"/>
      <c r="AL386" s="35"/>
      <c r="AM386" s="35"/>
      <c r="AN386" s="35"/>
      <c r="AO386" s="253"/>
      <c r="AP386" s="253"/>
      <c r="AQ386" s="126"/>
      <c r="AR386" s="126"/>
      <c r="AS386" s="126"/>
      <c r="AT386" s="126"/>
      <c r="AU386" s="126"/>
      <c r="AV386" s="126"/>
      <c r="AW386" s="126"/>
      <c r="AX386" s="126"/>
      <c r="AY386" s="126"/>
      <c r="AZ386" s="126"/>
      <c r="BA386" s="126"/>
      <c r="BB386" s="21"/>
      <c r="BC386" s="21"/>
      <c r="BD386" s="21"/>
      <c r="BE386" s="21"/>
    </row>
    <row r="387" customFormat="false" ht="14.1" hidden="true" customHeight="true" outlineLevel="1" collapsed="false">
      <c r="A387" s="244" t="s">
        <v>101</v>
      </c>
      <c r="B387" s="235"/>
      <c r="C387" s="138"/>
      <c r="D387" s="270" t="n">
        <v>3.7</v>
      </c>
      <c r="E387" s="270"/>
      <c r="F387" s="173"/>
      <c r="G387" s="173"/>
      <c r="H387" s="214"/>
      <c r="I387" s="221"/>
      <c r="J387" s="221"/>
      <c r="K387" s="221"/>
      <c r="L387" s="221"/>
      <c r="M387" s="221"/>
      <c r="N387" s="221"/>
      <c r="O387" s="221"/>
      <c r="P387" s="165"/>
      <c r="Q387" s="165"/>
      <c r="R387" s="165"/>
      <c r="S387" s="165"/>
      <c r="T387" s="165"/>
      <c r="U387" s="165"/>
      <c r="V387" s="165"/>
      <c r="W387" s="165"/>
      <c r="X387" s="165"/>
      <c r="Y387" s="165"/>
      <c r="Z387" s="165"/>
      <c r="AA387" s="165"/>
      <c r="AB387" s="165"/>
      <c r="AC387" s="165"/>
      <c r="AD387" s="165"/>
      <c r="AE387" s="165"/>
      <c r="AF387" s="165"/>
      <c r="AG387" s="165"/>
      <c r="AH387" s="52"/>
      <c r="AI387" s="191"/>
      <c r="AJ387" s="191"/>
      <c r="AK387" s="50"/>
      <c r="AL387" s="35"/>
      <c r="AM387" s="35"/>
      <c r="AN387" s="35"/>
      <c r="AO387" s="253"/>
      <c r="AP387" s="253"/>
      <c r="AQ387" s="126"/>
      <c r="AR387" s="126"/>
      <c r="AS387" s="126"/>
      <c r="AT387" s="126"/>
      <c r="AU387" s="126"/>
      <c r="AV387" s="126"/>
      <c r="AW387" s="126"/>
      <c r="AX387" s="126"/>
      <c r="AY387" s="126"/>
      <c r="AZ387" s="126"/>
      <c r="BA387" s="126"/>
      <c r="BB387" s="21"/>
      <c r="BC387" s="21"/>
      <c r="BD387" s="21"/>
      <c r="BE387" s="21"/>
    </row>
    <row r="388" customFormat="false" ht="14.1" hidden="true" customHeight="true" outlineLevel="1" collapsed="false">
      <c r="A388" s="138" t="s">
        <v>217</v>
      </c>
      <c r="B388" s="235"/>
      <c r="C388" s="138"/>
      <c r="D388" s="270"/>
      <c r="E388" s="270"/>
      <c r="F388" s="173"/>
      <c r="G388" s="173"/>
      <c r="H388" s="214"/>
      <c r="I388" s="221"/>
      <c r="J388" s="221"/>
      <c r="K388" s="221"/>
      <c r="L388" s="221"/>
      <c r="M388" s="221"/>
      <c r="N388" s="221"/>
      <c r="O388" s="221"/>
      <c r="P388" s="165"/>
      <c r="Q388" s="165"/>
      <c r="R388" s="165"/>
      <c r="S388" s="165"/>
      <c r="T388" s="165"/>
      <c r="U388" s="165"/>
      <c r="V388" s="165"/>
      <c r="W388" s="165"/>
      <c r="X388" s="165"/>
      <c r="Y388" s="187"/>
      <c r="Z388" s="187"/>
      <c r="AA388" s="187"/>
      <c r="AB388" s="187"/>
      <c r="AC388" s="187"/>
      <c r="AD388" s="187"/>
      <c r="AE388" s="187"/>
      <c r="AF388" s="187"/>
      <c r="AG388" s="187"/>
      <c r="AH388" s="193"/>
      <c r="AI388" s="191"/>
      <c r="AJ388" s="191"/>
      <c r="AK388" s="50"/>
      <c r="AL388" s="35"/>
      <c r="AM388" s="35"/>
      <c r="AN388" s="35"/>
      <c r="AO388" s="253"/>
      <c r="AP388" s="253"/>
      <c r="AQ388" s="126"/>
      <c r="AR388" s="126"/>
      <c r="AS388" s="126"/>
      <c r="AT388" s="126"/>
      <c r="AU388" s="126"/>
      <c r="AV388" s="126"/>
      <c r="AW388" s="126"/>
      <c r="AX388" s="126"/>
      <c r="AY388" s="126"/>
      <c r="AZ388" s="126"/>
      <c r="BA388" s="126"/>
      <c r="BB388" s="21"/>
      <c r="BC388" s="21"/>
      <c r="BD388" s="21"/>
      <c r="BE388" s="21"/>
    </row>
    <row r="389" customFormat="false" ht="14.1" hidden="true" customHeight="true" outlineLevel="1" collapsed="false">
      <c r="A389" s="245" t="s">
        <v>218</v>
      </c>
      <c r="B389" s="235"/>
      <c r="C389" s="138"/>
      <c r="D389" s="270"/>
      <c r="E389" s="270"/>
      <c r="F389" s="173"/>
      <c r="G389" s="173"/>
      <c r="H389" s="214"/>
      <c r="I389" s="221"/>
      <c r="J389" s="221"/>
      <c r="K389" s="221"/>
      <c r="L389" s="221"/>
      <c r="M389" s="221"/>
      <c r="N389" s="221"/>
      <c r="O389" s="221"/>
      <c r="P389" s="165"/>
      <c r="Q389" s="165"/>
      <c r="R389" s="165"/>
      <c r="S389" s="165"/>
      <c r="T389" s="165"/>
      <c r="U389" s="165"/>
      <c r="V389" s="165"/>
      <c r="W389" s="165"/>
      <c r="X389" s="165"/>
      <c r="Y389" s="187"/>
      <c r="Z389" s="187"/>
      <c r="AA389" s="187"/>
      <c r="AB389" s="187"/>
      <c r="AC389" s="187"/>
      <c r="AD389" s="187"/>
      <c r="AE389" s="187"/>
      <c r="AF389" s="187"/>
      <c r="AG389" s="187"/>
      <c r="AH389" s="193"/>
      <c r="AI389" s="191"/>
      <c r="AJ389" s="191"/>
      <c r="AK389" s="52"/>
      <c r="AL389" s="35"/>
      <c r="AM389" s="35"/>
      <c r="AN389" s="35"/>
      <c r="AO389" s="125"/>
      <c r="AP389" s="125"/>
      <c r="AQ389" s="126"/>
      <c r="AR389" s="126"/>
      <c r="AS389" s="126"/>
      <c r="AT389" s="126"/>
      <c r="AU389" s="126"/>
      <c r="AV389" s="126"/>
      <c r="AW389" s="126"/>
      <c r="AX389" s="126"/>
      <c r="AY389" s="126"/>
      <c r="AZ389" s="126"/>
      <c r="BA389" s="126"/>
      <c r="BB389" s="21"/>
      <c r="BC389" s="21"/>
      <c r="BD389" s="21"/>
      <c r="BE389" s="21"/>
    </row>
    <row r="390" customFormat="false" ht="14.1" hidden="true" customHeight="true" outlineLevel="1" collapsed="false">
      <c r="A390" s="250" t="s">
        <v>219</v>
      </c>
      <c r="B390" s="119" t="s">
        <v>48</v>
      </c>
      <c r="C390" s="163" t="n">
        <v>0</v>
      </c>
      <c r="D390" s="287"/>
      <c r="E390" s="287"/>
      <c r="F390" s="212"/>
      <c r="G390" s="212"/>
      <c r="H390" s="187"/>
      <c r="I390" s="165"/>
      <c r="J390" s="165"/>
      <c r="K390" s="165"/>
      <c r="L390" s="165"/>
      <c r="M390" s="165"/>
      <c r="N390" s="26"/>
      <c r="O390" s="186"/>
      <c r="P390" s="165"/>
      <c r="Q390" s="26"/>
      <c r="R390" s="186"/>
      <c r="S390" s="165"/>
      <c r="T390" s="165"/>
      <c r="U390" s="165"/>
      <c r="V390" s="165"/>
      <c r="W390" s="165"/>
      <c r="X390" s="165"/>
      <c r="Y390" s="187"/>
      <c r="Z390" s="187"/>
      <c r="AA390" s="187"/>
      <c r="AB390" s="187"/>
      <c r="AC390" s="187"/>
      <c r="AD390" s="187"/>
      <c r="AE390" s="187"/>
      <c r="AF390" s="187"/>
      <c r="AG390" s="187"/>
      <c r="AH390" s="193"/>
      <c r="AI390" s="191"/>
      <c r="AJ390" s="191"/>
      <c r="AK390" s="52"/>
      <c r="AL390" s="35"/>
      <c r="AM390" s="35"/>
      <c r="AN390" s="35"/>
      <c r="AO390" s="125"/>
      <c r="AP390" s="125"/>
      <c r="AQ390" s="126"/>
      <c r="AR390" s="126"/>
      <c r="AS390" s="126"/>
      <c r="AT390" s="126"/>
      <c r="AU390" s="126"/>
      <c r="AV390" s="126"/>
      <c r="AW390" s="126"/>
      <c r="AX390" s="126"/>
      <c r="AY390" s="126"/>
      <c r="AZ390" s="126"/>
      <c r="BA390" s="126"/>
      <c r="BB390" s="21"/>
      <c r="BC390" s="21"/>
      <c r="BD390" s="21"/>
      <c r="BE390" s="21"/>
    </row>
    <row r="391" customFormat="false" ht="14.1" hidden="true" customHeight="true" outlineLevel="1" collapsed="false">
      <c r="A391" s="250" t="s">
        <v>220</v>
      </c>
      <c r="B391" s="119" t="s">
        <v>48</v>
      </c>
      <c r="C391" s="163" t="n">
        <v>0</v>
      </c>
      <c r="D391" s="287"/>
      <c r="E391" s="287"/>
      <c r="F391" s="212"/>
      <c r="G391" s="212"/>
      <c r="H391" s="203" t="s">
        <v>201</v>
      </c>
      <c r="I391" s="165"/>
      <c r="J391" s="165"/>
      <c r="K391" s="165"/>
      <c r="L391" s="165"/>
      <c r="M391" s="165"/>
      <c r="N391" s="186" t="n">
        <v>70</v>
      </c>
      <c r="O391" s="186"/>
      <c r="P391" s="165"/>
      <c r="Q391" s="186" t="n">
        <v>25</v>
      </c>
      <c r="R391" s="186"/>
      <c r="S391" s="165"/>
      <c r="T391" s="165"/>
      <c r="U391" s="165"/>
      <c r="V391" s="165"/>
      <c r="W391" s="165"/>
      <c r="X391" s="165"/>
      <c r="Y391" s="187"/>
      <c r="Z391" s="187"/>
      <c r="AA391" s="187"/>
      <c r="AB391" s="187"/>
      <c r="AC391" s="187"/>
      <c r="AD391" s="187"/>
      <c r="AE391" s="187"/>
      <c r="AF391" s="187"/>
      <c r="AG391" s="187"/>
      <c r="AH391" s="193"/>
      <c r="AI391" s="191"/>
      <c r="AJ391" s="191"/>
      <c r="AK391" s="52"/>
      <c r="AL391" s="35"/>
      <c r="AM391" s="35"/>
      <c r="AN391" s="35"/>
      <c r="AO391" s="125"/>
      <c r="AP391" s="125"/>
      <c r="AQ391" s="126"/>
      <c r="AR391" s="126"/>
      <c r="AS391" s="126"/>
      <c r="AT391" s="126"/>
      <c r="AU391" s="126"/>
      <c r="AV391" s="126"/>
      <c r="AW391" s="126"/>
      <c r="AX391" s="126"/>
      <c r="AY391" s="126"/>
      <c r="AZ391" s="126"/>
      <c r="BA391" s="126"/>
      <c r="BB391" s="21"/>
      <c r="BC391" s="21"/>
      <c r="BD391" s="21"/>
      <c r="BE391" s="21"/>
    </row>
    <row r="392" customFormat="false" ht="14.1" hidden="true" customHeight="true" outlineLevel="1" collapsed="false">
      <c r="A392" s="250" t="s">
        <v>221</v>
      </c>
      <c r="B392" s="119" t="s">
        <v>48</v>
      </c>
      <c r="C392" s="163" t="n">
        <v>0</v>
      </c>
      <c r="D392" s="287"/>
      <c r="E392" s="287"/>
      <c r="F392" s="212"/>
      <c r="G392" s="212"/>
      <c r="H392" s="187"/>
      <c r="I392" s="165"/>
      <c r="J392" s="165"/>
      <c r="K392" s="165"/>
      <c r="L392" s="165"/>
      <c r="M392" s="165"/>
      <c r="N392" s="165" t="s">
        <v>241</v>
      </c>
      <c r="O392" s="165"/>
      <c r="P392" s="165"/>
      <c r="Q392" s="165" t="s">
        <v>241</v>
      </c>
      <c r="R392" s="165"/>
      <c r="S392" s="165"/>
      <c r="T392" s="165"/>
      <c r="U392" s="165"/>
      <c r="V392" s="165"/>
      <c r="W392" s="165"/>
      <c r="X392" s="165"/>
      <c r="Y392" s="187"/>
      <c r="Z392" s="187"/>
      <c r="AA392" s="187"/>
      <c r="AB392" s="187"/>
      <c r="AC392" s="187"/>
      <c r="AD392" s="187"/>
      <c r="AE392" s="187"/>
      <c r="AF392" s="187"/>
      <c r="AG392" s="187"/>
      <c r="AH392" s="193"/>
      <c r="AI392" s="191"/>
      <c r="AJ392" s="191"/>
      <c r="AK392" s="52"/>
      <c r="AL392" s="35"/>
      <c r="AM392" s="35"/>
      <c r="AN392" s="35"/>
      <c r="AO392" s="125"/>
      <c r="AP392" s="125"/>
      <c r="AQ392" s="126"/>
      <c r="AR392" s="126"/>
      <c r="AS392" s="126"/>
      <c r="AT392" s="126"/>
      <c r="AU392" s="126"/>
      <c r="AV392" s="126"/>
      <c r="AW392" s="126"/>
      <c r="AX392" s="126"/>
      <c r="AY392" s="126"/>
      <c r="AZ392" s="126"/>
      <c r="BA392" s="126"/>
      <c r="BB392" s="21"/>
      <c r="BC392" s="21"/>
      <c r="BD392" s="21"/>
      <c r="BE392" s="21"/>
    </row>
    <row r="393" customFormat="false" ht="14.1" hidden="true" customHeight="true" outlineLevel="1" collapsed="false">
      <c r="A393" s="138" t="s">
        <v>222</v>
      </c>
      <c r="B393" s="235"/>
      <c r="C393" s="138"/>
      <c r="D393" s="272"/>
      <c r="E393" s="272"/>
      <c r="F393" s="165"/>
      <c r="G393" s="187"/>
      <c r="H393" s="187"/>
      <c r="I393" s="187"/>
      <c r="J393" s="187"/>
      <c r="K393" s="187"/>
      <c r="L393" s="187"/>
      <c r="M393" s="187"/>
      <c r="N393" s="187"/>
      <c r="O393" s="187"/>
      <c r="P393" s="187"/>
      <c r="Q393" s="187"/>
      <c r="R393" s="187"/>
      <c r="S393" s="187"/>
      <c r="T393" s="187"/>
      <c r="U393" s="187"/>
      <c r="V393" s="203" t="s">
        <v>206</v>
      </c>
      <c r="W393" s="187"/>
      <c r="X393" s="187"/>
      <c r="Y393" s="187"/>
      <c r="Z393" s="187"/>
      <c r="AA393" s="187"/>
      <c r="AB393" s="187"/>
      <c r="AC393" s="187"/>
      <c r="AD393" s="186"/>
      <c r="AE393" s="186"/>
      <c r="AF393" s="186"/>
      <c r="AG393" s="186"/>
      <c r="AH393" s="52"/>
      <c r="AI393" s="195"/>
      <c r="AJ393" s="195"/>
      <c r="AK393" s="52"/>
      <c r="AL393" s="35"/>
      <c r="AM393" s="35"/>
      <c r="AN393" s="35"/>
      <c r="AO393" s="125"/>
      <c r="AP393" s="125"/>
      <c r="AQ393" s="126"/>
      <c r="AR393" s="126"/>
      <c r="AS393" s="126"/>
      <c r="AT393" s="126"/>
      <c r="AU393" s="126"/>
      <c r="AV393" s="126"/>
      <c r="AW393" s="126"/>
      <c r="AX393" s="126"/>
      <c r="AY393" s="126"/>
      <c r="AZ393" s="126"/>
      <c r="BA393" s="126"/>
      <c r="BB393" s="21"/>
      <c r="BC393" s="21"/>
      <c r="BD393" s="21"/>
      <c r="BE393" s="21"/>
    </row>
    <row r="394" customFormat="false" ht="14.1" hidden="true" customHeight="true" outlineLevel="1" collapsed="false">
      <c r="A394" s="242" t="s">
        <v>223</v>
      </c>
      <c r="B394" s="235"/>
      <c r="C394" s="138"/>
      <c r="D394" s="280"/>
      <c r="E394" s="280"/>
      <c r="F394" s="150"/>
      <c r="G394" s="150"/>
      <c r="H394" s="206"/>
      <c r="I394" s="259"/>
      <c r="J394" s="150"/>
      <c r="K394" s="150"/>
      <c r="L394" s="150"/>
      <c r="M394" s="150"/>
      <c r="N394" s="187"/>
      <c r="O394" s="187"/>
      <c r="P394" s="187"/>
      <c r="Q394" s="187"/>
      <c r="R394" s="187"/>
      <c r="S394" s="187"/>
      <c r="T394" s="187"/>
      <c r="U394" s="187"/>
      <c r="V394" s="187"/>
      <c r="W394" s="187"/>
      <c r="X394" s="187"/>
      <c r="Y394" s="187"/>
      <c r="Z394" s="187"/>
      <c r="AA394" s="187"/>
      <c r="AB394" s="187"/>
      <c r="AC394" s="187"/>
      <c r="AD394" s="187"/>
      <c r="AE394" s="187"/>
      <c r="AF394" s="187"/>
      <c r="AG394" s="187"/>
      <c r="AH394" s="35"/>
      <c r="AI394" s="35"/>
      <c r="AJ394" s="35"/>
      <c r="AK394" s="35"/>
      <c r="AL394" s="40"/>
      <c r="AM394" s="40"/>
      <c r="AN394" s="40"/>
      <c r="AO394" s="125"/>
      <c r="AP394" s="125"/>
      <c r="AQ394" s="126"/>
      <c r="AR394" s="126"/>
      <c r="AS394" s="126"/>
      <c r="AT394" s="126"/>
      <c r="AU394" s="126"/>
      <c r="AV394" s="126"/>
      <c r="AW394" s="126"/>
      <c r="AX394" s="126"/>
      <c r="AY394" s="126"/>
      <c r="AZ394" s="126"/>
      <c r="BA394" s="126"/>
      <c r="BB394" s="21"/>
      <c r="BC394" s="21"/>
      <c r="BD394" s="21"/>
      <c r="BE394" s="21"/>
    </row>
    <row r="395" customFormat="false" ht="14.1" hidden="true" customHeight="true" outlineLevel="1" collapsed="false">
      <c r="A395" s="138" t="s">
        <v>224</v>
      </c>
      <c r="B395" s="235"/>
      <c r="C395" s="138"/>
      <c r="D395" s="280"/>
      <c r="E395" s="280"/>
      <c r="F395" s="150"/>
      <c r="G395" s="150"/>
      <c r="H395" s="206"/>
      <c r="I395" s="259"/>
      <c r="J395" s="150"/>
      <c r="K395" s="150"/>
      <c r="L395" s="150"/>
      <c r="M395" s="150"/>
      <c r="N395" s="187"/>
      <c r="O395" s="187"/>
      <c r="P395" s="187"/>
      <c r="Q395" s="187"/>
      <c r="R395" s="187"/>
      <c r="S395" s="187"/>
      <c r="T395" s="187"/>
      <c r="U395" s="187"/>
      <c r="V395" s="187"/>
      <c r="W395" s="187"/>
      <c r="X395" s="187"/>
      <c r="Y395" s="187"/>
      <c r="Z395" s="187"/>
      <c r="AA395" s="187"/>
      <c r="AB395" s="187"/>
      <c r="AC395" s="187"/>
      <c r="AD395" s="187"/>
      <c r="AE395" s="187"/>
      <c r="AF395" s="187"/>
      <c r="AG395" s="187"/>
      <c r="AH395" s="35"/>
      <c r="AI395" s="35"/>
      <c r="AJ395" s="35"/>
      <c r="AK395" s="35"/>
      <c r="AL395" s="40"/>
      <c r="AM395" s="40"/>
      <c r="AN395" s="40"/>
      <c r="AO395" s="125"/>
      <c r="AP395" s="125"/>
      <c r="AQ395" s="126"/>
      <c r="AR395" s="126"/>
      <c r="AS395" s="126"/>
      <c r="AT395" s="126"/>
      <c r="AU395" s="126"/>
      <c r="AV395" s="126"/>
      <c r="AW395" s="126"/>
      <c r="AX395" s="126"/>
      <c r="AY395" s="126"/>
      <c r="AZ395" s="126"/>
      <c r="BA395" s="126"/>
      <c r="BB395" s="21"/>
      <c r="BC395" s="21"/>
      <c r="BD395" s="21"/>
      <c r="BE395" s="21"/>
    </row>
    <row r="396" customFormat="false" ht="14.1" hidden="true" customHeight="true" outlineLevel="1" collapsed="false">
      <c r="A396" s="242" t="s">
        <v>223</v>
      </c>
      <c r="B396" s="235"/>
      <c r="C396" s="138"/>
      <c r="D396" s="280"/>
      <c r="E396" s="280"/>
      <c r="F396" s="150"/>
      <c r="G396" s="150"/>
      <c r="H396" s="206"/>
      <c r="I396" s="259"/>
      <c r="J396" s="150"/>
      <c r="K396" s="150"/>
      <c r="L396" s="150"/>
      <c r="M396" s="150"/>
      <c r="N396" s="187"/>
      <c r="O396" s="187"/>
      <c r="P396" s="187"/>
      <c r="Q396" s="187"/>
      <c r="R396" s="187"/>
      <c r="S396" s="187"/>
      <c r="T396" s="187"/>
      <c r="U396" s="187"/>
      <c r="V396" s="187"/>
      <c r="W396" s="187"/>
      <c r="X396" s="187"/>
      <c r="Y396" s="187"/>
      <c r="Z396" s="187"/>
      <c r="AA396" s="187"/>
      <c r="AB396" s="187"/>
      <c r="AC396" s="187"/>
      <c r="AD396" s="187"/>
      <c r="AE396" s="187"/>
      <c r="AF396" s="187"/>
      <c r="AG396" s="187"/>
      <c r="AH396" s="35"/>
      <c r="AI396" s="35"/>
      <c r="AJ396" s="35"/>
      <c r="AK396" s="35"/>
      <c r="AL396" s="40"/>
      <c r="AM396" s="40"/>
      <c r="AN396" s="40"/>
      <c r="AO396" s="125"/>
      <c r="AP396" s="125"/>
      <c r="AQ396" s="126"/>
      <c r="AR396" s="126"/>
      <c r="AS396" s="126"/>
      <c r="AT396" s="126"/>
      <c r="AU396" s="126"/>
      <c r="AV396" s="126"/>
      <c r="AW396" s="126"/>
      <c r="AX396" s="126"/>
      <c r="AY396" s="126"/>
      <c r="AZ396" s="126"/>
      <c r="BA396" s="126"/>
      <c r="BB396" s="21"/>
      <c r="BC396" s="21"/>
      <c r="BD396" s="21"/>
      <c r="BE396" s="21"/>
    </row>
    <row r="397" customFormat="false" ht="14.1" hidden="true" customHeight="true" outlineLevel="1" collapsed="false">
      <c r="A397" s="138" t="s">
        <v>225</v>
      </c>
      <c r="B397" s="277"/>
      <c r="C397" s="272"/>
      <c r="D397" s="280"/>
      <c r="E397" s="280"/>
      <c r="F397" s="150"/>
      <c r="G397" s="150"/>
      <c r="H397" s="206"/>
      <c r="I397" s="259"/>
      <c r="J397" s="150"/>
      <c r="K397" s="150"/>
      <c r="L397" s="150"/>
      <c r="M397" s="150"/>
      <c r="N397" s="187"/>
      <c r="O397" s="187"/>
      <c r="P397" s="187"/>
      <c r="Q397" s="187"/>
      <c r="R397" s="187"/>
      <c r="S397" s="187"/>
      <c r="T397" s="187"/>
      <c r="U397" s="187"/>
      <c r="V397" s="187"/>
      <c r="W397" s="187"/>
      <c r="X397" s="187"/>
      <c r="Y397" s="187"/>
      <c r="Z397" s="187"/>
      <c r="AA397" s="187"/>
      <c r="AB397" s="187"/>
      <c r="AC397" s="187"/>
      <c r="AD397" s="187"/>
      <c r="AE397" s="187"/>
      <c r="AF397" s="187"/>
      <c r="AG397" s="187"/>
      <c r="AH397" s="35"/>
      <c r="AI397" s="35"/>
      <c r="AJ397" s="35"/>
      <c r="AK397" s="35"/>
      <c r="AL397" s="40"/>
      <c r="AM397" s="40"/>
      <c r="AN397" s="40"/>
      <c r="AO397" s="125"/>
      <c r="AP397" s="125"/>
      <c r="AQ397" s="126"/>
      <c r="AR397" s="126"/>
      <c r="AS397" s="126"/>
      <c r="AT397" s="126"/>
      <c r="AU397" s="126"/>
      <c r="AV397" s="126"/>
      <c r="AW397" s="126"/>
      <c r="AX397" s="126"/>
      <c r="AY397" s="126"/>
      <c r="AZ397" s="126"/>
      <c r="BA397" s="126"/>
      <c r="BB397" s="21"/>
      <c r="BC397" s="21"/>
      <c r="BD397" s="21"/>
      <c r="BE397" s="21"/>
    </row>
    <row r="398" customFormat="false" ht="14.1" hidden="true" customHeight="true" outlineLevel="1" collapsed="false">
      <c r="A398" s="149" t="s">
        <v>226</v>
      </c>
      <c r="B398" s="119" t="s">
        <v>109</v>
      </c>
      <c r="C398" s="130" t="n">
        <v>0</v>
      </c>
      <c r="D398" s="280"/>
      <c r="E398" s="280"/>
      <c r="F398" s="150"/>
      <c r="G398" s="150"/>
      <c r="H398" s="206"/>
      <c r="I398" s="259"/>
      <c r="J398" s="150"/>
      <c r="K398" s="150"/>
      <c r="L398" s="150"/>
      <c r="M398" s="150"/>
      <c r="N398" s="187"/>
      <c r="O398" s="187"/>
      <c r="P398" s="187"/>
      <c r="Q398" s="187"/>
      <c r="R398" s="187"/>
      <c r="S398" s="187"/>
      <c r="T398" s="187"/>
      <c r="U398" s="187"/>
      <c r="V398" s="187"/>
      <c r="W398" s="187"/>
      <c r="X398" s="187"/>
      <c r="Y398" s="187"/>
      <c r="Z398" s="187"/>
      <c r="AA398" s="187"/>
      <c r="AB398" s="187"/>
      <c r="AC398" s="187"/>
      <c r="AD398" s="187"/>
      <c r="AE398" s="187"/>
      <c r="AF398" s="187"/>
      <c r="AG398" s="187"/>
      <c r="AH398" s="35"/>
      <c r="AI398" s="35"/>
      <c r="AJ398" s="35"/>
      <c r="AK398" s="35"/>
      <c r="AL398" s="40"/>
      <c r="AM398" s="40"/>
      <c r="AN398" s="40"/>
      <c r="AO398" s="125"/>
      <c r="AP398" s="125"/>
      <c r="AQ398" s="126"/>
      <c r="AR398" s="126"/>
      <c r="AS398" s="126"/>
      <c r="AT398" s="126"/>
      <c r="AU398" s="126"/>
      <c r="AV398" s="126"/>
      <c r="AW398" s="126"/>
      <c r="AX398" s="126"/>
      <c r="AY398" s="126"/>
      <c r="AZ398" s="126"/>
      <c r="BA398" s="126"/>
      <c r="BB398" s="21"/>
      <c r="BC398" s="21"/>
      <c r="BD398" s="21"/>
      <c r="BE398" s="21"/>
    </row>
    <row r="399" customFormat="false" ht="14.1" hidden="true" customHeight="true" outlineLevel="1" collapsed="false">
      <c r="A399" s="139" t="s">
        <v>226</v>
      </c>
      <c r="B399" s="119" t="s">
        <v>109</v>
      </c>
      <c r="C399" s="151" t="n">
        <v>0</v>
      </c>
      <c r="D399" s="280"/>
      <c r="E399" s="280"/>
      <c r="F399" s="150"/>
      <c r="G399" s="150"/>
      <c r="H399" s="206"/>
      <c r="I399" s="259"/>
      <c r="J399" s="150"/>
      <c r="K399" s="150"/>
      <c r="L399" s="150"/>
      <c r="M399" s="150"/>
      <c r="N399" s="187"/>
      <c r="O399" s="187"/>
      <c r="P399" s="187"/>
      <c r="Q399" s="187"/>
      <c r="R399" s="187"/>
      <c r="S399" s="187"/>
      <c r="T399" s="187"/>
      <c r="U399" s="187"/>
      <c r="V399" s="187"/>
      <c r="W399" s="187"/>
      <c r="X399" s="187"/>
      <c r="Y399" s="187"/>
      <c r="Z399" s="187"/>
      <c r="AA399" s="187"/>
      <c r="AB399" s="187"/>
      <c r="AC399" s="187"/>
      <c r="AD399" s="187"/>
      <c r="AE399" s="187"/>
      <c r="AF399" s="187"/>
      <c r="AG399" s="187"/>
      <c r="AH399" s="35"/>
      <c r="AI399" s="35"/>
      <c r="AJ399" s="35"/>
      <c r="AK399" s="35"/>
      <c r="AL399" s="40"/>
      <c r="AM399" s="40"/>
      <c r="AN399" s="40"/>
      <c r="AO399" s="125"/>
      <c r="AP399" s="125"/>
      <c r="AQ399" s="126"/>
      <c r="AR399" s="126"/>
      <c r="AS399" s="126"/>
      <c r="AT399" s="126"/>
      <c r="AU399" s="126"/>
      <c r="AV399" s="126"/>
      <c r="AW399" s="126"/>
      <c r="AX399" s="126"/>
      <c r="AY399" s="126"/>
      <c r="AZ399" s="126"/>
      <c r="BA399" s="126"/>
      <c r="BB399" s="21"/>
      <c r="BC399" s="21"/>
      <c r="BD399" s="21"/>
      <c r="BE399" s="21"/>
    </row>
    <row r="400" customFormat="false" ht="14.1" hidden="true" customHeight="true" outlineLevel="1" collapsed="false">
      <c r="A400" s="138"/>
      <c r="B400" s="235"/>
      <c r="C400" s="138"/>
      <c r="D400" s="280"/>
      <c r="E400" s="280"/>
      <c r="F400" s="150"/>
      <c r="G400" s="150"/>
      <c r="H400" s="206"/>
      <c r="I400" s="259"/>
      <c r="J400" s="150"/>
      <c r="K400" s="150"/>
      <c r="L400" s="150"/>
      <c r="M400" s="150"/>
      <c r="N400" s="187"/>
      <c r="O400" s="187"/>
      <c r="P400" s="187"/>
      <c r="Q400" s="187"/>
      <c r="R400" s="187"/>
      <c r="S400" s="187"/>
      <c r="T400" s="187"/>
      <c r="U400" s="187"/>
      <c r="V400" s="187"/>
      <c r="W400" s="187"/>
      <c r="X400" s="187"/>
      <c r="Y400" s="187"/>
      <c r="Z400" s="187"/>
      <c r="AA400" s="187"/>
      <c r="AB400" s="187"/>
      <c r="AC400" s="187"/>
      <c r="AD400" s="187"/>
      <c r="AE400" s="187"/>
      <c r="AF400" s="187"/>
      <c r="AG400" s="187"/>
      <c r="AH400" s="35"/>
      <c r="AI400" s="35"/>
      <c r="AJ400" s="35"/>
      <c r="AK400" s="35"/>
      <c r="AL400" s="40"/>
      <c r="AM400" s="40"/>
      <c r="AN400" s="40"/>
      <c r="AO400" s="125"/>
      <c r="AP400" s="125"/>
      <c r="AQ400" s="126"/>
      <c r="AR400" s="126"/>
      <c r="AS400" s="126"/>
      <c r="AT400" s="126"/>
      <c r="AU400" s="126"/>
      <c r="AV400" s="126"/>
      <c r="AW400" s="126"/>
      <c r="AX400" s="126"/>
      <c r="AY400" s="126"/>
      <c r="AZ400" s="126"/>
      <c r="BA400" s="126"/>
      <c r="BB400" s="21"/>
      <c r="BC400" s="21"/>
      <c r="BD400" s="21"/>
      <c r="BE400" s="21"/>
    </row>
    <row r="401" customFormat="false" ht="14.1" hidden="true" customHeight="true" outlineLevel="1" collapsed="false">
      <c r="A401" s="152" t="s">
        <v>264</v>
      </c>
      <c r="B401" s="119" t="s">
        <v>113</v>
      </c>
      <c r="C401" s="252" t="n">
        <v>3000</v>
      </c>
      <c r="D401" s="280"/>
      <c r="E401" s="280"/>
      <c r="F401" s="150"/>
      <c r="G401" s="150"/>
      <c r="H401" s="206"/>
      <c r="I401" s="259"/>
      <c r="J401" s="150"/>
      <c r="K401" s="150"/>
      <c r="L401" s="150"/>
      <c r="M401" s="150"/>
      <c r="N401" s="187"/>
      <c r="O401" s="187"/>
      <c r="P401" s="187"/>
      <c r="Q401" s="187"/>
      <c r="R401" s="187"/>
      <c r="S401" s="187"/>
      <c r="T401" s="187"/>
      <c r="U401" s="187"/>
      <c r="V401" s="187"/>
      <c r="W401" s="187"/>
      <c r="X401" s="187"/>
      <c r="Y401" s="187"/>
      <c r="Z401" s="187"/>
      <c r="AA401" s="187"/>
      <c r="AB401" s="187"/>
      <c r="AC401" s="187"/>
      <c r="AD401" s="187"/>
      <c r="AE401" s="187"/>
      <c r="AF401" s="187"/>
      <c r="AG401" s="187"/>
      <c r="AH401" s="35"/>
      <c r="AI401" s="35"/>
      <c r="AJ401" s="35"/>
      <c r="AK401" s="35"/>
      <c r="AL401" s="40"/>
      <c r="AM401" s="40"/>
      <c r="AN401" s="40"/>
      <c r="AO401" s="125"/>
      <c r="AP401" s="125"/>
      <c r="AQ401" s="126"/>
      <c r="AR401" s="126"/>
      <c r="AS401" s="126"/>
      <c r="AT401" s="126"/>
      <c r="AU401" s="126"/>
      <c r="AV401" s="126"/>
      <c r="AW401" s="126"/>
      <c r="AX401" s="126"/>
      <c r="AY401" s="126"/>
      <c r="AZ401" s="126"/>
      <c r="BA401" s="126"/>
      <c r="BB401" s="21"/>
      <c r="BC401" s="21"/>
      <c r="BD401" s="21"/>
      <c r="BE401" s="21"/>
    </row>
    <row r="402" customFormat="false" ht="14.1" hidden="false" customHeight="true" outlineLevel="0" collapsed="false">
      <c r="A402" s="155" t="s">
        <v>265</v>
      </c>
      <c r="B402" s="155"/>
      <c r="C402" s="155"/>
      <c r="D402" s="155"/>
      <c r="E402" s="155"/>
      <c r="F402" s="26"/>
      <c r="G402" s="150"/>
      <c r="H402" s="206"/>
      <c r="I402" s="259"/>
      <c r="J402" s="150"/>
      <c r="K402" s="150"/>
      <c r="L402" s="150"/>
      <c r="M402" s="150"/>
      <c r="N402" s="187"/>
      <c r="O402" s="187"/>
      <c r="P402" s="187"/>
      <c r="Q402" s="187"/>
      <c r="R402" s="187"/>
      <c r="S402" s="187"/>
      <c r="T402" s="187"/>
      <c r="U402" s="187"/>
      <c r="V402" s="187"/>
      <c r="W402" s="187"/>
      <c r="X402" s="187"/>
      <c r="Y402" s="187"/>
      <c r="Z402" s="187"/>
      <c r="AA402" s="187"/>
      <c r="AB402" s="187"/>
      <c r="AC402" s="187"/>
      <c r="AD402" s="187"/>
      <c r="AE402" s="187"/>
      <c r="AF402" s="187"/>
      <c r="AG402" s="187"/>
      <c r="AH402" s="35"/>
      <c r="AI402" s="35"/>
      <c r="AJ402" s="35"/>
      <c r="AK402" s="35"/>
      <c r="AL402" s="40"/>
      <c r="AM402" s="40"/>
      <c r="AN402" s="40"/>
      <c r="AO402" s="125"/>
      <c r="AP402" s="125"/>
      <c r="AQ402" s="126"/>
      <c r="AR402" s="126"/>
      <c r="AS402" s="126"/>
      <c r="AT402" s="126"/>
      <c r="AU402" s="126"/>
      <c r="AV402" s="126"/>
      <c r="AW402" s="126"/>
      <c r="AX402" s="126"/>
      <c r="AY402" s="126"/>
      <c r="AZ402" s="126"/>
      <c r="BA402" s="126"/>
      <c r="BB402" s="21"/>
      <c r="BC402" s="21"/>
      <c r="BD402" s="21"/>
      <c r="BE402" s="21"/>
    </row>
    <row r="403" s="35" customFormat="true" ht="14.1" hidden="false" customHeight="true" outlineLevel="0" collapsed="false">
      <c r="A403" s="150"/>
      <c r="B403" s="200"/>
      <c r="C403" s="150"/>
      <c r="D403" s="150"/>
      <c r="E403" s="150"/>
      <c r="F403" s="150"/>
      <c r="G403" s="150"/>
      <c r="H403" s="206"/>
      <c r="I403" s="259"/>
      <c r="J403" s="150"/>
      <c r="K403" s="150"/>
      <c r="L403" s="150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  <c r="AA403" s="26"/>
      <c r="AB403" s="26"/>
      <c r="AC403" s="26"/>
      <c r="AD403" s="26"/>
      <c r="AE403" s="26"/>
      <c r="AF403" s="26"/>
      <c r="AG403" s="26"/>
      <c r="AL403" s="40"/>
      <c r="AM403" s="40"/>
      <c r="AN403" s="40"/>
      <c r="AO403" s="125"/>
      <c r="AP403" s="125"/>
      <c r="AQ403" s="126"/>
      <c r="AR403" s="126"/>
      <c r="AS403" s="126"/>
      <c r="AT403" s="126"/>
      <c r="AU403" s="126"/>
      <c r="AV403" s="126"/>
      <c r="AW403" s="126"/>
      <c r="AX403" s="126"/>
      <c r="AY403" s="126"/>
      <c r="AZ403" s="126"/>
      <c r="BA403" s="126"/>
      <c r="BB403" s="126"/>
      <c r="BC403" s="126"/>
      <c r="BD403" s="126"/>
      <c r="BE403" s="126"/>
      <c r="BF403" s="156"/>
    </row>
    <row r="404" customFormat="false" ht="14.1" hidden="true" customHeight="true" outlineLevel="1" collapsed="false">
      <c r="A404" s="211" t="s">
        <v>266</v>
      </c>
      <c r="B404" s="211"/>
      <c r="C404" s="211"/>
      <c r="D404" s="211"/>
      <c r="E404" s="211"/>
      <c r="F404" s="138"/>
      <c r="G404" s="26"/>
      <c r="H404" s="150"/>
      <c r="I404" s="158" t="s">
        <v>266</v>
      </c>
      <c r="J404" s="158"/>
      <c r="K404" s="158"/>
      <c r="L404" s="158"/>
      <c r="M404" s="158"/>
      <c r="N404" s="158"/>
      <c r="O404" s="158"/>
      <c r="P404" s="158"/>
      <c r="Q404" s="158"/>
      <c r="R404" s="158"/>
      <c r="S404" s="158"/>
      <c r="T404" s="158"/>
      <c r="U404" s="158"/>
      <c r="V404" s="158"/>
      <c r="W404" s="158"/>
      <c r="X404" s="158"/>
      <c r="Y404" s="158"/>
      <c r="Z404" s="158"/>
      <c r="AA404" s="158"/>
      <c r="AB404" s="158"/>
      <c r="AC404" s="158"/>
      <c r="AD404" s="26"/>
      <c r="AE404" s="26"/>
      <c r="AF404" s="26"/>
      <c r="AG404" s="26"/>
      <c r="AH404" s="35"/>
      <c r="AI404" s="35"/>
      <c r="AJ404" s="35"/>
      <c r="AK404" s="35"/>
      <c r="AL404" s="40"/>
      <c r="AM404" s="40"/>
      <c r="AN404" s="40"/>
      <c r="AO404" s="125"/>
      <c r="AP404" s="125"/>
      <c r="AQ404" s="126"/>
      <c r="AR404" s="126"/>
      <c r="AS404" s="126"/>
      <c r="AT404" s="126"/>
      <c r="AU404" s="126"/>
      <c r="AV404" s="126"/>
      <c r="AW404" s="126"/>
      <c r="AX404" s="126"/>
      <c r="AY404" s="126"/>
      <c r="AZ404" s="126"/>
      <c r="BA404" s="126"/>
      <c r="BB404" s="21"/>
      <c r="BC404" s="21"/>
      <c r="BD404" s="21"/>
      <c r="BE404" s="21"/>
    </row>
    <row r="405" customFormat="false" ht="14.1" hidden="true" customHeight="true" outlineLevel="1" collapsed="false">
      <c r="A405" s="280"/>
      <c r="B405" s="288"/>
      <c r="C405" s="263"/>
      <c r="D405" s="263"/>
      <c r="E405" s="263"/>
      <c r="F405" s="263"/>
      <c r="G405" s="150"/>
      <c r="H405" s="165"/>
      <c r="I405" s="158"/>
      <c r="J405" s="158"/>
      <c r="K405" s="158"/>
      <c r="L405" s="158"/>
      <c r="M405" s="158"/>
      <c r="N405" s="158"/>
      <c r="O405" s="158"/>
      <c r="P405" s="158"/>
      <c r="Q405" s="158"/>
      <c r="R405" s="158"/>
      <c r="S405" s="158"/>
      <c r="T405" s="158"/>
      <c r="U405" s="158"/>
      <c r="V405" s="158"/>
      <c r="W405" s="158"/>
      <c r="X405" s="158"/>
      <c r="Y405" s="158"/>
      <c r="Z405" s="158"/>
      <c r="AA405" s="158"/>
      <c r="AB405" s="158"/>
      <c r="AC405" s="158"/>
      <c r="AD405" s="150"/>
      <c r="AE405" s="150"/>
      <c r="AF405" s="150"/>
      <c r="AG405" s="150"/>
      <c r="AH405" s="40"/>
      <c r="AI405" s="40"/>
      <c r="AJ405" s="40"/>
      <c r="AK405" s="40"/>
      <c r="AL405" s="40"/>
      <c r="AM405" s="40"/>
      <c r="AN405" s="40"/>
      <c r="AO405" s="125"/>
      <c r="AP405" s="125"/>
      <c r="AQ405" s="126"/>
      <c r="AR405" s="126"/>
      <c r="AS405" s="126"/>
      <c r="AT405" s="126"/>
      <c r="AU405" s="126"/>
      <c r="AV405" s="126"/>
      <c r="AW405" s="126"/>
      <c r="AX405" s="126"/>
      <c r="AY405" s="126"/>
      <c r="AZ405" s="126"/>
      <c r="BA405" s="126"/>
      <c r="BB405" s="21"/>
      <c r="BC405" s="21"/>
      <c r="BD405" s="21"/>
      <c r="BE405" s="21"/>
    </row>
    <row r="406" customFormat="false" ht="14.1" hidden="true" customHeight="true" outlineLevel="1" collapsed="false">
      <c r="A406" s="261" t="s">
        <v>187</v>
      </c>
      <c r="B406" s="261"/>
      <c r="C406" s="261"/>
      <c r="D406" s="261"/>
      <c r="E406" s="262" t="n">
        <v>1</v>
      </c>
      <c r="F406" s="264"/>
      <c r="G406" s="13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  <c r="AA406" s="26"/>
      <c r="AB406" s="26"/>
      <c r="AC406" s="26"/>
      <c r="AD406" s="26"/>
      <c r="AE406" s="26"/>
      <c r="AF406" s="26"/>
      <c r="AG406" s="26"/>
      <c r="AH406" s="35"/>
      <c r="AI406" s="35"/>
      <c r="AJ406" s="35"/>
      <c r="AK406" s="35"/>
      <c r="AL406" s="35"/>
      <c r="AM406" s="35"/>
      <c r="AN406" s="35"/>
      <c r="AO406" s="125"/>
      <c r="AP406" s="125"/>
      <c r="AQ406" s="126"/>
      <c r="AR406" s="126"/>
      <c r="AS406" s="126"/>
      <c r="AT406" s="126"/>
      <c r="AU406" s="126"/>
      <c r="AV406" s="126"/>
      <c r="AW406" s="126"/>
      <c r="AX406" s="126"/>
      <c r="AY406" s="126"/>
      <c r="AZ406" s="126"/>
      <c r="BA406" s="126"/>
      <c r="BB406" s="21"/>
      <c r="BC406" s="21"/>
      <c r="BD406" s="21"/>
      <c r="BE406" s="21"/>
    </row>
    <row r="407" customFormat="false" ht="14.1" hidden="true" customHeight="true" outlineLevel="1" collapsed="false">
      <c r="A407" s="261" t="s">
        <v>188</v>
      </c>
      <c r="B407" s="261"/>
      <c r="C407" s="261"/>
      <c r="D407" s="261"/>
      <c r="E407" s="262" t="n">
        <v>1</v>
      </c>
      <c r="F407" s="264"/>
      <c r="G407" s="13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  <c r="AA407" s="26"/>
      <c r="AB407" s="26"/>
      <c r="AC407" s="26"/>
      <c r="AD407" s="26"/>
      <c r="AE407" s="26"/>
      <c r="AF407" s="26"/>
      <c r="AG407" s="26"/>
      <c r="AH407" s="35"/>
      <c r="AI407" s="35"/>
      <c r="AJ407" s="35"/>
      <c r="AK407" s="35"/>
      <c r="AL407" s="35"/>
      <c r="AM407" s="35"/>
      <c r="AN407" s="35"/>
      <c r="AO407" s="125"/>
      <c r="AP407" s="125"/>
      <c r="AQ407" s="126"/>
      <c r="AR407" s="126"/>
      <c r="AS407" s="126"/>
      <c r="AT407" s="126"/>
      <c r="AU407" s="126"/>
      <c r="AV407" s="126"/>
      <c r="AW407" s="126"/>
      <c r="AX407" s="126"/>
      <c r="AY407" s="126"/>
      <c r="AZ407" s="126"/>
      <c r="BA407" s="126"/>
      <c r="BB407" s="21"/>
      <c r="BC407" s="21"/>
      <c r="BD407" s="21"/>
      <c r="BE407" s="21"/>
    </row>
    <row r="408" customFormat="false" ht="14.1" hidden="true" customHeight="true" outlineLevel="1" collapsed="false">
      <c r="A408" s="138"/>
      <c r="B408" s="273"/>
      <c r="C408" s="258"/>
      <c r="D408" s="280"/>
      <c r="E408" s="280"/>
      <c r="F408" s="280"/>
      <c r="G408" s="289"/>
      <c r="H408" s="26"/>
      <c r="I408" s="26"/>
      <c r="J408" s="26"/>
      <c r="K408" s="290" t="s">
        <v>267</v>
      </c>
      <c r="L408" s="290"/>
      <c r="M408" s="290"/>
      <c r="N408" s="290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35"/>
      <c r="AI408" s="35"/>
      <c r="AJ408" s="35"/>
      <c r="AK408" s="35"/>
      <c r="AL408" s="35"/>
      <c r="AM408" s="35"/>
      <c r="AN408" s="35"/>
      <c r="AO408" s="125"/>
      <c r="AP408" s="125"/>
      <c r="AQ408" s="126"/>
      <c r="AR408" s="126"/>
      <c r="AS408" s="126"/>
      <c r="AT408" s="126"/>
      <c r="AU408" s="126"/>
      <c r="AV408" s="126"/>
      <c r="AW408" s="126"/>
      <c r="AX408" s="126"/>
      <c r="AY408" s="126"/>
      <c r="AZ408" s="126"/>
      <c r="BA408" s="126"/>
      <c r="BB408" s="21"/>
      <c r="BC408" s="21" t="n">
        <v>1</v>
      </c>
      <c r="BD408" s="21" t="n">
        <f aca="false">E430</f>
        <v>5.4</v>
      </c>
      <c r="BE408" s="21"/>
    </row>
    <row r="409" customFormat="false" ht="14.1" hidden="true" customHeight="true" outlineLevel="1" collapsed="false">
      <c r="A409" s="138" t="s">
        <v>67</v>
      </c>
      <c r="B409" s="235"/>
      <c r="C409" s="138"/>
      <c r="D409" s="138"/>
      <c r="E409" s="280"/>
      <c r="F409" s="280"/>
      <c r="G409" s="289"/>
      <c r="H409" s="26"/>
      <c r="I409" s="26"/>
      <c r="J409" s="26"/>
      <c r="K409" s="290"/>
      <c r="L409" s="290"/>
      <c r="M409" s="290"/>
      <c r="N409" s="290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  <c r="AA409" s="26"/>
      <c r="AB409" s="26"/>
      <c r="AC409" s="26"/>
      <c r="AD409" s="26"/>
      <c r="AE409" s="26"/>
      <c r="AF409" s="26"/>
      <c r="AG409" s="26"/>
      <c r="AH409" s="35"/>
      <c r="AI409" s="35"/>
      <c r="AJ409" s="35"/>
      <c r="AK409" s="35"/>
      <c r="AL409" s="35"/>
      <c r="AM409" s="35"/>
      <c r="AN409" s="35"/>
      <c r="AO409" s="125"/>
      <c r="AP409" s="125"/>
      <c r="AQ409" s="126"/>
      <c r="AR409" s="126"/>
      <c r="AS409" s="126"/>
      <c r="AT409" s="126"/>
      <c r="AU409" s="126"/>
      <c r="AV409" s="126"/>
      <c r="AW409" s="126"/>
      <c r="AX409" s="126"/>
      <c r="AY409" s="126"/>
      <c r="AZ409" s="126"/>
      <c r="BA409" s="126"/>
      <c r="BB409" s="21"/>
      <c r="BC409" s="21"/>
      <c r="BD409" s="21"/>
      <c r="BE409" s="21"/>
    </row>
    <row r="410" customFormat="false" ht="14.1" hidden="true" customHeight="true" outlineLevel="1" collapsed="false">
      <c r="A410" s="225" t="s">
        <v>55</v>
      </c>
      <c r="B410" s="235"/>
      <c r="C410" s="138"/>
      <c r="D410" s="138"/>
      <c r="E410" s="272"/>
      <c r="F410" s="272"/>
      <c r="G410" s="165"/>
      <c r="H410" s="165"/>
      <c r="I410" s="165"/>
      <c r="J410" s="165"/>
      <c r="K410" s="290"/>
      <c r="L410" s="290"/>
      <c r="M410" s="290"/>
      <c r="N410" s="290"/>
      <c r="O410" s="182"/>
      <c r="P410" s="182"/>
      <c r="Q410" s="165"/>
      <c r="R410" s="165"/>
      <c r="S410" s="165"/>
      <c r="T410" s="165"/>
      <c r="U410" s="165"/>
      <c r="V410" s="165"/>
      <c r="W410" s="165"/>
      <c r="X410" s="165"/>
      <c r="Y410" s="165"/>
      <c r="Z410" s="165"/>
      <c r="AA410" s="165"/>
      <c r="AB410" s="165"/>
      <c r="AC410" s="165"/>
      <c r="AD410" s="165"/>
      <c r="AE410" s="291"/>
      <c r="AF410" s="291"/>
      <c r="AG410" s="291"/>
      <c r="AH410" s="52"/>
      <c r="AI410" s="52"/>
      <c r="AJ410" s="52"/>
      <c r="AK410" s="52"/>
      <c r="AL410" s="52"/>
      <c r="AM410" s="35"/>
      <c r="AN410" s="35"/>
      <c r="AO410" s="125"/>
      <c r="AP410" s="125"/>
      <c r="AQ410" s="126"/>
      <c r="AR410" s="126"/>
      <c r="AS410" s="126"/>
      <c r="AT410" s="126"/>
      <c r="AU410" s="126"/>
      <c r="AV410" s="126"/>
      <c r="AW410" s="126"/>
      <c r="AX410" s="126"/>
      <c r="AY410" s="126"/>
      <c r="AZ410" s="126"/>
      <c r="BA410" s="126"/>
      <c r="BB410" s="21"/>
      <c r="BC410" s="21" t="n">
        <v>2</v>
      </c>
      <c r="BD410" s="21" t="n">
        <f aca="false">E420</f>
        <v>6.4</v>
      </c>
      <c r="BE410" s="21"/>
    </row>
    <row r="411" customFormat="false" ht="14.1" hidden="true" customHeight="true" outlineLevel="1" collapsed="false">
      <c r="A411" s="227" t="s">
        <v>192</v>
      </c>
      <c r="B411" s="235"/>
      <c r="C411" s="138"/>
      <c r="D411" s="138"/>
      <c r="E411" s="268" t="s">
        <v>15</v>
      </c>
      <c r="F411" s="270"/>
      <c r="G411" s="165"/>
      <c r="H411" s="165"/>
      <c r="I411" s="26"/>
      <c r="J411" s="226"/>
      <c r="K411" s="290"/>
      <c r="L411" s="290"/>
      <c r="M411" s="290"/>
      <c r="N411" s="290"/>
      <c r="O411" s="182"/>
      <c r="P411" s="165"/>
      <c r="Q411" s="165"/>
      <c r="R411" s="165" t="s">
        <v>230</v>
      </c>
      <c r="S411" s="165"/>
      <c r="T411" s="165"/>
      <c r="U411" s="165"/>
      <c r="V411" s="165"/>
      <c r="W411" s="165"/>
      <c r="X411" s="165"/>
      <c r="Y411" s="26"/>
      <c r="Z411" s="165"/>
      <c r="AA411" s="165"/>
      <c r="AB411" s="165"/>
      <c r="AC411" s="165"/>
      <c r="AD411" s="165"/>
      <c r="AE411" s="165"/>
      <c r="AF411" s="165"/>
      <c r="AG411" s="165"/>
      <c r="AH411" s="52"/>
      <c r="AI411" s="52"/>
      <c r="AJ411" s="52"/>
      <c r="AK411" s="52"/>
      <c r="AL411" s="52"/>
      <c r="AM411" s="35"/>
      <c r="AN411" s="35"/>
      <c r="AO411" s="125"/>
      <c r="AP411" s="125"/>
      <c r="AQ411" s="126"/>
      <c r="AR411" s="126"/>
      <c r="AS411" s="126"/>
      <c r="AT411" s="126"/>
      <c r="AU411" s="126"/>
      <c r="AV411" s="126"/>
      <c r="AW411" s="126"/>
      <c r="AX411" s="126"/>
      <c r="AY411" s="126"/>
      <c r="AZ411" s="126"/>
      <c r="BA411" s="126"/>
      <c r="BB411" s="21"/>
      <c r="BC411" s="21" t="n">
        <v>3</v>
      </c>
      <c r="BD411" s="21" t="n">
        <f aca="false">E416</f>
        <v>6.6</v>
      </c>
      <c r="BE411" s="21"/>
    </row>
    <row r="412" customFormat="false" ht="14.1" hidden="true" customHeight="true" outlineLevel="1" collapsed="false">
      <c r="A412" s="231" t="s">
        <v>268</v>
      </c>
      <c r="B412" s="235"/>
      <c r="C412" s="138"/>
      <c r="D412" s="138"/>
      <c r="E412" s="272" t="n">
        <v>7.6</v>
      </c>
      <c r="F412" s="272"/>
      <c r="G412" s="165"/>
      <c r="H412" s="165"/>
      <c r="I412" s="26"/>
      <c r="J412" s="165"/>
      <c r="K412" s="165"/>
      <c r="L412" s="182"/>
      <c r="M412" s="182"/>
      <c r="N412" s="182"/>
      <c r="O412" s="165"/>
      <c r="P412" s="165"/>
      <c r="Q412" s="165"/>
      <c r="R412" s="165"/>
      <c r="S412" s="165"/>
      <c r="T412" s="165"/>
      <c r="U412" s="165"/>
      <c r="V412" s="165"/>
      <c r="W412" s="165"/>
      <c r="X412" s="165"/>
      <c r="Y412" s="26"/>
      <c r="Z412" s="165"/>
      <c r="AA412" s="165"/>
      <c r="AB412" s="165"/>
      <c r="AC412" s="165"/>
      <c r="AD412" s="165"/>
      <c r="AE412" s="132"/>
      <c r="AF412" s="132"/>
      <c r="AG412" s="132"/>
      <c r="AH412" s="52"/>
      <c r="AI412" s="52"/>
      <c r="AJ412" s="52"/>
      <c r="AK412" s="52"/>
      <c r="AL412" s="52"/>
      <c r="AM412" s="35"/>
      <c r="AN412" s="35"/>
      <c r="AO412" s="125"/>
      <c r="AP412" s="125"/>
      <c r="AQ412" s="126"/>
      <c r="AR412" s="126"/>
      <c r="AS412" s="126"/>
      <c r="AT412" s="126"/>
      <c r="AU412" s="126"/>
      <c r="AV412" s="126"/>
      <c r="AW412" s="126"/>
      <c r="AX412" s="126"/>
      <c r="AY412" s="126"/>
      <c r="AZ412" s="126"/>
      <c r="BA412" s="126"/>
      <c r="BB412" s="21"/>
      <c r="BC412" s="21" t="n">
        <v>4</v>
      </c>
      <c r="BD412" s="21"/>
      <c r="BE412" s="21"/>
    </row>
    <row r="413" customFormat="false" ht="14.1" hidden="true" customHeight="true" outlineLevel="1" collapsed="false">
      <c r="A413" s="138"/>
      <c r="B413" s="235"/>
      <c r="C413" s="138"/>
      <c r="D413" s="138"/>
      <c r="E413" s="272"/>
      <c r="F413" s="272"/>
      <c r="G413" s="165"/>
      <c r="H413" s="165"/>
      <c r="I413" s="165"/>
      <c r="J413" s="165"/>
      <c r="K413" s="165"/>
      <c r="L413" s="165"/>
      <c r="M413" s="165"/>
      <c r="N413" s="165"/>
      <c r="O413" s="165"/>
      <c r="P413" s="165"/>
      <c r="Q413" s="165"/>
      <c r="R413" s="165"/>
      <c r="S413" s="165"/>
      <c r="T413" s="165"/>
      <c r="U413" s="165"/>
      <c r="V413" s="165"/>
      <c r="W413" s="165"/>
      <c r="X413" s="165"/>
      <c r="Y413" s="26"/>
      <c r="Z413" s="165"/>
      <c r="AA413" s="165"/>
      <c r="AB413" s="165"/>
      <c r="AC413" s="165"/>
      <c r="AD413" s="165"/>
      <c r="AE413" s="132"/>
      <c r="AF413" s="132"/>
      <c r="AG413" s="132"/>
      <c r="AH413" s="52"/>
      <c r="AI413" s="52"/>
      <c r="AJ413" s="52"/>
      <c r="AK413" s="52"/>
      <c r="AL413" s="52"/>
      <c r="AM413" s="35"/>
      <c r="AN413" s="35"/>
      <c r="AO413" s="125"/>
      <c r="AP413" s="125"/>
      <c r="AQ413" s="126"/>
      <c r="AR413" s="126"/>
      <c r="AS413" s="126"/>
      <c r="AT413" s="126"/>
      <c r="AU413" s="126"/>
      <c r="AV413" s="126"/>
      <c r="AW413" s="126"/>
      <c r="AX413" s="126"/>
      <c r="AY413" s="126"/>
      <c r="AZ413" s="126"/>
      <c r="BA413" s="126"/>
      <c r="BB413" s="21"/>
      <c r="BC413" s="21" t="n">
        <v>5</v>
      </c>
      <c r="BD413" s="21" t="n">
        <f aca="false">E412</f>
        <v>7.6</v>
      </c>
      <c r="BE413" s="21"/>
    </row>
    <row r="414" customFormat="false" ht="14.1" hidden="true" customHeight="true" outlineLevel="1" collapsed="false">
      <c r="A414" s="292" t="s">
        <v>269</v>
      </c>
      <c r="B414" s="180" t="s">
        <v>270</v>
      </c>
      <c r="C414" s="129" t="s">
        <v>267</v>
      </c>
      <c r="D414" s="129" t="s">
        <v>271</v>
      </c>
      <c r="E414" s="272"/>
      <c r="F414" s="272"/>
      <c r="G414" s="165"/>
      <c r="H414" s="165"/>
      <c r="I414" s="165"/>
      <c r="J414" s="165"/>
      <c r="K414" s="165"/>
      <c r="L414" s="165"/>
      <c r="M414" s="165"/>
      <c r="N414" s="165"/>
      <c r="O414" s="165"/>
      <c r="P414" s="165"/>
      <c r="Q414" s="165"/>
      <c r="R414" s="165"/>
      <c r="S414" s="165"/>
      <c r="T414" s="165"/>
      <c r="U414" s="165"/>
      <c r="V414" s="165"/>
      <c r="W414" s="165"/>
      <c r="X414" s="165"/>
      <c r="Y414" s="26"/>
      <c r="Z414" s="165"/>
      <c r="AA414" s="165"/>
      <c r="AB414" s="165"/>
      <c r="AC414" s="165"/>
      <c r="AD414" s="165"/>
      <c r="AE414" s="132"/>
      <c r="AF414" s="132"/>
      <c r="AG414" s="132"/>
      <c r="AH414" s="52"/>
      <c r="AI414" s="52"/>
      <c r="AJ414" s="52"/>
      <c r="AK414" s="52"/>
      <c r="AL414" s="52"/>
      <c r="AM414" s="35"/>
      <c r="AN414" s="35"/>
      <c r="AO414" s="125"/>
      <c r="AP414" s="125"/>
      <c r="AQ414" s="126"/>
      <c r="AR414" s="126"/>
      <c r="AS414" s="126"/>
      <c r="AT414" s="126"/>
      <c r="AU414" s="126"/>
      <c r="AV414" s="126"/>
      <c r="AW414" s="126"/>
      <c r="AX414" s="126"/>
      <c r="AY414" s="126"/>
      <c r="AZ414" s="126"/>
      <c r="BA414" s="126"/>
      <c r="BB414" s="21"/>
      <c r="BC414" s="21" t="n">
        <v>1</v>
      </c>
      <c r="BD414" s="21" t="n">
        <f aca="false">R434</f>
        <v>6.6</v>
      </c>
      <c r="BE414" s="21"/>
    </row>
    <row r="415" customFormat="false" ht="14.1" hidden="true" customHeight="true" outlineLevel="1" collapsed="false">
      <c r="A415" s="293"/>
      <c r="B415" s="141"/>
      <c r="C415" s="294" t="s">
        <v>44</v>
      </c>
      <c r="D415" s="294" t="s">
        <v>56</v>
      </c>
      <c r="E415" s="268" t="s">
        <v>15</v>
      </c>
      <c r="F415" s="268"/>
      <c r="G415" s="26"/>
      <c r="H415" s="165"/>
      <c r="I415" s="165"/>
      <c r="J415" s="165"/>
      <c r="K415" s="165"/>
      <c r="L415" s="165"/>
      <c r="M415" s="165"/>
      <c r="N415" s="165"/>
      <c r="O415" s="165"/>
      <c r="P415" s="165"/>
      <c r="Q415" s="165"/>
      <c r="R415" s="165"/>
      <c r="S415" s="165"/>
      <c r="T415" s="165"/>
      <c r="U415" s="165"/>
      <c r="V415" s="165"/>
      <c r="W415" s="165"/>
      <c r="X415" s="165"/>
      <c r="Y415" s="26"/>
      <c r="Z415" s="165"/>
      <c r="AA415" s="290" t="s">
        <v>271</v>
      </c>
      <c r="AB415" s="290"/>
      <c r="AC415" s="290"/>
      <c r="AD415" s="290"/>
      <c r="AE415" s="165"/>
      <c r="AF415" s="165"/>
      <c r="AG415" s="165"/>
      <c r="AH415" s="52"/>
      <c r="AI415" s="52"/>
      <c r="AJ415" s="52"/>
      <c r="AK415" s="52"/>
      <c r="AL415" s="52"/>
      <c r="AM415" s="35"/>
      <c r="AN415" s="35"/>
      <c r="AO415" s="125"/>
      <c r="AP415" s="125"/>
      <c r="AQ415" s="126"/>
      <c r="AR415" s="126"/>
      <c r="AS415" s="126"/>
      <c r="AT415" s="126"/>
      <c r="AU415" s="126"/>
      <c r="AV415" s="126"/>
      <c r="AW415" s="126"/>
      <c r="AX415" s="126"/>
      <c r="AY415" s="126"/>
      <c r="AZ415" s="126"/>
      <c r="BA415" s="126"/>
      <c r="BB415" s="21"/>
      <c r="BC415" s="21" t="n">
        <v>2</v>
      </c>
      <c r="BD415" s="21"/>
      <c r="BE415" s="21"/>
    </row>
    <row r="416" customFormat="false" ht="14.1" hidden="true" customHeight="true" outlineLevel="1" collapsed="false">
      <c r="A416" s="295" t="s">
        <v>272</v>
      </c>
      <c r="B416" s="141" t="s">
        <v>48</v>
      </c>
      <c r="C416" s="215" t="n">
        <v>2</v>
      </c>
      <c r="D416" s="215" t="n">
        <v>1</v>
      </c>
      <c r="E416" s="272" t="n">
        <v>6.6</v>
      </c>
      <c r="F416" s="272"/>
      <c r="G416" s="26"/>
      <c r="H416" s="165"/>
      <c r="I416" s="165"/>
      <c r="J416" s="165"/>
      <c r="K416" s="165"/>
      <c r="L416" s="165"/>
      <c r="M416" s="165"/>
      <c r="N416" s="165"/>
      <c r="O416" s="165"/>
      <c r="P416" s="165"/>
      <c r="Q416" s="165"/>
      <c r="R416" s="165"/>
      <c r="S416" s="165"/>
      <c r="T416" s="165"/>
      <c r="U416" s="165"/>
      <c r="V416" s="165"/>
      <c r="W416" s="165"/>
      <c r="X416" s="165"/>
      <c r="Y416" s="26"/>
      <c r="Z416" s="165"/>
      <c r="AA416" s="290"/>
      <c r="AB416" s="290"/>
      <c r="AC416" s="290"/>
      <c r="AD416" s="290"/>
      <c r="AE416" s="165"/>
      <c r="AF416" s="165"/>
      <c r="AG416" s="165"/>
      <c r="AH416" s="52"/>
      <c r="AI416" s="52"/>
      <c r="AJ416" s="52"/>
      <c r="AK416" s="52"/>
      <c r="AL416" s="52"/>
      <c r="AM416" s="35"/>
      <c r="AN416" s="35"/>
      <c r="AO416" s="125"/>
      <c r="AP416" s="125"/>
      <c r="AQ416" s="126"/>
      <c r="AR416" s="126"/>
      <c r="AS416" s="126"/>
      <c r="AT416" s="126"/>
      <c r="AU416" s="126"/>
      <c r="AV416" s="126"/>
      <c r="AW416" s="126"/>
      <c r="AX416" s="126"/>
      <c r="AY416" s="126"/>
      <c r="AZ416" s="126"/>
      <c r="BA416" s="126"/>
      <c r="BB416" s="21"/>
      <c r="BC416" s="21" t="n">
        <v>3</v>
      </c>
      <c r="BD416" s="21" t="n">
        <f aca="false">W425</f>
        <v>7.6</v>
      </c>
      <c r="BE416" s="21"/>
    </row>
    <row r="417" customFormat="false" ht="14.1" hidden="true" customHeight="true" outlineLevel="1" collapsed="false">
      <c r="A417" s="163" t="s">
        <v>273</v>
      </c>
      <c r="B417" s="119" t="s">
        <v>15</v>
      </c>
      <c r="C417" s="296" t="n">
        <v>0.4</v>
      </c>
      <c r="D417" s="215"/>
      <c r="E417" s="272"/>
      <c r="F417" s="272"/>
      <c r="G417" s="165"/>
      <c r="H417" s="165"/>
      <c r="I417" s="165"/>
      <c r="J417" s="165" t="s">
        <v>274</v>
      </c>
      <c r="K417" s="165"/>
      <c r="L417" s="165"/>
      <c r="M417" s="165"/>
      <c r="N417" s="165"/>
      <c r="O417" s="165"/>
      <c r="P417" s="165"/>
      <c r="Q417" s="165"/>
      <c r="R417" s="165"/>
      <c r="S417" s="165"/>
      <c r="T417" s="165"/>
      <c r="U417" s="165"/>
      <c r="V417" s="165"/>
      <c r="W417" s="165"/>
      <c r="X417" s="186" t="s">
        <v>275</v>
      </c>
      <c r="Y417" s="26"/>
      <c r="Z417" s="165"/>
      <c r="AA417" s="290"/>
      <c r="AB417" s="290"/>
      <c r="AC417" s="290"/>
      <c r="AD417" s="290"/>
      <c r="AE417" s="165"/>
      <c r="AF417" s="165"/>
      <c r="AG417" s="165"/>
      <c r="AH417" s="52"/>
      <c r="AI417" s="52"/>
      <c r="AJ417" s="52"/>
      <c r="AK417" s="52"/>
      <c r="AL417" s="52"/>
      <c r="AM417" s="35"/>
      <c r="AN417" s="35"/>
      <c r="AO417" s="125"/>
      <c r="AP417" s="125"/>
      <c r="AQ417" s="126"/>
      <c r="AR417" s="126"/>
      <c r="AS417" s="126"/>
      <c r="AT417" s="126"/>
      <c r="AU417" s="126"/>
      <c r="AV417" s="126"/>
      <c r="AW417" s="126"/>
      <c r="AX417" s="126"/>
      <c r="AY417" s="126"/>
      <c r="AZ417" s="126"/>
      <c r="BA417" s="126"/>
      <c r="BB417" s="21"/>
      <c r="BC417" s="21" t="n">
        <v>1</v>
      </c>
      <c r="BD417" s="21" t="n">
        <f aca="false">E426</f>
        <v>60</v>
      </c>
      <c r="BE417" s="21"/>
    </row>
    <row r="418" customFormat="false" ht="14.1" hidden="true" customHeight="true" outlineLevel="1" collapsed="false">
      <c r="A418" s="163" t="s">
        <v>276</v>
      </c>
      <c r="B418" s="119" t="s">
        <v>15</v>
      </c>
      <c r="C418" s="296" t="n">
        <v>0.4</v>
      </c>
      <c r="D418" s="215" t="n">
        <v>0.4</v>
      </c>
      <c r="E418" s="272"/>
      <c r="F418" s="272"/>
      <c r="G418" s="165"/>
      <c r="H418" s="165"/>
      <c r="I418" s="165"/>
      <c r="J418" s="165"/>
      <c r="K418" s="165"/>
      <c r="L418" s="165"/>
      <c r="M418" s="165"/>
      <c r="N418" s="165"/>
      <c r="O418" s="165"/>
      <c r="P418" s="165"/>
      <c r="Q418" s="165"/>
      <c r="R418" s="165"/>
      <c r="S418" s="165"/>
      <c r="T418" s="165"/>
      <c r="U418" s="165"/>
      <c r="V418" s="165"/>
      <c r="W418" s="165"/>
      <c r="X418" s="186"/>
      <c r="Y418" s="26"/>
      <c r="Z418" s="165"/>
      <c r="AA418" s="290"/>
      <c r="AB418" s="290"/>
      <c r="AC418" s="290"/>
      <c r="AD418" s="290"/>
      <c r="AE418" s="165"/>
      <c r="AF418" s="165"/>
      <c r="AG418" s="165"/>
      <c r="AH418" s="52"/>
      <c r="AI418" s="52"/>
      <c r="AJ418" s="52"/>
      <c r="AK418" s="52"/>
      <c r="AL418" s="52"/>
      <c r="AM418" s="35"/>
      <c r="AN418" s="35"/>
      <c r="AO418" s="125"/>
      <c r="AP418" s="125"/>
      <c r="AQ418" s="126"/>
      <c r="AR418" s="126"/>
      <c r="AS418" s="126"/>
      <c r="AT418" s="126"/>
      <c r="AU418" s="126"/>
      <c r="AV418" s="126"/>
      <c r="AW418" s="126"/>
      <c r="AX418" s="126"/>
      <c r="AY418" s="126"/>
      <c r="AZ418" s="126"/>
      <c r="BA418" s="126"/>
      <c r="BB418" s="21"/>
      <c r="BC418" s="21" t="n">
        <v>1</v>
      </c>
      <c r="BD418" s="21" t="n">
        <f aca="false">R437</f>
        <v>60</v>
      </c>
      <c r="BE418" s="21"/>
    </row>
    <row r="419" customFormat="false" ht="14.1" hidden="true" customHeight="true" outlineLevel="1" collapsed="false">
      <c r="A419" s="239" t="s">
        <v>277</v>
      </c>
      <c r="B419" s="180" t="s">
        <v>15</v>
      </c>
      <c r="C419" s="297" t="n">
        <f aca="false">D177</f>
        <v>2</v>
      </c>
      <c r="D419" s="215" t="n">
        <v>2</v>
      </c>
      <c r="E419" s="268" t="s">
        <v>15</v>
      </c>
      <c r="F419" s="270"/>
      <c r="G419" s="226"/>
      <c r="H419" s="165"/>
      <c r="I419" s="165"/>
      <c r="J419" s="165"/>
      <c r="K419" s="165"/>
      <c r="L419" s="165"/>
      <c r="M419" s="165"/>
      <c r="N419" s="165"/>
      <c r="O419" s="165"/>
      <c r="P419" s="165"/>
      <c r="Q419" s="165"/>
      <c r="R419" s="165"/>
      <c r="S419" s="165"/>
      <c r="T419" s="165"/>
      <c r="U419" s="165"/>
      <c r="V419" s="165"/>
      <c r="W419" s="165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35"/>
      <c r="AI419" s="35"/>
      <c r="AJ419" s="35"/>
      <c r="AK419" s="35"/>
      <c r="AL419" s="35"/>
      <c r="AM419" s="35"/>
      <c r="AN419" s="35"/>
      <c r="AO419" s="125"/>
      <c r="AP419" s="125"/>
      <c r="AQ419" s="126"/>
      <c r="AR419" s="126"/>
      <c r="AS419" s="126"/>
      <c r="AT419" s="126"/>
      <c r="AU419" s="126"/>
      <c r="AV419" s="126"/>
      <c r="AW419" s="126"/>
      <c r="AX419" s="126"/>
      <c r="AY419" s="126"/>
      <c r="AZ419" s="126"/>
      <c r="BA419" s="126"/>
      <c r="BB419" s="21"/>
      <c r="BC419" s="21"/>
      <c r="BD419" s="21"/>
      <c r="BE419" s="21"/>
    </row>
    <row r="420" customFormat="false" ht="14.1" hidden="true" customHeight="true" outlineLevel="1" collapsed="false">
      <c r="A420" s="239" t="s">
        <v>278</v>
      </c>
      <c r="B420" s="180" t="s">
        <v>15</v>
      </c>
      <c r="C420" s="215" t="n">
        <v>1</v>
      </c>
      <c r="D420" s="215"/>
      <c r="E420" s="264" t="n">
        <v>6.4</v>
      </c>
      <c r="F420" s="276"/>
      <c r="G420" s="165"/>
      <c r="H420" s="165"/>
      <c r="I420" s="165"/>
      <c r="J420" s="165"/>
      <c r="K420" s="165"/>
      <c r="L420" s="165"/>
      <c r="M420" s="203" t="s">
        <v>261</v>
      </c>
      <c r="N420" s="165"/>
      <c r="O420" s="165"/>
      <c r="P420" s="165"/>
      <c r="Q420" s="165"/>
      <c r="R420" s="165"/>
      <c r="S420" s="165"/>
      <c r="T420" s="165"/>
      <c r="U420" s="165"/>
      <c r="V420" s="165"/>
      <c r="W420" s="165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35"/>
      <c r="AI420" s="35"/>
      <c r="AJ420" s="35"/>
      <c r="AK420" s="35"/>
      <c r="AL420" s="35"/>
      <c r="AM420" s="35"/>
      <c r="AN420" s="35"/>
      <c r="AO420" s="125"/>
      <c r="AP420" s="125"/>
      <c r="AQ420" s="126"/>
      <c r="AR420" s="126"/>
      <c r="AS420" s="126"/>
      <c r="AT420" s="126"/>
      <c r="AU420" s="126"/>
      <c r="AV420" s="126"/>
      <c r="AW420" s="126"/>
      <c r="AX420" s="126"/>
      <c r="AY420" s="126"/>
      <c r="AZ420" s="126"/>
      <c r="BA420" s="126"/>
      <c r="BB420" s="21"/>
      <c r="BC420" s="21"/>
      <c r="BD420" s="21"/>
      <c r="BE420" s="21"/>
    </row>
    <row r="421" customFormat="false" ht="14.1" hidden="true" customHeight="true" outlineLevel="1" collapsed="false">
      <c r="A421" s="239" t="s">
        <v>279</v>
      </c>
      <c r="B421" s="180" t="s">
        <v>15</v>
      </c>
      <c r="C421" s="297" t="n">
        <v>1</v>
      </c>
      <c r="D421" s="215" t="n">
        <v>0</v>
      </c>
      <c r="E421" s="272"/>
      <c r="F421" s="272"/>
      <c r="G421" s="165"/>
      <c r="H421" s="165"/>
      <c r="I421" s="165"/>
      <c r="J421" s="165"/>
      <c r="K421" s="165"/>
      <c r="L421" s="165"/>
      <c r="M421" s="165"/>
      <c r="N421" s="165"/>
      <c r="O421" s="165"/>
      <c r="P421" s="165"/>
      <c r="Q421" s="165"/>
      <c r="R421" s="165"/>
      <c r="S421" s="165"/>
      <c r="T421" s="165"/>
      <c r="U421" s="165"/>
      <c r="V421" s="165"/>
      <c r="W421" s="165"/>
      <c r="X421" s="165"/>
      <c r="Y421" s="26"/>
      <c r="Z421" s="26"/>
      <c r="AA421" s="26"/>
      <c r="AB421" s="26"/>
      <c r="AC421" s="26"/>
      <c r="AD421" s="26"/>
      <c r="AE421" s="26"/>
      <c r="AF421" s="26"/>
      <c r="AG421" s="26"/>
      <c r="AH421" s="35"/>
      <c r="AI421" s="35"/>
      <c r="AJ421" s="35"/>
      <c r="AK421" s="35"/>
      <c r="AL421" s="35"/>
      <c r="AM421" s="35"/>
      <c r="AN421" s="35"/>
      <c r="AO421" s="125"/>
      <c r="AP421" s="125"/>
      <c r="AQ421" s="126"/>
      <c r="AR421" s="126"/>
      <c r="AS421" s="126"/>
      <c r="AT421" s="126"/>
      <c r="AU421" s="126"/>
      <c r="AV421" s="126"/>
      <c r="AW421" s="126"/>
      <c r="AX421" s="126"/>
      <c r="AY421" s="126"/>
      <c r="AZ421" s="126"/>
      <c r="BA421" s="126"/>
      <c r="BB421" s="21"/>
      <c r="BC421" s="21"/>
      <c r="BD421" s="21"/>
      <c r="BE421" s="21"/>
    </row>
    <row r="422" customFormat="false" ht="14.1" hidden="true" customHeight="true" outlineLevel="1" collapsed="false">
      <c r="A422" s="239" t="s">
        <v>280</v>
      </c>
      <c r="B422" s="180" t="s">
        <v>15</v>
      </c>
      <c r="C422" s="297" t="n">
        <v>2</v>
      </c>
      <c r="D422" s="215" t="n">
        <v>2.5</v>
      </c>
      <c r="E422" s="272"/>
      <c r="F422" s="272"/>
      <c r="G422" s="165"/>
      <c r="H422" s="165"/>
      <c r="I422" s="165"/>
      <c r="J422" s="165"/>
      <c r="K422" s="165"/>
      <c r="L422" s="165"/>
      <c r="M422" s="165"/>
      <c r="N422" s="165"/>
      <c r="O422" s="186"/>
      <c r="P422" s="165"/>
      <c r="Q422" s="165"/>
      <c r="R422" s="165"/>
      <c r="S422" s="165" t="s">
        <v>281</v>
      </c>
      <c r="T422" s="165"/>
      <c r="U422" s="165"/>
      <c r="V422" s="165"/>
      <c r="W422" s="165"/>
      <c r="X422" s="165"/>
      <c r="Y422" s="26"/>
      <c r="Z422" s="26"/>
      <c r="AA422" s="26"/>
      <c r="AB422" s="26"/>
      <c r="AC422" s="26"/>
      <c r="AD422" s="26"/>
      <c r="AE422" s="26"/>
      <c r="AF422" s="26"/>
      <c r="AG422" s="26"/>
      <c r="AH422" s="35"/>
      <c r="AI422" s="35"/>
      <c r="AJ422" s="35"/>
      <c r="AK422" s="35"/>
      <c r="AL422" s="35"/>
      <c r="AM422" s="35"/>
      <c r="AN422" s="35"/>
      <c r="AO422" s="125"/>
      <c r="AP422" s="125"/>
      <c r="AQ422" s="126"/>
      <c r="AR422" s="126"/>
      <c r="AS422" s="126"/>
      <c r="AT422" s="126"/>
      <c r="AU422" s="126"/>
      <c r="AV422" s="126"/>
      <c r="AW422" s="126"/>
      <c r="AX422" s="126"/>
      <c r="AY422" s="126"/>
      <c r="AZ422" s="126"/>
      <c r="BA422" s="126"/>
      <c r="BB422" s="21"/>
      <c r="BC422" s="21"/>
      <c r="BD422" s="21"/>
      <c r="BE422" s="21"/>
    </row>
    <row r="423" customFormat="false" ht="14.1" hidden="true" customHeight="true" outlineLevel="1" collapsed="false">
      <c r="A423" s="163" t="s">
        <v>282</v>
      </c>
      <c r="B423" s="119" t="s">
        <v>15</v>
      </c>
      <c r="C423" s="296" t="n">
        <v>2</v>
      </c>
      <c r="D423" s="215" t="n">
        <v>3</v>
      </c>
      <c r="E423" s="272"/>
      <c r="F423" s="272"/>
      <c r="G423" s="165"/>
      <c r="H423" s="165"/>
      <c r="I423" s="165"/>
      <c r="J423" s="165"/>
      <c r="K423" s="165"/>
      <c r="L423" s="165"/>
      <c r="M423" s="165"/>
      <c r="N423" s="165"/>
      <c r="O423" s="165"/>
      <c r="P423" s="165"/>
      <c r="Q423" s="165"/>
      <c r="R423" s="165"/>
      <c r="S423" s="165"/>
      <c r="T423" s="165"/>
      <c r="U423" s="165"/>
      <c r="V423" s="165"/>
      <c r="W423" s="165"/>
      <c r="X423" s="165"/>
      <c r="Y423" s="26"/>
      <c r="Z423" s="26"/>
      <c r="AA423" s="26"/>
      <c r="AB423" s="26"/>
      <c r="AC423" s="26"/>
      <c r="AD423" s="26"/>
      <c r="AE423" s="26"/>
      <c r="AF423" s="26"/>
      <c r="AG423" s="26"/>
      <c r="AH423" s="35"/>
      <c r="AI423" s="35"/>
      <c r="AJ423" s="35"/>
      <c r="AK423" s="35"/>
      <c r="AL423" s="35"/>
      <c r="AM423" s="35"/>
      <c r="AN423" s="35"/>
      <c r="AO423" s="125"/>
      <c r="AP423" s="125"/>
      <c r="AQ423" s="126"/>
      <c r="AR423" s="126"/>
      <c r="AS423" s="126"/>
      <c r="AT423" s="126"/>
      <c r="AU423" s="126"/>
      <c r="AV423" s="126"/>
      <c r="AW423" s="126"/>
      <c r="AX423" s="126"/>
      <c r="AY423" s="126"/>
      <c r="AZ423" s="126"/>
      <c r="BA423" s="126"/>
      <c r="BB423" s="21"/>
      <c r="BC423" s="21"/>
      <c r="BD423" s="21"/>
      <c r="BE423" s="21"/>
    </row>
    <row r="424" customFormat="false" ht="14.1" hidden="true" customHeight="true" outlineLevel="1" collapsed="false">
      <c r="A424" s="138" t="s">
        <v>209</v>
      </c>
      <c r="B424" s="235"/>
      <c r="C424" s="138"/>
      <c r="D424" s="138"/>
      <c r="E424" s="272"/>
      <c r="F424" s="272"/>
      <c r="G424" s="165"/>
      <c r="H424" s="165"/>
      <c r="I424" s="165"/>
      <c r="J424" s="165"/>
      <c r="K424" s="165"/>
      <c r="L424" s="165"/>
      <c r="M424" s="165"/>
      <c r="N424" s="281"/>
      <c r="O424" s="281"/>
      <c r="P424" s="165"/>
      <c r="Q424" s="165"/>
      <c r="R424" s="165"/>
      <c r="S424" s="165"/>
      <c r="T424" s="165"/>
      <c r="U424" s="165"/>
      <c r="V424" s="26"/>
      <c r="W424" s="173" t="s">
        <v>15</v>
      </c>
      <c r="X424" s="173"/>
      <c r="Y424" s="291"/>
      <c r="Z424" s="291"/>
      <c r="AA424" s="291"/>
      <c r="AB424" s="165"/>
      <c r="AC424" s="165"/>
      <c r="AD424" s="165" t="s">
        <v>230</v>
      </c>
      <c r="AE424" s="165"/>
      <c r="AF424" s="165"/>
      <c r="AG424" s="165"/>
      <c r="AH424" s="52"/>
      <c r="AI424" s="52"/>
      <c r="AJ424" s="35"/>
      <c r="AK424" s="35"/>
      <c r="AL424" s="35"/>
      <c r="AM424" s="35"/>
      <c r="AN424" s="35"/>
      <c r="AO424" s="125"/>
      <c r="AP424" s="125"/>
      <c r="AQ424" s="126"/>
      <c r="AR424" s="126"/>
      <c r="AS424" s="126"/>
      <c r="AT424" s="126"/>
      <c r="AU424" s="126"/>
      <c r="AV424" s="126"/>
      <c r="AW424" s="126"/>
      <c r="AX424" s="126"/>
      <c r="AY424" s="126"/>
      <c r="AZ424" s="126"/>
      <c r="BA424" s="126"/>
      <c r="BB424" s="21"/>
      <c r="BC424" s="21"/>
      <c r="BD424" s="21"/>
      <c r="BE424" s="21"/>
    </row>
    <row r="425" customFormat="false" ht="14.1" hidden="true" customHeight="true" outlineLevel="1" collapsed="false">
      <c r="A425" s="240" t="s">
        <v>42</v>
      </c>
      <c r="B425" s="235"/>
      <c r="C425" s="138"/>
      <c r="D425" s="138"/>
      <c r="E425" s="138"/>
      <c r="F425" s="138"/>
      <c r="G425" s="165"/>
      <c r="H425" s="226"/>
      <c r="I425" s="165"/>
      <c r="J425" s="165"/>
      <c r="K425" s="165"/>
      <c r="L425" s="165"/>
      <c r="M425" s="165"/>
      <c r="N425" s="165"/>
      <c r="O425" s="165"/>
      <c r="P425" s="165"/>
      <c r="Q425" s="165"/>
      <c r="R425" s="165"/>
      <c r="S425" s="165"/>
      <c r="T425" s="165"/>
      <c r="U425" s="165"/>
      <c r="V425" s="26"/>
      <c r="W425" s="186" t="n">
        <v>7.6</v>
      </c>
      <c r="X425" s="186"/>
      <c r="Y425" s="165"/>
      <c r="Z425" s="165"/>
      <c r="AA425" s="165"/>
      <c r="AB425" s="165"/>
      <c r="AC425" s="165"/>
      <c r="AD425" s="165"/>
      <c r="AE425" s="165"/>
      <c r="AF425" s="165"/>
      <c r="AG425" s="165"/>
      <c r="AH425" s="52"/>
      <c r="AI425" s="52"/>
      <c r="AJ425" s="35"/>
      <c r="AK425" s="35"/>
      <c r="AL425" s="35"/>
      <c r="AM425" s="35"/>
      <c r="AN425" s="35"/>
      <c r="AO425" s="125"/>
      <c r="AP425" s="125"/>
      <c r="AQ425" s="126"/>
      <c r="AR425" s="126"/>
      <c r="AS425" s="126"/>
      <c r="AT425" s="126"/>
      <c r="AU425" s="126"/>
      <c r="AV425" s="126"/>
      <c r="AW425" s="126"/>
      <c r="AX425" s="126"/>
      <c r="AY425" s="126"/>
      <c r="AZ425" s="126"/>
      <c r="BA425" s="126"/>
      <c r="BB425" s="21"/>
      <c r="BC425" s="21"/>
      <c r="BD425" s="21"/>
      <c r="BE425" s="21"/>
    </row>
    <row r="426" customFormat="false" ht="14.1" hidden="true" customHeight="true" outlineLevel="1" collapsed="false">
      <c r="A426" s="138" t="s">
        <v>211</v>
      </c>
      <c r="B426" s="235"/>
      <c r="C426" s="138"/>
      <c r="D426" s="298"/>
      <c r="E426" s="264" t="n">
        <v>60</v>
      </c>
      <c r="F426" s="276"/>
      <c r="G426" s="165"/>
      <c r="H426" s="165"/>
      <c r="I426" s="165"/>
      <c r="J426" s="165"/>
      <c r="K426" s="165"/>
      <c r="L426" s="165"/>
      <c r="M426" s="165"/>
      <c r="N426" s="165"/>
      <c r="O426" s="165"/>
      <c r="P426" s="186" t="s">
        <v>283</v>
      </c>
      <c r="Q426" s="165"/>
      <c r="R426" s="165"/>
      <c r="S426" s="165"/>
      <c r="T426" s="165"/>
      <c r="U426" s="165"/>
      <c r="V426" s="26"/>
      <c r="W426" s="165"/>
      <c r="X426" s="165"/>
      <c r="Y426" s="165"/>
      <c r="Z426" s="165"/>
      <c r="AA426" s="165"/>
      <c r="AB426" s="165"/>
      <c r="AC426" s="165"/>
      <c r="AD426" s="165"/>
      <c r="AE426" s="165"/>
      <c r="AF426" s="165"/>
      <c r="AG426" s="165"/>
      <c r="AH426" s="52"/>
      <c r="AI426" s="52"/>
      <c r="AJ426" s="35"/>
      <c r="AK426" s="35"/>
      <c r="AL426" s="35"/>
      <c r="AM426" s="35"/>
      <c r="AN426" s="35"/>
      <c r="AO426" s="125"/>
      <c r="AP426" s="125"/>
      <c r="AQ426" s="126"/>
      <c r="AR426" s="126"/>
      <c r="AS426" s="126"/>
      <c r="AT426" s="126"/>
      <c r="AU426" s="126"/>
      <c r="AV426" s="126"/>
      <c r="AW426" s="126"/>
      <c r="AX426" s="126"/>
      <c r="AY426" s="126"/>
      <c r="AZ426" s="126"/>
      <c r="BA426" s="126"/>
      <c r="BB426" s="21"/>
      <c r="BC426" s="21"/>
      <c r="BD426" s="21"/>
      <c r="BE426" s="21"/>
    </row>
    <row r="427" customFormat="false" ht="14.1" hidden="true" customHeight="true" outlineLevel="1" collapsed="false">
      <c r="A427" s="242" t="s">
        <v>212</v>
      </c>
      <c r="B427" s="235"/>
      <c r="C427" s="138"/>
      <c r="D427" s="298"/>
      <c r="E427" s="264" t="s">
        <v>241</v>
      </c>
      <c r="F427" s="276"/>
      <c r="G427" s="165"/>
      <c r="H427" s="165"/>
      <c r="I427" s="165"/>
      <c r="J427" s="165"/>
      <c r="K427" s="165"/>
      <c r="L427" s="165"/>
      <c r="M427" s="165"/>
      <c r="N427" s="165"/>
      <c r="O427" s="165"/>
      <c r="P427" s="165"/>
      <c r="Q427" s="165"/>
      <c r="R427" s="165"/>
      <c r="S427" s="165"/>
      <c r="T427" s="165"/>
      <c r="U427" s="165"/>
      <c r="V427" s="26"/>
      <c r="W427" s="165"/>
      <c r="X427" s="165"/>
      <c r="Y427" s="165"/>
      <c r="Z427" s="165"/>
      <c r="AA427" s="165"/>
      <c r="AB427" s="165"/>
      <c r="AC427" s="165"/>
      <c r="AD427" s="165"/>
      <c r="AE427" s="165"/>
      <c r="AF427" s="165"/>
      <c r="AG427" s="165"/>
      <c r="AH427" s="52"/>
      <c r="AI427" s="52"/>
      <c r="AJ427" s="35"/>
      <c r="AK427" s="35"/>
      <c r="AL427" s="35"/>
      <c r="AM427" s="35"/>
      <c r="AN427" s="35"/>
      <c r="AO427" s="125"/>
      <c r="AP427" s="125"/>
      <c r="AQ427" s="126"/>
      <c r="AR427" s="126"/>
      <c r="AS427" s="126"/>
      <c r="AT427" s="126"/>
      <c r="AU427" s="126"/>
      <c r="AV427" s="126"/>
      <c r="AW427" s="126"/>
      <c r="AX427" s="126"/>
      <c r="AY427" s="126"/>
      <c r="AZ427" s="126"/>
      <c r="BA427" s="126"/>
      <c r="BB427" s="21"/>
      <c r="BC427" s="21"/>
      <c r="BD427" s="21"/>
      <c r="BE427" s="21"/>
    </row>
    <row r="428" customFormat="false" ht="14.1" hidden="true" customHeight="true" outlineLevel="1" collapsed="false">
      <c r="A428" s="174" t="s">
        <v>213</v>
      </c>
      <c r="B428" s="235"/>
      <c r="C428" s="138"/>
      <c r="D428" s="299"/>
      <c r="E428" s="264"/>
      <c r="F428" s="272"/>
      <c r="G428" s="165"/>
      <c r="H428" s="186"/>
      <c r="I428" s="187"/>
      <c r="J428" s="165"/>
      <c r="K428" s="165"/>
      <c r="L428" s="165"/>
      <c r="M428" s="165"/>
      <c r="N428" s="165"/>
      <c r="O428" s="165"/>
      <c r="P428" s="165"/>
      <c r="Q428" s="165"/>
      <c r="R428" s="165"/>
      <c r="S428" s="165"/>
      <c r="T428" s="165"/>
      <c r="U428" s="165"/>
      <c r="V428" s="26"/>
      <c r="W428" s="165"/>
      <c r="X428" s="165"/>
      <c r="Y428" s="165"/>
      <c r="Z428" s="165"/>
      <c r="AA428" s="165"/>
      <c r="AB428" s="165"/>
      <c r="AC428" s="165"/>
      <c r="AD428" s="165"/>
      <c r="AE428" s="165"/>
      <c r="AF428" s="165"/>
      <c r="AG428" s="165"/>
      <c r="AH428" s="52"/>
      <c r="AI428" s="52"/>
      <c r="AJ428" s="35"/>
      <c r="AK428" s="35"/>
      <c r="AL428" s="35"/>
      <c r="AM428" s="35"/>
      <c r="AN428" s="35"/>
      <c r="AO428" s="125"/>
      <c r="AP428" s="125"/>
      <c r="AQ428" s="126"/>
      <c r="AR428" s="126"/>
      <c r="AS428" s="126"/>
      <c r="AT428" s="126"/>
      <c r="AU428" s="126"/>
      <c r="AV428" s="126"/>
      <c r="AW428" s="126"/>
      <c r="AX428" s="126"/>
      <c r="AY428" s="126"/>
      <c r="AZ428" s="126"/>
      <c r="BA428" s="126"/>
      <c r="BB428" s="21"/>
      <c r="BC428" s="21"/>
      <c r="BD428" s="21"/>
      <c r="BE428" s="21"/>
    </row>
    <row r="429" customFormat="false" ht="14.1" hidden="true" customHeight="true" outlineLevel="1" collapsed="false">
      <c r="A429" s="242" t="s">
        <v>284</v>
      </c>
      <c r="B429" s="235"/>
      <c r="C429" s="138"/>
      <c r="D429" s="299"/>
      <c r="E429" s="264"/>
      <c r="F429" s="272"/>
      <c r="G429" s="165"/>
      <c r="H429" s="187"/>
      <c r="I429" s="187"/>
      <c r="J429" s="165"/>
      <c r="K429" s="165"/>
      <c r="L429" s="165"/>
      <c r="M429" s="165"/>
      <c r="N429" s="165"/>
      <c r="O429" s="165"/>
      <c r="P429" s="165"/>
      <c r="Q429" s="165"/>
      <c r="R429" s="165"/>
      <c r="S429" s="165"/>
      <c r="T429" s="165"/>
      <c r="U429" s="165"/>
      <c r="V429" s="26"/>
      <c r="W429" s="165"/>
      <c r="X429" s="165"/>
      <c r="Y429" s="165"/>
      <c r="Z429" s="165"/>
      <c r="AA429" s="165"/>
      <c r="AB429" s="165"/>
      <c r="AC429" s="165"/>
      <c r="AD429" s="165"/>
      <c r="AE429" s="165"/>
      <c r="AF429" s="165"/>
      <c r="AG429" s="165"/>
      <c r="AH429" s="52"/>
      <c r="AI429" s="52"/>
      <c r="AJ429" s="35"/>
      <c r="AK429" s="35"/>
      <c r="AL429" s="35"/>
      <c r="AM429" s="35"/>
      <c r="AN429" s="35"/>
      <c r="AO429" s="125"/>
      <c r="AP429" s="125"/>
      <c r="AQ429" s="126"/>
      <c r="AR429" s="126"/>
      <c r="AS429" s="126"/>
      <c r="AT429" s="192"/>
      <c r="AU429" s="126"/>
      <c r="AV429" s="126"/>
      <c r="AW429" s="126"/>
      <c r="AX429" s="126"/>
      <c r="AY429" s="126"/>
      <c r="AZ429" s="126"/>
      <c r="BA429" s="126"/>
      <c r="BB429" s="21"/>
      <c r="BC429" s="21"/>
      <c r="BD429" s="21"/>
      <c r="BE429" s="21"/>
    </row>
    <row r="430" customFormat="false" ht="14.1" hidden="true" customHeight="true" outlineLevel="1" collapsed="false">
      <c r="A430" s="138" t="s">
        <v>215</v>
      </c>
      <c r="B430" s="235"/>
      <c r="C430" s="138"/>
      <c r="D430" s="300"/>
      <c r="E430" s="264" t="n">
        <v>5.4</v>
      </c>
      <c r="F430" s="276"/>
      <c r="G430" s="165"/>
      <c r="H430" s="187"/>
      <c r="I430" s="187"/>
      <c r="J430" s="165"/>
      <c r="K430" s="165"/>
      <c r="L430" s="165"/>
      <c r="M430" s="165"/>
      <c r="N430" s="165"/>
      <c r="O430" s="165"/>
      <c r="P430" s="165"/>
      <c r="Q430" s="165"/>
      <c r="R430" s="165"/>
      <c r="S430" s="165"/>
      <c r="T430" s="165"/>
      <c r="U430" s="165"/>
      <c r="V430" s="26"/>
      <c r="W430" s="165" t="s">
        <v>274</v>
      </c>
      <c r="X430" s="165"/>
      <c r="Y430" s="165"/>
      <c r="Z430" s="165"/>
      <c r="AA430" s="165"/>
      <c r="AB430" s="165"/>
      <c r="AC430" s="165"/>
      <c r="AD430" s="165"/>
      <c r="AE430" s="165"/>
      <c r="AF430" s="165"/>
      <c r="AG430" s="165"/>
      <c r="AH430" s="52"/>
      <c r="AI430" s="52"/>
      <c r="AJ430" s="35"/>
      <c r="AK430" s="35"/>
      <c r="AL430" s="35"/>
      <c r="AM430" s="35"/>
      <c r="AN430" s="35"/>
      <c r="AO430" s="125"/>
      <c r="AP430" s="125"/>
      <c r="AQ430" s="126"/>
      <c r="AR430" s="126"/>
      <c r="AS430" s="126"/>
      <c r="AT430" s="192"/>
      <c r="AU430" s="126"/>
      <c r="AV430" s="126"/>
      <c r="AW430" s="126"/>
      <c r="AX430" s="126"/>
      <c r="AY430" s="126"/>
      <c r="AZ430" s="126"/>
      <c r="BA430" s="126"/>
      <c r="BB430" s="21"/>
      <c r="BC430" s="21"/>
      <c r="BD430" s="21"/>
      <c r="BE430" s="21"/>
    </row>
    <row r="431" customFormat="false" ht="14.1" hidden="true" customHeight="true" outlineLevel="1" collapsed="false">
      <c r="A431" s="242" t="s">
        <v>285</v>
      </c>
      <c r="B431" s="235"/>
      <c r="C431" s="138"/>
      <c r="D431" s="280"/>
      <c r="E431" s="268" t="s">
        <v>15</v>
      </c>
      <c r="F431" s="270"/>
      <c r="G431" s="165"/>
      <c r="H431" s="186"/>
      <c r="I431" s="187"/>
      <c r="J431" s="26"/>
      <c r="K431" s="165"/>
      <c r="L431" s="165"/>
      <c r="M431" s="165"/>
      <c r="N431" s="203" t="s">
        <v>286</v>
      </c>
      <c r="O431" s="165"/>
      <c r="P431" s="165"/>
      <c r="Q431" s="165"/>
      <c r="R431" s="165"/>
      <c r="S431" s="165"/>
      <c r="T431" s="165"/>
      <c r="U431" s="165"/>
      <c r="V431" s="26"/>
      <c r="W431" s="165"/>
      <c r="X431" s="165"/>
      <c r="Y431" s="165"/>
      <c r="Z431" s="165"/>
      <c r="AA431" s="165"/>
      <c r="AB431" s="165"/>
      <c r="AC431" s="165"/>
      <c r="AD431" s="165"/>
      <c r="AE431" s="165"/>
      <c r="AF431" s="165"/>
      <c r="AG431" s="165"/>
      <c r="AH431" s="52"/>
      <c r="AI431" s="52"/>
      <c r="AJ431" s="35"/>
      <c r="AK431" s="35"/>
      <c r="AL431" s="35"/>
      <c r="AM431" s="35"/>
      <c r="AN431" s="35"/>
      <c r="AO431" s="125"/>
      <c r="AP431" s="125"/>
      <c r="AQ431" s="156"/>
      <c r="AR431" s="126"/>
      <c r="AS431" s="126"/>
      <c r="AT431" s="192"/>
      <c r="AU431" s="192"/>
      <c r="AV431" s="192"/>
      <c r="AW431" s="126"/>
      <c r="AX431" s="126"/>
      <c r="AY431" s="126"/>
      <c r="AZ431" s="126"/>
      <c r="BA431" s="126"/>
      <c r="BB431" s="21"/>
      <c r="BC431" s="21"/>
      <c r="BD431" s="21"/>
      <c r="BE431" s="21"/>
    </row>
    <row r="432" customFormat="false" ht="14.1" hidden="true" customHeight="true" outlineLevel="1" collapsed="false">
      <c r="A432" s="138" t="s">
        <v>217</v>
      </c>
      <c r="B432" s="277"/>
      <c r="C432" s="301"/>
      <c r="D432" s="280"/>
      <c r="E432" s="287"/>
      <c r="F432" s="287"/>
      <c r="G432" s="165"/>
      <c r="H432" s="165"/>
      <c r="I432" s="165"/>
      <c r="J432" s="26"/>
      <c r="K432" s="165"/>
      <c r="L432" s="187"/>
      <c r="M432" s="165"/>
      <c r="N432" s="165"/>
      <c r="O432" s="165"/>
      <c r="P432" s="203"/>
      <c r="Q432" s="165"/>
      <c r="R432" s="165"/>
      <c r="S432" s="165"/>
      <c r="T432" s="165"/>
      <c r="U432" s="165"/>
      <c r="V432" s="26"/>
      <c r="W432" s="165"/>
      <c r="X432" s="165"/>
      <c r="Y432" s="165"/>
      <c r="Z432" s="165"/>
      <c r="AA432" s="165"/>
      <c r="AB432" s="165"/>
      <c r="AC432" s="165"/>
      <c r="AD432" s="165"/>
      <c r="AE432" s="165"/>
      <c r="AF432" s="165"/>
      <c r="AG432" s="165"/>
      <c r="AH432" s="52" t="s">
        <v>275</v>
      </c>
      <c r="AI432" s="52"/>
      <c r="AJ432" s="35"/>
      <c r="AK432" s="35"/>
      <c r="AL432" s="35"/>
      <c r="AM432" s="35"/>
      <c r="AN432" s="35"/>
      <c r="AO432" s="125"/>
      <c r="AP432" s="125"/>
      <c r="AQ432" s="126"/>
      <c r="AR432" s="126"/>
      <c r="AS432" s="126"/>
      <c r="AT432" s="192"/>
      <c r="AU432" s="192"/>
      <c r="AV432" s="192"/>
      <c r="AW432" s="126"/>
      <c r="AX432" s="126"/>
      <c r="AY432" s="126"/>
      <c r="AZ432" s="126"/>
      <c r="BA432" s="126"/>
      <c r="BB432" s="21"/>
      <c r="BC432" s="21"/>
      <c r="BD432" s="21"/>
      <c r="BE432" s="21"/>
    </row>
    <row r="433" customFormat="false" ht="14.1" hidden="true" customHeight="true" outlineLevel="1" collapsed="false">
      <c r="A433" s="245" t="s">
        <v>218</v>
      </c>
      <c r="B433" s="277"/>
      <c r="C433" s="301"/>
      <c r="D433" s="271"/>
      <c r="E433" s="287"/>
      <c r="F433" s="287"/>
      <c r="G433" s="165"/>
      <c r="H433" s="165"/>
      <c r="I433" s="165"/>
      <c r="J433" s="26"/>
      <c r="K433" s="230"/>
      <c r="L433" s="187"/>
      <c r="M433" s="165"/>
      <c r="N433" s="165"/>
      <c r="O433" s="165"/>
      <c r="P433" s="203"/>
      <c r="Q433" s="165"/>
      <c r="R433" s="230" t="s">
        <v>15</v>
      </c>
      <c r="S433" s="165"/>
      <c r="T433" s="165"/>
      <c r="U433" s="165"/>
      <c r="V433" s="26"/>
      <c r="W433" s="165"/>
      <c r="X433" s="165"/>
      <c r="Y433" s="165"/>
      <c r="Z433" s="165"/>
      <c r="AA433" s="186" t="s">
        <v>261</v>
      </c>
      <c r="AB433" s="186"/>
      <c r="AC433" s="165"/>
      <c r="AD433" s="165"/>
      <c r="AE433" s="165"/>
      <c r="AF433" s="165"/>
      <c r="AG433" s="165"/>
      <c r="AH433" s="52"/>
      <c r="AI433" s="52"/>
      <c r="AJ433" s="35"/>
      <c r="AK433" s="35"/>
      <c r="AL433" s="35"/>
      <c r="AM433" s="35"/>
      <c r="AN433" s="35"/>
      <c r="AO433" s="125"/>
      <c r="AP433" s="125"/>
      <c r="AQ433" s="126"/>
      <c r="AR433" s="126"/>
      <c r="AS433" s="126"/>
      <c r="AT433" s="192"/>
      <c r="AU433" s="192"/>
      <c r="AV433" s="192"/>
      <c r="AW433" s="126"/>
      <c r="AX433" s="126"/>
      <c r="AY433" s="126"/>
      <c r="AZ433" s="126"/>
      <c r="BA433" s="126"/>
      <c r="BB433" s="21"/>
      <c r="BC433" s="21"/>
      <c r="BD433" s="21"/>
      <c r="BE433" s="21"/>
    </row>
    <row r="434" s="162" customFormat="true" ht="14.1" hidden="true" customHeight="true" outlineLevel="1" collapsed="false">
      <c r="A434" s="138" t="s">
        <v>222</v>
      </c>
      <c r="B434" s="235"/>
      <c r="C434" s="138"/>
      <c r="D434" s="271"/>
      <c r="E434" s="287"/>
      <c r="F434" s="287"/>
      <c r="G434" s="165"/>
      <c r="H434" s="165"/>
      <c r="I434" s="165"/>
      <c r="J434" s="186"/>
      <c r="K434" s="187"/>
      <c r="L434" s="187"/>
      <c r="M434" s="165"/>
      <c r="N434" s="165"/>
      <c r="O434" s="165"/>
      <c r="P434" s="203"/>
      <c r="Q434" s="165"/>
      <c r="R434" s="165" t="n">
        <v>6.6</v>
      </c>
      <c r="S434" s="165"/>
      <c r="T434" s="165"/>
      <c r="U434" s="165"/>
      <c r="V434" s="26"/>
      <c r="W434" s="165"/>
      <c r="X434" s="165"/>
      <c r="Y434" s="165"/>
      <c r="Z434" s="165"/>
      <c r="AA434" s="165"/>
      <c r="AB434" s="165"/>
      <c r="AC434" s="165"/>
      <c r="AD434" s="165"/>
      <c r="AE434" s="165"/>
      <c r="AF434" s="165"/>
      <c r="AG434" s="165"/>
      <c r="AH434" s="52"/>
      <c r="AI434" s="52"/>
      <c r="AJ434" s="52"/>
      <c r="AK434" s="35"/>
      <c r="AL434" s="302"/>
      <c r="AM434" s="40"/>
      <c r="AN434" s="40"/>
      <c r="AO434" s="125"/>
      <c r="AP434" s="125"/>
      <c r="AQ434" s="126"/>
      <c r="AR434" s="126"/>
      <c r="AS434" s="126"/>
      <c r="AT434" s="192"/>
      <c r="AU434" s="192"/>
      <c r="AV434" s="192"/>
      <c r="AW434" s="126"/>
      <c r="AX434" s="126"/>
      <c r="AY434" s="126"/>
      <c r="AZ434" s="126"/>
      <c r="BA434" s="126"/>
      <c r="BB434" s="160"/>
      <c r="BC434" s="160"/>
      <c r="BD434" s="160"/>
      <c r="BE434" s="160"/>
      <c r="BF434" s="161"/>
    </row>
    <row r="435" s="162" customFormat="true" ht="14.1" hidden="true" customHeight="true" outlineLevel="1" collapsed="false">
      <c r="A435" s="242" t="s">
        <v>102</v>
      </c>
      <c r="B435" s="169"/>
      <c r="C435" s="169"/>
      <c r="D435" s="271"/>
      <c r="E435" s="287"/>
      <c r="F435" s="287"/>
      <c r="G435" s="165"/>
      <c r="H435" s="165"/>
      <c r="I435" s="165"/>
      <c r="J435" s="186"/>
      <c r="K435" s="187"/>
      <c r="L435" s="187"/>
      <c r="M435" s="26"/>
      <c r="N435" s="165"/>
      <c r="O435" s="165"/>
      <c r="P435" s="203"/>
      <c r="Q435" s="165"/>
      <c r="R435" s="165"/>
      <c r="S435" s="165"/>
      <c r="T435" s="165"/>
      <c r="U435" s="165"/>
      <c r="V435" s="26"/>
      <c r="W435" s="165"/>
      <c r="X435" s="165"/>
      <c r="Y435" s="165"/>
      <c r="Z435" s="165"/>
      <c r="AA435" s="165"/>
      <c r="AB435" s="165"/>
      <c r="AC435" s="165"/>
      <c r="AD435" s="165"/>
      <c r="AE435" s="165"/>
      <c r="AF435" s="165"/>
      <c r="AG435" s="165"/>
      <c r="AH435" s="52"/>
      <c r="AI435" s="52"/>
      <c r="AJ435" s="52"/>
      <c r="AK435" s="52"/>
      <c r="AL435" s="52"/>
      <c r="AM435" s="40"/>
      <c r="AN435" s="40"/>
      <c r="AO435" s="125"/>
      <c r="AP435" s="125"/>
      <c r="AQ435" s="126"/>
      <c r="AR435" s="126"/>
      <c r="AS435" s="126"/>
      <c r="AT435" s="192"/>
      <c r="AU435" s="192"/>
      <c r="AV435" s="192"/>
      <c r="AW435" s="126"/>
      <c r="AX435" s="126"/>
      <c r="AY435" s="126"/>
      <c r="AZ435" s="126"/>
      <c r="BA435" s="126"/>
      <c r="BB435" s="160"/>
      <c r="BC435" s="160"/>
      <c r="BD435" s="160"/>
      <c r="BE435" s="160"/>
      <c r="BF435" s="161"/>
    </row>
    <row r="436" s="162" customFormat="true" ht="14.1" hidden="true" customHeight="true" outlineLevel="1" collapsed="false">
      <c r="A436" s="138" t="s">
        <v>224</v>
      </c>
      <c r="B436" s="169"/>
      <c r="C436" s="169"/>
      <c r="D436" s="271"/>
      <c r="E436" s="287"/>
      <c r="F436" s="287"/>
      <c r="G436" s="165"/>
      <c r="H436" s="165"/>
      <c r="I436" s="165"/>
      <c r="J436" s="186"/>
      <c r="K436" s="187"/>
      <c r="L436" s="187"/>
      <c r="M436" s="165"/>
      <c r="N436" s="165"/>
      <c r="O436" s="165"/>
      <c r="P436" s="203"/>
      <c r="Q436" s="165"/>
      <c r="R436" s="165" t="s">
        <v>241</v>
      </c>
      <c r="S436" s="165"/>
      <c r="T436" s="165"/>
      <c r="U436" s="165"/>
      <c r="V436" s="165"/>
      <c r="W436" s="165"/>
      <c r="X436" s="165"/>
      <c r="Y436" s="165"/>
      <c r="Z436" s="165"/>
      <c r="AA436" s="165"/>
      <c r="AB436" s="165"/>
      <c r="AC436" s="165"/>
      <c r="AD436" s="165"/>
      <c r="AE436" s="165"/>
      <c r="AF436" s="165"/>
      <c r="AG436" s="165"/>
      <c r="AH436" s="52"/>
      <c r="AI436" s="52"/>
      <c r="AJ436" s="52"/>
      <c r="AK436" s="52"/>
      <c r="AL436" s="52"/>
      <c r="AM436" s="40"/>
      <c r="AN436" s="40"/>
      <c r="AO436" s="125"/>
      <c r="AP436" s="125"/>
      <c r="AQ436" s="126"/>
      <c r="AR436" s="126"/>
      <c r="AS436" s="126"/>
      <c r="AT436" s="192"/>
      <c r="AU436" s="192"/>
      <c r="AV436" s="192"/>
      <c r="AW436" s="126"/>
      <c r="AX436" s="126"/>
      <c r="AY436" s="126"/>
      <c r="AZ436" s="126"/>
      <c r="BA436" s="126"/>
      <c r="BB436" s="160"/>
      <c r="BC436" s="160"/>
      <c r="BD436" s="160"/>
      <c r="BE436" s="160"/>
      <c r="BF436" s="161"/>
    </row>
    <row r="437" s="162" customFormat="true" ht="14.1" hidden="true" customHeight="true" outlineLevel="1" collapsed="false">
      <c r="A437" s="242" t="s">
        <v>103</v>
      </c>
      <c r="B437" s="169"/>
      <c r="C437" s="169"/>
      <c r="D437" s="271"/>
      <c r="E437" s="287"/>
      <c r="F437" s="287"/>
      <c r="G437" s="165"/>
      <c r="H437" s="165"/>
      <c r="I437" s="165"/>
      <c r="J437" s="186"/>
      <c r="K437" s="187"/>
      <c r="L437" s="187"/>
      <c r="M437" s="26"/>
      <c r="N437" s="165"/>
      <c r="O437" s="165"/>
      <c r="P437" s="203"/>
      <c r="Q437" s="165"/>
      <c r="R437" s="165" t="n">
        <v>60</v>
      </c>
      <c r="S437" s="165"/>
      <c r="T437" s="165"/>
      <c r="U437" s="165"/>
      <c r="V437" s="165"/>
      <c r="W437" s="165"/>
      <c r="X437" s="165"/>
      <c r="Y437" s="165"/>
      <c r="Z437" s="165"/>
      <c r="AA437" s="165"/>
      <c r="AB437" s="165"/>
      <c r="AC437" s="165"/>
      <c r="AD437" s="165"/>
      <c r="AE437" s="165"/>
      <c r="AF437" s="165"/>
      <c r="AG437" s="165"/>
      <c r="AH437" s="35"/>
      <c r="AI437" s="52"/>
      <c r="AJ437" s="52"/>
      <c r="AK437" s="52"/>
      <c r="AL437" s="52"/>
      <c r="AM437" s="40"/>
      <c r="AN437" s="40"/>
      <c r="AO437" s="125"/>
      <c r="AP437" s="125"/>
      <c r="AQ437" s="126"/>
      <c r="AR437" s="126"/>
      <c r="AS437" s="126"/>
      <c r="AT437" s="192"/>
      <c r="AU437" s="192"/>
      <c r="AV437" s="192"/>
      <c r="AW437" s="126"/>
      <c r="AX437" s="126"/>
      <c r="AY437" s="126"/>
      <c r="AZ437" s="126"/>
      <c r="BA437" s="126"/>
      <c r="BB437" s="160"/>
      <c r="BC437" s="160"/>
      <c r="BD437" s="160"/>
      <c r="BE437" s="160"/>
      <c r="BF437" s="161"/>
    </row>
    <row r="438" s="162" customFormat="true" ht="14.1" hidden="true" customHeight="true" outlineLevel="1" collapsed="false">
      <c r="A438" s="138" t="s">
        <v>225</v>
      </c>
      <c r="B438" s="277"/>
      <c r="C438" s="272"/>
      <c r="D438" s="271"/>
      <c r="E438" s="271"/>
      <c r="F438" s="271"/>
      <c r="G438" s="150"/>
      <c r="H438" s="212"/>
      <c r="I438" s="150"/>
      <c r="J438" s="150"/>
      <c r="K438" s="150"/>
      <c r="L438" s="186"/>
      <c r="M438" s="187"/>
      <c r="N438" s="187"/>
      <c r="O438" s="165"/>
      <c r="P438" s="165"/>
      <c r="Q438" s="165"/>
      <c r="R438" s="203"/>
      <c r="S438" s="165"/>
      <c r="T438" s="165"/>
      <c r="U438" s="165"/>
      <c r="V438" s="165"/>
      <c r="W438" s="165"/>
      <c r="X438" s="165"/>
      <c r="Y438" s="165"/>
      <c r="Z438" s="165" t="s">
        <v>286</v>
      </c>
      <c r="AA438" s="165"/>
      <c r="AB438" s="165"/>
      <c r="AC438" s="165"/>
      <c r="AD438" s="165"/>
      <c r="AE438" s="165"/>
      <c r="AF438" s="165"/>
      <c r="AG438" s="165"/>
      <c r="AH438" s="52"/>
      <c r="AI438" s="52"/>
      <c r="AJ438" s="40"/>
      <c r="AK438" s="40"/>
      <c r="AL438" s="40"/>
      <c r="AM438" s="40"/>
      <c r="AN438" s="40"/>
      <c r="AO438" s="125"/>
      <c r="AP438" s="125"/>
      <c r="AQ438" s="126"/>
      <c r="AR438" s="126"/>
      <c r="AS438" s="126"/>
      <c r="AT438" s="192"/>
      <c r="AU438" s="192"/>
      <c r="AV438" s="192"/>
      <c r="AW438" s="126"/>
      <c r="AX438" s="126"/>
      <c r="AY438" s="126"/>
      <c r="AZ438" s="126"/>
      <c r="BA438" s="126"/>
      <c r="BB438" s="160"/>
      <c r="BC438" s="160"/>
      <c r="BD438" s="160"/>
      <c r="BE438" s="160"/>
      <c r="BF438" s="161"/>
    </row>
    <row r="439" s="162" customFormat="true" ht="14.1" hidden="true" customHeight="true" outlineLevel="1" collapsed="false">
      <c r="A439" s="149" t="s">
        <v>226</v>
      </c>
      <c r="B439" s="119" t="s">
        <v>109</v>
      </c>
      <c r="C439" s="130" t="n">
        <v>4</v>
      </c>
      <c r="D439" s="271"/>
      <c r="E439" s="271"/>
      <c r="F439" s="271"/>
      <c r="G439" s="150"/>
      <c r="H439" s="212"/>
      <c r="I439" s="150"/>
      <c r="J439" s="150"/>
      <c r="K439" s="150"/>
      <c r="L439" s="186"/>
      <c r="M439" s="187"/>
      <c r="N439" s="187"/>
      <c r="O439" s="165"/>
      <c r="P439" s="165"/>
      <c r="Q439" s="165"/>
      <c r="R439" s="203"/>
      <c r="S439" s="165"/>
      <c r="T439" s="165"/>
      <c r="U439" s="165"/>
      <c r="V439" s="165"/>
      <c r="W439" s="165"/>
      <c r="X439" s="165"/>
      <c r="Y439" s="165"/>
      <c r="Z439" s="165"/>
      <c r="AA439" s="187"/>
      <c r="AB439" s="187"/>
      <c r="AC439" s="187"/>
      <c r="AD439" s="187"/>
      <c r="AE439" s="165"/>
      <c r="AF439" s="187"/>
      <c r="AG439" s="187"/>
      <c r="AH439" s="188"/>
      <c r="AI439" s="40"/>
      <c r="AJ439" s="40"/>
      <c r="AK439" s="40"/>
      <c r="AL439" s="40"/>
      <c r="AM439" s="40"/>
      <c r="AN439" s="40"/>
      <c r="AO439" s="125"/>
      <c r="AP439" s="125"/>
      <c r="AQ439" s="126"/>
      <c r="AR439" s="126"/>
      <c r="AS439" s="126"/>
      <c r="AT439" s="192"/>
      <c r="AU439" s="192"/>
      <c r="AV439" s="192"/>
      <c r="AW439" s="126"/>
      <c r="AX439" s="126"/>
      <c r="AY439" s="126"/>
      <c r="AZ439" s="126"/>
      <c r="BA439" s="126"/>
      <c r="BB439" s="160"/>
      <c r="BC439" s="160"/>
      <c r="BD439" s="160"/>
      <c r="BE439" s="160"/>
      <c r="BF439" s="161"/>
    </row>
    <row r="440" s="162" customFormat="true" ht="14.1" hidden="true" customHeight="true" outlineLevel="1" collapsed="false">
      <c r="A440" s="139" t="s">
        <v>226</v>
      </c>
      <c r="B440" s="119" t="s">
        <v>109</v>
      </c>
      <c r="C440" s="151" t="n">
        <v>0</v>
      </c>
      <c r="D440" s="271"/>
      <c r="E440" s="271"/>
      <c r="F440" s="271"/>
      <c r="G440" s="150"/>
      <c r="H440" s="212"/>
      <c r="I440" s="150"/>
      <c r="J440" s="150"/>
      <c r="K440" s="150"/>
      <c r="L440" s="186"/>
      <c r="M440" s="187"/>
      <c r="N440" s="187"/>
      <c r="O440" s="165"/>
      <c r="P440" s="165"/>
      <c r="Q440" s="165"/>
      <c r="R440" s="203"/>
      <c r="S440" s="165"/>
      <c r="T440" s="165"/>
      <c r="U440" s="165"/>
      <c r="V440" s="165"/>
      <c r="W440" s="165"/>
      <c r="X440" s="165"/>
      <c r="Y440" s="165"/>
      <c r="Z440" s="165"/>
      <c r="AA440" s="187"/>
      <c r="AB440" s="187"/>
      <c r="AC440" s="187"/>
      <c r="AD440" s="187"/>
      <c r="AE440" s="165"/>
      <c r="AF440" s="187"/>
      <c r="AG440" s="187"/>
      <c r="AH440" s="188"/>
      <c r="AI440" s="40"/>
      <c r="AJ440" s="40"/>
      <c r="AK440" s="40"/>
      <c r="AL440" s="40"/>
      <c r="AM440" s="40"/>
      <c r="AN440" s="40"/>
      <c r="AO440" s="125"/>
      <c r="AP440" s="125"/>
      <c r="AQ440" s="126"/>
      <c r="AR440" s="126"/>
      <c r="AS440" s="126"/>
      <c r="AT440" s="192"/>
      <c r="AU440" s="192"/>
      <c r="AV440" s="192"/>
      <c r="AW440" s="126"/>
      <c r="AX440" s="126"/>
      <c r="AY440" s="126"/>
      <c r="AZ440" s="126"/>
      <c r="BA440" s="126"/>
      <c r="BB440" s="160"/>
      <c r="BC440" s="160"/>
      <c r="BD440" s="160"/>
      <c r="BE440" s="160"/>
      <c r="BF440" s="161"/>
    </row>
    <row r="441" s="162" customFormat="true" ht="14.1" hidden="true" customHeight="true" outlineLevel="1" collapsed="false">
      <c r="A441" s="138"/>
      <c r="B441" s="235"/>
      <c r="C441" s="138"/>
      <c r="D441" s="271"/>
      <c r="E441" s="271"/>
      <c r="F441" s="271"/>
      <c r="G441" s="150"/>
      <c r="H441" s="212"/>
      <c r="I441" s="150"/>
      <c r="J441" s="150"/>
      <c r="K441" s="150"/>
      <c r="L441" s="186"/>
      <c r="M441" s="187"/>
      <c r="N441" s="187"/>
      <c r="O441" s="165"/>
      <c r="P441" s="165"/>
      <c r="Q441" s="165"/>
      <c r="R441" s="203"/>
      <c r="S441" s="165"/>
      <c r="T441" s="165"/>
      <c r="U441" s="165"/>
      <c r="V441" s="165"/>
      <c r="W441" s="165"/>
      <c r="X441" s="165"/>
      <c r="Y441" s="165"/>
      <c r="Z441" s="165"/>
      <c r="AA441" s="187"/>
      <c r="AB441" s="187"/>
      <c r="AC441" s="187"/>
      <c r="AD441" s="187"/>
      <c r="AE441" s="165"/>
      <c r="AF441" s="187"/>
      <c r="AG441" s="187"/>
      <c r="AH441" s="188"/>
      <c r="AI441" s="40"/>
      <c r="AJ441" s="40"/>
      <c r="AK441" s="40"/>
      <c r="AL441" s="40"/>
      <c r="AM441" s="40"/>
      <c r="AN441" s="40"/>
      <c r="AO441" s="125"/>
      <c r="AP441" s="125"/>
      <c r="AQ441" s="126"/>
      <c r="AR441" s="126"/>
      <c r="AS441" s="126"/>
      <c r="AT441" s="192"/>
      <c r="AU441" s="192"/>
      <c r="AV441" s="192"/>
      <c r="AW441" s="126"/>
      <c r="AX441" s="126"/>
      <c r="AY441" s="126"/>
      <c r="AZ441" s="126"/>
      <c r="BA441" s="126"/>
      <c r="BB441" s="160"/>
      <c r="BC441" s="160"/>
      <c r="BD441" s="160"/>
      <c r="BE441" s="160"/>
      <c r="BF441" s="161"/>
    </row>
    <row r="442" s="162" customFormat="true" ht="14.1" hidden="true" customHeight="true" outlineLevel="1" collapsed="false">
      <c r="A442" s="152" t="s">
        <v>287</v>
      </c>
      <c r="B442" s="119" t="s">
        <v>113</v>
      </c>
      <c r="C442" s="252" t="n">
        <v>10000</v>
      </c>
      <c r="D442" s="271"/>
      <c r="E442" s="271"/>
      <c r="F442" s="271"/>
      <c r="G442" s="150"/>
      <c r="H442" s="212"/>
      <c r="I442" s="150"/>
      <c r="J442" s="150"/>
      <c r="K442" s="150"/>
      <c r="L442" s="186"/>
      <c r="M442" s="187"/>
      <c r="N442" s="187"/>
      <c r="O442" s="165"/>
      <c r="P442" s="165"/>
      <c r="Q442" s="165"/>
      <c r="R442" s="203"/>
      <c r="S442" s="165"/>
      <c r="T442" s="165"/>
      <c r="U442" s="165"/>
      <c r="V442" s="165"/>
      <c r="W442" s="165"/>
      <c r="X442" s="165"/>
      <c r="Y442" s="165"/>
      <c r="Z442" s="165"/>
      <c r="AA442" s="187"/>
      <c r="AB442" s="187"/>
      <c r="AC442" s="187"/>
      <c r="AD442" s="187"/>
      <c r="AE442" s="165"/>
      <c r="AF442" s="187"/>
      <c r="AG442" s="187"/>
      <c r="AH442" s="188"/>
      <c r="AI442" s="40"/>
      <c r="AJ442" s="40"/>
      <c r="AK442" s="40"/>
      <c r="AL442" s="40"/>
      <c r="AM442" s="40"/>
      <c r="AN442" s="40"/>
      <c r="AO442" s="125"/>
      <c r="AP442" s="125"/>
      <c r="AQ442" s="126"/>
      <c r="AR442" s="126"/>
      <c r="AS442" s="126"/>
      <c r="AT442" s="192"/>
      <c r="AU442" s="192"/>
      <c r="AV442" s="192"/>
      <c r="AW442" s="126"/>
      <c r="AX442" s="126"/>
      <c r="AY442" s="126"/>
      <c r="AZ442" s="126"/>
      <c r="BA442" s="126"/>
      <c r="BB442" s="160"/>
      <c r="BC442" s="160"/>
      <c r="BD442" s="160"/>
      <c r="BE442" s="160"/>
      <c r="BF442" s="161"/>
    </row>
    <row r="443" s="162" customFormat="true" ht="14.1" hidden="false" customHeight="true" outlineLevel="0" collapsed="false">
      <c r="A443" s="155" t="s">
        <v>288</v>
      </c>
      <c r="B443" s="155"/>
      <c r="C443" s="155"/>
      <c r="D443" s="155"/>
      <c r="E443" s="155"/>
      <c r="F443" s="222" t="s">
        <v>56</v>
      </c>
      <c r="G443" s="150"/>
      <c r="H443" s="212"/>
      <c r="I443" s="150"/>
      <c r="J443" s="150"/>
      <c r="K443" s="150"/>
      <c r="L443" s="186"/>
      <c r="M443" s="187"/>
      <c r="N443" s="187"/>
      <c r="O443" s="165"/>
      <c r="P443" s="165"/>
      <c r="Q443" s="165"/>
      <c r="R443" s="203"/>
      <c r="S443" s="165"/>
      <c r="T443" s="165"/>
      <c r="U443" s="165"/>
      <c r="V443" s="165"/>
      <c r="W443" s="165"/>
      <c r="X443" s="165"/>
      <c r="Y443" s="165"/>
      <c r="Z443" s="165"/>
      <c r="AA443" s="187"/>
      <c r="AB443" s="187"/>
      <c r="AC443" s="187"/>
      <c r="AD443" s="187"/>
      <c r="AE443" s="165"/>
      <c r="AF443" s="187"/>
      <c r="AG443" s="187"/>
      <c r="AH443" s="188"/>
      <c r="AI443" s="40"/>
      <c r="AJ443" s="40"/>
      <c r="AK443" s="40"/>
      <c r="AL443" s="40"/>
      <c r="AM443" s="40"/>
      <c r="AN443" s="40"/>
      <c r="AO443" s="125"/>
      <c r="AP443" s="125"/>
      <c r="AQ443" s="126"/>
      <c r="AR443" s="126"/>
      <c r="AS443" s="126"/>
      <c r="AT443" s="192"/>
      <c r="AU443" s="192"/>
      <c r="AV443" s="192"/>
      <c r="AW443" s="126"/>
      <c r="AX443" s="126"/>
      <c r="AY443" s="126"/>
      <c r="AZ443" s="126"/>
      <c r="BA443" s="126"/>
      <c r="BB443" s="160"/>
      <c r="BC443" s="160"/>
      <c r="BD443" s="160"/>
      <c r="BE443" s="160"/>
      <c r="BF443" s="161"/>
    </row>
    <row r="444" s="35" customFormat="true" ht="14.1" hidden="false" customHeight="true" outlineLevel="0" collapsed="false">
      <c r="A444" s="150"/>
      <c r="B444" s="200"/>
      <c r="C444" s="150"/>
      <c r="D444" s="150"/>
      <c r="E444" s="150"/>
      <c r="F444" s="150"/>
      <c r="G444" s="165"/>
      <c r="H444" s="165"/>
      <c r="I444" s="165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I444" s="188"/>
      <c r="AJ444" s="188"/>
      <c r="AK444" s="188"/>
      <c r="AL444" s="188"/>
      <c r="AM444" s="188"/>
      <c r="AN444" s="188"/>
      <c r="AO444" s="125"/>
      <c r="AP444" s="125"/>
      <c r="AQ444" s="126"/>
      <c r="AR444" s="126"/>
      <c r="AS444" s="126"/>
      <c r="AT444" s="106"/>
      <c r="AU444" s="106"/>
      <c r="AV444" s="106"/>
      <c r="AW444" s="126"/>
      <c r="AX444" s="126"/>
      <c r="AY444" s="126"/>
      <c r="AZ444" s="126"/>
      <c r="BA444" s="126"/>
      <c r="BB444" s="126"/>
      <c r="BC444" s="126"/>
      <c r="BD444" s="126"/>
      <c r="BE444" s="126"/>
      <c r="BF444" s="156"/>
    </row>
    <row r="445" customFormat="false" ht="14.1" hidden="true" customHeight="true" outlineLevel="1" collapsed="false">
      <c r="A445" s="284" t="s">
        <v>289</v>
      </c>
      <c r="B445" s="284"/>
      <c r="C445" s="284"/>
      <c r="D445" s="284"/>
      <c r="E445" s="284"/>
      <c r="F445" s="138"/>
      <c r="G445" s="26"/>
      <c r="H445" s="150"/>
      <c r="I445" s="158" t="s">
        <v>290</v>
      </c>
      <c r="J445" s="158"/>
      <c r="K445" s="158"/>
      <c r="L445" s="158"/>
      <c r="M445" s="158"/>
      <c r="N445" s="158"/>
      <c r="O445" s="158"/>
      <c r="P445" s="158"/>
      <c r="Q445" s="158"/>
      <c r="R445" s="158"/>
      <c r="S445" s="158"/>
      <c r="T445" s="158"/>
      <c r="U445" s="158"/>
      <c r="V445" s="158"/>
      <c r="W445" s="158"/>
      <c r="X445" s="158"/>
      <c r="Y445" s="158"/>
      <c r="Z445" s="158"/>
      <c r="AA445" s="158"/>
      <c r="AB445" s="158"/>
      <c r="AC445" s="158"/>
      <c r="AD445" s="158"/>
      <c r="AE445" s="158"/>
      <c r="AF445" s="158"/>
      <c r="AG445" s="158"/>
      <c r="AH445" s="35"/>
      <c r="AI445" s="188"/>
      <c r="AJ445" s="188"/>
      <c r="AK445" s="188"/>
      <c r="AL445" s="188"/>
      <c r="AM445" s="188"/>
      <c r="AN445" s="188"/>
      <c r="AO445" s="125"/>
      <c r="AP445" s="125"/>
      <c r="AQ445" s="126"/>
      <c r="AR445" s="126"/>
      <c r="AS445" s="126"/>
      <c r="AT445" s="106"/>
      <c r="AU445" s="106"/>
      <c r="AV445" s="106"/>
      <c r="AW445" s="126"/>
      <c r="AX445" s="126"/>
      <c r="AY445" s="126"/>
      <c r="AZ445" s="126"/>
      <c r="BA445" s="126"/>
      <c r="BB445" s="21"/>
      <c r="BC445" s="21"/>
      <c r="BD445" s="21"/>
      <c r="BE445" s="21"/>
    </row>
    <row r="446" customFormat="false" ht="14.1" hidden="true" customHeight="true" outlineLevel="1" collapsed="false">
      <c r="A446" s="280"/>
      <c r="B446" s="288"/>
      <c r="C446" s="263"/>
      <c r="D446" s="263"/>
      <c r="E446" s="263"/>
      <c r="F446" s="263"/>
      <c r="G446" s="150"/>
      <c r="H446" s="150"/>
      <c r="I446" s="158"/>
      <c r="J446" s="158"/>
      <c r="K446" s="158"/>
      <c r="L446" s="158"/>
      <c r="M446" s="158"/>
      <c r="N446" s="158"/>
      <c r="O446" s="158"/>
      <c r="P446" s="158"/>
      <c r="Q446" s="158"/>
      <c r="R446" s="158"/>
      <c r="S446" s="158"/>
      <c r="T446" s="158"/>
      <c r="U446" s="158"/>
      <c r="V446" s="158"/>
      <c r="W446" s="158"/>
      <c r="X446" s="158"/>
      <c r="Y446" s="158"/>
      <c r="Z446" s="158"/>
      <c r="AA446" s="158"/>
      <c r="AB446" s="158"/>
      <c r="AC446" s="158"/>
      <c r="AD446" s="158"/>
      <c r="AE446" s="158"/>
      <c r="AF446" s="158"/>
      <c r="AG446" s="158"/>
      <c r="AH446" s="40"/>
      <c r="AI446" s="40"/>
      <c r="AJ446" s="40"/>
      <c r="AK446" s="40"/>
      <c r="AL446" s="40"/>
      <c r="AM446" s="40"/>
      <c r="AN446" s="40"/>
      <c r="AO446" s="125"/>
      <c r="AP446" s="125"/>
      <c r="AQ446" s="303"/>
      <c r="AR446" s="303"/>
      <c r="AS446" s="303"/>
      <c r="AT446" s="106"/>
      <c r="AU446" s="106"/>
      <c r="AV446" s="106"/>
      <c r="AW446" s="126"/>
      <c r="AX446" s="126"/>
      <c r="AY446" s="126"/>
      <c r="AZ446" s="126"/>
      <c r="BA446" s="126"/>
      <c r="BB446" s="21"/>
      <c r="BC446" s="21"/>
      <c r="BD446" s="21"/>
      <c r="BE446" s="21"/>
    </row>
    <row r="447" customFormat="false" ht="14.1" hidden="true" customHeight="true" outlineLevel="1" collapsed="false">
      <c r="A447" s="261" t="s">
        <v>187</v>
      </c>
      <c r="B447" s="261"/>
      <c r="C447" s="261"/>
      <c r="D447" s="261"/>
      <c r="E447" s="262" t="n">
        <v>1</v>
      </c>
      <c r="F447" s="264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35"/>
      <c r="AI447" s="35"/>
      <c r="AJ447" s="35"/>
      <c r="AK447" s="35"/>
      <c r="AL447" s="35"/>
      <c r="AM447" s="40"/>
      <c r="AN447" s="40"/>
      <c r="AO447" s="125"/>
      <c r="AP447" s="125"/>
      <c r="AQ447" s="303"/>
      <c r="AR447" s="303"/>
      <c r="AS447" s="303"/>
      <c r="AT447" s="106"/>
      <c r="AU447" s="106"/>
      <c r="AV447" s="106"/>
      <c r="AW447" s="126"/>
      <c r="AX447" s="126"/>
      <c r="AY447" s="126"/>
      <c r="AZ447" s="126"/>
      <c r="BA447" s="126"/>
      <c r="BB447" s="21"/>
      <c r="BC447" s="21"/>
      <c r="BD447" s="21"/>
      <c r="BE447" s="21"/>
    </row>
    <row r="448" customFormat="false" ht="14.1" hidden="true" customHeight="true" outlineLevel="1" collapsed="false">
      <c r="A448" s="261" t="s">
        <v>188</v>
      </c>
      <c r="B448" s="261"/>
      <c r="C448" s="261"/>
      <c r="D448" s="261"/>
      <c r="E448" s="262" t="n">
        <v>1</v>
      </c>
      <c r="F448" s="264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  <c r="AA448" s="26"/>
      <c r="AB448" s="26"/>
      <c r="AC448" s="26"/>
      <c r="AD448" s="26"/>
      <c r="AE448" s="26"/>
      <c r="AF448" s="26"/>
      <c r="AG448" s="26"/>
      <c r="AH448" s="35"/>
      <c r="AI448" s="35"/>
      <c r="AJ448" s="35"/>
      <c r="AK448" s="35"/>
      <c r="AL448" s="35"/>
      <c r="AM448" s="40"/>
      <c r="AN448" s="40"/>
      <c r="AO448" s="125"/>
      <c r="AP448" s="125"/>
      <c r="AQ448" s="134"/>
      <c r="AR448" s="128"/>
      <c r="AS448" s="128"/>
      <c r="AT448" s="106"/>
      <c r="AU448" s="106"/>
      <c r="AV448" s="106"/>
      <c r="AW448" s="126"/>
      <c r="AX448" s="126"/>
      <c r="AY448" s="126"/>
      <c r="AZ448" s="126"/>
      <c r="BA448" s="126"/>
      <c r="BB448" s="21"/>
      <c r="BC448" s="21"/>
      <c r="BD448" s="21"/>
      <c r="BE448" s="21"/>
    </row>
    <row r="449" customFormat="false" ht="14.1" hidden="true" customHeight="true" outlineLevel="1" collapsed="false">
      <c r="A449" s="138"/>
      <c r="B449" s="235"/>
      <c r="C449" s="138"/>
      <c r="D449" s="138"/>
      <c r="E449" s="138"/>
      <c r="F449" s="138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  <c r="AA449" s="26"/>
      <c r="AB449" s="26"/>
      <c r="AC449" s="26"/>
      <c r="AD449" s="26"/>
      <c r="AE449" s="26"/>
      <c r="AF449" s="26"/>
      <c r="AG449" s="26"/>
      <c r="AH449" s="35"/>
      <c r="AI449" s="35"/>
      <c r="AJ449" s="35"/>
      <c r="AK449" s="35"/>
      <c r="AL449" s="35"/>
      <c r="AM449" s="40"/>
      <c r="AN449" s="40"/>
      <c r="AO449" s="125"/>
      <c r="AP449" s="125"/>
      <c r="AQ449" s="126"/>
      <c r="AR449" s="126"/>
      <c r="AS449" s="126"/>
      <c r="AT449" s="106"/>
      <c r="AU449" s="106"/>
      <c r="AV449" s="106"/>
      <c r="AW449" s="126"/>
      <c r="AX449" s="126"/>
      <c r="AY449" s="126" t="s">
        <v>205</v>
      </c>
      <c r="AZ449" s="126"/>
      <c r="BA449" s="126"/>
      <c r="BB449" s="21"/>
      <c r="BC449" s="21" t="n">
        <v>1</v>
      </c>
      <c r="BD449" s="72" t="n">
        <f aca="false">связи1!C569</f>
        <v>3</v>
      </c>
      <c r="BE449" s="21"/>
    </row>
    <row r="450" customFormat="false" ht="14.1" hidden="true" customHeight="true" outlineLevel="1" collapsed="false">
      <c r="A450" s="138"/>
      <c r="B450" s="304" t="s">
        <v>291</v>
      </c>
      <c r="C450" s="138"/>
      <c r="D450" s="138"/>
      <c r="E450" s="138"/>
      <c r="F450" s="138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  <c r="AA450" s="26"/>
      <c r="AB450" s="26"/>
      <c r="AC450" s="26"/>
      <c r="AD450" s="26"/>
      <c r="AE450" s="26"/>
      <c r="AF450" s="26"/>
      <c r="AG450" s="26"/>
      <c r="AH450" s="35"/>
      <c r="AI450" s="35"/>
      <c r="AJ450" s="35"/>
      <c r="AK450" s="35"/>
      <c r="AL450" s="35"/>
      <c r="AM450" s="40"/>
      <c r="AN450" s="40"/>
      <c r="AO450" s="125"/>
      <c r="AP450" s="125"/>
      <c r="AQ450" s="126"/>
      <c r="AR450" s="126"/>
      <c r="AS450" s="126"/>
      <c r="AT450" s="106"/>
      <c r="AU450" s="106"/>
      <c r="AV450" s="106"/>
      <c r="AW450" s="126"/>
      <c r="AX450" s="126"/>
      <c r="AY450" s="126" t="s">
        <v>208</v>
      </c>
      <c r="AZ450" s="126"/>
      <c r="BA450" s="126"/>
      <c r="BB450" s="21"/>
      <c r="BC450" s="21" t="n">
        <v>2</v>
      </c>
      <c r="BD450" s="72" t="n">
        <f aca="false">связи1!C570</f>
        <v>6</v>
      </c>
      <c r="BE450" s="21"/>
    </row>
    <row r="451" customFormat="false" ht="14.1" hidden="true" customHeight="true" outlineLevel="1" collapsed="false">
      <c r="A451" s="138"/>
      <c r="B451" s="304"/>
      <c r="C451" s="305" t="s">
        <v>292</v>
      </c>
      <c r="D451" s="292" t="s">
        <v>13</v>
      </c>
      <c r="E451" s="138"/>
      <c r="F451" s="138"/>
      <c r="G451" s="226" t="s">
        <v>15</v>
      </c>
      <c r="H451" s="214"/>
      <c r="I451" s="214"/>
      <c r="J451" s="214"/>
      <c r="K451" s="214"/>
      <c r="L451" s="26"/>
      <c r="M451" s="226"/>
      <c r="N451" s="214"/>
      <c r="O451" s="214"/>
      <c r="P451" s="214"/>
      <c r="Q451" s="214"/>
      <c r="R451" s="214"/>
      <c r="S451" s="214"/>
      <c r="T451" s="214"/>
      <c r="U451" s="214"/>
      <c r="V451" s="214"/>
      <c r="W451" s="214"/>
      <c r="X451" s="214"/>
      <c r="Y451" s="214"/>
      <c r="Z451" s="214"/>
      <c r="AA451" s="186" t="s">
        <v>241</v>
      </c>
      <c r="AB451" s="186"/>
      <c r="AC451" s="214"/>
      <c r="AD451" s="214"/>
      <c r="AE451" s="214"/>
      <c r="AF451" s="214"/>
      <c r="AG451" s="214"/>
      <c r="AH451" s="23"/>
      <c r="AI451" s="35"/>
      <c r="AJ451" s="35"/>
      <c r="AK451" s="35"/>
      <c r="AL451" s="35"/>
      <c r="AM451" s="40"/>
      <c r="AN451" s="40"/>
      <c r="AO451" s="125"/>
      <c r="AP451" s="125"/>
      <c r="AQ451" s="128"/>
      <c r="AR451" s="128"/>
      <c r="AS451" s="128"/>
      <c r="AT451" s="106"/>
      <c r="AU451" s="106"/>
      <c r="AV451" s="106"/>
      <c r="AW451" s="126"/>
      <c r="AX451" s="126"/>
      <c r="AY451" s="126" t="s">
        <v>293</v>
      </c>
      <c r="AZ451" s="126"/>
      <c r="BA451" s="126"/>
      <c r="BB451" s="21"/>
      <c r="BC451" s="21" t="n">
        <v>3</v>
      </c>
      <c r="BD451" s="72" t="n">
        <f aca="false">связи1!C571</f>
        <v>2.9</v>
      </c>
      <c r="BE451" s="21"/>
    </row>
    <row r="452" customFormat="false" ht="14.1" hidden="true" customHeight="true" outlineLevel="1" collapsed="false">
      <c r="A452" s="306" t="s">
        <v>294</v>
      </c>
      <c r="B452" s="304"/>
      <c r="C452" s="307" t="s">
        <v>15</v>
      </c>
      <c r="D452" s="308" t="n">
        <v>3</v>
      </c>
      <c r="E452" s="272"/>
      <c r="F452" s="272"/>
      <c r="G452" s="217" t="n">
        <v>7.5</v>
      </c>
      <c r="H452" s="214"/>
      <c r="I452" s="214"/>
      <c r="J452" s="214"/>
      <c r="K452" s="214"/>
      <c r="L452" s="26"/>
      <c r="M452" s="217"/>
      <c r="N452" s="214"/>
      <c r="O452" s="214"/>
      <c r="P452" s="214"/>
      <c r="Q452" s="214"/>
      <c r="R452" s="214"/>
      <c r="S452" s="214"/>
      <c r="T452" s="214"/>
      <c r="U452" s="214"/>
      <c r="V452" s="214"/>
      <c r="W452" s="214"/>
      <c r="X452" s="214"/>
      <c r="Y452" s="165"/>
      <c r="Z452" s="165"/>
      <c r="AA452" s="309" t="n">
        <v>45</v>
      </c>
      <c r="AB452" s="309"/>
      <c r="AC452" s="214"/>
      <c r="AD452" s="214"/>
      <c r="AE452" s="214"/>
      <c r="AF452" s="214"/>
      <c r="AG452" s="214"/>
      <c r="AH452" s="23"/>
      <c r="AI452" s="35"/>
      <c r="AJ452" s="35"/>
      <c r="AK452" s="35"/>
      <c r="AL452" s="35"/>
      <c r="AM452" s="40"/>
      <c r="AN452" s="40"/>
      <c r="AO452" s="125"/>
      <c r="AP452" s="125"/>
      <c r="AQ452" s="128"/>
      <c r="AR452" s="128"/>
      <c r="AS452" s="134"/>
      <c r="AT452" s="106"/>
      <c r="AU452" s="106"/>
      <c r="AV452" s="106"/>
      <c r="AW452" s="126"/>
      <c r="AX452" s="126"/>
      <c r="AY452" s="126" t="s">
        <v>295</v>
      </c>
      <c r="AZ452" s="126"/>
      <c r="BA452" s="126"/>
      <c r="BB452" s="21"/>
      <c r="BC452" s="21" t="n">
        <v>4</v>
      </c>
      <c r="BD452" s="72" t="n">
        <f aca="false">связи1!C574</f>
        <v>2.5</v>
      </c>
      <c r="BE452" s="21"/>
    </row>
    <row r="453" customFormat="false" ht="14.1" hidden="true" customHeight="true" outlineLevel="1" collapsed="false">
      <c r="A453" s="138"/>
      <c r="B453" s="196"/>
      <c r="C453" s="138"/>
      <c r="D453" s="138"/>
      <c r="E453" s="138"/>
      <c r="F453" s="138"/>
      <c r="G453" s="26"/>
      <c r="H453" s="217"/>
      <c r="I453" s="217"/>
      <c r="J453" s="217"/>
      <c r="K453" s="221"/>
      <c r="L453" s="217"/>
      <c r="M453" s="217"/>
      <c r="N453" s="221"/>
      <c r="O453" s="221"/>
      <c r="P453" s="221"/>
      <c r="Q453" s="221"/>
      <c r="R453" s="221"/>
      <c r="S453" s="221"/>
      <c r="T453" s="221"/>
      <c r="U453" s="221"/>
      <c r="V453" s="221"/>
      <c r="W453" s="221"/>
      <c r="X453" s="221"/>
      <c r="Y453" s="165"/>
      <c r="Z453" s="165"/>
      <c r="AA453" s="309"/>
      <c r="AB453" s="309"/>
      <c r="AC453" s="221"/>
      <c r="AD453" s="221"/>
      <c r="AE453" s="221"/>
      <c r="AF453" s="221"/>
      <c r="AG453" s="221"/>
      <c r="AH453" s="24"/>
      <c r="AI453" s="35"/>
      <c r="AJ453" s="35"/>
      <c r="AK453" s="35"/>
      <c r="AL453" s="35"/>
      <c r="AM453" s="40"/>
      <c r="AN453" s="40"/>
      <c r="AO453" s="125"/>
      <c r="AP453" s="125"/>
      <c r="AQ453" s="128"/>
      <c r="AR453" s="128"/>
      <c r="AS453" s="128"/>
      <c r="AT453" s="106"/>
      <c r="AU453" s="106"/>
      <c r="AV453" s="106"/>
      <c r="AW453" s="126"/>
      <c r="AX453" s="126"/>
      <c r="AY453" s="126" t="s">
        <v>296</v>
      </c>
      <c r="AZ453" s="126"/>
      <c r="BA453" s="126"/>
      <c r="BB453" s="21"/>
      <c r="BC453" s="21" t="n">
        <v>5</v>
      </c>
      <c r="BD453" s="72" t="n">
        <f aca="false">связи1!C576</f>
        <v>1.2</v>
      </c>
      <c r="BE453" s="21"/>
    </row>
    <row r="454" customFormat="false" ht="14.1" hidden="true" customHeight="true" outlineLevel="1" collapsed="false">
      <c r="A454" s="139" t="s">
        <v>66</v>
      </c>
      <c r="B454" s="304" t="s">
        <v>297</v>
      </c>
      <c r="C454" s="138"/>
      <c r="D454" s="138"/>
      <c r="E454" s="138"/>
      <c r="F454" s="138"/>
      <c r="G454" s="226" t="s">
        <v>15</v>
      </c>
      <c r="H454" s="217"/>
      <c r="I454" s="26"/>
      <c r="J454" s="226"/>
      <c r="K454" s="221"/>
      <c r="L454" s="221"/>
      <c r="M454" s="221"/>
      <c r="N454" s="221"/>
      <c r="O454" s="221"/>
      <c r="P454" s="221"/>
      <c r="Q454" s="221"/>
      <c r="R454" s="221"/>
      <c r="S454" s="221"/>
      <c r="T454" s="221"/>
      <c r="U454" s="221"/>
      <c r="V454" s="221"/>
      <c r="W454" s="221"/>
      <c r="X454" s="221"/>
      <c r="Y454" s="221"/>
      <c r="Z454" s="221"/>
      <c r="AA454" s="221"/>
      <c r="AB454" s="221"/>
      <c r="AC454" s="221"/>
      <c r="AD454" s="221"/>
      <c r="AE454" s="221"/>
      <c r="AF454" s="221"/>
      <c r="AG454" s="221"/>
      <c r="AH454" s="24"/>
      <c r="AI454" s="35"/>
      <c r="AJ454" s="35"/>
      <c r="AK454" s="35"/>
      <c r="AL454" s="35"/>
      <c r="AM454" s="40"/>
      <c r="AN454" s="40"/>
      <c r="AO454" s="125"/>
      <c r="AP454" s="125"/>
      <c r="AQ454" s="126"/>
      <c r="AR454" s="303"/>
      <c r="AS454" s="128"/>
      <c r="AT454" s="106"/>
      <c r="AU454" s="106"/>
      <c r="AV454" s="106"/>
      <c r="AW454" s="126"/>
      <c r="AX454" s="126"/>
      <c r="AY454" s="126" t="s">
        <v>298</v>
      </c>
      <c r="AZ454" s="126"/>
      <c r="BA454" s="126"/>
      <c r="BB454" s="21"/>
      <c r="BC454" s="21" t="n">
        <v>6</v>
      </c>
      <c r="BD454" s="72" t="n">
        <f aca="false">связи1!C575</f>
        <v>1.9</v>
      </c>
      <c r="BE454" s="21"/>
    </row>
    <row r="455" customFormat="false" ht="14.1" hidden="true" customHeight="true" outlineLevel="1" collapsed="false">
      <c r="A455" s="139" t="s">
        <v>299</v>
      </c>
      <c r="B455" s="304"/>
      <c r="C455" s="305" t="s">
        <v>292</v>
      </c>
      <c r="D455" s="292" t="s">
        <v>13</v>
      </c>
      <c r="E455" s="138"/>
      <c r="F455" s="138"/>
      <c r="G455" s="217" t="n">
        <v>7.3</v>
      </c>
      <c r="H455" s="217"/>
      <c r="I455" s="26"/>
      <c r="J455" s="217"/>
      <c r="K455" s="217"/>
      <c r="L455" s="221"/>
      <c r="M455" s="221"/>
      <c r="N455" s="221"/>
      <c r="O455" s="221"/>
      <c r="P455" s="221"/>
      <c r="Q455" s="221"/>
      <c r="R455" s="221"/>
      <c r="S455" s="221"/>
      <c r="T455" s="221"/>
      <c r="U455" s="221"/>
      <c r="V455" s="221"/>
      <c r="W455" s="221"/>
      <c r="X455" s="221"/>
      <c r="Y455" s="221"/>
      <c r="Z455" s="221"/>
      <c r="AA455" s="221"/>
      <c r="AB455" s="221"/>
      <c r="AC455" s="217"/>
      <c r="AD455" s="217"/>
      <c r="AE455" s="217"/>
      <c r="AF455" s="217"/>
      <c r="AG455" s="217"/>
      <c r="AH455" s="47"/>
      <c r="AI455" s="35"/>
      <c r="AJ455" s="35"/>
      <c r="AK455" s="35"/>
      <c r="AL455" s="35"/>
      <c r="AM455" s="40"/>
      <c r="AN455" s="40"/>
      <c r="AO455" s="125"/>
      <c r="AP455" s="125"/>
      <c r="AQ455" s="126"/>
      <c r="AR455" s="303"/>
      <c r="AS455" s="128"/>
      <c r="AT455" s="106"/>
      <c r="AU455" s="106"/>
      <c r="AV455" s="106"/>
      <c r="AW455" s="126"/>
      <c r="AX455" s="126"/>
      <c r="AY455" s="126" t="s">
        <v>300</v>
      </c>
      <c r="AZ455" s="126"/>
      <c r="BA455" s="126"/>
      <c r="BB455" s="21"/>
      <c r="BC455" s="21" t="n">
        <v>7</v>
      </c>
      <c r="BD455" s="72" t="n">
        <f aca="false">AH477</f>
        <v>0</v>
      </c>
      <c r="BE455" s="21"/>
    </row>
    <row r="456" customFormat="false" ht="14.1" hidden="true" customHeight="true" outlineLevel="1" collapsed="false">
      <c r="A456" s="306" t="s">
        <v>301</v>
      </c>
      <c r="B456" s="304"/>
      <c r="C456" s="307" t="s">
        <v>15</v>
      </c>
      <c r="D456" s="308" t="n">
        <v>2</v>
      </c>
      <c r="E456" s="138"/>
      <c r="F456" s="138"/>
      <c r="G456" s="165"/>
      <c r="H456" s="217"/>
      <c r="I456" s="217"/>
      <c r="J456" s="217"/>
      <c r="K456" s="217"/>
      <c r="L456" s="221"/>
      <c r="M456" s="221"/>
      <c r="N456" s="221"/>
      <c r="O456" s="221"/>
      <c r="P456" s="221"/>
      <c r="Q456" s="221"/>
      <c r="R456" s="221"/>
      <c r="S456" s="221"/>
      <c r="T456" s="221"/>
      <c r="U456" s="221"/>
      <c r="V456" s="221"/>
      <c r="W456" s="221"/>
      <c r="X456" s="221"/>
      <c r="Y456" s="221"/>
      <c r="Z456" s="221"/>
      <c r="AA456" s="221"/>
      <c r="AB456" s="221"/>
      <c r="AC456" s="217"/>
      <c r="AD456" s="217"/>
      <c r="AE456" s="217"/>
      <c r="AF456" s="26"/>
      <c r="AG456" s="230"/>
      <c r="AH456" s="302" t="s">
        <v>15</v>
      </c>
      <c r="AI456" s="35"/>
      <c r="AJ456" s="35"/>
      <c r="AK456" s="35"/>
      <c r="AL456" s="35"/>
      <c r="AM456" s="40"/>
      <c r="AN456" s="40"/>
      <c r="AO456" s="125"/>
      <c r="AP456" s="125"/>
      <c r="AQ456" s="126"/>
      <c r="AR456" s="134"/>
      <c r="AS456" s="128"/>
      <c r="AT456" s="106"/>
      <c r="AU456" s="106"/>
      <c r="AV456" s="106"/>
      <c r="AW456" s="126"/>
      <c r="AX456" s="126"/>
      <c r="AY456" s="126" t="s">
        <v>302</v>
      </c>
      <c r="AZ456" s="126"/>
      <c r="BA456" s="126"/>
      <c r="BB456" s="21"/>
      <c r="BC456" s="21" t="n">
        <v>8</v>
      </c>
      <c r="BD456" s="72" t="n">
        <f aca="false">AH473</f>
        <v>0.2</v>
      </c>
      <c r="BE456" s="21"/>
    </row>
    <row r="457" customFormat="false" ht="14.1" hidden="true" customHeight="true" outlineLevel="1" collapsed="false">
      <c r="A457" s="138"/>
      <c r="B457" s="235"/>
      <c r="C457" s="138"/>
      <c r="D457" s="138"/>
      <c r="E457" s="138"/>
      <c r="F457" s="138"/>
      <c r="G457" s="165"/>
      <c r="H457" s="217"/>
      <c r="I457" s="217"/>
      <c r="J457" s="217"/>
      <c r="K457" s="217"/>
      <c r="L457" s="221"/>
      <c r="M457" s="221"/>
      <c r="N457" s="221"/>
      <c r="O457" s="221"/>
      <c r="P457" s="221"/>
      <c r="Q457" s="221"/>
      <c r="R457" s="221"/>
      <c r="S457" s="221"/>
      <c r="T457" s="233"/>
      <c r="U457" s="221"/>
      <c r="V457" s="221"/>
      <c r="W457" s="221"/>
      <c r="X457" s="221"/>
      <c r="Y457" s="221"/>
      <c r="Z457" s="221"/>
      <c r="AA457" s="221"/>
      <c r="AB457" s="221"/>
      <c r="AC457" s="217"/>
      <c r="AD457" s="217"/>
      <c r="AE457" s="217"/>
      <c r="AF457" s="26"/>
      <c r="AG457" s="221"/>
      <c r="AH457" s="24" t="n">
        <v>6.3</v>
      </c>
      <c r="AI457" s="35"/>
      <c r="AJ457" s="35"/>
      <c r="AK457" s="35"/>
      <c r="AL457" s="35"/>
      <c r="AM457" s="40"/>
      <c r="AN457" s="40"/>
      <c r="AO457" s="125"/>
      <c r="AP457" s="125"/>
      <c r="AQ457" s="126"/>
      <c r="AR457" s="134"/>
      <c r="AS457" s="128"/>
      <c r="AT457" s="106"/>
      <c r="AU457" s="106"/>
      <c r="AV457" s="106"/>
      <c r="AW457" s="126"/>
      <c r="AX457" s="126"/>
      <c r="AY457" s="126" t="s">
        <v>303</v>
      </c>
      <c r="AZ457" s="126"/>
      <c r="BA457" s="126"/>
      <c r="BB457" s="21"/>
      <c r="BC457" s="21" t="n">
        <v>9</v>
      </c>
      <c r="BD457" s="72" t="n">
        <f aca="false">AH469</f>
        <v>3.2</v>
      </c>
      <c r="BE457" s="21"/>
    </row>
    <row r="458" customFormat="false" ht="14.1" hidden="true" customHeight="true" outlineLevel="1" collapsed="false">
      <c r="A458" s="139" t="s">
        <v>66</v>
      </c>
      <c r="B458" s="304" t="s">
        <v>304</v>
      </c>
      <c r="C458" s="138"/>
      <c r="D458" s="138"/>
      <c r="E458" s="138"/>
      <c r="F458" s="138"/>
      <c r="G458" s="165"/>
      <c r="H458" s="217"/>
      <c r="I458" s="217"/>
      <c r="J458" s="217"/>
      <c r="K458" s="217"/>
      <c r="L458" s="221"/>
      <c r="M458" s="221"/>
      <c r="N458" s="221"/>
      <c r="O458" s="221"/>
      <c r="P458" s="221"/>
      <c r="Q458" s="221"/>
      <c r="R458" s="221"/>
      <c r="S458" s="221"/>
      <c r="T458" s="221"/>
      <c r="U458" s="221"/>
      <c r="V458" s="221"/>
      <c r="W458" s="221"/>
      <c r="X458" s="221"/>
      <c r="Y458" s="221"/>
      <c r="Z458" s="221"/>
      <c r="AA458" s="221"/>
      <c r="AB458" s="221"/>
      <c r="AC458" s="217"/>
      <c r="AD458" s="217"/>
      <c r="AE458" s="217"/>
      <c r="AF458" s="221"/>
      <c r="AG458" s="221"/>
      <c r="AH458" s="47"/>
      <c r="AI458" s="35"/>
      <c r="AJ458" s="35"/>
      <c r="AK458" s="35"/>
      <c r="AL458" s="35"/>
      <c r="AM458" s="40"/>
      <c r="AN458" s="40"/>
      <c r="AO458" s="125"/>
      <c r="AP458" s="125"/>
      <c r="AQ458" s="126"/>
      <c r="AR458" s="128"/>
      <c r="AS458" s="128"/>
      <c r="AT458" s="106"/>
      <c r="AU458" s="106"/>
      <c r="AV458" s="106"/>
      <c r="AW458" s="126"/>
      <c r="AX458" s="126"/>
      <c r="AY458" s="126" t="s">
        <v>305</v>
      </c>
      <c r="AZ458" s="126"/>
      <c r="BA458" s="126"/>
      <c r="BB458" s="21"/>
      <c r="BC458" s="21" t="n">
        <v>10</v>
      </c>
      <c r="BD458" s="72" t="n">
        <f aca="false">AH465</f>
        <v>3.4</v>
      </c>
      <c r="BE458" s="21"/>
    </row>
    <row r="459" customFormat="false" ht="14.1" hidden="true" customHeight="true" outlineLevel="1" collapsed="false">
      <c r="A459" s="310" t="s">
        <v>22</v>
      </c>
      <c r="B459" s="304"/>
      <c r="C459" s="305" t="s">
        <v>292</v>
      </c>
      <c r="D459" s="292" t="s">
        <v>13</v>
      </c>
      <c r="E459" s="138"/>
      <c r="F459" s="138"/>
      <c r="G459" s="190" t="s">
        <v>15</v>
      </c>
      <c r="H459" s="217"/>
      <c r="I459" s="217"/>
      <c r="J459" s="217"/>
      <c r="K459" s="217"/>
      <c r="L459" s="221"/>
      <c r="M459" s="221"/>
      <c r="N459" s="221"/>
      <c r="O459" s="221"/>
      <c r="P459" s="221"/>
      <c r="Q459" s="221"/>
      <c r="R459" s="221"/>
      <c r="S459" s="221"/>
      <c r="T459" s="221"/>
      <c r="U459" s="221"/>
      <c r="V459" s="221"/>
      <c r="W459" s="221"/>
      <c r="X459" s="221"/>
      <c r="Y459" s="221"/>
      <c r="Z459" s="221"/>
      <c r="AA459" s="221"/>
      <c r="AB459" s="221"/>
      <c r="AC459" s="217"/>
      <c r="AD459" s="217"/>
      <c r="AE459" s="221"/>
      <c r="AF459" s="217"/>
      <c r="AG459" s="26"/>
      <c r="AH459" s="41"/>
      <c r="AI459" s="35"/>
      <c r="AJ459" s="35"/>
      <c r="AK459" s="35"/>
      <c r="AL459" s="35"/>
      <c r="AM459" s="40"/>
      <c r="AN459" s="40"/>
      <c r="AO459" s="125"/>
      <c r="AP459" s="125"/>
      <c r="AQ459" s="126"/>
      <c r="AR459" s="128"/>
      <c r="AS459" s="128"/>
      <c r="AT459" s="106"/>
      <c r="AU459" s="106"/>
      <c r="AV459" s="106"/>
      <c r="AW459" s="126"/>
      <c r="AX459" s="126"/>
      <c r="AY459" s="126" t="s">
        <v>295</v>
      </c>
      <c r="AZ459" s="126"/>
      <c r="BA459" s="126"/>
      <c r="BB459" s="21"/>
      <c r="BC459" s="21" t="n">
        <v>1</v>
      </c>
      <c r="BD459" s="72"/>
      <c r="BE459" s="21"/>
    </row>
    <row r="460" customFormat="false" ht="14.1" hidden="true" customHeight="true" outlineLevel="1" collapsed="false">
      <c r="A460" s="306" t="s">
        <v>306</v>
      </c>
      <c r="B460" s="304"/>
      <c r="C460" s="307" t="s">
        <v>15</v>
      </c>
      <c r="D460" s="308" t="n">
        <v>3</v>
      </c>
      <c r="E460" s="138"/>
      <c r="F460" s="138"/>
      <c r="G460" s="281" t="n">
        <v>6</v>
      </c>
      <c r="H460" s="217"/>
      <c r="I460" s="217"/>
      <c r="J460" s="217"/>
      <c r="K460" s="217"/>
      <c r="L460" s="221"/>
      <c r="M460" s="221"/>
      <c r="N460" s="221"/>
      <c r="O460" s="221"/>
      <c r="P460" s="221"/>
      <c r="Q460" s="221"/>
      <c r="R460" s="221"/>
      <c r="S460" s="221"/>
      <c r="T460" s="221"/>
      <c r="U460" s="221"/>
      <c r="V460" s="221"/>
      <c r="W460" s="221"/>
      <c r="X460" s="221"/>
      <c r="Y460" s="221"/>
      <c r="Z460" s="221"/>
      <c r="AA460" s="221"/>
      <c r="AB460" s="221"/>
      <c r="AC460" s="217"/>
      <c r="AD460" s="217"/>
      <c r="AE460" s="217"/>
      <c r="AF460" s="217"/>
      <c r="AG460" s="26"/>
      <c r="AH460" s="41" t="s">
        <v>15</v>
      </c>
      <c r="AI460" s="35"/>
      <c r="AJ460" s="35"/>
      <c r="AK460" s="35"/>
      <c r="AL460" s="35"/>
      <c r="AM460" s="40"/>
      <c r="AN460" s="40"/>
      <c r="AO460" s="125"/>
      <c r="AP460" s="125"/>
      <c r="AQ460" s="126"/>
      <c r="AR460" s="128"/>
      <c r="AS460" s="128"/>
      <c r="AT460" s="106"/>
      <c r="AU460" s="106"/>
      <c r="AV460" s="106"/>
      <c r="AW460" s="126"/>
      <c r="AX460" s="126"/>
      <c r="AY460" s="126" t="s">
        <v>307</v>
      </c>
      <c r="AZ460" s="126"/>
      <c r="BA460" s="126"/>
      <c r="BB460" s="21"/>
      <c r="BC460" s="21"/>
      <c r="BD460" s="72" t="n">
        <f aca="false">G463</f>
        <v>5.8</v>
      </c>
      <c r="BE460" s="21"/>
    </row>
    <row r="461" customFormat="false" ht="14.1" hidden="true" customHeight="true" outlineLevel="1" collapsed="false">
      <c r="A461" s="138"/>
      <c r="B461" s="235"/>
      <c r="C461" s="138"/>
      <c r="D461" s="138"/>
      <c r="E461" s="138"/>
      <c r="F461" s="138"/>
      <c r="G461" s="165"/>
      <c r="H461" s="217"/>
      <c r="I461" s="217"/>
      <c r="J461" s="217"/>
      <c r="K461" s="217"/>
      <c r="L461" s="221"/>
      <c r="M461" s="221"/>
      <c r="N461" s="221"/>
      <c r="O461" s="221"/>
      <c r="P461" s="221"/>
      <c r="Q461" s="221"/>
      <c r="R461" s="221"/>
      <c r="S461" s="221"/>
      <c r="T461" s="221"/>
      <c r="U461" s="221"/>
      <c r="V461" s="221"/>
      <c r="W461" s="221"/>
      <c r="X461" s="221"/>
      <c r="Y461" s="221"/>
      <c r="Z461" s="221"/>
      <c r="AA461" s="221"/>
      <c r="AB461" s="221"/>
      <c r="AC461" s="217"/>
      <c r="AD461" s="217"/>
      <c r="AE461" s="217"/>
      <c r="AF461" s="217"/>
      <c r="AG461" s="221"/>
      <c r="AH461" s="24" t="n">
        <v>6.1</v>
      </c>
      <c r="AI461" s="35"/>
      <c r="AJ461" s="35"/>
      <c r="AK461" s="35"/>
      <c r="AL461" s="35"/>
      <c r="AM461" s="40"/>
      <c r="AN461" s="40"/>
      <c r="AO461" s="125"/>
      <c r="AP461" s="125"/>
      <c r="AQ461" s="126"/>
      <c r="AR461" s="128"/>
      <c r="AS461" s="127"/>
      <c r="AT461" s="106"/>
      <c r="AU461" s="106"/>
      <c r="AV461" s="106"/>
      <c r="AW461" s="126"/>
      <c r="AX461" s="126"/>
      <c r="AY461" s="126" t="s">
        <v>308</v>
      </c>
      <c r="AZ461" s="126"/>
      <c r="BA461" s="126"/>
      <c r="BB461" s="21"/>
      <c r="BC461" s="21"/>
      <c r="BD461" s="72" t="n">
        <f aca="false">G460</f>
        <v>6</v>
      </c>
      <c r="BE461" s="21"/>
    </row>
    <row r="462" customFormat="false" ht="14.1" hidden="true" customHeight="true" outlineLevel="1" collapsed="false">
      <c r="A462" s="139" t="s">
        <v>66</v>
      </c>
      <c r="B462" s="304" t="s">
        <v>309</v>
      </c>
      <c r="C462" s="138"/>
      <c r="D462" s="138"/>
      <c r="E462" s="138"/>
      <c r="F462" s="138"/>
      <c r="G462" s="190" t="s">
        <v>15</v>
      </c>
      <c r="H462" s="217"/>
      <c r="I462" s="217"/>
      <c r="J462" s="217"/>
      <c r="K462" s="217"/>
      <c r="L462" s="221"/>
      <c r="M462" s="221"/>
      <c r="N462" s="221"/>
      <c r="O462" s="221"/>
      <c r="P462" s="221"/>
      <c r="Q462" s="221"/>
      <c r="R462" s="221"/>
      <c r="S462" s="221"/>
      <c r="T462" s="221"/>
      <c r="U462" s="221"/>
      <c r="V462" s="221"/>
      <c r="W462" s="221"/>
      <c r="X462" s="221"/>
      <c r="Y462" s="221"/>
      <c r="Z462" s="221"/>
      <c r="AA462" s="221"/>
      <c r="AB462" s="221"/>
      <c r="AC462" s="217"/>
      <c r="AD462" s="217"/>
      <c r="AE462" s="217"/>
      <c r="AF462" s="217"/>
      <c r="AG462" s="217"/>
      <c r="AH462" s="47"/>
      <c r="AI462" s="35"/>
      <c r="AJ462" s="35"/>
      <c r="AK462" s="35"/>
      <c r="AL462" s="35"/>
      <c r="AM462" s="40"/>
      <c r="AN462" s="40"/>
      <c r="AO462" s="125"/>
      <c r="AP462" s="125"/>
      <c r="AQ462" s="126"/>
      <c r="AR462" s="128"/>
      <c r="AS462" s="127"/>
      <c r="AT462" s="106"/>
      <c r="AU462" s="106"/>
      <c r="AV462" s="106"/>
      <c r="AW462" s="126"/>
      <c r="AX462" s="126"/>
      <c r="AY462" s="126" t="s">
        <v>310</v>
      </c>
      <c r="AZ462" s="126"/>
      <c r="BA462" s="126"/>
      <c r="BB462" s="21"/>
      <c r="BC462" s="21"/>
      <c r="BD462" s="72" t="n">
        <f aca="false">G452</f>
        <v>7.5</v>
      </c>
      <c r="BE462" s="21"/>
    </row>
    <row r="463" customFormat="false" ht="14.1" hidden="true" customHeight="true" outlineLevel="1" collapsed="false">
      <c r="A463" s="139" t="s">
        <v>311</v>
      </c>
      <c r="B463" s="304"/>
      <c r="C463" s="305" t="s">
        <v>292</v>
      </c>
      <c r="D463" s="292" t="s">
        <v>13</v>
      </c>
      <c r="E463" s="138"/>
      <c r="F463" s="138"/>
      <c r="G463" s="281" t="n">
        <v>5.8</v>
      </c>
      <c r="H463" s="217"/>
      <c r="I463" s="217"/>
      <c r="J463" s="217"/>
      <c r="K463" s="217"/>
      <c r="L463" s="221"/>
      <c r="M463" s="221"/>
      <c r="N463" s="221"/>
      <c r="O463" s="221"/>
      <c r="P463" s="221"/>
      <c r="Q463" s="221"/>
      <c r="R463" s="221"/>
      <c r="S463" s="221"/>
      <c r="T463" s="221"/>
      <c r="U463" s="221"/>
      <c r="V463" s="221"/>
      <c r="W463" s="221"/>
      <c r="X463" s="221"/>
      <c r="Y463" s="221"/>
      <c r="Z463" s="221"/>
      <c r="AA463" s="221"/>
      <c r="AB463" s="221"/>
      <c r="AC463" s="217"/>
      <c r="AD463" s="217"/>
      <c r="AE463" s="217"/>
      <c r="AF463" s="217"/>
      <c r="AG463" s="26"/>
      <c r="AH463" s="41"/>
      <c r="AI463" s="35"/>
      <c r="AJ463" s="35"/>
      <c r="AK463" s="35"/>
      <c r="AL463" s="35"/>
      <c r="AM463" s="40"/>
      <c r="AN463" s="40"/>
      <c r="AO463" s="125"/>
      <c r="AP463" s="125"/>
      <c r="AQ463" s="126"/>
      <c r="AR463" s="128"/>
      <c r="AS463" s="127"/>
      <c r="AT463" s="106"/>
      <c r="AU463" s="106"/>
      <c r="AV463" s="106"/>
      <c r="AW463" s="126"/>
      <c r="AX463" s="126"/>
      <c r="AY463" s="126" t="s">
        <v>312</v>
      </c>
      <c r="AZ463" s="126"/>
      <c r="BA463" s="126"/>
      <c r="BB463" s="21"/>
      <c r="BC463" s="21"/>
      <c r="BD463" s="72" t="n">
        <f aca="false">G455</f>
        <v>7.3</v>
      </c>
      <c r="BE463" s="21"/>
    </row>
    <row r="464" customFormat="false" ht="14.1" hidden="true" customHeight="true" outlineLevel="1" collapsed="false">
      <c r="A464" s="306" t="s">
        <v>313</v>
      </c>
      <c r="B464" s="304"/>
      <c r="C464" s="307" t="s">
        <v>15</v>
      </c>
      <c r="D464" s="308" t="n">
        <v>2.5</v>
      </c>
      <c r="E464" s="138"/>
      <c r="F464" s="138"/>
      <c r="G464" s="165"/>
      <c r="H464" s="217"/>
      <c r="I464" s="217"/>
      <c r="J464" s="217"/>
      <c r="K464" s="217"/>
      <c r="L464" s="221"/>
      <c r="M464" s="221"/>
      <c r="N464" s="221"/>
      <c r="O464" s="221"/>
      <c r="P464" s="221"/>
      <c r="Q464" s="221"/>
      <c r="R464" s="221"/>
      <c r="S464" s="221"/>
      <c r="T464" s="221"/>
      <c r="U464" s="221"/>
      <c r="V464" s="221"/>
      <c r="W464" s="221"/>
      <c r="X464" s="221"/>
      <c r="Y464" s="221"/>
      <c r="Z464" s="221"/>
      <c r="AA464" s="221"/>
      <c r="AB464" s="221"/>
      <c r="AC464" s="217"/>
      <c r="AD464" s="217"/>
      <c r="AE464" s="217"/>
      <c r="AF464" s="217"/>
      <c r="AG464" s="26"/>
      <c r="AH464" s="41" t="s">
        <v>15</v>
      </c>
      <c r="AI464" s="35"/>
      <c r="AJ464" s="35"/>
      <c r="AK464" s="35"/>
      <c r="AL464" s="35"/>
      <c r="AM464" s="40"/>
      <c r="AN464" s="40"/>
      <c r="AO464" s="125"/>
      <c r="AP464" s="125"/>
      <c r="AQ464" s="126"/>
      <c r="AR464" s="128"/>
      <c r="AS464" s="127"/>
      <c r="AT464" s="106"/>
      <c r="AU464" s="106"/>
      <c r="AV464" s="106"/>
      <c r="AW464" s="126"/>
      <c r="AX464" s="126"/>
      <c r="AY464" s="126" t="s">
        <v>314</v>
      </c>
      <c r="AZ464" s="126"/>
      <c r="BA464" s="126"/>
      <c r="BB464" s="21"/>
      <c r="BC464" s="21"/>
      <c r="BD464" s="72" t="n">
        <f aca="false">AH461</f>
        <v>6.1</v>
      </c>
      <c r="BE464" s="21"/>
    </row>
    <row r="465" customFormat="false" ht="14.1" hidden="true" customHeight="true" outlineLevel="1" collapsed="false">
      <c r="A465" s="311"/>
      <c r="B465" s="235"/>
      <c r="C465" s="138"/>
      <c r="D465" s="138"/>
      <c r="E465" s="138"/>
      <c r="F465" s="138"/>
      <c r="G465" s="165"/>
      <c r="H465" s="217"/>
      <c r="I465" s="217"/>
      <c r="J465" s="217"/>
      <c r="K465" s="217"/>
      <c r="L465" s="221"/>
      <c r="M465" s="221"/>
      <c r="N465" s="221"/>
      <c r="O465" s="221"/>
      <c r="P465" s="221"/>
      <c r="Q465" s="221"/>
      <c r="R465" s="221"/>
      <c r="S465" s="221"/>
      <c r="T465" s="221"/>
      <c r="U465" s="221"/>
      <c r="V465" s="221"/>
      <c r="W465" s="221"/>
      <c r="X465" s="221"/>
      <c r="Y465" s="221"/>
      <c r="Z465" s="221"/>
      <c r="AA465" s="221"/>
      <c r="AB465" s="221"/>
      <c r="AC465" s="217"/>
      <c r="AD465" s="217"/>
      <c r="AE465" s="217"/>
      <c r="AF465" s="132"/>
      <c r="AG465" s="221"/>
      <c r="AH465" s="24" t="n">
        <v>3.4</v>
      </c>
      <c r="AI465" s="35"/>
      <c r="AJ465" s="35"/>
      <c r="AK465" s="35"/>
      <c r="AL465" s="35"/>
      <c r="AM465" s="40"/>
      <c r="AN465" s="40"/>
      <c r="AO465" s="125"/>
      <c r="AP465" s="125"/>
      <c r="AQ465" s="126"/>
      <c r="AR465" s="128"/>
      <c r="AS465" s="127"/>
      <c r="AT465" s="106"/>
      <c r="AU465" s="106"/>
      <c r="AV465" s="106"/>
      <c r="AW465" s="126"/>
      <c r="AX465" s="126"/>
      <c r="AY465" s="126" t="s">
        <v>315</v>
      </c>
      <c r="AZ465" s="126"/>
      <c r="BA465" s="126"/>
      <c r="BB465" s="21"/>
      <c r="BC465" s="21"/>
      <c r="BD465" s="72" t="n">
        <f aca="false">AH457</f>
        <v>6.3</v>
      </c>
      <c r="BE465" s="21"/>
    </row>
    <row r="466" customFormat="false" ht="14.1" hidden="true" customHeight="true" outlineLevel="1" collapsed="false">
      <c r="A466" s="305" t="s">
        <v>46</v>
      </c>
      <c r="B466" s="312" t="s">
        <v>12</v>
      </c>
      <c r="C466" s="312" t="s">
        <v>13</v>
      </c>
      <c r="D466" s="312"/>
      <c r="E466" s="312"/>
      <c r="F466" s="312"/>
      <c r="G466" s="26"/>
      <c r="H466" s="190" t="s">
        <v>15</v>
      </c>
      <c r="I466" s="221"/>
      <c r="J466" s="221"/>
      <c r="K466" s="217"/>
      <c r="L466" s="221"/>
      <c r="M466" s="221"/>
      <c r="N466" s="221"/>
      <c r="O466" s="221"/>
      <c r="P466" s="221"/>
      <c r="Q466" s="221"/>
      <c r="R466" s="221"/>
      <c r="S466" s="221"/>
      <c r="T466" s="221"/>
      <c r="U466" s="221"/>
      <c r="V466" s="221"/>
      <c r="W466" s="221"/>
      <c r="X466" s="221"/>
      <c r="Y466" s="221"/>
      <c r="Z466" s="221"/>
      <c r="AA466" s="165"/>
      <c r="AB466" s="221"/>
      <c r="AC466" s="217"/>
      <c r="AD466" s="217"/>
      <c r="AE466" s="217"/>
      <c r="AF466" s="132"/>
      <c r="AG466" s="132"/>
      <c r="AH466" s="47"/>
      <c r="AI466" s="35"/>
      <c r="AJ466" s="35"/>
      <c r="AK466" s="35"/>
      <c r="AL466" s="35"/>
      <c r="AM466" s="40"/>
      <c r="AN466" s="40"/>
      <c r="AO466" s="125"/>
      <c r="AP466" s="125"/>
      <c r="AQ466" s="126"/>
      <c r="AR466" s="128"/>
      <c r="AS466" s="127"/>
      <c r="AT466" s="106"/>
      <c r="AU466" s="106"/>
      <c r="AV466" s="106"/>
      <c r="AW466" s="126"/>
      <c r="AX466" s="126"/>
      <c r="AY466" s="126"/>
      <c r="AZ466" s="126"/>
      <c r="BA466" s="126"/>
      <c r="BB466" s="21"/>
      <c r="BC466" s="21" t="s">
        <v>316</v>
      </c>
      <c r="BD466" s="72" t="n">
        <f aca="false">H467</f>
        <v>6.1</v>
      </c>
      <c r="BE466" s="21"/>
    </row>
    <row r="467" customFormat="false" ht="14.1" hidden="true" customHeight="true" outlineLevel="1" collapsed="false">
      <c r="A467" s="151" t="s">
        <v>317</v>
      </c>
      <c r="B467" s="148" t="s">
        <v>48</v>
      </c>
      <c r="C467" s="148" t="s">
        <v>267</v>
      </c>
      <c r="D467" s="180" t="s">
        <v>271</v>
      </c>
      <c r="E467" s="313" t="s">
        <v>318</v>
      </c>
      <c r="F467" s="180" t="s">
        <v>319</v>
      </c>
      <c r="G467" s="203"/>
      <c r="H467" s="217" t="n">
        <v>6.1</v>
      </c>
      <c r="I467" s="217"/>
      <c r="J467" s="221"/>
      <c r="K467" s="217"/>
      <c r="L467" s="221"/>
      <c r="M467" s="221"/>
      <c r="N467" s="132"/>
      <c r="O467" s="132"/>
      <c r="P467" s="221"/>
      <c r="Q467" s="221"/>
      <c r="R467" s="221"/>
      <c r="S467" s="221"/>
      <c r="T467" s="165"/>
      <c r="U467" s="165"/>
      <c r="V467" s="221"/>
      <c r="W467" s="221"/>
      <c r="X467" s="221"/>
      <c r="Y467" s="221"/>
      <c r="Z467" s="221"/>
      <c r="AA467" s="221"/>
      <c r="AB467" s="221"/>
      <c r="AC467" s="217"/>
      <c r="AD467" s="217"/>
      <c r="AE467" s="217"/>
      <c r="AF467" s="132"/>
      <c r="AG467" s="26"/>
      <c r="AH467" s="41"/>
      <c r="AI467" s="35"/>
      <c r="AJ467" s="35"/>
      <c r="AK467" s="35"/>
      <c r="AL467" s="35"/>
      <c r="AM467" s="40"/>
      <c r="AN467" s="40"/>
      <c r="AO467" s="125"/>
      <c r="AP467" s="125"/>
      <c r="AQ467" s="126"/>
      <c r="AR467" s="128"/>
      <c r="AS467" s="127"/>
      <c r="AT467" s="106"/>
      <c r="AU467" s="106"/>
      <c r="AV467" s="106"/>
      <c r="AW467" s="126"/>
      <c r="AX467" s="126"/>
      <c r="AY467" s="126"/>
      <c r="AZ467" s="126"/>
      <c r="BA467" s="126"/>
      <c r="BB467" s="21"/>
      <c r="BC467" s="21"/>
      <c r="BD467" s="21"/>
      <c r="BE467" s="21"/>
    </row>
    <row r="468" customFormat="false" ht="14.1" hidden="true" customHeight="true" outlineLevel="1" collapsed="false">
      <c r="A468" s="151" t="s">
        <v>58</v>
      </c>
      <c r="B468" s="148" t="s">
        <v>48</v>
      </c>
      <c r="C468" s="151"/>
      <c r="D468" s="239" t="n">
        <v>1</v>
      </c>
      <c r="E468" s="314" t="n">
        <v>1</v>
      </c>
      <c r="F468" s="239" t="n">
        <v>1</v>
      </c>
      <c r="G468" s="203"/>
      <c r="H468" s="217"/>
      <c r="I468" s="217"/>
      <c r="J468" s="221"/>
      <c r="K468" s="217"/>
      <c r="L468" s="221"/>
      <c r="M468" s="221"/>
      <c r="N468" s="132"/>
      <c r="O468" s="132"/>
      <c r="P468" s="221"/>
      <c r="Q468" s="221"/>
      <c r="R468" s="221"/>
      <c r="S468" s="221"/>
      <c r="T468" s="165"/>
      <c r="U468" s="165"/>
      <c r="V468" s="221"/>
      <c r="W468" s="221"/>
      <c r="X468" s="221"/>
      <c r="Y468" s="221"/>
      <c r="Z468" s="221"/>
      <c r="AA468" s="221"/>
      <c r="AB468" s="221"/>
      <c r="AC468" s="221"/>
      <c r="AD468" s="221"/>
      <c r="AE468" s="221"/>
      <c r="AF468" s="221"/>
      <c r="AG468" s="26"/>
      <c r="AH468" s="41" t="s">
        <v>15</v>
      </c>
      <c r="AI468" s="35"/>
      <c r="AJ468" s="35"/>
      <c r="AK468" s="35"/>
      <c r="AL468" s="35"/>
      <c r="AM468" s="40"/>
      <c r="AN468" s="40"/>
      <c r="AO468" s="125"/>
      <c r="AP468" s="125"/>
      <c r="AQ468" s="126"/>
      <c r="AR468" s="128"/>
      <c r="AS468" s="127"/>
      <c r="AT468" s="106"/>
      <c r="AU468" s="106"/>
      <c r="AV468" s="106"/>
      <c r="AW468" s="126"/>
      <c r="AX468" s="126"/>
      <c r="AY468" s="126"/>
      <c r="AZ468" s="126"/>
      <c r="BA468" s="126"/>
      <c r="BB468" s="21"/>
      <c r="BC468" s="21"/>
      <c r="BD468" s="21"/>
      <c r="BE468" s="21"/>
    </row>
    <row r="469" customFormat="false" ht="14.1" hidden="true" customHeight="true" outlineLevel="1" collapsed="false">
      <c r="A469" s="315" t="s">
        <v>59</v>
      </c>
      <c r="B469" s="180" t="s">
        <v>15</v>
      </c>
      <c r="C469" s="151"/>
      <c r="D469" s="239" t="n">
        <v>3</v>
      </c>
      <c r="E469" s="314" t="n">
        <v>3</v>
      </c>
      <c r="F469" s="308" t="n">
        <v>3</v>
      </c>
      <c r="G469" s="203"/>
      <c r="H469" s="221"/>
      <c r="I469" s="221"/>
      <c r="J469" s="221"/>
      <c r="K469" s="217"/>
      <c r="L469" s="221"/>
      <c r="M469" s="221"/>
      <c r="N469" s="132"/>
      <c r="O469" s="132"/>
      <c r="P469" s="221"/>
      <c r="Q469" s="221"/>
      <c r="R469" s="221"/>
      <c r="S469" s="221"/>
      <c r="T469" s="165"/>
      <c r="U469" s="165"/>
      <c r="V469" s="221"/>
      <c r="W469" s="221"/>
      <c r="X469" s="221"/>
      <c r="Y469" s="221"/>
      <c r="Z469" s="221"/>
      <c r="AA469" s="221"/>
      <c r="AB469" s="221"/>
      <c r="AC469" s="221"/>
      <c r="AD469" s="221"/>
      <c r="AE469" s="221"/>
      <c r="AF469" s="221"/>
      <c r="AG469" s="221"/>
      <c r="AH469" s="24" t="n">
        <v>3.2</v>
      </c>
      <c r="AI469" s="35"/>
      <c r="AJ469" s="35"/>
      <c r="AK469" s="35"/>
      <c r="AL469" s="35"/>
      <c r="AM469" s="40"/>
      <c r="AN469" s="40"/>
      <c r="AO469" s="125"/>
      <c r="AP469" s="125"/>
      <c r="AQ469" s="126"/>
      <c r="AR469" s="128"/>
      <c r="AS469" s="127"/>
      <c r="AT469" s="106"/>
      <c r="AU469" s="106"/>
      <c r="AV469" s="106"/>
      <c r="AW469" s="126"/>
      <c r="AX469" s="126"/>
      <c r="AY469" s="126"/>
      <c r="AZ469" s="126"/>
      <c r="BA469" s="126"/>
      <c r="BB469" s="21"/>
      <c r="BC469" s="21"/>
      <c r="BD469" s="21"/>
      <c r="BE469" s="21"/>
    </row>
    <row r="470" customFormat="false" ht="14.1" hidden="true" customHeight="true" outlineLevel="1" collapsed="false">
      <c r="A470" s="315" t="s">
        <v>60</v>
      </c>
      <c r="B470" s="180" t="s">
        <v>15</v>
      </c>
      <c r="C470" s="151"/>
      <c r="D470" s="239" t="n">
        <v>3</v>
      </c>
      <c r="E470" s="314" t="n">
        <v>3</v>
      </c>
      <c r="F470" s="130" t="n">
        <v>5</v>
      </c>
      <c r="G470" s="26"/>
      <c r="H470" s="221"/>
      <c r="I470" s="221"/>
      <c r="J470" s="221"/>
      <c r="K470" s="221"/>
      <c r="L470" s="221"/>
      <c r="M470" s="221"/>
      <c r="N470" s="221"/>
      <c r="O470" s="221"/>
      <c r="P470" s="221"/>
      <c r="Q470" s="221"/>
      <c r="R470" s="221"/>
      <c r="S470" s="221"/>
      <c r="T470" s="165"/>
      <c r="U470" s="165"/>
      <c r="V470" s="221"/>
      <c r="W470" s="221"/>
      <c r="X470" s="221"/>
      <c r="Y470" s="221"/>
      <c r="Z470" s="221"/>
      <c r="AA470" s="221"/>
      <c r="AB470" s="221"/>
      <c r="AC470" s="221"/>
      <c r="AD470" s="221"/>
      <c r="AE470" s="221"/>
      <c r="AF470" s="221"/>
      <c r="AG470" s="132"/>
      <c r="AH470" s="50"/>
      <c r="AI470" s="35"/>
      <c r="AJ470" s="35"/>
      <c r="AK470" s="35"/>
      <c r="AL470" s="35"/>
      <c r="AM470" s="40"/>
      <c r="AN470" s="40"/>
      <c r="AO470" s="125"/>
      <c r="AP470" s="125"/>
      <c r="AQ470" s="126"/>
      <c r="AR470" s="128"/>
      <c r="AS470" s="126"/>
      <c r="AT470" s="126"/>
      <c r="AU470" s="106"/>
      <c r="AV470" s="106"/>
      <c r="AW470" s="126"/>
      <c r="AX470" s="126"/>
      <c r="AY470" s="126"/>
      <c r="AZ470" s="126"/>
      <c r="BA470" s="126"/>
      <c r="BB470" s="21"/>
      <c r="BC470" s="21"/>
      <c r="BD470" s="21"/>
      <c r="BE470" s="21"/>
    </row>
    <row r="471" customFormat="false" ht="14.1" hidden="true" customHeight="true" outlineLevel="1" collapsed="false">
      <c r="A471" s="315" t="s">
        <v>61</v>
      </c>
      <c r="B471" s="180" t="s">
        <v>15</v>
      </c>
      <c r="C471" s="151"/>
      <c r="D471" s="239" t="n">
        <v>2.9</v>
      </c>
      <c r="E471" s="314" t="n">
        <v>2.9</v>
      </c>
      <c r="F471" s="130" t="n">
        <v>3</v>
      </c>
      <c r="G471" s="26"/>
      <c r="H471" s="221"/>
      <c r="I471" s="221"/>
      <c r="J471" s="221"/>
      <c r="K471" s="221"/>
      <c r="L471" s="221"/>
      <c r="M471" s="221"/>
      <c r="N471" s="221"/>
      <c r="O471" s="221"/>
      <c r="P471" s="221"/>
      <c r="Q471" s="221"/>
      <c r="R471" s="221"/>
      <c r="S471" s="221"/>
      <c r="T471" s="221"/>
      <c r="U471" s="221"/>
      <c r="V471" s="221"/>
      <c r="W471" s="221"/>
      <c r="X471" s="221"/>
      <c r="Y471" s="221"/>
      <c r="Z471" s="221"/>
      <c r="AA471" s="221"/>
      <c r="AB471" s="221"/>
      <c r="AC471" s="221"/>
      <c r="AD471" s="221"/>
      <c r="AE471" s="221"/>
      <c r="AF471" s="221"/>
      <c r="AG471" s="26"/>
      <c r="AH471" s="41"/>
      <c r="AI471" s="35"/>
      <c r="AJ471" s="35"/>
      <c r="AK471" s="35"/>
      <c r="AL471" s="35"/>
      <c r="AM471" s="40"/>
      <c r="AN471" s="40"/>
      <c r="AO471" s="125"/>
      <c r="AP471" s="125"/>
      <c r="AQ471" s="126"/>
      <c r="AR471" s="128"/>
      <c r="AS471" s="126"/>
      <c r="AT471" s="126"/>
      <c r="AU471" s="106"/>
      <c r="AV471" s="106"/>
      <c r="AW471" s="126"/>
      <c r="AX471" s="126"/>
      <c r="AY471" s="126"/>
      <c r="AZ471" s="126"/>
      <c r="BA471" s="126"/>
      <c r="BB471" s="21"/>
      <c r="BC471" s="21"/>
      <c r="BD471" s="21"/>
      <c r="BE471" s="21"/>
    </row>
    <row r="472" customFormat="false" ht="14.1" hidden="true" customHeight="true" outlineLevel="1" collapsed="false">
      <c r="A472" s="315" t="s">
        <v>19</v>
      </c>
      <c r="B472" s="180" t="s">
        <v>15</v>
      </c>
      <c r="C472" s="151"/>
      <c r="D472" s="130" t="n">
        <v>4.1</v>
      </c>
      <c r="E472" s="316" t="n">
        <v>6</v>
      </c>
      <c r="F472" s="130" t="n">
        <v>4</v>
      </c>
      <c r="G472" s="26"/>
      <c r="H472" s="221"/>
      <c r="I472" s="221"/>
      <c r="J472" s="221"/>
      <c r="K472" s="221"/>
      <c r="L472" s="221"/>
      <c r="M472" s="221"/>
      <c r="N472" s="221"/>
      <c r="O472" s="221"/>
      <c r="P472" s="221"/>
      <c r="Q472" s="221"/>
      <c r="R472" s="221"/>
      <c r="S472" s="221"/>
      <c r="T472" s="221"/>
      <c r="U472" s="165"/>
      <c r="V472" s="221"/>
      <c r="W472" s="221"/>
      <c r="X472" s="221"/>
      <c r="Y472" s="221"/>
      <c r="Z472" s="221"/>
      <c r="AA472" s="221"/>
      <c r="AB472" s="221"/>
      <c r="AC472" s="221"/>
      <c r="AD472" s="221"/>
      <c r="AE472" s="221"/>
      <c r="AF472" s="221"/>
      <c r="AG472" s="26"/>
      <c r="AH472" s="41" t="s">
        <v>15</v>
      </c>
      <c r="AI472" s="35"/>
      <c r="AJ472" s="35"/>
      <c r="AK472" s="35"/>
      <c r="AL472" s="35"/>
      <c r="AM472" s="40"/>
      <c r="AN472" s="40"/>
      <c r="AO472" s="125"/>
      <c r="AP472" s="125"/>
      <c r="AQ472" s="126"/>
      <c r="AR472" s="128"/>
      <c r="AS472" s="126"/>
      <c r="AT472" s="126"/>
      <c r="AU472" s="106"/>
      <c r="AV472" s="106"/>
      <c r="AW472" s="126"/>
      <c r="AX472" s="126"/>
      <c r="AY472" s="126"/>
      <c r="AZ472" s="126"/>
      <c r="BA472" s="126"/>
      <c r="BB472" s="21"/>
      <c r="BC472" s="21"/>
      <c r="BD472" s="21"/>
      <c r="BE472" s="21"/>
    </row>
    <row r="473" customFormat="false" ht="14.1" hidden="true" customHeight="true" outlineLevel="1" collapsed="false">
      <c r="A473" s="315" t="s">
        <v>20</v>
      </c>
      <c r="B473" s="180" t="s">
        <v>15</v>
      </c>
      <c r="C473" s="151"/>
      <c r="D473" s="317" t="n">
        <v>2.1</v>
      </c>
      <c r="E473" s="318" t="n">
        <v>1.5</v>
      </c>
      <c r="F473" s="239" t="n">
        <v>2.7</v>
      </c>
      <c r="G473" s="26"/>
      <c r="H473" s="221"/>
      <c r="I473" s="221"/>
      <c r="J473" s="221"/>
      <c r="K473" s="221"/>
      <c r="L473" s="221"/>
      <c r="M473" s="221"/>
      <c r="N473" s="221"/>
      <c r="O473" s="221"/>
      <c r="P473" s="221"/>
      <c r="Q473" s="221"/>
      <c r="R473" s="221"/>
      <c r="S473" s="221"/>
      <c r="T473" s="221"/>
      <c r="U473" s="221"/>
      <c r="V473" s="221"/>
      <c r="W473" s="221"/>
      <c r="X473" s="221"/>
      <c r="Y473" s="221"/>
      <c r="Z473" s="221"/>
      <c r="AA473" s="221"/>
      <c r="AB473" s="221"/>
      <c r="AC473" s="221"/>
      <c r="AD473" s="221"/>
      <c r="AE473" s="221"/>
      <c r="AF473" s="221"/>
      <c r="AG473" s="221"/>
      <c r="AH473" s="24" t="n">
        <v>0.2</v>
      </c>
      <c r="AI473" s="35"/>
      <c r="AJ473" s="35"/>
      <c r="AK473" s="35"/>
      <c r="AL473" s="35"/>
      <c r="AM473" s="40"/>
      <c r="AN473" s="40"/>
      <c r="AO473" s="125"/>
      <c r="AP473" s="125"/>
      <c r="AQ473" s="126"/>
      <c r="AR473" s="128"/>
      <c r="AS473" s="127"/>
      <c r="AT473" s="106"/>
      <c r="AU473" s="106"/>
      <c r="AV473" s="106"/>
      <c r="AW473" s="126"/>
      <c r="AX473" s="126"/>
      <c r="AY473" s="126"/>
      <c r="AZ473" s="126"/>
      <c r="BA473" s="126"/>
      <c r="BB473" s="21"/>
      <c r="BC473" s="21"/>
      <c r="BD473" s="21"/>
      <c r="BE473" s="21"/>
    </row>
    <row r="474" customFormat="false" ht="14.1" hidden="true" customHeight="true" outlineLevel="1" collapsed="false">
      <c r="A474" s="315" t="s">
        <v>62</v>
      </c>
      <c r="B474" s="180" t="s">
        <v>15</v>
      </c>
      <c r="C474" s="151"/>
      <c r="D474" s="239" t="n">
        <v>2.2</v>
      </c>
      <c r="E474" s="314" t="n">
        <v>2.2</v>
      </c>
      <c r="F474" s="239" t="n">
        <v>2.7</v>
      </c>
      <c r="G474" s="26"/>
      <c r="H474" s="221"/>
      <c r="I474" s="221"/>
      <c r="J474" s="221"/>
      <c r="K474" s="221"/>
      <c r="L474" s="221"/>
      <c r="M474" s="221"/>
      <c r="N474" s="221"/>
      <c r="O474" s="221"/>
      <c r="P474" s="221"/>
      <c r="Q474" s="221"/>
      <c r="R474" s="221"/>
      <c r="S474" s="221"/>
      <c r="T474" s="221"/>
      <c r="U474" s="221"/>
      <c r="V474" s="221"/>
      <c r="W474" s="221"/>
      <c r="X474" s="221"/>
      <c r="Y474" s="221"/>
      <c r="Z474" s="221"/>
      <c r="AA474" s="221"/>
      <c r="AB474" s="221"/>
      <c r="AC474" s="221"/>
      <c r="AD474" s="221"/>
      <c r="AE474" s="221"/>
      <c r="AF474" s="221"/>
      <c r="AG474" s="221"/>
      <c r="AH474" s="24"/>
      <c r="AI474" s="35"/>
      <c r="AJ474" s="35"/>
      <c r="AK474" s="35"/>
      <c r="AL474" s="35"/>
      <c r="AM474" s="40"/>
      <c r="AN474" s="40"/>
      <c r="AO474" s="125"/>
      <c r="AP474" s="125"/>
      <c r="AQ474" s="126"/>
      <c r="AR474" s="127"/>
      <c r="AS474" s="127"/>
      <c r="AT474" s="106"/>
      <c r="AU474" s="106"/>
      <c r="AV474" s="106"/>
      <c r="AW474" s="126"/>
      <c r="AX474" s="126"/>
      <c r="AY474" s="126"/>
      <c r="AZ474" s="126"/>
      <c r="BA474" s="126"/>
      <c r="BB474" s="21"/>
      <c r="BC474" s="21"/>
      <c r="BD474" s="21"/>
      <c r="BE474" s="21"/>
    </row>
    <row r="475" customFormat="false" ht="14.1" hidden="true" customHeight="true" outlineLevel="1" collapsed="false">
      <c r="A475" s="138"/>
      <c r="B475" s="235"/>
      <c r="C475" s="138"/>
      <c r="D475" s="138"/>
      <c r="E475" s="138"/>
      <c r="F475" s="138"/>
      <c r="G475" s="26"/>
      <c r="H475" s="221"/>
      <c r="I475" s="221"/>
      <c r="J475" s="221"/>
      <c r="K475" s="221"/>
      <c r="L475" s="221"/>
      <c r="M475" s="221"/>
      <c r="N475" s="221"/>
      <c r="O475" s="221"/>
      <c r="P475" s="221"/>
      <c r="Q475" s="221"/>
      <c r="R475" s="221"/>
      <c r="S475" s="221"/>
      <c r="T475" s="221"/>
      <c r="U475" s="221"/>
      <c r="V475" s="221"/>
      <c r="W475" s="221"/>
      <c r="X475" s="221"/>
      <c r="Y475" s="221"/>
      <c r="Z475" s="221"/>
      <c r="AA475" s="221"/>
      <c r="AB475" s="221"/>
      <c r="AC475" s="221"/>
      <c r="AD475" s="221"/>
      <c r="AE475" s="221"/>
      <c r="AF475" s="221"/>
      <c r="AG475" s="26"/>
      <c r="AH475" s="41"/>
      <c r="AI475" s="35"/>
      <c r="AJ475" s="35"/>
      <c r="AK475" s="35"/>
      <c r="AL475" s="35"/>
      <c r="AM475" s="40"/>
      <c r="AN475" s="40"/>
      <c r="AO475" s="125"/>
      <c r="AP475" s="125"/>
      <c r="AQ475" s="126"/>
      <c r="AR475" s="134"/>
      <c r="AS475" s="127"/>
      <c r="AT475" s="106"/>
      <c r="AU475" s="106"/>
      <c r="AV475" s="106"/>
      <c r="AW475" s="126"/>
      <c r="AX475" s="126"/>
      <c r="AY475" s="126"/>
      <c r="AZ475" s="126"/>
      <c r="BA475" s="126"/>
      <c r="BB475" s="21"/>
      <c r="BC475" s="21"/>
      <c r="BD475" s="21"/>
      <c r="BE475" s="21"/>
    </row>
    <row r="476" customFormat="false" ht="14.1" hidden="true" customHeight="true" outlineLevel="1" collapsed="false">
      <c r="A476" s="148" t="s">
        <v>320</v>
      </c>
      <c r="B476" s="148"/>
      <c r="C476" s="148"/>
      <c r="D476" s="148"/>
      <c r="E476" s="148"/>
      <c r="F476" s="148"/>
      <c r="G476" s="26"/>
      <c r="H476" s="221"/>
      <c r="I476" s="221"/>
      <c r="J476" s="221"/>
      <c r="K476" s="221"/>
      <c r="L476" s="221"/>
      <c r="M476" s="221"/>
      <c r="N476" s="221"/>
      <c r="O476" s="221"/>
      <c r="P476" s="221"/>
      <c r="Q476" s="221"/>
      <c r="R476" s="221"/>
      <c r="S476" s="221"/>
      <c r="T476" s="221"/>
      <c r="U476" s="221"/>
      <c r="V476" s="221"/>
      <c r="W476" s="221"/>
      <c r="X476" s="221"/>
      <c r="Y476" s="221"/>
      <c r="Z476" s="221"/>
      <c r="AA476" s="221"/>
      <c r="AB476" s="221"/>
      <c r="AC476" s="221"/>
      <c r="AD476" s="221"/>
      <c r="AE476" s="221"/>
      <c r="AF476" s="165"/>
      <c r="AG476" s="26"/>
      <c r="AH476" s="41" t="s">
        <v>15</v>
      </c>
      <c r="AI476" s="35"/>
      <c r="AJ476" s="35"/>
      <c r="AK476" s="35"/>
      <c r="AL476" s="35"/>
      <c r="AM476" s="40"/>
      <c r="AN476" s="40"/>
      <c r="AO476" s="125"/>
      <c r="AP476" s="125"/>
      <c r="AQ476" s="126"/>
      <c r="AR476" s="127"/>
      <c r="AS476" s="127"/>
      <c r="AT476" s="106"/>
      <c r="AU476" s="106"/>
      <c r="AV476" s="106"/>
      <c r="AW476" s="126"/>
      <c r="AX476" s="126"/>
      <c r="AY476" s="126"/>
      <c r="AZ476" s="126"/>
      <c r="BA476" s="126"/>
      <c r="BB476" s="21"/>
      <c r="BC476" s="21"/>
      <c r="BD476" s="21"/>
      <c r="BE476" s="21"/>
    </row>
    <row r="477" customFormat="false" ht="14.1" hidden="true" customHeight="true" outlineLevel="1" collapsed="false">
      <c r="A477" s="319" t="s">
        <v>321</v>
      </c>
      <c r="B477" s="320" t="s">
        <v>15</v>
      </c>
      <c r="C477" s="321" t="n">
        <v>0.5</v>
      </c>
      <c r="D477" s="239" t="n">
        <v>0.6</v>
      </c>
      <c r="E477" s="314" t="n">
        <v>0.6</v>
      </c>
      <c r="F477" s="239" t="n">
        <v>0.6</v>
      </c>
      <c r="G477" s="26"/>
      <c r="H477" s="221"/>
      <c r="I477" s="221"/>
      <c r="J477" s="221"/>
      <c r="K477" s="221"/>
      <c r="L477" s="221"/>
      <c r="M477" s="221"/>
      <c r="N477" s="221"/>
      <c r="O477" s="221"/>
      <c r="P477" s="221"/>
      <c r="Q477" s="221"/>
      <c r="R477" s="221"/>
      <c r="S477" s="221"/>
      <c r="T477" s="221"/>
      <c r="U477" s="221"/>
      <c r="V477" s="221"/>
      <c r="W477" s="221"/>
      <c r="X477" s="221"/>
      <c r="Y477" s="221"/>
      <c r="Z477" s="221"/>
      <c r="AA477" s="221"/>
      <c r="AB477" s="221"/>
      <c r="AC477" s="221"/>
      <c r="AD477" s="221"/>
      <c r="AE477" s="221"/>
      <c r="AF477" s="165"/>
      <c r="AG477" s="221"/>
      <c r="AH477" s="24" t="n">
        <v>0</v>
      </c>
      <c r="AI477" s="35"/>
      <c r="AJ477" s="35"/>
      <c r="AK477" s="35"/>
      <c r="AL477" s="35"/>
      <c r="AM477" s="40"/>
      <c r="AN477" s="40"/>
      <c r="AO477" s="125"/>
      <c r="AP477" s="125"/>
      <c r="AQ477" s="126"/>
      <c r="AR477" s="127"/>
      <c r="AS477" s="127"/>
      <c r="AT477" s="106"/>
      <c r="AU477" s="106"/>
      <c r="AV477" s="106"/>
      <c r="AW477" s="126"/>
      <c r="AX477" s="126"/>
      <c r="AY477" s="126"/>
      <c r="AZ477" s="126"/>
      <c r="BA477" s="126"/>
      <c r="BB477" s="21"/>
      <c r="BC477" s="21"/>
      <c r="BD477" s="21"/>
      <c r="BE477" s="21"/>
    </row>
    <row r="478" customFormat="false" ht="14.1" hidden="true" customHeight="true" outlineLevel="1" collapsed="false">
      <c r="A478" s="319" t="s">
        <v>322</v>
      </c>
      <c r="B478" s="320" t="s">
        <v>15</v>
      </c>
      <c r="C478" s="322" t="n">
        <v>0.7</v>
      </c>
      <c r="D478" s="239" t="n">
        <v>0.6</v>
      </c>
      <c r="E478" s="314" t="n">
        <v>0.6</v>
      </c>
      <c r="F478" s="239" t="n">
        <v>0.6</v>
      </c>
      <c r="G478" s="26"/>
      <c r="H478" s="221"/>
      <c r="I478" s="221"/>
      <c r="J478" s="221"/>
      <c r="K478" s="221"/>
      <c r="L478" s="221"/>
      <c r="M478" s="221"/>
      <c r="N478" s="221"/>
      <c r="O478" s="221"/>
      <c r="P478" s="221"/>
      <c r="Q478" s="221"/>
      <c r="R478" s="221"/>
      <c r="S478" s="221"/>
      <c r="T478" s="221"/>
      <c r="U478" s="221"/>
      <c r="V478" s="221"/>
      <c r="W478" s="221"/>
      <c r="X478" s="221"/>
      <c r="Y478" s="221"/>
      <c r="Z478" s="221"/>
      <c r="AA478" s="221"/>
      <c r="AB478" s="221"/>
      <c r="AC478" s="221"/>
      <c r="AD478" s="221"/>
      <c r="AE478" s="221"/>
      <c r="AF478" s="165"/>
      <c r="AG478" s="132"/>
      <c r="AH478" s="50"/>
      <c r="AI478" s="35"/>
      <c r="AJ478" s="35"/>
      <c r="AK478" s="35"/>
      <c r="AL478" s="35"/>
      <c r="AM478" s="40"/>
      <c r="AN478" s="40"/>
      <c r="AO478" s="125"/>
      <c r="AP478" s="125"/>
      <c r="AQ478" s="126"/>
      <c r="AR478" s="127"/>
      <c r="AS478" s="127"/>
      <c r="AT478" s="106"/>
      <c r="AU478" s="106"/>
      <c r="AV478" s="106"/>
      <c r="AW478" s="126"/>
      <c r="AX478" s="126"/>
      <c r="AY478" s="126"/>
      <c r="AZ478" s="126"/>
      <c r="BA478" s="126"/>
      <c r="BB478" s="21"/>
      <c r="BC478" s="21"/>
      <c r="BD478" s="21"/>
      <c r="BE478" s="21"/>
    </row>
    <row r="479" customFormat="false" ht="14.1" hidden="true" customHeight="true" outlineLevel="1" collapsed="false">
      <c r="A479" s="319" t="s">
        <v>323</v>
      </c>
      <c r="B479" s="320" t="s">
        <v>15</v>
      </c>
      <c r="C479" s="322" t="n">
        <v>0.5</v>
      </c>
      <c r="D479" s="239" t="n">
        <v>0.5</v>
      </c>
      <c r="E479" s="314" t="n">
        <v>0.8</v>
      </c>
      <c r="F479" s="239" t="n">
        <v>0.8</v>
      </c>
      <c r="G479" s="26"/>
      <c r="H479" s="221"/>
      <c r="I479" s="221"/>
      <c r="J479" s="221"/>
      <c r="K479" s="221"/>
      <c r="L479" s="221"/>
      <c r="M479" s="221"/>
      <c r="N479" s="221"/>
      <c r="O479" s="221"/>
      <c r="P479" s="221"/>
      <c r="Q479" s="221"/>
      <c r="R479" s="221"/>
      <c r="S479" s="221"/>
      <c r="T479" s="165"/>
      <c r="U479" s="221"/>
      <c r="V479" s="221"/>
      <c r="W479" s="221"/>
      <c r="X479" s="221"/>
      <c r="Y479" s="221"/>
      <c r="Z479" s="221"/>
      <c r="AA479" s="221"/>
      <c r="AB479" s="221"/>
      <c r="AC479" s="221"/>
      <c r="AD479" s="221"/>
      <c r="AE479" s="221"/>
      <c r="AF479" s="221"/>
      <c r="AG479" s="221"/>
      <c r="AH479" s="24"/>
      <c r="AI479" s="24"/>
      <c r="AJ479" s="24"/>
      <c r="AK479" s="35"/>
      <c r="AL479" s="35"/>
      <c r="AM479" s="40"/>
      <c r="AN479" s="40"/>
      <c r="AO479" s="125"/>
      <c r="AP479" s="125"/>
      <c r="AQ479" s="126"/>
      <c r="AR479" s="127"/>
      <c r="AS479" s="127"/>
      <c r="AT479" s="106"/>
      <c r="AU479" s="106"/>
      <c r="AV479" s="106"/>
      <c r="AW479" s="126"/>
      <c r="AX479" s="126"/>
      <c r="AY479" s="126"/>
      <c r="AZ479" s="126"/>
      <c r="BA479" s="126"/>
      <c r="BB479" s="21"/>
      <c r="BC479" s="21"/>
      <c r="BD479" s="21"/>
      <c r="BE479" s="21"/>
    </row>
    <row r="480" customFormat="false" ht="14.1" hidden="true" customHeight="true" outlineLevel="1" collapsed="false">
      <c r="A480" s="319" t="s">
        <v>324</v>
      </c>
      <c r="B480" s="180" t="s">
        <v>15</v>
      </c>
      <c r="C480" s="262" t="n">
        <v>0.7</v>
      </c>
      <c r="D480" s="322" t="n">
        <v>0.4</v>
      </c>
      <c r="E480" s="322" t="n">
        <v>0.9</v>
      </c>
      <c r="F480" s="323" t="n">
        <v>0.9</v>
      </c>
      <c r="G480" s="26"/>
      <c r="H480" s="221"/>
      <c r="I480" s="221"/>
      <c r="J480" s="221"/>
      <c r="K480" s="221"/>
      <c r="L480" s="221"/>
      <c r="M480" s="221"/>
      <c r="N480" s="221"/>
      <c r="O480" s="221"/>
      <c r="P480" s="221"/>
      <c r="Q480" s="221"/>
      <c r="R480" s="221"/>
      <c r="S480" s="221"/>
      <c r="T480" s="221"/>
      <c r="U480" s="221"/>
      <c r="V480" s="221"/>
      <c r="W480" s="221"/>
      <c r="X480" s="221"/>
      <c r="Y480" s="221"/>
      <c r="Z480" s="221"/>
      <c r="AA480" s="221"/>
      <c r="AB480" s="221"/>
      <c r="AC480" s="221"/>
      <c r="AD480" s="221"/>
      <c r="AE480" s="221"/>
      <c r="AF480" s="221"/>
      <c r="AG480" s="132"/>
      <c r="AH480" s="50"/>
      <c r="AI480" s="24"/>
      <c r="AJ480" s="24"/>
      <c r="AK480" s="35"/>
      <c r="AL480" s="35"/>
      <c r="AM480" s="40"/>
      <c r="AN480" s="40"/>
      <c r="AO480" s="125"/>
      <c r="AP480" s="125"/>
      <c r="AQ480" s="126"/>
      <c r="AR480" s="127"/>
      <c r="AS480" s="127"/>
      <c r="AT480" s="106"/>
      <c r="AU480" s="106"/>
      <c r="AV480" s="106"/>
      <c r="AW480" s="126"/>
      <c r="AX480" s="126"/>
      <c r="AY480" s="126"/>
      <c r="AZ480" s="126"/>
      <c r="BA480" s="126"/>
      <c r="BB480" s="21"/>
      <c r="BC480" s="21"/>
      <c r="BD480" s="21"/>
      <c r="BE480" s="21"/>
    </row>
    <row r="481" s="162" customFormat="true" ht="14.1" hidden="true" customHeight="true" outlineLevel="1" collapsed="false">
      <c r="A481" s="319" t="s">
        <v>325</v>
      </c>
      <c r="B481" s="320" t="s">
        <v>15</v>
      </c>
      <c r="C481" s="322" t="n">
        <v>2</v>
      </c>
      <c r="D481" s="239" t="n">
        <v>1</v>
      </c>
      <c r="E481" s="239" t="n">
        <v>2</v>
      </c>
      <c r="F481" s="239" t="n">
        <v>3</v>
      </c>
      <c r="G481" s="26"/>
      <c r="H481" s="221"/>
      <c r="I481" s="221"/>
      <c r="J481" s="221"/>
      <c r="K481" s="221"/>
      <c r="L481" s="221"/>
      <c r="M481" s="221"/>
      <c r="N481" s="221"/>
      <c r="O481" s="221"/>
      <c r="P481" s="221"/>
      <c r="Q481" s="221"/>
      <c r="R481" s="221"/>
      <c r="S481" s="221"/>
      <c r="T481" s="221"/>
      <c r="U481" s="255"/>
      <c r="V481" s="255"/>
      <c r="W481" s="221"/>
      <c r="X481" s="221"/>
      <c r="Y481" s="221"/>
      <c r="Z481" s="221"/>
      <c r="AA481" s="221"/>
      <c r="AB481" s="221"/>
      <c r="AC481" s="221"/>
      <c r="AD481" s="221"/>
      <c r="AE481" s="221"/>
      <c r="AF481" s="221"/>
      <c r="AG481" s="132"/>
      <c r="AH481" s="50"/>
      <c r="AI481" s="24"/>
      <c r="AJ481" s="24"/>
      <c r="AK481" s="35"/>
      <c r="AL481" s="35"/>
      <c r="AM481" s="40"/>
      <c r="AN481" s="40"/>
      <c r="AO481" s="125"/>
      <c r="AP481" s="125"/>
      <c r="AQ481" s="126"/>
      <c r="AR481" s="127"/>
      <c r="AS481" s="127"/>
      <c r="AT481" s="106"/>
      <c r="AU481" s="106"/>
      <c r="AV481" s="106"/>
      <c r="AW481" s="126"/>
      <c r="AX481" s="126"/>
      <c r="AY481" s="126"/>
      <c r="AZ481" s="126"/>
      <c r="BA481" s="126"/>
      <c r="BB481" s="160"/>
      <c r="BC481" s="160"/>
      <c r="BD481" s="160"/>
      <c r="BE481" s="160"/>
      <c r="BF481" s="161"/>
    </row>
    <row r="482" s="162" customFormat="true" ht="14.1" hidden="true" customHeight="true" outlineLevel="1" collapsed="false">
      <c r="A482" s="169"/>
      <c r="B482" s="169"/>
      <c r="C482" s="169"/>
      <c r="D482" s="272"/>
      <c r="E482" s="272"/>
      <c r="F482" s="272"/>
      <c r="G482" s="26"/>
      <c r="H482" s="224"/>
      <c r="I482" s="224"/>
      <c r="J482" s="224"/>
      <c r="K482" s="221"/>
      <c r="L482" s="221"/>
      <c r="M482" s="221"/>
      <c r="N482" s="224"/>
      <c r="O482" s="221"/>
      <c r="P482" s="221"/>
      <c r="Q482" s="221"/>
      <c r="R482" s="221"/>
      <c r="S482" s="221"/>
      <c r="T482" s="221"/>
      <c r="U482" s="255"/>
      <c r="V482" s="255"/>
      <c r="W482" s="221"/>
      <c r="X482" s="221"/>
      <c r="Y482" s="221"/>
      <c r="Z482" s="221"/>
      <c r="AA482" s="221"/>
      <c r="AB482" s="221"/>
      <c r="AC482" s="221"/>
      <c r="AD482" s="221"/>
      <c r="AE482" s="221"/>
      <c r="AF482" s="221"/>
      <c r="AG482" s="26"/>
      <c r="AH482" s="35"/>
      <c r="AI482" s="24"/>
      <c r="AJ482" s="24"/>
      <c r="AK482" s="35"/>
      <c r="AL482" s="35"/>
      <c r="AM482" s="40"/>
      <c r="AN482" s="40"/>
      <c r="AO482" s="125"/>
      <c r="AP482" s="125"/>
      <c r="AQ482" s="126"/>
      <c r="AR482" s="127"/>
      <c r="AS482" s="127"/>
      <c r="AT482" s="106"/>
      <c r="AU482" s="106"/>
      <c r="AV482" s="106"/>
      <c r="AW482" s="126"/>
      <c r="AX482" s="126"/>
      <c r="AY482" s="126"/>
      <c r="AZ482" s="126"/>
      <c r="BA482" s="126"/>
      <c r="BB482" s="160"/>
      <c r="BC482" s="160"/>
      <c r="BD482" s="160"/>
      <c r="BE482" s="160"/>
      <c r="BF482" s="161"/>
    </row>
    <row r="483" s="162" customFormat="true" ht="14.1" hidden="true" customHeight="true" outlineLevel="1" collapsed="false">
      <c r="A483" s="227" t="s">
        <v>192</v>
      </c>
      <c r="B483" s="277"/>
      <c r="C483" s="324"/>
      <c r="D483" s="324"/>
      <c r="E483" s="324"/>
      <c r="F483" s="324"/>
      <c r="G483" s="165"/>
      <c r="H483" s="150"/>
      <c r="I483" s="220"/>
      <c r="J483" s="220"/>
      <c r="K483" s="221"/>
      <c r="L483" s="224"/>
      <c r="M483" s="224"/>
      <c r="N483" s="224"/>
      <c r="O483" s="221"/>
      <c r="P483" s="221"/>
      <c r="Q483" s="221"/>
      <c r="R483" s="224"/>
      <c r="S483" s="221"/>
      <c r="T483" s="221"/>
      <c r="U483" s="221"/>
      <c r="V483" s="221"/>
      <c r="W483" s="221"/>
      <c r="X483" s="221"/>
      <c r="Y483" s="255"/>
      <c r="Z483" s="255"/>
      <c r="AA483" s="221"/>
      <c r="AB483" s="221"/>
      <c r="AC483" s="221"/>
      <c r="AD483" s="221"/>
      <c r="AE483" s="221"/>
      <c r="AF483" s="221"/>
      <c r="AG483" s="221"/>
      <c r="AH483" s="24"/>
      <c r="AI483" s="24"/>
      <c r="AJ483" s="24"/>
      <c r="AK483" s="35"/>
      <c r="AL483" s="35"/>
      <c r="AM483" s="40"/>
      <c r="AN483" s="40"/>
      <c r="AO483" s="125"/>
      <c r="AP483" s="125"/>
      <c r="AQ483" s="126"/>
      <c r="AR483" s="127"/>
      <c r="AS483" s="127"/>
      <c r="AT483" s="106"/>
      <c r="AU483" s="106"/>
      <c r="AV483" s="106"/>
      <c r="AW483" s="126"/>
      <c r="AX483" s="126"/>
      <c r="AY483" s="126"/>
      <c r="AZ483" s="126"/>
      <c r="BA483" s="126"/>
      <c r="BB483" s="160"/>
      <c r="BC483" s="160"/>
      <c r="BD483" s="160"/>
      <c r="BE483" s="160"/>
      <c r="BF483" s="161"/>
    </row>
    <row r="484" s="162" customFormat="true" ht="14.1" hidden="true" customHeight="true" outlineLevel="1" collapsed="false">
      <c r="A484" s="231" t="s">
        <v>326</v>
      </c>
      <c r="B484" s="277"/>
      <c r="C484" s="324"/>
      <c r="D484" s="324"/>
      <c r="E484" s="324"/>
      <c r="F484" s="324"/>
      <c r="G484" s="165"/>
      <c r="H484" s="150"/>
      <c r="I484" s="220"/>
      <c r="J484" s="220"/>
      <c r="K484" s="221"/>
      <c r="L484" s="224"/>
      <c r="M484" s="224"/>
      <c r="N484" s="224"/>
      <c r="O484" s="221"/>
      <c r="P484" s="221"/>
      <c r="Q484" s="221"/>
      <c r="R484" s="224"/>
      <c r="S484" s="221"/>
      <c r="T484" s="221"/>
      <c r="U484" s="221"/>
      <c r="V484" s="221"/>
      <c r="W484" s="221"/>
      <c r="X484" s="221"/>
      <c r="Y484" s="255"/>
      <c r="Z484" s="255"/>
      <c r="AA484" s="221"/>
      <c r="AB484" s="221"/>
      <c r="AC484" s="221"/>
      <c r="AD484" s="221"/>
      <c r="AE484" s="221"/>
      <c r="AF484" s="221"/>
      <c r="AG484" s="221"/>
      <c r="AH484" s="24"/>
      <c r="AI484" s="24"/>
      <c r="AJ484" s="24"/>
      <c r="AK484" s="35"/>
      <c r="AL484" s="35"/>
      <c r="AM484" s="40"/>
      <c r="AN484" s="40"/>
      <c r="AO484" s="125"/>
      <c r="AP484" s="125"/>
      <c r="AQ484" s="126"/>
      <c r="AR484" s="127"/>
      <c r="AS484" s="127"/>
      <c r="AT484" s="106"/>
      <c r="AU484" s="106"/>
      <c r="AV484" s="106"/>
      <c r="AW484" s="126"/>
      <c r="AX484" s="126"/>
      <c r="AY484" s="126"/>
      <c r="AZ484" s="126"/>
      <c r="BA484" s="126"/>
      <c r="BB484" s="160"/>
      <c r="BC484" s="160"/>
      <c r="BD484" s="160"/>
      <c r="BE484" s="160"/>
      <c r="BF484" s="161"/>
    </row>
    <row r="485" s="162" customFormat="true" ht="14.1" hidden="true" customHeight="true" outlineLevel="1" collapsed="false">
      <c r="A485" s="138" t="s">
        <v>209</v>
      </c>
      <c r="B485" s="235"/>
      <c r="C485" s="324"/>
      <c r="D485" s="324"/>
      <c r="E485" s="324"/>
      <c r="F485" s="324"/>
      <c r="G485" s="165"/>
      <c r="H485" s="150"/>
      <c r="I485" s="220"/>
      <c r="J485" s="220"/>
      <c r="K485" s="221"/>
      <c r="L485" s="224"/>
      <c r="M485" s="224"/>
      <c r="N485" s="224"/>
      <c r="O485" s="221"/>
      <c r="P485" s="221"/>
      <c r="Q485" s="221"/>
      <c r="R485" s="224"/>
      <c r="S485" s="221"/>
      <c r="T485" s="221"/>
      <c r="U485" s="221"/>
      <c r="V485" s="221"/>
      <c r="W485" s="221"/>
      <c r="X485" s="221"/>
      <c r="Y485" s="255"/>
      <c r="Z485" s="255"/>
      <c r="AA485" s="221"/>
      <c r="AB485" s="221"/>
      <c r="AC485" s="221"/>
      <c r="AD485" s="221"/>
      <c r="AE485" s="221"/>
      <c r="AF485" s="221"/>
      <c r="AG485" s="221"/>
      <c r="AH485" s="24"/>
      <c r="AI485" s="24"/>
      <c r="AJ485" s="24"/>
      <c r="AK485" s="35"/>
      <c r="AL485" s="35"/>
      <c r="AM485" s="40"/>
      <c r="AN485" s="40"/>
      <c r="AO485" s="125"/>
      <c r="AP485" s="125"/>
      <c r="AQ485" s="126"/>
      <c r="AR485" s="127"/>
      <c r="AS485" s="127"/>
      <c r="AT485" s="106"/>
      <c r="AU485" s="106"/>
      <c r="AV485" s="106"/>
      <c r="AW485" s="126"/>
      <c r="AX485" s="126"/>
      <c r="AY485" s="126"/>
      <c r="AZ485" s="126"/>
      <c r="BA485" s="126"/>
      <c r="BB485" s="160"/>
      <c r="BC485" s="160"/>
      <c r="BD485" s="160"/>
      <c r="BE485" s="160"/>
      <c r="BF485" s="161"/>
    </row>
    <row r="486" s="162" customFormat="true" ht="14.1" hidden="true" customHeight="true" outlineLevel="1" collapsed="false">
      <c r="A486" s="240" t="s">
        <v>42</v>
      </c>
      <c r="B486" s="235"/>
      <c r="C486" s="324"/>
      <c r="D486" s="324"/>
      <c r="E486" s="324"/>
      <c r="F486" s="324"/>
      <c r="G486" s="165"/>
      <c r="H486" s="150"/>
      <c r="I486" s="220"/>
      <c r="J486" s="220"/>
      <c r="K486" s="221"/>
      <c r="L486" s="224"/>
      <c r="M486" s="224"/>
      <c r="N486" s="224"/>
      <c r="O486" s="221"/>
      <c r="P486" s="221"/>
      <c r="Q486" s="221"/>
      <c r="R486" s="224"/>
      <c r="S486" s="221"/>
      <c r="T486" s="221"/>
      <c r="U486" s="221"/>
      <c r="V486" s="221"/>
      <c r="W486" s="221"/>
      <c r="X486" s="221"/>
      <c r="Y486" s="255"/>
      <c r="Z486" s="255"/>
      <c r="AA486" s="221"/>
      <c r="AB486" s="221"/>
      <c r="AC486" s="221"/>
      <c r="AD486" s="221"/>
      <c r="AE486" s="221"/>
      <c r="AF486" s="221"/>
      <c r="AG486" s="221"/>
      <c r="AH486" s="24"/>
      <c r="AI486" s="24"/>
      <c r="AJ486" s="24"/>
      <c r="AK486" s="35"/>
      <c r="AL486" s="35"/>
      <c r="AM486" s="40"/>
      <c r="AN486" s="40"/>
      <c r="AO486" s="125"/>
      <c r="AP486" s="125"/>
      <c r="AQ486" s="126"/>
      <c r="AR486" s="127"/>
      <c r="AS486" s="127"/>
      <c r="AT486" s="106"/>
      <c r="AU486" s="106"/>
      <c r="AV486" s="106"/>
      <c r="AW486" s="126"/>
      <c r="AX486" s="126"/>
      <c r="AY486" s="126"/>
      <c r="AZ486" s="126"/>
      <c r="BA486" s="126"/>
      <c r="BB486" s="160"/>
      <c r="BC486" s="160"/>
      <c r="BD486" s="160"/>
      <c r="BE486" s="160"/>
      <c r="BF486" s="161"/>
    </row>
    <row r="487" s="162" customFormat="true" ht="14.1" hidden="true" customHeight="true" outlineLevel="1" collapsed="false">
      <c r="A487" s="138" t="s">
        <v>211</v>
      </c>
      <c r="B487" s="235"/>
      <c r="C487" s="324"/>
      <c r="D487" s="324"/>
      <c r="E487" s="324"/>
      <c r="F487" s="324"/>
      <c r="G487" s="165"/>
      <c r="H487" s="150"/>
      <c r="I487" s="220"/>
      <c r="J487" s="220"/>
      <c r="K487" s="221"/>
      <c r="L487" s="224"/>
      <c r="M487" s="224"/>
      <c r="N487" s="224"/>
      <c r="O487" s="221"/>
      <c r="P487" s="221"/>
      <c r="Q487" s="221"/>
      <c r="R487" s="224"/>
      <c r="S487" s="221"/>
      <c r="T487" s="221"/>
      <c r="U487" s="221"/>
      <c r="V487" s="221"/>
      <c r="W487" s="221"/>
      <c r="X487" s="221"/>
      <c r="Y487" s="255"/>
      <c r="Z487" s="255"/>
      <c r="AA487" s="221"/>
      <c r="AB487" s="221"/>
      <c r="AC487" s="221"/>
      <c r="AD487" s="221"/>
      <c r="AE487" s="221"/>
      <c r="AF487" s="221"/>
      <c r="AG487" s="221"/>
      <c r="AH487" s="24"/>
      <c r="AI487" s="24"/>
      <c r="AJ487" s="24"/>
      <c r="AK487" s="35"/>
      <c r="AL487" s="35"/>
      <c r="AM487" s="40"/>
      <c r="AN487" s="40"/>
      <c r="AO487" s="125"/>
      <c r="AP487" s="125"/>
      <c r="AQ487" s="126"/>
      <c r="AR487" s="127"/>
      <c r="AS487" s="127"/>
      <c r="AT487" s="106"/>
      <c r="AU487" s="106"/>
      <c r="AV487" s="106"/>
      <c r="AW487" s="126"/>
      <c r="AX487" s="126"/>
      <c r="AY487" s="126"/>
      <c r="AZ487" s="126"/>
      <c r="BA487" s="126"/>
      <c r="BB487" s="160"/>
      <c r="BC487" s="160"/>
      <c r="BD487" s="160"/>
      <c r="BE487" s="160"/>
      <c r="BF487" s="161"/>
    </row>
    <row r="488" s="162" customFormat="true" ht="14.1" hidden="true" customHeight="true" outlineLevel="1" collapsed="false">
      <c r="A488" s="242" t="s">
        <v>212</v>
      </c>
      <c r="B488" s="235"/>
      <c r="C488" s="324"/>
      <c r="D488" s="324"/>
      <c r="E488" s="324"/>
      <c r="F488" s="324"/>
      <c r="G488" s="165"/>
      <c r="H488" s="150"/>
      <c r="I488" s="220"/>
      <c r="J488" s="220"/>
      <c r="K488" s="221"/>
      <c r="L488" s="224"/>
      <c r="M488" s="224"/>
      <c r="N488" s="224"/>
      <c r="O488" s="221"/>
      <c r="P488" s="221"/>
      <c r="Q488" s="221"/>
      <c r="R488" s="224"/>
      <c r="S488" s="221"/>
      <c r="T488" s="221"/>
      <c r="U488" s="221"/>
      <c r="V488" s="221"/>
      <c r="W488" s="221"/>
      <c r="X488" s="221"/>
      <c r="Y488" s="255"/>
      <c r="Z488" s="255"/>
      <c r="AA488" s="221"/>
      <c r="AB488" s="221"/>
      <c r="AC488" s="221"/>
      <c r="AD488" s="221"/>
      <c r="AE488" s="221"/>
      <c r="AF488" s="221"/>
      <c r="AG488" s="221"/>
      <c r="AH488" s="24"/>
      <c r="AI488" s="24"/>
      <c r="AJ488" s="24"/>
      <c r="AK488" s="35"/>
      <c r="AL488" s="35"/>
      <c r="AM488" s="40"/>
      <c r="AN488" s="40"/>
      <c r="AO488" s="125"/>
      <c r="AP488" s="125"/>
      <c r="AQ488" s="126"/>
      <c r="AR488" s="127"/>
      <c r="AS488" s="127"/>
      <c r="AT488" s="106"/>
      <c r="AU488" s="106"/>
      <c r="AV488" s="106"/>
      <c r="AW488" s="126"/>
      <c r="AX488" s="126"/>
      <c r="AY488" s="126"/>
      <c r="AZ488" s="126"/>
      <c r="BA488" s="126"/>
      <c r="BB488" s="160"/>
      <c r="BC488" s="160"/>
      <c r="BD488" s="160"/>
      <c r="BE488" s="160"/>
      <c r="BF488" s="161"/>
    </row>
    <row r="489" s="162" customFormat="true" ht="14.1" hidden="true" customHeight="true" outlineLevel="1" collapsed="false">
      <c r="A489" s="138" t="s">
        <v>213</v>
      </c>
      <c r="B489" s="235"/>
      <c r="C489" s="324"/>
      <c r="D489" s="324"/>
      <c r="E489" s="324"/>
      <c r="F489" s="324"/>
      <c r="G489" s="165"/>
      <c r="H489" s="150"/>
      <c r="I489" s="220"/>
      <c r="J489" s="220"/>
      <c r="K489" s="221"/>
      <c r="L489" s="224"/>
      <c r="M489" s="224"/>
      <c r="N489" s="224"/>
      <c r="O489" s="221"/>
      <c r="P489" s="221"/>
      <c r="Q489" s="221"/>
      <c r="R489" s="224"/>
      <c r="S489" s="221"/>
      <c r="T489" s="221"/>
      <c r="U489" s="221"/>
      <c r="V489" s="221"/>
      <c r="W489" s="221"/>
      <c r="X489" s="221"/>
      <c r="Y489" s="255"/>
      <c r="Z489" s="255"/>
      <c r="AA489" s="221"/>
      <c r="AB489" s="221"/>
      <c r="AC489" s="221"/>
      <c r="AD489" s="221"/>
      <c r="AE489" s="221"/>
      <c r="AF489" s="221"/>
      <c r="AG489" s="221"/>
      <c r="AH489" s="24"/>
      <c r="AI489" s="24"/>
      <c r="AJ489" s="24"/>
      <c r="AK489" s="35"/>
      <c r="AL489" s="35"/>
      <c r="AM489" s="40"/>
      <c r="AN489" s="40"/>
      <c r="AO489" s="125"/>
      <c r="AP489" s="125"/>
      <c r="AQ489" s="126"/>
      <c r="AR489" s="127"/>
      <c r="AS489" s="127"/>
      <c r="AT489" s="106"/>
      <c r="AU489" s="106"/>
      <c r="AV489" s="106"/>
      <c r="AW489" s="126"/>
      <c r="AX489" s="126"/>
      <c r="AY489" s="126"/>
      <c r="AZ489" s="126"/>
      <c r="BA489" s="126"/>
      <c r="BB489" s="160"/>
      <c r="BC489" s="160"/>
      <c r="BD489" s="160"/>
      <c r="BE489" s="160"/>
      <c r="BF489" s="161"/>
    </row>
    <row r="490" s="162" customFormat="true" ht="14.1" hidden="true" customHeight="true" outlineLevel="1" collapsed="false">
      <c r="A490" s="242" t="s">
        <v>284</v>
      </c>
      <c r="B490" s="235"/>
      <c r="C490" s="324"/>
      <c r="D490" s="324"/>
      <c r="E490" s="324"/>
      <c r="F490" s="324"/>
      <c r="G490" s="165"/>
      <c r="H490" s="150"/>
      <c r="I490" s="220"/>
      <c r="J490" s="220"/>
      <c r="K490" s="221"/>
      <c r="L490" s="224"/>
      <c r="M490" s="224"/>
      <c r="N490" s="224"/>
      <c r="O490" s="221"/>
      <c r="P490" s="221"/>
      <c r="Q490" s="221"/>
      <c r="R490" s="224"/>
      <c r="S490" s="221"/>
      <c r="T490" s="221"/>
      <c r="U490" s="221"/>
      <c r="V490" s="221"/>
      <c r="W490" s="221"/>
      <c r="X490" s="221"/>
      <c r="Y490" s="255"/>
      <c r="Z490" s="255"/>
      <c r="AA490" s="221"/>
      <c r="AB490" s="221"/>
      <c r="AC490" s="221"/>
      <c r="AD490" s="221"/>
      <c r="AE490" s="221"/>
      <c r="AF490" s="221"/>
      <c r="AG490" s="221"/>
      <c r="AH490" s="24"/>
      <c r="AI490" s="24"/>
      <c r="AJ490" s="24"/>
      <c r="AK490" s="35"/>
      <c r="AL490" s="35"/>
      <c r="AM490" s="40"/>
      <c r="AN490" s="40"/>
      <c r="AO490" s="125"/>
      <c r="AP490" s="125"/>
      <c r="AQ490" s="126"/>
      <c r="AR490" s="127"/>
      <c r="AS490" s="127"/>
      <c r="AT490" s="106"/>
      <c r="AU490" s="106"/>
      <c r="AV490" s="106"/>
      <c r="AW490" s="126"/>
      <c r="AX490" s="126"/>
      <c r="AY490" s="126"/>
      <c r="AZ490" s="126"/>
      <c r="BA490" s="126"/>
      <c r="BB490" s="160"/>
      <c r="BC490" s="160"/>
      <c r="BD490" s="160"/>
      <c r="BE490" s="160"/>
      <c r="BF490" s="161"/>
    </row>
    <row r="491" s="162" customFormat="true" ht="14.1" hidden="true" customHeight="true" outlineLevel="1" collapsed="false">
      <c r="A491" s="138" t="s">
        <v>215</v>
      </c>
      <c r="B491" s="235"/>
      <c r="C491" s="324"/>
      <c r="D491" s="324"/>
      <c r="E491" s="324"/>
      <c r="F491" s="324"/>
      <c r="G491" s="165"/>
      <c r="H491" s="150"/>
      <c r="I491" s="220"/>
      <c r="J491" s="220"/>
      <c r="K491" s="221"/>
      <c r="L491" s="224"/>
      <c r="M491" s="224"/>
      <c r="N491" s="224"/>
      <c r="O491" s="221"/>
      <c r="P491" s="221"/>
      <c r="Q491" s="221"/>
      <c r="R491" s="224"/>
      <c r="S491" s="221"/>
      <c r="T491" s="221"/>
      <c r="U491" s="221"/>
      <c r="V491" s="221"/>
      <c r="W491" s="221"/>
      <c r="X491" s="221"/>
      <c r="Y491" s="255"/>
      <c r="Z491" s="255"/>
      <c r="AA491" s="221"/>
      <c r="AB491" s="221"/>
      <c r="AC491" s="221"/>
      <c r="AD491" s="221"/>
      <c r="AE491" s="221"/>
      <c r="AF491" s="221"/>
      <c r="AG491" s="221"/>
      <c r="AH491" s="24"/>
      <c r="AI491" s="24"/>
      <c r="AJ491" s="24"/>
      <c r="AK491" s="35"/>
      <c r="AL491" s="35"/>
      <c r="AM491" s="40"/>
      <c r="AN491" s="40"/>
      <c r="AO491" s="125"/>
      <c r="AP491" s="125"/>
      <c r="AQ491" s="126"/>
      <c r="AR491" s="127"/>
      <c r="AS491" s="127"/>
      <c r="AT491" s="106"/>
      <c r="AU491" s="106"/>
      <c r="AV491" s="106"/>
      <c r="AW491" s="126"/>
      <c r="AX491" s="126"/>
      <c r="AY491" s="126"/>
      <c r="AZ491" s="126"/>
      <c r="BA491" s="126"/>
      <c r="BB491" s="160"/>
      <c r="BC491" s="160"/>
      <c r="BD491" s="160"/>
      <c r="BE491" s="160"/>
      <c r="BF491" s="161"/>
    </row>
    <row r="492" s="162" customFormat="true" ht="14.1" hidden="true" customHeight="true" outlineLevel="1" collapsed="false">
      <c r="A492" s="244" t="s">
        <v>101</v>
      </c>
      <c r="B492" s="235"/>
      <c r="C492" s="324"/>
      <c r="D492" s="324"/>
      <c r="E492" s="324"/>
      <c r="F492" s="324"/>
      <c r="G492" s="165"/>
      <c r="H492" s="150"/>
      <c r="I492" s="220"/>
      <c r="J492" s="220"/>
      <c r="K492" s="221"/>
      <c r="L492" s="224"/>
      <c r="M492" s="224"/>
      <c r="N492" s="224"/>
      <c r="O492" s="221"/>
      <c r="P492" s="221"/>
      <c r="Q492" s="221"/>
      <c r="R492" s="224"/>
      <c r="S492" s="221"/>
      <c r="T492" s="221"/>
      <c r="U492" s="221"/>
      <c r="V492" s="221"/>
      <c r="W492" s="221"/>
      <c r="X492" s="221"/>
      <c r="Y492" s="255"/>
      <c r="Z492" s="255"/>
      <c r="AA492" s="221"/>
      <c r="AB492" s="221"/>
      <c r="AC492" s="221"/>
      <c r="AD492" s="221"/>
      <c r="AE492" s="221"/>
      <c r="AF492" s="221"/>
      <c r="AG492" s="221"/>
      <c r="AH492" s="24"/>
      <c r="AI492" s="24"/>
      <c r="AJ492" s="24"/>
      <c r="AK492" s="35"/>
      <c r="AL492" s="35"/>
      <c r="AM492" s="40"/>
      <c r="AN492" s="40"/>
      <c r="AO492" s="125"/>
      <c r="AP492" s="125"/>
      <c r="AQ492" s="126"/>
      <c r="AR492" s="127"/>
      <c r="AS492" s="127"/>
      <c r="AT492" s="106"/>
      <c r="AU492" s="106"/>
      <c r="AV492" s="106"/>
      <c r="AW492" s="126"/>
      <c r="AX492" s="126"/>
      <c r="AY492" s="126"/>
      <c r="AZ492" s="126"/>
      <c r="BA492" s="126"/>
      <c r="BB492" s="160"/>
      <c r="BC492" s="160"/>
      <c r="BD492" s="160"/>
      <c r="BE492" s="160"/>
      <c r="BF492" s="161"/>
    </row>
    <row r="493" s="162" customFormat="true" ht="14.1" hidden="true" customHeight="true" outlineLevel="1" collapsed="false">
      <c r="A493" s="138" t="s">
        <v>217</v>
      </c>
      <c r="B493" s="277"/>
      <c r="C493" s="301"/>
      <c r="D493" s="272"/>
      <c r="E493" s="272"/>
      <c r="F493" s="272"/>
      <c r="G493" s="165"/>
      <c r="H493" s="150"/>
      <c r="I493" s="220"/>
      <c r="J493" s="220"/>
      <c r="K493" s="221"/>
      <c r="L493" s="224"/>
      <c r="M493" s="224"/>
      <c r="N493" s="224"/>
      <c r="O493" s="221"/>
      <c r="P493" s="221"/>
      <c r="Q493" s="221"/>
      <c r="R493" s="224"/>
      <c r="S493" s="221"/>
      <c r="T493" s="221"/>
      <c r="U493" s="221"/>
      <c r="V493" s="221"/>
      <c r="W493" s="221"/>
      <c r="X493" s="221"/>
      <c r="Y493" s="255"/>
      <c r="Z493" s="255"/>
      <c r="AA493" s="221"/>
      <c r="AB493" s="221"/>
      <c r="AC493" s="221"/>
      <c r="AD493" s="221"/>
      <c r="AE493" s="221"/>
      <c r="AF493" s="221"/>
      <c r="AG493" s="221"/>
      <c r="AH493" s="24"/>
      <c r="AI493" s="24"/>
      <c r="AJ493" s="24"/>
      <c r="AK493" s="35"/>
      <c r="AL493" s="35"/>
      <c r="AM493" s="40"/>
      <c r="AN493" s="40"/>
      <c r="AO493" s="125"/>
      <c r="AP493" s="125"/>
      <c r="AQ493" s="126"/>
      <c r="AR493" s="127"/>
      <c r="AS493" s="127"/>
      <c r="AT493" s="106"/>
      <c r="AU493" s="106"/>
      <c r="AV493" s="106"/>
      <c r="AW493" s="126"/>
      <c r="AX493" s="126"/>
      <c r="AY493" s="126"/>
      <c r="AZ493" s="126"/>
      <c r="BA493" s="126"/>
      <c r="BB493" s="160"/>
      <c r="BC493" s="160"/>
      <c r="BD493" s="160"/>
      <c r="BE493" s="160"/>
      <c r="BF493" s="161"/>
    </row>
    <row r="494" s="162" customFormat="true" ht="14.1" hidden="true" customHeight="true" outlineLevel="1" collapsed="false">
      <c r="A494" s="245" t="s">
        <v>327</v>
      </c>
      <c r="B494" s="277"/>
      <c r="C494" s="301"/>
      <c r="D494" s="272"/>
      <c r="E494" s="272"/>
      <c r="F494" s="272"/>
      <c r="G494" s="165"/>
      <c r="H494" s="150"/>
      <c r="I494" s="220"/>
      <c r="J494" s="220"/>
      <c r="K494" s="221"/>
      <c r="L494" s="224"/>
      <c r="M494" s="224"/>
      <c r="N494" s="224"/>
      <c r="O494" s="221"/>
      <c r="P494" s="221"/>
      <c r="Q494" s="221"/>
      <c r="R494" s="224"/>
      <c r="S494" s="221"/>
      <c r="T494" s="221"/>
      <c r="U494" s="221"/>
      <c r="V494" s="221"/>
      <c r="W494" s="221"/>
      <c r="X494" s="221"/>
      <c r="Y494" s="255"/>
      <c r="Z494" s="255"/>
      <c r="AA494" s="221"/>
      <c r="AB494" s="221"/>
      <c r="AC494" s="221"/>
      <c r="AD494" s="221"/>
      <c r="AE494" s="221"/>
      <c r="AF494" s="221"/>
      <c r="AG494" s="221"/>
      <c r="AH494" s="24"/>
      <c r="AI494" s="24"/>
      <c r="AJ494" s="24"/>
      <c r="AK494" s="35"/>
      <c r="AL494" s="35"/>
      <c r="AM494" s="40"/>
      <c r="AN494" s="40"/>
      <c r="AO494" s="125"/>
      <c r="AP494" s="125"/>
      <c r="AQ494" s="126"/>
      <c r="AR494" s="127"/>
      <c r="AS494" s="127"/>
      <c r="AT494" s="106"/>
      <c r="AU494" s="106"/>
      <c r="AV494" s="106"/>
      <c r="AW494" s="126"/>
      <c r="AX494" s="126"/>
      <c r="AY494" s="126"/>
      <c r="AZ494" s="126"/>
      <c r="BA494" s="126"/>
      <c r="BB494" s="160"/>
      <c r="BC494" s="160"/>
      <c r="BD494" s="160"/>
      <c r="BE494" s="160"/>
      <c r="BF494" s="161"/>
    </row>
    <row r="495" s="162" customFormat="true" ht="14.1" hidden="true" customHeight="true" outlineLevel="1" collapsed="false">
      <c r="A495" s="138" t="s">
        <v>222</v>
      </c>
      <c r="B495" s="235"/>
      <c r="C495" s="138"/>
      <c r="D495" s="272"/>
      <c r="E495" s="272"/>
      <c r="F495" s="272"/>
      <c r="G495" s="165"/>
      <c r="H495" s="150"/>
      <c r="I495" s="220"/>
      <c r="J495" s="220"/>
      <c r="K495" s="221"/>
      <c r="L495" s="224"/>
      <c r="M495" s="224"/>
      <c r="N495" s="224"/>
      <c r="O495" s="221"/>
      <c r="P495" s="221"/>
      <c r="Q495" s="221"/>
      <c r="R495" s="224"/>
      <c r="S495" s="221"/>
      <c r="T495" s="221"/>
      <c r="U495" s="221"/>
      <c r="V495" s="221"/>
      <c r="W495" s="221"/>
      <c r="X495" s="221"/>
      <c r="Y495" s="255"/>
      <c r="Z495" s="255"/>
      <c r="AA495" s="221"/>
      <c r="AB495" s="221"/>
      <c r="AC495" s="221"/>
      <c r="AD495" s="221"/>
      <c r="AE495" s="221"/>
      <c r="AF495" s="221"/>
      <c r="AG495" s="221"/>
      <c r="AH495" s="24"/>
      <c r="AI495" s="24"/>
      <c r="AJ495" s="24"/>
      <c r="AK495" s="35"/>
      <c r="AL495" s="35"/>
      <c r="AM495" s="40"/>
      <c r="AN495" s="40"/>
      <c r="AO495" s="125"/>
      <c r="AP495" s="125"/>
      <c r="AQ495" s="126"/>
      <c r="AR495" s="127"/>
      <c r="AS495" s="127"/>
      <c r="AT495" s="106"/>
      <c r="AU495" s="106"/>
      <c r="AV495" s="106"/>
      <c r="AW495" s="126"/>
      <c r="AX495" s="126"/>
      <c r="AY495" s="126"/>
      <c r="AZ495" s="126"/>
      <c r="BA495" s="126"/>
      <c r="BB495" s="160"/>
      <c r="BC495" s="160"/>
      <c r="BD495" s="160"/>
      <c r="BE495" s="160"/>
      <c r="BF495" s="161"/>
    </row>
    <row r="496" s="162" customFormat="true" ht="14.1" hidden="true" customHeight="true" outlineLevel="1" collapsed="false">
      <c r="A496" s="242" t="s">
        <v>328</v>
      </c>
      <c r="B496" s="169"/>
      <c r="C496" s="169"/>
      <c r="D496" s="272"/>
      <c r="E496" s="272"/>
      <c r="F496" s="272"/>
      <c r="G496" s="165"/>
      <c r="H496" s="150"/>
      <c r="I496" s="220"/>
      <c r="J496" s="220"/>
      <c r="K496" s="221"/>
      <c r="L496" s="224"/>
      <c r="M496" s="224"/>
      <c r="N496" s="224"/>
      <c r="O496" s="221"/>
      <c r="P496" s="221"/>
      <c r="Q496" s="221"/>
      <c r="R496" s="224"/>
      <c r="S496" s="221"/>
      <c r="T496" s="221"/>
      <c r="U496" s="221"/>
      <c r="V496" s="221"/>
      <c r="W496" s="221"/>
      <c r="X496" s="221"/>
      <c r="Y496" s="255"/>
      <c r="Z496" s="255"/>
      <c r="AA496" s="221"/>
      <c r="AB496" s="221"/>
      <c r="AC496" s="221"/>
      <c r="AD496" s="221"/>
      <c r="AE496" s="221"/>
      <c r="AF496" s="221"/>
      <c r="AG496" s="221"/>
      <c r="AH496" s="24"/>
      <c r="AI496" s="24"/>
      <c r="AJ496" s="24"/>
      <c r="AK496" s="35"/>
      <c r="AL496" s="35"/>
      <c r="AM496" s="40"/>
      <c r="AN496" s="40"/>
      <c r="AO496" s="125"/>
      <c r="AP496" s="125"/>
      <c r="AQ496" s="126"/>
      <c r="AR496" s="127"/>
      <c r="AS496" s="127"/>
      <c r="AT496" s="106"/>
      <c r="AU496" s="106"/>
      <c r="AV496" s="106"/>
      <c r="AW496" s="126"/>
      <c r="AX496" s="126"/>
      <c r="AY496" s="126"/>
      <c r="AZ496" s="126"/>
      <c r="BA496" s="126"/>
      <c r="BB496" s="160"/>
      <c r="BC496" s="160"/>
      <c r="BD496" s="160"/>
      <c r="BE496" s="160"/>
      <c r="BF496" s="161"/>
    </row>
    <row r="497" s="162" customFormat="true" ht="14.1" hidden="true" customHeight="true" outlineLevel="1" collapsed="false">
      <c r="A497" s="138" t="s">
        <v>224</v>
      </c>
      <c r="B497" s="169"/>
      <c r="C497" s="169"/>
      <c r="D497" s="272"/>
      <c r="E497" s="272"/>
      <c r="F497" s="272"/>
      <c r="G497" s="165"/>
      <c r="H497" s="150"/>
      <c r="I497" s="220"/>
      <c r="J497" s="220"/>
      <c r="K497" s="221"/>
      <c r="L497" s="224"/>
      <c r="M497" s="224"/>
      <c r="N497" s="224"/>
      <c r="O497" s="221"/>
      <c r="P497" s="221"/>
      <c r="Q497" s="221"/>
      <c r="R497" s="224"/>
      <c r="S497" s="221"/>
      <c r="T497" s="221"/>
      <c r="U497" s="221"/>
      <c r="V497" s="221"/>
      <c r="W497" s="221"/>
      <c r="X497" s="221"/>
      <c r="Y497" s="255"/>
      <c r="Z497" s="255"/>
      <c r="AA497" s="221"/>
      <c r="AB497" s="221"/>
      <c r="AC497" s="221"/>
      <c r="AD497" s="221"/>
      <c r="AE497" s="221"/>
      <c r="AF497" s="221"/>
      <c r="AG497" s="221"/>
      <c r="AH497" s="24"/>
      <c r="AI497" s="24"/>
      <c r="AJ497" s="24"/>
      <c r="AK497" s="35"/>
      <c r="AL497" s="35"/>
      <c r="AM497" s="40"/>
      <c r="AN497" s="40"/>
      <c r="AO497" s="125"/>
      <c r="AP497" s="125"/>
      <c r="AQ497" s="126"/>
      <c r="AR497" s="127"/>
      <c r="AS497" s="127"/>
      <c r="AT497" s="106"/>
      <c r="AU497" s="106"/>
      <c r="AV497" s="106"/>
      <c r="AW497" s="126"/>
      <c r="AX497" s="126"/>
      <c r="AY497" s="126"/>
      <c r="AZ497" s="126"/>
      <c r="BA497" s="126"/>
      <c r="BB497" s="160"/>
      <c r="BC497" s="160"/>
      <c r="BD497" s="160"/>
      <c r="BE497" s="160"/>
      <c r="BF497" s="161"/>
    </row>
    <row r="498" s="162" customFormat="true" ht="14.1" hidden="true" customHeight="true" outlineLevel="1" collapsed="false">
      <c r="A498" s="242" t="s">
        <v>329</v>
      </c>
      <c r="B498" s="169"/>
      <c r="C498" s="169"/>
      <c r="D498" s="272"/>
      <c r="E498" s="272"/>
      <c r="F498" s="272"/>
      <c r="G498" s="165"/>
      <c r="H498" s="150"/>
      <c r="I498" s="220"/>
      <c r="J498" s="220"/>
      <c r="K498" s="221"/>
      <c r="L498" s="224"/>
      <c r="M498" s="224"/>
      <c r="N498" s="224"/>
      <c r="O498" s="221"/>
      <c r="P498" s="221"/>
      <c r="Q498" s="221"/>
      <c r="R498" s="224"/>
      <c r="S498" s="221"/>
      <c r="T498" s="221"/>
      <c r="U498" s="221"/>
      <c r="V498" s="221"/>
      <c r="W498" s="221"/>
      <c r="X498" s="221"/>
      <c r="Y498" s="255"/>
      <c r="Z498" s="255"/>
      <c r="AA498" s="221"/>
      <c r="AB498" s="221"/>
      <c r="AC498" s="221"/>
      <c r="AD498" s="221"/>
      <c r="AE498" s="221"/>
      <c r="AF498" s="221"/>
      <c r="AG498" s="221"/>
      <c r="AH498" s="24"/>
      <c r="AI498" s="24"/>
      <c r="AJ498" s="24"/>
      <c r="AK498" s="35"/>
      <c r="AL498" s="35"/>
      <c r="AM498" s="40"/>
      <c r="AN498" s="40"/>
      <c r="AO498" s="125"/>
      <c r="AP498" s="125"/>
      <c r="AQ498" s="126"/>
      <c r="AR498" s="127"/>
      <c r="AS498" s="127"/>
      <c r="AT498" s="106"/>
      <c r="AU498" s="106"/>
      <c r="AV498" s="106"/>
      <c r="AW498" s="126"/>
      <c r="AX498" s="126"/>
      <c r="AY498" s="126"/>
      <c r="AZ498" s="126"/>
      <c r="BA498" s="126"/>
      <c r="BB498" s="160"/>
      <c r="BC498" s="160"/>
      <c r="BD498" s="160"/>
      <c r="BE498" s="160"/>
      <c r="BF498" s="161"/>
    </row>
    <row r="499" s="162" customFormat="true" ht="14.1" hidden="true" customHeight="true" outlineLevel="1" collapsed="false">
      <c r="A499" s="138" t="s">
        <v>225</v>
      </c>
      <c r="B499" s="277"/>
      <c r="C499" s="272"/>
      <c r="D499" s="272"/>
      <c r="E499" s="272"/>
      <c r="F499" s="272"/>
      <c r="G499" s="165"/>
      <c r="H499" s="150"/>
      <c r="I499" s="220"/>
      <c r="J499" s="220"/>
      <c r="K499" s="221"/>
      <c r="L499" s="224"/>
      <c r="M499" s="224"/>
      <c r="N499" s="224"/>
      <c r="O499" s="221"/>
      <c r="P499" s="221"/>
      <c r="Q499" s="221"/>
      <c r="R499" s="224"/>
      <c r="S499" s="221"/>
      <c r="T499" s="221"/>
      <c r="U499" s="221"/>
      <c r="V499" s="221"/>
      <c r="W499" s="221"/>
      <c r="X499" s="221"/>
      <c r="Y499" s="255"/>
      <c r="Z499" s="255"/>
      <c r="AA499" s="221"/>
      <c r="AB499" s="221"/>
      <c r="AC499" s="221"/>
      <c r="AD499" s="221"/>
      <c r="AE499" s="221"/>
      <c r="AF499" s="221"/>
      <c r="AG499" s="221"/>
      <c r="AH499" s="24"/>
      <c r="AI499" s="24"/>
      <c r="AJ499" s="24"/>
      <c r="AK499" s="35"/>
      <c r="AL499" s="35"/>
      <c r="AM499" s="40"/>
      <c r="AN499" s="40"/>
      <c r="AO499" s="125"/>
      <c r="AP499" s="125"/>
      <c r="AQ499" s="126"/>
      <c r="AR499" s="127"/>
      <c r="AS499" s="127"/>
      <c r="AT499" s="106"/>
      <c r="AU499" s="106"/>
      <c r="AV499" s="106"/>
      <c r="AW499" s="126"/>
      <c r="AX499" s="126"/>
      <c r="AY499" s="126"/>
      <c r="AZ499" s="126"/>
      <c r="BA499" s="126"/>
      <c r="BB499" s="160"/>
      <c r="BC499" s="160"/>
      <c r="BD499" s="160"/>
      <c r="BE499" s="160"/>
      <c r="BF499" s="161"/>
    </row>
    <row r="500" customFormat="false" ht="14.1" hidden="true" customHeight="true" outlineLevel="1" collapsed="false">
      <c r="A500" s="149" t="s">
        <v>226</v>
      </c>
      <c r="B500" s="119" t="s">
        <v>109</v>
      </c>
      <c r="C500" s="130" t="n">
        <v>0</v>
      </c>
      <c r="D500" s="271"/>
      <c r="E500" s="271"/>
      <c r="F500" s="271"/>
      <c r="G500" s="150"/>
      <c r="H500" s="150"/>
      <c r="I500" s="150"/>
      <c r="J500" s="259"/>
      <c r="K500" s="220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35"/>
      <c r="AI500" s="188"/>
      <c r="AJ500" s="188"/>
      <c r="AK500" s="188"/>
      <c r="AL500" s="188"/>
      <c r="AM500" s="40"/>
      <c r="AN500" s="40"/>
      <c r="AO500" s="125"/>
      <c r="AP500" s="195"/>
      <c r="AQ500" s="106"/>
      <c r="AR500" s="106"/>
      <c r="AS500" s="106"/>
      <c r="AT500" s="106"/>
      <c r="AU500" s="106"/>
      <c r="AV500" s="106"/>
      <c r="AW500" s="126"/>
      <c r="AX500" s="126"/>
      <c r="AY500" s="126"/>
      <c r="AZ500" s="126"/>
      <c r="BA500" s="126"/>
      <c r="BB500" s="160"/>
      <c r="BC500" s="160"/>
      <c r="BD500" s="160"/>
      <c r="BE500" s="160"/>
    </row>
    <row r="501" customFormat="false" ht="14.1" hidden="true" customHeight="true" outlineLevel="1" collapsed="false">
      <c r="A501" s="139" t="s">
        <v>226</v>
      </c>
      <c r="B501" s="119" t="s">
        <v>109</v>
      </c>
      <c r="C501" s="151" t="n">
        <v>0</v>
      </c>
      <c r="D501" s="271"/>
      <c r="E501" s="271"/>
      <c r="F501" s="271"/>
      <c r="G501" s="150"/>
      <c r="H501" s="150"/>
      <c r="I501" s="150"/>
      <c r="J501" s="259"/>
      <c r="K501" s="220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35"/>
      <c r="AI501" s="188"/>
      <c r="AJ501" s="188"/>
      <c r="AK501" s="188"/>
      <c r="AL501" s="188"/>
      <c r="AM501" s="40"/>
      <c r="AN501" s="40"/>
      <c r="AO501" s="125"/>
      <c r="AP501" s="195"/>
      <c r="AQ501" s="106"/>
      <c r="AR501" s="106"/>
      <c r="AS501" s="106"/>
      <c r="AT501" s="106"/>
      <c r="AU501" s="106"/>
      <c r="AV501" s="106"/>
      <c r="AW501" s="126"/>
      <c r="AX501" s="126"/>
      <c r="AY501" s="126"/>
      <c r="AZ501" s="126"/>
      <c r="BA501" s="126"/>
      <c r="BB501" s="160"/>
      <c r="BC501" s="160"/>
      <c r="BD501" s="160"/>
      <c r="BE501" s="160"/>
    </row>
    <row r="502" customFormat="false" ht="14.1" hidden="true" customHeight="true" outlineLevel="1" collapsed="false">
      <c r="A502" s="138"/>
      <c r="B502" s="235"/>
      <c r="C502" s="138"/>
      <c r="D502" s="271"/>
      <c r="E502" s="271"/>
      <c r="F502" s="271"/>
      <c r="G502" s="150"/>
      <c r="H502" s="150"/>
      <c r="I502" s="150"/>
      <c r="J502" s="259"/>
      <c r="K502" s="220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  <c r="AA502" s="26"/>
      <c r="AB502" s="26"/>
      <c r="AC502" s="26"/>
      <c r="AD502" s="26"/>
      <c r="AE502" s="26"/>
      <c r="AF502" s="26"/>
      <c r="AG502" s="26"/>
      <c r="AH502" s="35"/>
      <c r="AI502" s="188"/>
      <c r="AJ502" s="188"/>
      <c r="AK502" s="188"/>
      <c r="AL502" s="188"/>
      <c r="AM502" s="40"/>
      <c r="AN502" s="40"/>
      <c r="AO502" s="125"/>
      <c r="AP502" s="195"/>
      <c r="AQ502" s="106"/>
      <c r="AR502" s="106"/>
      <c r="AS502" s="106"/>
      <c r="AT502" s="106"/>
      <c r="AU502" s="106"/>
      <c r="AV502" s="106"/>
      <c r="AW502" s="126"/>
      <c r="AX502" s="126"/>
      <c r="AY502" s="126"/>
      <c r="AZ502" s="126"/>
      <c r="BA502" s="126"/>
      <c r="BB502" s="160"/>
      <c r="BC502" s="160"/>
      <c r="BD502" s="160"/>
      <c r="BE502" s="160"/>
    </row>
    <row r="503" customFormat="false" ht="14.1" hidden="true" customHeight="true" outlineLevel="1" collapsed="false">
      <c r="A503" s="152" t="s">
        <v>330</v>
      </c>
      <c r="B503" s="119" t="s">
        <v>113</v>
      </c>
      <c r="C503" s="252" t="n">
        <v>3000</v>
      </c>
      <c r="D503" s="271"/>
      <c r="E503" s="271"/>
      <c r="F503" s="271"/>
      <c r="G503" s="150"/>
      <c r="H503" s="150"/>
      <c r="I503" s="150"/>
      <c r="J503" s="259"/>
      <c r="K503" s="220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  <c r="AA503" s="26"/>
      <c r="AB503" s="26"/>
      <c r="AC503" s="26"/>
      <c r="AD503" s="26"/>
      <c r="AE503" s="26"/>
      <c r="AF503" s="26"/>
      <c r="AG503" s="26"/>
      <c r="AH503" s="35"/>
      <c r="AI503" s="188"/>
      <c r="AJ503" s="188"/>
      <c r="AK503" s="188"/>
      <c r="AL503" s="188"/>
      <c r="AM503" s="40"/>
      <c r="AN503" s="40"/>
      <c r="AO503" s="125"/>
      <c r="AP503" s="195"/>
      <c r="AQ503" s="106"/>
      <c r="AR503" s="106"/>
      <c r="AS503" s="106"/>
      <c r="AT503" s="106"/>
      <c r="AU503" s="106"/>
      <c r="AV503" s="106"/>
      <c r="AW503" s="126"/>
      <c r="AX503" s="126"/>
      <c r="AY503" s="126"/>
      <c r="AZ503" s="126"/>
      <c r="BA503" s="126"/>
      <c r="BB503" s="160"/>
      <c r="BC503" s="160"/>
      <c r="BD503" s="160"/>
      <c r="BE503" s="160"/>
    </row>
    <row r="504" customFormat="false" ht="14.1" hidden="false" customHeight="true" outlineLevel="0" collapsed="false">
      <c r="A504" s="155" t="s">
        <v>331</v>
      </c>
      <c r="B504" s="155"/>
      <c r="C504" s="155"/>
      <c r="D504" s="155"/>
      <c r="E504" s="155"/>
      <c r="F504" s="138"/>
      <c r="G504" s="150"/>
      <c r="H504" s="150"/>
      <c r="I504" s="150"/>
      <c r="J504" s="259"/>
      <c r="K504" s="220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  <c r="AA504" s="26"/>
      <c r="AB504" s="26"/>
      <c r="AC504" s="26"/>
      <c r="AD504" s="26"/>
      <c r="AE504" s="26"/>
      <c r="AF504" s="26"/>
      <c r="AG504" s="26"/>
      <c r="AH504" s="35"/>
      <c r="AI504" s="188"/>
      <c r="AJ504" s="188"/>
      <c r="AK504" s="188"/>
      <c r="AL504" s="188"/>
      <c r="AM504" s="40"/>
      <c r="AN504" s="40"/>
      <c r="AO504" s="125"/>
      <c r="AP504" s="195"/>
      <c r="AQ504" s="106"/>
      <c r="AR504" s="106"/>
      <c r="AS504" s="106"/>
      <c r="AT504" s="106"/>
      <c r="AU504" s="106"/>
      <c r="AV504" s="106"/>
      <c r="AW504" s="126"/>
      <c r="AX504" s="126"/>
      <c r="AY504" s="126"/>
      <c r="AZ504" s="126"/>
      <c r="BA504" s="126"/>
      <c r="BB504" s="160"/>
      <c r="BC504" s="160"/>
      <c r="BD504" s="160"/>
      <c r="BE504" s="160"/>
    </row>
    <row r="505" s="35" customFormat="true" ht="14.1" hidden="false" customHeight="true" outlineLevel="0" collapsed="false">
      <c r="A505" s="150"/>
      <c r="B505" s="200"/>
      <c r="C505" s="150"/>
      <c r="D505" s="150"/>
      <c r="E505" s="150"/>
      <c r="F505" s="150"/>
      <c r="G505" s="150"/>
      <c r="H505" s="150"/>
      <c r="I505" s="150"/>
      <c r="J505" s="259"/>
      <c r="K505" s="220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  <c r="AA505" s="26"/>
      <c r="AB505" s="26"/>
      <c r="AC505" s="26"/>
      <c r="AD505" s="26"/>
      <c r="AE505" s="26"/>
      <c r="AF505" s="26"/>
      <c r="AG505" s="26"/>
      <c r="AI505" s="188"/>
      <c r="AJ505" s="188"/>
      <c r="AK505" s="188"/>
      <c r="AL505" s="188"/>
      <c r="AM505" s="40"/>
      <c r="AN505" s="40"/>
      <c r="AO505" s="125"/>
      <c r="AP505" s="195"/>
      <c r="AQ505" s="106"/>
      <c r="AR505" s="106"/>
      <c r="AS505" s="106"/>
      <c r="AT505" s="106"/>
      <c r="AU505" s="106"/>
      <c r="AV505" s="106"/>
      <c r="AW505" s="126"/>
      <c r="AX505" s="126"/>
      <c r="AY505" s="126"/>
      <c r="AZ505" s="126"/>
      <c r="BA505" s="126"/>
      <c r="BB505" s="126"/>
      <c r="BC505" s="126"/>
      <c r="BD505" s="126"/>
      <c r="BE505" s="126"/>
      <c r="BF505" s="156"/>
    </row>
    <row r="506" customFormat="false" ht="14.1" hidden="true" customHeight="true" outlineLevel="1" collapsed="false">
      <c r="A506" s="211" t="s">
        <v>45</v>
      </c>
      <c r="B506" s="211"/>
      <c r="C506" s="211"/>
      <c r="D506" s="211"/>
      <c r="E506" s="211"/>
      <c r="F506" s="138"/>
      <c r="G506" s="26"/>
      <c r="H506" s="150"/>
      <c r="I506" s="150"/>
      <c r="J506" s="259"/>
      <c r="K506" s="158" t="s">
        <v>332</v>
      </c>
      <c r="L506" s="158"/>
      <c r="M506" s="158"/>
      <c r="N506" s="158"/>
      <c r="O506" s="158"/>
      <c r="P506" s="158"/>
      <c r="Q506" s="158"/>
      <c r="R506" s="158"/>
      <c r="S506" s="158"/>
      <c r="T506" s="158"/>
      <c r="U506" s="158"/>
      <c r="V506" s="158"/>
      <c r="W506" s="158"/>
      <c r="X506" s="158"/>
      <c r="Y506" s="158"/>
      <c r="Z506" s="158"/>
      <c r="AA506" s="158"/>
      <c r="AB506" s="158"/>
      <c r="AC506" s="158"/>
      <c r="AD506" s="158"/>
      <c r="AE506" s="158"/>
      <c r="AF506" s="158"/>
      <c r="AG506" s="158"/>
      <c r="AH506" s="35"/>
      <c r="AI506" s="188"/>
      <c r="AJ506" s="188"/>
      <c r="AK506" s="188"/>
      <c r="AL506" s="188"/>
      <c r="AM506" s="40"/>
      <c r="AN506" s="40"/>
      <c r="AO506" s="125"/>
      <c r="AP506" s="195"/>
      <c r="AQ506" s="106"/>
      <c r="AR506" s="106"/>
      <c r="AS506" s="106"/>
      <c r="AT506" s="106"/>
      <c r="AU506" s="106"/>
      <c r="AV506" s="106"/>
      <c r="AW506" s="126"/>
      <c r="AX506" s="126"/>
      <c r="AY506" s="126"/>
      <c r="AZ506" s="126"/>
      <c r="BA506" s="126"/>
      <c r="BB506" s="160"/>
      <c r="BC506" s="160"/>
      <c r="BD506" s="160"/>
      <c r="BE506" s="160"/>
    </row>
    <row r="507" customFormat="false" ht="14.1" hidden="true" customHeight="true" outlineLevel="1" collapsed="false">
      <c r="A507" s="272"/>
      <c r="B507" s="276"/>
      <c r="C507" s="272"/>
      <c r="D507" s="272"/>
      <c r="E507" s="272"/>
      <c r="F507" s="272"/>
      <c r="G507" s="254"/>
      <c r="H507" s="150"/>
      <c r="I507" s="26"/>
      <c r="J507" s="26"/>
      <c r="K507" s="158"/>
      <c r="L507" s="158"/>
      <c r="M507" s="158"/>
      <c r="N507" s="158"/>
      <c r="O507" s="158"/>
      <c r="P507" s="158"/>
      <c r="Q507" s="158"/>
      <c r="R507" s="158"/>
      <c r="S507" s="158"/>
      <c r="T507" s="158"/>
      <c r="U507" s="158"/>
      <c r="V507" s="158"/>
      <c r="W507" s="158"/>
      <c r="X507" s="158"/>
      <c r="Y507" s="158"/>
      <c r="Z507" s="158"/>
      <c r="AA507" s="158"/>
      <c r="AB507" s="158"/>
      <c r="AC507" s="158"/>
      <c r="AD507" s="158"/>
      <c r="AE507" s="158"/>
      <c r="AF507" s="158"/>
      <c r="AG507" s="158"/>
      <c r="AH507" s="35"/>
      <c r="AI507" s="35"/>
      <c r="AJ507" s="35"/>
      <c r="AK507" s="35"/>
      <c r="AL507" s="40"/>
      <c r="AM507" s="40"/>
      <c r="AN507" s="40"/>
      <c r="AO507" s="125"/>
      <c r="AP507" s="195"/>
      <c r="AQ507" s="106"/>
      <c r="AR507" s="106"/>
      <c r="AS507" s="106"/>
      <c r="AT507" s="106"/>
      <c r="AU507" s="106"/>
      <c r="AV507" s="106"/>
      <c r="AW507" s="126"/>
      <c r="AX507" s="126"/>
      <c r="AY507" s="126"/>
      <c r="AZ507" s="126"/>
      <c r="BA507" s="126"/>
      <c r="BB507" s="21"/>
      <c r="BC507" s="21"/>
      <c r="BD507" s="21"/>
      <c r="BE507" s="21"/>
    </row>
    <row r="508" customFormat="false" ht="14.1" hidden="true" customHeight="true" outlineLevel="1" collapsed="false">
      <c r="A508" s="261" t="s">
        <v>187</v>
      </c>
      <c r="B508" s="261"/>
      <c r="C508" s="261"/>
      <c r="D508" s="261"/>
      <c r="E508" s="262" t="n">
        <v>1</v>
      </c>
      <c r="F508" s="264"/>
      <c r="G508" s="256"/>
      <c r="H508" s="165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  <c r="AA508" s="26"/>
      <c r="AB508" s="26"/>
      <c r="AC508" s="26"/>
      <c r="AD508" s="26"/>
      <c r="AE508" s="26"/>
      <c r="AF508" s="26"/>
      <c r="AG508" s="26"/>
      <c r="AH508" s="35"/>
      <c r="AI508" s="35"/>
      <c r="AJ508" s="35"/>
      <c r="AK508" s="35"/>
      <c r="AL508" s="40"/>
      <c r="AM508" s="40"/>
      <c r="AN508" s="40"/>
      <c r="AO508" s="125"/>
      <c r="AP508" s="195"/>
      <c r="AQ508" s="106"/>
      <c r="AR508" s="106"/>
      <c r="AS508" s="106"/>
      <c r="AT508" s="106"/>
      <c r="AU508" s="106"/>
      <c r="AV508" s="106"/>
      <c r="AW508" s="126"/>
      <c r="AX508" s="126"/>
      <c r="AY508" s="126"/>
      <c r="AZ508" s="126"/>
      <c r="BA508" s="126"/>
      <c r="BB508" s="21"/>
      <c r="BC508" s="21"/>
      <c r="BD508" s="21"/>
      <c r="BE508" s="21"/>
    </row>
    <row r="509" customFormat="false" ht="14.1" hidden="true" customHeight="true" outlineLevel="1" collapsed="false">
      <c r="A509" s="261" t="s">
        <v>188</v>
      </c>
      <c r="B509" s="261"/>
      <c r="C509" s="261"/>
      <c r="D509" s="261"/>
      <c r="E509" s="262" t="n">
        <v>1</v>
      </c>
      <c r="F509" s="264"/>
      <c r="G509" s="150"/>
      <c r="H509" s="165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35"/>
      <c r="AI509" s="35"/>
      <c r="AJ509" s="35"/>
      <c r="AK509" s="35"/>
      <c r="AL509" s="40"/>
      <c r="AM509" s="40"/>
      <c r="AN509" s="40"/>
      <c r="AO509" s="125"/>
      <c r="AP509" s="195"/>
      <c r="AQ509" s="106"/>
      <c r="AR509" s="106"/>
      <c r="AS509" s="106"/>
      <c r="AT509" s="106"/>
      <c r="AU509" s="106"/>
      <c r="AV509" s="106"/>
      <c r="AW509" s="126"/>
      <c r="AX509" s="126"/>
      <c r="AY509" s="126"/>
      <c r="AZ509" s="126"/>
      <c r="BA509" s="126"/>
      <c r="BB509" s="21"/>
      <c r="BC509" s="21"/>
      <c r="BD509" s="21"/>
      <c r="BE509" s="21"/>
    </row>
    <row r="510" customFormat="false" ht="14.1" hidden="true" customHeight="true" outlineLevel="1" collapsed="false">
      <c r="A510" s="138"/>
      <c r="B510" s="138"/>
      <c r="C510" s="138"/>
      <c r="D510" s="272"/>
      <c r="E510" s="325"/>
      <c r="F510" s="325"/>
      <c r="G510" s="165"/>
      <c r="H510" s="165"/>
      <c r="I510" s="165"/>
      <c r="J510" s="165"/>
      <c r="K510" s="165"/>
      <c r="L510" s="165"/>
      <c r="M510" s="165"/>
      <c r="N510" s="165"/>
      <c r="O510" s="165"/>
      <c r="P510" s="165"/>
      <c r="Q510" s="190" t="s">
        <v>15</v>
      </c>
      <c r="R510" s="226"/>
      <c r="S510" s="165"/>
      <c r="T510" s="165"/>
      <c r="U510" s="165"/>
      <c r="V510" s="165"/>
      <c r="W510" s="165"/>
      <c r="X510" s="165"/>
      <c r="Y510" s="165"/>
      <c r="Z510" s="165"/>
      <c r="AA510" s="26"/>
      <c r="AB510" s="203" t="s">
        <v>241</v>
      </c>
      <c r="AC510" s="165"/>
      <c r="AD510" s="165"/>
      <c r="AE510" s="165"/>
      <c r="AF510" s="165"/>
      <c r="AG510" s="165"/>
      <c r="AH510" s="52"/>
      <c r="AI510" s="35"/>
      <c r="AJ510" s="35"/>
      <c r="AK510" s="35"/>
      <c r="AL510" s="40"/>
      <c r="AM510" s="40"/>
      <c r="AN510" s="40"/>
      <c r="AO510" s="125"/>
      <c r="AP510" s="195"/>
      <c r="AQ510" s="106"/>
      <c r="AR510" s="106"/>
      <c r="AS510" s="106"/>
      <c r="AT510" s="106"/>
      <c r="AU510" s="106"/>
      <c r="AV510" s="106"/>
      <c r="AW510" s="126"/>
      <c r="AX510" s="126"/>
      <c r="AY510" s="126"/>
      <c r="AZ510" s="126"/>
      <c r="BA510" s="126"/>
      <c r="BB510" s="21"/>
      <c r="BC510" s="21" t="n">
        <v>4</v>
      </c>
      <c r="BD510" s="21" t="n">
        <f aca="false">G524</f>
        <v>3.4</v>
      </c>
      <c r="BE510" s="21"/>
    </row>
    <row r="511" customFormat="false" ht="14.1" hidden="true" customHeight="true" outlineLevel="1" collapsed="false">
      <c r="A511" s="319" t="s">
        <v>333</v>
      </c>
      <c r="B511" s="320" t="s">
        <v>15</v>
      </c>
      <c r="C511" s="322" t="n">
        <v>0.5</v>
      </c>
      <c r="D511" s="272"/>
      <c r="E511" s="325"/>
      <c r="F511" s="325"/>
      <c r="G511" s="190" t="s">
        <v>15</v>
      </c>
      <c r="H511" s="226"/>
      <c r="I511" s="165"/>
      <c r="J511" s="165"/>
      <c r="K511" s="165"/>
      <c r="L511" s="165"/>
      <c r="M511" s="165"/>
      <c r="N511" s="165"/>
      <c r="O511" s="165"/>
      <c r="P511" s="165"/>
      <c r="Q511" s="165" t="n">
        <v>6.2</v>
      </c>
      <c r="R511" s="165"/>
      <c r="S511" s="165"/>
      <c r="T511" s="165"/>
      <c r="U511" s="165"/>
      <c r="V511" s="165"/>
      <c r="W511" s="165"/>
      <c r="X511" s="165"/>
      <c r="Y511" s="165"/>
      <c r="Z511" s="165"/>
      <c r="AA511" s="26"/>
      <c r="AB511" s="165" t="n">
        <v>20</v>
      </c>
      <c r="AC511" s="165"/>
      <c r="AD511" s="186" t="s">
        <v>241</v>
      </c>
      <c r="AE511" s="186"/>
      <c r="AF511" s="165"/>
      <c r="AG511" s="165"/>
      <c r="AH511" s="52"/>
      <c r="AI511" s="35"/>
      <c r="AJ511" s="35"/>
      <c r="AK511" s="35"/>
      <c r="AL511" s="40"/>
      <c r="AM511" s="40"/>
      <c r="AN511" s="40"/>
      <c r="AO511" s="125"/>
      <c r="AP511" s="195"/>
      <c r="AQ511" s="106"/>
      <c r="AR511" s="106"/>
      <c r="AS511" s="106"/>
      <c r="AT511" s="106"/>
      <c r="AU511" s="106"/>
      <c r="AV511" s="106"/>
      <c r="AW511" s="126"/>
      <c r="AX511" s="126"/>
      <c r="AY511" s="126" t="s">
        <v>205</v>
      </c>
      <c r="AZ511" s="126"/>
      <c r="BA511" s="126"/>
      <c r="BB511" s="21"/>
      <c r="BC511" s="21" t="n">
        <v>5</v>
      </c>
      <c r="BD511" s="21" t="n">
        <f aca="false">'Ввод данных'!C49</f>
        <v>4</v>
      </c>
      <c r="BE511" s="21"/>
    </row>
    <row r="512" customFormat="false" ht="14.1" hidden="true" customHeight="true" outlineLevel="1" collapsed="false">
      <c r="A512" s="263"/>
      <c r="B512" s="276"/>
      <c r="C512" s="276"/>
      <c r="D512" s="272"/>
      <c r="E512" s="325"/>
      <c r="F512" s="325"/>
      <c r="G512" s="281" t="n">
        <v>5.1</v>
      </c>
      <c r="H512" s="165"/>
      <c r="I512" s="165"/>
      <c r="J512" s="165"/>
      <c r="K512" s="165"/>
      <c r="L512" s="165"/>
      <c r="M512" s="165"/>
      <c r="N512" s="165"/>
      <c r="O512" s="165"/>
      <c r="P512" s="165"/>
      <c r="Q512" s="165"/>
      <c r="R512" s="165"/>
      <c r="S512" s="165"/>
      <c r="T512" s="165"/>
      <c r="U512" s="165"/>
      <c r="V512" s="165"/>
      <c r="W512" s="165"/>
      <c r="X512" s="165"/>
      <c r="Y512" s="165"/>
      <c r="Z512" s="165"/>
      <c r="AA512" s="165"/>
      <c r="AB512" s="165"/>
      <c r="AC512" s="165"/>
      <c r="AD512" s="165" t="n">
        <v>25</v>
      </c>
      <c r="AE512" s="165"/>
      <c r="AF512" s="165"/>
      <c r="AG512" s="165"/>
      <c r="AH512" s="52"/>
      <c r="AI512" s="35"/>
      <c r="AJ512" s="35"/>
      <c r="AK512" s="35"/>
      <c r="AL512" s="40"/>
      <c r="AM512" s="40"/>
      <c r="AN512" s="40"/>
      <c r="AO512" s="125"/>
      <c r="AP512" s="195"/>
      <c r="AQ512" s="106"/>
      <c r="AR512" s="106"/>
      <c r="AS512" s="106"/>
      <c r="AT512" s="106"/>
      <c r="AU512" s="106"/>
      <c r="AV512" s="106"/>
      <c r="AW512" s="126"/>
      <c r="AX512" s="126"/>
      <c r="AY512" s="126" t="s">
        <v>208</v>
      </c>
      <c r="AZ512" s="126"/>
      <c r="BA512" s="126"/>
      <c r="BB512" s="21"/>
      <c r="BC512" s="21" t="n">
        <v>6</v>
      </c>
      <c r="BD512" s="21" t="n">
        <f aca="false">'Ввод данных'!C50</f>
        <v>5</v>
      </c>
      <c r="BE512" s="21"/>
    </row>
    <row r="513" customFormat="false" ht="14.1" hidden="true" customHeight="true" outlineLevel="1" collapsed="false">
      <c r="A513" s="227" t="s">
        <v>192</v>
      </c>
      <c r="B513" s="287"/>
      <c r="C513" s="325"/>
      <c r="D513" s="276"/>
      <c r="E513" s="325"/>
      <c r="F513" s="325"/>
      <c r="G513" s="165"/>
      <c r="H513" s="165"/>
      <c r="I513" s="187"/>
      <c r="J513" s="187"/>
      <c r="K513" s="187"/>
      <c r="L513" s="187"/>
      <c r="M513" s="187"/>
      <c r="N513" s="187"/>
      <c r="O513" s="187"/>
      <c r="P513" s="187"/>
      <c r="Q513" s="187"/>
      <c r="R513" s="187"/>
      <c r="S513" s="187"/>
      <c r="T513" s="187"/>
      <c r="U513" s="187"/>
      <c r="V513" s="187"/>
      <c r="W513" s="187"/>
      <c r="X513" s="187"/>
      <c r="Y513" s="187"/>
      <c r="Z513" s="187"/>
      <c r="AA513" s="187"/>
      <c r="AB513" s="187"/>
      <c r="AC513" s="187"/>
      <c r="AD513" s="165"/>
      <c r="AE513" s="165"/>
      <c r="AF513" s="187"/>
      <c r="AG513" s="187"/>
      <c r="AH513" s="188"/>
      <c r="AI513" s="35"/>
      <c r="AJ513" s="35"/>
      <c r="AK513" s="35"/>
      <c r="AL513" s="40"/>
      <c r="AM513" s="40"/>
      <c r="AN513" s="40"/>
      <c r="AO513" s="125"/>
      <c r="AP513" s="195"/>
      <c r="AQ513" s="106"/>
      <c r="AR513" s="106"/>
      <c r="AS513" s="106"/>
      <c r="AT513" s="106"/>
      <c r="AU513" s="106"/>
      <c r="AV513" s="106"/>
      <c r="AW513" s="126"/>
      <c r="AX513" s="126"/>
      <c r="AY513" s="126" t="s">
        <v>293</v>
      </c>
      <c r="AZ513" s="126"/>
      <c r="BA513" s="126"/>
      <c r="BB513" s="21"/>
      <c r="BC513" s="21" t="n">
        <v>7</v>
      </c>
      <c r="BD513" s="21" t="n">
        <f aca="false">'Ввод данных'!C53</f>
        <v>3.2</v>
      </c>
      <c r="BE513" s="21"/>
    </row>
    <row r="514" customFormat="false" ht="14.1" hidden="true" customHeight="true" outlineLevel="1" collapsed="false">
      <c r="A514" s="231" t="s">
        <v>101</v>
      </c>
      <c r="B514" s="326"/>
      <c r="C514" s="327"/>
      <c r="D514" s="276"/>
      <c r="E514" s="325"/>
      <c r="F514" s="325"/>
      <c r="G514" s="165"/>
      <c r="H514" s="165"/>
      <c r="I514" s="165"/>
      <c r="J514" s="165"/>
      <c r="K514" s="165"/>
      <c r="L514" s="165"/>
      <c r="M514" s="165"/>
      <c r="N514" s="165"/>
      <c r="O514" s="165"/>
      <c r="P514" s="165"/>
      <c r="Q514" s="165"/>
      <c r="R514" s="165"/>
      <c r="S514" s="165" t="s">
        <v>176</v>
      </c>
      <c r="T514" s="165"/>
      <c r="U514" s="165"/>
      <c r="V514" s="165"/>
      <c r="W514" s="165"/>
      <c r="X514" s="165"/>
      <c r="Y514" s="165"/>
      <c r="Z514" s="165"/>
      <c r="AA514" s="165"/>
      <c r="AB514" s="165"/>
      <c r="AC514" s="165"/>
      <c r="AD514" s="165"/>
      <c r="AE514" s="165"/>
      <c r="AF514" s="165"/>
      <c r="AG514" s="165"/>
      <c r="AH514" s="52"/>
      <c r="AI514" s="35"/>
      <c r="AJ514" s="35"/>
      <c r="AK514" s="35"/>
      <c r="AL514" s="40"/>
      <c r="AM514" s="40"/>
      <c r="AN514" s="40"/>
      <c r="AO514" s="125"/>
      <c r="AP514" s="195"/>
      <c r="AQ514" s="106"/>
      <c r="AR514" s="106"/>
      <c r="AS514" s="106"/>
      <c r="AT514" s="106"/>
      <c r="AU514" s="106"/>
      <c r="AV514" s="106"/>
      <c r="AW514" s="126"/>
      <c r="AX514" s="126"/>
      <c r="AY514" s="126" t="s">
        <v>295</v>
      </c>
      <c r="AZ514" s="126"/>
      <c r="BA514" s="126"/>
      <c r="BB514" s="21"/>
      <c r="BC514" s="21" t="n">
        <v>8</v>
      </c>
      <c r="BD514" s="21" t="n">
        <f aca="false">'Ввод данных'!C54</f>
        <v>2.2</v>
      </c>
      <c r="BE514" s="21"/>
    </row>
    <row r="515" customFormat="false" ht="14.1" hidden="true" customHeight="true" outlineLevel="1" collapsed="false">
      <c r="A515" s="138"/>
      <c r="B515" s="328"/>
      <c r="C515" s="278"/>
      <c r="D515" s="276"/>
      <c r="E515" s="325"/>
      <c r="F515" s="325"/>
      <c r="G515" s="190" t="s">
        <v>15</v>
      </c>
      <c r="H515" s="226"/>
      <c r="I515" s="165"/>
      <c r="J515" s="165"/>
      <c r="K515" s="165"/>
      <c r="L515" s="165"/>
      <c r="M515" s="165"/>
      <c r="N515" s="165"/>
      <c r="O515" s="165"/>
      <c r="P515" s="165"/>
      <c r="Q515" s="165"/>
      <c r="R515" s="165"/>
      <c r="S515" s="165"/>
      <c r="T515" s="165"/>
      <c r="U515" s="165"/>
      <c r="V515" s="165"/>
      <c r="W515" s="165"/>
      <c r="X515" s="165"/>
      <c r="Y515" s="165"/>
      <c r="Z515" s="165"/>
      <c r="AA515" s="165"/>
      <c r="AB515" s="165"/>
      <c r="AC515" s="165"/>
      <c r="AD515" s="165"/>
      <c r="AE515" s="165"/>
      <c r="AF515" s="165"/>
      <c r="AG515" s="165"/>
      <c r="AH515" s="52"/>
      <c r="AI515" s="35"/>
      <c r="AJ515" s="35"/>
      <c r="AK515" s="35"/>
      <c r="AL515" s="40"/>
      <c r="AM515" s="40"/>
      <c r="AN515" s="40"/>
      <c r="AO515" s="125"/>
      <c r="AP515" s="195"/>
      <c r="AQ515" s="106"/>
      <c r="AR515" s="106"/>
      <c r="AS515" s="106"/>
      <c r="AT515" s="106"/>
      <c r="AU515" s="106"/>
      <c r="AV515" s="106"/>
      <c r="AW515" s="126"/>
      <c r="AX515" s="126"/>
      <c r="AY515" s="126" t="s">
        <v>296</v>
      </c>
      <c r="AZ515" s="126"/>
      <c r="BA515" s="126"/>
      <c r="BB515" s="21"/>
      <c r="BC515" s="21" t="n">
        <v>9</v>
      </c>
      <c r="BD515" s="21"/>
      <c r="BE515" s="21"/>
    </row>
    <row r="516" customFormat="false" ht="14.1" hidden="true" customHeight="true" outlineLevel="1" collapsed="false">
      <c r="A516" s="138" t="s">
        <v>209</v>
      </c>
      <c r="B516" s="277"/>
      <c r="C516" s="196"/>
      <c r="D516" s="276"/>
      <c r="E516" s="325"/>
      <c r="F516" s="325"/>
      <c r="G516" s="281" t="n">
        <v>4.9</v>
      </c>
      <c r="H516" s="186"/>
      <c r="I516" s="165"/>
      <c r="J516" s="165"/>
      <c r="K516" s="165"/>
      <c r="L516" s="165"/>
      <c r="M516" s="165"/>
      <c r="N516" s="165"/>
      <c r="O516" s="165"/>
      <c r="P516" s="165"/>
      <c r="Q516" s="165"/>
      <c r="R516" s="165" t="s">
        <v>177</v>
      </c>
      <c r="S516" s="165"/>
      <c r="T516" s="165"/>
      <c r="U516" s="165"/>
      <c r="V516" s="165"/>
      <c r="W516" s="165"/>
      <c r="X516" s="165"/>
      <c r="Y516" s="165"/>
      <c r="Z516" s="165"/>
      <c r="AA516" s="165"/>
      <c r="AB516" s="165"/>
      <c r="AC516" s="165"/>
      <c r="AD516" s="165"/>
      <c r="AE516" s="165"/>
      <c r="AF516" s="165"/>
      <c r="AG516" s="165"/>
      <c r="AH516" s="52"/>
      <c r="AI516" s="35"/>
      <c r="AJ516" s="35"/>
      <c r="AK516" s="35"/>
      <c r="AL516" s="40"/>
      <c r="AM516" s="40"/>
      <c r="AN516" s="40"/>
      <c r="AO516" s="125"/>
      <c r="AP516" s="195"/>
      <c r="AQ516" s="154"/>
      <c r="AR516" s="154"/>
      <c r="AS516" s="106"/>
      <c r="AT516" s="106"/>
      <c r="AU516" s="106"/>
      <c r="AV516" s="106"/>
      <c r="AW516" s="126"/>
      <c r="AX516" s="126"/>
      <c r="AY516" s="126" t="s">
        <v>298</v>
      </c>
      <c r="AZ516" s="126"/>
      <c r="BA516" s="126"/>
      <c r="BB516" s="21"/>
      <c r="BC516" s="21" t="n">
        <v>10</v>
      </c>
      <c r="BD516" s="21" t="n">
        <f aca="false">'Ввод данных'!C55</f>
        <v>8</v>
      </c>
      <c r="BE516" s="21"/>
    </row>
    <row r="517" customFormat="false" ht="14.1" hidden="true" customHeight="true" outlineLevel="1" collapsed="false">
      <c r="A517" s="240" t="s">
        <v>210</v>
      </c>
      <c r="B517" s="235"/>
      <c r="C517" s="138"/>
      <c r="D517" s="276"/>
      <c r="E517" s="325"/>
      <c r="F517" s="325"/>
      <c r="G517" s="186"/>
      <c r="H517" s="186"/>
      <c r="I517" s="165"/>
      <c r="J517" s="165"/>
      <c r="K517" s="165"/>
      <c r="L517" s="165"/>
      <c r="M517" s="165"/>
      <c r="N517" s="165"/>
      <c r="O517" s="165"/>
      <c r="P517" s="165"/>
      <c r="Q517" s="165"/>
      <c r="R517" s="165"/>
      <c r="S517" s="165"/>
      <c r="T517" s="165"/>
      <c r="U517" s="165"/>
      <c r="V517" s="165"/>
      <c r="W517" s="165"/>
      <c r="X517" s="165"/>
      <c r="Y517" s="165"/>
      <c r="Z517" s="165"/>
      <c r="AA517" s="165"/>
      <c r="AB517" s="165"/>
      <c r="AC517" s="165"/>
      <c r="AD517" s="203" t="s">
        <v>176</v>
      </c>
      <c r="AE517" s="165"/>
      <c r="AF517" s="165"/>
      <c r="AG517" s="165"/>
      <c r="AH517" s="52"/>
      <c r="AI517" s="35"/>
      <c r="AJ517" s="35"/>
      <c r="AK517" s="35"/>
      <c r="AL517" s="40"/>
      <c r="AM517" s="40"/>
      <c r="AN517" s="40"/>
      <c r="AO517" s="125"/>
      <c r="AP517" s="195"/>
      <c r="AQ517" s="106"/>
      <c r="AR517" s="106"/>
      <c r="AS517" s="106"/>
      <c r="AT517" s="106"/>
      <c r="AU517" s="106"/>
      <c r="AV517" s="106"/>
      <c r="AW517" s="126"/>
      <c r="AX517" s="126"/>
      <c r="AY517" s="126" t="s">
        <v>334</v>
      </c>
      <c r="AZ517" s="126"/>
      <c r="BA517" s="126"/>
      <c r="BB517" s="21"/>
      <c r="BC517" s="21"/>
      <c r="BD517" s="21"/>
      <c r="BE517" s="21"/>
    </row>
    <row r="518" customFormat="false" ht="14.1" hidden="true" customHeight="true" outlineLevel="1" collapsed="false">
      <c r="A518" s="138"/>
      <c r="B518" s="235"/>
      <c r="C518" s="138"/>
      <c r="D518" s="276"/>
      <c r="E518" s="325"/>
      <c r="F518" s="325"/>
      <c r="G518" s="165"/>
      <c r="H518" s="165"/>
      <c r="I518" s="165"/>
      <c r="J518" s="165"/>
      <c r="K518" s="165"/>
      <c r="L518" s="165"/>
      <c r="M518" s="165"/>
      <c r="N518" s="165"/>
      <c r="O518" s="165"/>
      <c r="P518" s="165"/>
      <c r="Q518" s="165"/>
      <c r="R518" s="165"/>
      <c r="S518" s="165"/>
      <c r="T518" s="165" t="s">
        <v>335</v>
      </c>
      <c r="U518" s="165"/>
      <c r="V518" s="165"/>
      <c r="W518" s="165"/>
      <c r="X518" s="165"/>
      <c r="Y518" s="165"/>
      <c r="Z518" s="165"/>
      <c r="AA518" s="165"/>
      <c r="AB518" s="165"/>
      <c r="AC518" s="165"/>
      <c r="AD518" s="165"/>
      <c r="AE518" s="165"/>
      <c r="AF518" s="165"/>
      <c r="AG518" s="165"/>
      <c r="AH518" s="52"/>
      <c r="AI518" s="35"/>
      <c r="AJ518" s="35"/>
      <c r="AK518" s="35"/>
      <c r="AL518" s="40"/>
      <c r="AM518" s="40"/>
      <c r="AN518" s="40"/>
      <c r="AO518" s="125"/>
      <c r="AP518" s="195"/>
      <c r="AQ518" s="106"/>
      <c r="AR518" s="106"/>
      <c r="AS518" s="106"/>
      <c r="AT518" s="106"/>
      <c r="AU518" s="106"/>
      <c r="AV518" s="106"/>
      <c r="AW518" s="126"/>
      <c r="AX518" s="126"/>
      <c r="AY518" s="126" t="s">
        <v>336</v>
      </c>
      <c r="AZ518" s="126"/>
      <c r="BA518" s="126"/>
      <c r="BB518" s="21"/>
      <c r="BC518" s="21"/>
      <c r="BD518" s="21" t="n">
        <f aca="false">'Ввод данных'!C51</f>
        <v>2</v>
      </c>
      <c r="BE518" s="21"/>
    </row>
    <row r="519" customFormat="false" ht="14.1" hidden="true" customHeight="true" outlineLevel="1" collapsed="false">
      <c r="A519" s="138" t="s">
        <v>211</v>
      </c>
      <c r="B519" s="235"/>
      <c r="C519" s="138"/>
      <c r="D519" s="325"/>
      <c r="E519" s="325"/>
      <c r="F519" s="325"/>
      <c r="G519" s="190" t="s">
        <v>15</v>
      </c>
      <c r="H519" s="226"/>
      <c r="I519" s="165"/>
      <c r="J519" s="165"/>
      <c r="K519" s="165"/>
      <c r="L519" s="165"/>
      <c r="M519" s="165"/>
      <c r="N519" s="165"/>
      <c r="O519" s="165"/>
      <c r="P519" s="165"/>
      <c r="Q519" s="165"/>
      <c r="R519" s="165"/>
      <c r="S519" s="165"/>
      <c r="T519" s="165"/>
      <c r="U519" s="165"/>
      <c r="V519" s="165" t="s">
        <v>335</v>
      </c>
      <c r="W519" s="165"/>
      <c r="X519" s="165"/>
      <c r="Y519" s="165"/>
      <c r="Z519" s="165" t="s">
        <v>177</v>
      </c>
      <c r="AA519" s="165"/>
      <c r="AB519" s="165"/>
      <c r="AC519" s="165"/>
      <c r="AD519" s="165"/>
      <c r="AE519" s="165"/>
      <c r="AF519" s="165"/>
      <c r="AG519" s="165"/>
      <c r="AH519" s="52"/>
      <c r="AI519" s="35"/>
      <c r="AJ519" s="35"/>
      <c r="AK519" s="35"/>
      <c r="AL519" s="40"/>
      <c r="AM519" s="40"/>
      <c r="AN519" s="40"/>
      <c r="AO519" s="125"/>
      <c r="AP519" s="195"/>
      <c r="AQ519" s="106"/>
      <c r="AR519" s="106"/>
      <c r="AS519" s="106"/>
      <c r="AT519" s="106"/>
      <c r="AU519" s="106"/>
      <c r="AV519" s="106"/>
      <c r="AW519" s="126"/>
      <c r="AX519" s="126"/>
      <c r="AY519" s="126" t="s">
        <v>337</v>
      </c>
      <c r="AZ519" s="126"/>
      <c r="BA519" s="126"/>
      <c r="BB519" s="21"/>
      <c r="BC519" s="21"/>
      <c r="BD519" s="21" t="n">
        <f aca="false">'Ввод данных'!C52</f>
        <v>1.5</v>
      </c>
      <c r="BE519" s="21"/>
    </row>
    <row r="520" customFormat="false" ht="14.1" hidden="true" customHeight="true" outlineLevel="1" collapsed="false">
      <c r="A520" s="242" t="s">
        <v>212</v>
      </c>
      <c r="B520" s="235"/>
      <c r="C520" s="138"/>
      <c r="D520" s="268"/>
      <c r="E520" s="325"/>
      <c r="F520" s="325"/>
      <c r="G520" s="281" t="n">
        <v>5.1</v>
      </c>
      <c r="H520" s="186"/>
      <c r="I520" s="165"/>
      <c r="J520" s="165"/>
      <c r="K520" s="165"/>
      <c r="L520" s="165"/>
      <c r="M520" s="165"/>
      <c r="N520" s="165"/>
      <c r="O520" s="165"/>
      <c r="P520" s="165"/>
      <c r="Q520" s="165"/>
      <c r="R520" s="165"/>
      <c r="S520" s="165"/>
      <c r="T520" s="165"/>
      <c r="U520" s="165"/>
      <c r="V520" s="165"/>
      <c r="W520" s="165"/>
      <c r="X520" s="165"/>
      <c r="Y520" s="165"/>
      <c r="Z520" s="165"/>
      <c r="AA520" s="165"/>
      <c r="AB520" s="165"/>
      <c r="AC520" s="165"/>
      <c r="AD520" s="165"/>
      <c r="AE520" s="165"/>
      <c r="AF520" s="165"/>
      <c r="AG520" s="165"/>
      <c r="AH520" s="52"/>
      <c r="AI520" s="35"/>
      <c r="AJ520" s="35"/>
      <c r="AK520" s="35"/>
      <c r="AL520" s="40"/>
      <c r="AM520" s="40"/>
      <c r="AN520" s="40"/>
      <c r="AO520" s="125"/>
      <c r="AP520" s="195"/>
      <c r="AQ520" s="106"/>
      <c r="AR520" s="106"/>
      <c r="AS520" s="106"/>
      <c r="AT520" s="106"/>
      <c r="AU520" s="106"/>
      <c r="AV520" s="106"/>
      <c r="AW520" s="126"/>
      <c r="AX520" s="126"/>
      <c r="AY520" s="126"/>
      <c r="AZ520" s="126"/>
      <c r="BA520" s="126"/>
      <c r="BB520" s="21"/>
      <c r="BC520" s="21"/>
      <c r="BD520" s="21"/>
      <c r="BE520" s="21"/>
    </row>
    <row r="521" customFormat="false" ht="14.1" hidden="true" customHeight="true" outlineLevel="1" collapsed="false">
      <c r="A521" s="138"/>
      <c r="B521" s="138"/>
      <c r="C521" s="138"/>
      <c r="D521" s="280"/>
      <c r="E521" s="325"/>
      <c r="F521" s="325"/>
      <c r="G521" s="186"/>
      <c r="H521" s="186"/>
      <c r="I521" s="165"/>
      <c r="J521" s="165"/>
      <c r="K521" s="165"/>
      <c r="L521" s="165"/>
      <c r="M521" s="165"/>
      <c r="N521" s="165"/>
      <c r="O521" s="165"/>
      <c r="P521" s="165"/>
      <c r="Q521" s="165"/>
      <c r="R521" s="165"/>
      <c r="S521" s="165"/>
      <c r="T521" s="165"/>
      <c r="U521" s="165"/>
      <c r="V521" s="165"/>
      <c r="W521" s="165"/>
      <c r="X521" s="165"/>
      <c r="Y521" s="165"/>
      <c r="Z521" s="165"/>
      <c r="AA521" s="165"/>
      <c r="AB521" s="165"/>
      <c r="AC521" s="165"/>
      <c r="AD521" s="165"/>
      <c r="AE521" s="165"/>
      <c r="AF521" s="165"/>
      <c r="AG521" s="165"/>
      <c r="AH521" s="52"/>
      <c r="AI521" s="35"/>
      <c r="AJ521" s="35"/>
      <c r="AK521" s="35"/>
      <c r="AL521" s="40"/>
      <c r="AM521" s="40"/>
      <c r="AN521" s="40"/>
      <c r="AO521" s="125"/>
      <c r="AP521" s="195"/>
      <c r="AQ521" s="106"/>
      <c r="AR521" s="106"/>
      <c r="AS521" s="106"/>
      <c r="AT521" s="106"/>
      <c r="AU521" s="106"/>
      <c r="AV521" s="106"/>
      <c r="AW521" s="126"/>
      <c r="AX521" s="126"/>
      <c r="AY521" s="126"/>
      <c r="AZ521" s="126"/>
      <c r="BA521" s="126"/>
      <c r="BB521" s="21" t="s">
        <v>300</v>
      </c>
      <c r="BC521" s="21"/>
      <c r="BD521" s="21" t="n">
        <f aca="false">G536</f>
        <v>0</v>
      </c>
      <c r="BE521" s="21"/>
    </row>
    <row r="522" customFormat="false" ht="14.1" hidden="true" customHeight="true" outlineLevel="1" collapsed="false">
      <c r="A522" s="138" t="s">
        <v>213</v>
      </c>
      <c r="B522" s="138"/>
      <c r="C522" s="138"/>
      <c r="D522" s="280"/>
      <c r="E522" s="325"/>
      <c r="F522" s="325"/>
      <c r="G522" s="165"/>
      <c r="H522" s="165"/>
      <c r="I522" s="165"/>
      <c r="J522" s="165"/>
      <c r="K522" s="165"/>
      <c r="L522" s="165"/>
      <c r="M522" s="165"/>
      <c r="N522" s="165"/>
      <c r="O522" s="165"/>
      <c r="P522" s="165"/>
      <c r="Q522" s="165"/>
      <c r="R522" s="165"/>
      <c r="S522" s="165"/>
      <c r="T522" s="165"/>
      <c r="U522" s="165"/>
      <c r="V522" s="165"/>
      <c r="W522" s="165"/>
      <c r="X522" s="165"/>
      <c r="Y522" s="165"/>
      <c r="Z522" s="165"/>
      <c r="AA522" s="165"/>
      <c r="AB522" s="165"/>
      <c r="AC522" s="165"/>
      <c r="AD522" s="165"/>
      <c r="AE522" s="165"/>
      <c r="AF522" s="165"/>
      <c r="AG522" s="165"/>
      <c r="AH522" s="52"/>
      <c r="AI522" s="35"/>
      <c r="AJ522" s="35"/>
      <c r="AK522" s="35"/>
      <c r="AL522" s="40"/>
      <c r="AM522" s="40"/>
      <c r="AN522" s="40"/>
      <c r="AO522" s="125"/>
      <c r="AP522" s="195"/>
      <c r="AQ522" s="106"/>
      <c r="AR522" s="106"/>
      <c r="AS522" s="106"/>
      <c r="AT522" s="106"/>
      <c r="AU522" s="106"/>
      <c r="AV522" s="106"/>
      <c r="AW522" s="126"/>
      <c r="AX522" s="126"/>
      <c r="AY522" s="126"/>
      <c r="AZ522" s="126"/>
      <c r="BA522" s="126"/>
      <c r="BB522" s="21" t="s">
        <v>302</v>
      </c>
      <c r="BC522" s="21"/>
      <c r="BD522" s="21" t="n">
        <f aca="false">G532</f>
        <v>0.2</v>
      </c>
      <c r="BE522" s="21"/>
    </row>
    <row r="523" customFormat="false" ht="14.1" hidden="true" customHeight="true" outlineLevel="1" collapsed="false">
      <c r="A523" s="242" t="s">
        <v>284</v>
      </c>
      <c r="B523" s="138"/>
      <c r="C523" s="138"/>
      <c r="D523" s="280"/>
      <c r="E523" s="325"/>
      <c r="F523" s="325"/>
      <c r="G523" s="190" t="s">
        <v>15</v>
      </c>
      <c r="H523" s="226"/>
      <c r="I523" s="165"/>
      <c r="J523" s="165"/>
      <c r="K523" s="165"/>
      <c r="L523" s="165"/>
      <c r="M523" s="165"/>
      <c r="N523" s="165"/>
      <c r="O523" s="165"/>
      <c r="P523" s="165"/>
      <c r="Q523" s="165"/>
      <c r="R523" s="165"/>
      <c r="S523" s="165"/>
      <c r="T523" s="165"/>
      <c r="U523" s="165"/>
      <c r="V523" s="165"/>
      <c r="W523" s="165"/>
      <c r="X523" s="165"/>
      <c r="Y523" s="165"/>
      <c r="Z523" s="165"/>
      <c r="AA523" s="165"/>
      <c r="AB523" s="165"/>
      <c r="AC523" s="165"/>
      <c r="AD523" s="165"/>
      <c r="AE523" s="165"/>
      <c r="AF523" s="165"/>
      <c r="AG523" s="165"/>
      <c r="AH523" s="52"/>
      <c r="AI523" s="35"/>
      <c r="AJ523" s="35"/>
      <c r="AK523" s="35"/>
      <c r="AL523" s="40"/>
      <c r="AM523" s="40"/>
      <c r="AN523" s="40"/>
      <c r="AO523" s="125"/>
      <c r="AP523" s="195"/>
      <c r="AQ523" s="106"/>
      <c r="AR523" s="106"/>
      <c r="AS523" s="106"/>
      <c r="AT523" s="106"/>
      <c r="AU523" s="106"/>
      <c r="AV523" s="106"/>
      <c r="AW523" s="126"/>
      <c r="AX523" s="126"/>
      <c r="AY523" s="126"/>
      <c r="AZ523" s="126"/>
      <c r="BA523" s="126"/>
      <c r="BB523" s="21" t="s">
        <v>338</v>
      </c>
      <c r="BC523" s="21"/>
      <c r="BD523" s="21" t="n">
        <f aca="false">G528</f>
        <v>3.2</v>
      </c>
      <c r="BE523" s="21"/>
    </row>
    <row r="524" customFormat="false" ht="14.1" hidden="true" customHeight="true" outlineLevel="1" collapsed="false">
      <c r="A524" s="138"/>
      <c r="B524" s="138"/>
      <c r="C524" s="138"/>
      <c r="D524" s="280"/>
      <c r="E524" s="325"/>
      <c r="F524" s="325"/>
      <c r="G524" s="281" t="n">
        <v>3.4</v>
      </c>
      <c r="H524" s="186"/>
      <c r="I524" s="132"/>
      <c r="J524" s="165"/>
      <c r="K524" s="165"/>
      <c r="L524" s="165"/>
      <c r="M524" s="165"/>
      <c r="N524" s="165"/>
      <c r="O524" s="165"/>
      <c r="P524" s="165"/>
      <c r="Q524" s="165"/>
      <c r="R524" s="165"/>
      <c r="S524" s="165"/>
      <c r="T524" s="165"/>
      <c r="U524" s="165"/>
      <c r="V524" s="165"/>
      <c r="W524" s="165"/>
      <c r="X524" s="165"/>
      <c r="Y524" s="165"/>
      <c r="Z524" s="165"/>
      <c r="AA524" s="165"/>
      <c r="AB524" s="165"/>
      <c r="AC524" s="165"/>
      <c r="AD524" s="165"/>
      <c r="AE524" s="165"/>
      <c r="AF524" s="165"/>
      <c r="AG524" s="165"/>
      <c r="AH524" s="52"/>
      <c r="AI524" s="35"/>
      <c r="AJ524" s="35"/>
      <c r="AK524" s="35"/>
      <c r="AL524" s="40"/>
      <c r="AM524" s="40"/>
      <c r="AN524" s="40"/>
      <c r="AO524" s="125"/>
      <c r="AP524" s="195"/>
      <c r="AQ524" s="106"/>
      <c r="AR524" s="106"/>
      <c r="AS524" s="106"/>
      <c r="AT524" s="106"/>
      <c r="AU524" s="106"/>
      <c r="AV524" s="106"/>
      <c r="AW524" s="126"/>
      <c r="AX524" s="126"/>
      <c r="AY524" s="126"/>
      <c r="AZ524" s="126"/>
      <c r="BA524" s="126"/>
      <c r="BB524" s="21" t="s">
        <v>339</v>
      </c>
      <c r="BC524" s="21"/>
      <c r="BD524" s="21" t="n">
        <f aca="false">G524</f>
        <v>3.4</v>
      </c>
      <c r="BE524" s="21"/>
    </row>
    <row r="525" customFormat="false" ht="14.1" hidden="true" customHeight="true" outlineLevel="1" collapsed="false">
      <c r="A525" s="138" t="s">
        <v>215</v>
      </c>
      <c r="B525" s="235"/>
      <c r="C525" s="138"/>
      <c r="D525" s="263"/>
      <c r="E525" s="325"/>
      <c r="F525" s="325"/>
      <c r="G525" s="186"/>
      <c r="H525" s="186"/>
      <c r="I525" s="132"/>
      <c r="J525" s="165"/>
      <c r="K525" s="165"/>
      <c r="L525" s="165"/>
      <c r="M525" s="165"/>
      <c r="N525" s="165"/>
      <c r="O525" s="165"/>
      <c r="P525" s="165"/>
      <c r="Q525" s="165"/>
      <c r="R525" s="165"/>
      <c r="S525" s="165"/>
      <c r="T525" s="165"/>
      <c r="U525" s="165"/>
      <c r="V525" s="165"/>
      <c r="W525" s="165"/>
      <c r="X525" s="165"/>
      <c r="Y525" s="165"/>
      <c r="Z525" s="165"/>
      <c r="AA525" s="165"/>
      <c r="AB525" s="165"/>
      <c r="AC525" s="165"/>
      <c r="AD525" s="165"/>
      <c r="AE525" s="165"/>
      <c r="AF525" s="165"/>
      <c r="AG525" s="165"/>
      <c r="AH525" s="52"/>
      <c r="AI525" s="35"/>
      <c r="AJ525" s="35"/>
      <c r="AK525" s="35"/>
      <c r="AL525" s="40"/>
      <c r="AM525" s="40"/>
      <c r="AN525" s="40"/>
      <c r="AO525" s="125"/>
      <c r="AP525" s="195"/>
      <c r="AQ525" s="106"/>
      <c r="AR525" s="106"/>
      <c r="AS525" s="106"/>
      <c r="AT525" s="106"/>
      <c r="AU525" s="106"/>
      <c r="AV525" s="106"/>
      <c r="AW525" s="126"/>
      <c r="AX525" s="126"/>
      <c r="AY525" s="126"/>
      <c r="AZ525" s="126"/>
      <c r="BA525" s="126"/>
      <c r="BB525" s="21" t="s">
        <v>340</v>
      </c>
      <c r="BC525" s="21"/>
      <c r="BD525" s="21" t="n">
        <f aca="false">G520</f>
        <v>5.1</v>
      </c>
      <c r="BE525" s="21"/>
    </row>
    <row r="526" customFormat="false" ht="14.1" hidden="true" customHeight="true" outlineLevel="1" collapsed="false">
      <c r="A526" s="244" t="s">
        <v>101</v>
      </c>
      <c r="B526" s="235"/>
      <c r="C526" s="138"/>
      <c r="D526" s="272"/>
      <c r="E526" s="325"/>
      <c r="F526" s="325"/>
      <c r="G526" s="165"/>
      <c r="H526" s="132"/>
      <c r="I526" s="132"/>
      <c r="J526" s="165"/>
      <c r="K526" s="165"/>
      <c r="L526" s="165"/>
      <c r="M526" s="165"/>
      <c r="N526" s="165"/>
      <c r="O526" s="165"/>
      <c r="P526" s="165"/>
      <c r="Q526" s="165"/>
      <c r="R526" s="165"/>
      <c r="S526" s="165"/>
      <c r="T526" s="165"/>
      <c r="U526" s="165"/>
      <c r="V526" s="165"/>
      <c r="W526" s="165"/>
      <c r="X526" s="165"/>
      <c r="Y526" s="165"/>
      <c r="Z526" s="165"/>
      <c r="AA526" s="165"/>
      <c r="AB526" s="165"/>
      <c r="AC526" s="165"/>
      <c r="AD526" s="165"/>
      <c r="AE526" s="165"/>
      <c r="AF526" s="165"/>
      <c r="AG526" s="165"/>
      <c r="AH526" s="52"/>
      <c r="AI526" s="35"/>
      <c r="AJ526" s="35"/>
      <c r="AK526" s="35"/>
      <c r="AL526" s="40"/>
      <c r="AM526" s="40"/>
      <c r="AN526" s="40"/>
      <c r="AO526" s="125"/>
      <c r="AP526" s="195"/>
      <c r="AQ526" s="106"/>
      <c r="AR526" s="106"/>
      <c r="AS526" s="106"/>
      <c r="AT526" s="106"/>
      <c r="AU526" s="106"/>
      <c r="AV526" s="106"/>
      <c r="AW526" s="126"/>
      <c r="AX526" s="126"/>
      <c r="AY526" s="126"/>
      <c r="AZ526" s="126"/>
      <c r="BA526" s="126"/>
      <c r="BB526" s="21" t="s">
        <v>341</v>
      </c>
      <c r="BC526" s="21"/>
      <c r="BD526" s="21" t="n">
        <f aca="false">G512</f>
        <v>5.1</v>
      </c>
      <c r="BE526" s="21"/>
    </row>
    <row r="527" customFormat="false" ht="14.1" hidden="true" customHeight="true" outlineLevel="1" collapsed="false">
      <c r="A527" s="138"/>
      <c r="B527" s="235"/>
      <c r="C527" s="138"/>
      <c r="D527" s="280"/>
      <c r="E527" s="325"/>
      <c r="F527" s="325"/>
      <c r="G527" s="190" t="s">
        <v>15</v>
      </c>
      <c r="H527" s="226"/>
      <c r="I527" s="132"/>
      <c r="J527" s="165"/>
      <c r="K527" s="165"/>
      <c r="L527" s="165"/>
      <c r="M527" s="165"/>
      <c r="N527" s="165"/>
      <c r="O527" s="165"/>
      <c r="P527" s="165"/>
      <c r="Q527" s="165"/>
      <c r="R527" s="165"/>
      <c r="S527" s="165"/>
      <c r="T527" s="165"/>
      <c r="U527" s="165"/>
      <c r="V527" s="165"/>
      <c r="W527" s="165"/>
      <c r="X527" s="165"/>
      <c r="Y527" s="165"/>
      <c r="Z527" s="165"/>
      <c r="AA527" s="165"/>
      <c r="AB527" s="165"/>
      <c r="AC527" s="165"/>
      <c r="AD527" s="165"/>
      <c r="AE527" s="165"/>
      <c r="AF527" s="165"/>
      <c r="AG527" s="165"/>
      <c r="AH527" s="52"/>
      <c r="AI527" s="35"/>
      <c r="AJ527" s="35"/>
      <c r="AK527" s="35"/>
      <c r="AL527" s="40"/>
      <c r="AM527" s="40"/>
      <c r="AN527" s="40"/>
      <c r="AO527" s="125"/>
      <c r="AP527" s="195"/>
      <c r="AQ527" s="329"/>
      <c r="AR527" s="329"/>
      <c r="AS527" s="106"/>
      <c r="AT527" s="106"/>
      <c r="AU527" s="106"/>
      <c r="AV527" s="106"/>
      <c r="AW527" s="126"/>
      <c r="AX527" s="126"/>
      <c r="AY527" s="126"/>
      <c r="AZ527" s="126"/>
      <c r="BA527" s="126"/>
      <c r="BB527" s="21" t="s">
        <v>249</v>
      </c>
      <c r="BC527" s="21"/>
      <c r="BD527" s="21" t="n">
        <f aca="false">Q511</f>
        <v>6.2</v>
      </c>
      <c r="BE527" s="21"/>
    </row>
    <row r="528" customFormat="false" ht="14.1" hidden="true" customHeight="true" outlineLevel="1" collapsed="false">
      <c r="A528" s="138" t="s">
        <v>217</v>
      </c>
      <c r="B528" s="235"/>
      <c r="C528" s="138"/>
      <c r="D528" s="280"/>
      <c r="E528" s="325"/>
      <c r="F528" s="325"/>
      <c r="G528" s="281" t="n">
        <v>3.2</v>
      </c>
      <c r="H528" s="186"/>
      <c r="I528" s="132"/>
      <c r="J528" s="165"/>
      <c r="K528" s="165"/>
      <c r="L528" s="165"/>
      <c r="M528" s="165"/>
      <c r="N528" s="165"/>
      <c r="O528" s="165"/>
      <c r="P528" s="165"/>
      <c r="Q528" s="165"/>
      <c r="R528" s="165"/>
      <c r="S528" s="165"/>
      <c r="T528" s="165"/>
      <c r="U528" s="165"/>
      <c r="V528" s="165"/>
      <c r="W528" s="165"/>
      <c r="X528" s="165"/>
      <c r="Y528" s="165"/>
      <c r="Z528" s="165"/>
      <c r="AA528" s="165"/>
      <c r="AB528" s="165"/>
      <c r="AC528" s="165"/>
      <c r="AD528" s="165"/>
      <c r="AE528" s="165"/>
      <c r="AF528" s="165"/>
      <c r="AG528" s="165"/>
      <c r="AH528" s="52"/>
      <c r="AI528" s="35"/>
      <c r="AJ528" s="35"/>
      <c r="AK528" s="35"/>
      <c r="AL528" s="40"/>
      <c r="AM528" s="40"/>
      <c r="AN528" s="40"/>
      <c r="AO528" s="125"/>
      <c r="AP528" s="195"/>
      <c r="AQ528" s="126"/>
      <c r="AR528" s="106"/>
      <c r="AS528" s="106"/>
      <c r="AT528" s="106"/>
      <c r="AU528" s="106"/>
      <c r="AV528" s="106"/>
      <c r="AW528" s="126"/>
      <c r="AX528" s="126"/>
      <c r="AY528" s="126"/>
      <c r="AZ528" s="126"/>
      <c r="BA528" s="126"/>
      <c r="BB528" s="21" t="s">
        <v>342</v>
      </c>
      <c r="BC528" s="21"/>
      <c r="BD528" s="21" t="n">
        <f aca="false">AD512</f>
        <v>25</v>
      </c>
      <c r="BE528" s="21"/>
    </row>
    <row r="529" customFormat="false" ht="14.1" hidden="true" customHeight="true" outlineLevel="1" collapsed="false">
      <c r="A529" s="245" t="s">
        <v>218</v>
      </c>
      <c r="B529" s="277"/>
      <c r="C529" s="301"/>
      <c r="D529" s="280"/>
      <c r="E529" s="325"/>
      <c r="F529" s="325"/>
      <c r="G529" s="281"/>
      <c r="H529" s="186"/>
      <c r="I529" s="132"/>
      <c r="J529" s="165"/>
      <c r="K529" s="165"/>
      <c r="L529" s="165"/>
      <c r="M529" s="165"/>
      <c r="N529" s="165"/>
      <c r="O529" s="165"/>
      <c r="P529" s="165"/>
      <c r="Q529" s="165"/>
      <c r="R529" s="165"/>
      <c r="S529" s="165"/>
      <c r="T529" s="165"/>
      <c r="U529" s="165"/>
      <c r="V529" s="165"/>
      <c r="W529" s="165"/>
      <c r="X529" s="165"/>
      <c r="Y529" s="165"/>
      <c r="Z529" s="165"/>
      <c r="AA529" s="165"/>
      <c r="AB529" s="165"/>
      <c r="AC529" s="165"/>
      <c r="AD529" s="165"/>
      <c r="AE529" s="165"/>
      <c r="AF529" s="165"/>
      <c r="AG529" s="165"/>
      <c r="AH529" s="52"/>
      <c r="AI529" s="35"/>
      <c r="AJ529" s="35"/>
      <c r="AK529" s="35"/>
      <c r="AL529" s="40"/>
      <c r="AM529" s="40"/>
      <c r="AN529" s="40"/>
      <c r="AO529" s="125"/>
      <c r="AP529" s="195"/>
      <c r="AQ529" s="106"/>
      <c r="AR529" s="106"/>
      <c r="AS529" s="106"/>
      <c r="AT529" s="106"/>
      <c r="AU529" s="106"/>
      <c r="AV529" s="106"/>
      <c r="AW529" s="126"/>
      <c r="AX529" s="126"/>
      <c r="AY529" s="126"/>
      <c r="AZ529" s="126"/>
      <c r="BA529" s="126"/>
      <c r="BB529" s="21" t="s">
        <v>342</v>
      </c>
      <c r="BC529" s="21"/>
      <c r="BD529" s="21" t="n">
        <f aca="false">AB511</f>
        <v>20</v>
      </c>
      <c r="BE529" s="21"/>
    </row>
    <row r="530" customFormat="false" ht="14.1" hidden="true" customHeight="true" outlineLevel="1" collapsed="false">
      <c r="A530" s="138"/>
      <c r="B530" s="277"/>
      <c r="C530" s="301"/>
      <c r="D530" s="280"/>
      <c r="E530" s="325"/>
      <c r="F530" s="325"/>
      <c r="G530" s="281"/>
      <c r="H530" s="165"/>
      <c r="I530" s="165"/>
      <c r="J530" s="165"/>
      <c r="K530" s="165"/>
      <c r="L530" s="165"/>
      <c r="M530" s="165"/>
      <c r="N530" s="165"/>
      <c r="O530" s="165"/>
      <c r="P530" s="165"/>
      <c r="Q530" s="165"/>
      <c r="R530" s="165"/>
      <c r="S530" s="165"/>
      <c r="T530" s="165"/>
      <c r="U530" s="165"/>
      <c r="V530" s="165"/>
      <c r="W530" s="165"/>
      <c r="X530" s="165"/>
      <c r="Y530" s="165"/>
      <c r="Z530" s="165"/>
      <c r="AA530" s="165"/>
      <c r="AB530" s="165"/>
      <c r="AC530" s="165"/>
      <c r="AD530" s="165"/>
      <c r="AE530" s="165"/>
      <c r="AF530" s="165"/>
      <c r="AG530" s="165"/>
      <c r="AH530" s="52"/>
      <c r="AI530" s="35"/>
      <c r="AJ530" s="35"/>
      <c r="AK530" s="35"/>
      <c r="AL530" s="40"/>
      <c r="AM530" s="40"/>
      <c r="AN530" s="40"/>
      <c r="AO530" s="125"/>
      <c r="AP530" s="195"/>
      <c r="AQ530" s="106"/>
      <c r="AR530" s="106"/>
      <c r="AS530" s="106"/>
      <c r="AT530" s="106"/>
      <c r="AU530" s="106"/>
      <c r="AV530" s="106"/>
      <c r="AW530" s="126"/>
      <c r="AX530" s="126"/>
      <c r="AY530" s="126"/>
      <c r="AZ530" s="126"/>
      <c r="BA530" s="126"/>
      <c r="BB530" s="21"/>
      <c r="BC530" s="21"/>
      <c r="BD530" s="21"/>
      <c r="BE530" s="21"/>
    </row>
    <row r="531" customFormat="false" ht="14.1" hidden="true" customHeight="true" outlineLevel="1" collapsed="false">
      <c r="A531" s="138" t="s">
        <v>222</v>
      </c>
      <c r="B531" s="235"/>
      <c r="C531" s="138"/>
      <c r="D531" s="280"/>
      <c r="E531" s="325"/>
      <c r="F531" s="325"/>
      <c r="G531" s="190" t="s">
        <v>15</v>
      </c>
      <c r="H531" s="226"/>
      <c r="I531" s="165"/>
      <c r="J531" s="165"/>
      <c r="K531" s="165"/>
      <c r="L531" s="165"/>
      <c r="M531" s="165"/>
      <c r="N531" s="165"/>
      <c r="O531" s="165"/>
      <c r="P531" s="165"/>
      <c r="Q531" s="165"/>
      <c r="R531" s="165"/>
      <c r="S531" s="165"/>
      <c r="T531" s="165"/>
      <c r="U531" s="165"/>
      <c r="V531" s="165"/>
      <c r="W531" s="165"/>
      <c r="X531" s="165"/>
      <c r="Y531" s="165"/>
      <c r="Z531" s="165"/>
      <c r="AA531" s="165"/>
      <c r="AB531" s="165"/>
      <c r="AC531" s="165"/>
      <c r="AD531" s="165"/>
      <c r="AE531" s="165"/>
      <c r="AF531" s="165"/>
      <c r="AG531" s="165"/>
      <c r="AH531" s="52"/>
      <c r="AI531" s="35"/>
      <c r="AJ531" s="35"/>
      <c r="AK531" s="35"/>
      <c r="AL531" s="40"/>
      <c r="AM531" s="40"/>
      <c r="AN531" s="40"/>
      <c r="AO531" s="125"/>
      <c r="AP531" s="195"/>
      <c r="AQ531" s="106"/>
      <c r="AR531" s="106"/>
      <c r="AS531" s="106"/>
      <c r="AT531" s="106"/>
      <c r="AU531" s="106"/>
      <c r="AV531" s="106"/>
      <c r="AW531" s="126"/>
      <c r="AX531" s="126"/>
      <c r="AY531" s="126"/>
      <c r="AZ531" s="126"/>
      <c r="BA531" s="126"/>
      <c r="BB531" s="21"/>
      <c r="BC531" s="21"/>
      <c r="BD531" s="21"/>
      <c r="BE531" s="21"/>
    </row>
    <row r="532" customFormat="false" ht="14.1" hidden="true" customHeight="true" outlineLevel="1" collapsed="false">
      <c r="A532" s="242" t="s">
        <v>102</v>
      </c>
      <c r="B532" s="169"/>
      <c r="C532" s="169"/>
      <c r="D532" s="280"/>
      <c r="E532" s="325"/>
      <c r="F532" s="325"/>
      <c r="G532" s="281" t="n">
        <v>0.2</v>
      </c>
      <c r="H532" s="186"/>
      <c r="I532" s="165"/>
      <c r="J532" s="165"/>
      <c r="K532" s="165"/>
      <c r="L532" s="165"/>
      <c r="M532" s="165"/>
      <c r="N532" s="165"/>
      <c r="O532" s="165"/>
      <c r="P532" s="165"/>
      <c r="Q532" s="165"/>
      <c r="R532" s="165"/>
      <c r="S532" s="165"/>
      <c r="T532" s="165"/>
      <c r="U532" s="165"/>
      <c r="V532" s="165"/>
      <c r="W532" s="165"/>
      <c r="X532" s="165"/>
      <c r="Y532" s="165"/>
      <c r="Z532" s="165"/>
      <c r="AA532" s="165"/>
      <c r="AB532" s="165"/>
      <c r="AC532" s="165"/>
      <c r="AD532" s="165"/>
      <c r="AE532" s="165"/>
      <c r="AF532" s="165"/>
      <c r="AG532" s="165"/>
      <c r="AH532" s="52"/>
      <c r="AI532" s="35"/>
      <c r="AJ532" s="35"/>
      <c r="AK532" s="35"/>
      <c r="AL532" s="40"/>
      <c r="AM532" s="40"/>
      <c r="AN532" s="40"/>
      <c r="AO532" s="125"/>
      <c r="AP532" s="195"/>
      <c r="AQ532" s="106"/>
      <c r="AR532" s="106"/>
      <c r="AS532" s="106"/>
      <c r="AT532" s="106"/>
      <c r="AU532" s="106"/>
      <c r="AV532" s="106"/>
      <c r="AW532" s="126"/>
      <c r="AX532" s="126"/>
      <c r="AY532" s="126"/>
      <c r="AZ532" s="126"/>
      <c r="BA532" s="126"/>
      <c r="BB532" s="21"/>
      <c r="BC532" s="21"/>
      <c r="BD532" s="21"/>
      <c r="BE532" s="21"/>
    </row>
    <row r="533" customFormat="false" ht="14.1" hidden="true" customHeight="true" outlineLevel="1" collapsed="false">
      <c r="A533" s="138"/>
      <c r="B533" s="138"/>
      <c r="C533" s="138"/>
      <c r="D533" s="280"/>
      <c r="E533" s="325"/>
      <c r="F533" s="325"/>
      <c r="G533" s="186"/>
      <c r="H533" s="186"/>
      <c r="I533" s="165"/>
      <c r="J533" s="165"/>
      <c r="K533" s="165"/>
      <c r="L533" s="165"/>
      <c r="M533" s="165"/>
      <c r="N533" s="165"/>
      <c r="O533" s="165"/>
      <c r="P533" s="165"/>
      <c r="Q533" s="165"/>
      <c r="R533" s="165"/>
      <c r="S533" s="165"/>
      <c r="T533" s="165"/>
      <c r="U533" s="165"/>
      <c r="V533" s="165"/>
      <c r="W533" s="165"/>
      <c r="X533" s="165"/>
      <c r="Y533" s="165"/>
      <c r="Z533" s="165"/>
      <c r="AA533" s="165"/>
      <c r="AB533" s="165"/>
      <c r="AC533" s="165"/>
      <c r="AD533" s="165"/>
      <c r="AE533" s="165"/>
      <c r="AF533" s="165"/>
      <c r="AG533" s="165"/>
      <c r="AH533" s="52"/>
      <c r="AI533" s="35"/>
      <c r="AJ533" s="35"/>
      <c r="AK533" s="35"/>
      <c r="AL533" s="40"/>
      <c r="AM533" s="40"/>
      <c r="AN533" s="40"/>
      <c r="AO533" s="125"/>
      <c r="AP533" s="195"/>
      <c r="AQ533" s="106"/>
      <c r="AR533" s="106"/>
      <c r="AS533" s="106"/>
      <c r="AT533" s="106"/>
      <c r="AU533" s="106"/>
      <c r="AV533" s="106"/>
      <c r="AW533" s="126"/>
      <c r="AX533" s="126"/>
      <c r="AY533" s="126"/>
      <c r="AZ533" s="126"/>
      <c r="BA533" s="126"/>
      <c r="BB533" s="21"/>
      <c r="BC533" s="21"/>
      <c r="BD533" s="21"/>
      <c r="BE533" s="21"/>
    </row>
    <row r="534" customFormat="false" ht="14.1" hidden="true" customHeight="true" outlineLevel="1" collapsed="false">
      <c r="A534" s="138" t="s">
        <v>224</v>
      </c>
      <c r="B534" s="138"/>
      <c r="C534" s="138"/>
      <c r="D534" s="280"/>
      <c r="E534" s="325"/>
      <c r="F534" s="325"/>
      <c r="G534" s="165"/>
      <c r="H534" s="132"/>
      <c r="I534" s="132"/>
      <c r="J534" s="165"/>
      <c r="K534" s="165"/>
      <c r="L534" s="165"/>
      <c r="M534" s="165"/>
      <c r="N534" s="165"/>
      <c r="O534" s="165"/>
      <c r="P534" s="165"/>
      <c r="Q534" s="165"/>
      <c r="R534" s="165"/>
      <c r="S534" s="165"/>
      <c r="T534" s="165"/>
      <c r="U534" s="165"/>
      <c r="V534" s="165"/>
      <c r="W534" s="165"/>
      <c r="X534" s="165"/>
      <c r="Y534" s="165"/>
      <c r="Z534" s="165"/>
      <c r="AA534" s="165"/>
      <c r="AB534" s="165"/>
      <c r="AC534" s="165"/>
      <c r="AD534" s="165"/>
      <c r="AE534" s="165"/>
      <c r="AF534" s="165"/>
      <c r="AG534" s="165"/>
      <c r="AH534" s="52"/>
      <c r="AI534" s="35"/>
      <c r="AJ534" s="35"/>
      <c r="AK534" s="35"/>
      <c r="AL534" s="40"/>
      <c r="AM534" s="40"/>
      <c r="AN534" s="40"/>
      <c r="AO534" s="125"/>
      <c r="AP534" s="195"/>
      <c r="AQ534" s="106"/>
      <c r="AR534" s="106"/>
      <c r="AS534" s="106"/>
      <c r="AT534" s="106"/>
      <c r="AU534" s="106"/>
      <c r="AV534" s="106"/>
      <c r="AW534" s="126"/>
      <c r="AX534" s="126"/>
      <c r="AY534" s="126"/>
      <c r="AZ534" s="126"/>
      <c r="BA534" s="126"/>
      <c r="BB534" s="21"/>
      <c r="BC534" s="21"/>
      <c r="BD534" s="21"/>
      <c r="BE534" s="21"/>
    </row>
    <row r="535" customFormat="false" ht="14.1" hidden="true" customHeight="true" outlineLevel="1" collapsed="false">
      <c r="A535" s="242" t="s">
        <v>103</v>
      </c>
      <c r="B535" s="169"/>
      <c r="C535" s="169"/>
      <c r="D535" s="280"/>
      <c r="E535" s="325"/>
      <c r="F535" s="325"/>
      <c r="G535" s="190" t="s">
        <v>15</v>
      </c>
      <c r="H535" s="226"/>
      <c r="I535" s="132"/>
      <c r="J535" s="165"/>
      <c r="K535" s="165"/>
      <c r="L535" s="165"/>
      <c r="M535" s="165"/>
      <c r="N535" s="165"/>
      <c r="O535" s="165"/>
      <c r="P535" s="165"/>
      <c r="Q535" s="165"/>
      <c r="R535" s="165"/>
      <c r="S535" s="165"/>
      <c r="T535" s="165"/>
      <c r="U535" s="165"/>
      <c r="V535" s="165"/>
      <c r="W535" s="165"/>
      <c r="X535" s="165"/>
      <c r="Y535" s="165"/>
      <c r="Z535" s="165"/>
      <c r="AA535" s="165"/>
      <c r="AB535" s="165"/>
      <c r="AC535" s="165"/>
      <c r="AD535" s="165"/>
      <c r="AE535" s="165"/>
      <c r="AF535" s="165"/>
      <c r="AG535" s="165"/>
      <c r="AH535" s="52"/>
      <c r="AI535" s="35"/>
      <c r="AJ535" s="35"/>
      <c r="AK535" s="35"/>
      <c r="AL535" s="40"/>
      <c r="AM535" s="40"/>
      <c r="AN535" s="40"/>
      <c r="AO535" s="125"/>
      <c r="AP535" s="195"/>
      <c r="AQ535" s="329"/>
      <c r="AR535" s="329"/>
      <c r="AS535" s="106"/>
      <c r="AT535" s="106"/>
      <c r="AU535" s="106"/>
      <c r="AV535" s="106"/>
      <c r="AW535" s="126"/>
      <c r="AX535" s="126"/>
      <c r="AY535" s="126"/>
      <c r="AZ535" s="126"/>
      <c r="BA535" s="126"/>
      <c r="BB535" s="21"/>
      <c r="BC535" s="21"/>
      <c r="BD535" s="21"/>
      <c r="BE535" s="21"/>
    </row>
    <row r="536" customFormat="false" ht="14.1" hidden="true" customHeight="true" outlineLevel="1" collapsed="false">
      <c r="A536" s="138"/>
      <c r="B536" s="169"/>
      <c r="C536" s="169"/>
      <c r="D536" s="280"/>
      <c r="E536" s="325"/>
      <c r="F536" s="325"/>
      <c r="G536" s="281" t="n">
        <v>0</v>
      </c>
      <c r="H536" s="186"/>
      <c r="I536" s="132"/>
      <c r="J536" s="165"/>
      <c r="K536" s="165"/>
      <c r="L536" s="165"/>
      <c r="M536" s="165"/>
      <c r="N536" s="165"/>
      <c r="O536" s="165"/>
      <c r="P536" s="165"/>
      <c r="Q536" s="165"/>
      <c r="R536" s="165"/>
      <c r="S536" s="165"/>
      <c r="T536" s="165"/>
      <c r="U536" s="165"/>
      <c r="V536" s="165"/>
      <c r="W536" s="165"/>
      <c r="X536" s="165"/>
      <c r="Y536" s="165"/>
      <c r="Z536" s="230"/>
      <c r="AA536" s="230"/>
      <c r="AB536" s="165"/>
      <c r="AC536" s="165"/>
      <c r="AD536" s="165"/>
      <c r="AE536" s="165"/>
      <c r="AF536" s="165"/>
      <c r="AG536" s="165"/>
      <c r="AH536" s="52"/>
      <c r="AI536" s="35"/>
      <c r="AJ536" s="35"/>
      <c r="AK536" s="35"/>
      <c r="AL536" s="40"/>
      <c r="AM536" s="40"/>
      <c r="AN536" s="40"/>
      <c r="AO536" s="125"/>
      <c r="AP536" s="195"/>
      <c r="AQ536" s="106"/>
      <c r="AR536" s="106"/>
      <c r="AS536" s="106"/>
      <c r="AT536" s="106"/>
      <c r="AU536" s="106"/>
      <c r="AV536" s="106"/>
      <c r="AW536" s="126"/>
      <c r="AX536" s="126"/>
      <c r="AY536" s="126"/>
      <c r="AZ536" s="126"/>
      <c r="BA536" s="126"/>
      <c r="BB536" s="21"/>
      <c r="BC536" s="21"/>
      <c r="BD536" s="21"/>
      <c r="BE536" s="21"/>
    </row>
    <row r="537" customFormat="false" ht="14.1" hidden="true" customHeight="true" outlineLevel="1" collapsed="false">
      <c r="A537" s="138" t="s">
        <v>225</v>
      </c>
      <c r="B537" s="277"/>
      <c r="C537" s="272"/>
      <c r="D537" s="280"/>
      <c r="E537" s="325"/>
      <c r="F537" s="325"/>
      <c r="G537" s="186"/>
      <c r="H537" s="186"/>
      <c r="I537" s="165"/>
      <c r="J537" s="165"/>
      <c r="K537" s="165"/>
      <c r="L537" s="165"/>
      <c r="M537" s="165"/>
      <c r="N537" s="165"/>
      <c r="O537" s="165"/>
      <c r="P537" s="165"/>
      <c r="Q537" s="165"/>
      <c r="R537" s="165"/>
      <c r="S537" s="165"/>
      <c r="T537" s="165"/>
      <c r="U537" s="165"/>
      <c r="V537" s="165"/>
      <c r="W537" s="165"/>
      <c r="X537" s="165"/>
      <c r="Y537" s="165"/>
      <c r="Z537" s="230"/>
      <c r="AA537" s="230"/>
      <c r="AB537" s="165"/>
      <c r="AC537" s="165"/>
      <c r="AD537" s="165"/>
      <c r="AE537" s="165"/>
      <c r="AF537" s="165"/>
      <c r="AG537" s="165"/>
      <c r="AH537" s="52"/>
      <c r="AI537" s="35"/>
      <c r="AJ537" s="35"/>
      <c r="AK537" s="35"/>
      <c r="AL537" s="40"/>
      <c r="AM537" s="40"/>
      <c r="AN537" s="40"/>
      <c r="AO537" s="125"/>
      <c r="AP537" s="195"/>
      <c r="AQ537" s="106"/>
      <c r="AR537" s="106"/>
      <c r="AS537" s="106"/>
      <c r="AT537" s="106"/>
      <c r="AU537" s="106"/>
      <c r="AV537" s="106"/>
      <c r="AW537" s="126"/>
      <c r="AX537" s="126"/>
      <c r="AY537" s="126"/>
      <c r="AZ537" s="126"/>
      <c r="BA537" s="126"/>
      <c r="BB537" s="21"/>
      <c r="BC537" s="21"/>
      <c r="BD537" s="21"/>
      <c r="BE537" s="21"/>
    </row>
    <row r="538" customFormat="false" ht="14.1" hidden="true" customHeight="true" outlineLevel="1" collapsed="false">
      <c r="A538" s="149" t="s">
        <v>226</v>
      </c>
      <c r="B538" s="119" t="s">
        <v>109</v>
      </c>
      <c r="C538" s="130" t="n">
        <v>0</v>
      </c>
      <c r="D538" s="280"/>
      <c r="E538" s="325"/>
      <c r="F538" s="325"/>
      <c r="G538" s="165"/>
      <c r="H538" s="132"/>
      <c r="I538" s="132"/>
      <c r="J538" s="165"/>
      <c r="K538" s="165"/>
      <c r="L538" s="165"/>
      <c r="M538" s="165"/>
      <c r="N538" s="165"/>
      <c r="O538" s="165"/>
      <c r="P538" s="165"/>
      <c r="Q538" s="165"/>
      <c r="R538" s="165"/>
      <c r="S538" s="165"/>
      <c r="T538" s="165"/>
      <c r="U538" s="165"/>
      <c r="V538" s="165"/>
      <c r="W538" s="165"/>
      <c r="X538" s="165"/>
      <c r="Y538" s="165"/>
      <c r="Z538" s="230"/>
      <c r="AA538" s="230"/>
      <c r="AB538" s="165"/>
      <c r="AC538" s="165"/>
      <c r="AD538" s="165"/>
      <c r="AE538" s="165"/>
      <c r="AF538" s="165"/>
      <c r="AG538" s="165"/>
      <c r="AH538" s="330"/>
      <c r="AI538" s="52"/>
      <c r="AJ538" s="52"/>
      <c r="AK538" s="52"/>
      <c r="AL538" s="40"/>
      <c r="AM538" s="40"/>
      <c r="AN538" s="40"/>
      <c r="AO538" s="125"/>
      <c r="AP538" s="195"/>
      <c r="AQ538" s="106"/>
      <c r="AR538" s="106"/>
      <c r="AS538" s="106"/>
      <c r="AT538" s="106"/>
      <c r="AU538" s="106"/>
      <c r="AV538" s="106"/>
      <c r="AW538" s="126"/>
      <c r="AX538" s="126"/>
      <c r="AY538" s="126"/>
      <c r="AZ538" s="126"/>
      <c r="BA538" s="126"/>
      <c r="BB538" s="21"/>
      <c r="BC538" s="21"/>
      <c r="BD538" s="21"/>
      <c r="BE538" s="21"/>
    </row>
    <row r="539" customFormat="false" ht="14.1" hidden="true" customHeight="true" outlineLevel="1" collapsed="false">
      <c r="A539" s="139" t="s">
        <v>226</v>
      </c>
      <c r="B539" s="119" t="s">
        <v>109</v>
      </c>
      <c r="C539" s="151" t="n">
        <v>0</v>
      </c>
      <c r="D539" s="280"/>
      <c r="E539" s="325"/>
      <c r="F539" s="325"/>
      <c r="G539" s="165"/>
      <c r="H539" s="132"/>
      <c r="I539" s="132"/>
      <c r="J539" s="165"/>
      <c r="K539" s="165"/>
      <c r="L539" s="165"/>
      <c r="M539" s="165"/>
      <c r="N539" s="165"/>
      <c r="O539" s="165"/>
      <c r="P539" s="165"/>
      <c r="Q539" s="165"/>
      <c r="R539" s="165"/>
      <c r="S539" s="165"/>
      <c r="T539" s="165"/>
      <c r="U539" s="165"/>
      <c r="V539" s="165"/>
      <c r="W539" s="165"/>
      <c r="X539" s="165"/>
      <c r="Y539" s="165"/>
      <c r="Z539" s="165"/>
      <c r="AA539" s="165"/>
      <c r="AB539" s="165"/>
      <c r="AC539" s="165"/>
      <c r="AD539" s="165"/>
      <c r="AE539" s="165"/>
      <c r="AF539" s="165"/>
      <c r="AG539" s="165"/>
      <c r="AH539" s="52"/>
      <c r="AI539" s="52"/>
      <c r="AJ539" s="52"/>
      <c r="AK539" s="52"/>
      <c r="AL539" s="40"/>
      <c r="AM539" s="40"/>
      <c r="AN539" s="40"/>
      <c r="AO539" s="125"/>
      <c r="AP539" s="195"/>
      <c r="AQ539" s="106"/>
      <c r="AR539" s="106"/>
      <c r="AS539" s="106"/>
      <c r="AT539" s="106"/>
      <c r="AU539" s="106"/>
      <c r="AV539" s="106"/>
      <c r="AW539" s="126"/>
      <c r="AX539" s="126"/>
      <c r="AY539" s="126"/>
      <c r="AZ539" s="126"/>
      <c r="BA539" s="126"/>
      <c r="BB539" s="21"/>
      <c r="BC539" s="21"/>
      <c r="BD539" s="21"/>
      <c r="BE539" s="21"/>
    </row>
    <row r="540" customFormat="false" ht="14.1" hidden="true" customHeight="true" outlineLevel="1" collapsed="false">
      <c r="A540" s="138"/>
      <c r="B540" s="235"/>
      <c r="C540" s="138"/>
      <c r="D540" s="280"/>
      <c r="E540" s="325"/>
      <c r="F540" s="325"/>
      <c r="G540" s="165"/>
      <c r="H540" s="132"/>
      <c r="I540" s="132"/>
      <c r="J540" s="165"/>
      <c r="K540" s="165"/>
      <c r="L540" s="165"/>
      <c r="M540" s="165"/>
      <c r="N540" s="165"/>
      <c r="O540" s="165"/>
      <c r="P540" s="165"/>
      <c r="Q540" s="165"/>
      <c r="R540" s="165"/>
      <c r="S540" s="165"/>
      <c r="T540" s="165"/>
      <c r="U540" s="165"/>
      <c r="V540" s="165"/>
      <c r="W540" s="165"/>
      <c r="X540" s="165"/>
      <c r="Y540" s="165"/>
      <c r="Z540" s="165"/>
      <c r="AA540" s="165"/>
      <c r="AB540" s="165"/>
      <c r="AC540" s="165"/>
      <c r="AD540" s="165"/>
      <c r="AE540" s="165"/>
      <c r="AF540" s="165"/>
      <c r="AG540" s="165"/>
      <c r="AH540" s="52"/>
      <c r="AI540" s="52"/>
      <c r="AJ540" s="52"/>
      <c r="AK540" s="52"/>
      <c r="AL540" s="40"/>
      <c r="AM540" s="40"/>
      <c r="AN540" s="40"/>
      <c r="AO540" s="125"/>
      <c r="AP540" s="195"/>
      <c r="AQ540" s="106"/>
      <c r="AR540" s="106"/>
      <c r="AS540" s="106"/>
      <c r="AT540" s="106"/>
      <c r="AU540" s="106"/>
      <c r="AV540" s="106"/>
      <c r="AW540" s="126"/>
      <c r="AX540" s="126"/>
      <c r="AY540" s="126"/>
      <c r="AZ540" s="126"/>
      <c r="BA540" s="126"/>
      <c r="BB540" s="21"/>
      <c r="BC540" s="21"/>
      <c r="BD540" s="21"/>
      <c r="BE540" s="21"/>
    </row>
    <row r="541" customFormat="false" ht="14.1" hidden="true" customHeight="true" outlineLevel="1" collapsed="false">
      <c r="A541" s="152" t="s">
        <v>343</v>
      </c>
      <c r="B541" s="119" t="s">
        <v>113</v>
      </c>
      <c r="C541" s="252" t="n">
        <v>0</v>
      </c>
      <c r="D541" s="280"/>
      <c r="E541" s="325"/>
      <c r="F541" s="325"/>
      <c r="G541" s="165"/>
      <c r="H541" s="165"/>
      <c r="I541" s="165"/>
      <c r="J541" s="165"/>
      <c r="K541" s="165"/>
      <c r="L541" s="165"/>
      <c r="M541" s="165"/>
      <c r="N541" s="165"/>
      <c r="O541" s="165"/>
      <c r="P541" s="165"/>
      <c r="Q541" s="165"/>
      <c r="R541" s="165"/>
      <c r="S541" s="165"/>
      <c r="T541" s="165"/>
      <c r="U541" s="165"/>
      <c r="V541" s="165"/>
      <c r="W541" s="165"/>
      <c r="X541" s="165"/>
      <c r="Y541" s="165"/>
      <c r="Z541" s="165"/>
      <c r="AA541" s="165"/>
      <c r="AB541" s="165"/>
      <c r="AC541" s="165"/>
      <c r="AD541" s="165"/>
      <c r="AE541" s="165" t="s">
        <v>286</v>
      </c>
      <c r="AF541" s="165"/>
      <c r="AG541" s="165"/>
      <c r="AH541" s="52"/>
      <c r="AI541" s="52"/>
      <c r="AJ541" s="52"/>
      <c r="AK541" s="52"/>
      <c r="AL541" s="40"/>
      <c r="AM541" s="40"/>
      <c r="AN541" s="40"/>
      <c r="AO541" s="125"/>
      <c r="AP541" s="195"/>
      <c r="AQ541" s="106"/>
      <c r="AR541" s="106"/>
      <c r="AS541" s="106"/>
      <c r="AT541" s="106"/>
      <c r="AU541" s="106"/>
      <c r="AV541" s="106"/>
      <c r="AW541" s="126"/>
      <c r="AX541" s="126"/>
      <c r="AY541" s="126"/>
      <c r="AZ541" s="126"/>
      <c r="BA541" s="126"/>
      <c r="BB541" s="21"/>
      <c r="BC541" s="21"/>
      <c r="BD541" s="21"/>
      <c r="BE541" s="21"/>
    </row>
    <row r="542" customFormat="false" ht="14.1" hidden="true" customHeight="true" outlineLevel="1" collapsed="false">
      <c r="A542" s="138"/>
      <c r="B542" s="138"/>
      <c r="C542" s="138"/>
      <c r="D542" s="280"/>
      <c r="E542" s="325"/>
      <c r="F542" s="325"/>
      <c r="G542" s="165"/>
      <c r="H542" s="165"/>
      <c r="I542" s="165"/>
      <c r="J542" s="165"/>
      <c r="K542" s="165"/>
      <c r="L542" s="165"/>
      <c r="M542" s="165"/>
      <c r="N542" s="165"/>
      <c r="O542" s="165"/>
      <c r="P542" s="165"/>
      <c r="Q542" s="165" t="s">
        <v>179</v>
      </c>
      <c r="R542" s="165"/>
      <c r="S542" s="165"/>
      <c r="T542" s="165"/>
      <c r="U542" s="165"/>
      <c r="V542" s="165"/>
      <c r="W542" s="226"/>
      <c r="X542" s="226"/>
      <c r="Y542" s="165"/>
      <c r="Z542" s="165"/>
      <c r="AA542" s="165"/>
      <c r="AB542" s="165"/>
      <c r="AC542" s="165"/>
      <c r="AD542" s="165"/>
      <c r="AE542" s="165"/>
      <c r="AF542" s="165"/>
      <c r="AG542" s="165"/>
      <c r="AH542" s="52"/>
      <c r="AI542" s="52"/>
      <c r="AJ542" s="52"/>
      <c r="AK542" s="52"/>
      <c r="AL542" s="40"/>
      <c r="AM542" s="40"/>
      <c r="AN542" s="40"/>
      <c r="AO542" s="125"/>
      <c r="AP542" s="195"/>
      <c r="AQ542" s="106"/>
      <c r="AR542" s="106"/>
      <c r="AS542" s="106"/>
      <c r="AT542" s="106"/>
      <c r="AU542" s="106"/>
      <c r="AV542" s="106"/>
      <c r="AW542" s="126"/>
      <c r="AX542" s="126"/>
      <c r="AY542" s="126"/>
      <c r="AZ542" s="126"/>
      <c r="BA542" s="126"/>
      <c r="BB542" s="21"/>
      <c r="BC542" s="21"/>
      <c r="BD542" s="21"/>
      <c r="BE542" s="21"/>
    </row>
    <row r="543" customFormat="false" ht="14.1" hidden="false" customHeight="true" outlineLevel="0" collapsed="false">
      <c r="A543" s="155" t="s">
        <v>344</v>
      </c>
      <c r="B543" s="155"/>
      <c r="C543" s="155"/>
      <c r="D543" s="155"/>
      <c r="E543" s="155"/>
      <c r="F543" s="26"/>
      <c r="G543" s="165"/>
      <c r="H543" s="165"/>
      <c r="I543" s="165"/>
      <c r="J543" s="165"/>
      <c r="K543" s="165"/>
      <c r="L543" s="165"/>
      <c r="M543" s="165"/>
      <c r="N543" s="165"/>
      <c r="O543" s="165"/>
      <c r="P543" s="165"/>
      <c r="Q543" s="165"/>
      <c r="R543" s="165"/>
      <c r="S543" s="165"/>
      <c r="T543" s="165"/>
      <c r="U543" s="165"/>
      <c r="V543" s="165"/>
      <c r="W543" s="226"/>
      <c r="X543" s="226"/>
      <c r="Y543" s="165"/>
      <c r="Z543" s="165"/>
      <c r="AA543" s="165"/>
      <c r="AB543" s="165"/>
      <c r="AC543" s="165"/>
      <c r="AD543" s="165"/>
      <c r="AE543" s="165"/>
      <c r="AF543" s="165"/>
      <c r="AG543" s="165"/>
      <c r="AH543" s="52"/>
      <c r="AI543" s="52"/>
      <c r="AJ543" s="52"/>
      <c r="AK543" s="52"/>
      <c r="AL543" s="40"/>
      <c r="AM543" s="40"/>
      <c r="AN543" s="40"/>
      <c r="AO543" s="125"/>
      <c r="AP543" s="195"/>
      <c r="AQ543" s="106"/>
      <c r="AR543" s="106"/>
      <c r="AS543" s="106"/>
      <c r="AT543" s="106"/>
      <c r="AU543" s="106"/>
      <c r="AV543" s="106"/>
      <c r="AW543" s="126"/>
      <c r="AX543" s="126"/>
      <c r="AY543" s="126"/>
      <c r="AZ543" s="126"/>
      <c r="BA543" s="126"/>
      <c r="BB543" s="21"/>
      <c r="BC543" s="21"/>
      <c r="BD543" s="21"/>
      <c r="BE543" s="21"/>
    </row>
    <row r="544" s="35" customFormat="true" ht="14.1" hidden="false" customHeight="true" outlineLevel="0" collapsed="false">
      <c r="A544" s="150"/>
      <c r="B544" s="200"/>
      <c r="C544" s="150"/>
      <c r="D544" s="150"/>
      <c r="E544" s="259"/>
      <c r="F544" s="259"/>
      <c r="G544" s="165"/>
      <c r="H544" s="165"/>
      <c r="I544" s="165"/>
      <c r="J544" s="226"/>
      <c r="K544" s="226"/>
      <c r="L544" s="165"/>
      <c r="M544" s="165"/>
      <c r="N544" s="150"/>
      <c r="O544" s="165"/>
      <c r="P544" s="165"/>
      <c r="Q544" s="26"/>
      <c r="R544" s="165"/>
      <c r="S544" s="165"/>
      <c r="T544" s="165"/>
      <c r="U544" s="165"/>
      <c r="V544" s="165"/>
      <c r="W544" s="165"/>
      <c r="X544" s="165"/>
      <c r="Y544" s="165"/>
      <c r="Z544" s="165"/>
      <c r="AA544" s="165"/>
      <c r="AB544" s="165"/>
      <c r="AC544" s="165"/>
      <c r="AD544" s="165"/>
      <c r="AE544" s="165"/>
      <c r="AF544" s="165"/>
      <c r="AG544" s="165"/>
      <c r="AH544" s="52"/>
      <c r="AI544" s="52"/>
      <c r="AJ544" s="52"/>
      <c r="AK544" s="52"/>
      <c r="AL544" s="40"/>
      <c r="AM544" s="40"/>
      <c r="AN544" s="40"/>
      <c r="AO544" s="125"/>
      <c r="AP544" s="195"/>
      <c r="AQ544" s="106"/>
      <c r="AR544" s="106"/>
      <c r="AS544" s="106"/>
      <c r="AT544" s="106"/>
      <c r="AU544" s="106"/>
      <c r="AV544" s="106"/>
      <c r="AW544" s="126"/>
      <c r="AX544" s="126"/>
      <c r="AY544" s="126"/>
      <c r="AZ544" s="126"/>
      <c r="BA544" s="126"/>
      <c r="BB544" s="126"/>
      <c r="BC544" s="126"/>
      <c r="BD544" s="126"/>
      <c r="BE544" s="126"/>
      <c r="BF544" s="156"/>
    </row>
    <row r="545" customFormat="false" ht="14.1" hidden="true" customHeight="true" outlineLevel="1" collapsed="false">
      <c r="A545" s="284" t="s">
        <v>345</v>
      </c>
      <c r="B545" s="284"/>
      <c r="C545" s="284"/>
      <c r="D545" s="284"/>
      <c r="E545" s="284"/>
      <c r="F545" s="138"/>
      <c r="G545" s="132"/>
      <c r="H545" s="26"/>
      <c r="I545" s="158" t="s">
        <v>346</v>
      </c>
      <c r="J545" s="158"/>
      <c r="K545" s="158"/>
      <c r="L545" s="158"/>
      <c r="M545" s="158"/>
      <c r="N545" s="158"/>
      <c r="O545" s="158"/>
      <c r="P545" s="158"/>
      <c r="Q545" s="158"/>
      <c r="R545" s="158"/>
      <c r="S545" s="158"/>
      <c r="T545" s="158"/>
      <c r="U545" s="158"/>
      <c r="V545" s="158"/>
      <c r="W545" s="158"/>
      <c r="X545" s="158"/>
      <c r="Y545" s="158"/>
      <c r="Z545" s="158"/>
      <c r="AA545" s="158"/>
      <c r="AB545" s="158"/>
      <c r="AC545" s="158"/>
      <c r="AD545" s="158"/>
      <c r="AE545" s="158"/>
      <c r="AF545" s="26"/>
      <c r="AG545" s="26"/>
      <c r="AH545" s="35"/>
      <c r="AI545" s="35"/>
      <c r="AJ545" s="35"/>
      <c r="AK545" s="188"/>
      <c r="AL545" s="188"/>
      <c r="AM545" s="188"/>
      <c r="AN545" s="188"/>
      <c r="AO545" s="188"/>
      <c r="AP545" s="188"/>
      <c r="AQ545" s="331"/>
      <c r="AR545" s="156"/>
      <c r="AS545" s="156"/>
      <c r="AT545" s="156"/>
      <c r="AU545" s="156"/>
      <c r="AV545" s="106"/>
      <c r="AW545" s="126"/>
      <c r="AX545" s="126"/>
      <c r="AY545" s="126"/>
      <c r="AZ545" s="126"/>
      <c r="BA545" s="126"/>
      <c r="BB545" s="21"/>
      <c r="BC545" s="21"/>
      <c r="BD545" s="21"/>
      <c r="BE545" s="21"/>
    </row>
    <row r="546" s="162" customFormat="true" ht="14.1" hidden="true" customHeight="true" outlineLevel="1" collapsed="false">
      <c r="A546" s="288"/>
      <c r="B546" s="288"/>
      <c r="C546" s="282"/>
      <c r="D546" s="282"/>
      <c r="E546" s="282"/>
      <c r="F546" s="288"/>
      <c r="G546" s="267"/>
      <c r="H546" s="165"/>
      <c r="I546" s="158"/>
      <c r="J546" s="158"/>
      <c r="K546" s="158"/>
      <c r="L546" s="158"/>
      <c r="M546" s="158"/>
      <c r="N546" s="158"/>
      <c r="O546" s="158"/>
      <c r="P546" s="158"/>
      <c r="Q546" s="158"/>
      <c r="R546" s="158"/>
      <c r="S546" s="158"/>
      <c r="T546" s="158"/>
      <c r="U546" s="158"/>
      <c r="V546" s="158"/>
      <c r="W546" s="158"/>
      <c r="X546" s="158"/>
      <c r="Y546" s="158"/>
      <c r="Z546" s="158"/>
      <c r="AA546" s="158"/>
      <c r="AB546" s="158"/>
      <c r="AC546" s="158"/>
      <c r="AD546" s="158"/>
      <c r="AE546" s="158"/>
      <c r="AF546" s="26"/>
      <c r="AG546" s="26"/>
      <c r="AH546" s="35"/>
      <c r="AI546" s="35"/>
      <c r="AJ546" s="35"/>
      <c r="AK546" s="188"/>
      <c r="AL546" s="188"/>
      <c r="AM546" s="188"/>
      <c r="AN546" s="188"/>
      <c r="AO546" s="188"/>
      <c r="AP546" s="188"/>
      <c r="AQ546" s="331"/>
      <c r="AR546" s="156"/>
      <c r="AS546" s="156"/>
      <c r="AT546" s="156"/>
      <c r="AU546" s="156"/>
      <c r="AV546" s="106"/>
      <c r="AW546" s="126"/>
      <c r="AX546" s="126"/>
      <c r="AY546" s="126"/>
      <c r="AZ546" s="126"/>
      <c r="BA546" s="126"/>
      <c r="BB546" s="160"/>
      <c r="BC546" s="160"/>
      <c r="BD546" s="160"/>
      <c r="BE546" s="160"/>
      <c r="BF546" s="161"/>
    </row>
    <row r="547" s="56" customFormat="true" ht="14.1" hidden="true" customHeight="true" outlineLevel="1" collapsed="false">
      <c r="A547" s="284" t="s">
        <v>347</v>
      </c>
      <c r="B547" s="284"/>
      <c r="C547" s="284"/>
      <c r="D547" s="332" t="s">
        <v>44</v>
      </c>
      <c r="E547" s="288"/>
      <c r="F547" s="288"/>
      <c r="G547" s="267"/>
      <c r="H547" s="165"/>
      <c r="I547" s="265"/>
      <c r="J547" s="259"/>
      <c r="K547" s="165"/>
      <c r="L547" s="150"/>
      <c r="M547" s="165"/>
      <c r="N547" s="165"/>
      <c r="O547" s="165"/>
      <c r="P547" s="165"/>
      <c r="Q547" s="165"/>
      <c r="R547" s="165"/>
      <c r="S547" s="165"/>
      <c r="T547" s="165"/>
      <c r="U547" s="165"/>
      <c r="V547" s="165"/>
      <c r="W547" s="165"/>
      <c r="X547" s="165"/>
      <c r="Y547" s="165"/>
      <c r="Z547" s="165"/>
      <c r="AA547" s="165"/>
      <c r="AB547" s="165"/>
      <c r="AC547" s="165"/>
      <c r="AD547" s="265"/>
      <c r="AE547" s="265"/>
      <c r="AF547" s="132"/>
      <c r="AG547" s="132"/>
      <c r="AH547" s="50"/>
      <c r="AI547" s="50"/>
      <c r="AJ547" s="50"/>
      <c r="AK547" s="188"/>
      <c r="AL547" s="188"/>
      <c r="AM547" s="188"/>
      <c r="AN547" s="188"/>
      <c r="AO547" s="188"/>
      <c r="AP547" s="188"/>
      <c r="AQ547" s="331"/>
      <c r="AR547" s="103"/>
      <c r="AS547" s="103"/>
      <c r="AT547" s="103"/>
      <c r="AU547" s="103"/>
      <c r="AV547" s="106"/>
      <c r="AW547" s="106"/>
      <c r="AX547" s="106"/>
      <c r="AY547" s="106"/>
      <c r="AZ547" s="106"/>
      <c r="BA547" s="106"/>
      <c r="BB547" s="19"/>
      <c r="BC547" s="19"/>
      <c r="BD547" s="19"/>
      <c r="BE547" s="19"/>
      <c r="BF547" s="55"/>
    </row>
    <row r="548" s="56" customFormat="true" ht="14.1" hidden="true" customHeight="true" outlineLevel="1" collapsed="false">
      <c r="A548" s="288"/>
      <c r="B548" s="288"/>
      <c r="C548" s="288"/>
      <c r="D548" s="288"/>
      <c r="E548" s="288"/>
      <c r="F548" s="272"/>
      <c r="G548" s="186"/>
      <c r="H548" s="150"/>
      <c r="I548" s="190" t="s">
        <v>348</v>
      </c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165"/>
      <c r="W548" s="165"/>
      <c r="X548" s="165"/>
      <c r="Y548" s="165"/>
      <c r="Z548" s="165"/>
      <c r="AA548" s="165"/>
      <c r="AB548" s="165"/>
      <c r="AC548" s="165"/>
      <c r="AD548" s="265"/>
      <c r="AE548" s="265"/>
      <c r="AF548" s="132"/>
      <c r="AG548" s="132"/>
      <c r="AH548" s="50"/>
      <c r="AI548" s="50"/>
      <c r="AJ548" s="50"/>
      <c r="AK548" s="188"/>
      <c r="AL548" s="188"/>
      <c r="AM548" s="188"/>
      <c r="AN548" s="188"/>
      <c r="AO548" s="188"/>
      <c r="AP548" s="188"/>
      <c r="AQ548" s="331"/>
      <c r="AR548" s="103"/>
      <c r="AS548" s="103"/>
      <c r="AT548" s="103"/>
      <c r="AU548" s="103"/>
      <c r="AV548" s="106"/>
      <c r="AW548" s="106"/>
      <c r="AX548" s="106"/>
      <c r="AY548" s="106"/>
      <c r="AZ548" s="106"/>
      <c r="BA548" s="106"/>
      <c r="BB548" s="19"/>
      <c r="BC548" s="19"/>
      <c r="BD548" s="19"/>
      <c r="BE548" s="19"/>
      <c r="BF548" s="55"/>
    </row>
    <row r="549" customFormat="false" ht="14.1" hidden="true" customHeight="true" outlineLevel="1" collapsed="false">
      <c r="A549" s="292" t="s">
        <v>349</v>
      </c>
      <c r="B549" s="180" t="s">
        <v>12</v>
      </c>
      <c r="C549" s="292" t="s">
        <v>350</v>
      </c>
      <c r="D549" s="272"/>
      <c r="E549" s="272"/>
      <c r="F549" s="138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165"/>
      <c r="W549" s="165"/>
      <c r="X549" s="165"/>
      <c r="Y549" s="165"/>
      <c r="Z549" s="165"/>
      <c r="AA549" s="165"/>
      <c r="AB549" s="165"/>
      <c r="AC549" s="165"/>
      <c r="AD549" s="150"/>
      <c r="AE549" s="150"/>
      <c r="AF549" s="150"/>
      <c r="AG549" s="150"/>
      <c r="AH549" s="40"/>
      <c r="AI549" s="40"/>
      <c r="AJ549" s="40"/>
      <c r="AK549" s="40"/>
      <c r="AL549" s="40"/>
      <c r="AM549" s="40"/>
      <c r="AN549" s="40"/>
      <c r="AO549" s="195"/>
      <c r="AP549" s="195"/>
      <c r="AQ549" s="106"/>
      <c r="AR549" s="106"/>
      <c r="AS549" s="106"/>
      <c r="AT549" s="106"/>
      <c r="AU549" s="106"/>
      <c r="AV549" s="106"/>
      <c r="AW549" s="126"/>
      <c r="AX549" s="126"/>
      <c r="AY549" s="126"/>
      <c r="AZ549" s="126"/>
      <c r="BA549" s="126"/>
      <c r="BB549" s="21"/>
      <c r="BC549" s="21"/>
      <c r="BD549" s="21"/>
      <c r="BE549" s="21"/>
    </row>
    <row r="550" customFormat="false" ht="14.1" hidden="true" customHeight="true" outlineLevel="1" collapsed="false">
      <c r="A550" s="292" t="s">
        <v>351</v>
      </c>
      <c r="B550" s="180" t="s">
        <v>48</v>
      </c>
      <c r="C550" s="262" t="n">
        <v>1</v>
      </c>
      <c r="D550" s="276"/>
      <c r="E550" s="272"/>
      <c r="F550" s="272"/>
      <c r="G550" s="165"/>
      <c r="H550" s="165"/>
      <c r="I550" s="212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165"/>
      <c r="W550" s="165"/>
      <c r="X550" s="165"/>
      <c r="Y550" s="165"/>
      <c r="Z550" s="165"/>
      <c r="AA550" s="165"/>
      <c r="AB550" s="165"/>
      <c r="AC550" s="165"/>
      <c r="AD550" s="150"/>
      <c r="AE550" s="150"/>
      <c r="AF550" s="150"/>
      <c r="AG550" s="150"/>
      <c r="AH550" s="40"/>
      <c r="AI550" s="40"/>
      <c r="AJ550" s="40"/>
      <c r="AK550" s="40"/>
      <c r="AL550" s="40"/>
      <c r="AM550" s="52"/>
      <c r="AN550" s="40"/>
      <c r="AO550" s="195"/>
      <c r="AP550" s="195"/>
      <c r="AQ550" s="106"/>
      <c r="AR550" s="106"/>
      <c r="AS550" s="106"/>
      <c r="AT550" s="106"/>
      <c r="AU550" s="106"/>
      <c r="AV550" s="106"/>
      <c r="AW550" s="126"/>
      <c r="AX550" s="126"/>
      <c r="AY550" s="126"/>
      <c r="AZ550" s="126"/>
      <c r="BA550" s="126"/>
      <c r="BB550" s="21"/>
      <c r="BC550" s="21"/>
      <c r="BD550" s="21"/>
      <c r="BE550" s="21"/>
    </row>
    <row r="551" customFormat="false" ht="14.1" hidden="true" customHeight="true" outlineLevel="1" collapsed="false">
      <c r="A551" s="239" t="s">
        <v>352</v>
      </c>
      <c r="B551" s="180" t="s">
        <v>15</v>
      </c>
      <c r="C551" s="262" t="n">
        <v>3</v>
      </c>
      <c r="D551" s="272"/>
      <c r="E551" s="272"/>
      <c r="F551" s="272"/>
      <c r="G551" s="165"/>
      <c r="H551" s="165"/>
      <c r="I551" s="212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165"/>
      <c r="W551" s="165"/>
      <c r="X551" s="165"/>
      <c r="Y551" s="165"/>
      <c r="Z551" s="165"/>
      <c r="AA551" s="165"/>
      <c r="AB551" s="165"/>
      <c r="AC551" s="165"/>
      <c r="AD551" s="26"/>
      <c r="AE551" s="26"/>
      <c r="AF551" s="26"/>
      <c r="AG551" s="26"/>
      <c r="AH551" s="35"/>
      <c r="AI551" s="35"/>
      <c r="AJ551" s="35"/>
      <c r="AK551" s="35"/>
      <c r="AL551" s="35"/>
      <c r="AM551" s="52"/>
      <c r="AN551" s="52"/>
      <c r="AO551" s="195"/>
      <c r="AP551" s="195"/>
      <c r="AQ551" s="106"/>
      <c r="AR551" s="106"/>
      <c r="AS551" s="106"/>
      <c r="AT551" s="106"/>
      <c r="AU551" s="106"/>
      <c r="AV551" s="106"/>
      <c r="AW551" s="126"/>
      <c r="AX551" s="126"/>
      <c r="AY551" s="126"/>
      <c r="AZ551" s="126"/>
      <c r="BA551" s="126"/>
      <c r="BB551" s="21"/>
      <c r="BC551" s="21"/>
      <c r="BD551" s="21"/>
      <c r="BE551" s="21"/>
    </row>
    <row r="552" customFormat="false" ht="14.1" hidden="true" customHeight="true" outlineLevel="1" collapsed="false">
      <c r="A552" s="239" t="s">
        <v>353</v>
      </c>
      <c r="B552" s="180" t="s">
        <v>15</v>
      </c>
      <c r="C552" s="262" t="n">
        <v>1</v>
      </c>
      <c r="D552" s="272"/>
      <c r="E552" s="272"/>
      <c r="F552" s="333" t="s">
        <v>195</v>
      </c>
      <c r="G552" s="165"/>
      <c r="H552" s="165"/>
      <c r="I552" s="212"/>
      <c r="J552" s="259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 t="s">
        <v>354</v>
      </c>
      <c r="V552" s="165"/>
      <c r="W552" s="165"/>
      <c r="X552" s="165"/>
      <c r="Y552" s="165"/>
      <c r="Z552" s="165"/>
      <c r="AA552" s="165"/>
      <c r="AB552" s="165"/>
      <c r="AC552" s="165"/>
      <c r="AD552" s="26"/>
      <c r="AE552" s="26"/>
      <c r="AF552" s="26"/>
      <c r="AG552" s="26"/>
      <c r="AH552" s="35"/>
      <c r="AI552" s="35"/>
      <c r="AJ552" s="35"/>
      <c r="AK552" s="35"/>
      <c r="AL552" s="35"/>
      <c r="AM552" s="52"/>
      <c r="AN552" s="52"/>
      <c r="AO552" s="195"/>
      <c r="AP552" s="195"/>
      <c r="AQ552" s="106"/>
      <c r="AR552" s="106"/>
      <c r="AS552" s="106"/>
      <c r="AT552" s="106"/>
      <c r="AU552" s="106"/>
      <c r="AV552" s="106"/>
      <c r="AW552" s="126"/>
      <c r="AX552" s="126"/>
      <c r="AY552" s="126"/>
      <c r="AZ552" s="126"/>
      <c r="BA552" s="126"/>
      <c r="BB552" s="21"/>
      <c r="BC552" s="21" t="n">
        <v>1</v>
      </c>
      <c r="BD552" s="72" t="e">
        <f aca="false">#REF!</f>
        <v>#REF!</v>
      </c>
      <c r="BE552" s="21"/>
    </row>
    <row r="553" customFormat="false" ht="14.1" hidden="true" customHeight="true" outlineLevel="1" collapsed="false">
      <c r="A553" s="237" t="s">
        <v>355</v>
      </c>
      <c r="B553" s="180" t="s">
        <v>15</v>
      </c>
      <c r="C553" s="262" t="n">
        <v>0.9</v>
      </c>
      <c r="D553" s="272"/>
      <c r="E553" s="272"/>
      <c r="F553" s="333"/>
      <c r="G553" s="165"/>
      <c r="H553" s="165"/>
      <c r="I553" s="212"/>
      <c r="J553" s="259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 t="s">
        <v>356</v>
      </c>
      <c r="V553" s="165"/>
      <c r="W553" s="165"/>
      <c r="X553" s="165"/>
      <c r="Y553" s="165"/>
      <c r="Z553" s="165"/>
      <c r="AA553" s="165"/>
      <c r="AB553" s="165"/>
      <c r="AC553" s="165"/>
      <c r="AD553" s="26"/>
      <c r="AE553" s="26"/>
      <c r="AF553" s="26"/>
      <c r="AG553" s="26"/>
      <c r="AH553" s="35"/>
      <c r="AI553" s="35"/>
      <c r="AJ553" s="35"/>
      <c r="AK553" s="35"/>
      <c r="AL553" s="35"/>
      <c r="AM553" s="52"/>
      <c r="AN553" s="52"/>
      <c r="AO553" s="195"/>
      <c r="AP553" s="195"/>
      <c r="AQ553" s="106"/>
      <c r="AR553" s="106"/>
      <c r="AS553" s="106"/>
      <c r="AT553" s="106"/>
      <c r="AU553" s="106"/>
      <c r="AV553" s="106"/>
      <c r="AW553" s="126"/>
      <c r="AX553" s="126"/>
      <c r="AY553" s="126"/>
      <c r="AZ553" s="126"/>
      <c r="BA553" s="126"/>
      <c r="BB553" s="21"/>
      <c r="BC553" s="21" t="n">
        <v>2</v>
      </c>
      <c r="BD553" s="72" t="e">
        <f aca="false">#REF!</f>
        <v>#REF!</v>
      </c>
      <c r="BE553" s="21"/>
    </row>
    <row r="554" customFormat="false" ht="14.1" hidden="true" customHeight="true" outlineLevel="1" collapsed="false">
      <c r="A554" s="280"/>
      <c r="B554" s="334"/>
      <c r="C554" s="280"/>
      <c r="D554" s="280"/>
      <c r="E554" s="280"/>
      <c r="F554" s="333"/>
      <c r="G554" s="165"/>
      <c r="H554" s="165"/>
      <c r="I554" s="212"/>
      <c r="J554" s="259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165"/>
      <c r="W554" s="165"/>
      <c r="X554" s="165"/>
      <c r="Y554" s="165"/>
      <c r="Z554" s="165"/>
      <c r="AA554" s="165"/>
      <c r="AB554" s="165"/>
      <c r="AC554" s="165"/>
      <c r="AD554" s="26"/>
      <c r="AE554" s="26"/>
      <c r="AF554" s="26"/>
      <c r="AG554" s="26"/>
      <c r="AH554" s="35"/>
      <c r="AI554" s="35"/>
      <c r="AJ554" s="35"/>
      <c r="AK554" s="35"/>
      <c r="AL554" s="35"/>
      <c r="AM554" s="52"/>
      <c r="AN554" s="52"/>
      <c r="AO554" s="195"/>
      <c r="AP554" s="195"/>
      <c r="AQ554" s="106"/>
      <c r="AR554" s="106"/>
      <c r="AS554" s="106"/>
      <c r="AT554" s="106"/>
      <c r="AU554" s="106"/>
      <c r="AV554" s="106"/>
      <c r="AW554" s="126"/>
      <c r="AX554" s="126"/>
      <c r="AY554" s="126"/>
      <c r="AZ554" s="126"/>
      <c r="BA554" s="126"/>
      <c r="BB554" s="21"/>
      <c r="BC554" s="21" t="n">
        <v>3</v>
      </c>
      <c r="BD554" s="72" t="e">
        <f aca="false">#REF!</f>
        <v>#REF!</v>
      </c>
      <c r="BE554" s="21"/>
    </row>
    <row r="555" customFormat="false" ht="14.1" hidden="true" customHeight="true" outlineLevel="1" collapsed="false">
      <c r="A555" s="272" t="s">
        <v>357</v>
      </c>
      <c r="B555" s="276"/>
      <c r="C555" s="272"/>
      <c r="D555" s="272"/>
      <c r="E555" s="272"/>
      <c r="F555" s="272"/>
      <c r="G555" s="165"/>
      <c r="H555" s="165"/>
      <c r="I555" s="212"/>
      <c r="J555" s="259"/>
      <c r="K555" s="165"/>
      <c r="L555" s="265"/>
      <c r="M555" s="165"/>
      <c r="N555" s="165"/>
      <c r="O555" s="165"/>
      <c r="P555" s="165"/>
      <c r="Q555" s="165"/>
      <c r="R555" s="165"/>
      <c r="S555" s="165"/>
      <c r="T555" s="165"/>
      <c r="U555" s="165" t="s">
        <v>358</v>
      </c>
      <c r="V555" s="165"/>
      <c r="W555" s="165"/>
      <c r="X555" s="165"/>
      <c r="Y555" s="165"/>
      <c r="Z555" s="165"/>
      <c r="AA555" s="165"/>
      <c r="AB555" s="165"/>
      <c r="AC555" s="165"/>
      <c r="AD555" s="26"/>
      <c r="AE555" s="26"/>
      <c r="AF555" s="26"/>
      <c r="AG555" s="26"/>
      <c r="AH555" s="35"/>
      <c r="AI555" s="35"/>
      <c r="AJ555" s="35"/>
      <c r="AK555" s="35"/>
      <c r="AL555" s="35"/>
      <c r="AM555" s="52"/>
      <c r="AN555" s="52"/>
      <c r="AO555" s="195"/>
      <c r="AP555" s="195"/>
      <c r="AQ555" s="106"/>
      <c r="AR555" s="106"/>
      <c r="AS555" s="106"/>
      <c r="AT555" s="106"/>
      <c r="AU555" s="106"/>
      <c r="AV555" s="106"/>
      <c r="AW555" s="126"/>
      <c r="AX555" s="126"/>
      <c r="AY555" s="126"/>
      <c r="AZ555" s="126"/>
      <c r="BA555" s="126"/>
      <c r="BB555" s="21"/>
      <c r="BC555" s="21"/>
      <c r="BD555" s="21"/>
      <c r="BE555" s="21"/>
    </row>
    <row r="556" customFormat="false" ht="14.1" hidden="true" customHeight="true" outlineLevel="1" collapsed="false">
      <c r="A556" s="231" t="s">
        <v>359</v>
      </c>
      <c r="B556" s="276"/>
      <c r="C556" s="272"/>
      <c r="D556" s="272"/>
      <c r="E556" s="272"/>
      <c r="F556" s="272"/>
      <c r="G556" s="165"/>
      <c r="H556" s="165"/>
      <c r="I556" s="212"/>
      <c r="J556" s="259"/>
      <c r="K556" s="165"/>
      <c r="L556" s="265"/>
      <c r="M556" s="165"/>
      <c r="N556" s="165"/>
      <c r="O556" s="165"/>
      <c r="P556" s="165"/>
      <c r="Q556" s="165"/>
      <c r="R556" s="165"/>
      <c r="S556" s="165"/>
      <c r="T556" s="165"/>
      <c r="U556" s="165"/>
      <c r="V556" s="165"/>
      <c r="W556" s="165"/>
      <c r="X556" s="165"/>
      <c r="Y556" s="165"/>
      <c r="Z556" s="165"/>
      <c r="AA556" s="165"/>
      <c r="AB556" s="165"/>
      <c r="AC556" s="165"/>
      <c r="AD556" s="26"/>
      <c r="AE556" s="26"/>
      <c r="AF556" s="26"/>
      <c r="AG556" s="26"/>
      <c r="AH556" s="35"/>
      <c r="AI556" s="35"/>
      <c r="AJ556" s="35"/>
      <c r="AK556" s="35"/>
      <c r="AL556" s="35"/>
      <c r="AM556" s="52"/>
      <c r="AN556" s="52"/>
      <c r="AO556" s="195"/>
      <c r="AP556" s="195"/>
      <c r="AQ556" s="106"/>
      <c r="AR556" s="106"/>
      <c r="AS556" s="106"/>
      <c r="AT556" s="106"/>
      <c r="AU556" s="106"/>
      <c r="AV556" s="106"/>
      <c r="AW556" s="126"/>
      <c r="AX556" s="126"/>
      <c r="AY556" s="126"/>
      <c r="AZ556" s="126"/>
      <c r="BA556" s="126"/>
      <c r="BB556" s="21"/>
      <c r="BC556" s="21"/>
      <c r="BD556" s="21"/>
      <c r="BE556" s="21"/>
    </row>
    <row r="557" customFormat="false" ht="14.1" hidden="true" customHeight="true" outlineLevel="1" collapsed="false">
      <c r="A557" s="138" t="s">
        <v>360</v>
      </c>
      <c r="B557" s="276"/>
      <c r="C557" s="272"/>
      <c r="D557" s="272"/>
      <c r="E557" s="272"/>
      <c r="F557" s="272"/>
      <c r="G557" s="165"/>
      <c r="H557" s="165"/>
      <c r="I557" s="212"/>
      <c r="J557" s="259"/>
      <c r="K557" s="165"/>
      <c r="L557" s="265"/>
      <c r="M557" s="165"/>
      <c r="N557" s="165"/>
      <c r="O557" s="165"/>
      <c r="P557" s="165"/>
      <c r="Q557" s="165"/>
      <c r="R557" s="165"/>
      <c r="S557" s="165"/>
      <c r="T557" s="165"/>
      <c r="U557" s="165"/>
      <c r="V557" s="165"/>
      <c r="W557" s="165"/>
      <c r="X557" s="165"/>
      <c r="Y557" s="165"/>
      <c r="Z557" s="165"/>
      <c r="AA557" s="165"/>
      <c r="AB557" s="165"/>
      <c r="AC557" s="165"/>
      <c r="AD557" s="26"/>
      <c r="AE557" s="26"/>
      <c r="AF557" s="26"/>
      <c r="AG557" s="26"/>
      <c r="AH557" s="35"/>
      <c r="AI557" s="35"/>
      <c r="AJ557" s="35"/>
      <c r="AK557" s="35"/>
      <c r="AL557" s="35"/>
      <c r="AM557" s="52"/>
      <c r="AN557" s="52"/>
      <c r="AO557" s="195"/>
      <c r="AP557" s="195"/>
      <c r="AQ557" s="106"/>
      <c r="AR557" s="106"/>
      <c r="AS557" s="106"/>
      <c r="AT557" s="106"/>
      <c r="AU557" s="106"/>
      <c r="AV557" s="106"/>
      <c r="AW557" s="126"/>
      <c r="AX557" s="126"/>
      <c r="AY557" s="126"/>
      <c r="AZ557" s="126"/>
      <c r="BA557" s="126"/>
      <c r="BB557" s="21"/>
      <c r="BC557" s="21"/>
      <c r="BD557" s="21"/>
      <c r="BE557" s="21"/>
    </row>
    <row r="558" customFormat="false" ht="14.1" hidden="true" customHeight="true" outlineLevel="1" collapsed="false">
      <c r="A558" s="231" t="s">
        <v>361</v>
      </c>
      <c r="B558" s="276"/>
      <c r="C558" s="272"/>
      <c r="D558" s="272"/>
      <c r="E558" s="272"/>
      <c r="F558" s="272"/>
      <c r="G558" s="165"/>
      <c r="H558" s="165"/>
      <c r="I558" s="212"/>
      <c r="J558" s="259"/>
      <c r="K558" s="165"/>
      <c r="L558" s="265"/>
      <c r="M558" s="165"/>
      <c r="N558" s="165"/>
      <c r="O558" s="165"/>
      <c r="P558" s="165"/>
      <c r="Q558" s="165"/>
      <c r="R558" s="165"/>
      <c r="S558" s="165"/>
      <c r="T558" s="165"/>
      <c r="U558" s="165"/>
      <c r="V558" s="165"/>
      <c r="W558" s="165"/>
      <c r="X558" s="165"/>
      <c r="Y558" s="165"/>
      <c r="Z558" s="165"/>
      <c r="AA558" s="165"/>
      <c r="AB558" s="165"/>
      <c r="AC558" s="165"/>
      <c r="AD558" s="26"/>
      <c r="AE558" s="26"/>
      <c r="AF558" s="26"/>
      <c r="AG558" s="26"/>
      <c r="AH558" s="35"/>
      <c r="AI558" s="35"/>
      <c r="AJ558" s="35"/>
      <c r="AK558" s="35"/>
      <c r="AL558" s="35"/>
      <c r="AM558" s="52"/>
      <c r="AN558" s="52"/>
      <c r="AO558" s="195"/>
      <c r="AP558" s="195"/>
      <c r="AQ558" s="106"/>
      <c r="AR558" s="106"/>
      <c r="AS558" s="106"/>
      <c r="AT558" s="106"/>
      <c r="AU558" s="106"/>
      <c r="AV558" s="106"/>
      <c r="AW558" s="126"/>
      <c r="AX558" s="126"/>
      <c r="AY558" s="126"/>
      <c r="AZ558" s="126"/>
      <c r="BA558" s="126"/>
      <c r="BB558" s="21"/>
      <c r="BC558" s="21"/>
      <c r="BD558" s="21"/>
      <c r="BE558" s="21"/>
    </row>
    <row r="559" customFormat="false" ht="14.1" hidden="true" customHeight="true" outlineLevel="1" collapsed="false">
      <c r="A559" s="138" t="s">
        <v>362</v>
      </c>
      <c r="B559" s="276"/>
      <c r="C559" s="272"/>
      <c r="D559" s="272"/>
      <c r="E559" s="272"/>
      <c r="F559" s="272"/>
      <c r="G559" s="165"/>
      <c r="H559" s="165"/>
      <c r="I559" s="165"/>
      <c r="J559" s="165"/>
      <c r="K559" s="165"/>
      <c r="L559" s="265"/>
      <c r="M559" s="165"/>
      <c r="N559" s="165"/>
      <c r="O559" s="165"/>
      <c r="P559" s="165"/>
      <c r="Q559" s="165"/>
      <c r="R559" s="165"/>
      <c r="S559" s="165"/>
      <c r="T559" s="165"/>
      <c r="U559" s="165"/>
      <c r="V559" s="165"/>
      <c r="W559" s="165"/>
      <c r="X559" s="165"/>
      <c r="Y559" s="165"/>
      <c r="Z559" s="165"/>
      <c r="AA559" s="165"/>
      <c r="AB559" s="165"/>
      <c r="AC559" s="165"/>
      <c r="AD559" s="26"/>
      <c r="AE559" s="26"/>
      <c r="AF559" s="26"/>
      <c r="AG559" s="26"/>
      <c r="AH559" s="35"/>
      <c r="AI559" s="35"/>
      <c r="AJ559" s="35"/>
      <c r="AK559" s="35"/>
      <c r="AL559" s="35"/>
      <c r="AM559" s="52"/>
      <c r="AN559" s="52"/>
      <c r="AO559" s="195"/>
      <c r="AP559" s="195"/>
      <c r="AQ559" s="106"/>
      <c r="AR559" s="106"/>
      <c r="AS559" s="106"/>
      <c r="AT559" s="106"/>
      <c r="AU559" s="106"/>
      <c r="AV559" s="106"/>
      <c r="AW559" s="126"/>
      <c r="AX559" s="126"/>
      <c r="AY559" s="126"/>
      <c r="AZ559" s="126"/>
      <c r="BA559" s="126"/>
      <c r="BB559" s="21"/>
      <c r="BC559" s="21"/>
      <c r="BD559" s="21"/>
      <c r="BE559" s="21"/>
    </row>
    <row r="560" customFormat="false" ht="14.1" hidden="true" customHeight="true" outlineLevel="1" collapsed="false">
      <c r="A560" s="231" t="s">
        <v>363</v>
      </c>
      <c r="B560" s="235"/>
      <c r="C560" s="138"/>
      <c r="D560" s="272"/>
      <c r="E560" s="272"/>
      <c r="F560" s="272"/>
      <c r="G560" s="165"/>
      <c r="H560" s="165"/>
      <c r="I560" s="165"/>
      <c r="J560" s="165"/>
      <c r="K560" s="165"/>
      <c r="L560" s="265"/>
      <c r="M560" s="165"/>
      <c r="N560" s="165"/>
      <c r="O560" s="165"/>
      <c r="P560" s="165"/>
      <c r="Q560" s="165"/>
      <c r="R560" s="165"/>
      <c r="S560" s="165"/>
      <c r="T560" s="165"/>
      <c r="U560" s="165"/>
      <c r="V560" s="165"/>
      <c r="W560" s="165"/>
      <c r="X560" s="165"/>
      <c r="Y560" s="165"/>
      <c r="Z560" s="165"/>
      <c r="AA560" s="165"/>
      <c r="AB560" s="165"/>
      <c r="AC560" s="165"/>
      <c r="AD560" s="26"/>
      <c r="AE560" s="26"/>
      <c r="AF560" s="26"/>
      <c r="AG560" s="26"/>
      <c r="AH560" s="35"/>
      <c r="AI560" s="35"/>
      <c r="AJ560" s="35"/>
      <c r="AK560" s="35"/>
      <c r="AL560" s="35"/>
      <c r="AM560" s="52"/>
      <c r="AN560" s="52"/>
      <c r="AO560" s="195"/>
      <c r="AP560" s="195"/>
      <c r="AQ560" s="106"/>
      <c r="AR560" s="106"/>
      <c r="AS560" s="106"/>
      <c r="AT560" s="106"/>
      <c r="AU560" s="106"/>
      <c r="AV560" s="106"/>
      <c r="AW560" s="126"/>
      <c r="AX560" s="126"/>
      <c r="AY560" s="126"/>
      <c r="AZ560" s="126"/>
      <c r="BA560" s="126"/>
      <c r="BB560" s="21"/>
      <c r="BC560" s="21"/>
      <c r="BD560" s="21"/>
      <c r="BE560" s="21"/>
    </row>
    <row r="561" customFormat="false" ht="14.1" hidden="true" customHeight="true" outlineLevel="1" collapsed="false">
      <c r="A561" s="138"/>
      <c r="B561" s="235"/>
      <c r="C561" s="138"/>
      <c r="D561" s="138"/>
      <c r="E561" s="138"/>
      <c r="F561" s="272"/>
      <c r="G561" s="165"/>
      <c r="H561" s="165"/>
      <c r="I561" s="165"/>
      <c r="J561" s="165"/>
      <c r="K561" s="165"/>
      <c r="L561" s="265"/>
      <c r="M561" s="165"/>
      <c r="N561" s="165"/>
      <c r="O561" s="165"/>
      <c r="P561" s="165"/>
      <c r="Q561" s="165"/>
      <c r="R561" s="165"/>
      <c r="S561" s="165"/>
      <c r="T561" s="165"/>
      <c r="U561" s="165"/>
      <c r="V561" s="150"/>
      <c r="W561" s="150"/>
      <c r="X561" s="150"/>
      <c r="Y561" s="150"/>
      <c r="Z561" s="150"/>
      <c r="AA561" s="150"/>
      <c r="AB561" s="150"/>
      <c r="AC561" s="165"/>
      <c r="AD561" s="26"/>
      <c r="AE561" s="26"/>
      <c r="AF561" s="26"/>
      <c r="AG561" s="26"/>
      <c r="AH561" s="35"/>
      <c r="AI561" s="35"/>
      <c r="AJ561" s="35"/>
      <c r="AK561" s="35"/>
      <c r="AL561" s="35"/>
      <c r="AM561" s="52"/>
      <c r="AN561" s="52"/>
      <c r="AO561" s="195"/>
      <c r="AP561" s="195"/>
      <c r="AQ561" s="106"/>
      <c r="AR561" s="106"/>
      <c r="AS561" s="106"/>
      <c r="AT561" s="106"/>
      <c r="AU561" s="106"/>
      <c r="AV561" s="106"/>
      <c r="AW561" s="126"/>
      <c r="AX561" s="126"/>
      <c r="AY561" s="126"/>
      <c r="AZ561" s="126"/>
      <c r="BA561" s="126"/>
      <c r="BB561" s="21"/>
      <c r="BC561" s="21"/>
      <c r="BD561" s="21"/>
      <c r="BE561" s="21"/>
    </row>
    <row r="562" customFormat="false" ht="14.1" hidden="true" customHeight="true" outlineLevel="1" collapsed="false">
      <c r="A562" s="138"/>
      <c r="B562" s="235"/>
      <c r="C562" s="138"/>
      <c r="D562" s="138"/>
      <c r="E562" s="138"/>
      <c r="F562" s="272"/>
      <c r="G562" s="165"/>
      <c r="H562" s="165"/>
      <c r="I562" s="212"/>
      <c r="J562" s="259"/>
      <c r="K562" s="186" t="s">
        <v>364</v>
      </c>
      <c r="L562" s="186"/>
      <c r="M562" s="186"/>
      <c r="N562" s="186"/>
      <c r="O562" s="186"/>
      <c r="P562" s="165"/>
      <c r="Q562" s="165"/>
      <c r="R562" s="165"/>
      <c r="S562" s="165"/>
      <c r="T562" s="165"/>
      <c r="U562" s="165"/>
      <c r="V562" s="150"/>
      <c r="W562" s="150"/>
      <c r="X562" s="150"/>
      <c r="Y562" s="150"/>
      <c r="Z562" s="150"/>
      <c r="AA562" s="150"/>
      <c r="AB562" s="150"/>
      <c r="AC562" s="165"/>
      <c r="AD562" s="26"/>
      <c r="AE562" s="26"/>
      <c r="AF562" s="26"/>
      <c r="AG562" s="26"/>
      <c r="AH562" s="35"/>
      <c r="AI562" s="35"/>
      <c r="AJ562" s="35"/>
      <c r="AK562" s="35"/>
      <c r="AL562" s="35"/>
      <c r="AM562" s="52"/>
      <c r="AN562" s="52"/>
      <c r="AO562" s="195"/>
      <c r="AP562" s="195"/>
      <c r="AQ562" s="106"/>
      <c r="AR562" s="106"/>
      <c r="AS562" s="106"/>
      <c r="AT562" s="106"/>
      <c r="AU562" s="106"/>
      <c r="AV562" s="106"/>
      <c r="AW562" s="126"/>
      <c r="AX562" s="126"/>
      <c r="AY562" s="126"/>
      <c r="AZ562" s="126"/>
      <c r="BA562" s="126"/>
      <c r="BB562" s="21"/>
      <c r="BC562" s="21"/>
      <c r="BD562" s="21"/>
      <c r="BE562" s="21"/>
    </row>
    <row r="563" customFormat="false" ht="14.1" hidden="true" customHeight="true" outlineLevel="1" collapsed="false">
      <c r="A563" s="138"/>
      <c r="B563" s="235"/>
      <c r="C563" s="138"/>
      <c r="D563" s="138"/>
      <c r="E563" s="138"/>
      <c r="F563" s="138"/>
      <c r="G563" s="203" t="s">
        <v>365</v>
      </c>
      <c r="H563" s="203"/>
      <c r="I563" s="212"/>
      <c r="J563" s="259"/>
      <c r="K563" s="186"/>
      <c r="L563" s="186"/>
      <c r="M563" s="186"/>
      <c r="N563" s="186"/>
      <c r="O563" s="186"/>
      <c r="P563" s="150"/>
      <c r="Q563" s="150"/>
      <c r="R563" s="150"/>
      <c r="S563" s="150"/>
      <c r="T563" s="150"/>
      <c r="U563" s="150"/>
      <c r="V563" s="150"/>
      <c r="W563" s="150"/>
      <c r="X563" s="150"/>
      <c r="Y563" s="150"/>
      <c r="Z563" s="150"/>
      <c r="AA563" s="150"/>
      <c r="AB563" s="150"/>
      <c r="AC563" s="165"/>
      <c r="AD563" s="26"/>
      <c r="AE563" s="26"/>
      <c r="AF563" s="26"/>
      <c r="AG563" s="26"/>
      <c r="AH563" s="35"/>
      <c r="AI563" s="35"/>
      <c r="AJ563" s="35"/>
      <c r="AK563" s="35"/>
      <c r="AL563" s="35"/>
      <c r="AM563" s="52"/>
      <c r="AN563" s="52"/>
      <c r="AO563" s="195"/>
      <c r="AP563" s="195"/>
      <c r="AQ563" s="106"/>
      <c r="AR563" s="106"/>
      <c r="AS563" s="106"/>
      <c r="AT563" s="106"/>
      <c r="AU563" s="106"/>
      <c r="AV563" s="106"/>
      <c r="AW563" s="126"/>
      <c r="AX563" s="126"/>
      <c r="AY563" s="126"/>
      <c r="AZ563" s="126"/>
      <c r="BA563" s="126"/>
      <c r="BB563" s="21"/>
      <c r="BC563" s="21"/>
      <c r="BD563" s="21"/>
      <c r="BE563" s="21"/>
    </row>
    <row r="564" customFormat="false" ht="14.1" hidden="true" customHeight="true" outlineLevel="1" collapsed="false">
      <c r="A564" s="138"/>
      <c r="B564" s="235"/>
      <c r="C564" s="138"/>
      <c r="D564" s="138"/>
      <c r="E564" s="138"/>
      <c r="F564" s="138"/>
      <c r="G564" s="165"/>
      <c r="H564" s="150"/>
      <c r="I564" s="212"/>
      <c r="J564" s="259"/>
      <c r="K564" s="186"/>
      <c r="L564" s="186"/>
      <c r="M564" s="186"/>
      <c r="N564" s="186"/>
      <c r="O564" s="186"/>
      <c r="P564" s="150"/>
      <c r="Q564" s="150"/>
      <c r="R564" s="150"/>
      <c r="S564" s="150"/>
      <c r="T564" s="150"/>
      <c r="U564" s="150"/>
      <c r="V564" s="150"/>
      <c r="W564" s="150"/>
      <c r="X564" s="150"/>
      <c r="Y564" s="150"/>
      <c r="Z564" s="150"/>
      <c r="AA564" s="150"/>
      <c r="AB564" s="150"/>
      <c r="AC564" s="165"/>
      <c r="AD564" s="26"/>
      <c r="AE564" s="26"/>
      <c r="AF564" s="26"/>
      <c r="AG564" s="26"/>
      <c r="AH564" s="35"/>
      <c r="AI564" s="35"/>
      <c r="AJ564" s="35"/>
      <c r="AK564" s="35"/>
      <c r="AL564" s="35"/>
      <c r="AM564" s="52"/>
      <c r="AN564" s="52"/>
      <c r="AO564" s="195"/>
      <c r="AP564" s="195"/>
      <c r="AQ564" s="106"/>
      <c r="AR564" s="106"/>
      <c r="AS564" s="106"/>
      <c r="AT564" s="106"/>
      <c r="AU564" s="106"/>
      <c r="AV564" s="106"/>
      <c r="AW564" s="126"/>
      <c r="AX564" s="126"/>
      <c r="AY564" s="126"/>
      <c r="AZ564" s="126"/>
      <c r="BA564" s="126"/>
      <c r="BB564" s="21"/>
      <c r="BC564" s="21"/>
      <c r="BD564" s="21"/>
      <c r="BE564" s="21"/>
    </row>
    <row r="565" customFormat="false" ht="14.1" hidden="true" customHeight="true" outlineLevel="1" collapsed="false">
      <c r="A565" s="138"/>
      <c r="B565" s="235"/>
      <c r="C565" s="138"/>
      <c r="D565" s="138"/>
      <c r="E565" s="138"/>
      <c r="F565" s="138"/>
      <c r="G565" s="165"/>
      <c r="H565" s="150"/>
      <c r="I565" s="212"/>
      <c r="J565" s="259"/>
      <c r="K565" s="150" t="s">
        <v>366</v>
      </c>
      <c r="L565" s="150"/>
      <c r="M565" s="150"/>
      <c r="N565" s="150"/>
      <c r="O565" s="150"/>
      <c r="P565" s="150"/>
      <c r="Q565" s="150"/>
      <c r="R565" s="150"/>
      <c r="S565" s="150"/>
      <c r="T565" s="150"/>
      <c r="U565" s="150"/>
      <c r="V565" s="150"/>
      <c r="W565" s="150"/>
      <c r="X565" s="150"/>
      <c r="Y565" s="150"/>
      <c r="Z565" s="150"/>
      <c r="AA565" s="150"/>
      <c r="AB565" s="150"/>
      <c r="AC565" s="165"/>
      <c r="AD565" s="26"/>
      <c r="AE565" s="26"/>
      <c r="AF565" s="26"/>
      <c r="AG565" s="26"/>
      <c r="AH565" s="35"/>
      <c r="AI565" s="35"/>
      <c r="AJ565" s="35"/>
      <c r="AK565" s="35"/>
      <c r="AL565" s="35"/>
      <c r="AM565" s="52"/>
      <c r="AN565" s="52"/>
      <c r="AO565" s="195"/>
      <c r="AP565" s="195"/>
      <c r="AQ565" s="106"/>
      <c r="AR565" s="106"/>
      <c r="AS565" s="106"/>
      <c r="AT565" s="106"/>
      <c r="AU565" s="106"/>
      <c r="AV565" s="106"/>
      <c r="AW565" s="126"/>
      <c r="AX565" s="126"/>
      <c r="AY565" s="126"/>
      <c r="AZ565" s="126"/>
      <c r="BA565" s="126"/>
      <c r="BB565" s="21"/>
      <c r="BC565" s="21"/>
      <c r="BD565" s="21"/>
      <c r="BE565" s="21"/>
    </row>
    <row r="566" customFormat="false" ht="14.1" hidden="true" customHeight="true" outlineLevel="1" collapsed="false">
      <c r="A566" s="284" t="s">
        <v>367</v>
      </c>
      <c r="B566" s="284"/>
      <c r="C566" s="284"/>
      <c r="D566" s="332" t="s">
        <v>56</v>
      </c>
      <c r="E566" s="272"/>
      <c r="F566" s="138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  <c r="AA566" s="26"/>
      <c r="AB566" s="26"/>
      <c r="AC566" s="26"/>
      <c r="AD566" s="26"/>
      <c r="AE566" s="26"/>
      <c r="AF566" s="26"/>
      <c r="AG566" s="26"/>
      <c r="AH566" s="35"/>
      <c r="AI566" s="35"/>
      <c r="AJ566" s="35"/>
      <c r="AK566" s="35"/>
      <c r="AL566" s="35"/>
      <c r="AM566" s="52"/>
      <c r="AN566" s="52"/>
      <c r="AO566" s="195"/>
      <c r="AP566" s="195"/>
      <c r="AQ566" s="106"/>
      <c r="AR566" s="106"/>
      <c r="AS566" s="106"/>
      <c r="AT566" s="106"/>
      <c r="AU566" s="106"/>
      <c r="AV566" s="106"/>
      <c r="AW566" s="126"/>
      <c r="AX566" s="126"/>
      <c r="AY566" s="126"/>
      <c r="AZ566" s="126"/>
      <c r="BA566" s="126"/>
      <c r="BB566" s="21"/>
      <c r="BC566" s="21"/>
      <c r="BD566" s="21"/>
      <c r="BE566" s="21"/>
    </row>
    <row r="567" customFormat="false" ht="14.1" hidden="true" customHeight="true" outlineLevel="1" collapsed="false">
      <c r="A567" s="138"/>
      <c r="B567" s="235"/>
      <c r="C567" s="138"/>
      <c r="D567" s="278"/>
      <c r="E567" s="272"/>
      <c r="F567" s="138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  <c r="AA567" s="26"/>
      <c r="AB567" s="26"/>
      <c r="AC567" s="26"/>
      <c r="AD567" s="26"/>
      <c r="AE567" s="26"/>
      <c r="AF567" s="26"/>
      <c r="AG567" s="26"/>
      <c r="AH567" s="35"/>
      <c r="AI567" s="35"/>
      <c r="AJ567" s="35"/>
      <c r="AK567" s="35"/>
      <c r="AL567" s="35"/>
      <c r="AM567" s="52"/>
      <c r="AN567" s="52"/>
      <c r="AO567" s="195"/>
      <c r="AP567" s="195"/>
      <c r="AQ567" s="106"/>
      <c r="AR567" s="106"/>
      <c r="AS567" s="106"/>
      <c r="AT567" s="106"/>
      <c r="AU567" s="106"/>
      <c r="AV567" s="106"/>
      <c r="AW567" s="126"/>
      <c r="AX567" s="126"/>
      <c r="AY567" s="126"/>
      <c r="AZ567" s="126"/>
      <c r="BA567" s="126"/>
      <c r="BB567" s="21"/>
      <c r="BC567" s="21"/>
      <c r="BD567" s="21"/>
      <c r="BE567" s="21"/>
    </row>
    <row r="568" customFormat="false" ht="14.1" hidden="true" customHeight="true" outlineLevel="1" collapsed="false">
      <c r="A568" s="292" t="s">
        <v>349</v>
      </c>
      <c r="B568" s="180" t="s">
        <v>12</v>
      </c>
      <c r="C568" s="292" t="s">
        <v>350</v>
      </c>
      <c r="D568" s="278"/>
      <c r="E568" s="272"/>
      <c r="F568" s="138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  <c r="AA568" s="26"/>
      <c r="AB568" s="26"/>
      <c r="AC568" s="26"/>
      <c r="AD568" s="26"/>
      <c r="AE568" s="26"/>
      <c r="AF568" s="26"/>
      <c r="AG568" s="26"/>
      <c r="AH568" s="35"/>
      <c r="AI568" s="35"/>
      <c r="AJ568" s="35"/>
      <c r="AK568" s="35"/>
      <c r="AL568" s="35"/>
      <c r="AM568" s="52"/>
      <c r="AN568" s="52"/>
      <c r="AO568" s="195"/>
      <c r="AP568" s="195"/>
      <c r="AQ568" s="106"/>
      <c r="AR568" s="106"/>
      <c r="AS568" s="106"/>
      <c r="AT568" s="106"/>
      <c r="AU568" s="106"/>
      <c r="AV568" s="106"/>
      <c r="AW568" s="126"/>
      <c r="AX568" s="126"/>
      <c r="AY568" s="126"/>
      <c r="AZ568" s="126"/>
      <c r="BA568" s="126"/>
      <c r="BB568" s="21"/>
      <c r="BC568" s="21"/>
      <c r="BD568" s="21"/>
      <c r="BE568" s="21"/>
    </row>
    <row r="569" customFormat="false" ht="14.1" hidden="true" customHeight="true" outlineLevel="1" collapsed="false">
      <c r="A569" s="292" t="s">
        <v>351</v>
      </c>
      <c r="B569" s="180" t="s">
        <v>48</v>
      </c>
      <c r="C569" s="262" t="n">
        <v>1</v>
      </c>
      <c r="D569" s="278"/>
      <c r="E569" s="272"/>
      <c r="F569" s="138"/>
      <c r="G569" s="26"/>
      <c r="H569" s="26"/>
      <c r="I569" s="190" t="s">
        <v>348</v>
      </c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  <c r="AA569" s="26"/>
      <c r="AB569" s="26"/>
      <c r="AC569" s="26"/>
      <c r="AD569" s="26"/>
      <c r="AE569" s="26"/>
      <c r="AF569" s="26"/>
      <c r="AG569" s="26"/>
      <c r="AH569" s="35"/>
      <c r="AI569" s="35"/>
      <c r="AJ569" s="35"/>
      <c r="AK569" s="35"/>
      <c r="AL569" s="35"/>
      <c r="AM569" s="35"/>
      <c r="AN569" s="52"/>
      <c r="AO569" s="195"/>
      <c r="AP569" s="195"/>
      <c r="AQ569" s="106"/>
      <c r="AR569" s="106"/>
      <c r="AS569" s="106"/>
      <c r="AT569" s="106"/>
      <c r="AU569" s="106"/>
      <c r="AV569" s="106"/>
      <c r="AW569" s="126"/>
      <c r="AX569" s="126"/>
      <c r="AY569" s="126"/>
      <c r="AZ569" s="126"/>
      <c r="BA569" s="126"/>
      <c r="BB569" s="21"/>
      <c r="BC569" s="21"/>
      <c r="BD569" s="21"/>
      <c r="BE569" s="21"/>
    </row>
    <row r="570" customFormat="false" ht="14.1" hidden="true" customHeight="true" outlineLevel="1" collapsed="false">
      <c r="A570" s="239" t="s">
        <v>352</v>
      </c>
      <c r="B570" s="180" t="s">
        <v>15</v>
      </c>
      <c r="C570" s="262" t="n">
        <v>2</v>
      </c>
      <c r="D570" s="278"/>
      <c r="E570" s="272"/>
      <c r="F570" s="138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  <c r="AA570" s="26"/>
      <c r="AB570" s="26"/>
      <c r="AC570" s="26"/>
      <c r="AD570" s="26"/>
      <c r="AE570" s="26"/>
      <c r="AF570" s="26"/>
      <c r="AG570" s="26"/>
      <c r="AH570" s="35"/>
      <c r="AI570" s="35"/>
      <c r="AJ570" s="35"/>
      <c r="AK570" s="35"/>
      <c r="AL570" s="35"/>
      <c r="AM570" s="35"/>
      <c r="AN570" s="52"/>
      <c r="AO570" s="195"/>
      <c r="AP570" s="195"/>
      <c r="AQ570" s="106"/>
      <c r="AR570" s="106"/>
      <c r="AS570" s="106"/>
      <c r="AT570" s="106"/>
      <c r="AU570" s="106"/>
      <c r="AV570" s="106"/>
      <c r="AW570" s="126"/>
      <c r="AX570" s="126"/>
      <c r="AY570" s="126"/>
      <c r="AZ570" s="126"/>
      <c r="BA570" s="126"/>
      <c r="BB570" s="21"/>
      <c r="BC570" s="21"/>
      <c r="BD570" s="21"/>
      <c r="BE570" s="21"/>
    </row>
    <row r="571" s="56" customFormat="true" ht="14.1" hidden="true" customHeight="true" outlineLevel="1" collapsed="false">
      <c r="A571" s="239" t="s">
        <v>353</v>
      </c>
      <c r="B571" s="180" t="s">
        <v>15</v>
      </c>
      <c r="C571" s="262" t="n">
        <v>1.6</v>
      </c>
      <c r="D571" s="272"/>
      <c r="E571" s="272"/>
      <c r="F571" s="272"/>
      <c r="G571" s="165"/>
      <c r="H571" s="165"/>
      <c r="I571" s="212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165"/>
      <c r="W571" s="165"/>
      <c r="X571" s="165"/>
      <c r="Y571" s="165"/>
      <c r="Z571" s="165"/>
      <c r="AA571" s="165"/>
      <c r="AB571" s="165"/>
      <c r="AC571" s="165"/>
      <c r="AD571" s="165"/>
      <c r="AE571" s="165"/>
      <c r="AF571" s="165"/>
      <c r="AG571" s="165"/>
      <c r="AH571" s="52"/>
      <c r="AI571" s="52"/>
      <c r="AJ571" s="52"/>
      <c r="AK571" s="52"/>
      <c r="AL571" s="52"/>
      <c r="AM571" s="52"/>
      <c r="AN571" s="52"/>
      <c r="AO571" s="195"/>
      <c r="AP571" s="195"/>
      <c r="AQ571" s="106"/>
      <c r="AR571" s="106"/>
      <c r="AS571" s="335"/>
      <c r="AT571" s="335"/>
      <c r="AU571" s="106"/>
      <c r="AV571" s="106"/>
      <c r="AW571" s="106"/>
      <c r="AX571" s="106"/>
      <c r="AY571" s="106"/>
      <c r="AZ571" s="106"/>
      <c r="BA571" s="106"/>
      <c r="BB571" s="19"/>
      <c r="BC571" s="19"/>
      <c r="BD571" s="19"/>
      <c r="BE571" s="19"/>
      <c r="BF571" s="55"/>
    </row>
    <row r="572" s="56" customFormat="true" ht="14.1" hidden="true" customHeight="true" outlineLevel="1" collapsed="false">
      <c r="A572" s="237" t="s">
        <v>368</v>
      </c>
      <c r="B572" s="180" t="s">
        <v>15</v>
      </c>
      <c r="C572" s="262" t="n">
        <v>0.9</v>
      </c>
      <c r="D572" s="272"/>
      <c r="E572" s="272"/>
      <c r="F572" s="272"/>
      <c r="G572" s="165"/>
      <c r="H572" s="165"/>
      <c r="I572" s="212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165"/>
      <c r="W572" s="165"/>
      <c r="X572" s="165"/>
      <c r="Y572" s="165"/>
      <c r="Z572" s="165"/>
      <c r="AA572" s="165"/>
      <c r="AB572" s="165"/>
      <c r="AC572" s="165"/>
      <c r="AD572" s="165"/>
      <c r="AE572" s="165"/>
      <c r="AF572" s="165"/>
      <c r="AG572" s="165"/>
      <c r="AH572" s="52"/>
      <c r="AI572" s="52"/>
      <c r="AJ572" s="52"/>
      <c r="AK572" s="52"/>
      <c r="AL572" s="52"/>
      <c r="AM572" s="52"/>
      <c r="AN572" s="52"/>
      <c r="AO572" s="195"/>
      <c r="AP572" s="195"/>
      <c r="AQ572" s="106"/>
      <c r="AR572" s="106"/>
      <c r="AS572" s="335"/>
      <c r="AT572" s="335"/>
      <c r="AU572" s="106"/>
      <c r="AV572" s="106"/>
      <c r="AW572" s="106"/>
      <c r="AX572" s="106"/>
      <c r="AY572" s="106"/>
      <c r="AZ572" s="106"/>
      <c r="BA572" s="106"/>
      <c r="BB572" s="19"/>
      <c r="BC572" s="19"/>
      <c r="BD572" s="19"/>
      <c r="BE572" s="19"/>
      <c r="BF572" s="55"/>
    </row>
    <row r="573" s="56" customFormat="true" ht="14.1" hidden="true" customHeight="true" outlineLevel="1" collapsed="false">
      <c r="A573" s="275"/>
      <c r="B573" s="277"/>
      <c r="C573" s="275"/>
      <c r="D573" s="272"/>
      <c r="E573" s="272"/>
      <c r="F573" s="333" t="s">
        <v>216</v>
      </c>
      <c r="G573" s="165"/>
      <c r="H573" s="165"/>
      <c r="I573" s="212"/>
      <c r="J573" s="259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 t="s">
        <v>354</v>
      </c>
      <c r="V573" s="165"/>
      <c r="W573" s="165"/>
      <c r="X573" s="165"/>
      <c r="Y573" s="165"/>
      <c r="Z573" s="165"/>
      <c r="AA573" s="165"/>
      <c r="AB573" s="165"/>
      <c r="AC573" s="165"/>
      <c r="AD573" s="165"/>
      <c r="AE573" s="165"/>
      <c r="AF573" s="165"/>
      <c r="AG573" s="165"/>
      <c r="AH573" s="52"/>
      <c r="AI573" s="52"/>
      <c r="AJ573" s="52"/>
      <c r="AK573" s="52"/>
      <c r="AL573" s="52"/>
      <c r="AM573" s="52"/>
      <c r="AN573" s="52"/>
      <c r="AO573" s="195"/>
      <c r="AP573" s="195"/>
      <c r="AQ573" s="106"/>
      <c r="AR573" s="106"/>
      <c r="AS573" s="335"/>
      <c r="AT573" s="335"/>
      <c r="AU573" s="106"/>
      <c r="AV573" s="106"/>
      <c r="AW573" s="106"/>
      <c r="AX573" s="106"/>
      <c r="AY573" s="106"/>
      <c r="AZ573" s="106"/>
      <c r="BA573" s="106"/>
      <c r="BB573" s="19"/>
      <c r="BC573" s="19"/>
      <c r="BD573" s="19"/>
      <c r="BE573" s="19"/>
      <c r="BF573" s="55"/>
    </row>
    <row r="574" s="56" customFormat="true" ht="14.1" hidden="true" customHeight="true" outlineLevel="1" collapsed="false">
      <c r="A574" s="333" t="s">
        <v>369</v>
      </c>
      <c r="B574" s="333"/>
      <c r="C574" s="278"/>
      <c r="D574" s="272"/>
      <c r="E574" s="272"/>
      <c r="F574" s="333"/>
      <c r="G574" s="165"/>
      <c r="H574" s="165"/>
      <c r="I574" s="212"/>
      <c r="J574" s="259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 t="s">
        <v>356</v>
      </c>
      <c r="V574" s="165"/>
      <c r="W574" s="165"/>
      <c r="X574" s="165"/>
      <c r="Y574" s="165"/>
      <c r="Z574" s="165"/>
      <c r="AA574" s="165"/>
      <c r="AB574" s="165"/>
      <c r="AC574" s="165"/>
      <c r="AD574" s="165"/>
      <c r="AE574" s="165"/>
      <c r="AF574" s="165"/>
      <c r="AG574" s="165"/>
      <c r="AH574" s="52"/>
      <c r="AI574" s="52"/>
      <c r="AJ574" s="52"/>
      <c r="AK574" s="52"/>
      <c r="AL574" s="52"/>
      <c r="AM574" s="52"/>
      <c r="AN574" s="52"/>
      <c r="AO574" s="195"/>
      <c r="AP574" s="195"/>
      <c r="AQ574" s="106"/>
      <c r="AR574" s="106"/>
      <c r="AS574" s="335"/>
      <c r="AT574" s="335"/>
      <c r="AU574" s="106"/>
      <c r="AV574" s="106"/>
      <c r="AW574" s="106"/>
      <c r="AX574" s="106"/>
      <c r="AY574" s="106"/>
      <c r="AZ574" s="106"/>
      <c r="BA574" s="106"/>
      <c r="BB574" s="19"/>
      <c r="BC574" s="19"/>
      <c r="BD574" s="19"/>
      <c r="BE574" s="19"/>
      <c r="BF574" s="55"/>
    </row>
    <row r="575" s="56" customFormat="true" ht="14.1" hidden="true" customHeight="true" outlineLevel="1" collapsed="false">
      <c r="A575" s="333"/>
      <c r="B575" s="333"/>
      <c r="C575" s="278"/>
      <c r="D575" s="272"/>
      <c r="E575" s="272"/>
      <c r="F575" s="333"/>
      <c r="G575" s="165"/>
      <c r="H575" s="165"/>
      <c r="I575" s="212"/>
      <c r="J575" s="259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165"/>
      <c r="W575" s="165"/>
      <c r="X575" s="165"/>
      <c r="Y575" s="165"/>
      <c r="Z575" s="165"/>
      <c r="AA575" s="165"/>
      <c r="AB575" s="165"/>
      <c r="AC575" s="165"/>
      <c r="AD575" s="165"/>
      <c r="AE575" s="165"/>
      <c r="AF575" s="165"/>
      <c r="AG575" s="165"/>
      <c r="AH575" s="52"/>
      <c r="AI575" s="52"/>
      <c r="AJ575" s="52"/>
      <c r="AK575" s="52"/>
      <c r="AL575" s="52"/>
      <c r="AM575" s="52"/>
      <c r="AN575" s="52"/>
      <c r="AO575" s="195"/>
      <c r="AP575" s="195"/>
      <c r="AQ575" s="106"/>
      <c r="AR575" s="106"/>
      <c r="AS575" s="335"/>
      <c r="AT575" s="335"/>
      <c r="AU575" s="106"/>
      <c r="AV575" s="106"/>
      <c r="AW575" s="106"/>
      <c r="AX575" s="106"/>
      <c r="AY575" s="106"/>
      <c r="AZ575" s="106"/>
      <c r="BA575" s="106"/>
      <c r="BB575" s="19"/>
      <c r="BC575" s="19"/>
      <c r="BD575" s="19"/>
      <c r="BE575" s="19"/>
      <c r="BF575" s="55"/>
    </row>
    <row r="576" s="56" customFormat="true" ht="14.1" hidden="true" customHeight="true" outlineLevel="1" collapsed="false">
      <c r="A576" s="292" t="s">
        <v>370</v>
      </c>
      <c r="B576" s="336" t="s">
        <v>44</v>
      </c>
      <c r="C576" s="278"/>
      <c r="D576" s="272"/>
      <c r="E576" s="272"/>
      <c r="F576" s="272"/>
      <c r="G576" s="165"/>
      <c r="H576" s="165"/>
      <c r="I576" s="212"/>
      <c r="J576" s="259"/>
      <c r="K576" s="165"/>
      <c r="L576" s="265"/>
      <c r="M576" s="165"/>
      <c r="N576" s="165"/>
      <c r="O576" s="165"/>
      <c r="P576" s="165"/>
      <c r="Q576" s="165"/>
      <c r="R576" s="165"/>
      <c r="S576" s="165"/>
      <c r="T576" s="165"/>
      <c r="U576" s="165" t="s">
        <v>358</v>
      </c>
      <c r="V576" s="165"/>
      <c r="W576" s="165"/>
      <c r="X576" s="165"/>
      <c r="Y576" s="165"/>
      <c r="Z576" s="165"/>
      <c r="AA576" s="165"/>
      <c r="AB576" s="165"/>
      <c r="AC576" s="165"/>
      <c r="AD576" s="165"/>
      <c r="AE576" s="165"/>
      <c r="AF576" s="165"/>
      <c r="AG576" s="165"/>
      <c r="AH576" s="52"/>
      <c r="AI576" s="52"/>
      <c r="AJ576" s="52"/>
      <c r="AK576" s="52"/>
      <c r="AL576" s="52"/>
      <c r="AM576" s="52"/>
      <c r="AN576" s="52"/>
      <c r="AO576" s="195"/>
      <c r="AP576" s="195"/>
      <c r="AQ576" s="106"/>
      <c r="AR576" s="106"/>
      <c r="AS576" s="335"/>
      <c r="AT576" s="335"/>
      <c r="AU576" s="106"/>
      <c r="AV576" s="106"/>
      <c r="AW576" s="106"/>
      <c r="AX576" s="106"/>
      <c r="AY576" s="106"/>
      <c r="AZ576" s="106"/>
      <c r="BA576" s="106"/>
      <c r="BB576" s="19"/>
      <c r="BC576" s="19"/>
      <c r="BD576" s="19"/>
      <c r="BE576" s="19"/>
      <c r="BF576" s="55"/>
    </row>
    <row r="577" s="56" customFormat="true" ht="14.1" hidden="true" customHeight="true" outlineLevel="1" collapsed="false">
      <c r="A577" s="292" t="s">
        <v>371</v>
      </c>
      <c r="B577" s="336" t="s">
        <v>56</v>
      </c>
      <c r="C577" s="278"/>
      <c r="D577" s="272"/>
      <c r="E577" s="272"/>
      <c r="F577" s="272"/>
      <c r="G577" s="165"/>
      <c r="H577" s="165"/>
      <c r="I577" s="212"/>
      <c r="J577" s="259"/>
      <c r="K577" s="165"/>
      <c r="L577" s="265"/>
      <c r="M577" s="165"/>
      <c r="N577" s="165"/>
      <c r="O577" s="165"/>
      <c r="P577" s="165"/>
      <c r="Q577" s="165"/>
      <c r="R577" s="165"/>
      <c r="S577" s="165"/>
      <c r="T577" s="165"/>
      <c r="U577" s="165"/>
      <c r="V577" s="165"/>
      <c r="W577" s="165"/>
      <c r="X577" s="165"/>
      <c r="Y577" s="165"/>
      <c r="Z577" s="165"/>
      <c r="AA577" s="165"/>
      <c r="AB577" s="165"/>
      <c r="AC577" s="165"/>
      <c r="AD577" s="165"/>
      <c r="AE577" s="165"/>
      <c r="AF577" s="165"/>
      <c r="AG577" s="165"/>
      <c r="AH577" s="52"/>
      <c r="AI577" s="52"/>
      <c r="AJ577" s="52"/>
      <c r="AK577" s="52"/>
      <c r="AL577" s="52"/>
      <c r="AM577" s="52"/>
      <c r="AN577" s="52"/>
      <c r="AO577" s="195"/>
      <c r="AP577" s="195"/>
      <c r="AQ577" s="106"/>
      <c r="AR577" s="106"/>
      <c r="AS577" s="335"/>
      <c r="AT577" s="335"/>
      <c r="AU577" s="106"/>
      <c r="AV577" s="106"/>
      <c r="AW577" s="106"/>
      <c r="AX577" s="106"/>
      <c r="AY577" s="106"/>
      <c r="AZ577" s="106"/>
      <c r="BA577" s="106"/>
      <c r="BB577" s="19"/>
      <c r="BC577" s="19"/>
      <c r="BD577" s="19"/>
      <c r="BE577" s="19"/>
      <c r="BF577" s="55"/>
    </row>
    <row r="578" s="56" customFormat="true" ht="14.1" hidden="true" customHeight="true" outlineLevel="1" collapsed="false">
      <c r="A578" s="278"/>
      <c r="B578" s="278"/>
      <c r="C578" s="278"/>
      <c r="D578" s="272"/>
      <c r="E578" s="272"/>
      <c r="F578" s="272"/>
      <c r="G578" s="165"/>
      <c r="H578" s="165"/>
      <c r="I578" s="212"/>
      <c r="J578" s="259"/>
      <c r="K578" s="165"/>
      <c r="L578" s="265"/>
      <c r="M578" s="165"/>
      <c r="N578" s="165"/>
      <c r="O578" s="165"/>
      <c r="P578" s="165"/>
      <c r="Q578" s="165"/>
      <c r="R578" s="165"/>
      <c r="S578" s="165"/>
      <c r="T578" s="165"/>
      <c r="U578" s="165"/>
      <c r="V578" s="165"/>
      <c r="W578" s="165"/>
      <c r="X578" s="165"/>
      <c r="Y578" s="165"/>
      <c r="Z578" s="165"/>
      <c r="AA578" s="165"/>
      <c r="AB578" s="165"/>
      <c r="AC578" s="165"/>
      <c r="AD578" s="165"/>
      <c r="AE578" s="165"/>
      <c r="AF578" s="165"/>
      <c r="AG578" s="165"/>
      <c r="AH578" s="52"/>
      <c r="AI578" s="52"/>
      <c r="AJ578" s="52"/>
      <c r="AK578" s="52"/>
      <c r="AL578" s="52"/>
      <c r="AM578" s="52"/>
      <c r="AN578" s="52"/>
      <c r="AO578" s="195"/>
      <c r="AP578" s="195"/>
      <c r="AQ578" s="106"/>
      <c r="AR578" s="106"/>
      <c r="AS578" s="335"/>
      <c r="AT578" s="335"/>
      <c r="AU578" s="106"/>
      <c r="AV578" s="106"/>
      <c r="AW578" s="106"/>
      <c r="AX578" s="106"/>
      <c r="AY578" s="106"/>
      <c r="AZ578" s="106"/>
      <c r="BA578" s="106"/>
      <c r="BB578" s="19"/>
      <c r="BC578" s="19"/>
      <c r="BD578" s="19"/>
      <c r="BE578" s="19"/>
      <c r="BF578" s="55"/>
    </row>
    <row r="579" s="56" customFormat="true" ht="14.1" hidden="true" customHeight="true" outlineLevel="1" collapsed="false">
      <c r="A579" s="275" t="s">
        <v>372</v>
      </c>
      <c r="B579" s="277"/>
      <c r="C579" s="275"/>
      <c r="D579" s="272"/>
      <c r="E579" s="272"/>
      <c r="F579" s="272"/>
      <c r="G579" s="165"/>
      <c r="H579" s="165"/>
      <c r="I579" s="212"/>
      <c r="J579" s="259"/>
      <c r="K579" s="165"/>
      <c r="L579" s="265"/>
      <c r="M579" s="165"/>
      <c r="N579" s="165"/>
      <c r="O579" s="165"/>
      <c r="P579" s="165"/>
      <c r="Q579" s="165"/>
      <c r="R579" s="165"/>
      <c r="S579" s="165"/>
      <c r="T579" s="165"/>
      <c r="U579" s="165"/>
      <c r="V579" s="165"/>
      <c r="W579" s="165"/>
      <c r="X579" s="165"/>
      <c r="Y579" s="165"/>
      <c r="Z579" s="165"/>
      <c r="AA579" s="165"/>
      <c r="AB579" s="165"/>
      <c r="AC579" s="165"/>
      <c r="AD579" s="165"/>
      <c r="AE579" s="165"/>
      <c r="AF579" s="165"/>
      <c r="AG579" s="165"/>
      <c r="AH579" s="52"/>
      <c r="AI579" s="52"/>
      <c r="AJ579" s="52"/>
      <c r="AK579" s="52"/>
      <c r="AL579" s="52"/>
      <c r="AM579" s="52"/>
      <c r="AN579" s="52"/>
      <c r="AO579" s="195"/>
      <c r="AP579" s="195"/>
      <c r="AQ579" s="106"/>
      <c r="AR579" s="106"/>
      <c r="AS579" s="335"/>
      <c r="AT579" s="335"/>
      <c r="AU579" s="106"/>
      <c r="AV579" s="106"/>
      <c r="AW579" s="106"/>
      <c r="AX579" s="106"/>
      <c r="AY579" s="106"/>
      <c r="AZ579" s="106"/>
      <c r="BA579" s="106"/>
      <c r="BB579" s="19"/>
      <c r="BC579" s="19"/>
      <c r="BD579" s="19"/>
      <c r="BE579" s="19"/>
      <c r="BF579" s="55"/>
    </row>
    <row r="580" s="56" customFormat="true" ht="14.1" hidden="true" customHeight="true" outlineLevel="1" collapsed="false">
      <c r="A580" s="231" t="s">
        <v>373</v>
      </c>
      <c r="B580" s="277"/>
      <c r="C580" s="275"/>
      <c r="D580" s="272"/>
      <c r="E580" s="272"/>
      <c r="F580" s="272"/>
      <c r="G580" s="165"/>
      <c r="H580" s="186" t="s">
        <v>364</v>
      </c>
      <c r="I580" s="186"/>
      <c r="J580" s="186"/>
      <c r="K580" s="186"/>
      <c r="L580" s="265"/>
      <c r="M580" s="165"/>
      <c r="N580" s="165"/>
      <c r="O580" s="165"/>
      <c r="P580" s="165"/>
      <c r="Q580" s="165"/>
      <c r="R580" s="165"/>
      <c r="S580" s="165"/>
      <c r="T580" s="165"/>
      <c r="U580" s="165"/>
      <c r="V580" s="165"/>
      <c r="W580" s="165"/>
      <c r="X580" s="165"/>
      <c r="Y580" s="165"/>
      <c r="Z580" s="165"/>
      <c r="AA580" s="165"/>
      <c r="AB580" s="165"/>
      <c r="AC580" s="165"/>
      <c r="AD580" s="165"/>
      <c r="AE580" s="165"/>
      <c r="AF580" s="165"/>
      <c r="AG580" s="165"/>
      <c r="AH580" s="52"/>
      <c r="AI580" s="52"/>
      <c r="AJ580" s="52"/>
      <c r="AK580" s="52"/>
      <c r="AL580" s="52"/>
      <c r="AM580" s="52"/>
      <c r="AN580" s="52"/>
      <c r="AO580" s="195"/>
      <c r="AP580" s="195"/>
      <c r="AQ580" s="106"/>
      <c r="AR580" s="106"/>
      <c r="AS580" s="335"/>
      <c r="AT580" s="335"/>
      <c r="AU580" s="106"/>
      <c r="AV580" s="106"/>
      <c r="AW580" s="106"/>
      <c r="AX580" s="106"/>
      <c r="AY580" s="106"/>
      <c r="AZ580" s="106"/>
      <c r="BA580" s="106"/>
      <c r="BB580" s="19"/>
      <c r="BC580" s="19"/>
      <c r="BD580" s="19"/>
      <c r="BE580" s="19"/>
      <c r="BF580" s="55"/>
    </row>
    <row r="581" s="56" customFormat="true" ht="14.1" hidden="true" customHeight="true" outlineLevel="1" collapsed="false">
      <c r="A581" s="275" t="s">
        <v>374</v>
      </c>
      <c r="B581" s="277"/>
      <c r="C581" s="275"/>
      <c r="D581" s="272"/>
      <c r="E581" s="272"/>
      <c r="F581" s="276" t="s">
        <v>365</v>
      </c>
      <c r="G581" s="276"/>
      <c r="H581" s="186"/>
      <c r="I581" s="186"/>
      <c r="J581" s="186"/>
      <c r="K581" s="186"/>
      <c r="L581" s="265"/>
      <c r="M581" s="165"/>
      <c r="N581" s="165"/>
      <c r="O581" s="165"/>
      <c r="P581" s="165"/>
      <c r="Q581" s="165"/>
      <c r="R581" s="165"/>
      <c r="S581" s="165"/>
      <c r="T581" s="165"/>
      <c r="U581" s="165"/>
      <c r="V581" s="165"/>
      <c r="W581" s="165"/>
      <c r="X581" s="165"/>
      <c r="Y581" s="165"/>
      <c r="Z581" s="165"/>
      <c r="AA581" s="165"/>
      <c r="AB581" s="165"/>
      <c r="AC581" s="165"/>
      <c r="AD581" s="165"/>
      <c r="AE581" s="165"/>
      <c r="AF581" s="165"/>
      <c r="AG581" s="165"/>
      <c r="AH581" s="52"/>
      <c r="AI581" s="52"/>
      <c r="AJ581" s="52"/>
      <c r="AK581" s="52"/>
      <c r="AL581" s="52"/>
      <c r="AM581" s="52"/>
      <c r="AN581" s="52"/>
      <c r="AO581" s="195"/>
      <c r="AP581" s="195"/>
      <c r="AQ581" s="106"/>
      <c r="AR581" s="106"/>
      <c r="AS581" s="335"/>
      <c r="AT581" s="335"/>
      <c r="AU581" s="106"/>
      <c r="AV581" s="106"/>
      <c r="AW581" s="106"/>
      <c r="AX581" s="106"/>
      <c r="AY581" s="106"/>
      <c r="AZ581" s="106"/>
      <c r="BA581" s="106"/>
      <c r="BB581" s="19"/>
      <c r="BC581" s="19"/>
      <c r="BD581" s="19"/>
      <c r="BE581" s="19"/>
      <c r="BF581" s="55"/>
    </row>
    <row r="582" s="56" customFormat="true" ht="14.1" hidden="true" customHeight="true" outlineLevel="1" collapsed="false">
      <c r="A582" s="244" t="s">
        <v>375</v>
      </c>
      <c r="B582" s="277"/>
      <c r="C582" s="275"/>
      <c r="D582" s="272"/>
      <c r="E582" s="272"/>
      <c r="F582" s="272"/>
      <c r="G582" s="165"/>
      <c r="H582" s="186"/>
      <c r="I582" s="186"/>
      <c r="J582" s="186"/>
      <c r="K582" s="186"/>
      <c r="L582" s="265"/>
      <c r="M582" s="165"/>
      <c r="N582" s="165"/>
      <c r="O582" s="165"/>
      <c r="P582" s="165"/>
      <c r="Q582" s="165"/>
      <c r="R582" s="165"/>
      <c r="S582" s="165"/>
      <c r="T582" s="165"/>
      <c r="U582" s="165"/>
      <c r="V582" s="165"/>
      <c r="W582" s="165"/>
      <c r="X582" s="165"/>
      <c r="Y582" s="165"/>
      <c r="Z582" s="165"/>
      <c r="AA582" s="165"/>
      <c r="AB582" s="165"/>
      <c r="AC582" s="165"/>
      <c r="AD582" s="165"/>
      <c r="AE582" s="165"/>
      <c r="AF582" s="165"/>
      <c r="AG582" s="165"/>
      <c r="AH582" s="52"/>
      <c r="AI582" s="52"/>
      <c r="AJ582" s="52"/>
      <c r="AK582" s="52"/>
      <c r="AL582" s="52"/>
      <c r="AM582" s="52"/>
      <c r="AN582" s="52"/>
      <c r="AO582" s="195"/>
      <c r="AP582" s="195"/>
      <c r="AQ582" s="106"/>
      <c r="AR582" s="106"/>
      <c r="AS582" s="335"/>
      <c r="AT582" s="335"/>
      <c r="AU582" s="106"/>
      <c r="AV582" s="106"/>
      <c r="AW582" s="106"/>
      <c r="AX582" s="106"/>
      <c r="AY582" s="106"/>
      <c r="AZ582" s="106"/>
      <c r="BA582" s="106"/>
      <c r="BB582" s="19"/>
      <c r="BC582" s="19"/>
      <c r="BD582" s="19"/>
      <c r="BE582" s="19"/>
      <c r="BF582" s="55"/>
    </row>
    <row r="583" s="56" customFormat="true" ht="14.1" hidden="true" customHeight="true" outlineLevel="1" collapsed="false">
      <c r="A583" s="227" t="s">
        <v>376</v>
      </c>
      <c r="B583" s="277"/>
      <c r="C583" s="275"/>
      <c r="D583" s="272"/>
      <c r="E583" s="272"/>
      <c r="F583" s="272"/>
      <c r="G583" s="165"/>
      <c r="H583" s="165"/>
      <c r="I583" s="212"/>
      <c r="J583" s="259"/>
      <c r="K583" s="165"/>
      <c r="L583" s="265"/>
      <c r="M583" s="165"/>
      <c r="N583" s="165"/>
      <c r="O583" s="165"/>
      <c r="P583" s="165"/>
      <c r="Q583" s="165"/>
      <c r="R583" s="165"/>
      <c r="S583" s="165"/>
      <c r="T583" s="165"/>
      <c r="U583" s="165"/>
      <c r="V583" s="165"/>
      <c r="W583" s="165"/>
      <c r="X583" s="165"/>
      <c r="Y583" s="165"/>
      <c r="Z583" s="165"/>
      <c r="AA583" s="165"/>
      <c r="AB583" s="165"/>
      <c r="AC583" s="165"/>
      <c r="AD583" s="165"/>
      <c r="AE583" s="165"/>
      <c r="AF583" s="165"/>
      <c r="AG583" s="165"/>
      <c r="AH583" s="52"/>
      <c r="AI583" s="52"/>
      <c r="AJ583" s="52"/>
      <c r="AK583" s="52"/>
      <c r="AL583" s="52"/>
      <c r="AM583" s="52"/>
      <c r="AN583" s="52"/>
      <c r="AO583" s="195"/>
      <c r="AP583" s="195"/>
      <c r="AQ583" s="106"/>
      <c r="AR583" s="106"/>
      <c r="AS583" s="335"/>
      <c r="AT583" s="335"/>
      <c r="AU583" s="106"/>
      <c r="AV583" s="106"/>
      <c r="AW583" s="106"/>
      <c r="AX583" s="106"/>
      <c r="AY583" s="106"/>
      <c r="AZ583" s="106"/>
      <c r="BA583" s="106"/>
      <c r="BB583" s="19"/>
      <c r="BC583" s="19"/>
      <c r="BD583" s="19"/>
      <c r="BE583" s="19"/>
      <c r="BF583" s="55"/>
    </row>
    <row r="584" s="56" customFormat="true" ht="14.1" hidden="true" customHeight="true" outlineLevel="1" collapsed="false">
      <c r="A584" s="231" t="s">
        <v>377</v>
      </c>
      <c r="B584" s="277"/>
      <c r="C584" s="275"/>
      <c r="D584" s="272"/>
      <c r="E584" s="272"/>
      <c r="F584" s="272"/>
      <c r="G584" s="165"/>
      <c r="H584" s="165"/>
      <c r="I584" s="212"/>
      <c r="J584" s="259"/>
      <c r="K584" s="165"/>
      <c r="L584" s="265"/>
      <c r="M584" s="165"/>
      <c r="N584" s="165"/>
      <c r="O584" s="165"/>
      <c r="P584" s="165"/>
      <c r="Q584" s="165"/>
      <c r="R584" s="165"/>
      <c r="S584" s="165"/>
      <c r="T584" s="165"/>
      <c r="U584" s="165"/>
      <c r="V584" s="165"/>
      <c r="W584" s="165"/>
      <c r="X584" s="165"/>
      <c r="Y584" s="165"/>
      <c r="Z584" s="165"/>
      <c r="AA584" s="165"/>
      <c r="AB584" s="165"/>
      <c r="AC584" s="165"/>
      <c r="AD584" s="165"/>
      <c r="AE584" s="165"/>
      <c r="AF584" s="165"/>
      <c r="AG584" s="165"/>
      <c r="AH584" s="52"/>
      <c r="AI584" s="52"/>
      <c r="AJ584" s="52"/>
      <c r="AK584" s="52"/>
      <c r="AL584" s="52"/>
      <c r="AM584" s="52"/>
      <c r="AN584" s="52"/>
      <c r="AO584" s="195"/>
      <c r="AP584" s="195"/>
      <c r="AQ584" s="106"/>
      <c r="AR584" s="106"/>
      <c r="AS584" s="335"/>
      <c r="AT584" s="335"/>
      <c r="AU584" s="106"/>
      <c r="AV584" s="106"/>
      <c r="AW584" s="106"/>
      <c r="AX584" s="106"/>
      <c r="AY584" s="106"/>
      <c r="AZ584" s="106"/>
      <c r="BA584" s="106"/>
      <c r="BB584" s="19"/>
      <c r="BC584" s="19"/>
      <c r="BD584" s="19"/>
      <c r="BE584" s="19"/>
      <c r="BF584" s="55"/>
    </row>
    <row r="585" s="56" customFormat="true" ht="14.1" hidden="true" customHeight="true" outlineLevel="1" collapsed="false">
      <c r="A585" s="138" t="s">
        <v>378</v>
      </c>
      <c r="B585" s="277"/>
      <c r="C585" s="275"/>
      <c r="D585" s="272"/>
      <c r="E585" s="272"/>
      <c r="F585" s="272"/>
      <c r="G585" s="165"/>
      <c r="H585" s="281" t="s">
        <v>366</v>
      </c>
      <c r="I585" s="186"/>
      <c r="J585" s="186"/>
      <c r="K585" s="186"/>
      <c r="L585" s="265"/>
      <c r="M585" s="165"/>
      <c r="N585" s="165"/>
      <c r="O585" s="165"/>
      <c r="P585" s="165"/>
      <c r="Q585" s="165"/>
      <c r="R585" s="165"/>
      <c r="S585" s="165"/>
      <c r="T585" s="165"/>
      <c r="U585" s="165"/>
      <c r="V585" s="165"/>
      <c r="W585" s="165"/>
      <c r="X585" s="165"/>
      <c r="Y585" s="165"/>
      <c r="Z585" s="165"/>
      <c r="AA585" s="165"/>
      <c r="AB585" s="165"/>
      <c r="AC585" s="165"/>
      <c r="AD585" s="165"/>
      <c r="AE585" s="165"/>
      <c r="AF585" s="165"/>
      <c r="AG585" s="165"/>
      <c r="AH585" s="52"/>
      <c r="AI585" s="52"/>
      <c r="AJ585" s="52"/>
      <c r="AK585" s="52"/>
      <c r="AL585" s="52"/>
      <c r="AM585" s="52"/>
      <c r="AN585" s="52"/>
      <c r="AO585" s="195"/>
      <c r="AP585" s="195"/>
      <c r="AQ585" s="106"/>
      <c r="AR585" s="106"/>
      <c r="AS585" s="335"/>
      <c r="AT585" s="335"/>
      <c r="AU585" s="106"/>
      <c r="AV585" s="106"/>
      <c r="AW585" s="106"/>
      <c r="AX585" s="106"/>
      <c r="AY585" s="106"/>
      <c r="AZ585" s="106"/>
      <c r="BA585" s="106"/>
      <c r="BB585" s="19"/>
      <c r="BC585" s="19"/>
      <c r="BD585" s="19"/>
      <c r="BE585" s="19"/>
      <c r="BF585" s="55"/>
    </row>
    <row r="586" s="56" customFormat="true" ht="14.1" hidden="true" customHeight="true" outlineLevel="1" collapsed="false">
      <c r="A586" s="231" t="s">
        <v>379</v>
      </c>
      <c r="B586" s="277"/>
      <c r="C586" s="275"/>
      <c r="D586" s="272"/>
      <c r="E586" s="272"/>
      <c r="F586" s="272"/>
      <c r="G586" s="165"/>
      <c r="H586" s="165"/>
      <c r="I586" s="212"/>
      <c r="J586" s="259"/>
      <c r="K586" s="165"/>
      <c r="L586" s="265"/>
      <c r="M586" s="165"/>
      <c r="N586" s="165"/>
      <c r="O586" s="165"/>
      <c r="P586" s="165"/>
      <c r="Q586" s="165"/>
      <c r="R586" s="165"/>
      <c r="S586" s="165"/>
      <c r="T586" s="165"/>
      <c r="U586" s="165"/>
      <c r="V586" s="165"/>
      <c r="W586" s="165"/>
      <c r="X586" s="165"/>
      <c r="Y586" s="165"/>
      <c r="Z586" s="165"/>
      <c r="AA586" s="165"/>
      <c r="AB586" s="165"/>
      <c r="AC586" s="165"/>
      <c r="AD586" s="165"/>
      <c r="AE586" s="165"/>
      <c r="AF586" s="165"/>
      <c r="AG586" s="165"/>
      <c r="AH586" s="52"/>
      <c r="AI586" s="52"/>
      <c r="AJ586" s="52"/>
      <c r="AK586" s="52"/>
      <c r="AL586" s="52"/>
      <c r="AM586" s="52"/>
      <c r="AN586" s="52"/>
      <c r="AO586" s="195"/>
      <c r="AP586" s="195"/>
      <c r="AQ586" s="106"/>
      <c r="AR586" s="106"/>
      <c r="AS586" s="335"/>
      <c r="AT586" s="335"/>
      <c r="AU586" s="106"/>
      <c r="AV586" s="106"/>
      <c r="AW586" s="106"/>
      <c r="AX586" s="106"/>
      <c r="AY586" s="106"/>
      <c r="AZ586" s="106"/>
      <c r="BA586" s="106"/>
      <c r="BB586" s="19"/>
      <c r="BC586" s="19"/>
      <c r="BD586" s="19"/>
      <c r="BE586" s="19"/>
      <c r="BF586" s="55"/>
    </row>
    <row r="587" s="56" customFormat="true" ht="14.1" hidden="true" customHeight="true" outlineLevel="1" collapsed="false">
      <c r="A587" s="138" t="s">
        <v>380</v>
      </c>
      <c r="B587" s="277"/>
      <c r="C587" s="275"/>
      <c r="D587" s="272"/>
      <c r="E587" s="272"/>
      <c r="F587" s="272"/>
      <c r="G587" s="165"/>
      <c r="H587" s="165"/>
      <c r="I587" s="212"/>
      <c r="J587" s="259"/>
      <c r="K587" s="165"/>
      <c r="L587" s="265"/>
      <c r="M587" s="165"/>
      <c r="N587" s="165"/>
      <c r="O587" s="165"/>
      <c r="P587" s="165"/>
      <c r="Q587" s="165"/>
      <c r="R587" s="165"/>
      <c r="S587" s="165"/>
      <c r="T587" s="165"/>
      <c r="U587" s="165"/>
      <c r="V587" s="165"/>
      <c r="W587" s="165"/>
      <c r="X587" s="165"/>
      <c r="Y587" s="165"/>
      <c r="Z587" s="165"/>
      <c r="AA587" s="165"/>
      <c r="AB587" s="165"/>
      <c r="AC587" s="165"/>
      <c r="AD587" s="165"/>
      <c r="AE587" s="165"/>
      <c r="AF587" s="165"/>
      <c r="AG587" s="165"/>
      <c r="AH587" s="52"/>
      <c r="AI587" s="52"/>
      <c r="AJ587" s="52"/>
      <c r="AK587" s="52"/>
      <c r="AL587" s="52"/>
      <c r="AM587" s="52"/>
      <c r="AN587" s="52"/>
      <c r="AO587" s="195"/>
      <c r="AP587" s="195"/>
      <c r="AQ587" s="106"/>
      <c r="AR587" s="106"/>
      <c r="AS587" s="335"/>
      <c r="AT587" s="335"/>
      <c r="AU587" s="106"/>
      <c r="AV587" s="106"/>
      <c r="AW587" s="106"/>
      <c r="AX587" s="106"/>
      <c r="AY587" s="106"/>
      <c r="AZ587" s="106"/>
      <c r="BA587" s="106"/>
      <c r="BB587" s="19"/>
      <c r="BC587" s="19"/>
      <c r="BD587" s="19"/>
      <c r="BE587" s="19"/>
      <c r="BF587" s="55"/>
    </row>
    <row r="588" s="56" customFormat="true" ht="14.1" hidden="true" customHeight="true" outlineLevel="1" collapsed="false">
      <c r="A588" s="231" t="s">
        <v>381</v>
      </c>
      <c r="B588" s="277"/>
      <c r="C588" s="275"/>
      <c r="D588" s="272"/>
      <c r="E588" s="272"/>
      <c r="F588" s="272"/>
      <c r="G588" s="165"/>
      <c r="H588" s="165"/>
      <c r="I588" s="212"/>
      <c r="J588" s="259"/>
      <c r="K588" s="165"/>
      <c r="L588" s="265"/>
      <c r="M588" s="165"/>
      <c r="N588" s="165"/>
      <c r="O588" s="165"/>
      <c r="P588" s="165"/>
      <c r="Q588" s="165"/>
      <c r="R588" s="165"/>
      <c r="S588" s="165"/>
      <c r="T588" s="165"/>
      <c r="U588" s="165"/>
      <c r="V588" s="165"/>
      <c r="W588" s="165"/>
      <c r="X588" s="165"/>
      <c r="Y588" s="165"/>
      <c r="Z588" s="165"/>
      <c r="AA588" s="165"/>
      <c r="AB588" s="165"/>
      <c r="AC588" s="165"/>
      <c r="AD588" s="165"/>
      <c r="AE588" s="165"/>
      <c r="AF588" s="165"/>
      <c r="AG588" s="165"/>
      <c r="AH588" s="52"/>
      <c r="AI588" s="52"/>
      <c r="AJ588" s="52"/>
      <c r="AK588" s="52"/>
      <c r="AL588" s="52"/>
      <c r="AM588" s="52"/>
      <c r="AN588" s="52"/>
      <c r="AO588" s="195"/>
      <c r="AP588" s="195"/>
      <c r="AQ588" s="106"/>
      <c r="AR588" s="106"/>
      <c r="AS588" s="335"/>
      <c r="AT588" s="335"/>
      <c r="AU588" s="106"/>
      <c r="AV588" s="106"/>
      <c r="AW588" s="106"/>
      <c r="AX588" s="106"/>
      <c r="AY588" s="106"/>
      <c r="AZ588" s="106"/>
      <c r="BA588" s="106"/>
      <c r="BB588" s="19"/>
      <c r="BC588" s="19"/>
      <c r="BD588" s="19"/>
      <c r="BE588" s="19"/>
      <c r="BF588" s="55"/>
    </row>
    <row r="589" s="56" customFormat="true" ht="14.1" hidden="true" customHeight="true" outlineLevel="1" collapsed="false">
      <c r="A589" s="138" t="s">
        <v>382</v>
      </c>
      <c r="B589" s="277"/>
      <c r="C589" s="275"/>
      <c r="D589" s="272"/>
      <c r="E589" s="272"/>
      <c r="F589" s="272"/>
      <c r="G589" s="165"/>
      <c r="H589" s="165"/>
      <c r="I589" s="212"/>
      <c r="J589" s="259"/>
      <c r="K589" s="165"/>
      <c r="L589" s="265"/>
      <c r="M589" s="165"/>
      <c r="N589" s="165"/>
      <c r="O589" s="165"/>
      <c r="P589" s="165"/>
      <c r="Q589" s="165"/>
      <c r="R589" s="165"/>
      <c r="S589" s="165"/>
      <c r="T589" s="165"/>
      <c r="U589" s="165"/>
      <c r="V589" s="165"/>
      <c r="W589" s="165"/>
      <c r="X589" s="165"/>
      <c r="Y589" s="165"/>
      <c r="Z589" s="165"/>
      <c r="AA589" s="165"/>
      <c r="AB589" s="165"/>
      <c r="AC589" s="165"/>
      <c r="AD589" s="165"/>
      <c r="AE589" s="165"/>
      <c r="AF589" s="165"/>
      <c r="AG589" s="165"/>
      <c r="AH589" s="52"/>
      <c r="AI589" s="52"/>
      <c r="AJ589" s="52"/>
      <c r="AK589" s="52"/>
      <c r="AL589" s="52"/>
      <c r="AM589" s="52"/>
      <c r="AN589" s="52"/>
      <c r="AO589" s="195"/>
      <c r="AP589" s="195"/>
      <c r="AQ589" s="106"/>
      <c r="AR589" s="106"/>
      <c r="AS589" s="335"/>
      <c r="AT589" s="335"/>
      <c r="AU589" s="106"/>
      <c r="AV589" s="106"/>
      <c r="AW589" s="106"/>
      <c r="AX589" s="106"/>
      <c r="AY589" s="106"/>
      <c r="AZ589" s="106"/>
      <c r="BA589" s="106"/>
      <c r="BB589" s="19"/>
      <c r="BC589" s="19"/>
      <c r="BD589" s="19"/>
      <c r="BE589" s="19"/>
      <c r="BF589" s="55"/>
    </row>
    <row r="590" s="56" customFormat="true" ht="14.1" hidden="true" customHeight="true" outlineLevel="1" collapsed="false">
      <c r="A590" s="244" t="s">
        <v>383</v>
      </c>
      <c r="B590" s="277"/>
      <c r="C590" s="275"/>
      <c r="D590" s="272"/>
      <c r="E590" s="272"/>
      <c r="F590" s="272"/>
      <c r="G590" s="165"/>
      <c r="H590" s="165"/>
      <c r="I590" s="212"/>
      <c r="J590" s="259"/>
      <c r="K590" s="165"/>
      <c r="L590" s="265"/>
      <c r="M590" s="165"/>
      <c r="N590" s="165"/>
      <c r="O590" s="165"/>
      <c r="P590" s="165"/>
      <c r="Q590" s="165"/>
      <c r="R590" s="165"/>
      <c r="S590" s="165"/>
      <c r="T590" s="165"/>
      <c r="U590" s="165"/>
      <c r="V590" s="165"/>
      <c r="W590" s="165"/>
      <c r="X590" s="165"/>
      <c r="Y590" s="165"/>
      <c r="Z590" s="165"/>
      <c r="AA590" s="165"/>
      <c r="AB590" s="165"/>
      <c r="AC590" s="165"/>
      <c r="AD590" s="165"/>
      <c r="AE590" s="165"/>
      <c r="AF590" s="165"/>
      <c r="AG590" s="165"/>
      <c r="AH590" s="52"/>
      <c r="AI590" s="52"/>
      <c r="AJ590" s="52"/>
      <c r="AK590" s="52"/>
      <c r="AL590" s="52"/>
      <c r="AM590" s="52"/>
      <c r="AN590" s="52"/>
      <c r="AO590" s="195"/>
      <c r="AP590" s="195"/>
      <c r="AQ590" s="106"/>
      <c r="AR590" s="106"/>
      <c r="AS590" s="335"/>
      <c r="AT590" s="335"/>
      <c r="AU590" s="106"/>
      <c r="AV590" s="106"/>
      <c r="AW590" s="106"/>
      <c r="AX590" s="106"/>
      <c r="AY590" s="106"/>
      <c r="AZ590" s="106"/>
      <c r="BA590" s="106"/>
      <c r="BB590" s="19"/>
      <c r="BC590" s="19"/>
      <c r="BD590" s="19"/>
      <c r="BE590" s="19"/>
      <c r="BF590" s="55"/>
    </row>
    <row r="591" s="56" customFormat="true" ht="14.1" hidden="true" customHeight="true" outlineLevel="1" collapsed="false">
      <c r="A591" s="275"/>
      <c r="B591" s="277"/>
      <c r="C591" s="275"/>
      <c r="D591" s="272"/>
      <c r="E591" s="272"/>
      <c r="F591" s="272"/>
      <c r="G591" s="165"/>
      <c r="H591" s="165"/>
      <c r="I591" s="212"/>
      <c r="J591" s="259"/>
      <c r="K591" s="165"/>
      <c r="L591" s="265"/>
      <c r="M591" s="165"/>
      <c r="N591" s="165"/>
      <c r="O591" s="165"/>
      <c r="P591" s="165"/>
      <c r="Q591" s="165"/>
      <c r="R591" s="165"/>
      <c r="S591" s="165"/>
      <c r="T591" s="165"/>
      <c r="U591" s="165"/>
      <c r="V591" s="165"/>
      <c r="W591" s="165"/>
      <c r="X591" s="165"/>
      <c r="Y591" s="165"/>
      <c r="Z591" s="165"/>
      <c r="AA591" s="165"/>
      <c r="AB591" s="165"/>
      <c r="AC591" s="165"/>
      <c r="AD591" s="165"/>
      <c r="AE591" s="165"/>
      <c r="AF591" s="165"/>
      <c r="AG591" s="165"/>
      <c r="AH591" s="52"/>
      <c r="AI591" s="52"/>
      <c r="AJ591" s="52"/>
      <c r="AK591" s="52"/>
      <c r="AL591" s="52"/>
      <c r="AM591" s="52"/>
      <c r="AN591" s="52"/>
      <c r="AO591" s="195"/>
      <c r="AP591" s="195"/>
      <c r="AQ591" s="106"/>
      <c r="AR591" s="106"/>
      <c r="AS591" s="335"/>
      <c r="AT591" s="335"/>
      <c r="AU591" s="106"/>
      <c r="AV591" s="106"/>
      <c r="AW591" s="106"/>
      <c r="AX591" s="106"/>
      <c r="AY591" s="106"/>
      <c r="AZ591" s="106"/>
      <c r="BA591" s="106"/>
      <c r="BB591" s="19"/>
      <c r="BC591" s="19"/>
      <c r="BD591" s="19"/>
      <c r="BE591" s="19"/>
      <c r="BF591" s="55"/>
    </row>
    <row r="592" s="56" customFormat="true" ht="14.1" hidden="true" customHeight="true" outlineLevel="1" collapsed="false">
      <c r="A592" s="138" t="s">
        <v>225</v>
      </c>
      <c r="B592" s="277"/>
      <c r="C592" s="272"/>
      <c r="D592" s="272"/>
      <c r="E592" s="272"/>
      <c r="F592" s="272"/>
      <c r="G592" s="165"/>
      <c r="H592" s="165"/>
      <c r="I592" s="212"/>
      <c r="J592" s="132"/>
      <c r="K592" s="132"/>
      <c r="L592" s="132"/>
      <c r="M592" s="132"/>
      <c r="N592" s="132"/>
      <c r="O592" s="132"/>
      <c r="P592" s="132"/>
      <c r="Q592" s="132"/>
      <c r="R592" s="132"/>
      <c r="S592" s="132"/>
      <c r="T592" s="132"/>
      <c r="U592" s="132"/>
      <c r="V592" s="132"/>
      <c r="W592" s="132"/>
      <c r="X592" s="132"/>
      <c r="Y592" s="132"/>
      <c r="Z592" s="132"/>
      <c r="AA592" s="132"/>
      <c r="AB592" s="132"/>
      <c r="AC592" s="132"/>
      <c r="AD592" s="132"/>
      <c r="AE592" s="132"/>
      <c r="AF592" s="165"/>
      <c r="AG592" s="165"/>
      <c r="AH592" s="52"/>
      <c r="AI592" s="52"/>
      <c r="AJ592" s="52"/>
      <c r="AK592" s="52"/>
      <c r="AL592" s="52"/>
      <c r="AM592" s="52"/>
      <c r="AN592" s="52"/>
      <c r="AO592" s="195"/>
      <c r="AP592" s="195"/>
      <c r="AQ592" s="106"/>
      <c r="AR592" s="106"/>
      <c r="AS592" s="335"/>
      <c r="AT592" s="335"/>
      <c r="AU592" s="106"/>
      <c r="AV592" s="106"/>
      <c r="AW592" s="106"/>
      <c r="AX592" s="106"/>
      <c r="AY592" s="106"/>
      <c r="AZ592" s="106"/>
      <c r="BA592" s="106"/>
      <c r="BB592" s="19"/>
      <c r="BC592" s="19"/>
      <c r="BD592" s="19"/>
      <c r="BE592" s="19"/>
      <c r="BF592" s="55"/>
    </row>
    <row r="593" s="56" customFormat="true" ht="14.1" hidden="true" customHeight="true" outlineLevel="1" collapsed="false">
      <c r="A593" s="149" t="s">
        <v>226</v>
      </c>
      <c r="B593" s="119" t="s">
        <v>109</v>
      </c>
      <c r="C593" s="130" t="n">
        <v>0</v>
      </c>
      <c r="D593" s="272"/>
      <c r="E593" s="272"/>
      <c r="F593" s="272"/>
      <c r="G593" s="165"/>
      <c r="H593" s="165"/>
      <c r="I593" s="212"/>
      <c r="J593" s="132"/>
      <c r="K593" s="132"/>
      <c r="L593" s="132"/>
      <c r="M593" s="132"/>
      <c r="N593" s="132"/>
      <c r="O593" s="132"/>
      <c r="P593" s="132"/>
      <c r="Q593" s="132"/>
      <c r="R593" s="132"/>
      <c r="S593" s="132"/>
      <c r="T593" s="132"/>
      <c r="U593" s="132"/>
      <c r="V593" s="132"/>
      <c r="W593" s="132"/>
      <c r="X593" s="132"/>
      <c r="Y593" s="132"/>
      <c r="Z593" s="132"/>
      <c r="AA593" s="132"/>
      <c r="AB593" s="132"/>
      <c r="AC593" s="132"/>
      <c r="AD593" s="132"/>
      <c r="AE593" s="132"/>
      <c r="AF593" s="165"/>
      <c r="AG593" s="165"/>
      <c r="AH593" s="52"/>
      <c r="AI593" s="52"/>
      <c r="AJ593" s="52"/>
      <c r="AK593" s="52"/>
      <c r="AL593" s="52"/>
      <c r="AM593" s="52"/>
      <c r="AN593" s="52"/>
      <c r="AO593" s="195"/>
      <c r="AP593" s="195"/>
      <c r="AQ593" s="106"/>
      <c r="AR593" s="106"/>
      <c r="AS593" s="335"/>
      <c r="AT593" s="335"/>
      <c r="AU593" s="106"/>
      <c r="AV593" s="106"/>
      <c r="AW593" s="106"/>
      <c r="AX593" s="106"/>
      <c r="AY593" s="106"/>
      <c r="AZ593" s="106"/>
      <c r="BA593" s="106"/>
      <c r="BB593" s="19"/>
      <c r="BC593" s="19"/>
      <c r="BD593" s="19"/>
      <c r="BE593" s="19"/>
      <c r="BF593" s="55"/>
    </row>
    <row r="594" s="56" customFormat="true" ht="14.1" hidden="true" customHeight="true" outlineLevel="1" collapsed="false">
      <c r="A594" s="139" t="s">
        <v>226</v>
      </c>
      <c r="B594" s="119" t="s">
        <v>109</v>
      </c>
      <c r="C594" s="151" t="n">
        <v>0</v>
      </c>
      <c r="D594" s="272"/>
      <c r="E594" s="272"/>
      <c r="F594" s="272"/>
      <c r="G594" s="165"/>
      <c r="H594" s="165"/>
      <c r="I594" s="212"/>
      <c r="J594" s="259"/>
      <c r="K594" s="165"/>
      <c r="L594" s="265"/>
      <c r="M594" s="165"/>
      <c r="N594" s="165"/>
      <c r="O594" s="165"/>
      <c r="P594" s="165"/>
      <c r="Q594" s="165"/>
      <c r="R594" s="165"/>
      <c r="S594" s="165"/>
      <c r="T594" s="165"/>
      <c r="U594" s="165"/>
      <c r="V594" s="165"/>
      <c r="W594" s="165"/>
      <c r="X594" s="165"/>
      <c r="Y594" s="165"/>
      <c r="Z594" s="165"/>
      <c r="AA594" s="165"/>
      <c r="AB594" s="165"/>
      <c r="AC594" s="165"/>
      <c r="AD594" s="165"/>
      <c r="AE594" s="165"/>
      <c r="AF594" s="165"/>
      <c r="AG594" s="165"/>
      <c r="AH594" s="52"/>
      <c r="AI594" s="52"/>
      <c r="AJ594" s="52"/>
      <c r="AK594" s="52"/>
      <c r="AL594" s="52"/>
      <c r="AM594" s="52"/>
      <c r="AN594" s="52"/>
      <c r="AO594" s="195"/>
      <c r="AP594" s="195"/>
      <c r="AQ594" s="106"/>
      <c r="AR594" s="106"/>
      <c r="AS594" s="335"/>
      <c r="AT594" s="335"/>
      <c r="AU594" s="106"/>
      <c r="AV594" s="106"/>
      <c r="AW594" s="106"/>
      <c r="AX594" s="106"/>
      <c r="AY594" s="106"/>
      <c r="AZ594" s="106"/>
      <c r="BA594" s="106"/>
      <c r="BB594" s="19"/>
      <c r="BC594" s="19"/>
      <c r="BD594" s="19"/>
      <c r="BE594" s="19"/>
      <c r="BF594" s="55"/>
    </row>
    <row r="595" s="56" customFormat="true" ht="14.1" hidden="true" customHeight="true" outlineLevel="1" collapsed="false">
      <c r="A595" s="138"/>
      <c r="B595" s="235"/>
      <c r="C595" s="138"/>
      <c r="D595" s="272"/>
      <c r="E595" s="272"/>
      <c r="F595" s="272"/>
      <c r="G595" s="165"/>
      <c r="H595" s="165"/>
      <c r="I595" s="212"/>
      <c r="J595" s="259"/>
      <c r="K595" s="165"/>
      <c r="L595" s="265"/>
      <c r="M595" s="165"/>
      <c r="N595" s="165"/>
      <c r="O595" s="165"/>
      <c r="P595" s="165"/>
      <c r="Q595" s="165"/>
      <c r="R595" s="165"/>
      <c r="S595" s="165"/>
      <c r="T595" s="165"/>
      <c r="U595" s="165"/>
      <c r="V595" s="165"/>
      <c r="W595" s="165"/>
      <c r="X595" s="165"/>
      <c r="Y595" s="165"/>
      <c r="Z595" s="165"/>
      <c r="AA595" s="165"/>
      <c r="AB595" s="165"/>
      <c r="AC595" s="165"/>
      <c r="AD595" s="165"/>
      <c r="AE595" s="165"/>
      <c r="AF595" s="165"/>
      <c r="AG595" s="165"/>
      <c r="AH595" s="52"/>
      <c r="AI595" s="52"/>
      <c r="AJ595" s="52"/>
      <c r="AK595" s="52"/>
      <c r="AL595" s="52"/>
      <c r="AM595" s="52"/>
      <c r="AN595" s="52"/>
      <c r="AO595" s="195"/>
      <c r="AP595" s="195"/>
      <c r="AQ595" s="106"/>
      <c r="AR595" s="106"/>
      <c r="AS595" s="335"/>
      <c r="AT595" s="335"/>
      <c r="AU595" s="106"/>
      <c r="AV595" s="106"/>
      <c r="AW595" s="106"/>
      <c r="AX595" s="106"/>
      <c r="AY595" s="106"/>
      <c r="AZ595" s="106"/>
      <c r="BA595" s="106"/>
      <c r="BB595" s="19"/>
      <c r="BC595" s="19"/>
      <c r="BD595" s="19"/>
      <c r="BE595" s="19"/>
      <c r="BF595" s="55"/>
    </row>
    <row r="596" s="56" customFormat="true" ht="14.1" hidden="true" customHeight="true" outlineLevel="1" collapsed="false">
      <c r="A596" s="152" t="s">
        <v>384</v>
      </c>
      <c r="B596" s="119" t="s">
        <v>113</v>
      </c>
      <c r="C596" s="252" t="n">
        <v>0</v>
      </c>
      <c r="D596" s="272"/>
      <c r="E596" s="272"/>
      <c r="F596" s="272"/>
      <c r="G596" s="165"/>
      <c r="H596" s="165"/>
      <c r="I596" s="212"/>
      <c r="J596" s="259"/>
      <c r="K596" s="165"/>
      <c r="L596" s="265"/>
      <c r="M596" s="165"/>
      <c r="N596" s="165"/>
      <c r="O596" s="165"/>
      <c r="P596" s="165"/>
      <c r="Q596" s="165"/>
      <c r="R596" s="165"/>
      <c r="S596" s="165"/>
      <c r="T596" s="165"/>
      <c r="U596" s="165"/>
      <c r="V596" s="165"/>
      <c r="W596" s="165"/>
      <c r="X596" s="165"/>
      <c r="Y596" s="165"/>
      <c r="Z596" s="165"/>
      <c r="AA596" s="165"/>
      <c r="AB596" s="165"/>
      <c r="AC596" s="165"/>
      <c r="AD596" s="165"/>
      <c r="AE596" s="165"/>
      <c r="AF596" s="165"/>
      <c r="AG596" s="165"/>
      <c r="AH596" s="52"/>
      <c r="AI596" s="52"/>
      <c r="AJ596" s="52"/>
      <c r="AK596" s="52"/>
      <c r="AL596" s="52"/>
      <c r="AM596" s="52"/>
      <c r="AN596" s="52"/>
      <c r="AO596" s="195"/>
      <c r="AP596" s="195"/>
      <c r="AQ596" s="106"/>
      <c r="AR596" s="106"/>
      <c r="AS596" s="335"/>
      <c r="AT596" s="335"/>
      <c r="AU596" s="106"/>
      <c r="AV596" s="106"/>
      <c r="AW596" s="106"/>
      <c r="AX596" s="106"/>
      <c r="AY596" s="106"/>
      <c r="AZ596" s="106"/>
      <c r="BA596" s="106"/>
      <c r="BB596" s="19"/>
      <c r="BC596" s="19"/>
      <c r="BD596" s="19"/>
      <c r="BE596" s="19"/>
      <c r="BF596" s="55"/>
    </row>
    <row r="597" s="56" customFormat="true" ht="14.1" hidden="false" customHeight="true" outlineLevel="0" collapsed="false">
      <c r="A597" s="155" t="s">
        <v>385</v>
      </c>
      <c r="B597" s="155"/>
      <c r="C597" s="155"/>
      <c r="D597" s="155"/>
      <c r="E597" s="155"/>
      <c r="F597" s="332" t="s">
        <v>56</v>
      </c>
      <c r="G597" s="165"/>
      <c r="H597" s="165"/>
      <c r="I597" s="212"/>
      <c r="J597" s="259"/>
      <c r="K597" s="165"/>
      <c r="L597" s="265"/>
      <c r="M597" s="165"/>
      <c r="N597" s="165"/>
      <c r="O597" s="165"/>
      <c r="P597" s="165"/>
      <c r="Q597" s="165"/>
      <c r="R597" s="165"/>
      <c r="S597" s="165"/>
      <c r="T597" s="165"/>
      <c r="U597" s="165"/>
      <c r="V597" s="165"/>
      <c r="W597" s="165"/>
      <c r="X597" s="165"/>
      <c r="Y597" s="165"/>
      <c r="Z597" s="165"/>
      <c r="AA597" s="165"/>
      <c r="AB597" s="165"/>
      <c r="AC597" s="165"/>
      <c r="AD597" s="165"/>
      <c r="AE597" s="165"/>
      <c r="AF597" s="165"/>
      <c r="AG597" s="165"/>
      <c r="AH597" s="52"/>
      <c r="AI597" s="52"/>
      <c r="AJ597" s="52"/>
      <c r="AK597" s="52"/>
      <c r="AL597" s="52"/>
      <c r="AM597" s="52"/>
      <c r="AN597" s="52"/>
      <c r="AO597" s="195"/>
      <c r="AP597" s="195"/>
      <c r="AQ597" s="106"/>
      <c r="AR597" s="106"/>
      <c r="AS597" s="335"/>
      <c r="AT597" s="335"/>
      <c r="AU597" s="106"/>
      <c r="AV597" s="106"/>
      <c r="AW597" s="106"/>
      <c r="AX597" s="106"/>
      <c r="AY597" s="106"/>
      <c r="AZ597" s="106"/>
      <c r="BA597" s="106"/>
      <c r="BB597" s="19"/>
      <c r="BC597" s="19"/>
      <c r="BD597" s="19"/>
      <c r="BE597" s="19"/>
      <c r="BF597" s="55"/>
    </row>
    <row r="598" s="50" customFormat="true" ht="14.1" hidden="false" customHeight="true" outlineLevel="0" collapsed="false">
      <c r="A598" s="337"/>
      <c r="B598" s="132"/>
      <c r="C598" s="132"/>
      <c r="D598" s="132"/>
      <c r="E598" s="132"/>
      <c r="F598" s="132"/>
      <c r="G598" s="165"/>
      <c r="H598" s="165"/>
      <c r="I598" s="212"/>
      <c r="J598" s="132"/>
      <c r="K598" s="132"/>
      <c r="L598" s="132"/>
      <c r="M598" s="132"/>
      <c r="N598" s="132"/>
      <c r="O598" s="132"/>
      <c r="P598" s="132"/>
      <c r="Q598" s="132"/>
      <c r="R598" s="132"/>
      <c r="S598" s="132"/>
      <c r="T598" s="132"/>
      <c r="U598" s="132"/>
      <c r="V598" s="132"/>
      <c r="W598" s="132"/>
      <c r="X598" s="132"/>
      <c r="Y598" s="132"/>
      <c r="Z598" s="132"/>
      <c r="AA598" s="132"/>
      <c r="AB598" s="132"/>
      <c r="AC598" s="132"/>
      <c r="AD598" s="132"/>
      <c r="AE598" s="132"/>
      <c r="AF598" s="165"/>
      <c r="AG598" s="165"/>
      <c r="AH598" s="52"/>
      <c r="AI598" s="52"/>
      <c r="AJ598" s="52"/>
      <c r="AK598" s="52"/>
      <c r="AL598" s="52"/>
      <c r="AM598" s="52"/>
      <c r="AN598" s="52"/>
      <c r="AO598" s="195"/>
      <c r="AP598" s="195"/>
      <c r="AQ598" s="106"/>
      <c r="AR598" s="106"/>
      <c r="AS598" s="335"/>
      <c r="AT598" s="335"/>
      <c r="AU598" s="106"/>
      <c r="AV598" s="106"/>
      <c r="AW598" s="106"/>
      <c r="AX598" s="106"/>
      <c r="AY598" s="106"/>
      <c r="AZ598" s="106"/>
      <c r="BA598" s="106"/>
      <c r="BB598" s="106"/>
      <c r="BC598" s="106"/>
      <c r="BD598" s="106"/>
      <c r="BE598" s="106"/>
      <c r="BF598" s="103"/>
    </row>
    <row r="599" s="56" customFormat="true" ht="14.1" hidden="true" customHeight="true" outlineLevel="1" collapsed="false">
      <c r="A599" s="284" t="s">
        <v>386</v>
      </c>
      <c r="B599" s="284"/>
      <c r="C599" s="284"/>
      <c r="D599" s="284"/>
      <c r="E599" s="284"/>
      <c r="F599" s="278"/>
      <c r="G599" s="165"/>
      <c r="H599" s="165"/>
      <c r="I599" s="212"/>
      <c r="J599" s="158" t="s">
        <v>387</v>
      </c>
      <c r="K599" s="158"/>
      <c r="L599" s="158"/>
      <c r="M599" s="158"/>
      <c r="N599" s="158"/>
      <c r="O599" s="158"/>
      <c r="P599" s="158"/>
      <c r="Q599" s="158"/>
      <c r="R599" s="158"/>
      <c r="S599" s="158"/>
      <c r="T599" s="158"/>
      <c r="U599" s="158"/>
      <c r="V599" s="158"/>
      <c r="W599" s="158"/>
      <c r="X599" s="158"/>
      <c r="Y599" s="158"/>
      <c r="Z599" s="158"/>
      <c r="AA599" s="158"/>
      <c r="AB599" s="158"/>
      <c r="AC599" s="158"/>
      <c r="AD599" s="158"/>
      <c r="AE599" s="158"/>
      <c r="AF599" s="165"/>
      <c r="AG599" s="165"/>
      <c r="AH599" s="52"/>
      <c r="AI599" s="52"/>
      <c r="AJ599" s="52"/>
      <c r="AK599" s="52"/>
      <c r="AL599" s="52"/>
      <c r="AM599" s="52"/>
      <c r="AN599" s="52"/>
      <c r="AO599" s="195"/>
      <c r="AP599" s="195"/>
      <c r="AQ599" s="106"/>
      <c r="AR599" s="106"/>
      <c r="AS599" s="335"/>
      <c r="AT599" s="335"/>
      <c r="AU599" s="106"/>
      <c r="AV599" s="106"/>
      <c r="AW599" s="106"/>
      <c r="AX599" s="106"/>
      <c r="AY599" s="106"/>
      <c r="AZ599" s="106"/>
      <c r="BA599" s="106"/>
      <c r="BB599" s="19"/>
      <c r="BC599" s="19"/>
      <c r="BD599" s="19"/>
      <c r="BE599" s="19"/>
      <c r="BF599" s="55"/>
    </row>
    <row r="600" s="56" customFormat="true" ht="14.1" hidden="true" customHeight="true" outlineLevel="1" collapsed="false">
      <c r="A600" s="288"/>
      <c r="B600" s="288"/>
      <c r="C600" s="288"/>
      <c r="D600" s="288"/>
      <c r="E600" s="288"/>
      <c r="F600" s="288"/>
      <c r="G600" s="165"/>
      <c r="H600" s="165"/>
      <c r="I600" s="212"/>
      <c r="J600" s="158"/>
      <c r="K600" s="158"/>
      <c r="L600" s="158"/>
      <c r="M600" s="158"/>
      <c r="N600" s="158"/>
      <c r="O600" s="158"/>
      <c r="P600" s="158"/>
      <c r="Q600" s="158"/>
      <c r="R600" s="158"/>
      <c r="S600" s="158"/>
      <c r="T600" s="158"/>
      <c r="U600" s="158"/>
      <c r="V600" s="158"/>
      <c r="W600" s="158"/>
      <c r="X600" s="158"/>
      <c r="Y600" s="158"/>
      <c r="Z600" s="158"/>
      <c r="AA600" s="158"/>
      <c r="AB600" s="158"/>
      <c r="AC600" s="158"/>
      <c r="AD600" s="158"/>
      <c r="AE600" s="158"/>
      <c r="AF600" s="165"/>
      <c r="AG600" s="165"/>
      <c r="AH600" s="52"/>
      <c r="AI600" s="52"/>
      <c r="AJ600" s="52"/>
      <c r="AK600" s="52"/>
      <c r="AL600" s="52"/>
      <c r="AM600" s="52"/>
      <c r="AN600" s="52"/>
      <c r="AO600" s="195"/>
      <c r="AP600" s="195"/>
      <c r="AQ600" s="106"/>
      <c r="AR600" s="106"/>
      <c r="AS600" s="335"/>
      <c r="AT600" s="335"/>
      <c r="AU600" s="106"/>
      <c r="AV600" s="106"/>
      <c r="AW600" s="106"/>
      <c r="AX600" s="106"/>
      <c r="AY600" s="106"/>
      <c r="AZ600" s="106"/>
      <c r="BA600" s="106"/>
      <c r="BB600" s="19"/>
      <c r="BC600" s="19"/>
      <c r="BD600" s="19"/>
      <c r="BE600" s="19"/>
      <c r="BF600" s="55"/>
    </row>
    <row r="601" customFormat="false" ht="14.1" hidden="true" customHeight="true" outlineLevel="1" collapsed="false">
      <c r="A601" s="261" t="s">
        <v>388</v>
      </c>
      <c r="B601" s="261"/>
      <c r="C601" s="261"/>
      <c r="D601" s="261"/>
      <c r="E601" s="262" t="n">
        <v>1</v>
      </c>
      <c r="F601" s="264"/>
      <c r="G601" s="26"/>
      <c r="H601" s="165"/>
      <c r="I601" s="26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  <c r="AA601" s="26"/>
      <c r="AB601" s="26"/>
      <c r="AC601" s="26"/>
      <c r="AD601" s="26"/>
      <c r="AE601" s="26"/>
      <c r="AF601" s="26"/>
      <c r="AG601" s="26"/>
      <c r="AH601" s="35"/>
      <c r="AI601" s="35"/>
      <c r="AJ601" s="35"/>
      <c r="AK601" s="188"/>
      <c r="AL601" s="188"/>
      <c r="AM601" s="188"/>
      <c r="AN601" s="188"/>
      <c r="AO601" s="188"/>
      <c r="AP601" s="188"/>
      <c r="AQ601" s="331"/>
      <c r="AR601" s="331"/>
      <c r="AS601" s="331"/>
      <c r="AT601" s="331"/>
      <c r="AU601" s="331"/>
      <c r="AV601" s="106"/>
      <c r="AW601" s="126"/>
      <c r="AX601" s="126"/>
      <c r="AY601" s="126"/>
      <c r="AZ601" s="126"/>
      <c r="BA601" s="126"/>
      <c r="BB601" s="21"/>
      <c r="BC601" s="21"/>
      <c r="BD601" s="21"/>
      <c r="BE601" s="21"/>
    </row>
    <row r="602" s="56" customFormat="true" ht="14.1" hidden="true" customHeight="true" outlineLevel="1" collapsed="false">
      <c r="A602" s="261" t="s">
        <v>389</v>
      </c>
      <c r="B602" s="261"/>
      <c r="C602" s="261"/>
      <c r="D602" s="261"/>
      <c r="E602" s="262" t="n">
        <v>1.1</v>
      </c>
      <c r="F602" s="264"/>
      <c r="G602" s="165"/>
      <c r="H602" s="165"/>
      <c r="I602" s="132"/>
      <c r="J602" s="132"/>
      <c r="K602" s="132"/>
      <c r="L602" s="132"/>
      <c r="M602" s="132"/>
      <c r="N602" s="132"/>
      <c r="O602" s="132"/>
      <c r="P602" s="132"/>
      <c r="Q602" s="132"/>
      <c r="R602" s="132"/>
      <c r="S602" s="132"/>
      <c r="T602" s="132"/>
      <c r="U602" s="132"/>
      <c r="V602" s="132"/>
      <c r="W602" s="132"/>
      <c r="X602" s="132"/>
      <c r="Y602" s="132"/>
      <c r="Z602" s="132"/>
      <c r="AA602" s="132"/>
      <c r="AB602" s="132"/>
      <c r="AC602" s="132"/>
      <c r="AD602" s="132"/>
      <c r="AE602" s="132"/>
      <c r="AF602" s="132"/>
      <c r="AG602" s="132"/>
      <c r="AH602" s="50"/>
      <c r="AI602" s="50"/>
      <c r="AJ602" s="50"/>
      <c r="AK602" s="188"/>
      <c r="AL602" s="188"/>
      <c r="AM602" s="188"/>
      <c r="AN602" s="188"/>
      <c r="AO602" s="188"/>
      <c r="AP602" s="188"/>
      <c r="AQ602" s="331"/>
      <c r="AR602" s="331"/>
      <c r="AS602" s="331"/>
      <c r="AT602" s="331"/>
      <c r="AU602" s="331"/>
      <c r="AV602" s="106"/>
      <c r="AW602" s="106"/>
      <c r="AX602" s="106"/>
      <c r="AY602" s="106"/>
      <c r="AZ602" s="106"/>
      <c r="BA602" s="106"/>
      <c r="BB602" s="19"/>
      <c r="BC602" s="19"/>
      <c r="BD602" s="19"/>
      <c r="BE602" s="19"/>
      <c r="BF602" s="55"/>
    </row>
    <row r="603" customFormat="false" ht="14.1" hidden="true" customHeight="true" outlineLevel="1" collapsed="false">
      <c r="A603" s="278"/>
      <c r="B603" s="278"/>
      <c r="C603" s="278"/>
      <c r="D603" s="278"/>
      <c r="E603" s="278"/>
      <c r="F603" s="278"/>
      <c r="G603" s="26"/>
      <c r="H603" s="165"/>
      <c r="I603" s="187"/>
      <c r="J603" s="187"/>
      <c r="K603" s="187"/>
      <c r="L603" s="187"/>
      <c r="M603" s="187"/>
      <c r="N603" s="187"/>
      <c r="O603" s="187"/>
      <c r="P603" s="187"/>
      <c r="Q603" s="187"/>
      <c r="R603" s="187"/>
      <c r="S603" s="187"/>
      <c r="T603" s="187"/>
      <c r="U603" s="187"/>
      <c r="V603" s="187"/>
      <c r="W603" s="187"/>
      <c r="X603" s="187"/>
      <c r="Y603" s="187"/>
      <c r="Z603" s="187"/>
      <c r="AA603" s="187"/>
      <c r="AB603" s="187"/>
      <c r="AC603" s="187"/>
      <c r="AD603" s="187"/>
      <c r="AE603" s="187"/>
      <c r="AF603" s="187"/>
      <c r="AG603" s="187"/>
      <c r="AH603" s="188"/>
      <c r="AI603" s="188"/>
      <c r="AJ603" s="188"/>
      <c r="AK603" s="188"/>
      <c r="AL603" s="188"/>
      <c r="AM603" s="188"/>
      <c r="AN603" s="188"/>
      <c r="AO603" s="188"/>
      <c r="AP603" s="188"/>
      <c r="AQ603" s="331"/>
      <c r="AR603" s="331"/>
      <c r="AS603" s="331"/>
      <c r="AT603" s="331"/>
      <c r="AU603" s="331"/>
      <c r="AV603" s="106"/>
      <c r="AW603" s="126"/>
      <c r="AX603" s="126"/>
      <c r="AY603" s="126"/>
      <c r="AZ603" s="126"/>
      <c r="BA603" s="126"/>
      <c r="BB603" s="21"/>
      <c r="BC603" s="21"/>
      <c r="BD603" s="21"/>
      <c r="BE603" s="21"/>
    </row>
    <row r="604" customFormat="false" ht="14.1" hidden="true" customHeight="true" outlineLevel="1" collapsed="false">
      <c r="A604" s="148" t="s">
        <v>390</v>
      </c>
      <c r="B604" s="148"/>
      <c r="C604" s="148"/>
      <c r="D604" s="332" t="s">
        <v>44</v>
      </c>
      <c r="E604" s="138"/>
      <c r="F604" s="138"/>
      <c r="G604" s="217"/>
      <c r="H604" s="217"/>
      <c r="I604" s="217"/>
      <c r="J604" s="221"/>
      <c r="K604" s="221"/>
      <c r="L604" s="221"/>
      <c r="M604" s="224"/>
      <c r="N604" s="224"/>
      <c r="O604" s="224"/>
      <c r="P604" s="224"/>
      <c r="Q604" s="224"/>
      <c r="R604" s="224"/>
      <c r="S604" s="224"/>
      <c r="T604" s="224"/>
      <c r="U604" s="221"/>
      <c r="V604" s="221"/>
      <c r="W604" s="221"/>
      <c r="X604" s="165"/>
      <c r="Y604" s="165"/>
      <c r="Z604" s="223"/>
      <c r="AA604" s="223"/>
      <c r="AB604" s="221"/>
      <c r="AC604" s="221"/>
      <c r="AD604" s="26"/>
      <c r="AE604" s="26"/>
      <c r="AF604" s="26"/>
      <c r="AG604" s="26"/>
      <c r="AH604" s="35"/>
      <c r="AI604" s="35"/>
      <c r="AJ604" s="35"/>
      <c r="AK604" s="188"/>
      <c r="AL604" s="188"/>
      <c r="AM604" s="188"/>
      <c r="AN604" s="188"/>
      <c r="AO604" s="188"/>
      <c r="AP604" s="188"/>
      <c r="AQ604" s="331"/>
      <c r="AR604" s="331"/>
      <c r="AS604" s="331"/>
      <c r="AT604" s="331"/>
      <c r="AU604" s="331"/>
      <c r="AV604" s="106"/>
      <c r="AW604" s="126"/>
      <c r="AX604" s="126"/>
      <c r="AY604" s="126"/>
      <c r="AZ604" s="126"/>
      <c r="BA604" s="126"/>
      <c r="BB604" s="21"/>
      <c r="BC604" s="21"/>
      <c r="BD604" s="21"/>
      <c r="BE604" s="21"/>
    </row>
    <row r="605" customFormat="false" ht="14.1" hidden="true" customHeight="true" outlineLevel="1" collapsed="false">
      <c r="A605" s="272"/>
      <c r="B605" s="276"/>
      <c r="C605" s="272"/>
      <c r="D605" s="272"/>
      <c r="E605" s="276"/>
      <c r="F605" s="276"/>
      <c r="G605" s="217"/>
      <c r="H605" s="226"/>
      <c r="I605" s="226"/>
      <c r="J605" s="221"/>
      <c r="K605" s="221"/>
      <c r="L605" s="221"/>
      <c r="M605" s="224"/>
      <c r="N605" s="224"/>
      <c r="O605" s="224"/>
      <c r="P605" s="224"/>
      <c r="Q605" s="224"/>
      <c r="R605" s="224"/>
      <c r="S605" s="224"/>
      <c r="T605" s="224"/>
      <c r="U605" s="221"/>
      <c r="V605" s="221"/>
      <c r="W605" s="221"/>
      <c r="X605" s="221"/>
      <c r="Y605" s="221"/>
      <c r="Z605" s="221"/>
      <c r="AA605" s="221"/>
      <c r="AB605" s="221"/>
      <c r="AC605" s="221"/>
      <c r="AD605" s="221"/>
      <c r="AE605" s="221"/>
      <c r="AF605" s="132"/>
      <c r="AG605" s="132"/>
      <c r="AH605" s="35"/>
      <c r="AI605" s="35"/>
      <c r="AJ605" s="35"/>
      <c r="AK605" s="188"/>
      <c r="AL605" s="188"/>
      <c r="AM605" s="188"/>
      <c r="AN605" s="188"/>
      <c r="AO605" s="188"/>
      <c r="AP605" s="188"/>
      <c r="AQ605" s="331"/>
      <c r="AR605" s="331"/>
      <c r="AS605" s="331"/>
      <c r="AT605" s="331"/>
      <c r="AU605" s="331"/>
      <c r="AV605" s="106"/>
      <c r="AW605" s="126"/>
      <c r="AX605" s="126"/>
      <c r="AY605" s="126" t="e">
        <f aca="false">#REF!</f>
        <v>#REF!</v>
      </c>
      <c r="AZ605" s="126"/>
      <c r="BA605" s="126"/>
      <c r="BB605" s="21"/>
      <c r="BC605" s="21"/>
      <c r="BD605" s="21"/>
      <c r="BE605" s="21"/>
    </row>
    <row r="606" customFormat="false" ht="14.1" hidden="true" customHeight="true" outlineLevel="1" collapsed="false">
      <c r="A606" s="237" t="s">
        <v>391</v>
      </c>
      <c r="B606" s="180" t="s">
        <v>15</v>
      </c>
      <c r="C606" s="239" t="n">
        <v>1</v>
      </c>
      <c r="D606" s="272"/>
      <c r="E606" s="276"/>
      <c r="F606" s="276"/>
      <c r="G606" s="217"/>
      <c r="H606" s="221"/>
      <c r="I606" s="221"/>
      <c r="J606" s="217"/>
      <c r="K606" s="221"/>
      <c r="L606" s="221"/>
      <c r="M606" s="224"/>
      <c r="N606" s="221"/>
      <c r="O606" s="221"/>
      <c r="P606" s="221"/>
      <c r="Q606" s="221"/>
      <c r="R606" s="221"/>
      <c r="S606" s="221"/>
      <c r="T606" s="221"/>
      <c r="U606" s="221"/>
      <c r="V606" s="221"/>
      <c r="W606" s="221"/>
      <c r="X606" s="221"/>
      <c r="Y606" s="221"/>
      <c r="Z606" s="221"/>
      <c r="AA606" s="221"/>
      <c r="AB606" s="217"/>
      <c r="AC606" s="217"/>
      <c r="AD606" s="214"/>
      <c r="AE606" s="214"/>
      <c r="AF606" s="26"/>
      <c r="AG606" s="26"/>
      <c r="AH606" s="188"/>
      <c r="AI606" s="35"/>
      <c r="AJ606" s="35"/>
      <c r="AK606" s="35"/>
      <c r="AL606" s="35"/>
      <c r="AM606" s="35"/>
      <c r="AN606" s="188"/>
      <c r="AO606" s="188"/>
      <c r="AP606" s="188"/>
      <c r="AQ606" s="331"/>
      <c r="AR606" s="331"/>
      <c r="AS606" s="331"/>
      <c r="AT606" s="331"/>
      <c r="AU606" s="331"/>
      <c r="AV606" s="106"/>
      <c r="AW606" s="126"/>
      <c r="AX606" s="126"/>
      <c r="AY606" s="126" t="e">
        <f aca="false">#REF!</f>
        <v>#REF!</v>
      </c>
      <c r="AZ606" s="126"/>
      <c r="BA606" s="126"/>
      <c r="BB606" s="21"/>
      <c r="BC606" s="21"/>
      <c r="BD606" s="21"/>
      <c r="BE606" s="21"/>
    </row>
    <row r="607" customFormat="false" ht="14.1" hidden="true" customHeight="true" outlineLevel="1" collapsed="false">
      <c r="A607" s="314" t="s">
        <v>392</v>
      </c>
      <c r="B607" s="180" t="s">
        <v>15</v>
      </c>
      <c r="C607" s="262" t="n">
        <v>3</v>
      </c>
      <c r="D607" s="138"/>
      <c r="E607" s="138"/>
      <c r="F607" s="138"/>
      <c r="G607" s="217"/>
      <c r="H607" s="221"/>
      <c r="I607" s="221"/>
      <c r="J607" s="217"/>
      <c r="K607" s="221"/>
      <c r="L607" s="221"/>
      <c r="M607" s="224"/>
      <c r="N607" s="221"/>
      <c r="O607" s="221"/>
      <c r="P607" s="221"/>
      <c r="Q607" s="221"/>
      <c r="R607" s="221"/>
      <c r="S607" s="221"/>
      <c r="T607" s="221"/>
      <c r="U607" s="221"/>
      <c r="V607" s="221"/>
      <c r="W607" s="221"/>
      <c r="X607" s="221"/>
      <c r="Y607" s="221"/>
      <c r="Z607" s="221"/>
      <c r="AA607" s="221"/>
      <c r="AB607" s="217"/>
      <c r="AC607" s="217"/>
      <c r="AD607" s="221"/>
      <c r="AE607" s="221"/>
      <c r="AF607" s="26"/>
      <c r="AG607" s="26"/>
      <c r="AH607" s="188"/>
      <c r="AI607" s="35"/>
      <c r="AJ607" s="35"/>
      <c r="AK607" s="35"/>
      <c r="AL607" s="35"/>
      <c r="AM607" s="35"/>
      <c r="AN607" s="188"/>
      <c r="AO607" s="260"/>
      <c r="AP607" s="260"/>
      <c r="AQ607" s="331"/>
      <c r="AR607" s="331"/>
      <c r="AS607" s="331"/>
      <c r="AT607" s="331"/>
      <c r="AU607" s="331"/>
      <c r="AV607" s="106"/>
      <c r="AW607" s="126"/>
      <c r="AX607" s="126"/>
      <c r="AY607" s="126" t="e">
        <f aca="false">#REF!</f>
        <v>#REF!</v>
      </c>
      <c r="AZ607" s="126"/>
      <c r="BA607" s="126"/>
      <c r="BB607" s="21"/>
      <c r="BC607" s="21"/>
      <c r="BD607" s="21"/>
      <c r="BE607" s="21"/>
    </row>
    <row r="608" customFormat="false" ht="14.1" hidden="true" customHeight="true" outlineLevel="1" collapsed="false">
      <c r="A608" s="314" t="s">
        <v>393</v>
      </c>
      <c r="B608" s="180" t="s">
        <v>15</v>
      </c>
      <c r="C608" s="262" t="n">
        <v>3</v>
      </c>
      <c r="D608" s="138"/>
      <c r="E608" s="138"/>
      <c r="F608" s="138"/>
      <c r="G608" s="217"/>
      <c r="H608" s="217"/>
      <c r="I608" s="217"/>
      <c r="J608" s="217"/>
      <c r="K608" s="221"/>
      <c r="L608" s="221"/>
      <c r="M608" s="224"/>
      <c r="N608" s="221"/>
      <c r="O608" s="221"/>
      <c r="P608" s="221"/>
      <c r="Q608" s="221"/>
      <c r="R608" s="221"/>
      <c r="S608" s="233"/>
      <c r="T608" s="221"/>
      <c r="U608" s="221"/>
      <c r="V608" s="221"/>
      <c r="W608" s="221"/>
      <c r="X608" s="221"/>
      <c r="Y608" s="221"/>
      <c r="Z608" s="221"/>
      <c r="AA608" s="221"/>
      <c r="AB608" s="217"/>
      <c r="AC608" s="217"/>
      <c r="AD608" s="221"/>
      <c r="AE608" s="221"/>
      <c r="AF608" s="26"/>
      <c r="AG608" s="26"/>
      <c r="AH608" s="35"/>
      <c r="AI608" s="35"/>
      <c r="AJ608" s="35"/>
      <c r="AK608" s="35"/>
      <c r="AL608" s="35"/>
      <c r="AM608" s="35"/>
      <c r="AN608" s="35"/>
      <c r="AO608" s="35"/>
      <c r="AP608" s="35"/>
      <c r="AQ608" s="156"/>
      <c r="AR608" s="156"/>
      <c r="AS608" s="126"/>
      <c r="AT608" s="126"/>
      <c r="AU608" s="106"/>
      <c r="AV608" s="106"/>
      <c r="AW608" s="126"/>
      <c r="AX608" s="126"/>
      <c r="AY608" s="126" t="e">
        <f aca="false">#REF!</f>
        <v>#REF!</v>
      </c>
      <c r="AZ608" s="126"/>
      <c r="BA608" s="126"/>
      <c r="BB608" s="21"/>
      <c r="BC608" s="21"/>
      <c r="BD608" s="21"/>
      <c r="BE608" s="21"/>
    </row>
    <row r="609" customFormat="false" ht="14.1" hidden="true" customHeight="true" outlineLevel="1" collapsed="false">
      <c r="A609" s="314" t="s">
        <v>394</v>
      </c>
      <c r="B609" s="180" t="s">
        <v>15</v>
      </c>
      <c r="C609" s="262" t="n">
        <v>2.7</v>
      </c>
      <c r="D609" s="138"/>
      <c r="E609" s="138"/>
      <c r="F609" s="138"/>
      <c r="G609" s="217"/>
      <c r="H609" s="217"/>
      <c r="I609" s="217"/>
      <c r="J609" s="217"/>
      <c r="K609" s="221"/>
      <c r="L609" s="221"/>
      <c r="M609" s="224"/>
      <c r="N609" s="221"/>
      <c r="O609" s="221"/>
      <c r="P609" s="221"/>
      <c r="Q609" s="221"/>
      <c r="R609" s="221"/>
      <c r="S609" s="221"/>
      <c r="T609" s="221"/>
      <c r="U609" s="221"/>
      <c r="V609" s="221"/>
      <c r="W609" s="221"/>
      <c r="X609" s="221"/>
      <c r="Y609" s="221"/>
      <c r="Z609" s="221"/>
      <c r="AA609" s="221"/>
      <c r="AB609" s="217"/>
      <c r="AC609" s="217"/>
      <c r="AD609" s="217"/>
      <c r="AE609" s="217"/>
      <c r="AF609" s="26"/>
      <c r="AG609" s="26"/>
      <c r="AH609" s="35"/>
      <c r="AI609" s="35"/>
      <c r="AJ609" s="35"/>
      <c r="AK609" s="35"/>
      <c r="AL609" s="35"/>
      <c r="AM609" s="35"/>
      <c r="AN609" s="35"/>
      <c r="AO609" s="35"/>
      <c r="AP609" s="35"/>
      <c r="AQ609" s="156"/>
      <c r="AR609" s="156"/>
      <c r="AS609" s="126"/>
      <c r="AT609" s="126"/>
      <c r="AU609" s="106"/>
      <c r="AV609" s="106"/>
      <c r="AW609" s="126"/>
      <c r="AX609" s="126"/>
      <c r="AY609" s="126" t="n">
        <f aca="false">G631</f>
        <v>4.5</v>
      </c>
      <c r="AZ609" s="126"/>
      <c r="BA609" s="126"/>
      <c r="BB609" s="21"/>
      <c r="BC609" s="21"/>
      <c r="BD609" s="21"/>
      <c r="BE609" s="21"/>
    </row>
    <row r="610" customFormat="false" ht="14.1" hidden="true" customHeight="true" outlineLevel="1" collapsed="false">
      <c r="A610" s="239" t="s">
        <v>395</v>
      </c>
      <c r="B610" s="180" t="s">
        <v>15</v>
      </c>
      <c r="C610" s="262" t="n">
        <v>2.7</v>
      </c>
      <c r="D610" s="272"/>
      <c r="E610" s="272"/>
      <c r="F610" s="272"/>
      <c r="G610" s="217"/>
      <c r="H610" s="217"/>
      <c r="I610" s="217"/>
      <c r="J610" s="217"/>
      <c r="K610" s="221"/>
      <c r="L610" s="221"/>
      <c r="M610" s="224"/>
      <c r="N610" s="221"/>
      <c r="O610" s="221"/>
      <c r="P610" s="221"/>
      <c r="Q610" s="221"/>
      <c r="R610" s="221"/>
      <c r="S610" s="221"/>
      <c r="T610" s="221"/>
      <c r="U610" s="221"/>
      <c r="V610" s="221"/>
      <c r="W610" s="221"/>
      <c r="X610" s="221"/>
      <c r="Y610" s="221"/>
      <c r="Z610" s="221"/>
      <c r="AA610" s="221"/>
      <c r="AB610" s="217"/>
      <c r="AC610" s="217"/>
      <c r="AD610" s="217"/>
      <c r="AE610" s="230"/>
      <c r="AF610" s="26"/>
      <c r="AG610" s="26"/>
      <c r="AH610" s="35"/>
      <c r="AI610" s="35"/>
      <c r="AJ610" s="35"/>
      <c r="AK610" s="35"/>
      <c r="AL610" s="35"/>
      <c r="AM610" s="35"/>
      <c r="AN610" s="35"/>
      <c r="AO610" s="35"/>
      <c r="AP610" s="35"/>
      <c r="AQ610" s="156"/>
      <c r="AR610" s="156"/>
      <c r="AS610" s="126"/>
      <c r="AT610" s="126"/>
      <c r="AU610" s="106"/>
      <c r="AV610" s="106"/>
      <c r="AW610" s="126"/>
      <c r="AX610" s="126"/>
      <c r="AY610" s="126" t="n">
        <v>2.5</v>
      </c>
      <c r="AZ610" s="126"/>
      <c r="BA610" s="126"/>
      <c r="BB610" s="21"/>
      <c r="BC610" s="21" t="n">
        <f aca="false">AF634</f>
        <v>4</v>
      </c>
      <c r="BD610" s="21"/>
      <c r="BE610" s="21"/>
    </row>
    <row r="611" customFormat="false" ht="14.1" hidden="true" customHeight="true" outlineLevel="1" collapsed="false">
      <c r="A611" s="338" t="s">
        <v>396</v>
      </c>
      <c r="B611" s="119" t="s">
        <v>15</v>
      </c>
      <c r="C611" s="239" t="n">
        <v>4.5</v>
      </c>
      <c r="D611" s="138"/>
      <c r="E611" s="138"/>
      <c r="F611" s="138"/>
      <c r="G611" s="217"/>
      <c r="H611" s="217"/>
      <c r="I611" s="217"/>
      <c r="J611" s="217"/>
      <c r="K611" s="221"/>
      <c r="L611" s="221"/>
      <c r="M611" s="224"/>
      <c r="N611" s="221"/>
      <c r="O611" s="221"/>
      <c r="P611" s="221"/>
      <c r="Q611" s="221"/>
      <c r="R611" s="339" t="s">
        <v>261</v>
      </c>
      <c r="S611" s="221"/>
      <c r="T611" s="221"/>
      <c r="U611" s="221"/>
      <c r="V611" s="221"/>
      <c r="W611" s="221"/>
      <c r="X611" s="221"/>
      <c r="Y611" s="221"/>
      <c r="Z611" s="221"/>
      <c r="AA611" s="221"/>
      <c r="AB611" s="217"/>
      <c r="AC611" s="217"/>
      <c r="AD611" s="217"/>
      <c r="AE611" s="221"/>
      <c r="AF611" s="26"/>
      <c r="AG611" s="26"/>
      <c r="AH611" s="35"/>
      <c r="AI611" s="35"/>
      <c r="AJ611" s="35"/>
      <c r="AK611" s="35"/>
      <c r="AL611" s="35"/>
      <c r="AM611" s="35"/>
      <c r="AN611" s="35"/>
      <c r="AO611" s="253"/>
      <c r="AP611" s="253"/>
      <c r="AQ611" s="156"/>
      <c r="AR611" s="156"/>
      <c r="AS611" s="126"/>
      <c r="AT611" s="126"/>
      <c r="AU611" s="106"/>
      <c r="AV611" s="106"/>
      <c r="AW611" s="126"/>
      <c r="AX611" s="126"/>
      <c r="AY611" s="126" t="n">
        <f aca="false">AF634</f>
        <v>4</v>
      </c>
      <c r="AZ611" s="126"/>
      <c r="BA611" s="126"/>
      <c r="BB611" s="21"/>
      <c r="BC611" s="21" t="n">
        <f aca="false">AD630</f>
        <v>4.2</v>
      </c>
      <c r="BD611" s="21"/>
      <c r="BE611" s="21"/>
    </row>
    <row r="612" customFormat="false" ht="14.1" hidden="true" customHeight="true" outlineLevel="1" collapsed="false">
      <c r="A612" s="138"/>
      <c r="B612" s="235"/>
      <c r="C612" s="138"/>
      <c r="D612" s="138"/>
      <c r="E612" s="340" t="s">
        <v>397</v>
      </c>
      <c r="F612" s="340"/>
      <c r="G612" s="217"/>
      <c r="H612" s="217"/>
      <c r="I612" s="217"/>
      <c r="J612" s="217"/>
      <c r="K612" s="221"/>
      <c r="L612" s="221"/>
      <c r="M612" s="224"/>
      <c r="N612" s="221"/>
      <c r="O612" s="221"/>
      <c r="P612" s="221"/>
      <c r="Q612" s="221"/>
      <c r="R612" s="221"/>
      <c r="S612" s="221"/>
      <c r="T612" s="221"/>
      <c r="U612" s="221"/>
      <c r="V612" s="221"/>
      <c r="W612" s="221"/>
      <c r="X612" s="221"/>
      <c r="Y612" s="221"/>
      <c r="Z612" s="221"/>
      <c r="AA612" s="221"/>
      <c r="AB612" s="217"/>
      <c r="AC612" s="217"/>
      <c r="AD612" s="217"/>
      <c r="AE612" s="221"/>
      <c r="AF612" s="26"/>
      <c r="AG612" s="26"/>
      <c r="AH612" s="35"/>
      <c r="AI612" s="35"/>
      <c r="AJ612" s="35"/>
      <c r="AK612" s="35"/>
      <c r="AL612" s="35"/>
      <c r="AM612" s="35"/>
      <c r="AN612" s="35"/>
      <c r="AO612" s="253"/>
      <c r="AP612" s="253"/>
      <c r="AQ612" s="156"/>
      <c r="AR612" s="156"/>
      <c r="AS612" s="126"/>
      <c r="AT612" s="126"/>
      <c r="AU612" s="106"/>
      <c r="AV612" s="106"/>
      <c r="AW612" s="126"/>
      <c r="AX612" s="126"/>
      <c r="AY612" s="126" t="n">
        <f aca="false">AD630</f>
        <v>4.2</v>
      </c>
      <c r="AZ612" s="126"/>
      <c r="BA612" s="126"/>
      <c r="BB612" s="21"/>
      <c r="BC612" s="21" t="n">
        <f aca="false">Z626</f>
        <v>7</v>
      </c>
      <c r="BD612" s="21"/>
      <c r="BE612" s="21"/>
    </row>
    <row r="613" customFormat="false" ht="14.1" hidden="true" customHeight="true" outlineLevel="1" collapsed="false">
      <c r="A613" s="138" t="s">
        <v>398</v>
      </c>
      <c r="B613" s="235"/>
      <c r="C613" s="138"/>
      <c r="D613" s="138"/>
      <c r="E613" s="340"/>
      <c r="F613" s="340"/>
      <c r="G613" s="217"/>
      <c r="H613" s="217"/>
      <c r="I613" s="217"/>
      <c r="J613" s="217"/>
      <c r="K613" s="221"/>
      <c r="L613" s="221"/>
      <c r="M613" s="224"/>
      <c r="N613" s="221"/>
      <c r="O613" s="221"/>
      <c r="P613" s="221"/>
      <c r="Q613" s="221"/>
      <c r="R613" s="221"/>
      <c r="S613" s="221"/>
      <c r="T613" s="221"/>
      <c r="U613" s="221"/>
      <c r="V613" s="221"/>
      <c r="W613" s="221"/>
      <c r="X613" s="221"/>
      <c r="Y613" s="221"/>
      <c r="Z613" s="221"/>
      <c r="AA613" s="221"/>
      <c r="AB613" s="217"/>
      <c r="AC613" s="217"/>
      <c r="AD613" s="221"/>
      <c r="AE613" s="217"/>
      <c r="AF613" s="26"/>
      <c r="AG613" s="26"/>
      <c r="AH613" s="35"/>
      <c r="AI613" s="35"/>
      <c r="AJ613" s="35"/>
      <c r="AK613" s="35"/>
      <c r="AL613" s="35"/>
      <c r="AM613" s="35"/>
      <c r="AN613" s="35"/>
      <c r="AO613" s="253"/>
      <c r="AP613" s="253"/>
      <c r="AQ613" s="156"/>
      <c r="AR613" s="156"/>
      <c r="AS613" s="126"/>
      <c r="AT613" s="126"/>
      <c r="AU613" s="106"/>
      <c r="AV613" s="106"/>
      <c r="AW613" s="126"/>
      <c r="AX613" s="126"/>
      <c r="AY613" s="126" t="n">
        <f aca="false">Z626</f>
        <v>7</v>
      </c>
      <c r="AZ613" s="126"/>
      <c r="BA613" s="126"/>
      <c r="BB613" s="21"/>
      <c r="BC613" s="21" t="n">
        <f aca="false">G631</f>
        <v>4.5</v>
      </c>
      <c r="BD613" s="21"/>
      <c r="BE613" s="21"/>
    </row>
    <row r="614" customFormat="false" ht="14.1" hidden="true" customHeight="true" outlineLevel="1" collapsed="false">
      <c r="A614" s="244" t="s">
        <v>74</v>
      </c>
      <c r="B614" s="235"/>
      <c r="C614" s="138"/>
      <c r="D614" s="138"/>
      <c r="E614" s="340"/>
      <c r="F614" s="340"/>
      <c r="G614" s="217"/>
      <c r="H614" s="217"/>
      <c r="I614" s="217"/>
      <c r="J614" s="217"/>
      <c r="K614" s="221"/>
      <c r="L614" s="221"/>
      <c r="M614" s="224"/>
      <c r="N614" s="221"/>
      <c r="O614" s="221"/>
      <c r="P614" s="221"/>
      <c r="Q614" s="221"/>
      <c r="R614" s="221"/>
      <c r="S614" s="221"/>
      <c r="T614" s="221"/>
      <c r="U614" s="221"/>
      <c r="V614" s="221"/>
      <c r="W614" s="221"/>
      <c r="X614" s="221"/>
      <c r="Y614" s="221"/>
      <c r="Z614" s="221"/>
      <c r="AA614" s="221"/>
      <c r="AB614" s="217"/>
      <c r="AC614" s="217"/>
      <c r="AD614" s="217"/>
      <c r="AE614" s="217"/>
      <c r="AF614" s="26"/>
      <c r="AG614" s="26"/>
      <c r="AH614" s="35"/>
      <c r="AI614" s="35"/>
      <c r="AJ614" s="35"/>
      <c r="AK614" s="35"/>
      <c r="AL614" s="35"/>
      <c r="AM614" s="35"/>
      <c r="AN614" s="35"/>
      <c r="AO614" s="253"/>
      <c r="AP614" s="253"/>
      <c r="AQ614" s="156"/>
      <c r="AR614" s="156"/>
      <c r="AS614" s="126"/>
      <c r="AT614" s="126"/>
      <c r="AU614" s="106"/>
      <c r="AV614" s="106"/>
      <c r="AW614" s="126"/>
      <c r="AX614" s="126"/>
      <c r="AY614" s="126" t="n">
        <f aca="false">H627</f>
        <v>60</v>
      </c>
      <c r="AZ614" s="126"/>
      <c r="BA614" s="126"/>
      <c r="BB614" s="21"/>
      <c r="BC614" s="21" t="n">
        <f aca="false">H627</f>
        <v>60</v>
      </c>
      <c r="BD614" s="21"/>
      <c r="BE614" s="21"/>
    </row>
    <row r="615" customFormat="false" ht="14.1" hidden="true" customHeight="true" outlineLevel="1" collapsed="false">
      <c r="A615" s="318" t="s">
        <v>399</v>
      </c>
      <c r="B615" s="341"/>
      <c r="C615" s="138"/>
      <c r="D615" s="138"/>
      <c r="E615" s="340"/>
      <c r="F615" s="340"/>
      <c r="G615" s="217"/>
      <c r="H615" s="217"/>
      <c r="I615" s="217"/>
      <c r="J615" s="217"/>
      <c r="K615" s="221"/>
      <c r="L615" s="221"/>
      <c r="M615" s="224"/>
      <c r="N615" s="221"/>
      <c r="O615" s="221"/>
      <c r="P615" s="221"/>
      <c r="Q615" s="221"/>
      <c r="R615" s="221"/>
      <c r="S615" s="221"/>
      <c r="T615" s="221"/>
      <c r="U615" s="221"/>
      <c r="V615" s="221"/>
      <c r="W615" s="221"/>
      <c r="X615" s="221"/>
      <c r="Y615" s="221"/>
      <c r="Z615" s="221"/>
      <c r="AA615" s="221"/>
      <c r="AB615" s="217"/>
      <c r="AC615" s="217"/>
      <c r="AD615" s="217"/>
      <c r="AE615" s="217"/>
      <c r="AF615" s="26"/>
      <c r="AG615" s="26"/>
      <c r="AH615" s="35"/>
      <c r="AI615" s="35"/>
      <c r="AJ615" s="35"/>
      <c r="AK615" s="35"/>
      <c r="AL615" s="35"/>
      <c r="AM615" s="35"/>
      <c r="AN615" s="35"/>
      <c r="AO615" s="253"/>
      <c r="AP615" s="253"/>
      <c r="AQ615" s="156"/>
      <c r="AR615" s="156"/>
      <c r="AS615" s="126"/>
      <c r="AT615" s="126"/>
      <c r="AU615" s="106"/>
      <c r="AV615" s="106"/>
      <c r="AW615" s="126"/>
      <c r="AX615" s="126"/>
      <c r="AY615" s="126"/>
      <c r="AZ615" s="126"/>
      <c r="BA615" s="126"/>
      <c r="BB615" s="21"/>
      <c r="BC615" s="21"/>
      <c r="BD615" s="21"/>
      <c r="BE615" s="21"/>
    </row>
    <row r="616" customFormat="false" ht="14.1" hidden="true" customHeight="true" outlineLevel="1" collapsed="false">
      <c r="A616" s="342" t="s">
        <v>400</v>
      </c>
      <c r="B616" s="235"/>
      <c r="C616" s="138"/>
      <c r="D616" s="138"/>
      <c r="E616" s="340"/>
      <c r="F616" s="340"/>
      <c r="G616" s="217"/>
      <c r="H616" s="217"/>
      <c r="I616" s="217"/>
      <c r="J616" s="217"/>
      <c r="K616" s="221"/>
      <c r="L616" s="343" t="s">
        <v>401</v>
      </c>
      <c r="M616" s="224"/>
      <c r="N616" s="221"/>
      <c r="O616" s="221"/>
      <c r="P616" s="221"/>
      <c r="Q616" s="221"/>
      <c r="R616" s="221"/>
      <c r="S616" s="221"/>
      <c r="T616" s="221"/>
      <c r="U616" s="221"/>
      <c r="V616" s="221"/>
      <c r="W616" s="221"/>
      <c r="X616" s="221"/>
      <c r="Y616" s="221"/>
      <c r="Z616" s="221"/>
      <c r="AA616" s="221"/>
      <c r="AB616" s="217"/>
      <c r="AC616" s="217"/>
      <c r="AD616" s="217"/>
      <c r="AE616" s="217"/>
      <c r="AF616" s="26"/>
      <c r="AG616" s="26"/>
      <c r="AH616" s="35"/>
      <c r="AI616" s="35"/>
      <c r="AJ616" s="35"/>
      <c r="AK616" s="35"/>
      <c r="AL616" s="35"/>
      <c r="AM616" s="35"/>
      <c r="AN616" s="35"/>
      <c r="AO616" s="253"/>
      <c r="AP616" s="253"/>
      <c r="AQ616" s="156"/>
      <c r="AR616" s="156"/>
      <c r="AS616" s="126"/>
      <c r="AT616" s="126"/>
      <c r="AU616" s="106"/>
      <c r="AV616" s="106"/>
      <c r="AW616" s="126"/>
      <c r="AX616" s="126"/>
      <c r="AY616" s="126"/>
      <c r="AZ616" s="126"/>
      <c r="BA616" s="126"/>
      <c r="BB616" s="21"/>
      <c r="BC616" s="21"/>
      <c r="BD616" s="21"/>
      <c r="BE616" s="21"/>
    </row>
    <row r="617" customFormat="false" ht="14.1" hidden="true" customHeight="true" outlineLevel="1" collapsed="false">
      <c r="A617" s="344" t="s">
        <v>402</v>
      </c>
      <c r="B617" s="276"/>
      <c r="C617" s="138"/>
      <c r="D617" s="138"/>
      <c r="E617" s="138"/>
      <c r="F617" s="138"/>
      <c r="G617" s="221"/>
      <c r="H617" s="221"/>
      <c r="I617" s="221"/>
      <c r="J617" s="221"/>
      <c r="K617" s="221"/>
      <c r="L617" s="221"/>
      <c r="M617" s="221"/>
      <c r="N617" s="221"/>
      <c r="O617" s="221"/>
      <c r="P617" s="221"/>
      <c r="Q617" s="221"/>
      <c r="R617" s="221"/>
      <c r="S617" s="221"/>
      <c r="T617" s="26"/>
      <c r="U617" s="221"/>
      <c r="V617" s="221"/>
      <c r="W617" s="221"/>
      <c r="X617" s="221"/>
      <c r="Y617" s="221"/>
      <c r="Z617" s="165"/>
      <c r="AA617" s="221"/>
      <c r="AB617" s="217"/>
      <c r="AC617" s="217"/>
      <c r="AD617" s="217"/>
      <c r="AE617" s="217"/>
      <c r="AF617" s="26"/>
      <c r="AG617" s="26"/>
      <c r="AH617" s="35"/>
      <c r="AI617" s="35"/>
      <c r="AJ617" s="35"/>
      <c r="AK617" s="35"/>
      <c r="AL617" s="35"/>
      <c r="AM617" s="35"/>
      <c r="AN617" s="35"/>
      <c r="AO617" s="253"/>
      <c r="AP617" s="253"/>
      <c r="AQ617" s="156"/>
      <c r="AR617" s="156"/>
      <c r="AS617" s="126"/>
      <c r="AT617" s="126"/>
      <c r="AU617" s="106"/>
      <c r="AV617" s="106"/>
      <c r="AW617" s="126"/>
      <c r="AX617" s="126"/>
      <c r="AY617" s="126"/>
      <c r="AZ617" s="126"/>
      <c r="BA617" s="126"/>
      <c r="BB617" s="21"/>
      <c r="BC617" s="21"/>
      <c r="BD617" s="21"/>
      <c r="BE617" s="21"/>
    </row>
    <row r="618" customFormat="false" ht="14.1" hidden="true" customHeight="true" outlineLevel="1" collapsed="false">
      <c r="A618" s="345" t="s">
        <v>403</v>
      </c>
      <c r="B618" s="235"/>
      <c r="C618" s="138"/>
      <c r="D618" s="138"/>
      <c r="E618" s="138"/>
      <c r="F618" s="138"/>
      <c r="G618" s="221"/>
      <c r="H618" s="221"/>
      <c r="I618" s="221"/>
      <c r="J618" s="217"/>
      <c r="K618" s="221"/>
      <c r="L618" s="221"/>
      <c r="M618" s="26"/>
      <c r="N618" s="26"/>
      <c r="O618" s="221"/>
      <c r="P618" s="221"/>
      <c r="Q618" s="221"/>
      <c r="R618" s="221"/>
      <c r="S618" s="150"/>
      <c r="T618" s="221"/>
      <c r="U618" s="221"/>
      <c r="V618" s="221"/>
      <c r="W618" s="221"/>
      <c r="X618" s="221"/>
      <c r="Y618" s="221"/>
      <c r="Z618" s="221"/>
      <c r="AA618" s="221"/>
      <c r="AB618" s="217"/>
      <c r="AC618" s="217"/>
      <c r="AD618" s="217"/>
      <c r="AE618" s="217"/>
      <c r="AF618" s="26"/>
      <c r="AG618" s="26"/>
      <c r="AH618" s="35"/>
      <c r="AI618" s="35"/>
      <c r="AJ618" s="35"/>
      <c r="AK618" s="35"/>
      <c r="AL618" s="35"/>
      <c r="AM618" s="35"/>
      <c r="AN618" s="35"/>
      <c r="AO618" s="253"/>
      <c r="AP618" s="253"/>
      <c r="AQ618" s="156"/>
      <c r="AR618" s="156"/>
      <c r="AS618" s="126"/>
      <c r="AT618" s="126"/>
      <c r="AU618" s="106"/>
      <c r="AV618" s="106"/>
      <c r="AW618" s="126"/>
      <c r="AX618" s="126"/>
      <c r="AY618" s="126"/>
      <c r="AZ618" s="126"/>
      <c r="BA618" s="126"/>
      <c r="BB618" s="21"/>
      <c r="BC618" s="21"/>
      <c r="BD618" s="21"/>
      <c r="BE618" s="21"/>
    </row>
    <row r="619" customFormat="false" ht="14.1" hidden="true" customHeight="true" outlineLevel="1" collapsed="false">
      <c r="A619" s="346" t="s">
        <v>404</v>
      </c>
      <c r="B619" s="347" t="s">
        <v>44</v>
      </c>
      <c r="C619" s="138"/>
      <c r="D619" s="138"/>
      <c r="E619" s="138"/>
      <c r="F619" s="138"/>
      <c r="G619" s="265"/>
      <c r="H619" s="265"/>
      <c r="I619" s="265"/>
      <c r="J619" s="265"/>
      <c r="K619" s="265"/>
      <c r="L619" s="265"/>
      <c r="M619" s="265"/>
      <c r="N619" s="265"/>
      <c r="O619" s="265"/>
      <c r="P619" s="265"/>
      <c r="Q619" s="26"/>
      <c r="R619" s="186"/>
      <c r="S619" s="265"/>
      <c r="T619" s="265"/>
      <c r="U619" s="265"/>
      <c r="V619" s="265"/>
      <c r="W619" s="265"/>
      <c r="X619" s="265"/>
      <c r="Y619" s="265"/>
      <c r="Z619" s="265"/>
      <c r="AA619" s="265"/>
      <c r="AB619" s="265"/>
      <c r="AC619" s="265"/>
      <c r="AD619" s="217"/>
      <c r="AE619" s="132"/>
      <c r="AF619" s="26"/>
      <c r="AG619" s="26"/>
      <c r="AH619" s="35"/>
      <c r="AI619" s="35"/>
      <c r="AJ619" s="35"/>
      <c r="AK619" s="35"/>
      <c r="AL619" s="35"/>
      <c r="AM619" s="35"/>
      <c r="AN619" s="35"/>
      <c r="AO619" s="253"/>
      <c r="AP619" s="253"/>
      <c r="AQ619" s="156"/>
      <c r="AR619" s="156"/>
      <c r="AS619" s="126"/>
      <c r="AT619" s="126"/>
      <c r="AU619" s="106"/>
      <c r="AV619" s="106"/>
      <c r="AW619" s="126"/>
      <c r="AX619" s="126"/>
      <c r="AY619" s="126"/>
      <c r="AZ619" s="126"/>
      <c r="BA619" s="126"/>
      <c r="BB619" s="21"/>
      <c r="BC619" s="21"/>
      <c r="BD619" s="21"/>
      <c r="BE619" s="21"/>
    </row>
    <row r="620" customFormat="false" ht="14.1" hidden="true" customHeight="true" outlineLevel="1" collapsed="false">
      <c r="A620" s="348" t="s">
        <v>405</v>
      </c>
      <c r="B620" s="347" t="s">
        <v>44</v>
      </c>
      <c r="C620" s="138"/>
      <c r="D620" s="138"/>
      <c r="E620" s="138"/>
      <c r="F620" s="138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  <c r="Z620" s="26"/>
      <c r="AA620" s="26"/>
      <c r="AB620" s="26"/>
      <c r="AC620" s="26"/>
      <c r="AD620" s="217"/>
      <c r="AE620" s="132"/>
      <c r="AF620" s="26"/>
      <c r="AG620" s="26"/>
      <c r="AH620" s="35"/>
      <c r="AI620" s="35"/>
      <c r="AJ620" s="35"/>
      <c r="AK620" s="35"/>
      <c r="AL620" s="35"/>
      <c r="AM620" s="35"/>
      <c r="AN620" s="35"/>
      <c r="AO620" s="253"/>
      <c r="AP620" s="253"/>
      <c r="AQ620" s="156"/>
      <c r="AR620" s="156"/>
      <c r="AS620" s="126"/>
      <c r="AT620" s="126"/>
      <c r="AU620" s="106"/>
      <c r="AV620" s="106"/>
      <c r="AW620" s="126"/>
      <c r="AX620" s="126"/>
      <c r="AY620" s="126"/>
      <c r="AZ620" s="126"/>
      <c r="BA620" s="126"/>
      <c r="BB620" s="21"/>
      <c r="BC620" s="21"/>
      <c r="BD620" s="21"/>
      <c r="BE620" s="21"/>
    </row>
    <row r="621" customFormat="false" ht="14.1" hidden="true" customHeight="true" outlineLevel="1" collapsed="false">
      <c r="A621" s="348" t="s">
        <v>406</v>
      </c>
      <c r="B621" s="347" t="s">
        <v>44</v>
      </c>
      <c r="C621" s="138"/>
      <c r="D621" s="138"/>
      <c r="E621" s="272"/>
      <c r="F621" s="272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  <c r="Z621" s="26"/>
      <c r="AA621" s="26"/>
      <c r="AB621" s="26"/>
      <c r="AC621" s="26"/>
      <c r="AD621" s="217"/>
      <c r="AE621" s="132"/>
      <c r="AF621" s="26"/>
      <c r="AG621" s="26"/>
      <c r="AH621" s="35"/>
      <c r="AI621" s="35"/>
      <c r="AJ621" s="35"/>
      <c r="AK621" s="35"/>
      <c r="AL621" s="35"/>
      <c r="AM621" s="35"/>
      <c r="AN621" s="35"/>
      <c r="AO621" s="253"/>
      <c r="AP621" s="253"/>
      <c r="AQ621" s="156"/>
      <c r="AR621" s="156"/>
      <c r="AS621" s="126"/>
      <c r="AT621" s="126"/>
      <c r="AU621" s="106"/>
      <c r="AV621" s="106"/>
      <c r="AW621" s="126"/>
      <c r="AX621" s="126"/>
      <c r="AY621" s="126"/>
      <c r="AZ621" s="126"/>
      <c r="BA621" s="126"/>
      <c r="BB621" s="21"/>
      <c r="BC621" s="21"/>
      <c r="BD621" s="21"/>
      <c r="BE621" s="21"/>
    </row>
    <row r="622" customFormat="false" ht="14.1" hidden="true" customHeight="true" outlineLevel="1" collapsed="false">
      <c r="A622" s="139" t="s">
        <v>407</v>
      </c>
      <c r="B622" s="349" t="s">
        <v>44</v>
      </c>
      <c r="C622" s="138"/>
      <c r="D622" s="138"/>
      <c r="E622" s="138"/>
      <c r="F622" s="138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  <c r="Z622" s="26"/>
      <c r="AA622" s="26"/>
      <c r="AB622" s="26"/>
      <c r="AC622" s="26"/>
      <c r="AD622" s="350"/>
      <c r="AE622" s="350"/>
      <c r="AF622" s="350"/>
      <c r="AG622" s="350"/>
      <c r="AH622" s="35"/>
      <c r="AI622" s="35"/>
      <c r="AJ622" s="35"/>
      <c r="AK622" s="35"/>
      <c r="AL622" s="35"/>
      <c r="AM622" s="35"/>
      <c r="AN622" s="35"/>
      <c r="AO622" s="253"/>
      <c r="AP622" s="253"/>
      <c r="AQ622" s="156"/>
      <c r="AR622" s="156"/>
      <c r="AS622" s="126"/>
      <c r="AT622" s="126"/>
      <c r="AU622" s="106"/>
      <c r="AV622" s="106"/>
      <c r="AW622" s="126"/>
      <c r="AX622" s="126"/>
      <c r="AY622" s="126"/>
      <c r="AZ622" s="126"/>
      <c r="BA622" s="126"/>
      <c r="BB622" s="21"/>
      <c r="BC622" s="21"/>
      <c r="BD622" s="21"/>
      <c r="BE622" s="21"/>
    </row>
    <row r="623" customFormat="false" ht="14.1" hidden="true" customHeight="true" outlineLevel="1" collapsed="false">
      <c r="A623" s="138"/>
      <c r="B623" s="235"/>
      <c r="C623" s="138"/>
      <c r="D623" s="138"/>
      <c r="E623" s="138"/>
      <c r="F623" s="138"/>
      <c r="G623" s="150"/>
      <c r="H623" s="165"/>
      <c r="I623" s="165"/>
      <c r="J623" s="165"/>
      <c r="K623" s="351" t="s">
        <v>408</v>
      </c>
      <c r="L623" s="165"/>
      <c r="M623" s="165"/>
      <c r="N623" s="150" t="s">
        <v>409</v>
      </c>
      <c r="O623" s="165"/>
      <c r="P623" s="165"/>
      <c r="Q623" s="26"/>
      <c r="R623" s="186"/>
      <c r="S623" s="165"/>
      <c r="T623" s="165"/>
      <c r="U623" s="165"/>
      <c r="V623" s="165"/>
      <c r="W623" s="165"/>
      <c r="X623" s="165"/>
      <c r="Y623" s="150" t="s">
        <v>410</v>
      </c>
      <c r="Z623" s="165"/>
      <c r="AA623" s="165"/>
      <c r="AB623" s="165"/>
      <c r="AC623" s="165"/>
      <c r="AD623" s="343"/>
      <c r="AE623" s="343"/>
      <c r="AF623" s="343"/>
      <c r="AG623" s="343"/>
      <c r="AH623" s="35"/>
      <c r="AI623" s="35"/>
      <c r="AJ623" s="35"/>
      <c r="AK623" s="35"/>
      <c r="AL623" s="35"/>
      <c r="AM623" s="35"/>
      <c r="AN623" s="35"/>
      <c r="AO623" s="253"/>
      <c r="AP623" s="253"/>
      <c r="AQ623" s="156"/>
      <c r="AR623" s="156"/>
      <c r="AS623" s="126"/>
      <c r="AT623" s="126"/>
      <c r="AU623" s="106"/>
      <c r="AV623" s="106"/>
      <c r="AW623" s="126"/>
      <c r="AX623" s="126"/>
      <c r="AY623" s="126"/>
      <c r="AZ623" s="126"/>
      <c r="BA623" s="126"/>
      <c r="BB623" s="21"/>
      <c r="BC623" s="21"/>
      <c r="BD623" s="21"/>
      <c r="BE623" s="21"/>
    </row>
    <row r="624" customFormat="false" ht="14.1" hidden="true" customHeight="true" outlineLevel="1" collapsed="false">
      <c r="A624" s="227" t="s">
        <v>411</v>
      </c>
      <c r="B624" s="235"/>
      <c r="C624" s="138"/>
      <c r="D624" s="275"/>
      <c r="E624" s="138"/>
      <c r="F624" s="138"/>
      <c r="G624" s="150"/>
      <c r="H624" s="187"/>
      <c r="I624" s="187"/>
      <c r="J624" s="187"/>
      <c r="K624" s="187"/>
      <c r="L624" s="187"/>
      <c r="M624" s="187"/>
      <c r="N624" s="187"/>
      <c r="O624" s="187"/>
      <c r="P624" s="187"/>
      <c r="Q624" s="186"/>
      <c r="R624" s="186"/>
      <c r="S624" s="187"/>
      <c r="T624" s="187"/>
      <c r="U624" s="187"/>
      <c r="V624" s="187"/>
      <c r="W624" s="187"/>
      <c r="X624" s="187"/>
      <c r="Y624" s="187"/>
      <c r="Z624" s="165"/>
      <c r="AA624" s="165"/>
      <c r="AB624" s="165"/>
      <c r="AC624" s="165"/>
      <c r="AD624" s="343"/>
      <c r="AE624" s="343"/>
      <c r="AF624" s="343"/>
      <c r="AG624" s="343"/>
      <c r="AH624" s="35"/>
      <c r="AI624" s="35"/>
      <c r="AJ624" s="35"/>
      <c r="AK624" s="35"/>
      <c r="AL624" s="35"/>
      <c r="AM624" s="35"/>
      <c r="AN624" s="35"/>
      <c r="AO624" s="253"/>
      <c r="AP624" s="253"/>
      <c r="AQ624" s="156"/>
      <c r="AR624" s="156"/>
      <c r="AS624" s="126"/>
      <c r="AT624" s="126"/>
      <c r="AU624" s="106"/>
      <c r="AV624" s="106"/>
      <c r="AW624" s="126"/>
      <c r="AX624" s="126"/>
      <c r="AY624" s="126"/>
      <c r="AZ624" s="126"/>
      <c r="BA624" s="126"/>
      <c r="BB624" s="21"/>
      <c r="BC624" s="21"/>
      <c r="BD624" s="21"/>
      <c r="BE624" s="21"/>
    </row>
    <row r="625" customFormat="false" ht="14.1" hidden="true" customHeight="true" outlineLevel="1" collapsed="false">
      <c r="A625" s="231" t="s">
        <v>412</v>
      </c>
      <c r="B625" s="235"/>
      <c r="C625" s="138"/>
      <c r="D625" s="138"/>
      <c r="E625" s="138"/>
      <c r="F625" s="138"/>
      <c r="G625" s="150"/>
      <c r="H625" s="26"/>
      <c r="I625" s="226"/>
      <c r="J625" s="187"/>
      <c r="K625" s="187"/>
      <c r="L625" s="187"/>
      <c r="M625" s="187"/>
      <c r="N625" s="187"/>
      <c r="O625" s="187"/>
      <c r="P625" s="187"/>
      <c r="Q625" s="187"/>
      <c r="R625" s="187"/>
      <c r="S625" s="187"/>
      <c r="T625" s="187"/>
      <c r="U625" s="187"/>
      <c r="V625" s="187"/>
      <c r="W625" s="187"/>
      <c r="X625" s="187"/>
      <c r="Y625" s="187"/>
      <c r="Z625" s="173" t="s">
        <v>15</v>
      </c>
      <c r="AA625" s="173"/>
      <c r="AB625" s="226"/>
      <c r="AC625" s="165"/>
      <c r="AD625" s="343"/>
      <c r="AE625" s="343"/>
      <c r="AF625" s="343"/>
      <c r="AG625" s="343"/>
      <c r="AH625" s="35"/>
      <c r="AI625" s="35"/>
      <c r="AJ625" s="35"/>
      <c r="AK625" s="35"/>
      <c r="AL625" s="35"/>
      <c r="AM625" s="35"/>
      <c r="AN625" s="35"/>
      <c r="AO625" s="253"/>
      <c r="AP625" s="253"/>
      <c r="AQ625" s="156"/>
      <c r="AR625" s="156"/>
      <c r="AS625" s="126"/>
      <c r="AT625" s="126"/>
      <c r="AU625" s="106"/>
      <c r="AV625" s="106"/>
      <c r="AW625" s="126"/>
      <c r="AX625" s="126"/>
      <c r="AY625" s="126"/>
      <c r="AZ625" s="126"/>
      <c r="BA625" s="126"/>
      <c r="BB625" s="21"/>
      <c r="BC625" s="21"/>
      <c r="BD625" s="21"/>
      <c r="BE625" s="21"/>
    </row>
    <row r="626" customFormat="false" ht="14.1" hidden="true" customHeight="true" outlineLevel="1" collapsed="false">
      <c r="A626" s="227" t="s">
        <v>413</v>
      </c>
      <c r="B626" s="276"/>
      <c r="C626" s="276"/>
      <c r="D626" s="276"/>
      <c r="E626" s="272"/>
      <c r="F626" s="272"/>
      <c r="G626" s="150"/>
      <c r="H626" s="186" t="s">
        <v>241</v>
      </c>
      <c r="I626" s="186"/>
      <c r="J626" s="187"/>
      <c r="K626" s="187"/>
      <c r="L626" s="187"/>
      <c r="M626" s="187"/>
      <c r="N626" s="187"/>
      <c r="O626" s="187"/>
      <c r="P626" s="187"/>
      <c r="Q626" s="187"/>
      <c r="R626" s="187"/>
      <c r="S626" s="187"/>
      <c r="T626" s="187"/>
      <c r="U626" s="187"/>
      <c r="V626" s="187"/>
      <c r="W626" s="187"/>
      <c r="X626" s="187"/>
      <c r="Y626" s="187"/>
      <c r="Z626" s="186" t="n">
        <v>7</v>
      </c>
      <c r="AA626" s="186"/>
      <c r="AB626" s="186"/>
      <c r="AC626" s="165"/>
      <c r="AD626" s="343"/>
      <c r="AE626" s="343"/>
      <c r="AF626" s="343"/>
      <c r="AG626" s="343"/>
      <c r="AH626" s="35"/>
      <c r="AI626" s="35"/>
      <c r="AJ626" s="35"/>
      <c r="AK626" s="35"/>
      <c r="AL626" s="35"/>
      <c r="AM626" s="35"/>
      <c r="AN626" s="35"/>
      <c r="AO626" s="253"/>
      <c r="AP626" s="253"/>
      <c r="AQ626" s="156"/>
      <c r="AR626" s="156"/>
      <c r="AS626" s="126"/>
      <c r="AT626" s="126"/>
      <c r="AU626" s="106"/>
      <c r="AV626" s="106"/>
      <c r="AW626" s="126"/>
      <c r="AX626" s="126"/>
      <c r="AY626" s="126"/>
      <c r="AZ626" s="126"/>
      <c r="BA626" s="126"/>
      <c r="BB626" s="21"/>
      <c r="BC626" s="21"/>
      <c r="BD626" s="21"/>
      <c r="BE626" s="21"/>
    </row>
    <row r="627" customFormat="false" ht="14.1" hidden="true" customHeight="true" outlineLevel="1" collapsed="false">
      <c r="A627" s="231" t="s">
        <v>414</v>
      </c>
      <c r="B627" s="276"/>
      <c r="C627" s="276"/>
      <c r="D627" s="276"/>
      <c r="E627" s="272"/>
      <c r="F627" s="272"/>
      <c r="G627" s="150"/>
      <c r="H627" s="186" t="n">
        <v>60</v>
      </c>
      <c r="I627" s="186"/>
      <c r="J627" s="187"/>
      <c r="K627" s="187"/>
      <c r="L627" s="187"/>
      <c r="M627" s="187"/>
      <c r="N627" s="187"/>
      <c r="O627" s="187"/>
      <c r="P627" s="187"/>
      <c r="Q627" s="187"/>
      <c r="R627" s="187"/>
      <c r="S627" s="187"/>
      <c r="T627" s="187"/>
      <c r="U627" s="187"/>
      <c r="V627" s="187"/>
      <c r="W627" s="187"/>
      <c r="X627" s="187"/>
      <c r="Y627" s="187"/>
      <c r="Z627" s="165"/>
      <c r="AA627" s="186"/>
      <c r="AB627" s="186"/>
      <c r="AC627" s="165"/>
      <c r="AD627" s="343"/>
      <c r="AE627" s="343"/>
      <c r="AF627" s="343"/>
      <c r="AG627" s="343"/>
      <c r="AH627" s="35"/>
      <c r="AI627" s="35"/>
      <c r="AJ627" s="35"/>
      <c r="AK627" s="35"/>
      <c r="AL627" s="35"/>
      <c r="AM627" s="35"/>
      <c r="AN627" s="35"/>
      <c r="AO627" s="253"/>
      <c r="AP627" s="253"/>
      <c r="AQ627" s="156"/>
      <c r="AR627" s="156"/>
      <c r="AS627" s="126"/>
      <c r="AT627" s="126"/>
      <c r="AU627" s="106"/>
      <c r="AV627" s="106"/>
      <c r="AW627" s="126"/>
      <c r="AX627" s="126"/>
      <c r="AY627" s="126"/>
      <c r="AZ627" s="126"/>
      <c r="BA627" s="126"/>
      <c r="BB627" s="21"/>
      <c r="BC627" s="21"/>
      <c r="BD627" s="21"/>
      <c r="BE627" s="21"/>
    </row>
    <row r="628" customFormat="false" ht="14.1" hidden="true" customHeight="true" outlineLevel="1" collapsed="false">
      <c r="A628" s="138" t="s">
        <v>415</v>
      </c>
      <c r="B628" s="235"/>
      <c r="C628" s="138"/>
      <c r="D628" s="138"/>
      <c r="E628" s="272"/>
      <c r="F628" s="272"/>
      <c r="G628" s="150"/>
      <c r="H628" s="187"/>
      <c r="I628" s="187"/>
      <c r="J628" s="187"/>
      <c r="K628" s="187"/>
      <c r="L628" s="187"/>
      <c r="M628" s="187"/>
      <c r="N628" s="187"/>
      <c r="O628" s="187"/>
      <c r="P628" s="187"/>
      <c r="Q628" s="187"/>
      <c r="R628" s="187"/>
      <c r="S628" s="187"/>
      <c r="T628" s="187"/>
      <c r="U628" s="187"/>
      <c r="V628" s="187"/>
      <c r="W628" s="187"/>
      <c r="X628" s="187"/>
      <c r="Y628" s="187"/>
      <c r="Z628" s="165"/>
      <c r="AA628" s="165"/>
      <c r="AB628" s="165"/>
      <c r="AC628" s="165"/>
      <c r="AD628" s="26"/>
      <c r="AE628" s="352"/>
      <c r="AF628" s="343"/>
      <c r="AG628" s="343"/>
      <c r="AH628" s="35"/>
      <c r="AI628" s="35"/>
      <c r="AJ628" s="35"/>
      <c r="AK628" s="35"/>
      <c r="AL628" s="35"/>
      <c r="AM628" s="35"/>
      <c r="AN628" s="35"/>
      <c r="AO628" s="253"/>
      <c r="AP628" s="253"/>
      <c r="AQ628" s="156"/>
      <c r="AR628" s="156"/>
      <c r="AS628" s="126"/>
      <c r="AT628" s="126"/>
      <c r="AU628" s="106"/>
      <c r="AV628" s="106"/>
      <c r="AW628" s="126"/>
      <c r="AX628" s="126"/>
      <c r="AY628" s="126"/>
      <c r="AZ628" s="126"/>
      <c r="BA628" s="126"/>
      <c r="BB628" s="21"/>
      <c r="BC628" s="21"/>
      <c r="BD628" s="21"/>
      <c r="BE628" s="21"/>
    </row>
    <row r="629" customFormat="false" ht="14.1" hidden="true" customHeight="true" outlineLevel="1" collapsed="false">
      <c r="A629" s="231" t="s">
        <v>412</v>
      </c>
      <c r="B629" s="235"/>
      <c r="C629" s="138"/>
      <c r="D629" s="138"/>
      <c r="E629" s="138"/>
      <c r="F629" s="138"/>
      <c r="G629" s="150"/>
      <c r="H629" s="187"/>
      <c r="I629" s="187"/>
      <c r="J629" s="187"/>
      <c r="K629" s="187"/>
      <c r="L629" s="187"/>
      <c r="M629" s="187"/>
      <c r="N629" s="187"/>
      <c r="O629" s="187"/>
      <c r="P629" s="187"/>
      <c r="Q629" s="187"/>
      <c r="R629" s="187"/>
      <c r="S629" s="187"/>
      <c r="T629" s="187"/>
      <c r="U629" s="353" t="s">
        <v>261</v>
      </c>
      <c r="V629" s="353"/>
      <c r="W629" s="187"/>
      <c r="X629" s="187"/>
      <c r="Y629" s="187"/>
      <c r="Z629" s="165"/>
      <c r="AA629" s="165"/>
      <c r="AB629" s="165"/>
      <c r="AC629" s="165"/>
      <c r="AD629" s="352" t="s">
        <v>15</v>
      </c>
      <c r="AE629" s="352"/>
      <c r="AF629" s="343"/>
      <c r="AG629" s="343"/>
      <c r="AH629" s="35"/>
      <c r="AI629" s="35"/>
      <c r="AJ629" s="35"/>
      <c r="AK629" s="35"/>
      <c r="AL629" s="35"/>
      <c r="AM629" s="35"/>
      <c r="AN629" s="35"/>
      <c r="AO629" s="253"/>
      <c r="AP629" s="253"/>
      <c r="AQ629" s="156"/>
      <c r="AR629" s="156"/>
      <c r="AS629" s="126"/>
      <c r="AT629" s="126"/>
      <c r="AU629" s="106"/>
      <c r="AV629" s="106"/>
      <c r="AW629" s="126"/>
      <c r="AX629" s="126"/>
      <c r="AY629" s="126"/>
      <c r="AZ629" s="126"/>
      <c r="BA629" s="126"/>
      <c r="BB629" s="21"/>
      <c r="BC629" s="21"/>
      <c r="BD629" s="21"/>
      <c r="BE629" s="21"/>
    </row>
    <row r="630" customFormat="false" ht="14.1" hidden="true" customHeight="true" outlineLevel="1" collapsed="false">
      <c r="A630" s="227" t="s">
        <v>376</v>
      </c>
      <c r="B630" s="235"/>
      <c r="C630" s="138"/>
      <c r="D630" s="138"/>
      <c r="E630" s="138"/>
      <c r="F630" s="138"/>
      <c r="G630" s="226" t="s">
        <v>15</v>
      </c>
      <c r="H630" s="187"/>
      <c r="I630" s="187"/>
      <c r="J630" s="187"/>
      <c r="K630" s="187"/>
      <c r="L630" s="187"/>
      <c r="M630" s="187"/>
      <c r="N630" s="187"/>
      <c r="O630" s="187"/>
      <c r="P630" s="187"/>
      <c r="Q630" s="187"/>
      <c r="R630" s="187"/>
      <c r="S630" s="187"/>
      <c r="T630" s="187"/>
      <c r="U630" s="353"/>
      <c r="V630" s="353"/>
      <c r="W630" s="187"/>
      <c r="X630" s="187"/>
      <c r="Y630" s="187"/>
      <c r="Z630" s="165"/>
      <c r="AA630" s="165"/>
      <c r="AB630" s="165"/>
      <c r="AC630" s="165"/>
      <c r="AD630" s="354" t="n">
        <v>4.2</v>
      </c>
      <c r="AE630" s="354"/>
      <c r="AF630" s="343"/>
      <c r="AG630" s="343"/>
      <c r="AH630" s="35"/>
      <c r="AI630" s="35"/>
      <c r="AJ630" s="35"/>
      <c r="AK630" s="35"/>
      <c r="AL630" s="35"/>
      <c r="AM630" s="35"/>
      <c r="AN630" s="35"/>
      <c r="AO630" s="253"/>
      <c r="AP630" s="253"/>
      <c r="AQ630" s="156"/>
      <c r="AR630" s="156"/>
      <c r="AS630" s="126"/>
      <c r="AT630" s="126"/>
      <c r="AU630" s="106"/>
      <c r="AV630" s="106"/>
      <c r="AW630" s="126"/>
      <c r="AX630" s="126"/>
      <c r="AY630" s="126"/>
      <c r="AZ630" s="126"/>
      <c r="BA630" s="126"/>
      <c r="BB630" s="21"/>
      <c r="BC630" s="21"/>
      <c r="BD630" s="21"/>
      <c r="BE630" s="21"/>
    </row>
    <row r="631" customFormat="false" ht="14.1" hidden="true" customHeight="true" outlineLevel="1" collapsed="false">
      <c r="A631" s="231" t="s">
        <v>377</v>
      </c>
      <c r="B631" s="235"/>
      <c r="C631" s="138"/>
      <c r="D631" s="138"/>
      <c r="E631" s="138"/>
      <c r="F631" s="138"/>
      <c r="G631" s="186" t="n">
        <v>4.5</v>
      </c>
      <c r="H631" s="187"/>
      <c r="I631" s="187"/>
      <c r="J631" s="187"/>
      <c r="K631" s="187"/>
      <c r="L631" s="187"/>
      <c r="M631" s="187"/>
      <c r="N631" s="187"/>
      <c r="O631" s="187"/>
      <c r="P631" s="187"/>
      <c r="Q631" s="187"/>
      <c r="R631" s="187"/>
      <c r="S631" s="187"/>
      <c r="T631" s="187"/>
      <c r="U631" s="187"/>
      <c r="V631" s="187"/>
      <c r="W631" s="187"/>
      <c r="X631" s="187"/>
      <c r="Y631" s="187"/>
      <c r="Z631" s="165"/>
      <c r="AA631" s="165"/>
      <c r="AB631" s="165"/>
      <c r="AC631" s="165"/>
      <c r="AD631" s="343"/>
      <c r="AE631" s="343"/>
      <c r="AF631" s="343"/>
      <c r="AG631" s="343"/>
      <c r="AH631" s="35"/>
      <c r="AI631" s="35"/>
      <c r="AJ631" s="35"/>
      <c r="AK631" s="35"/>
      <c r="AL631" s="35"/>
      <c r="AM631" s="35"/>
      <c r="AN631" s="35"/>
      <c r="AO631" s="253"/>
      <c r="AP631" s="253"/>
      <c r="AQ631" s="156"/>
      <c r="AR631" s="156"/>
      <c r="AS631" s="126"/>
      <c r="AT631" s="126"/>
      <c r="AU631" s="106"/>
      <c r="AV631" s="106"/>
      <c r="AW631" s="126"/>
      <c r="AX631" s="126"/>
      <c r="AY631" s="126"/>
      <c r="AZ631" s="126"/>
      <c r="BA631" s="126"/>
      <c r="BB631" s="21"/>
      <c r="BC631" s="21"/>
      <c r="BD631" s="21"/>
      <c r="BE631" s="21"/>
    </row>
    <row r="632" customFormat="false" ht="14.1" hidden="true" customHeight="true" outlineLevel="1" collapsed="false">
      <c r="A632" s="138" t="s">
        <v>378</v>
      </c>
      <c r="B632" s="235"/>
      <c r="C632" s="138"/>
      <c r="D632" s="138"/>
      <c r="E632" s="138"/>
      <c r="F632" s="138"/>
      <c r="G632" s="150"/>
      <c r="H632" s="187"/>
      <c r="I632" s="187"/>
      <c r="J632" s="187"/>
      <c r="K632" s="187"/>
      <c r="L632" s="187"/>
      <c r="M632" s="187"/>
      <c r="N632" s="187"/>
      <c r="O632" s="187"/>
      <c r="P632" s="187"/>
      <c r="Q632" s="187"/>
      <c r="R632" s="187"/>
      <c r="S632" s="187"/>
      <c r="T632" s="187"/>
      <c r="U632" s="187"/>
      <c r="V632" s="187"/>
      <c r="W632" s="187"/>
      <c r="X632" s="187"/>
      <c r="Y632" s="187"/>
      <c r="Z632" s="165"/>
      <c r="AA632" s="165"/>
      <c r="AB632" s="165"/>
      <c r="AC632" s="165"/>
      <c r="AD632" s="343"/>
      <c r="AE632" s="343"/>
      <c r="AF632" s="26"/>
      <c r="AG632" s="352"/>
      <c r="AH632" s="35"/>
      <c r="AI632" s="35"/>
      <c r="AJ632" s="35"/>
      <c r="AK632" s="35"/>
      <c r="AL632" s="35"/>
      <c r="AM632" s="35"/>
      <c r="AN632" s="35"/>
      <c r="AO632" s="253"/>
      <c r="AP632" s="253"/>
      <c r="AQ632" s="156"/>
      <c r="AR632" s="156"/>
      <c r="AS632" s="126"/>
      <c r="AT632" s="126"/>
      <c r="AU632" s="106"/>
      <c r="AV632" s="106"/>
      <c r="AW632" s="126"/>
      <c r="AX632" s="126"/>
      <c r="AY632" s="126"/>
      <c r="AZ632" s="126"/>
      <c r="BA632" s="126"/>
      <c r="BB632" s="21"/>
      <c r="BC632" s="21"/>
      <c r="BD632" s="21"/>
      <c r="BE632" s="21"/>
    </row>
    <row r="633" customFormat="false" ht="14.1" hidden="true" customHeight="true" outlineLevel="1" collapsed="false">
      <c r="A633" s="231" t="s">
        <v>379</v>
      </c>
      <c r="B633" s="235"/>
      <c r="C633" s="138"/>
      <c r="D633" s="138"/>
      <c r="E633" s="138"/>
      <c r="F633" s="138"/>
      <c r="G633" s="150"/>
      <c r="H633" s="187"/>
      <c r="I633" s="187"/>
      <c r="J633" s="187"/>
      <c r="K633" s="187"/>
      <c r="L633" s="187"/>
      <c r="M633" s="187"/>
      <c r="N633" s="187"/>
      <c r="O633" s="187"/>
      <c r="P633" s="187"/>
      <c r="Q633" s="187"/>
      <c r="R633" s="187"/>
      <c r="S633" s="187"/>
      <c r="T633" s="187"/>
      <c r="U633" s="187"/>
      <c r="V633" s="187"/>
      <c r="W633" s="187"/>
      <c r="X633" s="187"/>
      <c r="Y633" s="187"/>
      <c r="Z633" s="165"/>
      <c r="AA633" s="165"/>
      <c r="AB633" s="165"/>
      <c r="AC633" s="165"/>
      <c r="AD633" s="343"/>
      <c r="AE633" s="343"/>
      <c r="AF633" s="352" t="s">
        <v>15</v>
      </c>
      <c r="AG633" s="352"/>
      <c r="AH633" s="35"/>
      <c r="AI633" s="35"/>
      <c r="AJ633" s="35"/>
      <c r="AK633" s="35"/>
      <c r="AL633" s="35"/>
      <c r="AM633" s="35"/>
      <c r="AN633" s="35"/>
      <c r="AO633" s="253"/>
      <c r="AP633" s="253"/>
      <c r="AQ633" s="156"/>
      <c r="AR633" s="156"/>
      <c r="AS633" s="106"/>
      <c r="AT633" s="106"/>
      <c r="AU633" s="106"/>
      <c r="AV633" s="106"/>
      <c r="AW633" s="126"/>
      <c r="AX633" s="126"/>
      <c r="AY633" s="126"/>
      <c r="AZ633" s="126"/>
      <c r="BA633" s="126"/>
      <c r="BB633" s="21"/>
      <c r="BC633" s="21"/>
      <c r="BD633" s="21"/>
      <c r="BE633" s="21"/>
    </row>
    <row r="634" customFormat="false" ht="14.1" hidden="true" customHeight="true" outlineLevel="1" collapsed="false">
      <c r="A634" s="138" t="s">
        <v>380</v>
      </c>
      <c r="B634" s="235"/>
      <c r="C634" s="138"/>
      <c r="D634" s="138"/>
      <c r="E634" s="138"/>
      <c r="F634" s="138"/>
      <c r="G634" s="150"/>
      <c r="H634" s="187"/>
      <c r="I634" s="187"/>
      <c r="J634" s="187"/>
      <c r="K634" s="187"/>
      <c r="L634" s="187"/>
      <c r="M634" s="187"/>
      <c r="N634" s="187"/>
      <c r="O634" s="187"/>
      <c r="P634" s="187"/>
      <c r="Q634" s="187"/>
      <c r="R634" s="187"/>
      <c r="S634" s="187"/>
      <c r="T634" s="187"/>
      <c r="U634" s="187"/>
      <c r="V634" s="187"/>
      <c r="W634" s="187"/>
      <c r="X634" s="187"/>
      <c r="Y634" s="187"/>
      <c r="Z634" s="165"/>
      <c r="AA634" s="165"/>
      <c r="AB634" s="165"/>
      <c r="AC634" s="165"/>
      <c r="AD634" s="343"/>
      <c r="AE634" s="343"/>
      <c r="AF634" s="354" t="n">
        <v>4</v>
      </c>
      <c r="AG634" s="354"/>
      <c r="AH634" s="35"/>
      <c r="AI634" s="35"/>
      <c r="AJ634" s="35"/>
      <c r="AK634" s="35"/>
      <c r="AL634" s="35"/>
      <c r="AM634" s="35"/>
      <c r="AN634" s="35"/>
      <c r="AO634" s="253"/>
      <c r="AP634" s="253"/>
      <c r="AQ634" s="156"/>
      <c r="AR634" s="156"/>
      <c r="AS634" s="106"/>
      <c r="AT634" s="106"/>
      <c r="AU634" s="106"/>
      <c r="AV634" s="106"/>
      <c r="AW634" s="126"/>
      <c r="AX634" s="126"/>
      <c r="AY634" s="126"/>
      <c r="AZ634" s="126"/>
      <c r="BA634" s="126"/>
      <c r="BB634" s="21"/>
      <c r="BC634" s="21"/>
      <c r="BD634" s="21"/>
      <c r="BE634" s="21"/>
    </row>
    <row r="635" customFormat="false" ht="14.1" hidden="true" customHeight="true" outlineLevel="1" collapsed="false">
      <c r="A635" s="231" t="s">
        <v>381</v>
      </c>
      <c r="B635" s="235"/>
      <c r="C635" s="138"/>
      <c r="D635" s="138"/>
      <c r="E635" s="138"/>
      <c r="F635" s="138"/>
      <c r="G635" s="150"/>
      <c r="H635" s="187"/>
      <c r="I635" s="187"/>
      <c r="J635" s="187"/>
      <c r="K635" s="187"/>
      <c r="L635" s="187"/>
      <c r="M635" s="187"/>
      <c r="N635" s="187"/>
      <c r="O635" s="187"/>
      <c r="P635" s="187"/>
      <c r="Q635" s="187"/>
      <c r="R635" s="187"/>
      <c r="S635" s="187"/>
      <c r="T635" s="187"/>
      <c r="U635" s="187"/>
      <c r="V635" s="187"/>
      <c r="W635" s="187"/>
      <c r="X635" s="187"/>
      <c r="Y635" s="187"/>
      <c r="Z635" s="165"/>
      <c r="AA635" s="165"/>
      <c r="AB635" s="165"/>
      <c r="AC635" s="165"/>
      <c r="AD635" s="343"/>
      <c r="AE635" s="343"/>
      <c r="AF635" s="343"/>
      <c r="AG635" s="343"/>
      <c r="AH635" s="35"/>
      <c r="AI635" s="35"/>
      <c r="AJ635" s="35"/>
      <c r="AK635" s="35"/>
      <c r="AL635" s="35"/>
      <c r="AM635" s="35"/>
      <c r="AN635" s="35"/>
      <c r="AO635" s="253"/>
      <c r="AP635" s="253"/>
      <c r="AQ635" s="156"/>
      <c r="AR635" s="156"/>
      <c r="AS635" s="106"/>
      <c r="AT635" s="106"/>
      <c r="AU635" s="106"/>
      <c r="AV635" s="106"/>
      <c r="AW635" s="126"/>
      <c r="AX635" s="126"/>
      <c r="AY635" s="126"/>
      <c r="AZ635" s="126"/>
      <c r="BA635" s="126"/>
      <c r="BB635" s="21"/>
      <c r="BC635" s="21"/>
      <c r="BD635" s="21"/>
      <c r="BE635" s="21"/>
    </row>
    <row r="636" customFormat="false" ht="14.1" hidden="true" customHeight="true" outlineLevel="1" collapsed="false">
      <c r="A636" s="138" t="s">
        <v>382</v>
      </c>
      <c r="B636" s="235"/>
      <c r="C636" s="138"/>
      <c r="D636" s="138"/>
      <c r="E636" s="138"/>
      <c r="F636" s="138"/>
      <c r="G636" s="150"/>
      <c r="H636" s="187"/>
      <c r="I636" s="187"/>
      <c r="J636" s="187"/>
      <c r="K636" s="187"/>
      <c r="L636" s="187"/>
      <c r="M636" s="187"/>
      <c r="N636" s="187"/>
      <c r="O636" s="187"/>
      <c r="P636" s="187"/>
      <c r="Q636" s="187"/>
      <c r="R636" s="187"/>
      <c r="S636" s="187"/>
      <c r="T636" s="187"/>
      <c r="U636" s="187"/>
      <c r="V636" s="187"/>
      <c r="W636" s="187"/>
      <c r="X636" s="187"/>
      <c r="Y636" s="187"/>
      <c r="Z636" s="165"/>
      <c r="AA636" s="165"/>
      <c r="AB636" s="165"/>
      <c r="AC636" s="165"/>
      <c r="AD636" s="343"/>
      <c r="AE636" s="343"/>
      <c r="AF636" s="343"/>
      <c r="AG636" s="343"/>
      <c r="AH636" s="35"/>
      <c r="AI636" s="35"/>
      <c r="AJ636" s="35"/>
      <c r="AK636" s="35"/>
      <c r="AL636" s="35"/>
      <c r="AM636" s="35"/>
      <c r="AN636" s="35"/>
      <c r="AO636" s="253"/>
      <c r="AP636" s="253"/>
      <c r="AQ636" s="156"/>
      <c r="AR636" s="156"/>
      <c r="AS636" s="106"/>
      <c r="AT636" s="106"/>
      <c r="AU636" s="106"/>
      <c r="AV636" s="106"/>
      <c r="AW636" s="126"/>
      <c r="AX636" s="126"/>
      <c r="AY636" s="126"/>
      <c r="AZ636" s="126"/>
      <c r="BA636" s="126"/>
      <c r="BB636" s="21"/>
      <c r="BC636" s="21"/>
      <c r="BD636" s="21"/>
      <c r="BE636" s="21"/>
    </row>
    <row r="637" customFormat="false" ht="14.1" hidden="true" customHeight="true" outlineLevel="1" collapsed="false">
      <c r="A637" s="244" t="s">
        <v>416</v>
      </c>
      <c r="B637" s="235"/>
      <c r="C637" s="138"/>
      <c r="D637" s="138"/>
      <c r="E637" s="138"/>
      <c r="F637" s="138"/>
      <c r="G637" s="150"/>
      <c r="H637" s="187"/>
      <c r="I637" s="187"/>
      <c r="J637" s="187"/>
      <c r="K637" s="187"/>
      <c r="L637" s="187"/>
      <c r="M637" s="165"/>
      <c r="N637" s="187"/>
      <c r="O637" s="187"/>
      <c r="P637" s="187"/>
      <c r="Q637" s="187"/>
      <c r="R637" s="187"/>
      <c r="S637" s="187"/>
      <c r="T637" s="187"/>
      <c r="U637" s="187"/>
      <c r="V637" s="187"/>
      <c r="W637" s="187"/>
      <c r="X637" s="187"/>
      <c r="Y637" s="187"/>
      <c r="Z637" s="165"/>
      <c r="AA637" s="165"/>
      <c r="AB637" s="165"/>
      <c r="AC637" s="165"/>
      <c r="AD637" s="343"/>
      <c r="AE637" s="343"/>
      <c r="AF637" s="343"/>
      <c r="AG637" s="343"/>
      <c r="AH637" s="35"/>
      <c r="AI637" s="35"/>
      <c r="AJ637" s="35"/>
      <c r="AK637" s="35"/>
      <c r="AL637" s="35"/>
      <c r="AM637" s="35"/>
      <c r="AN637" s="35"/>
      <c r="AO637" s="253"/>
      <c r="AP637" s="253"/>
      <c r="AQ637" s="156"/>
      <c r="AR637" s="156"/>
      <c r="AS637" s="106"/>
      <c r="AT637" s="106"/>
      <c r="AU637" s="106"/>
      <c r="AV637" s="106"/>
      <c r="AW637" s="126"/>
      <c r="AX637" s="126"/>
      <c r="AY637" s="126"/>
      <c r="AZ637" s="126"/>
      <c r="BA637" s="126"/>
      <c r="BB637" s="21"/>
      <c r="BC637" s="21"/>
      <c r="BD637" s="21"/>
      <c r="BE637" s="21"/>
    </row>
    <row r="638" customFormat="false" ht="14.1" hidden="true" customHeight="true" outlineLevel="1" collapsed="false">
      <c r="A638" s="227" t="s">
        <v>417</v>
      </c>
      <c r="B638" s="148" t="s">
        <v>162</v>
      </c>
      <c r="C638" s="180" t="s">
        <v>200</v>
      </c>
      <c r="D638" s="148" t="s">
        <v>118</v>
      </c>
      <c r="E638" s="138"/>
      <c r="F638" s="138"/>
      <c r="G638" s="150"/>
      <c r="H638" s="165"/>
      <c r="I638" s="165"/>
      <c r="J638" s="165"/>
      <c r="K638" s="165"/>
      <c r="L638" s="165"/>
      <c r="M638" s="165"/>
      <c r="N638" s="165"/>
      <c r="O638" s="165"/>
      <c r="P638" s="165"/>
      <c r="Q638" s="165"/>
      <c r="R638" s="165"/>
      <c r="S638" s="165"/>
      <c r="T638" s="165"/>
      <c r="U638" s="165"/>
      <c r="V638" s="165"/>
      <c r="W638" s="165"/>
      <c r="X638" s="165"/>
      <c r="Y638" s="165"/>
      <c r="Z638" s="165"/>
      <c r="AA638" s="165"/>
      <c r="AB638" s="165"/>
      <c r="AC638" s="165"/>
      <c r="AD638" s="343" t="s">
        <v>401</v>
      </c>
      <c r="AE638" s="343"/>
      <c r="AF638" s="354"/>
      <c r="AG638" s="354"/>
      <c r="AH638" s="35"/>
      <c r="AI638" s="35"/>
      <c r="AJ638" s="35"/>
      <c r="AK638" s="35"/>
      <c r="AL638" s="35"/>
      <c r="AM638" s="35"/>
      <c r="AN638" s="35"/>
      <c r="AO638" s="253"/>
      <c r="AP638" s="253"/>
      <c r="AQ638" s="156"/>
      <c r="AR638" s="156"/>
      <c r="AS638" s="106"/>
      <c r="AT638" s="106"/>
      <c r="AU638" s="106"/>
      <c r="AV638" s="106"/>
      <c r="AW638" s="126"/>
      <c r="AX638" s="126"/>
      <c r="AY638" s="126"/>
      <c r="AZ638" s="126"/>
      <c r="BA638" s="126"/>
      <c r="BB638" s="21"/>
      <c r="BC638" s="21"/>
      <c r="BD638" s="21"/>
      <c r="BE638" s="21"/>
    </row>
    <row r="639" customFormat="false" ht="14.1" hidden="true" customHeight="true" outlineLevel="1" collapsed="false">
      <c r="A639" s="231" t="s">
        <v>418</v>
      </c>
      <c r="B639" s="180" t="s">
        <v>15</v>
      </c>
      <c r="C639" s="262" t="n">
        <v>2</v>
      </c>
      <c r="D639" s="151" t="n">
        <v>4</v>
      </c>
      <c r="E639" s="138"/>
      <c r="F639" s="138"/>
      <c r="G639" s="26"/>
      <c r="H639" s="165"/>
      <c r="I639" s="165"/>
      <c r="J639" s="165"/>
      <c r="K639" s="165"/>
      <c r="L639" s="165"/>
      <c r="M639" s="165"/>
      <c r="N639" s="165"/>
      <c r="O639" s="165"/>
      <c r="P639" s="165"/>
      <c r="Q639" s="165"/>
      <c r="R639" s="165"/>
      <c r="S639" s="165"/>
      <c r="T639" s="165"/>
      <c r="U639" s="165"/>
      <c r="V639" s="165"/>
      <c r="W639" s="165"/>
      <c r="X639" s="165"/>
      <c r="Y639" s="165"/>
      <c r="Z639" s="165"/>
      <c r="AA639" s="165"/>
      <c r="AB639" s="165"/>
      <c r="AC639" s="165"/>
      <c r="AD639" s="343"/>
      <c r="AE639" s="343"/>
      <c r="AF639" s="354"/>
      <c r="AG639" s="354"/>
      <c r="AH639" s="35"/>
      <c r="AI639" s="35"/>
      <c r="AJ639" s="35"/>
      <c r="AK639" s="35"/>
      <c r="AL639" s="35"/>
      <c r="AM639" s="35"/>
      <c r="AN639" s="35"/>
      <c r="AO639" s="253"/>
      <c r="AP639" s="253"/>
      <c r="AQ639" s="156"/>
      <c r="AR639" s="156"/>
      <c r="AS639" s="106"/>
      <c r="AT639" s="106"/>
      <c r="AU639" s="106"/>
      <c r="AV639" s="106"/>
      <c r="AW639" s="126"/>
      <c r="AX639" s="126"/>
      <c r="AY639" s="126"/>
      <c r="AZ639" s="126"/>
      <c r="BA639" s="126"/>
      <c r="BB639" s="21"/>
      <c r="BC639" s="21"/>
      <c r="BD639" s="21"/>
      <c r="BE639" s="21"/>
    </row>
    <row r="640" customFormat="false" ht="14.1" hidden="true" customHeight="true" outlineLevel="1" collapsed="false">
      <c r="A640" s="138"/>
      <c r="B640" s="180" t="s">
        <v>15</v>
      </c>
      <c r="C640" s="239" t="n">
        <v>3</v>
      </c>
      <c r="D640" s="239" t="n">
        <v>2</v>
      </c>
      <c r="E640" s="355"/>
      <c r="F640" s="355"/>
      <c r="G640" s="150"/>
      <c r="H640" s="165"/>
      <c r="I640" s="165"/>
      <c r="J640" s="165"/>
      <c r="K640" s="165"/>
      <c r="L640" s="165"/>
      <c r="M640" s="165"/>
      <c r="N640" s="165"/>
      <c r="O640" s="165"/>
      <c r="P640" s="165"/>
      <c r="Q640" s="165"/>
      <c r="R640" s="165"/>
      <c r="S640" s="165"/>
      <c r="T640" s="165"/>
      <c r="U640" s="165"/>
      <c r="V640" s="165"/>
      <c r="W640" s="165"/>
      <c r="X640" s="165"/>
      <c r="Y640" s="165"/>
      <c r="Z640" s="165"/>
      <c r="AA640" s="165"/>
      <c r="AB640" s="165"/>
      <c r="AC640" s="165"/>
      <c r="AD640" s="343"/>
      <c r="AE640" s="343"/>
      <c r="AF640" s="354"/>
      <c r="AG640" s="354"/>
      <c r="AH640" s="35"/>
      <c r="AI640" s="35"/>
      <c r="AJ640" s="35"/>
      <c r="AK640" s="35"/>
      <c r="AL640" s="35"/>
      <c r="AM640" s="35"/>
      <c r="AN640" s="35"/>
      <c r="AO640" s="253"/>
      <c r="AP640" s="253"/>
      <c r="AQ640" s="156"/>
      <c r="AR640" s="156"/>
      <c r="AS640" s="106"/>
      <c r="AT640" s="106"/>
      <c r="AU640" s="106"/>
      <c r="AV640" s="106"/>
      <c r="AW640" s="126"/>
      <c r="AX640" s="126"/>
      <c r="AY640" s="126"/>
      <c r="AZ640" s="126"/>
      <c r="BA640" s="126"/>
      <c r="BB640" s="21"/>
      <c r="BC640" s="21"/>
      <c r="BD640" s="21"/>
      <c r="BE640" s="21"/>
    </row>
    <row r="641" customFormat="false" ht="14.1" hidden="true" customHeight="true" outlineLevel="1" collapsed="false">
      <c r="A641" s="238" t="s">
        <v>419</v>
      </c>
      <c r="B641" s="148" t="s">
        <v>162</v>
      </c>
      <c r="C641" s="292" t="s">
        <v>200</v>
      </c>
      <c r="D641" s="276"/>
      <c r="E641" s="355"/>
      <c r="F641" s="355"/>
      <c r="G641" s="150"/>
      <c r="H641" s="165"/>
      <c r="I641" s="165"/>
      <c r="J641" s="165"/>
      <c r="K641" s="165"/>
      <c r="L641" s="165"/>
      <c r="M641" s="165"/>
      <c r="N641" s="165"/>
      <c r="O641" s="165"/>
      <c r="P641" s="165"/>
      <c r="Q641" s="165"/>
      <c r="R641" s="165"/>
      <c r="S641" s="165"/>
      <c r="T641" s="165"/>
      <c r="U641" s="165"/>
      <c r="V641" s="165"/>
      <c r="W641" s="165"/>
      <c r="X641" s="165"/>
      <c r="Y641" s="165"/>
      <c r="Z641" s="165"/>
      <c r="AA641" s="165"/>
      <c r="AB641" s="165"/>
      <c r="AC641" s="165"/>
      <c r="AD641" s="343"/>
      <c r="AE641" s="343"/>
      <c r="AF641" s="354"/>
      <c r="AG641" s="354"/>
      <c r="AH641" s="35"/>
      <c r="AI641" s="35"/>
      <c r="AJ641" s="35"/>
      <c r="AK641" s="35"/>
      <c r="AL641" s="35"/>
      <c r="AM641" s="35"/>
      <c r="AN641" s="35"/>
      <c r="AO641" s="253"/>
      <c r="AP641" s="253"/>
      <c r="AQ641" s="156"/>
      <c r="AR641" s="156"/>
      <c r="AS641" s="106"/>
      <c r="AT641" s="106"/>
      <c r="AU641" s="106"/>
      <c r="AV641" s="106"/>
      <c r="AW641" s="126"/>
      <c r="AX641" s="126"/>
      <c r="AY641" s="126"/>
      <c r="AZ641" s="126"/>
      <c r="BA641" s="126"/>
      <c r="BB641" s="21"/>
      <c r="BC641" s="21"/>
      <c r="BD641" s="21"/>
      <c r="BE641" s="21"/>
    </row>
    <row r="642" customFormat="false" ht="14.1" hidden="true" customHeight="true" outlineLevel="1" collapsed="false">
      <c r="A642" s="163" t="s">
        <v>273</v>
      </c>
      <c r="B642" s="119" t="s">
        <v>15</v>
      </c>
      <c r="C642" s="232" t="n">
        <v>0.5</v>
      </c>
      <c r="D642" s="276"/>
      <c r="E642" s="340" t="s">
        <v>420</v>
      </c>
      <c r="F642" s="340"/>
      <c r="G642" s="150"/>
      <c r="H642" s="165"/>
      <c r="I642" s="165"/>
      <c r="J642" s="165"/>
      <c r="K642" s="165"/>
      <c r="L642" s="165"/>
      <c r="M642" s="165"/>
      <c r="N642" s="165"/>
      <c r="O642" s="165"/>
      <c r="P642" s="165"/>
      <c r="Q642" s="165"/>
      <c r="R642" s="165"/>
      <c r="S642" s="165"/>
      <c r="T642" s="165"/>
      <c r="U642" s="165"/>
      <c r="V642" s="165"/>
      <c r="W642" s="165"/>
      <c r="X642" s="165"/>
      <c r="Y642" s="165"/>
      <c r="Z642" s="165"/>
      <c r="AA642" s="165"/>
      <c r="AB642" s="165"/>
      <c r="AC642" s="165"/>
      <c r="AD642" s="343"/>
      <c r="AE642" s="343"/>
      <c r="AF642" s="354"/>
      <c r="AG642" s="354"/>
      <c r="AH642" s="35"/>
      <c r="AI642" s="35"/>
      <c r="AJ642" s="35"/>
      <c r="AK642" s="35"/>
      <c r="AL642" s="35"/>
      <c r="AM642" s="35"/>
      <c r="AN642" s="35"/>
      <c r="AO642" s="253"/>
      <c r="AP642" s="253"/>
      <c r="AQ642" s="156"/>
      <c r="AR642" s="156"/>
      <c r="AS642" s="106"/>
      <c r="AT642" s="106"/>
      <c r="AU642" s="106"/>
      <c r="AV642" s="106"/>
      <c r="AW642" s="126"/>
      <c r="AX642" s="126"/>
      <c r="AY642" s="126"/>
      <c r="AZ642" s="126"/>
      <c r="BA642" s="126"/>
      <c r="BB642" s="21"/>
      <c r="BC642" s="21"/>
      <c r="BD642" s="21"/>
      <c r="BE642" s="21"/>
    </row>
    <row r="643" customFormat="false" ht="14.1" hidden="true" customHeight="true" outlineLevel="1" collapsed="false">
      <c r="A643" s="163" t="s">
        <v>276</v>
      </c>
      <c r="B643" s="119" t="s">
        <v>15</v>
      </c>
      <c r="C643" s="232" t="n">
        <v>0.8</v>
      </c>
      <c r="D643" s="276"/>
      <c r="E643" s="340"/>
      <c r="F643" s="340"/>
      <c r="G643" s="150"/>
      <c r="H643" s="165"/>
      <c r="I643" s="165"/>
      <c r="J643" s="165"/>
      <c r="K643" s="165"/>
      <c r="L643" s="165"/>
      <c r="M643" s="165"/>
      <c r="N643" s="165"/>
      <c r="O643" s="165"/>
      <c r="P643" s="165"/>
      <c r="Q643" s="165"/>
      <c r="R643" s="165"/>
      <c r="S643" s="165"/>
      <c r="T643" s="165"/>
      <c r="U643" s="165"/>
      <c r="V643" s="165"/>
      <c r="W643" s="165"/>
      <c r="X643" s="165"/>
      <c r="Y643" s="165"/>
      <c r="Z643" s="165"/>
      <c r="AA643" s="165"/>
      <c r="AB643" s="165"/>
      <c r="AC643" s="165"/>
      <c r="AD643" s="343"/>
      <c r="AE643" s="343"/>
      <c r="AF643" s="354"/>
      <c r="AG643" s="354"/>
      <c r="AH643" s="35"/>
      <c r="AI643" s="35"/>
      <c r="AJ643" s="35"/>
      <c r="AK643" s="35"/>
      <c r="AL643" s="35"/>
      <c r="AM643" s="35"/>
      <c r="AN643" s="35"/>
      <c r="AO643" s="253"/>
      <c r="AP643" s="253"/>
      <c r="AQ643" s="156"/>
      <c r="AR643" s="156"/>
      <c r="AS643" s="106"/>
      <c r="AT643" s="106"/>
      <c r="AU643" s="106"/>
      <c r="AV643" s="106"/>
      <c r="AW643" s="126"/>
      <c r="AX643" s="126"/>
      <c r="AY643" s="126"/>
      <c r="AZ643" s="126"/>
      <c r="BA643" s="126"/>
      <c r="BB643" s="21"/>
      <c r="BC643" s="21"/>
      <c r="BD643" s="21"/>
      <c r="BE643" s="21"/>
    </row>
    <row r="644" customFormat="false" ht="14.1" hidden="true" customHeight="true" outlineLevel="1" collapsed="false">
      <c r="A644" s="138" t="s">
        <v>75</v>
      </c>
      <c r="B644" s="235"/>
      <c r="C644" s="138"/>
      <c r="D644" s="272"/>
      <c r="E644" s="340"/>
      <c r="F644" s="340"/>
      <c r="G644" s="150"/>
      <c r="H644" s="165"/>
      <c r="I644" s="343" t="s">
        <v>408</v>
      </c>
      <c r="J644" s="165"/>
      <c r="K644" s="165"/>
      <c r="L644" s="165"/>
      <c r="M644" s="165"/>
      <c r="N644" s="165"/>
      <c r="O644" s="165"/>
      <c r="P644" s="165"/>
      <c r="Q644" s="165"/>
      <c r="R644" s="165"/>
      <c r="S644" s="165"/>
      <c r="T644" s="165"/>
      <c r="U644" s="165"/>
      <c r="V644" s="165"/>
      <c r="W644" s="165"/>
      <c r="X644" s="165"/>
      <c r="Y644" s="165"/>
      <c r="Z644" s="165"/>
      <c r="AA644" s="165"/>
      <c r="AB644" s="165"/>
      <c r="AC644" s="165"/>
      <c r="AD644" s="26"/>
      <c r="AE644" s="343"/>
      <c r="AF644" s="354"/>
      <c r="AG644" s="354"/>
      <c r="AH644" s="35"/>
      <c r="AI644" s="35"/>
      <c r="AJ644" s="35"/>
      <c r="AK644" s="35"/>
      <c r="AL644" s="35"/>
      <c r="AM644" s="35"/>
      <c r="AN644" s="35"/>
      <c r="AO644" s="253"/>
      <c r="AP644" s="253"/>
      <c r="AQ644" s="156"/>
      <c r="AR644" s="156"/>
      <c r="AS644" s="106"/>
      <c r="AT644" s="106"/>
      <c r="AU644" s="106"/>
      <c r="AV644" s="106"/>
      <c r="AW644" s="126"/>
      <c r="AX644" s="126"/>
      <c r="AY644" s="126"/>
      <c r="AZ644" s="126"/>
      <c r="BA644" s="126"/>
      <c r="BB644" s="21"/>
      <c r="BC644" s="21"/>
      <c r="BD644" s="21"/>
      <c r="BE644" s="21"/>
    </row>
    <row r="645" customFormat="false" ht="14.1" hidden="true" customHeight="true" outlineLevel="1" collapsed="false">
      <c r="A645" s="225" t="s">
        <v>66</v>
      </c>
      <c r="B645" s="235"/>
      <c r="C645" s="138"/>
      <c r="D645" s="272"/>
      <c r="E645" s="340"/>
      <c r="F645" s="340"/>
      <c r="G645" s="150"/>
      <c r="H645" s="165"/>
      <c r="I645" s="165"/>
      <c r="J645" s="165"/>
      <c r="K645" s="165"/>
      <c r="L645" s="165"/>
      <c r="M645" s="186"/>
      <c r="N645" s="165"/>
      <c r="O645" s="165"/>
      <c r="P645" s="165"/>
      <c r="Q645" s="165"/>
      <c r="R645" s="165"/>
      <c r="S645" s="165"/>
      <c r="T645" s="165"/>
      <c r="U645" s="165"/>
      <c r="V645" s="165"/>
      <c r="W645" s="165"/>
      <c r="X645" s="165"/>
      <c r="Y645" s="165"/>
      <c r="Z645" s="165"/>
      <c r="AA645" s="165"/>
      <c r="AB645" s="165"/>
      <c r="AC645" s="165"/>
      <c r="AD645" s="343"/>
      <c r="AE645" s="343"/>
      <c r="AF645" s="354"/>
      <c r="AG645" s="354"/>
      <c r="AH645" s="35"/>
      <c r="AI645" s="35"/>
      <c r="AJ645" s="35"/>
      <c r="AK645" s="35"/>
      <c r="AL645" s="35"/>
      <c r="AM645" s="35"/>
      <c r="AN645" s="35"/>
      <c r="AO645" s="253"/>
      <c r="AP645" s="253"/>
      <c r="AQ645" s="156"/>
      <c r="AR645" s="156"/>
      <c r="AS645" s="106"/>
      <c r="AT645" s="106"/>
      <c r="AU645" s="106"/>
      <c r="AV645" s="106"/>
      <c r="AW645" s="126"/>
      <c r="AX645" s="126"/>
      <c r="AY645" s="126"/>
      <c r="AZ645" s="126"/>
      <c r="BA645" s="126"/>
      <c r="BB645" s="21"/>
      <c r="BC645" s="21"/>
      <c r="BD645" s="21"/>
      <c r="BE645" s="21"/>
    </row>
    <row r="646" customFormat="false" ht="14.1" hidden="true" customHeight="true" outlineLevel="1" collapsed="false">
      <c r="A646" s="138" t="s">
        <v>67</v>
      </c>
      <c r="B646" s="287"/>
      <c r="C646" s="325"/>
      <c r="D646" s="138"/>
      <c r="E646" s="340"/>
      <c r="F646" s="340"/>
      <c r="G646" s="150"/>
      <c r="H646" s="165"/>
      <c r="I646" s="165"/>
      <c r="J646" s="165"/>
      <c r="K646" s="165"/>
      <c r="L646" s="165"/>
      <c r="M646" s="165"/>
      <c r="N646" s="165"/>
      <c r="O646" s="165"/>
      <c r="P646" s="165"/>
      <c r="Q646" s="165"/>
      <c r="R646" s="165"/>
      <c r="S646" s="165"/>
      <c r="T646" s="165"/>
      <c r="U646" s="165"/>
      <c r="V646" s="165"/>
      <c r="W646" s="165"/>
      <c r="X646" s="165"/>
      <c r="Y646" s="165"/>
      <c r="Z646" s="165"/>
      <c r="AA646" s="165"/>
      <c r="AB646" s="165"/>
      <c r="AC646" s="165"/>
      <c r="AD646" s="343"/>
      <c r="AE646" s="343"/>
      <c r="AF646" s="354"/>
      <c r="AG646" s="354"/>
      <c r="AH646" s="35"/>
      <c r="AI646" s="35"/>
      <c r="AJ646" s="35"/>
      <c r="AK646" s="35"/>
      <c r="AL646" s="35"/>
      <c r="AM646" s="35"/>
      <c r="AN646" s="35"/>
      <c r="AO646" s="253"/>
      <c r="AP646" s="253"/>
      <c r="AQ646" s="156"/>
      <c r="AR646" s="156"/>
      <c r="AS646" s="106"/>
      <c r="AT646" s="106"/>
      <c r="AU646" s="106"/>
      <c r="AV646" s="106"/>
      <c r="AW646" s="126"/>
      <c r="AX646" s="126"/>
      <c r="AY646" s="126"/>
      <c r="AZ646" s="126"/>
      <c r="BA646" s="126"/>
      <c r="BB646" s="21"/>
      <c r="BC646" s="21"/>
      <c r="BD646" s="21"/>
      <c r="BE646" s="21"/>
    </row>
    <row r="647" customFormat="false" ht="14.1" hidden="true" customHeight="true" outlineLevel="1" collapsed="false">
      <c r="A647" s="225" t="s">
        <v>55</v>
      </c>
      <c r="B647" s="326"/>
      <c r="C647" s="327"/>
      <c r="D647" s="138"/>
      <c r="E647" s="355"/>
      <c r="F647" s="355"/>
      <c r="G647" s="150"/>
      <c r="H647" s="165"/>
      <c r="I647" s="165"/>
      <c r="J647" s="165"/>
      <c r="K647" s="165"/>
      <c r="L647" s="165"/>
      <c r="M647" s="165"/>
      <c r="N647" s="165"/>
      <c r="O647" s="165"/>
      <c r="P647" s="165"/>
      <c r="Q647" s="165"/>
      <c r="R647" s="165"/>
      <c r="S647" s="165"/>
      <c r="T647" s="165"/>
      <c r="U647" s="165"/>
      <c r="V647" s="165"/>
      <c r="W647" s="165"/>
      <c r="X647" s="165"/>
      <c r="Y647" s="165"/>
      <c r="Z647" s="165"/>
      <c r="AA647" s="165"/>
      <c r="AB647" s="165"/>
      <c r="AC647" s="165"/>
      <c r="AD647" s="343"/>
      <c r="AE647" s="343"/>
      <c r="AF647" s="354"/>
      <c r="AG647" s="354"/>
      <c r="AH647" s="35"/>
      <c r="AI647" s="35"/>
      <c r="AJ647" s="35"/>
      <c r="AK647" s="35"/>
      <c r="AL647" s="35"/>
      <c r="AM647" s="35"/>
      <c r="AN647" s="35"/>
      <c r="AO647" s="253"/>
      <c r="AP647" s="253"/>
      <c r="AQ647" s="156"/>
      <c r="AR647" s="156"/>
      <c r="AS647" s="106"/>
      <c r="AT647" s="106"/>
      <c r="AU647" s="106"/>
      <c r="AV647" s="106"/>
      <c r="AW647" s="126"/>
      <c r="AX647" s="126"/>
      <c r="AY647" s="126"/>
      <c r="AZ647" s="126"/>
      <c r="BA647" s="126"/>
      <c r="BB647" s="21"/>
      <c r="BC647" s="21"/>
      <c r="BD647" s="21"/>
      <c r="BE647" s="21"/>
    </row>
    <row r="648" customFormat="false" ht="14.1" hidden="true" customHeight="true" outlineLevel="1" collapsed="false">
      <c r="A648" s="138" t="s">
        <v>209</v>
      </c>
      <c r="B648" s="235"/>
      <c r="C648" s="138"/>
      <c r="D648" s="138"/>
      <c r="E648" s="355"/>
      <c r="F648" s="355"/>
      <c r="G648" s="150"/>
      <c r="H648" s="165"/>
      <c r="I648" s="165"/>
      <c r="J648" s="165"/>
      <c r="K648" s="165"/>
      <c r="L648" s="165"/>
      <c r="M648" s="165"/>
      <c r="N648" s="165"/>
      <c r="O648" s="165"/>
      <c r="P648" s="165"/>
      <c r="Q648" s="165"/>
      <c r="R648" s="165"/>
      <c r="S648" s="165"/>
      <c r="T648" s="165"/>
      <c r="U648" s="165"/>
      <c r="V648" s="165"/>
      <c r="W648" s="165"/>
      <c r="X648" s="165"/>
      <c r="Y648" s="165"/>
      <c r="Z648" s="165"/>
      <c r="AA648" s="165"/>
      <c r="AB648" s="165"/>
      <c r="AC648" s="165"/>
      <c r="AD648" s="343"/>
      <c r="AE648" s="343"/>
      <c r="AF648" s="354"/>
      <c r="AG648" s="354"/>
      <c r="AH648" s="35"/>
      <c r="AI648" s="35"/>
      <c r="AJ648" s="35"/>
      <c r="AK648" s="35"/>
      <c r="AL648" s="35"/>
      <c r="AM648" s="35"/>
      <c r="AN648" s="35"/>
      <c r="AO648" s="253"/>
      <c r="AP648" s="253"/>
      <c r="AQ648" s="156"/>
      <c r="AR648" s="156"/>
      <c r="AS648" s="106"/>
      <c r="AT648" s="106"/>
      <c r="AU648" s="106"/>
      <c r="AV648" s="106"/>
      <c r="AW648" s="126"/>
      <c r="AX648" s="126"/>
      <c r="AY648" s="126"/>
      <c r="AZ648" s="126"/>
      <c r="BA648" s="126"/>
      <c r="BB648" s="21"/>
      <c r="BC648" s="21"/>
      <c r="BD648" s="21"/>
      <c r="BE648" s="21"/>
    </row>
    <row r="649" customFormat="false" ht="14.1" hidden="true" customHeight="true" outlineLevel="1" collapsed="false">
      <c r="A649" s="240" t="s">
        <v>42</v>
      </c>
      <c r="B649" s="235"/>
      <c r="C649" s="138"/>
      <c r="D649" s="138"/>
      <c r="E649" s="355"/>
      <c r="F649" s="355"/>
      <c r="G649" s="150"/>
      <c r="H649" s="165"/>
      <c r="I649" s="165"/>
      <c r="J649" s="165"/>
      <c r="K649" s="165"/>
      <c r="L649" s="165"/>
      <c r="M649" s="165"/>
      <c r="N649" s="165"/>
      <c r="O649" s="165"/>
      <c r="P649" s="165"/>
      <c r="Q649" s="165"/>
      <c r="R649" s="165"/>
      <c r="S649" s="165"/>
      <c r="T649" s="165"/>
      <c r="U649" s="165"/>
      <c r="V649" s="165"/>
      <c r="W649" s="165"/>
      <c r="X649" s="165"/>
      <c r="Y649" s="165"/>
      <c r="Z649" s="165"/>
      <c r="AA649" s="165"/>
      <c r="AB649" s="165"/>
      <c r="AC649" s="165"/>
      <c r="AD649" s="343"/>
      <c r="AE649" s="343"/>
      <c r="AF649" s="354"/>
      <c r="AG649" s="354"/>
      <c r="AH649" s="35"/>
      <c r="AI649" s="35"/>
      <c r="AJ649" s="35"/>
      <c r="AK649" s="35"/>
      <c r="AL649" s="35"/>
      <c r="AM649" s="35"/>
      <c r="AN649" s="35"/>
      <c r="AO649" s="253"/>
      <c r="AP649" s="253"/>
      <c r="AQ649" s="156"/>
      <c r="AR649" s="156"/>
      <c r="AS649" s="106"/>
      <c r="AT649" s="106"/>
      <c r="AU649" s="106"/>
      <c r="AV649" s="106"/>
      <c r="AW649" s="126"/>
      <c r="AX649" s="126"/>
      <c r="AY649" s="126"/>
      <c r="AZ649" s="126"/>
      <c r="BA649" s="126"/>
      <c r="BB649" s="21"/>
      <c r="BC649" s="21"/>
      <c r="BD649" s="21"/>
      <c r="BE649" s="21"/>
    </row>
    <row r="650" customFormat="false" ht="14.1" hidden="true" customHeight="true" outlineLevel="1" collapsed="false">
      <c r="A650" s="138" t="s">
        <v>211</v>
      </c>
      <c r="B650" s="235"/>
      <c r="C650" s="138"/>
      <c r="D650" s="138"/>
      <c r="E650" s="355"/>
      <c r="F650" s="355"/>
      <c r="G650" s="150"/>
      <c r="H650" s="165"/>
      <c r="I650" s="165"/>
      <c r="J650" s="165"/>
      <c r="K650" s="165"/>
      <c r="L650" s="165"/>
      <c r="M650" s="165"/>
      <c r="N650" s="165"/>
      <c r="O650" s="165"/>
      <c r="P650" s="165"/>
      <c r="Q650" s="165"/>
      <c r="R650" s="165"/>
      <c r="S650" s="165"/>
      <c r="T650" s="165"/>
      <c r="U650" s="165"/>
      <c r="V650" s="165"/>
      <c r="W650" s="165"/>
      <c r="X650" s="165"/>
      <c r="Y650" s="165"/>
      <c r="Z650" s="165"/>
      <c r="AA650" s="165"/>
      <c r="AB650" s="165"/>
      <c r="AC650" s="165"/>
      <c r="AD650" s="343"/>
      <c r="AE650" s="343"/>
      <c r="AF650" s="354"/>
      <c r="AG650" s="354"/>
      <c r="AH650" s="35"/>
      <c r="AI650" s="35"/>
      <c r="AJ650" s="35"/>
      <c r="AK650" s="35"/>
      <c r="AL650" s="35"/>
      <c r="AM650" s="35"/>
      <c r="AN650" s="35"/>
      <c r="AO650" s="253"/>
      <c r="AP650" s="253"/>
      <c r="AQ650" s="156"/>
      <c r="AR650" s="156"/>
      <c r="AS650" s="106"/>
      <c r="AT650" s="106"/>
      <c r="AU650" s="106"/>
      <c r="AV650" s="106"/>
      <c r="AW650" s="126"/>
      <c r="AX650" s="126"/>
      <c r="AY650" s="126"/>
      <c r="AZ650" s="126"/>
      <c r="BA650" s="126"/>
      <c r="BB650" s="21"/>
      <c r="BC650" s="21"/>
      <c r="BD650" s="21"/>
      <c r="BE650" s="21"/>
    </row>
    <row r="651" customFormat="false" ht="14.1" hidden="true" customHeight="true" outlineLevel="1" collapsed="false">
      <c r="A651" s="242" t="s">
        <v>212</v>
      </c>
      <c r="B651" s="235"/>
      <c r="C651" s="138"/>
      <c r="D651" s="138"/>
      <c r="E651" s="355"/>
      <c r="F651" s="355"/>
      <c r="G651" s="150"/>
      <c r="H651" s="165"/>
      <c r="I651" s="220"/>
      <c r="J651" s="165"/>
      <c r="K651" s="165"/>
      <c r="L651" s="165"/>
      <c r="M651" s="165"/>
      <c r="N651" s="165"/>
      <c r="O651" s="165"/>
      <c r="P651" s="165"/>
      <c r="Q651" s="165"/>
      <c r="R651" s="165"/>
      <c r="S651" s="165"/>
      <c r="T651" s="165"/>
      <c r="U651" s="165"/>
      <c r="V651" s="165"/>
      <c r="W651" s="165"/>
      <c r="X651" s="165"/>
      <c r="Y651" s="165"/>
      <c r="Z651" s="165"/>
      <c r="AA651" s="165"/>
      <c r="AB651" s="165"/>
      <c r="AC651" s="165"/>
      <c r="AD651" s="343"/>
      <c r="AE651" s="343"/>
      <c r="AF651" s="343"/>
      <c r="AG651" s="343"/>
      <c r="AH651" s="35"/>
      <c r="AI651" s="35"/>
      <c r="AJ651" s="35"/>
      <c r="AK651" s="35"/>
      <c r="AL651" s="35"/>
      <c r="AM651" s="35"/>
      <c r="AN651" s="35"/>
      <c r="AO651" s="253"/>
      <c r="AP651" s="253"/>
      <c r="AQ651" s="156"/>
      <c r="AR651" s="156"/>
      <c r="AS651" s="106"/>
      <c r="AT651" s="106"/>
      <c r="AU651" s="106"/>
      <c r="AV651" s="106"/>
      <c r="AW651" s="126"/>
      <c r="AX651" s="126"/>
      <c r="AY651" s="126"/>
      <c r="AZ651" s="126"/>
      <c r="BA651" s="126"/>
      <c r="BB651" s="21"/>
      <c r="BC651" s="21"/>
      <c r="BD651" s="21"/>
      <c r="BE651" s="21"/>
    </row>
    <row r="652" customFormat="false" ht="14.1" hidden="true" customHeight="true" outlineLevel="1" collapsed="false">
      <c r="A652" s="138" t="s">
        <v>213</v>
      </c>
      <c r="B652" s="235"/>
      <c r="C652" s="138"/>
      <c r="D652" s="138"/>
      <c r="E652" s="355"/>
      <c r="F652" s="355"/>
      <c r="G652" s="150"/>
      <c r="H652" s="150"/>
      <c r="I652" s="220"/>
      <c r="J652" s="220"/>
      <c r="K652" s="259"/>
      <c r="L652" s="165"/>
      <c r="M652" s="165"/>
      <c r="N652" s="165"/>
      <c r="O652" s="150" t="s">
        <v>409</v>
      </c>
      <c r="P652" s="150"/>
      <c r="Q652" s="150"/>
      <c r="R652" s="150"/>
      <c r="S652" s="150"/>
      <c r="T652" s="150"/>
      <c r="U652" s="150"/>
      <c r="V652" s="150"/>
      <c r="W652" s="150"/>
      <c r="X652" s="150" t="s">
        <v>410</v>
      </c>
      <c r="Y652" s="150"/>
      <c r="Z652" s="150"/>
      <c r="AA652" s="150"/>
      <c r="AB652" s="165"/>
      <c r="AC652" s="165"/>
      <c r="AD652" s="343"/>
      <c r="AE652" s="343"/>
      <c r="AF652" s="343"/>
      <c r="AG652" s="343"/>
      <c r="AH652" s="35"/>
      <c r="AI652" s="35"/>
      <c r="AJ652" s="35"/>
      <c r="AK652" s="35"/>
      <c r="AL652" s="35"/>
      <c r="AM652" s="35"/>
      <c r="AN652" s="35"/>
      <c r="AO652" s="253"/>
      <c r="AP652" s="253"/>
      <c r="AQ652" s="156"/>
      <c r="AR652" s="156"/>
      <c r="AS652" s="106"/>
      <c r="AT652" s="106"/>
      <c r="AU652" s="106"/>
      <c r="AV652" s="106"/>
      <c r="AW652" s="126"/>
      <c r="AX652" s="126"/>
      <c r="AY652" s="126"/>
      <c r="AZ652" s="126"/>
      <c r="BA652" s="126"/>
      <c r="BB652" s="21"/>
      <c r="BC652" s="21"/>
      <c r="BD652" s="21"/>
      <c r="BE652" s="21"/>
    </row>
    <row r="653" customFormat="false" ht="14.1" hidden="true" customHeight="true" outlineLevel="1" collapsed="false">
      <c r="A653" s="242" t="s">
        <v>284</v>
      </c>
      <c r="B653" s="235"/>
      <c r="C653" s="138"/>
      <c r="D653" s="138"/>
      <c r="E653" s="355"/>
      <c r="F653" s="355"/>
      <c r="G653" s="26"/>
      <c r="H653" s="26"/>
      <c r="I653" s="150"/>
      <c r="J653" s="150"/>
      <c r="K653" s="150"/>
      <c r="L653" s="220"/>
      <c r="M653" s="150"/>
      <c r="N653" s="150"/>
      <c r="O653" s="150"/>
      <c r="P653" s="150"/>
      <c r="Q653" s="150"/>
      <c r="R653" s="26"/>
      <c r="S653" s="26"/>
      <c r="T653" s="26"/>
      <c r="U653" s="26"/>
      <c r="V653" s="26"/>
      <c r="W653" s="26"/>
      <c r="X653" s="26"/>
      <c r="Y653" s="26"/>
      <c r="Z653" s="26"/>
      <c r="AA653" s="26"/>
      <c r="AB653" s="26"/>
      <c r="AC653" s="26"/>
      <c r="AD653" s="26"/>
      <c r="AE653" s="26"/>
      <c r="AF653" s="26"/>
      <c r="AG653" s="26"/>
      <c r="AH653" s="35"/>
      <c r="AI653" s="35"/>
      <c r="AJ653" s="35"/>
      <c r="AK653" s="35"/>
      <c r="AL653" s="35"/>
      <c r="AM653" s="35"/>
      <c r="AN653" s="35"/>
      <c r="AO653" s="253"/>
      <c r="AP653" s="253"/>
      <c r="AQ653" s="156"/>
      <c r="AR653" s="156"/>
      <c r="AS653" s="106"/>
      <c r="AT653" s="106"/>
      <c r="AU653" s="106"/>
      <c r="AV653" s="106"/>
      <c r="AW653" s="126"/>
      <c r="AX653" s="126"/>
      <c r="AY653" s="126"/>
      <c r="AZ653" s="126"/>
      <c r="BA653" s="126"/>
      <c r="BB653" s="21"/>
      <c r="BC653" s="21"/>
      <c r="BD653" s="21"/>
      <c r="BE653" s="21"/>
    </row>
    <row r="654" customFormat="false" ht="14.1" hidden="true" customHeight="true" outlineLevel="1" collapsed="false">
      <c r="A654" s="138" t="s">
        <v>215</v>
      </c>
      <c r="B654" s="235"/>
      <c r="C654" s="138"/>
      <c r="D654" s="138"/>
      <c r="E654" s="355"/>
      <c r="F654" s="355"/>
      <c r="G654" s="26"/>
      <c r="H654" s="26"/>
      <c r="I654" s="150"/>
      <c r="J654" s="150"/>
      <c r="K654" s="150"/>
      <c r="L654" s="220"/>
      <c r="M654" s="150"/>
      <c r="N654" s="150"/>
      <c r="O654" s="150"/>
      <c r="P654" s="150"/>
      <c r="Q654" s="150"/>
      <c r="R654" s="26"/>
      <c r="S654" s="26"/>
      <c r="T654" s="26"/>
      <c r="U654" s="26"/>
      <c r="V654" s="26"/>
      <c r="W654" s="26"/>
      <c r="X654" s="26"/>
      <c r="Y654" s="26"/>
      <c r="Z654" s="26"/>
      <c r="AA654" s="26"/>
      <c r="AB654" s="26"/>
      <c r="AC654" s="26"/>
      <c r="AD654" s="26"/>
      <c r="AE654" s="26"/>
      <c r="AF654" s="26"/>
      <c r="AG654" s="26"/>
      <c r="AH654" s="35"/>
      <c r="AI654" s="35"/>
      <c r="AJ654" s="35"/>
      <c r="AK654" s="35"/>
      <c r="AL654" s="35"/>
      <c r="AM654" s="35"/>
      <c r="AN654" s="35"/>
      <c r="AO654" s="253"/>
      <c r="AP654" s="253"/>
      <c r="AQ654" s="156"/>
      <c r="AR654" s="156"/>
      <c r="AS654" s="106"/>
      <c r="AT654" s="106"/>
      <c r="AU654" s="106"/>
      <c r="AV654" s="106"/>
      <c r="AW654" s="126"/>
      <c r="AX654" s="126"/>
      <c r="AY654" s="126"/>
      <c r="AZ654" s="126"/>
      <c r="BA654" s="126"/>
      <c r="BB654" s="21"/>
      <c r="BC654" s="21"/>
      <c r="BD654" s="21"/>
      <c r="BE654" s="21"/>
    </row>
    <row r="655" customFormat="false" ht="14.1" hidden="true" customHeight="true" outlineLevel="1" collapsed="false">
      <c r="A655" s="244" t="s">
        <v>101</v>
      </c>
      <c r="B655" s="235"/>
      <c r="C655" s="138"/>
      <c r="D655" s="138"/>
      <c r="E655" s="355"/>
      <c r="F655" s="355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  <c r="Z655" s="26"/>
      <c r="AA655" s="26"/>
      <c r="AB655" s="26"/>
      <c r="AC655" s="26"/>
      <c r="AD655" s="26"/>
      <c r="AE655" s="26"/>
      <c r="AF655" s="26"/>
      <c r="AG655" s="26"/>
      <c r="AH655" s="35"/>
      <c r="AI655" s="35"/>
      <c r="AJ655" s="35"/>
      <c r="AK655" s="35"/>
      <c r="AL655" s="35"/>
      <c r="AM655" s="35"/>
      <c r="AN655" s="35"/>
      <c r="AO655" s="253"/>
      <c r="AP655" s="253"/>
      <c r="AQ655" s="156"/>
      <c r="AR655" s="156"/>
      <c r="AS655" s="106"/>
      <c r="AT655" s="106"/>
      <c r="AU655" s="106"/>
      <c r="AV655" s="106"/>
      <c r="AW655" s="126"/>
      <c r="AX655" s="126"/>
      <c r="AY655" s="126"/>
      <c r="AZ655" s="126"/>
      <c r="BA655" s="126"/>
      <c r="BB655" s="21"/>
      <c r="BC655" s="21"/>
      <c r="BD655" s="21"/>
      <c r="BE655" s="21"/>
    </row>
    <row r="656" customFormat="false" ht="14.1" hidden="true" customHeight="true" outlineLevel="1" collapsed="false">
      <c r="A656" s="138" t="s">
        <v>217</v>
      </c>
      <c r="B656" s="277"/>
      <c r="C656" s="301"/>
      <c r="D656" s="138"/>
      <c r="E656" s="355"/>
      <c r="F656" s="355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  <c r="AA656" s="26"/>
      <c r="AB656" s="26"/>
      <c r="AC656" s="26"/>
      <c r="AD656" s="26"/>
      <c r="AE656" s="26"/>
      <c r="AF656" s="26"/>
      <c r="AG656" s="26"/>
      <c r="AH656" s="35"/>
      <c r="AI656" s="35"/>
      <c r="AJ656" s="35"/>
      <c r="AK656" s="35"/>
      <c r="AL656" s="35"/>
      <c r="AM656" s="35"/>
      <c r="AN656" s="35"/>
      <c r="AO656" s="253"/>
      <c r="AP656" s="253"/>
      <c r="AQ656" s="156"/>
      <c r="AR656" s="156"/>
      <c r="AS656" s="106"/>
      <c r="AT656" s="106"/>
      <c r="AU656" s="106"/>
      <c r="AV656" s="106"/>
      <c r="AW656" s="126"/>
      <c r="AX656" s="126"/>
      <c r="AY656" s="126"/>
      <c r="AZ656" s="126"/>
      <c r="BA656" s="126"/>
      <c r="BB656" s="21"/>
      <c r="BC656" s="21"/>
      <c r="BD656" s="21"/>
      <c r="BE656" s="21"/>
    </row>
    <row r="657" customFormat="false" ht="14.1" hidden="true" customHeight="true" outlineLevel="1" collapsed="false">
      <c r="A657" s="245" t="s">
        <v>36</v>
      </c>
      <c r="B657" s="277"/>
      <c r="C657" s="301"/>
      <c r="D657" s="138"/>
      <c r="E657" s="355"/>
      <c r="F657" s="355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  <c r="Z657" s="26"/>
      <c r="AA657" s="26"/>
      <c r="AB657" s="26"/>
      <c r="AC657" s="26"/>
      <c r="AD657" s="26"/>
      <c r="AE657" s="26"/>
      <c r="AF657" s="26"/>
      <c r="AG657" s="26"/>
      <c r="AH657" s="35"/>
      <c r="AI657" s="35"/>
      <c r="AJ657" s="35"/>
      <c r="AK657" s="35"/>
      <c r="AL657" s="35"/>
      <c r="AM657" s="35"/>
      <c r="AN657" s="35"/>
      <c r="AO657" s="253"/>
      <c r="AP657" s="253"/>
      <c r="AQ657" s="156"/>
      <c r="AR657" s="156"/>
      <c r="AS657" s="106"/>
      <c r="AT657" s="106"/>
      <c r="AU657" s="106"/>
      <c r="AV657" s="106"/>
      <c r="AW657" s="126"/>
      <c r="AX657" s="126"/>
      <c r="AY657" s="126"/>
      <c r="AZ657" s="126"/>
      <c r="BA657" s="126"/>
      <c r="BB657" s="21"/>
      <c r="BC657" s="21"/>
      <c r="BD657" s="21"/>
      <c r="BE657" s="21"/>
    </row>
    <row r="658" customFormat="false" ht="14.1" hidden="true" customHeight="true" outlineLevel="1" collapsed="false">
      <c r="A658" s="138" t="s">
        <v>222</v>
      </c>
      <c r="B658" s="235"/>
      <c r="C658" s="138"/>
      <c r="D658" s="138"/>
      <c r="E658" s="355"/>
      <c r="F658" s="355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  <c r="Z658" s="26"/>
      <c r="AA658" s="26"/>
      <c r="AB658" s="26"/>
      <c r="AC658" s="26"/>
      <c r="AD658" s="26"/>
      <c r="AE658" s="26"/>
      <c r="AF658" s="26"/>
      <c r="AG658" s="26"/>
      <c r="AH658" s="35"/>
      <c r="AI658" s="35"/>
      <c r="AJ658" s="35"/>
      <c r="AK658" s="35"/>
      <c r="AL658" s="35"/>
      <c r="AM658" s="35"/>
      <c r="AN658" s="35"/>
      <c r="AO658" s="253"/>
      <c r="AP658" s="253"/>
      <c r="AQ658" s="156"/>
      <c r="AR658" s="156"/>
      <c r="AS658" s="106"/>
      <c r="AT658" s="106"/>
      <c r="AU658" s="106"/>
      <c r="AV658" s="106"/>
      <c r="AW658" s="126"/>
      <c r="AX658" s="126"/>
      <c r="AY658" s="126"/>
      <c r="AZ658" s="126"/>
      <c r="BA658" s="126"/>
      <c r="BB658" s="21"/>
      <c r="BC658" s="21"/>
      <c r="BD658" s="21"/>
      <c r="BE658" s="21"/>
    </row>
    <row r="659" customFormat="false" ht="14.1" hidden="true" customHeight="true" outlineLevel="1" collapsed="false">
      <c r="A659" s="242" t="s">
        <v>102</v>
      </c>
      <c r="B659" s="169"/>
      <c r="C659" s="169"/>
      <c r="D659" s="138"/>
      <c r="E659" s="355"/>
      <c r="F659" s="355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  <c r="AA659" s="26"/>
      <c r="AB659" s="26"/>
      <c r="AC659" s="26"/>
      <c r="AD659" s="26"/>
      <c r="AE659" s="26"/>
      <c r="AF659" s="26"/>
      <c r="AG659" s="26"/>
      <c r="AH659" s="35"/>
      <c r="AI659" s="35"/>
      <c r="AJ659" s="35"/>
      <c r="AK659" s="35"/>
      <c r="AL659" s="35"/>
      <c r="AM659" s="35"/>
      <c r="AN659" s="35"/>
      <c r="AO659" s="253"/>
      <c r="AP659" s="253"/>
      <c r="AQ659" s="156"/>
      <c r="AR659" s="156"/>
      <c r="AS659" s="106"/>
      <c r="AT659" s="106"/>
      <c r="AU659" s="106"/>
      <c r="AV659" s="106"/>
      <c r="AW659" s="126"/>
      <c r="AX659" s="126"/>
      <c r="AY659" s="126"/>
      <c r="AZ659" s="126"/>
      <c r="BA659" s="126"/>
      <c r="BB659" s="21"/>
      <c r="BC659" s="21"/>
      <c r="BD659" s="21"/>
      <c r="BE659" s="21"/>
    </row>
    <row r="660" customFormat="false" ht="14.1" hidden="true" customHeight="true" outlineLevel="1" collapsed="false">
      <c r="A660" s="138" t="s">
        <v>224</v>
      </c>
      <c r="B660" s="169"/>
      <c r="C660" s="169"/>
      <c r="D660" s="138"/>
      <c r="E660" s="355"/>
      <c r="F660" s="355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  <c r="AA660" s="26"/>
      <c r="AB660" s="26"/>
      <c r="AC660" s="26"/>
      <c r="AD660" s="26"/>
      <c r="AE660" s="26"/>
      <c r="AF660" s="26"/>
      <c r="AG660" s="26"/>
      <c r="AH660" s="35"/>
      <c r="AI660" s="35"/>
      <c r="AJ660" s="35"/>
      <c r="AK660" s="35"/>
      <c r="AL660" s="35"/>
      <c r="AM660" s="35"/>
      <c r="AN660" s="35"/>
      <c r="AO660" s="253"/>
      <c r="AP660" s="253"/>
      <c r="AQ660" s="156"/>
      <c r="AR660" s="156"/>
      <c r="AS660" s="106"/>
      <c r="AT660" s="106"/>
      <c r="AU660" s="106"/>
      <c r="AV660" s="106"/>
      <c r="AW660" s="126"/>
      <c r="AX660" s="126"/>
      <c r="AY660" s="126"/>
      <c r="AZ660" s="126"/>
      <c r="BA660" s="126"/>
      <c r="BB660" s="21"/>
      <c r="BC660" s="21"/>
      <c r="BD660" s="21"/>
      <c r="BE660" s="21"/>
    </row>
    <row r="661" customFormat="false" ht="14.1" hidden="true" customHeight="true" outlineLevel="1" collapsed="false">
      <c r="A661" s="242" t="s">
        <v>103</v>
      </c>
      <c r="B661" s="169"/>
      <c r="C661" s="169"/>
      <c r="D661" s="138"/>
      <c r="E661" s="355"/>
      <c r="F661" s="355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  <c r="AA661" s="26"/>
      <c r="AB661" s="26"/>
      <c r="AC661" s="26"/>
      <c r="AD661" s="26"/>
      <c r="AE661" s="26"/>
      <c r="AF661" s="26"/>
      <c r="AG661" s="26"/>
      <c r="AH661" s="35"/>
      <c r="AI661" s="35"/>
      <c r="AJ661" s="35"/>
      <c r="AK661" s="35"/>
      <c r="AL661" s="35"/>
      <c r="AM661" s="35"/>
      <c r="AN661" s="35"/>
      <c r="AO661" s="253"/>
      <c r="AP661" s="253"/>
      <c r="AQ661" s="156"/>
      <c r="AR661" s="156"/>
      <c r="AS661" s="106"/>
      <c r="AT661" s="106"/>
      <c r="AU661" s="106"/>
      <c r="AV661" s="106"/>
      <c r="AW661" s="126"/>
      <c r="AX661" s="126"/>
      <c r="AY661" s="126"/>
      <c r="AZ661" s="126"/>
      <c r="BA661" s="126"/>
      <c r="BB661" s="21"/>
      <c r="BC661" s="21"/>
      <c r="BD661" s="21"/>
      <c r="BE661" s="21"/>
    </row>
    <row r="662" s="162" customFormat="true" ht="14.1" hidden="true" customHeight="true" outlineLevel="1" collapsed="false">
      <c r="A662" s="251"/>
      <c r="B662" s="169"/>
      <c r="C662" s="169"/>
      <c r="D662" s="169"/>
      <c r="E662" s="278"/>
      <c r="F662" s="278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  <c r="AA662" s="26"/>
      <c r="AB662" s="26"/>
      <c r="AC662" s="26"/>
      <c r="AD662" s="26"/>
      <c r="AE662" s="26"/>
      <c r="AF662" s="26"/>
      <c r="AG662" s="26"/>
      <c r="AH662" s="35"/>
      <c r="AI662" s="35"/>
      <c r="AJ662" s="35"/>
      <c r="AK662" s="35"/>
      <c r="AL662" s="35"/>
      <c r="AM662" s="35"/>
      <c r="AN662" s="35"/>
      <c r="AO662" s="253"/>
      <c r="AP662" s="253"/>
      <c r="AQ662" s="156"/>
      <c r="AR662" s="156"/>
      <c r="AS662" s="106"/>
      <c r="AT662" s="106"/>
      <c r="AU662" s="106"/>
      <c r="AV662" s="106"/>
      <c r="AW662" s="126"/>
      <c r="AX662" s="126"/>
      <c r="AY662" s="126"/>
      <c r="AZ662" s="126"/>
      <c r="BA662" s="126"/>
      <c r="BB662" s="160"/>
      <c r="BC662" s="160"/>
      <c r="BD662" s="160"/>
      <c r="BE662" s="160"/>
      <c r="BF662" s="161"/>
    </row>
    <row r="663" s="162" customFormat="true" ht="14.1" hidden="true" customHeight="true" outlineLevel="1" collapsed="false">
      <c r="A663" s="148" t="s">
        <v>421</v>
      </c>
      <c r="B663" s="148"/>
      <c r="C663" s="148"/>
      <c r="D663" s="332" t="s">
        <v>56</v>
      </c>
      <c r="E663" s="278"/>
      <c r="F663" s="278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  <c r="Z663" s="26"/>
      <c r="AA663" s="26"/>
      <c r="AB663" s="26"/>
      <c r="AC663" s="26"/>
      <c r="AD663" s="26"/>
      <c r="AE663" s="26"/>
      <c r="AF663" s="26"/>
      <c r="AG663" s="26"/>
      <c r="AH663" s="35"/>
      <c r="AI663" s="35"/>
      <c r="AJ663" s="35"/>
      <c r="AK663" s="35"/>
      <c r="AL663" s="35"/>
      <c r="AM663" s="35"/>
      <c r="AN663" s="35"/>
      <c r="AO663" s="253"/>
      <c r="AP663" s="253"/>
      <c r="AQ663" s="156"/>
      <c r="AR663" s="156"/>
      <c r="AS663" s="106"/>
      <c r="AT663" s="106"/>
      <c r="AU663" s="106"/>
      <c r="AV663" s="106"/>
      <c r="AW663" s="126"/>
      <c r="AX663" s="126"/>
      <c r="AY663" s="126"/>
      <c r="AZ663" s="126"/>
      <c r="BA663" s="126"/>
      <c r="BB663" s="160"/>
      <c r="BC663" s="160"/>
      <c r="BD663" s="160"/>
      <c r="BE663" s="160"/>
      <c r="BF663" s="161"/>
    </row>
    <row r="664" s="162" customFormat="true" ht="14.1" hidden="true" customHeight="true" outlineLevel="1" collapsed="false">
      <c r="A664" s="169"/>
      <c r="B664" s="169"/>
      <c r="C664" s="169"/>
      <c r="D664" s="169"/>
      <c r="E664" s="278"/>
      <c r="F664" s="138"/>
      <c r="G664" s="26"/>
      <c r="H664" s="26"/>
      <c r="I664" s="190" t="s">
        <v>348</v>
      </c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  <c r="Z664" s="26"/>
      <c r="AA664" s="26"/>
      <c r="AB664" s="26"/>
      <c r="AC664" s="26"/>
      <c r="AD664" s="26"/>
      <c r="AE664" s="26"/>
      <c r="AF664" s="26"/>
      <c r="AG664" s="26"/>
      <c r="AH664" s="35"/>
      <c r="AI664" s="35"/>
      <c r="AJ664" s="35"/>
      <c r="AK664" s="35"/>
      <c r="AL664" s="35"/>
      <c r="AM664" s="35"/>
      <c r="AN664" s="35"/>
      <c r="AO664" s="253"/>
      <c r="AP664" s="253"/>
      <c r="AQ664" s="156"/>
      <c r="AR664" s="156"/>
      <c r="AS664" s="106"/>
      <c r="AT664" s="106"/>
      <c r="AU664" s="106"/>
      <c r="AV664" s="106"/>
      <c r="AW664" s="126"/>
      <c r="AX664" s="126"/>
      <c r="AY664" s="126"/>
      <c r="AZ664" s="126"/>
      <c r="BA664" s="126"/>
      <c r="BB664" s="160"/>
      <c r="BC664" s="160"/>
      <c r="BD664" s="160"/>
      <c r="BE664" s="160"/>
      <c r="BF664" s="161"/>
    </row>
    <row r="665" s="162" customFormat="true" ht="14.1" hidden="true" customHeight="true" outlineLevel="1" collapsed="false">
      <c r="A665" s="292" t="s">
        <v>349</v>
      </c>
      <c r="B665" s="180" t="s">
        <v>12</v>
      </c>
      <c r="C665" s="292" t="s">
        <v>350</v>
      </c>
      <c r="D665" s="169"/>
      <c r="E665" s="278"/>
      <c r="F665" s="138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  <c r="Y665" s="26"/>
      <c r="Z665" s="26"/>
      <c r="AA665" s="26"/>
      <c r="AB665" s="26"/>
      <c r="AC665" s="26"/>
      <c r="AD665" s="26"/>
      <c r="AE665" s="26"/>
      <c r="AF665" s="26"/>
      <c r="AG665" s="26"/>
      <c r="AH665" s="35"/>
      <c r="AI665" s="35"/>
      <c r="AJ665" s="35"/>
      <c r="AK665" s="35"/>
      <c r="AL665" s="35"/>
      <c r="AM665" s="35"/>
      <c r="AN665" s="35"/>
      <c r="AO665" s="253"/>
      <c r="AP665" s="253"/>
      <c r="AQ665" s="156"/>
      <c r="AR665" s="156"/>
      <c r="AS665" s="106"/>
      <c r="AT665" s="106"/>
      <c r="AU665" s="106"/>
      <c r="AV665" s="106"/>
      <c r="AW665" s="126"/>
      <c r="AX665" s="126"/>
      <c r="AY665" s="126"/>
      <c r="AZ665" s="126"/>
      <c r="BA665" s="126"/>
      <c r="BB665" s="160"/>
      <c r="BC665" s="160"/>
      <c r="BD665" s="160"/>
      <c r="BE665" s="160"/>
      <c r="BF665" s="161"/>
    </row>
    <row r="666" s="162" customFormat="true" ht="14.1" hidden="true" customHeight="true" outlineLevel="1" collapsed="false">
      <c r="A666" s="292" t="s">
        <v>351</v>
      </c>
      <c r="B666" s="180" t="s">
        <v>48</v>
      </c>
      <c r="C666" s="262" t="n">
        <v>1</v>
      </c>
      <c r="D666" s="169"/>
      <c r="E666" s="278"/>
      <c r="F666" s="272"/>
      <c r="G666" s="165"/>
      <c r="H666" s="165"/>
      <c r="I666" s="212"/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  <c r="Y666" s="26"/>
      <c r="Z666" s="26"/>
      <c r="AA666" s="26"/>
      <c r="AB666" s="26"/>
      <c r="AC666" s="26"/>
      <c r="AD666" s="26"/>
      <c r="AE666" s="26"/>
      <c r="AF666" s="26"/>
      <c r="AG666" s="26"/>
      <c r="AH666" s="35"/>
      <c r="AI666" s="35"/>
      <c r="AJ666" s="35"/>
      <c r="AK666" s="35"/>
      <c r="AL666" s="35"/>
      <c r="AM666" s="35"/>
      <c r="AN666" s="35"/>
      <c r="AO666" s="253"/>
      <c r="AP666" s="253"/>
      <c r="AQ666" s="156"/>
      <c r="AR666" s="156"/>
      <c r="AS666" s="106"/>
      <c r="AT666" s="106"/>
      <c r="AU666" s="106"/>
      <c r="AV666" s="106"/>
      <c r="AW666" s="126"/>
      <c r="AX666" s="126"/>
      <c r="AY666" s="126"/>
      <c r="AZ666" s="126"/>
      <c r="BA666" s="126"/>
      <c r="BB666" s="160"/>
      <c r="BC666" s="160"/>
      <c r="BD666" s="160"/>
      <c r="BE666" s="160"/>
      <c r="BF666" s="161"/>
    </row>
    <row r="667" s="162" customFormat="true" ht="14.1" hidden="true" customHeight="true" outlineLevel="1" collapsed="false">
      <c r="A667" s="239" t="s">
        <v>352</v>
      </c>
      <c r="B667" s="180" t="s">
        <v>15</v>
      </c>
      <c r="C667" s="262" t="n">
        <v>2</v>
      </c>
      <c r="D667" s="169"/>
      <c r="E667" s="278"/>
      <c r="F667" s="272"/>
      <c r="G667" s="165"/>
      <c r="H667" s="165"/>
      <c r="I667" s="212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26"/>
      <c r="Z667" s="26"/>
      <c r="AA667" s="26"/>
      <c r="AB667" s="26"/>
      <c r="AC667" s="26"/>
      <c r="AD667" s="26"/>
      <c r="AE667" s="26"/>
      <c r="AF667" s="26"/>
      <c r="AG667" s="26"/>
      <c r="AH667" s="35"/>
      <c r="AI667" s="35"/>
      <c r="AJ667" s="35"/>
      <c r="AK667" s="35"/>
      <c r="AL667" s="35"/>
      <c r="AM667" s="35"/>
      <c r="AN667" s="35"/>
      <c r="AO667" s="253"/>
      <c r="AP667" s="253"/>
      <c r="AQ667" s="156"/>
      <c r="AR667" s="156"/>
      <c r="AS667" s="106"/>
      <c r="AT667" s="106"/>
      <c r="AU667" s="106"/>
      <c r="AV667" s="106"/>
      <c r="AW667" s="126"/>
      <c r="AX667" s="126"/>
      <c r="AY667" s="126"/>
      <c r="AZ667" s="126"/>
      <c r="BA667" s="126"/>
      <c r="BB667" s="160"/>
      <c r="BC667" s="160"/>
      <c r="BD667" s="160"/>
      <c r="BE667" s="160"/>
      <c r="BF667" s="161"/>
    </row>
    <row r="668" s="162" customFormat="true" ht="14.1" hidden="true" customHeight="true" outlineLevel="1" collapsed="false">
      <c r="A668" s="239" t="s">
        <v>353</v>
      </c>
      <c r="B668" s="180" t="s">
        <v>15</v>
      </c>
      <c r="C668" s="262" t="n">
        <v>1.6</v>
      </c>
      <c r="D668" s="169"/>
      <c r="E668" s="278"/>
      <c r="F668" s="333" t="s">
        <v>216</v>
      </c>
      <c r="G668" s="165"/>
      <c r="H668" s="165"/>
      <c r="I668" s="212"/>
      <c r="J668" s="259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 t="s">
        <v>354</v>
      </c>
      <c r="V668" s="26"/>
      <c r="W668" s="26"/>
      <c r="X668" s="26"/>
      <c r="Y668" s="26"/>
      <c r="Z668" s="26"/>
      <c r="AA668" s="26"/>
      <c r="AB668" s="26"/>
      <c r="AC668" s="26"/>
      <c r="AD668" s="26"/>
      <c r="AE668" s="26"/>
      <c r="AF668" s="26"/>
      <c r="AG668" s="26"/>
      <c r="AH668" s="35"/>
      <c r="AI668" s="35"/>
      <c r="AJ668" s="35"/>
      <c r="AK668" s="35"/>
      <c r="AL668" s="35"/>
      <c r="AM668" s="35"/>
      <c r="AN668" s="35"/>
      <c r="AO668" s="253"/>
      <c r="AP668" s="253"/>
      <c r="AQ668" s="156"/>
      <c r="AR668" s="156"/>
      <c r="AS668" s="106"/>
      <c r="AT668" s="106"/>
      <c r="AU668" s="106"/>
      <c r="AV668" s="106"/>
      <c r="AW668" s="126"/>
      <c r="AX668" s="126"/>
      <c r="AY668" s="126"/>
      <c r="AZ668" s="126"/>
      <c r="BA668" s="126"/>
      <c r="BB668" s="160"/>
      <c r="BC668" s="160"/>
      <c r="BD668" s="160"/>
      <c r="BE668" s="160"/>
      <c r="BF668" s="161"/>
    </row>
    <row r="669" s="162" customFormat="true" ht="14.1" hidden="true" customHeight="true" outlineLevel="1" collapsed="false">
      <c r="A669" s="237" t="s">
        <v>422</v>
      </c>
      <c r="B669" s="180" t="s">
        <v>15</v>
      </c>
      <c r="C669" s="262" t="n">
        <v>0.9</v>
      </c>
      <c r="D669" s="169"/>
      <c r="E669" s="278"/>
      <c r="F669" s="333"/>
      <c r="G669" s="165"/>
      <c r="H669" s="165"/>
      <c r="I669" s="212"/>
      <c r="J669" s="259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 t="s">
        <v>356</v>
      </c>
      <c r="V669" s="26"/>
      <c r="W669" s="26"/>
      <c r="X669" s="26"/>
      <c r="Y669" s="26"/>
      <c r="Z669" s="26"/>
      <c r="AA669" s="26"/>
      <c r="AB669" s="26"/>
      <c r="AC669" s="26"/>
      <c r="AD669" s="26"/>
      <c r="AE669" s="26"/>
      <c r="AF669" s="26"/>
      <c r="AG669" s="26"/>
      <c r="AH669" s="35"/>
      <c r="AI669" s="35"/>
      <c r="AJ669" s="35"/>
      <c r="AK669" s="35"/>
      <c r="AL669" s="35"/>
      <c r="AM669" s="35"/>
      <c r="AN669" s="35"/>
      <c r="AO669" s="253"/>
      <c r="AP669" s="253"/>
      <c r="AQ669" s="156"/>
      <c r="AR669" s="156"/>
      <c r="AS669" s="106"/>
      <c r="AT669" s="106"/>
      <c r="AU669" s="106"/>
      <c r="AV669" s="106"/>
      <c r="AW669" s="126"/>
      <c r="AX669" s="126"/>
      <c r="AY669" s="126"/>
      <c r="AZ669" s="126"/>
      <c r="BA669" s="126"/>
      <c r="BB669" s="160"/>
      <c r="BC669" s="160"/>
      <c r="BD669" s="160"/>
      <c r="BE669" s="160"/>
      <c r="BF669" s="161"/>
    </row>
    <row r="670" s="162" customFormat="true" ht="14.1" hidden="true" customHeight="true" outlineLevel="1" collapsed="false">
      <c r="A670" s="356" t="s">
        <v>423</v>
      </c>
      <c r="B670" s="357" t="s">
        <v>48</v>
      </c>
      <c r="C670" s="358" t="n">
        <v>3</v>
      </c>
      <c r="D670" s="169"/>
      <c r="E670" s="278"/>
      <c r="F670" s="333"/>
      <c r="G670" s="165"/>
      <c r="H670" s="165"/>
      <c r="I670" s="212"/>
      <c r="J670" s="259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  <c r="AA670" s="26"/>
      <c r="AB670" s="26"/>
      <c r="AC670" s="26"/>
      <c r="AD670" s="26"/>
      <c r="AE670" s="26"/>
      <c r="AF670" s="26"/>
      <c r="AG670" s="26"/>
      <c r="AH670" s="35"/>
      <c r="AI670" s="35"/>
      <c r="AJ670" s="35"/>
      <c r="AK670" s="35"/>
      <c r="AL670" s="35"/>
      <c r="AM670" s="35"/>
      <c r="AN670" s="35"/>
      <c r="AO670" s="253"/>
      <c r="AP670" s="253"/>
      <c r="AQ670" s="156"/>
      <c r="AR670" s="156"/>
      <c r="AS670" s="106"/>
      <c r="AT670" s="106"/>
      <c r="AU670" s="106"/>
      <c r="AV670" s="106"/>
      <c r="AW670" s="126"/>
      <c r="AX670" s="126"/>
      <c r="AY670" s="126"/>
      <c r="AZ670" s="126"/>
      <c r="BA670" s="126"/>
      <c r="BB670" s="160"/>
      <c r="BC670" s="160"/>
      <c r="BD670" s="160"/>
      <c r="BE670" s="160"/>
      <c r="BF670" s="161"/>
    </row>
    <row r="671" s="162" customFormat="true" ht="14.1" hidden="true" customHeight="true" outlineLevel="1" collapsed="false">
      <c r="A671" s="359"/>
      <c r="B671" s="359"/>
      <c r="C671" s="359"/>
      <c r="D671" s="169"/>
      <c r="E671" s="278"/>
      <c r="F671" s="272"/>
      <c r="G671" s="165"/>
      <c r="H671" s="165"/>
      <c r="I671" s="212"/>
      <c r="J671" s="259"/>
      <c r="K671" s="165"/>
      <c r="L671" s="265"/>
      <c r="M671" s="165"/>
      <c r="N671" s="165"/>
      <c r="O671" s="165"/>
      <c r="P671" s="165"/>
      <c r="Q671" s="165"/>
      <c r="R671" s="165"/>
      <c r="S671" s="165"/>
      <c r="T671" s="165"/>
      <c r="U671" s="165" t="s">
        <v>358</v>
      </c>
      <c r="V671" s="26"/>
      <c r="W671" s="26"/>
      <c r="X671" s="26"/>
      <c r="Y671" s="26"/>
      <c r="Z671" s="26"/>
      <c r="AA671" s="26"/>
      <c r="AB671" s="26"/>
      <c r="AC671" s="26"/>
      <c r="AD671" s="26"/>
      <c r="AE671" s="26"/>
      <c r="AF671" s="26"/>
      <c r="AG671" s="26"/>
      <c r="AH671" s="35"/>
      <c r="AI671" s="35"/>
      <c r="AJ671" s="35"/>
      <c r="AK671" s="35"/>
      <c r="AL671" s="35"/>
      <c r="AM671" s="35"/>
      <c r="AN671" s="35"/>
      <c r="AO671" s="253"/>
      <c r="AP671" s="253"/>
      <c r="AQ671" s="156"/>
      <c r="AR671" s="156"/>
      <c r="AS671" s="106"/>
      <c r="AT671" s="106"/>
      <c r="AU671" s="106"/>
      <c r="AV671" s="106"/>
      <c r="AW671" s="126"/>
      <c r="AX671" s="126"/>
      <c r="AY671" s="126"/>
      <c r="AZ671" s="126"/>
      <c r="BA671" s="126"/>
      <c r="BB671" s="160"/>
      <c r="BC671" s="160"/>
      <c r="BD671" s="160"/>
      <c r="BE671" s="160"/>
      <c r="BF671" s="161"/>
    </row>
    <row r="672" s="162" customFormat="true" ht="14.1" hidden="true" customHeight="true" outlineLevel="1" collapsed="false">
      <c r="A672" s="275" t="s">
        <v>424</v>
      </c>
      <c r="B672" s="169"/>
      <c r="C672" s="169"/>
      <c r="D672" s="169"/>
      <c r="E672" s="278"/>
      <c r="F672" s="272"/>
      <c r="G672" s="165"/>
      <c r="H672" s="165"/>
      <c r="I672" s="212"/>
      <c r="J672" s="259"/>
      <c r="K672" s="165"/>
      <c r="L672" s="265"/>
      <c r="M672" s="165"/>
      <c r="N672" s="165"/>
      <c r="O672" s="165"/>
      <c r="P672" s="165"/>
      <c r="Q672" s="165"/>
      <c r="R672" s="165"/>
      <c r="S672" s="165"/>
      <c r="T672" s="165"/>
      <c r="U672" s="165"/>
      <c r="V672" s="26"/>
      <c r="W672" s="26"/>
      <c r="X672" s="26"/>
      <c r="Y672" s="26"/>
      <c r="Z672" s="26"/>
      <c r="AA672" s="26"/>
      <c r="AB672" s="26"/>
      <c r="AC672" s="26"/>
      <c r="AD672" s="26"/>
      <c r="AE672" s="26"/>
      <c r="AF672" s="26"/>
      <c r="AG672" s="26"/>
      <c r="AH672" s="35"/>
      <c r="AI672" s="35"/>
      <c r="AJ672" s="35"/>
      <c r="AK672" s="35"/>
      <c r="AL672" s="35"/>
      <c r="AM672" s="35"/>
      <c r="AN672" s="35"/>
      <c r="AO672" s="253"/>
      <c r="AP672" s="253"/>
      <c r="AQ672" s="156"/>
      <c r="AR672" s="156"/>
      <c r="AS672" s="106"/>
      <c r="AT672" s="106"/>
      <c r="AU672" s="106"/>
      <c r="AV672" s="106"/>
      <c r="AW672" s="126"/>
      <c r="AX672" s="126"/>
      <c r="AY672" s="126"/>
      <c r="AZ672" s="126"/>
      <c r="BA672" s="126"/>
      <c r="BB672" s="160"/>
      <c r="BC672" s="160"/>
      <c r="BD672" s="160"/>
      <c r="BE672" s="160"/>
      <c r="BF672" s="161"/>
    </row>
    <row r="673" s="162" customFormat="true" ht="14.1" hidden="true" customHeight="true" outlineLevel="1" collapsed="false">
      <c r="A673" s="231" t="s">
        <v>373</v>
      </c>
      <c r="B673" s="169"/>
      <c r="C673" s="169"/>
      <c r="D673" s="169"/>
      <c r="E673" s="278"/>
      <c r="F673" s="272"/>
      <c r="G673" s="165"/>
      <c r="H673" s="165"/>
      <c r="I673" s="212"/>
      <c r="J673" s="259"/>
      <c r="K673" s="165"/>
      <c r="L673" s="265"/>
      <c r="M673" s="165"/>
      <c r="N673" s="165"/>
      <c r="O673" s="165"/>
      <c r="P673" s="165"/>
      <c r="Q673" s="165"/>
      <c r="R673" s="165"/>
      <c r="S673" s="165"/>
      <c r="T673" s="165"/>
      <c r="U673" s="165"/>
      <c r="V673" s="26"/>
      <c r="W673" s="26"/>
      <c r="X673" s="26"/>
      <c r="Y673" s="26"/>
      <c r="Z673" s="26"/>
      <c r="AA673" s="26"/>
      <c r="AB673" s="26"/>
      <c r="AC673" s="26"/>
      <c r="AD673" s="26"/>
      <c r="AE673" s="26"/>
      <c r="AF673" s="26"/>
      <c r="AG673" s="26"/>
      <c r="AH673" s="35"/>
      <c r="AI673" s="35"/>
      <c r="AJ673" s="35"/>
      <c r="AK673" s="35"/>
      <c r="AL673" s="35"/>
      <c r="AM673" s="35"/>
      <c r="AN673" s="35"/>
      <c r="AO673" s="253"/>
      <c r="AP673" s="253"/>
      <c r="AQ673" s="156"/>
      <c r="AR673" s="156"/>
      <c r="AS673" s="106"/>
      <c r="AT673" s="106"/>
      <c r="AU673" s="106"/>
      <c r="AV673" s="106"/>
      <c r="AW673" s="126"/>
      <c r="AX673" s="126"/>
      <c r="AY673" s="126"/>
      <c r="AZ673" s="126"/>
      <c r="BA673" s="126"/>
      <c r="BB673" s="160"/>
      <c r="BC673" s="160"/>
      <c r="BD673" s="160"/>
      <c r="BE673" s="160"/>
      <c r="BF673" s="161"/>
    </row>
    <row r="674" s="162" customFormat="true" ht="14.1" hidden="true" customHeight="true" outlineLevel="1" collapsed="false">
      <c r="A674" s="275" t="s">
        <v>374</v>
      </c>
      <c r="B674" s="169"/>
      <c r="C674" s="169"/>
      <c r="D674" s="169"/>
      <c r="E674" s="278"/>
      <c r="F674" s="272"/>
      <c r="G674" s="165"/>
      <c r="H674" s="165"/>
      <c r="I674" s="212"/>
      <c r="J674" s="259"/>
      <c r="K674" s="165"/>
      <c r="L674" s="265"/>
      <c r="M674" s="165"/>
      <c r="N674" s="165"/>
      <c r="O674" s="165"/>
      <c r="P674" s="165"/>
      <c r="Q674" s="165"/>
      <c r="R674" s="165"/>
      <c r="S674" s="165"/>
      <c r="T674" s="165"/>
      <c r="U674" s="165"/>
      <c r="V674" s="26"/>
      <c r="W674" s="26"/>
      <c r="X674" s="26"/>
      <c r="Y674" s="26"/>
      <c r="Z674" s="26"/>
      <c r="AA674" s="26"/>
      <c r="AB674" s="26"/>
      <c r="AC674" s="26"/>
      <c r="AD674" s="26"/>
      <c r="AE674" s="26"/>
      <c r="AF674" s="26"/>
      <c r="AG674" s="26"/>
      <c r="AH674" s="35"/>
      <c r="AI674" s="35"/>
      <c r="AJ674" s="35"/>
      <c r="AK674" s="35"/>
      <c r="AL674" s="35"/>
      <c r="AM674" s="35"/>
      <c r="AN674" s="35"/>
      <c r="AO674" s="253"/>
      <c r="AP674" s="253"/>
      <c r="AQ674" s="156"/>
      <c r="AR674" s="156"/>
      <c r="AS674" s="106"/>
      <c r="AT674" s="106"/>
      <c r="AU674" s="106"/>
      <c r="AV674" s="106"/>
      <c r="AW674" s="126"/>
      <c r="AX674" s="126"/>
      <c r="AY674" s="126"/>
      <c r="AZ674" s="126"/>
      <c r="BA674" s="126"/>
      <c r="BB674" s="160"/>
      <c r="BC674" s="160"/>
      <c r="BD674" s="160"/>
      <c r="BE674" s="160"/>
      <c r="BF674" s="161"/>
    </row>
    <row r="675" s="162" customFormat="true" ht="14.1" hidden="true" customHeight="true" outlineLevel="1" collapsed="false">
      <c r="A675" s="244" t="s">
        <v>375</v>
      </c>
      <c r="B675" s="169"/>
      <c r="C675" s="169"/>
      <c r="D675" s="169"/>
      <c r="E675" s="278"/>
      <c r="F675" s="272"/>
      <c r="G675" s="165"/>
      <c r="H675" s="186" t="s">
        <v>425</v>
      </c>
      <c r="I675" s="186"/>
      <c r="J675" s="186"/>
      <c r="K675" s="186"/>
      <c r="L675" s="265"/>
      <c r="M675" s="165"/>
      <c r="N675" s="165"/>
      <c r="O675" s="165"/>
      <c r="P675" s="165"/>
      <c r="Q675" s="165"/>
      <c r="R675" s="165"/>
      <c r="S675" s="165"/>
      <c r="T675" s="165"/>
      <c r="U675" s="165"/>
      <c r="V675" s="26"/>
      <c r="W675" s="26"/>
      <c r="X675" s="26"/>
      <c r="Y675" s="26"/>
      <c r="Z675" s="26"/>
      <c r="AA675" s="26"/>
      <c r="AB675" s="26"/>
      <c r="AC675" s="26"/>
      <c r="AD675" s="26"/>
      <c r="AE675" s="26"/>
      <c r="AF675" s="26"/>
      <c r="AG675" s="26"/>
      <c r="AH675" s="35"/>
      <c r="AI675" s="35"/>
      <c r="AJ675" s="35"/>
      <c r="AK675" s="35"/>
      <c r="AL675" s="35"/>
      <c r="AM675" s="35"/>
      <c r="AN675" s="35"/>
      <c r="AO675" s="253"/>
      <c r="AP675" s="253"/>
      <c r="AQ675" s="156"/>
      <c r="AR675" s="156"/>
      <c r="AS675" s="106"/>
      <c r="AT675" s="106"/>
      <c r="AU675" s="106"/>
      <c r="AV675" s="106"/>
      <c r="AW675" s="126"/>
      <c r="AX675" s="126"/>
      <c r="AY675" s="126"/>
      <c r="AZ675" s="126"/>
      <c r="BA675" s="126"/>
      <c r="BB675" s="160"/>
      <c r="BC675" s="160"/>
      <c r="BD675" s="160"/>
      <c r="BE675" s="160"/>
      <c r="BF675" s="161"/>
    </row>
    <row r="676" s="162" customFormat="true" ht="14.1" hidden="true" customHeight="true" outlineLevel="1" collapsed="false">
      <c r="A676" s="227" t="s">
        <v>376</v>
      </c>
      <c r="B676" s="169"/>
      <c r="C676" s="169"/>
      <c r="D676" s="169"/>
      <c r="E676" s="278"/>
      <c r="F676" s="276" t="s">
        <v>365</v>
      </c>
      <c r="G676" s="276"/>
      <c r="H676" s="186"/>
      <c r="I676" s="186"/>
      <c r="J676" s="186"/>
      <c r="K676" s="186"/>
      <c r="L676" s="265"/>
      <c r="M676" s="165"/>
      <c r="N676" s="165"/>
      <c r="O676" s="165"/>
      <c r="P676" s="165"/>
      <c r="Q676" s="165"/>
      <c r="R676" s="165"/>
      <c r="S676" s="165"/>
      <c r="T676" s="165"/>
      <c r="U676" s="165"/>
      <c r="V676" s="26"/>
      <c r="W676" s="26"/>
      <c r="X676" s="26"/>
      <c r="Y676" s="26"/>
      <c r="Z676" s="26"/>
      <c r="AA676" s="26"/>
      <c r="AB676" s="26"/>
      <c r="AC676" s="26"/>
      <c r="AD676" s="26"/>
      <c r="AE676" s="26"/>
      <c r="AF676" s="26"/>
      <c r="AG676" s="26"/>
      <c r="AH676" s="35"/>
      <c r="AI676" s="35"/>
      <c r="AJ676" s="35"/>
      <c r="AK676" s="35"/>
      <c r="AL676" s="35"/>
      <c r="AM676" s="35"/>
      <c r="AN676" s="35"/>
      <c r="AO676" s="253"/>
      <c r="AP676" s="253"/>
      <c r="AQ676" s="156"/>
      <c r="AR676" s="156"/>
      <c r="AS676" s="106"/>
      <c r="AT676" s="106"/>
      <c r="AU676" s="106"/>
      <c r="AV676" s="106"/>
      <c r="AW676" s="126"/>
      <c r="AX676" s="126"/>
      <c r="AY676" s="126"/>
      <c r="AZ676" s="126"/>
      <c r="BA676" s="126"/>
      <c r="BB676" s="160"/>
      <c r="BC676" s="160"/>
      <c r="BD676" s="160"/>
      <c r="BE676" s="160"/>
      <c r="BF676" s="161"/>
    </row>
    <row r="677" s="162" customFormat="true" ht="14.1" hidden="true" customHeight="true" outlineLevel="1" collapsed="false">
      <c r="A677" s="231" t="s">
        <v>377</v>
      </c>
      <c r="B677" s="169"/>
      <c r="C677" s="169"/>
      <c r="D677" s="169"/>
      <c r="E677" s="278"/>
      <c r="F677" s="272"/>
      <c r="G677" s="165"/>
      <c r="H677" s="186"/>
      <c r="I677" s="186"/>
      <c r="J677" s="186"/>
      <c r="K677" s="186"/>
      <c r="L677" s="265"/>
      <c r="M677" s="165"/>
      <c r="N677" s="165"/>
      <c r="O677" s="165"/>
      <c r="P677" s="165"/>
      <c r="Q677" s="165"/>
      <c r="R677" s="165"/>
      <c r="S677" s="165"/>
      <c r="T677" s="165"/>
      <c r="U677" s="165"/>
      <c r="V677" s="26"/>
      <c r="W677" s="26"/>
      <c r="X677" s="26"/>
      <c r="Y677" s="26"/>
      <c r="Z677" s="26"/>
      <c r="AA677" s="26"/>
      <c r="AB677" s="26"/>
      <c r="AC677" s="26"/>
      <c r="AD677" s="26"/>
      <c r="AE677" s="26"/>
      <c r="AF677" s="26"/>
      <c r="AG677" s="26"/>
      <c r="AH677" s="35"/>
      <c r="AI677" s="35"/>
      <c r="AJ677" s="35"/>
      <c r="AK677" s="35"/>
      <c r="AL677" s="35"/>
      <c r="AM677" s="35"/>
      <c r="AN677" s="35"/>
      <c r="AO677" s="253"/>
      <c r="AP677" s="253"/>
      <c r="AQ677" s="156"/>
      <c r="AR677" s="156"/>
      <c r="AS677" s="106"/>
      <c r="AT677" s="106"/>
      <c r="AU677" s="106"/>
      <c r="AV677" s="106"/>
      <c r="AW677" s="126"/>
      <c r="AX677" s="126"/>
      <c r="AY677" s="126"/>
      <c r="AZ677" s="126"/>
      <c r="BA677" s="126"/>
      <c r="BB677" s="160"/>
      <c r="BC677" s="160"/>
      <c r="BD677" s="160"/>
      <c r="BE677" s="160"/>
      <c r="BF677" s="161"/>
    </row>
    <row r="678" s="162" customFormat="true" ht="14.1" hidden="true" customHeight="true" outlineLevel="1" collapsed="false">
      <c r="A678" s="138" t="s">
        <v>378</v>
      </c>
      <c r="B678" s="169"/>
      <c r="C678" s="169"/>
      <c r="D678" s="169"/>
      <c r="E678" s="278"/>
      <c r="F678" s="272"/>
      <c r="G678" s="165"/>
      <c r="H678" s="165"/>
      <c r="I678" s="212"/>
      <c r="J678" s="259"/>
      <c r="K678" s="165"/>
      <c r="L678" s="265"/>
      <c r="M678" s="165"/>
      <c r="N678" s="165"/>
      <c r="O678" s="165"/>
      <c r="P678" s="165"/>
      <c r="Q678" s="165"/>
      <c r="R678" s="165"/>
      <c r="S678" s="165"/>
      <c r="T678" s="165"/>
      <c r="U678" s="165"/>
      <c r="V678" s="26"/>
      <c r="W678" s="26"/>
      <c r="X678" s="26"/>
      <c r="Y678" s="26"/>
      <c r="Z678" s="26"/>
      <c r="AA678" s="26"/>
      <c r="AB678" s="26"/>
      <c r="AC678" s="26"/>
      <c r="AD678" s="26"/>
      <c r="AE678" s="26"/>
      <c r="AF678" s="26"/>
      <c r="AG678" s="26"/>
      <c r="AH678" s="35"/>
      <c r="AI678" s="35"/>
      <c r="AJ678" s="35"/>
      <c r="AK678" s="35"/>
      <c r="AL678" s="35"/>
      <c r="AM678" s="35"/>
      <c r="AN678" s="35"/>
      <c r="AO678" s="253"/>
      <c r="AP678" s="253"/>
      <c r="AQ678" s="156"/>
      <c r="AR678" s="156"/>
      <c r="AS678" s="106"/>
      <c r="AT678" s="106"/>
      <c r="AU678" s="106"/>
      <c r="AV678" s="106"/>
      <c r="AW678" s="126"/>
      <c r="AX678" s="126"/>
      <c r="AY678" s="126"/>
      <c r="AZ678" s="126"/>
      <c r="BA678" s="126"/>
      <c r="BB678" s="160"/>
      <c r="BC678" s="160"/>
      <c r="BD678" s="160"/>
      <c r="BE678" s="160"/>
      <c r="BF678" s="161"/>
    </row>
    <row r="679" s="162" customFormat="true" ht="14.1" hidden="true" customHeight="true" outlineLevel="1" collapsed="false">
      <c r="A679" s="231" t="s">
        <v>379</v>
      </c>
      <c r="B679" s="169"/>
      <c r="C679" s="169"/>
      <c r="D679" s="169"/>
      <c r="E679" s="278"/>
      <c r="F679" s="272"/>
      <c r="G679" s="165"/>
      <c r="H679" s="165"/>
      <c r="I679" s="212"/>
      <c r="J679" s="259"/>
      <c r="K679" s="165"/>
      <c r="L679" s="265"/>
      <c r="M679" s="165"/>
      <c r="N679" s="165"/>
      <c r="O679" s="165"/>
      <c r="P679" s="165"/>
      <c r="Q679" s="165"/>
      <c r="R679" s="165"/>
      <c r="S679" s="165"/>
      <c r="T679" s="165"/>
      <c r="U679" s="165"/>
      <c r="V679" s="26"/>
      <c r="W679" s="26"/>
      <c r="X679" s="26"/>
      <c r="Y679" s="26"/>
      <c r="Z679" s="26"/>
      <c r="AA679" s="26"/>
      <c r="AB679" s="26"/>
      <c r="AC679" s="26"/>
      <c r="AD679" s="26"/>
      <c r="AE679" s="26"/>
      <c r="AF679" s="26"/>
      <c r="AG679" s="26"/>
      <c r="AH679" s="35"/>
      <c r="AI679" s="35"/>
      <c r="AJ679" s="35"/>
      <c r="AK679" s="35"/>
      <c r="AL679" s="35"/>
      <c r="AM679" s="35"/>
      <c r="AN679" s="35"/>
      <c r="AO679" s="253"/>
      <c r="AP679" s="253"/>
      <c r="AQ679" s="156"/>
      <c r="AR679" s="156"/>
      <c r="AS679" s="106"/>
      <c r="AT679" s="106"/>
      <c r="AU679" s="106"/>
      <c r="AV679" s="106"/>
      <c r="AW679" s="126"/>
      <c r="AX679" s="126"/>
      <c r="AY679" s="126"/>
      <c r="AZ679" s="126"/>
      <c r="BA679" s="126"/>
      <c r="BB679" s="160"/>
      <c r="BC679" s="160"/>
      <c r="BD679" s="160"/>
      <c r="BE679" s="160"/>
      <c r="BF679" s="161"/>
    </row>
    <row r="680" s="162" customFormat="true" ht="14.1" hidden="true" customHeight="true" outlineLevel="1" collapsed="false">
      <c r="A680" s="138" t="s">
        <v>380</v>
      </c>
      <c r="B680" s="169"/>
      <c r="C680" s="169"/>
      <c r="D680" s="169"/>
      <c r="E680" s="278"/>
      <c r="F680" s="272"/>
      <c r="G680" s="165"/>
      <c r="H680" s="281" t="s">
        <v>366</v>
      </c>
      <c r="I680" s="186"/>
      <c r="J680" s="186"/>
      <c r="K680" s="186"/>
      <c r="L680" s="265"/>
      <c r="M680" s="165"/>
      <c r="N680" s="165"/>
      <c r="O680" s="165"/>
      <c r="P680" s="165"/>
      <c r="Q680" s="165"/>
      <c r="R680" s="165"/>
      <c r="S680" s="165"/>
      <c r="T680" s="165"/>
      <c r="U680" s="165"/>
      <c r="V680" s="26"/>
      <c r="W680" s="26"/>
      <c r="X680" s="26"/>
      <c r="Y680" s="26"/>
      <c r="Z680" s="26"/>
      <c r="AA680" s="26"/>
      <c r="AB680" s="26"/>
      <c r="AC680" s="26"/>
      <c r="AD680" s="26"/>
      <c r="AE680" s="26"/>
      <c r="AF680" s="26"/>
      <c r="AG680" s="26"/>
      <c r="AH680" s="35"/>
      <c r="AI680" s="35"/>
      <c r="AJ680" s="35"/>
      <c r="AK680" s="35"/>
      <c r="AL680" s="35"/>
      <c r="AM680" s="35"/>
      <c r="AN680" s="35"/>
      <c r="AO680" s="253"/>
      <c r="AP680" s="253"/>
      <c r="AQ680" s="156"/>
      <c r="AR680" s="156"/>
      <c r="AS680" s="106"/>
      <c r="AT680" s="106"/>
      <c r="AU680" s="106"/>
      <c r="AV680" s="106"/>
      <c r="AW680" s="126"/>
      <c r="AX680" s="126"/>
      <c r="AY680" s="126"/>
      <c r="AZ680" s="126"/>
      <c r="BA680" s="126"/>
      <c r="BB680" s="160"/>
      <c r="BC680" s="160"/>
      <c r="BD680" s="160"/>
      <c r="BE680" s="160"/>
      <c r="BF680" s="161"/>
    </row>
    <row r="681" s="162" customFormat="true" ht="14.1" hidden="true" customHeight="true" outlineLevel="1" collapsed="false">
      <c r="A681" s="231" t="s">
        <v>381</v>
      </c>
      <c r="B681" s="169"/>
      <c r="C681" s="169"/>
      <c r="D681" s="169"/>
      <c r="E681" s="278"/>
      <c r="F681" s="272"/>
      <c r="G681" s="165"/>
      <c r="H681" s="165"/>
      <c r="I681" s="212"/>
      <c r="J681" s="259"/>
      <c r="K681" s="165"/>
      <c r="L681" s="265"/>
      <c r="M681" s="165"/>
      <c r="N681" s="165"/>
      <c r="O681" s="165"/>
      <c r="P681" s="165"/>
      <c r="Q681" s="165"/>
      <c r="R681" s="165"/>
      <c r="S681" s="165"/>
      <c r="T681" s="165"/>
      <c r="U681" s="165"/>
      <c r="V681" s="26"/>
      <c r="W681" s="26"/>
      <c r="X681" s="26"/>
      <c r="Y681" s="26"/>
      <c r="Z681" s="26"/>
      <c r="AA681" s="26"/>
      <c r="AB681" s="26"/>
      <c r="AC681" s="26"/>
      <c r="AD681" s="26"/>
      <c r="AE681" s="26"/>
      <c r="AF681" s="26"/>
      <c r="AG681" s="26"/>
      <c r="AH681" s="35"/>
      <c r="AI681" s="35"/>
      <c r="AJ681" s="35"/>
      <c r="AK681" s="35"/>
      <c r="AL681" s="35"/>
      <c r="AM681" s="35"/>
      <c r="AN681" s="35"/>
      <c r="AO681" s="253"/>
      <c r="AP681" s="253"/>
      <c r="AQ681" s="156"/>
      <c r="AR681" s="156"/>
      <c r="AS681" s="106"/>
      <c r="AT681" s="106"/>
      <c r="AU681" s="106"/>
      <c r="AV681" s="106"/>
      <c r="AW681" s="126"/>
      <c r="AX681" s="126"/>
      <c r="AY681" s="126"/>
      <c r="AZ681" s="126"/>
      <c r="BA681" s="126"/>
      <c r="BB681" s="160"/>
      <c r="BC681" s="160"/>
      <c r="BD681" s="160"/>
      <c r="BE681" s="160"/>
      <c r="BF681" s="161"/>
    </row>
    <row r="682" s="162" customFormat="true" ht="14.1" hidden="true" customHeight="true" outlineLevel="1" collapsed="false">
      <c r="A682" s="138" t="s">
        <v>382</v>
      </c>
      <c r="B682" s="169"/>
      <c r="C682" s="169"/>
      <c r="D682" s="169"/>
      <c r="E682" s="278"/>
      <c r="F682" s="278"/>
      <c r="G682" s="26"/>
      <c r="H682" s="26"/>
      <c r="I682" s="26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  <c r="AA682" s="26"/>
      <c r="AB682" s="26"/>
      <c r="AC682" s="26"/>
      <c r="AD682" s="26"/>
      <c r="AE682" s="26"/>
      <c r="AF682" s="26"/>
      <c r="AG682" s="26"/>
      <c r="AH682" s="35"/>
      <c r="AI682" s="35"/>
      <c r="AJ682" s="35"/>
      <c r="AK682" s="35"/>
      <c r="AL682" s="35"/>
      <c r="AM682" s="35"/>
      <c r="AN682" s="35"/>
      <c r="AO682" s="253"/>
      <c r="AP682" s="253"/>
      <c r="AQ682" s="156"/>
      <c r="AR682" s="156"/>
      <c r="AS682" s="106"/>
      <c r="AT682" s="106"/>
      <c r="AU682" s="106"/>
      <c r="AV682" s="106"/>
      <c r="AW682" s="126"/>
      <c r="AX682" s="126"/>
      <c r="AY682" s="126"/>
      <c r="AZ682" s="126"/>
      <c r="BA682" s="126"/>
      <c r="BB682" s="160"/>
      <c r="BC682" s="160"/>
      <c r="BD682" s="160"/>
      <c r="BE682" s="160"/>
      <c r="BF682" s="161"/>
    </row>
    <row r="683" s="162" customFormat="true" ht="14.1" hidden="true" customHeight="true" outlineLevel="1" collapsed="false">
      <c r="A683" s="244" t="s">
        <v>383</v>
      </c>
      <c r="B683" s="169"/>
      <c r="C683" s="169"/>
      <c r="D683" s="169"/>
      <c r="E683" s="278"/>
      <c r="F683" s="278"/>
      <c r="G683" s="26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  <c r="Z683" s="26"/>
      <c r="AA683" s="26"/>
      <c r="AB683" s="26"/>
      <c r="AC683" s="26"/>
      <c r="AD683" s="26"/>
      <c r="AE683" s="26"/>
      <c r="AF683" s="26"/>
      <c r="AG683" s="26"/>
      <c r="AH683" s="35"/>
      <c r="AI683" s="35"/>
      <c r="AJ683" s="35"/>
      <c r="AK683" s="35"/>
      <c r="AL683" s="35"/>
      <c r="AM683" s="35"/>
      <c r="AN683" s="35"/>
      <c r="AO683" s="253"/>
      <c r="AP683" s="253"/>
      <c r="AQ683" s="156"/>
      <c r="AR683" s="156"/>
      <c r="AS683" s="106"/>
      <c r="AT683" s="106"/>
      <c r="AU683" s="106"/>
      <c r="AV683" s="106"/>
      <c r="AW683" s="126"/>
      <c r="AX683" s="126"/>
      <c r="AY683" s="126"/>
      <c r="AZ683" s="126"/>
      <c r="BA683" s="126"/>
      <c r="BB683" s="160"/>
      <c r="BC683" s="160"/>
      <c r="BD683" s="160"/>
      <c r="BE683" s="160"/>
      <c r="BF683" s="161"/>
    </row>
    <row r="684" customFormat="false" ht="14.1" hidden="true" customHeight="true" outlineLevel="1" collapsed="false">
      <c r="A684" s="251"/>
      <c r="B684" s="169"/>
      <c r="C684" s="169"/>
      <c r="D684" s="138"/>
      <c r="E684" s="355"/>
      <c r="F684" s="355"/>
      <c r="G684" s="26"/>
      <c r="H684" s="26"/>
      <c r="I684" s="26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  <c r="AA684" s="26"/>
      <c r="AB684" s="26"/>
      <c r="AC684" s="26"/>
      <c r="AD684" s="26"/>
      <c r="AE684" s="26"/>
      <c r="AF684" s="26"/>
      <c r="AG684" s="26"/>
      <c r="AH684" s="35"/>
      <c r="AI684" s="35"/>
      <c r="AJ684" s="35"/>
      <c r="AK684" s="35"/>
      <c r="AL684" s="35"/>
      <c r="AM684" s="35"/>
      <c r="AN684" s="35"/>
      <c r="AO684" s="253"/>
      <c r="AP684" s="253"/>
      <c r="AQ684" s="156"/>
      <c r="AR684" s="156"/>
      <c r="AS684" s="106"/>
      <c r="AT684" s="106"/>
      <c r="AU684" s="106"/>
      <c r="AV684" s="106"/>
      <c r="AW684" s="126"/>
      <c r="AX684" s="126"/>
      <c r="AY684" s="126"/>
      <c r="AZ684" s="126"/>
      <c r="BA684" s="126"/>
      <c r="BB684" s="21"/>
      <c r="BC684" s="21"/>
      <c r="BD684" s="21"/>
      <c r="BE684" s="21"/>
    </row>
    <row r="685" customFormat="false" ht="14.1" hidden="true" customHeight="true" outlineLevel="1" collapsed="false">
      <c r="A685" s="360" t="s">
        <v>426</v>
      </c>
      <c r="B685" s="360"/>
      <c r="C685" s="360"/>
      <c r="D685" s="138"/>
      <c r="E685" s="355"/>
      <c r="F685" s="355"/>
      <c r="G685" s="26"/>
      <c r="H685" s="26"/>
      <c r="I685" s="26"/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Y685" s="26"/>
      <c r="Z685" s="26"/>
      <c r="AA685" s="26"/>
      <c r="AB685" s="26"/>
      <c r="AC685" s="26"/>
      <c r="AD685" s="26"/>
      <c r="AE685" s="26"/>
      <c r="AF685" s="26"/>
      <c r="AG685" s="26"/>
      <c r="AH685" s="35"/>
      <c r="AI685" s="35"/>
      <c r="AJ685" s="35"/>
      <c r="AK685" s="35"/>
      <c r="AL685" s="35"/>
      <c r="AM685" s="35"/>
      <c r="AN685" s="35"/>
      <c r="AO685" s="253"/>
      <c r="AP685" s="253"/>
      <c r="AQ685" s="156"/>
      <c r="AR685" s="156"/>
      <c r="AS685" s="106"/>
      <c r="AT685" s="106"/>
      <c r="AU685" s="106"/>
      <c r="AV685" s="106"/>
      <c r="AW685" s="126"/>
      <c r="AX685" s="126"/>
      <c r="AY685" s="126"/>
      <c r="AZ685" s="126"/>
      <c r="BA685" s="126"/>
      <c r="BB685" s="21"/>
      <c r="BC685" s="21"/>
      <c r="BD685" s="21"/>
      <c r="BE685" s="21"/>
    </row>
    <row r="686" customFormat="false" ht="14.1" hidden="true" customHeight="true" outlineLevel="1" collapsed="false">
      <c r="A686" s="139" t="s">
        <v>427</v>
      </c>
      <c r="B686" s="148" t="s">
        <v>48</v>
      </c>
      <c r="C686" s="130"/>
      <c r="D686" s="138"/>
      <c r="E686" s="355"/>
      <c r="F686" s="355"/>
      <c r="G686" s="26"/>
      <c r="H686" s="26"/>
      <c r="I686" s="26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  <c r="AA686" s="26"/>
      <c r="AB686" s="26"/>
      <c r="AC686" s="26"/>
      <c r="AD686" s="26"/>
      <c r="AE686" s="26"/>
      <c r="AF686" s="26"/>
      <c r="AG686" s="26"/>
      <c r="AH686" s="35"/>
      <c r="AI686" s="35"/>
      <c r="AJ686" s="35"/>
      <c r="AK686" s="35"/>
      <c r="AL686" s="35"/>
      <c r="AM686" s="35"/>
      <c r="AN686" s="35"/>
      <c r="AO686" s="253"/>
      <c r="AP686" s="253"/>
      <c r="AQ686" s="156"/>
      <c r="AR686" s="156"/>
      <c r="AS686" s="106"/>
      <c r="AT686" s="106"/>
      <c r="AU686" s="106"/>
      <c r="AV686" s="106"/>
      <c r="AW686" s="126"/>
      <c r="AX686" s="126"/>
      <c r="AY686" s="126"/>
      <c r="AZ686" s="126"/>
      <c r="BA686" s="126"/>
      <c r="BB686" s="21"/>
      <c r="BC686" s="21"/>
      <c r="BD686" s="21"/>
      <c r="BE686" s="21"/>
    </row>
    <row r="687" customFormat="false" ht="14.1" hidden="true" customHeight="true" outlineLevel="1" collapsed="false">
      <c r="A687" s="139" t="s">
        <v>428</v>
      </c>
      <c r="B687" s="148" t="s">
        <v>48</v>
      </c>
      <c r="C687" s="130"/>
      <c r="D687" s="138"/>
      <c r="E687" s="355"/>
      <c r="F687" s="355"/>
      <c r="G687" s="26"/>
      <c r="H687" s="26"/>
      <c r="I687" s="26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  <c r="AA687" s="26"/>
      <c r="AB687" s="26"/>
      <c r="AC687" s="26"/>
      <c r="AD687" s="26"/>
      <c r="AE687" s="26"/>
      <c r="AF687" s="26"/>
      <c r="AG687" s="26"/>
      <c r="AH687" s="35"/>
      <c r="AI687" s="35"/>
      <c r="AJ687" s="35"/>
      <c r="AK687" s="35"/>
      <c r="AL687" s="35"/>
      <c r="AM687" s="35"/>
      <c r="AN687" s="35"/>
      <c r="AO687" s="253"/>
      <c r="AP687" s="253"/>
      <c r="AQ687" s="156"/>
      <c r="AR687" s="156"/>
      <c r="AS687" s="106"/>
      <c r="AT687" s="106"/>
      <c r="AU687" s="106"/>
      <c r="AV687" s="106"/>
      <c r="AW687" s="126"/>
      <c r="AX687" s="126"/>
      <c r="AY687" s="126"/>
      <c r="AZ687" s="126"/>
      <c r="BA687" s="126"/>
      <c r="BB687" s="21"/>
      <c r="BC687" s="21"/>
      <c r="BD687" s="21"/>
      <c r="BE687" s="21"/>
    </row>
    <row r="688" customFormat="false" ht="14.1" hidden="true" customHeight="true" outlineLevel="1" collapsed="false">
      <c r="A688" s="139" t="s">
        <v>429</v>
      </c>
      <c r="B688" s="148" t="s">
        <v>48</v>
      </c>
      <c r="C688" s="130"/>
      <c r="D688" s="138"/>
      <c r="E688" s="355"/>
      <c r="F688" s="355"/>
      <c r="G688" s="26"/>
      <c r="H688" s="26"/>
      <c r="I688" s="26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  <c r="Z688" s="26"/>
      <c r="AA688" s="26"/>
      <c r="AB688" s="26"/>
      <c r="AC688" s="26"/>
      <c r="AD688" s="26"/>
      <c r="AE688" s="26"/>
      <c r="AF688" s="26"/>
      <c r="AG688" s="26"/>
      <c r="AH688" s="35"/>
      <c r="AI688" s="35"/>
      <c r="AJ688" s="35"/>
      <c r="AK688" s="35"/>
      <c r="AL688" s="35"/>
      <c r="AM688" s="35"/>
      <c r="AN688" s="35"/>
      <c r="AO688" s="253"/>
      <c r="AP688" s="253"/>
      <c r="AQ688" s="156"/>
      <c r="AR688" s="156"/>
      <c r="AS688" s="106"/>
      <c r="AT688" s="106"/>
      <c r="AU688" s="106"/>
      <c r="AV688" s="106"/>
      <c r="AW688" s="126"/>
      <c r="AX688" s="126"/>
      <c r="AY688" s="126"/>
      <c r="AZ688" s="126"/>
      <c r="BA688" s="126"/>
      <c r="BB688" s="21"/>
      <c r="BC688" s="21"/>
      <c r="BD688" s="21"/>
      <c r="BE688" s="21"/>
    </row>
    <row r="689" customFormat="false" ht="14.1" hidden="true" customHeight="true" outlineLevel="1" collapsed="false">
      <c r="A689" s="139" t="s">
        <v>430</v>
      </c>
      <c r="B689" s="148" t="s">
        <v>48</v>
      </c>
      <c r="C689" s="130"/>
      <c r="D689" s="138"/>
      <c r="E689" s="355"/>
      <c r="F689" s="355"/>
      <c r="G689" s="26"/>
      <c r="H689" s="26"/>
      <c r="I689" s="26"/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  <c r="AA689" s="26"/>
      <c r="AB689" s="26"/>
      <c r="AC689" s="26"/>
      <c r="AD689" s="26"/>
      <c r="AE689" s="26"/>
      <c r="AF689" s="26"/>
      <c r="AG689" s="26"/>
      <c r="AH689" s="35"/>
      <c r="AI689" s="35"/>
      <c r="AJ689" s="35"/>
      <c r="AK689" s="35"/>
      <c r="AL689" s="35"/>
      <c r="AM689" s="35"/>
      <c r="AN689" s="35"/>
      <c r="AO689" s="253"/>
      <c r="AP689" s="253"/>
      <c r="AQ689" s="156"/>
      <c r="AR689" s="156"/>
      <c r="AS689" s="106"/>
      <c r="AT689" s="106"/>
      <c r="AU689" s="106"/>
      <c r="AV689" s="106"/>
      <c r="AW689" s="126"/>
      <c r="AX689" s="126"/>
      <c r="AY689" s="126"/>
      <c r="AZ689" s="126"/>
      <c r="BA689" s="126"/>
      <c r="BB689" s="21"/>
      <c r="BC689" s="21"/>
      <c r="BD689" s="21"/>
      <c r="BE689" s="21"/>
    </row>
    <row r="690" customFormat="false" ht="14.1" hidden="true" customHeight="true" outlineLevel="1" collapsed="false">
      <c r="A690" s="139" t="s">
        <v>431</v>
      </c>
      <c r="B690" s="148" t="s">
        <v>48</v>
      </c>
      <c r="C690" s="130"/>
      <c r="D690" s="138"/>
      <c r="E690" s="355"/>
      <c r="F690" s="355"/>
      <c r="G690" s="26"/>
      <c r="H690" s="26"/>
      <c r="I690" s="26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  <c r="Z690" s="26"/>
      <c r="AA690" s="26"/>
      <c r="AB690" s="26"/>
      <c r="AC690" s="26"/>
      <c r="AD690" s="26"/>
      <c r="AE690" s="26"/>
      <c r="AF690" s="26"/>
      <c r="AG690" s="26"/>
      <c r="AH690" s="35"/>
      <c r="AI690" s="35"/>
      <c r="AJ690" s="35"/>
      <c r="AK690" s="35"/>
      <c r="AL690" s="35"/>
      <c r="AM690" s="35"/>
      <c r="AN690" s="35"/>
      <c r="AO690" s="253"/>
      <c r="AP690" s="253"/>
      <c r="AQ690" s="156"/>
      <c r="AR690" s="156"/>
      <c r="AS690" s="106"/>
      <c r="AT690" s="106"/>
      <c r="AU690" s="106"/>
      <c r="AV690" s="106"/>
      <c r="AW690" s="126"/>
      <c r="AX690" s="126"/>
      <c r="AY690" s="126"/>
      <c r="AZ690" s="126"/>
      <c r="BA690" s="126"/>
      <c r="BB690" s="21"/>
      <c r="BC690" s="21"/>
      <c r="BD690" s="21"/>
      <c r="BE690" s="21"/>
    </row>
    <row r="691" customFormat="false" ht="14.1" hidden="true" customHeight="true" outlineLevel="1" collapsed="false">
      <c r="A691" s="139" t="s">
        <v>432</v>
      </c>
      <c r="B691" s="148" t="s">
        <v>48</v>
      </c>
      <c r="C691" s="130"/>
      <c r="D691" s="138"/>
      <c r="E691" s="355"/>
      <c r="F691" s="355"/>
      <c r="G691" s="26"/>
      <c r="H691" s="26"/>
      <c r="I691" s="26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  <c r="AA691" s="26"/>
      <c r="AB691" s="26"/>
      <c r="AC691" s="26"/>
      <c r="AD691" s="26"/>
      <c r="AE691" s="26"/>
      <c r="AF691" s="26"/>
      <c r="AG691" s="26"/>
      <c r="AH691" s="35"/>
      <c r="AI691" s="35"/>
      <c r="AJ691" s="35"/>
      <c r="AK691" s="35"/>
      <c r="AL691" s="35"/>
      <c r="AM691" s="35"/>
      <c r="AN691" s="35"/>
      <c r="AO691" s="253"/>
      <c r="AP691" s="253"/>
      <c r="AQ691" s="156"/>
      <c r="AR691" s="156"/>
      <c r="AS691" s="106"/>
      <c r="AT691" s="106"/>
      <c r="AU691" s="106"/>
      <c r="AV691" s="106"/>
      <c r="AW691" s="126"/>
      <c r="AX691" s="126"/>
      <c r="AY691" s="126"/>
      <c r="AZ691" s="126"/>
      <c r="BA691" s="126"/>
      <c r="BB691" s="21"/>
      <c r="BC691" s="21"/>
      <c r="BD691" s="21"/>
      <c r="BE691" s="21"/>
    </row>
    <row r="692" customFormat="false" ht="14.1" hidden="true" customHeight="true" outlineLevel="1" collapsed="false">
      <c r="A692" s="139" t="s">
        <v>433</v>
      </c>
      <c r="B692" s="148" t="s">
        <v>434</v>
      </c>
      <c r="C692" s="130"/>
      <c r="D692" s="138"/>
      <c r="E692" s="355"/>
      <c r="F692" s="355"/>
      <c r="G692" s="26"/>
      <c r="H692" s="26"/>
      <c r="I692" s="26"/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  <c r="AA692" s="26"/>
      <c r="AB692" s="26"/>
      <c r="AC692" s="26"/>
      <c r="AD692" s="26"/>
      <c r="AE692" s="26"/>
      <c r="AF692" s="26"/>
      <c r="AG692" s="26"/>
      <c r="AH692" s="35"/>
      <c r="AI692" s="35"/>
      <c r="AJ692" s="35"/>
      <c r="AK692" s="35"/>
      <c r="AL692" s="35"/>
      <c r="AM692" s="35"/>
      <c r="AN692" s="35"/>
      <c r="AO692" s="253"/>
      <c r="AP692" s="253"/>
      <c r="AQ692" s="156"/>
      <c r="AR692" s="156"/>
      <c r="AS692" s="106"/>
      <c r="AT692" s="106"/>
      <c r="AU692" s="106"/>
      <c r="AV692" s="106"/>
      <c r="AW692" s="126"/>
      <c r="AX692" s="126"/>
      <c r="AY692" s="126"/>
      <c r="AZ692" s="126"/>
      <c r="BA692" s="126"/>
      <c r="BB692" s="21"/>
      <c r="BC692" s="21"/>
      <c r="BD692" s="21"/>
      <c r="BE692" s="21"/>
    </row>
    <row r="693" customFormat="false" ht="14.1" hidden="true" customHeight="true" outlineLevel="1" collapsed="false">
      <c r="A693" s="139" t="s">
        <v>435</v>
      </c>
      <c r="B693" s="148" t="s">
        <v>434</v>
      </c>
      <c r="C693" s="130"/>
      <c r="D693" s="138"/>
      <c r="E693" s="355"/>
      <c r="F693" s="355"/>
      <c r="G693" s="26"/>
      <c r="H693" s="26"/>
      <c r="I693" s="26"/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  <c r="Z693" s="26"/>
      <c r="AA693" s="26"/>
      <c r="AB693" s="26"/>
      <c r="AC693" s="26"/>
      <c r="AD693" s="26"/>
      <c r="AE693" s="26"/>
      <c r="AF693" s="26"/>
      <c r="AG693" s="26"/>
      <c r="AH693" s="35"/>
      <c r="AI693" s="35"/>
      <c r="AJ693" s="35"/>
      <c r="AK693" s="35"/>
      <c r="AL693" s="35"/>
      <c r="AM693" s="35"/>
      <c r="AN693" s="35"/>
      <c r="AO693" s="253"/>
      <c r="AP693" s="253"/>
      <c r="AQ693" s="156"/>
      <c r="AR693" s="156"/>
      <c r="AS693" s="106"/>
      <c r="AT693" s="106"/>
      <c r="AU693" s="106"/>
      <c r="AV693" s="106"/>
      <c r="AW693" s="126"/>
      <c r="AX693" s="126"/>
      <c r="AY693" s="126"/>
      <c r="AZ693" s="126"/>
      <c r="BA693" s="126"/>
      <c r="BB693" s="21"/>
      <c r="BC693" s="21"/>
      <c r="BD693" s="21"/>
      <c r="BE693" s="21"/>
    </row>
    <row r="694" customFormat="false" ht="14.1" hidden="true" customHeight="true" outlineLevel="1" collapsed="false">
      <c r="A694" s="139" t="s">
        <v>436</v>
      </c>
      <c r="B694" s="148" t="s">
        <v>434</v>
      </c>
      <c r="C694" s="130"/>
      <c r="D694" s="138"/>
      <c r="E694" s="355"/>
      <c r="F694" s="355"/>
      <c r="G694" s="26"/>
      <c r="H694" s="26"/>
      <c r="I694" s="26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  <c r="AA694" s="26"/>
      <c r="AB694" s="26"/>
      <c r="AC694" s="26"/>
      <c r="AD694" s="26"/>
      <c r="AE694" s="26"/>
      <c r="AF694" s="26"/>
      <c r="AG694" s="26"/>
      <c r="AH694" s="35"/>
      <c r="AI694" s="35"/>
      <c r="AJ694" s="35"/>
      <c r="AK694" s="35"/>
      <c r="AL694" s="35"/>
      <c r="AM694" s="35"/>
      <c r="AN694" s="35"/>
      <c r="AO694" s="253"/>
      <c r="AP694" s="253"/>
      <c r="AQ694" s="156"/>
      <c r="AR694" s="156"/>
      <c r="AS694" s="106"/>
      <c r="AT694" s="106"/>
      <c r="AU694" s="106"/>
      <c r="AV694" s="106"/>
      <c r="AW694" s="126"/>
      <c r="AX694" s="126"/>
      <c r="AY694" s="126"/>
      <c r="AZ694" s="126"/>
      <c r="BA694" s="126"/>
      <c r="BB694" s="21"/>
      <c r="BC694" s="21"/>
      <c r="BD694" s="21"/>
      <c r="BE694" s="21"/>
    </row>
    <row r="695" customFormat="false" ht="14.1" hidden="true" customHeight="true" outlineLevel="1" collapsed="false">
      <c r="A695" s="139" t="s">
        <v>437</v>
      </c>
      <c r="B695" s="148" t="s">
        <v>434</v>
      </c>
      <c r="C695" s="130"/>
      <c r="D695" s="138"/>
      <c r="E695" s="355"/>
      <c r="F695" s="355"/>
      <c r="G695" s="26"/>
      <c r="H695" s="26"/>
      <c r="I695" s="26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  <c r="Y695" s="26"/>
      <c r="Z695" s="26"/>
      <c r="AA695" s="26"/>
      <c r="AB695" s="26"/>
      <c r="AC695" s="26"/>
      <c r="AD695" s="26"/>
      <c r="AE695" s="26"/>
      <c r="AF695" s="26"/>
      <c r="AG695" s="26"/>
      <c r="AH695" s="35"/>
      <c r="AI695" s="35"/>
      <c r="AJ695" s="35"/>
      <c r="AK695" s="35"/>
      <c r="AL695" s="35"/>
      <c r="AM695" s="35"/>
      <c r="AN695" s="35"/>
      <c r="AO695" s="253"/>
      <c r="AP695" s="253"/>
      <c r="AQ695" s="156"/>
      <c r="AR695" s="156"/>
      <c r="AS695" s="106"/>
      <c r="AT695" s="106"/>
      <c r="AU695" s="106"/>
      <c r="AV695" s="106"/>
      <c r="AW695" s="126"/>
      <c r="AX695" s="126"/>
      <c r="AY695" s="126"/>
      <c r="AZ695" s="126"/>
      <c r="BA695" s="126"/>
      <c r="BB695" s="21"/>
      <c r="BC695" s="21"/>
      <c r="BD695" s="21"/>
      <c r="BE695" s="21"/>
    </row>
    <row r="696" customFormat="false" ht="14.1" hidden="true" customHeight="true" outlineLevel="1" collapsed="false">
      <c r="A696" s="251"/>
      <c r="B696" s="169"/>
      <c r="C696" s="169"/>
      <c r="D696" s="138"/>
      <c r="E696" s="355"/>
      <c r="F696" s="355"/>
      <c r="G696" s="26"/>
      <c r="H696" s="26"/>
      <c r="I696" s="26"/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  <c r="AA696" s="26"/>
      <c r="AB696" s="26"/>
      <c r="AC696" s="26"/>
      <c r="AD696" s="26"/>
      <c r="AE696" s="26"/>
      <c r="AF696" s="26"/>
      <c r="AG696" s="26"/>
      <c r="AH696" s="35"/>
      <c r="AI696" s="35"/>
      <c r="AJ696" s="35"/>
      <c r="AK696" s="35"/>
      <c r="AL696" s="35"/>
      <c r="AM696" s="35"/>
      <c r="AN696" s="35"/>
      <c r="AO696" s="253"/>
      <c r="AP696" s="253"/>
      <c r="AQ696" s="156"/>
      <c r="AR696" s="156"/>
      <c r="AS696" s="106"/>
      <c r="AT696" s="106"/>
      <c r="AU696" s="106"/>
      <c r="AV696" s="106"/>
      <c r="AW696" s="126"/>
      <c r="AX696" s="126"/>
      <c r="AY696" s="126"/>
      <c r="AZ696" s="126"/>
      <c r="BA696" s="126"/>
      <c r="BB696" s="21"/>
      <c r="BC696" s="21"/>
      <c r="BD696" s="21"/>
      <c r="BE696" s="21"/>
    </row>
    <row r="697" customFormat="false" ht="14.1" hidden="true" customHeight="true" outlineLevel="1" collapsed="false">
      <c r="A697" s="138" t="s">
        <v>225</v>
      </c>
      <c r="B697" s="277"/>
      <c r="C697" s="272"/>
      <c r="D697" s="138"/>
      <c r="E697" s="355"/>
      <c r="F697" s="355"/>
      <c r="G697" s="26"/>
      <c r="H697" s="26"/>
      <c r="I697" s="26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  <c r="AA697" s="26"/>
      <c r="AB697" s="26"/>
      <c r="AC697" s="26"/>
      <c r="AD697" s="26"/>
      <c r="AE697" s="26"/>
      <c r="AF697" s="26"/>
      <c r="AG697" s="26"/>
      <c r="AH697" s="35"/>
      <c r="AI697" s="35"/>
      <c r="AJ697" s="35"/>
      <c r="AK697" s="35"/>
      <c r="AL697" s="35"/>
      <c r="AM697" s="35"/>
      <c r="AN697" s="35"/>
      <c r="AO697" s="253"/>
      <c r="AP697" s="253"/>
      <c r="AQ697" s="156"/>
      <c r="AR697" s="156"/>
      <c r="AS697" s="106"/>
      <c r="AT697" s="106"/>
      <c r="AU697" s="106"/>
      <c r="AV697" s="106"/>
      <c r="AW697" s="126"/>
      <c r="AX697" s="126"/>
      <c r="AY697" s="126"/>
      <c r="AZ697" s="126"/>
      <c r="BA697" s="126"/>
      <c r="BB697" s="21"/>
      <c r="BC697" s="21"/>
      <c r="BD697" s="21"/>
      <c r="BE697" s="21"/>
    </row>
    <row r="698" customFormat="false" ht="14.1" hidden="true" customHeight="true" outlineLevel="1" collapsed="false">
      <c r="A698" s="149" t="s">
        <v>226</v>
      </c>
      <c r="B698" s="119" t="s">
        <v>109</v>
      </c>
      <c r="C698" s="130" t="n">
        <v>1</v>
      </c>
      <c r="D698" s="138"/>
      <c r="E698" s="355"/>
      <c r="F698" s="355"/>
      <c r="G698" s="26"/>
      <c r="H698" s="26"/>
      <c r="I698" s="26"/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  <c r="Z698" s="26"/>
      <c r="AA698" s="26"/>
      <c r="AB698" s="26"/>
      <c r="AC698" s="26"/>
      <c r="AD698" s="26"/>
      <c r="AE698" s="26"/>
      <c r="AF698" s="26"/>
      <c r="AG698" s="26"/>
      <c r="AH698" s="35"/>
      <c r="AI698" s="35"/>
      <c r="AJ698" s="35"/>
      <c r="AK698" s="35"/>
      <c r="AL698" s="35"/>
      <c r="AM698" s="35"/>
      <c r="AN698" s="35"/>
      <c r="AO698" s="253"/>
      <c r="AP698" s="253"/>
      <c r="AQ698" s="156"/>
      <c r="AR698" s="156"/>
      <c r="AS698" s="106"/>
      <c r="AT698" s="106"/>
      <c r="AU698" s="106"/>
      <c r="AV698" s="106"/>
      <c r="AW698" s="126"/>
      <c r="AX698" s="126"/>
      <c r="AY698" s="126"/>
      <c r="AZ698" s="126"/>
      <c r="BA698" s="126"/>
      <c r="BB698" s="21"/>
      <c r="BC698" s="21"/>
      <c r="BD698" s="21"/>
      <c r="BE698" s="21"/>
    </row>
    <row r="699" customFormat="false" ht="14.1" hidden="true" customHeight="true" outlineLevel="1" collapsed="false">
      <c r="A699" s="139" t="s">
        <v>226</v>
      </c>
      <c r="B699" s="119" t="s">
        <v>109</v>
      </c>
      <c r="C699" s="151" t="n">
        <v>0</v>
      </c>
      <c r="D699" s="138"/>
      <c r="E699" s="355"/>
      <c r="F699" s="355"/>
      <c r="G699" s="26"/>
      <c r="H699" s="26"/>
      <c r="I699" s="26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  <c r="Z699" s="26"/>
      <c r="AA699" s="26"/>
      <c r="AB699" s="26"/>
      <c r="AC699" s="26"/>
      <c r="AD699" s="26"/>
      <c r="AE699" s="26"/>
      <c r="AF699" s="26"/>
      <c r="AG699" s="26"/>
      <c r="AH699" s="35"/>
      <c r="AI699" s="35"/>
      <c r="AJ699" s="35"/>
      <c r="AK699" s="35"/>
      <c r="AL699" s="35"/>
      <c r="AM699" s="35"/>
      <c r="AN699" s="35"/>
      <c r="AO699" s="253"/>
      <c r="AP699" s="253"/>
      <c r="AQ699" s="156"/>
      <c r="AR699" s="156"/>
      <c r="AS699" s="106"/>
      <c r="AT699" s="106"/>
      <c r="AU699" s="106"/>
      <c r="AV699" s="106"/>
      <c r="AW699" s="126"/>
      <c r="AX699" s="126"/>
      <c r="AY699" s="126"/>
      <c r="AZ699" s="126"/>
      <c r="BA699" s="126"/>
      <c r="BB699" s="21"/>
      <c r="BC699" s="21"/>
      <c r="BD699" s="21"/>
      <c r="BE699" s="21"/>
    </row>
    <row r="700" customFormat="false" ht="14.1" hidden="true" customHeight="true" outlineLevel="1" collapsed="false">
      <c r="A700" s="138"/>
      <c r="B700" s="235"/>
      <c r="C700" s="138"/>
      <c r="D700" s="138"/>
      <c r="E700" s="355"/>
      <c r="F700" s="355"/>
      <c r="G700" s="26"/>
      <c r="H700" s="26"/>
      <c r="I700" s="26"/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  <c r="Y700" s="26"/>
      <c r="Z700" s="26"/>
      <c r="AA700" s="26"/>
      <c r="AB700" s="26"/>
      <c r="AC700" s="26"/>
      <c r="AD700" s="26"/>
      <c r="AE700" s="26"/>
      <c r="AF700" s="26"/>
      <c r="AG700" s="26"/>
      <c r="AH700" s="35"/>
      <c r="AI700" s="35"/>
      <c r="AJ700" s="35"/>
      <c r="AK700" s="35"/>
      <c r="AL700" s="35"/>
      <c r="AM700" s="35"/>
      <c r="AN700" s="35"/>
      <c r="AO700" s="253"/>
      <c r="AP700" s="253"/>
      <c r="AQ700" s="156"/>
      <c r="AR700" s="156"/>
      <c r="AS700" s="106"/>
      <c r="AT700" s="106"/>
      <c r="AU700" s="106"/>
      <c r="AV700" s="106"/>
      <c r="AW700" s="126"/>
      <c r="AX700" s="126"/>
      <c r="AY700" s="126"/>
      <c r="AZ700" s="126"/>
      <c r="BA700" s="126"/>
      <c r="BB700" s="21"/>
      <c r="BC700" s="21"/>
      <c r="BD700" s="21"/>
      <c r="BE700" s="21"/>
    </row>
    <row r="701" customFormat="false" ht="14.1" hidden="true" customHeight="true" outlineLevel="1" collapsed="false">
      <c r="A701" s="152" t="s">
        <v>438</v>
      </c>
      <c r="B701" s="119" t="s">
        <v>113</v>
      </c>
      <c r="C701" s="252" t="n">
        <v>0</v>
      </c>
      <c r="D701" s="138"/>
      <c r="E701" s="355"/>
      <c r="F701" s="355"/>
      <c r="G701" s="26"/>
      <c r="H701" s="26"/>
      <c r="I701" s="26"/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  <c r="AA701" s="26"/>
      <c r="AB701" s="26"/>
      <c r="AC701" s="26"/>
      <c r="AD701" s="26"/>
      <c r="AE701" s="26"/>
      <c r="AF701" s="26"/>
      <c r="AG701" s="26"/>
      <c r="AH701" s="35"/>
      <c r="AI701" s="35"/>
      <c r="AJ701" s="35"/>
      <c r="AK701" s="35"/>
      <c r="AL701" s="35"/>
      <c r="AM701" s="35"/>
      <c r="AN701" s="35"/>
      <c r="AO701" s="253"/>
      <c r="AP701" s="253"/>
      <c r="AQ701" s="156"/>
      <c r="AR701" s="156"/>
      <c r="AS701" s="106"/>
      <c r="AT701" s="106"/>
      <c r="AU701" s="106"/>
      <c r="AV701" s="106"/>
      <c r="AW701" s="126"/>
      <c r="AX701" s="126"/>
      <c r="AY701" s="126"/>
      <c r="AZ701" s="126"/>
      <c r="BA701" s="126"/>
      <c r="BB701" s="21"/>
      <c r="BC701" s="21"/>
      <c r="BD701" s="21"/>
      <c r="BE701" s="21"/>
    </row>
    <row r="702" customFormat="false" ht="14.1" hidden="false" customHeight="true" outlineLevel="0" collapsed="false">
      <c r="A702" s="155" t="s">
        <v>439</v>
      </c>
      <c r="B702" s="155"/>
      <c r="C702" s="155"/>
      <c r="D702" s="155"/>
      <c r="E702" s="155"/>
      <c r="F702" s="361" t="s">
        <v>56</v>
      </c>
      <c r="G702" s="26"/>
      <c r="H702" s="26"/>
      <c r="I702" s="26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  <c r="AA702" s="26"/>
      <c r="AB702" s="26"/>
      <c r="AC702" s="26"/>
      <c r="AD702" s="26"/>
      <c r="AE702" s="26"/>
      <c r="AF702" s="26"/>
      <c r="AG702" s="26"/>
      <c r="AH702" s="35"/>
      <c r="AI702" s="35"/>
      <c r="AJ702" s="35"/>
      <c r="AK702" s="35"/>
      <c r="AL702" s="35"/>
      <c r="AM702" s="35"/>
      <c r="AN702" s="35"/>
      <c r="AO702" s="253"/>
      <c r="AP702" s="253"/>
      <c r="AQ702" s="156"/>
      <c r="AR702" s="156"/>
      <c r="AS702" s="106"/>
      <c r="AT702" s="106"/>
      <c r="AU702" s="106"/>
      <c r="AV702" s="106"/>
      <c r="AW702" s="126"/>
      <c r="AX702" s="126"/>
      <c r="AY702" s="126"/>
      <c r="AZ702" s="126"/>
      <c r="BA702" s="126"/>
      <c r="BB702" s="21"/>
      <c r="BC702" s="21"/>
      <c r="BD702" s="21"/>
      <c r="BE702" s="21"/>
    </row>
    <row r="703" s="35" customFormat="true" ht="14.1" hidden="false" customHeight="true" outlineLevel="0" collapsed="false">
      <c r="A703" s="26"/>
      <c r="B703" s="135"/>
      <c r="C703" s="26"/>
      <c r="D703" s="26"/>
      <c r="E703" s="132"/>
      <c r="F703" s="132"/>
      <c r="G703" s="26"/>
      <c r="H703" s="26"/>
      <c r="I703" s="26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26"/>
      <c r="Z703" s="26"/>
      <c r="AA703" s="26"/>
      <c r="AB703" s="26"/>
      <c r="AC703" s="26"/>
      <c r="AD703" s="26"/>
      <c r="AE703" s="26"/>
      <c r="AF703" s="26"/>
      <c r="AG703" s="26"/>
      <c r="AO703" s="253"/>
      <c r="AP703" s="253"/>
      <c r="AQ703" s="156"/>
      <c r="AR703" s="156"/>
      <c r="AS703" s="106"/>
      <c r="AT703" s="106"/>
      <c r="AU703" s="106"/>
      <c r="AV703" s="106"/>
      <c r="AW703" s="126"/>
      <c r="AX703" s="126"/>
      <c r="AY703" s="126"/>
      <c r="AZ703" s="126"/>
      <c r="BA703" s="126"/>
      <c r="BB703" s="126"/>
      <c r="BC703" s="126"/>
      <c r="BD703" s="126"/>
      <c r="BE703" s="126"/>
      <c r="BF703" s="156"/>
    </row>
    <row r="704" customFormat="false" ht="14.1" hidden="true" customHeight="true" outlineLevel="1" collapsed="false">
      <c r="A704" s="284" t="s">
        <v>440</v>
      </c>
      <c r="B704" s="284"/>
      <c r="C704" s="284"/>
      <c r="D704" s="284"/>
      <c r="E704" s="284"/>
      <c r="F704" s="138"/>
      <c r="G704" s="26"/>
      <c r="H704" s="26"/>
      <c r="I704" s="26"/>
      <c r="J704" s="158" t="s">
        <v>440</v>
      </c>
      <c r="K704" s="158"/>
      <c r="L704" s="158"/>
      <c r="M704" s="158"/>
      <c r="N704" s="158"/>
      <c r="O704" s="158"/>
      <c r="P704" s="158"/>
      <c r="Q704" s="158"/>
      <c r="R704" s="158"/>
      <c r="S704" s="158"/>
      <c r="T704" s="158"/>
      <c r="U704" s="158"/>
      <c r="V704" s="158"/>
      <c r="W704" s="158"/>
      <c r="X704" s="158"/>
      <c r="Y704" s="158"/>
      <c r="Z704" s="158"/>
      <c r="AA704" s="158"/>
      <c r="AB704" s="158"/>
      <c r="AC704" s="158"/>
      <c r="AD704" s="158"/>
      <c r="AE704" s="158"/>
      <c r="AF704" s="26"/>
      <c r="AG704" s="26"/>
      <c r="AH704" s="35"/>
      <c r="AI704" s="35"/>
      <c r="AJ704" s="35"/>
      <c r="AK704" s="35"/>
      <c r="AL704" s="35"/>
      <c r="AM704" s="35"/>
      <c r="AN704" s="35"/>
      <c r="AO704" s="253"/>
      <c r="AP704" s="253"/>
      <c r="AQ704" s="156"/>
      <c r="AR704" s="156"/>
      <c r="AS704" s="106"/>
      <c r="AT704" s="106"/>
      <c r="AU704" s="106"/>
      <c r="AV704" s="106"/>
      <c r="AW704" s="126"/>
      <c r="AX704" s="126"/>
      <c r="AY704" s="126"/>
      <c r="AZ704" s="126"/>
      <c r="BA704" s="126"/>
      <c r="BB704" s="21"/>
      <c r="BC704" s="21"/>
      <c r="BD704" s="21"/>
      <c r="BE704" s="21"/>
    </row>
    <row r="705" customFormat="false" ht="14.1" hidden="true" customHeight="true" outlineLevel="1" collapsed="false">
      <c r="A705" s="280"/>
      <c r="B705" s="334"/>
      <c r="C705" s="280"/>
      <c r="D705" s="280"/>
      <c r="E705" s="280"/>
      <c r="F705" s="355"/>
      <c r="G705" s="26"/>
      <c r="H705" s="26"/>
      <c r="I705" s="26"/>
      <c r="J705" s="158"/>
      <c r="K705" s="158"/>
      <c r="L705" s="158"/>
      <c r="M705" s="158"/>
      <c r="N705" s="158"/>
      <c r="O705" s="158"/>
      <c r="P705" s="158"/>
      <c r="Q705" s="158"/>
      <c r="R705" s="158"/>
      <c r="S705" s="158"/>
      <c r="T705" s="158"/>
      <c r="U705" s="158"/>
      <c r="V705" s="158"/>
      <c r="W705" s="158"/>
      <c r="X705" s="158"/>
      <c r="Y705" s="158"/>
      <c r="Z705" s="158"/>
      <c r="AA705" s="158"/>
      <c r="AB705" s="158"/>
      <c r="AC705" s="158"/>
      <c r="AD705" s="158"/>
      <c r="AE705" s="158"/>
      <c r="AF705" s="26"/>
      <c r="AG705" s="26"/>
      <c r="AH705" s="35"/>
      <c r="AI705" s="35"/>
      <c r="AJ705" s="35"/>
      <c r="AK705" s="35"/>
      <c r="AL705" s="35"/>
      <c r="AM705" s="35"/>
      <c r="AN705" s="35"/>
      <c r="AO705" s="253"/>
      <c r="AP705" s="253"/>
      <c r="AQ705" s="156"/>
      <c r="AR705" s="156"/>
      <c r="AS705" s="106"/>
      <c r="AT705" s="106"/>
      <c r="AU705" s="106"/>
      <c r="AV705" s="106"/>
      <c r="AW705" s="126"/>
      <c r="AX705" s="126"/>
      <c r="AY705" s="126"/>
      <c r="AZ705" s="126"/>
      <c r="BA705" s="126"/>
      <c r="BB705" s="21"/>
      <c r="BC705" s="21"/>
      <c r="BD705" s="21"/>
      <c r="BE705" s="21"/>
    </row>
    <row r="706" customFormat="false" ht="14.1" hidden="true" customHeight="true" outlineLevel="1" collapsed="false">
      <c r="A706" s="261" t="s">
        <v>388</v>
      </c>
      <c r="B706" s="261"/>
      <c r="C706" s="261"/>
      <c r="D706" s="261"/>
      <c r="E706" s="239" t="n">
        <v>1.1</v>
      </c>
      <c r="F706" s="355"/>
      <c r="G706" s="26"/>
      <c r="H706" s="26"/>
      <c r="I706" s="26"/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  <c r="AA706" s="26"/>
      <c r="AB706" s="26"/>
      <c r="AC706" s="26"/>
      <c r="AD706" s="26"/>
      <c r="AE706" s="26"/>
      <c r="AF706" s="26"/>
      <c r="AG706" s="26"/>
      <c r="AH706" s="35"/>
      <c r="AI706" s="35"/>
      <c r="AJ706" s="35"/>
      <c r="AK706" s="35"/>
      <c r="AL706" s="35"/>
      <c r="AM706" s="35"/>
      <c r="AN706" s="35"/>
      <c r="AO706" s="253"/>
      <c r="AP706" s="253"/>
      <c r="AQ706" s="156"/>
      <c r="AR706" s="156"/>
      <c r="AS706" s="106"/>
      <c r="AT706" s="106"/>
      <c r="AU706" s="106"/>
      <c r="AV706" s="106"/>
      <c r="AW706" s="126"/>
      <c r="AX706" s="126"/>
      <c r="AY706" s="126"/>
      <c r="AZ706" s="126"/>
      <c r="BA706" s="126"/>
      <c r="BB706" s="21"/>
      <c r="BC706" s="21"/>
      <c r="BD706" s="21"/>
      <c r="BE706" s="21"/>
    </row>
    <row r="707" customFormat="false" ht="14.1" hidden="true" customHeight="true" outlineLevel="1" collapsed="false">
      <c r="A707" s="261" t="s">
        <v>389</v>
      </c>
      <c r="B707" s="261"/>
      <c r="C707" s="261"/>
      <c r="D707" s="261"/>
      <c r="E707" s="239" t="n">
        <v>1.2</v>
      </c>
      <c r="F707" s="355"/>
      <c r="G707" s="26"/>
      <c r="H707" s="26"/>
      <c r="I707" s="26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  <c r="Z707" s="26"/>
      <c r="AA707" s="26"/>
      <c r="AB707" s="26"/>
      <c r="AC707" s="26"/>
      <c r="AD707" s="26"/>
      <c r="AE707" s="26"/>
      <c r="AF707" s="26"/>
      <c r="AG707" s="26"/>
      <c r="AH707" s="35"/>
      <c r="AI707" s="35"/>
      <c r="AJ707" s="35"/>
      <c r="AK707" s="35"/>
      <c r="AL707" s="35"/>
      <c r="AM707" s="35"/>
      <c r="AN707" s="35"/>
      <c r="AO707" s="253"/>
      <c r="AP707" s="253"/>
      <c r="AQ707" s="156"/>
      <c r="AR707" s="156"/>
      <c r="AS707" s="106"/>
      <c r="AT707" s="106"/>
      <c r="AU707" s="106"/>
      <c r="AV707" s="106"/>
      <c r="AW707" s="126"/>
      <c r="AX707" s="126"/>
      <c r="AY707" s="126"/>
      <c r="AZ707" s="126"/>
      <c r="BA707" s="126"/>
      <c r="BB707" s="21"/>
      <c r="BC707" s="21"/>
      <c r="BD707" s="21"/>
      <c r="BE707" s="21"/>
    </row>
    <row r="708" customFormat="false" ht="14.1" hidden="true" customHeight="true" outlineLevel="1" collapsed="false">
      <c r="A708" s="138"/>
      <c r="B708" s="235"/>
      <c r="C708" s="138"/>
      <c r="D708" s="138"/>
      <c r="E708" s="355"/>
      <c r="F708" s="355"/>
      <c r="G708" s="26"/>
      <c r="H708" s="26"/>
      <c r="I708" s="150"/>
      <c r="J708" s="150"/>
      <c r="K708" s="150"/>
      <c r="L708" s="220"/>
      <c r="M708" s="150"/>
      <c r="N708" s="150"/>
      <c r="O708" s="150"/>
      <c r="P708" s="150"/>
      <c r="Q708" s="150"/>
      <c r="R708" s="26"/>
      <c r="S708" s="26"/>
      <c r="T708" s="26"/>
      <c r="U708" s="26"/>
      <c r="V708" s="26"/>
      <c r="W708" s="26"/>
      <c r="X708" s="26"/>
      <c r="Y708" s="26"/>
      <c r="Z708" s="26"/>
      <c r="AA708" s="26"/>
      <c r="AB708" s="26"/>
      <c r="AC708" s="26"/>
      <c r="AD708" s="26"/>
      <c r="AE708" s="26"/>
      <c r="AF708" s="26"/>
      <c r="AG708" s="26"/>
      <c r="AH708" s="35"/>
      <c r="AI708" s="35"/>
      <c r="AJ708" s="35"/>
      <c r="AK708" s="35"/>
      <c r="AL708" s="35"/>
      <c r="AM708" s="35"/>
      <c r="AN708" s="35"/>
      <c r="AO708" s="253"/>
      <c r="AP708" s="253"/>
      <c r="AQ708" s="156"/>
      <c r="AR708" s="156"/>
      <c r="AS708" s="106"/>
      <c r="AT708" s="106"/>
      <c r="AU708" s="106"/>
      <c r="AV708" s="106"/>
      <c r="AW708" s="126"/>
      <c r="AX708" s="126"/>
      <c r="AY708" s="126"/>
      <c r="AZ708" s="126"/>
      <c r="BA708" s="126"/>
      <c r="BB708" s="21"/>
      <c r="BC708" s="21"/>
      <c r="BD708" s="21"/>
      <c r="BE708" s="21"/>
    </row>
    <row r="709" customFormat="false" ht="14.1" hidden="true" customHeight="true" outlineLevel="1" collapsed="false">
      <c r="A709" s="138"/>
      <c r="B709" s="138"/>
      <c r="C709" s="138"/>
      <c r="D709" s="138"/>
      <c r="E709" s="355"/>
      <c r="F709" s="355"/>
      <c r="G709" s="26"/>
      <c r="H709" s="26"/>
      <c r="I709" s="150"/>
      <c r="J709" s="150"/>
      <c r="K709" s="150"/>
      <c r="L709" s="220"/>
      <c r="M709" s="150"/>
      <c r="N709" s="150"/>
      <c r="O709" s="150"/>
      <c r="P709" s="150"/>
      <c r="Q709" s="150"/>
      <c r="R709" s="26"/>
      <c r="S709" s="26"/>
      <c r="T709" s="26"/>
      <c r="U709" s="26"/>
      <c r="V709" s="26"/>
      <c r="W709" s="26"/>
      <c r="X709" s="26"/>
      <c r="Y709" s="26"/>
      <c r="Z709" s="26"/>
      <c r="AA709" s="26"/>
      <c r="AB709" s="26"/>
      <c r="AC709" s="26"/>
      <c r="AD709" s="26"/>
      <c r="AE709" s="26"/>
      <c r="AF709" s="26"/>
      <c r="AG709" s="26"/>
      <c r="AH709" s="35"/>
      <c r="AI709" s="35"/>
      <c r="AJ709" s="35"/>
      <c r="AK709" s="35"/>
      <c r="AL709" s="35"/>
      <c r="AM709" s="35"/>
      <c r="AN709" s="35"/>
      <c r="AO709" s="253"/>
      <c r="AP709" s="253"/>
      <c r="AQ709" s="156"/>
      <c r="AR709" s="156"/>
      <c r="AS709" s="106"/>
      <c r="AT709" s="106"/>
      <c r="AU709" s="106"/>
      <c r="AV709" s="106"/>
      <c r="AW709" s="126"/>
      <c r="AX709" s="126"/>
      <c r="AY709" s="126"/>
      <c r="AZ709" s="126"/>
      <c r="BA709" s="126"/>
      <c r="BB709" s="21"/>
      <c r="BC709" s="21"/>
      <c r="BD709" s="21"/>
      <c r="BE709" s="21"/>
    </row>
    <row r="710" customFormat="false" ht="14.1" hidden="true" customHeight="true" outlineLevel="1" collapsed="false">
      <c r="A710" s="138"/>
      <c r="B710" s="138"/>
      <c r="C710" s="138"/>
      <c r="D710" s="138"/>
      <c r="E710" s="355"/>
      <c r="F710" s="355"/>
      <c r="G710" s="26"/>
      <c r="H710" s="26"/>
      <c r="I710" s="150"/>
      <c r="J710" s="150"/>
      <c r="K710" s="150"/>
      <c r="L710" s="220"/>
      <c r="M710" s="150"/>
      <c r="N710" s="150"/>
      <c r="O710" s="150"/>
      <c r="P710" s="150"/>
      <c r="Q710" s="150"/>
      <c r="R710" s="26"/>
      <c r="S710" s="26"/>
      <c r="T710" s="26"/>
      <c r="U710" s="26"/>
      <c r="V710" s="26"/>
      <c r="W710" s="26"/>
      <c r="X710" s="26"/>
      <c r="Y710" s="26"/>
      <c r="Z710" s="26"/>
      <c r="AA710" s="26"/>
      <c r="AB710" s="26"/>
      <c r="AC710" s="26"/>
      <c r="AD710" s="26"/>
      <c r="AE710" s="26"/>
      <c r="AF710" s="26"/>
      <c r="AG710" s="26"/>
      <c r="AH710" s="35"/>
      <c r="AI710" s="35"/>
      <c r="AJ710" s="35"/>
      <c r="AK710" s="35"/>
      <c r="AL710" s="35"/>
      <c r="AM710" s="35"/>
      <c r="AN710" s="35"/>
      <c r="AO710" s="253"/>
      <c r="AP710" s="253"/>
      <c r="AQ710" s="156"/>
      <c r="AR710" s="156"/>
      <c r="AS710" s="106"/>
      <c r="AT710" s="106"/>
      <c r="AU710" s="106"/>
      <c r="AV710" s="106"/>
      <c r="AW710" s="126"/>
      <c r="AX710" s="126"/>
      <c r="AY710" s="126"/>
      <c r="AZ710" s="126"/>
      <c r="BA710" s="126"/>
      <c r="BB710" s="21"/>
      <c r="BC710" s="21"/>
      <c r="BD710" s="21"/>
      <c r="BE710" s="21"/>
    </row>
    <row r="711" customFormat="false" ht="14.1" hidden="true" customHeight="true" outlineLevel="1" collapsed="false">
      <c r="A711" s="138"/>
      <c r="B711" s="138"/>
      <c r="C711" s="138"/>
      <c r="D711" s="138"/>
      <c r="E711" s="355"/>
      <c r="F711" s="355"/>
      <c r="G711" s="26"/>
      <c r="H711" s="26"/>
      <c r="I711" s="150"/>
      <c r="J711" s="150"/>
      <c r="K711" s="150"/>
      <c r="L711" s="220"/>
      <c r="M711" s="150"/>
      <c r="N711" s="150"/>
      <c r="O711" s="150"/>
      <c r="P711" s="150"/>
      <c r="Q711" s="150"/>
      <c r="R711" s="26"/>
      <c r="S711" s="26"/>
      <c r="T711" s="26"/>
      <c r="U711" s="26"/>
      <c r="V711" s="26"/>
      <c r="W711" s="26"/>
      <c r="X711" s="26"/>
      <c r="Y711" s="26"/>
      <c r="Z711" s="26"/>
      <c r="AA711" s="26"/>
      <c r="AB711" s="26"/>
      <c r="AC711" s="26"/>
      <c r="AD711" s="26"/>
      <c r="AE711" s="26"/>
      <c r="AF711" s="26"/>
      <c r="AG711" s="26"/>
      <c r="AH711" s="35"/>
      <c r="AI711" s="35"/>
      <c r="AJ711" s="35"/>
      <c r="AK711" s="35"/>
      <c r="AL711" s="35"/>
      <c r="AM711" s="35"/>
      <c r="AN711" s="35"/>
      <c r="AO711" s="253"/>
      <c r="AP711" s="253"/>
      <c r="AQ711" s="156"/>
      <c r="AR711" s="156"/>
      <c r="AS711" s="106"/>
      <c r="AT711" s="106"/>
      <c r="AU711" s="106"/>
      <c r="AV711" s="106"/>
      <c r="AW711" s="126"/>
      <c r="AX711" s="126"/>
      <c r="AY711" s="126"/>
      <c r="AZ711" s="126"/>
      <c r="BA711" s="126"/>
      <c r="BB711" s="21"/>
      <c r="BC711" s="21"/>
      <c r="BD711" s="21"/>
      <c r="BE711" s="21"/>
    </row>
    <row r="712" customFormat="false" ht="14.1" hidden="true" customHeight="true" outlineLevel="1" collapsed="false">
      <c r="A712" s="138"/>
      <c r="B712" s="138"/>
      <c r="C712" s="138"/>
      <c r="D712" s="138"/>
      <c r="E712" s="355"/>
      <c r="F712" s="355"/>
      <c r="G712" s="26"/>
      <c r="H712" s="26"/>
      <c r="I712" s="150"/>
      <c r="J712" s="150"/>
      <c r="K712" s="150"/>
      <c r="L712" s="220"/>
      <c r="M712" s="150"/>
      <c r="N712" s="150"/>
      <c r="O712" s="150"/>
      <c r="P712" s="150"/>
      <c r="Q712" s="150"/>
      <c r="R712" s="26"/>
      <c r="S712" s="26"/>
      <c r="T712" s="26"/>
      <c r="U712" s="26"/>
      <c r="V712" s="26"/>
      <c r="W712" s="26"/>
      <c r="X712" s="26"/>
      <c r="Y712" s="26"/>
      <c r="Z712" s="26"/>
      <c r="AA712" s="26"/>
      <c r="AB712" s="26"/>
      <c r="AC712" s="26"/>
      <c r="AD712" s="26"/>
      <c r="AE712" s="26"/>
      <c r="AF712" s="26"/>
      <c r="AG712" s="26"/>
      <c r="AH712" s="35"/>
      <c r="AI712" s="35"/>
      <c r="AJ712" s="35"/>
      <c r="AK712" s="35"/>
      <c r="AL712" s="35"/>
      <c r="AM712" s="35"/>
      <c r="AN712" s="35"/>
      <c r="AO712" s="253"/>
      <c r="AP712" s="253"/>
      <c r="AQ712" s="156"/>
      <c r="AR712" s="156"/>
      <c r="AS712" s="106"/>
      <c r="AT712" s="106"/>
      <c r="AU712" s="106"/>
      <c r="AV712" s="106"/>
      <c r="AW712" s="126"/>
      <c r="AX712" s="126"/>
      <c r="AY712" s="126"/>
      <c r="AZ712" s="126"/>
      <c r="BA712" s="126"/>
      <c r="BB712" s="21"/>
      <c r="BC712" s="21"/>
      <c r="BD712" s="21"/>
      <c r="BE712" s="21"/>
    </row>
    <row r="713" customFormat="false" ht="14.1" hidden="true" customHeight="true" outlineLevel="1" collapsed="false">
      <c r="A713" s="151" t="s">
        <v>441</v>
      </c>
      <c r="B713" s="119" t="s">
        <v>15</v>
      </c>
      <c r="C713" s="151" t="n">
        <v>0.4</v>
      </c>
      <c r="D713" s="138"/>
      <c r="E713" s="138"/>
      <c r="F713" s="355"/>
      <c r="G713" s="26"/>
      <c r="H713" s="26"/>
      <c r="I713" s="150"/>
      <c r="J713" s="150"/>
      <c r="K713" s="150"/>
      <c r="L713" s="220"/>
      <c r="M713" s="150"/>
      <c r="N713" s="150"/>
      <c r="O713" s="150"/>
      <c r="P713" s="150"/>
      <c r="Q713" s="150"/>
      <c r="R713" s="26"/>
      <c r="S713" s="26"/>
      <c r="T713" s="26"/>
      <c r="U713" s="26"/>
      <c r="V713" s="26"/>
      <c r="W713" s="26"/>
      <c r="X713" s="26"/>
      <c r="Y713" s="26"/>
      <c r="Z713" s="26"/>
      <c r="AA713" s="26"/>
      <c r="AB713" s="26"/>
      <c r="AC713" s="26"/>
      <c r="AD713" s="26"/>
      <c r="AE713" s="26"/>
      <c r="AF713" s="26"/>
      <c r="AG713" s="26"/>
      <c r="AH713" s="35"/>
      <c r="AI713" s="35"/>
      <c r="AJ713" s="35"/>
      <c r="AK713" s="35"/>
      <c r="AL713" s="35"/>
      <c r="AM713" s="35"/>
      <c r="AN713" s="35"/>
      <c r="AO713" s="253"/>
      <c r="AP713" s="253"/>
      <c r="AQ713" s="156"/>
      <c r="AR713" s="156"/>
      <c r="AS713" s="106"/>
      <c r="AT713" s="106"/>
      <c r="AU713" s="106"/>
      <c r="AV713" s="106"/>
      <c r="AW713" s="126"/>
      <c r="AX713" s="126"/>
      <c r="AY713" s="126"/>
      <c r="AZ713" s="126"/>
      <c r="BA713" s="126"/>
      <c r="BB713" s="21"/>
      <c r="BC713" s="21"/>
      <c r="BD713" s="21"/>
      <c r="BE713" s="21"/>
    </row>
    <row r="714" customFormat="false" ht="14.1" hidden="true" customHeight="true" outlineLevel="1" collapsed="false">
      <c r="A714" s="151" t="s">
        <v>442</v>
      </c>
      <c r="B714" s="119" t="s">
        <v>15</v>
      </c>
      <c r="C714" s="151" t="n">
        <v>0.4</v>
      </c>
      <c r="D714" s="138"/>
      <c r="E714" s="138"/>
      <c r="F714" s="355"/>
      <c r="G714" s="26"/>
      <c r="H714" s="26"/>
      <c r="I714" s="150"/>
      <c r="J714" s="150"/>
      <c r="K714" s="150"/>
      <c r="L714" s="220"/>
      <c r="M714" s="150"/>
      <c r="N714" s="150"/>
      <c r="O714" s="150"/>
      <c r="P714" s="150"/>
      <c r="Q714" s="150"/>
      <c r="R714" s="26"/>
      <c r="S714" s="26"/>
      <c r="T714" s="26"/>
      <c r="U714" s="26"/>
      <c r="V714" s="26"/>
      <c r="W714" s="26"/>
      <c r="X714" s="26"/>
      <c r="Y714" s="26"/>
      <c r="Z714" s="26"/>
      <c r="AA714" s="26"/>
      <c r="AB714" s="26"/>
      <c r="AC714" s="26"/>
      <c r="AD714" s="26"/>
      <c r="AE714" s="26"/>
      <c r="AF714" s="26"/>
      <c r="AG714" s="26"/>
      <c r="AH714" s="35"/>
      <c r="AI714" s="35"/>
      <c r="AJ714" s="35"/>
      <c r="AK714" s="35"/>
      <c r="AL714" s="35"/>
      <c r="AM714" s="35"/>
      <c r="AN714" s="35"/>
      <c r="AO714" s="253"/>
      <c r="AP714" s="253"/>
      <c r="AQ714" s="156"/>
      <c r="AR714" s="156"/>
      <c r="AS714" s="106"/>
      <c r="AT714" s="106"/>
      <c r="AU714" s="106"/>
      <c r="AV714" s="106"/>
      <c r="AW714" s="126"/>
      <c r="AX714" s="126"/>
      <c r="AY714" s="126"/>
      <c r="AZ714" s="126"/>
      <c r="BA714" s="126"/>
      <c r="BB714" s="21"/>
      <c r="BC714" s="21"/>
      <c r="BD714" s="21"/>
      <c r="BE714" s="21"/>
    </row>
    <row r="715" customFormat="false" ht="14.1" hidden="true" customHeight="true" outlineLevel="1" collapsed="false">
      <c r="A715" s="138" t="s">
        <v>443</v>
      </c>
      <c r="B715" s="119" t="s">
        <v>15</v>
      </c>
      <c r="C715" s="362" t="n">
        <v>1</v>
      </c>
      <c r="D715" s="138"/>
      <c r="E715" s="355"/>
      <c r="F715" s="355"/>
      <c r="G715" s="26"/>
      <c r="H715" s="26"/>
      <c r="I715" s="150"/>
      <c r="J715" s="150"/>
      <c r="K715" s="150"/>
      <c r="L715" s="220"/>
      <c r="M715" s="150"/>
      <c r="N715" s="150"/>
      <c r="O715" s="150"/>
      <c r="P715" s="150"/>
      <c r="Q715" s="150"/>
      <c r="R715" s="26"/>
      <c r="S715" s="26"/>
      <c r="T715" s="26"/>
      <c r="U715" s="26"/>
      <c r="V715" s="26"/>
      <c r="W715" s="26"/>
      <c r="X715" s="26"/>
      <c r="Y715" s="26"/>
      <c r="Z715" s="26"/>
      <c r="AA715" s="26"/>
      <c r="AB715" s="26"/>
      <c r="AC715" s="26"/>
      <c r="AD715" s="26"/>
      <c r="AE715" s="26"/>
      <c r="AF715" s="26"/>
      <c r="AG715" s="26"/>
      <c r="AH715" s="35"/>
      <c r="AI715" s="35"/>
      <c r="AJ715" s="35"/>
      <c r="AK715" s="35"/>
      <c r="AL715" s="35"/>
      <c r="AM715" s="35"/>
      <c r="AN715" s="35"/>
      <c r="AO715" s="253"/>
      <c r="AP715" s="253"/>
      <c r="AQ715" s="156"/>
      <c r="AR715" s="156"/>
      <c r="AS715" s="106"/>
      <c r="AT715" s="106"/>
      <c r="AU715" s="106"/>
      <c r="AV715" s="106"/>
      <c r="AW715" s="126"/>
      <c r="AX715" s="126"/>
      <c r="AY715" s="126"/>
      <c r="AZ715" s="126"/>
      <c r="BA715" s="126"/>
      <c r="BB715" s="21"/>
      <c r="BC715" s="21"/>
      <c r="BD715" s="21"/>
      <c r="BE715" s="21"/>
    </row>
    <row r="716" customFormat="false" ht="14.1" hidden="true" customHeight="true" outlineLevel="1" collapsed="false">
      <c r="A716" s="363" t="s">
        <v>444</v>
      </c>
      <c r="B716" s="364" t="s">
        <v>48</v>
      </c>
      <c r="C716" s="363" t="n">
        <v>3</v>
      </c>
      <c r="D716" s="138"/>
      <c r="E716" s="355"/>
      <c r="F716" s="340" t="s">
        <v>397</v>
      </c>
      <c r="G716" s="340"/>
      <c r="H716" s="26"/>
      <c r="I716" s="150"/>
      <c r="J716" s="150"/>
      <c r="K716" s="150"/>
      <c r="L716" s="220"/>
      <c r="M716" s="150"/>
      <c r="N716" s="150"/>
      <c r="O716" s="150"/>
      <c r="P716" s="150"/>
      <c r="Q716" s="150"/>
      <c r="R716" s="26"/>
      <c r="S716" s="26"/>
      <c r="T716" s="26"/>
      <c r="U716" s="26"/>
      <c r="V716" s="26"/>
      <c r="W716" s="26"/>
      <c r="X716" s="26"/>
      <c r="Y716" s="26"/>
      <c r="Z716" s="26"/>
      <c r="AA716" s="26"/>
      <c r="AB716" s="26"/>
      <c r="AC716" s="26"/>
      <c r="AD716" s="26"/>
      <c r="AE716" s="26"/>
      <c r="AF716" s="26"/>
      <c r="AG716" s="26"/>
      <c r="AH716" s="35"/>
      <c r="AI716" s="35"/>
      <c r="AJ716" s="35"/>
      <c r="AK716" s="35"/>
      <c r="AL716" s="35"/>
      <c r="AM716" s="35"/>
      <c r="AN716" s="35"/>
      <c r="AO716" s="253"/>
      <c r="AP716" s="253"/>
      <c r="AQ716" s="156"/>
      <c r="AR716" s="156"/>
      <c r="AS716" s="106"/>
      <c r="AT716" s="106"/>
      <c r="AU716" s="106"/>
      <c r="AV716" s="106"/>
      <c r="AW716" s="126"/>
      <c r="AX716" s="126"/>
      <c r="AY716" s="126"/>
      <c r="AZ716" s="126"/>
      <c r="BA716" s="126"/>
      <c r="BB716" s="21"/>
      <c r="BC716" s="21"/>
      <c r="BD716" s="21"/>
      <c r="BE716" s="21"/>
    </row>
    <row r="717" customFormat="false" ht="14.1" hidden="true" customHeight="true" outlineLevel="1" collapsed="false">
      <c r="A717" s="363" t="s">
        <v>445</v>
      </c>
      <c r="B717" s="148" t="s">
        <v>162</v>
      </c>
      <c r="C717" s="148" t="s">
        <v>137</v>
      </c>
      <c r="D717" s="148" t="s">
        <v>116</v>
      </c>
      <c r="E717" s="355"/>
      <c r="F717" s="340"/>
      <c r="G717" s="340"/>
      <c r="H717" s="26"/>
      <c r="I717" s="150"/>
      <c r="J717" s="150"/>
      <c r="K717" s="150"/>
      <c r="L717" s="220"/>
      <c r="M717" s="150"/>
      <c r="N717" s="150"/>
      <c r="O717" s="150"/>
      <c r="P717" s="150"/>
      <c r="Q717" s="150"/>
      <c r="R717" s="26"/>
      <c r="S717" s="26"/>
      <c r="T717" s="26"/>
      <c r="U717" s="26"/>
      <c r="V717" s="26"/>
      <c r="W717" s="26"/>
      <c r="X717" s="26"/>
      <c r="Y717" s="26"/>
      <c r="Z717" s="26"/>
      <c r="AA717" s="26"/>
      <c r="AB717" s="26"/>
      <c r="AC717" s="26"/>
      <c r="AD717" s="26"/>
      <c r="AE717" s="26"/>
      <c r="AF717" s="26"/>
      <c r="AG717" s="26"/>
      <c r="AH717" s="35"/>
      <c r="AI717" s="35"/>
      <c r="AJ717" s="35"/>
      <c r="AK717" s="35"/>
      <c r="AL717" s="35"/>
      <c r="AM717" s="35"/>
      <c r="AN717" s="35"/>
      <c r="AO717" s="253"/>
      <c r="AP717" s="253"/>
      <c r="AQ717" s="156"/>
      <c r="AR717" s="156"/>
      <c r="AS717" s="106"/>
      <c r="AT717" s="106"/>
      <c r="AU717" s="106"/>
      <c r="AV717" s="106"/>
      <c r="AW717" s="126"/>
      <c r="AX717" s="126"/>
      <c r="AY717" s="126"/>
      <c r="AZ717" s="126"/>
      <c r="BA717" s="126"/>
      <c r="BB717" s="21"/>
      <c r="BC717" s="21"/>
      <c r="BD717" s="21"/>
      <c r="BE717" s="21"/>
    </row>
    <row r="718" customFormat="false" ht="14.1" hidden="true" customHeight="true" outlineLevel="1" collapsed="false">
      <c r="A718" s="365"/>
      <c r="B718" s="366" t="s">
        <v>15</v>
      </c>
      <c r="C718" s="367" t="n">
        <v>0.2</v>
      </c>
      <c r="D718" s="151" t="n">
        <v>0.4</v>
      </c>
      <c r="E718" s="355"/>
      <c r="F718" s="340"/>
      <c r="G718" s="340"/>
      <c r="H718" s="26"/>
      <c r="I718" s="150"/>
      <c r="J718" s="150"/>
      <c r="K718" s="150"/>
      <c r="L718" s="220"/>
      <c r="M718" s="150"/>
      <c r="N718" s="150"/>
      <c r="O718" s="150"/>
      <c r="P718" s="150"/>
      <c r="Q718" s="150"/>
      <c r="R718" s="26"/>
      <c r="S718" s="26"/>
      <c r="T718" s="26"/>
      <c r="U718" s="26"/>
      <c r="V718" s="26"/>
      <c r="W718" s="26"/>
      <c r="X718" s="26"/>
      <c r="Y718" s="26"/>
      <c r="Z718" s="26"/>
      <c r="AA718" s="26"/>
      <c r="AB718" s="26"/>
      <c r="AC718" s="26"/>
      <c r="AD718" s="26"/>
      <c r="AE718" s="26"/>
      <c r="AF718" s="26"/>
      <c r="AG718" s="26"/>
      <c r="AH718" s="35"/>
      <c r="AI718" s="35"/>
      <c r="AJ718" s="35"/>
      <c r="AK718" s="35"/>
      <c r="AL718" s="35"/>
      <c r="AM718" s="35"/>
      <c r="AN718" s="35"/>
      <c r="AO718" s="253"/>
      <c r="AP718" s="253"/>
      <c r="AQ718" s="156"/>
      <c r="AR718" s="156"/>
      <c r="AS718" s="106"/>
      <c r="AT718" s="106"/>
      <c r="AU718" s="106"/>
      <c r="AV718" s="106"/>
      <c r="AW718" s="126"/>
      <c r="AX718" s="126"/>
      <c r="AY718" s="126"/>
      <c r="AZ718" s="126"/>
      <c r="BA718" s="126"/>
      <c r="BB718" s="21"/>
      <c r="BC718" s="21"/>
      <c r="BD718" s="21"/>
      <c r="BE718" s="21"/>
    </row>
    <row r="719" customFormat="false" ht="14.1" hidden="true" customHeight="true" outlineLevel="1" collapsed="false">
      <c r="A719" s="138" t="s">
        <v>446</v>
      </c>
      <c r="B719" s="148" t="s">
        <v>162</v>
      </c>
      <c r="C719" s="148" t="s">
        <v>137</v>
      </c>
      <c r="D719" s="148" t="s">
        <v>118</v>
      </c>
      <c r="E719" s="355"/>
      <c r="F719" s="340"/>
      <c r="G719" s="340"/>
      <c r="H719" s="26"/>
      <c r="I719" s="150"/>
      <c r="J719" s="150"/>
      <c r="K719" s="150"/>
      <c r="L719" s="220"/>
      <c r="M719" s="150"/>
      <c r="N719" s="150"/>
      <c r="O719" s="150"/>
      <c r="P719" s="150"/>
      <c r="Q719" s="150"/>
      <c r="R719" s="26"/>
      <c r="S719" s="26"/>
      <c r="T719" s="26"/>
      <c r="U719" s="26"/>
      <c r="V719" s="26"/>
      <c r="W719" s="26"/>
      <c r="X719" s="26"/>
      <c r="Y719" s="26"/>
      <c r="Z719" s="26"/>
      <c r="AA719" s="26"/>
      <c r="AB719" s="26"/>
      <c r="AC719" s="26"/>
      <c r="AD719" s="26"/>
      <c r="AE719" s="26"/>
      <c r="AF719" s="26"/>
      <c r="AG719" s="26"/>
      <c r="AH719" s="35"/>
      <c r="AI719" s="35"/>
      <c r="AJ719" s="35"/>
      <c r="AK719" s="35"/>
      <c r="AL719" s="35"/>
      <c r="AM719" s="35"/>
      <c r="AN719" s="35"/>
      <c r="AO719" s="253"/>
      <c r="AP719" s="253"/>
      <c r="AQ719" s="156"/>
      <c r="AR719" s="156"/>
      <c r="AS719" s="106"/>
      <c r="AT719" s="106"/>
      <c r="AU719" s="106"/>
      <c r="AV719" s="106"/>
      <c r="AW719" s="126"/>
      <c r="AX719" s="126"/>
      <c r="AY719" s="126"/>
      <c r="AZ719" s="126"/>
      <c r="BA719" s="126"/>
      <c r="BB719" s="21"/>
      <c r="BC719" s="21"/>
      <c r="BD719" s="21"/>
      <c r="BE719" s="21"/>
    </row>
    <row r="720" customFormat="false" ht="14.1" hidden="true" customHeight="true" outlineLevel="1" collapsed="false">
      <c r="A720" s="149" t="s">
        <v>36</v>
      </c>
      <c r="B720" s="148" t="s">
        <v>15</v>
      </c>
      <c r="C720" s="151" t="n">
        <v>2.5</v>
      </c>
      <c r="D720" s="151" t="n">
        <v>2</v>
      </c>
      <c r="E720" s="138"/>
      <c r="F720" s="340"/>
      <c r="G720" s="340"/>
      <c r="H720" s="26"/>
      <c r="I720" s="150"/>
      <c r="J720" s="150"/>
      <c r="K720" s="150"/>
      <c r="L720" s="220"/>
      <c r="M720" s="150"/>
      <c r="N720" s="150"/>
      <c r="O720" s="150"/>
      <c r="P720" s="150"/>
      <c r="Q720" s="150"/>
      <c r="R720" s="26"/>
      <c r="S720" s="26"/>
      <c r="T720" s="26"/>
      <c r="U720" s="26"/>
      <c r="V720" s="26"/>
      <c r="W720" s="26"/>
      <c r="X720" s="26"/>
      <c r="Y720" s="26"/>
      <c r="Z720" s="26"/>
      <c r="AA720" s="26"/>
      <c r="AB720" s="26"/>
      <c r="AC720" s="26"/>
      <c r="AD720" s="26"/>
      <c r="AE720" s="26"/>
      <c r="AF720" s="26"/>
      <c r="AG720" s="26"/>
      <c r="AH720" s="35"/>
      <c r="AI720" s="35"/>
      <c r="AJ720" s="35"/>
      <c r="AK720" s="35"/>
      <c r="AL720" s="35"/>
      <c r="AM720" s="35"/>
      <c r="AN720" s="35"/>
      <c r="AO720" s="253"/>
      <c r="AP720" s="253"/>
      <c r="AQ720" s="156"/>
      <c r="AR720" s="156"/>
      <c r="AS720" s="106"/>
      <c r="AT720" s="106"/>
      <c r="AU720" s="106"/>
      <c r="AV720" s="106"/>
      <c r="AW720" s="126"/>
      <c r="AX720" s="126"/>
      <c r="AY720" s="126"/>
      <c r="AZ720" s="126"/>
      <c r="BA720" s="126"/>
      <c r="BB720" s="21"/>
      <c r="BC720" s="21"/>
      <c r="BD720" s="21"/>
      <c r="BE720" s="21"/>
    </row>
    <row r="721" customFormat="false" ht="14.1" hidden="true" customHeight="true" outlineLevel="1" collapsed="false">
      <c r="A721" s="138" t="s">
        <v>378</v>
      </c>
      <c r="B721" s="235"/>
      <c r="C721" s="138"/>
      <c r="D721" s="138"/>
      <c r="E721" s="138"/>
      <c r="F721" s="138"/>
      <c r="G721" s="26"/>
      <c r="H721" s="26"/>
      <c r="I721" s="150"/>
      <c r="J721" s="150"/>
      <c r="K721" s="150"/>
      <c r="L721" s="220"/>
      <c r="M721" s="150"/>
      <c r="N721" s="150"/>
      <c r="O721" s="150"/>
      <c r="P721" s="150"/>
      <c r="Q721" s="150"/>
      <c r="R721" s="26"/>
      <c r="S721" s="26"/>
      <c r="T721" s="26"/>
      <c r="U721" s="26"/>
      <c r="V721" s="26"/>
      <c r="W721" s="26"/>
      <c r="X721" s="26"/>
      <c r="Y721" s="26"/>
      <c r="Z721" s="26"/>
      <c r="AA721" s="26"/>
      <c r="AB721" s="26"/>
      <c r="AC721" s="26"/>
      <c r="AD721" s="26"/>
      <c r="AE721" s="26"/>
      <c r="AF721" s="26"/>
      <c r="AG721" s="26"/>
      <c r="AH721" s="35"/>
      <c r="AI721" s="35"/>
      <c r="AJ721" s="35"/>
      <c r="AK721" s="35"/>
      <c r="AL721" s="35"/>
      <c r="AM721" s="35"/>
      <c r="AN721" s="35"/>
      <c r="AO721" s="253"/>
      <c r="AP721" s="253"/>
      <c r="AQ721" s="156"/>
      <c r="AR721" s="156"/>
      <c r="AS721" s="106"/>
      <c r="AT721" s="106"/>
      <c r="AU721" s="106"/>
      <c r="AV721" s="106"/>
      <c r="AW721" s="126"/>
      <c r="AX721" s="126"/>
      <c r="AY721" s="126"/>
      <c r="AZ721" s="126"/>
      <c r="BA721" s="126"/>
      <c r="BB721" s="21"/>
      <c r="BC721" s="21"/>
      <c r="BD721" s="21"/>
      <c r="BE721" s="21"/>
    </row>
    <row r="722" customFormat="false" ht="14.1" hidden="true" customHeight="true" outlineLevel="1" collapsed="false">
      <c r="A722" s="231" t="s">
        <v>447</v>
      </c>
      <c r="B722" s="235"/>
      <c r="C722" s="138"/>
      <c r="D722" s="138"/>
      <c r="E722" s="138"/>
      <c r="F722" s="138"/>
      <c r="G722" s="26"/>
      <c r="H722" s="26"/>
      <c r="I722" s="150"/>
      <c r="J722" s="150"/>
      <c r="K722" s="150"/>
      <c r="L722" s="220"/>
      <c r="M722" s="150"/>
      <c r="N722" s="150"/>
      <c r="O722" s="150"/>
      <c r="P722" s="150"/>
      <c r="Q722" s="150"/>
      <c r="R722" s="26"/>
      <c r="S722" s="26"/>
      <c r="T722" s="26"/>
      <c r="U722" s="26"/>
      <c r="V722" s="26"/>
      <c r="W722" s="26"/>
      <c r="X722" s="26"/>
      <c r="Y722" s="26"/>
      <c r="Z722" s="26"/>
      <c r="AA722" s="26"/>
      <c r="AB722" s="26"/>
      <c r="AC722" s="26"/>
      <c r="AD722" s="26"/>
      <c r="AE722" s="26"/>
      <c r="AF722" s="26"/>
      <c r="AG722" s="26"/>
      <c r="AH722" s="35"/>
      <c r="AI722" s="35"/>
      <c r="AJ722" s="35"/>
      <c r="AK722" s="35"/>
      <c r="AL722" s="35"/>
      <c r="AM722" s="35"/>
      <c r="AN722" s="35"/>
      <c r="AO722" s="253"/>
      <c r="AP722" s="253"/>
      <c r="AQ722" s="156"/>
      <c r="AR722" s="156"/>
      <c r="AS722" s="106"/>
      <c r="AT722" s="106"/>
      <c r="AU722" s="106"/>
      <c r="AV722" s="106"/>
      <c r="AW722" s="126"/>
      <c r="AX722" s="126"/>
      <c r="AY722" s="126"/>
      <c r="AZ722" s="126"/>
      <c r="BA722" s="126"/>
      <c r="BB722" s="21"/>
      <c r="BC722" s="21"/>
      <c r="BD722" s="21"/>
      <c r="BE722" s="21"/>
    </row>
    <row r="723" customFormat="false" ht="14.1" hidden="true" customHeight="true" outlineLevel="1" collapsed="false">
      <c r="A723" s="138" t="s">
        <v>380</v>
      </c>
      <c r="B723" s="235"/>
      <c r="C723" s="138"/>
      <c r="D723" s="138"/>
      <c r="E723" s="138"/>
      <c r="F723" s="138"/>
      <c r="G723" s="26"/>
      <c r="H723" s="26"/>
      <c r="I723" s="150"/>
      <c r="J723" s="150"/>
      <c r="K723" s="150"/>
      <c r="L723" s="220"/>
      <c r="M723" s="150"/>
      <c r="N723" s="150"/>
      <c r="O723" s="150"/>
      <c r="P723" s="150"/>
      <c r="Q723" s="150"/>
      <c r="R723" s="26"/>
      <c r="S723" s="26"/>
      <c r="T723" s="26"/>
      <c r="U723" s="26"/>
      <c r="V723" s="26"/>
      <c r="W723" s="26"/>
      <c r="X723" s="26"/>
      <c r="Y723" s="26"/>
      <c r="Z723" s="26"/>
      <c r="AA723" s="26"/>
      <c r="AB723" s="26"/>
      <c r="AC723" s="26"/>
      <c r="AD723" s="26"/>
      <c r="AE723" s="26"/>
      <c r="AF723" s="26"/>
      <c r="AG723" s="26"/>
      <c r="AH723" s="35"/>
      <c r="AI723" s="35"/>
      <c r="AJ723" s="35"/>
      <c r="AK723" s="35"/>
      <c r="AL723" s="35"/>
      <c r="AM723" s="35"/>
      <c r="AN723" s="35"/>
      <c r="AO723" s="253"/>
      <c r="AP723" s="253"/>
      <c r="AQ723" s="156"/>
      <c r="AR723" s="156"/>
      <c r="AS723" s="106"/>
      <c r="AT723" s="106"/>
      <c r="AU723" s="106"/>
      <c r="AV723" s="106"/>
      <c r="AW723" s="126"/>
      <c r="AX723" s="126"/>
      <c r="AY723" s="126"/>
      <c r="AZ723" s="126"/>
      <c r="BA723" s="126"/>
      <c r="BB723" s="21"/>
      <c r="BC723" s="21"/>
      <c r="BD723" s="21"/>
      <c r="BE723" s="21"/>
    </row>
    <row r="724" customFormat="false" ht="14.1" hidden="true" customHeight="true" outlineLevel="1" collapsed="false">
      <c r="A724" s="231" t="s">
        <v>448</v>
      </c>
      <c r="B724" s="235"/>
      <c r="C724" s="138"/>
      <c r="D724" s="138"/>
      <c r="E724" s="138"/>
      <c r="F724" s="138"/>
      <c r="G724" s="26"/>
      <c r="H724" s="26"/>
      <c r="I724" s="150"/>
      <c r="J724" s="150"/>
      <c r="K724" s="150"/>
      <c r="L724" s="220"/>
      <c r="M724" s="150"/>
      <c r="N724" s="150"/>
      <c r="O724" s="150"/>
      <c r="P724" s="150"/>
      <c r="Q724" s="150"/>
      <c r="R724" s="26"/>
      <c r="S724" s="26"/>
      <c r="T724" s="26"/>
      <c r="U724" s="26"/>
      <c r="V724" s="26"/>
      <c r="W724" s="26"/>
      <c r="X724" s="26"/>
      <c r="Y724" s="26"/>
      <c r="Z724" s="26"/>
      <c r="AA724" s="26"/>
      <c r="AB724" s="26"/>
      <c r="AC724" s="26"/>
      <c r="AD724" s="26"/>
      <c r="AE724" s="26"/>
      <c r="AF724" s="26"/>
      <c r="AG724" s="26"/>
      <c r="AH724" s="35"/>
      <c r="AI724" s="35"/>
      <c r="AJ724" s="35"/>
      <c r="AK724" s="35"/>
      <c r="AL724" s="35"/>
      <c r="AM724" s="35"/>
      <c r="AN724" s="35"/>
      <c r="AO724" s="253"/>
      <c r="AP724" s="253"/>
      <c r="AQ724" s="156"/>
      <c r="AR724" s="156"/>
      <c r="AS724" s="106"/>
      <c r="AT724" s="106"/>
      <c r="AU724" s="106"/>
      <c r="AV724" s="106"/>
      <c r="AW724" s="126"/>
      <c r="AX724" s="126"/>
      <c r="AY724" s="126"/>
      <c r="AZ724" s="126"/>
      <c r="BA724" s="126"/>
      <c r="BB724" s="21"/>
      <c r="BC724" s="21"/>
      <c r="BD724" s="21"/>
      <c r="BE724" s="21"/>
    </row>
    <row r="725" customFormat="false" ht="14.1" hidden="true" customHeight="true" outlineLevel="1" collapsed="false">
      <c r="A725" s="138" t="s">
        <v>382</v>
      </c>
      <c r="B725" s="235"/>
      <c r="C725" s="138"/>
      <c r="D725" s="138"/>
      <c r="E725" s="355"/>
      <c r="F725" s="138"/>
      <c r="G725" s="26"/>
      <c r="H725" s="26"/>
      <c r="I725" s="150"/>
      <c r="J725" s="150"/>
      <c r="K725" s="150"/>
      <c r="L725" s="220"/>
      <c r="M725" s="150"/>
      <c r="N725" s="150"/>
      <c r="O725" s="150"/>
      <c r="P725" s="150"/>
      <c r="Q725" s="150"/>
      <c r="R725" s="26"/>
      <c r="S725" s="26"/>
      <c r="T725" s="26"/>
      <c r="U725" s="26"/>
      <c r="V725" s="26"/>
      <c r="W725" s="26"/>
      <c r="X725" s="26"/>
      <c r="Y725" s="26"/>
      <c r="Z725" s="26"/>
      <c r="AA725" s="26"/>
      <c r="AB725" s="26"/>
      <c r="AC725" s="26"/>
      <c r="AD725" s="26"/>
      <c r="AE725" s="26"/>
      <c r="AF725" s="26"/>
      <c r="AG725" s="26"/>
      <c r="AH725" s="35"/>
      <c r="AI725" s="35"/>
      <c r="AJ725" s="35"/>
      <c r="AK725" s="35"/>
      <c r="AL725" s="35"/>
      <c r="AM725" s="35"/>
      <c r="AN725" s="35"/>
      <c r="AO725" s="253"/>
      <c r="AP725" s="253"/>
      <c r="AQ725" s="156"/>
      <c r="AR725" s="156"/>
      <c r="AS725" s="106"/>
      <c r="AT725" s="106"/>
      <c r="AU725" s="106"/>
      <c r="AV725" s="106"/>
      <c r="AW725" s="126"/>
      <c r="AX725" s="126"/>
      <c r="AY725" s="126"/>
      <c r="AZ725" s="126"/>
      <c r="BA725" s="126"/>
      <c r="BB725" s="21"/>
      <c r="BC725" s="21"/>
      <c r="BD725" s="21"/>
      <c r="BE725" s="21"/>
    </row>
    <row r="726" customFormat="false" ht="14.1" hidden="true" customHeight="true" outlineLevel="1" collapsed="false">
      <c r="A726" s="244" t="s">
        <v>416</v>
      </c>
      <c r="B726" s="235"/>
      <c r="C726" s="138"/>
      <c r="D726" s="138"/>
      <c r="E726" s="355"/>
      <c r="F726" s="355"/>
      <c r="G726" s="26"/>
      <c r="H726" s="26"/>
      <c r="I726" s="150"/>
      <c r="J726" s="150"/>
      <c r="K726" s="150"/>
      <c r="L726" s="220"/>
      <c r="M726" s="150"/>
      <c r="N726" s="150"/>
      <c r="O726" s="150"/>
      <c r="P726" s="150"/>
      <c r="Q726" s="150"/>
      <c r="R726" s="26"/>
      <c r="S726" s="26"/>
      <c r="T726" s="26"/>
      <c r="U726" s="26"/>
      <c r="V726" s="26"/>
      <c r="W726" s="26"/>
      <c r="X726" s="26"/>
      <c r="Y726" s="26"/>
      <c r="Z726" s="26"/>
      <c r="AA726" s="26"/>
      <c r="AB726" s="26"/>
      <c r="AC726" s="26"/>
      <c r="AD726" s="26"/>
      <c r="AE726" s="26"/>
      <c r="AF726" s="26"/>
      <c r="AG726" s="26"/>
      <c r="AH726" s="35"/>
      <c r="AI726" s="35"/>
      <c r="AJ726" s="35"/>
      <c r="AK726" s="35"/>
      <c r="AL726" s="35"/>
      <c r="AM726" s="35"/>
      <c r="AN726" s="35"/>
      <c r="AO726" s="253"/>
      <c r="AP726" s="253"/>
      <c r="AQ726" s="156"/>
      <c r="AR726" s="156"/>
      <c r="AS726" s="106"/>
      <c r="AT726" s="106"/>
      <c r="AU726" s="106"/>
      <c r="AV726" s="106"/>
      <c r="AW726" s="126"/>
      <c r="AX726" s="126"/>
      <c r="AY726" s="126"/>
      <c r="AZ726" s="126"/>
      <c r="BA726" s="126"/>
      <c r="BB726" s="21"/>
      <c r="BC726" s="21"/>
      <c r="BD726" s="21"/>
      <c r="BE726" s="21"/>
    </row>
    <row r="727" customFormat="false" ht="14.1" hidden="true" customHeight="true" outlineLevel="1" collapsed="false">
      <c r="A727" s="227" t="s">
        <v>417</v>
      </c>
      <c r="B727" s="148" t="s">
        <v>162</v>
      </c>
      <c r="C727" s="180" t="s">
        <v>200</v>
      </c>
      <c r="D727" s="148" t="s">
        <v>118</v>
      </c>
      <c r="E727" s="355"/>
      <c r="F727" s="355"/>
      <c r="G727" s="26"/>
      <c r="H727" s="26"/>
      <c r="I727" s="150"/>
      <c r="J727" s="150"/>
      <c r="K727" s="150"/>
      <c r="L727" s="220"/>
      <c r="M727" s="150"/>
      <c r="N727" s="150"/>
      <c r="O727" s="150"/>
      <c r="P727" s="150"/>
      <c r="Q727" s="150"/>
      <c r="R727" s="26"/>
      <c r="S727" s="26"/>
      <c r="T727" s="26"/>
      <c r="U727" s="26"/>
      <c r="V727" s="26"/>
      <c r="W727" s="26"/>
      <c r="X727" s="26"/>
      <c r="Y727" s="26"/>
      <c r="Z727" s="26"/>
      <c r="AA727" s="26"/>
      <c r="AB727" s="26"/>
      <c r="AC727" s="26"/>
      <c r="AD727" s="26"/>
      <c r="AE727" s="26"/>
      <c r="AF727" s="26"/>
      <c r="AG727" s="26"/>
      <c r="AH727" s="35"/>
      <c r="AI727" s="35"/>
      <c r="AJ727" s="35"/>
      <c r="AK727" s="35"/>
      <c r="AL727" s="35"/>
      <c r="AM727" s="35"/>
      <c r="AN727" s="35"/>
      <c r="AO727" s="253"/>
      <c r="AP727" s="253"/>
      <c r="AQ727" s="156"/>
      <c r="AR727" s="156"/>
      <c r="AS727" s="106"/>
      <c r="AT727" s="106"/>
      <c r="AU727" s="106"/>
      <c r="AV727" s="106"/>
      <c r="AW727" s="126"/>
      <c r="AX727" s="126"/>
      <c r="AY727" s="126"/>
      <c r="AZ727" s="126"/>
      <c r="BA727" s="126"/>
      <c r="BB727" s="21"/>
      <c r="BC727" s="21"/>
      <c r="BD727" s="21"/>
      <c r="BE727" s="21"/>
    </row>
    <row r="728" customFormat="false" ht="14.1" hidden="true" customHeight="true" outlineLevel="1" collapsed="false">
      <c r="A728" s="231" t="s">
        <v>36</v>
      </c>
      <c r="B728" s="180" t="s">
        <v>15</v>
      </c>
      <c r="C728" s="262" t="n">
        <v>2</v>
      </c>
      <c r="D728" s="151" t="n">
        <v>4</v>
      </c>
      <c r="E728" s="138"/>
      <c r="F728" s="355"/>
      <c r="G728" s="26"/>
      <c r="H728" s="26"/>
      <c r="I728" s="150"/>
      <c r="J728" s="150"/>
      <c r="K728" s="150"/>
      <c r="L728" s="220"/>
      <c r="M728" s="150"/>
      <c r="N728" s="150"/>
      <c r="O728" s="150"/>
      <c r="P728" s="150"/>
      <c r="Q728" s="150"/>
      <c r="R728" s="26"/>
      <c r="S728" s="26"/>
      <c r="T728" s="26"/>
      <c r="U728" s="26"/>
      <c r="V728" s="26"/>
      <c r="W728" s="26"/>
      <c r="X728" s="26"/>
      <c r="Y728" s="26"/>
      <c r="Z728" s="26"/>
      <c r="AA728" s="26"/>
      <c r="AB728" s="26"/>
      <c r="AC728" s="26"/>
      <c r="AD728" s="26"/>
      <c r="AE728" s="26"/>
      <c r="AF728" s="26"/>
      <c r="AG728" s="26"/>
      <c r="AH728" s="35"/>
      <c r="AI728" s="35"/>
      <c r="AJ728" s="35"/>
      <c r="AK728" s="35"/>
      <c r="AL728" s="35"/>
      <c r="AM728" s="35"/>
      <c r="AN728" s="35"/>
      <c r="AO728" s="253"/>
      <c r="AP728" s="253"/>
      <c r="AQ728" s="156"/>
      <c r="AR728" s="156"/>
      <c r="AS728" s="106"/>
      <c r="AT728" s="106"/>
      <c r="AU728" s="106"/>
      <c r="AV728" s="106"/>
      <c r="AW728" s="126"/>
      <c r="AX728" s="126"/>
      <c r="AY728" s="126"/>
      <c r="AZ728" s="126"/>
      <c r="BA728" s="126"/>
      <c r="BB728" s="21"/>
      <c r="BC728" s="21"/>
      <c r="BD728" s="21"/>
      <c r="BE728" s="21"/>
    </row>
    <row r="729" customFormat="false" ht="14.1" hidden="true" customHeight="true" outlineLevel="1" collapsed="false">
      <c r="A729" s="138"/>
      <c r="B729" s="235"/>
      <c r="C729" s="138"/>
      <c r="D729" s="138"/>
      <c r="E729" s="138"/>
      <c r="F729" s="355"/>
      <c r="G729" s="26"/>
      <c r="H729" s="26"/>
      <c r="I729" s="150"/>
      <c r="J729" s="150"/>
      <c r="K729" s="150"/>
      <c r="L729" s="220"/>
      <c r="M729" s="150"/>
      <c r="N729" s="150"/>
      <c r="O729" s="150"/>
      <c r="P729" s="150"/>
      <c r="Q729" s="150"/>
      <c r="R729" s="26"/>
      <c r="S729" s="26"/>
      <c r="T729" s="26"/>
      <c r="U729" s="26"/>
      <c r="V729" s="26"/>
      <c r="W729" s="26"/>
      <c r="X729" s="26"/>
      <c r="Y729" s="26"/>
      <c r="Z729" s="26"/>
      <c r="AA729" s="26"/>
      <c r="AB729" s="26"/>
      <c r="AC729" s="26"/>
      <c r="AD729" s="26"/>
      <c r="AE729" s="26"/>
      <c r="AF729" s="26"/>
      <c r="AG729" s="26"/>
      <c r="AH729" s="35"/>
      <c r="AI729" s="35"/>
      <c r="AJ729" s="35"/>
      <c r="AK729" s="35"/>
      <c r="AL729" s="35"/>
      <c r="AM729" s="35"/>
      <c r="AN729" s="35"/>
      <c r="AO729" s="253"/>
      <c r="AP729" s="253"/>
      <c r="AQ729" s="156"/>
      <c r="AR729" s="156"/>
      <c r="AS729" s="106"/>
      <c r="AT729" s="106"/>
      <c r="AU729" s="106"/>
      <c r="AV729" s="106"/>
      <c r="AW729" s="126"/>
      <c r="AX729" s="126"/>
      <c r="AY729" s="126"/>
      <c r="AZ729" s="126"/>
      <c r="BA729" s="126"/>
      <c r="BB729" s="21"/>
      <c r="BC729" s="21"/>
      <c r="BD729" s="21"/>
      <c r="BE729" s="21"/>
    </row>
    <row r="730" customFormat="false" ht="14.1" hidden="true" customHeight="true" outlineLevel="1" collapsed="false">
      <c r="A730" s="138"/>
      <c r="B730" s="235"/>
      <c r="C730" s="138"/>
      <c r="D730" s="138"/>
      <c r="E730" s="138"/>
      <c r="F730" s="138"/>
      <c r="G730" s="26"/>
      <c r="H730" s="26"/>
      <c r="I730" s="150"/>
      <c r="J730" s="150"/>
      <c r="K730" s="150"/>
      <c r="L730" s="220"/>
      <c r="M730" s="150"/>
      <c r="N730" s="150"/>
      <c r="O730" s="150"/>
      <c r="P730" s="150"/>
      <c r="Q730" s="150"/>
      <c r="R730" s="26"/>
      <c r="S730" s="26"/>
      <c r="T730" s="26"/>
      <c r="U730" s="26"/>
      <c r="V730" s="26"/>
      <c r="W730" s="26"/>
      <c r="X730" s="26"/>
      <c r="Y730" s="26"/>
      <c r="Z730" s="26"/>
      <c r="AA730" s="26"/>
      <c r="AB730" s="26"/>
      <c r="AC730" s="26"/>
      <c r="AD730" s="26"/>
      <c r="AE730" s="26"/>
      <c r="AF730" s="26"/>
      <c r="AG730" s="26"/>
      <c r="AH730" s="35"/>
      <c r="AI730" s="35"/>
      <c r="AJ730" s="35"/>
      <c r="AK730" s="35"/>
      <c r="AL730" s="35"/>
      <c r="AM730" s="35"/>
      <c r="AN730" s="35"/>
      <c r="AO730" s="253"/>
      <c r="AP730" s="253"/>
      <c r="AQ730" s="156"/>
      <c r="AR730" s="156"/>
      <c r="AS730" s="106"/>
      <c r="AT730" s="106"/>
      <c r="AU730" s="106"/>
      <c r="AV730" s="106"/>
      <c r="AW730" s="126"/>
      <c r="AX730" s="126"/>
      <c r="AY730" s="126"/>
      <c r="AZ730" s="126"/>
      <c r="BA730" s="126"/>
      <c r="BB730" s="21"/>
      <c r="BC730" s="21"/>
      <c r="BD730" s="21"/>
      <c r="BE730" s="21"/>
    </row>
    <row r="731" customFormat="false" ht="14.1" hidden="true" customHeight="true" outlineLevel="1" collapsed="false">
      <c r="A731" s="138" t="s">
        <v>209</v>
      </c>
      <c r="B731" s="235"/>
      <c r="C731" s="138"/>
      <c r="D731" s="138"/>
      <c r="E731" s="138"/>
      <c r="F731" s="138"/>
      <c r="G731" s="26"/>
      <c r="H731" s="26"/>
      <c r="I731" s="150"/>
      <c r="J731" s="150"/>
      <c r="K731" s="150"/>
      <c r="L731" s="220"/>
      <c r="M731" s="150"/>
      <c r="N731" s="150"/>
      <c r="O731" s="150"/>
      <c r="P731" s="150"/>
      <c r="Q731" s="150"/>
      <c r="R731" s="26"/>
      <c r="S731" s="26"/>
      <c r="T731" s="26"/>
      <c r="U731" s="26"/>
      <c r="V731" s="26"/>
      <c r="W731" s="26"/>
      <c r="X731" s="26"/>
      <c r="Y731" s="26"/>
      <c r="Z731" s="26"/>
      <c r="AA731" s="26"/>
      <c r="AB731" s="26"/>
      <c r="AC731" s="26"/>
      <c r="AD731" s="26"/>
      <c r="AE731" s="26"/>
      <c r="AF731" s="26"/>
      <c r="AG731" s="26"/>
      <c r="AH731" s="35"/>
      <c r="AI731" s="35"/>
      <c r="AJ731" s="35"/>
      <c r="AK731" s="35"/>
      <c r="AL731" s="35"/>
      <c r="AM731" s="35"/>
      <c r="AN731" s="35"/>
      <c r="AO731" s="253"/>
      <c r="AP731" s="253"/>
      <c r="AQ731" s="156"/>
      <c r="AR731" s="156"/>
      <c r="AS731" s="106"/>
      <c r="AT731" s="106"/>
      <c r="AU731" s="106"/>
      <c r="AV731" s="106"/>
      <c r="AW731" s="126"/>
      <c r="AX731" s="126"/>
      <c r="AY731" s="126"/>
      <c r="AZ731" s="126"/>
      <c r="BA731" s="126"/>
      <c r="BB731" s="21"/>
      <c r="BC731" s="21"/>
      <c r="BD731" s="21"/>
      <c r="BE731" s="21"/>
    </row>
    <row r="732" customFormat="false" ht="14.1" hidden="true" customHeight="true" outlineLevel="1" collapsed="false">
      <c r="A732" s="240" t="s">
        <v>449</v>
      </c>
      <c r="B732" s="235"/>
      <c r="C732" s="138"/>
      <c r="D732" s="138"/>
      <c r="E732" s="138"/>
      <c r="F732" s="138"/>
      <c r="G732" s="26"/>
      <c r="H732" s="26"/>
      <c r="I732" s="150"/>
      <c r="J732" s="150"/>
      <c r="K732" s="150"/>
      <c r="L732" s="220"/>
      <c r="M732" s="150"/>
      <c r="N732" s="150"/>
      <c r="O732" s="150"/>
      <c r="P732" s="150"/>
      <c r="Q732" s="150"/>
      <c r="R732" s="26"/>
      <c r="S732" s="26"/>
      <c r="T732" s="26"/>
      <c r="U732" s="26"/>
      <c r="V732" s="26"/>
      <c r="W732" s="26"/>
      <c r="X732" s="26"/>
      <c r="Y732" s="26"/>
      <c r="Z732" s="26"/>
      <c r="AA732" s="26"/>
      <c r="AB732" s="26"/>
      <c r="AC732" s="26"/>
      <c r="AD732" s="26"/>
      <c r="AE732" s="26"/>
      <c r="AF732" s="26"/>
      <c r="AG732" s="26"/>
      <c r="AH732" s="35"/>
      <c r="AI732" s="35"/>
      <c r="AJ732" s="35"/>
      <c r="AK732" s="35"/>
      <c r="AL732" s="35"/>
      <c r="AM732" s="35"/>
      <c r="AN732" s="35"/>
      <c r="AO732" s="253"/>
      <c r="AP732" s="253"/>
      <c r="AQ732" s="156"/>
      <c r="AR732" s="156"/>
      <c r="AS732" s="106"/>
      <c r="AT732" s="106"/>
      <c r="AU732" s="106"/>
      <c r="AV732" s="106"/>
      <c r="AW732" s="126"/>
      <c r="AX732" s="126"/>
      <c r="AY732" s="126"/>
      <c r="AZ732" s="126"/>
      <c r="BA732" s="126"/>
      <c r="BB732" s="21"/>
      <c r="BC732" s="21"/>
      <c r="BD732" s="21"/>
      <c r="BE732" s="21"/>
    </row>
    <row r="733" customFormat="false" ht="14.1" hidden="true" customHeight="true" outlineLevel="1" collapsed="false">
      <c r="A733" s="138" t="s">
        <v>211</v>
      </c>
      <c r="B733" s="235"/>
      <c r="C733" s="138"/>
      <c r="D733" s="138"/>
      <c r="E733" s="355"/>
      <c r="F733" s="340" t="s">
        <v>420</v>
      </c>
      <c r="G733" s="340"/>
      <c r="H733" s="26"/>
      <c r="I733" s="150"/>
      <c r="J733" s="150"/>
      <c r="K733" s="150"/>
      <c r="L733" s="220"/>
      <c r="M733" s="150"/>
      <c r="N733" s="150"/>
      <c r="O733" s="150"/>
      <c r="P733" s="150"/>
      <c r="Q733" s="150"/>
      <c r="R733" s="26"/>
      <c r="S733" s="26"/>
      <c r="T733" s="26"/>
      <c r="U733" s="26"/>
      <c r="V733" s="26"/>
      <c r="W733" s="26"/>
      <c r="X733" s="26"/>
      <c r="Y733" s="26"/>
      <c r="Z733" s="26"/>
      <c r="AA733" s="26"/>
      <c r="AB733" s="26"/>
      <c r="AC733" s="26"/>
      <c r="AD733" s="26"/>
      <c r="AE733" s="26"/>
      <c r="AF733" s="26"/>
      <c r="AG733" s="26"/>
      <c r="AH733" s="35"/>
      <c r="AI733" s="35"/>
      <c r="AJ733" s="35"/>
      <c r="AK733" s="35"/>
      <c r="AL733" s="35"/>
      <c r="AM733" s="35"/>
      <c r="AN733" s="35"/>
      <c r="AO733" s="253"/>
      <c r="AP733" s="253"/>
      <c r="AQ733" s="156"/>
      <c r="AR733" s="156"/>
      <c r="AS733" s="106"/>
      <c r="AT733" s="106"/>
      <c r="AU733" s="106"/>
      <c r="AV733" s="106"/>
      <c r="AW733" s="126"/>
      <c r="AX733" s="126"/>
      <c r="AY733" s="126"/>
      <c r="AZ733" s="126"/>
      <c r="BA733" s="126"/>
      <c r="BB733" s="21"/>
      <c r="BC733" s="21"/>
      <c r="BD733" s="21"/>
      <c r="BE733" s="21"/>
    </row>
    <row r="734" customFormat="false" ht="14.1" hidden="true" customHeight="true" outlineLevel="1" collapsed="false">
      <c r="A734" s="242" t="s">
        <v>212</v>
      </c>
      <c r="B734" s="235"/>
      <c r="C734" s="138"/>
      <c r="D734" s="138"/>
      <c r="E734" s="355"/>
      <c r="F734" s="340"/>
      <c r="G734" s="340"/>
      <c r="H734" s="26"/>
      <c r="I734" s="150"/>
      <c r="J734" s="150"/>
      <c r="K734" s="150"/>
      <c r="L734" s="220"/>
      <c r="M734" s="150"/>
      <c r="N734" s="150"/>
      <c r="O734" s="150"/>
      <c r="P734" s="150"/>
      <c r="Q734" s="150"/>
      <c r="R734" s="26"/>
      <c r="S734" s="26"/>
      <c r="T734" s="26"/>
      <c r="U734" s="26"/>
      <c r="V734" s="26"/>
      <c r="W734" s="26"/>
      <c r="X734" s="26"/>
      <c r="Y734" s="26"/>
      <c r="Z734" s="26"/>
      <c r="AA734" s="26"/>
      <c r="AB734" s="26"/>
      <c r="AC734" s="26"/>
      <c r="AD734" s="26"/>
      <c r="AE734" s="26"/>
      <c r="AF734" s="26"/>
      <c r="AG734" s="26"/>
      <c r="AH734" s="35"/>
      <c r="AI734" s="35"/>
      <c r="AJ734" s="35"/>
      <c r="AK734" s="35"/>
      <c r="AL734" s="35"/>
      <c r="AM734" s="35"/>
      <c r="AN734" s="35"/>
      <c r="AO734" s="253"/>
      <c r="AP734" s="253"/>
      <c r="AQ734" s="156"/>
      <c r="AR734" s="156"/>
      <c r="AS734" s="106"/>
      <c r="AT734" s="106"/>
      <c r="AU734" s="106"/>
      <c r="AV734" s="106"/>
      <c r="AW734" s="126"/>
      <c r="AX734" s="126"/>
      <c r="AY734" s="126"/>
      <c r="AZ734" s="126"/>
      <c r="BA734" s="126"/>
      <c r="BB734" s="21"/>
      <c r="BC734" s="21"/>
      <c r="BD734" s="21"/>
      <c r="BE734" s="21"/>
    </row>
    <row r="735" customFormat="false" ht="14.1" hidden="true" customHeight="true" outlineLevel="1" collapsed="false">
      <c r="A735" s="138" t="s">
        <v>213</v>
      </c>
      <c r="B735" s="235"/>
      <c r="C735" s="138"/>
      <c r="D735" s="138"/>
      <c r="E735" s="355"/>
      <c r="F735" s="340"/>
      <c r="G735" s="340"/>
      <c r="H735" s="26"/>
      <c r="I735" s="150"/>
      <c r="J735" s="150"/>
      <c r="K735" s="150"/>
      <c r="L735" s="220"/>
      <c r="M735" s="150"/>
      <c r="N735" s="150"/>
      <c r="O735" s="150"/>
      <c r="P735" s="150"/>
      <c r="Q735" s="150"/>
      <c r="R735" s="26"/>
      <c r="S735" s="26"/>
      <c r="T735" s="26"/>
      <c r="U735" s="26"/>
      <c r="V735" s="26"/>
      <c r="W735" s="26"/>
      <c r="X735" s="26"/>
      <c r="Y735" s="26"/>
      <c r="Z735" s="26"/>
      <c r="AA735" s="26"/>
      <c r="AB735" s="26"/>
      <c r="AC735" s="26"/>
      <c r="AD735" s="26"/>
      <c r="AE735" s="26"/>
      <c r="AF735" s="26"/>
      <c r="AG735" s="26"/>
      <c r="AH735" s="35"/>
      <c r="AI735" s="35"/>
      <c r="AJ735" s="35"/>
      <c r="AK735" s="35"/>
      <c r="AL735" s="35"/>
      <c r="AM735" s="35"/>
      <c r="AN735" s="35"/>
      <c r="AO735" s="253"/>
      <c r="AP735" s="253"/>
      <c r="AQ735" s="156"/>
      <c r="AR735" s="156"/>
      <c r="AS735" s="106"/>
      <c r="AT735" s="106"/>
      <c r="AU735" s="106"/>
      <c r="AV735" s="106"/>
      <c r="AW735" s="126"/>
      <c r="AX735" s="126"/>
      <c r="AY735" s="126"/>
      <c r="AZ735" s="126"/>
      <c r="BA735" s="126"/>
      <c r="BB735" s="21"/>
      <c r="BC735" s="21"/>
      <c r="BD735" s="21"/>
      <c r="BE735" s="21"/>
    </row>
    <row r="736" customFormat="false" ht="14.1" hidden="true" customHeight="true" outlineLevel="1" collapsed="false">
      <c r="A736" s="242" t="s">
        <v>101</v>
      </c>
      <c r="B736" s="235"/>
      <c r="C736" s="138"/>
      <c r="D736" s="138"/>
      <c r="E736" s="355"/>
      <c r="F736" s="340"/>
      <c r="G736" s="340"/>
      <c r="H736" s="26"/>
      <c r="I736" s="150"/>
      <c r="J736" s="150"/>
      <c r="K736" s="150"/>
      <c r="L736" s="220"/>
      <c r="M736" s="150"/>
      <c r="N736" s="150"/>
      <c r="O736" s="150"/>
      <c r="P736" s="150"/>
      <c r="Q736" s="150"/>
      <c r="R736" s="26"/>
      <c r="S736" s="26"/>
      <c r="T736" s="26"/>
      <c r="U736" s="26"/>
      <c r="V736" s="26"/>
      <c r="W736" s="26"/>
      <c r="X736" s="26"/>
      <c r="Y736" s="26"/>
      <c r="Z736" s="26"/>
      <c r="AA736" s="26"/>
      <c r="AB736" s="26"/>
      <c r="AC736" s="26"/>
      <c r="AD736" s="26"/>
      <c r="AE736" s="26"/>
      <c r="AF736" s="26"/>
      <c r="AG736" s="26"/>
      <c r="AH736" s="35"/>
      <c r="AI736" s="35"/>
      <c r="AJ736" s="35"/>
      <c r="AK736" s="35"/>
      <c r="AL736" s="35"/>
      <c r="AM736" s="35"/>
      <c r="AN736" s="35"/>
      <c r="AO736" s="253"/>
      <c r="AP736" s="253"/>
      <c r="AQ736" s="156"/>
      <c r="AR736" s="156"/>
      <c r="AS736" s="106"/>
      <c r="AT736" s="106"/>
      <c r="AU736" s="106"/>
      <c r="AV736" s="106"/>
      <c r="AW736" s="126"/>
      <c r="AX736" s="126"/>
      <c r="AY736" s="126"/>
      <c r="AZ736" s="126"/>
      <c r="BA736" s="126"/>
      <c r="BB736" s="21"/>
      <c r="BC736" s="21"/>
      <c r="BD736" s="21"/>
      <c r="BE736" s="21"/>
    </row>
    <row r="737" customFormat="false" ht="14.1" hidden="true" customHeight="true" outlineLevel="1" collapsed="false">
      <c r="A737" s="138" t="s">
        <v>215</v>
      </c>
      <c r="B737" s="235"/>
      <c r="C737" s="138"/>
      <c r="D737" s="138"/>
      <c r="E737" s="355"/>
      <c r="F737" s="340"/>
      <c r="G737" s="340"/>
      <c r="H737" s="26"/>
      <c r="I737" s="150"/>
      <c r="J737" s="150"/>
      <c r="K737" s="150"/>
      <c r="L737" s="220"/>
      <c r="M737" s="150"/>
      <c r="N737" s="150"/>
      <c r="O737" s="150"/>
      <c r="P737" s="150"/>
      <c r="Q737" s="150"/>
      <c r="R737" s="26"/>
      <c r="S737" s="26"/>
      <c r="T737" s="26"/>
      <c r="U737" s="26"/>
      <c r="V737" s="26"/>
      <c r="W737" s="26"/>
      <c r="X737" s="26"/>
      <c r="Y737" s="26"/>
      <c r="Z737" s="26"/>
      <c r="AA737" s="26"/>
      <c r="AB737" s="26"/>
      <c r="AC737" s="26"/>
      <c r="AD737" s="26"/>
      <c r="AE737" s="26"/>
      <c r="AF737" s="26"/>
      <c r="AG737" s="26"/>
      <c r="AH737" s="35"/>
      <c r="AI737" s="35"/>
      <c r="AJ737" s="35"/>
      <c r="AK737" s="35"/>
      <c r="AL737" s="35"/>
      <c r="AM737" s="35"/>
      <c r="AN737" s="35"/>
      <c r="AO737" s="253"/>
      <c r="AP737" s="253"/>
      <c r="AQ737" s="156"/>
      <c r="AR737" s="156"/>
      <c r="AS737" s="106"/>
      <c r="AT737" s="106"/>
      <c r="AU737" s="106"/>
      <c r="AV737" s="106"/>
      <c r="AW737" s="126"/>
      <c r="AX737" s="126"/>
      <c r="AY737" s="126"/>
      <c r="AZ737" s="126"/>
      <c r="BA737" s="126"/>
      <c r="BB737" s="21"/>
      <c r="BC737" s="21"/>
      <c r="BD737" s="21"/>
      <c r="BE737" s="21"/>
    </row>
    <row r="738" customFormat="false" ht="14.1" hidden="true" customHeight="true" outlineLevel="1" collapsed="false">
      <c r="A738" s="244" t="s">
        <v>101</v>
      </c>
      <c r="B738" s="235"/>
      <c r="C738" s="138"/>
      <c r="D738" s="138"/>
      <c r="E738" s="355"/>
      <c r="F738" s="355"/>
      <c r="G738" s="26"/>
      <c r="H738" s="26"/>
      <c r="I738" s="150"/>
      <c r="J738" s="150"/>
      <c r="K738" s="150"/>
      <c r="L738" s="220"/>
      <c r="M738" s="150"/>
      <c r="N738" s="150"/>
      <c r="O738" s="150"/>
      <c r="P738" s="150"/>
      <c r="Q738" s="150"/>
      <c r="R738" s="26"/>
      <c r="S738" s="26"/>
      <c r="T738" s="26"/>
      <c r="U738" s="26"/>
      <c r="V738" s="26"/>
      <c r="W738" s="26"/>
      <c r="X738" s="26"/>
      <c r="Y738" s="26"/>
      <c r="Z738" s="26"/>
      <c r="AA738" s="26"/>
      <c r="AB738" s="26"/>
      <c r="AC738" s="26"/>
      <c r="AD738" s="26"/>
      <c r="AE738" s="26"/>
      <c r="AF738" s="26"/>
      <c r="AG738" s="26"/>
      <c r="AH738" s="35"/>
      <c r="AI738" s="35"/>
      <c r="AJ738" s="35"/>
      <c r="AK738" s="35"/>
      <c r="AL738" s="35"/>
      <c r="AM738" s="35"/>
      <c r="AN738" s="35"/>
      <c r="AO738" s="253"/>
      <c r="AP738" s="253"/>
      <c r="AQ738" s="156"/>
      <c r="AR738" s="156"/>
      <c r="AS738" s="106"/>
      <c r="AT738" s="106"/>
      <c r="AU738" s="106"/>
      <c r="AV738" s="106"/>
      <c r="AW738" s="126"/>
      <c r="AX738" s="126"/>
      <c r="AY738" s="126"/>
      <c r="AZ738" s="126"/>
      <c r="BA738" s="126"/>
      <c r="BB738" s="21"/>
      <c r="BC738" s="21"/>
      <c r="BD738" s="21"/>
      <c r="BE738" s="21"/>
    </row>
    <row r="739" customFormat="false" ht="14.1" hidden="true" customHeight="true" outlineLevel="1" collapsed="false">
      <c r="A739" s="138" t="s">
        <v>222</v>
      </c>
      <c r="B739" s="235"/>
      <c r="C739" s="138"/>
      <c r="D739" s="138"/>
      <c r="E739" s="355"/>
      <c r="F739" s="355"/>
      <c r="G739" s="26"/>
      <c r="H739" s="26"/>
      <c r="I739" s="150"/>
      <c r="J739" s="150"/>
      <c r="K739" s="150"/>
      <c r="L739" s="220"/>
      <c r="M739" s="150"/>
      <c r="N739" s="150"/>
      <c r="O739" s="150"/>
      <c r="P739" s="150"/>
      <c r="Q739" s="150"/>
      <c r="R739" s="26"/>
      <c r="S739" s="26"/>
      <c r="T739" s="26"/>
      <c r="U739" s="26"/>
      <c r="V739" s="26"/>
      <c r="W739" s="26"/>
      <c r="X739" s="26"/>
      <c r="Y739" s="26"/>
      <c r="Z739" s="26"/>
      <c r="AA739" s="26"/>
      <c r="AB739" s="26"/>
      <c r="AC739" s="26"/>
      <c r="AD739" s="26"/>
      <c r="AE739" s="26"/>
      <c r="AF739" s="26"/>
      <c r="AG739" s="26"/>
      <c r="AH739" s="35"/>
      <c r="AI739" s="35"/>
      <c r="AJ739" s="35"/>
      <c r="AK739" s="35"/>
      <c r="AL739" s="35"/>
      <c r="AM739" s="35"/>
      <c r="AN739" s="35"/>
      <c r="AO739" s="253"/>
      <c r="AP739" s="253"/>
      <c r="AQ739" s="156"/>
      <c r="AR739" s="156"/>
      <c r="AS739" s="106"/>
      <c r="AT739" s="106"/>
      <c r="AU739" s="106"/>
      <c r="AV739" s="106"/>
      <c r="AW739" s="126"/>
      <c r="AX739" s="126"/>
      <c r="AY739" s="126"/>
      <c r="AZ739" s="126"/>
      <c r="BA739" s="126"/>
      <c r="BB739" s="21"/>
      <c r="BC739" s="21"/>
      <c r="BD739" s="21"/>
      <c r="BE739" s="21"/>
    </row>
    <row r="740" customFormat="false" ht="14.1" hidden="true" customHeight="true" outlineLevel="1" collapsed="false">
      <c r="A740" s="242" t="s">
        <v>450</v>
      </c>
      <c r="B740" s="235"/>
      <c r="C740" s="138"/>
      <c r="D740" s="138"/>
      <c r="E740" s="355"/>
      <c r="F740" s="355"/>
      <c r="G740" s="26"/>
      <c r="H740" s="26"/>
      <c r="I740" s="150"/>
      <c r="J740" s="150"/>
      <c r="K740" s="150"/>
      <c r="L740" s="220"/>
      <c r="M740" s="150"/>
      <c r="N740" s="150"/>
      <c r="O740" s="150"/>
      <c r="P740" s="150"/>
      <c r="Q740" s="150"/>
      <c r="R740" s="26"/>
      <c r="S740" s="26"/>
      <c r="T740" s="26"/>
      <c r="U740" s="26"/>
      <c r="V740" s="26"/>
      <c r="W740" s="26"/>
      <c r="X740" s="26"/>
      <c r="Y740" s="26"/>
      <c r="Z740" s="26"/>
      <c r="AA740" s="26"/>
      <c r="AB740" s="26"/>
      <c r="AC740" s="26"/>
      <c r="AD740" s="26"/>
      <c r="AE740" s="26"/>
      <c r="AF740" s="26"/>
      <c r="AG740" s="26"/>
      <c r="AH740" s="35"/>
      <c r="AI740" s="35"/>
      <c r="AJ740" s="35"/>
      <c r="AK740" s="35"/>
      <c r="AL740" s="35"/>
      <c r="AM740" s="35"/>
      <c r="AN740" s="35"/>
      <c r="AO740" s="253"/>
      <c r="AP740" s="253"/>
      <c r="AQ740" s="156"/>
      <c r="AR740" s="156"/>
      <c r="AS740" s="106"/>
      <c r="AT740" s="106"/>
      <c r="AU740" s="106"/>
      <c r="AV740" s="106"/>
      <c r="AW740" s="126"/>
      <c r="AX740" s="126"/>
      <c r="AY740" s="126"/>
      <c r="AZ740" s="126"/>
      <c r="BA740" s="126"/>
      <c r="BB740" s="21"/>
      <c r="BC740" s="21"/>
      <c r="BD740" s="21"/>
      <c r="BE740" s="21"/>
    </row>
    <row r="741" customFormat="false" ht="14.1" hidden="true" customHeight="true" outlineLevel="1" collapsed="false">
      <c r="A741" s="138"/>
      <c r="B741" s="235"/>
      <c r="C741" s="138"/>
      <c r="D741" s="138"/>
      <c r="E741" s="355"/>
      <c r="F741" s="355"/>
      <c r="G741" s="26"/>
      <c r="H741" s="26"/>
      <c r="I741" s="150"/>
      <c r="J741" s="150"/>
      <c r="K741" s="150"/>
      <c r="L741" s="220"/>
      <c r="M741" s="150"/>
      <c r="N741" s="150"/>
      <c r="O741" s="150"/>
      <c r="P741" s="150"/>
      <c r="Q741" s="150"/>
      <c r="R741" s="26"/>
      <c r="S741" s="26"/>
      <c r="T741" s="26"/>
      <c r="U741" s="26"/>
      <c r="V741" s="26"/>
      <c r="W741" s="26"/>
      <c r="X741" s="26"/>
      <c r="Y741" s="26"/>
      <c r="Z741" s="26"/>
      <c r="AA741" s="26"/>
      <c r="AB741" s="26"/>
      <c r="AC741" s="26"/>
      <c r="AD741" s="26"/>
      <c r="AE741" s="26"/>
      <c r="AF741" s="26"/>
      <c r="AG741" s="26"/>
      <c r="AH741" s="35"/>
      <c r="AI741" s="35"/>
      <c r="AJ741" s="35"/>
      <c r="AK741" s="35"/>
      <c r="AL741" s="35"/>
      <c r="AM741" s="35"/>
      <c r="AN741" s="35"/>
      <c r="AO741" s="253"/>
      <c r="AP741" s="253"/>
      <c r="AQ741" s="156"/>
      <c r="AR741" s="156"/>
      <c r="AS741" s="106"/>
      <c r="AT741" s="106"/>
      <c r="AU741" s="106"/>
      <c r="AV741" s="106"/>
      <c r="AW741" s="126"/>
      <c r="AX741" s="126"/>
      <c r="AY741" s="126"/>
      <c r="AZ741" s="126"/>
      <c r="BA741" s="126"/>
      <c r="BB741" s="21"/>
      <c r="BC741" s="21"/>
      <c r="BD741" s="21"/>
      <c r="BE741" s="21"/>
    </row>
    <row r="742" customFormat="false" ht="14.1" hidden="true" customHeight="true" outlineLevel="1" collapsed="false">
      <c r="A742" s="138"/>
      <c r="B742" s="235"/>
      <c r="C742" s="138"/>
      <c r="D742" s="138"/>
      <c r="E742" s="355"/>
      <c r="F742" s="138"/>
      <c r="G742" s="26"/>
      <c r="H742" s="26"/>
      <c r="I742" s="26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  <c r="Z742" s="26"/>
      <c r="AA742" s="26"/>
      <c r="AB742" s="26"/>
      <c r="AC742" s="26"/>
      <c r="AD742" s="26"/>
      <c r="AE742" s="26"/>
      <c r="AF742" s="26"/>
      <c r="AG742" s="26"/>
      <c r="AH742" s="35"/>
      <c r="AI742" s="35"/>
      <c r="AJ742" s="35"/>
      <c r="AK742" s="35"/>
      <c r="AL742" s="35"/>
      <c r="AM742" s="35"/>
      <c r="AN742" s="35"/>
      <c r="AO742" s="253"/>
      <c r="AP742" s="253"/>
      <c r="AQ742" s="156"/>
      <c r="AR742" s="156"/>
      <c r="AS742" s="106"/>
      <c r="AT742" s="106"/>
      <c r="AU742" s="106"/>
      <c r="AV742" s="106"/>
      <c r="AW742" s="126"/>
      <c r="AX742" s="126"/>
      <c r="AY742" s="126"/>
      <c r="AZ742" s="126"/>
      <c r="BA742" s="126"/>
      <c r="BB742" s="21"/>
      <c r="BC742" s="21"/>
      <c r="BD742" s="21"/>
      <c r="BE742" s="21"/>
    </row>
    <row r="743" customFormat="false" ht="14.1" hidden="true" customHeight="true" outlineLevel="1" collapsed="false">
      <c r="A743" s="174" t="s">
        <v>451</v>
      </c>
      <c r="B743" s="235"/>
      <c r="C743" s="138"/>
      <c r="D743" s="138"/>
      <c r="E743" s="355"/>
      <c r="F743" s="138"/>
      <c r="G743" s="26"/>
      <c r="H743" s="26"/>
      <c r="I743" s="26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  <c r="Z743" s="26"/>
      <c r="AA743" s="26"/>
      <c r="AB743" s="26"/>
      <c r="AC743" s="26"/>
      <c r="AD743" s="26"/>
      <c r="AE743" s="26"/>
      <c r="AF743" s="26"/>
      <c r="AG743" s="26"/>
      <c r="AH743" s="35"/>
      <c r="AI743" s="35"/>
      <c r="AJ743" s="35"/>
      <c r="AK743" s="35"/>
      <c r="AL743" s="35"/>
      <c r="AM743" s="35"/>
      <c r="AN743" s="35"/>
      <c r="AO743" s="253"/>
      <c r="AP743" s="253"/>
      <c r="AQ743" s="156"/>
      <c r="AR743" s="156"/>
      <c r="AS743" s="106"/>
      <c r="AT743" s="106"/>
      <c r="AU743" s="106"/>
      <c r="AV743" s="106"/>
      <c r="AW743" s="126"/>
      <c r="AX743" s="126"/>
      <c r="AY743" s="126"/>
      <c r="AZ743" s="126"/>
      <c r="BA743" s="126"/>
      <c r="BB743" s="21"/>
      <c r="BC743" s="21"/>
      <c r="BD743" s="21"/>
      <c r="BE743" s="21"/>
    </row>
    <row r="744" customFormat="false" ht="14.1" hidden="true" customHeight="true" outlineLevel="1" collapsed="false">
      <c r="A744" s="318" t="s">
        <v>399</v>
      </c>
      <c r="B744" s="341"/>
      <c r="C744" s="138"/>
      <c r="D744" s="138"/>
      <c r="E744" s="355"/>
      <c r="F744" s="138"/>
      <c r="G744" s="26"/>
      <c r="H744" s="26"/>
      <c r="I744" s="26"/>
      <c r="J744" s="150"/>
      <c r="K744" s="150"/>
      <c r="L744" s="150"/>
      <c r="M744" s="220"/>
      <c r="N744" s="150"/>
      <c r="O744" s="150"/>
      <c r="P744" s="150"/>
      <c r="Q744" s="150"/>
      <c r="R744" s="150"/>
      <c r="S744" s="26"/>
      <c r="T744" s="26"/>
      <c r="U744" s="26"/>
      <c r="V744" s="26"/>
      <c r="W744" s="26"/>
      <c r="X744" s="26"/>
      <c r="Y744" s="26"/>
      <c r="Z744" s="26"/>
      <c r="AA744" s="26"/>
      <c r="AB744" s="26"/>
      <c r="AC744" s="26"/>
      <c r="AD744" s="26"/>
      <c r="AE744" s="26"/>
      <c r="AF744" s="26"/>
      <c r="AG744" s="26"/>
      <c r="AH744" s="35"/>
      <c r="AI744" s="35"/>
      <c r="AJ744" s="35"/>
      <c r="AK744" s="35"/>
      <c r="AL744" s="35"/>
      <c r="AM744" s="35"/>
      <c r="AN744" s="35"/>
      <c r="AO744" s="253"/>
      <c r="AP744" s="253"/>
      <c r="AQ744" s="156"/>
      <c r="AR744" s="156"/>
      <c r="AS744" s="106"/>
      <c r="AT744" s="106"/>
      <c r="AU744" s="106"/>
      <c r="AV744" s="106"/>
      <c r="AW744" s="126"/>
      <c r="AX744" s="126"/>
      <c r="AY744" s="126"/>
      <c r="AZ744" s="126"/>
      <c r="BA744" s="126"/>
      <c r="BB744" s="21"/>
      <c r="BC744" s="21"/>
      <c r="BD744" s="21"/>
      <c r="BE744" s="21"/>
    </row>
    <row r="745" customFormat="false" ht="14.1" hidden="true" customHeight="true" outlineLevel="1" collapsed="false">
      <c r="A745" s="342" t="s">
        <v>452</v>
      </c>
      <c r="B745" s="235"/>
      <c r="C745" s="138"/>
      <c r="D745" s="138"/>
      <c r="E745" s="355"/>
      <c r="F745" s="138"/>
      <c r="G745" s="26"/>
      <c r="H745" s="26"/>
      <c r="I745" s="26"/>
      <c r="J745" s="150"/>
      <c r="K745" s="150"/>
      <c r="L745" s="150"/>
      <c r="M745" s="220"/>
      <c r="N745" s="150"/>
      <c r="O745" s="150"/>
      <c r="P745" s="150"/>
      <c r="Q745" s="150"/>
      <c r="R745" s="150"/>
      <c r="S745" s="26"/>
      <c r="T745" s="26"/>
      <c r="U745" s="26"/>
      <c r="V745" s="26"/>
      <c r="W745" s="26"/>
      <c r="X745" s="26"/>
      <c r="Y745" s="26"/>
      <c r="Z745" s="26"/>
      <c r="AA745" s="26"/>
      <c r="AB745" s="26"/>
      <c r="AC745" s="26"/>
      <c r="AD745" s="26"/>
      <c r="AE745" s="26"/>
      <c r="AF745" s="26"/>
      <c r="AG745" s="26"/>
      <c r="AH745" s="35"/>
      <c r="AI745" s="35"/>
      <c r="AJ745" s="35"/>
      <c r="AK745" s="35"/>
      <c r="AL745" s="35"/>
      <c r="AM745" s="35"/>
      <c r="AN745" s="35"/>
      <c r="AO745" s="253"/>
      <c r="AP745" s="253"/>
      <c r="AQ745" s="156"/>
      <c r="AR745" s="156"/>
      <c r="AS745" s="106"/>
      <c r="AT745" s="106"/>
      <c r="AU745" s="106"/>
      <c r="AV745" s="106"/>
      <c r="AW745" s="126"/>
      <c r="AX745" s="126"/>
      <c r="AY745" s="126"/>
      <c r="AZ745" s="126"/>
      <c r="BA745" s="126"/>
      <c r="BB745" s="21"/>
      <c r="BC745" s="21"/>
      <c r="BD745" s="21"/>
      <c r="BE745" s="21"/>
    </row>
    <row r="746" customFormat="false" ht="14.1" hidden="true" customHeight="true" outlineLevel="1" collapsed="false">
      <c r="A746" s="344" t="s">
        <v>402</v>
      </c>
      <c r="B746" s="276"/>
      <c r="C746" s="138"/>
      <c r="D746" s="138"/>
      <c r="E746" s="355"/>
      <c r="F746" s="138"/>
      <c r="G746" s="26"/>
      <c r="H746" s="26"/>
      <c r="I746" s="26"/>
      <c r="J746" s="150"/>
      <c r="K746" s="150"/>
      <c r="L746" s="150"/>
      <c r="M746" s="220"/>
      <c r="N746" s="150"/>
      <c r="O746" s="150"/>
      <c r="P746" s="150"/>
      <c r="Q746" s="150"/>
      <c r="R746" s="150"/>
      <c r="S746" s="26"/>
      <c r="T746" s="26"/>
      <c r="U746" s="26"/>
      <c r="V746" s="26"/>
      <c r="W746" s="26"/>
      <c r="X746" s="26"/>
      <c r="Y746" s="26"/>
      <c r="Z746" s="26"/>
      <c r="AA746" s="26"/>
      <c r="AB746" s="26"/>
      <c r="AC746" s="26"/>
      <c r="AD746" s="26"/>
      <c r="AE746" s="26"/>
      <c r="AF746" s="26"/>
      <c r="AG746" s="26"/>
      <c r="AH746" s="35"/>
      <c r="AI746" s="35"/>
      <c r="AJ746" s="35"/>
      <c r="AK746" s="35"/>
      <c r="AL746" s="35"/>
      <c r="AM746" s="35"/>
      <c r="AN746" s="35"/>
      <c r="AO746" s="253"/>
      <c r="AP746" s="253"/>
      <c r="AQ746" s="156"/>
      <c r="AR746" s="156"/>
      <c r="AS746" s="106"/>
      <c r="AT746" s="106"/>
      <c r="AU746" s="106"/>
      <c r="AV746" s="106"/>
      <c r="AW746" s="126"/>
      <c r="AX746" s="126"/>
      <c r="AY746" s="126"/>
      <c r="AZ746" s="126"/>
      <c r="BA746" s="126"/>
      <c r="BB746" s="21"/>
      <c r="BC746" s="21"/>
      <c r="BD746" s="21"/>
      <c r="BE746" s="21"/>
    </row>
    <row r="747" customFormat="false" ht="14.1" hidden="true" customHeight="true" outlineLevel="1" collapsed="false">
      <c r="A747" s="345" t="s">
        <v>403</v>
      </c>
      <c r="B747" s="235"/>
      <c r="C747" s="138"/>
      <c r="D747" s="138"/>
      <c r="E747" s="355"/>
      <c r="F747" s="138"/>
      <c r="G747" s="26"/>
      <c r="H747" s="26"/>
      <c r="I747" s="26"/>
      <c r="J747" s="150"/>
      <c r="K747" s="150"/>
      <c r="L747" s="150"/>
      <c r="M747" s="220"/>
      <c r="N747" s="150"/>
      <c r="O747" s="150"/>
      <c r="P747" s="150"/>
      <c r="Q747" s="150"/>
      <c r="R747" s="150"/>
      <c r="S747" s="26"/>
      <c r="T747" s="26"/>
      <c r="U747" s="26"/>
      <c r="V747" s="26"/>
      <c r="W747" s="26"/>
      <c r="X747" s="26"/>
      <c r="Y747" s="26"/>
      <c r="Z747" s="26"/>
      <c r="AA747" s="26"/>
      <c r="AB747" s="26"/>
      <c r="AC747" s="26"/>
      <c r="AD747" s="26"/>
      <c r="AE747" s="26"/>
      <c r="AF747" s="26"/>
      <c r="AG747" s="26"/>
      <c r="AH747" s="35"/>
      <c r="AI747" s="35"/>
      <c r="AJ747" s="35"/>
      <c r="AK747" s="35"/>
      <c r="AL747" s="35"/>
      <c r="AM747" s="35"/>
      <c r="AN747" s="35"/>
      <c r="AO747" s="253"/>
      <c r="AP747" s="253"/>
      <c r="AQ747" s="156"/>
      <c r="AR747" s="156"/>
      <c r="AS747" s="106"/>
      <c r="AT747" s="106"/>
      <c r="AU747" s="106"/>
      <c r="AV747" s="106"/>
      <c r="AW747" s="126"/>
      <c r="AX747" s="126"/>
      <c r="AY747" s="126"/>
      <c r="AZ747" s="126"/>
      <c r="BA747" s="126"/>
      <c r="BB747" s="21"/>
      <c r="BC747" s="21"/>
      <c r="BD747" s="21"/>
      <c r="BE747" s="21"/>
    </row>
    <row r="748" customFormat="false" ht="14.1" hidden="true" customHeight="true" outlineLevel="1" collapsed="false">
      <c r="A748" s="346" t="s">
        <v>404</v>
      </c>
      <c r="B748" s="347" t="s">
        <v>44</v>
      </c>
      <c r="C748" s="138"/>
      <c r="D748" s="138"/>
      <c r="E748" s="355"/>
      <c r="F748" s="138"/>
      <c r="G748" s="26"/>
      <c r="H748" s="26"/>
      <c r="I748" s="26"/>
      <c r="J748" s="150"/>
      <c r="K748" s="150"/>
      <c r="L748" s="150"/>
      <c r="M748" s="220"/>
      <c r="N748" s="150"/>
      <c r="O748" s="150"/>
      <c r="P748" s="150"/>
      <c r="Q748" s="150"/>
      <c r="R748" s="150"/>
      <c r="S748" s="26"/>
      <c r="T748" s="26"/>
      <c r="U748" s="26"/>
      <c r="V748" s="26"/>
      <c r="W748" s="26"/>
      <c r="X748" s="26"/>
      <c r="Y748" s="26"/>
      <c r="Z748" s="26"/>
      <c r="AA748" s="26"/>
      <c r="AB748" s="26"/>
      <c r="AC748" s="26"/>
      <c r="AD748" s="26"/>
      <c r="AE748" s="26"/>
      <c r="AF748" s="26"/>
      <c r="AG748" s="26"/>
      <c r="AH748" s="35"/>
      <c r="AI748" s="35"/>
      <c r="AJ748" s="35"/>
      <c r="AK748" s="35"/>
      <c r="AL748" s="35"/>
      <c r="AM748" s="35"/>
      <c r="AN748" s="35"/>
      <c r="AO748" s="253"/>
      <c r="AP748" s="253"/>
      <c r="AQ748" s="156"/>
      <c r="AR748" s="156"/>
      <c r="AS748" s="106"/>
      <c r="AT748" s="106"/>
      <c r="AU748" s="106"/>
      <c r="AV748" s="106"/>
      <c r="AW748" s="126"/>
      <c r="AX748" s="126"/>
      <c r="AY748" s="126"/>
      <c r="AZ748" s="126"/>
      <c r="BA748" s="126"/>
      <c r="BB748" s="21"/>
      <c r="BC748" s="21"/>
      <c r="BD748" s="21"/>
      <c r="BE748" s="21"/>
    </row>
    <row r="749" customFormat="false" ht="14.1" hidden="true" customHeight="true" outlineLevel="1" collapsed="false">
      <c r="A749" s="348" t="s">
        <v>405</v>
      </c>
      <c r="B749" s="347" t="s">
        <v>44</v>
      </c>
      <c r="C749" s="138"/>
      <c r="D749" s="138"/>
      <c r="E749" s="355"/>
      <c r="F749" s="138"/>
      <c r="G749" s="26"/>
      <c r="H749" s="26"/>
      <c r="I749" s="26"/>
      <c r="J749" s="150"/>
      <c r="K749" s="150"/>
      <c r="L749" s="150"/>
      <c r="M749" s="220"/>
      <c r="N749" s="150"/>
      <c r="O749" s="150"/>
      <c r="P749" s="150"/>
      <c r="Q749" s="150"/>
      <c r="R749" s="150"/>
      <c r="S749" s="26"/>
      <c r="T749" s="26"/>
      <c r="U749" s="26"/>
      <c r="V749" s="26"/>
      <c r="W749" s="26"/>
      <c r="X749" s="26"/>
      <c r="Y749" s="26"/>
      <c r="Z749" s="26"/>
      <c r="AA749" s="26"/>
      <c r="AB749" s="26"/>
      <c r="AC749" s="26"/>
      <c r="AD749" s="26"/>
      <c r="AE749" s="26"/>
      <c r="AF749" s="26"/>
      <c r="AG749" s="26"/>
      <c r="AH749" s="35"/>
      <c r="AI749" s="35"/>
      <c r="AJ749" s="35"/>
      <c r="AK749" s="35"/>
      <c r="AL749" s="35"/>
      <c r="AM749" s="35"/>
      <c r="AN749" s="35"/>
      <c r="AO749" s="253"/>
      <c r="AP749" s="253"/>
      <c r="AQ749" s="156"/>
      <c r="AR749" s="156"/>
      <c r="AS749" s="106"/>
      <c r="AT749" s="106"/>
      <c r="AU749" s="106"/>
      <c r="AV749" s="106"/>
      <c r="AW749" s="126"/>
      <c r="AX749" s="126"/>
      <c r="AY749" s="126"/>
      <c r="AZ749" s="126"/>
      <c r="BA749" s="126"/>
      <c r="BB749" s="21"/>
      <c r="BC749" s="21"/>
      <c r="BD749" s="21"/>
      <c r="BE749" s="21"/>
    </row>
    <row r="750" customFormat="false" ht="14.1" hidden="true" customHeight="true" outlineLevel="1" collapsed="false">
      <c r="A750" s="348" t="s">
        <v>406</v>
      </c>
      <c r="B750" s="347" t="s">
        <v>44</v>
      </c>
      <c r="C750" s="138"/>
      <c r="D750" s="138"/>
      <c r="E750" s="355"/>
      <c r="F750" s="138"/>
      <c r="G750" s="26"/>
      <c r="H750" s="26"/>
      <c r="I750" s="26"/>
      <c r="J750" s="150"/>
      <c r="K750" s="150"/>
      <c r="L750" s="150"/>
      <c r="M750" s="220"/>
      <c r="N750" s="150"/>
      <c r="O750" s="150"/>
      <c r="P750" s="150"/>
      <c r="Q750" s="150"/>
      <c r="R750" s="150"/>
      <c r="S750" s="26"/>
      <c r="T750" s="26"/>
      <c r="U750" s="26"/>
      <c r="V750" s="26"/>
      <c r="W750" s="26"/>
      <c r="X750" s="26"/>
      <c r="Y750" s="26"/>
      <c r="Z750" s="26"/>
      <c r="AA750" s="26"/>
      <c r="AB750" s="26"/>
      <c r="AC750" s="26"/>
      <c r="AD750" s="26"/>
      <c r="AE750" s="26"/>
      <c r="AF750" s="26"/>
      <c r="AG750" s="26"/>
      <c r="AH750" s="35"/>
      <c r="AI750" s="35"/>
      <c r="AJ750" s="35"/>
      <c r="AK750" s="35"/>
      <c r="AL750" s="35"/>
      <c r="AM750" s="35"/>
      <c r="AN750" s="35"/>
      <c r="AO750" s="253"/>
      <c r="AP750" s="253"/>
      <c r="AQ750" s="156"/>
      <c r="AR750" s="156"/>
      <c r="AS750" s="106"/>
      <c r="AT750" s="106"/>
      <c r="AU750" s="106"/>
      <c r="AV750" s="106"/>
      <c r="AW750" s="126"/>
      <c r="AX750" s="126"/>
      <c r="AY750" s="126"/>
      <c r="AZ750" s="126"/>
      <c r="BA750" s="126"/>
      <c r="BB750" s="21"/>
      <c r="BC750" s="21"/>
      <c r="BD750" s="21"/>
      <c r="BE750" s="21"/>
    </row>
    <row r="751" customFormat="false" ht="14.1" hidden="true" customHeight="true" outlineLevel="1" collapsed="false">
      <c r="A751" s="139" t="s">
        <v>407</v>
      </c>
      <c r="B751" s="349" t="s">
        <v>44</v>
      </c>
      <c r="C751" s="138"/>
      <c r="D751" s="138"/>
      <c r="E751" s="355"/>
      <c r="F751" s="340" t="s">
        <v>453</v>
      </c>
      <c r="G751" s="340"/>
      <c r="H751" s="26"/>
      <c r="I751" s="26"/>
      <c r="J751" s="150"/>
      <c r="K751" s="150"/>
      <c r="L751" s="150"/>
      <c r="M751" s="220"/>
      <c r="N751" s="150"/>
      <c r="O751" s="150"/>
      <c r="P751" s="150"/>
      <c r="Q751" s="150"/>
      <c r="R751" s="150"/>
      <c r="S751" s="26"/>
      <c r="T751" s="26"/>
      <c r="U751" s="26"/>
      <c r="V751" s="26"/>
      <c r="W751" s="26"/>
      <c r="X751" s="26"/>
      <c r="Y751" s="26"/>
      <c r="Z751" s="26"/>
      <c r="AA751" s="26"/>
      <c r="AB751" s="26"/>
      <c r="AC751" s="26"/>
      <c r="AD751" s="26"/>
      <c r="AE751" s="26"/>
      <c r="AF751" s="26"/>
      <c r="AG751" s="26"/>
      <c r="AH751" s="35"/>
      <c r="AI751" s="35"/>
      <c r="AJ751" s="35"/>
      <c r="AK751" s="35"/>
      <c r="AL751" s="35"/>
      <c r="AM751" s="35"/>
      <c r="AN751" s="35"/>
      <c r="AO751" s="253"/>
      <c r="AP751" s="253"/>
      <c r="AQ751" s="156"/>
      <c r="AR751" s="156"/>
      <c r="AS751" s="106"/>
      <c r="AT751" s="106"/>
      <c r="AU751" s="106"/>
      <c r="AV751" s="106"/>
      <c r="AW751" s="126"/>
      <c r="AX751" s="126"/>
      <c r="AY751" s="126"/>
      <c r="AZ751" s="126"/>
      <c r="BA751" s="126"/>
      <c r="BB751" s="21"/>
      <c r="BC751" s="21"/>
      <c r="BD751" s="21"/>
      <c r="BE751" s="21"/>
    </row>
    <row r="752" customFormat="false" ht="14.1" hidden="true" customHeight="true" outlineLevel="1" collapsed="false">
      <c r="A752" s="138"/>
      <c r="B752" s="138"/>
      <c r="C752" s="138"/>
      <c r="D752" s="138"/>
      <c r="E752" s="355"/>
      <c r="F752" s="340"/>
      <c r="G752" s="340"/>
      <c r="H752" s="26"/>
      <c r="I752" s="26"/>
      <c r="J752" s="150"/>
      <c r="K752" s="150"/>
      <c r="L752" s="150"/>
      <c r="M752" s="220"/>
      <c r="N752" s="150"/>
      <c r="O752" s="150"/>
      <c r="P752" s="150"/>
      <c r="Q752" s="150"/>
      <c r="R752" s="150"/>
      <c r="S752" s="26"/>
      <c r="T752" s="26"/>
      <c r="U752" s="26"/>
      <c r="V752" s="26"/>
      <c r="W752" s="26"/>
      <c r="X752" s="26"/>
      <c r="Y752" s="26"/>
      <c r="Z752" s="26"/>
      <c r="AA752" s="26"/>
      <c r="AB752" s="26"/>
      <c r="AC752" s="26"/>
      <c r="AD752" s="26"/>
      <c r="AE752" s="26"/>
      <c r="AF752" s="26"/>
      <c r="AG752" s="26"/>
      <c r="AH752" s="35"/>
      <c r="AI752" s="35"/>
      <c r="AJ752" s="35"/>
      <c r="AK752" s="35"/>
      <c r="AL752" s="35"/>
      <c r="AM752" s="35"/>
      <c r="AN752" s="35"/>
      <c r="AO752" s="253"/>
      <c r="AP752" s="253"/>
      <c r="AQ752" s="156"/>
      <c r="AR752" s="156"/>
      <c r="AS752" s="106"/>
      <c r="AT752" s="106"/>
      <c r="AU752" s="106"/>
      <c r="AV752" s="106"/>
      <c r="AW752" s="126"/>
      <c r="AX752" s="126"/>
      <c r="AY752" s="126"/>
      <c r="AZ752" s="126"/>
      <c r="BA752" s="126"/>
      <c r="BB752" s="21"/>
      <c r="BC752" s="21"/>
      <c r="BD752" s="21"/>
      <c r="BE752" s="21"/>
    </row>
    <row r="753" customFormat="false" ht="14.1" hidden="true" customHeight="true" outlineLevel="1" collapsed="false">
      <c r="A753" s="138"/>
      <c r="B753" s="138"/>
      <c r="C753" s="138"/>
      <c r="D753" s="138"/>
      <c r="E753" s="355"/>
      <c r="F753" s="340"/>
      <c r="G753" s="340"/>
      <c r="H753" s="26"/>
      <c r="I753" s="26"/>
      <c r="J753" s="150"/>
      <c r="K753" s="150"/>
      <c r="L753" s="150"/>
      <c r="M753" s="220"/>
      <c r="N753" s="150"/>
      <c r="O753" s="150"/>
      <c r="P753" s="150"/>
      <c r="Q753" s="150"/>
      <c r="R753" s="150"/>
      <c r="S753" s="26"/>
      <c r="T753" s="26"/>
      <c r="U753" s="26"/>
      <c r="V753" s="26"/>
      <c r="W753" s="26"/>
      <c r="X753" s="26"/>
      <c r="Y753" s="26"/>
      <c r="Z753" s="26"/>
      <c r="AA753" s="26"/>
      <c r="AB753" s="26"/>
      <c r="AC753" s="26"/>
      <c r="AD753" s="26"/>
      <c r="AE753" s="26"/>
      <c r="AF753" s="26"/>
      <c r="AG753" s="26"/>
      <c r="AH753" s="35"/>
      <c r="AI753" s="35"/>
      <c r="AJ753" s="35"/>
      <c r="AK753" s="35"/>
      <c r="AL753" s="35"/>
      <c r="AM753" s="35"/>
      <c r="AN753" s="35"/>
      <c r="AO753" s="253"/>
      <c r="AP753" s="253"/>
      <c r="AQ753" s="156"/>
      <c r="AR753" s="156"/>
      <c r="AS753" s="106"/>
      <c r="AT753" s="106"/>
      <c r="AU753" s="106"/>
      <c r="AV753" s="106"/>
      <c r="AW753" s="126"/>
      <c r="AX753" s="126"/>
      <c r="AY753" s="126"/>
      <c r="AZ753" s="126"/>
      <c r="BA753" s="126"/>
      <c r="BB753" s="21"/>
      <c r="BC753" s="21"/>
      <c r="BD753" s="21"/>
      <c r="BE753" s="21"/>
    </row>
    <row r="754" customFormat="false" ht="14.1" hidden="true" customHeight="true" outlineLevel="1" collapsed="false">
      <c r="A754" s="227" t="s">
        <v>411</v>
      </c>
      <c r="B754" s="235"/>
      <c r="C754" s="138"/>
      <c r="D754" s="138"/>
      <c r="E754" s="355"/>
      <c r="F754" s="340"/>
      <c r="G754" s="340"/>
      <c r="H754" s="26"/>
      <c r="I754" s="26"/>
      <c r="J754" s="150"/>
      <c r="K754" s="150"/>
      <c r="L754" s="150"/>
      <c r="M754" s="220"/>
      <c r="N754" s="150"/>
      <c r="O754" s="150"/>
      <c r="P754" s="150"/>
      <c r="Q754" s="150"/>
      <c r="R754" s="150"/>
      <c r="S754" s="26"/>
      <c r="T754" s="26"/>
      <c r="U754" s="26"/>
      <c r="V754" s="26"/>
      <c r="W754" s="26"/>
      <c r="X754" s="26"/>
      <c r="Y754" s="26"/>
      <c r="Z754" s="26"/>
      <c r="AA754" s="26"/>
      <c r="AB754" s="26"/>
      <c r="AC754" s="26"/>
      <c r="AD754" s="26"/>
      <c r="AE754" s="26"/>
      <c r="AF754" s="26"/>
      <c r="AG754" s="26"/>
      <c r="AH754" s="35"/>
      <c r="AI754" s="35"/>
      <c r="AJ754" s="35"/>
      <c r="AK754" s="35"/>
      <c r="AL754" s="35"/>
      <c r="AM754" s="35"/>
      <c r="AN754" s="35"/>
      <c r="AO754" s="253"/>
      <c r="AP754" s="253"/>
      <c r="AQ754" s="156"/>
      <c r="AR754" s="156"/>
      <c r="AS754" s="106"/>
      <c r="AT754" s="106"/>
      <c r="AU754" s="106"/>
      <c r="AV754" s="106"/>
      <c r="AW754" s="126"/>
      <c r="AX754" s="126"/>
      <c r="AY754" s="126"/>
      <c r="AZ754" s="126"/>
      <c r="BA754" s="126"/>
      <c r="BB754" s="21"/>
      <c r="BC754" s="21"/>
      <c r="BD754" s="21"/>
      <c r="BE754" s="21"/>
    </row>
    <row r="755" customFormat="false" ht="14.1" hidden="true" customHeight="true" outlineLevel="1" collapsed="false">
      <c r="A755" s="231" t="s">
        <v>447</v>
      </c>
      <c r="B755" s="235"/>
      <c r="C755" s="138"/>
      <c r="D755" s="138"/>
      <c r="E755" s="355"/>
      <c r="F755" s="340"/>
      <c r="G755" s="340"/>
      <c r="H755" s="26"/>
      <c r="I755" s="26"/>
      <c r="J755" s="150"/>
      <c r="K755" s="150"/>
      <c r="L755" s="150"/>
      <c r="M755" s="220"/>
      <c r="N755" s="150"/>
      <c r="O755" s="150"/>
      <c r="P755" s="150"/>
      <c r="Q755" s="150"/>
      <c r="R755" s="150"/>
      <c r="S755" s="26"/>
      <c r="T755" s="26"/>
      <c r="U755" s="26"/>
      <c r="V755" s="26"/>
      <c r="W755" s="26"/>
      <c r="X755" s="26"/>
      <c r="Y755" s="26"/>
      <c r="Z755" s="26"/>
      <c r="AA755" s="26"/>
      <c r="AB755" s="26"/>
      <c r="AC755" s="26"/>
      <c r="AD755" s="26"/>
      <c r="AE755" s="26"/>
      <c r="AF755" s="26"/>
      <c r="AG755" s="26"/>
      <c r="AH755" s="35"/>
      <c r="AI755" s="35"/>
      <c r="AJ755" s="35"/>
      <c r="AK755" s="35"/>
      <c r="AL755" s="35"/>
      <c r="AM755" s="35"/>
      <c r="AN755" s="35"/>
      <c r="AO755" s="253"/>
      <c r="AP755" s="253"/>
      <c r="AQ755" s="156"/>
      <c r="AR755" s="156"/>
      <c r="AS755" s="106"/>
      <c r="AT755" s="106"/>
      <c r="AU755" s="106"/>
      <c r="AV755" s="106"/>
      <c r="AW755" s="126"/>
      <c r="AX755" s="126"/>
      <c r="AY755" s="126"/>
      <c r="AZ755" s="126"/>
      <c r="BA755" s="126"/>
      <c r="BB755" s="21"/>
      <c r="BC755" s="21"/>
      <c r="BD755" s="21"/>
      <c r="BE755" s="21"/>
    </row>
    <row r="756" customFormat="false" ht="14.1" hidden="true" customHeight="true" outlineLevel="1" collapsed="false">
      <c r="A756" s="227" t="s">
        <v>454</v>
      </c>
      <c r="B756" s="235"/>
      <c r="C756" s="138"/>
      <c r="D756" s="138"/>
      <c r="E756" s="355"/>
      <c r="F756" s="355"/>
      <c r="G756" s="26"/>
      <c r="H756" s="26"/>
      <c r="I756" s="26"/>
      <c r="J756" s="150"/>
      <c r="K756" s="150"/>
      <c r="L756" s="150"/>
      <c r="M756" s="220"/>
      <c r="N756" s="150"/>
      <c r="O756" s="150"/>
      <c r="P756" s="150"/>
      <c r="Q756" s="150"/>
      <c r="R756" s="150"/>
      <c r="S756" s="26"/>
      <c r="T756" s="26"/>
      <c r="U756" s="26"/>
      <c r="V756" s="26"/>
      <c r="W756" s="26"/>
      <c r="X756" s="26"/>
      <c r="Y756" s="26"/>
      <c r="Z756" s="26"/>
      <c r="AA756" s="26"/>
      <c r="AB756" s="26"/>
      <c r="AC756" s="26"/>
      <c r="AD756" s="26"/>
      <c r="AE756" s="26"/>
      <c r="AF756" s="26"/>
      <c r="AG756" s="26"/>
      <c r="AH756" s="35"/>
      <c r="AI756" s="35"/>
      <c r="AJ756" s="35"/>
      <c r="AK756" s="35"/>
      <c r="AL756" s="35"/>
      <c r="AM756" s="35"/>
      <c r="AN756" s="35"/>
      <c r="AO756" s="253"/>
      <c r="AP756" s="253"/>
      <c r="AQ756" s="156"/>
      <c r="AR756" s="156"/>
      <c r="AS756" s="106"/>
      <c r="AT756" s="106"/>
      <c r="AU756" s="106"/>
      <c r="AV756" s="106"/>
      <c r="AW756" s="126"/>
      <c r="AX756" s="126"/>
      <c r="AY756" s="126"/>
      <c r="AZ756" s="126"/>
      <c r="BA756" s="126"/>
      <c r="BB756" s="21"/>
      <c r="BC756" s="21"/>
      <c r="BD756" s="21"/>
      <c r="BE756" s="21"/>
    </row>
    <row r="757" customFormat="false" ht="14.1" hidden="true" customHeight="true" outlineLevel="1" collapsed="false">
      <c r="A757" s="231" t="s">
        <v>448</v>
      </c>
      <c r="B757" s="235"/>
      <c r="C757" s="138"/>
      <c r="D757" s="138"/>
      <c r="E757" s="355"/>
      <c r="F757" s="355"/>
      <c r="G757" s="26"/>
      <c r="H757" s="26"/>
      <c r="I757" s="26"/>
      <c r="J757" s="150"/>
      <c r="K757" s="150"/>
      <c r="L757" s="150"/>
      <c r="M757" s="220"/>
      <c r="N757" s="150"/>
      <c r="O757" s="150"/>
      <c r="P757" s="150"/>
      <c r="Q757" s="150"/>
      <c r="R757" s="150"/>
      <c r="S757" s="26"/>
      <c r="T757" s="26"/>
      <c r="U757" s="26"/>
      <c r="V757" s="26"/>
      <c r="W757" s="26"/>
      <c r="X757" s="26"/>
      <c r="Y757" s="26"/>
      <c r="Z757" s="26"/>
      <c r="AA757" s="26"/>
      <c r="AB757" s="26"/>
      <c r="AC757" s="26"/>
      <c r="AD757" s="26"/>
      <c r="AE757" s="26"/>
      <c r="AF757" s="26"/>
      <c r="AG757" s="26"/>
      <c r="AH757" s="35"/>
      <c r="AI757" s="35"/>
      <c r="AJ757" s="35"/>
      <c r="AK757" s="35"/>
      <c r="AL757" s="35"/>
      <c r="AM757" s="35"/>
      <c r="AN757" s="35"/>
      <c r="AO757" s="253"/>
      <c r="AP757" s="253"/>
      <c r="AQ757" s="156"/>
      <c r="AR757" s="156"/>
      <c r="AS757" s="106"/>
      <c r="AT757" s="106"/>
      <c r="AU757" s="106"/>
      <c r="AV757" s="106"/>
      <c r="AW757" s="126"/>
      <c r="AX757" s="126"/>
      <c r="AY757" s="126"/>
      <c r="AZ757" s="126"/>
      <c r="BA757" s="126"/>
      <c r="BB757" s="21"/>
      <c r="BC757" s="21"/>
      <c r="BD757" s="21"/>
      <c r="BE757" s="21"/>
    </row>
    <row r="758" customFormat="false" ht="14.1" hidden="true" customHeight="true" outlineLevel="1" collapsed="false">
      <c r="A758" s="138" t="s">
        <v>455</v>
      </c>
      <c r="B758" s="235"/>
      <c r="C758" s="138"/>
      <c r="D758" s="138"/>
      <c r="E758" s="355"/>
      <c r="F758" s="355"/>
      <c r="G758" s="26"/>
      <c r="H758" s="26"/>
      <c r="I758" s="26"/>
      <c r="J758" s="150"/>
      <c r="K758" s="150"/>
      <c r="L758" s="150"/>
      <c r="M758" s="220"/>
      <c r="N758" s="150"/>
      <c r="O758" s="150"/>
      <c r="P758" s="150"/>
      <c r="Q758" s="150"/>
      <c r="R758" s="150"/>
      <c r="S758" s="26"/>
      <c r="T758" s="26"/>
      <c r="U758" s="26"/>
      <c r="V758" s="26"/>
      <c r="W758" s="26"/>
      <c r="X758" s="26"/>
      <c r="Y758" s="26"/>
      <c r="Z758" s="26"/>
      <c r="AA758" s="26"/>
      <c r="AB758" s="26"/>
      <c r="AC758" s="26"/>
      <c r="AD758" s="26"/>
      <c r="AE758" s="26"/>
      <c r="AF758" s="26"/>
      <c r="AG758" s="26"/>
      <c r="AH758" s="35"/>
      <c r="AI758" s="35"/>
      <c r="AJ758" s="35"/>
      <c r="AK758" s="35"/>
      <c r="AL758" s="35"/>
      <c r="AM758" s="35"/>
      <c r="AN758" s="35"/>
      <c r="AO758" s="253"/>
      <c r="AP758" s="253"/>
      <c r="AQ758" s="156"/>
      <c r="AR758" s="156"/>
      <c r="AS758" s="106"/>
      <c r="AT758" s="106"/>
      <c r="AU758" s="106"/>
      <c r="AV758" s="106"/>
      <c r="AW758" s="126"/>
      <c r="AX758" s="126"/>
      <c r="AY758" s="126"/>
      <c r="AZ758" s="126"/>
      <c r="BA758" s="126"/>
      <c r="BB758" s="21"/>
      <c r="BC758" s="21"/>
      <c r="BD758" s="21"/>
      <c r="BE758" s="21"/>
    </row>
    <row r="759" customFormat="false" ht="14.1" hidden="true" customHeight="true" outlineLevel="1" collapsed="false">
      <c r="A759" s="231" t="s">
        <v>456</v>
      </c>
      <c r="B759" s="235"/>
      <c r="C759" s="138"/>
      <c r="D759" s="138"/>
      <c r="E759" s="355"/>
      <c r="F759" s="355"/>
      <c r="G759" s="26"/>
      <c r="H759" s="26"/>
      <c r="I759" s="26"/>
      <c r="J759" s="150"/>
      <c r="K759" s="150"/>
      <c r="L759" s="150"/>
      <c r="M759" s="220"/>
      <c r="N759" s="150"/>
      <c r="O759" s="150"/>
      <c r="P759" s="150"/>
      <c r="Q759" s="150"/>
      <c r="R759" s="150"/>
      <c r="S759" s="26"/>
      <c r="T759" s="26"/>
      <c r="U759" s="26"/>
      <c r="V759" s="26"/>
      <c r="W759" s="26"/>
      <c r="X759" s="26"/>
      <c r="Y759" s="26"/>
      <c r="Z759" s="26"/>
      <c r="AA759" s="26"/>
      <c r="AB759" s="26"/>
      <c r="AC759" s="26"/>
      <c r="AD759" s="26"/>
      <c r="AE759" s="26"/>
      <c r="AF759" s="26"/>
      <c r="AG759" s="26"/>
      <c r="AH759" s="35"/>
      <c r="AI759" s="35"/>
      <c r="AJ759" s="35"/>
      <c r="AK759" s="35"/>
      <c r="AL759" s="35"/>
      <c r="AM759" s="35"/>
      <c r="AN759" s="35"/>
      <c r="AO759" s="253"/>
      <c r="AP759" s="253"/>
      <c r="AQ759" s="156"/>
      <c r="AR759" s="156"/>
      <c r="AS759" s="106"/>
      <c r="AT759" s="106"/>
      <c r="AU759" s="106"/>
      <c r="AV759" s="106"/>
      <c r="AW759" s="126"/>
      <c r="AX759" s="126"/>
      <c r="AY759" s="126"/>
      <c r="AZ759" s="126"/>
      <c r="BA759" s="126"/>
      <c r="BB759" s="21"/>
      <c r="BC759" s="21"/>
      <c r="BD759" s="21"/>
      <c r="BE759" s="21"/>
    </row>
    <row r="760" customFormat="false" ht="14.1" hidden="true" customHeight="true" outlineLevel="1" collapsed="false">
      <c r="A760" s="138"/>
      <c r="B760" s="235"/>
      <c r="C760" s="138"/>
      <c r="D760" s="138"/>
      <c r="E760" s="355"/>
      <c r="F760" s="355"/>
      <c r="G760" s="26"/>
      <c r="H760" s="26"/>
      <c r="I760" s="26"/>
      <c r="J760" s="150"/>
      <c r="K760" s="150"/>
      <c r="L760" s="150"/>
      <c r="M760" s="220"/>
      <c r="N760" s="150"/>
      <c r="O760" s="150"/>
      <c r="P760" s="150"/>
      <c r="Q760" s="150"/>
      <c r="R760" s="150"/>
      <c r="S760" s="26"/>
      <c r="T760" s="26"/>
      <c r="U760" s="26"/>
      <c r="V760" s="26"/>
      <c r="W760" s="26"/>
      <c r="X760" s="26"/>
      <c r="Y760" s="26"/>
      <c r="Z760" s="26"/>
      <c r="AA760" s="26"/>
      <c r="AB760" s="26"/>
      <c r="AC760" s="26"/>
      <c r="AD760" s="26"/>
      <c r="AE760" s="26"/>
      <c r="AF760" s="26"/>
      <c r="AG760" s="26"/>
      <c r="AH760" s="35"/>
      <c r="AI760" s="35"/>
      <c r="AJ760" s="35"/>
      <c r="AK760" s="35"/>
      <c r="AL760" s="35"/>
      <c r="AM760" s="35"/>
      <c r="AN760" s="35"/>
      <c r="AO760" s="253"/>
      <c r="AP760" s="253"/>
      <c r="AQ760" s="156"/>
      <c r="AR760" s="156"/>
      <c r="AS760" s="106"/>
      <c r="AT760" s="106"/>
      <c r="AU760" s="106"/>
      <c r="AV760" s="106"/>
      <c r="AW760" s="126"/>
      <c r="AX760" s="126"/>
      <c r="AY760" s="126"/>
      <c r="AZ760" s="126"/>
      <c r="BA760" s="126"/>
      <c r="BB760" s="21"/>
      <c r="BC760" s="21"/>
      <c r="BD760" s="21"/>
      <c r="BE760" s="21"/>
    </row>
    <row r="761" customFormat="false" ht="14.1" hidden="true" customHeight="true" outlineLevel="1" collapsed="false">
      <c r="A761" s="360" t="s">
        <v>426</v>
      </c>
      <c r="B761" s="360"/>
      <c r="C761" s="360"/>
      <c r="D761" s="138"/>
      <c r="E761" s="355"/>
      <c r="F761" s="355"/>
      <c r="G761" s="26"/>
      <c r="H761" s="26"/>
      <c r="I761" s="150"/>
      <c r="J761" s="150"/>
      <c r="K761" s="150"/>
      <c r="L761" s="220"/>
      <c r="M761" s="150"/>
      <c r="N761" s="150"/>
      <c r="O761" s="150"/>
      <c r="P761" s="150"/>
      <c r="Q761" s="150"/>
      <c r="R761" s="26"/>
      <c r="S761" s="26"/>
      <c r="T761" s="26"/>
      <c r="U761" s="26"/>
      <c r="V761" s="26"/>
      <c r="W761" s="26"/>
      <c r="X761" s="26"/>
      <c r="Y761" s="26"/>
      <c r="Z761" s="26"/>
      <c r="AA761" s="26"/>
      <c r="AB761" s="26"/>
      <c r="AC761" s="26"/>
      <c r="AD761" s="26"/>
      <c r="AE761" s="26"/>
      <c r="AF761" s="26"/>
      <c r="AG761" s="26"/>
      <c r="AH761" s="35"/>
      <c r="AI761" s="35"/>
      <c r="AJ761" s="35"/>
      <c r="AK761" s="35"/>
      <c r="AL761" s="35"/>
      <c r="AM761" s="35"/>
      <c r="AN761" s="35"/>
      <c r="AO761" s="253"/>
      <c r="AP761" s="253"/>
      <c r="AQ761" s="156"/>
      <c r="AR761" s="156"/>
      <c r="AS761" s="106"/>
      <c r="AT761" s="106"/>
      <c r="AU761" s="106"/>
      <c r="AV761" s="106"/>
      <c r="AW761" s="126"/>
      <c r="AX761" s="126"/>
      <c r="AY761" s="126"/>
      <c r="AZ761" s="126"/>
      <c r="BA761" s="126"/>
      <c r="BB761" s="21"/>
      <c r="BC761" s="21"/>
      <c r="BD761" s="21"/>
      <c r="BE761" s="21"/>
    </row>
    <row r="762" customFormat="false" ht="14.1" hidden="true" customHeight="true" outlineLevel="1" collapsed="false">
      <c r="A762" s="139" t="s">
        <v>427</v>
      </c>
      <c r="B762" s="148" t="s">
        <v>48</v>
      </c>
      <c r="C762" s="130" t="n">
        <v>6</v>
      </c>
      <c r="D762" s="138"/>
      <c r="E762" s="355"/>
      <c r="F762" s="355"/>
      <c r="G762" s="26"/>
      <c r="H762" s="26"/>
      <c r="I762" s="150"/>
      <c r="J762" s="150"/>
      <c r="K762" s="150"/>
      <c r="L762" s="220"/>
      <c r="M762" s="150"/>
      <c r="N762" s="150"/>
      <c r="O762" s="150"/>
      <c r="P762" s="150"/>
      <c r="Q762" s="150"/>
      <c r="R762" s="26"/>
      <c r="S762" s="26"/>
      <c r="T762" s="26"/>
      <c r="U762" s="26"/>
      <c r="V762" s="26"/>
      <c r="W762" s="26"/>
      <c r="X762" s="26"/>
      <c r="Y762" s="26"/>
      <c r="Z762" s="26"/>
      <c r="AA762" s="26"/>
      <c r="AB762" s="26"/>
      <c r="AC762" s="26"/>
      <c r="AD762" s="26"/>
      <c r="AE762" s="26"/>
      <c r="AF762" s="26"/>
      <c r="AG762" s="26"/>
      <c r="AH762" s="35"/>
      <c r="AI762" s="35"/>
      <c r="AJ762" s="35"/>
      <c r="AK762" s="35"/>
      <c r="AL762" s="35"/>
      <c r="AM762" s="35"/>
      <c r="AN762" s="35"/>
      <c r="AO762" s="253"/>
      <c r="AP762" s="253"/>
      <c r="AQ762" s="156"/>
      <c r="AR762" s="156"/>
      <c r="AS762" s="106"/>
      <c r="AT762" s="106"/>
      <c r="AU762" s="106"/>
      <c r="AV762" s="106"/>
      <c r="AW762" s="126"/>
      <c r="AX762" s="126"/>
      <c r="AY762" s="126"/>
      <c r="AZ762" s="126"/>
      <c r="BA762" s="126"/>
      <c r="BB762" s="21"/>
      <c r="BC762" s="21"/>
      <c r="BD762" s="21"/>
      <c r="BE762" s="21"/>
    </row>
    <row r="763" customFormat="false" ht="14.1" hidden="true" customHeight="true" outlineLevel="1" collapsed="false">
      <c r="A763" s="139" t="s">
        <v>428</v>
      </c>
      <c r="B763" s="148" t="s">
        <v>48</v>
      </c>
      <c r="C763" s="130"/>
      <c r="D763" s="138"/>
      <c r="E763" s="355"/>
      <c r="F763" s="355"/>
      <c r="G763" s="26"/>
      <c r="H763" s="26"/>
      <c r="I763" s="150"/>
      <c r="J763" s="150"/>
      <c r="K763" s="150"/>
      <c r="L763" s="220"/>
      <c r="M763" s="150"/>
      <c r="N763" s="150"/>
      <c r="O763" s="150"/>
      <c r="P763" s="150"/>
      <c r="Q763" s="150"/>
      <c r="R763" s="26"/>
      <c r="S763" s="26"/>
      <c r="T763" s="26"/>
      <c r="U763" s="26"/>
      <c r="V763" s="26"/>
      <c r="W763" s="26"/>
      <c r="X763" s="26"/>
      <c r="Y763" s="26"/>
      <c r="Z763" s="26"/>
      <c r="AA763" s="26"/>
      <c r="AB763" s="26"/>
      <c r="AC763" s="26"/>
      <c r="AD763" s="26"/>
      <c r="AE763" s="26"/>
      <c r="AF763" s="26"/>
      <c r="AG763" s="26"/>
      <c r="AH763" s="35"/>
      <c r="AI763" s="35"/>
      <c r="AJ763" s="35"/>
      <c r="AK763" s="35"/>
      <c r="AL763" s="35"/>
      <c r="AM763" s="35"/>
      <c r="AN763" s="35"/>
      <c r="AO763" s="253"/>
      <c r="AP763" s="253"/>
      <c r="AQ763" s="156"/>
      <c r="AR763" s="156"/>
      <c r="AS763" s="106"/>
      <c r="AT763" s="106"/>
      <c r="AU763" s="106"/>
      <c r="AV763" s="106"/>
      <c r="AW763" s="126"/>
      <c r="AX763" s="126"/>
      <c r="AY763" s="126"/>
      <c r="AZ763" s="126"/>
      <c r="BA763" s="126"/>
      <c r="BB763" s="21"/>
      <c r="BC763" s="21"/>
      <c r="BD763" s="21"/>
      <c r="BE763" s="21"/>
    </row>
    <row r="764" customFormat="false" ht="14.1" hidden="true" customHeight="true" outlineLevel="1" collapsed="false">
      <c r="A764" s="139" t="s">
        <v>429</v>
      </c>
      <c r="B764" s="148" t="s">
        <v>48</v>
      </c>
      <c r="C764" s="130" t="n">
        <v>2</v>
      </c>
      <c r="D764" s="138"/>
      <c r="E764" s="355"/>
      <c r="F764" s="355"/>
      <c r="G764" s="26"/>
      <c r="H764" s="26"/>
      <c r="I764" s="150"/>
      <c r="J764" s="150"/>
      <c r="K764" s="150"/>
      <c r="L764" s="220"/>
      <c r="M764" s="150"/>
      <c r="N764" s="150"/>
      <c r="O764" s="150"/>
      <c r="P764" s="150"/>
      <c r="Q764" s="150"/>
      <c r="R764" s="26"/>
      <c r="S764" s="26"/>
      <c r="T764" s="26"/>
      <c r="U764" s="26"/>
      <c r="V764" s="26"/>
      <c r="W764" s="26"/>
      <c r="X764" s="26"/>
      <c r="Y764" s="26"/>
      <c r="Z764" s="26"/>
      <c r="AA764" s="26"/>
      <c r="AB764" s="26"/>
      <c r="AC764" s="26"/>
      <c r="AD764" s="26"/>
      <c r="AE764" s="26"/>
      <c r="AF764" s="26"/>
      <c r="AG764" s="26"/>
      <c r="AH764" s="35"/>
      <c r="AI764" s="35"/>
      <c r="AJ764" s="35"/>
      <c r="AK764" s="35"/>
      <c r="AL764" s="35"/>
      <c r="AM764" s="35"/>
      <c r="AN764" s="35"/>
      <c r="AO764" s="253"/>
      <c r="AP764" s="253"/>
      <c r="AQ764" s="156"/>
      <c r="AR764" s="156"/>
      <c r="AS764" s="106"/>
      <c r="AT764" s="106"/>
      <c r="AU764" s="106"/>
      <c r="AV764" s="106"/>
      <c r="AW764" s="126"/>
      <c r="AX764" s="126"/>
      <c r="AY764" s="126"/>
      <c r="AZ764" s="126"/>
      <c r="BA764" s="126"/>
      <c r="BB764" s="21"/>
      <c r="BC764" s="21"/>
      <c r="BD764" s="21"/>
      <c r="BE764" s="21"/>
    </row>
    <row r="765" customFormat="false" ht="14.1" hidden="true" customHeight="true" outlineLevel="1" collapsed="false">
      <c r="A765" s="139" t="s">
        <v>430</v>
      </c>
      <c r="B765" s="148" t="s">
        <v>48</v>
      </c>
      <c r="C765" s="130"/>
      <c r="D765" s="138"/>
      <c r="E765" s="355"/>
      <c r="F765" s="355"/>
      <c r="G765" s="26"/>
      <c r="H765" s="26"/>
      <c r="I765" s="150"/>
      <c r="J765" s="150"/>
      <c r="K765" s="150"/>
      <c r="L765" s="220"/>
      <c r="M765" s="150"/>
      <c r="N765" s="150"/>
      <c r="O765" s="150"/>
      <c r="P765" s="150"/>
      <c r="Q765" s="150"/>
      <c r="R765" s="26"/>
      <c r="S765" s="26"/>
      <c r="T765" s="26"/>
      <c r="U765" s="26"/>
      <c r="V765" s="26"/>
      <c r="W765" s="26"/>
      <c r="X765" s="26"/>
      <c r="Y765" s="26"/>
      <c r="Z765" s="26"/>
      <c r="AA765" s="26"/>
      <c r="AB765" s="26"/>
      <c r="AC765" s="26"/>
      <c r="AD765" s="26"/>
      <c r="AE765" s="26"/>
      <c r="AF765" s="26"/>
      <c r="AG765" s="26"/>
      <c r="AH765" s="35"/>
      <c r="AI765" s="35"/>
      <c r="AJ765" s="35"/>
      <c r="AK765" s="35"/>
      <c r="AL765" s="35"/>
      <c r="AM765" s="35"/>
      <c r="AN765" s="35"/>
      <c r="AO765" s="253"/>
      <c r="AP765" s="253"/>
      <c r="AQ765" s="156"/>
      <c r="AR765" s="156"/>
      <c r="AS765" s="106"/>
      <c r="AT765" s="106"/>
      <c r="AU765" s="106"/>
      <c r="AV765" s="106"/>
      <c r="AW765" s="126"/>
      <c r="AX765" s="126"/>
      <c r="AY765" s="126"/>
      <c r="AZ765" s="126"/>
      <c r="BA765" s="126"/>
      <c r="BB765" s="21"/>
      <c r="BC765" s="21"/>
      <c r="BD765" s="21"/>
      <c r="BE765" s="21"/>
    </row>
    <row r="766" customFormat="false" ht="14.1" hidden="true" customHeight="true" outlineLevel="1" collapsed="false">
      <c r="A766" s="139" t="s">
        <v>431</v>
      </c>
      <c r="B766" s="148" t="s">
        <v>48</v>
      </c>
      <c r="C766" s="130" t="n">
        <v>6</v>
      </c>
      <c r="D766" s="138"/>
      <c r="E766" s="355"/>
      <c r="F766" s="355"/>
      <c r="G766" s="26"/>
      <c r="H766" s="26"/>
      <c r="I766" s="150"/>
      <c r="J766" s="150"/>
      <c r="K766" s="150"/>
      <c r="L766" s="220"/>
      <c r="M766" s="150"/>
      <c r="N766" s="150"/>
      <c r="O766" s="150"/>
      <c r="P766" s="150"/>
      <c r="Q766" s="150"/>
      <c r="R766" s="26"/>
      <c r="S766" s="26"/>
      <c r="T766" s="26"/>
      <c r="U766" s="26"/>
      <c r="V766" s="26"/>
      <c r="W766" s="26"/>
      <c r="X766" s="26"/>
      <c r="Y766" s="26"/>
      <c r="Z766" s="26"/>
      <c r="AA766" s="26"/>
      <c r="AB766" s="26"/>
      <c r="AC766" s="26"/>
      <c r="AD766" s="26"/>
      <c r="AE766" s="26"/>
      <c r="AF766" s="26"/>
      <c r="AG766" s="26"/>
      <c r="AH766" s="35"/>
      <c r="AI766" s="35"/>
      <c r="AJ766" s="35"/>
      <c r="AK766" s="35"/>
      <c r="AL766" s="35"/>
      <c r="AM766" s="35"/>
      <c r="AN766" s="35"/>
      <c r="AO766" s="253"/>
      <c r="AP766" s="253"/>
      <c r="AQ766" s="156"/>
      <c r="AR766" s="156"/>
      <c r="AS766" s="106"/>
      <c r="AT766" s="106"/>
      <c r="AU766" s="106"/>
      <c r="AV766" s="106"/>
      <c r="AW766" s="126"/>
      <c r="AX766" s="126"/>
      <c r="AY766" s="126"/>
      <c r="AZ766" s="126"/>
      <c r="BA766" s="126"/>
      <c r="BB766" s="21"/>
      <c r="BC766" s="21"/>
      <c r="BD766" s="21"/>
      <c r="BE766" s="21"/>
    </row>
    <row r="767" customFormat="false" ht="14.1" hidden="true" customHeight="true" outlineLevel="1" collapsed="false">
      <c r="A767" s="139" t="s">
        <v>432</v>
      </c>
      <c r="B767" s="148" t="s">
        <v>48</v>
      </c>
      <c r="C767" s="130"/>
      <c r="D767" s="138"/>
      <c r="E767" s="355"/>
      <c r="F767" s="355"/>
      <c r="G767" s="26"/>
      <c r="H767" s="26"/>
      <c r="I767" s="150"/>
      <c r="J767" s="150"/>
      <c r="K767" s="150"/>
      <c r="L767" s="220"/>
      <c r="M767" s="150"/>
      <c r="N767" s="150"/>
      <c r="O767" s="150"/>
      <c r="P767" s="150"/>
      <c r="Q767" s="150"/>
      <c r="R767" s="26"/>
      <c r="S767" s="26"/>
      <c r="T767" s="26"/>
      <c r="U767" s="26"/>
      <c r="V767" s="26"/>
      <c r="W767" s="26"/>
      <c r="X767" s="26"/>
      <c r="Y767" s="26"/>
      <c r="Z767" s="26"/>
      <c r="AA767" s="26"/>
      <c r="AB767" s="26"/>
      <c r="AC767" s="26"/>
      <c r="AD767" s="26"/>
      <c r="AE767" s="26"/>
      <c r="AF767" s="26"/>
      <c r="AG767" s="26"/>
      <c r="AH767" s="35"/>
      <c r="AI767" s="35"/>
      <c r="AJ767" s="35"/>
      <c r="AK767" s="35"/>
      <c r="AL767" s="35"/>
      <c r="AM767" s="35"/>
      <c r="AN767" s="35"/>
      <c r="AO767" s="253"/>
      <c r="AP767" s="253"/>
      <c r="AQ767" s="156"/>
      <c r="AR767" s="156"/>
      <c r="AS767" s="106"/>
      <c r="AT767" s="106"/>
      <c r="AU767" s="106"/>
      <c r="AV767" s="106"/>
      <c r="AW767" s="126"/>
      <c r="AX767" s="126"/>
      <c r="AY767" s="126"/>
      <c r="AZ767" s="126"/>
      <c r="BA767" s="126"/>
      <c r="BB767" s="21"/>
      <c r="BC767" s="21"/>
      <c r="BD767" s="21"/>
      <c r="BE767" s="21"/>
    </row>
    <row r="768" customFormat="false" ht="14.1" hidden="true" customHeight="true" outlineLevel="1" collapsed="false">
      <c r="A768" s="139" t="s">
        <v>433</v>
      </c>
      <c r="B768" s="148" t="s">
        <v>434</v>
      </c>
      <c r="C768" s="130"/>
      <c r="D768" s="138"/>
      <c r="E768" s="355"/>
      <c r="F768" s="355"/>
      <c r="G768" s="26"/>
      <c r="H768" s="26"/>
      <c r="I768" s="150"/>
      <c r="J768" s="150"/>
      <c r="K768" s="150"/>
      <c r="L768" s="220"/>
      <c r="M768" s="150"/>
      <c r="N768" s="150"/>
      <c r="O768" s="150"/>
      <c r="P768" s="150"/>
      <c r="Q768" s="150"/>
      <c r="R768" s="26"/>
      <c r="S768" s="26"/>
      <c r="T768" s="26"/>
      <c r="U768" s="26"/>
      <c r="V768" s="26"/>
      <c r="W768" s="26"/>
      <c r="X768" s="26"/>
      <c r="Y768" s="26"/>
      <c r="Z768" s="26"/>
      <c r="AA768" s="26"/>
      <c r="AB768" s="26"/>
      <c r="AC768" s="26"/>
      <c r="AD768" s="26"/>
      <c r="AE768" s="26"/>
      <c r="AF768" s="26"/>
      <c r="AG768" s="26"/>
      <c r="AH768" s="35"/>
      <c r="AI768" s="35"/>
      <c r="AJ768" s="35"/>
      <c r="AK768" s="35"/>
      <c r="AL768" s="35"/>
      <c r="AM768" s="35"/>
      <c r="AN768" s="35"/>
      <c r="AO768" s="253"/>
      <c r="AP768" s="253"/>
      <c r="AQ768" s="156"/>
      <c r="AR768" s="156"/>
      <c r="AS768" s="106"/>
      <c r="AT768" s="106"/>
      <c r="AU768" s="106"/>
      <c r="AV768" s="106"/>
      <c r="AW768" s="126"/>
      <c r="AX768" s="126"/>
      <c r="AY768" s="126"/>
      <c r="AZ768" s="126"/>
      <c r="BA768" s="126"/>
      <c r="BB768" s="21"/>
      <c r="BC768" s="21"/>
      <c r="BD768" s="21"/>
      <c r="BE768" s="21"/>
    </row>
    <row r="769" customFormat="false" ht="14.1" hidden="true" customHeight="true" outlineLevel="1" collapsed="false">
      <c r="A769" s="139" t="s">
        <v>435</v>
      </c>
      <c r="B769" s="148" t="s">
        <v>434</v>
      </c>
      <c r="C769" s="130"/>
      <c r="D769" s="138"/>
      <c r="E769" s="355"/>
      <c r="F769" s="355"/>
      <c r="G769" s="26"/>
      <c r="H769" s="26"/>
      <c r="I769" s="150"/>
      <c r="J769" s="150"/>
      <c r="K769" s="150"/>
      <c r="L769" s="220"/>
      <c r="M769" s="150"/>
      <c r="N769" s="150"/>
      <c r="O769" s="150"/>
      <c r="P769" s="150"/>
      <c r="Q769" s="150"/>
      <c r="R769" s="26"/>
      <c r="S769" s="26"/>
      <c r="T769" s="26"/>
      <c r="U769" s="26"/>
      <c r="V769" s="26"/>
      <c r="W769" s="26"/>
      <c r="X769" s="26"/>
      <c r="Y769" s="26"/>
      <c r="Z769" s="26"/>
      <c r="AA769" s="26"/>
      <c r="AB769" s="26"/>
      <c r="AC769" s="26"/>
      <c r="AD769" s="26"/>
      <c r="AE769" s="26"/>
      <c r="AF769" s="26"/>
      <c r="AG769" s="26"/>
      <c r="AH769" s="35"/>
      <c r="AI769" s="35"/>
      <c r="AJ769" s="35"/>
      <c r="AK769" s="35"/>
      <c r="AL769" s="35"/>
      <c r="AM769" s="35"/>
      <c r="AN769" s="35"/>
      <c r="AO769" s="253"/>
      <c r="AP769" s="253"/>
      <c r="AQ769" s="156"/>
      <c r="AR769" s="156"/>
      <c r="AS769" s="106"/>
      <c r="AT769" s="106"/>
      <c r="AU769" s="106"/>
      <c r="AV769" s="106"/>
      <c r="AW769" s="126"/>
      <c r="AX769" s="126"/>
      <c r="AY769" s="126"/>
      <c r="AZ769" s="126"/>
      <c r="BA769" s="126"/>
      <c r="BB769" s="21"/>
      <c r="BC769" s="21"/>
      <c r="BD769" s="21"/>
      <c r="BE769" s="21"/>
    </row>
    <row r="770" customFormat="false" ht="14.1" hidden="true" customHeight="true" outlineLevel="1" collapsed="false">
      <c r="A770" s="139" t="s">
        <v>436</v>
      </c>
      <c r="B770" s="148" t="s">
        <v>434</v>
      </c>
      <c r="C770" s="130" t="n">
        <v>1</v>
      </c>
      <c r="D770" s="138"/>
      <c r="E770" s="355"/>
      <c r="F770" s="355"/>
      <c r="G770" s="26"/>
      <c r="H770" s="26"/>
      <c r="I770" s="150"/>
      <c r="J770" s="150"/>
      <c r="K770" s="150"/>
      <c r="L770" s="220"/>
      <c r="M770" s="150"/>
      <c r="N770" s="150"/>
      <c r="O770" s="150"/>
      <c r="P770" s="150"/>
      <c r="Q770" s="150"/>
      <c r="R770" s="26"/>
      <c r="S770" s="26"/>
      <c r="T770" s="26"/>
      <c r="U770" s="26"/>
      <c r="V770" s="26"/>
      <c r="W770" s="26"/>
      <c r="X770" s="26"/>
      <c r="Y770" s="26"/>
      <c r="Z770" s="26"/>
      <c r="AA770" s="26"/>
      <c r="AB770" s="26"/>
      <c r="AC770" s="26"/>
      <c r="AD770" s="26"/>
      <c r="AE770" s="26"/>
      <c r="AF770" s="26"/>
      <c r="AG770" s="26"/>
      <c r="AH770" s="35"/>
      <c r="AI770" s="35"/>
      <c r="AJ770" s="35"/>
      <c r="AK770" s="35"/>
      <c r="AL770" s="35"/>
      <c r="AM770" s="35"/>
      <c r="AN770" s="35"/>
      <c r="AO770" s="253"/>
      <c r="AP770" s="253"/>
      <c r="AQ770" s="156"/>
      <c r="AR770" s="156"/>
      <c r="AS770" s="106"/>
      <c r="AT770" s="106"/>
      <c r="AU770" s="106"/>
      <c r="AV770" s="106"/>
      <c r="AW770" s="126"/>
      <c r="AX770" s="126"/>
      <c r="AY770" s="126"/>
      <c r="AZ770" s="126"/>
      <c r="BA770" s="126"/>
      <c r="BB770" s="21"/>
      <c r="BC770" s="21"/>
      <c r="BD770" s="21"/>
      <c r="BE770" s="21"/>
    </row>
    <row r="771" customFormat="false" ht="14.1" hidden="true" customHeight="true" outlineLevel="1" collapsed="false">
      <c r="A771" s="139" t="s">
        <v>437</v>
      </c>
      <c r="B771" s="148" t="s">
        <v>434</v>
      </c>
      <c r="C771" s="130" t="n">
        <v>1</v>
      </c>
      <c r="D771" s="138"/>
      <c r="E771" s="355"/>
      <c r="F771" s="355"/>
      <c r="G771" s="26"/>
      <c r="H771" s="26"/>
      <c r="I771" s="150"/>
      <c r="J771" s="150"/>
      <c r="K771" s="150"/>
      <c r="L771" s="220"/>
      <c r="M771" s="150"/>
      <c r="N771" s="150"/>
      <c r="O771" s="150"/>
      <c r="P771" s="150"/>
      <c r="Q771" s="150"/>
      <c r="R771" s="26"/>
      <c r="S771" s="26"/>
      <c r="T771" s="26"/>
      <c r="U771" s="26"/>
      <c r="V771" s="26"/>
      <c r="W771" s="26"/>
      <c r="X771" s="26"/>
      <c r="Y771" s="26"/>
      <c r="Z771" s="26"/>
      <c r="AA771" s="26"/>
      <c r="AB771" s="26"/>
      <c r="AC771" s="26"/>
      <c r="AD771" s="26"/>
      <c r="AE771" s="26"/>
      <c r="AF771" s="26"/>
      <c r="AG771" s="26"/>
      <c r="AH771" s="35"/>
      <c r="AI771" s="35"/>
      <c r="AJ771" s="35"/>
      <c r="AK771" s="35"/>
      <c r="AL771" s="35"/>
      <c r="AM771" s="35"/>
      <c r="AN771" s="35"/>
      <c r="AO771" s="253"/>
      <c r="AP771" s="253"/>
      <c r="AQ771" s="156"/>
      <c r="AR771" s="156"/>
      <c r="AS771" s="106"/>
      <c r="AT771" s="106"/>
      <c r="AU771" s="106"/>
      <c r="AV771" s="106"/>
      <c r="AW771" s="126"/>
      <c r="AX771" s="126"/>
      <c r="AY771" s="126"/>
      <c r="AZ771" s="126"/>
      <c r="BA771" s="126"/>
      <c r="BB771" s="21"/>
      <c r="BC771" s="21"/>
      <c r="BD771" s="21"/>
      <c r="BE771" s="21"/>
    </row>
    <row r="772" customFormat="false" ht="14.1" hidden="true" customHeight="true" outlineLevel="1" collapsed="false">
      <c r="A772" s="138"/>
      <c r="B772" s="235"/>
      <c r="C772" s="138"/>
      <c r="D772" s="138"/>
      <c r="E772" s="355"/>
      <c r="F772" s="355"/>
      <c r="G772" s="26"/>
      <c r="H772" s="26"/>
      <c r="I772" s="150"/>
      <c r="J772" s="150"/>
      <c r="K772" s="150"/>
      <c r="L772" s="220"/>
      <c r="M772" s="150"/>
      <c r="N772" s="150"/>
      <c r="O772" s="150"/>
      <c r="P772" s="150"/>
      <c r="Q772" s="150"/>
      <c r="R772" s="26"/>
      <c r="S772" s="26"/>
      <c r="T772" s="26"/>
      <c r="U772" s="26"/>
      <c r="V772" s="26"/>
      <c r="W772" s="26"/>
      <c r="X772" s="26"/>
      <c r="Y772" s="26"/>
      <c r="Z772" s="26"/>
      <c r="AA772" s="26"/>
      <c r="AB772" s="26"/>
      <c r="AC772" s="26"/>
      <c r="AD772" s="26"/>
      <c r="AE772" s="26"/>
      <c r="AF772" s="26"/>
      <c r="AG772" s="26"/>
      <c r="AH772" s="35"/>
      <c r="AI772" s="35"/>
      <c r="AJ772" s="35"/>
      <c r="AK772" s="35"/>
      <c r="AL772" s="35"/>
      <c r="AM772" s="35"/>
      <c r="AN772" s="35"/>
      <c r="AO772" s="253"/>
      <c r="AP772" s="253"/>
      <c r="AQ772" s="156"/>
      <c r="AR772" s="156"/>
      <c r="AS772" s="106"/>
      <c r="AT772" s="106"/>
      <c r="AU772" s="106"/>
      <c r="AV772" s="106"/>
      <c r="AW772" s="126"/>
      <c r="AX772" s="126"/>
      <c r="AY772" s="126"/>
      <c r="AZ772" s="126"/>
      <c r="BA772" s="126"/>
      <c r="BB772" s="21"/>
      <c r="BC772" s="21"/>
      <c r="BD772" s="21"/>
      <c r="BE772" s="21"/>
    </row>
    <row r="773" customFormat="false" ht="14.1" hidden="true" customHeight="true" outlineLevel="1" collapsed="false">
      <c r="A773" s="240" t="s">
        <v>457</v>
      </c>
      <c r="B773" s="320" t="s">
        <v>109</v>
      </c>
      <c r="C773" s="368" t="n">
        <v>0</v>
      </c>
      <c r="D773" s="138"/>
      <c r="E773" s="355"/>
      <c r="F773" s="355"/>
      <c r="G773" s="26"/>
      <c r="H773" s="26"/>
      <c r="I773" s="150"/>
      <c r="J773" s="150"/>
      <c r="K773" s="150"/>
      <c r="L773" s="220"/>
      <c r="M773" s="150"/>
      <c r="N773" s="150"/>
      <c r="O773" s="150"/>
      <c r="P773" s="150"/>
      <c r="Q773" s="150"/>
      <c r="R773" s="26"/>
      <c r="S773" s="26"/>
      <c r="T773" s="26"/>
      <c r="U773" s="26"/>
      <c r="V773" s="26"/>
      <c r="W773" s="26"/>
      <c r="X773" s="26"/>
      <c r="Y773" s="26"/>
      <c r="Z773" s="26"/>
      <c r="AA773" s="26"/>
      <c r="AB773" s="26"/>
      <c r="AC773" s="26"/>
      <c r="AD773" s="26"/>
      <c r="AE773" s="26"/>
      <c r="AF773" s="26"/>
      <c r="AG773" s="26"/>
      <c r="AH773" s="35"/>
      <c r="AI773" s="35"/>
      <c r="AJ773" s="35"/>
      <c r="AK773" s="35"/>
      <c r="AL773" s="35"/>
      <c r="AM773" s="35"/>
      <c r="AN773" s="35"/>
      <c r="AO773" s="253"/>
      <c r="AP773" s="253"/>
      <c r="AQ773" s="156"/>
      <c r="AR773" s="156"/>
      <c r="AS773" s="106"/>
      <c r="AT773" s="106"/>
      <c r="AU773" s="106"/>
      <c r="AV773" s="106"/>
      <c r="AW773" s="126"/>
      <c r="AX773" s="126"/>
      <c r="AY773" s="126"/>
      <c r="AZ773" s="126"/>
      <c r="BA773" s="126"/>
      <c r="BB773" s="21"/>
      <c r="BC773" s="21"/>
      <c r="BD773" s="21"/>
      <c r="BE773" s="21"/>
    </row>
    <row r="774" customFormat="false" ht="14.1" hidden="true" customHeight="true" outlineLevel="1" collapsed="false">
      <c r="A774" s="240" t="s">
        <v>226</v>
      </c>
      <c r="B774" s="320" t="s">
        <v>109</v>
      </c>
      <c r="C774" s="369" t="n">
        <v>0</v>
      </c>
      <c r="D774" s="138"/>
      <c r="E774" s="355"/>
      <c r="F774" s="355"/>
      <c r="G774" s="26"/>
      <c r="H774" s="26"/>
      <c r="I774" s="150"/>
      <c r="J774" s="150"/>
      <c r="K774" s="150"/>
      <c r="L774" s="220"/>
      <c r="M774" s="150"/>
      <c r="N774" s="150"/>
      <c r="O774" s="150"/>
      <c r="P774" s="150"/>
      <c r="Q774" s="150"/>
      <c r="R774" s="26"/>
      <c r="S774" s="26"/>
      <c r="T774" s="26"/>
      <c r="U774" s="26"/>
      <c r="V774" s="26"/>
      <c r="W774" s="26"/>
      <c r="X774" s="26"/>
      <c r="Y774" s="26"/>
      <c r="Z774" s="26"/>
      <c r="AA774" s="26"/>
      <c r="AB774" s="26"/>
      <c r="AC774" s="26"/>
      <c r="AD774" s="26"/>
      <c r="AE774" s="26"/>
      <c r="AF774" s="26"/>
      <c r="AG774" s="26"/>
      <c r="AH774" s="35"/>
      <c r="AI774" s="35"/>
      <c r="AJ774" s="35"/>
      <c r="AK774" s="35"/>
      <c r="AL774" s="35"/>
      <c r="AM774" s="35"/>
      <c r="AN774" s="35"/>
      <c r="AO774" s="253"/>
      <c r="AP774" s="253"/>
      <c r="AQ774" s="156"/>
      <c r="AR774" s="156"/>
      <c r="AS774" s="106"/>
      <c r="AT774" s="106"/>
      <c r="AU774" s="106"/>
      <c r="AV774" s="106"/>
      <c r="AW774" s="126"/>
      <c r="AX774" s="126"/>
      <c r="AY774" s="126"/>
      <c r="AZ774" s="126"/>
      <c r="BA774" s="126"/>
      <c r="BB774" s="21"/>
      <c r="BC774" s="21"/>
      <c r="BD774" s="21"/>
      <c r="BE774" s="21"/>
    </row>
    <row r="775" customFormat="false" ht="14.1" hidden="true" customHeight="true" outlineLevel="1" collapsed="false">
      <c r="A775" s="163" t="s">
        <v>458</v>
      </c>
      <c r="B775" s="370" t="s">
        <v>113</v>
      </c>
      <c r="C775" s="371" t="n">
        <v>1000</v>
      </c>
      <c r="D775" s="138"/>
      <c r="E775" s="355"/>
      <c r="F775" s="355"/>
      <c r="G775" s="26"/>
      <c r="H775" s="26"/>
      <c r="I775" s="150"/>
      <c r="J775" s="150"/>
      <c r="K775" s="150"/>
      <c r="L775" s="220"/>
      <c r="M775" s="150"/>
      <c r="N775" s="150"/>
      <c r="O775" s="150"/>
      <c r="P775" s="150"/>
      <c r="Q775" s="150"/>
      <c r="R775" s="26"/>
      <c r="S775" s="26"/>
      <c r="T775" s="26"/>
      <c r="U775" s="26"/>
      <c r="V775" s="26"/>
      <c r="W775" s="26"/>
      <c r="X775" s="26"/>
      <c r="Y775" s="26"/>
      <c r="Z775" s="26"/>
      <c r="AA775" s="26"/>
      <c r="AB775" s="26"/>
      <c r="AC775" s="26"/>
      <c r="AD775" s="26"/>
      <c r="AE775" s="26"/>
      <c r="AF775" s="26"/>
      <c r="AG775" s="26"/>
      <c r="AH775" s="35"/>
      <c r="AI775" s="35"/>
      <c r="AJ775" s="35"/>
      <c r="AK775" s="35"/>
      <c r="AL775" s="35"/>
      <c r="AM775" s="35"/>
      <c r="AN775" s="35"/>
      <c r="AO775" s="253"/>
      <c r="AP775" s="253"/>
      <c r="AQ775" s="156"/>
      <c r="AR775" s="156"/>
      <c r="AS775" s="106"/>
      <c r="AT775" s="106"/>
      <c r="AU775" s="106"/>
      <c r="AV775" s="106"/>
      <c r="AW775" s="126"/>
      <c r="AX775" s="126"/>
      <c r="AY775" s="126"/>
      <c r="AZ775" s="126"/>
      <c r="BA775" s="126"/>
      <c r="BB775" s="21"/>
      <c r="BC775" s="21"/>
      <c r="BD775" s="21"/>
      <c r="BE775" s="21"/>
    </row>
    <row r="776" customFormat="false" ht="14.1" hidden="true" customHeight="true" outlineLevel="1" collapsed="false">
      <c r="A776" s="138"/>
      <c r="B776" s="138"/>
      <c r="C776" s="138"/>
      <c r="D776" s="138"/>
      <c r="E776" s="355"/>
      <c r="F776" s="355"/>
      <c r="G776" s="26"/>
      <c r="H776" s="26"/>
      <c r="I776" s="26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  <c r="Z776" s="26"/>
      <c r="AA776" s="26"/>
      <c r="AB776" s="26"/>
      <c r="AC776" s="26"/>
      <c r="AD776" s="26"/>
      <c r="AE776" s="26"/>
      <c r="AF776" s="26"/>
      <c r="AG776" s="26"/>
      <c r="AH776" s="35"/>
      <c r="AI776" s="35"/>
      <c r="AJ776" s="35"/>
      <c r="AK776" s="35"/>
      <c r="AL776" s="35"/>
      <c r="AM776" s="35"/>
      <c r="AN776" s="35"/>
      <c r="AO776" s="253"/>
      <c r="AP776" s="253"/>
      <c r="AQ776" s="156"/>
      <c r="AR776" s="156"/>
      <c r="AS776" s="106"/>
      <c r="AT776" s="106"/>
      <c r="AU776" s="106"/>
      <c r="AV776" s="106"/>
      <c r="AW776" s="126"/>
      <c r="AX776" s="126"/>
      <c r="AY776" s="126"/>
      <c r="AZ776" s="126"/>
      <c r="BA776" s="126"/>
      <c r="BB776" s="21"/>
      <c r="BC776" s="21"/>
      <c r="BD776" s="21"/>
      <c r="BE776" s="21"/>
    </row>
    <row r="777" customFormat="false" ht="14.1" hidden="false" customHeight="true" outlineLevel="0" collapsed="false">
      <c r="A777" s="155" t="s">
        <v>459</v>
      </c>
      <c r="B777" s="155"/>
      <c r="C777" s="155"/>
      <c r="D777" s="155"/>
      <c r="E777" s="155"/>
      <c r="F777" s="138"/>
      <c r="G777" s="26"/>
      <c r="H777" s="26"/>
      <c r="I777" s="26"/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  <c r="X777" s="26"/>
      <c r="Y777" s="26"/>
      <c r="Z777" s="26"/>
      <c r="AA777" s="26"/>
      <c r="AB777" s="26"/>
      <c r="AC777" s="26"/>
      <c r="AD777" s="26"/>
      <c r="AE777" s="26"/>
      <c r="AF777" s="26"/>
      <c r="AG777" s="26"/>
      <c r="AH777" s="35"/>
      <c r="AI777" s="35"/>
      <c r="AJ777" s="35"/>
      <c r="AK777" s="35"/>
      <c r="AL777" s="35"/>
      <c r="AM777" s="35"/>
      <c r="AN777" s="35"/>
      <c r="AO777" s="253"/>
      <c r="AP777" s="253"/>
      <c r="AQ777" s="156"/>
      <c r="AR777" s="156"/>
      <c r="AS777" s="106"/>
      <c r="AT777" s="106"/>
      <c r="AU777" s="106"/>
      <c r="AV777" s="106"/>
      <c r="AW777" s="126"/>
      <c r="AX777" s="126"/>
      <c r="AY777" s="126"/>
      <c r="AZ777" s="126"/>
      <c r="BA777" s="126"/>
      <c r="BB777" s="21"/>
      <c r="BC777" s="21"/>
      <c r="BD777" s="21"/>
      <c r="BE777" s="21"/>
    </row>
    <row r="778" s="35" customFormat="true" ht="14.1" hidden="false" customHeight="true" outlineLevel="0" collapsed="false">
      <c r="A778" s="26"/>
      <c r="B778" s="135"/>
      <c r="C778" s="26"/>
      <c r="D778" s="26"/>
      <c r="E778" s="132"/>
      <c r="F778" s="132"/>
      <c r="G778" s="26"/>
      <c r="H778" s="26"/>
      <c r="I778" s="150"/>
      <c r="J778" s="150"/>
      <c r="K778" s="150"/>
      <c r="L778" s="220"/>
      <c r="M778" s="150"/>
      <c r="N778" s="150"/>
      <c r="O778" s="150"/>
      <c r="P778" s="150"/>
      <c r="Q778" s="150"/>
      <c r="R778" s="26"/>
      <c r="S778" s="26"/>
      <c r="T778" s="26"/>
      <c r="U778" s="26"/>
      <c r="V778" s="26"/>
      <c r="W778" s="26"/>
      <c r="X778" s="26"/>
      <c r="Y778" s="26"/>
      <c r="Z778" s="26"/>
      <c r="AA778" s="26"/>
      <c r="AB778" s="26"/>
      <c r="AC778" s="26"/>
      <c r="AD778" s="26"/>
      <c r="AE778" s="26"/>
      <c r="AF778" s="26"/>
      <c r="AG778" s="26"/>
      <c r="AO778" s="253"/>
      <c r="AP778" s="253"/>
      <c r="AQ778" s="156"/>
      <c r="AR778" s="156"/>
      <c r="AS778" s="106"/>
      <c r="AT778" s="106"/>
      <c r="AU778" s="106"/>
      <c r="AV778" s="106"/>
      <c r="AW778" s="126"/>
      <c r="AX778" s="126"/>
      <c r="AY778" s="126"/>
      <c r="AZ778" s="126"/>
      <c r="BA778" s="126"/>
      <c r="BB778" s="126"/>
      <c r="BC778" s="126"/>
      <c r="BD778" s="126"/>
      <c r="BE778" s="126"/>
      <c r="BF778" s="156"/>
    </row>
    <row r="779" customFormat="false" ht="14.1" hidden="true" customHeight="true" outlineLevel="1" collapsed="false">
      <c r="A779" s="372" t="s">
        <v>460</v>
      </c>
      <c r="B779" s="372"/>
      <c r="C779" s="372"/>
      <c r="D779" s="372"/>
      <c r="E779" s="372"/>
      <c r="F779" s="372"/>
      <c r="G779" s="372"/>
      <c r="H779" s="373"/>
      <c r="I779" s="373"/>
      <c r="J779" s="373"/>
      <c r="K779" s="373"/>
      <c r="L779" s="373"/>
      <c r="M779" s="373"/>
      <c r="N779" s="373"/>
      <c r="O779" s="373"/>
      <c r="P779" s="373"/>
      <c r="Q779" s="373"/>
      <c r="R779" s="373"/>
      <c r="S779" s="373"/>
      <c r="T779" s="373"/>
      <c r="U779" s="373"/>
      <c r="V779" s="373"/>
      <c r="W779" s="373"/>
      <c r="X779" s="373"/>
      <c r="Y779" s="373"/>
      <c r="Z779" s="373"/>
      <c r="AA779" s="373"/>
      <c r="AB779" s="373"/>
      <c r="AC779" s="373"/>
      <c r="AD779" s="373"/>
      <c r="AE779" s="373"/>
      <c r="AF779" s="373"/>
      <c r="AG779" s="150"/>
      <c r="AH779" s="40"/>
      <c r="AI779" s="40"/>
      <c r="AJ779" s="40"/>
      <c r="AK779" s="40"/>
      <c r="AL779" s="40"/>
      <c r="AM779" s="40"/>
      <c r="AN779" s="40"/>
      <c r="AO779" s="125"/>
      <c r="AP779" s="125"/>
      <c r="AQ779" s="126"/>
      <c r="AR779" s="126"/>
      <c r="AS779" s="126"/>
      <c r="AT779" s="126"/>
      <c r="AU779" s="106"/>
      <c r="AV779" s="106"/>
      <c r="AW779" s="126"/>
      <c r="AX779" s="126"/>
      <c r="AY779" s="126"/>
      <c r="AZ779" s="126"/>
      <c r="BA779" s="126"/>
      <c r="BB779" s="21"/>
      <c r="BC779" s="21"/>
      <c r="BD779" s="21"/>
      <c r="BE779" s="21"/>
    </row>
    <row r="780" customFormat="false" ht="14.1" hidden="true" customHeight="true" outlineLevel="1" collapsed="false">
      <c r="A780" s="372"/>
      <c r="B780" s="372"/>
      <c r="C780" s="372"/>
      <c r="D780" s="372"/>
      <c r="E780" s="372"/>
      <c r="F780" s="372"/>
      <c r="G780" s="372"/>
      <c r="H780" s="373"/>
      <c r="I780" s="373"/>
      <c r="J780" s="373"/>
      <c r="K780" s="373"/>
      <c r="L780" s="373"/>
      <c r="M780" s="373"/>
      <c r="N780" s="373"/>
      <c r="O780" s="373"/>
      <c r="P780" s="373"/>
      <c r="Q780" s="373"/>
      <c r="R780" s="373"/>
      <c r="S780" s="373"/>
      <c r="T780" s="373"/>
      <c r="U780" s="373"/>
      <c r="V780" s="373"/>
      <c r="W780" s="373"/>
      <c r="X780" s="373"/>
      <c r="Y780" s="373"/>
      <c r="Z780" s="373"/>
      <c r="AA780" s="373"/>
      <c r="AB780" s="373"/>
      <c r="AC780" s="373"/>
      <c r="AD780" s="373"/>
      <c r="AE780" s="373"/>
      <c r="AF780" s="373"/>
      <c r="AG780" s="150"/>
      <c r="AH780" s="40"/>
      <c r="AI780" s="40"/>
      <c r="AJ780" s="40"/>
      <c r="AK780" s="40"/>
      <c r="AL780" s="40"/>
      <c r="AM780" s="40"/>
      <c r="AN780" s="40"/>
      <c r="AO780" s="125"/>
      <c r="AP780" s="125"/>
      <c r="AQ780" s="126"/>
      <c r="AR780" s="126"/>
      <c r="AS780" s="126"/>
      <c r="AT780" s="126"/>
      <c r="AU780" s="106"/>
      <c r="AV780" s="106"/>
      <c r="AW780" s="126"/>
      <c r="AX780" s="126"/>
      <c r="AY780" s="126"/>
      <c r="AZ780" s="126"/>
      <c r="BA780" s="126"/>
      <c r="BB780" s="21"/>
      <c r="BC780" s="21"/>
      <c r="BD780" s="21"/>
      <c r="BE780" s="21"/>
    </row>
    <row r="781" customFormat="false" ht="14.1" hidden="true" customHeight="true" outlineLevel="1" collapsed="false">
      <c r="A781" s="374" t="s">
        <v>461</v>
      </c>
      <c r="B781" s="374"/>
      <c r="C781" s="374"/>
      <c r="D781" s="374"/>
      <c r="E781" s="375" t="n">
        <v>1</v>
      </c>
      <c r="F781" s="376"/>
      <c r="G781" s="172"/>
      <c r="H781" s="172"/>
      <c r="I781" s="172"/>
      <c r="J781" s="172"/>
      <c r="K781" s="172"/>
      <c r="L781" s="172"/>
      <c r="M781" s="172"/>
      <c r="N781" s="172"/>
      <c r="O781" s="172"/>
      <c r="P781" s="172"/>
      <c r="Q781" s="172"/>
      <c r="R781" s="172"/>
      <c r="S781" s="172"/>
      <c r="T781" s="172"/>
      <c r="U781" s="172"/>
      <c r="V781" s="172"/>
      <c r="W781" s="172"/>
      <c r="X781" s="172"/>
      <c r="Y781" s="172"/>
      <c r="Z781" s="172"/>
      <c r="AA781" s="377"/>
      <c r="AB781" s="378"/>
      <c r="AC781" s="378"/>
      <c r="AD781" s="379"/>
      <c r="AE781" s="379"/>
      <c r="AF781" s="379" t="n">
        <f aca="false">E781</f>
        <v>1</v>
      </c>
      <c r="AG781" s="150"/>
      <c r="AH781" s="40"/>
      <c r="AI781" s="40"/>
      <c r="AJ781" s="40"/>
      <c r="AK781" s="40"/>
      <c r="AL781" s="40"/>
      <c r="AM781" s="40"/>
      <c r="AN781" s="40"/>
      <c r="AO781" s="125"/>
      <c r="AP781" s="125"/>
      <c r="AQ781" s="126"/>
      <c r="AR781" s="126"/>
      <c r="AS781" s="126"/>
      <c r="AT781" s="126"/>
      <c r="AU781" s="106"/>
      <c r="AV781" s="106"/>
      <c r="AW781" s="126"/>
      <c r="AX781" s="126"/>
      <c r="AY781" s="126"/>
      <c r="AZ781" s="126"/>
      <c r="BA781" s="126"/>
      <c r="BB781" s="21"/>
      <c r="BC781" s="21"/>
      <c r="BD781" s="21"/>
      <c r="BE781" s="21"/>
    </row>
    <row r="782" customFormat="false" ht="14.1" hidden="true" customHeight="true" outlineLevel="1" collapsed="false">
      <c r="A782" s="380" t="s">
        <v>462</v>
      </c>
      <c r="B782" s="380"/>
      <c r="C782" s="380"/>
      <c r="D782" s="380"/>
      <c r="E782" s="348" t="n">
        <v>1</v>
      </c>
      <c r="F782" s="376"/>
      <c r="G782" s="172"/>
      <c r="H782" s="172"/>
      <c r="I782" s="172"/>
      <c r="J782" s="172"/>
      <c r="K782" s="172"/>
      <c r="L782" s="172"/>
      <c r="M782" s="172"/>
      <c r="N782" s="172"/>
      <c r="O782" s="172"/>
      <c r="P782" s="172"/>
      <c r="Q782" s="172"/>
      <c r="R782" s="172"/>
      <c r="S782" s="172"/>
      <c r="T782" s="172"/>
      <c r="U782" s="172"/>
      <c r="V782" s="172"/>
      <c r="W782" s="172"/>
      <c r="X782" s="172"/>
      <c r="Y782" s="172"/>
      <c r="Z782" s="172"/>
      <c r="AA782" s="377"/>
      <c r="AB782" s="378"/>
      <c r="AC782" s="378"/>
      <c r="AD782" s="379"/>
      <c r="AE782" s="379"/>
      <c r="AF782" s="379"/>
      <c r="AG782" s="150"/>
      <c r="AH782" s="40"/>
      <c r="AI782" s="40"/>
      <c r="AJ782" s="40"/>
      <c r="AK782" s="40"/>
      <c r="AL782" s="40"/>
      <c r="AM782" s="40"/>
      <c r="AN782" s="40"/>
      <c r="AO782" s="125"/>
      <c r="AP782" s="125"/>
      <c r="AQ782" s="126"/>
      <c r="AR782" s="126"/>
      <c r="AS782" s="126"/>
      <c r="AT782" s="126"/>
      <c r="AU782" s="106"/>
      <c r="AV782" s="106"/>
      <c r="AW782" s="126"/>
      <c r="AX782" s="126"/>
      <c r="AY782" s="126"/>
      <c r="AZ782" s="126"/>
      <c r="BA782" s="126"/>
      <c r="BB782" s="21"/>
      <c r="BC782" s="21"/>
      <c r="BD782" s="21"/>
      <c r="BE782" s="21"/>
    </row>
    <row r="783" customFormat="false" ht="14.1" hidden="true" customHeight="true" outlineLevel="1" collapsed="false">
      <c r="A783" s="355"/>
      <c r="B783" s="341"/>
      <c r="C783" s="355"/>
      <c r="D783" s="355"/>
      <c r="E783" s="376"/>
      <c r="F783" s="376"/>
      <c r="G783" s="172"/>
      <c r="H783" s="172"/>
      <c r="I783" s="172"/>
      <c r="J783" s="172"/>
      <c r="K783" s="172"/>
      <c r="L783" s="172"/>
      <c r="M783" s="172"/>
      <c r="N783" s="172"/>
      <c r="O783" s="172"/>
      <c r="P783" s="172"/>
      <c r="Q783" s="172"/>
      <c r="R783" s="172"/>
      <c r="S783" s="172"/>
      <c r="T783" s="172"/>
      <c r="U783" s="172"/>
      <c r="V783" s="172"/>
      <c r="W783" s="172"/>
      <c r="X783" s="172"/>
      <c r="Y783" s="381"/>
      <c r="Z783" s="381"/>
      <c r="AA783" s="382" t="n">
        <f aca="false">E782</f>
        <v>1</v>
      </c>
      <c r="AB783" s="383"/>
      <c r="AC783" s="383"/>
      <c r="AD783" s="379"/>
      <c r="AE783" s="379"/>
      <c r="AF783" s="379"/>
      <c r="AG783" s="150"/>
      <c r="AH783" s="40"/>
      <c r="AI783" s="40"/>
      <c r="AJ783" s="40"/>
      <c r="AK783" s="40"/>
      <c r="AL783" s="40"/>
      <c r="AM783" s="40"/>
      <c r="AN783" s="40"/>
      <c r="AO783" s="125"/>
      <c r="AP783" s="125"/>
      <c r="AQ783" s="126"/>
      <c r="AR783" s="126"/>
      <c r="AS783" s="126"/>
      <c r="AT783" s="126"/>
      <c r="AU783" s="106"/>
      <c r="AV783" s="106"/>
      <c r="AW783" s="126"/>
      <c r="AX783" s="126"/>
      <c r="AY783" s="126"/>
      <c r="AZ783" s="126"/>
      <c r="BA783" s="126"/>
      <c r="BB783" s="160"/>
      <c r="BC783" s="160"/>
      <c r="BD783" s="160"/>
      <c r="BE783" s="160"/>
    </row>
    <row r="784" customFormat="false" ht="14.1" hidden="true" customHeight="true" outlineLevel="1" collapsed="false">
      <c r="A784" s="318" t="s">
        <v>399</v>
      </c>
      <c r="B784" s="341"/>
      <c r="C784" s="355"/>
      <c r="D784" s="355"/>
      <c r="E784" s="376"/>
      <c r="F784" s="376"/>
      <c r="G784" s="172"/>
      <c r="H784" s="172"/>
      <c r="I784" s="172"/>
      <c r="J784" s="172"/>
      <c r="K784" s="172"/>
      <c r="L784" s="172"/>
      <c r="M784" s="172"/>
      <c r="N784" s="172"/>
      <c r="O784" s="172"/>
      <c r="P784" s="172"/>
      <c r="Q784" s="172"/>
      <c r="R784" s="172"/>
      <c r="S784" s="172"/>
      <c r="T784" s="172"/>
      <c r="U784" s="172"/>
      <c r="V784" s="172"/>
      <c r="W784" s="172"/>
      <c r="X784" s="172"/>
      <c r="Y784" s="381"/>
      <c r="Z784" s="381"/>
      <c r="AA784" s="382"/>
      <c r="AB784" s="383"/>
      <c r="AC784" s="383"/>
      <c r="AD784" s="379"/>
      <c r="AE784" s="379"/>
      <c r="AF784" s="379"/>
      <c r="AG784" s="150"/>
      <c r="AH784" s="40"/>
      <c r="AI784" s="40"/>
      <c r="AJ784" s="40"/>
      <c r="AK784" s="40"/>
      <c r="AL784" s="40"/>
      <c r="AM784" s="40"/>
      <c r="AN784" s="40"/>
      <c r="AO784" s="125"/>
      <c r="AP784" s="125"/>
      <c r="AQ784" s="126"/>
      <c r="AR784" s="126"/>
      <c r="AS784" s="126"/>
      <c r="AT784" s="126"/>
      <c r="AU784" s="106"/>
      <c r="AV784" s="106"/>
      <c r="AW784" s="126"/>
      <c r="AX784" s="126"/>
      <c r="AY784" s="126"/>
      <c r="AZ784" s="126"/>
      <c r="BA784" s="126"/>
      <c r="BB784" s="160"/>
      <c r="BC784" s="160"/>
      <c r="BD784" s="160"/>
      <c r="BE784" s="160"/>
    </row>
    <row r="785" customFormat="false" ht="14.1" hidden="true" customHeight="true" outlineLevel="1" collapsed="false">
      <c r="A785" s="342" t="s">
        <v>463</v>
      </c>
      <c r="B785" s="235"/>
      <c r="C785" s="272"/>
      <c r="D785" s="272"/>
      <c r="E785" s="272"/>
      <c r="F785" s="272"/>
      <c r="G785" s="165"/>
      <c r="H785" s="172"/>
      <c r="I785" s="172"/>
      <c r="J785" s="172"/>
      <c r="K785" s="172"/>
      <c r="L785" s="172"/>
      <c r="M785" s="172"/>
      <c r="N785" s="172"/>
      <c r="O785" s="172"/>
      <c r="P785" s="172"/>
      <c r="Q785" s="172"/>
      <c r="R785" s="172"/>
      <c r="S785" s="172"/>
      <c r="T785" s="172"/>
      <c r="U785" s="172"/>
      <c r="V785" s="172"/>
      <c r="W785" s="172"/>
      <c r="X785" s="172"/>
      <c r="Y785" s="381"/>
      <c r="Z785" s="381"/>
      <c r="AA785" s="381"/>
      <c r="AB785" s="384"/>
      <c r="AC785" s="384"/>
      <c r="AD785" s="150"/>
      <c r="AE785" s="150"/>
      <c r="AF785" s="150"/>
      <c r="AG785" s="150"/>
      <c r="AH785" s="40"/>
      <c r="AI785" s="40"/>
      <c r="AJ785" s="40"/>
      <c r="AK785" s="40"/>
      <c r="AL785" s="40"/>
      <c r="AM785" s="40"/>
      <c r="AN785" s="40"/>
      <c r="AO785" s="125"/>
      <c r="AP785" s="125"/>
      <c r="AQ785" s="126"/>
      <c r="AR785" s="126"/>
      <c r="AS785" s="126"/>
      <c r="AT785" s="126"/>
      <c r="AU785" s="106"/>
      <c r="AV785" s="106"/>
      <c r="AW785" s="126"/>
      <c r="AX785" s="126"/>
      <c r="AY785" s="126"/>
      <c r="AZ785" s="126"/>
      <c r="BA785" s="126"/>
      <c r="BB785" s="160"/>
      <c r="BC785" s="160"/>
      <c r="BD785" s="160"/>
      <c r="BE785" s="160"/>
    </row>
    <row r="786" customFormat="false" ht="14.1" hidden="true" customHeight="true" outlineLevel="1" collapsed="false">
      <c r="A786" s="344" t="s">
        <v>402</v>
      </c>
      <c r="B786" s="276"/>
      <c r="C786" s="276"/>
      <c r="D786" s="276"/>
      <c r="E786" s="276"/>
      <c r="F786" s="276"/>
      <c r="G786" s="186"/>
      <c r="H786" s="172"/>
      <c r="I786" s="172"/>
      <c r="J786" s="172"/>
      <c r="K786" s="172"/>
      <c r="L786" s="172"/>
      <c r="M786" s="172"/>
      <c r="N786" s="172"/>
      <c r="O786" s="172"/>
      <c r="P786" s="172"/>
      <c r="Q786" s="172"/>
      <c r="R786" s="172"/>
      <c r="S786" s="172"/>
      <c r="T786" s="172"/>
      <c r="U786" s="172"/>
      <c r="V786" s="172"/>
      <c r="W786" s="172"/>
      <c r="X786" s="172"/>
      <c r="Y786" s="381"/>
      <c r="Z786" s="381"/>
      <c r="AA786" s="381"/>
      <c r="AB786" s="384"/>
      <c r="AC786" s="384"/>
      <c r="AD786" s="150"/>
      <c r="AE786" s="150"/>
      <c r="AF786" s="150"/>
      <c r="AG786" s="150"/>
      <c r="AH786" s="40"/>
      <c r="AI786" s="40"/>
      <c r="AJ786" s="40"/>
      <c r="AK786" s="40"/>
      <c r="AL786" s="40"/>
      <c r="AM786" s="40"/>
      <c r="AN786" s="40"/>
      <c r="AO786" s="125"/>
      <c r="AP786" s="125"/>
      <c r="AQ786" s="126"/>
      <c r="AR786" s="126"/>
      <c r="AS786" s="126"/>
      <c r="AT786" s="126"/>
      <c r="AU786" s="106"/>
      <c r="AV786" s="106"/>
      <c r="AW786" s="126"/>
      <c r="AX786" s="126"/>
      <c r="AY786" s="126"/>
      <c r="AZ786" s="126"/>
      <c r="BA786" s="126"/>
      <c r="BB786" s="160"/>
      <c r="BC786" s="160"/>
      <c r="BD786" s="160"/>
      <c r="BE786" s="160"/>
    </row>
    <row r="787" customFormat="false" ht="14.1" hidden="true" customHeight="true" outlineLevel="1" collapsed="false">
      <c r="A787" s="345" t="s">
        <v>464</v>
      </c>
      <c r="B787" s="235"/>
      <c r="C787" s="138"/>
      <c r="D787" s="376"/>
      <c r="E787" s="376"/>
      <c r="F787" s="376"/>
      <c r="G787" s="150"/>
      <c r="H787" s="165"/>
      <c r="I787" s="165"/>
      <c r="J787" s="165"/>
      <c r="K787" s="165"/>
      <c r="L787" s="165"/>
      <c r="M787" s="165"/>
      <c r="N787" s="165"/>
      <c r="O787" s="165"/>
      <c r="P787" s="165"/>
      <c r="Q787" s="165"/>
      <c r="R787" s="165"/>
      <c r="S787" s="165"/>
      <c r="T787" s="165"/>
      <c r="U787" s="165"/>
      <c r="V787" s="165"/>
      <c r="W787" s="165"/>
      <c r="X787" s="165"/>
      <c r="Y787" s="165"/>
      <c r="Z787" s="165"/>
      <c r="AA787" s="150"/>
      <c r="AB787" s="150"/>
      <c r="AC787" s="150"/>
      <c r="AD787" s="165"/>
      <c r="AE787" s="165"/>
      <c r="AF787" s="172"/>
      <c r="AG787" s="172"/>
      <c r="AH787" s="52"/>
      <c r="AI787" s="48"/>
      <c r="AJ787" s="48"/>
      <c r="AK787" s="52"/>
      <c r="AL787" s="48"/>
      <c r="AM787" s="48"/>
      <c r="AN787" s="52"/>
      <c r="AO787" s="385"/>
      <c r="AP787" s="385"/>
      <c r="AQ787" s="106"/>
      <c r="AR787" s="106"/>
      <c r="AS787" s="106"/>
      <c r="AT787" s="106"/>
      <c r="AU787" s="106"/>
      <c r="AV787" s="106"/>
      <c r="AW787" s="106"/>
      <c r="AX787" s="126"/>
      <c r="AY787" s="126"/>
      <c r="AZ787" s="126"/>
      <c r="BA787" s="126"/>
      <c r="BB787" s="21"/>
      <c r="BC787" s="21"/>
      <c r="BD787" s="21"/>
      <c r="BE787" s="21"/>
    </row>
    <row r="788" customFormat="false" ht="14.1" hidden="true" customHeight="true" outlineLevel="1" collapsed="false">
      <c r="A788" s="346" t="s">
        <v>404</v>
      </c>
      <c r="B788" s="347" t="s">
        <v>44</v>
      </c>
      <c r="C788" s="386"/>
      <c r="D788" s="138"/>
      <c r="E788" s="138"/>
      <c r="F788" s="138"/>
      <c r="G788" s="172"/>
      <c r="H788" s="132"/>
      <c r="I788" s="150"/>
      <c r="J788" s="150"/>
      <c r="K788" s="172"/>
      <c r="L788" s="172"/>
      <c r="M788" s="26"/>
      <c r="N788" s="26"/>
      <c r="O788" s="243"/>
      <c r="P788" s="243"/>
      <c r="Q788" s="165"/>
      <c r="R788" s="165"/>
      <c r="S788" s="150"/>
      <c r="T788" s="150"/>
      <c r="U788" s="150"/>
      <c r="V788" s="150"/>
      <c r="W788" s="150"/>
      <c r="X788" s="150"/>
      <c r="Y788" s="150"/>
      <c r="Z788" s="150"/>
      <c r="AA788" s="150"/>
      <c r="AB788" s="150"/>
      <c r="AC788" s="150"/>
      <c r="AD788" s="150"/>
      <c r="AE788" s="150"/>
      <c r="AF788" s="150"/>
      <c r="AG788" s="150"/>
      <c r="AH788" s="40"/>
      <c r="AI788" s="40"/>
      <c r="AJ788" s="40"/>
      <c r="AK788" s="40"/>
      <c r="AL788" s="40"/>
      <c r="AM788" s="40"/>
      <c r="AN788" s="40"/>
      <c r="AO788" s="125"/>
      <c r="AP788" s="125"/>
      <c r="AQ788" s="126"/>
      <c r="AR788" s="126"/>
      <c r="AS788" s="126"/>
      <c r="AT788" s="126"/>
      <c r="AU788" s="106"/>
      <c r="AV788" s="106"/>
      <c r="AW788" s="126"/>
      <c r="AX788" s="126"/>
      <c r="AY788" s="126"/>
      <c r="AZ788" s="126"/>
      <c r="BA788" s="126"/>
      <c r="BB788" s="21"/>
      <c r="BC788" s="21"/>
      <c r="BD788" s="21"/>
      <c r="BE788" s="21"/>
    </row>
    <row r="789" customFormat="false" ht="14.1" hidden="true" customHeight="true" outlineLevel="1" collapsed="false">
      <c r="A789" s="348" t="s">
        <v>405</v>
      </c>
      <c r="B789" s="347" t="s">
        <v>44</v>
      </c>
      <c r="C789" s="376"/>
      <c r="D789" s="138"/>
      <c r="E789" s="138"/>
      <c r="F789" s="138"/>
      <c r="G789" s="172"/>
      <c r="H789" s="132"/>
      <c r="I789" s="150"/>
      <c r="J789" s="150"/>
      <c r="K789" s="172"/>
      <c r="L789" s="172"/>
      <c r="M789" s="26"/>
      <c r="N789" s="26"/>
      <c r="O789" s="243"/>
      <c r="P789" s="243"/>
      <c r="Q789" s="165"/>
      <c r="R789" s="165"/>
      <c r="S789" s="150"/>
      <c r="T789" s="150"/>
      <c r="U789" s="150"/>
      <c r="V789" s="150"/>
      <c r="W789" s="150"/>
      <c r="X789" s="150"/>
      <c r="Y789" s="150"/>
      <c r="Z789" s="150"/>
      <c r="AA789" s="150"/>
      <c r="AB789" s="150"/>
      <c r="AC789" s="150"/>
      <c r="AD789" s="150"/>
      <c r="AE789" s="150"/>
      <c r="AF789" s="150"/>
      <c r="AG789" s="150"/>
      <c r="AH789" s="40"/>
      <c r="AI789" s="40"/>
      <c r="AJ789" s="40"/>
      <c r="AK789" s="40"/>
      <c r="AL789" s="40"/>
      <c r="AM789" s="40"/>
      <c r="AN789" s="40"/>
      <c r="AO789" s="125"/>
      <c r="AP789" s="125"/>
      <c r="AQ789" s="126"/>
      <c r="AR789" s="126"/>
      <c r="AS789" s="126"/>
      <c r="AT789" s="126"/>
      <c r="AU789" s="106"/>
      <c r="AV789" s="106"/>
      <c r="AW789" s="126"/>
      <c r="AX789" s="126"/>
      <c r="AY789" s="126"/>
      <c r="AZ789" s="126"/>
      <c r="BA789" s="126"/>
      <c r="BB789" s="21"/>
      <c r="BC789" s="21"/>
      <c r="BD789" s="21"/>
      <c r="BE789" s="21"/>
    </row>
    <row r="790" customFormat="false" ht="14.1" hidden="true" customHeight="true" outlineLevel="1" collapsed="false">
      <c r="A790" s="348" t="s">
        <v>406</v>
      </c>
      <c r="B790" s="347" t="s">
        <v>44</v>
      </c>
      <c r="C790" s="376"/>
      <c r="D790" s="138"/>
      <c r="E790" s="138"/>
      <c r="F790" s="138"/>
      <c r="G790" s="172"/>
      <c r="H790" s="132"/>
      <c r="I790" s="150"/>
      <c r="J790" s="150"/>
      <c r="K790" s="172"/>
      <c r="L790" s="172"/>
      <c r="M790" s="26"/>
      <c r="N790" s="26"/>
      <c r="O790" s="243"/>
      <c r="P790" s="243"/>
      <c r="Q790" s="165"/>
      <c r="R790" s="165"/>
      <c r="S790" s="150"/>
      <c r="T790" s="150"/>
      <c r="U790" s="150"/>
      <c r="V790" s="150"/>
      <c r="W790" s="150"/>
      <c r="X790" s="150"/>
      <c r="Y790" s="150"/>
      <c r="Z790" s="150"/>
      <c r="AA790" s="150"/>
      <c r="AB790" s="150"/>
      <c r="AC790" s="150"/>
      <c r="AD790" s="150"/>
      <c r="AE790" s="150"/>
      <c r="AF790" s="150"/>
      <c r="AG790" s="150"/>
      <c r="AH790" s="40"/>
      <c r="AI790" s="40"/>
      <c r="AJ790" s="40"/>
      <c r="AK790" s="40"/>
      <c r="AL790" s="40"/>
      <c r="AM790" s="40"/>
      <c r="AN790" s="40"/>
      <c r="AO790" s="125"/>
      <c r="AP790" s="125"/>
      <c r="AQ790" s="126"/>
      <c r="AR790" s="126"/>
      <c r="AS790" s="126"/>
      <c r="AT790" s="126"/>
      <c r="AU790" s="106"/>
      <c r="AV790" s="106"/>
      <c r="AW790" s="126"/>
      <c r="AX790" s="126"/>
      <c r="AY790" s="126"/>
      <c r="AZ790" s="126"/>
      <c r="BA790" s="126"/>
      <c r="BB790" s="21"/>
      <c r="BC790" s="21"/>
      <c r="BD790" s="21"/>
      <c r="BE790" s="21"/>
    </row>
    <row r="791" customFormat="false" ht="14.1" hidden="true" customHeight="true" outlineLevel="1" collapsed="false">
      <c r="A791" s="139" t="s">
        <v>407</v>
      </c>
      <c r="B791" s="349" t="s">
        <v>44</v>
      </c>
      <c r="C791" s="376"/>
      <c r="D791" s="138"/>
      <c r="E791" s="138"/>
      <c r="F791" s="138"/>
      <c r="G791" s="172"/>
      <c r="H791" s="132"/>
      <c r="I791" s="150"/>
      <c r="J791" s="150"/>
      <c r="K791" s="172"/>
      <c r="L791" s="172"/>
      <c r="M791" s="26"/>
      <c r="N791" s="26"/>
      <c r="O791" s="243"/>
      <c r="P791" s="243"/>
      <c r="Q791" s="165"/>
      <c r="R791" s="165"/>
      <c r="S791" s="150"/>
      <c r="T791" s="150"/>
      <c r="U791" s="150"/>
      <c r="V791" s="150"/>
      <c r="W791" s="150"/>
      <c r="X791" s="150"/>
      <c r="Y791" s="150"/>
      <c r="Z791" s="150"/>
      <c r="AA791" s="150"/>
      <c r="AB791" s="150"/>
      <c r="AC791" s="150"/>
      <c r="AD791" s="150"/>
      <c r="AE791" s="150"/>
      <c r="AF791" s="150"/>
      <c r="AG791" s="150"/>
      <c r="AH791" s="40"/>
      <c r="AI791" s="40"/>
      <c r="AJ791" s="40"/>
      <c r="AK791" s="40"/>
      <c r="AL791" s="40"/>
      <c r="AM791" s="40"/>
      <c r="AN791" s="40"/>
      <c r="AO791" s="125"/>
      <c r="AP791" s="125"/>
      <c r="AQ791" s="126"/>
      <c r="AR791" s="126"/>
      <c r="AS791" s="126"/>
      <c r="AT791" s="126"/>
      <c r="AU791" s="106"/>
      <c r="AV791" s="106"/>
      <c r="AW791" s="126"/>
      <c r="AX791" s="126"/>
      <c r="AY791" s="126"/>
      <c r="AZ791" s="126"/>
      <c r="BA791" s="126"/>
      <c r="BB791" s="21"/>
      <c r="BC791" s="21"/>
      <c r="BD791" s="21"/>
      <c r="BE791" s="21"/>
    </row>
    <row r="792" customFormat="false" ht="14.1" hidden="true" customHeight="true" outlineLevel="1" collapsed="false">
      <c r="A792" s="376"/>
      <c r="B792" s="349"/>
      <c r="C792" s="376"/>
      <c r="D792" s="138"/>
      <c r="E792" s="138"/>
      <c r="F792" s="138"/>
      <c r="G792" s="172"/>
      <c r="H792" s="132"/>
      <c r="I792" s="150"/>
      <c r="J792" s="150"/>
      <c r="K792" s="172"/>
      <c r="L792" s="172"/>
      <c r="M792" s="26"/>
      <c r="N792" s="26"/>
      <c r="O792" s="243"/>
      <c r="P792" s="243"/>
      <c r="Q792" s="165"/>
      <c r="R792" s="165"/>
      <c r="S792" s="150"/>
      <c r="T792" s="150"/>
      <c r="U792" s="150"/>
      <c r="V792" s="150"/>
      <c r="W792" s="150"/>
      <c r="X792" s="150"/>
      <c r="Y792" s="150"/>
      <c r="Z792" s="150"/>
      <c r="AA792" s="150"/>
      <c r="AB792" s="150"/>
      <c r="AC792" s="150"/>
      <c r="AD792" s="150"/>
      <c r="AE792" s="150"/>
      <c r="AF792" s="150"/>
      <c r="AG792" s="150"/>
      <c r="AH792" s="40"/>
      <c r="AI792" s="40"/>
      <c r="AJ792" s="40"/>
      <c r="AK792" s="40"/>
      <c r="AL792" s="40"/>
      <c r="AM792" s="40"/>
      <c r="AN792" s="40"/>
      <c r="AO792" s="125"/>
      <c r="AP792" s="125"/>
      <c r="AQ792" s="126"/>
      <c r="AR792" s="126"/>
      <c r="AS792" s="126"/>
      <c r="AT792" s="126"/>
      <c r="AU792" s="106"/>
      <c r="AV792" s="106"/>
      <c r="AW792" s="126"/>
      <c r="AX792" s="126"/>
      <c r="AY792" s="126"/>
      <c r="AZ792" s="126"/>
      <c r="BA792" s="126"/>
      <c r="BB792" s="21"/>
      <c r="BC792" s="21"/>
      <c r="BD792" s="21"/>
      <c r="BE792" s="21"/>
    </row>
    <row r="793" customFormat="false" ht="14.1" hidden="true" customHeight="true" outlineLevel="1" collapsed="false">
      <c r="A793" s="149" t="s">
        <v>226</v>
      </c>
      <c r="B793" s="320" t="s">
        <v>109</v>
      </c>
      <c r="C793" s="368" t="n">
        <v>1</v>
      </c>
      <c r="D793" s="138"/>
      <c r="E793" s="138"/>
      <c r="F793" s="138"/>
      <c r="G793" s="172"/>
      <c r="H793" s="132"/>
      <c r="I793" s="150"/>
      <c r="J793" s="150"/>
      <c r="K793" s="172"/>
      <c r="L793" s="172"/>
      <c r="M793" s="26"/>
      <c r="N793" s="26"/>
      <c r="O793" s="243"/>
      <c r="P793" s="243"/>
      <c r="Q793" s="165"/>
      <c r="R793" s="165"/>
      <c r="S793" s="150"/>
      <c r="T793" s="150"/>
      <c r="U793" s="150"/>
      <c r="V793" s="150"/>
      <c r="W793" s="150"/>
      <c r="X793" s="150"/>
      <c r="Y793" s="150"/>
      <c r="Z793" s="150"/>
      <c r="AA793" s="150"/>
      <c r="AB793" s="150"/>
      <c r="AC793" s="150"/>
      <c r="AD793" s="150"/>
      <c r="AE793" s="150"/>
      <c r="AF793" s="150"/>
      <c r="AG793" s="150"/>
      <c r="AH793" s="40"/>
      <c r="AI793" s="40"/>
      <c r="AJ793" s="40"/>
      <c r="AK793" s="40"/>
      <c r="AL793" s="40"/>
      <c r="AM793" s="40"/>
      <c r="AN793" s="40"/>
      <c r="AO793" s="125"/>
      <c r="AP793" s="125"/>
      <c r="AQ793" s="126"/>
      <c r="AR793" s="126"/>
      <c r="AS793" s="126"/>
      <c r="AT793" s="126"/>
      <c r="AU793" s="106"/>
      <c r="AV793" s="106"/>
      <c r="AW793" s="126"/>
      <c r="AX793" s="126"/>
      <c r="AY793" s="126"/>
      <c r="AZ793" s="126"/>
      <c r="BA793" s="126"/>
      <c r="BB793" s="21"/>
      <c r="BC793" s="21"/>
      <c r="BD793" s="21"/>
      <c r="BE793" s="21"/>
    </row>
    <row r="794" customFormat="false" ht="14.1" hidden="true" customHeight="true" outlineLevel="1" collapsed="false">
      <c r="A794" s="240" t="s">
        <v>226</v>
      </c>
      <c r="B794" s="320" t="s">
        <v>109</v>
      </c>
      <c r="C794" s="369" t="n">
        <v>0</v>
      </c>
      <c r="D794" s="138"/>
      <c r="E794" s="138"/>
      <c r="F794" s="138"/>
      <c r="G794" s="172"/>
      <c r="H794" s="132"/>
      <c r="I794" s="150"/>
      <c r="J794" s="150"/>
      <c r="K794" s="172"/>
      <c r="L794" s="172"/>
      <c r="M794" s="26"/>
      <c r="N794" s="26"/>
      <c r="O794" s="243"/>
      <c r="P794" s="243"/>
      <c r="Q794" s="165"/>
      <c r="R794" s="165"/>
      <c r="S794" s="150"/>
      <c r="T794" s="150"/>
      <c r="U794" s="150"/>
      <c r="V794" s="150"/>
      <c r="W794" s="150"/>
      <c r="X794" s="150"/>
      <c r="Y794" s="150"/>
      <c r="Z794" s="150"/>
      <c r="AA794" s="150"/>
      <c r="AB794" s="150"/>
      <c r="AC794" s="150"/>
      <c r="AD794" s="150"/>
      <c r="AE794" s="150"/>
      <c r="AF794" s="150"/>
      <c r="AG794" s="150"/>
      <c r="AH794" s="40"/>
      <c r="AI794" s="40"/>
      <c r="AJ794" s="40"/>
      <c r="AK794" s="40"/>
      <c r="AL794" s="40"/>
      <c r="AM794" s="40"/>
      <c r="AN794" s="40"/>
      <c r="AO794" s="125"/>
      <c r="AP794" s="125"/>
      <c r="AQ794" s="126"/>
      <c r="AR794" s="126"/>
      <c r="AS794" s="126"/>
      <c r="AT794" s="126"/>
      <c r="AU794" s="106"/>
      <c r="AV794" s="106"/>
      <c r="AW794" s="126"/>
      <c r="AX794" s="126"/>
      <c r="AY794" s="126"/>
      <c r="AZ794" s="126"/>
      <c r="BA794" s="126"/>
      <c r="BB794" s="21"/>
      <c r="BC794" s="21"/>
      <c r="BD794" s="21"/>
      <c r="BE794" s="21"/>
    </row>
    <row r="795" customFormat="false" ht="14.1" hidden="true" customHeight="true" outlineLevel="1" collapsed="false">
      <c r="A795" s="240" t="s">
        <v>226</v>
      </c>
      <c r="B795" s="320" t="s">
        <v>109</v>
      </c>
      <c r="C795" s="369" t="n">
        <v>0</v>
      </c>
      <c r="D795" s="138"/>
      <c r="E795" s="138"/>
      <c r="F795" s="138"/>
      <c r="G795" s="257"/>
      <c r="H795" s="257"/>
      <c r="I795" s="257"/>
      <c r="J795" s="257"/>
      <c r="K795" s="257"/>
      <c r="L795" s="257"/>
      <c r="M795" s="257"/>
      <c r="N795" s="257"/>
      <c r="O795" s="257"/>
      <c r="P795" s="257"/>
      <c r="Q795" s="165"/>
      <c r="R795" s="165"/>
      <c r="S795" s="150"/>
      <c r="T795" s="150"/>
      <c r="U795" s="150"/>
      <c r="V795" s="150"/>
      <c r="W795" s="150"/>
      <c r="X795" s="150"/>
      <c r="Y795" s="150"/>
      <c r="Z795" s="150"/>
      <c r="AA795" s="150"/>
      <c r="AB795" s="150"/>
      <c r="AC795" s="150"/>
      <c r="AD795" s="150"/>
      <c r="AE795" s="150"/>
      <c r="AF795" s="150"/>
      <c r="AG795" s="150"/>
      <c r="AH795" s="40"/>
      <c r="AI795" s="40"/>
      <c r="AJ795" s="40"/>
      <c r="AK795" s="40"/>
      <c r="AL795" s="40"/>
      <c r="AM795" s="40"/>
      <c r="AN795" s="40"/>
      <c r="AO795" s="125"/>
      <c r="AP795" s="125"/>
      <c r="AQ795" s="126"/>
      <c r="AR795" s="126"/>
      <c r="AS795" s="126"/>
      <c r="AT795" s="126"/>
      <c r="AU795" s="106"/>
      <c r="AV795" s="106"/>
      <c r="AW795" s="126"/>
      <c r="AX795" s="126"/>
      <c r="AY795" s="126"/>
      <c r="AZ795" s="126"/>
      <c r="BA795" s="126"/>
      <c r="BB795" s="21"/>
      <c r="BC795" s="21"/>
      <c r="BD795" s="21"/>
      <c r="BE795" s="21"/>
    </row>
    <row r="796" customFormat="false" ht="14.1" hidden="true" customHeight="true" outlineLevel="1" collapsed="false">
      <c r="A796" s="163" t="s">
        <v>465</v>
      </c>
      <c r="B796" s="370" t="s">
        <v>113</v>
      </c>
      <c r="C796" s="371" t="n">
        <v>6000</v>
      </c>
      <c r="D796" s="138"/>
      <c r="E796" s="138"/>
      <c r="F796" s="138"/>
      <c r="G796" s="257"/>
      <c r="H796" s="257"/>
      <c r="I796" s="257"/>
      <c r="J796" s="257"/>
      <c r="K796" s="257"/>
      <c r="L796" s="257"/>
      <c r="M796" s="257"/>
      <c r="N796" s="257"/>
      <c r="O796" s="243"/>
      <c r="P796" s="243"/>
      <c r="Q796" s="165"/>
      <c r="R796" s="165"/>
      <c r="S796" s="150"/>
      <c r="T796" s="150"/>
      <c r="U796" s="150"/>
      <c r="V796" s="150"/>
      <c r="W796" s="150"/>
      <c r="X796" s="150"/>
      <c r="Y796" s="150"/>
      <c r="Z796" s="150"/>
      <c r="AA796" s="150"/>
      <c r="AB796" s="150"/>
      <c r="AC796" s="150"/>
      <c r="AD796" s="150"/>
      <c r="AE796" s="150"/>
      <c r="AF796" s="150"/>
      <c r="AG796" s="150"/>
      <c r="AH796" s="40"/>
      <c r="AI796" s="40"/>
      <c r="AJ796" s="40"/>
      <c r="AK796" s="40"/>
      <c r="AL796" s="40"/>
      <c r="AM796" s="40"/>
      <c r="AN796" s="40"/>
      <c r="AO796" s="125"/>
      <c r="AP796" s="125"/>
      <c r="AQ796" s="126"/>
      <c r="AR796" s="126"/>
      <c r="AS796" s="126"/>
      <c r="AT796" s="126"/>
      <c r="AU796" s="106"/>
      <c r="AV796" s="106"/>
      <c r="AW796" s="126"/>
      <c r="AX796" s="126"/>
      <c r="AY796" s="126"/>
      <c r="AZ796" s="126"/>
      <c r="BA796" s="126"/>
      <c r="BB796" s="21"/>
      <c r="BC796" s="21"/>
      <c r="BD796" s="21"/>
      <c r="BE796" s="21"/>
    </row>
    <row r="797" s="56" customFormat="true" ht="14.1" hidden="true" customHeight="true" outlineLevel="1" collapsed="false">
      <c r="A797" s="275"/>
      <c r="B797" s="277"/>
      <c r="C797" s="275"/>
      <c r="D797" s="278"/>
      <c r="E797" s="278"/>
      <c r="F797" s="278"/>
      <c r="G797" s="257"/>
      <c r="H797" s="257"/>
      <c r="I797" s="257"/>
      <c r="J797" s="257"/>
      <c r="K797" s="257"/>
      <c r="L797" s="257"/>
      <c r="M797" s="257"/>
      <c r="N797" s="257"/>
      <c r="O797" s="243"/>
      <c r="P797" s="243"/>
      <c r="Q797" s="165"/>
      <c r="R797" s="165"/>
      <c r="S797" s="165"/>
      <c r="T797" s="165"/>
      <c r="U797" s="165"/>
      <c r="V797" s="165"/>
      <c r="W797" s="165"/>
      <c r="X797" s="165"/>
      <c r="Y797" s="165"/>
      <c r="Z797" s="165"/>
      <c r="AA797" s="165"/>
      <c r="AB797" s="165"/>
      <c r="AC797" s="165"/>
      <c r="AD797" s="165"/>
      <c r="AE797" s="165"/>
      <c r="AF797" s="165"/>
      <c r="AG797" s="165"/>
      <c r="AH797" s="52"/>
      <c r="AI797" s="52"/>
      <c r="AJ797" s="52"/>
      <c r="AK797" s="52"/>
      <c r="AL797" s="52"/>
      <c r="AM797" s="52"/>
      <c r="AN797" s="52"/>
      <c r="AO797" s="195"/>
      <c r="AP797" s="195"/>
      <c r="AQ797" s="106"/>
      <c r="AR797" s="106"/>
      <c r="AS797" s="106"/>
      <c r="AT797" s="106"/>
      <c r="AU797" s="106"/>
      <c r="AV797" s="106"/>
      <c r="AW797" s="106"/>
      <c r="AX797" s="106"/>
      <c r="AY797" s="106"/>
      <c r="AZ797" s="106"/>
      <c r="BA797" s="106"/>
      <c r="BB797" s="19"/>
      <c r="BC797" s="19"/>
      <c r="BD797" s="19"/>
      <c r="BE797" s="19"/>
      <c r="BF797" s="55"/>
    </row>
    <row r="798" customFormat="false" ht="14.1" hidden="false" customHeight="true" outlineLevel="0" collapsed="false">
      <c r="A798" s="387" t="s">
        <v>466</v>
      </c>
      <c r="B798" s="387"/>
      <c r="C798" s="387"/>
      <c r="D798" s="387"/>
      <c r="E798" s="387"/>
      <c r="F798" s="138"/>
      <c r="G798" s="26"/>
      <c r="H798" s="388"/>
      <c r="I798" s="388"/>
      <c r="J798" s="388"/>
      <c r="K798" s="388"/>
      <c r="L798" s="388"/>
      <c r="M798" s="389"/>
      <c r="N798" s="389"/>
      <c r="O798" s="389"/>
      <c r="P798" s="243"/>
      <c r="Q798" s="165"/>
      <c r="R798" s="165"/>
      <c r="S798" s="150"/>
      <c r="T798" s="150"/>
      <c r="U798" s="150"/>
      <c r="V798" s="150"/>
      <c r="W798" s="150"/>
      <c r="X798" s="150"/>
      <c r="Y798" s="150"/>
      <c r="Z798" s="150"/>
      <c r="AA798" s="150"/>
      <c r="AB798" s="150"/>
      <c r="AC798" s="150"/>
      <c r="AD798" s="150"/>
      <c r="AE798" s="150"/>
      <c r="AF798" s="150"/>
      <c r="AG798" s="150"/>
      <c r="AH798" s="40"/>
      <c r="AI798" s="40"/>
      <c r="AJ798" s="40"/>
      <c r="AK798" s="40"/>
      <c r="AL798" s="40"/>
      <c r="AM798" s="40"/>
      <c r="AN798" s="40"/>
      <c r="AO798" s="125"/>
      <c r="AP798" s="125"/>
      <c r="AQ798" s="126"/>
      <c r="AR798" s="126"/>
      <c r="AS798" s="126"/>
      <c r="AT798" s="126"/>
      <c r="AU798" s="106"/>
      <c r="AV798" s="134" t="n">
        <f aca="false">M798</f>
        <v>0</v>
      </c>
      <c r="AW798" s="126"/>
      <c r="AX798" s="126"/>
      <c r="AY798" s="126"/>
      <c r="AZ798" s="126"/>
      <c r="BA798" s="126"/>
      <c r="BB798" s="21"/>
      <c r="BC798" s="21"/>
      <c r="BD798" s="21"/>
      <c r="BE798" s="21"/>
    </row>
    <row r="799" s="35" customFormat="true" ht="14.1" hidden="false" customHeight="true" outlineLevel="0" collapsed="false">
      <c r="A799" s="230"/>
      <c r="B799" s="173"/>
      <c r="C799" s="254"/>
      <c r="D799" s="254"/>
      <c r="E799" s="254"/>
      <c r="F799" s="254"/>
      <c r="G799" s="254"/>
      <c r="H799" s="173"/>
      <c r="I799" s="212"/>
      <c r="J799" s="259"/>
      <c r="K799" s="220"/>
      <c r="L799" s="220"/>
      <c r="M799" s="259"/>
      <c r="N799" s="165"/>
      <c r="O799" s="165"/>
      <c r="P799" s="165"/>
      <c r="Q799" s="150"/>
      <c r="R799" s="150"/>
      <c r="S799" s="150"/>
      <c r="T799" s="150"/>
      <c r="U799" s="150"/>
      <c r="V799" s="150"/>
      <c r="W799" s="150"/>
      <c r="X799" s="150"/>
      <c r="Y799" s="150"/>
      <c r="Z799" s="150"/>
      <c r="AA799" s="150"/>
      <c r="AB799" s="150"/>
      <c r="AC799" s="150"/>
      <c r="AD799" s="150"/>
      <c r="AE799" s="150"/>
      <c r="AF799" s="150"/>
      <c r="AG799" s="150"/>
      <c r="AH799" s="40"/>
      <c r="AI799" s="40"/>
      <c r="AJ799" s="40"/>
      <c r="AK799" s="40"/>
      <c r="AL799" s="40"/>
      <c r="AM799" s="40"/>
      <c r="AN799" s="40"/>
      <c r="AO799" s="125"/>
      <c r="AP799" s="125"/>
      <c r="AQ799" s="126"/>
      <c r="AR799" s="126"/>
      <c r="AS799" s="126"/>
      <c r="AT799" s="126"/>
      <c r="AU799" s="106"/>
      <c r="AV799" s="106"/>
      <c r="AW799" s="126"/>
      <c r="AX799" s="126"/>
      <c r="AY799" s="126"/>
      <c r="AZ799" s="126"/>
      <c r="BA799" s="126"/>
      <c r="BB799" s="126"/>
      <c r="BC799" s="126"/>
      <c r="BD799" s="126"/>
      <c r="BE799" s="126"/>
      <c r="BF799" s="156"/>
    </row>
    <row r="800" customFormat="false" ht="14.1" hidden="true" customHeight="true" outlineLevel="1" collapsed="false">
      <c r="A800" s="372" t="s">
        <v>467</v>
      </c>
      <c r="B800" s="372"/>
      <c r="C800" s="372"/>
      <c r="D800" s="372"/>
      <c r="E800" s="372"/>
      <c r="F800" s="372"/>
      <c r="G800" s="372"/>
      <c r="H800" s="373"/>
      <c r="I800" s="373"/>
      <c r="J800" s="373"/>
      <c r="K800" s="373"/>
      <c r="L800" s="373"/>
      <c r="M800" s="373"/>
      <c r="N800" s="373"/>
      <c r="O800" s="373"/>
      <c r="P800" s="373"/>
      <c r="Q800" s="373"/>
      <c r="R800" s="373"/>
      <c r="S800" s="373"/>
      <c r="T800" s="373"/>
      <c r="U800" s="373"/>
      <c r="V800" s="373"/>
      <c r="W800" s="373"/>
      <c r="X800" s="373"/>
      <c r="Y800" s="373"/>
      <c r="Z800" s="373"/>
      <c r="AA800" s="373"/>
      <c r="AB800" s="373"/>
      <c r="AC800" s="373"/>
      <c r="AD800" s="373"/>
      <c r="AE800" s="373"/>
      <c r="AF800" s="150"/>
      <c r="AG800" s="150"/>
      <c r="AH800" s="40"/>
      <c r="AI800" s="40"/>
      <c r="AJ800" s="40"/>
      <c r="AK800" s="40"/>
      <c r="AL800" s="40"/>
      <c r="AM800" s="40"/>
      <c r="AN800" s="40"/>
      <c r="AO800" s="125"/>
      <c r="AP800" s="125"/>
      <c r="AQ800" s="126"/>
      <c r="AR800" s="126"/>
      <c r="AS800" s="126"/>
      <c r="AT800" s="126"/>
      <c r="AU800" s="106"/>
      <c r="AV800" s="106"/>
      <c r="AW800" s="126"/>
      <c r="AX800" s="126"/>
      <c r="AY800" s="126"/>
      <c r="AZ800" s="126"/>
      <c r="BA800" s="126"/>
      <c r="BB800" s="21"/>
      <c r="BC800" s="21"/>
      <c r="BD800" s="21"/>
      <c r="BE800" s="21"/>
    </row>
    <row r="801" customFormat="false" ht="14.1" hidden="true" customHeight="true" outlineLevel="1" collapsed="false">
      <c r="A801" s="372"/>
      <c r="B801" s="372"/>
      <c r="C801" s="372"/>
      <c r="D801" s="372"/>
      <c r="E801" s="372"/>
      <c r="F801" s="372"/>
      <c r="G801" s="372"/>
      <c r="H801" s="373"/>
      <c r="I801" s="373"/>
      <c r="J801" s="373"/>
      <c r="K801" s="373"/>
      <c r="L801" s="373"/>
      <c r="M801" s="373"/>
      <c r="N801" s="373"/>
      <c r="O801" s="373"/>
      <c r="P801" s="373"/>
      <c r="Q801" s="373"/>
      <c r="R801" s="373"/>
      <c r="S801" s="373"/>
      <c r="T801" s="373"/>
      <c r="U801" s="373"/>
      <c r="V801" s="373"/>
      <c r="W801" s="373"/>
      <c r="X801" s="373"/>
      <c r="Y801" s="373"/>
      <c r="Z801" s="373"/>
      <c r="AA801" s="373"/>
      <c r="AB801" s="373"/>
      <c r="AC801" s="373"/>
      <c r="AD801" s="373"/>
      <c r="AE801" s="373"/>
      <c r="AF801" s="150"/>
      <c r="AG801" s="150"/>
      <c r="AH801" s="40"/>
      <c r="AI801" s="40"/>
      <c r="AJ801" s="40"/>
      <c r="AK801" s="40"/>
      <c r="AL801" s="40"/>
      <c r="AM801" s="40"/>
      <c r="AN801" s="40"/>
      <c r="AO801" s="125"/>
      <c r="AP801" s="125"/>
      <c r="AQ801" s="126"/>
      <c r="AR801" s="126"/>
      <c r="AS801" s="126"/>
      <c r="AT801" s="126"/>
      <c r="AU801" s="106"/>
      <c r="AV801" s="106"/>
      <c r="AW801" s="126"/>
      <c r="AX801" s="126"/>
      <c r="AY801" s="126"/>
      <c r="AZ801" s="126"/>
      <c r="BA801" s="126"/>
      <c r="BB801" s="21"/>
      <c r="BC801" s="21"/>
      <c r="BD801" s="21"/>
      <c r="BE801" s="21"/>
    </row>
    <row r="802" customFormat="false" ht="14.1" hidden="true" customHeight="true" outlineLevel="1" collapsed="false">
      <c r="A802" s="390" t="s">
        <v>461</v>
      </c>
      <c r="B802" s="391"/>
      <c r="C802" s="390"/>
      <c r="D802" s="392" t="n">
        <v>1.1</v>
      </c>
      <c r="E802" s="138"/>
      <c r="F802" s="138"/>
      <c r="G802" s="172"/>
      <c r="H802" s="172"/>
      <c r="I802" s="172"/>
      <c r="J802" s="172"/>
      <c r="K802" s="172"/>
      <c r="L802" s="172"/>
      <c r="M802" s="172"/>
      <c r="N802" s="172"/>
      <c r="O802" s="172"/>
      <c r="P802" s="172"/>
      <c r="Q802" s="172"/>
      <c r="R802" s="172"/>
      <c r="S802" s="172"/>
      <c r="T802" s="172"/>
      <c r="U802" s="172"/>
      <c r="V802" s="172"/>
      <c r="W802" s="172"/>
      <c r="X802" s="172"/>
      <c r="Y802" s="172"/>
      <c r="Z802" s="172"/>
      <c r="AA802" s="172"/>
      <c r="AB802" s="150"/>
      <c r="AC802" s="150"/>
      <c r="AD802" s="150"/>
      <c r="AE802" s="379"/>
      <c r="AF802" s="150"/>
      <c r="AG802" s="150"/>
      <c r="AH802" s="40"/>
      <c r="AI802" s="40"/>
      <c r="AJ802" s="40"/>
      <c r="AK802" s="40"/>
      <c r="AL802" s="40"/>
      <c r="AM802" s="40"/>
      <c r="AN802" s="40"/>
      <c r="AO802" s="125"/>
      <c r="AP802" s="125"/>
      <c r="AQ802" s="126"/>
      <c r="AR802" s="126"/>
      <c r="AS802" s="126"/>
      <c r="AT802" s="126"/>
      <c r="AU802" s="106"/>
      <c r="AV802" s="106"/>
      <c r="AW802" s="126"/>
      <c r="AX802" s="126"/>
      <c r="AY802" s="126"/>
      <c r="AZ802" s="126"/>
      <c r="BA802" s="126"/>
      <c r="BB802" s="21"/>
      <c r="BC802" s="21"/>
      <c r="BD802" s="21"/>
      <c r="BE802" s="21"/>
    </row>
    <row r="803" customFormat="false" ht="14.1" hidden="true" customHeight="true" outlineLevel="1" collapsed="false">
      <c r="A803" s="393" t="s">
        <v>462</v>
      </c>
      <c r="B803" s="394"/>
      <c r="C803" s="393"/>
      <c r="D803" s="356" t="n">
        <v>1.05</v>
      </c>
      <c r="E803" s="138"/>
      <c r="F803" s="138"/>
      <c r="G803" s="172"/>
      <c r="H803" s="172"/>
      <c r="I803" s="172"/>
      <c r="J803" s="172"/>
      <c r="K803" s="172"/>
      <c r="L803" s="172"/>
      <c r="M803" s="172"/>
      <c r="N803" s="172"/>
      <c r="O803" s="172"/>
      <c r="P803" s="172"/>
      <c r="Q803" s="172"/>
      <c r="R803" s="172"/>
      <c r="S803" s="172"/>
      <c r="T803" s="172"/>
      <c r="U803" s="172"/>
      <c r="V803" s="172"/>
      <c r="W803" s="172"/>
      <c r="X803" s="172"/>
      <c r="Y803" s="172"/>
      <c r="Z803" s="172"/>
      <c r="AA803" s="172"/>
      <c r="AB803" s="150"/>
      <c r="AC803" s="150"/>
      <c r="AD803" s="150"/>
      <c r="AE803" s="150"/>
      <c r="AF803" s="150"/>
      <c r="AG803" s="150"/>
      <c r="AH803" s="40"/>
      <c r="AI803" s="40"/>
      <c r="AJ803" s="40"/>
      <c r="AK803" s="40"/>
      <c r="AL803" s="40"/>
      <c r="AM803" s="40"/>
      <c r="AN803" s="40"/>
      <c r="AO803" s="125"/>
      <c r="AP803" s="125"/>
      <c r="AQ803" s="126"/>
      <c r="AR803" s="126"/>
      <c r="AS803" s="126"/>
      <c r="AT803" s="126"/>
      <c r="AU803" s="106"/>
      <c r="AV803" s="106"/>
      <c r="AW803" s="126"/>
      <c r="AX803" s="126"/>
      <c r="AY803" s="126"/>
      <c r="AZ803" s="126"/>
      <c r="BA803" s="126"/>
      <c r="BB803" s="21"/>
      <c r="BC803" s="21"/>
      <c r="BD803" s="21"/>
      <c r="BE803" s="21"/>
    </row>
    <row r="804" customFormat="false" ht="14.1" hidden="true" customHeight="true" outlineLevel="1" collapsed="false">
      <c r="A804" s="278"/>
      <c r="B804" s="395"/>
      <c r="C804" s="376"/>
      <c r="D804" s="376"/>
      <c r="E804" s="376"/>
      <c r="F804" s="376"/>
      <c r="G804" s="172"/>
      <c r="H804" s="172"/>
      <c r="I804" s="172"/>
      <c r="J804" s="172"/>
      <c r="K804" s="172"/>
      <c r="L804" s="172"/>
      <c r="M804" s="172"/>
      <c r="N804" s="172"/>
      <c r="O804" s="172"/>
      <c r="P804" s="172"/>
      <c r="Q804" s="172"/>
      <c r="R804" s="172"/>
      <c r="S804" s="172"/>
      <c r="T804" s="172"/>
      <c r="U804" s="172"/>
      <c r="V804" s="172"/>
      <c r="W804" s="172"/>
      <c r="X804" s="172"/>
      <c r="Y804" s="381"/>
      <c r="Z804" s="381"/>
      <c r="AA804" s="382"/>
      <c r="AB804" s="150"/>
      <c r="AC804" s="150"/>
      <c r="AD804" s="150"/>
      <c r="AE804" s="150"/>
      <c r="AF804" s="150"/>
      <c r="AG804" s="150"/>
      <c r="AH804" s="40"/>
      <c r="AI804" s="40"/>
      <c r="AJ804" s="40"/>
      <c r="AK804" s="40"/>
      <c r="AL804" s="40"/>
      <c r="AM804" s="40"/>
      <c r="AN804" s="40"/>
      <c r="AO804" s="125"/>
      <c r="AP804" s="125"/>
      <c r="AQ804" s="126"/>
      <c r="AR804" s="126"/>
      <c r="AS804" s="126"/>
      <c r="AT804" s="126"/>
      <c r="AU804" s="106"/>
      <c r="AV804" s="106"/>
      <c r="AW804" s="126"/>
      <c r="AX804" s="126"/>
      <c r="AY804" s="126"/>
      <c r="AZ804" s="126"/>
      <c r="BA804" s="126"/>
      <c r="BB804" s="160"/>
      <c r="BC804" s="160"/>
      <c r="BD804" s="160"/>
      <c r="BE804" s="160"/>
    </row>
    <row r="805" customFormat="false" ht="14.1" hidden="true" customHeight="true" outlineLevel="1" collapsed="false">
      <c r="A805" s="196" t="s">
        <v>468</v>
      </c>
      <c r="B805" s="270"/>
      <c r="C805" s="396"/>
      <c r="D805" s="270"/>
      <c r="E805" s="138"/>
      <c r="F805" s="138"/>
      <c r="G805" s="26"/>
      <c r="H805" s="26"/>
      <c r="I805" s="173"/>
      <c r="J805" s="220"/>
      <c r="K805" s="397"/>
      <c r="L805" s="398"/>
      <c r="M805" s="398"/>
      <c r="N805" s="398"/>
      <c r="O805" s="398"/>
      <c r="P805" s="398"/>
      <c r="Q805" s="398"/>
      <c r="R805" s="165"/>
      <c r="S805" s="165"/>
      <c r="T805" s="150"/>
      <c r="U805" s="150"/>
      <c r="V805" s="150"/>
      <c r="W805" s="150"/>
      <c r="X805" s="150"/>
      <c r="Y805" s="150"/>
      <c r="Z805" s="150"/>
      <c r="AA805" s="150"/>
      <c r="AB805" s="150"/>
      <c r="AC805" s="150"/>
      <c r="AD805" s="150"/>
      <c r="AE805" s="150"/>
      <c r="AF805" s="150"/>
      <c r="AG805" s="150"/>
      <c r="AH805" s="40"/>
      <c r="AI805" s="40"/>
      <c r="AJ805" s="40"/>
      <c r="AK805" s="40"/>
      <c r="AL805" s="40"/>
      <c r="AM805" s="40"/>
      <c r="AN805" s="40"/>
      <c r="AO805" s="125"/>
      <c r="AP805" s="125"/>
      <c r="AQ805" s="126"/>
      <c r="AR805" s="126"/>
      <c r="AS805" s="126"/>
      <c r="AT805" s="126"/>
      <c r="AU805" s="106"/>
      <c r="AV805" s="106"/>
      <c r="AW805" s="126"/>
      <c r="AX805" s="126"/>
      <c r="AY805" s="126"/>
      <c r="AZ805" s="126"/>
      <c r="BA805" s="126"/>
      <c r="BB805" s="21"/>
      <c r="BC805" s="21"/>
      <c r="BD805" s="21"/>
      <c r="BE805" s="21"/>
    </row>
    <row r="806" customFormat="false" ht="14.1" hidden="true" customHeight="true" outlineLevel="1" collapsed="false">
      <c r="A806" s="319" t="s">
        <v>469</v>
      </c>
      <c r="B806" s="320" t="s">
        <v>15</v>
      </c>
      <c r="C806" s="399" t="n">
        <v>0.3</v>
      </c>
      <c r="D806" s="400"/>
      <c r="E806" s="138"/>
      <c r="F806" s="138"/>
      <c r="G806" s="26"/>
      <c r="H806" s="26"/>
      <c r="I806" s="179"/>
      <c r="J806" s="179"/>
      <c r="K806" s="179"/>
      <c r="L806" s="179"/>
      <c r="M806" s="398"/>
      <c r="N806" s="398"/>
      <c r="O806" s="398"/>
      <c r="P806" s="398"/>
      <c r="Q806" s="398"/>
      <c r="R806" s="165"/>
      <c r="S806" s="165"/>
      <c r="T806" s="150"/>
      <c r="U806" s="150"/>
      <c r="V806" s="150"/>
      <c r="W806" s="150"/>
      <c r="X806" s="150"/>
      <c r="Y806" s="150"/>
      <c r="Z806" s="150"/>
      <c r="AA806" s="150"/>
      <c r="AB806" s="150"/>
      <c r="AC806" s="150"/>
      <c r="AD806" s="150"/>
      <c r="AE806" s="150"/>
      <c r="AF806" s="150"/>
      <c r="AG806" s="150"/>
      <c r="AH806" s="40"/>
      <c r="AI806" s="40"/>
      <c r="AJ806" s="40"/>
      <c r="AK806" s="40"/>
      <c r="AL806" s="40"/>
      <c r="AM806" s="40"/>
      <c r="AN806" s="40"/>
      <c r="AO806" s="125"/>
      <c r="AP806" s="125"/>
      <c r="AQ806" s="126"/>
      <c r="AR806" s="126"/>
      <c r="AS806" s="126"/>
      <c r="AT806" s="126"/>
      <c r="AU806" s="106"/>
      <c r="AV806" s="106"/>
      <c r="AW806" s="126"/>
      <c r="AX806" s="126"/>
      <c r="AY806" s="126"/>
      <c r="AZ806" s="126"/>
      <c r="BA806" s="126"/>
      <c r="BB806" s="21"/>
      <c r="BC806" s="21"/>
      <c r="BD806" s="21"/>
      <c r="BE806" s="21"/>
    </row>
    <row r="807" customFormat="false" ht="14.1" hidden="true" customHeight="true" outlineLevel="1" collapsed="false">
      <c r="A807" s="401" t="s">
        <v>470</v>
      </c>
      <c r="B807" s="320" t="s">
        <v>15</v>
      </c>
      <c r="C807" s="399" t="n">
        <v>0.3</v>
      </c>
      <c r="D807" s="400"/>
      <c r="E807" s="138"/>
      <c r="F807" s="138"/>
      <c r="G807" s="26"/>
      <c r="H807" s="26"/>
      <c r="I807" s="179"/>
      <c r="J807" s="179"/>
      <c r="K807" s="179"/>
      <c r="L807" s="179"/>
      <c r="M807" s="398"/>
      <c r="N807" s="398"/>
      <c r="O807" s="398"/>
      <c r="P807" s="398"/>
      <c r="Q807" s="398"/>
      <c r="R807" s="165"/>
      <c r="S807" s="165"/>
      <c r="T807" s="150"/>
      <c r="U807" s="150"/>
      <c r="V807" s="150"/>
      <c r="W807" s="150"/>
      <c r="X807" s="150"/>
      <c r="Y807" s="150"/>
      <c r="Z807" s="150"/>
      <c r="AA807" s="150"/>
      <c r="AB807" s="150"/>
      <c r="AC807" s="150"/>
      <c r="AD807" s="150"/>
      <c r="AE807" s="150"/>
      <c r="AF807" s="150"/>
      <c r="AG807" s="150"/>
      <c r="AH807" s="40"/>
      <c r="AI807" s="40"/>
      <c r="AJ807" s="40"/>
      <c r="AK807" s="40"/>
      <c r="AL807" s="40"/>
      <c r="AM807" s="40"/>
      <c r="AN807" s="40"/>
      <c r="AO807" s="125"/>
      <c r="AP807" s="125"/>
      <c r="AQ807" s="126"/>
      <c r="AR807" s="126"/>
      <c r="AS807" s="126"/>
      <c r="AT807" s="126"/>
      <c r="AU807" s="106"/>
      <c r="AV807" s="106"/>
      <c r="AW807" s="126"/>
      <c r="AX807" s="126"/>
      <c r="AY807" s="126"/>
      <c r="AZ807" s="126"/>
      <c r="BA807" s="126"/>
      <c r="BB807" s="21"/>
      <c r="BC807" s="21"/>
      <c r="BD807" s="21"/>
      <c r="BE807" s="21"/>
    </row>
    <row r="808" customFormat="false" ht="14.1" hidden="true" customHeight="true" outlineLevel="1" collapsed="false">
      <c r="A808" s="401" t="s">
        <v>471</v>
      </c>
      <c r="B808" s="320" t="s">
        <v>15</v>
      </c>
      <c r="C808" s="399" t="n">
        <v>0.3</v>
      </c>
      <c r="D808" s="400"/>
      <c r="E808" s="138"/>
      <c r="F808" s="138"/>
      <c r="G808" s="26"/>
      <c r="H808" s="26"/>
      <c r="I808" s="179"/>
      <c r="J808" s="179"/>
      <c r="K808" s="179"/>
      <c r="L808" s="179"/>
      <c r="M808" s="398"/>
      <c r="N808" s="398"/>
      <c r="O808" s="398"/>
      <c r="P808" s="398"/>
      <c r="Q808" s="398"/>
      <c r="R808" s="165"/>
      <c r="S808" s="165"/>
      <c r="T808" s="150"/>
      <c r="U808" s="150"/>
      <c r="V808" s="150"/>
      <c r="W808" s="150"/>
      <c r="X808" s="150"/>
      <c r="Y808" s="150"/>
      <c r="Z808" s="150"/>
      <c r="AA808" s="150"/>
      <c r="AB808" s="150"/>
      <c r="AC808" s="150"/>
      <c r="AD808" s="150"/>
      <c r="AE808" s="150"/>
      <c r="AF808" s="150"/>
      <c r="AG808" s="150"/>
      <c r="AH808" s="40"/>
      <c r="AI808" s="40"/>
      <c r="AJ808" s="40"/>
      <c r="AK808" s="40"/>
      <c r="AL808" s="40"/>
      <c r="AM808" s="40"/>
      <c r="AN808" s="40"/>
      <c r="AO808" s="125"/>
      <c r="AP808" s="125"/>
      <c r="AQ808" s="126"/>
      <c r="AR808" s="126"/>
      <c r="AS808" s="126"/>
      <c r="AT808" s="126"/>
      <c r="AU808" s="106"/>
      <c r="AV808" s="106"/>
      <c r="AW808" s="126"/>
      <c r="AX808" s="126"/>
      <c r="AY808" s="126"/>
      <c r="AZ808" s="126"/>
      <c r="BA808" s="126"/>
      <c r="BB808" s="21"/>
      <c r="BC808" s="21"/>
      <c r="BD808" s="21"/>
      <c r="BE808" s="21"/>
    </row>
    <row r="809" customFormat="false" ht="14.1" hidden="true" customHeight="true" outlineLevel="1" collapsed="false">
      <c r="A809" s="401" t="s">
        <v>472</v>
      </c>
      <c r="B809" s="320" t="s">
        <v>15</v>
      </c>
      <c r="C809" s="399" t="n">
        <v>0.3</v>
      </c>
      <c r="D809" s="400"/>
      <c r="E809" s="138"/>
      <c r="F809" s="138"/>
      <c r="G809" s="26"/>
      <c r="H809" s="26"/>
      <c r="I809" s="398"/>
      <c r="J809" s="398"/>
      <c r="K809" s="398"/>
      <c r="L809" s="398"/>
      <c r="M809" s="398"/>
      <c r="N809" s="398"/>
      <c r="O809" s="398"/>
      <c r="P809" s="398"/>
      <c r="Q809" s="398"/>
      <c r="R809" s="165"/>
      <c r="S809" s="165"/>
      <c r="T809" s="150"/>
      <c r="U809" s="150"/>
      <c r="V809" s="150"/>
      <c r="W809" s="150"/>
      <c r="X809" s="150"/>
      <c r="Y809" s="150"/>
      <c r="Z809" s="150"/>
      <c r="AA809" s="150"/>
      <c r="AB809" s="150"/>
      <c r="AC809" s="150"/>
      <c r="AD809" s="150"/>
      <c r="AE809" s="150"/>
      <c r="AF809" s="150"/>
      <c r="AG809" s="150"/>
      <c r="AH809" s="40"/>
      <c r="AI809" s="40"/>
      <c r="AJ809" s="40"/>
      <c r="AK809" s="40"/>
      <c r="AL809" s="40"/>
      <c r="AM809" s="40"/>
      <c r="AN809" s="40"/>
      <c r="AO809" s="125"/>
      <c r="AP809" s="125"/>
      <c r="AQ809" s="126"/>
      <c r="AR809" s="126"/>
      <c r="AS809" s="126"/>
      <c r="AT809" s="126"/>
      <c r="AU809" s="106"/>
      <c r="AV809" s="106"/>
      <c r="AW809" s="126"/>
      <c r="AX809" s="126"/>
      <c r="AY809" s="126"/>
      <c r="AZ809" s="126"/>
      <c r="BA809" s="126"/>
      <c r="BB809" s="21"/>
      <c r="BC809" s="21"/>
      <c r="BD809" s="21"/>
      <c r="BE809" s="21"/>
    </row>
    <row r="810" customFormat="false" ht="14.1" hidden="true" customHeight="true" outlineLevel="1" collapsed="false">
      <c r="A810" s="319" t="s">
        <v>473</v>
      </c>
      <c r="B810" s="320" t="s">
        <v>15</v>
      </c>
      <c r="C810" s="399" t="n">
        <v>0.4</v>
      </c>
      <c r="D810" s="400"/>
      <c r="E810" s="138"/>
      <c r="F810" s="138"/>
      <c r="G810" s="26"/>
      <c r="H810" s="26"/>
      <c r="I810" s="398"/>
      <c r="J810" s="398"/>
      <c r="K810" s="398"/>
      <c r="L810" s="398"/>
      <c r="M810" s="398"/>
      <c r="N810" s="398"/>
      <c r="O810" s="398"/>
      <c r="P810" s="398"/>
      <c r="Q810" s="398"/>
      <c r="R810" s="165"/>
      <c r="S810" s="165"/>
      <c r="T810" s="150"/>
      <c r="U810" s="150"/>
      <c r="V810" s="150"/>
      <c r="W810" s="150"/>
      <c r="X810" s="150"/>
      <c r="Y810" s="150"/>
      <c r="Z810" s="150"/>
      <c r="AA810" s="150"/>
      <c r="AB810" s="150"/>
      <c r="AC810" s="150"/>
      <c r="AD810" s="150"/>
      <c r="AE810" s="150"/>
      <c r="AF810" s="150"/>
      <c r="AG810" s="150"/>
      <c r="AH810" s="40"/>
      <c r="AI810" s="40"/>
      <c r="AJ810" s="40"/>
      <c r="AK810" s="40"/>
      <c r="AL810" s="40"/>
      <c r="AM810" s="40"/>
      <c r="AN810" s="40"/>
      <c r="AO810" s="125"/>
      <c r="AP810" s="125"/>
      <c r="AQ810" s="126"/>
      <c r="AR810" s="126"/>
      <c r="AS810" s="126"/>
      <c r="AT810" s="126"/>
      <c r="AU810" s="106"/>
      <c r="AV810" s="106"/>
      <c r="AW810" s="126"/>
      <c r="AX810" s="126"/>
      <c r="AY810" s="126"/>
      <c r="AZ810" s="126"/>
      <c r="BA810" s="126"/>
      <c r="BB810" s="21"/>
      <c r="BC810" s="21"/>
      <c r="BD810" s="21"/>
      <c r="BE810" s="21"/>
    </row>
    <row r="811" customFormat="false" ht="14.1" hidden="true" customHeight="true" outlineLevel="1" collapsed="false">
      <c r="A811" s="196" t="s">
        <v>474</v>
      </c>
      <c r="B811" s="270"/>
      <c r="C811" s="402"/>
      <c r="D811" s="403"/>
      <c r="E811" s="138"/>
      <c r="F811" s="138"/>
      <c r="G811" s="26"/>
      <c r="H811" s="26"/>
      <c r="I811" s="398"/>
      <c r="J811" s="398"/>
      <c r="K811" s="398"/>
      <c r="L811" s="398"/>
      <c r="M811" s="398"/>
      <c r="N811" s="398"/>
      <c r="O811" s="398"/>
      <c r="P811" s="398"/>
      <c r="Q811" s="398"/>
      <c r="R811" s="165"/>
      <c r="S811" s="165"/>
      <c r="T811" s="150"/>
      <c r="U811" s="150"/>
      <c r="V811" s="150"/>
      <c r="W811" s="150"/>
      <c r="X811" s="150"/>
      <c r="Y811" s="150"/>
      <c r="Z811" s="150"/>
      <c r="AA811" s="150"/>
      <c r="AB811" s="150"/>
      <c r="AC811" s="150"/>
      <c r="AD811" s="150"/>
      <c r="AE811" s="150"/>
      <c r="AF811" s="150"/>
      <c r="AG811" s="150"/>
      <c r="AH811" s="40"/>
      <c r="AI811" s="40"/>
      <c r="AJ811" s="40"/>
      <c r="AK811" s="40"/>
      <c r="AL811" s="40"/>
      <c r="AM811" s="40"/>
      <c r="AN811" s="40"/>
      <c r="AO811" s="125"/>
      <c r="AP811" s="125"/>
      <c r="AQ811" s="126"/>
      <c r="AR811" s="126"/>
      <c r="AS811" s="126"/>
      <c r="AT811" s="126"/>
      <c r="AU811" s="106"/>
      <c r="AV811" s="106"/>
      <c r="AW811" s="126"/>
      <c r="AX811" s="126"/>
      <c r="AY811" s="126"/>
      <c r="AZ811" s="126"/>
      <c r="BA811" s="126"/>
      <c r="BB811" s="21"/>
      <c r="BC811" s="21"/>
      <c r="BD811" s="21"/>
      <c r="BE811" s="21"/>
    </row>
    <row r="812" customFormat="false" ht="14.1" hidden="true" customHeight="true" outlineLevel="1" collapsed="false">
      <c r="A812" s="231" t="s">
        <v>475</v>
      </c>
      <c r="B812" s="270"/>
      <c r="C812" s="402"/>
      <c r="D812" s="403"/>
      <c r="E812" s="138"/>
      <c r="F812" s="138"/>
      <c r="G812" s="26"/>
      <c r="H812" s="26"/>
      <c r="I812" s="398"/>
      <c r="J812" s="398"/>
      <c r="K812" s="398"/>
      <c r="L812" s="398"/>
      <c r="M812" s="398"/>
      <c r="N812" s="398"/>
      <c r="O812" s="398"/>
      <c r="P812" s="398"/>
      <c r="Q812" s="398"/>
      <c r="R812" s="165"/>
      <c r="S812" s="165"/>
      <c r="T812" s="150"/>
      <c r="U812" s="150"/>
      <c r="V812" s="150"/>
      <c r="W812" s="150"/>
      <c r="X812" s="150"/>
      <c r="Y812" s="150"/>
      <c r="Z812" s="150"/>
      <c r="AA812" s="150"/>
      <c r="AB812" s="150"/>
      <c r="AC812" s="150"/>
      <c r="AD812" s="150"/>
      <c r="AE812" s="150"/>
      <c r="AF812" s="150"/>
      <c r="AG812" s="150"/>
      <c r="AH812" s="40"/>
      <c r="AI812" s="40"/>
      <c r="AJ812" s="40"/>
      <c r="AK812" s="40"/>
      <c r="AL812" s="40"/>
      <c r="AM812" s="40"/>
      <c r="AN812" s="40"/>
      <c r="AO812" s="125"/>
      <c r="AP812" s="125"/>
      <c r="AQ812" s="126"/>
      <c r="AR812" s="126"/>
      <c r="AS812" s="126"/>
      <c r="AT812" s="126"/>
      <c r="AU812" s="106"/>
      <c r="AV812" s="106"/>
      <c r="AW812" s="126"/>
      <c r="AX812" s="126"/>
      <c r="AY812" s="126"/>
      <c r="AZ812" s="126"/>
      <c r="BA812" s="126"/>
      <c r="BB812" s="21"/>
      <c r="BC812" s="21"/>
      <c r="BD812" s="21"/>
      <c r="BE812" s="21"/>
    </row>
    <row r="813" s="56" customFormat="true" ht="14.1" hidden="true" customHeight="true" outlineLevel="1" collapsed="false">
      <c r="A813" s="196" t="s">
        <v>476</v>
      </c>
      <c r="B813" s="270"/>
      <c r="C813" s="402"/>
      <c r="D813" s="404"/>
      <c r="E813" s="278"/>
      <c r="F813" s="278"/>
      <c r="G813" s="132"/>
      <c r="H813" s="132"/>
      <c r="I813" s="179"/>
      <c r="J813" s="179"/>
      <c r="K813" s="179"/>
      <c r="L813" s="179"/>
      <c r="M813" s="179"/>
      <c r="N813" s="179"/>
      <c r="O813" s="179"/>
      <c r="P813" s="179"/>
      <c r="Q813" s="179"/>
      <c r="R813" s="165"/>
      <c r="S813" s="165"/>
      <c r="T813" s="165"/>
      <c r="U813" s="165"/>
      <c r="V813" s="165"/>
      <c r="W813" s="165"/>
      <c r="X813" s="165"/>
      <c r="Y813" s="165"/>
      <c r="Z813" s="165"/>
      <c r="AA813" s="165"/>
      <c r="AB813" s="165"/>
      <c r="AC813" s="165"/>
      <c r="AD813" s="165"/>
      <c r="AE813" s="165"/>
      <c r="AF813" s="165"/>
      <c r="AG813" s="165"/>
      <c r="AH813" s="52"/>
      <c r="AI813" s="52"/>
      <c r="AJ813" s="52"/>
      <c r="AK813" s="52"/>
      <c r="AL813" s="52"/>
      <c r="AM813" s="52"/>
      <c r="AN813" s="52"/>
      <c r="AO813" s="195"/>
      <c r="AP813" s="195"/>
      <c r="AQ813" s="106"/>
      <c r="AR813" s="106"/>
      <c r="AS813" s="106"/>
      <c r="AT813" s="106"/>
      <c r="AU813" s="106"/>
      <c r="AV813" s="106"/>
      <c r="AW813" s="106"/>
      <c r="AX813" s="106"/>
      <c r="AY813" s="106"/>
      <c r="AZ813" s="106"/>
      <c r="BA813" s="106"/>
      <c r="BB813" s="19"/>
      <c r="BC813" s="19"/>
      <c r="BD813" s="19"/>
      <c r="BE813" s="19"/>
      <c r="BF813" s="55"/>
    </row>
    <row r="814" customFormat="false" ht="14.1" hidden="true" customHeight="true" outlineLevel="1" collapsed="false">
      <c r="A814" s="405" t="s">
        <v>477</v>
      </c>
      <c r="B814" s="270"/>
      <c r="C814" s="402"/>
      <c r="D814" s="403"/>
      <c r="E814" s="138"/>
      <c r="F814" s="138"/>
      <c r="G814" s="26"/>
      <c r="H814" s="26"/>
      <c r="I814" s="398"/>
      <c r="J814" s="398"/>
      <c r="K814" s="398"/>
      <c r="L814" s="398"/>
      <c r="M814" s="398"/>
      <c r="N814" s="398"/>
      <c r="O814" s="398"/>
      <c r="P814" s="398"/>
      <c r="Q814" s="398"/>
      <c r="R814" s="165"/>
      <c r="S814" s="165"/>
      <c r="T814" s="150"/>
      <c r="U814" s="150"/>
      <c r="V814" s="150"/>
      <c r="W814" s="150"/>
      <c r="X814" s="150"/>
      <c r="Y814" s="150"/>
      <c r="Z814" s="150"/>
      <c r="AA814" s="150"/>
      <c r="AB814" s="150"/>
      <c r="AC814" s="150"/>
      <c r="AD814" s="150"/>
      <c r="AE814" s="150"/>
      <c r="AF814" s="150"/>
      <c r="AG814" s="150"/>
      <c r="AH814" s="40"/>
      <c r="AI814" s="40"/>
      <c r="AJ814" s="40"/>
      <c r="AK814" s="40"/>
      <c r="AL814" s="40"/>
      <c r="AM814" s="40"/>
      <c r="AN814" s="40"/>
      <c r="AO814" s="125"/>
      <c r="AP814" s="125"/>
      <c r="AQ814" s="126"/>
      <c r="AR814" s="126"/>
      <c r="AS814" s="126"/>
      <c r="AT814" s="126"/>
      <c r="AU814" s="106"/>
      <c r="AV814" s="106"/>
      <c r="AW814" s="126"/>
      <c r="AX814" s="126"/>
      <c r="AY814" s="126"/>
      <c r="AZ814" s="126"/>
      <c r="BA814" s="126"/>
      <c r="BB814" s="21"/>
      <c r="BC814" s="21"/>
      <c r="BD814" s="21"/>
      <c r="BE814" s="21"/>
    </row>
    <row r="815" s="56" customFormat="true" ht="14.1" hidden="true" customHeight="true" outlineLevel="1" collapsed="false">
      <c r="A815" s="406" t="s">
        <v>478</v>
      </c>
      <c r="B815" s="278"/>
      <c r="C815" s="278"/>
      <c r="D815" s="278"/>
      <c r="E815" s="278"/>
      <c r="F815" s="278"/>
      <c r="G815" s="132"/>
      <c r="H815" s="132"/>
      <c r="I815" s="179"/>
      <c r="J815" s="179"/>
      <c r="K815" s="179"/>
      <c r="L815" s="179"/>
      <c r="M815" s="179"/>
      <c r="N815" s="179"/>
      <c r="O815" s="179"/>
      <c r="P815" s="179"/>
      <c r="Q815" s="179"/>
      <c r="R815" s="165"/>
      <c r="S815" s="165"/>
      <c r="T815" s="165"/>
      <c r="U815" s="165"/>
      <c r="V815" s="165"/>
      <c r="W815" s="165"/>
      <c r="X815" s="165"/>
      <c r="Y815" s="165"/>
      <c r="Z815" s="165"/>
      <c r="AA815" s="165"/>
      <c r="AB815" s="165"/>
      <c r="AC815" s="165"/>
      <c r="AD815" s="165"/>
      <c r="AE815" s="165"/>
      <c r="AF815" s="165"/>
      <c r="AG815" s="165"/>
      <c r="AH815" s="52"/>
      <c r="AI815" s="52"/>
      <c r="AJ815" s="52"/>
      <c r="AK815" s="52"/>
      <c r="AL815" s="52"/>
      <c r="AM815" s="52"/>
      <c r="AN815" s="52"/>
      <c r="AO815" s="195"/>
      <c r="AP815" s="195"/>
      <c r="AQ815" s="106"/>
      <c r="AR815" s="106"/>
      <c r="AS815" s="106"/>
      <c r="AT815" s="106"/>
      <c r="AU815" s="106"/>
      <c r="AV815" s="106"/>
      <c r="AW815" s="106"/>
      <c r="AX815" s="106"/>
      <c r="AY815" s="106"/>
      <c r="AZ815" s="106"/>
      <c r="BA815" s="106"/>
      <c r="BB815" s="19"/>
      <c r="BC815" s="19"/>
      <c r="BD815" s="19"/>
      <c r="BE815" s="19"/>
      <c r="BF815" s="55"/>
    </row>
    <row r="816" customFormat="false" ht="14.1" hidden="true" customHeight="true" outlineLevel="1" collapsed="false">
      <c r="A816" s="407" t="s">
        <v>479</v>
      </c>
      <c r="B816" s="320" t="s">
        <v>118</v>
      </c>
      <c r="C816" s="399" t="n">
        <v>6</v>
      </c>
      <c r="D816" s="408"/>
      <c r="E816" s="138"/>
      <c r="F816" s="138"/>
      <c r="G816" s="26"/>
      <c r="H816" s="26"/>
      <c r="I816" s="409"/>
      <c r="J816" s="409"/>
      <c r="K816" s="409"/>
      <c r="L816" s="398"/>
      <c r="M816" s="398"/>
      <c r="N816" s="398"/>
      <c r="O816" s="398"/>
      <c r="P816" s="398"/>
      <c r="Q816" s="398"/>
      <c r="R816" s="165"/>
      <c r="S816" s="165"/>
      <c r="T816" s="150"/>
      <c r="U816" s="150"/>
      <c r="V816" s="150"/>
      <c r="W816" s="150"/>
      <c r="X816" s="150"/>
      <c r="Y816" s="150"/>
      <c r="Z816" s="150"/>
      <c r="AA816" s="150"/>
      <c r="AB816" s="150"/>
      <c r="AC816" s="150"/>
      <c r="AD816" s="150"/>
      <c r="AE816" s="150"/>
      <c r="AF816" s="150"/>
      <c r="AG816" s="150"/>
      <c r="AH816" s="40"/>
      <c r="AI816" s="40"/>
      <c r="AJ816" s="40"/>
      <c r="AK816" s="40"/>
      <c r="AL816" s="40"/>
      <c r="AM816" s="40"/>
      <c r="AN816" s="40"/>
      <c r="AO816" s="125"/>
      <c r="AP816" s="125"/>
      <c r="AQ816" s="126"/>
      <c r="AR816" s="126"/>
      <c r="AS816" s="126"/>
      <c r="AT816" s="126"/>
      <c r="AU816" s="106"/>
      <c r="AV816" s="106"/>
      <c r="AW816" s="126"/>
      <c r="AX816" s="126"/>
      <c r="AY816" s="126"/>
      <c r="AZ816" s="126"/>
      <c r="BA816" s="126"/>
      <c r="BB816" s="21"/>
      <c r="BC816" s="21"/>
      <c r="BD816" s="21"/>
      <c r="BE816" s="21"/>
    </row>
    <row r="817" s="56" customFormat="true" ht="14.1" hidden="true" customHeight="true" outlineLevel="1" collapsed="false">
      <c r="A817" s="196" t="s">
        <v>480</v>
      </c>
      <c r="B817" s="270"/>
      <c r="C817" s="402"/>
      <c r="D817" s="410"/>
      <c r="E817" s="278"/>
      <c r="F817" s="278"/>
      <c r="G817" s="132"/>
      <c r="H817" s="132"/>
      <c r="I817" s="411"/>
      <c r="J817" s="411"/>
      <c r="K817" s="411"/>
      <c r="L817" s="179"/>
      <c r="M817" s="179"/>
      <c r="N817" s="179"/>
      <c r="O817" s="179"/>
      <c r="P817" s="179"/>
      <c r="Q817" s="179"/>
      <c r="R817" s="165"/>
      <c r="S817" s="165"/>
      <c r="T817" s="165"/>
      <c r="U817" s="165"/>
      <c r="V817" s="165"/>
      <c r="W817" s="165"/>
      <c r="X817" s="165"/>
      <c r="Y817" s="165"/>
      <c r="Z817" s="165"/>
      <c r="AA817" s="165"/>
      <c r="AB817" s="165"/>
      <c r="AC817" s="165"/>
      <c r="AD817" s="165"/>
      <c r="AE817" s="165"/>
      <c r="AF817" s="165"/>
      <c r="AG817" s="165"/>
      <c r="AH817" s="52"/>
      <c r="AI817" s="52"/>
      <c r="AJ817" s="52"/>
      <c r="AK817" s="52"/>
      <c r="AL817" s="52"/>
      <c r="AM817" s="52"/>
      <c r="AN817" s="52"/>
      <c r="AO817" s="195"/>
      <c r="AP817" s="195"/>
      <c r="AQ817" s="106"/>
      <c r="AR817" s="106"/>
      <c r="AS817" s="106"/>
      <c r="AT817" s="106"/>
      <c r="AU817" s="106"/>
      <c r="AV817" s="106"/>
      <c r="AW817" s="106"/>
      <c r="AX817" s="106"/>
      <c r="AY817" s="106"/>
      <c r="AZ817" s="106"/>
      <c r="BA817" s="106"/>
      <c r="BB817" s="19"/>
      <c r="BC817" s="19"/>
      <c r="BD817" s="19"/>
      <c r="BE817" s="19"/>
      <c r="BF817" s="55"/>
    </row>
    <row r="818" s="56" customFormat="true" ht="14.1" hidden="true" customHeight="true" outlineLevel="1" collapsed="false">
      <c r="A818" s="231" t="s">
        <v>481</v>
      </c>
      <c r="B818" s="412" t="s">
        <v>482</v>
      </c>
      <c r="C818" s="399" t="n">
        <v>0.4</v>
      </c>
      <c r="D818" s="410"/>
      <c r="E818" s="278"/>
      <c r="F818" s="278"/>
      <c r="G818" s="132"/>
      <c r="H818" s="132"/>
      <c r="I818" s="411"/>
      <c r="J818" s="411"/>
      <c r="K818" s="411"/>
      <c r="L818" s="179"/>
      <c r="M818" s="179"/>
      <c r="N818" s="179"/>
      <c r="O818" s="179"/>
      <c r="P818" s="179"/>
      <c r="Q818" s="179"/>
      <c r="R818" s="165"/>
      <c r="S818" s="165"/>
      <c r="T818" s="165"/>
      <c r="U818" s="165"/>
      <c r="V818" s="165"/>
      <c r="W818" s="165"/>
      <c r="X818" s="165"/>
      <c r="Y818" s="165"/>
      <c r="Z818" s="165"/>
      <c r="AA818" s="165"/>
      <c r="AB818" s="165"/>
      <c r="AC818" s="165"/>
      <c r="AD818" s="165"/>
      <c r="AE818" s="165"/>
      <c r="AF818" s="165"/>
      <c r="AG818" s="165"/>
      <c r="AH818" s="52"/>
      <c r="AI818" s="52"/>
      <c r="AJ818" s="52"/>
      <c r="AK818" s="52"/>
      <c r="AL818" s="52"/>
      <c r="AM818" s="52"/>
      <c r="AN818" s="52"/>
      <c r="AO818" s="195"/>
      <c r="AP818" s="195"/>
      <c r="AQ818" s="106"/>
      <c r="AR818" s="106"/>
      <c r="AS818" s="106"/>
      <c r="AT818" s="106"/>
      <c r="AU818" s="106"/>
      <c r="AV818" s="106"/>
      <c r="AW818" s="106"/>
      <c r="AX818" s="106"/>
      <c r="AY818" s="106"/>
      <c r="AZ818" s="106"/>
      <c r="BA818" s="106"/>
      <c r="BB818" s="19"/>
      <c r="BC818" s="19"/>
      <c r="BD818" s="19"/>
      <c r="BE818" s="19"/>
      <c r="BF818" s="55"/>
    </row>
    <row r="819" customFormat="false" ht="14.1" hidden="true" customHeight="true" outlineLevel="1" collapsed="false">
      <c r="A819" s="413" t="s">
        <v>483</v>
      </c>
      <c r="B819" s="320" t="s">
        <v>15</v>
      </c>
      <c r="C819" s="399" t="n">
        <v>10</v>
      </c>
      <c r="D819" s="404"/>
      <c r="E819" s="138"/>
      <c r="F819" s="138"/>
      <c r="G819" s="26"/>
      <c r="H819" s="26"/>
      <c r="I819" s="179"/>
      <c r="J819" s="398"/>
      <c r="K819" s="397"/>
      <c r="L819" s="398"/>
      <c r="M819" s="398"/>
      <c r="N819" s="398"/>
      <c r="O819" s="398"/>
      <c r="P819" s="398"/>
      <c r="Q819" s="398"/>
      <c r="R819" s="165"/>
      <c r="S819" s="165"/>
      <c r="T819" s="150"/>
      <c r="U819" s="150"/>
      <c r="V819" s="150"/>
      <c r="W819" s="150"/>
      <c r="X819" s="150"/>
      <c r="Y819" s="150"/>
      <c r="Z819" s="150"/>
      <c r="AA819" s="150"/>
      <c r="AB819" s="150"/>
      <c r="AC819" s="150"/>
      <c r="AD819" s="150"/>
      <c r="AE819" s="150"/>
      <c r="AF819" s="150"/>
      <c r="AG819" s="150"/>
      <c r="AH819" s="40"/>
      <c r="AI819" s="40"/>
      <c r="AJ819" s="40"/>
      <c r="AK819" s="40"/>
      <c r="AL819" s="40"/>
      <c r="AM819" s="40"/>
      <c r="AN819" s="40"/>
      <c r="AO819" s="125"/>
      <c r="AP819" s="125"/>
      <c r="AQ819" s="126"/>
      <c r="AR819" s="126"/>
      <c r="AS819" s="126"/>
      <c r="AT819" s="126"/>
      <c r="AU819" s="106"/>
      <c r="AV819" s="106"/>
      <c r="AW819" s="126"/>
      <c r="AX819" s="126"/>
      <c r="AY819" s="126"/>
      <c r="AZ819" s="126"/>
      <c r="BA819" s="126"/>
      <c r="BB819" s="21"/>
      <c r="BC819" s="21"/>
      <c r="BD819" s="21"/>
      <c r="BE819" s="21"/>
    </row>
    <row r="820" customFormat="false" ht="14.1" hidden="true" customHeight="true" outlineLevel="1" collapsed="false">
      <c r="A820" s="414" t="s">
        <v>484</v>
      </c>
      <c r="B820" s="277"/>
      <c r="C820" s="268"/>
      <c r="D820" s="404"/>
      <c r="E820" s="138"/>
      <c r="F820" s="138"/>
      <c r="G820" s="26"/>
      <c r="H820" s="26"/>
      <c r="I820" s="415"/>
      <c r="J820" s="416"/>
      <c r="K820" s="416"/>
      <c r="L820" s="416"/>
      <c r="M820" s="416"/>
      <c r="N820" s="416"/>
      <c r="O820" s="416"/>
      <c r="P820" s="416"/>
      <c r="Q820" s="398"/>
      <c r="R820" s="165"/>
      <c r="S820" s="165"/>
      <c r="T820" s="150"/>
      <c r="U820" s="150"/>
      <c r="V820" s="150"/>
      <c r="W820" s="150"/>
      <c r="X820" s="150"/>
      <c r="Y820" s="150"/>
      <c r="Z820" s="150"/>
      <c r="AA820" s="150"/>
      <c r="AB820" s="150"/>
      <c r="AC820" s="150"/>
      <c r="AD820" s="150"/>
      <c r="AE820" s="150"/>
      <c r="AF820" s="150"/>
      <c r="AG820" s="150"/>
      <c r="AH820" s="40"/>
      <c r="AI820" s="40"/>
      <c r="AJ820" s="40"/>
      <c r="AK820" s="40"/>
      <c r="AL820" s="40"/>
      <c r="AM820" s="40"/>
      <c r="AN820" s="40"/>
      <c r="AO820" s="125"/>
      <c r="AP820" s="125"/>
      <c r="AQ820" s="126"/>
      <c r="AR820" s="126"/>
      <c r="AS820" s="126"/>
      <c r="AT820" s="126"/>
      <c r="AU820" s="106"/>
      <c r="AV820" s="106"/>
      <c r="AW820" s="126"/>
      <c r="AX820" s="126"/>
      <c r="AY820" s="126"/>
      <c r="AZ820" s="126"/>
      <c r="BA820" s="126"/>
      <c r="BB820" s="21"/>
      <c r="BC820" s="21"/>
      <c r="BD820" s="21"/>
      <c r="BE820" s="21"/>
    </row>
    <row r="821" customFormat="false" ht="14.1" hidden="true" customHeight="true" outlineLevel="1" collapsed="false">
      <c r="A821" s="149" t="s">
        <v>36</v>
      </c>
      <c r="B821" s="270"/>
      <c r="C821" s="268"/>
      <c r="D821" s="404"/>
      <c r="E821" s="138"/>
      <c r="F821" s="138"/>
      <c r="G821" s="26"/>
      <c r="H821" s="26"/>
      <c r="I821" s="398"/>
      <c r="J821" s="398"/>
      <c r="K821" s="397"/>
      <c r="L821" s="398"/>
      <c r="M821" s="398"/>
      <c r="N821" s="398"/>
      <c r="O821" s="398"/>
      <c r="P821" s="398"/>
      <c r="Q821" s="398"/>
      <c r="R821" s="165"/>
      <c r="S821" s="165"/>
      <c r="T821" s="150"/>
      <c r="U821" s="150"/>
      <c r="V821" s="150"/>
      <c r="W821" s="150"/>
      <c r="X821" s="150"/>
      <c r="Y821" s="150"/>
      <c r="Z821" s="150"/>
      <c r="AA821" s="150"/>
      <c r="AB821" s="150"/>
      <c r="AC821" s="150"/>
      <c r="AD821" s="150"/>
      <c r="AE821" s="150"/>
      <c r="AF821" s="150"/>
      <c r="AG821" s="150"/>
      <c r="AH821" s="40"/>
      <c r="AI821" s="40"/>
      <c r="AJ821" s="40"/>
      <c r="AK821" s="40"/>
      <c r="AL821" s="40"/>
      <c r="AM821" s="40"/>
      <c r="AN821" s="40"/>
      <c r="AO821" s="125"/>
      <c r="AP821" s="125"/>
      <c r="AQ821" s="126"/>
      <c r="AR821" s="126"/>
      <c r="AS821" s="126"/>
      <c r="AT821" s="126"/>
      <c r="AU821" s="106"/>
      <c r="AV821" s="106"/>
      <c r="AW821" s="126"/>
      <c r="AX821" s="126"/>
      <c r="AY821" s="126"/>
      <c r="AZ821" s="126"/>
      <c r="BA821" s="126"/>
      <c r="BB821" s="21"/>
      <c r="BC821" s="21"/>
      <c r="BD821" s="21"/>
      <c r="BE821" s="21"/>
    </row>
    <row r="822" s="162" customFormat="true" ht="14.1" hidden="true" customHeight="true" outlineLevel="1" collapsed="false">
      <c r="A822" s="417"/>
      <c r="B822" s="270"/>
      <c r="C822" s="268"/>
      <c r="D822" s="404"/>
      <c r="E822" s="169"/>
      <c r="F822" s="169"/>
      <c r="G822" s="26"/>
      <c r="H822" s="26"/>
      <c r="I822" s="398"/>
      <c r="J822" s="398"/>
      <c r="K822" s="397"/>
      <c r="L822" s="398"/>
      <c r="M822" s="398"/>
      <c r="N822" s="398"/>
      <c r="O822" s="398"/>
      <c r="P822" s="398"/>
      <c r="Q822" s="398"/>
      <c r="R822" s="165"/>
      <c r="S822" s="165"/>
      <c r="T822" s="150"/>
      <c r="U822" s="150"/>
      <c r="V822" s="150"/>
      <c r="W822" s="150"/>
      <c r="X822" s="150"/>
      <c r="Y822" s="150"/>
      <c r="Z822" s="150"/>
      <c r="AA822" s="150"/>
      <c r="AB822" s="150"/>
      <c r="AC822" s="150"/>
      <c r="AD822" s="150"/>
      <c r="AE822" s="150"/>
      <c r="AF822" s="150"/>
      <c r="AG822" s="150"/>
      <c r="AH822" s="40"/>
      <c r="AI822" s="40"/>
      <c r="AJ822" s="40"/>
      <c r="AK822" s="40"/>
      <c r="AL822" s="40"/>
      <c r="AM822" s="40"/>
      <c r="AN822" s="40"/>
      <c r="AO822" s="125"/>
      <c r="AP822" s="125"/>
      <c r="AQ822" s="126"/>
      <c r="AR822" s="126"/>
      <c r="AS822" s="126"/>
      <c r="AT822" s="126"/>
      <c r="AU822" s="106"/>
      <c r="AV822" s="106"/>
      <c r="AW822" s="126"/>
      <c r="AX822" s="126"/>
      <c r="AY822" s="126"/>
      <c r="AZ822" s="126"/>
      <c r="BA822" s="126"/>
      <c r="BB822" s="160"/>
      <c r="BC822" s="160"/>
      <c r="BD822" s="160"/>
      <c r="BE822" s="160"/>
      <c r="BF822" s="161"/>
    </row>
    <row r="823" customFormat="false" ht="14.1" hidden="true" customHeight="true" outlineLevel="1" collapsed="false">
      <c r="A823" s="418" t="s">
        <v>485</v>
      </c>
      <c r="B823" s="320" t="s">
        <v>486</v>
      </c>
      <c r="C823" s="419" t="s">
        <v>44</v>
      </c>
      <c r="D823" s="404"/>
      <c r="E823" s="138"/>
      <c r="F823" s="138"/>
      <c r="G823" s="26"/>
      <c r="H823" s="26"/>
      <c r="I823" s="398"/>
      <c r="J823" s="398"/>
      <c r="K823" s="397"/>
      <c r="L823" s="398"/>
      <c r="M823" s="398"/>
      <c r="N823" s="398"/>
      <c r="O823" s="398"/>
      <c r="P823" s="398"/>
      <c r="Q823" s="398"/>
      <c r="R823" s="165"/>
      <c r="S823" s="165"/>
      <c r="T823" s="150"/>
      <c r="U823" s="150"/>
      <c r="V823" s="150"/>
      <c r="W823" s="150"/>
      <c r="X823" s="150"/>
      <c r="Y823" s="150"/>
      <c r="Z823" s="150"/>
      <c r="AA823" s="150"/>
      <c r="AB823" s="150"/>
      <c r="AC823" s="150"/>
      <c r="AD823" s="150"/>
      <c r="AE823" s="150"/>
      <c r="AF823" s="150"/>
      <c r="AG823" s="150"/>
      <c r="AH823" s="40"/>
      <c r="AI823" s="40"/>
      <c r="AJ823" s="40"/>
      <c r="AK823" s="40"/>
      <c r="AL823" s="40"/>
      <c r="AM823" s="40"/>
      <c r="AN823" s="40"/>
      <c r="AO823" s="125"/>
      <c r="AP823" s="125"/>
      <c r="AQ823" s="126"/>
      <c r="AR823" s="126"/>
      <c r="AS823" s="126"/>
      <c r="AT823" s="126"/>
      <c r="AU823" s="106"/>
      <c r="AV823" s="106"/>
      <c r="AW823" s="126"/>
      <c r="AX823" s="126"/>
      <c r="AY823" s="126"/>
      <c r="AZ823" s="126"/>
      <c r="BA823" s="126"/>
      <c r="BB823" s="21"/>
      <c r="BC823" s="21"/>
      <c r="BD823" s="21"/>
      <c r="BE823" s="21"/>
    </row>
    <row r="824" s="56" customFormat="true" ht="14.1" hidden="true" customHeight="true" outlineLevel="1" collapsed="false">
      <c r="A824" s="163" t="s">
        <v>487</v>
      </c>
      <c r="B824" s="119" t="s">
        <v>488</v>
      </c>
      <c r="C824" s="420" t="n">
        <v>0.3</v>
      </c>
      <c r="D824" s="404"/>
      <c r="E824" s="278"/>
      <c r="F824" s="278"/>
      <c r="G824" s="132"/>
      <c r="H824" s="132"/>
      <c r="I824" s="179"/>
      <c r="J824" s="179"/>
      <c r="K824" s="421"/>
      <c r="L824" s="179"/>
      <c r="M824" s="179"/>
      <c r="N824" s="179"/>
      <c r="O824" s="179"/>
      <c r="P824" s="179"/>
      <c r="Q824" s="179"/>
      <c r="R824" s="165"/>
      <c r="S824" s="165"/>
      <c r="T824" s="165"/>
      <c r="U824" s="165"/>
      <c r="V824" s="165"/>
      <c r="W824" s="165"/>
      <c r="X824" s="165"/>
      <c r="Y824" s="165"/>
      <c r="Z824" s="165"/>
      <c r="AA824" s="165"/>
      <c r="AB824" s="165"/>
      <c r="AC824" s="165"/>
      <c r="AD824" s="165"/>
      <c r="AE824" s="165"/>
      <c r="AF824" s="165"/>
      <c r="AG824" s="165"/>
      <c r="AH824" s="52"/>
      <c r="AI824" s="52"/>
      <c r="AJ824" s="52"/>
      <c r="AK824" s="52"/>
      <c r="AL824" s="52"/>
      <c r="AM824" s="52"/>
      <c r="AN824" s="52"/>
      <c r="AO824" s="195"/>
      <c r="AP824" s="195"/>
      <c r="AQ824" s="106"/>
      <c r="AR824" s="106"/>
      <c r="AS824" s="106"/>
      <c r="AT824" s="106"/>
      <c r="AU824" s="106"/>
      <c r="AV824" s="106"/>
      <c r="AW824" s="106"/>
      <c r="AX824" s="106"/>
      <c r="AY824" s="106"/>
      <c r="AZ824" s="106"/>
      <c r="BA824" s="106"/>
      <c r="BB824" s="19"/>
      <c r="BC824" s="19"/>
      <c r="BD824" s="19"/>
      <c r="BE824" s="19"/>
      <c r="BF824" s="55"/>
    </row>
    <row r="825" customFormat="false" ht="14.1" hidden="true" customHeight="true" outlineLevel="1" collapsed="false">
      <c r="A825" s="152" t="s">
        <v>489</v>
      </c>
      <c r="B825" s="119" t="s">
        <v>488</v>
      </c>
      <c r="C825" s="420" t="n">
        <v>3</v>
      </c>
      <c r="D825" s="422"/>
      <c r="E825" s="422"/>
      <c r="F825" s="422"/>
      <c r="G825" s="26"/>
      <c r="H825" s="26"/>
      <c r="I825" s="423"/>
      <c r="J825" s="424"/>
      <c r="K825" s="424"/>
      <c r="L825" s="424"/>
      <c r="M825" s="424"/>
      <c r="N825" s="424"/>
      <c r="O825" s="424"/>
      <c r="P825" s="220"/>
      <c r="Q825" s="220"/>
      <c r="R825" s="165"/>
      <c r="S825" s="165"/>
      <c r="T825" s="150"/>
      <c r="U825" s="150"/>
      <c r="V825" s="150"/>
      <c r="W825" s="150"/>
      <c r="X825" s="150"/>
      <c r="Y825" s="150"/>
      <c r="Z825" s="150"/>
      <c r="AA825" s="150"/>
      <c r="AB825" s="150"/>
      <c r="AC825" s="150"/>
      <c r="AD825" s="150"/>
      <c r="AE825" s="150"/>
      <c r="AF825" s="150"/>
      <c r="AG825" s="150"/>
      <c r="AH825" s="40"/>
      <c r="AI825" s="40"/>
      <c r="AJ825" s="40"/>
      <c r="AK825" s="40"/>
      <c r="AL825" s="40"/>
      <c r="AM825" s="40"/>
      <c r="AN825" s="40"/>
      <c r="AO825" s="125"/>
      <c r="AP825" s="125"/>
      <c r="AQ825" s="126"/>
      <c r="AR825" s="126"/>
      <c r="AS825" s="126"/>
      <c r="AT825" s="126"/>
      <c r="AU825" s="106"/>
      <c r="AV825" s="106"/>
      <c r="AW825" s="126"/>
      <c r="AX825" s="126"/>
      <c r="AY825" s="126"/>
      <c r="AZ825" s="126"/>
      <c r="BA825" s="126"/>
      <c r="BB825" s="21"/>
      <c r="BC825" s="21"/>
      <c r="BD825" s="21"/>
      <c r="BE825" s="21"/>
    </row>
    <row r="826" customFormat="false" ht="14.1" hidden="true" customHeight="true" outlineLevel="1" collapsed="false">
      <c r="A826" s="138" t="s">
        <v>490</v>
      </c>
      <c r="B826" s="235"/>
      <c r="C826" s="138"/>
      <c r="D826" s="278"/>
      <c r="E826" s="138"/>
      <c r="F826" s="138"/>
      <c r="G826" s="26"/>
      <c r="H826" s="26"/>
      <c r="I826" s="26"/>
      <c r="J826" s="26"/>
      <c r="K826" s="425"/>
      <c r="L826" s="26"/>
      <c r="M826" s="26"/>
      <c r="N826" s="26"/>
      <c r="O826" s="426"/>
      <c r="P826" s="259"/>
      <c r="Q826" s="26"/>
      <c r="R826" s="165"/>
      <c r="S826" s="165"/>
      <c r="T826" s="150"/>
      <c r="U826" s="150"/>
      <c r="V826" s="150"/>
      <c r="W826" s="150"/>
      <c r="X826" s="150"/>
      <c r="Y826" s="150"/>
      <c r="Z826" s="150"/>
      <c r="AA826" s="150"/>
      <c r="AB826" s="150"/>
      <c r="AC826" s="150"/>
      <c r="AD826" s="150"/>
      <c r="AE826" s="150"/>
      <c r="AF826" s="150"/>
      <c r="AG826" s="150"/>
      <c r="AH826" s="40"/>
      <c r="AI826" s="40"/>
      <c r="AJ826" s="40"/>
      <c r="AK826" s="40"/>
      <c r="AL826" s="40"/>
      <c r="AM826" s="40"/>
      <c r="AN826" s="40"/>
      <c r="AO826" s="125"/>
      <c r="AP826" s="125"/>
      <c r="AQ826" s="126"/>
      <c r="AR826" s="126"/>
      <c r="AS826" s="126"/>
      <c r="AT826" s="126"/>
      <c r="AU826" s="106"/>
      <c r="AV826" s="106"/>
      <c r="AW826" s="126"/>
      <c r="AX826" s="126"/>
      <c r="AY826" s="126"/>
      <c r="AZ826" s="126"/>
      <c r="BA826" s="126"/>
      <c r="BB826" s="21"/>
      <c r="BC826" s="21"/>
      <c r="BD826" s="21"/>
      <c r="BE826" s="21"/>
    </row>
    <row r="827" customFormat="false" ht="14.1" hidden="true" customHeight="true" outlineLevel="1" collapsed="false">
      <c r="A827" s="139" t="s">
        <v>491</v>
      </c>
      <c r="B827" s="235"/>
      <c r="C827" s="138"/>
      <c r="D827" s="278"/>
      <c r="E827" s="138"/>
      <c r="F827" s="138"/>
      <c r="G827" s="26"/>
      <c r="H827" s="26"/>
      <c r="I827" s="26"/>
      <c r="J827" s="26"/>
      <c r="K827" s="425"/>
      <c r="L827" s="26"/>
      <c r="M827" s="26"/>
      <c r="N827" s="26"/>
      <c r="O827" s="426"/>
      <c r="P827" s="259"/>
      <c r="Q827" s="26"/>
      <c r="R827" s="165"/>
      <c r="S827" s="165"/>
      <c r="T827" s="150"/>
      <c r="U827" s="150"/>
      <c r="V827" s="150"/>
      <c r="W827" s="150"/>
      <c r="X827" s="150"/>
      <c r="Y827" s="150"/>
      <c r="Z827" s="150"/>
      <c r="AA827" s="150"/>
      <c r="AB827" s="150"/>
      <c r="AC827" s="150"/>
      <c r="AD827" s="150"/>
      <c r="AE827" s="150"/>
      <c r="AF827" s="150"/>
      <c r="AG827" s="150"/>
      <c r="AH827" s="40"/>
      <c r="AI827" s="40"/>
      <c r="AJ827" s="40"/>
      <c r="AK827" s="40"/>
      <c r="AL827" s="40"/>
      <c r="AM827" s="40"/>
      <c r="AN827" s="40"/>
      <c r="AO827" s="125"/>
      <c r="AP827" s="125"/>
      <c r="AQ827" s="126"/>
      <c r="AR827" s="126"/>
      <c r="AS827" s="126"/>
      <c r="AT827" s="126"/>
      <c r="AU827" s="106"/>
      <c r="AV827" s="106"/>
      <c r="AW827" s="126"/>
      <c r="AX827" s="126"/>
      <c r="AY827" s="126"/>
      <c r="AZ827" s="126"/>
      <c r="BA827" s="126"/>
      <c r="BB827" s="21"/>
      <c r="BC827" s="21"/>
      <c r="BD827" s="21"/>
      <c r="BE827" s="21"/>
    </row>
    <row r="828" customFormat="false" ht="14.1" hidden="true" customHeight="true" outlineLevel="1" collapsed="false">
      <c r="A828" s="138"/>
      <c r="B828" s="235"/>
      <c r="C828" s="138"/>
      <c r="D828" s="278"/>
      <c r="E828" s="138"/>
      <c r="F828" s="138"/>
      <c r="G828" s="26"/>
      <c r="H828" s="26"/>
      <c r="I828" s="26"/>
      <c r="J828" s="26"/>
      <c r="K828" s="425"/>
      <c r="L828" s="26"/>
      <c r="M828" s="26"/>
      <c r="N828" s="26"/>
      <c r="O828" s="426"/>
      <c r="P828" s="259"/>
      <c r="Q828" s="26"/>
      <c r="R828" s="165"/>
      <c r="S828" s="165"/>
      <c r="T828" s="150"/>
      <c r="U828" s="150"/>
      <c r="V828" s="150"/>
      <c r="W828" s="150"/>
      <c r="X828" s="150"/>
      <c r="Y828" s="150"/>
      <c r="Z828" s="150"/>
      <c r="AA828" s="150"/>
      <c r="AB828" s="150"/>
      <c r="AC828" s="150"/>
      <c r="AD828" s="150"/>
      <c r="AE828" s="150"/>
      <c r="AF828" s="150"/>
      <c r="AG828" s="150"/>
      <c r="AH828" s="40"/>
      <c r="AI828" s="40"/>
      <c r="AJ828" s="40"/>
      <c r="AK828" s="40"/>
      <c r="AL828" s="40"/>
      <c r="AM828" s="40"/>
      <c r="AN828" s="40"/>
      <c r="AO828" s="125"/>
      <c r="AP828" s="125"/>
      <c r="AQ828" s="126"/>
      <c r="AR828" s="126"/>
      <c r="AS828" s="126"/>
      <c r="AT828" s="126"/>
      <c r="AU828" s="106"/>
      <c r="AV828" s="106"/>
      <c r="AW828" s="126"/>
      <c r="AX828" s="126"/>
      <c r="AY828" s="126"/>
      <c r="AZ828" s="126"/>
      <c r="BA828" s="126"/>
      <c r="BB828" s="21"/>
      <c r="BC828" s="21"/>
      <c r="BD828" s="21"/>
      <c r="BE828" s="21"/>
    </row>
    <row r="829" customFormat="false" ht="14.1" hidden="true" customHeight="true" outlineLevel="1" collapsed="false">
      <c r="A829" s="427" t="s">
        <v>492</v>
      </c>
      <c r="B829" s="119" t="s">
        <v>493</v>
      </c>
      <c r="C829" s="428" t="s">
        <v>56</v>
      </c>
      <c r="D829" s="278"/>
      <c r="E829" s="138"/>
      <c r="F829" s="138"/>
      <c r="G829" s="26"/>
      <c r="H829" s="26"/>
      <c r="I829" s="26"/>
      <c r="J829" s="26"/>
      <c r="K829" s="425"/>
      <c r="L829" s="26"/>
      <c r="M829" s="26"/>
      <c r="N829" s="26"/>
      <c r="O829" s="426"/>
      <c r="P829" s="259"/>
      <c r="Q829" s="26"/>
      <c r="R829" s="165"/>
      <c r="S829" s="165"/>
      <c r="T829" s="150"/>
      <c r="U829" s="150"/>
      <c r="V829" s="150"/>
      <c r="W829" s="150"/>
      <c r="X829" s="150"/>
      <c r="Y829" s="150"/>
      <c r="Z829" s="150"/>
      <c r="AA829" s="150"/>
      <c r="AB829" s="150"/>
      <c r="AC829" s="150"/>
      <c r="AD829" s="150"/>
      <c r="AE829" s="150"/>
      <c r="AF829" s="150"/>
      <c r="AG829" s="150"/>
      <c r="AH829" s="40"/>
      <c r="AI829" s="40"/>
      <c r="AJ829" s="40"/>
      <c r="AK829" s="40"/>
      <c r="AL829" s="40"/>
      <c r="AM829" s="40"/>
      <c r="AN829" s="40"/>
      <c r="AO829" s="125"/>
      <c r="AP829" s="125"/>
      <c r="AQ829" s="126"/>
      <c r="AR829" s="126"/>
      <c r="AS829" s="126"/>
      <c r="AT829" s="126"/>
      <c r="AU829" s="106"/>
      <c r="AV829" s="106"/>
      <c r="AW829" s="126"/>
      <c r="AX829" s="126"/>
      <c r="AY829" s="126"/>
      <c r="AZ829" s="126"/>
      <c r="BA829" s="126"/>
      <c r="BB829" s="21"/>
      <c r="BC829" s="21"/>
      <c r="BD829" s="21"/>
      <c r="BE829" s="21"/>
    </row>
    <row r="830" customFormat="false" ht="14.1" hidden="true" customHeight="true" outlineLevel="1" collapsed="false">
      <c r="A830" s="319" t="s">
        <v>494</v>
      </c>
      <c r="B830" s="320" t="s">
        <v>15</v>
      </c>
      <c r="C830" s="399" t="n">
        <v>0.8</v>
      </c>
      <c r="D830" s="386"/>
      <c r="E830" s="138"/>
      <c r="F830" s="138"/>
      <c r="G830" s="26"/>
      <c r="H830" s="26"/>
      <c r="I830" s="257"/>
      <c r="J830" s="257"/>
      <c r="K830" s="257"/>
      <c r="L830" s="257"/>
      <c r="M830" s="257"/>
      <c r="N830" s="257"/>
      <c r="O830" s="257"/>
      <c r="P830" s="257"/>
      <c r="Q830" s="257"/>
      <c r="R830" s="165"/>
      <c r="S830" s="165"/>
      <c r="T830" s="150"/>
      <c r="U830" s="150"/>
      <c r="V830" s="150"/>
      <c r="W830" s="150"/>
      <c r="X830" s="150"/>
      <c r="Y830" s="150"/>
      <c r="Z830" s="150"/>
      <c r="AA830" s="150"/>
      <c r="AB830" s="150"/>
      <c r="AC830" s="150"/>
      <c r="AD830" s="150"/>
      <c r="AE830" s="150"/>
      <c r="AF830" s="150"/>
      <c r="AG830" s="150"/>
      <c r="AH830" s="40"/>
      <c r="AI830" s="40"/>
      <c r="AJ830" s="40"/>
      <c r="AK830" s="40"/>
      <c r="AL830" s="40"/>
      <c r="AM830" s="40"/>
      <c r="AN830" s="40"/>
      <c r="AO830" s="125"/>
      <c r="AP830" s="125"/>
      <c r="AQ830" s="126"/>
      <c r="AR830" s="126"/>
      <c r="AS830" s="126"/>
      <c r="AT830" s="126"/>
      <c r="AU830" s="106"/>
      <c r="AV830" s="106"/>
      <c r="AW830" s="126"/>
      <c r="AX830" s="126"/>
      <c r="AY830" s="126"/>
      <c r="AZ830" s="126"/>
      <c r="BA830" s="126"/>
      <c r="BB830" s="21"/>
      <c r="BC830" s="21"/>
      <c r="BD830" s="21"/>
      <c r="BE830" s="21"/>
    </row>
    <row r="831" customFormat="false" ht="14.1" hidden="true" customHeight="true" outlineLevel="1" collapsed="false">
      <c r="A831" s="319" t="s">
        <v>495</v>
      </c>
      <c r="B831" s="320" t="s">
        <v>15</v>
      </c>
      <c r="C831" s="399" t="n">
        <v>0.1</v>
      </c>
      <c r="D831" s="386"/>
      <c r="E831" s="138"/>
      <c r="F831" s="138"/>
      <c r="G831" s="26"/>
      <c r="H831" s="26"/>
      <c r="I831" s="257"/>
      <c r="J831" s="257"/>
      <c r="K831" s="257"/>
      <c r="L831" s="257"/>
      <c r="M831" s="257"/>
      <c r="N831" s="257"/>
      <c r="O831" s="257"/>
      <c r="P831" s="243"/>
      <c r="Q831" s="243"/>
      <c r="R831" s="165"/>
      <c r="S831" s="165"/>
      <c r="T831" s="150"/>
      <c r="U831" s="150"/>
      <c r="V831" s="150"/>
      <c r="W831" s="150"/>
      <c r="X831" s="150"/>
      <c r="Y831" s="150"/>
      <c r="Z831" s="150"/>
      <c r="AA831" s="150"/>
      <c r="AB831" s="150"/>
      <c r="AC831" s="150"/>
      <c r="AD831" s="150"/>
      <c r="AE831" s="150"/>
      <c r="AF831" s="150"/>
      <c r="AG831" s="150"/>
      <c r="AH831" s="40"/>
      <c r="AI831" s="40"/>
      <c r="AJ831" s="40"/>
      <c r="AK831" s="40"/>
      <c r="AL831" s="40"/>
      <c r="AM831" s="40"/>
      <c r="AN831" s="40"/>
      <c r="AO831" s="125"/>
      <c r="AP831" s="125"/>
      <c r="AQ831" s="126"/>
      <c r="AR831" s="126"/>
      <c r="AS831" s="126"/>
      <c r="AT831" s="126"/>
      <c r="AU831" s="106"/>
      <c r="AV831" s="106"/>
      <c r="AW831" s="126"/>
      <c r="AX831" s="126"/>
      <c r="AY831" s="126"/>
      <c r="AZ831" s="126"/>
      <c r="BA831" s="126"/>
      <c r="BB831" s="21"/>
      <c r="BC831" s="21"/>
      <c r="BD831" s="21"/>
      <c r="BE831" s="21"/>
    </row>
    <row r="832" customFormat="false" ht="14.1" hidden="true" customHeight="true" outlineLevel="1" collapsed="false">
      <c r="A832" s="319" t="s">
        <v>496</v>
      </c>
      <c r="B832" s="320" t="s">
        <v>15</v>
      </c>
      <c r="C832" s="429" t="n">
        <v>0.2</v>
      </c>
      <c r="D832" s="386"/>
      <c r="E832" s="138"/>
      <c r="F832" s="138"/>
      <c r="G832" s="26"/>
      <c r="H832" s="26"/>
      <c r="I832" s="257"/>
      <c r="J832" s="257"/>
      <c r="K832" s="257"/>
      <c r="L832" s="257"/>
      <c r="M832" s="257"/>
      <c r="N832" s="257"/>
      <c r="O832" s="257"/>
      <c r="P832" s="243"/>
      <c r="Q832" s="243"/>
      <c r="R832" s="165"/>
      <c r="S832" s="165"/>
      <c r="T832" s="150"/>
      <c r="U832" s="150"/>
      <c r="V832" s="150"/>
      <c r="W832" s="150"/>
      <c r="X832" s="150"/>
      <c r="Y832" s="150"/>
      <c r="Z832" s="150"/>
      <c r="AA832" s="150"/>
      <c r="AB832" s="150"/>
      <c r="AC832" s="150"/>
      <c r="AD832" s="150"/>
      <c r="AE832" s="150"/>
      <c r="AF832" s="150"/>
      <c r="AG832" s="150"/>
      <c r="AH832" s="40"/>
      <c r="AI832" s="40"/>
      <c r="AJ832" s="40"/>
      <c r="AK832" s="40"/>
      <c r="AL832" s="40"/>
      <c r="AM832" s="40"/>
      <c r="AN832" s="40"/>
      <c r="AO832" s="125"/>
      <c r="AP832" s="125"/>
      <c r="AQ832" s="126"/>
      <c r="AR832" s="126"/>
      <c r="AS832" s="126"/>
      <c r="AT832" s="126"/>
      <c r="AU832" s="106"/>
      <c r="AV832" s="106"/>
      <c r="AW832" s="126"/>
      <c r="AX832" s="126"/>
      <c r="AY832" s="126"/>
      <c r="AZ832" s="126"/>
      <c r="BA832" s="126"/>
      <c r="BB832" s="21"/>
      <c r="BC832" s="21"/>
      <c r="BD832" s="21"/>
      <c r="BE832" s="21"/>
    </row>
    <row r="833" customFormat="false" ht="14.1" hidden="true" customHeight="true" outlineLevel="1" collapsed="false">
      <c r="A833" s="319" t="s">
        <v>497</v>
      </c>
      <c r="B833" s="320" t="s">
        <v>15</v>
      </c>
      <c r="C833" s="399" t="n">
        <v>0.8</v>
      </c>
      <c r="D833" s="406"/>
      <c r="E833" s="406"/>
      <c r="F833" s="406"/>
      <c r="G833" s="430"/>
      <c r="H833" s="398"/>
      <c r="I833" s="426"/>
      <c r="J833" s="259"/>
      <c r="K833" s="397"/>
      <c r="L833" s="398"/>
      <c r="M833" s="398"/>
      <c r="N833" s="398"/>
      <c r="O833" s="426"/>
      <c r="P833" s="259"/>
      <c r="Q833" s="398"/>
      <c r="R833" s="165"/>
      <c r="S833" s="165"/>
      <c r="T833" s="150"/>
      <c r="U833" s="150"/>
      <c r="V833" s="150"/>
      <c r="W833" s="150"/>
      <c r="X833" s="150"/>
      <c r="Y833" s="150"/>
      <c r="Z833" s="150"/>
      <c r="AA833" s="150"/>
      <c r="AB833" s="150"/>
      <c r="AC833" s="150"/>
      <c r="AD833" s="150"/>
      <c r="AE833" s="150"/>
      <c r="AF833" s="150"/>
      <c r="AG833" s="150"/>
      <c r="AH833" s="40"/>
      <c r="AI833" s="40"/>
      <c r="AJ833" s="40"/>
      <c r="AK833" s="40"/>
      <c r="AL833" s="40"/>
      <c r="AM833" s="40"/>
      <c r="AN833" s="40"/>
      <c r="AO833" s="125"/>
      <c r="AP833" s="125"/>
      <c r="AQ833" s="126"/>
      <c r="AR833" s="126"/>
      <c r="AS833" s="126"/>
      <c r="AT833" s="126"/>
      <c r="AU833" s="106"/>
      <c r="AV833" s="106"/>
      <c r="AW833" s="126"/>
      <c r="AX833" s="126"/>
      <c r="AY833" s="126"/>
      <c r="AZ833" s="126"/>
      <c r="BA833" s="126"/>
      <c r="BB833" s="21"/>
      <c r="BC833" s="21"/>
      <c r="BD833" s="21"/>
      <c r="BE833" s="21"/>
    </row>
    <row r="834" customFormat="false" ht="14.1" hidden="true" customHeight="true" outlineLevel="1" collapsed="false">
      <c r="A834" s="196" t="s">
        <v>498</v>
      </c>
      <c r="B834" s="235"/>
      <c r="C834" s="138"/>
      <c r="D834" s="431"/>
      <c r="E834" s="138"/>
      <c r="F834" s="138"/>
      <c r="G834" s="26"/>
      <c r="H834" s="179"/>
      <c r="I834" s="26"/>
      <c r="J834" s="432"/>
      <c r="K834" s="432"/>
      <c r="L834" s="432"/>
      <c r="M834" s="432"/>
      <c r="N834" s="432"/>
      <c r="O834" s="432"/>
      <c r="P834" s="432"/>
      <c r="Q834" s="398"/>
      <c r="R834" s="165"/>
      <c r="S834" s="165"/>
      <c r="T834" s="150"/>
      <c r="U834" s="150"/>
      <c r="V834" s="150"/>
      <c r="W834" s="150"/>
      <c r="X834" s="150"/>
      <c r="Y834" s="150"/>
      <c r="Z834" s="150"/>
      <c r="AA834" s="150"/>
      <c r="AB834" s="150"/>
      <c r="AC834" s="150"/>
      <c r="AD834" s="150"/>
      <c r="AE834" s="150"/>
      <c r="AF834" s="150"/>
      <c r="AG834" s="150"/>
      <c r="AH834" s="40"/>
      <c r="AI834" s="40"/>
      <c r="AJ834" s="40"/>
      <c r="AK834" s="40"/>
      <c r="AL834" s="40"/>
      <c r="AM834" s="40"/>
      <c r="AN834" s="40"/>
      <c r="AO834" s="125"/>
      <c r="AP834" s="125"/>
      <c r="AQ834" s="126"/>
      <c r="AR834" s="126"/>
      <c r="AS834" s="126"/>
      <c r="AT834" s="126"/>
      <c r="AU834" s="106"/>
      <c r="AV834" s="106"/>
      <c r="AW834" s="126"/>
      <c r="AX834" s="126"/>
      <c r="AY834" s="126"/>
      <c r="AZ834" s="126"/>
      <c r="BA834" s="126"/>
      <c r="BB834" s="21"/>
      <c r="BC834" s="21"/>
      <c r="BD834" s="21"/>
      <c r="BE834" s="21"/>
    </row>
    <row r="835" customFormat="false" ht="14.1" hidden="true" customHeight="true" outlineLevel="1" collapsed="false">
      <c r="A835" s="433" t="s">
        <v>36</v>
      </c>
      <c r="B835" s="235"/>
      <c r="C835" s="138"/>
      <c r="D835" s="408"/>
      <c r="E835" s="138"/>
      <c r="F835" s="138"/>
      <c r="G835" s="26"/>
      <c r="H835" s="26"/>
      <c r="I835" s="416"/>
      <c r="J835" s="416"/>
      <c r="K835" s="397"/>
      <c r="L835" s="398"/>
      <c r="M835" s="398"/>
      <c r="N835" s="398"/>
      <c r="O835" s="426"/>
      <c r="P835" s="259"/>
      <c r="Q835" s="398"/>
      <c r="R835" s="165"/>
      <c r="S835" s="165"/>
      <c r="T835" s="150"/>
      <c r="U835" s="150"/>
      <c r="V835" s="150"/>
      <c r="W835" s="150"/>
      <c r="X835" s="150"/>
      <c r="Y835" s="150"/>
      <c r="Z835" s="150"/>
      <c r="AA835" s="150"/>
      <c r="AB835" s="150"/>
      <c r="AC835" s="150"/>
      <c r="AD835" s="150"/>
      <c r="AE835" s="150"/>
      <c r="AF835" s="150"/>
      <c r="AG835" s="150"/>
      <c r="AH835" s="40"/>
      <c r="AI835" s="40"/>
      <c r="AJ835" s="40"/>
      <c r="AK835" s="40"/>
      <c r="AL835" s="40"/>
      <c r="AM835" s="40"/>
      <c r="AN835" s="40"/>
      <c r="AO835" s="125"/>
      <c r="AP835" s="125"/>
      <c r="AQ835" s="126"/>
      <c r="AR835" s="126"/>
      <c r="AS835" s="126"/>
      <c r="AT835" s="126"/>
      <c r="AU835" s="106"/>
      <c r="AV835" s="106"/>
      <c r="AW835" s="126"/>
      <c r="AX835" s="126"/>
      <c r="AY835" s="126"/>
      <c r="AZ835" s="126"/>
      <c r="BA835" s="126"/>
      <c r="BB835" s="21"/>
      <c r="BC835" s="21"/>
      <c r="BD835" s="21"/>
      <c r="BE835" s="21"/>
    </row>
    <row r="836" customFormat="false" ht="14.1" hidden="true" customHeight="true" outlineLevel="1" collapsed="false">
      <c r="A836" s="138" t="s">
        <v>499</v>
      </c>
      <c r="B836" s="270"/>
      <c r="C836" s="268"/>
      <c r="D836" s="138"/>
      <c r="E836" s="138"/>
      <c r="F836" s="138"/>
      <c r="G836" s="26"/>
      <c r="H836" s="179"/>
      <c r="I836" s="26"/>
      <c r="J836" s="259"/>
      <c r="K836" s="397"/>
      <c r="L836" s="398"/>
      <c r="M836" s="398"/>
      <c r="N836" s="398"/>
      <c r="O836" s="426"/>
      <c r="P836" s="259"/>
      <c r="Q836" s="398"/>
      <c r="R836" s="165"/>
      <c r="S836" s="165"/>
      <c r="T836" s="150"/>
      <c r="U836" s="150"/>
      <c r="V836" s="150"/>
      <c r="W836" s="150"/>
      <c r="X836" s="150"/>
      <c r="Y836" s="150"/>
      <c r="Z836" s="150"/>
      <c r="AA836" s="150"/>
      <c r="AB836" s="150"/>
      <c r="AC836" s="150"/>
      <c r="AD836" s="150"/>
      <c r="AE836" s="150"/>
      <c r="AF836" s="150"/>
      <c r="AG836" s="150"/>
      <c r="AH836" s="40"/>
      <c r="AI836" s="40"/>
      <c r="AJ836" s="40"/>
      <c r="AK836" s="40"/>
      <c r="AL836" s="40"/>
      <c r="AM836" s="40"/>
      <c r="AN836" s="40"/>
      <c r="AO836" s="125"/>
      <c r="AP836" s="125"/>
      <c r="AQ836" s="126"/>
      <c r="AR836" s="126"/>
      <c r="AS836" s="126"/>
      <c r="AT836" s="126"/>
      <c r="AU836" s="106"/>
      <c r="AV836" s="106"/>
      <c r="AW836" s="126"/>
      <c r="AX836" s="126"/>
      <c r="AY836" s="126"/>
      <c r="AZ836" s="126"/>
      <c r="BA836" s="126"/>
      <c r="BB836" s="21"/>
      <c r="BC836" s="21"/>
      <c r="BD836" s="21"/>
      <c r="BE836" s="21"/>
    </row>
    <row r="837" customFormat="false" ht="14.1" hidden="true" customHeight="true" outlineLevel="1" collapsed="false">
      <c r="A837" s="242" t="s">
        <v>500</v>
      </c>
      <c r="B837" s="270"/>
      <c r="C837" s="268"/>
      <c r="D837" s="138"/>
      <c r="E837" s="138"/>
      <c r="F837" s="138"/>
      <c r="G837" s="26"/>
      <c r="H837" s="179"/>
      <c r="I837" s="26"/>
      <c r="J837" s="259"/>
      <c r="K837" s="397"/>
      <c r="L837" s="398"/>
      <c r="M837" s="398"/>
      <c r="N837" s="398"/>
      <c r="O837" s="426"/>
      <c r="P837" s="259"/>
      <c r="Q837" s="398"/>
      <c r="R837" s="165"/>
      <c r="S837" s="165"/>
      <c r="T837" s="150"/>
      <c r="U837" s="150"/>
      <c r="V837" s="150"/>
      <c r="W837" s="150"/>
      <c r="X837" s="150"/>
      <c r="Y837" s="150"/>
      <c r="Z837" s="150"/>
      <c r="AA837" s="150"/>
      <c r="AB837" s="150"/>
      <c r="AC837" s="150"/>
      <c r="AD837" s="150"/>
      <c r="AE837" s="150"/>
      <c r="AF837" s="150"/>
      <c r="AG837" s="150"/>
      <c r="AH837" s="40"/>
      <c r="AI837" s="40"/>
      <c r="AJ837" s="40"/>
      <c r="AK837" s="40"/>
      <c r="AL837" s="40"/>
      <c r="AM837" s="40"/>
      <c r="AN837" s="40"/>
      <c r="AO837" s="125"/>
      <c r="AP837" s="125"/>
      <c r="AQ837" s="126"/>
      <c r="AR837" s="126"/>
      <c r="AS837" s="126"/>
      <c r="AT837" s="126"/>
      <c r="AU837" s="106"/>
      <c r="AV837" s="106"/>
      <c r="AW837" s="126"/>
      <c r="AX837" s="126"/>
      <c r="AY837" s="126"/>
      <c r="AZ837" s="126"/>
      <c r="BA837" s="126"/>
      <c r="BB837" s="21"/>
      <c r="BC837" s="21"/>
      <c r="BD837" s="21"/>
      <c r="BE837" s="21"/>
    </row>
    <row r="838" customFormat="false" ht="14.1" hidden="true" customHeight="true" outlineLevel="1" collapsed="false">
      <c r="A838" s="138"/>
      <c r="B838" s="270"/>
      <c r="C838" s="268"/>
      <c r="D838" s="138"/>
      <c r="E838" s="138"/>
      <c r="F838" s="138"/>
      <c r="G838" s="26"/>
      <c r="H838" s="179"/>
      <c r="I838" s="26"/>
      <c r="J838" s="259"/>
      <c r="K838" s="397"/>
      <c r="L838" s="398"/>
      <c r="M838" s="398"/>
      <c r="N838" s="398"/>
      <c r="O838" s="426"/>
      <c r="P838" s="259"/>
      <c r="Q838" s="398"/>
      <c r="R838" s="165"/>
      <c r="S838" s="165"/>
      <c r="T838" s="150"/>
      <c r="U838" s="150"/>
      <c r="V838" s="150"/>
      <c r="W838" s="150"/>
      <c r="X838" s="150"/>
      <c r="Y838" s="150"/>
      <c r="Z838" s="150"/>
      <c r="AA838" s="150"/>
      <c r="AB838" s="150"/>
      <c r="AC838" s="150"/>
      <c r="AD838" s="150"/>
      <c r="AE838" s="150"/>
      <c r="AF838" s="150"/>
      <c r="AG838" s="150"/>
      <c r="AH838" s="40"/>
      <c r="AI838" s="40"/>
      <c r="AJ838" s="40"/>
      <c r="AK838" s="40"/>
      <c r="AL838" s="40"/>
      <c r="AM838" s="40"/>
      <c r="AN838" s="40"/>
      <c r="AO838" s="125"/>
      <c r="AP838" s="125"/>
      <c r="AQ838" s="126"/>
      <c r="AR838" s="126"/>
      <c r="AS838" s="126"/>
      <c r="AT838" s="126"/>
      <c r="AU838" s="106"/>
      <c r="AV838" s="106"/>
      <c r="AW838" s="126"/>
      <c r="AX838" s="126"/>
      <c r="AY838" s="126"/>
      <c r="AZ838" s="126"/>
      <c r="BA838" s="126"/>
      <c r="BB838" s="21"/>
      <c r="BC838" s="21"/>
      <c r="BD838" s="21"/>
      <c r="BE838" s="21"/>
    </row>
    <row r="839" customFormat="false" ht="14.1" hidden="true" customHeight="true" outlineLevel="1" collapsed="false">
      <c r="A839" s="278" t="s">
        <v>501</v>
      </c>
      <c r="B839" s="395"/>
      <c r="C839" s="376"/>
      <c r="D839" s="138"/>
      <c r="E839" s="138"/>
      <c r="F839" s="138"/>
      <c r="G839" s="26"/>
      <c r="H839" s="179"/>
      <c r="I839" s="26"/>
      <c r="J839" s="259"/>
      <c r="K839" s="397"/>
      <c r="L839" s="398"/>
      <c r="M839" s="398"/>
      <c r="N839" s="398"/>
      <c r="O839" s="426"/>
      <c r="P839" s="259"/>
      <c r="Q839" s="398"/>
      <c r="R839" s="165"/>
      <c r="S839" s="165"/>
      <c r="T839" s="150"/>
      <c r="U839" s="150"/>
      <c r="V839" s="150"/>
      <c r="W839" s="150"/>
      <c r="X839" s="150"/>
      <c r="Y839" s="150"/>
      <c r="Z839" s="150"/>
      <c r="AA839" s="150"/>
      <c r="AB839" s="150"/>
      <c r="AC839" s="150"/>
      <c r="AD839" s="150"/>
      <c r="AE839" s="150"/>
      <c r="AF839" s="150"/>
      <c r="AG839" s="150"/>
      <c r="AH839" s="40"/>
      <c r="AI839" s="40"/>
      <c r="AJ839" s="40"/>
      <c r="AK839" s="40"/>
      <c r="AL839" s="40"/>
      <c r="AM839" s="40"/>
      <c r="AN839" s="40"/>
      <c r="AO839" s="125"/>
      <c r="AP839" s="125"/>
      <c r="AQ839" s="126"/>
      <c r="AR839" s="126"/>
      <c r="AS839" s="126"/>
      <c r="AT839" s="126"/>
      <c r="AU839" s="106"/>
      <c r="AV839" s="106"/>
      <c r="AW839" s="126"/>
      <c r="AX839" s="126"/>
      <c r="AY839" s="126"/>
      <c r="AZ839" s="126"/>
      <c r="BA839" s="126"/>
      <c r="BB839" s="21"/>
      <c r="BC839" s="21"/>
      <c r="BD839" s="21"/>
      <c r="BE839" s="21"/>
    </row>
    <row r="840" customFormat="false" ht="14.1" hidden="true" customHeight="true" outlineLevel="1" collapsed="false">
      <c r="A840" s="149" t="s">
        <v>226</v>
      </c>
      <c r="B840" s="320" t="s">
        <v>502</v>
      </c>
      <c r="C840" s="368" t="n">
        <v>4</v>
      </c>
      <c r="D840" s="138"/>
      <c r="E840" s="138"/>
      <c r="F840" s="138"/>
      <c r="G840" s="26"/>
      <c r="H840" s="179"/>
      <c r="I840" s="26"/>
      <c r="J840" s="259"/>
      <c r="K840" s="397"/>
      <c r="L840" s="398"/>
      <c r="M840" s="398"/>
      <c r="N840" s="398"/>
      <c r="O840" s="426"/>
      <c r="P840" s="259"/>
      <c r="Q840" s="398"/>
      <c r="R840" s="165"/>
      <c r="S840" s="165"/>
      <c r="T840" s="150"/>
      <c r="U840" s="150"/>
      <c r="V840" s="150"/>
      <c r="W840" s="150"/>
      <c r="X840" s="150"/>
      <c r="Y840" s="150"/>
      <c r="Z840" s="150"/>
      <c r="AA840" s="150"/>
      <c r="AB840" s="150"/>
      <c r="AC840" s="150"/>
      <c r="AD840" s="150"/>
      <c r="AE840" s="150"/>
      <c r="AF840" s="150"/>
      <c r="AG840" s="150"/>
      <c r="AH840" s="40"/>
      <c r="AI840" s="40"/>
      <c r="AJ840" s="40"/>
      <c r="AK840" s="40"/>
      <c r="AL840" s="40"/>
      <c r="AM840" s="40"/>
      <c r="AN840" s="40"/>
      <c r="AO840" s="125"/>
      <c r="AP840" s="125"/>
      <c r="AQ840" s="126"/>
      <c r="AR840" s="126"/>
      <c r="AS840" s="126"/>
      <c r="AT840" s="126"/>
      <c r="AU840" s="106"/>
      <c r="AV840" s="106"/>
      <c r="AW840" s="126"/>
      <c r="AX840" s="126"/>
      <c r="AY840" s="126"/>
      <c r="AZ840" s="126"/>
      <c r="BA840" s="126"/>
      <c r="BB840" s="21"/>
      <c r="BC840" s="21"/>
      <c r="BD840" s="21"/>
      <c r="BE840" s="21"/>
    </row>
    <row r="841" customFormat="false" ht="14.1" hidden="true" customHeight="true" outlineLevel="1" collapsed="false">
      <c r="A841" s="240" t="s">
        <v>226</v>
      </c>
      <c r="B841" s="434" t="s">
        <v>48</v>
      </c>
      <c r="C841" s="369" t="n">
        <v>4</v>
      </c>
      <c r="D841" s="138"/>
      <c r="E841" s="138"/>
      <c r="F841" s="138"/>
      <c r="G841" s="26"/>
      <c r="H841" s="179"/>
      <c r="I841" s="26"/>
      <c r="J841" s="259"/>
      <c r="K841" s="397"/>
      <c r="L841" s="398"/>
      <c r="M841" s="398"/>
      <c r="N841" s="398"/>
      <c r="O841" s="426"/>
      <c r="P841" s="259"/>
      <c r="Q841" s="398"/>
      <c r="R841" s="165"/>
      <c r="S841" s="165"/>
      <c r="T841" s="150"/>
      <c r="U841" s="150"/>
      <c r="V841" s="150"/>
      <c r="W841" s="150"/>
      <c r="X841" s="150"/>
      <c r="Y841" s="150"/>
      <c r="Z841" s="150"/>
      <c r="AA841" s="150"/>
      <c r="AB841" s="150"/>
      <c r="AC841" s="150"/>
      <c r="AD841" s="150"/>
      <c r="AE841" s="150"/>
      <c r="AF841" s="150"/>
      <c r="AG841" s="150"/>
      <c r="AH841" s="40"/>
      <c r="AI841" s="40"/>
      <c r="AJ841" s="40"/>
      <c r="AK841" s="40"/>
      <c r="AL841" s="40"/>
      <c r="AM841" s="40"/>
      <c r="AN841" s="40"/>
      <c r="AO841" s="125"/>
      <c r="AP841" s="125"/>
      <c r="AQ841" s="126"/>
      <c r="AR841" s="126"/>
      <c r="AS841" s="126"/>
      <c r="AT841" s="126"/>
      <c r="AU841" s="106"/>
      <c r="AV841" s="106"/>
      <c r="AW841" s="126"/>
      <c r="AX841" s="126"/>
      <c r="AY841" s="126"/>
      <c r="AZ841" s="126"/>
      <c r="BA841" s="126"/>
      <c r="BB841" s="21"/>
      <c r="BC841" s="21"/>
      <c r="BD841" s="21"/>
      <c r="BE841" s="21"/>
    </row>
    <row r="842" customFormat="false" ht="14.1" hidden="true" customHeight="true" outlineLevel="1" collapsed="false">
      <c r="A842" s="240" t="s">
        <v>226</v>
      </c>
      <c r="B842" s="434" t="s">
        <v>48</v>
      </c>
      <c r="C842" s="369" t="n">
        <v>6</v>
      </c>
      <c r="D842" s="138"/>
      <c r="E842" s="138"/>
      <c r="F842" s="138"/>
      <c r="G842" s="26"/>
      <c r="H842" s="179"/>
      <c r="I842" s="26"/>
      <c r="J842" s="259"/>
      <c r="K842" s="397"/>
      <c r="L842" s="398"/>
      <c r="M842" s="398"/>
      <c r="N842" s="398"/>
      <c r="O842" s="426"/>
      <c r="P842" s="259"/>
      <c r="Q842" s="398"/>
      <c r="R842" s="165"/>
      <c r="S842" s="165"/>
      <c r="T842" s="150"/>
      <c r="U842" s="150"/>
      <c r="V842" s="150"/>
      <c r="W842" s="150"/>
      <c r="X842" s="150"/>
      <c r="Y842" s="150"/>
      <c r="Z842" s="150"/>
      <c r="AA842" s="150"/>
      <c r="AB842" s="150"/>
      <c r="AC842" s="150"/>
      <c r="AD842" s="150"/>
      <c r="AE842" s="150"/>
      <c r="AF842" s="150"/>
      <c r="AG842" s="150"/>
      <c r="AH842" s="40"/>
      <c r="AI842" s="40"/>
      <c r="AJ842" s="40"/>
      <c r="AK842" s="40"/>
      <c r="AL842" s="40"/>
      <c r="AM842" s="40"/>
      <c r="AN842" s="40"/>
      <c r="AO842" s="125"/>
      <c r="AP842" s="125"/>
      <c r="AQ842" s="126"/>
      <c r="AR842" s="126"/>
      <c r="AS842" s="126"/>
      <c r="AT842" s="126"/>
      <c r="AU842" s="106"/>
      <c r="AV842" s="106"/>
      <c r="AW842" s="126"/>
      <c r="AX842" s="126"/>
      <c r="AY842" s="126"/>
      <c r="AZ842" s="126"/>
      <c r="BA842" s="126"/>
      <c r="BB842" s="21"/>
      <c r="BC842" s="21"/>
      <c r="BD842" s="21"/>
      <c r="BE842" s="21"/>
    </row>
    <row r="843" customFormat="false" ht="14.1" hidden="true" customHeight="true" outlineLevel="1" collapsed="false">
      <c r="A843" s="240" t="s">
        <v>226</v>
      </c>
      <c r="B843" s="434" t="s">
        <v>502</v>
      </c>
      <c r="C843" s="369" t="n">
        <v>4</v>
      </c>
      <c r="D843" s="138"/>
      <c r="E843" s="138"/>
      <c r="F843" s="138"/>
      <c r="G843" s="26"/>
      <c r="H843" s="179"/>
      <c r="I843" s="26"/>
      <c r="J843" s="259"/>
      <c r="K843" s="397"/>
      <c r="L843" s="398"/>
      <c r="M843" s="398"/>
      <c r="N843" s="398"/>
      <c r="O843" s="426"/>
      <c r="P843" s="259"/>
      <c r="Q843" s="398"/>
      <c r="R843" s="165"/>
      <c r="S843" s="165"/>
      <c r="T843" s="150"/>
      <c r="U843" s="150"/>
      <c r="V843" s="150"/>
      <c r="W843" s="150"/>
      <c r="X843" s="150"/>
      <c r="Y843" s="150"/>
      <c r="Z843" s="150"/>
      <c r="AA843" s="150"/>
      <c r="AB843" s="150"/>
      <c r="AC843" s="150"/>
      <c r="AD843" s="150"/>
      <c r="AE843" s="150"/>
      <c r="AF843" s="150"/>
      <c r="AG843" s="150"/>
      <c r="AH843" s="40"/>
      <c r="AI843" s="40"/>
      <c r="AJ843" s="40"/>
      <c r="AK843" s="40"/>
      <c r="AL843" s="40"/>
      <c r="AM843" s="40"/>
      <c r="AN843" s="40"/>
      <c r="AO843" s="125"/>
      <c r="AP843" s="125"/>
      <c r="AQ843" s="126"/>
      <c r="AR843" s="126"/>
      <c r="AS843" s="126"/>
      <c r="AT843" s="126"/>
      <c r="AU843" s="106"/>
      <c r="AV843" s="106"/>
      <c r="AW843" s="126"/>
      <c r="AX843" s="126"/>
      <c r="AY843" s="126"/>
      <c r="AZ843" s="126"/>
      <c r="BA843" s="126"/>
      <c r="BB843" s="21"/>
      <c r="BC843" s="21"/>
      <c r="BD843" s="21"/>
      <c r="BE843" s="21"/>
    </row>
    <row r="844" customFormat="false" ht="14.1" hidden="true" customHeight="true" outlineLevel="1" collapsed="false">
      <c r="A844" s="149" t="s">
        <v>226</v>
      </c>
      <c r="B844" s="320"/>
      <c r="C844" s="368" t="n">
        <v>0</v>
      </c>
      <c r="D844" s="138"/>
      <c r="E844" s="138"/>
      <c r="F844" s="138"/>
      <c r="G844" s="26"/>
      <c r="H844" s="179"/>
      <c r="I844" s="26"/>
      <c r="J844" s="259"/>
      <c r="K844" s="397"/>
      <c r="L844" s="398"/>
      <c r="M844" s="398"/>
      <c r="N844" s="398"/>
      <c r="O844" s="426"/>
      <c r="P844" s="259"/>
      <c r="Q844" s="398"/>
      <c r="R844" s="165"/>
      <c r="S844" s="165"/>
      <c r="T844" s="150"/>
      <c r="U844" s="150"/>
      <c r="V844" s="150"/>
      <c r="W844" s="150"/>
      <c r="X844" s="150"/>
      <c r="Y844" s="150"/>
      <c r="Z844" s="150"/>
      <c r="AA844" s="150"/>
      <c r="AB844" s="150"/>
      <c r="AC844" s="150"/>
      <c r="AD844" s="150"/>
      <c r="AE844" s="150"/>
      <c r="AF844" s="150"/>
      <c r="AG844" s="150"/>
      <c r="AH844" s="40"/>
      <c r="AI844" s="40"/>
      <c r="AJ844" s="40"/>
      <c r="AK844" s="40"/>
      <c r="AL844" s="40"/>
      <c r="AM844" s="40"/>
      <c r="AN844" s="40"/>
      <c r="AO844" s="125"/>
      <c r="AP844" s="125"/>
      <c r="AQ844" s="126"/>
      <c r="AR844" s="126"/>
      <c r="AS844" s="126"/>
      <c r="AT844" s="126"/>
      <c r="AU844" s="106"/>
      <c r="AV844" s="106"/>
      <c r="AW844" s="126"/>
      <c r="AX844" s="126"/>
      <c r="AY844" s="126"/>
      <c r="AZ844" s="126"/>
      <c r="BA844" s="126"/>
      <c r="BB844" s="21"/>
      <c r="BC844" s="21"/>
      <c r="BD844" s="21"/>
      <c r="BE844" s="21"/>
    </row>
    <row r="845" customFormat="false" ht="14.1" hidden="true" customHeight="true" outlineLevel="1" collapsed="false">
      <c r="A845" s="138"/>
      <c r="B845" s="270"/>
      <c r="C845" s="268"/>
      <c r="D845" s="138"/>
      <c r="E845" s="138"/>
      <c r="F845" s="138"/>
      <c r="G845" s="26"/>
      <c r="H845" s="179"/>
      <c r="I845" s="26"/>
      <c r="J845" s="259"/>
      <c r="K845" s="397"/>
      <c r="L845" s="398"/>
      <c r="M845" s="398"/>
      <c r="N845" s="398"/>
      <c r="O845" s="426"/>
      <c r="P845" s="259"/>
      <c r="Q845" s="398"/>
      <c r="R845" s="165"/>
      <c r="S845" s="165"/>
      <c r="T845" s="150"/>
      <c r="U845" s="150"/>
      <c r="V845" s="150"/>
      <c r="W845" s="150"/>
      <c r="X845" s="150"/>
      <c r="Y845" s="150"/>
      <c r="Z845" s="150"/>
      <c r="AA845" s="150"/>
      <c r="AB845" s="150"/>
      <c r="AC845" s="150"/>
      <c r="AD845" s="150"/>
      <c r="AE845" s="150"/>
      <c r="AF845" s="150"/>
      <c r="AG845" s="150"/>
      <c r="AH845" s="40"/>
      <c r="AI845" s="40"/>
      <c r="AJ845" s="40"/>
      <c r="AK845" s="40"/>
      <c r="AL845" s="40"/>
      <c r="AM845" s="40"/>
      <c r="AN845" s="40"/>
      <c r="AO845" s="125"/>
      <c r="AP845" s="125"/>
      <c r="AQ845" s="126"/>
      <c r="AR845" s="126"/>
      <c r="AS845" s="126"/>
      <c r="AT845" s="126"/>
      <c r="AU845" s="106"/>
      <c r="AV845" s="106"/>
      <c r="AW845" s="126"/>
      <c r="AX845" s="126"/>
      <c r="AY845" s="126"/>
      <c r="AZ845" s="126"/>
      <c r="BA845" s="126"/>
      <c r="BB845" s="21"/>
      <c r="BC845" s="21"/>
      <c r="BD845" s="21"/>
      <c r="BE845" s="21"/>
    </row>
    <row r="846" customFormat="false" ht="14.1" hidden="true" customHeight="true" outlineLevel="1" collapsed="false">
      <c r="A846" s="163" t="s">
        <v>503</v>
      </c>
      <c r="B846" s="119" t="s">
        <v>113</v>
      </c>
      <c r="C846" s="435" t="n">
        <v>8000</v>
      </c>
      <c r="D846" s="138"/>
      <c r="E846" s="138"/>
      <c r="F846" s="138"/>
      <c r="G846" s="26"/>
      <c r="H846" s="179"/>
      <c r="I846" s="26"/>
      <c r="J846" s="259"/>
      <c r="K846" s="397"/>
      <c r="L846" s="398"/>
      <c r="M846" s="398"/>
      <c r="N846" s="398"/>
      <c r="O846" s="426"/>
      <c r="P846" s="259"/>
      <c r="Q846" s="398"/>
      <c r="R846" s="165"/>
      <c r="S846" s="165"/>
      <c r="T846" s="150"/>
      <c r="U846" s="150"/>
      <c r="V846" s="150"/>
      <c r="W846" s="150"/>
      <c r="X846" s="150"/>
      <c r="Y846" s="150"/>
      <c r="Z846" s="150"/>
      <c r="AA846" s="150"/>
      <c r="AB846" s="150"/>
      <c r="AC846" s="150"/>
      <c r="AD846" s="150"/>
      <c r="AE846" s="150"/>
      <c r="AF846" s="150"/>
      <c r="AG846" s="150"/>
      <c r="AH846" s="40"/>
      <c r="AI846" s="40"/>
      <c r="AJ846" s="40"/>
      <c r="AK846" s="40"/>
      <c r="AL846" s="40"/>
      <c r="AM846" s="40"/>
      <c r="AN846" s="40"/>
      <c r="AO846" s="125"/>
      <c r="AP846" s="125"/>
      <c r="AQ846" s="126"/>
      <c r="AR846" s="126"/>
      <c r="AS846" s="126"/>
      <c r="AT846" s="126"/>
      <c r="AU846" s="106"/>
      <c r="AV846" s="106"/>
      <c r="AW846" s="126"/>
      <c r="AX846" s="126"/>
      <c r="AY846" s="126"/>
      <c r="AZ846" s="126"/>
      <c r="BA846" s="126"/>
      <c r="BB846" s="21"/>
      <c r="BC846" s="21"/>
      <c r="BD846" s="21"/>
      <c r="BE846" s="21"/>
    </row>
    <row r="847" customFormat="false" ht="14.1" hidden="true" customHeight="true" outlineLevel="1" collapsed="false">
      <c r="A847" s="138"/>
      <c r="B847" s="235"/>
      <c r="C847" s="138"/>
      <c r="D847" s="138"/>
      <c r="E847" s="138"/>
      <c r="F847" s="138"/>
      <c r="G847" s="26"/>
      <c r="H847" s="179"/>
      <c r="I847" s="26"/>
      <c r="J847" s="259"/>
      <c r="K847" s="397"/>
      <c r="L847" s="398"/>
      <c r="M847" s="398"/>
      <c r="N847" s="398"/>
      <c r="O847" s="426"/>
      <c r="P847" s="259"/>
      <c r="Q847" s="398"/>
      <c r="R847" s="165"/>
      <c r="S847" s="165"/>
      <c r="T847" s="150"/>
      <c r="U847" s="150"/>
      <c r="V847" s="150"/>
      <c r="W847" s="150"/>
      <c r="X847" s="150"/>
      <c r="Y847" s="150"/>
      <c r="Z847" s="150"/>
      <c r="AA847" s="150"/>
      <c r="AB847" s="150"/>
      <c r="AC847" s="150"/>
      <c r="AD847" s="150"/>
      <c r="AE847" s="150"/>
      <c r="AF847" s="150"/>
      <c r="AG847" s="150"/>
      <c r="AH847" s="40"/>
      <c r="AI847" s="40"/>
      <c r="AJ847" s="40"/>
      <c r="AK847" s="40"/>
      <c r="AL847" s="40"/>
      <c r="AM847" s="40"/>
      <c r="AN847" s="40"/>
      <c r="AO847" s="125"/>
      <c r="AP847" s="125"/>
      <c r="AQ847" s="126"/>
      <c r="AR847" s="126"/>
      <c r="AS847" s="126"/>
      <c r="AT847" s="126"/>
      <c r="AU847" s="106"/>
      <c r="AV847" s="106"/>
      <c r="AW847" s="126"/>
      <c r="AX847" s="126"/>
      <c r="AY847" s="126"/>
      <c r="AZ847" s="126"/>
      <c r="BA847" s="126"/>
      <c r="BB847" s="21"/>
      <c r="BC847" s="21"/>
      <c r="BD847" s="21"/>
      <c r="BE847" s="21"/>
    </row>
    <row r="848" customFormat="false" ht="14.1" hidden="false" customHeight="true" outlineLevel="0" collapsed="false">
      <c r="A848" s="436" t="s">
        <v>504</v>
      </c>
      <c r="B848" s="436"/>
      <c r="C848" s="436"/>
      <c r="D848" s="436"/>
      <c r="E848" s="436"/>
      <c r="F848" s="138"/>
      <c r="G848" s="26"/>
      <c r="H848" s="437"/>
      <c r="I848" s="437"/>
      <c r="J848" s="437"/>
      <c r="K848" s="437"/>
      <c r="L848" s="437"/>
      <c r="M848" s="257"/>
      <c r="N848" s="257"/>
      <c r="O848" s="257"/>
      <c r="P848" s="337"/>
      <c r="Q848" s="165"/>
      <c r="R848" s="337"/>
      <c r="S848" s="150"/>
      <c r="T848" s="337"/>
      <c r="U848" s="337"/>
      <c r="V848" s="337"/>
      <c r="W848" s="150"/>
      <c r="X848" s="150"/>
      <c r="Y848" s="150"/>
      <c r="Z848" s="150"/>
      <c r="AA848" s="150"/>
      <c r="AB848" s="150"/>
      <c r="AC848" s="150"/>
      <c r="AD848" s="150"/>
      <c r="AE848" s="150"/>
      <c r="AF848" s="150"/>
      <c r="AG848" s="150"/>
      <c r="AH848" s="40"/>
      <c r="AI848" s="40"/>
      <c r="AJ848" s="40"/>
      <c r="AK848" s="40"/>
      <c r="AL848" s="40"/>
      <c r="AM848" s="40"/>
      <c r="AN848" s="40"/>
      <c r="AO848" s="125"/>
      <c r="AP848" s="125"/>
      <c r="AQ848" s="126"/>
      <c r="AR848" s="126"/>
      <c r="AS848" s="126"/>
      <c r="AT848" s="126"/>
      <c r="AU848" s="106"/>
      <c r="AV848" s="438" t="n">
        <f aca="false">M848</f>
        <v>0</v>
      </c>
      <c r="AW848" s="126"/>
      <c r="AX848" s="126"/>
      <c r="AY848" s="126"/>
      <c r="AZ848" s="126"/>
      <c r="BA848" s="126"/>
      <c r="BB848" s="21"/>
      <c r="BC848" s="21"/>
      <c r="BD848" s="21"/>
      <c r="BE848" s="21"/>
    </row>
    <row r="849" s="35" customFormat="true" ht="14.1" hidden="false" customHeight="true" outlineLevel="0" collapsed="false">
      <c r="A849" s="230"/>
      <c r="B849" s="173"/>
      <c r="C849" s="254"/>
      <c r="D849" s="254"/>
      <c r="E849" s="254"/>
      <c r="F849" s="254"/>
      <c r="G849" s="254"/>
      <c r="H849" s="173"/>
      <c r="I849" s="212"/>
      <c r="J849" s="259"/>
      <c r="K849" s="220"/>
      <c r="L849" s="220"/>
      <c r="M849" s="259"/>
      <c r="N849" s="165"/>
      <c r="O849" s="165"/>
      <c r="P849" s="165"/>
      <c r="Q849" s="150"/>
      <c r="R849" s="150"/>
      <c r="S849" s="150"/>
      <c r="T849" s="150"/>
      <c r="U849" s="150"/>
      <c r="V849" s="150"/>
      <c r="W849" s="150"/>
      <c r="X849" s="150"/>
      <c r="Y849" s="150"/>
      <c r="Z849" s="150"/>
      <c r="AA849" s="150"/>
      <c r="AB849" s="150"/>
      <c r="AC849" s="150"/>
      <c r="AD849" s="150"/>
      <c r="AE849" s="150"/>
      <c r="AF849" s="150"/>
      <c r="AG849" s="150"/>
      <c r="AH849" s="40"/>
      <c r="AI849" s="40"/>
      <c r="AJ849" s="40"/>
      <c r="AK849" s="40"/>
      <c r="AL849" s="40"/>
      <c r="AM849" s="40"/>
      <c r="AN849" s="40"/>
      <c r="AO849" s="125"/>
      <c r="AP849" s="125"/>
      <c r="AQ849" s="126"/>
      <c r="AR849" s="126"/>
      <c r="AS849" s="126"/>
      <c r="AT849" s="126"/>
      <c r="AU849" s="106"/>
      <c r="AV849" s="106"/>
      <c r="AW849" s="126"/>
      <c r="AX849" s="126"/>
      <c r="AY849" s="126"/>
      <c r="AZ849" s="126"/>
      <c r="BA849" s="126"/>
      <c r="BB849" s="126"/>
      <c r="BC849" s="126"/>
      <c r="BD849" s="126"/>
      <c r="BE849" s="126"/>
      <c r="BF849" s="156"/>
    </row>
    <row r="850" customFormat="false" ht="14.1" hidden="true" customHeight="true" outlineLevel="1" collapsed="false">
      <c r="A850" s="439" t="s">
        <v>505</v>
      </c>
      <c r="B850" s="439"/>
      <c r="C850" s="439"/>
      <c r="D850" s="439"/>
      <c r="E850" s="439"/>
      <c r="F850" s="439"/>
      <c r="G850" s="439"/>
      <c r="H850" s="440"/>
      <c r="I850" s="440"/>
      <c r="J850" s="440"/>
      <c r="K850" s="440"/>
      <c r="L850" s="440"/>
      <c r="M850" s="440"/>
      <c r="N850" s="440"/>
      <c r="O850" s="440"/>
      <c r="P850" s="440"/>
      <c r="Q850" s="440"/>
      <c r="R850" s="440"/>
      <c r="S850" s="440"/>
      <c r="T850" s="440"/>
      <c r="U850" s="440"/>
      <c r="V850" s="440"/>
      <c r="W850" s="440"/>
      <c r="X850" s="440"/>
      <c r="Y850" s="440"/>
      <c r="Z850" s="440"/>
      <c r="AA850" s="440"/>
      <c r="AB850" s="440"/>
      <c r="AC850" s="440"/>
      <c r="AD850" s="440"/>
      <c r="AE850" s="440"/>
      <c r="AF850" s="440"/>
      <c r="AG850" s="440"/>
      <c r="AH850" s="40"/>
      <c r="AI850" s="40"/>
      <c r="AJ850" s="40"/>
      <c r="AK850" s="40"/>
      <c r="AL850" s="40"/>
      <c r="AM850" s="40"/>
      <c r="AN850" s="40"/>
      <c r="AO850" s="125"/>
      <c r="AP850" s="125"/>
      <c r="AQ850" s="126"/>
      <c r="AR850" s="126"/>
      <c r="AS850" s="126"/>
      <c r="AT850" s="126"/>
      <c r="AU850" s="106"/>
      <c r="AV850" s="106"/>
      <c r="AW850" s="126"/>
      <c r="AX850" s="126"/>
      <c r="AY850" s="126"/>
      <c r="AZ850" s="126"/>
      <c r="BA850" s="126"/>
      <c r="BB850" s="21"/>
      <c r="BC850" s="21"/>
      <c r="BD850" s="21"/>
      <c r="BE850" s="21"/>
    </row>
    <row r="851" customFormat="false" ht="14.1" hidden="true" customHeight="true" outlineLevel="1" collapsed="false">
      <c r="A851" s="439"/>
      <c r="B851" s="439"/>
      <c r="C851" s="439"/>
      <c r="D851" s="439"/>
      <c r="E851" s="439"/>
      <c r="F851" s="439"/>
      <c r="G851" s="439"/>
      <c r="H851" s="440"/>
      <c r="I851" s="440"/>
      <c r="J851" s="440"/>
      <c r="K851" s="440"/>
      <c r="L851" s="440"/>
      <c r="M851" s="440"/>
      <c r="N851" s="440"/>
      <c r="O851" s="440"/>
      <c r="P851" s="440"/>
      <c r="Q851" s="440"/>
      <c r="R851" s="440"/>
      <c r="S851" s="440"/>
      <c r="T851" s="440"/>
      <c r="U851" s="440"/>
      <c r="V851" s="440"/>
      <c r="W851" s="440"/>
      <c r="X851" s="440"/>
      <c r="Y851" s="440"/>
      <c r="Z851" s="440"/>
      <c r="AA851" s="440"/>
      <c r="AB851" s="440"/>
      <c r="AC851" s="440"/>
      <c r="AD851" s="440"/>
      <c r="AE851" s="440"/>
      <c r="AF851" s="440"/>
      <c r="AG851" s="440"/>
      <c r="AH851" s="40"/>
      <c r="AI851" s="40"/>
      <c r="AJ851" s="40"/>
      <c r="AK851" s="40"/>
      <c r="AL851" s="40"/>
      <c r="AM851" s="40"/>
      <c r="AN851" s="40"/>
      <c r="AO851" s="125"/>
      <c r="AP851" s="125"/>
      <c r="AQ851" s="126"/>
      <c r="AR851" s="126"/>
      <c r="AS851" s="126"/>
      <c r="AT851" s="126"/>
      <c r="AU851" s="106"/>
      <c r="AV851" s="106"/>
      <c r="AW851" s="126"/>
      <c r="AX851" s="126"/>
      <c r="AY851" s="126"/>
      <c r="AZ851" s="126"/>
      <c r="BA851" s="126"/>
      <c r="BB851" s="21"/>
      <c r="BC851" s="21"/>
      <c r="BD851" s="21"/>
      <c r="BE851" s="21"/>
    </row>
    <row r="852" customFormat="false" ht="14.1" hidden="true" customHeight="true" outlineLevel="1" collapsed="false">
      <c r="A852" s="390" t="s">
        <v>461</v>
      </c>
      <c r="B852" s="391"/>
      <c r="C852" s="390"/>
      <c r="D852" s="441" t="n">
        <v>1</v>
      </c>
      <c r="E852" s="138"/>
      <c r="F852" s="138"/>
      <c r="G852" s="172"/>
      <c r="H852" s="172"/>
      <c r="I852" s="172"/>
      <c r="J852" s="172"/>
      <c r="K852" s="172"/>
      <c r="L852" s="172"/>
      <c r="M852" s="172"/>
      <c r="N852" s="172"/>
      <c r="O852" s="172"/>
      <c r="P852" s="172"/>
      <c r="Q852" s="172"/>
      <c r="R852" s="172"/>
      <c r="S852" s="172"/>
      <c r="T852" s="172"/>
      <c r="U852" s="172"/>
      <c r="V852" s="172"/>
      <c r="W852" s="172"/>
      <c r="X852" s="172"/>
      <c r="Y852" s="442"/>
      <c r="Z852" s="442"/>
      <c r="AA852" s="443"/>
      <c r="AB852" s="442"/>
      <c r="AC852" s="444"/>
      <c r="AD852" s="444"/>
      <c r="AE852" s="444"/>
      <c r="AF852" s="445"/>
      <c r="AG852" s="26"/>
      <c r="AH852" s="446"/>
      <c r="AI852" s="446"/>
      <c r="AJ852" s="40"/>
      <c r="AK852" s="40"/>
      <c r="AL852" s="40"/>
      <c r="AM852" s="40"/>
      <c r="AN852" s="40"/>
      <c r="AO852" s="125"/>
      <c r="AP852" s="125"/>
      <c r="AQ852" s="126"/>
      <c r="AR852" s="126"/>
      <c r="AS852" s="126"/>
      <c r="AT852" s="126"/>
      <c r="AU852" s="106"/>
      <c r="AV852" s="106"/>
      <c r="AW852" s="126"/>
      <c r="AX852" s="126"/>
      <c r="AY852" s="126"/>
      <c r="AZ852" s="126"/>
      <c r="BA852" s="126"/>
      <c r="BB852" s="21"/>
      <c r="BC852" s="21"/>
      <c r="BD852" s="21"/>
      <c r="BE852" s="21"/>
    </row>
    <row r="853" customFormat="false" ht="14.1" hidden="true" customHeight="true" outlineLevel="1" collapsed="false">
      <c r="A853" s="393" t="s">
        <v>462</v>
      </c>
      <c r="B853" s="394"/>
      <c r="C853" s="393"/>
      <c r="D853" s="447" t="n">
        <v>1</v>
      </c>
      <c r="E853" s="138"/>
      <c r="F853" s="138"/>
      <c r="G853" s="172"/>
      <c r="H853" s="172"/>
      <c r="I853" s="172"/>
      <c r="J853" s="172"/>
      <c r="K853" s="172"/>
      <c r="L853" s="172"/>
      <c r="M853" s="172"/>
      <c r="N853" s="172"/>
      <c r="O853" s="172"/>
      <c r="P853" s="172"/>
      <c r="Q853" s="172"/>
      <c r="R853" s="172"/>
      <c r="S853" s="172"/>
      <c r="T853" s="172"/>
      <c r="U853" s="172"/>
      <c r="V853" s="172"/>
      <c r="W853" s="172"/>
      <c r="X853" s="172"/>
      <c r="Y853" s="442"/>
      <c r="Z853" s="442"/>
      <c r="AA853" s="442"/>
      <c r="AB853" s="442"/>
      <c r="AC853" s="444"/>
      <c r="AD853" s="444"/>
      <c r="AE853" s="444"/>
      <c r="AF853" s="445"/>
      <c r="AG853" s="445"/>
      <c r="AH853" s="446"/>
      <c r="AI853" s="446"/>
      <c r="AJ853" s="40"/>
      <c r="AK853" s="40"/>
      <c r="AL853" s="40"/>
      <c r="AM853" s="40"/>
      <c r="AN853" s="40"/>
      <c r="AO853" s="125"/>
      <c r="AP853" s="125"/>
      <c r="AQ853" s="126"/>
      <c r="AR853" s="126"/>
      <c r="AS853" s="126"/>
      <c r="AT853" s="126"/>
      <c r="AU853" s="106"/>
      <c r="AV853" s="106"/>
      <c r="AW853" s="126"/>
      <c r="AX853" s="126"/>
      <c r="AY853" s="126"/>
      <c r="AZ853" s="126"/>
      <c r="BA853" s="126"/>
      <c r="BB853" s="21"/>
      <c r="BC853" s="21"/>
      <c r="BD853" s="21"/>
      <c r="BE853" s="21"/>
    </row>
    <row r="854" customFormat="false" ht="14.1" hidden="true" customHeight="true" outlineLevel="1" collapsed="false">
      <c r="A854" s="278"/>
      <c r="B854" s="395"/>
      <c r="C854" s="376"/>
      <c r="D854" s="376"/>
      <c r="E854" s="376"/>
      <c r="F854" s="376"/>
      <c r="G854" s="172"/>
      <c r="H854" s="172"/>
      <c r="I854" s="172"/>
      <c r="J854" s="172"/>
      <c r="K854" s="172"/>
      <c r="L854" s="172"/>
      <c r="M854" s="172"/>
      <c r="N854" s="172"/>
      <c r="O854" s="172"/>
      <c r="P854" s="172"/>
      <c r="Q854" s="172"/>
      <c r="R854" s="172"/>
      <c r="S854" s="172"/>
      <c r="T854" s="172"/>
      <c r="U854" s="172"/>
      <c r="V854" s="172"/>
      <c r="W854" s="132"/>
      <c r="X854" s="172"/>
      <c r="Y854" s="448"/>
      <c r="Z854" s="448"/>
      <c r="AA854" s="132"/>
      <c r="AB854" s="448"/>
      <c r="AC854" s="444"/>
      <c r="AD854" s="444"/>
      <c r="AE854" s="444"/>
      <c r="AF854" s="445"/>
      <c r="AG854" s="445"/>
      <c r="AH854" s="446"/>
      <c r="AI854" s="446"/>
      <c r="AJ854" s="40"/>
      <c r="AK854" s="40"/>
      <c r="AL854" s="40"/>
      <c r="AM854" s="40"/>
      <c r="AN854" s="40"/>
      <c r="AO854" s="125"/>
      <c r="AP854" s="125"/>
      <c r="AQ854" s="126"/>
      <c r="AR854" s="126"/>
      <c r="AS854" s="126"/>
      <c r="AT854" s="126"/>
      <c r="AU854" s="106"/>
      <c r="AV854" s="106"/>
      <c r="AW854" s="126"/>
      <c r="AX854" s="126"/>
      <c r="AY854" s="126"/>
      <c r="AZ854" s="126"/>
      <c r="BA854" s="126"/>
      <c r="BB854" s="160"/>
      <c r="BC854" s="160"/>
      <c r="BD854" s="160"/>
      <c r="BE854" s="160"/>
    </row>
    <row r="855" customFormat="false" ht="14.1" hidden="true" customHeight="true" outlineLevel="1" collapsed="false">
      <c r="A855" s="449" t="s">
        <v>46</v>
      </c>
      <c r="B855" s="148" t="s">
        <v>12</v>
      </c>
      <c r="C855" s="148" t="s">
        <v>13</v>
      </c>
      <c r="D855" s="404"/>
      <c r="E855" s="278"/>
      <c r="F855" s="278"/>
      <c r="G855" s="132"/>
      <c r="H855" s="415"/>
      <c r="I855" s="179"/>
      <c r="J855" s="179"/>
      <c r="K855" s="179"/>
      <c r="L855" s="415"/>
      <c r="M855" s="415"/>
      <c r="N855" s="415"/>
      <c r="O855" s="415"/>
      <c r="P855" s="415"/>
      <c r="Q855" s="415"/>
      <c r="R855" s="415"/>
      <c r="S855" s="415"/>
      <c r="T855" s="415"/>
      <c r="U855" s="415"/>
      <c r="V855" s="415"/>
      <c r="W855" s="415"/>
      <c r="X855" s="415"/>
      <c r="Y855" s="450"/>
      <c r="Z855" s="450"/>
      <c r="AA855" s="450"/>
      <c r="AB855" s="450"/>
      <c r="AC855" s="445"/>
      <c r="AD855" s="445"/>
      <c r="AE855" s="445"/>
      <c r="AF855" s="445"/>
      <c r="AG855" s="445"/>
      <c r="AH855" s="446"/>
      <c r="AI855" s="446"/>
      <c r="AJ855" s="40"/>
      <c r="AK855" s="40"/>
      <c r="AL855" s="40"/>
      <c r="AM855" s="40"/>
      <c r="AN855" s="40"/>
      <c r="AO855" s="125"/>
      <c r="AP855" s="125"/>
      <c r="AQ855" s="126"/>
      <c r="AR855" s="126"/>
      <c r="AS855" s="126"/>
      <c r="AT855" s="126"/>
      <c r="AU855" s="106"/>
      <c r="AV855" s="106"/>
      <c r="AW855" s="126"/>
      <c r="AX855" s="126"/>
      <c r="AY855" s="126"/>
      <c r="AZ855" s="126"/>
      <c r="BA855" s="126"/>
      <c r="BB855" s="21"/>
      <c r="BC855" s="21"/>
      <c r="BD855" s="21"/>
      <c r="BE855" s="21"/>
    </row>
    <row r="856" customFormat="false" ht="14.1" hidden="true" customHeight="true" outlineLevel="1" collapsed="false">
      <c r="A856" s="163" t="s">
        <v>506</v>
      </c>
      <c r="B856" s="119" t="s">
        <v>15</v>
      </c>
      <c r="C856" s="451" t="n">
        <v>0.2</v>
      </c>
      <c r="D856" s="275"/>
      <c r="E856" s="278"/>
      <c r="F856" s="278"/>
      <c r="G856" s="132"/>
      <c r="H856" s="132"/>
      <c r="I856" s="132"/>
      <c r="J856" s="132"/>
      <c r="K856" s="452"/>
      <c r="L856" s="132"/>
      <c r="M856" s="132"/>
      <c r="N856" s="165"/>
      <c r="O856" s="165"/>
      <c r="P856" s="165"/>
      <c r="Q856" s="150"/>
      <c r="R856" s="150"/>
      <c r="S856" s="150"/>
      <c r="T856" s="150"/>
      <c r="U856" s="150"/>
      <c r="V856" s="150"/>
      <c r="W856" s="150"/>
      <c r="X856" s="150"/>
      <c r="Y856" s="150"/>
      <c r="Z856" s="150"/>
      <c r="AA856" s="150"/>
      <c r="AB856" s="150"/>
      <c r="AC856" s="150"/>
      <c r="AD856" s="150"/>
      <c r="AE856" s="150"/>
      <c r="AF856" s="150"/>
      <c r="AG856" s="150"/>
      <c r="AH856" s="40"/>
      <c r="AI856" s="40"/>
      <c r="AJ856" s="40"/>
      <c r="AK856" s="40"/>
      <c r="AL856" s="40"/>
      <c r="AM856" s="40"/>
      <c r="AN856" s="40"/>
      <c r="AO856" s="125"/>
      <c r="AP856" s="125"/>
      <c r="AQ856" s="126"/>
      <c r="AR856" s="126"/>
      <c r="AS856" s="126"/>
      <c r="AT856" s="126"/>
      <c r="AU856" s="106"/>
      <c r="AV856" s="106"/>
      <c r="AW856" s="126"/>
      <c r="AX856" s="126"/>
      <c r="AY856" s="126"/>
      <c r="AZ856" s="126"/>
      <c r="BA856" s="126"/>
      <c r="BB856" s="21"/>
      <c r="BC856" s="21"/>
      <c r="BD856" s="21"/>
      <c r="BE856" s="21"/>
    </row>
    <row r="857" customFormat="false" ht="14.1" hidden="true" customHeight="true" outlineLevel="1" collapsed="false">
      <c r="A857" s="163" t="s">
        <v>507</v>
      </c>
      <c r="B857" s="119" t="s">
        <v>15</v>
      </c>
      <c r="C857" s="451" t="n">
        <v>0.2</v>
      </c>
      <c r="D857" s="275"/>
      <c r="E857" s="278"/>
      <c r="F857" s="278"/>
      <c r="G857" s="132"/>
      <c r="H857" s="132"/>
      <c r="I857" s="132"/>
      <c r="J857" s="132"/>
      <c r="K857" s="452"/>
      <c r="L857" s="132"/>
      <c r="M857" s="132"/>
      <c r="N857" s="165"/>
      <c r="O857" s="165"/>
      <c r="P857" s="165"/>
      <c r="Q857" s="150"/>
      <c r="R857" s="150"/>
      <c r="S857" s="150"/>
      <c r="T857" s="150"/>
      <c r="U857" s="150"/>
      <c r="V857" s="150"/>
      <c r="W857" s="150"/>
      <c r="X857" s="150"/>
      <c r="Y857" s="150"/>
      <c r="Z857" s="150"/>
      <c r="AA857" s="150"/>
      <c r="AB857" s="150"/>
      <c r="AC857" s="150"/>
      <c r="AD857" s="150"/>
      <c r="AE857" s="150"/>
      <c r="AF857" s="150"/>
      <c r="AG857" s="150"/>
      <c r="AH857" s="40"/>
      <c r="AI857" s="40"/>
      <c r="AJ857" s="40"/>
      <c r="AK857" s="40"/>
      <c r="AL857" s="40"/>
      <c r="AM857" s="40"/>
      <c r="AN857" s="40"/>
      <c r="AO857" s="125"/>
      <c r="AP857" s="125"/>
      <c r="AQ857" s="126"/>
      <c r="AR857" s="126"/>
      <c r="AS857" s="126"/>
      <c r="AT857" s="126"/>
      <c r="AU857" s="106"/>
      <c r="AV857" s="106"/>
      <c r="AW857" s="126"/>
      <c r="AX857" s="126"/>
      <c r="AY857" s="126"/>
      <c r="AZ857" s="126"/>
      <c r="BA857" s="126"/>
      <c r="BB857" s="21"/>
      <c r="BC857" s="21"/>
      <c r="BD857" s="21"/>
      <c r="BE857" s="21"/>
    </row>
    <row r="858" customFormat="false" ht="14.1" hidden="true" customHeight="true" outlineLevel="1" collapsed="false">
      <c r="A858" s="163" t="s">
        <v>508</v>
      </c>
      <c r="B858" s="119" t="s">
        <v>15</v>
      </c>
      <c r="C858" s="451" t="n">
        <v>0.1</v>
      </c>
      <c r="D858" s="275"/>
      <c r="E858" s="278"/>
      <c r="F858" s="278"/>
      <c r="G858" s="132"/>
      <c r="H858" s="132"/>
      <c r="I858" s="132"/>
      <c r="J858" s="132"/>
      <c r="K858" s="452"/>
      <c r="L858" s="132"/>
      <c r="M858" s="132"/>
      <c r="N858" s="165"/>
      <c r="O858" s="165"/>
      <c r="P858" s="165"/>
      <c r="Q858" s="150"/>
      <c r="R858" s="150"/>
      <c r="S858" s="150"/>
      <c r="T858" s="150"/>
      <c r="U858" s="150"/>
      <c r="V858" s="150"/>
      <c r="W858" s="150"/>
      <c r="X858" s="150"/>
      <c r="Y858" s="150"/>
      <c r="Z858" s="150"/>
      <c r="AA858" s="150"/>
      <c r="AB858" s="150"/>
      <c r="AC858" s="150"/>
      <c r="AD858" s="150"/>
      <c r="AE858" s="150"/>
      <c r="AF858" s="150"/>
      <c r="AG858" s="150"/>
      <c r="AH858" s="40"/>
      <c r="AI858" s="40"/>
      <c r="AJ858" s="40"/>
      <c r="AK858" s="40"/>
      <c r="AL858" s="40"/>
      <c r="AM858" s="40"/>
      <c r="AN858" s="40"/>
      <c r="AO858" s="125"/>
      <c r="AP858" s="125"/>
      <c r="AQ858" s="126"/>
      <c r="AR858" s="126"/>
      <c r="AS858" s="126"/>
      <c r="AT858" s="126"/>
      <c r="AU858" s="106"/>
      <c r="AV858" s="106"/>
      <c r="AW858" s="126"/>
      <c r="AX858" s="126"/>
      <c r="AY858" s="126"/>
      <c r="AZ858" s="126"/>
      <c r="BA858" s="126"/>
      <c r="BB858" s="21"/>
      <c r="BC858" s="21"/>
      <c r="BD858" s="21"/>
      <c r="BE858" s="21"/>
    </row>
    <row r="859" customFormat="false" ht="14.1" hidden="true" customHeight="true" outlineLevel="1" collapsed="false">
      <c r="A859" s="453" t="s">
        <v>509</v>
      </c>
      <c r="B859" s="277"/>
      <c r="C859" s="298"/>
      <c r="D859" s="275"/>
      <c r="E859" s="278"/>
      <c r="F859" s="278"/>
      <c r="G859" s="132"/>
      <c r="H859" s="132"/>
      <c r="I859" s="132"/>
      <c r="J859" s="132"/>
      <c r="K859" s="452"/>
      <c r="L859" s="132"/>
      <c r="M859" s="132"/>
      <c r="N859" s="165"/>
      <c r="O859" s="165"/>
      <c r="P859" s="165"/>
      <c r="Q859" s="150"/>
      <c r="R859" s="150"/>
      <c r="S859" s="150"/>
      <c r="T859" s="150"/>
      <c r="U859" s="150"/>
      <c r="V859" s="150"/>
      <c r="W859" s="150"/>
      <c r="X859" s="150"/>
      <c r="Y859" s="150"/>
      <c r="Z859" s="150"/>
      <c r="AA859" s="150"/>
      <c r="AB859" s="150"/>
      <c r="AC859" s="150"/>
      <c r="AD859" s="150"/>
      <c r="AE859" s="150"/>
      <c r="AF859" s="150"/>
      <c r="AG859" s="150"/>
      <c r="AH859" s="40"/>
      <c r="AI859" s="40"/>
      <c r="AJ859" s="40"/>
      <c r="AK859" s="40"/>
      <c r="AL859" s="40"/>
      <c r="AM859" s="40"/>
      <c r="AN859" s="40"/>
      <c r="AO859" s="125"/>
      <c r="AP859" s="125"/>
      <c r="AQ859" s="126"/>
      <c r="AR859" s="126"/>
      <c r="AS859" s="126"/>
      <c r="AT859" s="126"/>
      <c r="AU859" s="106"/>
      <c r="AV859" s="106"/>
      <c r="AW859" s="126"/>
      <c r="AX859" s="126"/>
      <c r="AY859" s="126"/>
      <c r="AZ859" s="126"/>
      <c r="BA859" s="126"/>
      <c r="BB859" s="21"/>
      <c r="BC859" s="21"/>
      <c r="BD859" s="21"/>
      <c r="BE859" s="21"/>
    </row>
    <row r="860" customFormat="false" ht="14.1" hidden="true" customHeight="true" outlineLevel="1" collapsed="false">
      <c r="A860" s="405" t="s">
        <v>510</v>
      </c>
      <c r="B860" s="277"/>
      <c r="C860" s="298"/>
      <c r="D860" s="275"/>
      <c r="E860" s="278"/>
      <c r="F860" s="278"/>
      <c r="G860" s="132"/>
      <c r="H860" s="132"/>
      <c r="I860" s="132"/>
      <c r="J860" s="132"/>
      <c r="K860" s="452"/>
      <c r="L860" s="132"/>
      <c r="M860" s="132"/>
      <c r="N860" s="165"/>
      <c r="O860" s="165"/>
      <c r="P860" s="165"/>
      <c r="Q860" s="150"/>
      <c r="R860" s="150"/>
      <c r="S860" s="150"/>
      <c r="T860" s="150"/>
      <c r="U860" s="150"/>
      <c r="V860" s="150"/>
      <c r="W860" s="150"/>
      <c r="X860" s="150"/>
      <c r="Y860" s="150"/>
      <c r="Z860" s="150"/>
      <c r="AA860" s="150"/>
      <c r="AB860" s="150"/>
      <c r="AC860" s="150"/>
      <c r="AD860" s="150"/>
      <c r="AE860" s="150"/>
      <c r="AF860" s="150"/>
      <c r="AG860" s="150"/>
      <c r="AH860" s="40"/>
      <c r="AI860" s="40"/>
      <c r="AJ860" s="40"/>
      <c r="AK860" s="40"/>
      <c r="AL860" s="40"/>
      <c r="AM860" s="40"/>
      <c r="AN860" s="40"/>
      <c r="AO860" s="125"/>
      <c r="AP860" s="125"/>
      <c r="AQ860" s="126"/>
      <c r="AR860" s="126"/>
      <c r="AS860" s="126"/>
      <c r="AT860" s="126"/>
      <c r="AU860" s="106"/>
      <c r="AV860" s="106"/>
      <c r="AW860" s="126"/>
      <c r="AX860" s="126"/>
      <c r="AY860" s="126"/>
      <c r="AZ860" s="126"/>
      <c r="BA860" s="126"/>
      <c r="BB860" s="21"/>
      <c r="BC860" s="21"/>
      <c r="BD860" s="21"/>
      <c r="BE860" s="21"/>
    </row>
    <row r="861" customFormat="false" ht="14.1" hidden="true" customHeight="true" outlineLevel="1" collapsed="false">
      <c r="A861" s="163" t="s">
        <v>511</v>
      </c>
      <c r="B861" s="119" t="s">
        <v>15</v>
      </c>
      <c r="C861" s="451" t="n">
        <v>0</v>
      </c>
      <c r="D861" s="275"/>
      <c r="E861" s="278"/>
      <c r="F861" s="278"/>
      <c r="G861" s="132"/>
      <c r="H861" s="132"/>
      <c r="I861" s="132"/>
      <c r="J861" s="132"/>
      <c r="K861" s="452"/>
      <c r="L861" s="132"/>
      <c r="M861" s="132"/>
      <c r="N861" s="165"/>
      <c r="O861" s="165"/>
      <c r="P861" s="165"/>
      <c r="Q861" s="150"/>
      <c r="R861" s="150"/>
      <c r="S861" s="150"/>
      <c r="T861" s="150"/>
      <c r="U861" s="150"/>
      <c r="V861" s="150"/>
      <c r="W861" s="150"/>
      <c r="X861" s="150"/>
      <c r="Y861" s="150"/>
      <c r="Z861" s="150"/>
      <c r="AA861" s="150"/>
      <c r="AB861" s="150"/>
      <c r="AC861" s="150"/>
      <c r="AD861" s="150"/>
      <c r="AE861" s="150"/>
      <c r="AF861" s="150"/>
      <c r="AG861" s="150"/>
      <c r="AH861" s="40"/>
      <c r="AI861" s="40"/>
      <c r="AJ861" s="40"/>
      <c r="AK861" s="40"/>
      <c r="AL861" s="40"/>
      <c r="AM861" s="40"/>
      <c r="AN861" s="40"/>
      <c r="AO861" s="125"/>
      <c r="AP861" s="125"/>
      <c r="AQ861" s="126"/>
      <c r="AR861" s="126"/>
      <c r="AS861" s="126"/>
      <c r="AT861" s="126"/>
      <c r="AU861" s="106"/>
      <c r="AV861" s="106"/>
      <c r="AW861" s="126"/>
      <c r="AX861" s="126"/>
      <c r="AY861" s="126"/>
      <c r="AZ861" s="126"/>
      <c r="BA861" s="126"/>
      <c r="BB861" s="21"/>
      <c r="BC861" s="21"/>
      <c r="BD861" s="21"/>
      <c r="BE861" s="21"/>
    </row>
    <row r="862" customFormat="false" ht="14.1" hidden="true" customHeight="true" outlineLevel="1" collapsed="false">
      <c r="A862" s="163" t="s">
        <v>512</v>
      </c>
      <c r="B862" s="119" t="s">
        <v>15</v>
      </c>
      <c r="C862" s="451" t="n">
        <v>0</v>
      </c>
      <c r="D862" s="275"/>
      <c r="E862" s="278"/>
      <c r="F862" s="278"/>
      <c r="G862" s="132"/>
      <c r="H862" s="132"/>
      <c r="I862" s="132"/>
      <c r="J862" s="132"/>
      <c r="K862" s="452"/>
      <c r="L862" s="132"/>
      <c r="M862" s="132"/>
      <c r="N862" s="165"/>
      <c r="O862" s="165"/>
      <c r="P862" s="165"/>
      <c r="Q862" s="150"/>
      <c r="R862" s="150"/>
      <c r="S862" s="150"/>
      <c r="T862" s="150"/>
      <c r="U862" s="150"/>
      <c r="V862" s="150"/>
      <c r="W862" s="150"/>
      <c r="X862" s="150"/>
      <c r="Y862" s="150"/>
      <c r="Z862" s="150"/>
      <c r="AA862" s="150"/>
      <c r="AB862" s="150"/>
      <c r="AC862" s="150"/>
      <c r="AD862" s="150"/>
      <c r="AE862" s="150"/>
      <c r="AF862" s="150"/>
      <c r="AG862" s="150"/>
      <c r="AH862" s="40"/>
      <c r="AI862" s="40"/>
      <c r="AJ862" s="40"/>
      <c r="AK862" s="40"/>
      <c r="AL862" s="40"/>
      <c r="AM862" s="40"/>
      <c r="AN862" s="40"/>
      <c r="AO862" s="125"/>
      <c r="AP862" s="125"/>
      <c r="AQ862" s="126"/>
      <c r="AR862" s="126"/>
      <c r="AS862" s="126"/>
      <c r="AT862" s="126"/>
      <c r="AU862" s="106"/>
      <c r="AV862" s="106"/>
      <c r="AW862" s="126"/>
      <c r="AX862" s="126"/>
      <c r="AY862" s="126"/>
      <c r="AZ862" s="126"/>
      <c r="BA862" s="126"/>
      <c r="BB862" s="21"/>
      <c r="BC862" s="21"/>
      <c r="BD862" s="21"/>
      <c r="BE862" s="21"/>
    </row>
    <row r="863" customFormat="false" ht="14.1" hidden="true" customHeight="true" outlineLevel="1" collapsed="false">
      <c r="A863" s="163" t="s">
        <v>513</v>
      </c>
      <c r="B863" s="119" t="s">
        <v>15</v>
      </c>
      <c r="C863" s="451" t="n">
        <v>0</v>
      </c>
      <c r="D863" s="275"/>
      <c r="E863" s="278"/>
      <c r="F863" s="278"/>
      <c r="G863" s="132"/>
      <c r="H863" s="132"/>
      <c r="I863" s="132"/>
      <c r="J863" s="132"/>
      <c r="K863" s="452"/>
      <c r="L863" s="132"/>
      <c r="M863" s="132"/>
      <c r="N863" s="165"/>
      <c r="O863" s="165"/>
      <c r="P863" s="165"/>
      <c r="Q863" s="150"/>
      <c r="R863" s="150"/>
      <c r="S863" s="150"/>
      <c r="T863" s="150"/>
      <c r="U863" s="150"/>
      <c r="V863" s="150"/>
      <c r="W863" s="150"/>
      <c r="X863" s="150"/>
      <c r="Y863" s="150"/>
      <c r="Z863" s="150"/>
      <c r="AA863" s="150"/>
      <c r="AB863" s="150"/>
      <c r="AC863" s="150"/>
      <c r="AD863" s="150"/>
      <c r="AE863" s="150"/>
      <c r="AF863" s="150"/>
      <c r="AG863" s="150"/>
      <c r="AH863" s="40"/>
      <c r="AI863" s="40"/>
      <c r="AJ863" s="40"/>
      <c r="AK863" s="40"/>
      <c r="AL863" s="40"/>
      <c r="AM863" s="40"/>
      <c r="AN863" s="40"/>
      <c r="AO863" s="125"/>
      <c r="AP863" s="125"/>
      <c r="AQ863" s="126"/>
      <c r="AR863" s="126"/>
      <c r="AS863" s="126"/>
      <c r="AT863" s="126"/>
      <c r="AU863" s="106"/>
      <c r="AV863" s="106"/>
      <c r="AW863" s="126"/>
      <c r="AX863" s="126"/>
      <c r="AY863" s="126"/>
      <c r="AZ863" s="126"/>
      <c r="BA863" s="126"/>
      <c r="BB863" s="21"/>
      <c r="BC863" s="21"/>
      <c r="BD863" s="21"/>
      <c r="BE863" s="21"/>
    </row>
    <row r="864" s="56" customFormat="true" ht="14.1" hidden="true" customHeight="true" outlineLevel="1" collapsed="false">
      <c r="A864" s="275" t="s">
        <v>476</v>
      </c>
      <c r="B864" s="277"/>
      <c r="C864" s="349"/>
      <c r="D864" s="275"/>
      <c r="E864" s="278"/>
      <c r="F864" s="278"/>
      <c r="G864" s="132"/>
      <c r="H864" s="132"/>
      <c r="I864" s="132"/>
      <c r="J864" s="132"/>
      <c r="K864" s="452"/>
      <c r="L864" s="132"/>
      <c r="M864" s="132"/>
      <c r="N864" s="165"/>
      <c r="O864" s="165"/>
      <c r="P864" s="165"/>
      <c r="Q864" s="165"/>
      <c r="R864" s="165"/>
      <c r="S864" s="165"/>
      <c r="T864" s="165"/>
      <c r="U864" s="165"/>
      <c r="V864" s="165"/>
      <c r="W864" s="165"/>
      <c r="X864" s="165"/>
      <c r="Y864" s="165"/>
      <c r="Z864" s="165"/>
      <c r="AA864" s="165"/>
      <c r="AB864" s="165"/>
      <c r="AC864" s="165"/>
      <c r="AD864" s="165"/>
      <c r="AE864" s="165"/>
      <c r="AF864" s="165"/>
      <c r="AG864" s="165"/>
      <c r="AH864" s="52"/>
      <c r="AI864" s="52"/>
      <c r="AJ864" s="52"/>
      <c r="AK864" s="52"/>
      <c r="AL864" s="52"/>
      <c r="AM864" s="52"/>
      <c r="AN864" s="52"/>
      <c r="AO864" s="195"/>
      <c r="AP864" s="195"/>
      <c r="AQ864" s="106"/>
      <c r="AR864" s="106"/>
      <c r="AS864" s="106"/>
      <c r="AT864" s="106"/>
      <c r="AU864" s="106"/>
      <c r="AV864" s="106"/>
      <c r="AW864" s="106"/>
      <c r="AX864" s="106"/>
      <c r="AY864" s="106"/>
      <c r="AZ864" s="106"/>
      <c r="BA864" s="106"/>
      <c r="BB864" s="19"/>
      <c r="BC864" s="19"/>
      <c r="BD864" s="19"/>
      <c r="BE864" s="19"/>
      <c r="BF864" s="55"/>
    </row>
    <row r="865" customFormat="false" ht="14.1" hidden="true" customHeight="true" outlineLevel="1" collapsed="false">
      <c r="A865" s="149" t="s">
        <v>514</v>
      </c>
      <c r="B865" s="277"/>
      <c r="C865" s="349"/>
      <c r="D865" s="275"/>
      <c r="E865" s="278"/>
      <c r="F865" s="278"/>
      <c r="G865" s="132"/>
      <c r="H865" s="132"/>
      <c r="I865" s="132"/>
      <c r="J865" s="132"/>
      <c r="K865" s="452"/>
      <c r="L865" s="132"/>
      <c r="M865" s="132"/>
      <c r="N865" s="165"/>
      <c r="O865" s="165"/>
      <c r="P865" s="165"/>
      <c r="Q865" s="150"/>
      <c r="R865" s="150"/>
      <c r="S865" s="150"/>
      <c r="T865" s="150"/>
      <c r="U865" s="150"/>
      <c r="V865" s="150"/>
      <c r="W865" s="150"/>
      <c r="X865" s="150"/>
      <c r="Y865" s="150"/>
      <c r="Z865" s="150"/>
      <c r="AA865" s="150"/>
      <c r="AB865" s="150"/>
      <c r="AC865" s="150"/>
      <c r="AD865" s="150"/>
      <c r="AE865" s="150"/>
      <c r="AF865" s="150"/>
      <c r="AG865" s="150"/>
      <c r="AH865" s="40"/>
      <c r="AI865" s="40"/>
      <c r="AJ865" s="40"/>
      <c r="AK865" s="40"/>
      <c r="AL865" s="40"/>
      <c r="AM865" s="40"/>
      <c r="AN865" s="40"/>
      <c r="AO865" s="125"/>
      <c r="AP865" s="125"/>
      <c r="AQ865" s="126"/>
      <c r="AR865" s="126"/>
      <c r="AS865" s="126"/>
      <c r="AT865" s="126"/>
      <c r="AU865" s="106"/>
      <c r="AV865" s="106"/>
      <c r="AW865" s="126"/>
      <c r="AX865" s="126"/>
      <c r="AY865" s="126"/>
      <c r="AZ865" s="126"/>
      <c r="BA865" s="126"/>
      <c r="BB865" s="21"/>
      <c r="BC865" s="21"/>
      <c r="BD865" s="21"/>
      <c r="BE865" s="21"/>
    </row>
    <row r="866" customFormat="false" ht="14.1" hidden="true" customHeight="true" outlineLevel="1" collapsed="false">
      <c r="A866" s="258" t="s">
        <v>515</v>
      </c>
      <c r="B866" s="277"/>
      <c r="C866" s="349"/>
      <c r="D866" s="275"/>
      <c r="E866" s="278"/>
      <c r="F866" s="278"/>
      <c r="G866" s="132"/>
      <c r="H866" s="132"/>
      <c r="I866" s="132"/>
      <c r="J866" s="132"/>
      <c r="K866" s="452"/>
      <c r="L866" s="132"/>
      <c r="M866" s="132"/>
      <c r="N866" s="165"/>
      <c r="O866" s="165"/>
      <c r="P866" s="165"/>
      <c r="Q866" s="150"/>
      <c r="R866" s="150"/>
      <c r="S866" s="150"/>
      <c r="T866" s="150"/>
      <c r="U866" s="150"/>
      <c r="V866" s="150"/>
      <c r="W866" s="150"/>
      <c r="X866" s="150"/>
      <c r="Y866" s="150"/>
      <c r="Z866" s="150"/>
      <c r="AA866" s="150"/>
      <c r="AB866" s="150"/>
      <c r="AC866" s="150"/>
      <c r="AD866" s="150"/>
      <c r="AE866" s="150"/>
      <c r="AF866" s="150"/>
      <c r="AG866" s="150"/>
      <c r="AH866" s="40"/>
      <c r="AI866" s="40"/>
      <c r="AJ866" s="40"/>
      <c r="AK866" s="40"/>
      <c r="AL866" s="40"/>
      <c r="AM866" s="40"/>
      <c r="AN866" s="40"/>
      <c r="AO866" s="125"/>
      <c r="AP866" s="125"/>
      <c r="AQ866" s="126"/>
      <c r="AR866" s="126"/>
      <c r="AS866" s="126"/>
      <c r="AT866" s="126"/>
      <c r="AU866" s="106"/>
      <c r="AV866" s="106"/>
      <c r="AW866" s="126"/>
      <c r="AX866" s="126"/>
      <c r="AY866" s="126"/>
      <c r="AZ866" s="126"/>
      <c r="BA866" s="126"/>
      <c r="BB866" s="21"/>
      <c r="BC866" s="21"/>
      <c r="BD866" s="21"/>
      <c r="BE866" s="21"/>
    </row>
    <row r="867" customFormat="false" ht="14.1" hidden="true" customHeight="true" outlineLevel="1" collapsed="false">
      <c r="A867" s="149" t="s">
        <v>516</v>
      </c>
      <c r="B867" s="277"/>
      <c r="C867" s="349"/>
      <c r="D867" s="275"/>
      <c r="E867" s="278"/>
      <c r="F867" s="278"/>
      <c r="G867" s="132"/>
      <c r="H867" s="132"/>
      <c r="I867" s="132"/>
      <c r="J867" s="132"/>
      <c r="K867" s="452"/>
      <c r="L867" s="132"/>
      <c r="M867" s="132"/>
      <c r="N867" s="165"/>
      <c r="O867" s="165"/>
      <c r="P867" s="165"/>
      <c r="Q867" s="150"/>
      <c r="R867" s="150"/>
      <c r="S867" s="150"/>
      <c r="T867" s="150"/>
      <c r="U867" s="150"/>
      <c r="V867" s="150"/>
      <c r="W867" s="150"/>
      <c r="X867" s="150"/>
      <c r="Y867" s="150"/>
      <c r="Z867" s="150"/>
      <c r="AA867" s="150"/>
      <c r="AB867" s="150"/>
      <c r="AC867" s="150"/>
      <c r="AD867" s="150"/>
      <c r="AE867" s="150"/>
      <c r="AF867" s="150"/>
      <c r="AG867" s="150"/>
      <c r="AH867" s="40"/>
      <c r="AI867" s="40"/>
      <c r="AJ867" s="40"/>
      <c r="AK867" s="40"/>
      <c r="AL867" s="40"/>
      <c r="AM867" s="40"/>
      <c r="AN867" s="40"/>
      <c r="AO867" s="125"/>
      <c r="AP867" s="125"/>
      <c r="AQ867" s="126"/>
      <c r="AR867" s="126"/>
      <c r="AS867" s="126"/>
      <c r="AT867" s="126"/>
      <c r="AU867" s="106"/>
      <c r="AV867" s="106"/>
      <c r="AW867" s="126"/>
      <c r="AX867" s="126"/>
      <c r="AY867" s="126"/>
      <c r="AZ867" s="126"/>
      <c r="BA867" s="126"/>
      <c r="BB867" s="21"/>
      <c r="BC867" s="21"/>
      <c r="BD867" s="21"/>
      <c r="BE867" s="21"/>
    </row>
    <row r="868" customFormat="false" ht="14.1" hidden="true" customHeight="true" outlineLevel="1" collapsed="false">
      <c r="A868" s="249" t="s">
        <v>517</v>
      </c>
      <c r="B868" s="119" t="s">
        <v>15</v>
      </c>
      <c r="C868" s="451" t="n">
        <v>0</v>
      </c>
      <c r="D868" s="275"/>
      <c r="E868" s="278"/>
      <c r="F868" s="278"/>
      <c r="G868" s="132"/>
      <c r="H868" s="132"/>
      <c r="I868" s="132"/>
      <c r="J868" s="132"/>
      <c r="K868" s="452"/>
      <c r="L868" s="132"/>
      <c r="M868" s="132"/>
      <c r="N868" s="165"/>
      <c r="O868" s="165"/>
      <c r="P868" s="165"/>
      <c r="Q868" s="150"/>
      <c r="R868" s="150"/>
      <c r="S868" s="150"/>
      <c r="T868" s="150"/>
      <c r="U868" s="150"/>
      <c r="V868" s="150"/>
      <c r="W868" s="150"/>
      <c r="X868" s="150"/>
      <c r="Y868" s="150"/>
      <c r="Z868" s="150"/>
      <c r="AA868" s="150"/>
      <c r="AB868" s="150"/>
      <c r="AC868" s="150"/>
      <c r="AD868" s="150"/>
      <c r="AE868" s="150"/>
      <c r="AF868" s="150"/>
      <c r="AG868" s="150"/>
      <c r="AH868" s="40"/>
      <c r="AI868" s="40"/>
      <c r="AJ868" s="40"/>
      <c r="AK868" s="40"/>
      <c r="AL868" s="40"/>
      <c r="AM868" s="40"/>
      <c r="AN868" s="40"/>
      <c r="AO868" s="125"/>
      <c r="AP868" s="125"/>
      <c r="AQ868" s="126"/>
      <c r="AR868" s="126"/>
      <c r="AS868" s="126"/>
      <c r="AT868" s="126"/>
      <c r="AU868" s="106"/>
      <c r="AV868" s="106"/>
      <c r="AW868" s="126"/>
      <c r="AX868" s="126"/>
      <c r="AY868" s="126"/>
      <c r="AZ868" s="126"/>
      <c r="BA868" s="126"/>
      <c r="BB868" s="21"/>
      <c r="BC868" s="21"/>
      <c r="BD868" s="21"/>
      <c r="BE868" s="21"/>
    </row>
    <row r="869" customFormat="false" ht="14.1" hidden="true" customHeight="true" outlineLevel="1" collapsed="false">
      <c r="A869" s="163" t="s">
        <v>518</v>
      </c>
      <c r="B869" s="119" t="s">
        <v>15</v>
      </c>
      <c r="C869" s="451" t="n">
        <v>0</v>
      </c>
      <c r="D869" s="275"/>
      <c r="E869" s="278"/>
      <c r="F869" s="278"/>
      <c r="G869" s="132"/>
      <c r="H869" s="132"/>
      <c r="I869" s="132"/>
      <c r="J869" s="132"/>
      <c r="K869" s="452"/>
      <c r="L869" s="132"/>
      <c r="M869" s="132"/>
      <c r="N869" s="165"/>
      <c r="O869" s="165"/>
      <c r="P869" s="165"/>
      <c r="Q869" s="150"/>
      <c r="R869" s="150"/>
      <c r="S869" s="150"/>
      <c r="T869" s="150"/>
      <c r="U869" s="150"/>
      <c r="V869" s="150"/>
      <c r="W869" s="150"/>
      <c r="X869" s="150"/>
      <c r="Y869" s="150"/>
      <c r="Z869" s="150"/>
      <c r="AA869" s="150"/>
      <c r="AB869" s="150"/>
      <c r="AC869" s="150"/>
      <c r="AD869" s="150"/>
      <c r="AE869" s="150"/>
      <c r="AF869" s="150"/>
      <c r="AG869" s="150"/>
      <c r="AH869" s="40"/>
      <c r="AI869" s="40"/>
      <c r="AJ869" s="40"/>
      <c r="AK869" s="40"/>
      <c r="AL869" s="40"/>
      <c r="AM869" s="40"/>
      <c r="AN869" s="40"/>
      <c r="AO869" s="125"/>
      <c r="AP869" s="125"/>
      <c r="AQ869" s="126"/>
      <c r="AR869" s="126"/>
      <c r="AS869" s="126"/>
      <c r="AT869" s="126"/>
      <c r="AU869" s="106"/>
      <c r="AV869" s="106"/>
      <c r="AW869" s="126"/>
      <c r="AX869" s="126"/>
      <c r="AY869" s="126"/>
      <c r="AZ869" s="126"/>
      <c r="BA869" s="126"/>
      <c r="BB869" s="21"/>
      <c r="BC869" s="21"/>
      <c r="BD869" s="21"/>
      <c r="BE869" s="21"/>
    </row>
    <row r="870" customFormat="false" ht="14.1" hidden="true" customHeight="true" outlineLevel="1" collapsed="false">
      <c r="A870" s="163" t="s">
        <v>519</v>
      </c>
      <c r="B870" s="119" t="s">
        <v>15</v>
      </c>
      <c r="C870" s="451" t="n">
        <v>0.25</v>
      </c>
      <c r="D870" s="275"/>
      <c r="E870" s="278"/>
      <c r="F870" s="278"/>
      <c r="G870" s="132"/>
      <c r="H870" s="132"/>
      <c r="I870" s="132"/>
      <c r="J870" s="132"/>
      <c r="K870" s="452"/>
      <c r="L870" s="132"/>
      <c r="M870" s="132"/>
      <c r="N870" s="165"/>
      <c r="O870" s="165"/>
      <c r="P870" s="165"/>
      <c r="Q870" s="150"/>
      <c r="R870" s="150"/>
      <c r="S870" s="150"/>
      <c r="T870" s="150"/>
      <c r="U870" s="150"/>
      <c r="V870" s="150"/>
      <c r="W870" s="150"/>
      <c r="X870" s="150"/>
      <c r="Y870" s="150"/>
      <c r="Z870" s="150"/>
      <c r="AA870" s="150"/>
      <c r="AB870" s="150"/>
      <c r="AC870" s="150"/>
      <c r="AD870" s="150"/>
      <c r="AE870" s="150"/>
      <c r="AF870" s="150"/>
      <c r="AG870" s="150"/>
      <c r="AH870" s="40"/>
      <c r="AI870" s="40"/>
      <c r="AJ870" s="40"/>
      <c r="AK870" s="40"/>
      <c r="AL870" s="40"/>
      <c r="AM870" s="40"/>
      <c r="AN870" s="40"/>
      <c r="AO870" s="125"/>
      <c r="AP870" s="125"/>
      <c r="AQ870" s="126"/>
      <c r="AR870" s="126"/>
      <c r="AS870" s="126"/>
      <c r="AT870" s="126"/>
      <c r="AU870" s="106"/>
      <c r="AV870" s="106"/>
      <c r="AW870" s="126"/>
      <c r="AX870" s="126"/>
      <c r="AY870" s="126"/>
      <c r="AZ870" s="126"/>
      <c r="BA870" s="126"/>
      <c r="BB870" s="21"/>
      <c r="BC870" s="21"/>
      <c r="BD870" s="21"/>
      <c r="BE870" s="21"/>
    </row>
    <row r="871" customFormat="false" ht="14.1" hidden="true" customHeight="true" outlineLevel="1" collapsed="false">
      <c r="A871" s="454" t="s">
        <v>520</v>
      </c>
      <c r="B871" s="277"/>
      <c r="C871" s="349"/>
      <c r="D871" s="275"/>
      <c r="E871" s="278"/>
      <c r="F871" s="278"/>
      <c r="G871" s="132"/>
      <c r="H871" s="132"/>
      <c r="I871" s="132"/>
      <c r="J871" s="132"/>
      <c r="K871" s="452"/>
      <c r="L871" s="132"/>
      <c r="M871" s="132"/>
      <c r="N871" s="165"/>
      <c r="O871" s="165"/>
      <c r="P871" s="165"/>
      <c r="Q871" s="150"/>
      <c r="R871" s="150"/>
      <c r="S871" s="150"/>
      <c r="T871" s="150"/>
      <c r="U871" s="150"/>
      <c r="V871" s="150"/>
      <c r="W871" s="150"/>
      <c r="X871" s="150"/>
      <c r="Y871" s="150"/>
      <c r="Z871" s="150"/>
      <c r="AA871" s="150"/>
      <c r="AB871" s="150"/>
      <c r="AC871" s="150"/>
      <c r="AD871" s="150"/>
      <c r="AE871" s="150"/>
      <c r="AF871" s="150"/>
      <c r="AG871" s="150"/>
      <c r="AH871" s="40"/>
      <c r="AI871" s="40"/>
      <c r="AJ871" s="40"/>
      <c r="AK871" s="40"/>
      <c r="AL871" s="40"/>
      <c r="AM871" s="40"/>
      <c r="AN871" s="40"/>
      <c r="AO871" s="125"/>
      <c r="AP871" s="125"/>
      <c r="AQ871" s="126"/>
      <c r="AR871" s="126"/>
      <c r="AS871" s="126"/>
      <c r="AT871" s="126"/>
      <c r="AU871" s="106"/>
      <c r="AV871" s="106"/>
      <c r="AW871" s="126"/>
      <c r="AX871" s="126"/>
      <c r="AY871" s="126"/>
      <c r="AZ871" s="126"/>
      <c r="BA871" s="126"/>
      <c r="BB871" s="21"/>
      <c r="BC871" s="21"/>
      <c r="BD871" s="21"/>
      <c r="BE871" s="21"/>
    </row>
    <row r="872" customFormat="false" ht="14.1" hidden="true" customHeight="true" outlineLevel="1" collapsed="false">
      <c r="A872" s="149" t="s">
        <v>521</v>
      </c>
      <c r="B872" s="119" t="s">
        <v>118</v>
      </c>
      <c r="C872" s="451" t="n">
        <v>4</v>
      </c>
      <c r="D872" s="275"/>
      <c r="E872" s="278"/>
      <c r="F872" s="278"/>
      <c r="G872" s="132"/>
      <c r="H872" s="132"/>
      <c r="I872" s="132"/>
      <c r="J872" s="132"/>
      <c r="K872" s="452"/>
      <c r="L872" s="132"/>
      <c r="M872" s="132"/>
      <c r="N872" s="165"/>
      <c r="O872" s="165"/>
      <c r="P872" s="165"/>
      <c r="Q872" s="150"/>
      <c r="R872" s="150"/>
      <c r="S872" s="150"/>
      <c r="T872" s="150"/>
      <c r="U872" s="150"/>
      <c r="V872" s="150"/>
      <c r="W872" s="150"/>
      <c r="X872" s="150"/>
      <c r="Y872" s="150"/>
      <c r="Z872" s="150"/>
      <c r="AA872" s="150"/>
      <c r="AB872" s="150"/>
      <c r="AC872" s="150"/>
      <c r="AD872" s="150"/>
      <c r="AE872" s="150"/>
      <c r="AF872" s="150"/>
      <c r="AG872" s="150"/>
      <c r="AH872" s="40"/>
      <c r="AI872" s="40"/>
      <c r="AJ872" s="40"/>
      <c r="AK872" s="40"/>
      <c r="AL872" s="40"/>
      <c r="AM872" s="40"/>
      <c r="AN872" s="40"/>
      <c r="AO872" s="125"/>
      <c r="AP872" s="125"/>
      <c r="AQ872" s="126"/>
      <c r="AR872" s="126"/>
      <c r="AS872" s="126"/>
      <c r="AT872" s="126"/>
      <c r="AU872" s="106"/>
      <c r="AV872" s="106"/>
      <c r="AW872" s="126"/>
      <c r="AX872" s="126"/>
      <c r="AY872" s="126"/>
      <c r="AZ872" s="126"/>
      <c r="BA872" s="126"/>
      <c r="BB872" s="21"/>
      <c r="BC872" s="21"/>
      <c r="BD872" s="21"/>
      <c r="BE872" s="21"/>
    </row>
    <row r="873" customFormat="false" ht="14.1" hidden="true" customHeight="true" outlineLevel="1" collapsed="false">
      <c r="A873" s="138" t="s">
        <v>522</v>
      </c>
      <c r="B873" s="235"/>
      <c r="C873" s="138"/>
      <c r="D873" s="275"/>
      <c r="E873" s="278"/>
      <c r="F873" s="278"/>
      <c r="G873" s="132"/>
      <c r="H873" s="132"/>
      <c r="I873" s="132"/>
      <c r="J873" s="132"/>
      <c r="K873" s="452"/>
      <c r="L873" s="132"/>
      <c r="M873" s="132"/>
      <c r="N873" s="165"/>
      <c r="O873" s="165"/>
      <c r="P873" s="165"/>
      <c r="Q873" s="150"/>
      <c r="R873" s="150"/>
      <c r="S873" s="150"/>
      <c r="T873" s="150"/>
      <c r="U873" s="150"/>
      <c r="V873" s="150"/>
      <c r="W873" s="150"/>
      <c r="X873" s="150"/>
      <c r="Y873" s="150"/>
      <c r="Z873" s="150"/>
      <c r="AA873" s="150"/>
      <c r="AB873" s="150"/>
      <c r="AC873" s="150"/>
      <c r="AD873" s="150"/>
      <c r="AE873" s="150"/>
      <c r="AF873" s="150"/>
      <c r="AG873" s="150"/>
      <c r="AH873" s="40"/>
      <c r="AI873" s="40"/>
      <c r="AJ873" s="40"/>
      <c r="AK873" s="40"/>
      <c r="AL873" s="40"/>
      <c r="AM873" s="40"/>
      <c r="AN873" s="40"/>
      <c r="AO873" s="125"/>
      <c r="AP873" s="125"/>
      <c r="AQ873" s="126"/>
      <c r="AR873" s="126"/>
      <c r="AS873" s="126"/>
      <c r="AT873" s="126"/>
      <c r="AU873" s="106"/>
      <c r="AV873" s="106"/>
      <c r="AW873" s="126"/>
      <c r="AX873" s="126"/>
      <c r="AY873" s="126"/>
      <c r="AZ873" s="126"/>
      <c r="BA873" s="126"/>
      <c r="BB873" s="21"/>
      <c r="BC873" s="21"/>
      <c r="BD873" s="21"/>
      <c r="BE873" s="21"/>
    </row>
    <row r="874" customFormat="false" ht="14.1" hidden="true" customHeight="true" outlineLevel="1" collapsed="false">
      <c r="A874" s="139" t="s">
        <v>481</v>
      </c>
      <c r="B874" s="148" t="s">
        <v>482</v>
      </c>
      <c r="C874" s="358" t="n">
        <v>0.4</v>
      </c>
      <c r="D874" s="275"/>
      <c r="E874" s="278"/>
      <c r="F874" s="278"/>
      <c r="G874" s="132"/>
      <c r="H874" s="132"/>
      <c r="I874" s="132"/>
      <c r="J874" s="132"/>
      <c r="K874" s="452"/>
      <c r="L874" s="132"/>
      <c r="M874" s="132"/>
      <c r="N874" s="165"/>
      <c r="O874" s="165"/>
      <c r="P874" s="165"/>
      <c r="Q874" s="150"/>
      <c r="R874" s="150"/>
      <c r="S874" s="150"/>
      <c r="T874" s="150"/>
      <c r="U874" s="150"/>
      <c r="V874" s="150"/>
      <c r="W874" s="150"/>
      <c r="X874" s="150"/>
      <c r="Y874" s="150"/>
      <c r="Z874" s="150"/>
      <c r="AA874" s="150"/>
      <c r="AB874" s="150"/>
      <c r="AC874" s="150"/>
      <c r="AD874" s="150"/>
      <c r="AE874" s="150"/>
      <c r="AF874" s="150"/>
      <c r="AG874" s="150"/>
      <c r="AH874" s="40"/>
      <c r="AI874" s="40"/>
      <c r="AJ874" s="40"/>
      <c r="AK874" s="40"/>
      <c r="AL874" s="40"/>
      <c r="AM874" s="40"/>
      <c r="AN874" s="40"/>
      <c r="AO874" s="125"/>
      <c r="AP874" s="125"/>
      <c r="AQ874" s="126"/>
      <c r="AR874" s="126"/>
      <c r="AS874" s="126"/>
      <c r="AT874" s="126"/>
      <c r="AU874" s="106"/>
      <c r="AV874" s="106"/>
      <c r="AW874" s="126"/>
      <c r="AX874" s="126"/>
      <c r="AY874" s="126"/>
      <c r="AZ874" s="126"/>
      <c r="BA874" s="126"/>
      <c r="BB874" s="21"/>
      <c r="BC874" s="21"/>
      <c r="BD874" s="21"/>
      <c r="BE874" s="21"/>
    </row>
    <row r="875" customFormat="false" ht="14.1" hidden="true" customHeight="true" outlineLevel="1" collapsed="false">
      <c r="A875" s="138" t="s">
        <v>523</v>
      </c>
      <c r="B875" s="235"/>
      <c r="C875" s="138"/>
      <c r="D875" s="275"/>
      <c r="E875" s="278"/>
      <c r="F875" s="278"/>
      <c r="G875" s="132"/>
      <c r="H875" s="132"/>
      <c r="I875" s="132"/>
      <c r="J875" s="132"/>
      <c r="K875" s="452"/>
      <c r="L875" s="132"/>
      <c r="M875" s="132"/>
      <c r="N875" s="165"/>
      <c r="O875" s="165"/>
      <c r="P875" s="165"/>
      <c r="Q875" s="150"/>
      <c r="R875" s="150"/>
      <c r="S875" s="150"/>
      <c r="T875" s="150"/>
      <c r="U875" s="150"/>
      <c r="V875" s="150"/>
      <c r="W875" s="150"/>
      <c r="X875" s="150"/>
      <c r="Y875" s="150"/>
      <c r="Z875" s="150"/>
      <c r="AA875" s="150"/>
      <c r="AB875" s="150"/>
      <c r="AC875" s="150"/>
      <c r="AD875" s="150"/>
      <c r="AE875" s="150"/>
      <c r="AF875" s="150"/>
      <c r="AG875" s="150"/>
      <c r="AH875" s="40"/>
      <c r="AI875" s="40"/>
      <c r="AJ875" s="40"/>
      <c r="AK875" s="40"/>
      <c r="AL875" s="40"/>
      <c r="AM875" s="40"/>
      <c r="AN875" s="40"/>
      <c r="AO875" s="125"/>
      <c r="AP875" s="125"/>
      <c r="AQ875" s="126"/>
      <c r="AR875" s="126"/>
      <c r="AS875" s="126"/>
      <c r="AT875" s="126"/>
      <c r="AU875" s="106"/>
      <c r="AV875" s="106"/>
      <c r="AW875" s="126"/>
      <c r="AX875" s="126"/>
      <c r="AY875" s="126"/>
      <c r="AZ875" s="126"/>
      <c r="BA875" s="126"/>
      <c r="BB875" s="21"/>
      <c r="BC875" s="21"/>
      <c r="BD875" s="21"/>
      <c r="BE875" s="21"/>
    </row>
    <row r="876" customFormat="false" ht="14.1" hidden="true" customHeight="true" outlineLevel="1" collapsed="false">
      <c r="A876" s="139" t="s">
        <v>524</v>
      </c>
      <c r="B876" s="119" t="s">
        <v>482</v>
      </c>
      <c r="C876" s="451" t="n">
        <v>0.2</v>
      </c>
      <c r="D876" s="275"/>
      <c r="E876" s="278"/>
      <c r="F876" s="278"/>
      <c r="G876" s="132"/>
      <c r="H876" s="132"/>
      <c r="I876" s="132"/>
      <c r="J876" s="132"/>
      <c r="K876" s="452"/>
      <c r="L876" s="132"/>
      <c r="M876" s="132"/>
      <c r="N876" s="165"/>
      <c r="O876" s="165"/>
      <c r="P876" s="165"/>
      <c r="Q876" s="150"/>
      <c r="R876" s="150"/>
      <c r="S876" s="150"/>
      <c r="T876" s="150"/>
      <c r="U876" s="150"/>
      <c r="V876" s="150"/>
      <c r="W876" s="150"/>
      <c r="X876" s="150"/>
      <c r="Y876" s="150"/>
      <c r="Z876" s="150"/>
      <c r="AA876" s="150"/>
      <c r="AB876" s="150"/>
      <c r="AC876" s="150"/>
      <c r="AD876" s="150"/>
      <c r="AE876" s="150"/>
      <c r="AF876" s="150"/>
      <c r="AG876" s="150"/>
      <c r="AH876" s="40"/>
      <c r="AI876" s="40"/>
      <c r="AJ876" s="40"/>
      <c r="AK876" s="40"/>
      <c r="AL876" s="40"/>
      <c r="AM876" s="40"/>
      <c r="AN876" s="40"/>
      <c r="AO876" s="125"/>
      <c r="AP876" s="125"/>
      <c r="AQ876" s="126"/>
      <c r="AR876" s="126"/>
      <c r="AS876" s="126"/>
      <c r="AT876" s="126"/>
      <c r="AU876" s="106"/>
      <c r="AV876" s="106"/>
      <c r="AW876" s="126"/>
      <c r="AX876" s="126"/>
      <c r="AY876" s="126"/>
      <c r="AZ876" s="126"/>
      <c r="BA876" s="126"/>
      <c r="BB876" s="21"/>
      <c r="BC876" s="21"/>
      <c r="BD876" s="21"/>
      <c r="BE876" s="21"/>
    </row>
    <row r="877" customFormat="false" ht="14.1" hidden="true" customHeight="true" outlineLevel="1" collapsed="false">
      <c r="A877" s="246" t="s">
        <v>525</v>
      </c>
      <c r="B877" s="119" t="s">
        <v>48</v>
      </c>
      <c r="C877" s="451" t="n">
        <v>1</v>
      </c>
      <c r="D877" s="455"/>
      <c r="E877" s="278"/>
      <c r="F877" s="278"/>
      <c r="G877" s="132"/>
      <c r="H877" s="132"/>
      <c r="I877" s="132"/>
      <c r="J877" s="132"/>
      <c r="K877" s="452"/>
      <c r="L877" s="132"/>
      <c r="M877" s="132"/>
      <c r="N877" s="165"/>
      <c r="O877" s="165"/>
      <c r="P877" s="165"/>
      <c r="Q877" s="150"/>
      <c r="R877" s="150"/>
      <c r="S877" s="150"/>
      <c r="T877" s="150"/>
      <c r="U877" s="150"/>
      <c r="V877" s="150"/>
      <c r="W877" s="150"/>
      <c r="X877" s="150"/>
      <c r="Y877" s="150"/>
      <c r="Z877" s="150"/>
      <c r="AA877" s="150"/>
      <c r="AB877" s="150"/>
      <c r="AC877" s="150"/>
      <c r="AD877" s="150"/>
      <c r="AE877" s="150"/>
      <c r="AF877" s="150"/>
      <c r="AG877" s="150"/>
      <c r="AH877" s="40"/>
      <c r="AI877" s="40"/>
      <c r="AJ877" s="40"/>
      <c r="AK877" s="40"/>
      <c r="AL877" s="40"/>
      <c r="AM877" s="40"/>
      <c r="AN877" s="40"/>
      <c r="AO877" s="125"/>
      <c r="AP877" s="125"/>
      <c r="AQ877" s="126"/>
      <c r="AR877" s="126"/>
      <c r="AS877" s="126"/>
      <c r="AT877" s="126"/>
      <c r="AU877" s="106"/>
      <c r="AV877" s="106"/>
      <c r="AW877" s="126"/>
      <c r="AX877" s="126"/>
      <c r="AY877" s="126"/>
      <c r="AZ877" s="126"/>
      <c r="BA877" s="126"/>
      <c r="BB877" s="21"/>
      <c r="BC877" s="21"/>
      <c r="BD877" s="21"/>
      <c r="BE877" s="21"/>
    </row>
    <row r="878" s="56" customFormat="true" ht="14.1" hidden="true" customHeight="true" outlineLevel="1" collapsed="false">
      <c r="A878" s="455" t="s">
        <v>526</v>
      </c>
      <c r="B878" s="277"/>
      <c r="C878" s="349"/>
      <c r="D878" s="455"/>
      <c r="E878" s="278"/>
      <c r="F878" s="278"/>
      <c r="G878" s="132"/>
      <c r="H878" s="132"/>
      <c r="I878" s="132"/>
      <c r="J878" s="132"/>
      <c r="K878" s="452"/>
      <c r="L878" s="132"/>
      <c r="M878" s="132"/>
      <c r="N878" s="165"/>
      <c r="O878" s="165"/>
      <c r="P878" s="165"/>
      <c r="Q878" s="165"/>
      <c r="R878" s="165"/>
      <c r="S878" s="165"/>
      <c r="T878" s="165"/>
      <c r="U878" s="165"/>
      <c r="V878" s="165"/>
      <c r="W878" s="165"/>
      <c r="X878" s="165"/>
      <c r="Y878" s="165"/>
      <c r="Z878" s="165"/>
      <c r="AA878" s="165"/>
      <c r="AB878" s="165"/>
      <c r="AC878" s="165"/>
      <c r="AD878" s="165"/>
      <c r="AE878" s="165"/>
      <c r="AF878" s="165"/>
      <c r="AG878" s="165"/>
      <c r="AH878" s="52"/>
      <c r="AI878" s="52"/>
      <c r="AJ878" s="52"/>
      <c r="AK878" s="52"/>
      <c r="AL878" s="52"/>
      <c r="AM878" s="52"/>
      <c r="AN878" s="52"/>
      <c r="AO878" s="195"/>
      <c r="AP878" s="195"/>
      <c r="AQ878" s="106"/>
      <c r="AR878" s="106"/>
      <c r="AS878" s="106"/>
      <c r="AT878" s="106"/>
      <c r="AU878" s="106"/>
      <c r="AV878" s="106"/>
      <c r="AW878" s="106"/>
      <c r="AX878" s="106"/>
      <c r="AY878" s="106"/>
      <c r="AZ878" s="106"/>
      <c r="BA878" s="106"/>
      <c r="BB878" s="19"/>
      <c r="BC878" s="19"/>
      <c r="BD878" s="19"/>
      <c r="BE878" s="19"/>
      <c r="BF878" s="55"/>
    </row>
    <row r="879" customFormat="false" ht="14.1" hidden="true" customHeight="true" outlineLevel="1" collapsed="false">
      <c r="A879" s="405" t="s">
        <v>527</v>
      </c>
      <c r="B879" s="141" t="s">
        <v>486</v>
      </c>
      <c r="C879" s="419" t="s">
        <v>56</v>
      </c>
      <c r="D879" s="275"/>
      <c r="E879" s="278"/>
      <c r="F879" s="278"/>
      <c r="G879" s="132"/>
      <c r="H879" s="132"/>
      <c r="I879" s="132"/>
      <c r="J879" s="132"/>
      <c r="K879" s="452"/>
      <c r="L879" s="132"/>
      <c r="M879" s="132"/>
      <c r="N879" s="165"/>
      <c r="O879" s="165"/>
      <c r="P879" s="165"/>
      <c r="Q879" s="150"/>
      <c r="R879" s="150"/>
      <c r="S879" s="150"/>
      <c r="T879" s="150"/>
      <c r="U879" s="150"/>
      <c r="V879" s="150"/>
      <c r="W879" s="150"/>
      <c r="X879" s="150"/>
      <c r="Y879" s="150"/>
      <c r="Z879" s="150"/>
      <c r="AA879" s="150"/>
      <c r="AB879" s="150"/>
      <c r="AC879" s="150"/>
      <c r="AD879" s="150"/>
      <c r="AE879" s="150"/>
      <c r="AF879" s="150"/>
      <c r="AG879" s="150"/>
      <c r="AH879" s="40"/>
      <c r="AI879" s="40"/>
      <c r="AJ879" s="40"/>
      <c r="AK879" s="40"/>
      <c r="AL879" s="40"/>
      <c r="AM879" s="40"/>
      <c r="AN879" s="40"/>
      <c r="AO879" s="125"/>
      <c r="AP879" s="125"/>
      <c r="AQ879" s="126"/>
      <c r="AR879" s="126"/>
      <c r="AS879" s="126"/>
      <c r="AT879" s="126"/>
      <c r="AU879" s="106"/>
      <c r="AV879" s="106"/>
      <c r="AW879" s="126"/>
      <c r="AX879" s="126"/>
      <c r="AY879" s="126"/>
      <c r="AZ879" s="126"/>
      <c r="BA879" s="126"/>
      <c r="BB879" s="21"/>
      <c r="BC879" s="21"/>
      <c r="BD879" s="21"/>
      <c r="BE879" s="21"/>
    </row>
    <row r="880" s="56" customFormat="true" ht="14.1" hidden="true" customHeight="true" outlineLevel="1" collapsed="false">
      <c r="A880" s="258" t="s">
        <v>528</v>
      </c>
      <c r="B880" s="273"/>
      <c r="C880" s="456"/>
      <c r="D880" s="275"/>
      <c r="E880" s="278"/>
      <c r="F880" s="278"/>
      <c r="G880" s="132"/>
      <c r="H880" s="132"/>
      <c r="I880" s="132"/>
      <c r="J880" s="132"/>
      <c r="K880" s="452"/>
      <c r="L880" s="132"/>
      <c r="M880" s="132"/>
      <c r="N880" s="165"/>
      <c r="O880" s="165"/>
      <c r="P880" s="165"/>
      <c r="Q880" s="165"/>
      <c r="R880" s="165"/>
      <c r="S880" s="165"/>
      <c r="T880" s="165"/>
      <c r="U880" s="165"/>
      <c r="V880" s="165"/>
      <c r="W880" s="165"/>
      <c r="X880" s="165"/>
      <c r="Y880" s="165"/>
      <c r="Z880" s="165"/>
      <c r="AA880" s="165"/>
      <c r="AB880" s="165"/>
      <c r="AC880" s="165"/>
      <c r="AD880" s="165"/>
      <c r="AE880" s="165"/>
      <c r="AF880" s="165"/>
      <c r="AG880" s="165"/>
      <c r="AH880" s="52"/>
      <c r="AI880" s="52"/>
      <c r="AJ880" s="52"/>
      <c r="AK880" s="52"/>
      <c r="AL880" s="52"/>
      <c r="AM880" s="52"/>
      <c r="AN880" s="52"/>
      <c r="AO880" s="195"/>
      <c r="AP880" s="195"/>
      <c r="AQ880" s="106"/>
      <c r="AR880" s="106"/>
      <c r="AS880" s="106"/>
      <c r="AT880" s="106"/>
      <c r="AU880" s="106"/>
      <c r="AV880" s="106"/>
      <c r="AW880" s="106"/>
      <c r="AX880" s="106"/>
      <c r="AY880" s="106"/>
      <c r="AZ880" s="106"/>
      <c r="BA880" s="106"/>
      <c r="BB880" s="19"/>
      <c r="BC880" s="19"/>
      <c r="BD880" s="19"/>
      <c r="BE880" s="19"/>
      <c r="BF880" s="55"/>
    </row>
    <row r="881" customFormat="false" ht="14.1" hidden="true" customHeight="true" outlineLevel="1" collapsed="false">
      <c r="A881" s="149" t="s">
        <v>529</v>
      </c>
      <c r="B881" s="141" t="s">
        <v>486</v>
      </c>
      <c r="C881" s="419" t="s">
        <v>56</v>
      </c>
      <c r="D881" s="275"/>
      <c r="E881" s="278"/>
      <c r="F881" s="278"/>
      <c r="G881" s="132"/>
      <c r="H881" s="132"/>
      <c r="I881" s="132"/>
      <c r="J881" s="132"/>
      <c r="K881" s="452"/>
      <c r="L881" s="132"/>
      <c r="M881" s="132"/>
      <c r="N881" s="165"/>
      <c r="O881" s="165"/>
      <c r="P881" s="165"/>
      <c r="Q881" s="150"/>
      <c r="R881" s="150"/>
      <c r="S881" s="150"/>
      <c r="T881" s="150"/>
      <c r="U881" s="150"/>
      <c r="V881" s="150"/>
      <c r="W881" s="150"/>
      <c r="X881" s="150"/>
      <c r="Y881" s="150"/>
      <c r="Z881" s="150"/>
      <c r="AA881" s="150"/>
      <c r="AB881" s="150"/>
      <c r="AC881" s="150"/>
      <c r="AD881" s="150"/>
      <c r="AE881" s="150"/>
      <c r="AF881" s="150"/>
      <c r="AG881" s="150"/>
      <c r="AH881" s="40"/>
      <c r="AI881" s="40"/>
      <c r="AJ881" s="40"/>
      <c r="AK881" s="40"/>
      <c r="AL881" s="40"/>
      <c r="AM881" s="40"/>
      <c r="AN881" s="40"/>
      <c r="AO881" s="125"/>
      <c r="AP881" s="125"/>
      <c r="AQ881" s="126"/>
      <c r="AR881" s="126"/>
      <c r="AS881" s="126"/>
      <c r="AT881" s="126"/>
      <c r="AU881" s="106"/>
      <c r="AV881" s="106"/>
      <c r="AW881" s="126"/>
      <c r="AX881" s="126"/>
      <c r="AY881" s="126"/>
      <c r="AZ881" s="126"/>
      <c r="BA881" s="126"/>
      <c r="BB881" s="21"/>
      <c r="BC881" s="21"/>
      <c r="BD881" s="21"/>
      <c r="BE881" s="21"/>
    </row>
    <row r="882" customFormat="false" ht="14.1" hidden="true" customHeight="true" outlineLevel="1" collapsed="false">
      <c r="A882" s="457" t="s">
        <v>530</v>
      </c>
      <c r="B882" s="119" t="s">
        <v>15</v>
      </c>
      <c r="C882" s="420" t="n">
        <f aca="false">фундамент!C465</f>
        <v>0</v>
      </c>
      <c r="D882" s="275"/>
      <c r="E882" s="278"/>
      <c r="F882" s="278"/>
      <c r="G882" s="132"/>
      <c r="H882" s="132"/>
      <c r="I882" s="132"/>
      <c r="J882" s="132"/>
      <c r="K882" s="452"/>
      <c r="L882" s="132"/>
      <c r="M882" s="132"/>
      <c r="N882" s="165"/>
      <c r="O882" s="165"/>
      <c r="P882" s="165"/>
      <c r="Q882" s="150"/>
      <c r="R882" s="150"/>
      <c r="S882" s="150"/>
      <c r="T882" s="150"/>
      <c r="U882" s="150"/>
      <c r="V882" s="150"/>
      <c r="W882" s="150"/>
      <c r="X882" s="150"/>
      <c r="Y882" s="150"/>
      <c r="Z882" s="150"/>
      <c r="AA882" s="150"/>
      <c r="AB882" s="150"/>
      <c r="AC882" s="150"/>
      <c r="AD882" s="150"/>
      <c r="AE882" s="150"/>
      <c r="AF882" s="150"/>
      <c r="AG882" s="150"/>
      <c r="AH882" s="40"/>
      <c r="AI882" s="40"/>
      <c r="AJ882" s="40"/>
      <c r="AK882" s="40"/>
      <c r="AL882" s="40"/>
      <c r="AM882" s="40"/>
      <c r="AN882" s="40"/>
      <c r="AO882" s="125"/>
      <c r="AP882" s="125"/>
      <c r="AQ882" s="126"/>
      <c r="AR882" s="126"/>
      <c r="AS882" s="126"/>
      <c r="AT882" s="126"/>
      <c r="AU882" s="106"/>
      <c r="AV882" s="106"/>
      <c r="AW882" s="126"/>
      <c r="AX882" s="126"/>
      <c r="AY882" s="126"/>
      <c r="AZ882" s="126"/>
      <c r="BA882" s="126"/>
      <c r="BB882" s="21"/>
      <c r="BC882" s="21"/>
      <c r="BD882" s="21"/>
      <c r="BE882" s="21"/>
    </row>
    <row r="883" customFormat="false" ht="14.1" hidden="true" customHeight="true" outlineLevel="1" collapsed="false">
      <c r="A883" s="231" t="s">
        <v>531</v>
      </c>
      <c r="B883" s="277"/>
      <c r="C883" s="458"/>
      <c r="D883" s="275"/>
      <c r="E883" s="278"/>
      <c r="F883" s="278"/>
      <c r="G883" s="132"/>
      <c r="H883" s="132"/>
      <c r="I883" s="132"/>
      <c r="J883" s="132"/>
      <c r="K883" s="452"/>
      <c r="L883" s="132"/>
      <c r="M883" s="132"/>
      <c r="N883" s="165"/>
      <c r="O883" s="165"/>
      <c r="P883" s="165"/>
      <c r="Q883" s="150"/>
      <c r="R883" s="150"/>
      <c r="S883" s="150"/>
      <c r="T883" s="150"/>
      <c r="U883" s="150"/>
      <c r="V883" s="150"/>
      <c r="W883" s="150"/>
      <c r="X883" s="150"/>
      <c r="Y883" s="150"/>
      <c r="Z883" s="150"/>
      <c r="AA883" s="150"/>
      <c r="AB883" s="150"/>
      <c r="AC883" s="150"/>
      <c r="AD883" s="150"/>
      <c r="AE883" s="150"/>
      <c r="AF883" s="150"/>
      <c r="AG883" s="150"/>
      <c r="AH883" s="40"/>
      <c r="AI883" s="40"/>
      <c r="AJ883" s="40"/>
      <c r="AK883" s="40"/>
      <c r="AL883" s="40"/>
      <c r="AM883" s="40"/>
      <c r="AN883" s="40"/>
      <c r="AO883" s="125"/>
      <c r="AP883" s="125"/>
      <c r="AQ883" s="126"/>
      <c r="AR883" s="126"/>
      <c r="AS883" s="126"/>
      <c r="AT883" s="126"/>
      <c r="AU883" s="106"/>
      <c r="AV883" s="106"/>
      <c r="AW883" s="126"/>
      <c r="AX883" s="126"/>
      <c r="AY883" s="126"/>
      <c r="AZ883" s="126"/>
      <c r="BA883" s="126"/>
      <c r="BB883" s="21"/>
      <c r="BC883" s="21"/>
      <c r="BD883" s="21"/>
      <c r="BE883" s="21"/>
    </row>
    <row r="884" customFormat="false" ht="14.1" hidden="true" customHeight="true" outlineLevel="1" collapsed="false">
      <c r="A884" s="459" t="s">
        <v>532</v>
      </c>
      <c r="B884" s="119" t="s">
        <v>48</v>
      </c>
      <c r="C884" s="451" t="n">
        <v>6</v>
      </c>
      <c r="D884" s="275"/>
      <c r="E884" s="278"/>
      <c r="F884" s="278"/>
      <c r="G884" s="132"/>
      <c r="H884" s="132"/>
      <c r="I884" s="132"/>
      <c r="J884" s="132"/>
      <c r="K884" s="452"/>
      <c r="L884" s="132"/>
      <c r="M884" s="132"/>
      <c r="N884" s="165"/>
      <c r="O884" s="165"/>
      <c r="P884" s="165"/>
      <c r="Q884" s="150"/>
      <c r="R884" s="150"/>
      <c r="S884" s="150"/>
      <c r="T884" s="150"/>
      <c r="U884" s="150"/>
      <c r="V884" s="150"/>
      <c r="W884" s="150"/>
      <c r="X884" s="150"/>
      <c r="Y884" s="150"/>
      <c r="Z884" s="150"/>
      <c r="AA884" s="150"/>
      <c r="AB884" s="150"/>
      <c r="AC884" s="150"/>
      <c r="AD884" s="150"/>
      <c r="AE884" s="150"/>
      <c r="AF884" s="150"/>
      <c r="AG884" s="150"/>
      <c r="AH884" s="40"/>
      <c r="AI884" s="40"/>
      <c r="AJ884" s="40"/>
      <c r="AK884" s="40"/>
      <c r="AL884" s="40"/>
      <c r="AM884" s="40"/>
      <c r="AN884" s="40"/>
      <c r="AO884" s="125"/>
      <c r="AP884" s="125"/>
      <c r="AQ884" s="126"/>
      <c r="AR884" s="126"/>
      <c r="AS884" s="126"/>
      <c r="AT884" s="126"/>
      <c r="AU884" s="106"/>
      <c r="AV884" s="106"/>
      <c r="AW884" s="126"/>
      <c r="AX884" s="126"/>
      <c r="AY884" s="126"/>
      <c r="AZ884" s="126"/>
      <c r="BA884" s="126"/>
      <c r="BB884" s="21"/>
      <c r="BC884" s="21"/>
      <c r="BD884" s="21"/>
      <c r="BE884" s="21"/>
    </row>
    <row r="885" customFormat="false" ht="14.1" hidden="true" customHeight="true" outlineLevel="1" collapsed="false">
      <c r="A885" s="149" t="s">
        <v>533</v>
      </c>
      <c r="B885" s="277"/>
      <c r="C885" s="349"/>
      <c r="D885" s="275"/>
      <c r="E885" s="278"/>
      <c r="F885" s="278"/>
      <c r="G885" s="132"/>
      <c r="H885" s="132"/>
      <c r="I885" s="132"/>
      <c r="J885" s="132"/>
      <c r="K885" s="452"/>
      <c r="L885" s="132"/>
      <c r="M885" s="132"/>
      <c r="N885" s="165"/>
      <c r="O885" s="165"/>
      <c r="P885" s="165"/>
      <c r="Q885" s="150"/>
      <c r="R885" s="150"/>
      <c r="S885" s="150"/>
      <c r="T885" s="150"/>
      <c r="U885" s="150"/>
      <c r="V885" s="150"/>
      <c r="W885" s="150"/>
      <c r="X885" s="150"/>
      <c r="Y885" s="150"/>
      <c r="Z885" s="150"/>
      <c r="AA885" s="150"/>
      <c r="AB885" s="150"/>
      <c r="AC885" s="150"/>
      <c r="AD885" s="150"/>
      <c r="AE885" s="150"/>
      <c r="AF885" s="150"/>
      <c r="AG885" s="150"/>
      <c r="AH885" s="40"/>
      <c r="AI885" s="40"/>
      <c r="AJ885" s="40"/>
      <c r="AK885" s="40"/>
      <c r="AL885" s="40"/>
      <c r="AM885" s="40"/>
      <c r="AN885" s="40"/>
      <c r="AO885" s="125"/>
      <c r="AP885" s="125"/>
      <c r="AQ885" s="126"/>
      <c r="AR885" s="126"/>
      <c r="AS885" s="126"/>
      <c r="AT885" s="126"/>
      <c r="AU885" s="106"/>
      <c r="AV885" s="106"/>
      <c r="AW885" s="126"/>
      <c r="AX885" s="126"/>
      <c r="AY885" s="126"/>
      <c r="AZ885" s="126"/>
      <c r="BA885" s="126"/>
      <c r="BB885" s="21"/>
      <c r="BC885" s="21"/>
      <c r="BD885" s="21"/>
      <c r="BE885" s="21"/>
    </row>
    <row r="886" customFormat="false" ht="14.1" hidden="true" customHeight="true" outlineLevel="1" collapsed="false">
      <c r="A886" s="249" t="s">
        <v>534</v>
      </c>
      <c r="B886" s="119" t="s">
        <v>15</v>
      </c>
      <c r="C886" s="451" t="n">
        <v>10</v>
      </c>
      <c r="D886" s="275"/>
      <c r="E886" s="278"/>
      <c r="F886" s="278"/>
      <c r="G886" s="132"/>
      <c r="H886" s="132"/>
      <c r="I886" s="132"/>
      <c r="J886" s="132"/>
      <c r="K886" s="452"/>
      <c r="L886" s="132"/>
      <c r="M886" s="132"/>
      <c r="N886" s="165"/>
      <c r="O886" s="165"/>
      <c r="P886" s="165"/>
      <c r="Q886" s="150"/>
      <c r="R886" s="150"/>
      <c r="S886" s="150"/>
      <c r="T886" s="150"/>
      <c r="U886" s="150"/>
      <c r="V886" s="150"/>
      <c r="W886" s="150"/>
      <c r="X886" s="150"/>
      <c r="Y886" s="150"/>
      <c r="Z886" s="150"/>
      <c r="AA886" s="150"/>
      <c r="AB886" s="150"/>
      <c r="AC886" s="150"/>
      <c r="AD886" s="150"/>
      <c r="AE886" s="150"/>
      <c r="AF886" s="150"/>
      <c r="AG886" s="150"/>
      <c r="AH886" s="40"/>
      <c r="AI886" s="40"/>
      <c r="AJ886" s="40"/>
      <c r="AK886" s="40"/>
      <c r="AL886" s="40"/>
      <c r="AM886" s="40"/>
      <c r="AN886" s="40"/>
      <c r="AO886" s="125"/>
      <c r="AP886" s="125"/>
      <c r="AQ886" s="126"/>
      <c r="AR886" s="126"/>
      <c r="AS886" s="126"/>
      <c r="AT886" s="126"/>
      <c r="AU886" s="106"/>
      <c r="AV886" s="106"/>
      <c r="AW886" s="126"/>
      <c r="AX886" s="126"/>
      <c r="AY886" s="126"/>
      <c r="AZ886" s="126"/>
      <c r="BA886" s="126"/>
      <c r="BB886" s="21"/>
      <c r="BC886" s="21"/>
      <c r="BD886" s="21"/>
      <c r="BE886" s="21"/>
    </row>
    <row r="887" customFormat="false" ht="14.1" hidden="true" customHeight="true" outlineLevel="1" collapsed="false">
      <c r="A887" s="163" t="s">
        <v>535</v>
      </c>
      <c r="B887" s="119" t="s">
        <v>15</v>
      </c>
      <c r="C887" s="451" t="n">
        <v>10</v>
      </c>
      <c r="D887" s="275"/>
      <c r="E887" s="278"/>
      <c r="F887" s="278"/>
      <c r="G887" s="132"/>
      <c r="H887" s="132"/>
      <c r="I887" s="132"/>
      <c r="J887" s="132"/>
      <c r="K887" s="452"/>
      <c r="L887" s="132"/>
      <c r="M887" s="132"/>
      <c r="N887" s="165"/>
      <c r="O887" s="165"/>
      <c r="P887" s="165"/>
      <c r="Q887" s="150"/>
      <c r="R887" s="150"/>
      <c r="S887" s="150"/>
      <c r="T887" s="150"/>
      <c r="U887" s="150"/>
      <c r="V887" s="150"/>
      <c r="W887" s="150"/>
      <c r="X887" s="150"/>
      <c r="Y887" s="150"/>
      <c r="Z887" s="150"/>
      <c r="AA887" s="150"/>
      <c r="AB887" s="150"/>
      <c r="AC887" s="150"/>
      <c r="AD887" s="150"/>
      <c r="AE887" s="150"/>
      <c r="AF887" s="150"/>
      <c r="AG887" s="150"/>
      <c r="AH887" s="40"/>
      <c r="AI887" s="40"/>
      <c r="AJ887" s="40"/>
      <c r="AK887" s="40"/>
      <c r="AL887" s="40"/>
      <c r="AM887" s="40"/>
      <c r="AN887" s="40"/>
      <c r="AO887" s="125"/>
      <c r="AP887" s="125"/>
      <c r="AQ887" s="126"/>
      <c r="AR887" s="126"/>
      <c r="AS887" s="126"/>
      <c r="AT887" s="126"/>
      <c r="AU887" s="106"/>
      <c r="AV887" s="106"/>
      <c r="AW887" s="126"/>
      <c r="AX887" s="126"/>
      <c r="AY887" s="126"/>
      <c r="AZ887" s="126"/>
      <c r="BA887" s="126"/>
      <c r="BB887" s="21"/>
      <c r="BC887" s="21"/>
      <c r="BD887" s="21"/>
      <c r="BE887" s="21"/>
    </row>
    <row r="888" customFormat="false" ht="14.1" hidden="true" customHeight="true" outlineLevel="1" collapsed="false">
      <c r="A888" s="460" t="s">
        <v>492</v>
      </c>
      <c r="B888" s="141" t="s">
        <v>486</v>
      </c>
      <c r="C888" s="461" t="s">
        <v>56</v>
      </c>
      <c r="D888" s="462"/>
      <c r="E888" s="278"/>
      <c r="F888" s="278"/>
      <c r="G888" s="132"/>
      <c r="H888" s="132"/>
      <c r="I888" s="426"/>
      <c r="J888" s="259"/>
      <c r="K888" s="452"/>
      <c r="L888" s="132"/>
      <c r="M888" s="132"/>
      <c r="N888" s="165"/>
      <c r="O888" s="165"/>
      <c r="P888" s="165"/>
      <c r="Q888" s="150"/>
      <c r="R888" s="150"/>
      <c r="S888" s="150"/>
      <c r="T888" s="150"/>
      <c r="U888" s="150"/>
      <c r="V888" s="150"/>
      <c r="W888" s="150"/>
      <c r="X888" s="150"/>
      <c r="Y888" s="150"/>
      <c r="Z888" s="150"/>
      <c r="AA888" s="150"/>
      <c r="AB888" s="150"/>
      <c r="AC888" s="150"/>
      <c r="AD888" s="150"/>
      <c r="AE888" s="150"/>
      <c r="AF888" s="150"/>
      <c r="AG888" s="150"/>
      <c r="AH888" s="40"/>
      <c r="AI888" s="40"/>
      <c r="AJ888" s="40"/>
      <c r="AK888" s="40"/>
      <c r="AL888" s="40"/>
      <c r="AM888" s="40"/>
      <c r="AN888" s="40"/>
      <c r="AO888" s="125"/>
      <c r="AP888" s="125"/>
      <c r="AQ888" s="126"/>
      <c r="AR888" s="126"/>
      <c r="AS888" s="126"/>
      <c r="AT888" s="126"/>
      <c r="AU888" s="106"/>
      <c r="AV888" s="106"/>
      <c r="AW888" s="126"/>
      <c r="AX888" s="126"/>
      <c r="AY888" s="126"/>
      <c r="AZ888" s="126"/>
      <c r="BA888" s="126"/>
      <c r="BB888" s="21"/>
      <c r="BC888" s="21"/>
      <c r="BD888" s="21"/>
      <c r="BE888" s="21"/>
    </row>
    <row r="889" s="56" customFormat="true" ht="14.1" hidden="true" customHeight="true" outlineLevel="1" collapsed="false">
      <c r="A889" s="258" t="s">
        <v>536</v>
      </c>
      <c r="B889" s="273"/>
      <c r="C889" s="463"/>
      <c r="D889" s="462"/>
      <c r="E889" s="278"/>
      <c r="F889" s="278"/>
      <c r="G889" s="132"/>
      <c r="H889" s="132"/>
      <c r="I889" s="426"/>
      <c r="J889" s="259"/>
      <c r="K889" s="452"/>
      <c r="L889" s="132"/>
      <c r="M889" s="132"/>
      <c r="N889" s="165"/>
      <c r="O889" s="165"/>
      <c r="P889" s="165"/>
      <c r="Q889" s="165"/>
      <c r="R889" s="165"/>
      <c r="S889" s="165"/>
      <c r="T889" s="165"/>
      <c r="U889" s="165"/>
      <c r="V889" s="165"/>
      <c r="W889" s="165"/>
      <c r="X889" s="165"/>
      <c r="Y889" s="165"/>
      <c r="Z889" s="165"/>
      <c r="AA889" s="165"/>
      <c r="AB889" s="165"/>
      <c r="AC889" s="165"/>
      <c r="AD889" s="165"/>
      <c r="AE889" s="165"/>
      <c r="AF889" s="165"/>
      <c r="AG889" s="165"/>
      <c r="AH889" s="52"/>
      <c r="AI889" s="52"/>
      <c r="AJ889" s="52"/>
      <c r="AK889" s="52"/>
      <c r="AL889" s="52"/>
      <c r="AM889" s="52"/>
      <c r="AN889" s="52"/>
      <c r="AO889" s="195"/>
      <c r="AP889" s="195"/>
      <c r="AQ889" s="106"/>
      <c r="AR889" s="106"/>
      <c r="AS889" s="106"/>
      <c r="AT889" s="106"/>
      <c r="AU889" s="106"/>
      <c r="AV889" s="106"/>
      <c r="AW889" s="106"/>
      <c r="AX889" s="106"/>
      <c r="AY889" s="106"/>
      <c r="AZ889" s="106"/>
      <c r="BA889" s="106"/>
      <c r="BB889" s="19"/>
      <c r="BC889" s="19"/>
      <c r="BD889" s="19"/>
      <c r="BE889" s="19"/>
      <c r="BF889" s="55"/>
    </row>
    <row r="890" s="56" customFormat="true" ht="14.1" hidden="true" customHeight="true" outlineLevel="1" collapsed="false">
      <c r="A890" s="149" t="s">
        <v>475</v>
      </c>
      <c r="B890" s="273"/>
      <c r="C890" s="463"/>
      <c r="D890" s="462"/>
      <c r="E890" s="278"/>
      <c r="F890" s="278"/>
      <c r="G890" s="132"/>
      <c r="H890" s="132"/>
      <c r="I890" s="426"/>
      <c r="J890" s="259"/>
      <c r="K890" s="452"/>
      <c r="L890" s="132"/>
      <c r="M890" s="132"/>
      <c r="N890" s="165"/>
      <c r="O890" s="165"/>
      <c r="P890" s="165"/>
      <c r="Q890" s="165"/>
      <c r="R890" s="165"/>
      <c r="S890" s="165"/>
      <c r="T890" s="165"/>
      <c r="U890" s="165"/>
      <c r="V890" s="165"/>
      <c r="W890" s="165"/>
      <c r="X890" s="165"/>
      <c r="Y890" s="165"/>
      <c r="Z890" s="165"/>
      <c r="AA890" s="165"/>
      <c r="AB890" s="165"/>
      <c r="AC890" s="165"/>
      <c r="AD890" s="165"/>
      <c r="AE890" s="165"/>
      <c r="AF890" s="165"/>
      <c r="AG890" s="165"/>
      <c r="AH890" s="52"/>
      <c r="AI890" s="52"/>
      <c r="AJ890" s="52"/>
      <c r="AK890" s="52"/>
      <c r="AL890" s="52"/>
      <c r="AM890" s="52"/>
      <c r="AN890" s="52"/>
      <c r="AO890" s="195"/>
      <c r="AP890" s="195"/>
      <c r="AQ890" s="106"/>
      <c r="AR890" s="106"/>
      <c r="AS890" s="106"/>
      <c r="AT890" s="106"/>
      <c r="AU890" s="106"/>
      <c r="AV890" s="106"/>
      <c r="AW890" s="106"/>
      <c r="AX890" s="106"/>
      <c r="AY890" s="106"/>
      <c r="AZ890" s="106"/>
      <c r="BA890" s="106"/>
      <c r="BB890" s="19"/>
      <c r="BC890" s="19"/>
      <c r="BD890" s="19"/>
      <c r="BE890" s="19"/>
      <c r="BF890" s="55"/>
    </row>
    <row r="891" customFormat="false" ht="14.1" hidden="true" customHeight="true" outlineLevel="1" collapsed="false">
      <c r="A891" s="249" t="s">
        <v>494</v>
      </c>
      <c r="B891" s="119" t="s">
        <v>15</v>
      </c>
      <c r="C891" s="420" t="n">
        <v>0.8</v>
      </c>
      <c r="D891" s="275"/>
      <c r="E891" s="278"/>
      <c r="F891" s="278"/>
      <c r="G891" s="132"/>
      <c r="H891" s="132"/>
      <c r="I891" s="206"/>
      <c r="J891" s="259"/>
      <c r="K891" s="452"/>
      <c r="L891" s="132"/>
      <c r="M891" s="132"/>
      <c r="N891" s="165"/>
      <c r="O891" s="165"/>
      <c r="P891" s="165"/>
      <c r="Q891" s="150"/>
      <c r="R891" s="150"/>
      <c r="S891" s="150"/>
      <c r="T891" s="150"/>
      <c r="U891" s="150"/>
      <c r="V891" s="150"/>
      <c r="W891" s="150"/>
      <c r="X891" s="150"/>
      <c r="Y891" s="150"/>
      <c r="Z891" s="150"/>
      <c r="AA891" s="150"/>
      <c r="AB891" s="150"/>
      <c r="AC891" s="150"/>
      <c r="AD891" s="150"/>
      <c r="AE891" s="150"/>
      <c r="AF891" s="150"/>
      <c r="AG891" s="150"/>
      <c r="AH891" s="40"/>
      <c r="AI891" s="40"/>
      <c r="AJ891" s="40"/>
      <c r="AK891" s="40"/>
      <c r="AL891" s="40"/>
      <c r="AM891" s="40"/>
      <c r="AN891" s="40"/>
      <c r="AO891" s="125"/>
      <c r="AP891" s="125"/>
      <c r="AQ891" s="126"/>
      <c r="AR891" s="126"/>
      <c r="AS891" s="126"/>
      <c r="AT891" s="126"/>
      <c r="AU891" s="106"/>
      <c r="AV891" s="106"/>
      <c r="AW891" s="126"/>
      <c r="AX891" s="126"/>
      <c r="AY891" s="126"/>
      <c r="AZ891" s="126"/>
      <c r="BA891" s="126"/>
      <c r="BB891" s="21"/>
      <c r="BC891" s="21"/>
      <c r="BD891" s="21"/>
      <c r="BE891" s="21"/>
    </row>
    <row r="892" customFormat="false" ht="14.1" hidden="true" customHeight="true" outlineLevel="1" collapsed="false">
      <c r="A892" s="163" t="s">
        <v>495</v>
      </c>
      <c r="B892" s="119" t="s">
        <v>15</v>
      </c>
      <c r="C892" s="420" t="n">
        <v>0.1</v>
      </c>
      <c r="D892" s="275"/>
      <c r="E892" s="278"/>
      <c r="F892" s="278"/>
      <c r="G892" s="132"/>
      <c r="H892" s="132"/>
      <c r="I892" s="426"/>
      <c r="J892" s="259"/>
      <c r="K892" s="452"/>
      <c r="L892" s="132"/>
      <c r="M892" s="132"/>
      <c r="N892" s="165"/>
      <c r="O892" s="165"/>
      <c r="P892" s="165"/>
      <c r="Q892" s="150"/>
      <c r="R892" s="150"/>
      <c r="S892" s="150"/>
      <c r="T892" s="150"/>
      <c r="U892" s="150"/>
      <c r="V892" s="150"/>
      <c r="W892" s="150"/>
      <c r="X892" s="150"/>
      <c r="Y892" s="150"/>
      <c r="Z892" s="150"/>
      <c r="AA892" s="150"/>
      <c r="AB892" s="150"/>
      <c r="AC892" s="150"/>
      <c r="AD892" s="150"/>
      <c r="AE892" s="150"/>
      <c r="AF892" s="150"/>
      <c r="AG892" s="150"/>
      <c r="AH892" s="40"/>
      <c r="AI892" s="40"/>
      <c r="AJ892" s="40"/>
      <c r="AK892" s="40"/>
      <c r="AL892" s="40"/>
      <c r="AM892" s="40"/>
      <c r="AN892" s="40"/>
      <c r="AO892" s="125"/>
      <c r="AP892" s="125"/>
      <c r="AQ892" s="126"/>
      <c r="AR892" s="126"/>
      <c r="AS892" s="126"/>
      <c r="AT892" s="126"/>
      <c r="AU892" s="106"/>
      <c r="AV892" s="106"/>
      <c r="AW892" s="126"/>
      <c r="AX892" s="126"/>
      <c r="AY892" s="126"/>
      <c r="AZ892" s="126"/>
      <c r="BA892" s="126"/>
      <c r="BB892" s="21"/>
      <c r="BC892" s="21"/>
      <c r="BD892" s="21"/>
      <c r="BE892" s="21"/>
    </row>
    <row r="893" customFormat="false" ht="14.1" hidden="true" customHeight="true" outlineLevel="1" collapsed="false">
      <c r="A893" s="163" t="s">
        <v>537</v>
      </c>
      <c r="B893" s="119" t="s">
        <v>15</v>
      </c>
      <c r="C893" s="420" t="n">
        <v>0.05</v>
      </c>
      <c r="D893" s="275"/>
      <c r="E893" s="278"/>
      <c r="F893" s="278"/>
      <c r="G893" s="132"/>
      <c r="H893" s="132"/>
      <c r="I893" s="132"/>
      <c r="J893" s="259"/>
      <c r="K893" s="452"/>
      <c r="L893" s="132"/>
      <c r="M893" s="132"/>
      <c r="N893" s="165"/>
      <c r="O893" s="165"/>
      <c r="P893" s="165"/>
      <c r="Q893" s="150"/>
      <c r="R893" s="150"/>
      <c r="S893" s="150"/>
      <c r="T893" s="150"/>
      <c r="U893" s="150"/>
      <c r="V893" s="150"/>
      <c r="W893" s="150"/>
      <c r="X893" s="150"/>
      <c r="Y893" s="150"/>
      <c r="Z893" s="150"/>
      <c r="AA893" s="150"/>
      <c r="AB893" s="150"/>
      <c r="AC893" s="150"/>
      <c r="AD893" s="150"/>
      <c r="AE893" s="150"/>
      <c r="AF893" s="150"/>
      <c r="AG893" s="150"/>
      <c r="AH893" s="40"/>
      <c r="AI893" s="40"/>
      <c r="AJ893" s="40"/>
      <c r="AK893" s="40"/>
      <c r="AL893" s="40"/>
      <c r="AM893" s="40"/>
      <c r="AN893" s="40"/>
      <c r="AO893" s="125"/>
      <c r="AP893" s="125"/>
      <c r="AQ893" s="126"/>
      <c r="AR893" s="126"/>
      <c r="AS893" s="126"/>
      <c r="AT893" s="126"/>
      <c r="AU893" s="106"/>
      <c r="AV893" s="106"/>
      <c r="AW893" s="126"/>
      <c r="AX893" s="126"/>
      <c r="AY893" s="126"/>
      <c r="AZ893" s="126"/>
      <c r="BA893" s="126"/>
      <c r="BB893" s="21"/>
      <c r="BC893" s="21"/>
      <c r="BD893" s="21"/>
      <c r="BE893" s="21"/>
    </row>
    <row r="894" customFormat="false" ht="14.1" hidden="true" customHeight="true" outlineLevel="1" collapsed="false">
      <c r="A894" s="163" t="s">
        <v>496</v>
      </c>
      <c r="B894" s="119" t="s">
        <v>15</v>
      </c>
      <c r="C894" s="429" t="n">
        <v>0.2</v>
      </c>
      <c r="D894" s="275"/>
      <c r="E894" s="278"/>
      <c r="F894" s="278"/>
      <c r="G894" s="132"/>
      <c r="H894" s="132"/>
      <c r="I894" s="426"/>
      <c r="J894" s="259"/>
      <c r="K894" s="452"/>
      <c r="L894" s="132"/>
      <c r="M894" s="132"/>
      <c r="N894" s="165"/>
      <c r="O894" s="165"/>
      <c r="P894" s="165"/>
      <c r="Q894" s="150"/>
      <c r="R894" s="150"/>
      <c r="S894" s="150"/>
      <c r="T894" s="150"/>
      <c r="U894" s="150"/>
      <c r="V894" s="150"/>
      <c r="W894" s="150"/>
      <c r="X894" s="150"/>
      <c r="Y894" s="150"/>
      <c r="Z894" s="150"/>
      <c r="AA894" s="150"/>
      <c r="AB894" s="150"/>
      <c r="AC894" s="150"/>
      <c r="AD894" s="150"/>
      <c r="AE894" s="150"/>
      <c r="AF894" s="150"/>
      <c r="AG894" s="150"/>
      <c r="AH894" s="40"/>
      <c r="AI894" s="40"/>
      <c r="AJ894" s="40"/>
      <c r="AK894" s="40"/>
      <c r="AL894" s="40"/>
      <c r="AM894" s="40"/>
      <c r="AN894" s="40"/>
      <c r="AO894" s="125"/>
      <c r="AP894" s="125"/>
      <c r="AQ894" s="126"/>
      <c r="AR894" s="126"/>
      <c r="AS894" s="126"/>
      <c r="AT894" s="126"/>
      <c r="AU894" s="106"/>
      <c r="AV894" s="106"/>
      <c r="AW894" s="126"/>
      <c r="AX894" s="126"/>
      <c r="AY894" s="126"/>
      <c r="AZ894" s="126"/>
      <c r="BA894" s="126"/>
      <c r="BB894" s="21"/>
      <c r="BC894" s="21"/>
      <c r="BD894" s="21"/>
      <c r="BE894" s="21"/>
    </row>
    <row r="895" customFormat="false" ht="14.1" hidden="true" customHeight="true" outlineLevel="1" collapsed="false">
      <c r="A895" s="163" t="s">
        <v>497</v>
      </c>
      <c r="B895" s="119" t="s">
        <v>15</v>
      </c>
      <c r="C895" s="420" t="n">
        <v>0.8</v>
      </c>
      <c r="D895" s="275"/>
      <c r="E895" s="278"/>
      <c r="F895" s="278"/>
      <c r="G895" s="132"/>
      <c r="H895" s="132"/>
      <c r="I895" s="426"/>
      <c r="J895" s="259"/>
      <c r="K895" s="452"/>
      <c r="L895" s="132"/>
      <c r="M895" s="132"/>
      <c r="N895" s="165"/>
      <c r="O895" s="165"/>
      <c r="P895" s="165"/>
      <c r="Q895" s="150"/>
      <c r="R895" s="150"/>
      <c r="S895" s="150"/>
      <c r="T895" s="150"/>
      <c r="U895" s="150"/>
      <c r="V895" s="150"/>
      <c r="W895" s="150"/>
      <c r="X895" s="150"/>
      <c r="Y895" s="150"/>
      <c r="Z895" s="150"/>
      <c r="AA895" s="150"/>
      <c r="AB895" s="150"/>
      <c r="AC895" s="150"/>
      <c r="AD895" s="150"/>
      <c r="AE895" s="150"/>
      <c r="AF895" s="150"/>
      <c r="AG895" s="150"/>
      <c r="AH895" s="40"/>
      <c r="AI895" s="40"/>
      <c r="AJ895" s="40"/>
      <c r="AK895" s="40"/>
      <c r="AL895" s="40"/>
      <c r="AM895" s="40"/>
      <c r="AN895" s="40"/>
      <c r="AO895" s="125"/>
      <c r="AP895" s="125"/>
      <c r="AQ895" s="126"/>
      <c r="AR895" s="126"/>
      <c r="AS895" s="126"/>
      <c r="AT895" s="126"/>
      <c r="AU895" s="106"/>
      <c r="AV895" s="106"/>
      <c r="AW895" s="126"/>
      <c r="AX895" s="126"/>
      <c r="AY895" s="126"/>
      <c r="AZ895" s="126"/>
      <c r="BA895" s="126"/>
      <c r="BB895" s="21"/>
      <c r="BC895" s="21"/>
      <c r="BD895" s="21"/>
      <c r="BE895" s="21"/>
    </row>
    <row r="896" s="162" customFormat="true" ht="14.1" hidden="true" customHeight="true" outlineLevel="1" collapsed="false">
      <c r="A896" s="275"/>
      <c r="B896" s="277"/>
      <c r="C896" s="458"/>
      <c r="D896" s="275"/>
      <c r="E896" s="278"/>
      <c r="F896" s="278"/>
      <c r="G896" s="132"/>
      <c r="H896" s="132"/>
      <c r="I896" s="426"/>
      <c r="J896" s="259"/>
      <c r="K896" s="452"/>
      <c r="L896" s="132"/>
      <c r="M896" s="132"/>
      <c r="N896" s="165"/>
      <c r="O896" s="165"/>
      <c r="P896" s="165"/>
      <c r="Q896" s="150"/>
      <c r="R896" s="150"/>
      <c r="S896" s="150"/>
      <c r="T896" s="150"/>
      <c r="U896" s="150"/>
      <c r="V896" s="150"/>
      <c r="W896" s="150"/>
      <c r="X896" s="150"/>
      <c r="Y896" s="150"/>
      <c r="Z896" s="150"/>
      <c r="AA896" s="150"/>
      <c r="AB896" s="150"/>
      <c r="AC896" s="150"/>
      <c r="AD896" s="150"/>
      <c r="AE896" s="150"/>
      <c r="AF896" s="150"/>
      <c r="AG896" s="150"/>
      <c r="AH896" s="40"/>
      <c r="AI896" s="40"/>
      <c r="AJ896" s="40"/>
      <c r="AK896" s="40"/>
      <c r="AL896" s="40"/>
      <c r="AM896" s="40"/>
      <c r="AN896" s="40"/>
      <c r="AO896" s="125"/>
      <c r="AP896" s="125"/>
      <c r="AQ896" s="126"/>
      <c r="AR896" s="126"/>
      <c r="AS896" s="126"/>
      <c r="AT896" s="126"/>
      <c r="AU896" s="106"/>
      <c r="AV896" s="106"/>
      <c r="AW896" s="126"/>
      <c r="AX896" s="126"/>
      <c r="AY896" s="126"/>
      <c r="AZ896" s="126"/>
      <c r="BA896" s="126"/>
      <c r="BB896" s="160"/>
      <c r="BC896" s="160"/>
      <c r="BD896" s="160"/>
      <c r="BE896" s="160"/>
      <c r="BF896" s="161"/>
    </row>
    <row r="897" s="162" customFormat="true" ht="14.1" hidden="true" customHeight="true" outlineLevel="1" collapsed="false">
      <c r="A897" s="464" t="s">
        <v>538</v>
      </c>
      <c r="B897" s="464"/>
      <c r="C897" s="464"/>
      <c r="D897" s="275"/>
      <c r="E897" s="278"/>
      <c r="F897" s="278"/>
      <c r="G897" s="132"/>
      <c r="H897" s="132"/>
      <c r="I897" s="426"/>
      <c r="J897" s="259"/>
      <c r="K897" s="452"/>
      <c r="L897" s="132"/>
      <c r="M897" s="132"/>
      <c r="N897" s="165"/>
      <c r="O897" s="165"/>
      <c r="P897" s="165"/>
      <c r="Q897" s="150"/>
      <c r="R897" s="150"/>
      <c r="S897" s="150"/>
      <c r="T897" s="150"/>
      <c r="U897" s="150"/>
      <c r="V897" s="150"/>
      <c r="W897" s="150"/>
      <c r="X897" s="150"/>
      <c r="Y897" s="150"/>
      <c r="Z897" s="150"/>
      <c r="AA897" s="150"/>
      <c r="AB897" s="150"/>
      <c r="AC897" s="150"/>
      <c r="AD897" s="150"/>
      <c r="AE897" s="150"/>
      <c r="AF897" s="150"/>
      <c r="AG897" s="150"/>
      <c r="AH897" s="40"/>
      <c r="AI897" s="40"/>
      <c r="AJ897" s="40"/>
      <c r="AK897" s="40"/>
      <c r="AL897" s="40"/>
      <c r="AM897" s="40"/>
      <c r="AN897" s="40"/>
      <c r="AO897" s="125"/>
      <c r="AP897" s="125"/>
      <c r="AQ897" s="126"/>
      <c r="AR897" s="126"/>
      <c r="AS897" s="126"/>
      <c r="AT897" s="126"/>
      <c r="AU897" s="106"/>
      <c r="AV897" s="106"/>
      <c r="AW897" s="126"/>
      <c r="AX897" s="126"/>
      <c r="AY897" s="126"/>
      <c r="AZ897" s="126"/>
      <c r="BA897" s="126"/>
      <c r="BB897" s="160"/>
      <c r="BC897" s="160"/>
      <c r="BD897" s="160"/>
      <c r="BE897" s="160"/>
      <c r="BF897" s="161"/>
    </row>
    <row r="898" s="162" customFormat="true" ht="14.1" hidden="true" customHeight="true" outlineLevel="1" collapsed="false">
      <c r="A898" s="149" t="s">
        <v>226</v>
      </c>
      <c r="B898" s="119" t="s">
        <v>109</v>
      </c>
      <c r="C898" s="420" t="n">
        <v>3</v>
      </c>
      <c r="D898" s="275"/>
      <c r="E898" s="278"/>
      <c r="F898" s="278"/>
      <c r="G898" s="132"/>
      <c r="H898" s="132"/>
      <c r="I898" s="426"/>
      <c r="J898" s="259"/>
      <c r="K898" s="452"/>
      <c r="L898" s="132"/>
      <c r="M898" s="132"/>
      <c r="N898" s="165"/>
      <c r="O898" s="165"/>
      <c r="P898" s="165"/>
      <c r="Q898" s="150"/>
      <c r="R898" s="150"/>
      <c r="S898" s="150"/>
      <c r="T898" s="150"/>
      <c r="U898" s="150"/>
      <c r="V898" s="150"/>
      <c r="W898" s="150"/>
      <c r="X898" s="150"/>
      <c r="Y898" s="150"/>
      <c r="Z898" s="150"/>
      <c r="AA898" s="150"/>
      <c r="AB898" s="150"/>
      <c r="AC898" s="150"/>
      <c r="AD898" s="150"/>
      <c r="AE898" s="150"/>
      <c r="AF898" s="150"/>
      <c r="AG898" s="150"/>
      <c r="AH898" s="40"/>
      <c r="AI898" s="40"/>
      <c r="AJ898" s="40"/>
      <c r="AK898" s="40"/>
      <c r="AL898" s="40"/>
      <c r="AM898" s="40"/>
      <c r="AN898" s="40"/>
      <c r="AO898" s="125"/>
      <c r="AP898" s="125"/>
      <c r="AQ898" s="126"/>
      <c r="AR898" s="126"/>
      <c r="AS898" s="126"/>
      <c r="AT898" s="126"/>
      <c r="AU898" s="106"/>
      <c r="AV898" s="106"/>
      <c r="AW898" s="126"/>
      <c r="AX898" s="126"/>
      <c r="AY898" s="126"/>
      <c r="AZ898" s="126"/>
      <c r="BA898" s="126"/>
      <c r="BB898" s="160"/>
      <c r="BC898" s="160"/>
      <c r="BD898" s="160"/>
      <c r="BE898" s="160"/>
      <c r="BF898" s="161"/>
    </row>
    <row r="899" s="162" customFormat="true" ht="14.1" hidden="true" customHeight="true" outlineLevel="1" collapsed="false">
      <c r="A899" s="149" t="s">
        <v>226</v>
      </c>
      <c r="B899" s="119" t="s">
        <v>109</v>
      </c>
      <c r="C899" s="420" t="n">
        <v>0</v>
      </c>
      <c r="D899" s="275"/>
      <c r="E899" s="278"/>
      <c r="F899" s="278"/>
      <c r="G899" s="132"/>
      <c r="H899" s="132"/>
      <c r="I899" s="426"/>
      <c r="J899" s="259"/>
      <c r="K899" s="452"/>
      <c r="L899" s="132"/>
      <c r="M899" s="132"/>
      <c r="N899" s="165"/>
      <c r="O899" s="165"/>
      <c r="P899" s="165"/>
      <c r="Q899" s="150"/>
      <c r="R899" s="150"/>
      <c r="S899" s="150"/>
      <c r="T899" s="150"/>
      <c r="U899" s="150"/>
      <c r="V899" s="150"/>
      <c r="W899" s="150"/>
      <c r="X899" s="150"/>
      <c r="Y899" s="150"/>
      <c r="Z899" s="150"/>
      <c r="AA899" s="150"/>
      <c r="AB899" s="150"/>
      <c r="AC899" s="150"/>
      <c r="AD899" s="150"/>
      <c r="AE899" s="150"/>
      <c r="AF899" s="150"/>
      <c r="AG899" s="150"/>
      <c r="AH899" s="40"/>
      <c r="AI899" s="40"/>
      <c r="AJ899" s="40"/>
      <c r="AK899" s="40"/>
      <c r="AL899" s="40"/>
      <c r="AM899" s="40"/>
      <c r="AN899" s="40"/>
      <c r="AO899" s="125"/>
      <c r="AP899" s="125"/>
      <c r="AQ899" s="126"/>
      <c r="AR899" s="126"/>
      <c r="AS899" s="126"/>
      <c r="AT899" s="126"/>
      <c r="AU899" s="106"/>
      <c r="AV899" s="106"/>
      <c r="AW899" s="126"/>
      <c r="AX899" s="126"/>
      <c r="AY899" s="126"/>
      <c r="AZ899" s="126"/>
      <c r="BA899" s="126"/>
      <c r="BB899" s="160"/>
      <c r="BC899" s="160"/>
      <c r="BD899" s="160"/>
      <c r="BE899" s="160"/>
      <c r="BF899" s="161"/>
    </row>
    <row r="900" s="162" customFormat="true" ht="14.1" hidden="true" customHeight="true" outlineLevel="1" collapsed="false">
      <c r="A900" s="149" t="s">
        <v>226</v>
      </c>
      <c r="B900" s="119" t="s">
        <v>109</v>
      </c>
      <c r="C900" s="420" t="n">
        <v>0</v>
      </c>
      <c r="D900" s="275"/>
      <c r="E900" s="278"/>
      <c r="F900" s="278"/>
      <c r="G900" s="132"/>
      <c r="H900" s="132"/>
      <c r="I900" s="426"/>
      <c r="J900" s="259"/>
      <c r="K900" s="452"/>
      <c r="L900" s="132"/>
      <c r="M900" s="132"/>
      <c r="N900" s="165"/>
      <c r="O900" s="165"/>
      <c r="P900" s="165"/>
      <c r="Q900" s="150"/>
      <c r="R900" s="150"/>
      <c r="S900" s="150"/>
      <c r="T900" s="150"/>
      <c r="U900" s="150"/>
      <c r="V900" s="150"/>
      <c r="W900" s="150"/>
      <c r="X900" s="150"/>
      <c r="Y900" s="150"/>
      <c r="Z900" s="150"/>
      <c r="AA900" s="150"/>
      <c r="AB900" s="150"/>
      <c r="AC900" s="150"/>
      <c r="AD900" s="150"/>
      <c r="AE900" s="150"/>
      <c r="AF900" s="150"/>
      <c r="AG900" s="150"/>
      <c r="AH900" s="40"/>
      <c r="AI900" s="40"/>
      <c r="AJ900" s="40"/>
      <c r="AK900" s="40"/>
      <c r="AL900" s="40"/>
      <c r="AM900" s="40"/>
      <c r="AN900" s="40"/>
      <c r="AO900" s="125"/>
      <c r="AP900" s="125"/>
      <c r="AQ900" s="126"/>
      <c r="AR900" s="126"/>
      <c r="AS900" s="126"/>
      <c r="AT900" s="126"/>
      <c r="AU900" s="106"/>
      <c r="AV900" s="106"/>
      <c r="AW900" s="126"/>
      <c r="AX900" s="126"/>
      <c r="AY900" s="126"/>
      <c r="AZ900" s="126"/>
      <c r="BA900" s="126"/>
      <c r="BB900" s="160"/>
      <c r="BC900" s="160"/>
      <c r="BD900" s="160"/>
      <c r="BE900" s="160"/>
      <c r="BF900" s="161"/>
    </row>
    <row r="901" s="162" customFormat="true" ht="14.1" hidden="true" customHeight="true" outlineLevel="1" collapsed="false">
      <c r="A901" s="149" t="s">
        <v>226</v>
      </c>
      <c r="B901" s="119" t="s">
        <v>109</v>
      </c>
      <c r="C901" s="420" t="n">
        <v>0</v>
      </c>
      <c r="D901" s="275"/>
      <c r="E901" s="278"/>
      <c r="F901" s="278"/>
      <c r="G901" s="132"/>
      <c r="H901" s="132"/>
      <c r="I901" s="426"/>
      <c r="J901" s="259"/>
      <c r="K901" s="452"/>
      <c r="L901" s="132"/>
      <c r="M901" s="132"/>
      <c r="N901" s="165"/>
      <c r="O901" s="165"/>
      <c r="P901" s="165"/>
      <c r="Q901" s="150"/>
      <c r="R901" s="150"/>
      <c r="S901" s="150"/>
      <c r="T901" s="150"/>
      <c r="U901" s="150"/>
      <c r="V901" s="150"/>
      <c r="W901" s="150"/>
      <c r="X901" s="150"/>
      <c r="Y901" s="150"/>
      <c r="Z901" s="150"/>
      <c r="AA901" s="150"/>
      <c r="AB901" s="150"/>
      <c r="AC901" s="150"/>
      <c r="AD901" s="150"/>
      <c r="AE901" s="150"/>
      <c r="AF901" s="150"/>
      <c r="AG901" s="150"/>
      <c r="AH901" s="40"/>
      <c r="AI901" s="40"/>
      <c r="AJ901" s="40"/>
      <c r="AK901" s="40"/>
      <c r="AL901" s="40"/>
      <c r="AM901" s="40"/>
      <c r="AN901" s="40"/>
      <c r="AO901" s="125"/>
      <c r="AP901" s="125"/>
      <c r="AQ901" s="126"/>
      <c r="AR901" s="126"/>
      <c r="AS901" s="126"/>
      <c r="AT901" s="126"/>
      <c r="AU901" s="106"/>
      <c r="AV901" s="106"/>
      <c r="AW901" s="126"/>
      <c r="AX901" s="126"/>
      <c r="AY901" s="126"/>
      <c r="AZ901" s="126"/>
      <c r="BA901" s="126"/>
      <c r="BB901" s="160"/>
      <c r="BC901" s="160"/>
      <c r="BD901" s="160"/>
      <c r="BE901" s="160"/>
      <c r="BF901" s="161"/>
    </row>
    <row r="902" s="162" customFormat="true" ht="14.1" hidden="true" customHeight="true" outlineLevel="1" collapsed="false">
      <c r="A902" s="149" t="s">
        <v>226</v>
      </c>
      <c r="B902" s="119" t="s">
        <v>109</v>
      </c>
      <c r="C902" s="420" t="n">
        <v>0</v>
      </c>
      <c r="D902" s="275"/>
      <c r="E902" s="278"/>
      <c r="F902" s="278"/>
      <c r="G902" s="132"/>
      <c r="H902" s="132"/>
      <c r="I902" s="426"/>
      <c r="J902" s="259"/>
      <c r="K902" s="452"/>
      <c r="L902" s="132"/>
      <c r="M902" s="132"/>
      <c r="N902" s="165"/>
      <c r="O902" s="165"/>
      <c r="P902" s="165"/>
      <c r="Q902" s="150"/>
      <c r="R902" s="150"/>
      <c r="S902" s="150"/>
      <c r="T902" s="150"/>
      <c r="U902" s="150"/>
      <c r="V902" s="150"/>
      <c r="W902" s="150"/>
      <c r="X902" s="150"/>
      <c r="Y902" s="150"/>
      <c r="Z902" s="150"/>
      <c r="AA902" s="150"/>
      <c r="AB902" s="150"/>
      <c r="AC902" s="150"/>
      <c r="AD902" s="150"/>
      <c r="AE902" s="150"/>
      <c r="AF902" s="150"/>
      <c r="AG902" s="150"/>
      <c r="AH902" s="40"/>
      <c r="AI902" s="40"/>
      <c r="AJ902" s="40"/>
      <c r="AK902" s="40"/>
      <c r="AL902" s="40"/>
      <c r="AM902" s="40"/>
      <c r="AN902" s="40"/>
      <c r="AO902" s="125"/>
      <c r="AP902" s="125"/>
      <c r="AQ902" s="126"/>
      <c r="AR902" s="126"/>
      <c r="AS902" s="126"/>
      <c r="AT902" s="126"/>
      <c r="AU902" s="106"/>
      <c r="AV902" s="106"/>
      <c r="AW902" s="126"/>
      <c r="AX902" s="126"/>
      <c r="AY902" s="126"/>
      <c r="AZ902" s="126"/>
      <c r="BA902" s="126"/>
      <c r="BB902" s="160"/>
      <c r="BC902" s="160"/>
      <c r="BD902" s="160"/>
      <c r="BE902" s="160"/>
      <c r="BF902" s="161"/>
    </row>
    <row r="903" s="162" customFormat="true" ht="14.1" hidden="true" customHeight="true" outlineLevel="1" collapsed="false">
      <c r="A903" s="275"/>
      <c r="B903" s="277"/>
      <c r="C903" s="458"/>
      <c r="D903" s="275"/>
      <c r="E903" s="278"/>
      <c r="F903" s="278"/>
      <c r="G903" s="132"/>
      <c r="H903" s="132"/>
      <c r="I903" s="426"/>
      <c r="J903" s="259"/>
      <c r="K903" s="452"/>
      <c r="L903" s="132"/>
      <c r="M903" s="132"/>
      <c r="N903" s="165"/>
      <c r="O903" s="165"/>
      <c r="P903" s="165"/>
      <c r="Q903" s="150"/>
      <c r="R903" s="150"/>
      <c r="S903" s="150"/>
      <c r="T903" s="150"/>
      <c r="U903" s="150"/>
      <c r="V903" s="150"/>
      <c r="W903" s="150"/>
      <c r="X903" s="150"/>
      <c r="Y903" s="150"/>
      <c r="Z903" s="150"/>
      <c r="AA903" s="150"/>
      <c r="AB903" s="150"/>
      <c r="AC903" s="150"/>
      <c r="AD903" s="150"/>
      <c r="AE903" s="150"/>
      <c r="AF903" s="150"/>
      <c r="AG903" s="150"/>
      <c r="AH903" s="40"/>
      <c r="AI903" s="40"/>
      <c r="AJ903" s="40"/>
      <c r="AK903" s="40"/>
      <c r="AL903" s="40"/>
      <c r="AM903" s="40"/>
      <c r="AN903" s="40"/>
      <c r="AO903" s="125"/>
      <c r="AP903" s="125"/>
      <c r="AQ903" s="126"/>
      <c r="AR903" s="126"/>
      <c r="AS903" s="126"/>
      <c r="AT903" s="126"/>
      <c r="AU903" s="106"/>
      <c r="AV903" s="106"/>
      <c r="AW903" s="126"/>
      <c r="AX903" s="126"/>
      <c r="AY903" s="126"/>
      <c r="AZ903" s="126"/>
      <c r="BA903" s="126"/>
      <c r="BB903" s="160"/>
      <c r="BC903" s="160"/>
      <c r="BD903" s="160"/>
      <c r="BE903" s="160"/>
      <c r="BF903" s="161"/>
    </row>
    <row r="904" s="162" customFormat="true" ht="14.1" hidden="true" customHeight="true" outlineLevel="1" collapsed="false">
      <c r="A904" s="418" t="s">
        <v>539</v>
      </c>
      <c r="B904" s="119" t="s">
        <v>113</v>
      </c>
      <c r="C904" s="435" t="n">
        <v>12000</v>
      </c>
      <c r="D904" s="275"/>
      <c r="E904" s="278"/>
      <c r="F904" s="278"/>
      <c r="G904" s="132"/>
      <c r="H904" s="132"/>
      <c r="I904" s="426"/>
      <c r="J904" s="259"/>
      <c r="K904" s="452"/>
      <c r="L904" s="132"/>
      <c r="M904" s="132"/>
      <c r="N904" s="165"/>
      <c r="O904" s="165"/>
      <c r="P904" s="165"/>
      <c r="Q904" s="150"/>
      <c r="R904" s="150"/>
      <c r="S904" s="150"/>
      <c r="T904" s="150"/>
      <c r="U904" s="150"/>
      <c r="V904" s="150"/>
      <c r="W904" s="150"/>
      <c r="X904" s="150"/>
      <c r="Y904" s="150"/>
      <c r="Z904" s="150"/>
      <c r="AA904" s="150"/>
      <c r="AB904" s="150"/>
      <c r="AC904" s="150"/>
      <c r="AD904" s="150"/>
      <c r="AE904" s="150"/>
      <c r="AF904" s="150"/>
      <c r="AG904" s="150"/>
      <c r="AH904" s="40"/>
      <c r="AI904" s="40"/>
      <c r="AJ904" s="40"/>
      <c r="AK904" s="40"/>
      <c r="AL904" s="40"/>
      <c r="AM904" s="40"/>
      <c r="AN904" s="40"/>
      <c r="AO904" s="125"/>
      <c r="AP904" s="125"/>
      <c r="AQ904" s="126"/>
      <c r="AR904" s="126"/>
      <c r="AS904" s="126"/>
      <c r="AT904" s="126"/>
      <c r="AU904" s="106"/>
      <c r="AV904" s="106"/>
      <c r="AW904" s="126"/>
      <c r="AX904" s="126"/>
      <c r="AY904" s="126"/>
      <c r="AZ904" s="126"/>
      <c r="BA904" s="126"/>
      <c r="BB904" s="160"/>
      <c r="BC904" s="160"/>
      <c r="BD904" s="160"/>
      <c r="BE904" s="160"/>
      <c r="BF904" s="161"/>
    </row>
    <row r="905" s="162" customFormat="true" ht="14.1" hidden="true" customHeight="true" outlineLevel="1" collapsed="false">
      <c r="A905" s="275"/>
      <c r="B905" s="277"/>
      <c r="C905" s="458"/>
      <c r="D905" s="275"/>
      <c r="E905" s="278"/>
      <c r="F905" s="278"/>
      <c r="G905" s="132"/>
      <c r="H905" s="132"/>
      <c r="I905" s="426"/>
      <c r="J905" s="259"/>
      <c r="K905" s="452"/>
      <c r="L905" s="132"/>
      <c r="M905" s="132"/>
      <c r="N905" s="165"/>
      <c r="O905" s="165"/>
      <c r="P905" s="165"/>
      <c r="Q905" s="150"/>
      <c r="R905" s="150"/>
      <c r="S905" s="150"/>
      <c r="T905" s="150"/>
      <c r="U905" s="150"/>
      <c r="V905" s="150"/>
      <c r="W905" s="150"/>
      <c r="X905" s="150"/>
      <c r="Y905" s="150"/>
      <c r="Z905" s="150"/>
      <c r="AA905" s="150"/>
      <c r="AB905" s="150"/>
      <c r="AC905" s="150"/>
      <c r="AD905" s="150"/>
      <c r="AE905" s="150"/>
      <c r="AF905" s="150"/>
      <c r="AG905" s="150"/>
      <c r="AH905" s="40"/>
      <c r="AI905" s="40"/>
      <c r="AJ905" s="40"/>
      <c r="AK905" s="40"/>
      <c r="AL905" s="40"/>
      <c r="AM905" s="40"/>
      <c r="AN905" s="40"/>
      <c r="AO905" s="125"/>
      <c r="AP905" s="125"/>
      <c r="AQ905" s="126"/>
      <c r="AR905" s="126"/>
      <c r="AS905" s="126"/>
      <c r="AT905" s="126"/>
      <c r="AU905" s="106"/>
      <c r="AV905" s="106"/>
      <c r="AW905" s="126"/>
      <c r="AX905" s="126"/>
      <c r="AY905" s="126"/>
      <c r="AZ905" s="126"/>
      <c r="BA905" s="126"/>
      <c r="BB905" s="160"/>
      <c r="BC905" s="160"/>
      <c r="BD905" s="160"/>
      <c r="BE905" s="160"/>
      <c r="BF905" s="161"/>
    </row>
    <row r="906" customFormat="false" ht="14.1" hidden="false" customHeight="true" outlineLevel="0" collapsed="false">
      <c r="A906" s="436" t="s">
        <v>540</v>
      </c>
      <c r="B906" s="436"/>
      <c r="C906" s="436"/>
      <c r="D906" s="436"/>
      <c r="E906" s="436"/>
      <c r="F906" s="138"/>
      <c r="G906" s="26"/>
      <c r="H906" s="437"/>
      <c r="I906" s="437"/>
      <c r="J906" s="437"/>
      <c r="K906" s="437"/>
      <c r="L906" s="437"/>
      <c r="M906" s="257"/>
      <c r="N906" s="257"/>
      <c r="O906" s="257"/>
      <c r="P906" s="337"/>
      <c r="Q906" s="165"/>
      <c r="R906" s="337"/>
      <c r="S906" s="165"/>
      <c r="T906" s="337"/>
      <c r="U906" s="337"/>
      <c r="V906" s="337"/>
      <c r="W906" s="150"/>
      <c r="X906" s="150"/>
      <c r="Y906" s="150"/>
      <c r="Z906" s="150"/>
      <c r="AA906" s="150"/>
      <c r="AB906" s="150"/>
      <c r="AC906" s="150"/>
      <c r="AD906" s="150"/>
      <c r="AE906" s="150"/>
      <c r="AF906" s="150"/>
      <c r="AG906" s="150"/>
      <c r="AH906" s="40"/>
      <c r="AI906" s="40"/>
      <c r="AJ906" s="40"/>
      <c r="AK906" s="40"/>
      <c r="AL906" s="40"/>
      <c r="AM906" s="40"/>
      <c r="AN906" s="40"/>
      <c r="AO906" s="125"/>
      <c r="AP906" s="125"/>
      <c r="AQ906" s="126"/>
      <c r="AR906" s="126"/>
      <c r="AS906" s="126"/>
      <c r="AT906" s="126"/>
      <c r="AU906" s="106"/>
      <c r="AV906" s="438" t="n">
        <f aca="false">M906</f>
        <v>0</v>
      </c>
      <c r="AW906" s="126"/>
      <c r="AX906" s="126"/>
      <c r="AY906" s="126"/>
      <c r="AZ906" s="126"/>
      <c r="BA906" s="126"/>
      <c r="BB906" s="21"/>
      <c r="BC906" s="21"/>
      <c r="BD906" s="21"/>
      <c r="BE906" s="21"/>
    </row>
    <row r="907" s="35" customFormat="true" ht="14.1" hidden="false" customHeight="true" outlineLevel="0" collapsed="false">
      <c r="A907" s="254"/>
      <c r="B907" s="173"/>
      <c r="C907" s="254"/>
      <c r="D907" s="254"/>
      <c r="E907" s="254"/>
      <c r="F907" s="254"/>
      <c r="G907" s="254"/>
      <c r="H907" s="173"/>
      <c r="I907" s="212"/>
      <c r="J907" s="259"/>
      <c r="K907" s="220"/>
      <c r="L907" s="220"/>
      <c r="M907" s="259"/>
      <c r="N907" s="165"/>
      <c r="O907" s="165"/>
      <c r="P907" s="165"/>
      <c r="Q907" s="165"/>
      <c r="R907" s="165"/>
      <c r="S907" s="165"/>
      <c r="T907" s="165"/>
      <c r="U907" s="150"/>
      <c r="V907" s="165"/>
      <c r="W907" s="165"/>
      <c r="X907" s="165"/>
      <c r="Y907" s="165"/>
      <c r="Z907" s="165"/>
      <c r="AA907" s="165"/>
      <c r="AB907" s="165"/>
      <c r="AC907" s="165"/>
      <c r="AD907" s="165"/>
      <c r="AE907" s="165"/>
      <c r="AF907" s="165"/>
      <c r="AG907" s="165"/>
      <c r="AH907" s="52"/>
      <c r="AI907" s="52"/>
      <c r="AJ907" s="52"/>
      <c r="AK907" s="52"/>
      <c r="AL907" s="52"/>
      <c r="AM907" s="52"/>
      <c r="AN907" s="52"/>
      <c r="AO907" s="195"/>
      <c r="AP907" s="195"/>
      <c r="AQ907" s="106"/>
      <c r="AR907" s="106"/>
      <c r="AS907" s="106"/>
      <c r="AT907" s="106"/>
      <c r="AU907" s="106"/>
      <c r="AV907" s="106"/>
      <c r="AW907" s="126"/>
      <c r="AX907" s="126"/>
      <c r="AY907" s="126"/>
      <c r="AZ907" s="126"/>
      <c r="BA907" s="126"/>
      <c r="BB907" s="126"/>
      <c r="BC907" s="126"/>
      <c r="BD907" s="126"/>
      <c r="BE907" s="126"/>
      <c r="BF907" s="156"/>
    </row>
    <row r="908" customFormat="false" ht="14.1" hidden="true" customHeight="true" outlineLevel="1" collapsed="false">
      <c r="A908" s="439" t="s">
        <v>541</v>
      </c>
      <c r="B908" s="439"/>
      <c r="C908" s="439"/>
      <c r="D908" s="439"/>
      <c r="E908" s="439"/>
      <c r="F908" s="439"/>
      <c r="G908" s="439"/>
      <c r="H908" s="440"/>
      <c r="I908" s="440"/>
      <c r="J908" s="440"/>
      <c r="K908" s="440"/>
      <c r="L908" s="440"/>
      <c r="M908" s="440"/>
      <c r="N908" s="440"/>
      <c r="O908" s="440"/>
      <c r="P908" s="440"/>
      <c r="Q908" s="440"/>
      <c r="R908" s="440"/>
      <c r="S908" s="440"/>
      <c r="T908" s="440"/>
      <c r="U908" s="440"/>
      <c r="V908" s="465"/>
      <c r="W908" s="465"/>
      <c r="X908" s="465"/>
      <c r="Y908" s="465"/>
      <c r="Z908" s="465"/>
      <c r="AA908" s="465"/>
      <c r="AB908" s="465"/>
      <c r="AC908" s="465"/>
      <c r="AD908" s="465"/>
      <c r="AE908" s="465"/>
      <c r="AF908" s="465"/>
      <c r="AG908" s="444"/>
      <c r="AH908" s="466"/>
      <c r="AI908" s="466"/>
      <c r="AJ908" s="466"/>
      <c r="AK908" s="52"/>
      <c r="AL908" s="52"/>
      <c r="AM908" s="52"/>
      <c r="AN908" s="52"/>
      <c r="AO908" s="195"/>
      <c r="AP908" s="195"/>
      <c r="AQ908" s="106"/>
      <c r="AR908" s="106"/>
      <c r="AS908" s="106"/>
      <c r="AT908" s="106"/>
      <c r="AU908" s="106"/>
      <c r="AV908" s="106"/>
      <c r="AW908" s="126"/>
      <c r="AX908" s="126"/>
      <c r="AY908" s="126"/>
      <c r="AZ908" s="126"/>
      <c r="BA908" s="126"/>
      <c r="BB908" s="21"/>
      <c r="BC908" s="21"/>
      <c r="BD908" s="21"/>
      <c r="BE908" s="21"/>
    </row>
    <row r="909" customFormat="false" ht="14.1" hidden="true" customHeight="true" outlineLevel="1" collapsed="false">
      <c r="A909" s="439"/>
      <c r="B909" s="439"/>
      <c r="C909" s="439"/>
      <c r="D909" s="439"/>
      <c r="E909" s="439"/>
      <c r="F909" s="439"/>
      <c r="G909" s="439"/>
      <c r="H909" s="440"/>
      <c r="I909" s="440"/>
      <c r="J909" s="440"/>
      <c r="K909" s="440"/>
      <c r="L909" s="440"/>
      <c r="M909" s="440"/>
      <c r="N909" s="440"/>
      <c r="O909" s="440"/>
      <c r="P909" s="440"/>
      <c r="Q909" s="440"/>
      <c r="R909" s="440"/>
      <c r="S909" s="440"/>
      <c r="T909" s="440"/>
      <c r="U909" s="440"/>
      <c r="V909" s="465"/>
      <c r="W909" s="465"/>
      <c r="X909" s="465"/>
      <c r="Y909" s="465"/>
      <c r="Z909" s="465"/>
      <c r="AA909" s="465"/>
      <c r="AB909" s="465"/>
      <c r="AC909" s="465"/>
      <c r="AD909" s="465"/>
      <c r="AE909" s="465"/>
      <c r="AF909" s="465"/>
      <c r="AG909" s="444"/>
      <c r="AH909" s="466"/>
      <c r="AI909" s="466"/>
      <c r="AJ909" s="466"/>
      <c r="AK909" s="52"/>
      <c r="AL909" s="52"/>
      <c r="AM909" s="52"/>
      <c r="AN909" s="52"/>
      <c r="AO909" s="195"/>
      <c r="AP909" s="195"/>
      <c r="AQ909" s="106"/>
      <c r="AR909" s="106"/>
      <c r="AS909" s="106"/>
      <c r="AT909" s="106"/>
      <c r="AU909" s="106"/>
      <c r="AV909" s="106"/>
      <c r="AW909" s="126"/>
      <c r="AX909" s="126"/>
      <c r="AY909" s="126"/>
      <c r="AZ909" s="126"/>
      <c r="BA909" s="126"/>
      <c r="BB909" s="21"/>
      <c r="BC909" s="21"/>
      <c r="BD909" s="21"/>
      <c r="BE909" s="21"/>
    </row>
    <row r="910" customFormat="false" ht="14.1" hidden="true" customHeight="true" outlineLevel="1" collapsed="false">
      <c r="A910" s="261" t="s">
        <v>388</v>
      </c>
      <c r="B910" s="261"/>
      <c r="C910" s="261"/>
      <c r="D910" s="261"/>
      <c r="E910" s="239" t="n">
        <v>1.1</v>
      </c>
      <c r="F910" s="467"/>
      <c r="G910" s="468"/>
      <c r="H910" s="468"/>
      <c r="I910" s="468"/>
      <c r="J910" s="468"/>
      <c r="K910" s="468"/>
      <c r="L910" s="468"/>
      <c r="M910" s="468"/>
      <c r="N910" s="468"/>
      <c r="O910" s="468"/>
      <c r="P910" s="468"/>
      <c r="Q910" s="468"/>
      <c r="R910" s="468"/>
      <c r="S910" s="468"/>
      <c r="T910" s="468"/>
      <c r="U910" s="468"/>
      <c r="V910" s="469"/>
      <c r="W910" s="469"/>
      <c r="X910" s="469"/>
      <c r="Y910" s="470"/>
      <c r="Z910" s="470"/>
      <c r="AA910" s="470"/>
      <c r="AB910" s="470"/>
      <c r="AC910" s="470"/>
      <c r="AD910" s="471"/>
      <c r="AE910" s="471"/>
      <c r="AF910" s="471"/>
      <c r="AG910" s="444"/>
      <c r="AH910" s="466"/>
      <c r="AI910" s="466"/>
      <c r="AJ910" s="466"/>
      <c r="AK910" s="52"/>
      <c r="AL910" s="52"/>
      <c r="AM910" s="52"/>
      <c r="AN910" s="52"/>
      <c r="AO910" s="195"/>
      <c r="AP910" s="195"/>
      <c r="AQ910" s="106"/>
      <c r="AR910" s="106"/>
      <c r="AS910" s="106"/>
      <c r="AT910" s="106"/>
      <c r="AU910" s="106"/>
      <c r="AV910" s="106"/>
      <c r="AW910" s="126"/>
      <c r="AX910" s="126"/>
      <c r="AY910" s="126"/>
      <c r="AZ910" s="126"/>
      <c r="BA910" s="126"/>
      <c r="BB910" s="160"/>
      <c r="BC910" s="160"/>
      <c r="BD910" s="160"/>
      <c r="BE910" s="160"/>
    </row>
    <row r="911" customFormat="false" ht="14.1" hidden="true" customHeight="true" outlineLevel="1" collapsed="false">
      <c r="A911" s="261" t="s">
        <v>389</v>
      </c>
      <c r="B911" s="261"/>
      <c r="C911" s="261"/>
      <c r="D911" s="261"/>
      <c r="E911" s="239" t="n">
        <v>1.2</v>
      </c>
      <c r="F911" s="467"/>
      <c r="G911" s="468"/>
      <c r="H911" s="468"/>
      <c r="I911" s="468"/>
      <c r="J911" s="468"/>
      <c r="K911" s="468"/>
      <c r="L911" s="468"/>
      <c r="M911" s="468"/>
      <c r="N911" s="468"/>
      <c r="O911" s="468"/>
      <c r="P911" s="468"/>
      <c r="Q911" s="468"/>
      <c r="R911" s="468"/>
      <c r="S911" s="468"/>
      <c r="T911" s="468"/>
      <c r="U911" s="468"/>
      <c r="V911" s="469"/>
      <c r="W911" s="469"/>
      <c r="X911" s="469"/>
      <c r="Y911" s="470"/>
      <c r="Z911" s="470"/>
      <c r="AA911" s="470"/>
      <c r="AB911" s="470"/>
      <c r="AC911" s="470"/>
      <c r="AD911" s="471"/>
      <c r="AE911" s="471"/>
      <c r="AF911" s="471"/>
      <c r="AG911" s="444"/>
      <c r="AH911" s="466"/>
      <c r="AI911" s="466"/>
      <c r="AJ911" s="466"/>
      <c r="AK911" s="52"/>
      <c r="AL911" s="52"/>
      <c r="AM911" s="52"/>
      <c r="AN911" s="52"/>
      <c r="AO911" s="195"/>
      <c r="AP911" s="195"/>
      <c r="AQ911" s="106"/>
      <c r="AR911" s="106"/>
      <c r="AS911" s="106"/>
      <c r="AT911" s="106"/>
      <c r="AU911" s="106"/>
      <c r="AV911" s="106"/>
      <c r="AW911" s="126"/>
      <c r="AX911" s="126"/>
      <c r="AY911" s="126"/>
      <c r="AZ911" s="126"/>
      <c r="BA911" s="126"/>
      <c r="BB911" s="160"/>
      <c r="BC911" s="160"/>
      <c r="BD911" s="160"/>
      <c r="BE911" s="160"/>
    </row>
    <row r="912" customFormat="false" ht="14.1" hidden="true" customHeight="true" outlineLevel="1" collapsed="false">
      <c r="A912" s="138"/>
      <c r="B912" s="235"/>
      <c r="C912" s="138"/>
      <c r="D912" s="272"/>
      <c r="E912" s="138"/>
      <c r="F912" s="467"/>
      <c r="G912" s="468"/>
      <c r="H912" s="468"/>
      <c r="I912" s="468"/>
      <c r="J912" s="468"/>
      <c r="K912" s="468"/>
      <c r="L912" s="468"/>
      <c r="M912" s="468"/>
      <c r="N912" s="468"/>
      <c r="O912" s="468"/>
      <c r="P912" s="468"/>
      <c r="Q912" s="468"/>
      <c r="R912" s="468"/>
      <c r="S912" s="468"/>
      <c r="T912" s="468"/>
      <c r="U912" s="468"/>
      <c r="V912" s="469"/>
      <c r="W912" s="469"/>
      <c r="X912" s="469"/>
      <c r="Y912" s="470"/>
      <c r="Z912" s="470"/>
      <c r="AA912" s="470"/>
      <c r="AB912" s="470"/>
      <c r="AC912" s="470"/>
      <c r="AD912" s="471"/>
      <c r="AE912" s="471"/>
      <c r="AF912" s="471"/>
      <c r="AG912" s="444"/>
      <c r="AH912" s="466"/>
      <c r="AI912" s="466"/>
      <c r="AJ912" s="466"/>
      <c r="AK912" s="52"/>
      <c r="AL912" s="52"/>
      <c r="AM912" s="52"/>
      <c r="AN912" s="52"/>
      <c r="AO912" s="195"/>
      <c r="AP912" s="195"/>
      <c r="AQ912" s="106"/>
      <c r="AR912" s="106"/>
      <c r="AS912" s="106"/>
      <c r="AT912" s="106"/>
      <c r="AU912" s="106"/>
      <c r="AV912" s="106"/>
      <c r="AW912" s="126"/>
      <c r="AX912" s="126"/>
      <c r="AY912" s="126"/>
      <c r="AZ912" s="126"/>
      <c r="BA912" s="126"/>
      <c r="BB912" s="160"/>
      <c r="BC912" s="160"/>
      <c r="BD912" s="160"/>
      <c r="BE912" s="160"/>
    </row>
    <row r="913" customFormat="false" ht="14.1" hidden="true" customHeight="true" outlineLevel="1" collapsed="false">
      <c r="A913" s="292" t="s">
        <v>161</v>
      </c>
      <c r="B913" s="180" t="s">
        <v>12</v>
      </c>
      <c r="C913" s="292" t="s">
        <v>13</v>
      </c>
      <c r="D913" s="272"/>
      <c r="E913" s="138"/>
      <c r="F913" s="467"/>
      <c r="G913" s="468"/>
      <c r="H913" s="165"/>
      <c r="I913" s="165"/>
      <c r="J913" s="186"/>
      <c r="K913" s="186"/>
      <c r="L913" s="186"/>
      <c r="M913" s="165"/>
      <c r="N913" s="165"/>
      <c r="O913" s="150"/>
      <c r="P913" s="165"/>
      <c r="Q913" s="165"/>
      <c r="R913" s="165"/>
      <c r="S913" s="165"/>
      <c r="T913" s="165"/>
      <c r="U913" s="165"/>
      <c r="V913" s="165"/>
      <c r="W913" s="165"/>
      <c r="X913" s="165"/>
      <c r="Y913" s="165"/>
      <c r="Z913" s="165"/>
      <c r="AA913" s="165"/>
      <c r="AB913" s="165"/>
      <c r="AC913" s="165"/>
      <c r="AD913" s="186"/>
      <c r="AE913" s="186"/>
      <c r="AF913" s="186"/>
      <c r="AG913" s="186"/>
      <c r="AH913" s="191"/>
      <c r="AI913" s="466"/>
      <c r="AJ913" s="466"/>
      <c r="AK913" s="52"/>
      <c r="AL913" s="52"/>
      <c r="AM913" s="52"/>
      <c r="AN913" s="52"/>
      <c r="AO913" s="195"/>
      <c r="AP913" s="195"/>
      <c r="AQ913" s="106"/>
      <c r="AR913" s="106"/>
      <c r="AS913" s="106"/>
      <c r="AT913" s="106"/>
      <c r="AU913" s="106"/>
      <c r="AV913" s="106"/>
      <c r="AW913" s="126"/>
      <c r="AX913" s="126"/>
      <c r="AY913" s="126"/>
      <c r="AZ913" s="126"/>
      <c r="BA913" s="126"/>
      <c r="BB913" s="160"/>
      <c r="BC913" s="160"/>
      <c r="BD913" s="160"/>
      <c r="BE913" s="160"/>
    </row>
    <row r="914" customFormat="false" ht="14.1" hidden="true" customHeight="true" outlineLevel="1" collapsed="false">
      <c r="A914" s="225" t="s">
        <v>542</v>
      </c>
      <c r="B914" s="180" t="s">
        <v>15</v>
      </c>
      <c r="C914" s="472" t="n">
        <v>0.6</v>
      </c>
      <c r="D914" s="272"/>
      <c r="E914" s="138"/>
      <c r="F914" s="467"/>
      <c r="G914" s="468"/>
      <c r="H914" s="165"/>
      <c r="I914" s="165"/>
      <c r="J914" s="186"/>
      <c r="K914" s="186"/>
      <c r="L914" s="186"/>
      <c r="M914" s="165"/>
      <c r="N914" s="165"/>
      <c r="O914" s="150"/>
      <c r="P914" s="165"/>
      <c r="Q914" s="165"/>
      <c r="R914" s="165"/>
      <c r="S914" s="165"/>
      <c r="T914" s="165"/>
      <c r="U914" s="165"/>
      <c r="V914" s="165"/>
      <c r="W914" s="165"/>
      <c r="X914" s="165"/>
      <c r="Y914" s="165"/>
      <c r="Z914" s="165"/>
      <c r="AA914" s="165"/>
      <c r="AB914" s="165"/>
      <c r="AC914" s="165"/>
      <c r="AD914" s="186"/>
      <c r="AE914" s="186"/>
      <c r="AF914" s="186"/>
      <c r="AG914" s="186"/>
      <c r="AH914" s="191"/>
      <c r="AI914" s="466"/>
      <c r="AJ914" s="466"/>
      <c r="AK914" s="52"/>
      <c r="AL914" s="52"/>
      <c r="AM914" s="52"/>
      <c r="AN914" s="52"/>
      <c r="AO914" s="195"/>
      <c r="AP914" s="195"/>
      <c r="AQ914" s="106"/>
      <c r="AR914" s="106"/>
      <c r="AS914" s="106"/>
      <c r="AT914" s="106"/>
      <c r="AU914" s="106"/>
      <c r="AV914" s="106"/>
      <c r="AW914" s="126"/>
      <c r="AX914" s="126"/>
      <c r="AY914" s="126"/>
      <c r="AZ914" s="126"/>
      <c r="BA914" s="126"/>
      <c r="BB914" s="160"/>
      <c r="BC914" s="160"/>
      <c r="BD914" s="160"/>
      <c r="BE914" s="160"/>
    </row>
    <row r="915" customFormat="false" ht="14.1" hidden="true" customHeight="true" outlineLevel="1" collapsed="false">
      <c r="A915" s="473" t="s">
        <v>46</v>
      </c>
      <c r="B915" s="180" t="s">
        <v>12</v>
      </c>
      <c r="C915" s="292" t="s">
        <v>200</v>
      </c>
      <c r="D915" s="272"/>
      <c r="E915" s="138"/>
      <c r="F915" s="467"/>
      <c r="G915" s="468"/>
      <c r="H915" s="165"/>
      <c r="I915" s="165"/>
      <c r="J915" s="186"/>
      <c r="K915" s="186"/>
      <c r="L915" s="186"/>
      <c r="M915" s="165"/>
      <c r="N915" s="165"/>
      <c r="O915" s="150"/>
      <c r="P915" s="165"/>
      <c r="Q915" s="165"/>
      <c r="R915" s="165"/>
      <c r="S915" s="165"/>
      <c r="T915" s="165"/>
      <c r="U915" s="165"/>
      <c r="V915" s="165"/>
      <c r="W915" s="165"/>
      <c r="X915" s="165"/>
      <c r="Y915" s="165"/>
      <c r="Z915" s="165"/>
      <c r="AA915" s="165"/>
      <c r="AB915" s="165"/>
      <c r="AC915" s="165"/>
      <c r="AD915" s="186"/>
      <c r="AE915" s="186"/>
      <c r="AF915" s="186"/>
      <c r="AG915" s="186"/>
      <c r="AH915" s="191"/>
      <c r="AI915" s="466"/>
      <c r="AJ915" s="466"/>
      <c r="AK915" s="52"/>
      <c r="AL915" s="52"/>
      <c r="AM915" s="52"/>
      <c r="AN915" s="52"/>
      <c r="AO915" s="195"/>
      <c r="AP915" s="195"/>
      <c r="AQ915" s="106"/>
      <c r="AR915" s="106"/>
      <c r="AS915" s="106"/>
      <c r="AT915" s="106"/>
      <c r="AU915" s="106"/>
      <c r="AV915" s="106"/>
      <c r="AW915" s="126"/>
      <c r="AX915" s="126"/>
      <c r="AY915" s="126"/>
      <c r="AZ915" s="126"/>
      <c r="BA915" s="126"/>
      <c r="BB915" s="160"/>
      <c r="BC915" s="160"/>
      <c r="BD915" s="160"/>
      <c r="BE915" s="160"/>
    </row>
    <row r="916" customFormat="false" ht="14.1" hidden="true" customHeight="true" outlineLevel="1" collapsed="false">
      <c r="A916" s="474" t="s">
        <v>543</v>
      </c>
      <c r="B916" s="475" t="s">
        <v>15</v>
      </c>
      <c r="C916" s="476" t="n">
        <v>4</v>
      </c>
      <c r="D916" s="272"/>
      <c r="E916" s="138"/>
      <c r="F916" s="467"/>
      <c r="G916" s="468"/>
      <c r="H916" s="165"/>
      <c r="I916" s="165"/>
      <c r="J916" s="186"/>
      <c r="K916" s="186"/>
      <c r="L916" s="186"/>
      <c r="M916" s="165"/>
      <c r="N916" s="165"/>
      <c r="O916" s="150"/>
      <c r="P916" s="165"/>
      <c r="Q916" s="165"/>
      <c r="R916" s="165"/>
      <c r="S916" s="165"/>
      <c r="T916" s="165"/>
      <c r="U916" s="165"/>
      <c r="V916" s="165"/>
      <c r="W916" s="165"/>
      <c r="X916" s="165"/>
      <c r="Y916" s="165"/>
      <c r="Z916" s="165"/>
      <c r="AA916" s="165"/>
      <c r="AB916" s="165"/>
      <c r="AC916" s="165"/>
      <c r="AD916" s="165"/>
      <c r="AE916" s="165"/>
      <c r="AF916" s="165"/>
      <c r="AG916" s="165"/>
      <c r="AH916" s="195"/>
      <c r="AI916" s="466"/>
      <c r="AJ916" s="466"/>
      <c r="AK916" s="52"/>
      <c r="AL916" s="52"/>
      <c r="AM916" s="52"/>
      <c r="AN916" s="52"/>
      <c r="AO916" s="195"/>
      <c r="AP916" s="195"/>
      <c r="AQ916" s="106"/>
      <c r="AR916" s="106"/>
      <c r="AS916" s="106"/>
      <c r="AT916" s="106"/>
      <c r="AU916" s="106"/>
      <c r="AV916" s="106"/>
      <c r="AW916" s="126"/>
      <c r="AX916" s="126"/>
      <c r="AY916" s="126"/>
      <c r="AZ916" s="126"/>
      <c r="BA916" s="126"/>
      <c r="BB916" s="160"/>
      <c r="BC916" s="160"/>
      <c r="BD916" s="160"/>
      <c r="BE916" s="160"/>
    </row>
    <row r="917" customFormat="false" ht="14.1" hidden="true" customHeight="true" outlineLevel="1" collapsed="false">
      <c r="A917" s="315" t="s">
        <v>544</v>
      </c>
      <c r="B917" s="180" t="s">
        <v>15</v>
      </c>
      <c r="C917" s="239" t="n">
        <v>5</v>
      </c>
      <c r="D917" s="272"/>
      <c r="E917" s="138"/>
      <c r="F917" s="467"/>
      <c r="G917" s="468"/>
      <c r="H917" s="165"/>
      <c r="I917" s="165"/>
      <c r="J917" s="186"/>
      <c r="K917" s="186"/>
      <c r="L917" s="186"/>
      <c r="M917" s="165"/>
      <c r="N917" s="165"/>
      <c r="O917" s="150"/>
      <c r="P917" s="165"/>
      <c r="Q917" s="165"/>
      <c r="R917" s="165"/>
      <c r="S917" s="165"/>
      <c r="T917" s="165"/>
      <c r="U917" s="165"/>
      <c r="V917" s="165"/>
      <c r="W917" s="165"/>
      <c r="X917" s="165"/>
      <c r="Y917" s="165"/>
      <c r="Z917" s="165"/>
      <c r="AA917" s="165"/>
      <c r="AB917" s="165"/>
      <c r="AC917" s="165"/>
      <c r="AD917" s="165"/>
      <c r="AE917" s="165"/>
      <c r="AF917" s="165"/>
      <c r="AG917" s="165"/>
      <c r="AH917" s="125"/>
      <c r="AI917" s="466"/>
      <c r="AJ917" s="466"/>
      <c r="AK917" s="52"/>
      <c r="AL917" s="52"/>
      <c r="AM917" s="52"/>
      <c r="AN917" s="52"/>
      <c r="AO917" s="195"/>
      <c r="AP917" s="195"/>
      <c r="AQ917" s="106"/>
      <c r="AR917" s="106"/>
      <c r="AS917" s="106"/>
      <c r="AT917" s="106"/>
      <c r="AU917" s="106"/>
      <c r="AV917" s="106"/>
      <c r="AW917" s="126"/>
      <c r="AX917" s="126"/>
      <c r="AY917" s="126"/>
      <c r="AZ917" s="126"/>
      <c r="BA917" s="126"/>
      <c r="BB917" s="160"/>
      <c r="BC917" s="160"/>
      <c r="BD917" s="160"/>
      <c r="BE917" s="160"/>
    </row>
    <row r="918" customFormat="false" ht="14.1" hidden="true" customHeight="true" outlineLevel="1" collapsed="false">
      <c r="A918" s="315" t="s">
        <v>545</v>
      </c>
      <c r="B918" s="180" t="s">
        <v>15</v>
      </c>
      <c r="C918" s="239" t="n">
        <v>3</v>
      </c>
      <c r="D918" s="138"/>
      <c r="E918" s="280"/>
      <c r="F918" s="467"/>
      <c r="G918" s="468"/>
      <c r="H918" s="165"/>
      <c r="I918" s="165"/>
      <c r="J918" s="165"/>
      <c r="K918" s="165"/>
      <c r="L918" s="165"/>
      <c r="M918" s="165"/>
      <c r="N918" s="165"/>
      <c r="O918" s="150"/>
      <c r="P918" s="165"/>
      <c r="Q918" s="165"/>
      <c r="R918" s="165"/>
      <c r="S918" s="165"/>
      <c r="T918" s="165"/>
      <c r="U918" s="165"/>
      <c r="V918" s="150"/>
      <c r="W918" s="165"/>
      <c r="X918" s="165"/>
      <c r="Y918" s="165"/>
      <c r="Z918" s="165"/>
      <c r="AA918" s="165"/>
      <c r="AB918" s="165"/>
      <c r="AC918" s="165"/>
      <c r="AD918" s="165"/>
      <c r="AE918" s="165"/>
      <c r="AF918" s="165"/>
      <c r="AG918" s="165"/>
      <c r="AH918" s="195"/>
      <c r="AI918" s="466"/>
      <c r="AJ918" s="466"/>
      <c r="AK918" s="52"/>
      <c r="AL918" s="52"/>
      <c r="AM918" s="52"/>
      <c r="AN918" s="52"/>
      <c r="AO918" s="195"/>
      <c r="AP918" s="195"/>
      <c r="AQ918" s="106"/>
      <c r="AR918" s="106"/>
      <c r="AS918" s="106"/>
      <c r="AT918" s="106"/>
      <c r="AU918" s="106"/>
      <c r="AV918" s="106"/>
      <c r="AW918" s="126"/>
      <c r="AX918" s="126"/>
      <c r="AY918" s="126"/>
      <c r="AZ918" s="126"/>
      <c r="BA918" s="126"/>
      <c r="BB918" s="160"/>
      <c r="BC918" s="160"/>
      <c r="BD918" s="160"/>
      <c r="BE918" s="160"/>
    </row>
    <row r="919" customFormat="false" ht="14.1" hidden="true" customHeight="true" outlineLevel="1" collapsed="false">
      <c r="A919" s="473" t="s">
        <v>46</v>
      </c>
      <c r="B919" s="180" t="s">
        <v>12</v>
      </c>
      <c r="C919" s="292" t="s">
        <v>200</v>
      </c>
      <c r="D919" s="292" t="s">
        <v>118</v>
      </c>
      <c r="E919" s="280"/>
      <c r="F919" s="467"/>
      <c r="G919" s="468"/>
      <c r="H919" s="165"/>
      <c r="I919" s="165"/>
      <c r="J919" s="165"/>
      <c r="K919" s="165"/>
      <c r="L919" s="165"/>
      <c r="M919" s="165"/>
      <c r="N919" s="165"/>
      <c r="O919" s="150"/>
      <c r="P919" s="165"/>
      <c r="Q919" s="165"/>
      <c r="R919" s="165"/>
      <c r="S919" s="165"/>
      <c r="T919" s="165"/>
      <c r="U919" s="165"/>
      <c r="V919" s="165"/>
      <c r="W919" s="165"/>
      <c r="X919" s="165"/>
      <c r="Y919" s="165"/>
      <c r="Z919" s="150"/>
      <c r="AA919" s="165"/>
      <c r="AB919" s="165"/>
      <c r="AC919" s="165"/>
      <c r="AD919" s="165"/>
      <c r="AE919" s="165"/>
      <c r="AF919" s="165"/>
      <c r="AG919" s="165"/>
      <c r="AH919" s="195"/>
      <c r="AI919" s="466"/>
      <c r="AJ919" s="466"/>
      <c r="AK919" s="52"/>
      <c r="AL919" s="52"/>
      <c r="AM919" s="52"/>
      <c r="AN919" s="52"/>
      <c r="AO919" s="195"/>
      <c r="AP919" s="195"/>
      <c r="AQ919" s="106"/>
      <c r="AR919" s="106"/>
      <c r="AS919" s="106"/>
      <c r="AT919" s="106"/>
      <c r="AU919" s="106"/>
      <c r="AV919" s="106"/>
      <c r="AW919" s="126"/>
      <c r="AX919" s="126"/>
      <c r="AY919" s="126"/>
      <c r="AZ919" s="126"/>
      <c r="BA919" s="126"/>
      <c r="BB919" s="160"/>
      <c r="BC919" s="160"/>
      <c r="BD919" s="160"/>
      <c r="BE919" s="160"/>
    </row>
    <row r="920" customFormat="false" ht="14.1" hidden="true" customHeight="true" outlineLevel="1" collapsed="false">
      <c r="A920" s="477" t="s">
        <v>546</v>
      </c>
      <c r="B920" s="180" t="s">
        <v>15</v>
      </c>
      <c r="C920" s="239" t="n">
        <v>3</v>
      </c>
      <c r="D920" s="239" t="n">
        <v>0</v>
      </c>
      <c r="E920" s="280"/>
      <c r="F920" s="467"/>
      <c r="G920" s="468"/>
      <c r="H920" s="165"/>
      <c r="I920" s="165"/>
      <c r="J920" s="165"/>
      <c r="K920" s="165"/>
      <c r="L920" s="165"/>
      <c r="M920" s="165"/>
      <c r="N920" s="165"/>
      <c r="O920" s="150"/>
      <c r="P920" s="165"/>
      <c r="Q920" s="165"/>
      <c r="R920" s="165"/>
      <c r="S920" s="165"/>
      <c r="T920" s="165"/>
      <c r="U920" s="165"/>
      <c r="V920" s="165"/>
      <c r="W920" s="165"/>
      <c r="X920" s="165"/>
      <c r="Y920" s="165"/>
      <c r="Z920" s="165"/>
      <c r="AA920" s="165"/>
      <c r="AB920" s="165"/>
      <c r="AC920" s="165"/>
      <c r="AD920" s="165"/>
      <c r="AE920" s="165"/>
      <c r="AF920" s="165"/>
      <c r="AG920" s="165"/>
      <c r="AH920" s="195"/>
      <c r="AI920" s="466"/>
      <c r="AJ920" s="466"/>
      <c r="AK920" s="52"/>
      <c r="AL920" s="52"/>
      <c r="AM920" s="52"/>
      <c r="AN920" s="52"/>
      <c r="AO920" s="195"/>
      <c r="AP920" s="195"/>
      <c r="AQ920" s="106"/>
      <c r="AR920" s="106"/>
      <c r="AS920" s="106"/>
      <c r="AT920" s="106"/>
      <c r="AU920" s="106"/>
      <c r="AV920" s="106"/>
      <c r="AW920" s="126"/>
      <c r="AX920" s="126"/>
      <c r="AY920" s="126"/>
      <c r="AZ920" s="126"/>
      <c r="BA920" s="126"/>
      <c r="BB920" s="160"/>
      <c r="BC920" s="160"/>
      <c r="BD920" s="160"/>
      <c r="BE920" s="160"/>
    </row>
    <row r="921" customFormat="false" ht="14.1" hidden="true" customHeight="true" outlineLevel="1" collapsed="false">
      <c r="A921" s="477"/>
      <c r="B921" s="180" t="s">
        <v>15</v>
      </c>
      <c r="C921" s="239" t="n">
        <v>1</v>
      </c>
      <c r="D921" s="239" t="n">
        <v>0</v>
      </c>
      <c r="E921" s="138"/>
      <c r="F921" s="467"/>
      <c r="G921" s="468"/>
      <c r="H921" s="165"/>
      <c r="I921" s="165"/>
      <c r="J921" s="165"/>
      <c r="K921" s="165"/>
      <c r="L921" s="165"/>
      <c r="M921" s="165"/>
      <c r="N921" s="165"/>
      <c r="O921" s="150"/>
      <c r="P921" s="165"/>
      <c r="Q921" s="165"/>
      <c r="R921" s="165"/>
      <c r="S921" s="165"/>
      <c r="T921" s="165"/>
      <c r="U921" s="165"/>
      <c r="V921" s="165"/>
      <c r="W921" s="165"/>
      <c r="X921" s="165"/>
      <c r="Y921" s="165"/>
      <c r="Z921" s="165"/>
      <c r="AA921" s="165"/>
      <c r="AB921" s="165"/>
      <c r="AC921" s="165"/>
      <c r="AD921" s="165"/>
      <c r="AE921" s="165"/>
      <c r="AF921" s="165"/>
      <c r="AG921" s="165"/>
      <c r="AH921" s="195"/>
      <c r="AI921" s="466"/>
      <c r="AJ921" s="466"/>
      <c r="AK921" s="52"/>
      <c r="AL921" s="52"/>
      <c r="AM921" s="52"/>
      <c r="AN921" s="52"/>
      <c r="AO921" s="195"/>
      <c r="AP921" s="195"/>
      <c r="AQ921" s="106"/>
      <c r="AR921" s="106"/>
      <c r="AS921" s="106"/>
      <c r="AT921" s="106"/>
      <c r="AU921" s="106"/>
      <c r="AV921" s="106"/>
      <c r="AW921" s="126"/>
      <c r="AX921" s="126"/>
      <c r="AY921" s="126"/>
      <c r="AZ921" s="126"/>
      <c r="BA921" s="126"/>
      <c r="BB921" s="160"/>
      <c r="BC921" s="160"/>
      <c r="BD921" s="160"/>
      <c r="BE921" s="160"/>
    </row>
    <row r="922" customFormat="false" ht="14.1" hidden="true" customHeight="true" outlineLevel="1" collapsed="false">
      <c r="A922" s="477" t="s">
        <v>547</v>
      </c>
      <c r="B922" s="180" t="s">
        <v>15</v>
      </c>
      <c r="C922" s="239" t="n">
        <v>0</v>
      </c>
      <c r="D922" s="239" t="n">
        <v>0</v>
      </c>
      <c r="E922" s="138"/>
      <c r="F922" s="467"/>
      <c r="G922" s="468"/>
      <c r="H922" s="165"/>
      <c r="I922" s="165"/>
      <c r="J922" s="165"/>
      <c r="K922" s="165"/>
      <c r="L922" s="165"/>
      <c r="M922" s="165"/>
      <c r="N922" s="165"/>
      <c r="O922" s="150"/>
      <c r="P922" s="165"/>
      <c r="Q922" s="165"/>
      <c r="R922" s="165"/>
      <c r="S922" s="165"/>
      <c r="T922" s="165"/>
      <c r="U922" s="165"/>
      <c r="V922" s="165"/>
      <c r="W922" s="165"/>
      <c r="X922" s="165"/>
      <c r="Y922" s="165"/>
      <c r="Z922" s="165"/>
      <c r="AA922" s="165"/>
      <c r="AB922" s="165"/>
      <c r="AC922" s="165"/>
      <c r="AD922" s="165"/>
      <c r="AE922" s="165"/>
      <c r="AF922" s="165"/>
      <c r="AG922" s="165"/>
      <c r="AH922" s="195"/>
      <c r="AI922" s="466"/>
      <c r="AJ922" s="466"/>
      <c r="AK922" s="52"/>
      <c r="AL922" s="52"/>
      <c r="AM922" s="52"/>
      <c r="AN922" s="52"/>
      <c r="AO922" s="195"/>
      <c r="AP922" s="195"/>
      <c r="AQ922" s="106"/>
      <c r="AR922" s="106"/>
      <c r="AS922" s="106"/>
      <c r="AT922" s="106"/>
      <c r="AU922" s="106"/>
      <c r="AV922" s="106"/>
      <c r="AW922" s="126"/>
      <c r="AX922" s="126"/>
      <c r="AY922" s="126"/>
      <c r="AZ922" s="126"/>
      <c r="BA922" s="126"/>
      <c r="BB922" s="160"/>
      <c r="BC922" s="160"/>
      <c r="BD922" s="160"/>
      <c r="BE922" s="160"/>
    </row>
    <row r="923" customFormat="false" ht="14.1" hidden="true" customHeight="true" outlineLevel="1" collapsed="false">
      <c r="A923" s="477"/>
      <c r="B923" s="180" t="s">
        <v>15</v>
      </c>
      <c r="C923" s="239" t="n">
        <v>0</v>
      </c>
      <c r="D923" s="239" t="n">
        <v>0</v>
      </c>
      <c r="E923" s="138"/>
      <c r="F923" s="467"/>
      <c r="G923" s="468"/>
      <c r="H923" s="165"/>
      <c r="I923" s="165"/>
      <c r="J923" s="165"/>
      <c r="K923" s="165"/>
      <c r="L923" s="165"/>
      <c r="M923" s="165"/>
      <c r="N923" s="165"/>
      <c r="O923" s="150"/>
      <c r="P923" s="165"/>
      <c r="Q923" s="165"/>
      <c r="R923" s="165"/>
      <c r="S923" s="165"/>
      <c r="T923" s="165"/>
      <c r="U923" s="165"/>
      <c r="V923" s="165"/>
      <c r="W923" s="165"/>
      <c r="X923" s="165"/>
      <c r="Y923" s="165"/>
      <c r="Z923" s="165"/>
      <c r="AA923" s="165"/>
      <c r="AB923" s="165"/>
      <c r="AC923" s="150"/>
      <c r="AD923" s="165" t="s">
        <v>171</v>
      </c>
      <c r="AE923" s="165"/>
      <c r="AF923" s="165"/>
      <c r="AG923" s="165"/>
      <c r="AH923" s="195"/>
      <c r="AI923" s="466"/>
      <c r="AJ923" s="466"/>
      <c r="AK923" s="52"/>
      <c r="AL923" s="52"/>
      <c r="AM923" s="52"/>
      <c r="AN923" s="52"/>
      <c r="AO923" s="195"/>
      <c r="AP923" s="195"/>
      <c r="AQ923" s="106"/>
      <c r="AR923" s="106"/>
      <c r="AS923" s="106"/>
      <c r="AT923" s="106"/>
      <c r="AU923" s="106"/>
      <c r="AV923" s="106"/>
      <c r="AW923" s="126"/>
      <c r="AX923" s="126"/>
      <c r="AY923" s="126"/>
      <c r="AZ923" s="126"/>
      <c r="BA923" s="126"/>
      <c r="BB923" s="160"/>
      <c r="BC923" s="160"/>
      <c r="BD923" s="160"/>
      <c r="BE923" s="160"/>
    </row>
    <row r="924" customFormat="false" ht="14.1" hidden="true" customHeight="true" outlineLevel="1" collapsed="false">
      <c r="A924" s="478" t="s">
        <v>548</v>
      </c>
      <c r="B924" s="180" t="s">
        <v>12</v>
      </c>
      <c r="C924" s="180" t="s">
        <v>116</v>
      </c>
      <c r="D924" s="180" t="s">
        <v>137</v>
      </c>
      <c r="E924" s="180" t="s">
        <v>118</v>
      </c>
      <c r="F924" s="467"/>
      <c r="G924" s="468"/>
      <c r="H924" s="165"/>
      <c r="I924" s="165"/>
      <c r="J924" s="165"/>
      <c r="K924" s="165"/>
      <c r="L924" s="165"/>
      <c r="M924" s="165"/>
      <c r="N924" s="165"/>
      <c r="O924" s="150" t="s">
        <v>549</v>
      </c>
      <c r="P924" s="165"/>
      <c r="Q924" s="150"/>
      <c r="R924" s="165"/>
      <c r="S924" s="165"/>
      <c r="T924" s="165"/>
      <c r="U924" s="165"/>
      <c r="V924" s="165"/>
      <c r="W924" s="165"/>
      <c r="X924" s="165"/>
      <c r="Y924" s="165"/>
      <c r="Z924" s="165"/>
      <c r="AA924" s="165"/>
      <c r="AB924" s="165"/>
      <c r="AC924" s="165"/>
      <c r="AD924" s="165"/>
      <c r="AE924" s="165"/>
      <c r="AF924" s="165"/>
      <c r="AG924" s="165"/>
      <c r="AH924" s="195"/>
      <c r="AI924" s="466"/>
      <c r="AJ924" s="466"/>
      <c r="AK924" s="52"/>
      <c r="AL924" s="52"/>
      <c r="AM924" s="52"/>
      <c r="AN924" s="52"/>
      <c r="AO924" s="195"/>
      <c r="AP924" s="195"/>
      <c r="AQ924" s="106"/>
      <c r="AR924" s="106"/>
      <c r="AS924" s="106"/>
      <c r="AT924" s="106"/>
      <c r="AU924" s="106"/>
      <c r="AV924" s="106"/>
      <c r="AW924" s="126"/>
      <c r="AX924" s="126"/>
      <c r="AY924" s="126"/>
      <c r="AZ924" s="126"/>
      <c r="BA924" s="126"/>
      <c r="BB924" s="160"/>
      <c r="BC924" s="160"/>
      <c r="BD924" s="160"/>
      <c r="BE924" s="160"/>
    </row>
    <row r="925" customFormat="false" ht="14.1" hidden="true" customHeight="true" outlineLevel="1" collapsed="false">
      <c r="A925" s="477" t="s">
        <v>550</v>
      </c>
      <c r="B925" s="180" t="s">
        <v>15</v>
      </c>
      <c r="C925" s="262" t="n">
        <v>0</v>
      </c>
      <c r="D925" s="262" t="n">
        <v>0</v>
      </c>
      <c r="E925" s="262" t="n">
        <v>0</v>
      </c>
      <c r="F925" s="467"/>
      <c r="G925" s="468"/>
      <c r="H925" s="165"/>
      <c r="I925" s="165"/>
      <c r="J925" s="165"/>
      <c r="K925" s="165"/>
      <c r="L925" s="165"/>
      <c r="M925" s="165"/>
      <c r="N925" s="165"/>
      <c r="O925" s="150"/>
      <c r="P925" s="165"/>
      <c r="Q925" s="165"/>
      <c r="R925" s="165"/>
      <c r="S925" s="165"/>
      <c r="T925" s="165"/>
      <c r="U925" s="165"/>
      <c r="V925" s="165"/>
      <c r="W925" s="165"/>
      <c r="X925" s="165"/>
      <c r="Y925" s="165"/>
      <c r="Z925" s="165"/>
      <c r="AA925" s="165"/>
      <c r="AB925" s="165"/>
      <c r="AC925" s="165"/>
      <c r="AD925" s="165"/>
      <c r="AE925" s="165"/>
      <c r="AF925" s="165"/>
      <c r="AG925" s="165"/>
      <c r="AH925" s="195"/>
      <c r="AI925" s="466"/>
      <c r="AJ925" s="466"/>
      <c r="AK925" s="52"/>
      <c r="AL925" s="52"/>
      <c r="AM925" s="52"/>
      <c r="AN925" s="52"/>
      <c r="AO925" s="195"/>
      <c r="AP925" s="195"/>
      <c r="AQ925" s="106"/>
      <c r="AR925" s="106"/>
      <c r="AS925" s="106"/>
      <c r="AT925" s="106"/>
      <c r="AU925" s="106"/>
      <c r="AV925" s="106"/>
      <c r="AW925" s="126"/>
      <c r="AX925" s="126"/>
      <c r="AY925" s="126"/>
      <c r="AZ925" s="126"/>
      <c r="BA925" s="126"/>
      <c r="BB925" s="160"/>
      <c r="BC925" s="160"/>
      <c r="BD925" s="160"/>
      <c r="BE925" s="160"/>
    </row>
    <row r="926" customFormat="false" ht="14.1" hidden="true" customHeight="true" outlineLevel="1" collapsed="false">
      <c r="A926" s="477"/>
      <c r="B926" s="180" t="s">
        <v>15</v>
      </c>
      <c r="C926" s="262" t="n">
        <v>0</v>
      </c>
      <c r="D926" s="262" t="n">
        <v>0</v>
      </c>
      <c r="E926" s="262" t="n">
        <v>0</v>
      </c>
      <c r="F926" s="467"/>
      <c r="G926" s="468"/>
      <c r="H926" s="165"/>
      <c r="I926" s="165"/>
      <c r="J926" s="165"/>
      <c r="K926" s="165"/>
      <c r="L926" s="165"/>
      <c r="M926" s="150"/>
      <c r="N926" s="150"/>
      <c r="O926" s="150"/>
      <c r="P926" s="150"/>
      <c r="Q926" s="150"/>
      <c r="R926" s="150"/>
      <c r="S926" s="150"/>
      <c r="T926" s="150"/>
      <c r="U926" s="150"/>
      <c r="V926" s="150"/>
      <c r="W926" s="150"/>
      <c r="X926" s="150"/>
      <c r="Y926" s="150"/>
      <c r="Z926" s="150"/>
      <c r="AA926" s="150"/>
      <c r="AB926" s="150"/>
      <c r="AC926" s="150"/>
      <c r="AD926" s="150"/>
      <c r="AE926" s="150"/>
      <c r="AF926" s="150"/>
      <c r="AG926" s="150"/>
      <c r="AH926" s="125"/>
      <c r="AI926" s="466"/>
      <c r="AJ926" s="466"/>
      <c r="AK926" s="52"/>
      <c r="AL926" s="52"/>
      <c r="AM926" s="52"/>
      <c r="AN926" s="52"/>
      <c r="AO926" s="195"/>
      <c r="AP926" s="195"/>
      <c r="AQ926" s="106"/>
      <c r="AR926" s="106"/>
      <c r="AS926" s="106"/>
      <c r="AT926" s="106"/>
      <c r="AU926" s="106"/>
      <c r="AV926" s="106"/>
      <c r="AW926" s="126"/>
      <c r="AX926" s="126"/>
      <c r="AY926" s="126"/>
      <c r="AZ926" s="126"/>
      <c r="BA926" s="126"/>
      <c r="BB926" s="160"/>
      <c r="BC926" s="160"/>
      <c r="BD926" s="160"/>
      <c r="BE926" s="160"/>
    </row>
    <row r="927" customFormat="false" ht="14.1" hidden="true" customHeight="true" outlineLevel="1" collapsed="false">
      <c r="A927" s="477"/>
      <c r="B927" s="180" t="s">
        <v>15</v>
      </c>
      <c r="C927" s="262" t="n">
        <v>0</v>
      </c>
      <c r="D927" s="262" t="n">
        <v>0</v>
      </c>
      <c r="E927" s="262" t="n">
        <v>0</v>
      </c>
      <c r="F927" s="467"/>
      <c r="G927" s="468"/>
      <c r="H927" s="165"/>
      <c r="I927" s="165"/>
      <c r="J927" s="165"/>
      <c r="K927" s="165"/>
      <c r="L927" s="165"/>
      <c r="M927" s="150"/>
      <c r="N927" s="150"/>
      <c r="O927" s="150"/>
      <c r="P927" s="150"/>
      <c r="Q927" s="150"/>
      <c r="R927" s="150"/>
      <c r="S927" s="150"/>
      <c r="T927" s="150"/>
      <c r="U927" s="150"/>
      <c r="V927" s="150"/>
      <c r="W927" s="150"/>
      <c r="X927" s="150"/>
      <c r="Y927" s="150"/>
      <c r="Z927" s="150"/>
      <c r="AA927" s="150"/>
      <c r="AB927" s="150"/>
      <c r="AC927" s="150"/>
      <c r="AD927" s="150"/>
      <c r="AE927" s="150"/>
      <c r="AF927" s="150"/>
      <c r="AG927" s="150"/>
      <c r="AH927" s="125"/>
      <c r="AI927" s="466"/>
      <c r="AJ927" s="466"/>
      <c r="AK927" s="52"/>
      <c r="AL927" s="52"/>
      <c r="AM927" s="52"/>
      <c r="AN927" s="52"/>
      <c r="AO927" s="195"/>
      <c r="AP927" s="195"/>
      <c r="AQ927" s="106"/>
      <c r="AR927" s="106"/>
      <c r="AS927" s="106"/>
      <c r="AT927" s="106"/>
      <c r="AU927" s="106"/>
      <c r="AV927" s="106"/>
      <c r="AW927" s="126"/>
      <c r="AX927" s="126"/>
      <c r="AY927" s="126"/>
      <c r="AZ927" s="126"/>
      <c r="BA927" s="126"/>
      <c r="BB927" s="160"/>
      <c r="BC927" s="160"/>
      <c r="BD927" s="160"/>
      <c r="BE927" s="160"/>
    </row>
    <row r="928" customFormat="false" ht="14.1" hidden="true" customHeight="true" outlineLevel="1" collapsed="false">
      <c r="A928" s="479" t="s">
        <v>551</v>
      </c>
      <c r="B928" s="180" t="s">
        <v>15</v>
      </c>
      <c r="C928" s="262" t="n">
        <v>1</v>
      </c>
      <c r="D928" s="262" t="n">
        <v>2</v>
      </c>
      <c r="E928" s="262" t="n">
        <v>0</v>
      </c>
      <c r="F928" s="467"/>
      <c r="G928" s="468"/>
      <c r="H928" s="165"/>
      <c r="I928" s="165"/>
      <c r="J928" s="165"/>
      <c r="K928" s="165"/>
      <c r="L928" s="165"/>
      <c r="M928" s="150"/>
      <c r="N928" s="150"/>
      <c r="O928" s="150"/>
      <c r="P928" s="150"/>
      <c r="Q928" s="150"/>
      <c r="R928" s="150"/>
      <c r="S928" s="150"/>
      <c r="T928" s="150"/>
      <c r="U928" s="150"/>
      <c r="V928" s="150"/>
      <c r="W928" s="150"/>
      <c r="X928" s="150"/>
      <c r="Y928" s="150"/>
      <c r="Z928" s="150"/>
      <c r="AA928" s="150"/>
      <c r="AB928" s="150"/>
      <c r="AC928" s="150"/>
      <c r="AD928" s="150"/>
      <c r="AE928" s="150"/>
      <c r="AF928" s="150"/>
      <c r="AG928" s="150"/>
      <c r="AH928" s="125"/>
      <c r="AI928" s="466"/>
      <c r="AJ928" s="466"/>
      <c r="AK928" s="52"/>
      <c r="AL928" s="52"/>
      <c r="AM928" s="52"/>
      <c r="AN928" s="52"/>
      <c r="AO928" s="195"/>
      <c r="AP928" s="195"/>
      <c r="AQ928" s="106"/>
      <c r="AR928" s="106"/>
      <c r="AS928" s="106"/>
      <c r="AT928" s="106"/>
      <c r="AU928" s="106"/>
      <c r="AV928" s="106"/>
      <c r="AW928" s="126"/>
      <c r="AX928" s="126"/>
      <c r="AY928" s="126"/>
      <c r="AZ928" s="126"/>
      <c r="BA928" s="126"/>
      <c r="BB928" s="160"/>
      <c r="BC928" s="160"/>
      <c r="BD928" s="160"/>
      <c r="BE928" s="160"/>
    </row>
    <row r="929" customFormat="false" ht="14.1" hidden="true" customHeight="true" outlineLevel="1" collapsed="false">
      <c r="A929" s="479"/>
      <c r="B929" s="180" t="s">
        <v>15</v>
      </c>
      <c r="C929" s="262" t="n">
        <v>0</v>
      </c>
      <c r="D929" s="262" t="n">
        <v>2.7</v>
      </c>
      <c r="E929" s="262" t="n">
        <v>0</v>
      </c>
      <c r="F929" s="467"/>
      <c r="G929" s="468"/>
      <c r="H929" s="165"/>
      <c r="I929" s="165"/>
      <c r="J929" s="165"/>
      <c r="K929" s="165"/>
      <c r="L929" s="165"/>
      <c r="M929" s="165"/>
      <c r="N929" s="165"/>
      <c r="O929" s="150"/>
      <c r="P929" s="165"/>
      <c r="Q929" s="165"/>
      <c r="R929" s="165"/>
      <c r="S929" s="165"/>
      <c r="T929" s="165"/>
      <c r="U929" s="165"/>
      <c r="V929" s="203" t="s">
        <v>552</v>
      </c>
      <c r="W929" s="203"/>
      <c r="X929" s="165"/>
      <c r="Y929" s="165"/>
      <c r="Z929" s="165"/>
      <c r="AA929" s="165"/>
      <c r="AB929" s="165"/>
      <c r="AC929" s="165"/>
      <c r="AD929" s="165"/>
      <c r="AE929" s="165"/>
      <c r="AF929" s="165"/>
      <c r="AG929" s="165"/>
      <c r="AH929" s="195"/>
      <c r="AI929" s="466"/>
      <c r="AJ929" s="466"/>
      <c r="AK929" s="52"/>
      <c r="AL929" s="52"/>
      <c r="AM929" s="52"/>
      <c r="AN929" s="52"/>
      <c r="AO929" s="195"/>
      <c r="AP929" s="195"/>
      <c r="AQ929" s="106"/>
      <c r="AR929" s="106"/>
      <c r="AS929" s="106"/>
      <c r="AT929" s="106"/>
      <c r="AU929" s="106"/>
      <c r="AV929" s="106"/>
      <c r="AW929" s="126"/>
      <c r="AX929" s="126"/>
      <c r="AY929" s="126"/>
      <c r="AZ929" s="126"/>
      <c r="BA929" s="126"/>
      <c r="BB929" s="160"/>
      <c r="BC929" s="160"/>
      <c r="BD929" s="160"/>
      <c r="BE929" s="160"/>
    </row>
    <row r="930" customFormat="false" ht="14.1" hidden="true" customHeight="true" outlineLevel="1" collapsed="false">
      <c r="A930" s="480" t="s">
        <v>553</v>
      </c>
      <c r="B930" s="180" t="s">
        <v>15</v>
      </c>
      <c r="C930" s="239" t="n">
        <v>2</v>
      </c>
      <c r="D930" s="239" t="n">
        <v>2</v>
      </c>
      <c r="E930" s="239" t="n">
        <v>0</v>
      </c>
      <c r="F930" s="467"/>
      <c r="G930" s="468"/>
      <c r="H930" s="165"/>
      <c r="I930" s="165"/>
      <c r="J930" s="150"/>
      <c r="K930" s="150"/>
      <c r="L930" s="150"/>
      <c r="M930" s="165"/>
      <c r="N930" s="165"/>
      <c r="O930" s="150"/>
      <c r="P930" s="165"/>
      <c r="Q930" s="165"/>
      <c r="R930" s="165"/>
      <c r="S930" s="165"/>
      <c r="T930" s="165"/>
      <c r="U930" s="165"/>
      <c r="V930" s="165"/>
      <c r="W930" s="165"/>
      <c r="X930" s="165"/>
      <c r="Y930" s="165"/>
      <c r="Z930" s="165"/>
      <c r="AA930" s="165"/>
      <c r="AB930" s="165"/>
      <c r="AC930" s="165"/>
      <c r="AD930" s="165"/>
      <c r="AE930" s="165"/>
      <c r="AF930" s="165"/>
      <c r="AG930" s="165"/>
      <c r="AH930" s="195"/>
      <c r="AI930" s="466"/>
      <c r="AJ930" s="466"/>
      <c r="AK930" s="52"/>
      <c r="AL930" s="52"/>
      <c r="AM930" s="52"/>
      <c r="AN930" s="52"/>
      <c r="AO930" s="195"/>
      <c r="AP930" s="195"/>
      <c r="AQ930" s="106"/>
      <c r="AR930" s="106"/>
      <c r="AS930" s="106"/>
      <c r="AT930" s="106"/>
      <c r="AU930" s="106"/>
      <c r="AV930" s="106"/>
      <c r="AW930" s="126"/>
      <c r="AX930" s="126"/>
      <c r="AY930" s="126"/>
      <c r="AZ930" s="126"/>
      <c r="BA930" s="126"/>
      <c r="BB930" s="160"/>
      <c r="BC930" s="160"/>
      <c r="BD930" s="160"/>
      <c r="BE930" s="160"/>
    </row>
    <row r="931" customFormat="false" ht="14.1" hidden="true" customHeight="true" outlineLevel="1" collapsed="false">
      <c r="A931" s="138"/>
      <c r="B931" s="481"/>
      <c r="C931" s="467"/>
      <c r="D931" s="467"/>
      <c r="E931" s="467"/>
      <c r="F931" s="467"/>
      <c r="G931" s="468"/>
      <c r="H931" s="165"/>
      <c r="I931" s="165"/>
      <c r="J931" s="150"/>
      <c r="K931" s="150"/>
      <c r="L931" s="150"/>
      <c r="M931" s="150"/>
      <c r="N931" s="150"/>
      <c r="O931" s="150"/>
      <c r="P931" s="150"/>
      <c r="Q931" s="150"/>
      <c r="R931" s="150"/>
      <c r="S931" s="150"/>
      <c r="T931" s="150"/>
      <c r="U931" s="150"/>
      <c r="V931" s="150"/>
      <c r="W931" s="150"/>
      <c r="X931" s="150"/>
      <c r="Y931" s="150"/>
      <c r="Z931" s="150"/>
      <c r="AA931" s="150"/>
      <c r="AB931" s="150"/>
      <c r="AC931" s="150"/>
      <c r="AD931" s="150"/>
      <c r="AE931" s="150"/>
      <c r="AF931" s="150"/>
      <c r="AG931" s="150"/>
      <c r="AH931" s="125"/>
      <c r="AI931" s="466"/>
      <c r="AJ931" s="466"/>
      <c r="AK931" s="52"/>
      <c r="AL931" s="52"/>
      <c r="AM931" s="52"/>
      <c r="AN931" s="52"/>
      <c r="AO931" s="195"/>
      <c r="AP931" s="195"/>
      <c r="AQ931" s="106"/>
      <c r="AR931" s="106"/>
      <c r="AS931" s="106"/>
      <c r="AT931" s="106"/>
      <c r="AU931" s="106"/>
      <c r="AV931" s="106"/>
      <c r="AW931" s="126"/>
      <c r="AX931" s="126"/>
      <c r="AY931" s="126"/>
      <c r="AZ931" s="126"/>
      <c r="BA931" s="126"/>
      <c r="BB931" s="160"/>
      <c r="BC931" s="160"/>
      <c r="BD931" s="160"/>
      <c r="BE931" s="160"/>
    </row>
    <row r="932" customFormat="false" ht="14.1" hidden="true" customHeight="true" outlineLevel="1" collapsed="false">
      <c r="A932" s="272"/>
      <c r="B932" s="328"/>
      <c r="C932" s="482"/>
      <c r="D932" s="467"/>
      <c r="E932" s="467"/>
      <c r="F932" s="467"/>
      <c r="G932" s="468"/>
      <c r="H932" s="165"/>
      <c r="I932" s="165"/>
      <c r="J932" s="150"/>
      <c r="K932" s="150"/>
      <c r="L932" s="150"/>
      <c r="M932" s="150"/>
      <c r="N932" s="150"/>
      <c r="O932" s="150"/>
      <c r="P932" s="150"/>
      <c r="Q932" s="150"/>
      <c r="R932" s="150"/>
      <c r="S932" s="150"/>
      <c r="T932" s="150"/>
      <c r="U932" s="150"/>
      <c r="V932" s="150"/>
      <c r="W932" s="150"/>
      <c r="X932" s="150"/>
      <c r="Y932" s="150"/>
      <c r="Z932" s="150"/>
      <c r="AA932" s="150"/>
      <c r="AB932" s="150"/>
      <c r="AC932" s="150"/>
      <c r="AD932" s="150"/>
      <c r="AE932" s="150"/>
      <c r="AF932" s="150"/>
      <c r="AG932" s="150"/>
      <c r="AH932" s="125"/>
      <c r="AI932" s="466"/>
      <c r="AJ932" s="466"/>
      <c r="AK932" s="52"/>
      <c r="AL932" s="52"/>
      <c r="AM932" s="52"/>
      <c r="AN932" s="52"/>
      <c r="AO932" s="195"/>
      <c r="AP932" s="195"/>
      <c r="AQ932" s="106"/>
      <c r="AR932" s="106"/>
      <c r="AS932" s="106"/>
      <c r="AT932" s="106"/>
      <c r="AU932" s="106"/>
      <c r="AV932" s="106"/>
      <c r="AW932" s="126"/>
      <c r="AX932" s="126"/>
      <c r="AY932" s="126"/>
      <c r="AZ932" s="126"/>
      <c r="BA932" s="126"/>
      <c r="BB932" s="160"/>
      <c r="BC932" s="160"/>
      <c r="BD932" s="160"/>
      <c r="BE932" s="160"/>
    </row>
    <row r="933" customFormat="false" ht="14.1" hidden="true" customHeight="true" outlineLevel="1" collapsed="false">
      <c r="A933" s="483" t="str">
        <f aca="false">A914</f>
        <v>Блоки ФБС</v>
      </c>
      <c r="B933" s="484" t="s">
        <v>12</v>
      </c>
      <c r="C933" s="485"/>
      <c r="D933" s="467"/>
      <c r="E933" s="467"/>
      <c r="F933" s="467"/>
      <c r="G933" s="468"/>
      <c r="H933" s="165"/>
      <c r="I933" s="165"/>
      <c r="J933" s="150"/>
      <c r="K933" s="150"/>
      <c r="L933" s="150"/>
      <c r="M933" s="150"/>
      <c r="N933" s="150"/>
      <c r="O933" s="150"/>
      <c r="P933" s="150"/>
      <c r="Q933" s="150"/>
      <c r="R933" s="150"/>
      <c r="S933" s="150"/>
      <c r="T933" s="150"/>
      <c r="U933" s="150"/>
      <c r="V933" s="150"/>
      <c r="W933" s="150"/>
      <c r="X933" s="150"/>
      <c r="Y933" s="150"/>
      <c r="Z933" s="150"/>
      <c r="AA933" s="150"/>
      <c r="AB933" s="150"/>
      <c r="AC933" s="150"/>
      <c r="AD933" s="150"/>
      <c r="AE933" s="150"/>
      <c r="AF933" s="150"/>
      <c r="AG933" s="150"/>
      <c r="AH933" s="125"/>
      <c r="AI933" s="466"/>
      <c r="AJ933" s="466"/>
      <c r="AK933" s="52"/>
      <c r="AL933" s="52"/>
      <c r="AM933" s="52"/>
      <c r="AN933" s="52"/>
      <c r="AO933" s="195"/>
      <c r="AP933" s="195"/>
      <c r="AQ933" s="106"/>
      <c r="AR933" s="106"/>
      <c r="AS933" s="106"/>
      <c r="AT933" s="106"/>
      <c r="AU933" s="106"/>
      <c r="AV933" s="106"/>
      <c r="AW933" s="126"/>
      <c r="AX933" s="126"/>
      <c r="AY933" s="126"/>
      <c r="AZ933" s="126"/>
      <c r="BA933" s="126"/>
      <c r="BB933" s="160"/>
      <c r="BC933" s="160"/>
      <c r="BD933" s="160"/>
      <c r="BE933" s="160"/>
    </row>
    <row r="934" customFormat="false" ht="14.1" hidden="true" customHeight="true" outlineLevel="1" collapsed="false">
      <c r="A934" s="292" t="s">
        <v>554</v>
      </c>
      <c r="B934" s="180" t="s">
        <v>486</v>
      </c>
      <c r="C934" s="361" t="s">
        <v>44</v>
      </c>
      <c r="D934" s="467"/>
      <c r="E934" s="467"/>
      <c r="F934" s="467"/>
      <c r="G934" s="468"/>
      <c r="H934" s="165"/>
      <c r="I934" s="165"/>
      <c r="J934" s="150"/>
      <c r="K934" s="150"/>
      <c r="L934" s="150"/>
      <c r="M934" s="150"/>
      <c r="N934" s="150"/>
      <c r="O934" s="150"/>
      <c r="P934" s="150"/>
      <c r="Q934" s="150"/>
      <c r="R934" s="150"/>
      <c r="S934" s="150"/>
      <c r="T934" s="150"/>
      <c r="U934" s="150"/>
      <c r="V934" s="150"/>
      <c r="W934" s="150"/>
      <c r="X934" s="150"/>
      <c r="Y934" s="150"/>
      <c r="Z934" s="150"/>
      <c r="AA934" s="150"/>
      <c r="AB934" s="150"/>
      <c r="AC934" s="150"/>
      <c r="AD934" s="150"/>
      <c r="AE934" s="150" t="s">
        <v>555</v>
      </c>
      <c r="AF934" s="150"/>
      <c r="AG934" s="150"/>
      <c r="AH934" s="125"/>
      <c r="AI934" s="466"/>
      <c r="AJ934" s="466"/>
      <c r="AK934" s="52"/>
      <c r="AL934" s="52"/>
      <c r="AM934" s="52"/>
      <c r="AN934" s="52"/>
      <c r="AO934" s="195"/>
      <c r="AP934" s="195"/>
      <c r="AQ934" s="106"/>
      <c r="AR934" s="106"/>
      <c r="AS934" s="106"/>
      <c r="AT934" s="106"/>
      <c r="AU934" s="106"/>
      <c r="AV934" s="106"/>
      <c r="AW934" s="126"/>
      <c r="AX934" s="126"/>
      <c r="AY934" s="126"/>
      <c r="AZ934" s="126"/>
      <c r="BA934" s="126"/>
      <c r="BB934" s="160"/>
      <c r="BC934" s="160"/>
      <c r="BD934" s="160"/>
      <c r="BE934" s="160"/>
    </row>
    <row r="935" customFormat="false" ht="14.1" hidden="true" customHeight="true" outlineLevel="1" collapsed="false">
      <c r="A935" s="239" t="s">
        <v>556</v>
      </c>
      <c r="B935" s="180" t="s">
        <v>15</v>
      </c>
      <c r="C935" s="215" t="n">
        <v>0.2</v>
      </c>
      <c r="D935" s="467"/>
      <c r="E935" s="467"/>
      <c r="F935" s="467"/>
      <c r="G935" s="468"/>
      <c r="H935" s="165"/>
      <c r="I935" s="165"/>
      <c r="J935" s="150"/>
      <c r="K935" s="150"/>
      <c r="L935" s="150"/>
      <c r="M935" s="150"/>
      <c r="N935" s="150" t="s">
        <v>557</v>
      </c>
      <c r="O935" s="150"/>
      <c r="P935" s="150"/>
      <c r="Q935" s="150"/>
      <c r="R935" s="150"/>
      <c r="S935" s="150"/>
      <c r="T935" s="150"/>
      <c r="U935" s="150"/>
      <c r="V935" s="150"/>
      <c r="W935" s="150"/>
      <c r="X935" s="150"/>
      <c r="Y935" s="150"/>
      <c r="Z935" s="150"/>
      <c r="AA935" s="150"/>
      <c r="AB935" s="150"/>
      <c r="AC935" s="150"/>
      <c r="AD935" s="150"/>
      <c r="AE935" s="150"/>
      <c r="AF935" s="150"/>
      <c r="AG935" s="150"/>
      <c r="AH935" s="125"/>
      <c r="AI935" s="466"/>
      <c r="AJ935" s="466"/>
      <c r="AK935" s="52"/>
      <c r="AL935" s="52"/>
      <c r="AM935" s="52"/>
      <c r="AN935" s="52"/>
      <c r="AO935" s="195"/>
      <c r="AP935" s="195"/>
      <c r="AQ935" s="106"/>
      <c r="AR935" s="106"/>
      <c r="AS935" s="106"/>
      <c r="AT935" s="106"/>
      <c r="AU935" s="106"/>
      <c r="AV935" s="106"/>
      <c r="AW935" s="126"/>
      <c r="AX935" s="126"/>
      <c r="AY935" s="126"/>
      <c r="AZ935" s="126"/>
      <c r="BA935" s="126"/>
      <c r="BB935" s="160"/>
      <c r="BC935" s="160"/>
      <c r="BD935" s="160"/>
      <c r="BE935" s="160"/>
    </row>
    <row r="936" customFormat="false" ht="14.1" hidden="true" customHeight="true" outlineLevel="1" collapsed="false">
      <c r="A936" s="239" t="s">
        <v>558</v>
      </c>
      <c r="B936" s="180" t="s">
        <v>48</v>
      </c>
      <c r="C936" s="215" t="n">
        <v>4</v>
      </c>
      <c r="D936" s="467"/>
      <c r="E936" s="467"/>
      <c r="F936" s="467"/>
      <c r="G936" s="468"/>
      <c r="H936" s="165"/>
      <c r="I936" s="165"/>
      <c r="J936" s="150"/>
      <c r="K936" s="150"/>
      <c r="L936" s="150"/>
      <c r="M936" s="150"/>
      <c r="N936" s="150"/>
      <c r="O936" s="150"/>
      <c r="P936" s="150"/>
      <c r="Q936" s="165"/>
      <c r="R936" s="150"/>
      <c r="S936" s="150"/>
      <c r="T936" s="150"/>
      <c r="U936" s="150"/>
      <c r="V936" s="150"/>
      <c r="W936" s="150"/>
      <c r="X936" s="150"/>
      <c r="Y936" s="150"/>
      <c r="Z936" s="150"/>
      <c r="AA936" s="150"/>
      <c r="AB936" s="165"/>
      <c r="AC936" s="150"/>
      <c r="AD936" s="150"/>
      <c r="AE936" s="150"/>
      <c r="AF936" s="150"/>
      <c r="AG936" s="150"/>
      <c r="AH936" s="125"/>
      <c r="AI936" s="466"/>
      <c r="AJ936" s="466"/>
      <c r="AK936" s="52"/>
      <c r="AL936" s="52"/>
      <c r="AM936" s="52"/>
      <c r="AN936" s="52"/>
      <c r="AO936" s="195"/>
      <c r="AP936" s="195"/>
      <c r="AQ936" s="106"/>
      <c r="AR936" s="106"/>
      <c r="AS936" s="106"/>
      <c r="AT936" s="106"/>
      <c r="AU936" s="106"/>
      <c r="AV936" s="106"/>
      <c r="AW936" s="126"/>
      <c r="AX936" s="126"/>
      <c r="AY936" s="126"/>
      <c r="AZ936" s="126"/>
      <c r="BA936" s="126"/>
      <c r="BB936" s="160"/>
      <c r="BC936" s="160"/>
      <c r="BD936" s="160"/>
      <c r="BE936" s="160"/>
    </row>
    <row r="937" customFormat="false" ht="14.1" hidden="true" customHeight="true" outlineLevel="1" collapsed="false">
      <c r="A937" s="239" t="s">
        <v>559</v>
      </c>
      <c r="B937" s="180" t="s">
        <v>15</v>
      </c>
      <c r="C937" s="215" t="n">
        <v>0.4</v>
      </c>
      <c r="D937" s="467"/>
      <c r="E937" s="467"/>
      <c r="F937" s="467"/>
      <c r="G937" s="468"/>
      <c r="H937" s="165"/>
      <c r="I937" s="165"/>
      <c r="J937" s="150"/>
      <c r="K937" s="150"/>
      <c r="L937" s="150"/>
      <c r="M937" s="150"/>
      <c r="N937" s="150"/>
      <c r="O937" s="150"/>
      <c r="P937" s="150"/>
      <c r="Q937" s="150"/>
      <c r="R937" s="150"/>
      <c r="S937" s="150"/>
      <c r="T937" s="150"/>
      <c r="U937" s="150"/>
      <c r="V937" s="150"/>
      <c r="W937" s="150"/>
      <c r="X937" s="150"/>
      <c r="Y937" s="150"/>
      <c r="Z937" s="150"/>
      <c r="AA937" s="150"/>
      <c r="AB937" s="150"/>
      <c r="AC937" s="150"/>
      <c r="AD937" s="150"/>
      <c r="AE937" s="150"/>
      <c r="AF937" s="150"/>
      <c r="AG937" s="150"/>
      <c r="AH937" s="125"/>
      <c r="AI937" s="466"/>
      <c r="AJ937" s="466"/>
      <c r="AK937" s="52"/>
      <c r="AL937" s="52"/>
      <c r="AM937" s="52"/>
      <c r="AN937" s="52"/>
      <c r="AO937" s="195"/>
      <c r="AP937" s="195"/>
      <c r="AQ937" s="106"/>
      <c r="AR937" s="106"/>
      <c r="AS937" s="106"/>
      <c r="AT937" s="106"/>
      <c r="AU937" s="106"/>
      <c r="AV937" s="106"/>
      <c r="AW937" s="126"/>
      <c r="AX937" s="126"/>
      <c r="AY937" s="126"/>
      <c r="AZ937" s="126"/>
      <c r="BA937" s="126"/>
      <c r="BB937" s="160"/>
      <c r="BC937" s="160"/>
      <c r="BD937" s="160"/>
      <c r="BE937" s="160"/>
    </row>
    <row r="938" customFormat="false" ht="14.1" hidden="true" customHeight="true" outlineLevel="1" collapsed="false">
      <c r="A938" s="292" t="s">
        <v>560</v>
      </c>
      <c r="B938" s="180" t="s">
        <v>12</v>
      </c>
      <c r="C938" s="485"/>
      <c r="D938" s="467"/>
      <c r="E938" s="467"/>
      <c r="F938" s="467"/>
      <c r="G938" s="468"/>
      <c r="H938" s="468"/>
      <c r="I938" s="468"/>
      <c r="J938" s="468"/>
      <c r="K938" s="468"/>
      <c r="L938" s="468"/>
      <c r="M938" s="468"/>
      <c r="N938" s="468"/>
      <c r="O938" s="468"/>
      <c r="P938" s="468"/>
      <c r="Q938" s="468"/>
      <c r="R938" s="468"/>
      <c r="S938" s="468"/>
      <c r="T938" s="468"/>
      <c r="U938" s="468"/>
      <c r="V938" s="469"/>
      <c r="W938" s="469"/>
      <c r="X938" s="469"/>
      <c r="Y938" s="470"/>
      <c r="Z938" s="470"/>
      <c r="AA938" s="470"/>
      <c r="AB938" s="470"/>
      <c r="AC938" s="470"/>
      <c r="AD938" s="471"/>
      <c r="AE938" s="471"/>
      <c r="AF938" s="471"/>
      <c r="AG938" s="444"/>
      <c r="AH938" s="466"/>
      <c r="AI938" s="466"/>
      <c r="AJ938" s="466"/>
      <c r="AK938" s="52"/>
      <c r="AL938" s="52"/>
      <c r="AM938" s="52"/>
      <c r="AN938" s="52"/>
      <c r="AO938" s="195"/>
      <c r="AP938" s="195"/>
      <c r="AQ938" s="106"/>
      <c r="AR938" s="106"/>
      <c r="AS938" s="106"/>
      <c r="AT938" s="106"/>
      <c r="AU938" s="106"/>
      <c r="AV938" s="106"/>
      <c r="AW938" s="126"/>
      <c r="AX938" s="126"/>
      <c r="AY938" s="126"/>
      <c r="AZ938" s="126"/>
      <c r="BA938" s="126"/>
      <c r="BB938" s="160"/>
      <c r="BC938" s="160"/>
      <c r="BD938" s="160"/>
      <c r="BE938" s="160"/>
    </row>
    <row r="939" customFormat="false" ht="14.1" hidden="true" customHeight="true" outlineLevel="1" collapsed="false">
      <c r="A939" s="239" t="s">
        <v>561</v>
      </c>
      <c r="B939" s="180" t="s">
        <v>15</v>
      </c>
      <c r="C939" s="215" t="n">
        <v>0.05</v>
      </c>
      <c r="D939" s="467"/>
      <c r="E939" s="467"/>
      <c r="F939" s="467"/>
      <c r="G939" s="468"/>
      <c r="H939" s="468"/>
      <c r="I939" s="468"/>
      <c r="J939" s="468"/>
      <c r="K939" s="468"/>
      <c r="L939" s="468"/>
      <c r="M939" s="468"/>
      <c r="N939" s="468"/>
      <c r="O939" s="468"/>
      <c r="P939" s="468"/>
      <c r="Q939" s="468"/>
      <c r="R939" s="468"/>
      <c r="S939" s="468"/>
      <c r="T939" s="468"/>
      <c r="U939" s="468"/>
      <c r="V939" s="469"/>
      <c r="W939" s="469"/>
      <c r="X939" s="469"/>
      <c r="Y939" s="470"/>
      <c r="Z939" s="470"/>
      <c r="AA939" s="470"/>
      <c r="AB939" s="470"/>
      <c r="AC939" s="470"/>
      <c r="AD939" s="471"/>
      <c r="AE939" s="471"/>
      <c r="AF939" s="471"/>
      <c r="AG939" s="444"/>
      <c r="AH939" s="466"/>
      <c r="AI939" s="466"/>
      <c r="AJ939" s="466"/>
      <c r="AK939" s="52"/>
      <c r="AL939" s="52"/>
      <c r="AM939" s="52"/>
      <c r="AN939" s="52"/>
      <c r="AO939" s="195"/>
      <c r="AP939" s="195"/>
      <c r="AQ939" s="106"/>
      <c r="AR939" s="106"/>
      <c r="AS939" s="106"/>
      <c r="AT939" s="106"/>
      <c r="AU939" s="106"/>
      <c r="AV939" s="106"/>
      <c r="AW939" s="126"/>
      <c r="AX939" s="126"/>
      <c r="AY939" s="126"/>
      <c r="AZ939" s="126"/>
      <c r="BA939" s="126"/>
      <c r="BB939" s="160"/>
      <c r="BC939" s="160"/>
      <c r="BD939" s="160"/>
      <c r="BE939" s="160"/>
    </row>
    <row r="940" customFormat="false" ht="14.1" hidden="true" customHeight="true" outlineLevel="1" collapsed="false">
      <c r="A940" s="239" t="s">
        <v>562</v>
      </c>
      <c r="B940" s="180" t="s">
        <v>15</v>
      </c>
      <c r="C940" s="215" t="n">
        <v>0.2</v>
      </c>
      <c r="D940" s="467"/>
      <c r="E940" s="467"/>
      <c r="F940" s="467"/>
      <c r="G940" s="468"/>
      <c r="H940" s="468"/>
      <c r="I940" s="468"/>
      <c r="J940" s="468"/>
      <c r="K940" s="468"/>
      <c r="L940" s="468"/>
      <c r="M940" s="468"/>
      <c r="N940" s="468"/>
      <c r="O940" s="468"/>
      <c r="P940" s="468"/>
      <c r="Q940" s="468"/>
      <c r="R940" s="468"/>
      <c r="S940" s="468"/>
      <c r="T940" s="468"/>
      <c r="U940" s="468"/>
      <c r="V940" s="469"/>
      <c r="W940" s="469"/>
      <c r="X940" s="469"/>
      <c r="Y940" s="470"/>
      <c r="Z940" s="470"/>
      <c r="AA940" s="470"/>
      <c r="AB940" s="470"/>
      <c r="AC940" s="470"/>
      <c r="AD940" s="471"/>
      <c r="AE940" s="471"/>
      <c r="AF940" s="471"/>
      <c r="AG940" s="444"/>
      <c r="AH940" s="466"/>
      <c r="AI940" s="466"/>
      <c r="AJ940" s="466"/>
      <c r="AK940" s="52"/>
      <c r="AL940" s="52"/>
      <c r="AM940" s="52"/>
      <c r="AN940" s="52"/>
      <c r="AO940" s="195"/>
      <c r="AP940" s="195"/>
      <c r="AQ940" s="106"/>
      <c r="AR940" s="106"/>
      <c r="AS940" s="106"/>
      <c r="AT940" s="106"/>
      <c r="AU940" s="106"/>
      <c r="AV940" s="106"/>
      <c r="AW940" s="126"/>
      <c r="AX940" s="126"/>
      <c r="AY940" s="126"/>
      <c r="AZ940" s="126"/>
      <c r="BA940" s="126"/>
      <c r="BB940" s="160"/>
      <c r="BC940" s="160"/>
      <c r="BD940" s="160"/>
      <c r="BE940" s="160"/>
    </row>
    <row r="941" customFormat="false" ht="14.1" hidden="true" customHeight="true" outlineLevel="1" collapsed="false">
      <c r="A941" s="239" t="s">
        <v>563</v>
      </c>
      <c r="B941" s="180" t="s">
        <v>48</v>
      </c>
      <c r="C941" s="215" t="n">
        <v>2</v>
      </c>
      <c r="D941" s="467"/>
      <c r="E941" s="467"/>
      <c r="F941" s="467"/>
      <c r="G941" s="468"/>
      <c r="H941" s="468"/>
      <c r="I941" s="468"/>
      <c r="J941" s="468"/>
      <c r="K941" s="468"/>
      <c r="L941" s="468"/>
      <c r="M941" s="468"/>
      <c r="N941" s="468"/>
      <c r="O941" s="468"/>
      <c r="P941" s="468"/>
      <c r="Q941" s="468"/>
      <c r="R941" s="468"/>
      <c r="S941" s="468"/>
      <c r="T941" s="468"/>
      <c r="U941" s="468"/>
      <c r="V941" s="469"/>
      <c r="W941" s="469"/>
      <c r="X941" s="469"/>
      <c r="Y941" s="470"/>
      <c r="Z941" s="470"/>
      <c r="AA941" s="470"/>
      <c r="AB941" s="470"/>
      <c r="AC941" s="470"/>
      <c r="AD941" s="471"/>
      <c r="AE941" s="471"/>
      <c r="AF941" s="471"/>
      <c r="AG941" s="444"/>
      <c r="AH941" s="466"/>
      <c r="AI941" s="466"/>
      <c r="AJ941" s="466"/>
      <c r="AK941" s="52"/>
      <c r="AL941" s="52"/>
      <c r="AM941" s="52"/>
      <c r="AN941" s="52"/>
      <c r="AO941" s="195"/>
      <c r="AP941" s="195"/>
      <c r="AQ941" s="106"/>
      <c r="AR941" s="106"/>
      <c r="AS941" s="106"/>
      <c r="AT941" s="106"/>
      <c r="AU941" s="106"/>
      <c r="AV941" s="106"/>
      <c r="AW941" s="126"/>
      <c r="AX941" s="126"/>
      <c r="AY941" s="126"/>
      <c r="AZ941" s="126"/>
      <c r="BA941" s="126"/>
      <c r="BB941" s="160"/>
      <c r="BC941" s="160"/>
      <c r="BD941" s="160"/>
      <c r="BE941" s="160"/>
    </row>
    <row r="942" customFormat="false" ht="14.1" hidden="true" customHeight="true" outlineLevel="1" collapsed="false">
      <c r="A942" s="239" t="s">
        <v>564</v>
      </c>
      <c r="B942" s="180" t="s">
        <v>502</v>
      </c>
      <c r="C942" s="486" t="n">
        <v>5</v>
      </c>
      <c r="D942" s="467"/>
      <c r="E942" s="467"/>
      <c r="F942" s="467"/>
      <c r="G942" s="468"/>
      <c r="H942" s="468"/>
      <c r="I942" s="468"/>
      <c r="J942" s="468"/>
      <c r="K942" s="468"/>
      <c r="L942" s="468"/>
      <c r="M942" s="468"/>
      <c r="N942" s="468"/>
      <c r="O942" s="468"/>
      <c r="P942" s="468"/>
      <c r="Q942" s="468"/>
      <c r="R942" s="468"/>
      <c r="S942" s="468"/>
      <c r="T942" s="468"/>
      <c r="U942" s="468"/>
      <c r="V942" s="469"/>
      <c r="W942" s="469"/>
      <c r="X942" s="469"/>
      <c r="Y942" s="470"/>
      <c r="Z942" s="470"/>
      <c r="AA942" s="470"/>
      <c r="AB942" s="470"/>
      <c r="AC942" s="470"/>
      <c r="AD942" s="471"/>
      <c r="AE942" s="471"/>
      <c r="AF942" s="471"/>
      <c r="AG942" s="444"/>
      <c r="AH942" s="466"/>
      <c r="AI942" s="466"/>
      <c r="AJ942" s="466"/>
      <c r="AK942" s="52"/>
      <c r="AL942" s="52"/>
      <c r="AM942" s="52"/>
      <c r="AN942" s="52"/>
      <c r="AO942" s="195"/>
      <c r="AP942" s="195"/>
      <c r="AQ942" s="106"/>
      <c r="AR942" s="106"/>
      <c r="AS942" s="106"/>
      <c r="AT942" s="106"/>
      <c r="AU942" s="106"/>
      <c r="AV942" s="106"/>
      <c r="AW942" s="126"/>
      <c r="AX942" s="126"/>
      <c r="AY942" s="126"/>
      <c r="AZ942" s="126"/>
      <c r="BA942" s="126"/>
      <c r="BB942" s="160"/>
      <c r="BC942" s="160"/>
      <c r="BD942" s="160"/>
      <c r="BE942" s="160"/>
    </row>
    <row r="943" customFormat="false" ht="14.1" hidden="true" customHeight="true" outlineLevel="1" collapsed="false">
      <c r="A943" s="292" t="s">
        <v>565</v>
      </c>
      <c r="B943" s="180" t="s">
        <v>486</v>
      </c>
      <c r="C943" s="361" t="s">
        <v>44</v>
      </c>
      <c r="D943" s="467"/>
      <c r="E943" s="467"/>
      <c r="F943" s="467"/>
      <c r="G943" s="468"/>
      <c r="H943" s="468"/>
      <c r="I943" s="468"/>
      <c r="J943" s="468"/>
      <c r="K943" s="468"/>
      <c r="L943" s="468"/>
      <c r="M943" s="468"/>
      <c r="N943" s="468"/>
      <c r="O943" s="468"/>
      <c r="P943" s="468"/>
      <c r="Q943" s="468"/>
      <c r="R943" s="468"/>
      <c r="S943" s="468"/>
      <c r="T943" s="468"/>
      <c r="U943" s="468"/>
      <c r="V943" s="469"/>
      <c r="W943" s="469"/>
      <c r="X943" s="469"/>
      <c r="Y943" s="470"/>
      <c r="Z943" s="470"/>
      <c r="AA943" s="470"/>
      <c r="AB943" s="470"/>
      <c r="AC943" s="470"/>
      <c r="AD943" s="471"/>
      <c r="AE943" s="471"/>
      <c r="AF943" s="471"/>
      <c r="AG943" s="444"/>
      <c r="AH943" s="466"/>
      <c r="AI943" s="466"/>
      <c r="AJ943" s="466"/>
      <c r="AK943" s="52"/>
      <c r="AL943" s="52"/>
      <c r="AM943" s="52"/>
      <c r="AN943" s="52"/>
      <c r="AO943" s="195"/>
      <c r="AP943" s="195"/>
      <c r="AQ943" s="106"/>
      <c r="AR943" s="106"/>
      <c r="AS943" s="106"/>
      <c r="AT943" s="106"/>
      <c r="AU943" s="106"/>
      <c r="AV943" s="106"/>
      <c r="AW943" s="126"/>
      <c r="AX943" s="126"/>
      <c r="AY943" s="126"/>
      <c r="AZ943" s="126"/>
      <c r="BA943" s="126"/>
      <c r="BB943" s="160"/>
      <c r="BC943" s="160"/>
      <c r="BD943" s="160"/>
      <c r="BE943" s="160"/>
    </row>
    <row r="944" customFormat="false" ht="14.1" hidden="true" customHeight="true" outlineLevel="1" collapsed="false">
      <c r="A944" s="163" t="s">
        <v>566</v>
      </c>
      <c r="B944" s="119" t="s">
        <v>502</v>
      </c>
      <c r="C944" s="370" t="n">
        <v>5</v>
      </c>
      <c r="D944" s="467"/>
      <c r="E944" s="467"/>
      <c r="F944" s="467"/>
      <c r="G944" s="468"/>
      <c r="H944" s="468"/>
      <c r="I944" s="468"/>
      <c r="J944" s="468"/>
      <c r="K944" s="468"/>
      <c r="L944" s="468"/>
      <c r="M944" s="468"/>
      <c r="N944" s="468"/>
      <c r="O944" s="468"/>
      <c r="P944" s="468"/>
      <c r="Q944" s="468"/>
      <c r="R944" s="468"/>
      <c r="S944" s="468"/>
      <c r="T944" s="468"/>
      <c r="U944" s="468"/>
      <c r="V944" s="469"/>
      <c r="W944" s="469"/>
      <c r="X944" s="469"/>
      <c r="Y944" s="470"/>
      <c r="Z944" s="470"/>
      <c r="AA944" s="470"/>
      <c r="AB944" s="470"/>
      <c r="AC944" s="470"/>
      <c r="AD944" s="471"/>
      <c r="AE944" s="471"/>
      <c r="AF944" s="471"/>
      <c r="AG944" s="444"/>
      <c r="AH944" s="466"/>
      <c r="AI944" s="466"/>
      <c r="AJ944" s="466"/>
      <c r="AK944" s="52"/>
      <c r="AL944" s="52"/>
      <c r="AM944" s="52"/>
      <c r="AN944" s="52"/>
      <c r="AO944" s="195"/>
      <c r="AP944" s="195"/>
      <c r="AQ944" s="106"/>
      <c r="AR944" s="106"/>
      <c r="AS944" s="106"/>
      <c r="AT944" s="106"/>
      <c r="AU944" s="106"/>
      <c r="AV944" s="106"/>
      <c r="AW944" s="126"/>
      <c r="AX944" s="126"/>
      <c r="AY944" s="126"/>
      <c r="AZ944" s="126"/>
      <c r="BA944" s="126"/>
      <c r="BB944" s="160"/>
      <c r="BC944" s="160"/>
      <c r="BD944" s="160"/>
      <c r="BE944" s="160"/>
    </row>
    <row r="945" customFormat="false" ht="14.1" hidden="true" customHeight="true" outlineLevel="1" collapsed="false">
      <c r="A945" s="163" t="s">
        <v>567</v>
      </c>
      <c r="B945" s="119" t="s">
        <v>15</v>
      </c>
      <c r="C945" s="370" t="n">
        <v>0.4</v>
      </c>
      <c r="D945" s="467"/>
      <c r="E945" s="467"/>
      <c r="F945" s="467"/>
      <c r="G945" s="468"/>
      <c r="H945" s="468"/>
      <c r="I945" s="468"/>
      <c r="J945" s="468"/>
      <c r="K945" s="468"/>
      <c r="L945" s="468"/>
      <c r="M945" s="468"/>
      <c r="N945" s="468"/>
      <c r="O945" s="468"/>
      <c r="P945" s="468"/>
      <c r="Q945" s="468"/>
      <c r="R945" s="468"/>
      <c r="S945" s="468"/>
      <c r="T945" s="468"/>
      <c r="U945" s="468"/>
      <c r="V945" s="469"/>
      <c r="W945" s="469"/>
      <c r="X945" s="469"/>
      <c r="Y945" s="470"/>
      <c r="Z945" s="470"/>
      <c r="AA945" s="470"/>
      <c r="AB945" s="470"/>
      <c r="AC945" s="470"/>
      <c r="AD945" s="471"/>
      <c r="AE945" s="471"/>
      <c r="AF945" s="471"/>
      <c r="AG945" s="444"/>
      <c r="AH945" s="466"/>
      <c r="AI945" s="466"/>
      <c r="AJ945" s="466"/>
      <c r="AK945" s="52"/>
      <c r="AL945" s="52"/>
      <c r="AM945" s="52"/>
      <c r="AN945" s="52"/>
      <c r="AO945" s="195"/>
      <c r="AP945" s="195"/>
      <c r="AQ945" s="106"/>
      <c r="AR945" s="106"/>
      <c r="AS945" s="106"/>
      <c r="AT945" s="106"/>
      <c r="AU945" s="106"/>
      <c r="AV945" s="106"/>
      <c r="AW945" s="126"/>
      <c r="AX945" s="126"/>
      <c r="AY945" s="126"/>
      <c r="AZ945" s="126"/>
      <c r="BA945" s="126"/>
      <c r="BB945" s="160"/>
      <c r="BC945" s="160"/>
      <c r="BD945" s="160"/>
      <c r="BE945" s="160"/>
    </row>
    <row r="946" customFormat="false" ht="14.1" hidden="true" customHeight="true" outlineLevel="1" collapsed="false">
      <c r="A946" s="163" t="s">
        <v>471</v>
      </c>
      <c r="B946" s="119" t="s">
        <v>15</v>
      </c>
      <c r="C946" s="370" t="n">
        <v>0.4</v>
      </c>
      <c r="D946" s="467"/>
      <c r="E946" s="467"/>
      <c r="F946" s="467"/>
      <c r="G946" s="468"/>
      <c r="H946" s="468"/>
      <c r="I946" s="468"/>
      <c r="J946" s="468"/>
      <c r="K946" s="468"/>
      <c r="L946" s="468"/>
      <c r="M946" s="468"/>
      <c r="N946" s="468"/>
      <c r="O946" s="468"/>
      <c r="P946" s="468"/>
      <c r="Q946" s="468"/>
      <c r="R946" s="468"/>
      <c r="S946" s="468"/>
      <c r="T946" s="468"/>
      <c r="U946" s="468"/>
      <c r="V946" s="469"/>
      <c r="W946" s="469"/>
      <c r="X946" s="469"/>
      <c r="Y946" s="470"/>
      <c r="Z946" s="470"/>
      <c r="AA946" s="470"/>
      <c r="AB946" s="470"/>
      <c r="AC946" s="470"/>
      <c r="AD946" s="471"/>
      <c r="AE946" s="471"/>
      <c r="AF946" s="471"/>
      <c r="AG946" s="444"/>
      <c r="AH946" s="466"/>
      <c r="AI946" s="466"/>
      <c r="AJ946" s="466"/>
      <c r="AK946" s="52"/>
      <c r="AL946" s="52"/>
      <c r="AM946" s="52"/>
      <c r="AN946" s="52"/>
      <c r="AO946" s="195"/>
      <c r="AP946" s="195"/>
      <c r="AQ946" s="106"/>
      <c r="AR946" s="106"/>
      <c r="AS946" s="106"/>
      <c r="AT946" s="106"/>
      <c r="AU946" s="106"/>
      <c r="AV946" s="106"/>
      <c r="AW946" s="126"/>
      <c r="AX946" s="126"/>
      <c r="AY946" s="126"/>
      <c r="AZ946" s="126"/>
      <c r="BA946" s="126"/>
      <c r="BB946" s="160"/>
      <c r="BC946" s="160"/>
      <c r="BD946" s="160"/>
      <c r="BE946" s="160"/>
    </row>
    <row r="947" customFormat="false" ht="14.1" hidden="true" customHeight="true" outlineLevel="1" collapsed="false">
      <c r="A947" s="163" t="s">
        <v>472</v>
      </c>
      <c r="B947" s="119" t="s">
        <v>15</v>
      </c>
      <c r="C947" s="370" t="n">
        <v>0.2</v>
      </c>
      <c r="D947" s="467"/>
      <c r="E947" s="467"/>
      <c r="F947" s="467"/>
      <c r="G947" s="468"/>
      <c r="H947" s="468"/>
      <c r="I947" s="468"/>
      <c r="J947" s="468"/>
      <c r="K947" s="468"/>
      <c r="L947" s="468"/>
      <c r="M947" s="468"/>
      <c r="N947" s="468"/>
      <c r="O947" s="468"/>
      <c r="P947" s="468"/>
      <c r="Q947" s="468"/>
      <c r="R947" s="468"/>
      <c r="S947" s="468"/>
      <c r="T947" s="468"/>
      <c r="U947" s="468"/>
      <c r="V947" s="469"/>
      <c r="W947" s="469"/>
      <c r="X947" s="469"/>
      <c r="Y947" s="470"/>
      <c r="Z947" s="470"/>
      <c r="AA947" s="470"/>
      <c r="AB947" s="470"/>
      <c r="AC947" s="470"/>
      <c r="AD947" s="471"/>
      <c r="AE947" s="471"/>
      <c r="AF947" s="471"/>
      <c r="AG947" s="444"/>
      <c r="AH947" s="466"/>
      <c r="AI947" s="466"/>
      <c r="AJ947" s="466"/>
      <c r="AK947" s="52"/>
      <c r="AL947" s="52"/>
      <c r="AM947" s="52"/>
      <c r="AN947" s="52"/>
      <c r="AO947" s="195"/>
      <c r="AP947" s="195"/>
      <c r="AQ947" s="106"/>
      <c r="AR947" s="106"/>
      <c r="AS947" s="106"/>
      <c r="AT947" s="106"/>
      <c r="AU947" s="106"/>
      <c r="AV947" s="106"/>
      <c r="AW947" s="126"/>
      <c r="AX947" s="126"/>
      <c r="AY947" s="126"/>
      <c r="AZ947" s="126"/>
      <c r="BA947" s="126"/>
      <c r="BB947" s="160"/>
      <c r="BC947" s="160"/>
      <c r="BD947" s="160"/>
      <c r="BE947" s="160"/>
    </row>
    <row r="948" customFormat="false" ht="14.1" hidden="true" customHeight="true" outlineLevel="1" collapsed="false">
      <c r="A948" s="163" t="s">
        <v>473</v>
      </c>
      <c r="B948" s="119" t="s">
        <v>15</v>
      </c>
      <c r="C948" s="370" t="n">
        <v>0.3</v>
      </c>
      <c r="D948" s="467"/>
      <c r="E948" s="467"/>
      <c r="F948" s="467"/>
      <c r="G948" s="468"/>
      <c r="H948" s="468"/>
      <c r="I948" s="468"/>
      <c r="J948" s="468"/>
      <c r="K948" s="468"/>
      <c r="L948" s="468"/>
      <c r="M948" s="468"/>
      <c r="N948" s="468"/>
      <c r="O948" s="468"/>
      <c r="P948" s="468"/>
      <c r="Q948" s="468"/>
      <c r="R948" s="468"/>
      <c r="S948" s="468"/>
      <c r="T948" s="468"/>
      <c r="U948" s="468"/>
      <c r="V948" s="469"/>
      <c r="W948" s="469"/>
      <c r="X948" s="469"/>
      <c r="Y948" s="470"/>
      <c r="Z948" s="470"/>
      <c r="AA948" s="470"/>
      <c r="AB948" s="470"/>
      <c r="AC948" s="470"/>
      <c r="AD948" s="471"/>
      <c r="AE948" s="471"/>
      <c r="AF948" s="471"/>
      <c r="AG948" s="444"/>
      <c r="AH948" s="466"/>
      <c r="AI948" s="466"/>
      <c r="AJ948" s="466"/>
      <c r="AK948" s="52"/>
      <c r="AL948" s="52"/>
      <c r="AM948" s="52"/>
      <c r="AN948" s="52"/>
      <c r="AO948" s="195"/>
      <c r="AP948" s="195"/>
      <c r="AQ948" s="106"/>
      <c r="AR948" s="106"/>
      <c r="AS948" s="106"/>
      <c r="AT948" s="106"/>
      <c r="AU948" s="106"/>
      <c r="AV948" s="106"/>
      <c r="AW948" s="126"/>
      <c r="AX948" s="126"/>
      <c r="AY948" s="126"/>
      <c r="AZ948" s="126"/>
      <c r="BA948" s="126"/>
      <c r="BB948" s="160"/>
      <c r="BC948" s="160"/>
      <c r="BD948" s="160"/>
      <c r="BE948" s="160"/>
    </row>
    <row r="949" customFormat="false" ht="14.1" hidden="true" customHeight="true" outlineLevel="1" collapsed="false">
      <c r="A949" s="163" t="s">
        <v>568</v>
      </c>
      <c r="B949" s="119" t="s">
        <v>15</v>
      </c>
      <c r="C949" s="370" t="n">
        <v>0.04</v>
      </c>
      <c r="D949" s="467"/>
      <c r="E949" s="467"/>
      <c r="F949" s="467"/>
      <c r="G949" s="468"/>
      <c r="H949" s="468"/>
      <c r="I949" s="468"/>
      <c r="J949" s="468"/>
      <c r="K949" s="468"/>
      <c r="L949" s="468"/>
      <c r="M949" s="468"/>
      <c r="N949" s="468"/>
      <c r="O949" s="468"/>
      <c r="P949" s="468"/>
      <c r="Q949" s="468"/>
      <c r="R949" s="468"/>
      <c r="S949" s="468"/>
      <c r="T949" s="468"/>
      <c r="U949" s="468"/>
      <c r="V949" s="469"/>
      <c r="W949" s="469"/>
      <c r="X949" s="469"/>
      <c r="Y949" s="470"/>
      <c r="Z949" s="470"/>
      <c r="AA949" s="470"/>
      <c r="AB949" s="470"/>
      <c r="AC949" s="470"/>
      <c r="AD949" s="471"/>
      <c r="AE949" s="471"/>
      <c r="AF949" s="471"/>
      <c r="AG949" s="444"/>
      <c r="AH949" s="466"/>
      <c r="AI949" s="466"/>
      <c r="AJ949" s="466"/>
      <c r="AK949" s="52"/>
      <c r="AL949" s="52"/>
      <c r="AM949" s="52"/>
      <c r="AN949" s="52"/>
      <c r="AO949" s="195"/>
      <c r="AP949" s="195"/>
      <c r="AQ949" s="106"/>
      <c r="AR949" s="106"/>
      <c r="AS949" s="106"/>
      <c r="AT949" s="106"/>
      <c r="AU949" s="106"/>
      <c r="AV949" s="106"/>
      <c r="AW949" s="126"/>
      <c r="AX949" s="126"/>
      <c r="AY949" s="126"/>
      <c r="AZ949" s="126"/>
      <c r="BA949" s="126"/>
      <c r="BB949" s="160"/>
      <c r="BC949" s="160"/>
      <c r="BD949" s="160"/>
      <c r="BE949" s="160"/>
    </row>
    <row r="950" customFormat="false" ht="14.1" hidden="true" customHeight="true" outlineLevel="1" collapsed="false">
      <c r="A950" s="163" t="s">
        <v>569</v>
      </c>
      <c r="B950" s="119" t="s">
        <v>48</v>
      </c>
      <c r="C950" s="370" t="n">
        <v>4</v>
      </c>
      <c r="D950" s="467"/>
      <c r="E950" s="467"/>
      <c r="F950" s="467"/>
      <c r="G950" s="468"/>
      <c r="H950" s="468"/>
      <c r="I950" s="468"/>
      <c r="J950" s="468"/>
      <c r="K950" s="468"/>
      <c r="L950" s="468"/>
      <c r="M950" s="468"/>
      <c r="N950" s="468"/>
      <c r="O950" s="468"/>
      <c r="P950" s="468"/>
      <c r="Q950" s="468"/>
      <c r="R950" s="468"/>
      <c r="S950" s="468"/>
      <c r="T950" s="468"/>
      <c r="U950" s="468"/>
      <c r="V950" s="469"/>
      <c r="W950" s="469"/>
      <c r="X950" s="469"/>
      <c r="Y950" s="470"/>
      <c r="Z950" s="470"/>
      <c r="AA950" s="470"/>
      <c r="AB950" s="470"/>
      <c r="AC950" s="470"/>
      <c r="AD950" s="471"/>
      <c r="AE950" s="471"/>
      <c r="AF950" s="471"/>
      <c r="AG950" s="444"/>
      <c r="AH950" s="466"/>
      <c r="AI950" s="466"/>
      <c r="AJ950" s="466"/>
      <c r="AK950" s="52"/>
      <c r="AL950" s="52"/>
      <c r="AM950" s="52"/>
      <c r="AN950" s="52"/>
      <c r="AO950" s="195"/>
      <c r="AP950" s="195"/>
      <c r="AQ950" s="106"/>
      <c r="AR950" s="106"/>
      <c r="AS950" s="106"/>
      <c r="AT950" s="106"/>
      <c r="AU950" s="106"/>
      <c r="AV950" s="106"/>
      <c r="AW950" s="126"/>
      <c r="AX950" s="126"/>
      <c r="AY950" s="126"/>
      <c r="AZ950" s="126"/>
      <c r="BA950" s="126"/>
      <c r="BB950" s="160"/>
      <c r="BC950" s="160"/>
      <c r="BD950" s="160"/>
      <c r="BE950" s="160"/>
    </row>
    <row r="951" customFormat="false" ht="14.1" hidden="true" customHeight="true" outlineLevel="1" collapsed="false">
      <c r="A951" s="163" t="s">
        <v>570</v>
      </c>
      <c r="B951" s="119" t="s">
        <v>15</v>
      </c>
      <c r="C951" s="370" t="n">
        <v>0.6</v>
      </c>
      <c r="D951" s="467"/>
      <c r="E951" s="467"/>
      <c r="F951" s="467"/>
      <c r="G951" s="468"/>
      <c r="H951" s="468"/>
      <c r="I951" s="468"/>
      <c r="J951" s="468"/>
      <c r="K951" s="468"/>
      <c r="L951" s="468"/>
      <c r="M951" s="468"/>
      <c r="N951" s="468"/>
      <c r="O951" s="468"/>
      <c r="P951" s="468"/>
      <c r="Q951" s="468"/>
      <c r="R951" s="468"/>
      <c r="S951" s="468"/>
      <c r="T951" s="468"/>
      <c r="U951" s="468"/>
      <c r="V951" s="469"/>
      <c r="W951" s="469"/>
      <c r="X951" s="469"/>
      <c r="Y951" s="470"/>
      <c r="Z951" s="470"/>
      <c r="AA951" s="470"/>
      <c r="AB951" s="470"/>
      <c r="AC951" s="470"/>
      <c r="AD951" s="471"/>
      <c r="AE951" s="471"/>
      <c r="AF951" s="471"/>
      <c r="AG951" s="444"/>
      <c r="AH951" s="466"/>
      <c r="AI951" s="466"/>
      <c r="AJ951" s="466"/>
      <c r="AK951" s="52"/>
      <c r="AL951" s="52"/>
      <c r="AM951" s="52"/>
      <c r="AN951" s="52"/>
      <c r="AO951" s="195"/>
      <c r="AP951" s="195"/>
      <c r="AQ951" s="106"/>
      <c r="AR951" s="106"/>
      <c r="AS951" s="106"/>
      <c r="AT951" s="106"/>
      <c r="AU951" s="106"/>
      <c r="AV951" s="106"/>
      <c r="AW951" s="126"/>
      <c r="AX951" s="126"/>
      <c r="AY951" s="126"/>
      <c r="AZ951" s="126"/>
      <c r="BA951" s="126"/>
      <c r="BB951" s="160"/>
      <c r="BC951" s="160"/>
      <c r="BD951" s="160"/>
      <c r="BE951" s="160"/>
    </row>
    <row r="952" customFormat="false" ht="14.1" hidden="true" customHeight="true" outlineLevel="1" collapsed="false">
      <c r="A952" s="292" t="s">
        <v>571</v>
      </c>
      <c r="B952" s="180" t="s">
        <v>486</v>
      </c>
      <c r="C952" s="361" t="s">
        <v>44</v>
      </c>
      <c r="D952" s="467"/>
      <c r="E952" s="467"/>
      <c r="F952" s="467"/>
      <c r="G952" s="468"/>
      <c r="H952" s="468"/>
      <c r="I952" s="468"/>
      <c r="J952" s="468"/>
      <c r="K952" s="468"/>
      <c r="L952" s="468"/>
      <c r="M952" s="468"/>
      <c r="N952" s="468"/>
      <c r="O952" s="468"/>
      <c r="P952" s="468"/>
      <c r="Q952" s="468"/>
      <c r="R952" s="468"/>
      <c r="S952" s="468"/>
      <c r="T952" s="468"/>
      <c r="U952" s="468"/>
      <c r="V952" s="469"/>
      <c r="W952" s="469"/>
      <c r="X952" s="469"/>
      <c r="Y952" s="470"/>
      <c r="Z952" s="470"/>
      <c r="AA952" s="470"/>
      <c r="AB952" s="470"/>
      <c r="AC952" s="470"/>
      <c r="AD952" s="471"/>
      <c r="AE952" s="471"/>
      <c r="AF952" s="471"/>
      <c r="AG952" s="444"/>
      <c r="AH952" s="466"/>
      <c r="AI952" s="466"/>
      <c r="AJ952" s="466"/>
      <c r="AK952" s="52"/>
      <c r="AL952" s="52"/>
      <c r="AM952" s="52"/>
      <c r="AN952" s="52"/>
      <c r="AO952" s="195"/>
      <c r="AP952" s="195"/>
      <c r="AQ952" s="106"/>
      <c r="AR952" s="106"/>
      <c r="AS952" s="106"/>
      <c r="AT952" s="106"/>
      <c r="AU952" s="106"/>
      <c r="AV952" s="106"/>
      <c r="AW952" s="126"/>
      <c r="AX952" s="126"/>
      <c r="AY952" s="126"/>
      <c r="AZ952" s="126"/>
      <c r="BA952" s="126"/>
      <c r="BB952" s="160"/>
      <c r="BC952" s="160"/>
      <c r="BD952" s="160"/>
      <c r="BE952" s="160"/>
    </row>
    <row r="953" customFormat="false" ht="14.1" hidden="true" customHeight="true" outlineLevel="1" collapsed="false">
      <c r="A953" s="163" t="s">
        <v>506</v>
      </c>
      <c r="B953" s="119" t="s">
        <v>15</v>
      </c>
      <c r="C953" s="486" t="n">
        <v>0</v>
      </c>
      <c r="D953" s="467"/>
      <c r="E953" s="467"/>
      <c r="F953" s="467"/>
      <c r="G953" s="468"/>
      <c r="H953" s="468"/>
      <c r="I953" s="468"/>
      <c r="J953" s="468"/>
      <c r="K953" s="468"/>
      <c r="L953" s="468"/>
      <c r="M953" s="468"/>
      <c r="N953" s="468"/>
      <c r="O953" s="468"/>
      <c r="P953" s="468"/>
      <c r="Q953" s="468"/>
      <c r="R953" s="468"/>
      <c r="S953" s="468"/>
      <c r="T953" s="468"/>
      <c r="U953" s="468"/>
      <c r="V953" s="469"/>
      <c r="W953" s="469"/>
      <c r="X953" s="469"/>
      <c r="Y953" s="470"/>
      <c r="Z953" s="470"/>
      <c r="AA953" s="470"/>
      <c r="AB953" s="470"/>
      <c r="AC953" s="470"/>
      <c r="AD953" s="471"/>
      <c r="AE953" s="471"/>
      <c r="AF953" s="471"/>
      <c r="AG953" s="444"/>
      <c r="AH953" s="466"/>
      <c r="AI953" s="466"/>
      <c r="AJ953" s="466"/>
      <c r="AK953" s="52"/>
      <c r="AL953" s="52"/>
      <c r="AM953" s="52"/>
      <c r="AN953" s="52"/>
      <c r="AO953" s="195"/>
      <c r="AP953" s="195"/>
      <c r="AQ953" s="106"/>
      <c r="AR953" s="106"/>
      <c r="AS953" s="106"/>
      <c r="AT953" s="106"/>
      <c r="AU953" s="106"/>
      <c r="AV953" s="106"/>
      <c r="AW953" s="126"/>
      <c r="AX953" s="126"/>
      <c r="AY953" s="126"/>
      <c r="AZ953" s="126"/>
      <c r="BA953" s="126"/>
      <c r="BB953" s="160"/>
      <c r="BC953" s="160"/>
      <c r="BD953" s="160"/>
      <c r="BE953" s="160"/>
    </row>
    <row r="954" customFormat="false" ht="14.1" hidden="true" customHeight="true" outlineLevel="1" collapsed="false">
      <c r="A954" s="163" t="s">
        <v>507</v>
      </c>
      <c r="B954" s="119" t="s">
        <v>15</v>
      </c>
      <c r="C954" s="486" t="n">
        <v>0</v>
      </c>
      <c r="D954" s="467"/>
      <c r="E954" s="467"/>
      <c r="F954" s="467"/>
      <c r="G954" s="468"/>
      <c r="H954" s="468"/>
      <c r="I954" s="468"/>
      <c r="J954" s="468"/>
      <c r="K954" s="468"/>
      <c r="L954" s="468"/>
      <c r="M954" s="468"/>
      <c r="N954" s="468"/>
      <c r="O954" s="468"/>
      <c r="P954" s="468"/>
      <c r="Q954" s="468"/>
      <c r="R954" s="468"/>
      <c r="S954" s="468"/>
      <c r="T954" s="468"/>
      <c r="U954" s="468"/>
      <c r="V954" s="469"/>
      <c r="W954" s="469"/>
      <c r="X954" s="469"/>
      <c r="Y954" s="470"/>
      <c r="Z954" s="470"/>
      <c r="AA954" s="470"/>
      <c r="AB954" s="470"/>
      <c r="AC954" s="470"/>
      <c r="AD954" s="471"/>
      <c r="AE954" s="471"/>
      <c r="AF954" s="471"/>
      <c r="AG954" s="444"/>
      <c r="AH954" s="466"/>
      <c r="AI954" s="466"/>
      <c r="AJ954" s="466"/>
      <c r="AK954" s="52"/>
      <c r="AL954" s="52"/>
      <c r="AM954" s="52"/>
      <c r="AN954" s="52"/>
      <c r="AO954" s="195"/>
      <c r="AP954" s="195"/>
      <c r="AQ954" s="106"/>
      <c r="AR954" s="106"/>
      <c r="AS954" s="106"/>
      <c r="AT954" s="106"/>
      <c r="AU954" s="106"/>
      <c r="AV954" s="106"/>
      <c r="AW954" s="126"/>
      <c r="AX954" s="126"/>
      <c r="AY954" s="126"/>
      <c r="AZ954" s="126"/>
      <c r="BA954" s="126"/>
      <c r="BB954" s="160"/>
      <c r="BC954" s="160"/>
      <c r="BD954" s="160"/>
      <c r="BE954" s="160"/>
    </row>
    <row r="955" customFormat="false" ht="14.1" hidden="true" customHeight="true" outlineLevel="1" collapsed="false">
      <c r="A955" s="163" t="s">
        <v>508</v>
      </c>
      <c r="B955" s="119" t="s">
        <v>15</v>
      </c>
      <c r="C955" s="486" t="n">
        <v>0.2</v>
      </c>
      <c r="D955" s="467"/>
      <c r="E955" s="467"/>
      <c r="F955" s="467"/>
      <c r="G955" s="468"/>
      <c r="H955" s="468"/>
      <c r="I955" s="468"/>
      <c r="J955" s="468"/>
      <c r="K955" s="468"/>
      <c r="L955" s="468"/>
      <c r="M955" s="468"/>
      <c r="N955" s="468"/>
      <c r="O955" s="468"/>
      <c r="P955" s="468"/>
      <c r="Q955" s="468"/>
      <c r="R955" s="468"/>
      <c r="S955" s="468"/>
      <c r="T955" s="468"/>
      <c r="U955" s="468"/>
      <c r="V955" s="469"/>
      <c r="W955" s="469"/>
      <c r="X955" s="469"/>
      <c r="Y955" s="470"/>
      <c r="Z955" s="470"/>
      <c r="AA955" s="470"/>
      <c r="AB955" s="470"/>
      <c r="AC955" s="470"/>
      <c r="AD955" s="471"/>
      <c r="AE955" s="471"/>
      <c r="AF955" s="471"/>
      <c r="AG955" s="444"/>
      <c r="AH955" s="466"/>
      <c r="AI955" s="466"/>
      <c r="AJ955" s="466"/>
      <c r="AK955" s="52"/>
      <c r="AL955" s="52"/>
      <c r="AM955" s="52"/>
      <c r="AN955" s="52"/>
      <c r="AO955" s="195"/>
      <c r="AP955" s="195"/>
      <c r="AQ955" s="106"/>
      <c r="AR955" s="106"/>
      <c r="AS955" s="106"/>
      <c r="AT955" s="106"/>
      <c r="AU955" s="106"/>
      <c r="AV955" s="106"/>
      <c r="AW955" s="126"/>
      <c r="AX955" s="126"/>
      <c r="AY955" s="126"/>
      <c r="AZ955" s="126"/>
      <c r="BA955" s="126"/>
      <c r="BB955" s="160"/>
      <c r="BC955" s="160"/>
      <c r="BD955" s="160"/>
      <c r="BE955" s="160"/>
    </row>
    <row r="956" customFormat="false" ht="14.1" hidden="true" customHeight="true" outlineLevel="1" collapsed="false">
      <c r="A956" s="487" t="s">
        <v>218</v>
      </c>
      <c r="B956" s="119" t="s">
        <v>15</v>
      </c>
      <c r="C956" s="486" t="n">
        <v>0.1</v>
      </c>
      <c r="D956" s="467"/>
      <c r="E956" s="467"/>
      <c r="F956" s="467"/>
      <c r="G956" s="468"/>
      <c r="H956" s="468"/>
      <c r="I956" s="468"/>
      <c r="J956" s="468"/>
      <c r="K956" s="468"/>
      <c r="L956" s="468"/>
      <c r="M956" s="468"/>
      <c r="N956" s="468"/>
      <c r="O956" s="468"/>
      <c r="P956" s="468"/>
      <c r="Q956" s="468"/>
      <c r="R956" s="468"/>
      <c r="S956" s="468"/>
      <c r="T956" s="468"/>
      <c r="U956" s="468"/>
      <c r="V956" s="469"/>
      <c r="W956" s="469"/>
      <c r="X956" s="469"/>
      <c r="Y956" s="470"/>
      <c r="Z956" s="470"/>
      <c r="AA956" s="470"/>
      <c r="AB956" s="470"/>
      <c r="AC956" s="470"/>
      <c r="AD956" s="471"/>
      <c r="AE956" s="471"/>
      <c r="AF956" s="471"/>
      <c r="AG956" s="444"/>
      <c r="AH956" s="466"/>
      <c r="AI956" s="466"/>
      <c r="AJ956" s="466"/>
      <c r="AK956" s="52"/>
      <c r="AL956" s="52"/>
      <c r="AM956" s="52"/>
      <c r="AN956" s="52"/>
      <c r="AO956" s="195"/>
      <c r="AP956" s="195"/>
      <c r="AQ956" s="106"/>
      <c r="AR956" s="106"/>
      <c r="AS956" s="106"/>
      <c r="AT956" s="106"/>
      <c r="AU956" s="106"/>
      <c r="AV956" s="106"/>
      <c r="AW956" s="126"/>
      <c r="AX956" s="126"/>
      <c r="AY956" s="126"/>
      <c r="AZ956" s="126"/>
      <c r="BA956" s="126"/>
      <c r="BB956" s="160"/>
      <c r="BC956" s="160"/>
      <c r="BD956" s="160"/>
      <c r="BE956" s="160"/>
    </row>
    <row r="957" customFormat="false" ht="14.1" hidden="true" customHeight="true" outlineLevel="1" collapsed="false">
      <c r="A957" s="163" t="s">
        <v>572</v>
      </c>
      <c r="B957" s="119" t="s">
        <v>15</v>
      </c>
      <c r="C957" s="486" t="n">
        <v>0.25</v>
      </c>
      <c r="D957" s="272"/>
      <c r="E957" s="138"/>
      <c r="F957" s="138"/>
      <c r="G957" s="165"/>
      <c r="H957" s="173"/>
      <c r="I957" s="212"/>
      <c r="J957" s="259"/>
      <c r="K957" s="220"/>
      <c r="L957" s="220"/>
      <c r="M957" s="259"/>
      <c r="N957" s="165"/>
      <c r="O957" s="165"/>
      <c r="P957" s="165"/>
      <c r="Q957" s="165"/>
      <c r="R957" s="165"/>
      <c r="S957" s="165"/>
      <c r="T957" s="165"/>
      <c r="U957" s="150"/>
      <c r="V957" s="444"/>
      <c r="W957" s="444"/>
      <c r="X957" s="444"/>
      <c r="Y957" s="444"/>
      <c r="Z957" s="444"/>
      <c r="AA957" s="444"/>
      <c r="AB957" s="444"/>
      <c r="AC957" s="444"/>
      <c r="AD957" s="444"/>
      <c r="AE957" s="444"/>
      <c r="AF957" s="444"/>
      <c r="AG957" s="444"/>
      <c r="AH957" s="466"/>
      <c r="AI957" s="466"/>
      <c r="AJ957" s="466"/>
      <c r="AK957" s="52"/>
      <c r="AL957" s="52"/>
      <c r="AM957" s="52"/>
      <c r="AN957" s="52"/>
      <c r="AO957" s="195"/>
      <c r="AP957" s="195"/>
      <c r="AQ957" s="106"/>
      <c r="AR957" s="106"/>
      <c r="AS957" s="106"/>
      <c r="AT957" s="106"/>
      <c r="AU957" s="106"/>
      <c r="AV957" s="106"/>
      <c r="AW957" s="126"/>
      <c r="AX957" s="126"/>
      <c r="AY957" s="126"/>
      <c r="AZ957" s="126"/>
      <c r="BA957" s="126"/>
      <c r="BB957" s="21"/>
      <c r="BC957" s="21"/>
      <c r="BD957" s="21"/>
      <c r="BE957" s="21"/>
    </row>
    <row r="958" customFormat="false" ht="14.1" hidden="true" customHeight="true" outlineLevel="1" collapsed="false">
      <c r="A958" s="163" t="s">
        <v>573</v>
      </c>
      <c r="B958" s="119" t="s">
        <v>15</v>
      </c>
      <c r="C958" s="486" t="n">
        <v>0.2</v>
      </c>
      <c r="D958" s="276"/>
      <c r="E958" s="272"/>
      <c r="F958" s="272"/>
      <c r="G958" s="165"/>
      <c r="H958" s="173"/>
      <c r="I958" s="212"/>
      <c r="J958" s="259"/>
      <c r="K958" s="220"/>
      <c r="L958" s="220"/>
      <c r="M958" s="259"/>
      <c r="N958" s="165"/>
      <c r="O958" s="165"/>
      <c r="P958" s="165"/>
      <c r="Q958" s="165"/>
      <c r="R958" s="165"/>
      <c r="S958" s="165"/>
      <c r="T958" s="165"/>
      <c r="U958" s="150"/>
      <c r="V958" s="165"/>
      <c r="W958" s="165"/>
      <c r="X958" s="165"/>
      <c r="Y958" s="165"/>
      <c r="Z958" s="165"/>
      <c r="AA958" s="165"/>
      <c r="AB958" s="165"/>
      <c r="AC958" s="165"/>
      <c r="AD958" s="165"/>
      <c r="AE958" s="165"/>
      <c r="AF958" s="165"/>
      <c r="AG958" s="165"/>
      <c r="AH958" s="52"/>
      <c r="AI958" s="52"/>
      <c r="AJ958" s="52"/>
      <c r="AK958" s="52"/>
      <c r="AL958" s="52"/>
      <c r="AM958" s="52"/>
      <c r="AN958" s="52"/>
      <c r="AO958" s="195"/>
      <c r="AP958" s="195"/>
      <c r="AQ958" s="106"/>
      <c r="AR958" s="106"/>
      <c r="AS958" s="106"/>
      <c r="AT958" s="106"/>
      <c r="AU958" s="106"/>
      <c r="AV958" s="106"/>
      <c r="AW958" s="126"/>
      <c r="AX958" s="126"/>
      <c r="AY958" s="126"/>
      <c r="AZ958" s="126"/>
      <c r="BA958" s="126"/>
      <c r="BB958" s="21"/>
      <c r="BC958" s="21"/>
      <c r="BD958" s="21"/>
      <c r="BE958" s="21"/>
    </row>
    <row r="959" customFormat="false" ht="14.1" hidden="true" customHeight="true" outlineLevel="1" collapsed="false">
      <c r="A959" s="163" t="s">
        <v>574</v>
      </c>
      <c r="B959" s="119" t="s">
        <v>48</v>
      </c>
      <c r="C959" s="486" t="n">
        <v>2</v>
      </c>
      <c r="D959" s="272"/>
      <c r="E959" s="138"/>
      <c r="F959" s="138"/>
      <c r="G959" s="26"/>
      <c r="H959" s="165"/>
      <c r="I959" s="212"/>
      <c r="J959" s="259"/>
      <c r="K959" s="220"/>
      <c r="L959" s="220"/>
      <c r="M959" s="259"/>
      <c r="N959" s="165"/>
      <c r="O959" s="165"/>
      <c r="P959" s="165"/>
      <c r="Q959" s="165"/>
      <c r="R959" s="165"/>
      <c r="S959" s="165"/>
      <c r="T959" s="165"/>
      <c r="U959" s="150"/>
      <c r="V959" s="165"/>
      <c r="W959" s="165"/>
      <c r="X959" s="165"/>
      <c r="Y959" s="165"/>
      <c r="Z959" s="165"/>
      <c r="AA959" s="165"/>
      <c r="AB959" s="165"/>
      <c r="AC959" s="165"/>
      <c r="AD959" s="165"/>
      <c r="AE959" s="165"/>
      <c r="AF959" s="165"/>
      <c r="AG959" s="165"/>
      <c r="AH959" s="52"/>
      <c r="AI959" s="52"/>
      <c r="AJ959" s="52"/>
      <c r="AK959" s="52"/>
      <c r="AL959" s="52"/>
      <c r="AM959" s="52"/>
      <c r="AN959" s="52"/>
      <c r="AO959" s="195"/>
      <c r="AP959" s="195"/>
      <c r="AQ959" s="106"/>
      <c r="AR959" s="106"/>
      <c r="AS959" s="106"/>
      <c r="AT959" s="106"/>
      <c r="AU959" s="106"/>
      <c r="AV959" s="106"/>
      <c r="AW959" s="126"/>
      <c r="AX959" s="126"/>
      <c r="AY959" s="126"/>
      <c r="AZ959" s="126"/>
      <c r="BA959" s="126"/>
      <c r="BB959" s="21"/>
      <c r="BC959" s="21"/>
      <c r="BD959" s="21"/>
      <c r="BE959" s="21"/>
    </row>
    <row r="960" customFormat="false" ht="14.1" hidden="true" customHeight="true" outlineLevel="1" collapsed="false">
      <c r="A960" s="454" t="s">
        <v>575</v>
      </c>
      <c r="B960" s="277"/>
      <c r="C960" s="298"/>
      <c r="D960" s="272"/>
      <c r="E960" s="138"/>
      <c r="F960" s="138"/>
      <c r="G960" s="26"/>
      <c r="H960" s="165"/>
      <c r="I960" s="212"/>
      <c r="J960" s="259"/>
      <c r="K960" s="220"/>
      <c r="L960" s="220"/>
      <c r="M960" s="259"/>
      <c r="N960" s="165"/>
      <c r="O960" s="165"/>
      <c r="P960" s="165"/>
      <c r="Q960" s="165"/>
      <c r="R960" s="165"/>
      <c r="S960" s="165"/>
      <c r="T960" s="165"/>
      <c r="U960" s="150"/>
      <c r="V960" s="165"/>
      <c r="W960" s="165"/>
      <c r="X960" s="165"/>
      <c r="Y960" s="165"/>
      <c r="Z960" s="165"/>
      <c r="AA960" s="165"/>
      <c r="AB960" s="165"/>
      <c r="AC960" s="165"/>
      <c r="AD960" s="165"/>
      <c r="AE960" s="165"/>
      <c r="AF960" s="165"/>
      <c r="AG960" s="165"/>
      <c r="AH960" s="52"/>
      <c r="AI960" s="52"/>
      <c r="AJ960" s="52"/>
      <c r="AK960" s="52"/>
      <c r="AL960" s="52"/>
      <c r="AM960" s="52"/>
      <c r="AN960" s="52"/>
      <c r="AO960" s="195"/>
      <c r="AP960" s="195"/>
      <c r="AQ960" s="106"/>
      <c r="AR960" s="106"/>
      <c r="AS960" s="106"/>
      <c r="AT960" s="106"/>
      <c r="AU960" s="106"/>
      <c r="AV960" s="106"/>
      <c r="AW960" s="126"/>
      <c r="AX960" s="126"/>
      <c r="AY960" s="126"/>
      <c r="AZ960" s="126"/>
      <c r="BA960" s="126"/>
      <c r="BB960" s="21"/>
      <c r="BC960" s="21"/>
      <c r="BD960" s="21"/>
      <c r="BE960" s="21"/>
    </row>
    <row r="961" customFormat="false" ht="14.1" hidden="true" customHeight="true" outlineLevel="1" collapsed="false">
      <c r="A961" s="488" t="s">
        <v>218</v>
      </c>
      <c r="B961" s="277"/>
      <c r="C961" s="298"/>
      <c r="D961" s="272"/>
      <c r="E961" s="138"/>
      <c r="F961" s="138"/>
      <c r="G961" s="26"/>
      <c r="H961" s="165"/>
      <c r="I961" s="212"/>
      <c r="J961" s="259"/>
      <c r="K961" s="220"/>
      <c r="L961" s="220"/>
      <c r="M961" s="259"/>
      <c r="N961" s="165"/>
      <c r="O961" s="165"/>
      <c r="P961" s="165"/>
      <c r="Q961" s="165"/>
      <c r="R961" s="165"/>
      <c r="S961" s="165"/>
      <c r="T961" s="165"/>
      <c r="U961" s="150"/>
      <c r="V961" s="165"/>
      <c r="W961" s="165"/>
      <c r="X961" s="165"/>
      <c r="Y961" s="165"/>
      <c r="Z961" s="165"/>
      <c r="AA961" s="165"/>
      <c r="AB961" s="165"/>
      <c r="AC961" s="165"/>
      <c r="AD961" s="165"/>
      <c r="AE961" s="165"/>
      <c r="AF961" s="165"/>
      <c r="AG961" s="165"/>
      <c r="AH961" s="52"/>
      <c r="AI961" s="52"/>
      <c r="AJ961" s="52"/>
      <c r="AK961" s="52"/>
      <c r="AL961" s="52"/>
      <c r="AM961" s="52"/>
      <c r="AN961" s="52"/>
      <c r="AO961" s="195"/>
      <c r="AP961" s="195"/>
      <c r="AQ961" s="106"/>
      <c r="AR961" s="106"/>
      <c r="AS961" s="106"/>
      <c r="AT961" s="106"/>
      <c r="AU961" s="106"/>
      <c r="AV961" s="106"/>
      <c r="AW961" s="126"/>
      <c r="AX961" s="126"/>
      <c r="AY961" s="126"/>
      <c r="AZ961" s="126"/>
      <c r="BA961" s="126"/>
      <c r="BB961" s="21"/>
      <c r="BC961" s="21"/>
      <c r="BD961" s="21"/>
      <c r="BE961" s="21"/>
    </row>
    <row r="962" customFormat="false" ht="14.1" hidden="true" customHeight="true" outlineLevel="1" collapsed="false">
      <c r="A962" s="405" t="s">
        <v>527</v>
      </c>
      <c r="B962" s="119" t="s">
        <v>486</v>
      </c>
      <c r="C962" s="347" t="s">
        <v>44</v>
      </c>
      <c r="D962" s="272"/>
      <c r="E962" s="138"/>
      <c r="F962" s="138"/>
      <c r="G962" s="26"/>
      <c r="H962" s="165"/>
      <c r="I962" s="212"/>
      <c r="J962" s="259"/>
      <c r="K962" s="220"/>
      <c r="L962" s="220"/>
      <c r="M962" s="259"/>
      <c r="N962" s="165"/>
      <c r="O962" s="165"/>
      <c r="P962" s="165"/>
      <c r="Q962" s="165"/>
      <c r="R962" s="165"/>
      <c r="S962" s="165"/>
      <c r="T962" s="165"/>
      <c r="U962" s="150"/>
      <c r="V962" s="165"/>
      <c r="W962" s="165"/>
      <c r="X962" s="165"/>
      <c r="Y962" s="165"/>
      <c r="Z962" s="165"/>
      <c r="AA962" s="165"/>
      <c r="AB962" s="165"/>
      <c r="AC962" s="165"/>
      <c r="AD962" s="165"/>
      <c r="AE962" s="165"/>
      <c r="AF962" s="165"/>
      <c r="AG962" s="165"/>
      <c r="AH962" s="52"/>
      <c r="AI962" s="52"/>
      <c r="AJ962" s="52"/>
      <c r="AK962" s="52"/>
      <c r="AL962" s="52"/>
      <c r="AM962" s="52"/>
      <c r="AN962" s="52"/>
      <c r="AO962" s="195"/>
      <c r="AP962" s="195"/>
      <c r="AQ962" s="106"/>
      <c r="AR962" s="106"/>
      <c r="AS962" s="106"/>
      <c r="AT962" s="106"/>
      <c r="AU962" s="106"/>
      <c r="AV962" s="106"/>
      <c r="AW962" s="126"/>
      <c r="AX962" s="126"/>
      <c r="AY962" s="126"/>
      <c r="AZ962" s="126"/>
      <c r="BA962" s="126"/>
      <c r="BB962" s="21"/>
      <c r="BC962" s="21"/>
      <c r="BD962" s="21"/>
      <c r="BE962" s="21"/>
    </row>
    <row r="963" customFormat="false" ht="14.1" hidden="true" customHeight="true" outlineLevel="1" collapsed="false">
      <c r="A963" s="149" t="s">
        <v>576</v>
      </c>
      <c r="B963" s="119" t="s">
        <v>486</v>
      </c>
      <c r="C963" s="347" t="s">
        <v>56</v>
      </c>
      <c r="D963" s="272"/>
      <c r="E963" s="138"/>
      <c r="F963" s="138"/>
      <c r="G963" s="26"/>
      <c r="H963" s="165"/>
      <c r="I963" s="212"/>
      <c r="J963" s="259"/>
      <c r="K963" s="220"/>
      <c r="L963" s="220"/>
      <c r="M963" s="259"/>
      <c r="N963" s="165"/>
      <c r="O963" s="165"/>
      <c r="P963" s="165"/>
      <c r="Q963" s="165"/>
      <c r="R963" s="165"/>
      <c r="S963" s="165"/>
      <c r="T963" s="165"/>
      <c r="U963" s="150"/>
      <c r="V963" s="165"/>
      <c r="W963" s="165"/>
      <c r="X963" s="165"/>
      <c r="Y963" s="165"/>
      <c r="Z963" s="165"/>
      <c r="AA963" s="165"/>
      <c r="AB963" s="165"/>
      <c r="AC963" s="165"/>
      <c r="AD963" s="165"/>
      <c r="AE963" s="165"/>
      <c r="AF963" s="165"/>
      <c r="AG963" s="165"/>
      <c r="AH963" s="52"/>
      <c r="AI963" s="52"/>
      <c r="AJ963" s="52"/>
      <c r="AK963" s="52"/>
      <c r="AL963" s="52"/>
      <c r="AM963" s="52"/>
      <c r="AN963" s="52"/>
      <c r="AO963" s="195"/>
      <c r="AP963" s="195"/>
      <c r="AQ963" s="106"/>
      <c r="AR963" s="106"/>
      <c r="AS963" s="106"/>
      <c r="AT963" s="106"/>
      <c r="AU963" s="106"/>
      <c r="AV963" s="106"/>
      <c r="AW963" s="126"/>
      <c r="AX963" s="126"/>
      <c r="AY963" s="126"/>
      <c r="AZ963" s="126"/>
      <c r="BA963" s="126"/>
      <c r="BB963" s="21"/>
      <c r="BC963" s="21"/>
      <c r="BD963" s="21"/>
      <c r="BE963" s="21"/>
    </row>
    <row r="964" customFormat="false" ht="14.1" hidden="true" customHeight="true" outlineLevel="1" collapsed="false">
      <c r="A964" s="231" t="s">
        <v>577</v>
      </c>
      <c r="B964" s="119" t="s">
        <v>15</v>
      </c>
      <c r="C964" s="486" t="n">
        <v>6</v>
      </c>
      <c r="D964" s="272"/>
      <c r="E964" s="138"/>
      <c r="F964" s="138"/>
      <c r="G964" s="26"/>
      <c r="H964" s="165"/>
      <c r="I964" s="212"/>
      <c r="J964" s="259"/>
      <c r="K964" s="220"/>
      <c r="L964" s="220"/>
      <c r="M964" s="259"/>
      <c r="N964" s="165"/>
      <c r="O964" s="165"/>
      <c r="P964" s="165"/>
      <c r="Q964" s="165"/>
      <c r="R964" s="165"/>
      <c r="S964" s="165"/>
      <c r="T964" s="165"/>
      <c r="U964" s="150"/>
      <c r="V964" s="165"/>
      <c r="W964" s="165"/>
      <c r="X964" s="165"/>
      <c r="Y964" s="165"/>
      <c r="Z964" s="165"/>
      <c r="AA964" s="165"/>
      <c r="AB964" s="165"/>
      <c r="AC964" s="165"/>
      <c r="AD964" s="165"/>
      <c r="AE964" s="165"/>
      <c r="AF964" s="165"/>
      <c r="AG964" s="165"/>
      <c r="AH964" s="52"/>
      <c r="AI964" s="52"/>
      <c r="AJ964" s="52"/>
      <c r="AK964" s="52"/>
      <c r="AL964" s="52"/>
      <c r="AM964" s="52"/>
      <c r="AN964" s="52"/>
      <c r="AO964" s="195"/>
      <c r="AP964" s="195"/>
      <c r="AQ964" s="106"/>
      <c r="AR964" s="106"/>
      <c r="AS964" s="106"/>
      <c r="AT964" s="106"/>
      <c r="AU964" s="106"/>
      <c r="AV964" s="106"/>
      <c r="AW964" s="126"/>
      <c r="AX964" s="126"/>
      <c r="AY964" s="126"/>
      <c r="AZ964" s="126"/>
      <c r="BA964" s="126"/>
      <c r="BB964" s="21"/>
      <c r="BC964" s="21"/>
      <c r="BD964" s="21"/>
      <c r="BE964" s="21"/>
    </row>
    <row r="965" customFormat="false" ht="14.1" hidden="true" customHeight="true" outlineLevel="1" collapsed="false">
      <c r="A965" s="149" t="s">
        <v>578</v>
      </c>
      <c r="B965" s="119" t="s">
        <v>48</v>
      </c>
      <c r="C965" s="486" t="n">
        <v>2</v>
      </c>
      <c r="D965" s="272"/>
      <c r="E965" s="138"/>
      <c r="F965" s="138"/>
      <c r="G965" s="26"/>
      <c r="H965" s="165"/>
      <c r="I965" s="212"/>
      <c r="J965" s="259"/>
      <c r="K965" s="220"/>
      <c r="L965" s="220"/>
      <c r="M965" s="259"/>
      <c r="N965" s="165"/>
      <c r="O965" s="165"/>
      <c r="P965" s="165"/>
      <c r="Q965" s="165"/>
      <c r="R965" s="165"/>
      <c r="S965" s="165"/>
      <c r="T965" s="165"/>
      <c r="U965" s="150"/>
      <c r="V965" s="165"/>
      <c r="W965" s="165"/>
      <c r="X965" s="165"/>
      <c r="Y965" s="165"/>
      <c r="Z965" s="165"/>
      <c r="AA965" s="165"/>
      <c r="AB965" s="165"/>
      <c r="AC965" s="165"/>
      <c r="AD965" s="165"/>
      <c r="AE965" s="165"/>
      <c r="AF965" s="165"/>
      <c r="AG965" s="165"/>
      <c r="AH965" s="52"/>
      <c r="AI965" s="52"/>
      <c r="AJ965" s="52"/>
      <c r="AK965" s="52"/>
      <c r="AL965" s="52"/>
      <c r="AM965" s="52"/>
      <c r="AN965" s="52"/>
      <c r="AO965" s="195"/>
      <c r="AP965" s="195"/>
      <c r="AQ965" s="106"/>
      <c r="AR965" s="106"/>
      <c r="AS965" s="106"/>
      <c r="AT965" s="106"/>
      <c r="AU965" s="106"/>
      <c r="AV965" s="106"/>
      <c r="AW965" s="126"/>
      <c r="AX965" s="126"/>
      <c r="AY965" s="126"/>
      <c r="AZ965" s="126"/>
      <c r="BA965" s="126"/>
      <c r="BB965" s="21"/>
      <c r="BC965" s="21"/>
      <c r="BD965" s="21"/>
      <c r="BE965" s="21"/>
    </row>
    <row r="966" customFormat="false" ht="14.1" hidden="true" customHeight="true" outlineLevel="1" collapsed="false">
      <c r="A966" s="275"/>
      <c r="B966" s="277"/>
      <c r="C966" s="349"/>
      <c r="D966" s="272"/>
      <c r="E966" s="138"/>
      <c r="F966" s="138"/>
      <c r="G966" s="26"/>
      <c r="H966" s="165"/>
      <c r="I966" s="212"/>
      <c r="J966" s="259"/>
      <c r="K966" s="220"/>
      <c r="L966" s="220"/>
      <c r="M966" s="259"/>
      <c r="N966" s="165"/>
      <c r="O966" s="165"/>
      <c r="P966" s="165"/>
      <c r="Q966" s="165"/>
      <c r="R966" s="165"/>
      <c r="S966" s="165"/>
      <c r="T966" s="165"/>
      <c r="U966" s="150"/>
      <c r="V966" s="165"/>
      <c r="W966" s="165"/>
      <c r="X966" s="165"/>
      <c r="Y966" s="165"/>
      <c r="Z966" s="165"/>
      <c r="AA966" s="165"/>
      <c r="AB966" s="165"/>
      <c r="AC966" s="165"/>
      <c r="AD966" s="165"/>
      <c r="AE966" s="165"/>
      <c r="AF966" s="165"/>
      <c r="AG966" s="165"/>
      <c r="AH966" s="52"/>
      <c r="AI966" s="52"/>
      <c r="AJ966" s="52"/>
      <c r="AK966" s="52"/>
      <c r="AL966" s="52"/>
      <c r="AM966" s="52"/>
      <c r="AN966" s="52"/>
      <c r="AO966" s="195"/>
      <c r="AP966" s="195"/>
      <c r="AQ966" s="106"/>
      <c r="AR966" s="106"/>
      <c r="AS966" s="106"/>
      <c r="AT966" s="106"/>
      <c r="AU966" s="106"/>
      <c r="AV966" s="106"/>
      <c r="AW966" s="126"/>
      <c r="AX966" s="126"/>
      <c r="AY966" s="126"/>
      <c r="AZ966" s="126"/>
      <c r="BA966" s="126"/>
      <c r="BB966" s="21"/>
      <c r="BC966" s="21"/>
      <c r="BD966" s="21"/>
      <c r="BE966" s="21"/>
    </row>
    <row r="967" customFormat="false" ht="14.1" hidden="true" customHeight="true" outlineLevel="1" collapsed="false">
      <c r="A967" s="489" t="s">
        <v>226</v>
      </c>
      <c r="B967" s="180" t="s">
        <v>109</v>
      </c>
      <c r="C967" s="239" t="n">
        <v>0</v>
      </c>
      <c r="D967" s="272"/>
      <c r="E967" s="138"/>
      <c r="F967" s="138"/>
      <c r="G967" s="26"/>
      <c r="H967" s="132"/>
      <c r="I967" s="212"/>
      <c r="J967" s="259"/>
      <c r="K967" s="220"/>
      <c r="L967" s="220"/>
      <c r="M967" s="259"/>
      <c r="N967" s="165"/>
      <c r="O967" s="165"/>
      <c r="P967" s="165"/>
      <c r="Q967" s="165"/>
      <c r="R967" s="165"/>
      <c r="S967" s="165"/>
      <c r="T967" s="165"/>
      <c r="U967" s="150"/>
      <c r="V967" s="165"/>
      <c r="W967" s="165"/>
      <c r="X967" s="165"/>
      <c r="Y967" s="165"/>
      <c r="Z967" s="165"/>
      <c r="AA967" s="165"/>
      <c r="AB967" s="165"/>
      <c r="AC967" s="165"/>
      <c r="AD967" s="165"/>
      <c r="AE967" s="165"/>
      <c r="AF967" s="165"/>
      <c r="AG967" s="165"/>
      <c r="AH967" s="52"/>
      <c r="AI967" s="52"/>
      <c r="AJ967" s="52"/>
      <c r="AK967" s="52"/>
      <c r="AL967" s="52"/>
      <c r="AM967" s="52"/>
      <c r="AN967" s="52"/>
      <c r="AO967" s="195"/>
      <c r="AP967" s="195"/>
      <c r="AQ967" s="106"/>
      <c r="AR967" s="106"/>
      <c r="AS967" s="106"/>
      <c r="AT967" s="106"/>
      <c r="AU967" s="106"/>
      <c r="AV967" s="106"/>
      <c r="AW967" s="126"/>
      <c r="AX967" s="126"/>
      <c r="AY967" s="126"/>
      <c r="AZ967" s="126"/>
      <c r="BA967" s="126"/>
      <c r="BB967" s="21"/>
      <c r="BC967" s="21"/>
      <c r="BD967" s="21"/>
      <c r="BE967" s="21"/>
    </row>
    <row r="968" customFormat="false" ht="14.1" hidden="true" customHeight="true" outlineLevel="1" collapsed="false">
      <c r="A968" s="147" t="s">
        <v>226</v>
      </c>
      <c r="B968" s="148" t="s">
        <v>109</v>
      </c>
      <c r="C968" s="151" t="n">
        <v>0</v>
      </c>
      <c r="D968" s="272"/>
      <c r="E968" s="272"/>
      <c r="F968" s="272"/>
      <c r="G968" s="165"/>
      <c r="H968" s="186"/>
      <c r="I968" s="212"/>
      <c r="J968" s="259"/>
      <c r="K968" s="220"/>
      <c r="L968" s="220"/>
      <c r="M968" s="259"/>
      <c r="N968" s="165"/>
      <c r="O968" s="165"/>
      <c r="P968" s="165"/>
      <c r="Q968" s="165"/>
      <c r="R968" s="165"/>
      <c r="S968" s="165"/>
      <c r="T968" s="165"/>
      <c r="U968" s="150"/>
      <c r="V968" s="165"/>
      <c r="W968" s="165"/>
      <c r="X968" s="165"/>
      <c r="Y968" s="165"/>
      <c r="Z968" s="165"/>
      <c r="AA968" s="165"/>
      <c r="AB968" s="165"/>
      <c r="AC968" s="165"/>
      <c r="AD968" s="165"/>
      <c r="AE968" s="165"/>
      <c r="AF968" s="165"/>
      <c r="AG968" s="165"/>
      <c r="AH968" s="52"/>
      <c r="AI968" s="52"/>
      <c r="AJ968" s="52"/>
      <c r="AK968" s="52"/>
      <c r="AL968" s="52"/>
      <c r="AM968" s="52"/>
      <c r="AN968" s="52"/>
      <c r="AO968" s="195"/>
      <c r="AP968" s="195"/>
      <c r="AQ968" s="106"/>
      <c r="AR968" s="106"/>
      <c r="AS968" s="106"/>
      <c r="AT968" s="106"/>
      <c r="AU968" s="106"/>
      <c r="AV968" s="106"/>
      <c r="AW968" s="126"/>
      <c r="AX968" s="126"/>
      <c r="AY968" s="126"/>
      <c r="AZ968" s="126"/>
      <c r="BA968" s="126"/>
      <c r="BB968" s="21"/>
      <c r="BC968" s="21"/>
      <c r="BD968" s="21"/>
      <c r="BE968" s="21"/>
    </row>
    <row r="969" customFormat="false" ht="14.1" hidden="true" customHeight="true" outlineLevel="1" collapsed="false">
      <c r="A969" s="490" t="s">
        <v>226</v>
      </c>
      <c r="B969" s="148" t="s">
        <v>109</v>
      </c>
      <c r="C969" s="151" t="n">
        <v>0</v>
      </c>
      <c r="D969" s="275"/>
      <c r="E969" s="138"/>
      <c r="F969" s="138"/>
      <c r="G969" s="26"/>
      <c r="H969" s="241"/>
      <c r="I969" s="212"/>
      <c r="J969" s="259"/>
      <c r="K969" s="220"/>
      <c r="L969" s="220"/>
      <c r="M969" s="259"/>
      <c r="N969" s="165"/>
      <c r="O969" s="165"/>
      <c r="P969" s="165"/>
      <c r="Q969" s="165"/>
      <c r="R969" s="165"/>
      <c r="S969" s="165"/>
      <c r="T969" s="165"/>
      <c r="U969" s="150"/>
      <c r="V969" s="165"/>
      <c r="W969" s="165"/>
      <c r="X969" s="165"/>
      <c r="Y969" s="165"/>
      <c r="Z969" s="165"/>
      <c r="AA969" s="165"/>
      <c r="AB969" s="165"/>
      <c r="AC969" s="165"/>
      <c r="AD969" s="165"/>
      <c r="AE969" s="165"/>
      <c r="AF969" s="165"/>
      <c r="AG969" s="165"/>
      <c r="AH969" s="52"/>
      <c r="AI969" s="52"/>
      <c r="AJ969" s="52"/>
      <c r="AK969" s="52"/>
      <c r="AL969" s="52"/>
      <c r="AM969" s="52"/>
      <c r="AN969" s="52"/>
      <c r="AO969" s="195"/>
      <c r="AP969" s="195"/>
      <c r="AQ969" s="106"/>
      <c r="AR969" s="106"/>
      <c r="AS969" s="106"/>
      <c r="AT969" s="106"/>
      <c r="AU969" s="106"/>
      <c r="AV969" s="106"/>
      <c r="AW969" s="126"/>
      <c r="AX969" s="126"/>
      <c r="AY969" s="126"/>
      <c r="AZ969" s="126"/>
      <c r="BA969" s="126"/>
      <c r="BB969" s="21"/>
      <c r="BC969" s="21"/>
      <c r="BD969" s="21"/>
      <c r="BE969" s="21"/>
    </row>
    <row r="970" customFormat="false" ht="14.1" hidden="true" customHeight="true" outlineLevel="1" collapsed="false">
      <c r="A970" s="490" t="s">
        <v>226</v>
      </c>
      <c r="B970" s="148" t="s">
        <v>109</v>
      </c>
      <c r="C970" s="151" t="n">
        <v>0</v>
      </c>
      <c r="D970" s="275"/>
      <c r="E970" s="138"/>
      <c r="F970" s="138"/>
      <c r="G970" s="26"/>
      <c r="H970" s="132"/>
      <c r="I970" s="212"/>
      <c r="J970" s="259"/>
      <c r="K970" s="220"/>
      <c r="L970" s="220"/>
      <c r="M970" s="259"/>
      <c r="N970" s="165"/>
      <c r="O970" s="165"/>
      <c r="P970" s="165"/>
      <c r="Q970" s="165"/>
      <c r="R970" s="165"/>
      <c r="S970" s="165"/>
      <c r="T970" s="165"/>
      <c r="U970" s="150"/>
      <c r="V970" s="165"/>
      <c r="W970" s="165"/>
      <c r="X970" s="165"/>
      <c r="Y970" s="165"/>
      <c r="Z970" s="165"/>
      <c r="AA970" s="165"/>
      <c r="AB970" s="165"/>
      <c r="AC970" s="165"/>
      <c r="AD970" s="165"/>
      <c r="AE970" s="165"/>
      <c r="AF970" s="165"/>
      <c r="AG970" s="165"/>
      <c r="AH970" s="52"/>
      <c r="AI970" s="52"/>
      <c r="AJ970" s="52"/>
      <c r="AK970" s="52"/>
      <c r="AL970" s="52"/>
      <c r="AM970" s="52"/>
      <c r="AN970" s="52"/>
      <c r="AO970" s="195"/>
      <c r="AP970" s="195"/>
      <c r="AQ970" s="106"/>
      <c r="AR970" s="106"/>
      <c r="AS970" s="106"/>
      <c r="AT970" s="106"/>
      <c r="AU970" s="106"/>
      <c r="AV970" s="106"/>
      <c r="AW970" s="126"/>
      <c r="AX970" s="126"/>
      <c r="AY970" s="126"/>
      <c r="AZ970" s="126"/>
      <c r="BA970" s="126"/>
      <c r="BB970" s="21"/>
      <c r="BC970" s="21"/>
      <c r="BD970" s="21"/>
      <c r="BE970" s="21"/>
    </row>
    <row r="971" customFormat="false" ht="14.1" hidden="true" customHeight="true" outlineLevel="1" collapsed="false">
      <c r="A971" s="355"/>
      <c r="B971" s="235"/>
      <c r="C971" s="138"/>
      <c r="D971" s="275"/>
      <c r="E971" s="138"/>
      <c r="F971" s="138"/>
      <c r="G971" s="26"/>
      <c r="H971" s="132"/>
      <c r="I971" s="212"/>
      <c r="J971" s="259"/>
      <c r="K971" s="220"/>
      <c r="L971" s="220"/>
      <c r="M971" s="259"/>
      <c r="N971" s="165"/>
      <c r="O971" s="165"/>
      <c r="P971" s="165"/>
      <c r="Q971" s="165"/>
      <c r="R971" s="165"/>
      <c r="S971" s="165"/>
      <c r="T971" s="165"/>
      <c r="U971" s="150"/>
      <c r="V971" s="165"/>
      <c r="W971" s="165"/>
      <c r="X971" s="165"/>
      <c r="Y971" s="165"/>
      <c r="Z971" s="165"/>
      <c r="AA971" s="165"/>
      <c r="AB971" s="165"/>
      <c r="AC971" s="165"/>
      <c r="AD971" s="165"/>
      <c r="AE971" s="165"/>
      <c r="AF971" s="165"/>
      <c r="AG971" s="165"/>
      <c r="AH971" s="52"/>
      <c r="AI971" s="52"/>
      <c r="AJ971" s="52"/>
      <c r="AK971" s="52"/>
      <c r="AL971" s="52"/>
      <c r="AM971" s="52"/>
      <c r="AN971" s="52"/>
      <c r="AO971" s="195"/>
      <c r="AP971" s="195"/>
      <c r="AQ971" s="106"/>
      <c r="AR971" s="106"/>
      <c r="AS971" s="106"/>
      <c r="AT971" s="106"/>
      <c r="AU971" s="106"/>
      <c r="AV971" s="106"/>
      <c r="AW971" s="126"/>
      <c r="AX971" s="126"/>
      <c r="AY971" s="126"/>
      <c r="AZ971" s="126"/>
      <c r="BA971" s="126"/>
      <c r="BB971" s="21"/>
      <c r="BC971" s="21"/>
      <c r="BD971" s="21"/>
      <c r="BE971" s="21"/>
    </row>
    <row r="972" customFormat="false" ht="14.1" hidden="true" customHeight="true" outlineLevel="1" collapsed="false">
      <c r="A972" s="239" t="s">
        <v>579</v>
      </c>
      <c r="B972" s="119" t="s">
        <v>113</v>
      </c>
      <c r="C972" s="491" t="n">
        <v>5000</v>
      </c>
      <c r="D972" s="275"/>
      <c r="E972" s="138"/>
      <c r="F972" s="138"/>
      <c r="G972" s="26"/>
      <c r="H972" s="132"/>
      <c r="I972" s="212"/>
      <c r="J972" s="259"/>
      <c r="K972" s="220"/>
      <c r="L972" s="220"/>
      <c r="M972" s="259"/>
      <c r="N972" s="165"/>
      <c r="O972" s="165"/>
      <c r="P972" s="165"/>
      <c r="Q972" s="165"/>
      <c r="R972" s="165"/>
      <c r="S972" s="165"/>
      <c r="T972" s="165"/>
      <c r="U972" s="150"/>
      <c r="V972" s="165"/>
      <c r="W972" s="165"/>
      <c r="X972" s="165"/>
      <c r="Y972" s="165"/>
      <c r="Z972" s="165"/>
      <c r="AA972" s="165"/>
      <c r="AB972" s="165"/>
      <c r="AC972" s="165"/>
      <c r="AD972" s="165"/>
      <c r="AE972" s="165"/>
      <c r="AF972" s="165"/>
      <c r="AG972" s="165"/>
      <c r="AH972" s="52"/>
      <c r="AI972" s="52"/>
      <c r="AJ972" s="52"/>
      <c r="AK972" s="52"/>
      <c r="AL972" s="52"/>
      <c r="AM972" s="52"/>
      <c r="AN972" s="52"/>
      <c r="AO972" s="195"/>
      <c r="AP972" s="195"/>
      <c r="AQ972" s="106"/>
      <c r="AR972" s="106"/>
      <c r="AS972" s="106"/>
      <c r="AT972" s="106"/>
      <c r="AU972" s="106"/>
      <c r="AV972" s="106"/>
      <c r="AW972" s="126"/>
      <c r="AX972" s="126"/>
      <c r="AY972" s="126"/>
      <c r="AZ972" s="126"/>
      <c r="BA972" s="126"/>
      <c r="BB972" s="21"/>
      <c r="BC972" s="21"/>
      <c r="BD972" s="21"/>
      <c r="BE972" s="21"/>
    </row>
    <row r="973" customFormat="false" ht="14.1" hidden="true" customHeight="true" outlineLevel="1" collapsed="false">
      <c r="A973" s="138"/>
      <c r="B973" s="235"/>
      <c r="C973" s="138"/>
      <c r="D973" s="275"/>
      <c r="E973" s="138"/>
      <c r="F973" s="138"/>
      <c r="G973" s="26"/>
      <c r="H973" s="132"/>
      <c r="I973" s="212"/>
      <c r="J973" s="259"/>
      <c r="K973" s="220"/>
      <c r="L973" s="220"/>
      <c r="M973" s="259"/>
      <c r="N973" s="165"/>
      <c r="O973" s="165"/>
      <c r="P973" s="165"/>
      <c r="Q973" s="165"/>
      <c r="R973" s="165"/>
      <c r="S973" s="165"/>
      <c r="T973" s="165"/>
      <c r="U973" s="150"/>
      <c r="V973" s="165"/>
      <c r="W973" s="165"/>
      <c r="X973" s="165"/>
      <c r="Y973" s="165"/>
      <c r="Z973" s="165"/>
      <c r="AA973" s="165"/>
      <c r="AB973" s="165"/>
      <c r="AC973" s="165"/>
      <c r="AD973" s="165"/>
      <c r="AE973" s="165"/>
      <c r="AF973" s="165"/>
      <c r="AG973" s="165"/>
      <c r="AH973" s="52"/>
      <c r="AI973" s="52"/>
      <c r="AJ973" s="52"/>
      <c r="AK973" s="52"/>
      <c r="AL973" s="52"/>
      <c r="AM973" s="52"/>
      <c r="AN973" s="52"/>
      <c r="AO973" s="195"/>
      <c r="AP973" s="195"/>
      <c r="AQ973" s="106"/>
      <c r="AR973" s="106"/>
      <c r="AS973" s="106"/>
      <c r="AT973" s="106"/>
      <c r="AU973" s="106"/>
      <c r="AV973" s="106"/>
      <c r="AW973" s="126"/>
      <c r="AX973" s="126"/>
      <c r="AY973" s="126"/>
      <c r="AZ973" s="126"/>
      <c r="BA973" s="126"/>
      <c r="BB973" s="21"/>
      <c r="BC973" s="21"/>
      <c r="BD973" s="21"/>
      <c r="BE973" s="21"/>
    </row>
    <row r="974" customFormat="false" ht="14.1" hidden="false" customHeight="true" outlineLevel="0" collapsed="false">
      <c r="A974" s="436" t="s">
        <v>580</v>
      </c>
      <c r="B974" s="436"/>
      <c r="C974" s="436"/>
      <c r="D974" s="436"/>
      <c r="E974" s="436"/>
      <c r="F974" s="428" t="s">
        <v>56</v>
      </c>
      <c r="G974" s="26"/>
      <c r="H974" s="437"/>
      <c r="I974" s="437"/>
      <c r="J974" s="437"/>
      <c r="K974" s="437"/>
      <c r="L974" s="437"/>
      <c r="M974" s="257"/>
      <c r="N974" s="257"/>
      <c r="O974" s="257"/>
      <c r="P974" s="165"/>
      <c r="Q974" s="165"/>
      <c r="R974" s="165"/>
      <c r="S974" s="150"/>
      <c r="T974" s="165"/>
      <c r="U974" s="150"/>
      <c r="V974" s="165"/>
      <c r="W974" s="165"/>
      <c r="X974" s="165"/>
      <c r="Y974" s="165"/>
      <c r="Z974" s="165"/>
      <c r="AA974" s="165"/>
      <c r="AB974" s="165"/>
      <c r="AC974" s="165"/>
      <c r="AD974" s="165"/>
      <c r="AE974" s="165"/>
      <c r="AF974" s="165"/>
      <c r="AG974" s="165"/>
      <c r="AH974" s="52"/>
      <c r="AI974" s="52"/>
      <c r="AJ974" s="52"/>
      <c r="AK974" s="52"/>
      <c r="AL974" s="52"/>
      <c r="AM974" s="52"/>
      <c r="AN974" s="52"/>
      <c r="AO974" s="195"/>
      <c r="AP974" s="195"/>
      <c r="AQ974" s="106"/>
      <c r="AR974" s="106"/>
      <c r="AS974" s="106"/>
      <c r="AT974" s="106"/>
      <c r="AU974" s="106"/>
      <c r="AV974" s="127" t="n">
        <f aca="false">M974</f>
        <v>0</v>
      </c>
      <c r="AW974" s="126"/>
      <c r="AX974" s="126"/>
      <c r="AY974" s="126"/>
      <c r="AZ974" s="126"/>
      <c r="BA974" s="126"/>
      <c r="BB974" s="21"/>
      <c r="BC974" s="21"/>
      <c r="BD974" s="21"/>
      <c r="BE974" s="21"/>
    </row>
    <row r="975" s="35" customFormat="true" ht="14.1" hidden="false" customHeight="true" outlineLevel="0" collapsed="false">
      <c r="A975" s="254"/>
      <c r="B975" s="173"/>
      <c r="C975" s="254"/>
      <c r="D975" s="254"/>
      <c r="E975" s="254"/>
      <c r="F975" s="254"/>
      <c r="G975" s="254"/>
      <c r="H975" s="173"/>
      <c r="I975" s="212"/>
      <c r="J975" s="150"/>
      <c r="K975" s="26"/>
      <c r="L975" s="26"/>
      <c r="M975" s="26"/>
      <c r="N975" s="26"/>
      <c r="O975" s="26"/>
      <c r="P975" s="186"/>
      <c r="Q975" s="165"/>
      <c r="R975" s="165"/>
      <c r="S975" s="165"/>
      <c r="T975" s="165"/>
      <c r="U975" s="26"/>
      <c r="V975" s="26"/>
      <c r="W975" s="26"/>
      <c r="X975" s="26"/>
      <c r="Y975" s="26"/>
      <c r="Z975" s="26"/>
      <c r="AA975" s="26"/>
      <c r="AB975" s="26"/>
      <c r="AC975" s="26"/>
      <c r="AD975" s="26"/>
      <c r="AE975" s="26"/>
      <c r="AF975" s="26"/>
      <c r="AG975" s="26"/>
      <c r="AI975" s="52"/>
      <c r="AJ975" s="52"/>
      <c r="AK975" s="52"/>
      <c r="AL975" s="52"/>
      <c r="AM975" s="52"/>
      <c r="AN975" s="52"/>
      <c r="AO975" s="195"/>
      <c r="AP975" s="195"/>
      <c r="AQ975" s="106"/>
      <c r="AR975" s="106"/>
      <c r="AS975" s="106"/>
      <c r="AT975" s="106"/>
      <c r="AU975" s="106"/>
      <c r="AV975" s="106"/>
      <c r="AW975" s="126"/>
      <c r="AX975" s="126"/>
      <c r="AY975" s="126"/>
      <c r="AZ975" s="126"/>
      <c r="BA975" s="126"/>
      <c r="BB975" s="126"/>
      <c r="BC975" s="126"/>
      <c r="BD975" s="126"/>
      <c r="BE975" s="126"/>
      <c r="BF975" s="156"/>
    </row>
    <row r="976" customFormat="false" ht="14.1" hidden="true" customHeight="true" outlineLevel="1" collapsed="false">
      <c r="A976" s="492" t="s">
        <v>581</v>
      </c>
      <c r="B976" s="492"/>
      <c r="C976" s="492"/>
      <c r="D976" s="492"/>
      <c r="E976" s="492"/>
      <c r="F976" s="492"/>
      <c r="G976" s="492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  <c r="AA976" s="26"/>
      <c r="AB976" s="26"/>
      <c r="AC976" s="26"/>
      <c r="AD976" s="26"/>
      <c r="AE976" s="26"/>
      <c r="AF976" s="26"/>
      <c r="AG976" s="26"/>
      <c r="AH976" s="35"/>
      <c r="AI976" s="493"/>
      <c r="AJ976" s="40"/>
      <c r="AK976" s="40"/>
      <c r="AL976" s="40"/>
      <c r="AM976" s="40"/>
      <c r="AN976" s="40"/>
      <c r="AO976" s="125"/>
      <c r="AP976" s="125"/>
      <c r="AQ976" s="126"/>
      <c r="AR976" s="126"/>
      <c r="AS976" s="126"/>
      <c r="AT976" s="126"/>
      <c r="AU976" s="126"/>
      <c r="AV976" s="126"/>
      <c r="AW976" s="126"/>
      <c r="AX976" s="126"/>
      <c r="AY976" s="126"/>
      <c r="AZ976" s="126"/>
      <c r="BA976" s="126"/>
      <c r="BB976" s="21"/>
      <c r="BC976" s="21"/>
      <c r="BD976" s="21"/>
      <c r="BE976" s="21"/>
    </row>
    <row r="977" customFormat="false" ht="14.1" hidden="true" customHeight="true" outlineLevel="1" collapsed="false">
      <c r="A977" s="492"/>
      <c r="B977" s="492"/>
      <c r="C977" s="492"/>
      <c r="D977" s="492"/>
      <c r="E977" s="492"/>
      <c r="F977" s="492"/>
      <c r="G977" s="492"/>
      <c r="H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  <c r="AA977" s="26"/>
      <c r="AB977" s="26"/>
      <c r="AC977" s="26"/>
      <c r="AD977" s="26"/>
      <c r="AE977" s="26"/>
      <c r="AF977" s="26"/>
      <c r="AG977" s="26"/>
      <c r="AH977" s="35"/>
      <c r="AI977" s="493"/>
      <c r="AJ977" s="40"/>
      <c r="AK977" s="40"/>
      <c r="AL977" s="40"/>
      <c r="AM977" s="40"/>
      <c r="AN977" s="40"/>
      <c r="AO977" s="125"/>
      <c r="AP977" s="125"/>
      <c r="AQ977" s="126"/>
      <c r="AR977" s="126"/>
      <c r="AS977" s="126"/>
      <c r="AT977" s="126"/>
      <c r="AU977" s="126"/>
      <c r="AV977" s="126"/>
      <c r="AW977" s="126"/>
      <c r="AX977" s="126"/>
      <c r="AY977" s="126"/>
      <c r="AZ977" s="126"/>
      <c r="BA977" s="126"/>
      <c r="BB977" s="21"/>
      <c r="BC977" s="21"/>
      <c r="BD977" s="21"/>
      <c r="BE977" s="21"/>
    </row>
    <row r="978" customFormat="false" ht="14.1" hidden="true" customHeight="true" outlineLevel="1" collapsed="false">
      <c r="A978" s="393" t="s">
        <v>461</v>
      </c>
      <c r="B978" s="494"/>
      <c r="C978" s="495"/>
      <c r="D978" s="163" t="n">
        <v>1.1</v>
      </c>
      <c r="E978" s="138"/>
      <c r="F978" s="138"/>
      <c r="G978" s="440"/>
      <c r="H978" s="440"/>
      <c r="I978" s="440"/>
      <c r="J978" s="343"/>
      <c r="K978" s="26"/>
      <c r="L978" s="26"/>
      <c r="M978" s="26"/>
      <c r="N978" s="26"/>
      <c r="O978" s="26"/>
      <c r="P978" s="354"/>
      <c r="Q978" s="440"/>
      <c r="R978" s="440"/>
      <c r="S978" s="440"/>
      <c r="T978" s="440"/>
      <c r="U978" s="186"/>
      <c r="V978" s="186"/>
      <c r="W978" s="186"/>
      <c r="X978" s="186"/>
      <c r="Y978" s="186"/>
      <c r="Z978" s="186"/>
      <c r="AA978" s="186"/>
      <c r="AB978" s="354"/>
      <c r="AC978" s="354"/>
      <c r="AD978" s="354"/>
      <c r="AE978" s="354"/>
      <c r="AF978" s="354"/>
      <c r="AG978" s="354"/>
      <c r="AH978" s="496"/>
      <c r="AI978" s="493"/>
      <c r="AJ978" s="40"/>
      <c r="AK978" s="40"/>
      <c r="AL978" s="40"/>
      <c r="AM978" s="40"/>
      <c r="AN978" s="40"/>
      <c r="AO978" s="125"/>
      <c r="AP978" s="125"/>
      <c r="AQ978" s="126"/>
      <c r="AR978" s="126"/>
      <c r="AS978" s="126"/>
      <c r="AT978" s="126"/>
      <c r="AU978" s="126"/>
      <c r="AV978" s="126"/>
      <c r="AW978" s="126"/>
      <c r="AX978" s="126"/>
      <c r="AY978" s="126"/>
      <c r="AZ978" s="126"/>
      <c r="BA978" s="126"/>
      <c r="BB978" s="21"/>
      <c r="BC978" s="21"/>
      <c r="BD978" s="21"/>
      <c r="BE978" s="21"/>
    </row>
    <row r="979" customFormat="false" ht="14.1" hidden="true" customHeight="true" outlineLevel="1" collapsed="false">
      <c r="A979" s="393" t="s">
        <v>462</v>
      </c>
      <c r="B979" s="494"/>
      <c r="C979" s="495"/>
      <c r="D979" s="163" t="n">
        <v>1</v>
      </c>
      <c r="E979" s="299" t="s">
        <v>15</v>
      </c>
      <c r="F979" s="138"/>
      <c r="G979" s="440"/>
      <c r="H979" s="440"/>
      <c r="I979" s="26"/>
      <c r="J979" s="221"/>
      <c r="K979" s="150"/>
      <c r="L979" s="150"/>
      <c r="M979" s="497"/>
      <c r="N979" s="186"/>
      <c r="O979" s="186"/>
      <c r="P979" s="150"/>
      <c r="Q979" s="440"/>
      <c r="R979" s="440"/>
      <c r="S979" s="440"/>
      <c r="T979" s="440"/>
      <c r="U979" s="498" t="n">
        <v>0.6</v>
      </c>
      <c r="V979" s="497"/>
      <c r="W979" s="497" t="n">
        <v>42</v>
      </c>
      <c r="X979" s="497"/>
      <c r="Y979" s="497"/>
      <c r="Z979" s="497"/>
      <c r="AA979" s="497"/>
      <c r="AB979" s="497"/>
      <c r="AC979" s="497"/>
      <c r="AD979" s="497"/>
      <c r="AE979" s="497"/>
      <c r="AF979" s="497"/>
      <c r="AG979" s="499"/>
      <c r="AH979" s="500" t="n">
        <v>0.6</v>
      </c>
      <c r="AI979" s="493"/>
      <c r="AJ979" s="40"/>
      <c r="AK979" s="40"/>
      <c r="AL979" s="40"/>
      <c r="AM979" s="40"/>
      <c r="AN979" s="40"/>
      <c r="AO979" s="125"/>
      <c r="AP979" s="125"/>
      <c r="AQ979" s="126"/>
      <c r="AR979" s="126"/>
      <c r="AS979" s="126"/>
      <c r="AT979" s="126"/>
      <c r="AU979" s="126"/>
      <c r="AV979" s="126"/>
      <c r="AW979" s="126"/>
      <c r="AX979" s="126"/>
      <c r="AY979" s="126"/>
      <c r="AZ979" s="126"/>
      <c r="BA979" s="126"/>
      <c r="BB979" s="21"/>
      <c r="BC979" s="21"/>
      <c r="BD979" s="21"/>
      <c r="BE979" s="21"/>
    </row>
    <row r="980" s="162" customFormat="true" ht="14.1" hidden="true" customHeight="true" outlineLevel="1" collapsed="false">
      <c r="A980" s="376"/>
      <c r="B980" s="501"/>
      <c r="C980" s="502"/>
      <c r="D980" s="275"/>
      <c r="E980" s="194" t="n">
        <f aca="false">'Ввод данных'!F295</f>
        <v>7.8</v>
      </c>
      <c r="F980" s="169"/>
      <c r="G980" s="440"/>
      <c r="H980" s="440"/>
      <c r="I980" s="440"/>
      <c r="J980" s="343"/>
      <c r="K980" s="499"/>
      <c r="L980" s="499"/>
      <c r="M980" s="499"/>
      <c r="N980" s="499"/>
      <c r="O980" s="499"/>
      <c r="P980" s="343"/>
      <c r="Q980" s="440"/>
      <c r="R980" s="440"/>
      <c r="S980" s="440"/>
      <c r="T980" s="440"/>
      <c r="U980" s="503" t="n">
        <v>0.6</v>
      </c>
      <c r="V980" s="498"/>
      <c r="W980" s="498" t="n">
        <v>39</v>
      </c>
      <c r="X980" s="498"/>
      <c r="Y980" s="498"/>
      <c r="Z980" s="498"/>
      <c r="AA980" s="498"/>
      <c r="AB980" s="498"/>
      <c r="AC980" s="498"/>
      <c r="AD980" s="498"/>
      <c r="AE980" s="498"/>
      <c r="AF980" s="498"/>
      <c r="AG980" s="504"/>
      <c r="AH980" s="500" t="n">
        <v>0.6</v>
      </c>
      <c r="AI980" s="493"/>
      <c r="AJ980" s="40"/>
      <c r="AK980" s="40"/>
      <c r="AL980" s="40"/>
      <c r="AM980" s="40"/>
      <c r="AN980" s="40"/>
      <c r="AO980" s="125"/>
      <c r="AP980" s="125"/>
      <c r="AQ980" s="126"/>
      <c r="AR980" s="126"/>
      <c r="AS980" s="126"/>
      <c r="AT980" s="126"/>
      <c r="AU980" s="126"/>
      <c r="AV980" s="126"/>
      <c r="AW980" s="126"/>
      <c r="AX980" s="126"/>
      <c r="AY980" s="126"/>
      <c r="AZ980" s="126"/>
      <c r="BA980" s="126"/>
      <c r="BB980" s="160"/>
      <c r="BC980" s="160"/>
      <c r="BD980" s="160"/>
      <c r="BE980" s="160"/>
      <c r="BF980" s="161"/>
    </row>
    <row r="981" customFormat="false" ht="14.1" hidden="true" customHeight="true" outlineLevel="1" collapsed="false">
      <c r="A981" s="505" t="s">
        <v>582</v>
      </c>
      <c r="B981" s="481"/>
      <c r="C981" s="467"/>
      <c r="D981" s="467"/>
      <c r="E981" s="138"/>
      <c r="F981" s="196"/>
      <c r="G981" s="468"/>
      <c r="H981" s="150" t="s">
        <v>583</v>
      </c>
      <c r="I981" s="165"/>
      <c r="J981" s="498"/>
      <c r="K981" s="498"/>
      <c r="L981" s="498"/>
      <c r="M981" s="498"/>
      <c r="N981" s="498"/>
      <c r="O981" s="498"/>
      <c r="P981" s="498"/>
      <c r="Q981" s="165"/>
      <c r="R981" s="150" t="s">
        <v>584</v>
      </c>
      <c r="S981" s="440"/>
      <c r="T981" s="440"/>
      <c r="U981" s="503" t="n">
        <v>0.6</v>
      </c>
      <c r="V981" s="498"/>
      <c r="W981" s="498" t="n">
        <v>36</v>
      </c>
      <c r="X981" s="498"/>
      <c r="Y981" s="498"/>
      <c r="Z981" s="498"/>
      <c r="AA981" s="498"/>
      <c r="AB981" s="498"/>
      <c r="AC981" s="498"/>
      <c r="AD981" s="498"/>
      <c r="AE981" s="498"/>
      <c r="AF981" s="498"/>
      <c r="AG981" s="504"/>
      <c r="AH981" s="500" t="n">
        <v>0.6</v>
      </c>
      <c r="AI981" s="506"/>
      <c r="AJ981" s="40"/>
      <c r="AK981" s="40"/>
      <c r="AL981" s="40"/>
      <c r="AM981" s="40"/>
      <c r="AN981" s="40"/>
      <c r="AO981" s="125"/>
      <c r="AP981" s="125"/>
      <c r="AQ981" s="126"/>
      <c r="AR981" s="126"/>
      <c r="AS981" s="126"/>
      <c r="AT981" s="126"/>
      <c r="AU981" s="126"/>
      <c r="AV981" s="126"/>
      <c r="AW981" s="126"/>
      <c r="AX981" s="126"/>
      <c r="AY981" s="126"/>
      <c r="AZ981" s="126"/>
      <c r="BA981" s="126"/>
      <c r="BB981" s="160"/>
      <c r="BC981" s="160"/>
      <c r="BD981" s="160"/>
      <c r="BE981" s="160"/>
    </row>
    <row r="982" customFormat="false" ht="14.1" hidden="true" customHeight="true" outlineLevel="1" collapsed="false">
      <c r="A982" s="138" t="s">
        <v>585</v>
      </c>
      <c r="B982" s="481"/>
      <c r="C982" s="467"/>
      <c r="D982" s="138"/>
      <c r="E982" s="467"/>
      <c r="F982" s="467"/>
      <c r="G982" s="468"/>
      <c r="H982" s="498"/>
      <c r="I982" s="498"/>
      <c r="J982" s="498"/>
      <c r="K982" s="498"/>
      <c r="L982" s="498"/>
      <c r="M982" s="498"/>
      <c r="N982" s="498"/>
      <c r="O982" s="498"/>
      <c r="P982" s="498"/>
      <c r="Q982" s="498"/>
      <c r="R982" s="498"/>
      <c r="S982" s="440"/>
      <c r="T982" s="440"/>
      <c r="U982" s="150" t="s">
        <v>586</v>
      </c>
      <c r="V982" s="507"/>
      <c r="W982" s="165"/>
      <c r="X982" s="165"/>
      <c r="Y982" s="150"/>
      <c r="Z982" s="165"/>
      <c r="AA982" s="165"/>
      <c r="AB982" s="508"/>
      <c r="AC982" s="508"/>
      <c r="AD982" s="508"/>
      <c r="AE982" s="343"/>
      <c r="AF982" s="343"/>
      <c r="AG982" s="509"/>
      <c r="AH982" s="125" t="s">
        <v>587</v>
      </c>
      <c r="AI982" s="506"/>
      <c r="AJ982" s="40"/>
      <c r="AK982" s="40"/>
      <c r="AL982" s="40"/>
      <c r="AM982" s="40"/>
      <c r="AN982" s="40"/>
      <c r="AO982" s="125"/>
      <c r="AP982" s="125"/>
      <c r="AQ982" s="126"/>
      <c r="AR982" s="126"/>
      <c r="AS982" s="126"/>
      <c r="AT982" s="126"/>
      <c r="AU982" s="126"/>
      <c r="AV982" s="126"/>
      <c r="AW982" s="126"/>
      <c r="AX982" s="126"/>
      <c r="AY982" s="126"/>
      <c r="AZ982" s="126"/>
      <c r="BA982" s="126"/>
      <c r="BB982" s="160"/>
      <c r="BC982" s="160"/>
      <c r="BD982" s="160"/>
      <c r="BE982" s="160"/>
    </row>
    <row r="983" customFormat="false" ht="14.1" hidden="true" customHeight="true" outlineLevel="1" collapsed="false">
      <c r="A983" s="490" t="s">
        <v>588</v>
      </c>
      <c r="B983" s="278"/>
      <c r="C983" s="278"/>
      <c r="D983" s="467"/>
      <c r="E983" s="138"/>
      <c r="F983" s="194"/>
      <c r="G983" s="468"/>
      <c r="H983" s="510" t="n">
        <v>0.3</v>
      </c>
      <c r="I983" s="511"/>
      <c r="J983" s="512" t="s">
        <v>589</v>
      </c>
      <c r="K983" s="468"/>
      <c r="L983" s="468"/>
      <c r="M983" s="468"/>
      <c r="N983" s="468"/>
      <c r="O983" s="468"/>
      <c r="P983" s="468"/>
      <c r="Q983" s="511"/>
      <c r="R983" s="510" t="n">
        <v>0.3</v>
      </c>
      <c r="S983" s="468"/>
      <c r="T983" s="468"/>
      <c r="U983" s="510" t="n">
        <v>0.3</v>
      </c>
      <c r="V983" s="511"/>
      <c r="W983" s="513" t="s">
        <v>589</v>
      </c>
      <c r="X983" s="511"/>
      <c r="Y983" s="511"/>
      <c r="Z983" s="511"/>
      <c r="AA983" s="511"/>
      <c r="AB983" s="511"/>
      <c r="AC983" s="514"/>
      <c r="AD983" s="515"/>
      <c r="AE983" s="515"/>
      <c r="AF983" s="516"/>
      <c r="AG983" s="517"/>
      <c r="AH983" s="518" t="n">
        <v>0.3</v>
      </c>
      <c r="AI983" s="35"/>
      <c r="AJ983" s="35"/>
      <c r="AK983" s="35"/>
      <c r="AL983" s="35"/>
      <c r="AM983" s="35"/>
      <c r="AN983" s="35"/>
      <c r="AO983" s="253"/>
      <c r="AP983" s="253"/>
      <c r="AQ983" s="156"/>
      <c r="AR983" s="156"/>
      <c r="AS983" s="126"/>
      <c r="AT983" s="126"/>
      <c r="AU983" s="126"/>
      <c r="AV983" s="126"/>
      <c r="AW983" s="126"/>
      <c r="AX983" s="126"/>
      <c r="AY983" s="126"/>
      <c r="AZ983" s="126"/>
      <c r="BA983" s="126"/>
      <c r="BB983" s="160"/>
      <c r="BC983" s="160"/>
      <c r="BD983" s="160"/>
      <c r="BE983" s="160"/>
    </row>
    <row r="984" customFormat="false" ht="14.1" hidden="true" customHeight="true" outlineLevel="1" collapsed="false">
      <c r="A984" s="272" t="s">
        <v>590</v>
      </c>
      <c r="B984" s="276"/>
      <c r="C984" s="272"/>
      <c r="D984" s="467"/>
      <c r="E984" s="299" t="s">
        <v>15</v>
      </c>
      <c r="F984" s="138"/>
      <c r="G984" s="26"/>
      <c r="H984" s="510" t="n">
        <v>0.3</v>
      </c>
      <c r="I984" s="511"/>
      <c r="J984" s="519" t="s">
        <v>591</v>
      </c>
      <c r="K984" s="515"/>
      <c r="L984" s="515"/>
      <c r="M984" s="515"/>
      <c r="N984" s="515"/>
      <c r="O984" s="515"/>
      <c r="P984" s="520"/>
      <c r="Q984" s="511"/>
      <c r="R984" s="510" t="n">
        <v>0.3</v>
      </c>
      <c r="S984" s="468"/>
      <c r="T984" s="468"/>
      <c r="U984" s="510" t="n">
        <v>0.3</v>
      </c>
      <c r="V984" s="521"/>
      <c r="W984" s="281" t="s">
        <v>591</v>
      </c>
      <c r="X984" s="468"/>
      <c r="Y984" s="468"/>
      <c r="Z984" s="468"/>
      <c r="AA984" s="468"/>
      <c r="AB984" s="468"/>
      <c r="AC984" s="468"/>
      <c r="AD984" s="468"/>
      <c r="AE984" s="468"/>
      <c r="AF984" s="522"/>
      <c r="AG984" s="523"/>
      <c r="AH984" s="518" t="n">
        <v>0.3</v>
      </c>
      <c r="AI984" s="35"/>
      <c r="AJ984" s="35"/>
      <c r="AK984" s="35"/>
      <c r="AL984" s="35"/>
      <c r="AM984" s="35"/>
      <c r="AN984" s="35"/>
      <c r="AO984" s="253"/>
      <c r="AP984" s="253"/>
      <c r="AQ984" s="156"/>
      <c r="AR984" s="156"/>
      <c r="AS984" s="126"/>
      <c r="AT984" s="126"/>
      <c r="AU984" s="126"/>
      <c r="AV984" s="126"/>
      <c r="AW984" s="126"/>
      <c r="AX984" s="126"/>
      <c r="AY984" s="126"/>
      <c r="AZ984" s="126"/>
      <c r="BA984" s="126"/>
      <c r="BB984" s="160"/>
      <c r="BC984" s="160"/>
      <c r="BD984" s="160"/>
      <c r="BE984" s="160"/>
    </row>
    <row r="985" customFormat="false" ht="14.1" hidden="true" customHeight="true" outlineLevel="1" collapsed="false">
      <c r="A985" s="524" t="s">
        <v>588</v>
      </c>
      <c r="B985" s="276"/>
      <c r="C985" s="272"/>
      <c r="D985" s="467"/>
      <c r="E985" s="196" t="n">
        <f aca="false">связи1!H59</f>
        <v>5.3</v>
      </c>
      <c r="F985" s="138"/>
      <c r="G985" s="217"/>
      <c r="H985" s="510" t="n">
        <v>0.3</v>
      </c>
      <c r="I985" s="510"/>
      <c r="J985" s="525" t="s">
        <v>592</v>
      </c>
      <c r="K985" s="150"/>
      <c r="L985" s="150"/>
      <c r="M985" s="150"/>
      <c r="N985" s="150"/>
      <c r="O985" s="150"/>
      <c r="P985" s="150"/>
      <c r="Q985" s="510"/>
      <c r="R985" s="510" t="n">
        <v>0.3</v>
      </c>
      <c r="S985" s="150"/>
      <c r="T985" s="150"/>
      <c r="U985" s="510" t="n">
        <v>0.3</v>
      </c>
      <c r="V985" s="526"/>
      <c r="W985" s="519" t="s">
        <v>592</v>
      </c>
      <c r="X985" s="527"/>
      <c r="Y985" s="527"/>
      <c r="Z985" s="527"/>
      <c r="AA985" s="527"/>
      <c r="AB985" s="527"/>
      <c r="AC985" s="527"/>
      <c r="AD985" s="527"/>
      <c r="AE985" s="527"/>
      <c r="AF985" s="528"/>
      <c r="AG985" s="526"/>
      <c r="AH985" s="518" t="n">
        <v>0.3</v>
      </c>
      <c r="AI985" s="35"/>
      <c r="AJ985" s="35"/>
      <c r="AK985" s="35"/>
      <c r="AL985" s="35"/>
      <c r="AM985" s="35"/>
      <c r="AN985" s="35"/>
      <c r="AO985" s="253"/>
      <c r="AP985" s="253"/>
      <c r="AQ985" s="156"/>
      <c r="AR985" s="156"/>
      <c r="AS985" s="126"/>
      <c r="AT985" s="126"/>
      <c r="AU985" s="126"/>
      <c r="AV985" s="126"/>
      <c r="AW985" s="126"/>
      <c r="AX985" s="126"/>
      <c r="AY985" s="126"/>
      <c r="AZ985" s="126"/>
      <c r="BA985" s="126"/>
      <c r="BB985" s="160"/>
      <c r="BC985" s="160"/>
      <c r="BD985" s="160"/>
      <c r="BE985" s="160"/>
    </row>
    <row r="986" customFormat="false" ht="14.1" hidden="true" customHeight="true" outlineLevel="1" collapsed="false">
      <c r="A986" s="272" t="s">
        <v>593</v>
      </c>
      <c r="B986" s="276"/>
      <c r="C986" s="272"/>
      <c r="D986" s="138"/>
      <c r="E986" s="138"/>
      <c r="F986" s="138"/>
      <c r="G986" s="217"/>
      <c r="H986" s="510" t="n">
        <v>0.3</v>
      </c>
      <c r="I986" s="529"/>
      <c r="J986" s="519" t="s">
        <v>594</v>
      </c>
      <c r="K986" s="530"/>
      <c r="L986" s="530"/>
      <c r="M986" s="530"/>
      <c r="N986" s="530"/>
      <c r="O986" s="531"/>
      <c r="P986" s="532"/>
      <c r="Q986" s="510"/>
      <c r="R986" s="510" t="n">
        <v>0.3</v>
      </c>
      <c r="S986" s="165"/>
      <c r="T986" s="150"/>
      <c r="U986" s="510" t="n">
        <v>0.3</v>
      </c>
      <c r="V986" s="498"/>
      <c r="W986" s="281" t="s">
        <v>594</v>
      </c>
      <c r="X986" s="186"/>
      <c r="Y986" s="186"/>
      <c r="Z986" s="186"/>
      <c r="AA986" s="186"/>
      <c r="AB986" s="354"/>
      <c r="AC986" s="354"/>
      <c r="AD986" s="354"/>
      <c r="AE986" s="354"/>
      <c r="AF986" s="354"/>
      <c r="AG986" s="504"/>
      <c r="AH986" s="518" t="n">
        <v>0.3</v>
      </c>
      <c r="AI986" s="35"/>
      <c r="AJ986" s="35"/>
      <c r="AK986" s="35"/>
      <c r="AL986" s="35"/>
      <c r="AM986" s="35"/>
      <c r="AN986" s="35"/>
      <c r="AO986" s="253"/>
      <c r="AP986" s="253"/>
      <c r="AQ986" s="156"/>
      <c r="AR986" s="156"/>
      <c r="AS986" s="126"/>
      <c r="AT986" s="126"/>
      <c r="AU986" s="126"/>
      <c r="AV986" s="126"/>
      <c r="AW986" s="126"/>
      <c r="AX986" s="126"/>
      <c r="AY986" s="126"/>
      <c r="AZ986" s="126"/>
      <c r="BA986" s="126"/>
      <c r="BB986" s="160"/>
      <c r="BC986" s="160"/>
      <c r="BD986" s="160"/>
      <c r="BE986" s="160"/>
    </row>
    <row r="987" customFormat="false" ht="14.1" hidden="true" customHeight="true" outlineLevel="1" collapsed="false">
      <c r="A987" s="524" t="s">
        <v>595</v>
      </c>
      <c r="B987" s="276"/>
      <c r="C987" s="272"/>
      <c r="D987" s="138"/>
      <c r="E987" s="299" t="s">
        <v>15</v>
      </c>
      <c r="F987" s="138"/>
      <c r="G987" s="217"/>
      <c r="H987" s="510" t="n">
        <v>0.3</v>
      </c>
      <c r="I987" s="529"/>
      <c r="J987" s="525" t="s">
        <v>596</v>
      </c>
      <c r="K987" s="150"/>
      <c r="L987" s="150"/>
      <c r="M987" s="150"/>
      <c r="N987" s="150"/>
      <c r="O987" s="186"/>
      <c r="P987" s="186"/>
      <c r="Q987" s="510"/>
      <c r="R987" s="510" t="n">
        <v>0.3</v>
      </c>
      <c r="S987" s="165"/>
      <c r="T987" s="150"/>
      <c r="U987" s="510" t="n">
        <v>0.3</v>
      </c>
      <c r="V987" s="498"/>
      <c r="W987" s="519" t="s">
        <v>596</v>
      </c>
      <c r="X987" s="531"/>
      <c r="Y987" s="531"/>
      <c r="Z987" s="531"/>
      <c r="AA987" s="531"/>
      <c r="AB987" s="533"/>
      <c r="AC987" s="533"/>
      <c r="AD987" s="533"/>
      <c r="AE987" s="533"/>
      <c r="AF987" s="534"/>
      <c r="AG987" s="504"/>
      <c r="AH987" s="518" t="n">
        <v>0.3</v>
      </c>
      <c r="AI987" s="35"/>
      <c r="AJ987" s="35"/>
      <c r="AK987" s="35"/>
      <c r="AL987" s="35"/>
      <c r="AM987" s="35"/>
      <c r="AN987" s="35"/>
      <c r="AO987" s="253"/>
      <c r="AP987" s="253"/>
      <c r="AQ987" s="156"/>
      <c r="AR987" s="156"/>
      <c r="AS987" s="126"/>
      <c r="AT987" s="126"/>
      <c r="AU987" s="126"/>
      <c r="AV987" s="126"/>
      <c r="AW987" s="126"/>
      <c r="AX987" s="126"/>
      <c r="AY987" s="126"/>
      <c r="AZ987" s="126"/>
      <c r="BA987" s="126"/>
      <c r="BB987" s="160"/>
      <c r="BC987" s="160"/>
      <c r="BD987" s="160"/>
      <c r="BE987" s="160"/>
    </row>
    <row r="988" customFormat="false" ht="14.1" hidden="true" customHeight="true" outlineLevel="1" collapsed="false">
      <c r="A988" s="138" t="s">
        <v>597</v>
      </c>
      <c r="B988" s="235"/>
      <c r="C988" s="138"/>
      <c r="D988" s="138"/>
      <c r="E988" s="194" t="n">
        <f aca="false">связи1!H64</f>
        <v>5.2</v>
      </c>
      <c r="F988" s="196"/>
      <c r="G988" s="186"/>
      <c r="H988" s="510" t="n">
        <v>0.3</v>
      </c>
      <c r="I988" s="529"/>
      <c r="J988" s="519" t="s">
        <v>598</v>
      </c>
      <c r="K988" s="530"/>
      <c r="L988" s="530"/>
      <c r="M988" s="530"/>
      <c r="N988" s="530"/>
      <c r="O988" s="531"/>
      <c r="P988" s="532"/>
      <c r="Q988" s="510"/>
      <c r="R988" s="510" t="n">
        <v>0.3</v>
      </c>
      <c r="S988" s="165"/>
      <c r="T988" s="150"/>
      <c r="U988" s="510" t="n">
        <v>0.3</v>
      </c>
      <c r="V988" s="498"/>
      <c r="W988" s="281" t="s">
        <v>598</v>
      </c>
      <c r="X988" s="186"/>
      <c r="Y988" s="186"/>
      <c r="Z988" s="186"/>
      <c r="AA988" s="186"/>
      <c r="AB988" s="354"/>
      <c r="AC988" s="354"/>
      <c r="AD988" s="354"/>
      <c r="AE988" s="354"/>
      <c r="AF988" s="354"/>
      <c r="AG988" s="504"/>
      <c r="AH988" s="518" t="n">
        <v>0.3</v>
      </c>
      <c r="AI988" s="35"/>
      <c r="AJ988" s="35"/>
      <c r="AK988" s="35"/>
      <c r="AL988" s="35"/>
      <c r="AM988" s="35"/>
      <c r="AN988" s="35"/>
      <c r="AO988" s="253"/>
      <c r="AP988" s="253"/>
      <c r="AQ988" s="156"/>
      <c r="AR988" s="156"/>
      <c r="AS988" s="126"/>
      <c r="AT988" s="126"/>
      <c r="AU988" s="126"/>
      <c r="AV988" s="126"/>
      <c r="AW988" s="126"/>
      <c r="AX988" s="126"/>
      <c r="AY988" s="126"/>
      <c r="AZ988" s="126"/>
      <c r="BA988" s="126"/>
      <c r="BB988" s="160"/>
      <c r="BC988" s="160"/>
      <c r="BD988" s="160"/>
      <c r="BE988" s="160"/>
    </row>
    <row r="989" customFormat="false" ht="14.1" hidden="true" customHeight="true" outlineLevel="1" collapsed="false">
      <c r="A989" s="490" t="s">
        <v>414</v>
      </c>
      <c r="B989" s="235"/>
      <c r="C989" s="138"/>
      <c r="D989" s="138"/>
      <c r="E989" s="535"/>
      <c r="F989" s="535"/>
      <c r="G989" s="230"/>
      <c r="H989" s="510" t="n">
        <v>0.3</v>
      </c>
      <c r="I989" s="529"/>
      <c r="J989" s="525" t="s">
        <v>599</v>
      </c>
      <c r="K989" s="150"/>
      <c r="L989" s="150"/>
      <c r="M989" s="150"/>
      <c r="N989" s="150"/>
      <c r="O989" s="186"/>
      <c r="P989" s="186"/>
      <c r="Q989" s="510"/>
      <c r="R989" s="510" t="n">
        <v>0.3</v>
      </c>
      <c r="S989" s="165"/>
      <c r="T989" s="150"/>
      <c r="U989" s="510" t="n">
        <v>0.3</v>
      </c>
      <c r="V989" s="498"/>
      <c r="W989" s="519" t="s">
        <v>599</v>
      </c>
      <c r="X989" s="531"/>
      <c r="Y989" s="531"/>
      <c r="Z989" s="531"/>
      <c r="AA989" s="531"/>
      <c r="AB989" s="533"/>
      <c r="AC989" s="533"/>
      <c r="AD989" s="533"/>
      <c r="AE989" s="533"/>
      <c r="AF989" s="534"/>
      <c r="AG989" s="504"/>
      <c r="AH989" s="518" t="n">
        <v>0.3</v>
      </c>
      <c r="AI989" s="35"/>
      <c r="AJ989" s="35"/>
      <c r="AK989" s="35"/>
      <c r="AL989" s="35"/>
      <c r="AM989" s="35"/>
      <c r="AN989" s="35"/>
      <c r="AO989" s="253"/>
      <c r="AP989" s="253"/>
      <c r="AQ989" s="156"/>
      <c r="AR989" s="156"/>
      <c r="AS989" s="126"/>
      <c r="AT989" s="126"/>
      <c r="AU989" s="126"/>
      <c r="AV989" s="126"/>
      <c r="AW989" s="126"/>
      <c r="AX989" s="126"/>
      <c r="AY989" s="126"/>
      <c r="AZ989" s="126"/>
      <c r="BA989" s="126"/>
      <c r="BB989" s="160"/>
      <c r="BC989" s="160"/>
      <c r="BD989" s="160"/>
      <c r="BE989" s="160"/>
    </row>
    <row r="990" customFormat="false" ht="14.1" hidden="true" customHeight="true" outlineLevel="1" collapsed="false">
      <c r="A990" s="138"/>
      <c r="B990" s="235"/>
      <c r="C990" s="138"/>
      <c r="D990" s="138"/>
      <c r="E990" s="138"/>
      <c r="F990" s="138"/>
      <c r="G990" s="230"/>
      <c r="H990" s="510" t="n">
        <v>0.3</v>
      </c>
      <c r="I990" s="526"/>
      <c r="J990" s="519" t="s">
        <v>600</v>
      </c>
      <c r="K990" s="530"/>
      <c r="L990" s="530"/>
      <c r="M990" s="530"/>
      <c r="N990" s="531"/>
      <c r="O990" s="531"/>
      <c r="P990" s="532"/>
      <c r="Q990" s="498"/>
      <c r="R990" s="510" t="n">
        <v>0.3</v>
      </c>
      <c r="S990" s="165"/>
      <c r="T990" s="150"/>
      <c r="U990" s="510" t="n">
        <v>0.3</v>
      </c>
      <c r="V990" s="498"/>
      <c r="W990" s="281" t="s">
        <v>600</v>
      </c>
      <c r="X990" s="186"/>
      <c r="Y990" s="186"/>
      <c r="Z990" s="186"/>
      <c r="AA990" s="186"/>
      <c r="AB990" s="354"/>
      <c r="AC990" s="354"/>
      <c r="AD990" s="354"/>
      <c r="AE990" s="354"/>
      <c r="AF990" s="354"/>
      <c r="AG990" s="504"/>
      <c r="AH990" s="518" t="n">
        <v>0.3</v>
      </c>
      <c r="AI990" s="35"/>
      <c r="AJ990" s="35"/>
      <c r="AK990" s="35"/>
      <c r="AL990" s="35"/>
      <c r="AM990" s="35"/>
      <c r="AN990" s="35"/>
      <c r="AO990" s="253"/>
      <c r="AP990" s="253"/>
      <c r="AQ990" s="156"/>
      <c r="AR990" s="156"/>
      <c r="AS990" s="126"/>
      <c r="AT990" s="126"/>
      <c r="AU990" s="126"/>
      <c r="AV990" s="126"/>
      <c r="AW990" s="126"/>
      <c r="AX990" s="126"/>
      <c r="AY990" s="126"/>
      <c r="AZ990" s="126"/>
      <c r="BA990" s="126"/>
      <c r="BB990" s="160"/>
      <c r="BC990" s="160"/>
      <c r="BD990" s="160"/>
      <c r="BE990" s="160"/>
    </row>
    <row r="991" customFormat="false" ht="14.1" hidden="true" customHeight="true" outlineLevel="1" collapsed="false">
      <c r="A991" s="536" t="s">
        <v>601</v>
      </c>
      <c r="B991" s="276"/>
      <c r="C991" s="535"/>
      <c r="D991" s="467"/>
      <c r="E991" s="138"/>
      <c r="F991" s="138"/>
      <c r="G991" s="415"/>
      <c r="H991" s="510" t="n">
        <v>0.3</v>
      </c>
      <c r="I991" s="526"/>
      <c r="J991" s="525" t="s">
        <v>602</v>
      </c>
      <c r="K991" s="26"/>
      <c r="L991" s="26"/>
      <c r="M991" s="26"/>
      <c r="N991" s="26"/>
      <c r="O991" s="26"/>
      <c r="P991" s="26"/>
      <c r="Q991" s="498"/>
      <c r="R991" s="510" t="n">
        <v>0.3</v>
      </c>
      <c r="S991" s="165"/>
      <c r="T991" s="150"/>
      <c r="U991" s="510" t="n">
        <v>0.3</v>
      </c>
      <c r="V991" s="526"/>
      <c r="W991" s="519" t="s">
        <v>602</v>
      </c>
      <c r="X991" s="527"/>
      <c r="Y991" s="527"/>
      <c r="Z991" s="527"/>
      <c r="AA991" s="527"/>
      <c r="AB991" s="527"/>
      <c r="AC991" s="527"/>
      <c r="AD991" s="527"/>
      <c r="AE991" s="527"/>
      <c r="AF991" s="528"/>
      <c r="AG991" s="526"/>
      <c r="AH991" s="518" t="n">
        <v>0.3</v>
      </c>
      <c r="AI991" s="35"/>
      <c r="AJ991" s="35"/>
      <c r="AK991" s="35"/>
      <c r="AL991" s="35"/>
      <c r="AM991" s="35"/>
      <c r="AN991" s="35"/>
      <c r="AO991" s="253"/>
      <c r="AP991" s="253"/>
      <c r="AQ991" s="156"/>
      <c r="AR991" s="156"/>
      <c r="AS991" s="126"/>
      <c r="AT991" s="126"/>
      <c r="AU991" s="126"/>
      <c r="AV991" s="126"/>
      <c r="AW991" s="126"/>
      <c r="AX991" s="126"/>
      <c r="AY991" s="126"/>
      <c r="AZ991" s="126"/>
      <c r="BA991" s="126"/>
      <c r="BB991" s="160"/>
      <c r="BC991" s="160"/>
      <c r="BD991" s="160"/>
      <c r="BE991" s="160"/>
    </row>
    <row r="992" customFormat="false" ht="14.1" hidden="true" customHeight="true" outlineLevel="1" collapsed="false">
      <c r="A992" s="138" t="s">
        <v>585</v>
      </c>
      <c r="B992" s="276"/>
      <c r="C992" s="535"/>
      <c r="D992" s="278"/>
      <c r="E992" s="272"/>
      <c r="F992" s="272"/>
      <c r="G992" s="415"/>
      <c r="H992" s="510" t="n">
        <v>0.3</v>
      </c>
      <c r="I992" s="537"/>
      <c r="J992" s="519" t="s">
        <v>603</v>
      </c>
      <c r="K992" s="527"/>
      <c r="L992" s="527"/>
      <c r="M992" s="527"/>
      <c r="N992" s="527"/>
      <c r="O992" s="527"/>
      <c r="P992" s="528"/>
      <c r="Q992" s="504"/>
      <c r="R992" s="510" t="n">
        <v>0.3</v>
      </c>
      <c r="S992" s="354"/>
      <c r="T992" s="165"/>
      <c r="U992" s="510" t="n">
        <v>0.3</v>
      </c>
      <c r="V992" s="526"/>
      <c r="W992" s="281" t="s">
        <v>603</v>
      </c>
      <c r="X992" s="132"/>
      <c r="Y992" s="132"/>
      <c r="Z992" s="132"/>
      <c r="AA992" s="132"/>
      <c r="AB992" s="132"/>
      <c r="AC992" s="132"/>
      <c r="AD992" s="132"/>
      <c r="AE992" s="132"/>
      <c r="AF992" s="132"/>
      <c r="AG992" s="526"/>
      <c r="AH992" s="518" t="n">
        <v>0.3</v>
      </c>
      <c r="AI992" s="35"/>
      <c r="AJ992" s="35"/>
      <c r="AK992" s="35"/>
      <c r="AL992" s="35"/>
      <c r="AM992" s="35"/>
      <c r="AN992" s="35"/>
      <c r="AO992" s="253"/>
      <c r="AP992" s="253"/>
      <c r="AQ992" s="156"/>
      <c r="AR992" s="156"/>
      <c r="AS992" s="126"/>
      <c r="AT992" s="126"/>
      <c r="AU992" s="126"/>
      <c r="AV992" s="126"/>
      <c r="AW992" s="126"/>
      <c r="AX992" s="126"/>
      <c r="AY992" s="126"/>
      <c r="AZ992" s="126"/>
      <c r="BA992" s="126"/>
      <c r="BB992" s="160"/>
      <c r="BC992" s="160"/>
      <c r="BD992" s="160"/>
      <c r="BE992" s="160"/>
    </row>
    <row r="993" customFormat="false" ht="14.1" hidden="true" customHeight="true" outlineLevel="1" collapsed="false">
      <c r="A993" s="490" t="s">
        <v>604</v>
      </c>
      <c r="B993" s="276"/>
      <c r="C993" s="535"/>
      <c r="D993" s="278"/>
      <c r="E993" s="138"/>
      <c r="F993" s="138"/>
      <c r="G993" s="538"/>
      <c r="H993" s="510" t="n">
        <v>0.3</v>
      </c>
      <c r="I993" s="537"/>
      <c r="J993" s="539" t="s">
        <v>605</v>
      </c>
      <c r="K993" s="540"/>
      <c r="L993" s="540"/>
      <c r="M993" s="540"/>
      <c r="N993" s="540"/>
      <c r="O993" s="540"/>
      <c r="P993" s="541"/>
      <c r="Q993" s="510"/>
      <c r="R993" s="510" t="n">
        <v>0.3</v>
      </c>
      <c r="S993" s="354"/>
      <c r="T993" s="132"/>
      <c r="U993" s="510" t="n">
        <v>0.3</v>
      </c>
      <c r="V993" s="526"/>
      <c r="W993" s="519" t="s">
        <v>605</v>
      </c>
      <c r="X993" s="527"/>
      <c r="Y993" s="527"/>
      <c r="Z993" s="527"/>
      <c r="AA993" s="527"/>
      <c r="AB993" s="527"/>
      <c r="AC993" s="527"/>
      <c r="AD993" s="527"/>
      <c r="AE993" s="527"/>
      <c r="AF993" s="528"/>
      <c r="AG993" s="526"/>
      <c r="AH993" s="518" t="n">
        <v>0.3</v>
      </c>
      <c r="AI993" s="35"/>
      <c r="AJ993" s="35"/>
      <c r="AK993" s="35"/>
      <c r="AL993" s="35"/>
      <c r="AM993" s="35"/>
      <c r="AN993" s="35"/>
      <c r="AO993" s="253"/>
      <c r="AP993" s="253"/>
      <c r="AQ993" s="156"/>
      <c r="AR993" s="156"/>
      <c r="AS993" s="156"/>
      <c r="AT993" s="156"/>
      <c r="AU993" s="156"/>
      <c r="AV993" s="156"/>
      <c r="AW993" s="126"/>
      <c r="AX993" s="126"/>
      <c r="AY993" s="126"/>
      <c r="AZ993" s="126"/>
      <c r="BA993" s="126"/>
      <c r="BB993" s="160"/>
      <c r="BC993" s="160"/>
      <c r="BD993" s="160"/>
      <c r="BE993" s="160"/>
    </row>
    <row r="994" customFormat="false" ht="14.1" hidden="true" customHeight="true" outlineLevel="1" collapsed="false">
      <c r="A994" s="272" t="s">
        <v>590</v>
      </c>
      <c r="B994" s="235"/>
      <c r="C994" s="138"/>
      <c r="D994" s="138"/>
      <c r="E994" s="535"/>
      <c r="F994" s="535"/>
      <c r="G994" s="415"/>
      <c r="H994" s="510" t="n">
        <v>0.3</v>
      </c>
      <c r="I994" s="537"/>
      <c r="J994" s="519" t="s">
        <v>606</v>
      </c>
      <c r="K994" s="527"/>
      <c r="L994" s="527"/>
      <c r="M994" s="527"/>
      <c r="N994" s="527"/>
      <c r="O994" s="527"/>
      <c r="P994" s="528"/>
      <c r="Q994" s="510"/>
      <c r="R994" s="510" t="n">
        <v>0.3</v>
      </c>
      <c r="S994" s="354"/>
      <c r="T994" s="132"/>
      <c r="U994" s="510" t="n">
        <v>0.3</v>
      </c>
      <c r="V994" s="526"/>
      <c r="W994" s="281" t="s">
        <v>606</v>
      </c>
      <c r="X994" s="132"/>
      <c r="Y994" s="132"/>
      <c r="Z994" s="132"/>
      <c r="AA994" s="132"/>
      <c r="AB994" s="132"/>
      <c r="AC994" s="132"/>
      <c r="AD994" s="132"/>
      <c r="AE994" s="132"/>
      <c r="AF994" s="132"/>
      <c r="AG994" s="526"/>
      <c r="AH994" s="518" t="n">
        <v>0.3</v>
      </c>
      <c r="AI994" s="35"/>
      <c r="AJ994" s="35"/>
      <c r="AK994" s="35"/>
      <c r="AL994" s="35"/>
      <c r="AM994" s="35"/>
      <c r="AN994" s="35"/>
      <c r="AO994" s="253"/>
      <c r="AP994" s="253"/>
      <c r="AQ994" s="156"/>
      <c r="AR994" s="156"/>
      <c r="AS994" s="156"/>
      <c r="AT994" s="156"/>
      <c r="AU994" s="156"/>
      <c r="AV994" s="156"/>
      <c r="AW994" s="126"/>
      <c r="AX994" s="126"/>
      <c r="AY994" s="126"/>
      <c r="AZ994" s="126"/>
      <c r="BA994" s="126"/>
      <c r="BB994" s="160"/>
      <c r="BC994" s="160"/>
      <c r="BD994" s="160"/>
      <c r="BE994" s="160"/>
    </row>
    <row r="995" customFormat="false" ht="14.1" hidden="true" customHeight="true" outlineLevel="1" collapsed="false">
      <c r="A995" s="244" t="s">
        <v>604</v>
      </c>
      <c r="B995" s="235"/>
      <c r="C995" s="138"/>
      <c r="D995" s="138"/>
      <c r="E995" s="535"/>
      <c r="F995" s="535"/>
      <c r="G995" s="415"/>
      <c r="H995" s="510" t="n">
        <v>0.3</v>
      </c>
      <c r="I995" s="526"/>
      <c r="J995" s="519" t="s">
        <v>607</v>
      </c>
      <c r="K995" s="527"/>
      <c r="L995" s="527"/>
      <c r="M995" s="527"/>
      <c r="N995" s="527"/>
      <c r="O995" s="527"/>
      <c r="P995" s="528"/>
      <c r="Q995" s="526"/>
      <c r="R995" s="510" t="n">
        <v>0.3</v>
      </c>
      <c r="S995" s="186"/>
      <c r="T995" s="132"/>
      <c r="U995" s="510" t="n">
        <v>0.3</v>
      </c>
      <c r="V995" s="526"/>
      <c r="W995" s="519" t="s">
        <v>607</v>
      </c>
      <c r="X995" s="527"/>
      <c r="Y995" s="527"/>
      <c r="Z995" s="527"/>
      <c r="AA995" s="527"/>
      <c r="AB995" s="527"/>
      <c r="AC995" s="527"/>
      <c r="AD995" s="527"/>
      <c r="AE995" s="527"/>
      <c r="AF995" s="528"/>
      <c r="AG995" s="526"/>
      <c r="AH995" s="518" t="n">
        <v>0.3</v>
      </c>
      <c r="AI995" s="35"/>
      <c r="AJ995" s="35"/>
      <c r="AK995" s="35"/>
      <c r="AL995" s="35"/>
      <c r="AM995" s="35"/>
      <c r="AN995" s="35"/>
      <c r="AO995" s="253"/>
      <c r="AP995" s="253"/>
      <c r="AQ995" s="156"/>
      <c r="AR995" s="156"/>
      <c r="AS995" s="156"/>
      <c r="AT995" s="156"/>
      <c r="AU995" s="156"/>
      <c r="AV995" s="156"/>
      <c r="AW995" s="126"/>
      <c r="AX995" s="126"/>
      <c r="AY995" s="126"/>
      <c r="AZ995" s="126"/>
      <c r="BA995" s="126"/>
      <c r="BB995" s="160"/>
      <c r="BC995" s="160"/>
      <c r="BD995" s="160"/>
      <c r="BE995" s="160"/>
    </row>
    <row r="996" customFormat="false" ht="14.1" hidden="true" customHeight="true" outlineLevel="1" collapsed="false">
      <c r="A996" s="272" t="s">
        <v>593</v>
      </c>
      <c r="B996" s="235"/>
      <c r="C996" s="138"/>
      <c r="D996" s="138"/>
      <c r="E996" s="272"/>
      <c r="F996" s="272"/>
      <c r="G996" s="150"/>
      <c r="H996" s="510" t="n">
        <v>0.3</v>
      </c>
      <c r="I996" s="526"/>
      <c r="J996" s="519" t="s">
        <v>608</v>
      </c>
      <c r="K996" s="527"/>
      <c r="L996" s="527"/>
      <c r="M996" s="527"/>
      <c r="N996" s="527"/>
      <c r="O996" s="527"/>
      <c r="P996" s="528"/>
      <c r="Q996" s="526"/>
      <c r="R996" s="510" t="n">
        <v>0.3</v>
      </c>
      <c r="S996" s="186"/>
      <c r="T996" s="132"/>
      <c r="U996" s="510" t="n">
        <v>0.3</v>
      </c>
      <c r="V996" s="542"/>
      <c r="W996" s="281" t="s">
        <v>608</v>
      </c>
      <c r="X996" s="132"/>
      <c r="Y996" s="132"/>
      <c r="Z996" s="132"/>
      <c r="AA996" s="132"/>
      <c r="AB996" s="132"/>
      <c r="AC996" s="132"/>
      <c r="AD996" s="132"/>
      <c r="AE996" s="132"/>
      <c r="AF996" s="132"/>
      <c r="AG996" s="542"/>
      <c r="AH996" s="518" t="n">
        <v>0.3</v>
      </c>
      <c r="AI996" s="35"/>
      <c r="AJ996" s="35"/>
      <c r="AK996" s="35"/>
      <c r="AL996" s="35"/>
      <c r="AM996" s="35"/>
      <c r="AN996" s="35"/>
      <c r="AO996" s="253"/>
      <c r="AP996" s="253"/>
      <c r="AQ996" s="156"/>
      <c r="AR996" s="156"/>
      <c r="AS996" s="156"/>
      <c r="AT996" s="156"/>
      <c r="AU996" s="156"/>
      <c r="AV996" s="156"/>
      <c r="AW996" s="126"/>
      <c r="AX996" s="126"/>
      <c r="AY996" s="126"/>
      <c r="AZ996" s="126"/>
      <c r="BA996" s="126"/>
      <c r="BB996" s="21"/>
      <c r="BC996" s="21"/>
      <c r="BD996" s="21"/>
      <c r="BE996" s="21"/>
    </row>
    <row r="997" customFormat="false" ht="14.1" hidden="true" customHeight="true" outlineLevel="1" collapsed="false">
      <c r="A997" s="244" t="s">
        <v>604</v>
      </c>
      <c r="B997" s="235"/>
      <c r="C997" s="138"/>
      <c r="D997" s="138"/>
      <c r="E997" s="543"/>
      <c r="F997" s="543"/>
      <c r="G997" s="150"/>
      <c r="H997" s="510" t="n">
        <v>0.3</v>
      </c>
      <c r="I997" s="510"/>
      <c r="J997" s="544" t="s">
        <v>609</v>
      </c>
      <c r="K997" s="545"/>
      <c r="L997" s="545"/>
      <c r="M997" s="545"/>
      <c r="N997" s="545"/>
      <c r="O997" s="545"/>
      <c r="P997" s="545"/>
      <c r="Q997" s="510"/>
      <c r="R997" s="510" t="n">
        <v>0.3</v>
      </c>
      <c r="S997" s="186"/>
      <c r="T997" s="132"/>
      <c r="U997" s="510" t="n">
        <v>0.3</v>
      </c>
      <c r="V997" s="510"/>
      <c r="W997" s="519" t="s">
        <v>610</v>
      </c>
      <c r="X997" s="531"/>
      <c r="Y997" s="531"/>
      <c r="Z997" s="531"/>
      <c r="AA997" s="531"/>
      <c r="AB997" s="531"/>
      <c r="AC997" s="531"/>
      <c r="AD997" s="531"/>
      <c r="AE997" s="531"/>
      <c r="AF997" s="532"/>
      <c r="AG997" s="537"/>
      <c r="AH997" s="518" t="n">
        <v>0.3</v>
      </c>
      <c r="AI997" s="35"/>
      <c r="AJ997" s="35"/>
      <c r="AK997" s="35"/>
      <c r="AL997" s="35"/>
      <c r="AM997" s="35"/>
      <c r="AN997" s="35"/>
      <c r="AO997" s="253"/>
      <c r="AP997" s="253"/>
      <c r="AQ997" s="156"/>
      <c r="AR997" s="156"/>
      <c r="AS997" s="156"/>
      <c r="AT997" s="156"/>
      <c r="AU997" s="156"/>
      <c r="AV997" s="156"/>
      <c r="AW997" s="126"/>
      <c r="AX997" s="126"/>
      <c r="AY997" s="126"/>
      <c r="AZ997" s="126"/>
      <c r="BA997" s="126"/>
      <c r="BB997" s="21"/>
      <c r="BC997" s="21"/>
      <c r="BD997" s="21"/>
      <c r="BE997" s="21"/>
    </row>
    <row r="998" customFormat="false" ht="14.1" hidden="true" customHeight="true" outlineLevel="1" collapsed="false">
      <c r="A998" s="138" t="s">
        <v>597</v>
      </c>
      <c r="B998" s="235"/>
      <c r="C998" s="138"/>
      <c r="D998" s="138"/>
      <c r="E998" s="543"/>
      <c r="F998" s="543"/>
      <c r="G998" s="230"/>
      <c r="H998" s="510" t="n">
        <v>0.3</v>
      </c>
      <c r="I998" s="510"/>
      <c r="J998" s="519" t="s">
        <v>611</v>
      </c>
      <c r="K998" s="531"/>
      <c r="L998" s="531"/>
      <c r="M998" s="531"/>
      <c r="N998" s="531"/>
      <c r="O998" s="531"/>
      <c r="P998" s="532"/>
      <c r="Q998" s="510"/>
      <c r="R998" s="510" t="n">
        <v>0.3</v>
      </c>
      <c r="S998" s="186"/>
      <c r="T998" s="132"/>
      <c r="U998" s="510" t="n">
        <v>0.3</v>
      </c>
      <c r="V998" s="181"/>
      <c r="W998" s="281" t="s">
        <v>611</v>
      </c>
      <c r="X998" s="186"/>
      <c r="Y998" s="186"/>
      <c r="Z998" s="186"/>
      <c r="AA998" s="186"/>
      <c r="AB998" s="186"/>
      <c r="AC998" s="186"/>
      <c r="AD998" s="186"/>
      <c r="AE998" s="186"/>
      <c r="AF998" s="186"/>
      <c r="AG998" s="546"/>
      <c r="AH998" s="518" t="n">
        <v>0.3</v>
      </c>
      <c r="AI998" s="35"/>
      <c r="AJ998" s="35"/>
      <c r="AK998" s="35"/>
      <c r="AL998" s="35"/>
      <c r="AM998" s="35"/>
      <c r="AN998" s="35"/>
      <c r="AO998" s="253"/>
      <c r="AP998" s="253"/>
      <c r="AQ998" s="156"/>
      <c r="AR998" s="156"/>
      <c r="AS998" s="156"/>
      <c r="AT998" s="156"/>
      <c r="AU998" s="156"/>
      <c r="AV998" s="156"/>
      <c r="AW998" s="126"/>
      <c r="AX998" s="126"/>
      <c r="AY998" s="126"/>
      <c r="AZ998" s="126"/>
      <c r="BA998" s="126"/>
      <c r="BB998" s="21"/>
      <c r="BC998" s="21"/>
      <c r="BD998" s="21"/>
      <c r="BE998" s="21"/>
    </row>
    <row r="999" customFormat="false" ht="14.1" hidden="true" customHeight="true" outlineLevel="1" collapsed="false">
      <c r="A999" s="490" t="s">
        <v>612</v>
      </c>
      <c r="B999" s="235"/>
      <c r="C999" s="138"/>
      <c r="D999" s="138"/>
      <c r="E999" s="196"/>
      <c r="F999" s="196"/>
      <c r="G999" s="230"/>
      <c r="H999" s="510" t="n">
        <v>0.3</v>
      </c>
      <c r="I999" s="510"/>
      <c r="J999" s="519" t="s">
        <v>613</v>
      </c>
      <c r="K999" s="531"/>
      <c r="L999" s="531"/>
      <c r="M999" s="531"/>
      <c r="N999" s="531"/>
      <c r="O999" s="531"/>
      <c r="P999" s="532"/>
      <c r="Q999" s="510"/>
      <c r="R999" s="510" t="n">
        <v>0.3</v>
      </c>
      <c r="S999" s="186"/>
      <c r="T999" s="132"/>
      <c r="U999" s="510" t="n">
        <v>0.3</v>
      </c>
      <c r="V999" s="498"/>
      <c r="W999" s="519" t="s">
        <v>614</v>
      </c>
      <c r="X999" s="531"/>
      <c r="Y999" s="531"/>
      <c r="Z999" s="531"/>
      <c r="AA999" s="531"/>
      <c r="AB999" s="531"/>
      <c r="AC999" s="531"/>
      <c r="AD999" s="531"/>
      <c r="AE999" s="531"/>
      <c r="AF999" s="532"/>
      <c r="AG999" s="504"/>
      <c r="AH999" s="518" t="n">
        <v>0.3</v>
      </c>
      <c r="AI999" s="35"/>
      <c r="AJ999" s="35"/>
      <c r="AK999" s="35"/>
      <c r="AL999" s="35"/>
      <c r="AM999" s="35"/>
      <c r="AN999" s="35"/>
      <c r="AO999" s="253"/>
      <c r="AP999" s="253"/>
      <c r="AQ999" s="156"/>
      <c r="AR999" s="156"/>
      <c r="AS999" s="156"/>
      <c r="AT999" s="156"/>
      <c r="AU999" s="156"/>
      <c r="AV999" s="156"/>
      <c r="AW999" s="126"/>
      <c r="AX999" s="126"/>
      <c r="AY999" s="126"/>
      <c r="AZ999" s="126"/>
      <c r="BA999" s="126"/>
      <c r="BB999" s="21"/>
      <c r="BC999" s="21"/>
      <c r="BD999" s="21"/>
      <c r="BE999" s="21"/>
    </row>
    <row r="1000" customFormat="false" ht="14.1" hidden="true" customHeight="true" outlineLevel="1" collapsed="false">
      <c r="A1000" s="138"/>
      <c r="B1000" s="235"/>
      <c r="C1000" s="138"/>
      <c r="D1000" s="138"/>
      <c r="E1000" s="299" t="s">
        <v>15</v>
      </c>
      <c r="F1000" s="196"/>
      <c r="G1000" s="230"/>
      <c r="H1000" s="510" t="n">
        <v>0.3</v>
      </c>
      <c r="I1000" s="498"/>
      <c r="J1000" s="519" t="s">
        <v>615</v>
      </c>
      <c r="K1000" s="531"/>
      <c r="L1000" s="531"/>
      <c r="M1000" s="531"/>
      <c r="N1000" s="531"/>
      <c r="O1000" s="531"/>
      <c r="P1000" s="532"/>
      <c r="Q1000" s="510"/>
      <c r="R1000" s="510" t="n">
        <v>0.3</v>
      </c>
      <c r="S1000" s="186"/>
      <c r="T1000" s="132"/>
      <c r="U1000" s="510" t="n">
        <v>0.3</v>
      </c>
      <c r="V1000" s="498"/>
      <c r="W1000" s="281" t="s">
        <v>616</v>
      </c>
      <c r="X1000" s="186"/>
      <c r="Y1000" s="186"/>
      <c r="Z1000" s="186"/>
      <c r="AA1000" s="186"/>
      <c r="AB1000" s="186"/>
      <c r="AC1000" s="186"/>
      <c r="AD1000" s="186"/>
      <c r="AE1000" s="186"/>
      <c r="AF1000" s="186"/>
      <c r="AG1000" s="504"/>
      <c r="AH1000" s="518" t="n">
        <v>0.3</v>
      </c>
      <c r="AI1000" s="35"/>
      <c r="AJ1000" s="35"/>
      <c r="AK1000" s="35"/>
      <c r="AL1000" s="35"/>
      <c r="AM1000" s="35"/>
      <c r="AN1000" s="35"/>
      <c r="AO1000" s="253"/>
      <c r="AP1000" s="253"/>
      <c r="AQ1000" s="156"/>
      <c r="AR1000" s="156"/>
      <c r="AS1000" s="156"/>
      <c r="AT1000" s="156"/>
      <c r="AU1000" s="156"/>
      <c r="AV1000" s="156"/>
      <c r="AW1000" s="126"/>
      <c r="AX1000" s="126"/>
      <c r="AY1000" s="126"/>
      <c r="AZ1000" s="126"/>
      <c r="BA1000" s="126"/>
      <c r="BB1000" s="21"/>
      <c r="BC1000" s="21"/>
      <c r="BD1000" s="21"/>
      <c r="BE1000" s="21"/>
    </row>
    <row r="1001" customFormat="false" ht="14.1" hidden="true" customHeight="true" outlineLevel="1" collapsed="false">
      <c r="A1001" s="138"/>
      <c r="B1001" s="235"/>
      <c r="C1001" s="138"/>
      <c r="D1001" s="138"/>
      <c r="E1001" s="194" t="n">
        <f aca="false">связи1!H67</f>
        <v>3.2</v>
      </c>
      <c r="F1001" s="272"/>
      <c r="G1001" s="230"/>
      <c r="H1001" s="510" t="n">
        <v>0.3</v>
      </c>
      <c r="I1001" s="498"/>
      <c r="J1001" s="519" t="s">
        <v>617</v>
      </c>
      <c r="K1001" s="531"/>
      <c r="L1001" s="531"/>
      <c r="M1001" s="531"/>
      <c r="N1001" s="531"/>
      <c r="O1001" s="531"/>
      <c r="P1001" s="532"/>
      <c r="Q1001" s="510"/>
      <c r="R1001" s="510" t="n">
        <v>0.3</v>
      </c>
      <c r="S1001" s="186"/>
      <c r="T1001" s="132"/>
      <c r="U1001" s="510" t="n">
        <v>0.3</v>
      </c>
      <c r="V1001" s="498"/>
      <c r="W1001" s="519" t="s">
        <v>618</v>
      </c>
      <c r="X1001" s="531"/>
      <c r="Y1001" s="531"/>
      <c r="Z1001" s="531"/>
      <c r="AA1001" s="531"/>
      <c r="AB1001" s="531"/>
      <c r="AC1001" s="531"/>
      <c r="AD1001" s="531"/>
      <c r="AE1001" s="531"/>
      <c r="AF1001" s="532"/>
      <c r="AG1001" s="504"/>
      <c r="AH1001" s="518" t="n">
        <v>0.3</v>
      </c>
      <c r="AI1001" s="35"/>
      <c r="AJ1001" s="35"/>
      <c r="AK1001" s="35"/>
      <c r="AL1001" s="35"/>
      <c r="AM1001" s="35"/>
      <c r="AN1001" s="35"/>
      <c r="AO1001" s="253"/>
      <c r="AP1001" s="253"/>
      <c r="AQ1001" s="156"/>
      <c r="AR1001" s="156"/>
      <c r="AS1001" s="156"/>
      <c r="AT1001" s="156"/>
      <c r="AU1001" s="156"/>
      <c r="AV1001" s="156"/>
      <c r="AW1001" s="126"/>
      <c r="AX1001" s="126"/>
      <c r="AY1001" s="126"/>
      <c r="AZ1001" s="126"/>
      <c r="BA1001" s="126"/>
      <c r="BB1001" s="21"/>
      <c r="BC1001" s="21"/>
      <c r="BD1001" s="21"/>
      <c r="BE1001" s="21"/>
    </row>
    <row r="1002" customFormat="false" ht="14.1" hidden="true" customHeight="true" outlineLevel="1" collapsed="false">
      <c r="A1002" s="151" t="s">
        <v>619</v>
      </c>
      <c r="B1002" s="180" t="s">
        <v>15</v>
      </c>
      <c r="C1002" s="151" t="n">
        <v>0.03</v>
      </c>
      <c r="D1002" s="138"/>
      <c r="E1002" s="272"/>
      <c r="F1002" s="272"/>
      <c r="G1002" s="150"/>
      <c r="H1002" s="510" t="n">
        <v>0.3</v>
      </c>
      <c r="I1002" s="498"/>
      <c r="J1002" s="519" t="s">
        <v>620</v>
      </c>
      <c r="K1002" s="531"/>
      <c r="L1002" s="531"/>
      <c r="M1002" s="531"/>
      <c r="N1002" s="531"/>
      <c r="O1002" s="531"/>
      <c r="P1002" s="532"/>
      <c r="Q1002" s="510"/>
      <c r="R1002" s="510" t="n">
        <v>0.3</v>
      </c>
      <c r="S1002" s="186"/>
      <c r="T1002" s="132"/>
      <c r="U1002" s="510" t="n">
        <v>0.3</v>
      </c>
      <c r="V1002" s="498"/>
      <c r="W1002" s="281" t="s">
        <v>621</v>
      </c>
      <c r="X1002" s="186"/>
      <c r="Y1002" s="186"/>
      <c r="Z1002" s="186"/>
      <c r="AA1002" s="186"/>
      <c r="AB1002" s="186"/>
      <c r="AC1002" s="186"/>
      <c r="AD1002" s="186"/>
      <c r="AE1002" s="186"/>
      <c r="AF1002" s="186"/>
      <c r="AG1002" s="504"/>
      <c r="AH1002" s="518" t="n">
        <v>0.3</v>
      </c>
      <c r="AI1002" s="35"/>
      <c r="AJ1002" s="35"/>
      <c r="AK1002" s="35"/>
      <c r="AL1002" s="35"/>
      <c r="AM1002" s="35"/>
      <c r="AN1002" s="35"/>
      <c r="AO1002" s="253"/>
      <c r="AP1002" s="253"/>
      <c r="AQ1002" s="156"/>
      <c r="AR1002" s="156"/>
      <c r="AS1002" s="156"/>
      <c r="AT1002" s="156"/>
      <c r="AU1002" s="156"/>
      <c r="AV1002" s="156"/>
      <c r="AW1002" s="126"/>
      <c r="AX1002" s="126"/>
      <c r="AY1002" s="126"/>
      <c r="AZ1002" s="126"/>
      <c r="BA1002" s="126"/>
      <c r="BB1002" s="21"/>
      <c r="BC1002" s="21"/>
      <c r="BD1002" s="21"/>
      <c r="BE1002" s="21"/>
    </row>
    <row r="1003" customFormat="false" ht="14.1" hidden="true" customHeight="true" outlineLevel="1" collapsed="false">
      <c r="A1003" s="138"/>
      <c r="B1003" s="235"/>
      <c r="C1003" s="138"/>
      <c r="D1003" s="138"/>
      <c r="E1003" s="299" t="s">
        <v>15</v>
      </c>
      <c r="F1003" s="272"/>
      <c r="G1003" s="150"/>
      <c r="H1003" s="510" t="n">
        <v>0.3</v>
      </c>
      <c r="I1003" s="498"/>
      <c r="J1003" s="519" t="s">
        <v>622</v>
      </c>
      <c r="K1003" s="531"/>
      <c r="L1003" s="531"/>
      <c r="M1003" s="531"/>
      <c r="N1003" s="531"/>
      <c r="O1003" s="531"/>
      <c r="P1003" s="532"/>
      <c r="Q1003" s="510"/>
      <c r="R1003" s="510" t="n">
        <v>0.3</v>
      </c>
      <c r="S1003" s="186"/>
      <c r="T1003" s="132"/>
      <c r="U1003" s="510" t="n">
        <v>0.3</v>
      </c>
      <c r="V1003" s="498"/>
      <c r="W1003" s="519" t="s">
        <v>623</v>
      </c>
      <c r="X1003" s="531"/>
      <c r="Y1003" s="531"/>
      <c r="Z1003" s="531"/>
      <c r="AA1003" s="531"/>
      <c r="AB1003" s="531"/>
      <c r="AC1003" s="531"/>
      <c r="AD1003" s="547"/>
      <c r="AE1003" s="533"/>
      <c r="AF1003" s="534"/>
      <c r="AG1003" s="504"/>
      <c r="AH1003" s="518" t="n">
        <v>0.3</v>
      </c>
      <c r="AI1003" s="35"/>
      <c r="AJ1003" s="35"/>
      <c r="AK1003" s="35"/>
      <c r="AL1003" s="35"/>
      <c r="AM1003" s="35"/>
      <c r="AN1003" s="35"/>
      <c r="AO1003" s="253"/>
      <c r="AP1003" s="253"/>
      <c r="AQ1003" s="156"/>
      <c r="AR1003" s="156"/>
      <c r="AS1003" s="156"/>
      <c r="AT1003" s="156"/>
      <c r="AU1003" s="156"/>
      <c r="AV1003" s="156"/>
      <c r="AW1003" s="126"/>
      <c r="AX1003" s="126"/>
      <c r="AY1003" s="126"/>
      <c r="AZ1003" s="126"/>
      <c r="BA1003" s="126"/>
      <c r="BB1003" s="21"/>
      <c r="BC1003" s="21"/>
      <c r="BD1003" s="21"/>
      <c r="BE1003" s="21"/>
    </row>
    <row r="1004" customFormat="false" ht="14.1" hidden="true" customHeight="true" outlineLevel="1" collapsed="false">
      <c r="A1004" s="548" t="s">
        <v>624</v>
      </c>
      <c r="B1004" s="276"/>
      <c r="C1004" s="138"/>
      <c r="D1004" s="138"/>
      <c r="E1004" s="194" t="n">
        <f aca="false">связи1!H71</f>
        <v>3</v>
      </c>
      <c r="F1004" s="272"/>
      <c r="G1004" s="150"/>
      <c r="H1004" s="510" t="n">
        <v>0.3</v>
      </c>
      <c r="I1004" s="498"/>
      <c r="J1004" s="519" t="s">
        <v>625</v>
      </c>
      <c r="K1004" s="531"/>
      <c r="L1004" s="531"/>
      <c r="M1004" s="531"/>
      <c r="N1004" s="531"/>
      <c r="O1004" s="531"/>
      <c r="P1004" s="532"/>
      <c r="Q1004" s="510"/>
      <c r="R1004" s="510" t="n">
        <v>0.3</v>
      </c>
      <c r="S1004" s="186"/>
      <c r="T1004" s="132"/>
      <c r="U1004" s="510" t="n">
        <v>0.3</v>
      </c>
      <c r="V1004" s="498"/>
      <c r="W1004" s="281" t="s">
        <v>626</v>
      </c>
      <c r="X1004" s="186"/>
      <c r="Y1004" s="186"/>
      <c r="Z1004" s="186"/>
      <c r="AA1004" s="186"/>
      <c r="AB1004" s="186"/>
      <c r="AC1004" s="186"/>
      <c r="AD1004" s="354"/>
      <c r="AE1004" s="354"/>
      <c r="AF1004" s="354"/>
      <c r="AG1004" s="504"/>
      <c r="AH1004" s="518" t="n">
        <v>0.3</v>
      </c>
      <c r="AI1004" s="35"/>
      <c r="AJ1004" s="35"/>
      <c r="AK1004" s="35"/>
      <c r="AL1004" s="35"/>
      <c r="AM1004" s="35"/>
      <c r="AN1004" s="35"/>
      <c r="AO1004" s="253"/>
      <c r="AP1004" s="253"/>
      <c r="AQ1004" s="156"/>
      <c r="AR1004" s="156"/>
      <c r="AS1004" s="156"/>
      <c r="AT1004" s="156"/>
      <c r="AU1004" s="156"/>
      <c r="AV1004" s="156"/>
      <c r="AW1004" s="126"/>
      <c r="AX1004" s="126"/>
      <c r="AY1004" s="126"/>
      <c r="AZ1004" s="126"/>
      <c r="BA1004" s="126"/>
      <c r="BB1004" s="21"/>
      <c r="BC1004" s="21"/>
      <c r="BD1004" s="21"/>
      <c r="BE1004" s="21"/>
    </row>
    <row r="1005" customFormat="false" ht="14.1" hidden="true" customHeight="true" outlineLevel="1" collapsed="false">
      <c r="A1005" s="239" t="s">
        <v>627</v>
      </c>
      <c r="B1005" s="180" t="s">
        <v>15</v>
      </c>
      <c r="C1005" s="239" t="n">
        <v>0.25</v>
      </c>
      <c r="D1005" s="138"/>
      <c r="E1005" s="138"/>
      <c r="F1005" s="272"/>
      <c r="G1005" s="150"/>
      <c r="H1005" s="510" t="n">
        <v>0.3</v>
      </c>
      <c r="I1005" s="498"/>
      <c r="J1005" s="519" t="s">
        <v>628</v>
      </c>
      <c r="K1005" s="531"/>
      <c r="L1005" s="531"/>
      <c r="M1005" s="531"/>
      <c r="N1005" s="531"/>
      <c r="O1005" s="531"/>
      <c r="P1005" s="532"/>
      <c r="Q1005" s="510"/>
      <c r="R1005" s="510" t="n">
        <v>0.3</v>
      </c>
      <c r="S1005" s="186"/>
      <c r="T1005" s="132"/>
      <c r="U1005" s="549" t="n">
        <v>0.3</v>
      </c>
      <c r="V1005" s="497"/>
      <c r="W1005" s="519" t="s">
        <v>629</v>
      </c>
      <c r="X1005" s="531"/>
      <c r="Y1005" s="531"/>
      <c r="Z1005" s="531"/>
      <c r="AA1005" s="531"/>
      <c r="AB1005" s="533"/>
      <c r="AC1005" s="533"/>
      <c r="AD1005" s="533"/>
      <c r="AE1005" s="533"/>
      <c r="AF1005" s="534"/>
      <c r="AG1005" s="499"/>
      <c r="AH1005" s="550" t="n">
        <v>0.3</v>
      </c>
      <c r="AI1005" s="35"/>
      <c r="AJ1005" s="35"/>
      <c r="AK1005" s="35"/>
      <c r="AL1005" s="35"/>
      <c r="AM1005" s="35"/>
      <c r="AN1005" s="35"/>
      <c r="AO1005" s="253"/>
      <c r="AP1005" s="253"/>
      <c r="AQ1005" s="156"/>
      <c r="AR1005" s="156"/>
      <c r="AS1005" s="156"/>
      <c r="AT1005" s="156"/>
      <c r="AU1005" s="156"/>
      <c r="AV1005" s="156"/>
      <c r="AW1005" s="126"/>
      <c r="AX1005" s="126"/>
      <c r="AY1005" s="126"/>
      <c r="AZ1005" s="126"/>
      <c r="BA1005" s="126"/>
      <c r="BB1005" s="21"/>
      <c r="BC1005" s="21"/>
      <c r="BD1005" s="21"/>
      <c r="BE1005" s="21"/>
    </row>
    <row r="1006" customFormat="false" ht="14.1" hidden="true" customHeight="true" outlineLevel="1" collapsed="false">
      <c r="A1006" s="138"/>
      <c r="B1006" s="235"/>
      <c r="C1006" s="138"/>
      <c r="D1006" s="138"/>
      <c r="E1006" s="138"/>
      <c r="F1006" s="194"/>
      <c r="G1006" s="150"/>
      <c r="H1006" s="510" t="n">
        <v>0.3</v>
      </c>
      <c r="I1006" s="498"/>
      <c r="J1006" s="519" t="s">
        <v>630</v>
      </c>
      <c r="K1006" s="531"/>
      <c r="L1006" s="531"/>
      <c r="M1006" s="531"/>
      <c r="N1006" s="531"/>
      <c r="O1006" s="531"/>
      <c r="P1006" s="532"/>
      <c r="Q1006" s="510"/>
      <c r="R1006" s="510" t="n">
        <v>0.3</v>
      </c>
      <c r="S1006" s="186"/>
      <c r="T1006" s="132"/>
      <c r="U1006" s="510" t="n">
        <v>0.3</v>
      </c>
      <c r="V1006" s="498"/>
      <c r="W1006" s="551" t="s">
        <v>631</v>
      </c>
      <c r="X1006" s="181"/>
      <c r="Y1006" s="181"/>
      <c r="Z1006" s="181"/>
      <c r="AA1006" s="181"/>
      <c r="AB1006" s="546"/>
      <c r="AC1006" s="546"/>
      <c r="AD1006" s="546"/>
      <c r="AE1006" s="546"/>
      <c r="AF1006" s="546"/>
      <c r="AG1006" s="504"/>
      <c r="AH1006" s="552" t="n">
        <v>0.3</v>
      </c>
      <c r="AI1006" s="35"/>
      <c r="AJ1006" s="35"/>
      <c r="AK1006" s="35"/>
      <c r="AL1006" s="35"/>
      <c r="AM1006" s="35"/>
      <c r="AN1006" s="35"/>
      <c r="AO1006" s="253"/>
      <c r="AP1006" s="253"/>
      <c r="AQ1006" s="156"/>
      <c r="AR1006" s="156"/>
      <c r="AS1006" s="156"/>
      <c r="AT1006" s="156"/>
      <c r="AU1006" s="156"/>
      <c r="AV1006" s="156"/>
      <c r="AW1006" s="126"/>
      <c r="AX1006" s="126"/>
      <c r="AY1006" s="126"/>
      <c r="AZ1006" s="126"/>
      <c r="BA1006" s="126"/>
      <c r="BB1006" s="21"/>
      <c r="BC1006" s="21"/>
      <c r="BD1006" s="21"/>
      <c r="BE1006" s="21"/>
    </row>
    <row r="1007" customFormat="false" ht="14.1" hidden="true" customHeight="true" outlineLevel="1" collapsed="false">
      <c r="A1007" s="292" t="s">
        <v>632</v>
      </c>
      <c r="B1007" s="180" t="s">
        <v>12</v>
      </c>
      <c r="C1007" s="292" t="s">
        <v>200</v>
      </c>
      <c r="D1007" s="292" t="s">
        <v>200</v>
      </c>
      <c r="E1007" s="272"/>
      <c r="F1007" s="272"/>
      <c r="G1007" s="26"/>
      <c r="H1007" s="510" t="n">
        <v>0.3</v>
      </c>
      <c r="I1007" s="498"/>
      <c r="J1007" s="519" t="s">
        <v>633</v>
      </c>
      <c r="K1007" s="531"/>
      <c r="L1007" s="531"/>
      <c r="M1007" s="531"/>
      <c r="N1007" s="531"/>
      <c r="O1007" s="531"/>
      <c r="P1007" s="532"/>
      <c r="Q1007" s="510"/>
      <c r="R1007" s="510" t="n">
        <v>0.3</v>
      </c>
      <c r="S1007" s="186"/>
      <c r="T1007" s="132"/>
      <c r="U1007" s="553" t="n">
        <v>0.3</v>
      </c>
      <c r="V1007" s="181"/>
      <c r="W1007" s="281" t="s">
        <v>634</v>
      </c>
      <c r="X1007" s="186"/>
      <c r="Y1007" s="186"/>
      <c r="Z1007" s="186"/>
      <c r="AA1007" s="186"/>
      <c r="AB1007" s="186"/>
      <c r="AC1007" s="186"/>
      <c r="AD1007" s="186"/>
      <c r="AE1007" s="186"/>
      <c r="AF1007" s="186"/>
      <c r="AG1007" s="546"/>
      <c r="AH1007" s="554" t="n">
        <v>0.3</v>
      </c>
      <c r="AI1007" s="35"/>
      <c r="AJ1007" s="35"/>
      <c r="AK1007" s="35"/>
      <c r="AL1007" s="35"/>
      <c r="AM1007" s="35"/>
      <c r="AN1007" s="35"/>
      <c r="AO1007" s="253"/>
      <c r="AP1007" s="253"/>
      <c r="AQ1007" s="156"/>
      <c r="AR1007" s="156"/>
      <c r="AS1007" s="156"/>
      <c r="AT1007" s="156"/>
      <c r="AU1007" s="156"/>
      <c r="AV1007" s="156"/>
      <c r="AW1007" s="126"/>
      <c r="AX1007" s="126"/>
      <c r="AY1007" s="126"/>
      <c r="AZ1007" s="126"/>
      <c r="BA1007" s="126"/>
      <c r="BB1007" s="21"/>
      <c r="BC1007" s="21"/>
      <c r="BD1007" s="21"/>
      <c r="BE1007" s="21"/>
    </row>
    <row r="1008" customFormat="false" ht="14.1" hidden="true" customHeight="true" outlineLevel="1" collapsed="false">
      <c r="A1008" s="239" t="s">
        <v>635</v>
      </c>
      <c r="B1008" s="180" t="s">
        <v>15</v>
      </c>
      <c r="C1008" s="239" t="n">
        <v>0.6</v>
      </c>
      <c r="D1008" s="239" t="n">
        <v>0.5</v>
      </c>
      <c r="E1008" s="138"/>
      <c r="F1008" s="272"/>
      <c r="G1008" s="165"/>
      <c r="H1008" s="510" t="n">
        <v>0.3</v>
      </c>
      <c r="I1008" s="498"/>
      <c r="J1008" s="519" t="s">
        <v>636</v>
      </c>
      <c r="K1008" s="531"/>
      <c r="L1008" s="531"/>
      <c r="M1008" s="531"/>
      <c r="N1008" s="531"/>
      <c r="O1008" s="531"/>
      <c r="P1008" s="532"/>
      <c r="Q1008" s="510"/>
      <c r="R1008" s="510" t="n">
        <v>0.3</v>
      </c>
      <c r="S1008" s="186"/>
      <c r="T1008" s="132"/>
      <c r="U1008" s="555" t="n">
        <v>0.3</v>
      </c>
      <c r="V1008" s="510"/>
      <c r="W1008" s="519" t="s">
        <v>637</v>
      </c>
      <c r="X1008" s="531"/>
      <c r="Y1008" s="531"/>
      <c r="Z1008" s="531"/>
      <c r="AA1008" s="531"/>
      <c r="AB1008" s="531"/>
      <c r="AC1008" s="531"/>
      <c r="AD1008" s="531"/>
      <c r="AE1008" s="531"/>
      <c r="AF1008" s="532"/>
      <c r="AG1008" s="504"/>
      <c r="AH1008" s="556" t="n">
        <v>0.3</v>
      </c>
      <c r="AI1008" s="35"/>
      <c r="AJ1008" s="35"/>
      <c r="AK1008" s="35"/>
      <c r="AL1008" s="35"/>
      <c r="AM1008" s="35"/>
      <c r="AN1008" s="35"/>
      <c r="AO1008" s="253"/>
      <c r="AP1008" s="253"/>
      <c r="AQ1008" s="156"/>
      <c r="AR1008" s="156"/>
      <c r="AS1008" s="156"/>
      <c r="AT1008" s="156"/>
      <c r="AU1008" s="156"/>
      <c r="AV1008" s="156"/>
      <c r="AW1008" s="126"/>
      <c r="AX1008" s="126"/>
      <c r="AY1008" s="126"/>
      <c r="AZ1008" s="126"/>
      <c r="BA1008" s="126"/>
      <c r="BB1008" s="21"/>
      <c r="BC1008" s="21"/>
      <c r="BD1008" s="21"/>
      <c r="BE1008" s="21"/>
    </row>
    <row r="1009" customFormat="false" ht="14.1" hidden="true" customHeight="true" outlineLevel="1" collapsed="false">
      <c r="A1009" s="239" t="s">
        <v>638</v>
      </c>
      <c r="B1009" s="180" t="s">
        <v>15</v>
      </c>
      <c r="C1009" s="239" t="n">
        <v>0.6</v>
      </c>
      <c r="D1009" s="239" t="n">
        <v>0.5</v>
      </c>
      <c r="E1009" s="138"/>
      <c r="F1009" s="194"/>
      <c r="G1009" s="165"/>
      <c r="H1009" s="510" t="n">
        <v>0.3</v>
      </c>
      <c r="I1009" s="498"/>
      <c r="J1009" s="519" t="s">
        <v>639</v>
      </c>
      <c r="K1009" s="531"/>
      <c r="L1009" s="531"/>
      <c r="M1009" s="531"/>
      <c r="N1009" s="531"/>
      <c r="O1009" s="531"/>
      <c r="P1009" s="532"/>
      <c r="Q1009" s="510"/>
      <c r="R1009" s="510" t="n">
        <v>0.3</v>
      </c>
      <c r="S1009" s="186"/>
      <c r="T1009" s="132"/>
      <c r="U1009" s="555" t="n">
        <v>0.3</v>
      </c>
      <c r="V1009" s="498"/>
      <c r="W1009" s="281" t="s">
        <v>640</v>
      </c>
      <c r="X1009" s="186"/>
      <c r="Y1009" s="186"/>
      <c r="Z1009" s="186"/>
      <c r="AA1009" s="186"/>
      <c r="AB1009" s="186"/>
      <c r="AC1009" s="186"/>
      <c r="AD1009" s="186"/>
      <c r="AE1009" s="186"/>
      <c r="AF1009" s="186"/>
      <c r="AG1009" s="504"/>
      <c r="AH1009" s="556" t="n">
        <v>0.3</v>
      </c>
      <c r="AI1009" s="35"/>
      <c r="AJ1009" s="35"/>
      <c r="AK1009" s="35"/>
      <c r="AL1009" s="35"/>
      <c r="AM1009" s="35"/>
      <c r="AN1009" s="35"/>
      <c r="AO1009" s="253"/>
      <c r="AP1009" s="253"/>
      <c r="AQ1009" s="156"/>
      <c r="AR1009" s="156"/>
      <c r="AS1009" s="156"/>
      <c r="AT1009" s="156"/>
      <c r="AU1009" s="156"/>
      <c r="AV1009" s="156"/>
      <c r="AW1009" s="126"/>
      <c r="AX1009" s="126"/>
      <c r="AY1009" s="126"/>
      <c r="AZ1009" s="126"/>
      <c r="BA1009" s="126"/>
      <c r="BB1009" s="21"/>
      <c r="BC1009" s="21"/>
      <c r="BD1009" s="21"/>
      <c r="BE1009" s="21"/>
    </row>
    <row r="1010" customFormat="false" ht="14.1" hidden="true" customHeight="true" outlineLevel="1" collapsed="false">
      <c r="A1010" s="239" t="s">
        <v>641</v>
      </c>
      <c r="B1010" s="180" t="s">
        <v>15</v>
      </c>
      <c r="C1010" s="239" t="n">
        <v>0.6</v>
      </c>
      <c r="D1010" s="239" t="n">
        <v>0.5</v>
      </c>
      <c r="E1010" s="272"/>
      <c r="F1010" s="272"/>
      <c r="G1010" s="26"/>
      <c r="H1010" s="510" t="n">
        <v>0.3</v>
      </c>
      <c r="I1010" s="498"/>
      <c r="J1010" s="519" t="s">
        <v>642</v>
      </c>
      <c r="K1010" s="531"/>
      <c r="L1010" s="531"/>
      <c r="M1010" s="531"/>
      <c r="N1010" s="531"/>
      <c r="O1010" s="531"/>
      <c r="P1010" s="532"/>
      <c r="Q1010" s="510"/>
      <c r="R1010" s="510" t="n">
        <v>0.3</v>
      </c>
      <c r="S1010" s="186"/>
      <c r="T1010" s="132"/>
      <c r="U1010" s="555" t="n">
        <v>0.3</v>
      </c>
      <c r="V1010" s="498"/>
      <c r="W1010" s="519" t="s">
        <v>643</v>
      </c>
      <c r="X1010" s="531"/>
      <c r="Y1010" s="531"/>
      <c r="Z1010" s="531"/>
      <c r="AA1010" s="531"/>
      <c r="AB1010" s="531"/>
      <c r="AC1010" s="531"/>
      <c r="AD1010" s="531"/>
      <c r="AE1010" s="531"/>
      <c r="AF1010" s="532"/>
      <c r="AG1010" s="504"/>
      <c r="AH1010" s="556" t="n">
        <v>0.3</v>
      </c>
      <c r="AI1010" s="35"/>
      <c r="AJ1010" s="35"/>
      <c r="AK1010" s="35"/>
      <c r="AL1010" s="35"/>
      <c r="AM1010" s="35"/>
      <c r="AN1010" s="35"/>
      <c r="AO1010" s="253"/>
      <c r="AP1010" s="253"/>
      <c r="AQ1010" s="156"/>
      <c r="AR1010" s="156"/>
      <c r="AS1010" s="156"/>
      <c r="AT1010" s="156"/>
      <c r="AU1010" s="156"/>
      <c r="AV1010" s="156"/>
      <c r="AW1010" s="126"/>
      <c r="AX1010" s="126"/>
      <c r="AY1010" s="126"/>
      <c r="AZ1010" s="126"/>
      <c r="BA1010" s="126"/>
      <c r="BB1010" s="21"/>
      <c r="BC1010" s="21"/>
      <c r="BD1010" s="21"/>
      <c r="BE1010" s="21"/>
    </row>
    <row r="1011" customFormat="false" ht="14.1" hidden="true" customHeight="true" outlineLevel="1" collapsed="false">
      <c r="A1011" s="239" t="s">
        <v>644</v>
      </c>
      <c r="B1011" s="180" t="s">
        <v>15</v>
      </c>
      <c r="C1011" s="239" t="n">
        <v>0.6</v>
      </c>
      <c r="D1011" s="239" t="n">
        <v>0.5</v>
      </c>
      <c r="E1011" s="272"/>
      <c r="F1011" s="272"/>
      <c r="G1011" s="165"/>
      <c r="H1011" s="510" t="n">
        <v>0.4</v>
      </c>
      <c r="I1011" s="498"/>
      <c r="J1011" s="519" t="s">
        <v>645</v>
      </c>
      <c r="K1011" s="531"/>
      <c r="L1011" s="531"/>
      <c r="M1011" s="531"/>
      <c r="N1011" s="531"/>
      <c r="O1011" s="531"/>
      <c r="P1011" s="532"/>
      <c r="Q1011" s="510"/>
      <c r="R1011" s="510" t="n">
        <v>0.4</v>
      </c>
      <c r="S1011" s="186"/>
      <c r="T1011" s="132"/>
      <c r="U1011" s="555" t="n">
        <v>0.4</v>
      </c>
      <c r="V1011" s="498"/>
      <c r="W1011" s="281" t="s">
        <v>646</v>
      </c>
      <c r="X1011" s="186"/>
      <c r="Y1011" s="186"/>
      <c r="Z1011" s="186"/>
      <c r="AA1011" s="186"/>
      <c r="AB1011" s="186"/>
      <c r="AC1011" s="186"/>
      <c r="AD1011" s="186"/>
      <c r="AE1011" s="186"/>
      <c r="AF1011" s="186"/>
      <c r="AG1011" s="504"/>
      <c r="AH1011" s="556" t="n">
        <v>0.4</v>
      </c>
      <c r="AI1011" s="35"/>
      <c r="AJ1011" s="35"/>
      <c r="AK1011" s="35"/>
      <c r="AL1011" s="35"/>
      <c r="AM1011" s="35"/>
      <c r="AN1011" s="35"/>
      <c r="AO1011" s="253"/>
      <c r="AP1011" s="253"/>
      <c r="AQ1011" s="156"/>
      <c r="AR1011" s="156"/>
      <c r="AS1011" s="156"/>
      <c r="AT1011" s="156"/>
      <c r="AU1011" s="156"/>
      <c r="AV1011" s="156"/>
      <c r="AW1011" s="126"/>
      <c r="AX1011" s="126"/>
      <c r="AY1011" s="126"/>
      <c r="AZ1011" s="126"/>
      <c r="BA1011" s="126"/>
      <c r="BB1011" s="21"/>
      <c r="BC1011" s="21"/>
      <c r="BD1011" s="21"/>
      <c r="BE1011" s="21"/>
    </row>
    <row r="1012" customFormat="false" ht="14.1" hidden="true" customHeight="true" outlineLevel="1" collapsed="false">
      <c r="A1012" s="338" t="s">
        <v>647</v>
      </c>
      <c r="B1012" s="180" t="s">
        <v>48</v>
      </c>
      <c r="C1012" s="130"/>
      <c r="D1012" s="239" t="n">
        <v>1</v>
      </c>
      <c r="E1012" s="272"/>
      <c r="F1012" s="272"/>
      <c r="G1012" s="165"/>
      <c r="H1012" s="510" t="n">
        <v>0.5</v>
      </c>
      <c r="I1012" s="498"/>
      <c r="J1012" s="519" t="s">
        <v>648</v>
      </c>
      <c r="K1012" s="531"/>
      <c r="L1012" s="531"/>
      <c r="M1012" s="531"/>
      <c r="N1012" s="531"/>
      <c r="O1012" s="531"/>
      <c r="P1012" s="532"/>
      <c r="Q1012" s="510"/>
      <c r="R1012" s="510" t="n">
        <v>0.5</v>
      </c>
      <c r="S1012" s="186"/>
      <c r="T1012" s="132"/>
      <c r="U1012" s="555" t="n">
        <v>0.5</v>
      </c>
      <c r="V1012" s="498"/>
      <c r="W1012" s="519" t="s">
        <v>649</v>
      </c>
      <c r="X1012" s="531"/>
      <c r="Y1012" s="531"/>
      <c r="Z1012" s="531"/>
      <c r="AA1012" s="531"/>
      <c r="AB1012" s="531"/>
      <c r="AC1012" s="531"/>
      <c r="AD1012" s="531"/>
      <c r="AE1012" s="531"/>
      <c r="AF1012" s="532"/>
      <c r="AG1012" s="504"/>
      <c r="AH1012" s="556" t="n">
        <v>0.5</v>
      </c>
      <c r="AI1012" s="35"/>
      <c r="AJ1012" s="35"/>
      <c r="AK1012" s="35"/>
      <c r="AL1012" s="35"/>
      <c r="AM1012" s="35"/>
      <c r="AN1012" s="35"/>
      <c r="AO1012" s="253"/>
      <c r="AP1012" s="253"/>
      <c r="AQ1012" s="156"/>
      <c r="AR1012" s="156"/>
      <c r="AS1012" s="156"/>
      <c r="AT1012" s="156"/>
      <c r="AU1012" s="156"/>
      <c r="AV1012" s="156"/>
      <c r="AW1012" s="126"/>
      <c r="AX1012" s="126"/>
      <c r="AY1012" s="126"/>
      <c r="AZ1012" s="126"/>
      <c r="BA1012" s="126"/>
      <c r="BB1012" s="21"/>
      <c r="BC1012" s="21"/>
      <c r="BD1012" s="21"/>
      <c r="BE1012" s="21"/>
    </row>
    <row r="1013" customFormat="false" ht="14.1" hidden="true" customHeight="true" outlineLevel="1" collapsed="false">
      <c r="A1013" s="138"/>
      <c r="B1013" s="235"/>
      <c r="C1013" s="138"/>
      <c r="D1013" s="138"/>
      <c r="E1013" s="272"/>
      <c r="F1013" s="272"/>
      <c r="G1013" s="165"/>
      <c r="H1013" s="510" t="n">
        <v>0.6</v>
      </c>
      <c r="I1013" s="510"/>
      <c r="J1013" s="519" t="s">
        <v>650</v>
      </c>
      <c r="K1013" s="531"/>
      <c r="L1013" s="531"/>
      <c r="M1013" s="531"/>
      <c r="N1013" s="531"/>
      <c r="O1013" s="531"/>
      <c r="P1013" s="531"/>
      <c r="Q1013" s="510"/>
      <c r="R1013" s="510" t="n">
        <v>0.6</v>
      </c>
      <c r="S1013" s="186"/>
      <c r="T1013" s="132"/>
      <c r="U1013" s="555" t="n">
        <v>0.6</v>
      </c>
      <c r="V1013" s="510"/>
      <c r="W1013" s="281" t="s">
        <v>651</v>
      </c>
      <c r="X1013" s="186"/>
      <c r="Y1013" s="186"/>
      <c r="Z1013" s="186"/>
      <c r="AA1013" s="186"/>
      <c r="AB1013" s="186"/>
      <c r="AC1013" s="186"/>
      <c r="AD1013" s="186"/>
      <c r="AE1013" s="186"/>
      <c r="AF1013" s="186"/>
      <c r="AG1013" s="504"/>
      <c r="AH1013" s="556" t="n">
        <v>0.6</v>
      </c>
      <c r="AI1013" s="35"/>
      <c r="AJ1013" s="35"/>
      <c r="AK1013" s="35"/>
      <c r="AL1013" s="35"/>
      <c r="AM1013" s="35"/>
      <c r="AN1013" s="35"/>
      <c r="AO1013" s="253"/>
      <c r="AP1013" s="253"/>
      <c r="AQ1013" s="156"/>
      <c r="AR1013" s="156"/>
      <c r="AS1013" s="156"/>
      <c r="AT1013" s="156"/>
      <c r="AU1013" s="156"/>
      <c r="AV1013" s="156"/>
      <c r="AW1013" s="126"/>
      <c r="AX1013" s="126"/>
      <c r="AY1013" s="126"/>
      <c r="AZ1013" s="126"/>
      <c r="BA1013" s="126"/>
      <c r="BB1013" s="21"/>
      <c r="BC1013" s="21"/>
      <c r="BD1013" s="21"/>
      <c r="BE1013" s="21"/>
    </row>
    <row r="1014" customFormat="false" ht="14.1" hidden="true" customHeight="true" outlineLevel="1" collapsed="false">
      <c r="A1014" s="138" t="s">
        <v>652</v>
      </c>
      <c r="B1014" s="235"/>
      <c r="C1014" s="138"/>
      <c r="D1014" s="138"/>
      <c r="E1014" s="272"/>
      <c r="F1014" s="272"/>
      <c r="G1014" s="165"/>
      <c r="H1014" s="510" t="n">
        <v>0.6</v>
      </c>
      <c r="I1014" s="498"/>
      <c r="J1014" s="519" t="s">
        <v>653</v>
      </c>
      <c r="K1014" s="531"/>
      <c r="L1014" s="531"/>
      <c r="M1014" s="531"/>
      <c r="N1014" s="531"/>
      <c r="O1014" s="531"/>
      <c r="P1014" s="532"/>
      <c r="Q1014" s="557"/>
      <c r="R1014" s="510" t="n">
        <v>0.6</v>
      </c>
      <c r="S1014" s="186"/>
      <c r="T1014" s="132"/>
      <c r="U1014" s="510" t="n">
        <v>0.6</v>
      </c>
      <c r="V1014" s="498"/>
      <c r="W1014" s="519" t="s">
        <v>654</v>
      </c>
      <c r="X1014" s="531"/>
      <c r="Y1014" s="531"/>
      <c r="Z1014" s="531"/>
      <c r="AA1014" s="531"/>
      <c r="AB1014" s="531"/>
      <c r="AC1014" s="531"/>
      <c r="AD1014" s="531"/>
      <c r="AE1014" s="531"/>
      <c r="AF1014" s="532"/>
      <c r="AG1014" s="504"/>
      <c r="AH1014" s="518" t="n">
        <v>0.6</v>
      </c>
      <c r="AI1014" s="35"/>
      <c r="AJ1014" s="35"/>
      <c r="AK1014" s="35"/>
      <c r="AL1014" s="35"/>
      <c r="AM1014" s="35"/>
      <c r="AN1014" s="35"/>
      <c r="AO1014" s="253"/>
      <c r="AP1014" s="253"/>
      <c r="AQ1014" s="156"/>
      <c r="AR1014" s="156"/>
      <c r="AS1014" s="156"/>
      <c r="AT1014" s="156"/>
      <c r="AU1014" s="156"/>
      <c r="AV1014" s="156"/>
      <c r="AW1014" s="126"/>
      <c r="AX1014" s="126"/>
      <c r="AY1014" s="126"/>
      <c r="AZ1014" s="126"/>
      <c r="BA1014" s="126"/>
      <c r="BB1014" s="21"/>
      <c r="BC1014" s="21"/>
      <c r="BD1014" s="21"/>
      <c r="BE1014" s="21"/>
    </row>
    <row r="1015" customFormat="false" ht="14.1" hidden="true" customHeight="true" outlineLevel="1" collapsed="false">
      <c r="A1015" s="489" t="s">
        <v>101</v>
      </c>
      <c r="B1015" s="235"/>
      <c r="C1015" s="138"/>
      <c r="D1015" s="138"/>
      <c r="E1015" s="272"/>
      <c r="F1015" s="272"/>
      <c r="G1015" s="165"/>
      <c r="H1015" s="510" t="n">
        <v>0.6</v>
      </c>
      <c r="I1015" s="498"/>
      <c r="J1015" s="519" t="s">
        <v>655</v>
      </c>
      <c r="K1015" s="531"/>
      <c r="L1015" s="531"/>
      <c r="M1015" s="531"/>
      <c r="N1015" s="531"/>
      <c r="O1015" s="531"/>
      <c r="P1015" s="532"/>
      <c r="Q1015" s="557"/>
      <c r="R1015" s="510" t="n">
        <v>0.6</v>
      </c>
      <c r="S1015" s="186"/>
      <c r="T1015" s="132"/>
      <c r="U1015" s="510" t="n">
        <v>0.6</v>
      </c>
      <c r="V1015" s="498"/>
      <c r="W1015" s="281" t="s">
        <v>656</v>
      </c>
      <c r="X1015" s="186"/>
      <c r="Y1015" s="186"/>
      <c r="Z1015" s="186"/>
      <c r="AA1015" s="186"/>
      <c r="AB1015" s="186"/>
      <c r="AC1015" s="186"/>
      <c r="AD1015" s="186"/>
      <c r="AE1015" s="186"/>
      <c r="AF1015" s="186"/>
      <c r="AG1015" s="504"/>
      <c r="AH1015" s="518" t="n">
        <v>0.6</v>
      </c>
      <c r="AI1015" s="35"/>
      <c r="AJ1015" s="35"/>
      <c r="AK1015" s="35"/>
      <c r="AL1015" s="35"/>
      <c r="AM1015" s="35"/>
      <c r="AN1015" s="35"/>
      <c r="AO1015" s="253"/>
      <c r="AP1015" s="253"/>
      <c r="AQ1015" s="156"/>
      <c r="AR1015" s="156"/>
      <c r="AS1015" s="156"/>
      <c r="AT1015" s="156"/>
      <c r="AU1015" s="156"/>
      <c r="AV1015" s="156"/>
      <c r="AW1015" s="126"/>
      <c r="AX1015" s="126"/>
      <c r="AY1015" s="126"/>
      <c r="AZ1015" s="126"/>
      <c r="BA1015" s="126"/>
      <c r="BB1015" s="21"/>
      <c r="BC1015" s="21"/>
      <c r="BD1015" s="21"/>
      <c r="BE1015" s="21"/>
    </row>
    <row r="1016" customFormat="false" ht="14.1" hidden="true" customHeight="true" outlineLevel="1" collapsed="false">
      <c r="A1016" s="272" t="s">
        <v>657</v>
      </c>
      <c r="B1016" s="235"/>
      <c r="C1016" s="138"/>
      <c r="D1016" s="138"/>
      <c r="E1016" s="272"/>
      <c r="F1016" s="272"/>
      <c r="G1016" s="165"/>
      <c r="H1016" s="510" t="n">
        <v>0.6</v>
      </c>
      <c r="I1016" s="498"/>
      <c r="J1016" s="519" t="s">
        <v>658</v>
      </c>
      <c r="K1016" s="531"/>
      <c r="L1016" s="531"/>
      <c r="M1016" s="531"/>
      <c r="N1016" s="531"/>
      <c r="O1016" s="531"/>
      <c r="P1016" s="532"/>
      <c r="Q1016" s="557"/>
      <c r="R1016" s="510" t="n">
        <v>0.6</v>
      </c>
      <c r="S1016" s="186"/>
      <c r="T1016" s="132"/>
      <c r="U1016" s="510" t="n">
        <v>0.6</v>
      </c>
      <c r="V1016" s="498"/>
      <c r="W1016" s="519" t="s">
        <v>659</v>
      </c>
      <c r="X1016" s="531"/>
      <c r="Y1016" s="531"/>
      <c r="Z1016" s="531"/>
      <c r="AA1016" s="531"/>
      <c r="AB1016" s="531"/>
      <c r="AC1016" s="531"/>
      <c r="AD1016" s="531"/>
      <c r="AE1016" s="531"/>
      <c r="AF1016" s="532"/>
      <c r="AG1016" s="504"/>
      <c r="AH1016" s="518" t="n">
        <v>0.6</v>
      </c>
      <c r="AI1016" s="35"/>
      <c r="AJ1016" s="35"/>
      <c r="AK1016" s="35"/>
      <c r="AL1016" s="35"/>
      <c r="AM1016" s="35"/>
      <c r="AN1016" s="35"/>
      <c r="AO1016" s="253"/>
      <c r="AP1016" s="253"/>
      <c r="AQ1016" s="156"/>
      <c r="AR1016" s="156"/>
      <c r="AS1016" s="156"/>
      <c r="AT1016" s="156"/>
      <c r="AU1016" s="156"/>
      <c r="AV1016" s="156"/>
      <c r="AW1016" s="126"/>
      <c r="AX1016" s="126"/>
      <c r="AY1016" s="126"/>
      <c r="AZ1016" s="126"/>
      <c r="BA1016" s="126"/>
      <c r="BB1016" s="21"/>
      <c r="BC1016" s="21"/>
      <c r="BD1016" s="21"/>
      <c r="BE1016" s="21"/>
    </row>
    <row r="1017" customFormat="false" ht="14.1" hidden="true" customHeight="true" outlineLevel="1" collapsed="false">
      <c r="A1017" s="244" t="s">
        <v>101</v>
      </c>
      <c r="B1017" s="276"/>
      <c r="C1017" s="272"/>
      <c r="D1017" s="138"/>
      <c r="E1017" s="272"/>
      <c r="F1017" s="272"/>
      <c r="G1017" s="26"/>
      <c r="H1017" s="510" t="n">
        <v>0.6</v>
      </c>
      <c r="I1017" s="498"/>
      <c r="J1017" s="519" t="s">
        <v>660</v>
      </c>
      <c r="K1017" s="531"/>
      <c r="L1017" s="531"/>
      <c r="M1017" s="531"/>
      <c r="N1017" s="531"/>
      <c r="O1017" s="531"/>
      <c r="P1017" s="532"/>
      <c r="Q1017" s="557"/>
      <c r="R1017" s="510" t="n">
        <v>0.6</v>
      </c>
      <c r="S1017" s="186"/>
      <c r="T1017" s="132"/>
      <c r="U1017" s="510" t="n">
        <v>0.6</v>
      </c>
      <c r="V1017" s="498"/>
      <c r="W1017" s="281" t="s">
        <v>661</v>
      </c>
      <c r="X1017" s="186"/>
      <c r="Y1017" s="186"/>
      <c r="Z1017" s="186"/>
      <c r="AA1017" s="186"/>
      <c r="AB1017" s="186"/>
      <c r="AC1017" s="186"/>
      <c r="AD1017" s="186"/>
      <c r="AE1017" s="186"/>
      <c r="AF1017" s="186"/>
      <c r="AG1017" s="504"/>
      <c r="AH1017" s="518" t="n">
        <v>0.6</v>
      </c>
      <c r="AI1017" s="35"/>
      <c r="AJ1017" s="35"/>
      <c r="AK1017" s="35"/>
      <c r="AL1017" s="35"/>
      <c r="AM1017" s="35"/>
      <c r="AN1017" s="35"/>
      <c r="AO1017" s="253"/>
      <c r="AP1017" s="253"/>
      <c r="AQ1017" s="156"/>
      <c r="AR1017" s="156"/>
      <c r="AS1017" s="156"/>
      <c r="AT1017" s="156"/>
      <c r="AU1017" s="156"/>
      <c r="AV1017" s="156"/>
      <c r="AW1017" s="126"/>
      <c r="AX1017" s="126"/>
      <c r="AY1017" s="126"/>
      <c r="AZ1017" s="126"/>
      <c r="BA1017" s="126"/>
      <c r="BB1017" s="21"/>
      <c r="BC1017" s="21"/>
      <c r="BD1017" s="21"/>
      <c r="BE1017" s="21"/>
    </row>
    <row r="1018" customFormat="false" ht="14.1" hidden="true" customHeight="true" outlineLevel="1" collapsed="false">
      <c r="A1018" s="272" t="s">
        <v>662</v>
      </c>
      <c r="B1018" s="275"/>
      <c r="C1018" s="278"/>
      <c r="D1018" s="138"/>
      <c r="E1018" s="272"/>
      <c r="F1018" s="272"/>
      <c r="G1018" s="186"/>
      <c r="H1018" s="510" t="n">
        <v>0.6</v>
      </c>
      <c r="I1018" s="498"/>
      <c r="J1018" s="519" t="s">
        <v>663</v>
      </c>
      <c r="K1018" s="531"/>
      <c r="L1018" s="531"/>
      <c r="M1018" s="531"/>
      <c r="N1018" s="531"/>
      <c r="O1018" s="531"/>
      <c r="P1018" s="532"/>
      <c r="Q1018" s="557"/>
      <c r="R1018" s="510" t="n">
        <v>0.6</v>
      </c>
      <c r="S1018" s="186"/>
      <c r="T1018" s="132"/>
      <c r="U1018" s="510" t="n">
        <v>0.6</v>
      </c>
      <c r="V1018" s="498"/>
      <c r="W1018" s="519" t="s">
        <v>664</v>
      </c>
      <c r="X1018" s="531"/>
      <c r="Y1018" s="531"/>
      <c r="Z1018" s="531"/>
      <c r="AA1018" s="531"/>
      <c r="AB1018" s="531"/>
      <c r="AC1018" s="531"/>
      <c r="AD1018" s="531"/>
      <c r="AE1018" s="531"/>
      <c r="AF1018" s="532"/>
      <c r="AG1018" s="504"/>
      <c r="AH1018" s="518" t="n">
        <v>0.6</v>
      </c>
      <c r="AI1018" s="35"/>
      <c r="AJ1018" s="35"/>
      <c r="AK1018" s="35"/>
      <c r="AL1018" s="35"/>
      <c r="AM1018" s="35"/>
      <c r="AN1018" s="35"/>
      <c r="AO1018" s="253"/>
      <c r="AP1018" s="253"/>
      <c r="AQ1018" s="156"/>
      <c r="AR1018" s="156"/>
      <c r="AS1018" s="156"/>
      <c r="AT1018" s="156"/>
      <c r="AU1018" s="156"/>
      <c r="AV1018" s="156"/>
      <c r="AW1018" s="126"/>
      <c r="AX1018" s="126"/>
      <c r="AY1018" s="126"/>
      <c r="AZ1018" s="126"/>
      <c r="BA1018" s="126"/>
      <c r="BB1018" s="21"/>
      <c r="BC1018" s="21"/>
      <c r="BD1018" s="21"/>
      <c r="BE1018" s="21"/>
    </row>
    <row r="1019" customFormat="false" ht="14.1" hidden="true" customHeight="true" outlineLevel="1" collapsed="false">
      <c r="A1019" s="244" t="s">
        <v>101</v>
      </c>
      <c r="B1019" s="275"/>
      <c r="C1019" s="278"/>
      <c r="D1019" s="138"/>
      <c r="E1019" s="272"/>
      <c r="F1019" s="272"/>
      <c r="G1019" s="165"/>
      <c r="H1019" s="510" t="n">
        <v>0.6</v>
      </c>
      <c r="I1019" s="498"/>
      <c r="J1019" s="519" t="s">
        <v>665</v>
      </c>
      <c r="K1019" s="531"/>
      <c r="L1019" s="531"/>
      <c r="M1019" s="531"/>
      <c r="N1019" s="531"/>
      <c r="O1019" s="531"/>
      <c r="P1019" s="532"/>
      <c r="Q1019" s="557"/>
      <c r="R1019" s="510" t="n">
        <v>0.6</v>
      </c>
      <c r="S1019" s="186"/>
      <c r="T1019" s="132"/>
      <c r="U1019" s="510" t="n">
        <v>0.6</v>
      </c>
      <c r="V1019" s="498"/>
      <c r="W1019" s="281" t="s">
        <v>666</v>
      </c>
      <c r="X1019" s="281"/>
      <c r="Y1019" s="186"/>
      <c r="Z1019" s="186"/>
      <c r="AA1019" s="186"/>
      <c r="AB1019" s="186"/>
      <c r="AC1019" s="186"/>
      <c r="AD1019" s="558"/>
      <c r="AE1019" s="354"/>
      <c r="AF1019" s="354"/>
      <c r="AG1019" s="504"/>
      <c r="AH1019" s="518" t="n">
        <v>0.6</v>
      </c>
      <c r="AI1019" s="35"/>
      <c r="AJ1019" s="35"/>
      <c r="AK1019" s="35"/>
      <c r="AL1019" s="35"/>
      <c r="AM1019" s="35"/>
      <c r="AN1019" s="35"/>
      <c r="AO1019" s="253"/>
      <c r="AP1019" s="253"/>
      <c r="AQ1019" s="156"/>
      <c r="AR1019" s="156"/>
      <c r="AS1019" s="156"/>
      <c r="AT1019" s="156"/>
      <c r="AU1019" s="156"/>
      <c r="AV1019" s="156"/>
      <c r="AW1019" s="126"/>
      <c r="AX1019" s="126"/>
      <c r="AY1019" s="126"/>
      <c r="AZ1019" s="126"/>
      <c r="BA1019" s="126"/>
      <c r="BB1019" s="21"/>
      <c r="BC1019" s="21"/>
      <c r="BD1019" s="21"/>
      <c r="BE1019" s="21"/>
    </row>
    <row r="1020" customFormat="false" ht="14.1" hidden="true" customHeight="true" outlineLevel="1" collapsed="false">
      <c r="A1020" s="355" t="s">
        <v>667</v>
      </c>
      <c r="B1020" s="235"/>
      <c r="C1020" s="138"/>
      <c r="D1020" s="138"/>
      <c r="E1020" s="272"/>
      <c r="F1020" s="272"/>
      <c r="G1020" s="165"/>
      <c r="H1020" s="510" t="n">
        <v>0.3</v>
      </c>
      <c r="I1020" s="498"/>
      <c r="J1020" s="519" t="s">
        <v>668</v>
      </c>
      <c r="K1020" s="531"/>
      <c r="L1020" s="531"/>
      <c r="M1020" s="531"/>
      <c r="N1020" s="531"/>
      <c r="O1020" s="531"/>
      <c r="P1020" s="532"/>
      <c r="Q1020" s="557"/>
      <c r="R1020" s="510" t="n">
        <v>0.3</v>
      </c>
      <c r="S1020" s="186"/>
      <c r="T1020" s="132"/>
      <c r="U1020" s="555" t="n">
        <v>0.3</v>
      </c>
      <c r="V1020" s="498"/>
      <c r="W1020" s="519" t="s">
        <v>669</v>
      </c>
      <c r="X1020" s="531"/>
      <c r="Y1020" s="531"/>
      <c r="Z1020" s="531"/>
      <c r="AA1020" s="531"/>
      <c r="AB1020" s="531"/>
      <c r="AC1020" s="531"/>
      <c r="AD1020" s="533"/>
      <c r="AE1020" s="533"/>
      <c r="AF1020" s="534"/>
      <c r="AG1020" s="504"/>
      <c r="AH1020" s="556" t="n">
        <v>0.3</v>
      </c>
      <c r="AI1020" s="35"/>
      <c r="AJ1020" s="35"/>
      <c r="AK1020" s="35"/>
      <c r="AL1020" s="35"/>
      <c r="AM1020" s="35"/>
      <c r="AN1020" s="35"/>
      <c r="AO1020" s="253"/>
      <c r="AP1020" s="253"/>
      <c r="AQ1020" s="156"/>
      <c r="AR1020" s="156"/>
      <c r="AS1020" s="156"/>
      <c r="AT1020" s="156"/>
      <c r="AU1020" s="156"/>
      <c r="AV1020" s="156"/>
      <c r="AW1020" s="126"/>
      <c r="AX1020" s="126"/>
      <c r="AY1020" s="126"/>
      <c r="AZ1020" s="126"/>
      <c r="BA1020" s="126"/>
      <c r="BB1020" s="21"/>
      <c r="BC1020" s="21"/>
      <c r="BD1020" s="21"/>
      <c r="BE1020" s="21"/>
    </row>
    <row r="1021" customFormat="false" ht="14.1" hidden="true" customHeight="true" outlineLevel="1" collapsed="false">
      <c r="A1021" s="147" t="s">
        <v>101</v>
      </c>
      <c r="B1021" s="235"/>
      <c r="C1021" s="138"/>
      <c r="D1021" s="138"/>
      <c r="E1021" s="271"/>
      <c r="F1021" s="271"/>
      <c r="G1021" s="165"/>
      <c r="H1021" s="510" t="n">
        <v>0.3</v>
      </c>
      <c r="I1021" s="498"/>
      <c r="J1021" s="519" t="s">
        <v>670</v>
      </c>
      <c r="K1021" s="531"/>
      <c r="L1021" s="531"/>
      <c r="M1021" s="531"/>
      <c r="N1021" s="531"/>
      <c r="O1021" s="531"/>
      <c r="P1021" s="532"/>
      <c r="Q1021" s="557"/>
      <c r="R1021" s="510" t="n">
        <v>0.3</v>
      </c>
      <c r="S1021" s="186"/>
      <c r="T1021" s="132"/>
      <c r="U1021" s="555" t="n">
        <v>0.3</v>
      </c>
      <c r="V1021" s="498"/>
      <c r="W1021" s="281" t="s">
        <v>671</v>
      </c>
      <c r="X1021" s="186"/>
      <c r="Y1021" s="186"/>
      <c r="Z1021" s="186"/>
      <c r="AA1021" s="186"/>
      <c r="AB1021" s="186"/>
      <c r="AC1021" s="186"/>
      <c r="AD1021" s="186"/>
      <c r="AE1021" s="186"/>
      <c r="AF1021" s="186"/>
      <c r="AG1021" s="504"/>
      <c r="AH1021" s="556" t="n">
        <v>0.3</v>
      </c>
      <c r="AI1021" s="35"/>
      <c r="AJ1021" s="35"/>
      <c r="AK1021" s="35"/>
      <c r="AL1021" s="35"/>
      <c r="AM1021" s="35"/>
      <c r="AN1021" s="35"/>
      <c r="AO1021" s="253"/>
      <c r="AP1021" s="253"/>
      <c r="AQ1021" s="156"/>
      <c r="AR1021" s="156"/>
      <c r="AS1021" s="156"/>
      <c r="AT1021" s="156"/>
      <c r="AU1021" s="156"/>
      <c r="AV1021" s="156"/>
      <c r="AW1021" s="126"/>
      <c r="AX1021" s="126"/>
      <c r="AY1021" s="126"/>
      <c r="AZ1021" s="126"/>
      <c r="BA1021" s="126"/>
      <c r="BB1021" s="21"/>
      <c r="BC1021" s="21"/>
      <c r="BD1021" s="21"/>
      <c r="BE1021" s="21"/>
    </row>
    <row r="1022" customFormat="false" ht="14.1" hidden="true" customHeight="true" outlineLevel="1" collapsed="false">
      <c r="A1022" s="138"/>
      <c r="B1022" s="235"/>
      <c r="C1022" s="138"/>
      <c r="D1022" s="138"/>
      <c r="E1022" s="299" t="s">
        <v>15</v>
      </c>
      <c r="F1022" s="271"/>
      <c r="G1022" s="165"/>
      <c r="H1022" s="510" t="n">
        <v>0.3</v>
      </c>
      <c r="I1022" s="498"/>
      <c r="J1022" s="519" t="s">
        <v>672</v>
      </c>
      <c r="K1022" s="531"/>
      <c r="L1022" s="531"/>
      <c r="M1022" s="531"/>
      <c r="N1022" s="531"/>
      <c r="O1022" s="531"/>
      <c r="P1022" s="532"/>
      <c r="Q1022" s="557"/>
      <c r="R1022" s="510" t="n">
        <v>0.3</v>
      </c>
      <c r="S1022" s="186"/>
      <c r="T1022" s="132"/>
      <c r="U1022" s="555" t="n">
        <v>0.3</v>
      </c>
      <c r="V1022" s="498"/>
      <c r="W1022" s="519" t="s">
        <v>673</v>
      </c>
      <c r="X1022" s="531"/>
      <c r="Y1022" s="531"/>
      <c r="Z1022" s="531"/>
      <c r="AA1022" s="531"/>
      <c r="AB1022" s="531"/>
      <c r="AC1022" s="531"/>
      <c r="AD1022" s="531"/>
      <c r="AE1022" s="531"/>
      <c r="AF1022" s="532"/>
      <c r="AG1022" s="504"/>
      <c r="AH1022" s="556" t="n">
        <v>0.3</v>
      </c>
      <c r="AI1022" s="35"/>
      <c r="AJ1022" s="35"/>
      <c r="AK1022" s="35"/>
      <c r="AL1022" s="35"/>
      <c r="AM1022" s="35"/>
      <c r="AN1022" s="35"/>
      <c r="AO1022" s="253"/>
      <c r="AP1022" s="253"/>
      <c r="AQ1022" s="156"/>
      <c r="AR1022" s="156"/>
      <c r="AS1022" s="156"/>
      <c r="AT1022" s="156"/>
      <c r="AU1022" s="156"/>
      <c r="AV1022" s="156"/>
      <c r="AW1022" s="126"/>
      <c r="AX1022" s="126"/>
      <c r="AY1022" s="126"/>
      <c r="AZ1022" s="126"/>
      <c r="BA1022" s="126"/>
      <c r="BB1022" s="21"/>
      <c r="BC1022" s="21"/>
      <c r="BD1022" s="21"/>
      <c r="BE1022" s="21"/>
    </row>
    <row r="1023" customFormat="false" ht="14.1" hidden="true" customHeight="true" outlineLevel="1" collapsed="false">
      <c r="A1023" s="138" t="s">
        <v>674</v>
      </c>
      <c r="B1023" s="235"/>
      <c r="C1023" s="138"/>
      <c r="D1023" s="138"/>
      <c r="E1023" s="204" t="n">
        <f aca="false">связи1!H75</f>
        <v>0.2</v>
      </c>
      <c r="F1023" s="279"/>
      <c r="G1023" s="165"/>
      <c r="H1023" s="510" t="n">
        <v>0.3</v>
      </c>
      <c r="I1023" s="498"/>
      <c r="J1023" s="519" t="s">
        <v>675</v>
      </c>
      <c r="K1023" s="531"/>
      <c r="L1023" s="531"/>
      <c r="M1023" s="531"/>
      <c r="N1023" s="531"/>
      <c r="O1023" s="531"/>
      <c r="P1023" s="532"/>
      <c r="Q1023" s="557"/>
      <c r="R1023" s="510" t="n">
        <v>0.3</v>
      </c>
      <c r="S1023" s="186"/>
      <c r="T1023" s="132"/>
      <c r="U1023" s="555" t="n">
        <v>0.3</v>
      </c>
      <c r="V1023" s="498"/>
      <c r="W1023" s="281" t="s">
        <v>676</v>
      </c>
      <c r="X1023" s="186"/>
      <c r="Y1023" s="186"/>
      <c r="Z1023" s="186"/>
      <c r="AA1023" s="186"/>
      <c r="AB1023" s="186"/>
      <c r="AC1023" s="186"/>
      <c r="AD1023" s="186"/>
      <c r="AE1023" s="186"/>
      <c r="AF1023" s="186"/>
      <c r="AG1023" s="504"/>
      <c r="AH1023" s="556" t="n">
        <v>0.3</v>
      </c>
      <c r="AI1023" s="35"/>
      <c r="AJ1023" s="35"/>
      <c r="AK1023" s="35"/>
      <c r="AL1023" s="35"/>
      <c r="AM1023" s="35"/>
      <c r="AN1023" s="35"/>
      <c r="AO1023" s="253"/>
      <c r="AP1023" s="253"/>
      <c r="AQ1023" s="156"/>
      <c r="AR1023" s="156"/>
      <c r="AS1023" s="156"/>
      <c r="AT1023" s="156"/>
      <c r="AU1023" s="156"/>
      <c r="AV1023" s="156"/>
      <c r="AW1023" s="126"/>
      <c r="AX1023" s="126"/>
      <c r="AY1023" s="126"/>
      <c r="AZ1023" s="126"/>
      <c r="BA1023" s="126"/>
      <c r="BB1023" s="21"/>
      <c r="BC1023" s="21"/>
      <c r="BD1023" s="21"/>
      <c r="BE1023" s="21"/>
    </row>
    <row r="1024" customFormat="false" ht="14.1" hidden="true" customHeight="true" outlineLevel="1" collapsed="false">
      <c r="A1024" s="147" t="s">
        <v>677</v>
      </c>
      <c r="B1024" s="276"/>
      <c r="C1024" s="272"/>
      <c r="D1024" s="272"/>
      <c r="E1024" s="271"/>
      <c r="F1024" s="271"/>
      <c r="G1024" s="165"/>
      <c r="H1024" s="510" t="n">
        <v>0.3</v>
      </c>
      <c r="I1024" s="498"/>
      <c r="J1024" s="519" t="s">
        <v>678</v>
      </c>
      <c r="K1024" s="531"/>
      <c r="L1024" s="531"/>
      <c r="M1024" s="531"/>
      <c r="N1024" s="531"/>
      <c r="O1024" s="531"/>
      <c r="P1024" s="532"/>
      <c r="Q1024" s="557"/>
      <c r="R1024" s="510" t="n">
        <v>0.3</v>
      </c>
      <c r="S1024" s="186"/>
      <c r="T1024" s="132"/>
      <c r="U1024" s="555" t="n">
        <v>0.3</v>
      </c>
      <c r="V1024" s="510"/>
      <c r="W1024" s="519" t="s">
        <v>679</v>
      </c>
      <c r="X1024" s="531"/>
      <c r="Y1024" s="531"/>
      <c r="Z1024" s="531"/>
      <c r="AA1024" s="531"/>
      <c r="AB1024" s="531"/>
      <c r="AC1024" s="531"/>
      <c r="AD1024" s="531"/>
      <c r="AE1024" s="531"/>
      <c r="AF1024" s="532"/>
      <c r="AG1024" s="504"/>
      <c r="AH1024" s="556" t="n">
        <v>0.3</v>
      </c>
      <c r="AI1024" s="35"/>
      <c r="AJ1024" s="35"/>
      <c r="AK1024" s="35"/>
      <c r="AL1024" s="35"/>
      <c r="AM1024" s="35"/>
      <c r="AN1024" s="35"/>
      <c r="AO1024" s="253"/>
      <c r="AP1024" s="253"/>
      <c r="AQ1024" s="156"/>
      <c r="AR1024" s="156"/>
      <c r="AS1024" s="156"/>
      <c r="AT1024" s="156"/>
      <c r="AU1024" s="156"/>
      <c r="AV1024" s="156"/>
      <c r="AW1024" s="126"/>
      <c r="AX1024" s="126"/>
      <c r="AY1024" s="126"/>
      <c r="AZ1024" s="126"/>
      <c r="BA1024" s="126"/>
      <c r="BB1024" s="21"/>
      <c r="BC1024" s="21"/>
      <c r="BD1024" s="21"/>
      <c r="BE1024" s="21"/>
    </row>
    <row r="1025" customFormat="false" ht="14.1" hidden="true" customHeight="true" outlineLevel="1" collapsed="false">
      <c r="A1025" s="138"/>
      <c r="B1025" s="235"/>
      <c r="C1025" s="138"/>
      <c r="D1025" s="272"/>
      <c r="E1025" s="299" t="s">
        <v>15</v>
      </c>
      <c r="F1025" s="271"/>
      <c r="G1025" s="165"/>
      <c r="H1025" s="510" t="n">
        <v>0.3</v>
      </c>
      <c r="I1025" s="498"/>
      <c r="J1025" s="519" t="s">
        <v>680</v>
      </c>
      <c r="K1025" s="530"/>
      <c r="L1025" s="530"/>
      <c r="M1025" s="530"/>
      <c r="N1025" s="530"/>
      <c r="O1025" s="530"/>
      <c r="P1025" s="557"/>
      <c r="Q1025" s="557"/>
      <c r="R1025" s="510" t="n">
        <v>0.3</v>
      </c>
      <c r="S1025" s="165"/>
      <c r="T1025" s="132"/>
      <c r="U1025" s="555" t="n">
        <v>0.3</v>
      </c>
      <c r="V1025" s="498"/>
      <c r="W1025" s="165" t="s">
        <v>681</v>
      </c>
      <c r="X1025" s="165"/>
      <c r="Y1025" s="165"/>
      <c r="Z1025" s="165"/>
      <c r="AA1025" s="165"/>
      <c r="AB1025" s="165"/>
      <c r="AC1025" s="165"/>
      <c r="AD1025" s="165"/>
      <c r="AE1025" s="165"/>
      <c r="AF1025" s="165"/>
      <c r="AG1025" s="504"/>
      <c r="AH1025" s="556" t="n">
        <v>0.3</v>
      </c>
      <c r="AI1025" s="35"/>
      <c r="AJ1025" s="35"/>
      <c r="AK1025" s="35"/>
      <c r="AL1025" s="35"/>
      <c r="AM1025" s="35"/>
      <c r="AN1025" s="35"/>
      <c r="AO1025" s="253"/>
      <c r="AP1025" s="253"/>
      <c r="AQ1025" s="156"/>
      <c r="AR1025" s="156"/>
      <c r="AS1025" s="156"/>
      <c r="AT1025" s="156"/>
      <c r="AU1025" s="156"/>
      <c r="AV1025" s="156"/>
      <c r="AW1025" s="126"/>
      <c r="AX1025" s="126"/>
      <c r="AY1025" s="126"/>
      <c r="AZ1025" s="126"/>
      <c r="BA1025" s="126"/>
      <c r="BB1025" s="21"/>
      <c r="BC1025" s="21"/>
      <c r="BD1025" s="21"/>
      <c r="BE1025" s="21"/>
    </row>
    <row r="1026" customFormat="false" ht="14.1" hidden="true" customHeight="true" outlineLevel="1" collapsed="false">
      <c r="A1026" s="138" t="s">
        <v>682</v>
      </c>
      <c r="B1026" s="235"/>
      <c r="C1026" s="138"/>
      <c r="D1026" s="138"/>
      <c r="E1026" s="194" t="n">
        <f aca="false">связи1!H79</f>
        <v>0</v>
      </c>
      <c r="F1026" s="194"/>
      <c r="G1026" s="26"/>
      <c r="H1026" s="510" t="n">
        <v>0.3</v>
      </c>
      <c r="I1026" s="498"/>
      <c r="J1026" s="519" t="s">
        <v>683</v>
      </c>
      <c r="K1026" s="530"/>
      <c r="L1026" s="530"/>
      <c r="M1026" s="530"/>
      <c r="N1026" s="530"/>
      <c r="O1026" s="530"/>
      <c r="P1026" s="557"/>
      <c r="Q1026" s="557"/>
      <c r="R1026" s="510" t="n">
        <v>0.3</v>
      </c>
      <c r="S1026" s="165"/>
      <c r="T1026" s="132"/>
      <c r="U1026" s="555" t="n">
        <v>0.3</v>
      </c>
      <c r="V1026" s="498"/>
      <c r="W1026" s="555" t="s">
        <v>684</v>
      </c>
      <c r="X1026" s="530"/>
      <c r="Y1026" s="530"/>
      <c r="Z1026" s="530"/>
      <c r="AA1026" s="530"/>
      <c r="AB1026" s="530"/>
      <c r="AC1026" s="530"/>
      <c r="AD1026" s="530"/>
      <c r="AE1026" s="530"/>
      <c r="AF1026" s="557"/>
      <c r="AG1026" s="504"/>
      <c r="AH1026" s="556" t="n">
        <v>0.3</v>
      </c>
      <c r="AI1026" s="35"/>
      <c r="AJ1026" s="35"/>
      <c r="AK1026" s="35"/>
      <c r="AL1026" s="35"/>
      <c r="AM1026" s="35"/>
      <c r="AN1026" s="35"/>
      <c r="AO1026" s="253"/>
      <c r="AP1026" s="253"/>
      <c r="AQ1026" s="156"/>
      <c r="AR1026" s="156"/>
      <c r="AS1026" s="156"/>
      <c r="AT1026" s="156"/>
      <c r="AU1026" s="156"/>
      <c r="AV1026" s="156"/>
      <c r="AW1026" s="126"/>
      <c r="AX1026" s="126"/>
      <c r="AY1026" s="126"/>
      <c r="AZ1026" s="126"/>
      <c r="BA1026" s="126"/>
      <c r="BB1026" s="21"/>
      <c r="BC1026" s="21"/>
      <c r="BD1026" s="21"/>
      <c r="BE1026" s="21"/>
    </row>
    <row r="1027" customFormat="false" ht="14.1" hidden="true" customHeight="true" outlineLevel="1" collapsed="false">
      <c r="A1027" s="244" t="s">
        <v>685</v>
      </c>
      <c r="B1027" s="235"/>
      <c r="C1027" s="138"/>
      <c r="D1027" s="138"/>
      <c r="E1027" s="271"/>
      <c r="F1027" s="271"/>
      <c r="G1027" s="165"/>
      <c r="H1027" s="510" t="n">
        <v>0.4</v>
      </c>
      <c r="I1027" s="498"/>
      <c r="J1027" s="519" t="s">
        <v>686</v>
      </c>
      <c r="K1027" s="530"/>
      <c r="L1027" s="530"/>
      <c r="M1027" s="530"/>
      <c r="N1027" s="530"/>
      <c r="O1027" s="530"/>
      <c r="P1027" s="557"/>
      <c r="Q1027" s="557"/>
      <c r="R1027" s="510" t="n">
        <v>0.4</v>
      </c>
      <c r="S1027" s="165"/>
      <c r="T1027" s="132"/>
      <c r="U1027" s="555" t="n">
        <v>0.4</v>
      </c>
      <c r="V1027" s="498"/>
      <c r="W1027" s="165" t="s">
        <v>687</v>
      </c>
      <c r="X1027" s="165"/>
      <c r="Y1027" s="165"/>
      <c r="Z1027" s="165"/>
      <c r="AA1027" s="165"/>
      <c r="AB1027" s="165"/>
      <c r="AC1027" s="165"/>
      <c r="AD1027" s="165"/>
      <c r="AE1027" s="165"/>
      <c r="AF1027" s="165"/>
      <c r="AG1027" s="504"/>
      <c r="AH1027" s="556" t="n">
        <v>0.4</v>
      </c>
      <c r="AI1027" s="35"/>
      <c r="AJ1027" s="35"/>
      <c r="AK1027" s="35"/>
      <c r="AL1027" s="35"/>
      <c r="AM1027" s="35"/>
      <c r="AN1027" s="35"/>
      <c r="AO1027" s="253"/>
      <c r="AP1027" s="253"/>
      <c r="AQ1027" s="156"/>
      <c r="AR1027" s="156"/>
      <c r="AS1027" s="156"/>
      <c r="AT1027" s="156"/>
      <c r="AU1027" s="156"/>
      <c r="AV1027" s="156"/>
      <c r="AW1027" s="126"/>
      <c r="AX1027" s="126"/>
      <c r="AY1027" s="126"/>
      <c r="AZ1027" s="126"/>
      <c r="BA1027" s="126"/>
      <c r="BB1027" s="21"/>
      <c r="BC1027" s="21"/>
      <c r="BD1027" s="21"/>
      <c r="BE1027" s="21"/>
    </row>
    <row r="1028" customFormat="false" ht="14.1" hidden="true" customHeight="true" outlineLevel="1" collapsed="false">
      <c r="A1028" s="138"/>
      <c r="B1028" s="235"/>
      <c r="C1028" s="138"/>
      <c r="D1028" s="272"/>
      <c r="E1028" s="271"/>
      <c r="F1028" s="271"/>
      <c r="G1028" s="165"/>
      <c r="H1028" s="510" t="n">
        <v>0.5</v>
      </c>
      <c r="I1028" s="498"/>
      <c r="J1028" s="519" t="s">
        <v>688</v>
      </c>
      <c r="K1028" s="530"/>
      <c r="L1028" s="530"/>
      <c r="M1028" s="530"/>
      <c r="N1028" s="530"/>
      <c r="O1028" s="530"/>
      <c r="P1028" s="557"/>
      <c r="Q1028" s="557"/>
      <c r="R1028" s="510" t="n">
        <v>0.5</v>
      </c>
      <c r="S1028" s="165"/>
      <c r="T1028" s="132"/>
      <c r="U1028" s="555" t="n">
        <v>0.5</v>
      </c>
      <c r="V1028" s="498"/>
      <c r="W1028" s="555" t="s">
        <v>689</v>
      </c>
      <c r="X1028" s="530"/>
      <c r="Y1028" s="530"/>
      <c r="Z1028" s="530"/>
      <c r="AA1028" s="530"/>
      <c r="AB1028" s="530"/>
      <c r="AC1028" s="530"/>
      <c r="AD1028" s="530"/>
      <c r="AE1028" s="530"/>
      <c r="AF1028" s="557"/>
      <c r="AG1028" s="504"/>
      <c r="AH1028" s="556" t="n">
        <v>0.5</v>
      </c>
      <c r="AI1028" s="35"/>
      <c r="AJ1028" s="35"/>
      <c r="AK1028" s="35"/>
      <c r="AL1028" s="35"/>
      <c r="AM1028" s="35"/>
      <c r="AN1028" s="35"/>
      <c r="AO1028" s="253"/>
      <c r="AP1028" s="253"/>
      <c r="AQ1028" s="156"/>
      <c r="AR1028" s="156"/>
      <c r="AS1028" s="156"/>
      <c r="AT1028" s="156"/>
      <c r="AU1028" s="156"/>
      <c r="AV1028" s="156"/>
      <c r="AW1028" s="126"/>
      <c r="AX1028" s="126"/>
      <c r="AY1028" s="126"/>
      <c r="AZ1028" s="126"/>
      <c r="BA1028" s="126"/>
      <c r="BB1028" s="21"/>
      <c r="BC1028" s="21"/>
      <c r="BD1028" s="21"/>
      <c r="BE1028" s="21"/>
    </row>
    <row r="1029" customFormat="false" ht="14.1" hidden="true" customHeight="true" outlineLevel="1" collapsed="false">
      <c r="A1029" s="147" t="s">
        <v>690</v>
      </c>
      <c r="B1029" s="235"/>
      <c r="C1029" s="138"/>
      <c r="D1029" s="272"/>
      <c r="E1029" s="271"/>
      <c r="F1029" s="271"/>
      <c r="G1029" s="165"/>
      <c r="H1029" s="510" t="n">
        <v>0.6</v>
      </c>
      <c r="I1029" s="498"/>
      <c r="J1029" s="555" t="s">
        <v>691</v>
      </c>
      <c r="K1029" s="530"/>
      <c r="L1029" s="530"/>
      <c r="M1029" s="530"/>
      <c r="N1029" s="530"/>
      <c r="O1029" s="530"/>
      <c r="P1029" s="557"/>
      <c r="Q1029" s="497"/>
      <c r="R1029" s="510" t="n">
        <v>0.6</v>
      </c>
      <c r="S1029" s="165"/>
      <c r="T1029" s="132"/>
      <c r="U1029" s="555" t="n">
        <v>0.6</v>
      </c>
      <c r="V1029" s="510"/>
      <c r="W1029" s="553" t="s">
        <v>691</v>
      </c>
      <c r="X1029" s="559"/>
      <c r="Y1029" s="559"/>
      <c r="Z1029" s="559"/>
      <c r="AA1029" s="559"/>
      <c r="AB1029" s="559"/>
      <c r="AC1029" s="559"/>
      <c r="AD1029" s="559"/>
      <c r="AE1029" s="559"/>
      <c r="AF1029" s="560"/>
      <c r="AG1029" s="504"/>
      <c r="AH1029" s="556" t="n">
        <v>0.6</v>
      </c>
      <c r="AI1029" s="35"/>
      <c r="AJ1029" s="35"/>
      <c r="AK1029" s="35"/>
      <c r="AL1029" s="35"/>
      <c r="AM1029" s="35"/>
      <c r="AN1029" s="35"/>
      <c r="AO1029" s="253"/>
      <c r="AP1029" s="253"/>
      <c r="AQ1029" s="156"/>
      <c r="AR1029" s="156"/>
      <c r="AS1029" s="156"/>
      <c r="AT1029" s="156"/>
      <c r="AU1029" s="156"/>
      <c r="AV1029" s="156"/>
      <c r="AW1029" s="126"/>
      <c r="AX1029" s="126"/>
      <c r="AY1029" s="126"/>
      <c r="AZ1029" s="126"/>
      <c r="BA1029" s="126"/>
      <c r="BB1029" s="21"/>
      <c r="BC1029" s="21"/>
      <c r="BD1029" s="21"/>
      <c r="BE1029" s="21"/>
    </row>
    <row r="1030" customFormat="false" ht="14.1" hidden="true" customHeight="true" outlineLevel="1" collapsed="false">
      <c r="A1030" s="138" t="s">
        <v>692</v>
      </c>
      <c r="B1030" s="235"/>
      <c r="C1030" s="138"/>
      <c r="D1030" s="272"/>
      <c r="E1030" s="271"/>
      <c r="F1030" s="271"/>
      <c r="G1030" s="165"/>
      <c r="H1030" s="165"/>
      <c r="I1030" s="498"/>
      <c r="J1030" s="186"/>
      <c r="K1030" s="186"/>
      <c r="L1030" s="186"/>
      <c r="M1030" s="186"/>
      <c r="N1030" s="186"/>
      <c r="O1030" s="186"/>
      <c r="P1030" s="186"/>
      <c r="Q1030" s="498"/>
      <c r="R1030" s="561"/>
      <c r="S1030" s="165"/>
      <c r="T1030" s="165"/>
      <c r="U1030" s="186"/>
      <c r="V1030" s="498"/>
      <c r="W1030" s="150"/>
      <c r="X1030" s="150"/>
      <c r="Y1030" s="150"/>
      <c r="Z1030" s="150"/>
      <c r="AA1030" s="150"/>
      <c r="AB1030" s="508"/>
      <c r="AC1030" s="508"/>
      <c r="AD1030" s="508"/>
      <c r="AE1030" s="508"/>
      <c r="AF1030" s="508"/>
      <c r="AG1030" s="504"/>
      <c r="AH1030" s="191"/>
      <c r="AI1030" s="35"/>
      <c r="AJ1030" s="35"/>
      <c r="AK1030" s="35"/>
      <c r="AL1030" s="35"/>
      <c r="AM1030" s="35"/>
      <c r="AN1030" s="35"/>
      <c r="AO1030" s="253"/>
      <c r="AP1030" s="253"/>
      <c r="AQ1030" s="156"/>
      <c r="AR1030" s="156"/>
      <c r="AS1030" s="156"/>
      <c r="AT1030" s="156"/>
      <c r="AU1030" s="156"/>
      <c r="AV1030" s="156"/>
      <c r="AW1030" s="126"/>
      <c r="AX1030" s="126"/>
      <c r="AY1030" s="126"/>
      <c r="AZ1030" s="126"/>
      <c r="BA1030" s="126"/>
      <c r="BB1030" s="21"/>
      <c r="BC1030" s="21"/>
      <c r="BD1030" s="21"/>
      <c r="BE1030" s="21"/>
    </row>
    <row r="1031" customFormat="false" ht="14.1" hidden="true" customHeight="true" outlineLevel="1" collapsed="false">
      <c r="A1031" s="147" t="s">
        <v>101</v>
      </c>
      <c r="B1031" s="235"/>
      <c r="C1031" s="138"/>
      <c r="D1031" s="138"/>
      <c r="E1031" s="271"/>
      <c r="F1031" s="271"/>
      <c r="G1031" s="165"/>
      <c r="H1031" s="200" t="s">
        <v>583</v>
      </c>
      <c r="I1031" s="200"/>
      <c r="J1031" s="200"/>
      <c r="K1031" s="200"/>
      <c r="L1031" s="200"/>
      <c r="M1031" s="200" t="s">
        <v>693</v>
      </c>
      <c r="N1031" s="200"/>
      <c r="O1031" s="26"/>
      <c r="P1031" s="200"/>
      <c r="Q1031" s="200"/>
      <c r="R1031" s="186" t="s">
        <v>694</v>
      </c>
      <c r="S1031" s="200"/>
      <c r="T1031" s="200"/>
      <c r="U1031" s="200" t="s">
        <v>586</v>
      </c>
      <c r="V1031" s="200"/>
      <c r="W1031" s="200"/>
      <c r="X1031" s="200"/>
      <c r="Y1031" s="200"/>
      <c r="Z1031" s="200"/>
      <c r="AA1031" s="200"/>
      <c r="AB1031" s="562" t="s">
        <v>695</v>
      </c>
      <c r="AC1031" s="562"/>
      <c r="AD1031" s="562"/>
      <c r="AE1031" s="562"/>
      <c r="AF1031" s="562"/>
      <c r="AG1031" s="562"/>
      <c r="AH1031" s="496" t="s">
        <v>587</v>
      </c>
      <c r="AI1031" s="35"/>
      <c r="AJ1031" s="35"/>
      <c r="AK1031" s="35"/>
      <c r="AL1031" s="35"/>
      <c r="AM1031" s="35"/>
      <c r="AN1031" s="35"/>
      <c r="AO1031" s="253"/>
      <c r="AP1031" s="253"/>
      <c r="AQ1031" s="156"/>
      <c r="AR1031" s="156"/>
      <c r="AS1031" s="156"/>
      <c r="AT1031" s="156"/>
      <c r="AU1031" s="156"/>
      <c r="AV1031" s="156"/>
      <c r="AW1031" s="126"/>
      <c r="AX1031" s="126"/>
      <c r="AY1031" s="126"/>
      <c r="AZ1031" s="126"/>
      <c r="BA1031" s="126"/>
      <c r="BB1031" s="21"/>
      <c r="BC1031" s="21"/>
      <c r="BD1031" s="21"/>
      <c r="BE1031" s="21"/>
    </row>
    <row r="1032" customFormat="false" ht="14.1" hidden="true" customHeight="true" outlineLevel="1" collapsed="false">
      <c r="A1032" s="138"/>
      <c r="B1032" s="235"/>
      <c r="C1032" s="138"/>
      <c r="D1032" s="138"/>
      <c r="E1032" s="271"/>
      <c r="F1032" s="271"/>
      <c r="G1032" s="165"/>
      <c r="H1032" s="200"/>
      <c r="I1032" s="200"/>
      <c r="J1032" s="200"/>
      <c r="K1032" s="200"/>
      <c r="L1032" s="200"/>
      <c r="M1032" s="200"/>
      <c r="N1032" s="200"/>
      <c r="O1032" s="26"/>
      <c r="P1032" s="200"/>
      <c r="Q1032" s="200"/>
      <c r="R1032" s="186"/>
      <c r="S1032" s="200"/>
      <c r="T1032" s="200"/>
      <c r="U1032" s="200"/>
      <c r="V1032" s="200"/>
      <c r="W1032" s="200"/>
      <c r="X1032" s="200"/>
      <c r="Y1032" s="200"/>
      <c r="Z1032" s="200"/>
      <c r="AA1032" s="200"/>
      <c r="AB1032" s="562"/>
      <c r="AC1032" s="562"/>
      <c r="AD1032" s="562"/>
      <c r="AE1032" s="562"/>
      <c r="AF1032" s="562"/>
      <c r="AG1032" s="562"/>
      <c r="AH1032" s="496"/>
      <c r="AI1032" s="35"/>
      <c r="AJ1032" s="35"/>
      <c r="AK1032" s="35"/>
      <c r="AL1032" s="35"/>
      <c r="AM1032" s="35"/>
      <c r="AN1032" s="35"/>
      <c r="AO1032" s="253"/>
      <c r="AP1032" s="253"/>
      <c r="AQ1032" s="156"/>
      <c r="AR1032" s="156"/>
      <c r="AS1032" s="156"/>
      <c r="AT1032" s="156"/>
      <c r="AU1032" s="156"/>
      <c r="AV1032" s="156"/>
      <c r="AW1032" s="126"/>
      <c r="AX1032" s="126"/>
      <c r="AY1032" s="126"/>
      <c r="AZ1032" s="126"/>
      <c r="BA1032" s="126"/>
      <c r="BB1032" s="21"/>
      <c r="BC1032" s="21"/>
      <c r="BD1032" s="21"/>
      <c r="BE1032" s="21"/>
    </row>
    <row r="1033" customFormat="false" ht="14.1" hidden="true" customHeight="true" outlineLevel="1" collapsed="false">
      <c r="A1033" s="138" t="s">
        <v>696</v>
      </c>
      <c r="B1033" s="235"/>
      <c r="C1033" s="138"/>
      <c r="D1033" s="138"/>
      <c r="E1033" s="271"/>
      <c r="F1033" s="271"/>
      <c r="G1033" s="165"/>
      <c r="H1033" s="200"/>
      <c r="I1033" s="200"/>
      <c r="J1033" s="200"/>
      <c r="K1033" s="200"/>
      <c r="L1033" s="200"/>
      <c r="M1033" s="200"/>
      <c r="N1033" s="200"/>
      <c r="O1033" s="26"/>
      <c r="P1033" s="200"/>
      <c r="Q1033" s="200"/>
      <c r="R1033" s="186"/>
      <c r="S1033" s="200"/>
      <c r="T1033" s="200"/>
      <c r="U1033" s="200"/>
      <c r="V1033" s="200"/>
      <c r="W1033" s="200"/>
      <c r="X1033" s="200"/>
      <c r="Y1033" s="200"/>
      <c r="Z1033" s="200"/>
      <c r="AA1033" s="200"/>
      <c r="AB1033" s="562"/>
      <c r="AC1033" s="562"/>
      <c r="AD1033" s="562"/>
      <c r="AE1033" s="562"/>
      <c r="AF1033" s="562"/>
      <c r="AG1033" s="562"/>
      <c r="AH1033" s="496"/>
      <c r="AI1033" s="35"/>
      <c r="AJ1033" s="35"/>
      <c r="AK1033" s="35"/>
      <c r="AL1033" s="35"/>
      <c r="AM1033" s="35"/>
      <c r="AN1033" s="35"/>
      <c r="AO1033" s="253"/>
      <c r="AP1033" s="253"/>
      <c r="AQ1033" s="156"/>
      <c r="AR1033" s="156"/>
      <c r="AS1033" s="156"/>
      <c r="AT1033" s="156"/>
      <c r="AU1033" s="156"/>
      <c r="AV1033" s="156"/>
      <c r="AW1033" s="126"/>
      <c r="AX1033" s="126"/>
      <c r="AY1033" s="126"/>
      <c r="AZ1033" s="126"/>
      <c r="BA1033" s="126"/>
      <c r="BB1033" s="21"/>
      <c r="BC1033" s="21"/>
      <c r="BD1033" s="21"/>
      <c r="BE1033" s="21"/>
    </row>
    <row r="1034" customFormat="false" ht="14.1" hidden="true" customHeight="true" outlineLevel="1" collapsed="false">
      <c r="A1034" s="147" t="s">
        <v>697</v>
      </c>
      <c r="B1034" s="235"/>
      <c r="C1034" s="138"/>
      <c r="D1034" s="138"/>
      <c r="E1034" s="271"/>
      <c r="F1034" s="271"/>
      <c r="G1034" s="165"/>
      <c r="H1034" s="200"/>
      <c r="I1034" s="200"/>
      <c r="J1034" s="200"/>
      <c r="K1034" s="200"/>
      <c r="L1034" s="200"/>
      <c r="M1034" s="200"/>
      <c r="N1034" s="200"/>
      <c r="O1034" s="26"/>
      <c r="P1034" s="200"/>
      <c r="Q1034" s="200"/>
      <c r="R1034" s="186"/>
      <c r="S1034" s="200"/>
      <c r="T1034" s="200"/>
      <c r="U1034" s="200"/>
      <c r="V1034" s="200"/>
      <c r="W1034" s="200"/>
      <c r="X1034" s="200"/>
      <c r="Y1034" s="200"/>
      <c r="Z1034" s="200"/>
      <c r="AA1034" s="200"/>
      <c r="AB1034" s="562"/>
      <c r="AC1034" s="562"/>
      <c r="AD1034" s="562"/>
      <c r="AE1034" s="562"/>
      <c r="AF1034" s="562"/>
      <c r="AG1034" s="562"/>
      <c r="AH1034" s="496"/>
      <c r="AI1034" s="35"/>
      <c r="AJ1034" s="35"/>
      <c r="AK1034" s="35"/>
      <c r="AL1034" s="35"/>
      <c r="AM1034" s="35"/>
      <c r="AN1034" s="35"/>
      <c r="AO1034" s="253"/>
      <c r="AP1034" s="253"/>
      <c r="AQ1034" s="156"/>
      <c r="AR1034" s="156"/>
      <c r="AS1034" s="156"/>
      <c r="AT1034" s="156"/>
      <c r="AU1034" s="156"/>
      <c r="AV1034" s="156"/>
      <c r="AW1034" s="126"/>
      <c r="AX1034" s="126"/>
      <c r="AY1034" s="126"/>
      <c r="AZ1034" s="126"/>
      <c r="BA1034" s="126"/>
      <c r="BB1034" s="21"/>
      <c r="BC1034" s="21"/>
      <c r="BD1034" s="21"/>
      <c r="BE1034" s="21"/>
    </row>
    <row r="1035" customFormat="false" ht="14.1" hidden="true" customHeight="true" outlineLevel="1" collapsed="false">
      <c r="A1035" s="365" t="s">
        <v>698</v>
      </c>
      <c r="B1035" s="148" t="s">
        <v>699</v>
      </c>
      <c r="C1035" s="563" t="n">
        <v>0.1</v>
      </c>
      <c r="D1035" s="138"/>
      <c r="E1035" s="271"/>
      <c r="F1035" s="271"/>
      <c r="G1035" s="165"/>
      <c r="H1035" s="200"/>
      <c r="I1035" s="200"/>
      <c r="J1035" s="200"/>
      <c r="K1035" s="200"/>
      <c r="L1035" s="200"/>
      <c r="M1035" s="200"/>
      <c r="N1035" s="200"/>
      <c r="O1035" s="26"/>
      <c r="P1035" s="200"/>
      <c r="Q1035" s="200"/>
      <c r="R1035" s="186"/>
      <c r="S1035" s="200"/>
      <c r="T1035" s="200"/>
      <c r="U1035" s="200"/>
      <c r="V1035" s="200"/>
      <c r="W1035" s="200"/>
      <c r="X1035" s="200"/>
      <c r="Y1035" s="200"/>
      <c r="Z1035" s="200"/>
      <c r="AA1035" s="200"/>
      <c r="AB1035" s="562"/>
      <c r="AC1035" s="562"/>
      <c r="AD1035" s="562"/>
      <c r="AE1035" s="562"/>
      <c r="AF1035" s="562"/>
      <c r="AG1035" s="562"/>
      <c r="AH1035" s="496"/>
      <c r="AI1035" s="35"/>
      <c r="AJ1035" s="35"/>
      <c r="AK1035" s="35"/>
      <c r="AL1035" s="35"/>
      <c r="AM1035" s="35"/>
      <c r="AN1035" s="35"/>
      <c r="AO1035" s="253"/>
      <c r="AP1035" s="253"/>
      <c r="AQ1035" s="156"/>
      <c r="AR1035" s="156"/>
      <c r="AS1035" s="156"/>
      <c r="AT1035" s="156"/>
      <c r="AU1035" s="156"/>
      <c r="AV1035" s="156"/>
      <c r="AW1035" s="126"/>
      <c r="AX1035" s="126"/>
      <c r="AY1035" s="126"/>
      <c r="AZ1035" s="126"/>
      <c r="BA1035" s="126"/>
      <c r="BB1035" s="21"/>
      <c r="BC1035" s="21"/>
      <c r="BD1035" s="21"/>
      <c r="BE1035" s="21"/>
    </row>
    <row r="1036" customFormat="false" ht="14.1" hidden="true" customHeight="true" outlineLevel="1" collapsed="false">
      <c r="A1036" s="151" t="s">
        <v>700</v>
      </c>
      <c r="B1036" s="148" t="s">
        <v>48</v>
      </c>
      <c r="C1036" s="563" t="n">
        <v>1</v>
      </c>
      <c r="D1036" s="138"/>
      <c r="E1036" s="271"/>
      <c r="F1036" s="271"/>
      <c r="G1036" s="165"/>
      <c r="H1036" s="200"/>
      <c r="I1036" s="200"/>
      <c r="J1036" s="200"/>
      <c r="K1036" s="200"/>
      <c r="L1036" s="200"/>
      <c r="M1036" s="200"/>
      <c r="N1036" s="200"/>
      <c r="O1036" s="26"/>
      <c r="P1036" s="200"/>
      <c r="Q1036" s="200"/>
      <c r="R1036" s="186"/>
      <c r="S1036" s="200"/>
      <c r="T1036" s="200"/>
      <c r="U1036" s="200"/>
      <c r="V1036" s="200"/>
      <c r="W1036" s="200"/>
      <c r="X1036" s="200"/>
      <c r="Y1036" s="200"/>
      <c r="Z1036" s="200"/>
      <c r="AA1036" s="200"/>
      <c r="AB1036" s="562"/>
      <c r="AC1036" s="562"/>
      <c r="AD1036" s="562"/>
      <c r="AE1036" s="562"/>
      <c r="AF1036" s="562"/>
      <c r="AG1036" s="562"/>
      <c r="AH1036" s="496"/>
      <c r="AI1036" s="35"/>
      <c r="AJ1036" s="35"/>
      <c r="AK1036" s="35"/>
      <c r="AL1036" s="35"/>
      <c r="AM1036" s="35"/>
      <c r="AN1036" s="35"/>
      <c r="AO1036" s="253"/>
      <c r="AP1036" s="253"/>
      <c r="AQ1036" s="156"/>
      <c r="AR1036" s="156"/>
      <c r="AS1036" s="156"/>
      <c r="AT1036" s="156"/>
      <c r="AU1036" s="156"/>
      <c r="AV1036" s="156"/>
      <c r="AW1036" s="126"/>
      <c r="AX1036" s="126"/>
      <c r="AY1036" s="126"/>
      <c r="AZ1036" s="126"/>
      <c r="BA1036" s="126"/>
      <c r="BB1036" s="21"/>
      <c r="BC1036" s="21"/>
      <c r="BD1036" s="21"/>
      <c r="BE1036" s="21"/>
    </row>
    <row r="1037" customFormat="false" ht="14.1" hidden="true" customHeight="true" outlineLevel="1" collapsed="false">
      <c r="A1037" s="138"/>
      <c r="B1037" s="235"/>
      <c r="C1037" s="138"/>
      <c r="D1037" s="138"/>
      <c r="E1037" s="271"/>
      <c r="F1037" s="271"/>
      <c r="G1037" s="165"/>
      <c r="H1037" s="200"/>
      <c r="I1037" s="200"/>
      <c r="J1037" s="200"/>
      <c r="K1037" s="200"/>
      <c r="L1037" s="200"/>
      <c r="M1037" s="200"/>
      <c r="N1037" s="200"/>
      <c r="O1037" s="26"/>
      <c r="P1037" s="200"/>
      <c r="Q1037" s="200"/>
      <c r="R1037" s="186"/>
      <c r="S1037" s="200"/>
      <c r="T1037" s="200"/>
      <c r="U1037" s="200"/>
      <c r="V1037" s="200"/>
      <c r="W1037" s="200"/>
      <c r="X1037" s="200"/>
      <c r="Y1037" s="200"/>
      <c r="Z1037" s="200"/>
      <c r="AA1037" s="200"/>
      <c r="AB1037" s="562"/>
      <c r="AC1037" s="562"/>
      <c r="AD1037" s="562"/>
      <c r="AE1037" s="562"/>
      <c r="AF1037" s="562"/>
      <c r="AG1037" s="562"/>
      <c r="AH1037" s="496"/>
      <c r="AI1037" s="35"/>
      <c r="AJ1037" s="35"/>
      <c r="AK1037" s="35"/>
      <c r="AL1037" s="35"/>
      <c r="AM1037" s="35"/>
      <c r="AN1037" s="35"/>
      <c r="AO1037" s="253"/>
      <c r="AP1037" s="253"/>
      <c r="AQ1037" s="156"/>
      <c r="AR1037" s="156"/>
      <c r="AS1037" s="156"/>
      <c r="AT1037" s="156"/>
      <c r="AU1037" s="156"/>
      <c r="AV1037" s="156"/>
      <c r="AW1037" s="126"/>
      <c r="AX1037" s="126"/>
      <c r="AY1037" s="126"/>
      <c r="AZ1037" s="126"/>
      <c r="BA1037" s="126"/>
      <c r="BB1037" s="21"/>
      <c r="BC1037" s="21"/>
      <c r="BD1037" s="21"/>
      <c r="BE1037" s="21"/>
    </row>
    <row r="1038" customFormat="false" ht="14.1" hidden="true" customHeight="true" outlineLevel="1" collapsed="false">
      <c r="A1038" s="275" t="s">
        <v>701</v>
      </c>
      <c r="B1038" s="564"/>
      <c r="C1038" s="299"/>
      <c r="D1038" s="138"/>
      <c r="E1038" s="271"/>
      <c r="F1038" s="271"/>
      <c r="G1038" s="165"/>
      <c r="H1038" s="200"/>
      <c r="I1038" s="200"/>
      <c r="J1038" s="200"/>
      <c r="K1038" s="200"/>
      <c r="L1038" s="200"/>
      <c r="M1038" s="200"/>
      <c r="N1038" s="200"/>
      <c r="O1038" s="26"/>
      <c r="P1038" s="200"/>
      <c r="Q1038" s="200"/>
      <c r="R1038" s="186"/>
      <c r="S1038" s="200"/>
      <c r="T1038" s="200"/>
      <c r="U1038" s="200"/>
      <c r="V1038" s="200"/>
      <c r="W1038" s="200"/>
      <c r="X1038" s="200"/>
      <c r="Y1038" s="200"/>
      <c r="Z1038" s="200"/>
      <c r="AA1038" s="200"/>
      <c r="AB1038" s="562"/>
      <c r="AC1038" s="562"/>
      <c r="AD1038" s="562"/>
      <c r="AE1038" s="562"/>
      <c r="AF1038" s="562"/>
      <c r="AG1038" s="562"/>
      <c r="AH1038" s="496"/>
      <c r="AI1038" s="35"/>
      <c r="AJ1038" s="35"/>
      <c r="AK1038" s="35"/>
      <c r="AL1038" s="35"/>
      <c r="AM1038" s="35"/>
      <c r="AN1038" s="35"/>
      <c r="AO1038" s="253"/>
      <c r="AP1038" s="253"/>
      <c r="AQ1038" s="156"/>
      <c r="AR1038" s="156"/>
      <c r="AS1038" s="156"/>
      <c r="AT1038" s="156"/>
      <c r="AU1038" s="156"/>
      <c r="AV1038" s="156"/>
      <c r="AW1038" s="126"/>
      <c r="AX1038" s="126"/>
      <c r="AY1038" s="126"/>
      <c r="AZ1038" s="126"/>
      <c r="BA1038" s="126"/>
      <c r="BB1038" s="21"/>
      <c r="BC1038" s="21"/>
      <c r="BD1038" s="21"/>
      <c r="BE1038" s="21"/>
    </row>
    <row r="1039" customFormat="false" ht="14.1" hidden="true" customHeight="true" outlineLevel="1" collapsed="false">
      <c r="A1039" s="149" t="s">
        <v>702</v>
      </c>
      <c r="B1039" s="277"/>
      <c r="C1039" s="301"/>
      <c r="D1039" s="138"/>
      <c r="E1039" s="271"/>
      <c r="F1039" s="271"/>
      <c r="G1039" s="165"/>
      <c r="H1039" s="200"/>
      <c r="I1039" s="200"/>
      <c r="J1039" s="200"/>
      <c r="K1039" s="200"/>
      <c r="L1039" s="200"/>
      <c r="M1039" s="200"/>
      <c r="N1039" s="200"/>
      <c r="O1039" s="26"/>
      <c r="P1039" s="200"/>
      <c r="Q1039" s="200"/>
      <c r="R1039" s="186"/>
      <c r="S1039" s="200"/>
      <c r="T1039" s="200"/>
      <c r="U1039" s="200"/>
      <c r="V1039" s="200"/>
      <c r="W1039" s="200"/>
      <c r="X1039" s="200"/>
      <c r="Y1039" s="200"/>
      <c r="Z1039" s="200"/>
      <c r="AA1039" s="200"/>
      <c r="AB1039" s="562"/>
      <c r="AC1039" s="562"/>
      <c r="AD1039" s="562"/>
      <c r="AE1039" s="562"/>
      <c r="AF1039" s="562"/>
      <c r="AG1039" s="562"/>
      <c r="AH1039" s="496"/>
      <c r="AI1039" s="35"/>
      <c r="AJ1039" s="35"/>
      <c r="AK1039" s="35"/>
      <c r="AL1039" s="35"/>
      <c r="AM1039" s="35"/>
      <c r="AN1039" s="35"/>
      <c r="AO1039" s="253"/>
      <c r="AP1039" s="253"/>
      <c r="AQ1039" s="156"/>
      <c r="AR1039" s="156"/>
      <c r="AS1039" s="156"/>
      <c r="AT1039" s="156"/>
      <c r="AU1039" s="156"/>
      <c r="AV1039" s="156"/>
      <c r="AW1039" s="126"/>
      <c r="AX1039" s="126"/>
      <c r="AY1039" s="126"/>
      <c r="AZ1039" s="126"/>
      <c r="BA1039" s="126"/>
      <c r="BB1039" s="21"/>
      <c r="BC1039" s="21"/>
      <c r="BD1039" s="21"/>
      <c r="BE1039" s="21"/>
    </row>
    <row r="1040" customFormat="false" ht="14.1" hidden="true" customHeight="true" outlineLevel="1" collapsed="false">
      <c r="A1040" s="365" t="s">
        <v>698</v>
      </c>
      <c r="B1040" s="148" t="s">
        <v>699</v>
      </c>
      <c r="C1040" s="563" t="n">
        <v>0.1</v>
      </c>
      <c r="D1040" s="138"/>
      <c r="E1040" s="271"/>
      <c r="F1040" s="271"/>
      <c r="G1040" s="165"/>
      <c r="H1040" s="200"/>
      <c r="I1040" s="200"/>
      <c r="J1040" s="200"/>
      <c r="K1040" s="200"/>
      <c r="L1040" s="200"/>
      <c r="M1040" s="200"/>
      <c r="N1040" s="200"/>
      <c r="O1040" s="26"/>
      <c r="P1040" s="200"/>
      <c r="Q1040" s="200"/>
      <c r="R1040" s="186"/>
      <c r="S1040" s="200"/>
      <c r="T1040" s="200"/>
      <c r="U1040" s="200"/>
      <c r="V1040" s="200"/>
      <c r="W1040" s="200"/>
      <c r="X1040" s="200"/>
      <c r="Y1040" s="200"/>
      <c r="Z1040" s="200"/>
      <c r="AA1040" s="200"/>
      <c r="AB1040" s="562"/>
      <c r="AC1040" s="562"/>
      <c r="AD1040" s="562"/>
      <c r="AE1040" s="562"/>
      <c r="AF1040" s="562"/>
      <c r="AG1040" s="562"/>
      <c r="AH1040" s="496"/>
      <c r="AI1040" s="35"/>
      <c r="AJ1040" s="35"/>
      <c r="AK1040" s="35"/>
      <c r="AL1040" s="35"/>
      <c r="AM1040" s="35"/>
      <c r="AN1040" s="35"/>
      <c r="AO1040" s="253"/>
      <c r="AP1040" s="253"/>
      <c r="AQ1040" s="156"/>
      <c r="AR1040" s="156"/>
      <c r="AS1040" s="156"/>
      <c r="AT1040" s="156"/>
      <c r="AU1040" s="156"/>
      <c r="AV1040" s="156"/>
      <c r="AW1040" s="126"/>
      <c r="AX1040" s="126"/>
      <c r="AY1040" s="126"/>
      <c r="AZ1040" s="126"/>
      <c r="BA1040" s="126"/>
      <c r="BB1040" s="21"/>
      <c r="BC1040" s="21"/>
      <c r="BD1040" s="21"/>
      <c r="BE1040" s="21"/>
    </row>
    <row r="1041" customFormat="false" ht="14.1" hidden="true" customHeight="true" outlineLevel="1" collapsed="false">
      <c r="A1041" s="151" t="s">
        <v>703</v>
      </c>
      <c r="B1041" s="148" t="s">
        <v>48</v>
      </c>
      <c r="C1041" s="563" t="n">
        <v>2</v>
      </c>
      <c r="D1041" s="138"/>
      <c r="E1041" s="271"/>
      <c r="F1041" s="271"/>
      <c r="G1041" s="165"/>
      <c r="H1041" s="200"/>
      <c r="I1041" s="200"/>
      <c r="J1041" s="200"/>
      <c r="K1041" s="200"/>
      <c r="L1041" s="200"/>
      <c r="M1041" s="200"/>
      <c r="N1041" s="200"/>
      <c r="O1041" s="26"/>
      <c r="P1041" s="200"/>
      <c r="Q1041" s="200"/>
      <c r="R1041" s="186"/>
      <c r="S1041" s="200"/>
      <c r="T1041" s="200"/>
      <c r="U1041" s="200"/>
      <c r="V1041" s="200"/>
      <c r="W1041" s="200"/>
      <c r="X1041" s="200"/>
      <c r="Y1041" s="200"/>
      <c r="Z1041" s="200"/>
      <c r="AA1041" s="200"/>
      <c r="AB1041" s="562"/>
      <c r="AC1041" s="562"/>
      <c r="AD1041" s="562"/>
      <c r="AE1041" s="562"/>
      <c r="AF1041" s="562"/>
      <c r="AG1041" s="562"/>
      <c r="AH1041" s="496"/>
      <c r="AI1041" s="35"/>
      <c r="AJ1041" s="35"/>
      <c r="AK1041" s="35"/>
      <c r="AL1041" s="35"/>
      <c r="AM1041" s="35"/>
      <c r="AN1041" s="35"/>
      <c r="AO1041" s="253"/>
      <c r="AP1041" s="253"/>
      <c r="AQ1041" s="156"/>
      <c r="AR1041" s="156"/>
      <c r="AS1041" s="156"/>
      <c r="AT1041" s="156"/>
      <c r="AU1041" s="156"/>
      <c r="AV1041" s="156"/>
      <c r="AW1041" s="126"/>
      <c r="AX1041" s="126"/>
      <c r="AY1041" s="126"/>
      <c r="AZ1041" s="126"/>
      <c r="BA1041" s="126"/>
      <c r="BB1041" s="21"/>
      <c r="BC1041" s="21"/>
      <c r="BD1041" s="21"/>
      <c r="BE1041" s="21"/>
    </row>
    <row r="1042" customFormat="false" ht="14.1" hidden="true" customHeight="true" outlineLevel="1" collapsed="false">
      <c r="A1042" s="138"/>
      <c r="B1042" s="235"/>
      <c r="C1042" s="299"/>
      <c r="D1042" s="138"/>
      <c r="E1042" s="271"/>
      <c r="F1042" s="271"/>
      <c r="G1042" s="165"/>
      <c r="H1042" s="200"/>
      <c r="I1042" s="200"/>
      <c r="J1042" s="200"/>
      <c r="K1042" s="200"/>
      <c r="L1042" s="200"/>
      <c r="M1042" s="200"/>
      <c r="N1042" s="200"/>
      <c r="O1042" s="26"/>
      <c r="P1042" s="200"/>
      <c r="Q1042" s="200"/>
      <c r="R1042" s="186"/>
      <c r="S1042" s="200"/>
      <c r="T1042" s="200"/>
      <c r="U1042" s="200"/>
      <c r="V1042" s="200"/>
      <c r="W1042" s="200"/>
      <c r="X1042" s="200"/>
      <c r="Y1042" s="200"/>
      <c r="Z1042" s="200"/>
      <c r="AA1042" s="200"/>
      <c r="AB1042" s="562"/>
      <c r="AC1042" s="562"/>
      <c r="AD1042" s="562"/>
      <c r="AE1042" s="562"/>
      <c r="AF1042" s="562"/>
      <c r="AG1042" s="562"/>
      <c r="AH1042" s="496"/>
      <c r="AI1042" s="35"/>
      <c r="AJ1042" s="35"/>
      <c r="AK1042" s="35"/>
      <c r="AL1042" s="35"/>
      <c r="AM1042" s="35"/>
      <c r="AN1042" s="35"/>
      <c r="AO1042" s="253"/>
      <c r="AP1042" s="253"/>
      <c r="AQ1042" s="156"/>
      <c r="AR1042" s="156"/>
      <c r="AS1042" s="156"/>
      <c r="AT1042" s="156"/>
      <c r="AU1042" s="156"/>
      <c r="AV1042" s="156"/>
      <c r="AW1042" s="126"/>
      <c r="AX1042" s="126"/>
      <c r="AY1042" s="126"/>
      <c r="AZ1042" s="126"/>
      <c r="BA1042" s="126"/>
      <c r="BB1042" s="21"/>
      <c r="BC1042" s="21"/>
      <c r="BD1042" s="21"/>
      <c r="BE1042" s="21"/>
    </row>
    <row r="1043" customFormat="false" ht="14.1" hidden="true" customHeight="true" outlineLevel="1" collapsed="false">
      <c r="A1043" s="275" t="s">
        <v>704</v>
      </c>
      <c r="B1043" s="564"/>
      <c r="C1043" s="299"/>
      <c r="D1043" s="138"/>
      <c r="E1043" s="271"/>
      <c r="F1043" s="271"/>
      <c r="G1043" s="165"/>
      <c r="H1043" s="200"/>
      <c r="I1043" s="200"/>
      <c r="J1043" s="200"/>
      <c r="K1043" s="200"/>
      <c r="L1043" s="200"/>
      <c r="M1043" s="200"/>
      <c r="N1043" s="200"/>
      <c r="O1043" s="26"/>
      <c r="P1043" s="200"/>
      <c r="Q1043" s="200"/>
      <c r="R1043" s="186"/>
      <c r="S1043" s="200"/>
      <c r="T1043" s="200"/>
      <c r="U1043" s="200"/>
      <c r="V1043" s="200"/>
      <c r="W1043" s="200"/>
      <c r="X1043" s="200"/>
      <c r="Y1043" s="200"/>
      <c r="Z1043" s="200"/>
      <c r="AA1043" s="200"/>
      <c r="AB1043" s="562"/>
      <c r="AC1043" s="562"/>
      <c r="AD1043" s="562"/>
      <c r="AE1043" s="562"/>
      <c r="AF1043" s="562"/>
      <c r="AG1043" s="562"/>
      <c r="AH1043" s="496"/>
      <c r="AI1043" s="35"/>
      <c r="AJ1043" s="35"/>
      <c r="AK1043" s="35"/>
      <c r="AL1043" s="35"/>
      <c r="AM1043" s="35"/>
      <c r="AN1043" s="35"/>
      <c r="AO1043" s="253"/>
      <c r="AP1043" s="253"/>
      <c r="AQ1043" s="156"/>
      <c r="AR1043" s="156"/>
      <c r="AS1043" s="156"/>
      <c r="AT1043" s="156"/>
      <c r="AU1043" s="156"/>
      <c r="AV1043" s="156"/>
      <c r="AW1043" s="126"/>
      <c r="AX1043" s="126"/>
      <c r="AY1043" s="126"/>
      <c r="AZ1043" s="126"/>
      <c r="BA1043" s="126"/>
      <c r="BB1043" s="21"/>
      <c r="BC1043" s="21"/>
      <c r="BD1043" s="21"/>
      <c r="BE1043" s="21"/>
    </row>
    <row r="1044" customFormat="false" ht="14.1" hidden="true" customHeight="true" outlineLevel="1" collapsed="false">
      <c r="A1044" s="149" t="s">
        <v>702</v>
      </c>
      <c r="B1044" s="277"/>
      <c r="C1044" s="301"/>
      <c r="D1044" s="138"/>
      <c r="E1044" s="271"/>
      <c r="F1044" s="271"/>
      <c r="G1044" s="165"/>
      <c r="H1044" s="200"/>
      <c r="I1044" s="200"/>
      <c r="J1044" s="200"/>
      <c r="K1044" s="200"/>
      <c r="L1044" s="200"/>
      <c r="M1044" s="200"/>
      <c r="N1044" s="200"/>
      <c r="O1044" s="26"/>
      <c r="P1044" s="200"/>
      <c r="Q1044" s="200"/>
      <c r="R1044" s="186"/>
      <c r="S1044" s="200"/>
      <c r="T1044" s="200"/>
      <c r="U1044" s="200"/>
      <c r="V1044" s="200"/>
      <c r="W1044" s="200"/>
      <c r="X1044" s="200"/>
      <c r="Y1044" s="200"/>
      <c r="Z1044" s="200"/>
      <c r="AA1044" s="200"/>
      <c r="AB1044" s="562"/>
      <c r="AC1044" s="562"/>
      <c r="AD1044" s="562"/>
      <c r="AE1044" s="562"/>
      <c r="AF1044" s="562"/>
      <c r="AG1044" s="562"/>
      <c r="AH1044" s="496"/>
      <c r="AI1044" s="35"/>
      <c r="AJ1044" s="35"/>
      <c r="AK1044" s="35"/>
      <c r="AL1044" s="35"/>
      <c r="AM1044" s="35"/>
      <c r="AN1044" s="35"/>
      <c r="AO1044" s="253"/>
      <c r="AP1044" s="253"/>
      <c r="AQ1044" s="156"/>
      <c r="AR1044" s="156"/>
      <c r="AS1044" s="156"/>
      <c r="AT1044" s="156"/>
      <c r="AU1044" s="156"/>
      <c r="AV1044" s="156"/>
      <c r="AW1044" s="126"/>
      <c r="AX1044" s="126"/>
      <c r="AY1044" s="126"/>
      <c r="AZ1044" s="126"/>
      <c r="BA1044" s="126"/>
      <c r="BB1044" s="21"/>
      <c r="BC1044" s="21"/>
      <c r="BD1044" s="21"/>
      <c r="BE1044" s="21"/>
    </row>
    <row r="1045" customFormat="false" ht="14.1" hidden="true" customHeight="true" outlineLevel="1" collapsed="false">
      <c r="A1045" s="365" t="s">
        <v>698</v>
      </c>
      <c r="B1045" s="148" t="s">
        <v>699</v>
      </c>
      <c r="C1045" s="563" t="n">
        <v>0.1</v>
      </c>
      <c r="D1045" s="138"/>
      <c r="E1045" s="271"/>
      <c r="F1045" s="271"/>
      <c r="G1045" s="165"/>
      <c r="H1045" s="200"/>
      <c r="I1045" s="200"/>
      <c r="J1045" s="200"/>
      <c r="K1045" s="200"/>
      <c r="L1045" s="200"/>
      <c r="M1045" s="200"/>
      <c r="N1045" s="200"/>
      <c r="O1045" s="26"/>
      <c r="P1045" s="200"/>
      <c r="Q1045" s="200"/>
      <c r="R1045" s="186"/>
      <c r="S1045" s="200"/>
      <c r="T1045" s="200"/>
      <c r="U1045" s="200"/>
      <c r="V1045" s="200"/>
      <c r="W1045" s="200"/>
      <c r="X1045" s="200"/>
      <c r="Y1045" s="200"/>
      <c r="Z1045" s="200"/>
      <c r="AA1045" s="200"/>
      <c r="AB1045" s="562"/>
      <c r="AC1045" s="562"/>
      <c r="AD1045" s="562"/>
      <c r="AE1045" s="562"/>
      <c r="AF1045" s="562"/>
      <c r="AG1045" s="562"/>
      <c r="AH1045" s="496"/>
      <c r="AI1045" s="35"/>
      <c r="AJ1045" s="35"/>
      <c r="AK1045" s="35"/>
      <c r="AL1045" s="35"/>
      <c r="AM1045" s="35"/>
      <c r="AN1045" s="35"/>
      <c r="AO1045" s="253"/>
      <c r="AP1045" s="253"/>
      <c r="AQ1045" s="156"/>
      <c r="AR1045" s="156"/>
      <c r="AS1045" s="156"/>
      <c r="AT1045" s="156"/>
      <c r="AU1045" s="156"/>
      <c r="AV1045" s="156"/>
      <c r="AW1045" s="126"/>
      <c r="AX1045" s="126"/>
      <c r="AY1045" s="126"/>
      <c r="AZ1045" s="126"/>
      <c r="BA1045" s="126"/>
      <c r="BB1045" s="21"/>
      <c r="BC1045" s="21"/>
      <c r="BD1045" s="21"/>
      <c r="BE1045" s="21"/>
    </row>
    <row r="1046" customFormat="false" ht="14.1" hidden="true" customHeight="true" outlineLevel="1" collapsed="false">
      <c r="A1046" s="151" t="s">
        <v>703</v>
      </c>
      <c r="B1046" s="148" t="s">
        <v>48</v>
      </c>
      <c r="C1046" s="563" t="n">
        <v>2</v>
      </c>
      <c r="D1046" s="138"/>
      <c r="E1046" s="271"/>
      <c r="F1046" s="271"/>
      <c r="G1046" s="165"/>
      <c r="H1046" s="200"/>
      <c r="I1046" s="200"/>
      <c r="J1046" s="200"/>
      <c r="K1046" s="200"/>
      <c r="L1046" s="200"/>
      <c r="M1046" s="200"/>
      <c r="N1046" s="200"/>
      <c r="O1046" s="26"/>
      <c r="P1046" s="200"/>
      <c r="Q1046" s="200"/>
      <c r="R1046" s="186"/>
      <c r="S1046" s="200"/>
      <c r="T1046" s="200"/>
      <c r="U1046" s="200"/>
      <c r="V1046" s="200"/>
      <c r="W1046" s="200"/>
      <c r="X1046" s="200"/>
      <c r="Y1046" s="200"/>
      <c r="Z1046" s="200"/>
      <c r="AA1046" s="200"/>
      <c r="AB1046" s="562"/>
      <c r="AC1046" s="562"/>
      <c r="AD1046" s="562"/>
      <c r="AE1046" s="562"/>
      <c r="AF1046" s="562"/>
      <c r="AG1046" s="562"/>
      <c r="AH1046" s="496"/>
      <c r="AI1046" s="35"/>
      <c r="AJ1046" s="35"/>
      <c r="AK1046" s="35"/>
      <c r="AL1046" s="35"/>
      <c r="AM1046" s="35"/>
      <c r="AN1046" s="35"/>
      <c r="AO1046" s="253"/>
      <c r="AP1046" s="253"/>
      <c r="AQ1046" s="156"/>
      <c r="AR1046" s="156"/>
      <c r="AS1046" s="156"/>
      <c r="AT1046" s="156"/>
      <c r="AU1046" s="156"/>
      <c r="AV1046" s="156"/>
      <c r="AW1046" s="126"/>
      <c r="AX1046" s="126"/>
      <c r="AY1046" s="126"/>
      <c r="AZ1046" s="126"/>
      <c r="BA1046" s="126"/>
      <c r="BB1046" s="21"/>
      <c r="BC1046" s="21"/>
      <c r="BD1046" s="21"/>
      <c r="BE1046" s="21"/>
    </row>
    <row r="1047" customFormat="false" ht="14.1" hidden="true" customHeight="true" outlineLevel="1" collapsed="false">
      <c r="A1047" s="138"/>
      <c r="B1047" s="235"/>
      <c r="C1047" s="138"/>
      <c r="D1047" s="138"/>
      <c r="E1047" s="271"/>
      <c r="F1047" s="271"/>
      <c r="G1047" s="165"/>
      <c r="H1047" s="200"/>
      <c r="I1047" s="200"/>
      <c r="J1047" s="200"/>
      <c r="K1047" s="200"/>
      <c r="L1047" s="200"/>
      <c r="M1047" s="200"/>
      <c r="N1047" s="200"/>
      <c r="O1047" s="26"/>
      <c r="P1047" s="200"/>
      <c r="Q1047" s="200"/>
      <c r="R1047" s="186"/>
      <c r="S1047" s="200"/>
      <c r="T1047" s="200"/>
      <c r="U1047" s="200"/>
      <c r="V1047" s="200"/>
      <c r="W1047" s="200"/>
      <c r="X1047" s="200"/>
      <c r="Y1047" s="200"/>
      <c r="Z1047" s="200"/>
      <c r="AA1047" s="200"/>
      <c r="AB1047" s="562"/>
      <c r="AC1047" s="562"/>
      <c r="AD1047" s="562"/>
      <c r="AE1047" s="562"/>
      <c r="AF1047" s="562"/>
      <c r="AG1047" s="562"/>
      <c r="AH1047" s="496"/>
      <c r="AI1047" s="35"/>
      <c r="AJ1047" s="35"/>
      <c r="AK1047" s="35"/>
      <c r="AL1047" s="35"/>
      <c r="AM1047" s="35"/>
      <c r="AN1047" s="35"/>
      <c r="AO1047" s="253"/>
      <c r="AP1047" s="253"/>
      <c r="AQ1047" s="156"/>
      <c r="AR1047" s="156"/>
      <c r="AS1047" s="156"/>
      <c r="AT1047" s="156"/>
      <c r="AU1047" s="156"/>
      <c r="AV1047" s="156"/>
      <c r="AW1047" s="126"/>
      <c r="AX1047" s="126"/>
      <c r="AY1047" s="126"/>
      <c r="AZ1047" s="126"/>
      <c r="BA1047" s="126"/>
      <c r="BB1047" s="21"/>
      <c r="BC1047" s="21"/>
      <c r="BD1047" s="21"/>
      <c r="BE1047" s="21"/>
    </row>
    <row r="1048" customFormat="false" ht="14.1" hidden="true" customHeight="true" outlineLevel="1" collapsed="false">
      <c r="A1048" s="138" t="s">
        <v>705</v>
      </c>
      <c r="B1048" s="235"/>
      <c r="C1048" s="138"/>
      <c r="D1048" s="138"/>
      <c r="E1048" s="271"/>
      <c r="F1048" s="271"/>
      <c r="G1048" s="165"/>
      <c r="H1048" s="200"/>
      <c r="I1048" s="200"/>
      <c r="J1048" s="200"/>
      <c r="K1048" s="200"/>
      <c r="L1048" s="200"/>
      <c r="M1048" s="200"/>
      <c r="N1048" s="200"/>
      <c r="O1048" s="26"/>
      <c r="P1048" s="200"/>
      <c r="Q1048" s="200"/>
      <c r="R1048" s="186"/>
      <c r="S1048" s="200"/>
      <c r="T1048" s="200"/>
      <c r="U1048" s="200"/>
      <c r="V1048" s="200"/>
      <c r="W1048" s="200"/>
      <c r="X1048" s="200"/>
      <c r="Y1048" s="200"/>
      <c r="Z1048" s="200"/>
      <c r="AA1048" s="200"/>
      <c r="AB1048" s="562"/>
      <c r="AC1048" s="562"/>
      <c r="AD1048" s="562"/>
      <c r="AE1048" s="562"/>
      <c r="AF1048" s="562"/>
      <c r="AG1048" s="562"/>
      <c r="AH1048" s="496"/>
      <c r="AI1048" s="35"/>
      <c r="AJ1048" s="35"/>
      <c r="AK1048" s="35"/>
      <c r="AL1048" s="35"/>
      <c r="AM1048" s="35"/>
      <c r="AN1048" s="35"/>
      <c r="AO1048" s="253"/>
      <c r="AP1048" s="253"/>
      <c r="AQ1048" s="156"/>
      <c r="AR1048" s="156"/>
      <c r="AS1048" s="156"/>
      <c r="AT1048" s="156"/>
      <c r="AU1048" s="156"/>
      <c r="AV1048" s="156"/>
      <c r="AW1048" s="126"/>
      <c r="AX1048" s="126"/>
      <c r="AY1048" s="126"/>
      <c r="AZ1048" s="126"/>
      <c r="BA1048" s="126"/>
      <c r="BB1048" s="21"/>
      <c r="BC1048" s="21"/>
      <c r="BD1048" s="21"/>
      <c r="BE1048" s="21"/>
    </row>
    <row r="1049" customFormat="false" ht="14.1" hidden="true" customHeight="true" outlineLevel="1" collapsed="false">
      <c r="A1049" s="147" t="s">
        <v>56</v>
      </c>
      <c r="B1049" s="235"/>
      <c r="C1049" s="138"/>
      <c r="D1049" s="138"/>
      <c r="E1049" s="271"/>
      <c r="F1049" s="271"/>
      <c r="G1049" s="165"/>
      <c r="H1049" s="200"/>
      <c r="I1049" s="200"/>
      <c r="J1049" s="200"/>
      <c r="K1049" s="200"/>
      <c r="L1049" s="200"/>
      <c r="M1049" s="200"/>
      <c r="N1049" s="200"/>
      <c r="O1049" s="26"/>
      <c r="P1049" s="200"/>
      <c r="Q1049" s="200"/>
      <c r="R1049" s="186"/>
      <c r="S1049" s="200"/>
      <c r="T1049" s="200"/>
      <c r="U1049" s="200"/>
      <c r="V1049" s="200"/>
      <c r="W1049" s="200"/>
      <c r="X1049" s="200"/>
      <c r="Y1049" s="200"/>
      <c r="Z1049" s="200"/>
      <c r="AA1049" s="200"/>
      <c r="AB1049" s="562"/>
      <c r="AC1049" s="562"/>
      <c r="AD1049" s="562"/>
      <c r="AE1049" s="562"/>
      <c r="AF1049" s="562"/>
      <c r="AG1049" s="562"/>
      <c r="AH1049" s="496"/>
      <c r="AI1049" s="35"/>
      <c r="AJ1049" s="35"/>
      <c r="AK1049" s="35"/>
      <c r="AL1049" s="35"/>
      <c r="AM1049" s="35"/>
      <c r="AN1049" s="35"/>
      <c r="AO1049" s="253"/>
      <c r="AP1049" s="253"/>
      <c r="AQ1049" s="156"/>
      <c r="AR1049" s="156"/>
      <c r="AS1049" s="156"/>
      <c r="AT1049" s="156"/>
      <c r="AU1049" s="156"/>
      <c r="AV1049" s="156"/>
      <c r="AW1049" s="126"/>
      <c r="AX1049" s="126"/>
      <c r="AY1049" s="126"/>
      <c r="AZ1049" s="126"/>
      <c r="BA1049" s="126"/>
      <c r="BB1049" s="21"/>
      <c r="BC1049" s="21"/>
      <c r="BD1049" s="21"/>
      <c r="BE1049" s="21"/>
    </row>
    <row r="1050" customFormat="false" ht="14.1" hidden="true" customHeight="true" outlineLevel="1" collapsed="false">
      <c r="A1050" s="138"/>
      <c r="B1050" s="235"/>
      <c r="C1050" s="138"/>
      <c r="D1050" s="138"/>
      <c r="E1050" s="271"/>
      <c r="F1050" s="271"/>
      <c r="G1050" s="165"/>
      <c r="H1050" s="200"/>
      <c r="I1050" s="200"/>
      <c r="J1050" s="200"/>
      <c r="K1050" s="200"/>
      <c r="L1050" s="200"/>
      <c r="M1050" s="200"/>
      <c r="N1050" s="200"/>
      <c r="O1050" s="26"/>
      <c r="P1050" s="200"/>
      <c r="Q1050" s="200"/>
      <c r="R1050" s="186"/>
      <c r="S1050" s="200"/>
      <c r="T1050" s="200"/>
      <c r="U1050" s="200"/>
      <c r="V1050" s="200"/>
      <c r="W1050" s="200"/>
      <c r="X1050" s="200"/>
      <c r="Y1050" s="200"/>
      <c r="Z1050" s="200"/>
      <c r="AA1050" s="200"/>
      <c r="AB1050" s="562"/>
      <c r="AC1050" s="562"/>
      <c r="AD1050" s="562"/>
      <c r="AE1050" s="562"/>
      <c r="AF1050" s="562"/>
      <c r="AG1050" s="562"/>
      <c r="AH1050" s="496"/>
      <c r="AI1050" s="35"/>
      <c r="AJ1050" s="35"/>
      <c r="AK1050" s="35"/>
      <c r="AL1050" s="35"/>
      <c r="AM1050" s="35"/>
      <c r="AN1050" s="35"/>
      <c r="AO1050" s="253"/>
      <c r="AP1050" s="253"/>
      <c r="AQ1050" s="156"/>
      <c r="AR1050" s="156"/>
      <c r="AS1050" s="156"/>
      <c r="AT1050" s="156"/>
      <c r="AU1050" s="156"/>
      <c r="AV1050" s="156"/>
      <c r="AW1050" s="126"/>
      <c r="AX1050" s="126"/>
      <c r="AY1050" s="126"/>
      <c r="AZ1050" s="126"/>
      <c r="BA1050" s="126"/>
      <c r="BB1050" s="21"/>
      <c r="BC1050" s="21"/>
      <c r="BD1050" s="21"/>
      <c r="BE1050" s="21"/>
    </row>
    <row r="1051" customFormat="false" ht="14.1" hidden="true" customHeight="true" outlineLevel="1" collapsed="false">
      <c r="A1051" s="138" t="s">
        <v>706</v>
      </c>
      <c r="B1051" s="235"/>
      <c r="C1051" s="138"/>
      <c r="D1051" s="138"/>
      <c r="E1051" s="271"/>
      <c r="F1051" s="271"/>
      <c r="G1051" s="165"/>
      <c r="H1051" s="200"/>
      <c r="I1051" s="200"/>
      <c r="J1051" s="200"/>
      <c r="K1051" s="200"/>
      <c r="L1051" s="200"/>
      <c r="M1051" s="200"/>
      <c r="N1051" s="200"/>
      <c r="O1051" s="26"/>
      <c r="P1051" s="200"/>
      <c r="Q1051" s="200"/>
      <c r="R1051" s="186"/>
      <c r="S1051" s="200"/>
      <c r="T1051" s="200"/>
      <c r="U1051" s="200"/>
      <c r="V1051" s="200"/>
      <c r="W1051" s="200"/>
      <c r="X1051" s="200"/>
      <c r="Y1051" s="200"/>
      <c r="Z1051" s="200"/>
      <c r="AA1051" s="200"/>
      <c r="AB1051" s="562"/>
      <c r="AC1051" s="562"/>
      <c r="AD1051" s="562"/>
      <c r="AE1051" s="562"/>
      <c r="AF1051" s="562"/>
      <c r="AG1051" s="562"/>
      <c r="AH1051" s="496"/>
      <c r="AI1051" s="35"/>
      <c r="AJ1051" s="35"/>
      <c r="AK1051" s="35"/>
      <c r="AL1051" s="35"/>
      <c r="AM1051" s="35"/>
      <c r="AN1051" s="35"/>
      <c r="AO1051" s="253"/>
      <c r="AP1051" s="253"/>
      <c r="AQ1051" s="156"/>
      <c r="AR1051" s="156"/>
      <c r="AS1051" s="156"/>
      <c r="AT1051" s="156"/>
      <c r="AU1051" s="156"/>
      <c r="AV1051" s="156"/>
      <c r="AW1051" s="126"/>
      <c r="AX1051" s="126"/>
      <c r="AY1051" s="126"/>
      <c r="AZ1051" s="126"/>
      <c r="BA1051" s="126"/>
      <c r="BB1051" s="21"/>
      <c r="BC1051" s="21"/>
      <c r="BD1051" s="21"/>
      <c r="BE1051" s="21"/>
    </row>
    <row r="1052" customFormat="false" ht="14.1" hidden="true" customHeight="true" outlineLevel="1" collapsed="false">
      <c r="A1052" s="147" t="s">
        <v>707</v>
      </c>
      <c r="B1052" s="235"/>
      <c r="C1052" s="138"/>
      <c r="D1052" s="138"/>
      <c r="E1052" s="271"/>
      <c r="F1052" s="271"/>
      <c r="G1052" s="165"/>
      <c r="H1052" s="200"/>
      <c r="I1052" s="200"/>
      <c r="J1052" s="200"/>
      <c r="K1052" s="200"/>
      <c r="L1052" s="200"/>
      <c r="M1052" s="200"/>
      <c r="N1052" s="200"/>
      <c r="O1052" s="26"/>
      <c r="P1052" s="200"/>
      <c r="Q1052" s="200"/>
      <c r="R1052" s="186"/>
      <c r="S1052" s="200"/>
      <c r="T1052" s="200"/>
      <c r="U1052" s="200"/>
      <c r="V1052" s="200"/>
      <c r="W1052" s="200"/>
      <c r="X1052" s="200"/>
      <c r="Y1052" s="200"/>
      <c r="Z1052" s="200"/>
      <c r="AA1052" s="200"/>
      <c r="AB1052" s="562"/>
      <c r="AC1052" s="562"/>
      <c r="AD1052" s="562"/>
      <c r="AE1052" s="562"/>
      <c r="AF1052" s="562"/>
      <c r="AG1052" s="562"/>
      <c r="AH1052" s="496"/>
      <c r="AI1052" s="35"/>
      <c r="AJ1052" s="35"/>
      <c r="AK1052" s="35"/>
      <c r="AL1052" s="35"/>
      <c r="AM1052" s="35"/>
      <c r="AN1052" s="35"/>
      <c r="AO1052" s="253"/>
      <c r="AP1052" s="253"/>
      <c r="AQ1052" s="156"/>
      <c r="AR1052" s="156"/>
      <c r="AS1052" s="156"/>
      <c r="AT1052" s="156"/>
      <c r="AU1052" s="156"/>
      <c r="AV1052" s="156"/>
      <c r="AW1052" s="126"/>
      <c r="AX1052" s="126"/>
      <c r="AY1052" s="126"/>
      <c r="AZ1052" s="126"/>
      <c r="BA1052" s="126"/>
      <c r="BB1052" s="21"/>
      <c r="BC1052" s="21"/>
      <c r="BD1052" s="21"/>
      <c r="BE1052" s="21"/>
    </row>
    <row r="1053" customFormat="false" ht="14.1" hidden="true" customHeight="true" outlineLevel="1" collapsed="false">
      <c r="A1053" s="138" t="s">
        <v>708</v>
      </c>
      <c r="B1053" s="235"/>
      <c r="C1053" s="138"/>
      <c r="D1053" s="138"/>
      <c r="E1053" s="271"/>
      <c r="F1053" s="271"/>
      <c r="G1053" s="165"/>
      <c r="H1053" s="200"/>
      <c r="I1053" s="200"/>
      <c r="J1053" s="200"/>
      <c r="K1053" s="200"/>
      <c r="L1053" s="200"/>
      <c r="M1053" s="200"/>
      <c r="N1053" s="200"/>
      <c r="O1053" s="26"/>
      <c r="P1053" s="200"/>
      <c r="Q1053" s="200"/>
      <c r="R1053" s="186"/>
      <c r="S1053" s="200"/>
      <c r="T1053" s="200"/>
      <c r="U1053" s="200"/>
      <c r="V1053" s="200"/>
      <c r="W1053" s="200"/>
      <c r="X1053" s="200"/>
      <c r="Y1053" s="200"/>
      <c r="Z1053" s="200"/>
      <c r="AA1053" s="200"/>
      <c r="AB1053" s="562"/>
      <c r="AC1053" s="562"/>
      <c r="AD1053" s="562"/>
      <c r="AE1053" s="562"/>
      <c r="AF1053" s="562"/>
      <c r="AG1053" s="562"/>
      <c r="AH1053" s="496"/>
      <c r="AI1053" s="35"/>
      <c r="AJ1053" s="35"/>
      <c r="AK1053" s="35"/>
      <c r="AL1053" s="35"/>
      <c r="AM1053" s="35"/>
      <c r="AN1053" s="35"/>
      <c r="AO1053" s="253"/>
      <c r="AP1053" s="253"/>
      <c r="AQ1053" s="156"/>
      <c r="AR1053" s="156"/>
      <c r="AS1053" s="156"/>
      <c r="AT1053" s="156"/>
      <c r="AU1053" s="156"/>
      <c r="AV1053" s="156"/>
      <c r="AW1053" s="126"/>
      <c r="AX1053" s="126"/>
      <c r="AY1053" s="126"/>
      <c r="AZ1053" s="126"/>
      <c r="BA1053" s="126"/>
      <c r="BB1053" s="21"/>
      <c r="BC1053" s="21"/>
      <c r="BD1053" s="21"/>
      <c r="BE1053" s="21"/>
    </row>
    <row r="1054" customFormat="false" ht="14.1" hidden="true" customHeight="true" outlineLevel="1" collapsed="false">
      <c r="A1054" s="147" t="s">
        <v>707</v>
      </c>
      <c r="B1054" s="235"/>
      <c r="C1054" s="138"/>
      <c r="D1054" s="138"/>
      <c r="E1054" s="271"/>
      <c r="F1054" s="271"/>
      <c r="G1054" s="165"/>
      <c r="H1054" s="200"/>
      <c r="I1054" s="200"/>
      <c r="J1054" s="200"/>
      <c r="K1054" s="200"/>
      <c r="L1054" s="200"/>
      <c r="M1054" s="200"/>
      <c r="N1054" s="200"/>
      <c r="O1054" s="26"/>
      <c r="P1054" s="200"/>
      <c r="Q1054" s="200"/>
      <c r="R1054" s="186"/>
      <c r="S1054" s="200"/>
      <c r="T1054" s="200"/>
      <c r="U1054" s="200"/>
      <c r="V1054" s="200"/>
      <c r="W1054" s="200"/>
      <c r="X1054" s="200"/>
      <c r="Y1054" s="200"/>
      <c r="Z1054" s="200"/>
      <c r="AA1054" s="200"/>
      <c r="AB1054" s="562"/>
      <c r="AC1054" s="562"/>
      <c r="AD1054" s="562"/>
      <c r="AE1054" s="562"/>
      <c r="AF1054" s="562"/>
      <c r="AG1054" s="562"/>
      <c r="AH1054" s="496"/>
      <c r="AI1054" s="35"/>
      <c r="AJ1054" s="35"/>
      <c r="AK1054" s="35"/>
      <c r="AL1054" s="35"/>
      <c r="AM1054" s="35"/>
      <c r="AN1054" s="35"/>
      <c r="AO1054" s="253"/>
      <c r="AP1054" s="253"/>
      <c r="AQ1054" s="156"/>
      <c r="AR1054" s="156"/>
      <c r="AS1054" s="156"/>
      <c r="AT1054" s="156"/>
      <c r="AU1054" s="156"/>
      <c r="AV1054" s="156"/>
      <c r="AW1054" s="126"/>
      <c r="AX1054" s="126"/>
      <c r="AY1054" s="126"/>
      <c r="AZ1054" s="126"/>
      <c r="BA1054" s="126"/>
      <c r="BB1054" s="21"/>
      <c r="BC1054" s="21"/>
      <c r="BD1054" s="21"/>
      <c r="BE1054" s="21"/>
    </row>
    <row r="1055" customFormat="false" ht="14.1" hidden="true" customHeight="true" outlineLevel="1" collapsed="false">
      <c r="A1055" s="138"/>
      <c r="B1055" s="235"/>
      <c r="C1055" s="138"/>
      <c r="D1055" s="138"/>
      <c r="E1055" s="271"/>
      <c r="F1055" s="271"/>
      <c r="G1055" s="165"/>
      <c r="H1055" s="200"/>
      <c r="I1055" s="200"/>
      <c r="J1055" s="200"/>
      <c r="K1055" s="200"/>
      <c r="L1055" s="200"/>
      <c r="M1055" s="200"/>
      <c r="N1055" s="200"/>
      <c r="O1055" s="26"/>
      <c r="P1055" s="200"/>
      <c r="Q1055" s="200"/>
      <c r="R1055" s="186"/>
      <c r="S1055" s="200"/>
      <c r="T1055" s="200"/>
      <c r="U1055" s="200"/>
      <c r="V1055" s="200"/>
      <c r="W1055" s="200"/>
      <c r="X1055" s="200"/>
      <c r="Y1055" s="200"/>
      <c r="Z1055" s="200"/>
      <c r="AA1055" s="200"/>
      <c r="AB1055" s="562"/>
      <c r="AC1055" s="562"/>
      <c r="AD1055" s="562"/>
      <c r="AE1055" s="562"/>
      <c r="AF1055" s="562"/>
      <c r="AG1055" s="562"/>
      <c r="AH1055" s="496"/>
      <c r="AI1055" s="35"/>
      <c r="AJ1055" s="35"/>
      <c r="AK1055" s="35"/>
      <c r="AL1055" s="35"/>
      <c r="AM1055" s="35"/>
      <c r="AN1055" s="35"/>
      <c r="AO1055" s="253"/>
      <c r="AP1055" s="253"/>
      <c r="AQ1055" s="156"/>
      <c r="AR1055" s="156"/>
      <c r="AS1055" s="156"/>
      <c r="AT1055" s="156"/>
      <c r="AU1055" s="156"/>
      <c r="AV1055" s="156"/>
      <c r="AW1055" s="126"/>
      <c r="AX1055" s="126"/>
      <c r="AY1055" s="126"/>
      <c r="AZ1055" s="126"/>
      <c r="BA1055" s="126"/>
      <c r="BB1055" s="21"/>
      <c r="BC1055" s="21"/>
      <c r="BD1055" s="21"/>
      <c r="BE1055" s="21"/>
    </row>
    <row r="1056" customFormat="false" ht="14.1" hidden="true" customHeight="true" outlineLevel="1" collapsed="false">
      <c r="A1056" s="138" t="s">
        <v>709</v>
      </c>
      <c r="B1056" s="235"/>
      <c r="C1056" s="138"/>
      <c r="D1056" s="138"/>
      <c r="E1056" s="271"/>
      <c r="F1056" s="271"/>
      <c r="G1056" s="165"/>
      <c r="H1056" s="200"/>
      <c r="I1056" s="200"/>
      <c r="J1056" s="200"/>
      <c r="K1056" s="200"/>
      <c r="L1056" s="200"/>
      <c r="M1056" s="200"/>
      <c r="N1056" s="200"/>
      <c r="O1056" s="26"/>
      <c r="P1056" s="200"/>
      <c r="Q1056" s="200"/>
      <c r="R1056" s="186"/>
      <c r="S1056" s="200"/>
      <c r="T1056" s="200"/>
      <c r="U1056" s="200"/>
      <c r="V1056" s="200"/>
      <c r="W1056" s="200"/>
      <c r="X1056" s="200"/>
      <c r="Y1056" s="200"/>
      <c r="Z1056" s="200"/>
      <c r="AA1056" s="200"/>
      <c r="AB1056" s="562"/>
      <c r="AC1056" s="562"/>
      <c r="AD1056" s="562"/>
      <c r="AE1056" s="562"/>
      <c r="AF1056" s="562"/>
      <c r="AG1056" s="562"/>
      <c r="AH1056" s="496"/>
      <c r="AI1056" s="35"/>
      <c r="AJ1056" s="35"/>
      <c r="AK1056" s="35"/>
      <c r="AL1056" s="35"/>
      <c r="AM1056" s="35"/>
      <c r="AN1056" s="35"/>
      <c r="AO1056" s="253"/>
      <c r="AP1056" s="253"/>
      <c r="AQ1056" s="156"/>
      <c r="AR1056" s="156"/>
      <c r="AS1056" s="156"/>
      <c r="AT1056" s="156"/>
      <c r="AU1056" s="156"/>
      <c r="AV1056" s="156"/>
      <c r="AW1056" s="126"/>
      <c r="AX1056" s="126"/>
      <c r="AY1056" s="126"/>
      <c r="AZ1056" s="126"/>
      <c r="BA1056" s="126"/>
      <c r="BB1056" s="21"/>
      <c r="BC1056" s="21"/>
      <c r="BD1056" s="21"/>
      <c r="BE1056" s="21"/>
    </row>
    <row r="1057" customFormat="false" ht="14.1" hidden="true" customHeight="true" outlineLevel="1" collapsed="false">
      <c r="A1057" s="565" t="s">
        <v>710</v>
      </c>
      <c r="B1057" s="180" t="s">
        <v>109</v>
      </c>
      <c r="C1057" s="238" t="s">
        <v>204</v>
      </c>
      <c r="D1057" s="138"/>
      <c r="E1057" s="271"/>
      <c r="F1057" s="271"/>
      <c r="G1057" s="165"/>
      <c r="H1057" s="200"/>
      <c r="I1057" s="200"/>
      <c r="J1057" s="200"/>
      <c r="K1057" s="200"/>
      <c r="L1057" s="200"/>
      <c r="M1057" s="200"/>
      <c r="N1057" s="200"/>
      <c r="O1057" s="26"/>
      <c r="P1057" s="200"/>
      <c r="Q1057" s="200"/>
      <c r="R1057" s="186"/>
      <c r="S1057" s="200"/>
      <c r="T1057" s="200"/>
      <c r="U1057" s="200"/>
      <c r="V1057" s="200"/>
      <c r="W1057" s="200"/>
      <c r="X1057" s="200"/>
      <c r="Y1057" s="200"/>
      <c r="Z1057" s="200"/>
      <c r="AA1057" s="200"/>
      <c r="AB1057" s="562"/>
      <c r="AC1057" s="562"/>
      <c r="AD1057" s="562"/>
      <c r="AE1057" s="562"/>
      <c r="AF1057" s="562"/>
      <c r="AG1057" s="562"/>
      <c r="AH1057" s="496"/>
      <c r="AI1057" s="35"/>
      <c r="AJ1057" s="35"/>
      <c r="AK1057" s="35"/>
      <c r="AL1057" s="35"/>
      <c r="AM1057" s="35"/>
      <c r="AN1057" s="35"/>
      <c r="AO1057" s="253"/>
      <c r="AP1057" s="253"/>
      <c r="AQ1057" s="156"/>
      <c r="AR1057" s="156"/>
      <c r="AS1057" s="156"/>
      <c r="AT1057" s="156"/>
      <c r="AU1057" s="156"/>
      <c r="AV1057" s="156"/>
      <c r="AW1057" s="126"/>
      <c r="AX1057" s="126"/>
      <c r="AY1057" s="126"/>
      <c r="AZ1057" s="126"/>
      <c r="BA1057" s="126"/>
      <c r="BB1057" s="21"/>
      <c r="BC1057" s="21"/>
      <c r="BD1057" s="21"/>
      <c r="BE1057" s="21"/>
    </row>
    <row r="1058" customFormat="false" ht="14.1" hidden="true" customHeight="true" outlineLevel="1" collapsed="false">
      <c r="A1058" s="565" t="s">
        <v>711</v>
      </c>
      <c r="B1058" s="219" t="s">
        <v>488</v>
      </c>
      <c r="C1058" s="151" t="n">
        <v>0</v>
      </c>
      <c r="D1058" s="138"/>
      <c r="E1058" s="271"/>
      <c r="F1058" s="271"/>
      <c r="G1058" s="165"/>
      <c r="H1058" s="200"/>
      <c r="I1058" s="200"/>
      <c r="J1058" s="200"/>
      <c r="K1058" s="200"/>
      <c r="L1058" s="200"/>
      <c r="M1058" s="200"/>
      <c r="N1058" s="200"/>
      <c r="O1058" s="26"/>
      <c r="P1058" s="200"/>
      <c r="Q1058" s="200"/>
      <c r="R1058" s="186"/>
      <c r="S1058" s="200"/>
      <c r="T1058" s="200"/>
      <c r="U1058" s="200"/>
      <c r="V1058" s="200"/>
      <c r="W1058" s="200"/>
      <c r="X1058" s="200"/>
      <c r="Y1058" s="200"/>
      <c r="Z1058" s="200"/>
      <c r="AA1058" s="200"/>
      <c r="AB1058" s="562"/>
      <c r="AC1058" s="562"/>
      <c r="AD1058" s="562"/>
      <c r="AE1058" s="562"/>
      <c r="AF1058" s="562"/>
      <c r="AG1058" s="562"/>
      <c r="AH1058" s="496"/>
      <c r="AI1058" s="35"/>
      <c r="AJ1058" s="35"/>
      <c r="AK1058" s="35"/>
      <c r="AL1058" s="35"/>
      <c r="AM1058" s="35"/>
      <c r="AN1058" s="35"/>
      <c r="AO1058" s="253"/>
      <c r="AP1058" s="253"/>
      <c r="AQ1058" s="156"/>
      <c r="AR1058" s="156"/>
      <c r="AS1058" s="156"/>
      <c r="AT1058" s="156"/>
      <c r="AU1058" s="156"/>
      <c r="AV1058" s="156"/>
      <c r="AW1058" s="126"/>
      <c r="AX1058" s="126"/>
      <c r="AY1058" s="126"/>
      <c r="AZ1058" s="126"/>
      <c r="BA1058" s="126"/>
      <c r="BB1058" s="21"/>
      <c r="BC1058" s="21"/>
      <c r="BD1058" s="21"/>
      <c r="BE1058" s="21"/>
    </row>
    <row r="1059" customFormat="false" ht="14.1" hidden="true" customHeight="true" outlineLevel="1" collapsed="false">
      <c r="A1059" s="565" t="s">
        <v>711</v>
      </c>
      <c r="B1059" s="219" t="s">
        <v>488</v>
      </c>
      <c r="C1059" s="151" t="n">
        <v>0</v>
      </c>
      <c r="D1059" s="138"/>
      <c r="E1059" s="271"/>
      <c r="F1059" s="271"/>
      <c r="G1059" s="165"/>
      <c r="H1059" s="200"/>
      <c r="I1059" s="200"/>
      <c r="J1059" s="200"/>
      <c r="K1059" s="200"/>
      <c r="L1059" s="200"/>
      <c r="M1059" s="200"/>
      <c r="N1059" s="200"/>
      <c r="O1059" s="26"/>
      <c r="P1059" s="200"/>
      <c r="Q1059" s="200"/>
      <c r="R1059" s="186"/>
      <c r="S1059" s="200"/>
      <c r="T1059" s="200"/>
      <c r="U1059" s="200"/>
      <c r="V1059" s="200"/>
      <c r="W1059" s="200"/>
      <c r="X1059" s="200"/>
      <c r="Y1059" s="200"/>
      <c r="Z1059" s="200"/>
      <c r="AA1059" s="200"/>
      <c r="AB1059" s="562"/>
      <c r="AC1059" s="562"/>
      <c r="AD1059" s="562"/>
      <c r="AE1059" s="562"/>
      <c r="AF1059" s="562"/>
      <c r="AG1059" s="562"/>
      <c r="AH1059" s="496"/>
      <c r="AI1059" s="35"/>
      <c r="AJ1059" s="35"/>
      <c r="AK1059" s="35"/>
      <c r="AL1059" s="35"/>
      <c r="AM1059" s="35"/>
      <c r="AN1059" s="35"/>
      <c r="AO1059" s="253"/>
      <c r="AP1059" s="253"/>
      <c r="AQ1059" s="156"/>
      <c r="AR1059" s="156"/>
      <c r="AS1059" s="156"/>
      <c r="AT1059" s="156"/>
      <c r="AU1059" s="156"/>
      <c r="AV1059" s="156"/>
      <c r="AW1059" s="126"/>
      <c r="AX1059" s="126"/>
      <c r="AY1059" s="126"/>
      <c r="AZ1059" s="126"/>
      <c r="BA1059" s="126"/>
      <c r="BB1059" s="21"/>
      <c r="BC1059" s="21"/>
      <c r="BD1059" s="21"/>
      <c r="BE1059" s="21"/>
    </row>
    <row r="1060" customFormat="false" ht="14.1" hidden="true" customHeight="true" outlineLevel="1" collapsed="false">
      <c r="A1060" s="565" t="s">
        <v>712</v>
      </c>
      <c r="B1060" s="180" t="s">
        <v>109</v>
      </c>
      <c r="C1060" s="238" t="s">
        <v>204</v>
      </c>
      <c r="D1060" s="138"/>
      <c r="E1060" s="271"/>
      <c r="F1060" s="271"/>
      <c r="G1060" s="165"/>
      <c r="H1060" s="200"/>
      <c r="I1060" s="200"/>
      <c r="J1060" s="200"/>
      <c r="K1060" s="200"/>
      <c r="L1060" s="200"/>
      <c r="M1060" s="200"/>
      <c r="N1060" s="200"/>
      <c r="O1060" s="26"/>
      <c r="P1060" s="200"/>
      <c r="Q1060" s="200"/>
      <c r="R1060" s="186"/>
      <c r="S1060" s="200"/>
      <c r="T1060" s="200"/>
      <c r="U1060" s="200"/>
      <c r="V1060" s="200"/>
      <c r="W1060" s="200"/>
      <c r="X1060" s="200"/>
      <c r="Y1060" s="200"/>
      <c r="Z1060" s="200"/>
      <c r="AA1060" s="200"/>
      <c r="AB1060" s="562"/>
      <c r="AC1060" s="562"/>
      <c r="AD1060" s="562"/>
      <c r="AE1060" s="562"/>
      <c r="AF1060" s="562"/>
      <c r="AG1060" s="562"/>
      <c r="AH1060" s="496"/>
      <c r="AI1060" s="35"/>
      <c r="AJ1060" s="35"/>
      <c r="AK1060" s="35"/>
      <c r="AL1060" s="35"/>
      <c r="AM1060" s="35"/>
      <c r="AN1060" s="35"/>
      <c r="AO1060" s="253"/>
      <c r="AP1060" s="253"/>
      <c r="AQ1060" s="156"/>
      <c r="AR1060" s="156"/>
      <c r="AS1060" s="156"/>
      <c r="AT1060" s="156"/>
      <c r="AU1060" s="156"/>
      <c r="AV1060" s="156"/>
      <c r="AW1060" s="126"/>
      <c r="AX1060" s="126"/>
      <c r="AY1060" s="126"/>
      <c r="AZ1060" s="126"/>
      <c r="BA1060" s="126"/>
      <c r="BB1060" s="21"/>
      <c r="BC1060" s="21"/>
      <c r="BD1060" s="21"/>
      <c r="BE1060" s="21"/>
    </row>
    <row r="1061" customFormat="false" ht="14.1" hidden="true" customHeight="true" outlineLevel="1" collapsed="false">
      <c r="A1061" s="565" t="s">
        <v>711</v>
      </c>
      <c r="B1061" s="219" t="s">
        <v>488</v>
      </c>
      <c r="C1061" s="151" t="n">
        <v>0</v>
      </c>
      <c r="D1061" s="138"/>
      <c r="E1061" s="271"/>
      <c r="F1061" s="271"/>
      <c r="G1061" s="165"/>
      <c r="H1061" s="200"/>
      <c r="I1061" s="200"/>
      <c r="J1061" s="200"/>
      <c r="K1061" s="200"/>
      <c r="L1061" s="200"/>
      <c r="M1061" s="200"/>
      <c r="N1061" s="200"/>
      <c r="O1061" s="26"/>
      <c r="P1061" s="200"/>
      <c r="Q1061" s="200"/>
      <c r="R1061" s="186"/>
      <c r="S1061" s="200"/>
      <c r="T1061" s="200"/>
      <c r="U1061" s="200"/>
      <c r="V1061" s="200"/>
      <c r="W1061" s="200"/>
      <c r="X1061" s="200"/>
      <c r="Y1061" s="200"/>
      <c r="Z1061" s="200"/>
      <c r="AA1061" s="200"/>
      <c r="AB1061" s="562"/>
      <c r="AC1061" s="562"/>
      <c r="AD1061" s="562"/>
      <c r="AE1061" s="562"/>
      <c r="AF1061" s="562"/>
      <c r="AG1061" s="562"/>
      <c r="AH1061" s="496"/>
      <c r="AI1061" s="35"/>
      <c r="AJ1061" s="35"/>
      <c r="AK1061" s="35"/>
      <c r="AL1061" s="35"/>
      <c r="AM1061" s="35"/>
      <c r="AN1061" s="35"/>
      <c r="AO1061" s="253"/>
      <c r="AP1061" s="253"/>
      <c r="AQ1061" s="156"/>
      <c r="AR1061" s="156"/>
      <c r="AS1061" s="156"/>
      <c r="AT1061" s="156"/>
      <c r="AU1061" s="156"/>
      <c r="AV1061" s="156"/>
      <c r="AW1061" s="126"/>
      <c r="AX1061" s="126"/>
      <c r="AY1061" s="126"/>
      <c r="AZ1061" s="126"/>
      <c r="BA1061" s="126"/>
      <c r="BB1061" s="21"/>
      <c r="BC1061" s="21"/>
      <c r="BD1061" s="21"/>
      <c r="BE1061" s="21"/>
    </row>
    <row r="1062" customFormat="false" ht="14.1" hidden="true" customHeight="true" outlineLevel="1" collapsed="false">
      <c r="A1062" s="490" t="s">
        <v>711</v>
      </c>
      <c r="B1062" s="219" t="s">
        <v>488</v>
      </c>
      <c r="C1062" s="151" t="n">
        <v>0</v>
      </c>
      <c r="D1062" s="138"/>
      <c r="E1062" s="271"/>
      <c r="F1062" s="271"/>
      <c r="G1062" s="165"/>
      <c r="H1062" s="200"/>
      <c r="I1062" s="200"/>
      <c r="J1062" s="200"/>
      <c r="K1062" s="200"/>
      <c r="L1062" s="200"/>
      <c r="M1062" s="200"/>
      <c r="N1062" s="200"/>
      <c r="O1062" s="26"/>
      <c r="P1062" s="200"/>
      <c r="Q1062" s="200"/>
      <c r="R1062" s="186"/>
      <c r="S1062" s="200"/>
      <c r="T1062" s="200"/>
      <c r="U1062" s="200"/>
      <c r="V1062" s="200"/>
      <c r="W1062" s="200"/>
      <c r="X1062" s="200"/>
      <c r="Y1062" s="200"/>
      <c r="Z1062" s="200"/>
      <c r="AA1062" s="200"/>
      <c r="AB1062" s="562"/>
      <c r="AC1062" s="562"/>
      <c r="AD1062" s="562"/>
      <c r="AE1062" s="562"/>
      <c r="AF1062" s="562"/>
      <c r="AG1062" s="562"/>
      <c r="AH1062" s="496"/>
      <c r="AI1062" s="35"/>
      <c r="AJ1062" s="35"/>
      <c r="AK1062" s="35"/>
      <c r="AL1062" s="35"/>
      <c r="AM1062" s="35"/>
      <c r="AN1062" s="35"/>
      <c r="AO1062" s="253"/>
      <c r="AP1062" s="253"/>
      <c r="AQ1062" s="156"/>
      <c r="AR1062" s="156"/>
      <c r="AS1062" s="156"/>
      <c r="AT1062" s="156"/>
      <c r="AU1062" s="156"/>
      <c r="AV1062" s="156"/>
      <c r="AW1062" s="126"/>
      <c r="AX1062" s="126"/>
      <c r="AY1062" s="126"/>
      <c r="AZ1062" s="126"/>
      <c r="BA1062" s="126"/>
      <c r="BB1062" s="21"/>
      <c r="BC1062" s="21"/>
      <c r="BD1062" s="21"/>
      <c r="BE1062" s="21"/>
    </row>
    <row r="1063" customFormat="false" ht="14.1" hidden="true" customHeight="true" outlineLevel="1" collapsed="false">
      <c r="A1063" s="138"/>
      <c r="B1063" s="235"/>
      <c r="C1063" s="138"/>
      <c r="D1063" s="138"/>
      <c r="E1063" s="271"/>
      <c r="F1063" s="271"/>
      <c r="G1063" s="165"/>
      <c r="H1063" s="200"/>
      <c r="I1063" s="200"/>
      <c r="J1063" s="200"/>
      <c r="K1063" s="200"/>
      <c r="L1063" s="200"/>
      <c r="M1063" s="200"/>
      <c r="N1063" s="200"/>
      <c r="O1063" s="26"/>
      <c r="P1063" s="200"/>
      <c r="Q1063" s="200"/>
      <c r="R1063" s="186"/>
      <c r="S1063" s="200"/>
      <c r="T1063" s="200"/>
      <c r="U1063" s="200"/>
      <c r="V1063" s="200"/>
      <c r="W1063" s="200"/>
      <c r="X1063" s="200"/>
      <c r="Y1063" s="200"/>
      <c r="Z1063" s="200"/>
      <c r="AA1063" s="200"/>
      <c r="AB1063" s="562"/>
      <c r="AC1063" s="562"/>
      <c r="AD1063" s="562"/>
      <c r="AE1063" s="562"/>
      <c r="AF1063" s="562"/>
      <c r="AG1063" s="562"/>
      <c r="AH1063" s="496"/>
      <c r="AI1063" s="35"/>
      <c r="AJ1063" s="35"/>
      <c r="AK1063" s="35"/>
      <c r="AL1063" s="35"/>
      <c r="AM1063" s="35"/>
      <c r="AN1063" s="35"/>
      <c r="AO1063" s="253"/>
      <c r="AP1063" s="253"/>
      <c r="AQ1063" s="156"/>
      <c r="AR1063" s="156"/>
      <c r="AS1063" s="156"/>
      <c r="AT1063" s="156"/>
      <c r="AU1063" s="156"/>
      <c r="AV1063" s="156"/>
      <c r="AW1063" s="126"/>
      <c r="AX1063" s="126"/>
      <c r="AY1063" s="126"/>
      <c r="AZ1063" s="126"/>
      <c r="BA1063" s="126"/>
      <c r="BB1063" s="21"/>
      <c r="BC1063" s="21"/>
      <c r="BD1063" s="21"/>
      <c r="BE1063" s="21"/>
    </row>
    <row r="1064" customFormat="false" ht="14.1" hidden="true" customHeight="true" outlineLevel="1" collapsed="false">
      <c r="A1064" s="138" t="s">
        <v>225</v>
      </c>
      <c r="B1064" s="235"/>
      <c r="C1064" s="138"/>
      <c r="D1064" s="138"/>
      <c r="E1064" s="271"/>
      <c r="F1064" s="271"/>
      <c r="G1064" s="165"/>
      <c r="H1064" s="200"/>
      <c r="I1064" s="200"/>
      <c r="J1064" s="200"/>
      <c r="K1064" s="200"/>
      <c r="L1064" s="200"/>
      <c r="M1064" s="200"/>
      <c r="N1064" s="200"/>
      <c r="O1064" s="26"/>
      <c r="P1064" s="200"/>
      <c r="Q1064" s="200"/>
      <c r="R1064" s="186"/>
      <c r="S1064" s="200"/>
      <c r="T1064" s="200"/>
      <c r="U1064" s="200"/>
      <c r="V1064" s="200"/>
      <c r="W1064" s="200"/>
      <c r="X1064" s="200"/>
      <c r="Y1064" s="200"/>
      <c r="Z1064" s="200"/>
      <c r="AA1064" s="200"/>
      <c r="AB1064" s="562"/>
      <c r="AC1064" s="562"/>
      <c r="AD1064" s="562"/>
      <c r="AE1064" s="562"/>
      <c r="AF1064" s="562"/>
      <c r="AG1064" s="562"/>
      <c r="AH1064" s="496"/>
      <c r="AI1064" s="35"/>
      <c r="AJ1064" s="35"/>
      <c r="AK1064" s="35"/>
      <c r="AL1064" s="35"/>
      <c r="AM1064" s="35"/>
      <c r="AN1064" s="35"/>
      <c r="AO1064" s="253"/>
      <c r="AP1064" s="253"/>
      <c r="AQ1064" s="156"/>
      <c r="AR1064" s="156"/>
      <c r="AS1064" s="156"/>
      <c r="AT1064" s="156"/>
      <c r="AU1064" s="156"/>
      <c r="AV1064" s="156"/>
      <c r="AW1064" s="126"/>
      <c r="AX1064" s="126"/>
      <c r="AY1064" s="126"/>
      <c r="AZ1064" s="126"/>
      <c r="BA1064" s="126"/>
      <c r="BB1064" s="21"/>
      <c r="BC1064" s="21"/>
      <c r="BD1064" s="21"/>
      <c r="BE1064" s="21"/>
    </row>
    <row r="1065" customFormat="false" ht="14.1" hidden="true" customHeight="true" outlineLevel="1" collapsed="false">
      <c r="A1065" s="489" t="s">
        <v>226</v>
      </c>
      <c r="B1065" s="180" t="s">
        <v>109</v>
      </c>
      <c r="C1065" s="239" t="n">
        <v>0</v>
      </c>
      <c r="D1065" s="138"/>
      <c r="E1065" s="271"/>
      <c r="F1065" s="271"/>
      <c r="G1065" s="165"/>
      <c r="H1065" s="200"/>
      <c r="I1065" s="200"/>
      <c r="J1065" s="200"/>
      <c r="K1065" s="200"/>
      <c r="L1065" s="200"/>
      <c r="M1065" s="200"/>
      <c r="N1065" s="200"/>
      <c r="O1065" s="26"/>
      <c r="P1065" s="200"/>
      <c r="Q1065" s="200"/>
      <c r="R1065" s="186"/>
      <c r="S1065" s="200"/>
      <c r="T1065" s="200"/>
      <c r="U1065" s="200"/>
      <c r="V1065" s="200"/>
      <c r="W1065" s="200"/>
      <c r="X1065" s="200"/>
      <c r="Y1065" s="200"/>
      <c r="Z1065" s="200"/>
      <c r="AA1065" s="200"/>
      <c r="AB1065" s="562"/>
      <c r="AC1065" s="562"/>
      <c r="AD1065" s="562"/>
      <c r="AE1065" s="562"/>
      <c r="AF1065" s="562"/>
      <c r="AG1065" s="562"/>
      <c r="AH1065" s="496"/>
      <c r="AI1065" s="35"/>
      <c r="AJ1065" s="35"/>
      <c r="AK1065" s="35"/>
      <c r="AL1065" s="35"/>
      <c r="AM1065" s="35"/>
      <c r="AN1065" s="35"/>
      <c r="AO1065" s="253"/>
      <c r="AP1065" s="253"/>
      <c r="AQ1065" s="156"/>
      <c r="AR1065" s="156"/>
      <c r="AS1065" s="156"/>
      <c r="AT1065" s="156"/>
      <c r="AU1065" s="156"/>
      <c r="AV1065" s="156"/>
      <c r="AW1065" s="126"/>
      <c r="AX1065" s="126"/>
      <c r="AY1065" s="126"/>
      <c r="AZ1065" s="126"/>
      <c r="BA1065" s="126"/>
      <c r="BB1065" s="21"/>
      <c r="BC1065" s="21"/>
      <c r="BD1065" s="21"/>
      <c r="BE1065" s="21"/>
    </row>
    <row r="1066" customFormat="false" ht="14.1" hidden="true" customHeight="true" outlineLevel="1" collapsed="false">
      <c r="A1066" s="147" t="s">
        <v>226</v>
      </c>
      <c r="B1066" s="148" t="s">
        <v>109</v>
      </c>
      <c r="C1066" s="151" t="n">
        <v>0</v>
      </c>
      <c r="D1066" s="138"/>
      <c r="E1066" s="271"/>
      <c r="F1066" s="271"/>
      <c r="G1066" s="165"/>
      <c r="H1066" s="200"/>
      <c r="I1066" s="200"/>
      <c r="J1066" s="200"/>
      <c r="K1066" s="200"/>
      <c r="L1066" s="200"/>
      <c r="M1066" s="200"/>
      <c r="N1066" s="200"/>
      <c r="O1066" s="26"/>
      <c r="P1066" s="200"/>
      <c r="Q1066" s="200"/>
      <c r="R1066" s="186"/>
      <c r="S1066" s="200"/>
      <c r="T1066" s="200"/>
      <c r="U1066" s="200"/>
      <c r="V1066" s="200"/>
      <c r="W1066" s="200"/>
      <c r="X1066" s="200"/>
      <c r="Y1066" s="200"/>
      <c r="Z1066" s="200"/>
      <c r="AA1066" s="200"/>
      <c r="AB1066" s="562"/>
      <c r="AC1066" s="562"/>
      <c r="AD1066" s="562"/>
      <c r="AE1066" s="562"/>
      <c r="AF1066" s="562"/>
      <c r="AG1066" s="562"/>
      <c r="AH1066" s="496"/>
      <c r="AI1066" s="35"/>
      <c r="AJ1066" s="35"/>
      <c r="AK1066" s="35"/>
      <c r="AL1066" s="35"/>
      <c r="AM1066" s="35"/>
      <c r="AN1066" s="35"/>
      <c r="AO1066" s="253"/>
      <c r="AP1066" s="253"/>
      <c r="AQ1066" s="156"/>
      <c r="AR1066" s="156"/>
      <c r="AS1066" s="156"/>
      <c r="AT1066" s="156"/>
      <c r="AU1066" s="156"/>
      <c r="AV1066" s="156"/>
      <c r="AW1066" s="126"/>
      <c r="AX1066" s="126"/>
      <c r="AY1066" s="126"/>
      <c r="AZ1066" s="126"/>
      <c r="BA1066" s="126"/>
      <c r="BB1066" s="21"/>
      <c r="BC1066" s="21"/>
      <c r="BD1066" s="21"/>
      <c r="BE1066" s="21"/>
    </row>
    <row r="1067" customFormat="false" ht="14.1" hidden="true" customHeight="true" outlineLevel="1" collapsed="false">
      <c r="A1067" s="239" t="s">
        <v>713</v>
      </c>
      <c r="B1067" s="119" t="s">
        <v>113</v>
      </c>
      <c r="C1067" s="239" t="n">
        <v>3000</v>
      </c>
      <c r="D1067" s="138"/>
      <c r="E1067" s="271"/>
      <c r="F1067" s="271"/>
      <c r="G1067" s="165"/>
      <c r="H1067" s="200"/>
      <c r="I1067" s="200"/>
      <c r="J1067" s="200"/>
      <c r="K1067" s="200"/>
      <c r="L1067" s="200"/>
      <c r="M1067" s="200"/>
      <c r="N1067" s="200"/>
      <c r="O1067" s="26"/>
      <c r="P1067" s="200"/>
      <c r="Q1067" s="200"/>
      <c r="R1067" s="186"/>
      <c r="S1067" s="200"/>
      <c r="T1067" s="200"/>
      <c r="U1067" s="200"/>
      <c r="V1067" s="200"/>
      <c r="W1067" s="200"/>
      <c r="X1067" s="200"/>
      <c r="Y1067" s="200"/>
      <c r="Z1067" s="200"/>
      <c r="AA1067" s="200"/>
      <c r="AB1067" s="562"/>
      <c r="AC1067" s="562"/>
      <c r="AD1067" s="562"/>
      <c r="AE1067" s="562"/>
      <c r="AF1067" s="562"/>
      <c r="AG1067" s="562"/>
      <c r="AH1067" s="496"/>
      <c r="AI1067" s="35"/>
      <c r="AJ1067" s="35"/>
      <c r="AK1067" s="35"/>
      <c r="AL1067" s="35"/>
      <c r="AM1067" s="35"/>
      <c r="AN1067" s="35"/>
      <c r="AO1067" s="253"/>
      <c r="AP1067" s="253"/>
      <c r="AQ1067" s="156"/>
      <c r="AR1067" s="156"/>
      <c r="AS1067" s="156"/>
      <c r="AT1067" s="156"/>
      <c r="AU1067" s="156"/>
      <c r="AV1067" s="156"/>
      <c r="AW1067" s="126"/>
      <c r="AX1067" s="126"/>
      <c r="AY1067" s="126"/>
      <c r="AZ1067" s="126"/>
      <c r="BA1067" s="126"/>
      <c r="BB1067" s="21"/>
      <c r="BC1067" s="21"/>
      <c r="BD1067" s="21"/>
      <c r="BE1067" s="21"/>
    </row>
    <row r="1068" customFormat="false" ht="14.1" hidden="true" customHeight="true" outlineLevel="1" collapsed="false">
      <c r="A1068" s="138"/>
      <c r="B1068" s="235"/>
      <c r="C1068" s="138"/>
      <c r="D1068" s="138"/>
      <c r="E1068" s="271"/>
      <c r="F1068" s="271"/>
      <c r="G1068" s="165"/>
      <c r="H1068" s="200"/>
      <c r="I1068" s="200"/>
      <c r="J1068" s="200"/>
      <c r="K1068" s="200"/>
      <c r="L1068" s="200"/>
      <c r="M1068" s="200"/>
      <c r="N1068" s="200"/>
      <c r="O1068" s="26"/>
      <c r="P1068" s="200"/>
      <c r="Q1068" s="200"/>
      <c r="R1068" s="186"/>
      <c r="S1068" s="200"/>
      <c r="T1068" s="200"/>
      <c r="U1068" s="200"/>
      <c r="V1068" s="200"/>
      <c r="W1068" s="200"/>
      <c r="X1068" s="200"/>
      <c r="Y1068" s="200"/>
      <c r="Z1068" s="200"/>
      <c r="AA1068" s="200"/>
      <c r="AB1068" s="562"/>
      <c r="AC1068" s="562"/>
      <c r="AD1068" s="562"/>
      <c r="AE1068" s="562"/>
      <c r="AF1068" s="562"/>
      <c r="AG1068" s="562"/>
      <c r="AH1068" s="496"/>
      <c r="AI1068" s="35"/>
      <c r="AJ1068" s="35"/>
      <c r="AK1068" s="35"/>
      <c r="AL1068" s="35"/>
      <c r="AM1068" s="35"/>
      <c r="AN1068" s="35"/>
      <c r="AO1068" s="253"/>
      <c r="AP1068" s="253"/>
      <c r="AQ1068" s="156"/>
      <c r="AR1068" s="156"/>
      <c r="AS1068" s="156"/>
      <c r="AT1068" s="156"/>
      <c r="AU1068" s="156"/>
      <c r="AV1068" s="156"/>
      <c r="AW1068" s="126"/>
      <c r="AX1068" s="126"/>
      <c r="AY1068" s="126"/>
      <c r="AZ1068" s="126"/>
      <c r="BA1068" s="126"/>
      <c r="BB1068" s="21"/>
      <c r="BC1068" s="21"/>
      <c r="BD1068" s="21"/>
      <c r="BE1068" s="21"/>
    </row>
    <row r="1069" customFormat="false" ht="14.1" hidden="true" customHeight="true" outlineLevel="1" collapsed="false">
      <c r="A1069" s="151" t="s">
        <v>714</v>
      </c>
      <c r="B1069" s="148" t="s">
        <v>162</v>
      </c>
      <c r="C1069" s="428" t="s">
        <v>56</v>
      </c>
      <c r="D1069" s="138"/>
      <c r="E1069" s="271"/>
      <c r="F1069" s="271"/>
      <c r="G1069" s="165"/>
      <c r="H1069" s="200"/>
      <c r="I1069" s="200"/>
      <c r="J1069" s="200"/>
      <c r="K1069" s="200"/>
      <c r="L1069" s="200"/>
      <c r="M1069" s="200"/>
      <c r="N1069" s="200"/>
      <c r="O1069" s="26"/>
      <c r="P1069" s="200"/>
      <c r="Q1069" s="200"/>
      <c r="R1069" s="186"/>
      <c r="S1069" s="200"/>
      <c r="T1069" s="200"/>
      <c r="U1069" s="200"/>
      <c r="V1069" s="200"/>
      <c r="W1069" s="200"/>
      <c r="X1069" s="200"/>
      <c r="Y1069" s="200"/>
      <c r="Z1069" s="200"/>
      <c r="AA1069" s="200"/>
      <c r="AB1069" s="562"/>
      <c r="AC1069" s="562"/>
      <c r="AD1069" s="562"/>
      <c r="AE1069" s="562"/>
      <c r="AF1069" s="562"/>
      <c r="AG1069" s="562"/>
      <c r="AH1069" s="496"/>
      <c r="AI1069" s="35"/>
      <c r="AJ1069" s="35"/>
      <c r="AK1069" s="35"/>
      <c r="AL1069" s="35"/>
      <c r="AM1069" s="35"/>
      <c r="AN1069" s="35"/>
      <c r="AO1069" s="253"/>
      <c r="AP1069" s="253"/>
      <c r="AQ1069" s="156"/>
      <c r="AR1069" s="156"/>
      <c r="AS1069" s="156"/>
      <c r="AT1069" s="156"/>
      <c r="AU1069" s="156"/>
      <c r="AV1069" s="156"/>
      <c r="AW1069" s="126"/>
      <c r="AX1069" s="126"/>
      <c r="AY1069" s="126"/>
      <c r="AZ1069" s="126"/>
      <c r="BA1069" s="126"/>
      <c r="BB1069" s="21"/>
      <c r="BC1069" s="21"/>
      <c r="BD1069" s="21"/>
      <c r="BE1069" s="21"/>
    </row>
    <row r="1070" customFormat="false" ht="14.1" hidden="true" customHeight="true" outlineLevel="1" collapsed="false">
      <c r="A1070" s="239" t="s">
        <v>715</v>
      </c>
      <c r="B1070" s="148" t="s">
        <v>109</v>
      </c>
      <c r="C1070" s="151" t="n">
        <v>2</v>
      </c>
      <c r="D1070" s="138"/>
      <c r="E1070" s="271"/>
      <c r="F1070" s="271"/>
      <c r="G1070" s="165"/>
      <c r="H1070" s="200"/>
      <c r="I1070" s="200"/>
      <c r="J1070" s="200"/>
      <c r="K1070" s="200"/>
      <c r="L1070" s="200"/>
      <c r="M1070" s="200"/>
      <c r="N1070" s="200"/>
      <c r="O1070" s="26"/>
      <c r="P1070" s="200"/>
      <c r="Q1070" s="200"/>
      <c r="R1070" s="186"/>
      <c r="S1070" s="200"/>
      <c r="T1070" s="200"/>
      <c r="U1070" s="200"/>
      <c r="V1070" s="200"/>
      <c r="W1070" s="200"/>
      <c r="X1070" s="200"/>
      <c r="Y1070" s="200"/>
      <c r="Z1070" s="200"/>
      <c r="AA1070" s="200"/>
      <c r="AB1070" s="562"/>
      <c r="AC1070" s="562"/>
      <c r="AD1070" s="562"/>
      <c r="AE1070" s="562"/>
      <c r="AF1070" s="562"/>
      <c r="AG1070" s="562"/>
      <c r="AH1070" s="496"/>
      <c r="AI1070" s="35"/>
      <c r="AJ1070" s="35"/>
      <c r="AK1070" s="35"/>
      <c r="AL1070" s="35"/>
      <c r="AM1070" s="35"/>
      <c r="AN1070" s="35"/>
      <c r="AO1070" s="253"/>
      <c r="AP1070" s="253"/>
      <c r="AQ1070" s="156"/>
      <c r="AR1070" s="156"/>
      <c r="AS1070" s="156"/>
      <c r="AT1070" s="156"/>
      <c r="AU1070" s="156"/>
      <c r="AV1070" s="156"/>
      <c r="AW1070" s="126"/>
      <c r="AX1070" s="126"/>
      <c r="AY1070" s="126"/>
      <c r="AZ1070" s="126"/>
      <c r="BA1070" s="126"/>
      <c r="BB1070" s="21"/>
      <c r="BC1070" s="21"/>
      <c r="BD1070" s="21"/>
      <c r="BE1070" s="21"/>
    </row>
    <row r="1071" customFormat="false" ht="14.1" hidden="true" customHeight="true" outlineLevel="1" collapsed="false">
      <c r="A1071" s="151" t="s">
        <v>716</v>
      </c>
      <c r="B1071" s="180" t="s">
        <v>109</v>
      </c>
      <c r="C1071" s="239" t="n">
        <v>5</v>
      </c>
      <c r="D1071" s="138"/>
      <c r="E1071" s="271"/>
      <c r="F1071" s="271"/>
      <c r="G1071" s="165"/>
      <c r="H1071" s="200"/>
      <c r="I1071" s="200"/>
      <c r="J1071" s="200"/>
      <c r="K1071" s="200"/>
      <c r="L1071" s="200"/>
      <c r="M1071" s="200"/>
      <c r="N1071" s="200"/>
      <c r="O1071" s="26"/>
      <c r="P1071" s="200"/>
      <c r="Q1071" s="200"/>
      <c r="R1071" s="186"/>
      <c r="S1071" s="200"/>
      <c r="T1071" s="200"/>
      <c r="U1071" s="200"/>
      <c r="V1071" s="200"/>
      <c r="W1071" s="200"/>
      <c r="X1071" s="200"/>
      <c r="Y1071" s="200"/>
      <c r="Z1071" s="200"/>
      <c r="AA1071" s="200"/>
      <c r="AB1071" s="562"/>
      <c r="AC1071" s="562"/>
      <c r="AD1071" s="562"/>
      <c r="AE1071" s="562"/>
      <c r="AF1071" s="562"/>
      <c r="AG1071" s="562"/>
      <c r="AH1071" s="496"/>
      <c r="AI1071" s="35"/>
      <c r="AJ1071" s="35"/>
      <c r="AK1071" s="35"/>
      <c r="AL1071" s="35"/>
      <c r="AM1071" s="35"/>
      <c r="AN1071" s="35"/>
      <c r="AO1071" s="253"/>
      <c r="AP1071" s="253"/>
      <c r="AQ1071" s="156"/>
      <c r="AR1071" s="156"/>
      <c r="AS1071" s="156"/>
      <c r="AT1071" s="156"/>
      <c r="AU1071" s="156"/>
      <c r="AV1071" s="156"/>
      <c r="AW1071" s="126"/>
      <c r="AX1071" s="126"/>
      <c r="AY1071" s="126"/>
      <c r="AZ1071" s="126"/>
      <c r="BA1071" s="126"/>
      <c r="BB1071" s="21"/>
      <c r="BC1071" s="21"/>
      <c r="BD1071" s="21"/>
      <c r="BE1071" s="21"/>
    </row>
    <row r="1072" customFormat="false" ht="14.1" hidden="true" customHeight="true" outlineLevel="1" collapsed="false">
      <c r="A1072" s="151" t="s">
        <v>717</v>
      </c>
      <c r="B1072" s="148" t="s">
        <v>113</v>
      </c>
      <c r="C1072" s="151" t="n">
        <v>800</v>
      </c>
      <c r="D1072" s="138"/>
      <c r="E1072" s="271"/>
      <c r="F1072" s="271"/>
      <c r="G1072" s="165"/>
      <c r="H1072" s="200"/>
      <c r="I1072" s="200"/>
      <c r="J1072" s="200"/>
      <c r="K1072" s="200"/>
      <c r="L1072" s="200"/>
      <c r="M1072" s="200"/>
      <c r="N1072" s="200"/>
      <c r="O1072" s="26"/>
      <c r="P1072" s="200"/>
      <c r="Q1072" s="200"/>
      <c r="R1072" s="186"/>
      <c r="S1072" s="200"/>
      <c r="T1072" s="200"/>
      <c r="U1072" s="200"/>
      <c r="V1072" s="200"/>
      <c r="W1072" s="200"/>
      <c r="X1072" s="200"/>
      <c r="Y1072" s="200"/>
      <c r="Z1072" s="200"/>
      <c r="AA1072" s="200"/>
      <c r="AB1072" s="562"/>
      <c r="AC1072" s="562"/>
      <c r="AD1072" s="562"/>
      <c r="AE1072" s="562"/>
      <c r="AF1072" s="562"/>
      <c r="AG1072" s="562"/>
      <c r="AH1072" s="496"/>
      <c r="AI1072" s="35"/>
      <c r="AJ1072" s="35"/>
      <c r="AK1072" s="35"/>
      <c r="AL1072" s="35"/>
      <c r="AM1072" s="35"/>
      <c r="AN1072" s="35"/>
      <c r="AO1072" s="253"/>
      <c r="AP1072" s="253"/>
      <c r="AQ1072" s="156"/>
      <c r="AR1072" s="156"/>
      <c r="AS1072" s="156"/>
      <c r="AT1072" s="156"/>
      <c r="AU1072" s="156"/>
      <c r="AV1072" s="156"/>
      <c r="AW1072" s="126"/>
      <c r="AX1072" s="126"/>
      <c r="AY1072" s="126"/>
      <c r="AZ1072" s="126"/>
      <c r="BA1072" s="126"/>
      <c r="BB1072" s="21"/>
      <c r="BC1072" s="21"/>
      <c r="BD1072" s="21"/>
      <c r="BE1072" s="21"/>
    </row>
    <row r="1073" customFormat="false" ht="14.1" hidden="true" customHeight="true" outlineLevel="1" collapsed="false">
      <c r="A1073" s="272"/>
      <c r="B1073" s="276"/>
      <c r="C1073" s="272"/>
      <c r="D1073" s="138"/>
      <c r="E1073" s="271"/>
      <c r="F1073" s="271"/>
      <c r="G1073" s="165"/>
      <c r="H1073" s="200"/>
      <c r="I1073" s="200"/>
      <c r="J1073" s="200"/>
      <c r="K1073" s="200"/>
      <c r="L1073" s="200"/>
      <c r="M1073" s="200"/>
      <c r="N1073" s="200"/>
      <c r="O1073" s="26"/>
      <c r="P1073" s="200"/>
      <c r="Q1073" s="200"/>
      <c r="R1073" s="186"/>
      <c r="S1073" s="200"/>
      <c r="T1073" s="200"/>
      <c r="U1073" s="200"/>
      <c r="V1073" s="200"/>
      <c r="W1073" s="200"/>
      <c r="X1073" s="200"/>
      <c r="Y1073" s="200"/>
      <c r="Z1073" s="200"/>
      <c r="AA1073" s="200"/>
      <c r="AB1073" s="562"/>
      <c r="AC1073" s="562"/>
      <c r="AD1073" s="562"/>
      <c r="AE1073" s="562"/>
      <c r="AF1073" s="562"/>
      <c r="AG1073" s="562"/>
      <c r="AH1073" s="496"/>
      <c r="AI1073" s="35"/>
      <c r="AJ1073" s="35"/>
      <c r="AK1073" s="35"/>
      <c r="AL1073" s="35"/>
      <c r="AM1073" s="35"/>
      <c r="AN1073" s="35"/>
      <c r="AO1073" s="253"/>
      <c r="AP1073" s="253"/>
      <c r="AQ1073" s="156"/>
      <c r="AR1073" s="156"/>
      <c r="AS1073" s="156"/>
      <c r="AT1073" s="156"/>
      <c r="AU1073" s="156"/>
      <c r="AV1073" s="156"/>
      <c r="AW1073" s="126"/>
      <c r="AX1073" s="126"/>
      <c r="AY1073" s="126"/>
      <c r="AZ1073" s="126"/>
      <c r="BA1073" s="126"/>
      <c r="BB1073" s="21"/>
      <c r="BC1073" s="21"/>
      <c r="BD1073" s="21"/>
      <c r="BE1073" s="21"/>
    </row>
    <row r="1074" customFormat="false" ht="14.1" hidden="true" customHeight="true" outlineLevel="1" collapsed="false">
      <c r="A1074" s="272"/>
      <c r="B1074" s="276"/>
      <c r="C1074" s="272"/>
      <c r="D1074" s="138"/>
      <c r="E1074" s="271"/>
      <c r="F1074" s="271"/>
      <c r="G1074" s="165"/>
      <c r="H1074" s="200"/>
      <c r="I1074" s="200"/>
      <c r="J1074" s="200"/>
      <c r="K1074" s="200"/>
      <c r="L1074" s="200"/>
      <c r="M1074" s="200"/>
      <c r="N1074" s="200"/>
      <c r="O1074" s="26"/>
      <c r="P1074" s="200"/>
      <c r="Q1074" s="200"/>
      <c r="R1074" s="186"/>
      <c r="S1074" s="200"/>
      <c r="T1074" s="200"/>
      <c r="U1074" s="200"/>
      <c r="V1074" s="200"/>
      <c r="W1074" s="200"/>
      <c r="X1074" s="200"/>
      <c r="Y1074" s="200"/>
      <c r="Z1074" s="200"/>
      <c r="AA1074" s="200"/>
      <c r="AB1074" s="562"/>
      <c r="AC1074" s="562"/>
      <c r="AD1074" s="562"/>
      <c r="AE1074" s="562"/>
      <c r="AF1074" s="562"/>
      <c r="AG1074" s="562"/>
      <c r="AH1074" s="496"/>
      <c r="AI1074" s="35"/>
      <c r="AJ1074" s="35"/>
      <c r="AK1074" s="35"/>
      <c r="AL1074" s="35"/>
      <c r="AM1074" s="35"/>
      <c r="AN1074" s="35"/>
      <c r="AO1074" s="253"/>
      <c r="AP1074" s="253"/>
      <c r="AQ1074" s="156"/>
      <c r="AR1074" s="156"/>
      <c r="AS1074" s="156"/>
      <c r="AT1074" s="156"/>
      <c r="AU1074" s="156"/>
      <c r="AV1074" s="156"/>
      <c r="AW1074" s="126"/>
      <c r="AX1074" s="126"/>
      <c r="AY1074" s="126"/>
      <c r="AZ1074" s="126"/>
      <c r="BA1074" s="126"/>
      <c r="BB1074" s="21"/>
      <c r="BC1074" s="21"/>
      <c r="BD1074" s="21"/>
      <c r="BE1074" s="21"/>
    </row>
    <row r="1075" customFormat="false" ht="14.1" hidden="false" customHeight="true" outlineLevel="0" collapsed="false">
      <c r="A1075" s="566" t="s">
        <v>718</v>
      </c>
      <c r="B1075" s="566"/>
      <c r="C1075" s="566"/>
      <c r="D1075" s="566"/>
      <c r="E1075" s="566"/>
      <c r="F1075" s="566"/>
      <c r="G1075" s="566"/>
      <c r="H1075" s="218"/>
      <c r="I1075" s="218"/>
      <c r="J1075" s="218"/>
      <c r="K1075" s="218"/>
      <c r="L1075" s="218"/>
      <c r="M1075" s="257"/>
      <c r="N1075" s="257"/>
      <c r="O1075" s="257"/>
      <c r="P1075" s="165"/>
      <c r="Q1075" s="165"/>
      <c r="R1075" s="150"/>
      <c r="S1075" s="150"/>
      <c r="T1075" s="150"/>
      <c r="U1075" s="150"/>
      <c r="V1075" s="150"/>
      <c r="W1075" s="150"/>
      <c r="X1075" s="150"/>
      <c r="Y1075" s="150"/>
      <c r="Z1075" s="165"/>
      <c r="AA1075" s="132"/>
      <c r="AB1075" s="132"/>
      <c r="AC1075" s="165"/>
      <c r="AD1075" s="165"/>
      <c r="AE1075" s="165"/>
      <c r="AF1075" s="165"/>
      <c r="AG1075" s="165"/>
      <c r="AH1075" s="52"/>
      <c r="AI1075" s="52"/>
      <c r="AJ1075" s="52"/>
      <c r="AK1075" s="52"/>
      <c r="AL1075" s="52"/>
      <c r="AM1075" s="52"/>
      <c r="AN1075" s="52"/>
      <c r="AO1075" s="125"/>
      <c r="AP1075" s="125"/>
      <c r="AQ1075" s="126"/>
      <c r="AR1075" s="126"/>
      <c r="AS1075" s="126"/>
      <c r="AT1075" s="126"/>
      <c r="AU1075" s="126"/>
      <c r="AV1075" s="127" t="n">
        <f aca="false">M1075</f>
        <v>0</v>
      </c>
      <c r="AW1075" s="126"/>
      <c r="AX1075" s="126"/>
      <c r="AY1075" s="106"/>
      <c r="AZ1075" s="106"/>
      <c r="BA1075" s="126"/>
      <c r="BB1075" s="21"/>
      <c r="BC1075" s="21"/>
      <c r="BD1075" s="21"/>
      <c r="BE1075" s="21"/>
    </row>
    <row r="1076" s="35" customFormat="true" ht="14.1" hidden="false" customHeight="true" outlineLevel="0" collapsed="false">
      <c r="A1076" s="150"/>
      <c r="B1076" s="200"/>
      <c r="C1076" s="150"/>
      <c r="D1076" s="150"/>
      <c r="E1076" s="150"/>
      <c r="F1076" s="150"/>
      <c r="G1076" s="150"/>
      <c r="H1076" s="150"/>
      <c r="I1076" s="150"/>
      <c r="J1076" s="150"/>
      <c r="K1076" s="150"/>
      <c r="L1076" s="150"/>
      <c r="M1076" s="150"/>
      <c r="N1076" s="150"/>
      <c r="O1076" s="150"/>
      <c r="P1076" s="150"/>
      <c r="Q1076" s="150"/>
      <c r="R1076" s="150"/>
      <c r="S1076" s="150"/>
      <c r="T1076" s="150"/>
      <c r="U1076" s="150"/>
      <c r="V1076" s="150"/>
      <c r="W1076" s="150"/>
      <c r="X1076" s="150"/>
      <c r="Y1076" s="150"/>
      <c r="Z1076" s="150"/>
      <c r="AA1076" s="150"/>
      <c r="AB1076" s="150"/>
      <c r="AC1076" s="150"/>
      <c r="AD1076" s="150"/>
      <c r="AE1076" s="150"/>
      <c r="AF1076" s="150"/>
      <c r="AG1076" s="150"/>
      <c r="AH1076" s="40"/>
      <c r="AI1076" s="40"/>
      <c r="AJ1076" s="40"/>
      <c r="AK1076" s="40"/>
      <c r="AL1076" s="40"/>
      <c r="AM1076" s="40"/>
      <c r="AN1076" s="40"/>
      <c r="AO1076" s="125"/>
      <c r="AP1076" s="125"/>
      <c r="AQ1076" s="126"/>
      <c r="AR1076" s="126"/>
      <c r="AS1076" s="126"/>
      <c r="AT1076" s="126"/>
      <c r="AU1076" s="126"/>
      <c r="AV1076" s="126"/>
      <c r="AW1076" s="126"/>
      <c r="AX1076" s="126"/>
      <c r="AY1076" s="106"/>
      <c r="AZ1076" s="106"/>
      <c r="BA1076" s="126"/>
      <c r="BB1076" s="126"/>
      <c r="BC1076" s="126"/>
      <c r="BD1076" s="126"/>
      <c r="BE1076" s="126"/>
      <c r="BF1076" s="156"/>
    </row>
    <row r="1077" customFormat="false" ht="14.1" hidden="true" customHeight="true" outlineLevel="1" collapsed="false">
      <c r="A1077" s="492" t="s">
        <v>719</v>
      </c>
      <c r="B1077" s="492"/>
      <c r="C1077" s="492"/>
      <c r="D1077" s="492"/>
      <c r="E1077" s="492"/>
      <c r="F1077" s="492"/>
      <c r="G1077" s="492"/>
      <c r="H1077" s="440"/>
      <c r="I1077" s="440"/>
      <c r="J1077" s="440"/>
      <c r="K1077" s="440"/>
      <c r="L1077" s="440"/>
      <c r="M1077" s="440"/>
      <c r="N1077" s="440"/>
      <c r="O1077" s="440"/>
      <c r="P1077" s="440"/>
      <c r="Q1077" s="440"/>
      <c r="R1077" s="440"/>
      <c r="S1077" s="440"/>
      <c r="T1077" s="440"/>
      <c r="U1077" s="440"/>
      <c r="V1077" s="440"/>
      <c r="W1077" s="440"/>
      <c r="X1077" s="440"/>
      <c r="Y1077" s="440"/>
      <c r="Z1077" s="440"/>
      <c r="AA1077" s="440"/>
      <c r="AB1077" s="440"/>
      <c r="AC1077" s="440"/>
      <c r="AD1077" s="440"/>
      <c r="AE1077" s="440"/>
      <c r="AF1077" s="440"/>
      <c r="AG1077" s="243"/>
      <c r="AH1077" s="29"/>
      <c r="AI1077" s="29"/>
      <c r="AJ1077" s="29"/>
      <c r="AK1077" s="29"/>
      <c r="AL1077" s="29"/>
      <c r="AM1077" s="29"/>
      <c r="AN1077" s="29"/>
      <c r="AO1077" s="567"/>
      <c r="AP1077" s="567"/>
      <c r="AQ1077" s="568"/>
      <c r="AR1077" s="568"/>
      <c r="AS1077" s="568"/>
      <c r="AT1077" s="568"/>
      <c r="AU1077" s="568"/>
      <c r="AV1077" s="568"/>
      <c r="AW1077" s="568"/>
      <c r="AX1077" s="568"/>
      <c r="AY1077" s="568"/>
      <c r="AZ1077" s="568"/>
      <c r="BA1077" s="568"/>
      <c r="BB1077" s="569"/>
      <c r="BC1077" s="569"/>
      <c r="BD1077" s="569"/>
      <c r="BE1077" s="569"/>
    </row>
    <row r="1078" customFormat="false" ht="14.1" hidden="true" customHeight="true" outlineLevel="1" collapsed="false">
      <c r="A1078" s="492"/>
      <c r="B1078" s="492"/>
      <c r="C1078" s="492"/>
      <c r="D1078" s="492"/>
      <c r="E1078" s="492"/>
      <c r="F1078" s="492"/>
      <c r="G1078" s="492"/>
      <c r="H1078" s="440"/>
      <c r="I1078" s="440"/>
      <c r="J1078" s="440"/>
      <c r="K1078" s="440"/>
      <c r="L1078" s="440"/>
      <c r="M1078" s="440"/>
      <c r="N1078" s="440"/>
      <c r="O1078" s="440"/>
      <c r="P1078" s="440"/>
      <c r="Q1078" s="440"/>
      <c r="R1078" s="440"/>
      <c r="S1078" s="440"/>
      <c r="T1078" s="440"/>
      <c r="U1078" s="440"/>
      <c r="V1078" s="440"/>
      <c r="W1078" s="440"/>
      <c r="X1078" s="440"/>
      <c r="Y1078" s="440"/>
      <c r="Z1078" s="440"/>
      <c r="AA1078" s="440"/>
      <c r="AB1078" s="440"/>
      <c r="AC1078" s="440"/>
      <c r="AD1078" s="440"/>
      <c r="AE1078" s="440"/>
      <c r="AF1078" s="440"/>
      <c r="AG1078" s="243"/>
      <c r="AH1078" s="29"/>
      <c r="AI1078" s="29"/>
      <c r="AJ1078" s="29"/>
      <c r="AK1078" s="29"/>
      <c r="AL1078" s="29"/>
      <c r="AM1078" s="29"/>
      <c r="AN1078" s="29"/>
      <c r="AO1078" s="567"/>
      <c r="AP1078" s="567"/>
      <c r="AQ1078" s="568"/>
      <c r="AR1078" s="568"/>
      <c r="AS1078" s="568"/>
      <c r="AT1078" s="568"/>
      <c r="AU1078" s="568"/>
      <c r="AV1078" s="568"/>
      <c r="AW1078" s="568"/>
      <c r="AX1078" s="568"/>
      <c r="AY1078" s="568"/>
      <c r="AZ1078" s="568"/>
      <c r="BA1078" s="568"/>
      <c r="BB1078" s="569"/>
      <c r="BC1078" s="569"/>
      <c r="BD1078" s="569"/>
      <c r="BE1078" s="569"/>
    </row>
    <row r="1079" customFormat="false" ht="14.1" hidden="true" customHeight="true" outlineLevel="1" collapsed="false">
      <c r="A1079" s="393" t="s">
        <v>461</v>
      </c>
      <c r="B1079" s="570"/>
      <c r="C1079" s="571"/>
      <c r="D1079" s="348" t="n">
        <v>1</v>
      </c>
      <c r="E1079" s="138"/>
      <c r="F1079" s="138"/>
      <c r="G1079" s="468"/>
      <c r="H1079" s="468"/>
      <c r="I1079" s="468"/>
      <c r="J1079" s="468"/>
      <c r="K1079" s="468"/>
      <c r="L1079" s="468"/>
      <c r="M1079" s="468"/>
      <c r="N1079" s="468"/>
      <c r="O1079" s="468"/>
      <c r="P1079" s="468"/>
      <c r="Q1079" s="468"/>
      <c r="R1079" s="468"/>
      <c r="S1079" s="468"/>
      <c r="T1079" s="468"/>
      <c r="U1079" s="468"/>
      <c r="V1079" s="468"/>
      <c r="W1079" s="468"/>
      <c r="X1079" s="468"/>
      <c r="Y1079" s="468"/>
      <c r="Z1079" s="468"/>
      <c r="AA1079" s="468"/>
      <c r="AB1079" s="468"/>
      <c r="AC1079" s="468"/>
      <c r="AD1079" s="243"/>
      <c r="AE1079" s="243"/>
      <c r="AF1079" s="572"/>
      <c r="AG1079" s="243"/>
      <c r="AH1079" s="29"/>
      <c r="AI1079" s="29"/>
      <c r="AJ1079" s="29"/>
      <c r="AK1079" s="29"/>
      <c r="AL1079" s="29"/>
      <c r="AM1079" s="29"/>
      <c r="AN1079" s="29"/>
      <c r="AO1079" s="567"/>
      <c r="AP1079" s="567"/>
      <c r="AQ1079" s="568"/>
      <c r="AR1079" s="568"/>
      <c r="AS1079" s="568"/>
      <c r="AT1079" s="568"/>
      <c r="AU1079" s="568"/>
      <c r="AV1079" s="568"/>
      <c r="AW1079" s="568"/>
      <c r="AX1079" s="568"/>
      <c r="AY1079" s="568"/>
      <c r="AZ1079" s="568"/>
      <c r="BA1079" s="568"/>
      <c r="BB1079" s="569"/>
      <c r="BC1079" s="569"/>
      <c r="BD1079" s="569"/>
      <c r="BE1079" s="569"/>
    </row>
    <row r="1080" customFormat="false" ht="14.1" hidden="true" customHeight="true" outlineLevel="1" collapsed="false">
      <c r="A1080" s="393" t="s">
        <v>462</v>
      </c>
      <c r="B1080" s="570"/>
      <c r="C1080" s="571"/>
      <c r="D1080" s="348" t="n">
        <v>1</v>
      </c>
      <c r="E1080" s="138"/>
      <c r="F1080" s="138"/>
      <c r="G1080" s="468"/>
      <c r="H1080" s="468"/>
      <c r="I1080" s="468"/>
      <c r="J1080" s="468"/>
      <c r="K1080" s="468"/>
      <c r="L1080" s="468"/>
      <c r="M1080" s="468"/>
      <c r="N1080" s="468"/>
      <c r="O1080" s="468"/>
      <c r="P1080" s="468"/>
      <c r="Q1080" s="468"/>
      <c r="R1080" s="468"/>
      <c r="S1080" s="468"/>
      <c r="T1080" s="468"/>
      <c r="U1080" s="468"/>
      <c r="V1080" s="468"/>
      <c r="W1080" s="468"/>
      <c r="X1080" s="468"/>
      <c r="Y1080" s="468"/>
      <c r="Z1080" s="468"/>
      <c r="AA1080" s="468"/>
      <c r="AB1080" s="468"/>
      <c r="AC1080" s="468"/>
      <c r="AD1080" s="243"/>
      <c r="AE1080" s="243"/>
      <c r="AF1080" s="243"/>
      <c r="AG1080" s="243"/>
      <c r="AH1080" s="29"/>
      <c r="AI1080" s="29"/>
      <c r="AJ1080" s="29"/>
      <c r="AK1080" s="29"/>
      <c r="AL1080" s="29"/>
      <c r="AM1080" s="29"/>
      <c r="AN1080" s="29"/>
      <c r="AO1080" s="567"/>
      <c r="AP1080" s="567"/>
      <c r="AQ1080" s="568"/>
      <c r="AR1080" s="568"/>
      <c r="AS1080" s="568"/>
      <c r="AT1080" s="568"/>
      <c r="AU1080" s="568"/>
      <c r="AV1080" s="568"/>
      <c r="AW1080" s="568"/>
      <c r="AX1080" s="568"/>
      <c r="AY1080" s="568"/>
      <c r="AZ1080" s="568"/>
      <c r="BA1080" s="568"/>
      <c r="BB1080" s="569"/>
      <c r="BC1080" s="569"/>
      <c r="BD1080" s="569"/>
      <c r="BE1080" s="569"/>
    </row>
    <row r="1081" customFormat="false" ht="14.1" hidden="true" customHeight="true" outlineLevel="1" collapsed="false">
      <c r="A1081" s="138"/>
      <c r="B1081" s="481"/>
      <c r="C1081" s="467"/>
      <c r="D1081" s="467"/>
      <c r="E1081" s="467"/>
      <c r="F1081" s="467"/>
      <c r="G1081" s="468"/>
      <c r="H1081" s="468"/>
      <c r="I1081" s="468"/>
      <c r="J1081" s="468"/>
      <c r="K1081" s="468"/>
      <c r="L1081" s="468"/>
      <c r="M1081" s="468"/>
      <c r="N1081" s="468"/>
      <c r="O1081" s="468"/>
      <c r="P1081" s="468"/>
      <c r="Q1081" s="468"/>
      <c r="R1081" s="468"/>
      <c r="S1081" s="468"/>
      <c r="T1081" s="468"/>
      <c r="U1081" s="468"/>
      <c r="V1081" s="468"/>
      <c r="W1081" s="468"/>
      <c r="X1081" s="468"/>
      <c r="Y1081" s="384"/>
      <c r="Z1081" s="384"/>
      <c r="AA1081" s="383"/>
      <c r="AB1081" s="384"/>
      <c r="AC1081" s="384"/>
      <c r="AD1081" s="243"/>
      <c r="AE1081" s="243"/>
      <c r="AF1081" s="243"/>
      <c r="AG1081" s="243"/>
      <c r="AH1081" s="29"/>
      <c r="AI1081" s="29"/>
      <c r="AJ1081" s="29"/>
      <c r="AK1081" s="29"/>
      <c r="AL1081" s="29"/>
      <c r="AM1081" s="29"/>
      <c r="AN1081" s="29"/>
      <c r="AO1081" s="567"/>
      <c r="AP1081" s="567"/>
      <c r="AQ1081" s="568"/>
      <c r="AR1081" s="568"/>
      <c r="AS1081" s="568"/>
      <c r="AT1081" s="568"/>
      <c r="AU1081" s="568"/>
      <c r="AV1081" s="568"/>
      <c r="AW1081" s="568"/>
      <c r="AX1081" s="568"/>
      <c r="AY1081" s="568"/>
      <c r="AZ1081" s="568"/>
      <c r="BA1081" s="568"/>
      <c r="BB1081" s="569"/>
      <c r="BC1081" s="569"/>
      <c r="BD1081" s="569"/>
      <c r="BE1081" s="569"/>
    </row>
    <row r="1082" customFormat="false" ht="14.1" hidden="true" customHeight="true" outlineLevel="1" collapsed="false">
      <c r="A1082" s="275" t="s">
        <v>720</v>
      </c>
      <c r="B1082" s="277"/>
      <c r="C1082" s="573"/>
      <c r="D1082" s="138"/>
      <c r="E1082" s="138"/>
      <c r="F1082" s="138"/>
      <c r="G1082" s="243"/>
      <c r="H1082" s="243"/>
      <c r="I1082" s="243"/>
      <c r="J1082" s="243"/>
      <c r="K1082" s="243"/>
      <c r="L1082" s="574"/>
      <c r="M1082" s="574"/>
      <c r="N1082" s="243"/>
      <c r="O1082" s="243"/>
      <c r="P1082" s="243"/>
      <c r="Q1082" s="243"/>
      <c r="R1082" s="243"/>
      <c r="S1082" s="243"/>
      <c r="T1082" s="243"/>
      <c r="U1082" s="243"/>
      <c r="V1082" s="243"/>
      <c r="W1082" s="243"/>
      <c r="X1082" s="243"/>
      <c r="Y1082" s="243"/>
      <c r="Z1082" s="243"/>
      <c r="AA1082" s="243"/>
      <c r="AB1082" s="243"/>
      <c r="AC1082" s="243"/>
      <c r="AD1082" s="243"/>
      <c r="AE1082" s="243"/>
      <c r="AF1082" s="243"/>
      <c r="AG1082" s="243"/>
      <c r="AH1082" s="29"/>
      <c r="AI1082" s="29"/>
      <c r="AJ1082" s="29"/>
      <c r="AK1082" s="29"/>
      <c r="AL1082" s="29"/>
      <c r="AM1082" s="29"/>
      <c r="AN1082" s="29"/>
      <c r="AO1082" s="567"/>
      <c r="AP1082" s="567"/>
      <c r="AQ1082" s="568"/>
      <c r="AR1082" s="568"/>
      <c r="AS1082" s="568"/>
      <c r="AT1082" s="568"/>
      <c r="AU1082" s="568"/>
      <c r="AV1082" s="568"/>
      <c r="AW1082" s="568"/>
      <c r="AX1082" s="568"/>
      <c r="AY1082" s="568"/>
      <c r="AZ1082" s="568"/>
      <c r="BA1082" s="568"/>
      <c r="BB1082" s="569"/>
      <c r="BC1082" s="569"/>
      <c r="BD1082" s="569"/>
      <c r="BE1082" s="569"/>
    </row>
    <row r="1083" customFormat="false" ht="14.1" hidden="true" customHeight="true" outlineLevel="1" collapsed="false">
      <c r="A1083" s="149" t="s">
        <v>721</v>
      </c>
      <c r="B1083" s="277"/>
      <c r="C1083" s="573"/>
      <c r="D1083" s="138"/>
      <c r="E1083" s="138"/>
      <c r="F1083" s="138"/>
      <c r="G1083" s="243"/>
      <c r="H1083" s="243"/>
      <c r="I1083" s="243"/>
      <c r="J1083" s="243"/>
      <c r="K1083" s="243"/>
      <c r="L1083" s="243"/>
      <c r="M1083" s="243"/>
      <c r="N1083" s="243"/>
      <c r="O1083" s="243"/>
      <c r="P1083" s="243"/>
      <c r="Q1083" s="243"/>
      <c r="R1083" s="243"/>
      <c r="S1083" s="243"/>
      <c r="T1083" s="243"/>
      <c r="U1083" s="243"/>
      <c r="V1083" s="243"/>
      <c r="W1083" s="243"/>
      <c r="X1083" s="243"/>
      <c r="Y1083" s="243"/>
      <c r="Z1083" s="243"/>
      <c r="AA1083" s="243"/>
      <c r="AB1083" s="243"/>
      <c r="AC1083" s="243"/>
      <c r="AD1083" s="243"/>
      <c r="AE1083" s="243"/>
      <c r="AF1083" s="243"/>
      <c r="AG1083" s="243"/>
      <c r="AH1083" s="29"/>
      <c r="AI1083" s="29"/>
      <c r="AJ1083" s="29"/>
      <c r="AK1083" s="29"/>
      <c r="AL1083" s="29"/>
      <c r="AM1083" s="29"/>
      <c r="AN1083" s="29"/>
      <c r="AO1083" s="567"/>
      <c r="AP1083" s="567"/>
      <c r="AQ1083" s="568"/>
      <c r="AR1083" s="568"/>
      <c r="AS1083" s="568"/>
      <c r="AT1083" s="568"/>
      <c r="AU1083" s="568"/>
      <c r="AV1083" s="568"/>
      <c r="AW1083" s="568"/>
      <c r="AX1083" s="568"/>
      <c r="AY1083" s="568"/>
      <c r="AZ1083" s="568"/>
      <c r="BA1083" s="568"/>
      <c r="BB1083" s="569"/>
      <c r="BC1083" s="569"/>
      <c r="BD1083" s="569"/>
      <c r="BE1083" s="569"/>
    </row>
    <row r="1084" customFormat="false" ht="14.1" hidden="true" customHeight="true" outlineLevel="1" collapsed="false">
      <c r="A1084" s="275" t="s">
        <v>356</v>
      </c>
      <c r="B1084" s="277"/>
      <c r="C1084" s="573"/>
      <c r="D1084" s="138"/>
      <c r="E1084" s="138"/>
      <c r="F1084" s="138"/>
      <c r="G1084" s="243"/>
      <c r="H1084" s="243"/>
      <c r="I1084" s="243"/>
      <c r="J1084" s="243"/>
      <c r="K1084" s="243"/>
      <c r="L1084" s="243"/>
      <c r="M1084" s="243"/>
      <c r="N1084" s="243"/>
      <c r="O1084" s="243"/>
      <c r="P1084" s="243"/>
      <c r="Q1084" s="243"/>
      <c r="R1084" s="243"/>
      <c r="S1084" s="243"/>
      <c r="T1084" s="243"/>
      <c r="U1084" s="243"/>
      <c r="V1084" s="243"/>
      <c r="W1084" s="243"/>
      <c r="X1084" s="243"/>
      <c r="Y1084" s="243"/>
      <c r="Z1084" s="243"/>
      <c r="AA1084" s="243"/>
      <c r="AB1084" s="243"/>
      <c r="AC1084" s="243"/>
      <c r="AD1084" s="243"/>
      <c r="AE1084" s="243"/>
      <c r="AF1084" s="243"/>
      <c r="AG1084" s="243"/>
      <c r="AH1084" s="29"/>
      <c r="AI1084" s="29"/>
      <c r="AJ1084" s="29"/>
      <c r="AK1084" s="29"/>
      <c r="AL1084" s="29"/>
      <c r="AM1084" s="29"/>
      <c r="AN1084" s="29"/>
      <c r="AO1084" s="567"/>
      <c r="AP1084" s="567"/>
      <c r="AQ1084" s="568"/>
      <c r="AR1084" s="568"/>
      <c r="AS1084" s="568"/>
      <c r="AT1084" s="568"/>
      <c r="AU1084" s="568"/>
      <c r="AV1084" s="568"/>
      <c r="AW1084" s="568"/>
      <c r="AX1084" s="568"/>
      <c r="AY1084" s="568"/>
      <c r="AZ1084" s="568"/>
      <c r="BA1084" s="568"/>
      <c r="BB1084" s="569"/>
      <c r="BC1084" s="569"/>
      <c r="BD1084" s="569"/>
      <c r="BE1084" s="569"/>
    </row>
    <row r="1085" customFormat="false" ht="14.1" hidden="true" customHeight="true" outlineLevel="1" collapsed="false">
      <c r="A1085" s="149" t="s">
        <v>722</v>
      </c>
      <c r="B1085" s="277"/>
      <c r="C1085" s="275"/>
      <c r="D1085" s="138"/>
      <c r="E1085" s="138"/>
      <c r="F1085" s="138"/>
      <c r="G1085" s="257"/>
      <c r="H1085" s="132"/>
      <c r="I1085" s="243"/>
      <c r="J1085" s="243"/>
      <c r="K1085" s="243"/>
      <c r="L1085" s="243"/>
      <c r="M1085" s="243"/>
      <c r="N1085" s="243"/>
      <c r="O1085" s="243"/>
      <c r="P1085" s="243"/>
      <c r="Q1085" s="243"/>
      <c r="R1085" s="243"/>
      <c r="S1085" s="243"/>
      <c r="T1085" s="243"/>
      <c r="U1085" s="243"/>
      <c r="V1085" s="243"/>
      <c r="W1085" s="243"/>
      <c r="X1085" s="243"/>
      <c r="Y1085" s="243"/>
      <c r="Z1085" s="243"/>
      <c r="AA1085" s="243"/>
      <c r="AB1085" s="243"/>
      <c r="AC1085" s="243"/>
      <c r="AD1085" s="243"/>
      <c r="AE1085" s="243"/>
      <c r="AF1085" s="243"/>
      <c r="AG1085" s="243"/>
      <c r="AH1085" s="29"/>
      <c r="AI1085" s="29"/>
      <c r="AJ1085" s="29"/>
      <c r="AK1085" s="29"/>
      <c r="AL1085" s="29"/>
      <c r="AM1085" s="29"/>
      <c r="AN1085" s="29"/>
      <c r="AO1085" s="567"/>
      <c r="AP1085" s="567"/>
      <c r="AQ1085" s="568"/>
      <c r="AR1085" s="568"/>
      <c r="AS1085" s="568"/>
      <c r="AT1085" s="568"/>
      <c r="AU1085" s="568"/>
      <c r="AV1085" s="568"/>
      <c r="AW1085" s="568"/>
      <c r="AX1085" s="568"/>
      <c r="AY1085" s="568"/>
      <c r="AZ1085" s="568"/>
      <c r="BA1085" s="568"/>
      <c r="BB1085" s="569"/>
      <c r="BC1085" s="569"/>
      <c r="BD1085" s="569"/>
      <c r="BE1085" s="569"/>
    </row>
    <row r="1086" customFormat="false" ht="14.1" hidden="true" customHeight="true" outlineLevel="1" collapsed="false">
      <c r="A1086" s="275" t="s">
        <v>723</v>
      </c>
      <c r="B1086" s="277"/>
      <c r="C1086" s="275"/>
      <c r="D1086" s="138"/>
      <c r="E1086" s="138"/>
      <c r="F1086" s="138"/>
      <c r="G1086" s="257"/>
      <c r="H1086" s="132"/>
      <c r="I1086" s="243"/>
      <c r="J1086" s="243"/>
      <c r="K1086" s="243"/>
      <c r="L1086" s="243"/>
      <c r="M1086" s="243"/>
      <c r="N1086" s="243"/>
      <c r="O1086" s="243"/>
      <c r="P1086" s="243"/>
      <c r="Q1086" s="243"/>
      <c r="R1086" s="243"/>
      <c r="S1086" s="243"/>
      <c r="T1086" s="243"/>
      <c r="U1086" s="243"/>
      <c r="V1086" s="243"/>
      <c r="W1086" s="243"/>
      <c r="X1086" s="243"/>
      <c r="Y1086" s="243"/>
      <c r="Z1086" s="243"/>
      <c r="AA1086" s="243"/>
      <c r="AB1086" s="243"/>
      <c r="AC1086" s="243"/>
      <c r="AD1086" s="243"/>
      <c r="AE1086" s="243"/>
      <c r="AF1086" s="243"/>
      <c r="AG1086" s="243"/>
      <c r="AH1086" s="29"/>
      <c r="AI1086" s="29"/>
      <c r="AJ1086" s="29"/>
      <c r="AK1086" s="29"/>
      <c r="AL1086" s="29"/>
      <c r="AM1086" s="29"/>
      <c r="AN1086" s="29"/>
      <c r="AO1086" s="567"/>
      <c r="AP1086" s="567"/>
      <c r="AQ1086" s="568"/>
      <c r="AR1086" s="568"/>
      <c r="AS1086" s="568"/>
      <c r="AT1086" s="568"/>
      <c r="AU1086" s="568"/>
      <c r="AV1086" s="568"/>
      <c r="AW1086" s="568"/>
      <c r="AX1086" s="568"/>
      <c r="AY1086" s="568"/>
      <c r="AZ1086" s="568"/>
      <c r="BA1086" s="568"/>
      <c r="BB1086" s="569"/>
      <c r="BC1086" s="569"/>
      <c r="BD1086" s="569"/>
      <c r="BE1086" s="569"/>
    </row>
    <row r="1087" customFormat="false" ht="14.1" hidden="true" customHeight="true" outlineLevel="1" collapsed="false">
      <c r="A1087" s="149" t="s">
        <v>722</v>
      </c>
      <c r="B1087" s="277"/>
      <c r="C1087" s="275"/>
      <c r="D1087" s="138"/>
      <c r="E1087" s="138"/>
      <c r="F1087" s="138"/>
      <c r="G1087" s="257"/>
      <c r="H1087" s="132"/>
      <c r="I1087" s="243"/>
      <c r="J1087" s="243"/>
      <c r="K1087" s="243"/>
      <c r="L1087" s="243"/>
      <c r="M1087" s="243"/>
      <c r="N1087" s="243"/>
      <c r="O1087" s="243"/>
      <c r="P1087" s="243"/>
      <c r="Q1087" s="243"/>
      <c r="R1087" s="243"/>
      <c r="S1087" s="243"/>
      <c r="T1087" s="243"/>
      <c r="U1087" s="243"/>
      <c r="V1087" s="243"/>
      <c r="W1087" s="243"/>
      <c r="X1087" s="243"/>
      <c r="Y1087" s="243"/>
      <c r="Z1087" s="243"/>
      <c r="AA1087" s="243"/>
      <c r="AB1087" s="243"/>
      <c r="AC1087" s="243"/>
      <c r="AD1087" s="243"/>
      <c r="AE1087" s="243"/>
      <c r="AF1087" s="243"/>
      <c r="AG1087" s="243"/>
      <c r="AH1087" s="29"/>
      <c r="AI1087" s="29"/>
      <c r="AJ1087" s="29"/>
      <c r="AK1087" s="29"/>
      <c r="AL1087" s="29"/>
      <c r="AM1087" s="29"/>
      <c r="AN1087" s="29"/>
      <c r="AO1087" s="567"/>
      <c r="AP1087" s="567"/>
      <c r="AQ1087" s="568"/>
      <c r="AR1087" s="568"/>
      <c r="AS1087" s="568"/>
      <c r="AT1087" s="568"/>
      <c r="AU1087" s="568"/>
      <c r="AV1087" s="568"/>
      <c r="AW1087" s="568"/>
      <c r="AX1087" s="568"/>
      <c r="AY1087" s="568"/>
      <c r="AZ1087" s="568"/>
      <c r="BA1087" s="568"/>
      <c r="BB1087" s="569"/>
      <c r="BC1087" s="569"/>
      <c r="BD1087" s="569"/>
      <c r="BE1087" s="569"/>
    </row>
    <row r="1088" customFormat="false" ht="14.1" hidden="true" customHeight="true" outlineLevel="1" collapsed="false">
      <c r="A1088" s="275" t="s">
        <v>724</v>
      </c>
      <c r="B1088" s="277"/>
      <c r="C1088" s="275"/>
      <c r="D1088" s="138"/>
      <c r="E1088" s="138"/>
      <c r="F1088" s="138"/>
      <c r="G1088" s="257"/>
      <c r="H1088" s="132"/>
      <c r="I1088" s="243"/>
      <c r="J1088" s="243"/>
      <c r="K1088" s="243"/>
      <c r="L1088" s="243"/>
      <c r="M1088" s="243"/>
      <c r="N1088" s="243"/>
      <c r="O1088" s="243"/>
      <c r="P1088" s="243"/>
      <c r="Q1088" s="243"/>
      <c r="R1088" s="243"/>
      <c r="S1088" s="243"/>
      <c r="T1088" s="243"/>
      <c r="U1088" s="243"/>
      <c r="V1088" s="243"/>
      <c r="W1088" s="243"/>
      <c r="X1088" s="243"/>
      <c r="Y1088" s="243"/>
      <c r="Z1088" s="243"/>
      <c r="AA1088" s="243"/>
      <c r="AB1088" s="243"/>
      <c r="AC1088" s="243"/>
      <c r="AD1088" s="243"/>
      <c r="AE1088" s="243"/>
      <c r="AF1088" s="243"/>
      <c r="AG1088" s="243"/>
      <c r="AH1088" s="29"/>
      <c r="AI1088" s="29"/>
      <c r="AJ1088" s="29"/>
      <c r="AK1088" s="29"/>
      <c r="AL1088" s="29"/>
      <c r="AM1088" s="29"/>
      <c r="AN1088" s="29"/>
      <c r="AO1088" s="567"/>
      <c r="AP1088" s="567"/>
      <c r="AQ1088" s="568"/>
      <c r="AR1088" s="568"/>
      <c r="AS1088" s="568"/>
      <c r="AT1088" s="568"/>
      <c r="AU1088" s="568"/>
      <c r="AV1088" s="568"/>
      <c r="AW1088" s="568"/>
      <c r="AX1088" s="568"/>
      <c r="AY1088" s="568"/>
      <c r="AZ1088" s="568"/>
      <c r="BA1088" s="568"/>
      <c r="BB1088" s="569"/>
      <c r="BC1088" s="569"/>
      <c r="BD1088" s="569"/>
      <c r="BE1088" s="569"/>
    </row>
    <row r="1089" customFormat="false" ht="14.1" hidden="true" customHeight="true" outlineLevel="1" collapsed="false">
      <c r="A1089" s="149" t="s">
        <v>725</v>
      </c>
      <c r="B1089" s="277"/>
      <c r="C1089" s="275"/>
      <c r="D1089" s="138"/>
      <c r="E1089" s="138"/>
      <c r="F1089" s="138"/>
      <c r="G1089" s="257"/>
      <c r="H1089" s="132"/>
      <c r="I1089" s="243"/>
      <c r="J1089" s="243"/>
      <c r="K1089" s="243"/>
      <c r="L1089" s="243"/>
      <c r="M1089" s="243"/>
      <c r="N1089" s="243"/>
      <c r="O1089" s="243"/>
      <c r="P1089" s="243"/>
      <c r="Q1089" s="243"/>
      <c r="R1089" s="243"/>
      <c r="S1089" s="243"/>
      <c r="T1089" s="243"/>
      <c r="U1089" s="243"/>
      <c r="V1089" s="243"/>
      <c r="W1089" s="243"/>
      <c r="X1089" s="243"/>
      <c r="Y1089" s="243"/>
      <c r="Z1089" s="243"/>
      <c r="AA1089" s="243"/>
      <c r="AB1089" s="243"/>
      <c r="AC1089" s="243"/>
      <c r="AD1089" s="243"/>
      <c r="AE1089" s="243"/>
      <c r="AF1089" s="243"/>
      <c r="AG1089" s="243"/>
      <c r="AH1089" s="29"/>
      <c r="AI1089" s="29"/>
      <c r="AJ1089" s="29"/>
      <c r="AK1089" s="29"/>
      <c r="AL1089" s="29"/>
      <c r="AM1089" s="29"/>
      <c r="AN1089" s="29"/>
      <c r="AO1089" s="567"/>
      <c r="AP1089" s="567"/>
      <c r="AQ1089" s="568"/>
      <c r="AR1089" s="568"/>
      <c r="AS1089" s="568"/>
      <c r="AT1089" s="568"/>
      <c r="AU1089" s="568"/>
      <c r="AV1089" s="568"/>
      <c r="AW1089" s="568"/>
      <c r="AX1089" s="568"/>
      <c r="AY1089" s="568"/>
      <c r="AZ1089" s="568"/>
      <c r="BA1089" s="568"/>
      <c r="BB1089" s="569"/>
      <c r="BC1089" s="569"/>
      <c r="BD1089" s="569"/>
      <c r="BE1089" s="569"/>
    </row>
    <row r="1090" customFormat="false" ht="14.1" hidden="true" customHeight="true" outlineLevel="1" collapsed="false">
      <c r="A1090" s="275" t="s">
        <v>726</v>
      </c>
      <c r="B1090" s="277"/>
      <c r="C1090" s="275"/>
      <c r="D1090" s="138"/>
      <c r="E1090" s="138"/>
      <c r="F1090" s="138"/>
      <c r="G1090" s="257"/>
      <c r="H1090" s="132"/>
      <c r="I1090" s="243"/>
      <c r="J1090" s="243"/>
      <c r="K1090" s="243"/>
      <c r="L1090" s="243"/>
      <c r="M1090" s="243"/>
      <c r="N1090" s="243"/>
      <c r="O1090" s="243"/>
      <c r="P1090" s="243"/>
      <c r="Q1090" s="243"/>
      <c r="R1090" s="243"/>
      <c r="S1090" s="243"/>
      <c r="T1090" s="243"/>
      <c r="U1090" s="243"/>
      <c r="V1090" s="243"/>
      <c r="W1090" s="243"/>
      <c r="X1090" s="243"/>
      <c r="Y1090" s="243"/>
      <c r="Z1090" s="243"/>
      <c r="AA1090" s="243"/>
      <c r="AB1090" s="243"/>
      <c r="AC1090" s="243"/>
      <c r="AD1090" s="243"/>
      <c r="AE1090" s="243"/>
      <c r="AF1090" s="243"/>
      <c r="AG1090" s="243"/>
      <c r="AH1090" s="29"/>
      <c r="AI1090" s="29"/>
      <c r="AJ1090" s="29"/>
      <c r="AK1090" s="29"/>
      <c r="AL1090" s="29"/>
      <c r="AM1090" s="29"/>
      <c r="AN1090" s="29"/>
      <c r="AO1090" s="567"/>
      <c r="AP1090" s="567"/>
      <c r="AQ1090" s="568"/>
      <c r="AR1090" s="568"/>
      <c r="AS1090" s="568"/>
      <c r="AT1090" s="568"/>
      <c r="AU1090" s="568"/>
      <c r="AV1090" s="568"/>
      <c r="AW1090" s="568"/>
      <c r="AX1090" s="568"/>
      <c r="AY1090" s="568"/>
      <c r="AZ1090" s="568"/>
      <c r="BA1090" s="568"/>
      <c r="BB1090" s="569"/>
      <c r="BC1090" s="569"/>
      <c r="BD1090" s="569"/>
      <c r="BE1090" s="569"/>
    </row>
    <row r="1091" customFormat="false" ht="14.1" hidden="true" customHeight="true" outlineLevel="1" collapsed="false">
      <c r="A1091" s="149" t="s">
        <v>727</v>
      </c>
      <c r="B1091" s="277"/>
      <c r="C1091" s="275"/>
      <c r="D1091" s="138"/>
      <c r="E1091" s="138"/>
      <c r="F1091" s="138"/>
      <c r="G1091" s="257"/>
      <c r="H1091" s="132"/>
      <c r="I1091" s="132"/>
      <c r="J1091" s="132"/>
      <c r="K1091" s="26"/>
      <c r="L1091" s="243"/>
      <c r="M1091" s="26"/>
      <c r="N1091" s="26"/>
      <c r="O1091" s="243"/>
      <c r="P1091" s="243"/>
      <c r="Q1091" s="243"/>
      <c r="R1091" s="243"/>
      <c r="S1091" s="243"/>
      <c r="T1091" s="243"/>
      <c r="U1091" s="243"/>
      <c r="V1091" s="243"/>
      <c r="W1091" s="243"/>
      <c r="X1091" s="243"/>
      <c r="Y1091" s="243"/>
      <c r="Z1091" s="243"/>
      <c r="AA1091" s="243"/>
      <c r="AB1091" s="243"/>
      <c r="AC1091" s="243"/>
      <c r="AD1091" s="243"/>
      <c r="AE1091" s="243"/>
      <c r="AF1091" s="243"/>
      <c r="AG1091" s="243"/>
      <c r="AH1091" s="29"/>
      <c r="AI1091" s="29"/>
      <c r="AJ1091" s="29"/>
      <c r="AK1091" s="29"/>
      <c r="AL1091" s="29"/>
      <c r="AM1091" s="29"/>
      <c r="AN1091" s="29"/>
      <c r="AO1091" s="567"/>
      <c r="AP1091" s="567"/>
      <c r="AQ1091" s="568"/>
      <c r="AR1091" s="568"/>
      <c r="AS1091" s="568"/>
      <c r="AT1091" s="568"/>
      <c r="AU1091" s="568"/>
      <c r="AV1091" s="568"/>
      <c r="AW1091" s="568"/>
      <c r="AX1091" s="568"/>
      <c r="AY1091" s="568"/>
      <c r="AZ1091" s="568"/>
      <c r="BA1091" s="568"/>
      <c r="BB1091" s="569"/>
      <c r="BC1091" s="569"/>
      <c r="BD1091" s="569"/>
      <c r="BE1091" s="569"/>
    </row>
    <row r="1092" customFormat="false" ht="14.1" hidden="true" customHeight="true" outlineLevel="1" collapsed="false">
      <c r="A1092" s="275" t="s">
        <v>728</v>
      </c>
      <c r="B1092" s="277"/>
      <c r="C1092" s="275"/>
      <c r="D1092" s="138"/>
      <c r="E1092" s="138"/>
      <c r="F1092" s="138"/>
      <c r="G1092" s="257"/>
      <c r="H1092" s="132"/>
      <c r="I1092" s="132"/>
      <c r="J1092" s="132"/>
      <c r="K1092" s="26"/>
      <c r="L1092" s="243"/>
      <c r="M1092" s="26"/>
      <c r="N1092" s="26"/>
      <c r="O1092" s="243"/>
      <c r="P1092" s="243"/>
      <c r="Q1092" s="243"/>
      <c r="R1092" s="243"/>
      <c r="S1092" s="243"/>
      <c r="T1092" s="243"/>
      <c r="U1092" s="243"/>
      <c r="V1092" s="243"/>
      <c r="W1092" s="243"/>
      <c r="X1092" s="243"/>
      <c r="Y1092" s="243"/>
      <c r="Z1092" s="243"/>
      <c r="AA1092" s="243"/>
      <c r="AB1092" s="243"/>
      <c r="AC1092" s="243"/>
      <c r="AD1092" s="243"/>
      <c r="AE1092" s="243"/>
      <c r="AF1092" s="243"/>
      <c r="AG1092" s="243"/>
      <c r="AH1092" s="29"/>
      <c r="AI1092" s="29"/>
      <c r="AJ1092" s="29"/>
      <c r="AK1092" s="29"/>
      <c r="AL1092" s="29"/>
      <c r="AM1092" s="29"/>
      <c r="AN1092" s="29"/>
      <c r="AO1092" s="567"/>
      <c r="AP1092" s="567"/>
      <c r="AQ1092" s="568"/>
      <c r="AR1092" s="568"/>
      <c r="AS1092" s="568"/>
      <c r="AT1092" s="568"/>
      <c r="AU1092" s="568"/>
      <c r="AV1092" s="568"/>
      <c r="AW1092" s="568"/>
      <c r="AX1092" s="568"/>
      <c r="AY1092" s="568"/>
      <c r="AZ1092" s="568"/>
      <c r="BA1092" s="568"/>
      <c r="BB1092" s="569"/>
      <c r="BC1092" s="569"/>
      <c r="BD1092" s="569"/>
      <c r="BE1092" s="569"/>
    </row>
    <row r="1093" customFormat="false" ht="14.1" hidden="true" customHeight="true" outlineLevel="1" collapsed="false">
      <c r="A1093" s="149" t="s">
        <v>226</v>
      </c>
      <c r="B1093" s="119" t="s">
        <v>48</v>
      </c>
      <c r="C1093" s="164" t="n">
        <v>0</v>
      </c>
      <c r="D1093" s="138"/>
      <c r="E1093" s="138"/>
      <c r="F1093" s="138"/>
      <c r="G1093" s="257"/>
      <c r="H1093" s="257"/>
      <c r="I1093" s="257"/>
      <c r="J1093" s="257"/>
      <c r="K1093" s="257"/>
      <c r="L1093" s="257"/>
      <c r="M1093" s="243"/>
      <c r="N1093" s="243"/>
      <c r="O1093" s="243"/>
      <c r="P1093" s="243"/>
      <c r="Q1093" s="243"/>
      <c r="R1093" s="243"/>
      <c r="S1093" s="243"/>
      <c r="T1093" s="243"/>
      <c r="U1093" s="243"/>
      <c r="V1093" s="243"/>
      <c r="W1093" s="243"/>
      <c r="X1093" s="243"/>
      <c r="Y1093" s="243"/>
      <c r="Z1093" s="243"/>
      <c r="AA1093" s="243"/>
      <c r="AB1093" s="243"/>
      <c r="AC1093" s="243"/>
      <c r="AD1093" s="243"/>
      <c r="AE1093" s="243"/>
      <c r="AF1093" s="243"/>
      <c r="AG1093" s="243"/>
      <c r="AH1093" s="29"/>
      <c r="AI1093" s="29"/>
      <c r="AJ1093" s="29"/>
      <c r="AK1093" s="29"/>
      <c r="AL1093" s="29"/>
      <c r="AM1093" s="29"/>
      <c r="AN1093" s="29"/>
      <c r="AO1093" s="567"/>
      <c r="AP1093" s="567"/>
      <c r="AQ1093" s="568"/>
      <c r="AR1093" s="568"/>
      <c r="AS1093" s="568"/>
      <c r="AT1093" s="568"/>
      <c r="AU1093" s="568"/>
      <c r="AV1093" s="568"/>
      <c r="AW1093" s="568"/>
      <c r="AX1093" s="568"/>
      <c r="AY1093" s="568"/>
      <c r="AZ1093" s="568"/>
      <c r="BA1093" s="568"/>
      <c r="BB1093" s="569"/>
      <c r="BC1093" s="569"/>
      <c r="BD1093" s="569"/>
      <c r="BE1093" s="569"/>
    </row>
    <row r="1094" customFormat="false" ht="14.1" hidden="true" customHeight="true" outlineLevel="1" collapsed="false">
      <c r="A1094" s="275"/>
      <c r="B1094" s="277"/>
      <c r="C1094" s="386"/>
      <c r="D1094" s="138"/>
      <c r="E1094" s="138"/>
      <c r="F1094" s="138"/>
      <c r="G1094" s="257"/>
      <c r="H1094" s="257"/>
      <c r="I1094" s="257"/>
      <c r="J1094" s="257"/>
      <c r="K1094" s="257"/>
      <c r="L1094" s="257"/>
      <c r="M1094" s="243"/>
      <c r="N1094" s="243"/>
      <c r="O1094" s="243"/>
      <c r="P1094" s="243"/>
      <c r="Q1094" s="243"/>
      <c r="R1094" s="243"/>
      <c r="S1094" s="243"/>
      <c r="T1094" s="243"/>
      <c r="U1094" s="243"/>
      <c r="V1094" s="243"/>
      <c r="W1094" s="243"/>
      <c r="X1094" s="243"/>
      <c r="Y1094" s="243"/>
      <c r="Z1094" s="243"/>
      <c r="AA1094" s="243"/>
      <c r="AB1094" s="243"/>
      <c r="AC1094" s="243"/>
      <c r="AD1094" s="243"/>
      <c r="AE1094" s="243"/>
      <c r="AF1094" s="243"/>
      <c r="AG1094" s="243"/>
      <c r="AH1094" s="29"/>
      <c r="AI1094" s="29"/>
      <c r="AJ1094" s="29"/>
      <c r="AK1094" s="29"/>
      <c r="AL1094" s="29"/>
      <c r="AM1094" s="29"/>
      <c r="AN1094" s="29"/>
      <c r="AO1094" s="567"/>
      <c r="AP1094" s="567"/>
      <c r="AQ1094" s="568"/>
      <c r="AR1094" s="568"/>
      <c r="AS1094" s="568"/>
      <c r="AT1094" s="568"/>
      <c r="AU1094" s="568"/>
      <c r="AV1094" s="568"/>
      <c r="AW1094" s="568"/>
      <c r="AX1094" s="568"/>
      <c r="AY1094" s="568"/>
      <c r="AZ1094" s="568"/>
      <c r="BA1094" s="568"/>
      <c r="BB1094" s="569"/>
      <c r="BC1094" s="569"/>
      <c r="BD1094" s="569"/>
      <c r="BE1094" s="569"/>
    </row>
    <row r="1095" customFormat="false" ht="14.1" hidden="true" customHeight="true" outlineLevel="1" collapsed="false">
      <c r="A1095" s="163" t="s">
        <v>729</v>
      </c>
      <c r="B1095" s="119" t="s">
        <v>113</v>
      </c>
      <c r="C1095" s="252" t="n">
        <v>3000</v>
      </c>
      <c r="D1095" s="138"/>
      <c r="E1095" s="138"/>
      <c r="F1095" s="138"/>
      <c r="G1095" s="257"/>
      <c r="H1095" s="257"/>
      <c r="I1095" s="257"/>
      <c r="J1095" s="257"/>
      <c r="K1095" s="257"/>
      <c r="L1095" s="257"/>
      <c r="M1095" s="243"/>
      <c r="N1095" s="243"/>
      <c r="O1095" s="243"/>
      <c r="P1095" s="243"/>
      <c r="Q1095" s="243"/>
      <c r="R1095" s="243"/>
      <c r="S1095" s="243"/>
      <c r="T1095" s="243"/>
      <c r="U1095" s="243"/>
      <c r="V1095" s="243"/>
      <c r="W1095" s="243"/>
      <c r="X1095" s="243"/>
      <c r="Y1095" s="243"/>
      <c r="Z1095" s="243"/>
      <c r="AA1095" s="243"/>
      <c r="AB1095" s="243"/>
      <c r="AC1095" s="243"/>
      <c r="AD1095" s="243"/>
      <c r="AE1095" s="243"/>
      <c r="AF1095" s="243"/>
      <c r="AG1095" s="243"/>
      <c r="AH1095" s="29"/>
      <c r="AI1095" s="29"/>
      <c r="AJ1095" s="29"/>
      <c r="AK1095" s="29"/>
      <c r="AL1095" s="29"/>
      <c r="AM1095" s="29"/>
      <c r="AN1095" s="29"/>
      <c r="AO1095" s="567"/>
      <c r="AP1095" s="567"/>
      <c r="AQ1095" s="568"/>
      <c r="AR1095" s="568"/>
      <c r="AS1095" s="568"/>
      <c r="AT1095" s="568"/>
      <c r="AU1095" s="568"/>
      <c r="AV1095" s="568"/>
      <c r="AW1095" s="568"/>
      <c r="AX1095" s="568"/>
      <c r="AY1095" s="568"/>
      <c r="AZ1095" s="568"/>
      <c r="BA1095" s="568"/>
      <c r="BB1095" s="569"/>
      <c r="BC1095" s="569"/>
      <c r="BD1095" s="569"/>
      <c r="BE1095" s="569"/>
    </row>
    <row r="1096" customFormat="false" ht="14.1" hidden="true" customHeight="true" outlineLevel="1" collapsed="false">
      <c r="A1096" s="275"/>
      <c r="B1096" s="277"/>
      <c r="C1096" s="386"/>
      <c r="D1096" s="138"/>
      <c r="E1096" s="138"/>
      <c r="F1096" s="138"/>
      <c r="G1096" s="257"/>
      <c r="H1096" s="257"/>
      <c r="I1096" s="257"/>
      <c r="J1096" s="257"/>
      <c r="K1096" s="257"/>
      <c r="L1096" s="257"/>
      <c r="M1096" s="243"/>
      <c r="N1096" s="243"/>
      <c r="O1096" s="243"/>
      <c r="P1096" s="243"/>
      <c r="Q1096" s="243"/>
      <c r="R1096" s="243"/>
      <c r="S1096" s="243"/>
      <c r="T1096" s="243"/>
      <c r="U1096" s="243"/>
      <c r="V1096" s="243"/>
      <c r="W1096" s="243"/>
      <c r="X1096" s="243"/>
      <c r="Y1096" s="243"/>
      <c r="Z1096" s="243"/>
      <c r="AA1096" s="243"/>
      <c r="AB1096" s="243"/>
      <c r="AC1096" s="243"/>
      <c r="AD1096" s="243"/>
      <c r="AE1096" s="243"/>
      <c r="AF1096" s="243"/>
      <c r="AG1096" s="243"/>
      <c r="AH1096" s="29"/>
      <c r="AI1096" s="29"/>
      <c r="AJ1096" s="29"/>
      <c r="AK1096" s="29"/>
      <c r="AL1096" s="29"/>
      <c r="AM1096" s="29"/>
      <c r="AN1096" s="29"/>
      <c r="AO1096" s="567"/>
      <c r="AP1096" s="567"/>
      <c r="AQ1096" s="568"/>
      <c r="AR1096" s="568"/>
      <c r="AS1096" s="568"/>
      <c r="AT1096" s="568"/>
      <c r="AU1096" s="568"/>
      <c r="AV1096" s="568"/>
      <c r="AW1096" s="568"/>
      <c r="AX1096" s="568"/>
      <c r="AY1096" s="568"/>
      <c r="AZ1096" s="568"/>
      <c r="BA1096" s="568"/>
      <c r="BB1096" s="569"/>
      <c r="BC1096" s="569"/>
      <c r="BD1096" s="569"/>
      <c r="BE1096" s="569"/>
    </row>
    <row r="1097" customFormat="false" ht="14.1" hidden="true" customHeight="true" outlineLevel="1" collapsed="false">
      <c r="A1097" s="151" t="s">
        <v>714</v>
      </c>
      <c r="B1097" s="148" t="s">
        <v>162</v>
      </c>
      <c r="C1097" s="575" t="s">
        <v>56</v>
      </c>
      <c r="D1097" s="138"/>
      <c r="E1097" s="138"/>
      <c r="F1097" s="138"/>
      <c r="G1097" s="257"/>
      <c r="H1097" s="257"/>
      <c r="I1097" s="257"/>
      <c r="J1097" s="257"/>
      <c r="K1097" s="257"/>
      <c r="L1097" s="257"/>
      <c r="M1097" s="243"/>
      <c r="N1097" s="243"/>
      <c r="O1097" s="243"/>
      <c r="P1097" s="243"/>
      <c r="Q1097" s="243"/>
      <c r="R1097" s="243"/>
      <c r="S1097" s="243"/>
      <c r="T1097" s="243"/>
      <c r="U1097" s="243"/>
      <c r="V1097" s="243"/>
      <c r="W1097" s="243"/>
      <c r="X1097" s="243"/>
      <c r="Y1097" s="243"/>
      <c r="Z1097" s="243"/>
      <c r="AA1097" s="243"/>
      <c r="AB1097" s="243"/>
      <c r="AC1097" s="243"/>
      <c r="AD1097" s="243"/>
      <c r="AE1097" s="243"/>
      <c r="AF1097" s="243"/>
      <c r="AG1097" s="243"/>
      <c r="AH1097" s="29"/>
      <c r="AI1097" s="29"/>
      <c r="AJ1097" s="29"/>
      <c r="AK1097" s="29"/>
      <c r="AL1097" s="29"/>
      <c r="AM1097" s="29"/>
      <c r="AN1097" s="29"/>
      <c r="AO1097" s="567"/>
      <c r="AP1097" s="567"/>
      <c r="AQ1097" s="568"/>
      <c r="AR1097" s="568"/>
      <c r="AS1097" s="568"/>
      <c r="AT1097" s="568"/>
      <c r="AU1097" s="568"/>
      <c r="AV1097" s="568"/>
      <c r="AW1097" s="568"/>
      <c r="AX1097" s="568"/>
      <c r="AY1097" s="568"/>
      <c r="AZ1097" s="568"/>
      <c r="BA1097" s="568"/>
      <c r="BB1097" s="569"/>
      <c r="BC1097" s="569"/>
      <c r="BD1097" s="569"/>
      <c r="BE1097" s="569"/>
    </row>
    <row r="1098" customFormat="false" ht="14.1" hidden="true" customHeight="true" outlineLevel="1" collapsed="false">
      <c r="A1098" s="239" t="s">
        <v>715</v>
      </c>
      <c r="B1098" s="148" t="s">
        <v>109</v>
      </c>
      <c r="C1098" s="151" t="n">
        <v>3</v>
      </c>
      <c r="D1098" s="138"/>
      <c r="E1098" s="138"/>
      <c r="F1098" s="138"/>
      <c r="G1098" s="257"/>
      <c r="H1098" s="257"/>
      <c r="I1098" s="257"/>
      <c r="J1098" s="257"/>
      <c r="K1098" s="257"/>
      <c r="L1098" s="257"/>
      <c r="M1098" s="243"/>
      <c r="N1098" s="243"/>
      <c r="O1098" s="243"/>
      <c r="P1098" s="243"/>
      <c r="Q1098" s="243"/>
      <c r="R1098" s="243"/>
      <c r="S1098" s="243"/>
      <c r="T1098" s="243"/>
      <c r="U1098" s="243"/>
      <c r="V1098" s="243"/>
      <c r="W1098" s="243"/>
      <c r="X1098" s="243"/>
      <c r="Y1098" s="243"/>
      <c r="Z1098" s="243"/>
      <c r="AA1098" s="243"/>
      <c r="AB1098" s="243"/>
      <c r="AC1098" s="243"/>
      <c r="AD1098" s="243"/>
      <c r="AE1098" s="243"/>
      <c r="AF1098" s="243"/>
      <c r="AG1098" s="243"/>
      <c r="AH1098" s="29"/>
      <c r="AI1098" s="29"/>
      <c r="AJ1098" s="29"/>
      <c r="AK1098" s="29"/>
      <c r="AL1098" s="29"/>
      <c r="AM1098" s="29"/>
      <c r="AN1098" s="29"/>
      <c r="AO1098" s="567"/>
      <c r="AP1098" s="567"/>
      <c r="AQ1098" s="568"/>
      <c r="AR1098" s="568"/>
      <c r="AS1098" s="568"/>
      <c r="AT1098" s="568"/>
      <c r="AU1098" s="568"/>
      <c r="AV1098" s="568"/>
      <c r="AW1098" s="568"/>
      <c r="AX1098" s="568"/>
      <c r="AY1098" s="568"/>
      <c r="AZ1098" s="568"/>
      <c r="BA1098" s="568"/>
      <c r="BB1098" s="569"/>
      <c r="BC1098" s="569"/>
      <c r="BD1098" s="569"/>
      <c r="BE1098" s="569"/>
    </row>
    <row r="1099" customFormat="false" ht="14.1" hidden="true" customHeight="true" outlineLevel="1" collapsed="false">
      <c r="A1099" s="151" t="s">
        <v>716</v>
      </c>
      <c r="B1099" s="180" t="s">
        <v>109</v>
      </c>
      <c r="C1099" s="239" t="n">
        <v>9</v>
      </c>
      <c r="D1099" s="138"/>
      <c r="E1099" s="138"/>
      <c r="F1099" s="138"/>
      <c r="G1099" s="257"/>
      <c r="H1099" s="257"/>
      <c r="I1099" s="257"/>
      <c r="J1099" s="257"/>
      <c r="K1099" s="257"/>
      <c r="L1099" s="257"/>
      <c r="M1099" s="243"/>
      <c r="N1099" s="243"/>
      <c r="O1099" s="243"/>
      <c r="P1099" s="243"/>
      <c r="Q1099" s="243"/>
      <c r="R1099" s="243"/>
      <c r="S1099" s="243"/>
      <c r="T1099" s="243"/>
      <c r="U1099" s="243"/>
      <c r="V1099" s="243"/>
      <c r="W1099" s="243"/>
      <c r="X1099" s="243"/>
      <c r="Y1099" s="243"/>
      <c r="Z1099" s="243"/>
      <c r="AA1099" s="243"/>
      <c r="AB1099" s="243"/>
      <c r="AC1099" s="243"/>
      <c r="AD1099" s="243"/>
      <c r="AE1099" s="243"/>
      <c r="AF1099" s="243"/>
      <c r="AG1099" s="243"/>
      <c r="AH1099" s="29"/>
      <c r="AI1099" s="29"/>
      <c r="AJ1099" s="29"/>
      <c r="AK1099" s="29"/>
      <c r="AL1099" s="29"/>
      <c r="AM1099" s="29"/>
      <c r="AN1099" s="29"/>
      <c r="AO1099" s="567"/>
      <c r="AP1099" s="567"/>
      <c r="AQ1099" s="568"/>
      <c r="AR1099" s="568"/>
      <c r="AS1099" s="568"/>
      <c r="AT1099" s="568"/>
      <c r="AU1099" s="568"/>
      <c r="AV1099" s="568"/>
      <c r="AW1099" s="568"/>
      <c r="AX1099" s="568"/>
      <c r="AY1099" s="568"/>
      <c r="AZ1099" s="568"/>
      <c r="BA1099" s="568"/>
      <c r="BB1099" s="569"/>
      <c r="BC1099" s="569"/>
      <c r="BD1099" s="569"/>
      <c r="BE1099" s="569"/>
    </row>
    <row r="1100" customFormat="false" ht="14.1" hidden="true" customHeight="true" outlineLevel="1" collapsed="false">
      <c r="A1100" s="151" t="s">
        <v>717</v>
      </c>
      <c r="B1100" s="148" t="s">
        <v>113</v>
      </c>
      <c r="C1100" s="151" t="n">
        <v>700</v>
      </c>
      <c r="D1100" s="138"/>
      <c r="E1100" s="138"/>
      <c r="F1100" s="138"/>
      <c r="G1100" s="257"/>
      <c r="H1100" s="257"/>
      <c r="I1100" s="257"/>
      <c r="J1100" s="257"/>
      <c r="K1100" s="257"/>
      <c r="L1100" s="257"/>
      <c r="M1100" s="243"/>
      <c r="N1100" s="243"/>
      <c r="O1100" s="243"/>
      <c r="P1100" s="243"/>
      <c r="Q1100" s="243"/>
      <c r="R1100" s="243"/>
      <c r="S1100" s="243"/>
      <c r="T1100" s="243"/>
      <c r="U1100" s="243"/>
      <c r="V1100" s="243"/>
      <c r="W1100" s="243"/>
      <c r="X1100" s="243"/>
      <c r="Y1100" s="243"/>
      <c r="Z1100" s="243"/>
      <c r="AA1100" s="243"/>
      <c r="AB1100" s="243"/>
      <c r="AC1100" s="243"/>
      <c r="AD1100" s="243"/>
      <c r="AE1100" s="243"/>
      <c r="AF1100" s="243"/>
      <c r="AG1100" s="243"/>
      <c r="AH1100" s="29"/>
      <c r="AI1100" s="29"/>
      <c r="AJ1100" s="29"/>
      <c r="AK1100" s="29"/>
      <c r="AL1100" s="29"/>
      <c r="AM1100" s="29"/>
      <c r="AN1100" s="29"/>
      <c r="AO1100" s="567"/>
      <c r="AP1100" s="567"/>
      <c r="AQ1100" s="568"/>
      <c r="AR1100" s="568"/>
      <c r="AS1100" s="568"/>
      <c r="AT1100" s="568"/>
      <c r="AU1100" s="568"/>
      <c r="AV1100" s="568"/>
      <c r="AW1100" s="568"/>
      <c r="AX1100" s="568"/>
      <c r="AY1100" s="568"/>
      <c r="AZ1100" s="568"/>
      <c r="BA1100" s="568"/>
      <c r="BB1100" s="569"/>
      <c r="BC1100" s="569"/>
      <c r="BD1100" s="569"/>
      <c r="BE1100" s="569"/>
    </row>
    <row r="1101" customFormat="false" ht="14.1" hidden="true" customHeight="true" outlineLevel="1" collapsed="false">
      <c r="A1101" s="275"/>
      <c r="B1101" s="277"/>
      <c r="C1101" s="386"/>
      <c r="D1101" s="138"/>
      <c r="E1101" s="138"/>
      <c r="F1101" s="138"/>
      <c r="G1101" s="257"/>
      <c r="H1101" s="257"/>
      <c r="I1101" s="257"/>
      <c r="J1101" s="257"/>
      <c r="K1101" s="257"/>
      <c r="L1101" s="257"/>
      <c r="M1101" s="243"/>
      <c r="N1101" s="243"/>
      <c r="O1101" s="243"/>
      <c r="P1101" s="243"/>
      <c r="Q1101" s="243"/>
      <c r="R1101" s="243"/>
      <c r="S1101" s="243"/>
      <c r="T1101" s="243"/>
      <c r="U1101" s="243"/>
      <c r="V1101" s="243"/>
      <c r="W1101" s="243"/>
      <c r="X1101" s="243"/>
      <c r="Y1101" s="243"/>
      <c r="Z1101" s="243"/>
      <c r="AA1101" s="243"/>
      <c r="AB1101" s="243"/>
      <c r="AC1101" s="243"/>
      <c r="AD1101" s="243"/>
      <c r="AE1101" s="243"/>
      <c r="AF1101" s="243"/>
      <c r="AG1101" s="243"/>
      <c r="AH1101" s="29"/>
      <c r="AI1101" s="29"/>
      <c r="AJ1101" s="29"/>
      <c r="AK1101" s="29"/>
      <c r="AL1101" s="29"/>
      <c r="AM1101" s="29"/>
      <c r="AN1101" s="29"/>
      <c r="AO1101" s="567"/>
      <c r="AP1101" s="567"/>
      <c r="AQ1101" s="568"/>
      <c r="AR1101" s="568"/>
      <c r="AS1101" s="568"/>
      <c r="AT1101" s="568"/>
      <c r="AU1101" s="568"/>
      <c r="AV1101" s="568"/>
      <c r="AW1101" s="568"/>
      <c r="AX1101" s="568"/>
      <c r="AY1101" s="568"/>
      <c r="AZ1101" s="568"/>
      <c r="BA1101" s="568"/>
      <c r="BB1101" s="569"/>
      <c r="BC1101" s="569"/>
      <c r="BD1101" s="569"/>
      <c r="BE1101" s="569"/>
    </row>
    <row r="1102" customFormat="false" ht="14.1" hidden="false" customHeight="true" outlineLevel="0" collapsed="false">
      <c r="A1102" s="576" t="s">
        <v>719</v>
      </c>
      <c r="B1102" s="576"/>
      <c r="C1102" s="576"/>
      <c r="D1102" s="576"/>
      <c r="E1102" s="576"/>
      <c r="F1102" s="576"/>
      <c r="G1102" s="576"/>
      <c r="H1102" s="437"/>
      <c r="I1102" s="437"/>
      <c r="J1102" s="437"/>
      <c r="K1102" s="437"/>
      <c r="L1102" s="437"/>
      <c r="M1102" s="257"/>
      <c r="N1102" s="257"/>
      <c r="O1102" s="257"/>
      <c r="P1102" s="577"/>
      <c r="Q1102" s="165"/>
      <c r="R1102" s="577"/>
      <c r="S1102" s="577"/>
      <c r="T1102" s="577"/>
      <c r="U1102" s="577"/>
      <c r="V1102" s="577"/>
      <c r="W1102" s="577"/>
      <c r="X1102" s="577"/>
      <c r="Y1102" s="577"/>
      <c r="Z1102" s="577"/>
      <c r="AA1102" s="577"/>
      <c r="AB1102" s="577"/>
      <c r="AC1102" s="577"/>
      <c r="AD1102" s="577"/>
      <c r="AE1102" s="577"/>
      <c r="AF1102" s="577"/>
      <c r="AG1102" s="577"/>
      <c r="AH1102" s="578"/>
      <c r="AI1102" s="578"/>
      <c r="AJ1102" s="578"/>
      <c r="AK1102" s="578"/>
      <c r="AL1102" s="578"/>
      <c r="AM1102" s="578"/>
      <c r="AN1102" s="578"/>
      <c r="AO1102" s="579"/>
      <c r="AP1102" s="579"/>
      <c r="AQ1102" s="580"/>
      <c r="AR1102" s="580"/>
      <c r="AS1102" s="580"/>
      <c r="AT1102" s="580"/>
      <c r="AU1102" s="580"/>
      <c r="AV1102" s="127" t="n">
        <f aca="false">M1102</f>
        <v>0</v>
      </c>
      <c r="AW1102" s="580"/>
      <c r="AX1102" s="580"/>
      <c r="AY1102" s="580"/>
      <c r="AZ1102" s="580"/>
      <c r="BA1102" s="580"/>
      <c r="BB1102" s="581"/>
      <c r="BC1102" s="581"/>
      <c r="BD1102" s="581"/>
      <c r="BE1102" s="581"/>
    </row>
    <row r="1103" s="35" customFormat="true" ht="14.1" hidden="false" customHeight="true" outlineLevel="0" collapsed="false">
      <c r="A1103" s="582"/>
      <c r="B1103" s="582"/>
      <c r="C1103" s="582"/>
      <c r="D1103" s="582"/>
      <c r="E1103" s="582"/>
      <c r="F1103" s="582"/>
      <c r="G1103" s="582"/>
      <c r="H1103" s="583"/>
      <c r="I1103" s="577"/>
      <c r="J1103" s="577"/>
      <c r="K1103" s="577"/>
      <c r="L1103" s="577"/>
      <c r="M1103" s="257"/>
      <c r="N1103" s="257"/>
      <c r="O1103" s="257"/>
      <c r="P1103" s="577"/>
      <c r="Q1103" s="577"/>
      <c r="R1103" s="577"/>
      <c r="S1103" s="577"/>
      <c r="T1103" s="577"/>
      <c r="U1103" s="577"/>
      <c r="V1103" s="577"/>
      <c r="W1103" s="577"/>
      <c r="X1103" s="577"/>
      <c r="Y1103" s="577"/>
      <c r="Z1103" s="577"/>
      <c r="AA1103" s="577"/>
      <c r="AB1103" s="577"/>
      <c r="AC1103" s="577"/>
      <c r="AD1103" s="577"/>
      <c r="AE1103" s="577"/>
      <c r="AF1103" s="577"/>
      <c r="AG1103" s="577"/>
      <c r="AH1103" s="578"/>
      <c r="AI1103" s="578"/>
      <c r="AJ1103" s="578"/>
      <c r="AK1103" s="578"/>
      <c r="AL1103" s="578"/>
      <c r="AM1103" s="578"/>
      <c r="AN1103" s="578"/>
      <c r="AO1103" s="579"/>
      <c r="AP1103" s="579"/>
      <c r="AQ1103" s="580"/>
      <c r="AR1103" s="580"/>
      <c r="AS1103" s="580"/>
      <c r="AT1103" s="580"/>
      <c r="AU1103" s="580"/>
      <c r="AV1103" s="580"/>
      <c r="AW1103" s="580"/>
      <c r="AX1103" s="580"/>
      <c r="AY1103" s="580"/>
      <c r="AZ1103" s="580"/>
      <c r="BA1103" s="580"/>
      <c r="BB1103" s="580"/>
      <c r="BC1103" s="580"/>
      <c r="BD1103" s="580"/>
      <c r="BE1103" s="580"/>
      <c r="BF1103" s="156"/>
    </row>
    <row r="1104" customFormat="false" ht="14.1" hidden="true" customHeight="true" outlineLevel="1" collapsed="false">
      <c r="A1104" s="492" t="s">
        <v>730</v>
      </c>
      <c r="B1104" s="492"/>
      <c r="C1104" s="492"/>
      <c r="D1104" s="492"/>
      <c r="E1104" s="492"/>
      <c r="F1104" s="492"/>
      <c r="G1104" s="492"/>
      <c r="H1104" s="440"/>
      <c r="I1104" s="440"/>
      <c r="J1104" s="440"/>
      <c r="K1104" s="440"/>
      <c r="L1104" s="440"/>
      <c r="M1104" s="440"/>
      <c r="N1104" s="440"/>
      <c r="O1104" s="440"/>
      <c r="P1104" s="440"/>
      <c r="Q1104" s="440"/>
      <c r="R1104" s="440"/>
      <c r="S1104" s="440"/>
      <c r="T1104" s="440"/>
      <c r="U1104" s="440"/>
      <c r="V1104" s="440"/>
      <c r="W1104" s="440"/>
      <c r="X1104" s="440"/>
      <c r="Y1104" s="440"/>
      <c r="Z1104" s="440"/>
      <c r="AA1104" s="440"/>
      <c r="AB1104" s="440"/>
      <c r="AC1104" s="440"/>
      <c r="AD1104" s="440"/>
      <c r="AE1104" s="440"/>
      <c r="AF1104" s="440"/>
      <c r="AG1104" s="440"/>
      <c r="AH1104" s="584"/>
      <c r="AI1104" s="584"/>
      <c r="AJ1104" s="578"/>
      <c r="AK1104" s="578"/>
      <c r="AL1104" s="578"/>
      <c r="AM1104" s="578"/>
      <c r="AN1104" s="578"/>
      <c r="AO1104" s="579"/>
      <c r="AP1104" s="579"/>
      <c r="AQ1104" s="580"/>
      <c r="AR1104" s="580"/>
      <c r="AS1104" s="580"/>
      <c r="AT1104" s="580"/>
      <c r="AU1104" s="580"/>
      <c r="AV1104" s="580"/>
      <c r="AW1104" s="580"/>
      <c r="AX1104" s="580"/>
      <c r="AY1104" s="580"/>
      <c r="AZ1104" s="580"/>
      <c r="BA1104" s="580"/>
      <c r="BB1104" s="581"/>
      <c r="BC1104" s="581"/>
      <c r="BD1104" s="581"/>
      <c r="BE1104" s="581"/>
    </row>
    <row r="1105" customFormat="false" ht="14.1" hidden="true" customHeight="true" outlineLevel="1" collapsed="false">
      <c r="A1105" s="492"/>
      <c r="B1105" s="492"/>
      <c r="C1105" s="492"/>
      <c r="D1105" s="492"/>
      <c r="E1105" s="492"/>
      <c r="F1105" s="492"/>
      <c r="G1105" s="492"/>
      <c r="H1105" s="440"/>
      <c r="I1105" s="440"/>
      <c r="J1105" s="440"/>
      <c r="K1105" s="440"/>
      <c r="L1105" s="440"/>
      <c r="M1105" s="440"/>
      <c r="N1105" s="440"/>
      <c r="O1105" s="440"/>
      <c r="P1105" s="440"/>
      <c r="Q1105" s="440"/>
      <c r="R1105" s="440"/>
      <c r="S1105" s="440"/>
      <c r="T1105" s="440"/>
      <c r="U1105" s="440"/>
      <c r="V1105" s="440"/>
      <c r="W1105" s="440"/>
      <c r="X1105" s="440"/>
      <c r="Y1105" s="440"/>
      <c r="Z1105" s="440"/>
      <c r="AA1105" s="440"/>
      <c r="AB1105" s="440"/>
      <c r="AC1105" s="440"/>
      <c r="AD1105" s="440"/>
      <c r="AE1105" s="440"/>
      <c r="AF1105" s="440"/>
      <c r="AG1105" s="440"/>
      <c r="AH1105" s="584"/>
      <c r="AI1105" s="584"/>
      <c r="AJ1105" s="578"/>
      <c r="AK1105" s="578"/>
      <c r="AL1105" s="578"/>
      <c r="AM1105" s="578"/>
      <c r="AN1105" s="578"/>
      <c r="AO1105" s="579"/>
      <c r="AP1105" s="579"/>
      <c r="AQ1105" s="580"/>
      <c r="AR1105" s="580"/>
      <c r="AS1105" s="580"/>
      <c r="AT1105" s="580"/>
      <c r="AU1105" s="580"/>
      <c r="AV1105" s="580"/>
      <c r="AW1105" s="580"/>
      <c r="AX1105" s="580"/>
      <c r="AY1105" s="580"/>
      <c r="AZ1105" s="580"/>
      <c r="BA1105" s="580"/>
      <c r="BB1105" s="581"/>
      <c r="BC1105" s="581"/>
      <c r="BD1105" s="581"/>
      <c r="BE1105" s="581"/>
    </row>
    <row r="1106" customFormat="false" ht="14.1" hidden="true" customHeight="true" outlineLevel="1" collapsed="false">
      <c r="A1106" s="380" t="s">
        <v>461</v>
      </c>
      <c r="B1106" s="585"/>
      <c r="C1106" s="585"/>
      <c r="D1106" s="486" t="n">
        <v>1.1</v>
      </c>
      <c r="E1106" s="138"/>
      <c r="F1106" s="138"/>
      <c r="G1106" s="586"/>
      <c r="H1106" s="468"/>
      <c r="I1106" s="468"/>
      <c r="J1106" s="468"/>
      <c r="K1106" s="468"/>
      <c r="L1106" s="468"/>
      <c r="M1106" s="468"/>
      <c r="N1106" s="468"/>
      <c r="O1106" s="468"/>
      <c r="P1106" s="468"/>
      <c r="Q1106" s="468"/>
      <c r="R1106" s="468"/>
      <c r="S1106" s="468"/>
      <c r="T1106" s="468"/>
      <c r="U1106" s="468"/>
      <c r="V1106" s="468"/>
      <c r="W1106" s="468"/>
      <c r="X1106" s="468"/>
      <c r="Y1106" s="468"/>
      <c r="Z1106" s="468"/>
      <c r="AA1106" s="468"/>
      <c r="AB1106" s="468"/>
      <c r="AC1106" s="468"/>
      <c r="AD1106" s="468"/>
      <c r="AE1106" s="468"/>
      <c r="AF1106" s="243"/>
      <c r="AG1106" s="243"/>
      <c r="AH1106" s="29"/>
      <c r="AI1106" s="568"/>
      <c r="AJ1106" s="578"/>
      <c r="AK1106" s="578"/>
      <c r="AL1106" s="578"/>
      <c r="AM1106" s="578"/>
      <c r="AN1106" s="578"/>
      <c r="AO1106" s="579"/>
      <c r="AP1106" s="579"/>
      <c r="AQ1106" s="580"/>
      <c r="AR1106" s="580"/>
      <c r="AS1106" s="580"/>
      <c r="AT1106" s="580"/>
      <c r="AU1106" s="580"/>
      <c r="AV1106" s="580"/>
      <c r="AW1106" s="580"/>
      <c r="AX1106" s="580"/>
      <c r="AY1106" s="580"/>
      <c r="AZ1106" s="580"/>
      <c r="BA1106" s="580"/>
      <c r="BB1106" s="581"/>
      <c r="BC1106" s="581"/>
      <c r="BD1106" s="581"/>
      <c r="BE1106" s="581"/>
    </row>
    <row r="1107" customFormat="false" ht="14.1" hidden="true" customHeight="true" outlineLevel="1" collapsed="false">
      <c r="A1107" s="380" t="s">
        <v>462</v>
      </c>
      <c r="B1107" s="585"/>
      <c r="C1107" s="585"/>
      <c r="D1107" s="486" t="n">
        <v>1</v>
      </c>
      <c r="E1107" s="138"/>
      <c r="F1107" s="138"/>
      <c r="G1107" s="586"/>
      <c r="H1107" s="468"/>
      <c r="I1107" s="468"/>
      <c r="J1107" s="468"/>
      <c r="K1107" s="468"/>
      <c r="L1107" s="468"/>
      <c r="M1107" s="468"/>
      <c r="N1107" s="468"/>
      <c r="O1107" s="468"/>
      <c r="P1107" s="468"/>
      <c r="Q1107" s="468"/>
      <c r="R1107" s="468"/>
      <c r="S1107" s="468"/>
      <c r="T1107" s="468"/>
      <c r="U1107" s="468"/>
      <c r="V1107" s="468"/>
      <c r="W1107" s="468"/>
      <c r="X1107" s="468"/>
      <c r="Y1107" s="468"/>
      <c r="Z1107" s="468"/>
      <c r="AA1107" s="468"/>
      <c r="AB1107" s="468"/>
      <c r="AC1107" s="468"/>
      <c r="AD1107" s="468"/>
      <c r="AE1107" s="468"/>
      <c r="AF1107" s="243"/>
      <c r="AG1107" s="243"/>
      <c r="AH1107" s="29"/>
      <c r="AI1107" s="29"/>
      <c r="AJ1107" s="578"/>
      <c r="AK1107" s="578"/>
      <c r="AL1107" s="578"/>
      <c r="AM1107" s="578"/>
      <c r="AN1107" s="578"/>
      <c r="AO1107" s="579"/>
      <c r="AP1107" s="579"/>
      <c r="AQ1107" s="580"/>
      <c r="AR1107" s="580"/>
      <c r="AS1107" s="580"/>
      <c r="AT1107" s="580"/>
      <c r="AU1107" s="580"/>
      <c r="AV1107" s="580"/>
      <c r="AW1107" s="580"/>
      <c r="AX1107" s="580"/>
      <c r="AY1107" s="580"/>
      <c r="AZ1107" s="580"/>
      <c r="BA1107" s="580"/>
      <c r="BB1107" s="581"/>
      <c r="BC1107" s="581"/>
      <c r="BD1107" s="581"/>
      <c r="BE1107" s="581"/>
    </row>
    <row r="1108" customFormat="false" ht="14.1" hidden="true" customHeight="true" outlineLevel="1" collapsed="false">
      <c r="A1108" s="587"/>
      <c r="B1108" s="588"/>
      <c r="C1108" s="588"/>
      <c r="D1108" s="588"/>
      <c r="E1108" s="588"/>
      <c r="F1108" s="588"/>
      <c r="G1108" s="586"/>
      <c r="H1108" s="468"/>
      <c r="I1108" s="468"/>
      <c r="J1108" s="468"/>
      <c r="K1108" s="468"/>
      <c r="L1108" s="468"/>
      <c r="M1108" s="468"/>
      <c r="N1108" s="468"/>
      <c r="O1108" s="468"/>
      <c r="P1108" s="468"/>
      <c r="Q1108" s="468"/>
      <c r="R1108" s="468"/>
      <c r="S1108" s="468"/>
      <c r="T1108" s="468"/>
      <c r="U1108" s="468"/>
      <c r="V1108" s="468"/>
      <c r="W1108" s="468"/>
      <c r="X1108" s="468"/>
      <c r="Y1108" s="384"/>
      <c r="Z1108" s="384"/>
      <c r="AA1108" s="383"/>
      <c r="AB1108" s="384"/>
      <c r="AC1108" s="384"/>
      <c r="AD1108" s="384"/>
      <c r="AE1108" s="384"/>
      <c r="AF1108" s="243"/>
      <c r="AG1108" s="243"/>
      <c r="AH1108" s="29"/>
      <c r="AI1108" s="29"/>
      <c r="AJ1108" s="578"/>
      <c r="AK1108" s="578"/>
      <c r="AL1108" s="578"/>
      <c r="AM1108" s="578"/>
      <c r="AN1108" s="578"/>
      <c r="AO1108" s="579"/>
      <c r="AP1108" s="579"/>
      <c r="AQ1108" s="580"/>
      <c r="AR1108" s="580"/>
      <c r="AS1108" s="580"/>
      <c r="AT1108" s="580"/>
      <c r="AU1108" s="580"/>
      <c r="AV1108" s="580"/>
      <c r="AW1108" s="580"/>
      <c r="AX1108" s="580"/>
      <c r="AY1108" s="580"/>
      <c r="AZ1108" s="580"/>
      <c r="BA1108" s="580"/>
      <c r="BB1108" s="581"/>
      <c r="BC1108" s="581"/>
      <c r="BD1108" s="581"/>
      <c r="BE1108" s="581"/>
    </row>
    <row r="1109" customFormat="false" ht="14.1" hidden="true" customHeight="true" outlineLevel="1" collapsed="false">
      <c r="A1109" s="455" t="s">
        <v>731</v>
      </c>
      <c r="B1109" s="277"/>
      <c r="C1109" s="455"/>
      <c r="D1109" s="587"/>
      <c r="E1109" s="587"/>
      <c r="F1109" s="587"/>
      <c r="G1109" s="589"/>
      <c r="H1109" s="590"/>
      <c r="I1109" s="243"/>
      <c r="J1109" s="243"/>
      <c r="K1109" s="243"/>
      <c r="L1109" s="243"/>
      <c r="M1109" s="243"/>
      <c r="N1109" s="243"/>
      <c r="O1109" s="243"/>
      <c r="P1109" s="577"/>
      <c r="Q1109" s="577"/>
      <c r="R1109" s="577"/>
      <c r="S1109" s="577"/>
      <c r="T1109" s="577"/>
      <c r="U1109" s="577"/>
      <c r="V1109" s="577"/>
      <c r="W1109" s="577"/>
      <c r="X1109" s="577"/>
      <c r="Y1109" s="577"/>
      <c r="Z1109" s="577"/>
      <c r="AA1109" s="577"/>
      <c r="AB1109" s="577"/>
      <c r="AC1109" s="577"/>
      <c r="AD1109" s="577"/>
      <c r="AE1109" s="577"/>
      <c r="AF1109" s="577"/>
      <c r="AG1109" s="577"/>
      <c r="AH1109" s="578"/>
      <c r="AI1109" s="578"/>
      <c r="AJ1109" s="578"/>
      <c r="AK1109" s="578"/>
      <c r="AL1109" s="578"/>
      <c r="AM1109" s="578"/>
      <c r="AN1109" s="578"/>
      <c r="AO1109" s="579"/>
      <c r="AP1109" s="579"/>
      <c r="AQ1109" s="580"/>
      <c r="AR1109" s="580"/>
      <c r="AS1109" s="580"/>
      <c r="AT1109" s="580"/>
      <c r="AU1109" s="580"/>
      <c r="AV1109" s="580"/>
      <c r="AW1109" s="580"/>
      <c r="AX1109" s="580"/>
      <c r="AY1109" s="580"/>
      <c r="AZ1109" s="580"/>
      <c r="BA1109" s="580"/>
      <c r="BB1109" s="581"/>
      <c r="BC1109" s="581"/>
      <c r="BD1109" s="581"/>
      <c r="BE1109" s="581"/>
    </row>
    <row r="1110" customFormat="false" ht="14.1" hidden="true" customHeight="true" outlineLevel="1" collapsed="false">
      <c r="A1110" s="591" t="s">
        <v>326</v>
      </c>
      <c r="B1110" s="277"/>
      <c r="C1110" s="455"/>
      <c r="D1110" s="587"/>
      <c r="E1110" s="587"/>
      <c r="F1110" s="587"/>
      <c r="G1110" s="589"/>
      <c r="H1110" s="592"/>
      <c r="I1110" s="243"/>
      <c r="J1110" s="243"/>
      <c r="K1110" s="243"/>
      <c r="L1110" s="243"/>
      <c r="M1110" s="243"/>
      <c r="N1110" s="243"/>
      <c r="O1110" s="243"/>
      <c r="P1110" s="577"/>
      <c r="Q1110" s="577"/>
      <c r="R1110" s="577"/>
      <c r="S1110" s="577"/>
      <c r="T1110" s="577"/>
      <c r="U1110" s="577"/>
      <c r="V1110" s="577"/>
      <c r="W1110" s="577"/>
      <c r="X1110" s="577"/>
      <c r="Y1110" s="577"/>
      <c r="Z1110" s="577"/>
      <c r="AA1110" s="577"/>
      <c r="AB1110" s="577"/>
      <c r="AC1110" s="577"/>
      <c r="AD1110" s="577"/>
      <c r="AE1110" s="577"/>
      <c r="AF1110" s="577"/>
      <c r="AG1110" s="577"/>
      <c r="AH1110" s="578"/>
      <c r="AI1110" s="578"/>
      <c r="AJ1110" s="578"/>
      <c r="AK1110" s="578"/>
      <c r="AL1110" s="578"/>
      <c r="AM1110" s="578"/>
      <c r="AN1110" s="578"/>
      <c r="AO1110" s="579"/>
      <c r="AP1110" s="579"/>
      <c r="AQ1110" s="580"/>
      <c r="AR1110" s="580"/>
      <c r="AS1110" s="580"/>
      <c r="AT1110" s="580"/>
      <c r="AU1110" s="580"/>
      <c r="AV1110" s="580"/>
      <c r="AW1110" s="580"/>
      <c r="AX1110" s="580"/>
      <c r="AY1110" s="580"/>
      <c r="AZ1110" s="580"/>
      <c r="BA1110" s="580"/>
      <c r="BB1110" s="581"/>
      <c r="BC1110" s="581"/>
      <c r="BD1110" s="581"/>
      <c r="BE1110" s="581"/>
    </row>
    <row r="1111" customFormat="false" ht="14.1" hidden="true" customHeight="true" outlineLevel="1" collapsed="false">
      <c r="A1111" s="246" t="s">
        <v>732</v>
      </c>
      <c r="B1111" s="119" t="s">
        <v>15</v>
      </c>
      <c r="C1111" s="593" t="n">
        <v>0.6</v>
      </c>
      <c r="D1111" s="587"/>
      <c r="E1111" s="587"/>
      <c r="F1111" s="587"/>
      <c r="G1111" s="589"/>
      <c r="H1111" s="590"/>
      <c r="I1111" s="243"/>
      <c r="J1111" s="243"/>
      <c r="K1111" s="243"/>
      <c r="L1111" s="243"/>
      <c r="M1111" s="243"/>
      <c r="N1111" s="243"/>
      <c r="O1111" s="243"/>
      <c r="P1111" s="577"/>
      <c r="Q1111" s="577"/>
      <c r="R1111" s="577"/>
      <c r="S1111" s="577"/>
      <c r="T1111" s="577"/>
      <c r="U1111" s="577"/>
      <c r="V1111" s="577"/>
      <c r="W1111" s="577"/>
      <c r="X1111" s="577"/>
      <c r="Y1111" s="577"/>
      <c r="Z1111" s="577"/>
      <c r="AA1111" s="577"/>
      <c r="AB1111" s="577"/>
      <c r="AC1111" s="577"/>
      <c r="AD1111" s="577"/>
      <c r="AE1111" s="577"/>
      <c r="AF1111" s="577"/>
      <c r="AG1111" s="577"/>
      <c r="AH1111" s="578"/>
      <c r="AI1111" s="578"/>
      <c r="AJ1111" s="578"/>
      <c r="AK1111" s="578"/>
      <c r="AL1111" s="578"/>
      <c r="AM1111" s="578"/>
      <c r="AN1111" s="578"/>
      <c r="AO1111" s="579"/>
      <c r="AP1111" s="579"/>
      <c r="AQ1111" s="580"/>
      <c r="AR1111" s="580"/>
      <c r="AS1111" s="580"/>
      <c r="AT1111" s="580"/>
      <c r="AU1111" s="580"/>
      <c r="AV1111" s="580"/>
      <c r="AW1111" s="580"/>
      <c r="AX1111" s="580"/>
      <c r="AY1111" s="580"/>
      <c r="AZ1111" s="580"/>
      <c r="BA1111" s="580"/>
      <c r="BB1111" s="581"/>
      <c r="BC1111" s="581"/>
      <c r="BD1111" s="581"/>
      <c r="BE1111" s="581"/>
    </row>
    <row r="1112" customFormat="false" ht="14.1" hidden="true" customHeight="true" outlineLevel="1" collapsed="false">
      <c r="A1112" s="246" t="s">
        <v>733</v>
      </c>
      <c r="B1112" s="119" t="s">
        <v>15</v>
      </c>
      <c r="C1112" s="593" t="n">
        <v>0.6</v>
      </c>
      <c r="D1112" s="587"/>
      <c r="E1112" s="587"/>
      <c r="F1112" s="587"/>
      <c r="G1112" s="589"/>
      <c r="H1112" s="590"/>
      <c r="I1112" s="243"/>
      <c r="J1112" s="243"/>
      <c r="K1112" s="243"/>
      <c r="L1112" s="243"/>
      <c r="M1112" s="243"/>
      <c r="N1112" s="243"/>
      <c r="O1112" s="243"/>
      <c r="P1112" s="577"/>
      <c r="Q1112" s="577"/>
      <c r="R1112" s="577"/>
      <c r="S1112" s="577"/>
      <c r="T1112" s="577"/>
      <c r="U1112" s="577"/>
      <c r="V1112" s="577"/>
      <c r="W1112" s="577"/>
      <c r="X1112" s="577"/>
      <c r="Y1112" s="577"/>
      <c r="Z1112" s="577"/>
      <c r="AA1112" s="577"/>
      <c r="AB1112" s="577"/>
      <c r="AC1112" s="577"/>
      <c r="AD1112" s="577"/>
      <c r="AE1112" s="577"/>
      <c r="AF1112" s="577"/>
      <c r="AG1112" s="577"/>
      <c r="AH1112" s="578"/>
      <c r="AI1112" s="578"/>
      <c r="AJ1112" s="578"/>
      <c r="AK1112" s="578"/>
      <c r="AL1112" s="578"/>
      <c r="AM1112" s="578"/>
      <c r="AN1112" s="578"/>
      <c r="AO1112" s="579"/>
      <c r="AP1112" s="579"/>
      <c r="AQ1112" s="580"/>
      <c r="AR1112" s="580"/>
      <c r="AS1112" s="580"/>
      <c r="AT1112" s="580"/>
      <c r="AU1112" s="580"/>
      <c r="AV1112" s="580"/>
      <c r="AW1112" s="580"/>
      <c r="AX1112" s="580"/>
      <c r="AY1112" s="580"/>
      <c r="AZ1112" s="580"/>
      <c r="BA1112" s="580"/>
      <c r="BB1112" s="581"/>
      <c r="BC1112" s="581"/>
      <c r="BD1112" s="581"/>
      <c r="BE1112" s="581"/>
    </row>
    <row r="1113" customFormat="false" ht="14.1" hidden="true" customHeight="true" outlineLevel="1" collapsed="false">
      <c r="A1113" s="246" t="s">
        <v>734</v>
      </c>
      <c r="B1113" s="119" t="s">
        <v>15</v>
      </c>
      <c r="C1113" s="593" t="n">
        <v>0.6</v>
      </c>
      <c r="D1113" s="587"/>
      <c r="E1113" s="587"/>
      <c r="F1113" s="587"/>
      <c r="G1113" s="589"/>
      <c r="H1113" s="590"/>
      <c r="I1113" s="243"/>
      <c r="J1113" s="243"/>
      <c r="K1113" s="243"/>
      <c r="L1113" s="243"/>
      <c r="M1113" s="243"/>
      <c r="N1113" s="243"/>
      <c r="O1113" s="243"/>
      <c r="P1113" s="577"/>
      <c r="Q1113" s="577"/>
      <c r="R1113" s="577"/>
      <c r="S1113" s="577"/>
      <c r="T1113" s="577"/>
      <c r="U1113" s="577"/>
      <c r="V1113" s="577"/>
      <c r="W1113" s="577"/>
      <c r="X1113" s="577"/>
      <c r="Y1113" s="577"/>
      <c r="Z1113" s="577"/>
      <c r="AA1113" s="577"/>
      <c r="AB1113" s="577"/>
      <c r="AC1113" s="577"/>
      <c r="AD1113" s="577"/>
      <c r="AE1113" s="577"/>
      <c r="AF1113" s="577"/>
      <c r="AG1113" s="577"/>
      <c r="AH1113" s="578"/>
      <c r="AI1113" s="578"/>
      <c r="AJ1113" s="578"/>
      <c r="AK1113" s="578"/>
      <c r="AL1113" s="578"/>
      <c r="AM1113" s="578"/>
      <c r="AN1113" s="578"/>
      <c r="AO1113" s="579"/>
      <c r="AP1113" s="579"/>
      <c r="AQ1113" s="580"/>
      <c r="AR1113" s="580"/>
      <c r="AS1113" s="580"/>
      <c r="AT1113" s="580"/>
      <c r="AU1113" s="580"/>
      <c r="AV1113" s="580"/>
      <c r="AW1113" s="580"/>
      <c r="AX1113" s="580"/>
      <c r="AY1113" s="580"/>
      <c r="AZ1113" s="580"/>
      <c r="BA1113" s="580"/>
      <c r="BB1113" s="581"/>
      <c r="BC1113" s="581"/>
      <c r="BD1113" s="581"/>
      <c r="BE1113" s="581"/>
    </row>
    <row r="1114" s="56" customFormat="true" ht="14.1" hidden="true" customHeight="true" outlineLevel="1" collapsed="false">
      <c r="A1114" s="455" t="s">
        <v>735</v>
      </c>
      <c r="B1114" s="277"/>
      <c r="C1114" s="594"/>
      <c r="D1114" s="595"/>
      <c r="E1114" s="595"/>
      <c r="F1114" s="595"/>
      <c r="G1114" s="589"/>
      <c r="H1114" s="590"/>
      <c r="I1114" s="243"/>
      <c r="J1114" s="243"/>
      <c r="K1114" s="243"/>
      <c r="L1114" s="243"/>
      <c r="M1114" s="243"/>
      <c r="N1114" s="243"/>
      <c r="O1114" s="243"/>
      <c r="P1114" s="243"/>
      <c r="Q1114" s="243"/>
      <c r="R1114" s="243"/>
      <c r="S1114" s="243"/>
      <c r="T1114" s="243"/>
      <c r="U1114" s="243"/>
      <c r="V1114" s="243"/>
      <c r="W1114" s="243"/>
      <c r="X1114" s="243"/>
      <c r="Y1114" s="243"/>
      <c r="Z1114" s="243"/>
      <c r="AA1114" s="243"/>
      <c r="AB1114" s="243"/>
      <c r="AC1114" s="243"/>
      <c r="AD1114" s="243"/>
      <c r="AE1114" s="243"/>
      <c r="AF1114" s="243"/>
      <c r="AG1114" s="243"/>
      <c r="AH1114" s="29"/>
      <c r="AI1114" s="29"/>
      <c r="AJ1114" s="29"/>
      <c r="AK1114" s="29"/>
      <c r="AL1114" s="29"/>
      <c r="AM1114" s="29"/>
      <c r="AN1114" s="29"/>
      <c r="AO1114" s="567"/>
      <c r="AP1114" s="567"/>
      <c r="AQ1114" s="568"/>
      <c r="AR1114" s="568"/>
      <c r="AS1114" s="568"/>
      <c r="AT1114" s="568"/>
      <c r="AU1114" s="568"/>
      <c r="AV1114" s="568"/>
      <c r="AW1114" s="568"/>
      <c r="AX1114" s="568"/>
      <c r="AY1114" s="568"/>
      <c r="AZ1114" s="568"/>
      <c r="BA1114" s="568"/>
      <c r="BB1114" s="569"/>
      <c r="BC1114" s="569"/>
      <c r="BD1114" s="569"/>
      <c r="BE1114" s="569"/>
      <c r="BF1114" s="55"/>
    </row>
    <row r="1115" customFormat="false" ht="14.1" hidden="true" customHeight="true" outlineLevel="1" collapsed="false">
      <c r="A1115" s="487" t="s">
        <v>736</v>
      </c>
      <c r="B1115" s="235"/>
      <c r="C1115" s="455"/>
      <c r="D1115" s="587"/>
      <c r="E1115" s="587"/>
      <c r="F1115" s="587"/>
      <c r="G1115" s="589"/>
      <c r="H1115" s="337"/>
      <c r="I1115" s="337"/>
      <c r="J1115" s="337"/>
      <c r="K1115" s="337"/>
      <c r="L1115" s="337"/>
      <c r="M1115" s="337"/>
      <c r="N1115" s="337"/>
      <c r="O1115" s="337"/>
      <c r="P1115" s="337"/>
      <c r="Q1115" s="577"/>
      <c r="R1115" s="577"/>
      <c r="S1115" s="577"/>
      <c r="T1115" s="577"/>
      <c r="U1115" s="577"/>
      <c r="V1115" s="577"/>
      <c r="W1115" s="577"/>
      <c r="X1115" s="577"/>
      <c r="Y1115" s="577"/>
      <c r="Z1115" s="577"/>
      <c r="AA1115" s="577"/>
      <c r="AB1115" s="577"/>
      <c r="AC1115" s="577"/>
      <c r="AD1115" s="577"/>
      <c r="AE1115" s="577"/>
      <c r="AF1115" s="577"/>
      <c r="AG1115" s="577"/>
      <c r="AH1115" s="578"/>
      <c r="AI1115" s="578"/>
      <c r="AJ1115" s="578"/>
      <c r="AK1115" s="578"/>
      <c r="AL1115" s="578"/>
      <c r="AM1115" s="578"/>
      <c r="AN1115" s="578"/>
      <c r="AO1115" s="579"/>
      <c r="AP1115" s="579"/>
      <c r="AQ1115" s="580"/>
      <c r="AR1115" s="580"/>
      <c r="AS1115" s="580"/>
      <c r="AT1115" s="580"/>
      <c r="AU1115" s="580"/>
      <c r="AV1115" s="580"/>
      <c r="AW1115" s="580"/>
      <c r="AX1115" s="580"/>
      <c r="AY1115" s="580"/>
      <c r="AZ1115" s="580"/>
      <c r="BA1115" s="580"/>
      <c r="BB1115" s="581"/>
      <c r="BC1115" s="581"/>
      <c r="BD1115" s="581"/>
      <c r="BE1115" s="581"/>
    </row>
    <row r="1116" s="56" customFormat="true" ht="14.1" hidden="true" customHeight="true" outlineLevel="1" collapsed="false">
      <c r="A1116" s="455" t="s">
        <v>737</v>
      </c>
      <c r="B1116" s="455"/>
      <c r="C1116" s="455"/>
      <c r="D1116" s="595"/>
      <c r="E1116" s="595"/>
      <c r="F1116" s="595"/>
      <c r="G1116" s="589"/>
      <c r="H1116" s="337"/>
      <c r="I1116" s="337"/>
      <c r="J1116" s="337"/>
      <c r="K1116" s="337"/>
      <c r="L1116" s="337"/>
      <c r="M1116" s="337"/>
      <c r="N1116" s="337"/>
      <c r="O1116" s="337"/>
      <c r="P1116" s="337"/>
      <c r="Q1116" s="243"/>
      <c r="R1116" s="243"/>
      <c r="S1116" s="243"/>
      <c r="T1116" s="243"/>
      <c r="U1116" s="243"/>
      <c r="V1116" s="243"/>
      <c r="W1116" s="243"/>
      <c r="X1116" s="243"/>
      <c r="Y1116" s="243"/>
      <c r="Z1116" s="243"/>
      <c r="AA1116" s="243"/>
      <c r="AB1116" s="243"/>
      <c r="AC1116" s="243"/>
      <c r="AD1116" s="243"/>
      <c r="AE1116" s="243"/>
      <c r="AF1116" s="243"/>
      <c r="AG1116" s="243"/>
      <c r="AH1116" s="29"/>
      <c r="AI1116" s="29"/>
      <c r="AJ1116" s="29"/>
      <c r="AK1116" s="29"/>
      <c r="AL1116" s="29"/>
      <c r="AM1116" s="29"/>
      <c r="AN1116" s="29"/>
      <c r="AO1116" s="567"/>
      <c r="AP1116" s="567"/>
      <c r="AQ1116" s="568"/>
      <c r="AR1116" s="568"/>
      <c r="AS1116" s="568"/>
      <c r="AT1116" s="568"/>
      <c r="AU1116" s="568"/>
      <c r="AV1116" s="568"/>
      <c r="AW1116" s="568"/>
      <c r="AX1116" s="568"/>
      <c r="AY1116" s="568"/>
      <c r="AZ1116" s="568"/>
      <c r="BA1116" s="568"/>
      <c r="BB1116" s="569"/>
      <c r="BC1116" s="569"/>
      <c r="BD1116" s="569"/>
      <c r="BE1116" s="569"/>
      <c r="BF1116" s="55"/>
    </row>
    <row r="1117" customFormat="false" ht="14.1" hidden="true" customHeight="true" outlineLevel="1" collapsed="false">
      <c r="A1117" s="487" t="s">
        <v>736</v>
      </c>
      <c r="B1117" s="235"/>
      <c r="C1117" s="455"/>
      <c r="D1117" s="587"/>
      <c r="E1117" s="587"/>
      <c r="F1117" s="587"/>
      <c r="G1117" s="589"/>
      <c r="H1117" s="337"/>
      <c r="I1117" s="337"/>
      <c r="J1117" s="337"/>
      <c r="K1117" s="337"/>
      <c r="L1117" s="337"/>
      <c r="M1117" s="337"/>
      <c r="N1117" s="337"/>
      <c r="O1117" s="337"/>
      <c r="P1117" s="337"/>
      <c r="Q1117" s="577"/>
      <c r="R1117" s="577"/>
      <c r="S1117" s="577"/>
      <c r="T1117" s="577"/>
      <c r="U1117" s="577"/>
      <c r="V1117" s="577"/>
      <c r="W1117" s="577"/>
      <c r="X1117" s="577"/>
      <c r="Y1117" s="577"/>
      <c r="Z1117" s="577"/>
      <c r="AA1117" s="577"/>
      <c r="AB1117" s="577"/>
      <c r="AC1117" s="577"/>
      <c r="AD1117" s="577"/>
      <c r="AE1117" s="577"/>
      <c r="AF1117" s="577"/>
      <c r="AG1117" s="577"/>
      <c r="AH1117" s="578"/>
      <c r="AI1117" s="578"/>
      <c r="AJ1117" s="578"/>
      <c r="AK1117" s="578"/>
      <c r="AL1117" s="578"/>
      <c r="AM1117" s="578"/>
      <c r="AN1117" s="578"/>
      <c r="AO1117" s="579"/>
      <c r="AP1117" s="579"/>
      <c r="AQ1117" s="580"/>
      <c r="AR1117" s="580"/>
      <c r="AS1117" s="580"/>
      <c r="AT1117" s="580"/>
      <c r="AU1117" s="580"/>
      <c r="AV1117" s="580"/>
      <c r="AW1117" s="580"/>
      <c r="AX1117" s="580"/>
      <c r="AY1117" s="580"/>
      <c r="AZ1117" s="580"/>
      <c r="BA1117" s="580"/>
      <c r="BB1117" s="581"/>
      <c r="BC1117" s="581"/>
      <c r="BD1117" s="581"/>
      <c r="BE1117" s="581"/>
    </row>
    <row r="1118" s="56" customFormat="true" ht="14.1" hidden="true" customHeight="true" outlineLevel="1" collapsed="false">
      <c r="A1118" s="455" t="s">
        <v>593</v>
      </c>
      <c r="B1118" s="455"/>
      <c r="C1118" s="455"/>
      <c r="D1118" s="595"/>
      <c r="E1118" s="595"/>
      <c r="F1118" s="595"/>
      <c r="G1118" s="589"/>
      <c r="H1118" s="337"/>
      <c r="I1118" s="337"/>
      <c r="J1118" s="337"/>
      <c r="K1118" s="337"/>
      <c r="L1118" s="337"/>
      <c r="M1118" s="337"/>
      <c r="N1118" s="337"/>
      <c r="O1118" s="337"/>
      <c r="P1118" s="337"/>
      <c r="Q1118" s="243"/>
      <c r="R1118" s="243"/>
      <c r="S1118" s="243"/>
      <c r="T1118" s="243"/>
      <c r="U1118" s="243"/>
      <c r="V1118" s="243"/>
      <c r="W1118" s="243"/>
      <c r="X1118" s="243"/>
      <c r="Y1118" s="243"/>
      <c r="Z1118" s="243"/>
      <c r="AA1118" s="243"/>
      <c r="AB1118" s="243"/>
      <c r="AC1118" s="243"/>
      <c r="AD1118" s="243"/>
      <c r="AE1118" s="243"/>
      <c r="AF1118" s="243"/>
      <c r="AG1118" s="243"/>
      <c r="AH1118" s="29"/>
      <c r="AI1118" s="29"/>
      <c r="AJ1118" s="29"/>
      <c r="AK1118" s="29"/>
      <c r="AL1118" s="29"/>
      <c r="AM1118" s="29"/>
      <c r="AN1118" s="29"/>
      <c r="AO1118" s="567"/>
      <c r="AP1118" s="567"/>
      <c r="AQ1118" s="568"/>
      <c r="AR1118" s="568"/>
      <c r="AS1118" s="568"/>
      <c r="AT1118" s="568"/>
      <c r="AU1118" s="568"/>
      <c r="AV1118" s="568"/>
      <c r="AW1118" s="568"/>
      <c r="AX1118" s="568"/>
      <c r="AY1118" s="568"/>
      <c r="AZ1118" s="568"/>
      <c r="BA1118" s="568"/>
      <c r="BB1118" s="569"/>
      <c r="BC1118" s="569"/>
      <c r="BD1118" s="569"/>
      <c r="BE1118" s="569"/>
      <c r="BF1118" s="55"/>
    </row>
    <row r="1119" customFormat="false" ht="14.1" hidden="true" customHeight="true" outlineLevel="1" collapsed="false">
      <c r="A1119" s="487" t="s">
        <v>738</v>
      </c>
      <c r="B1119" s="235"/>
      <c r="C1119" s="455"/>
      <c r="D1119" s="587"/>
      <c r="E1119" s="587"/>
      <c r="F1119" s="587"/>
      <c r="G1119" s="589"/>
      <c r="H1119" s="337"/>
      <c r="I1119" s="337"/>
      <c r="J1119" s="337"/>
      <c r="K1119" s="337"/>
      <c r="L1119" s="337"/>
      <c r="M1119" s="337"/>
      <c r="N1119" s="337"/>
      <c r="O1119" s="337"/>
      <c r="P1119" s="337"/>
      <c r="Q1119" s="577"/>
      <c r="R1119" s="577"/>
      <c r="S1119" s="577"/>
      <c r="T1119" s="577"/>
      <c r="U1119" s="577"/>
      <c r="V1119" s="577"/>
      <c r="W1119" s="577"/>
      <c r="X1119" s="577"/>
      <c r="Y1119" s="577"/>
      <c r="Z1119" s="577"/>
      <c r="AA1119" s="577"/>
      <c r="AB1119" s="577"/>
      <c r="AC1119" s="577"/>
      <c r="AD1119" s="577"/>
      <c r="AE1119" s="577"/>
      <c r="AF1119" s="577"/>
      <c r="AG1119" s="577"/>
      <c r="AH1119" s="578"/>
      <c r="AI1119" s="578"/>
      <c r="AJ1119" s="578"/>
      <c r="AK1119" s="578"/>
      <c r="AL1119" s="578"/>
      <c r="AM1119" s="578"/>
      <c r="AN1119" s="578"/>
      <c r="AO1119" s="579"/>
      <c r="AP1119" s="579"/>
      <c r="AQ1119" s="580"/>
      <c r="AR1119" s="580"/>
      <c r="AS1119" s="580"/>
      <c r="AT1119" s="580"/>
      <c r="AU1119" s="580"/>
      <c r="AV1119" s="580"/>
      <c r="AW1119" s="580"/>
      <c r="AX1119" s="580"/>
      <c r="AY1119" s="580"/>
      <c r="AZ1119" s="580"/>
      <c r="BA1119" s="580"/>
      <c r="BB1119" s="581"/>
      <c r="BC1119" s="581"/>
      <c r="BD1119" s="581"/>
      <c r="BE1119" s="581"/>
    </row>
    <row r="1120" s="56" customFormat="true" ht="14.1" hidden="true" customHeight="true" outlineLevel="1" collapsed="false">
      <c r="A1120" s="227" t="s">
        <v>575</v>
      </c>
      <c r="B1120" s="328"/>
      <c r="C1120" s="455"/>
      <c r="D1120" s="595"/>
      <c r="E1120" s="595"/>
      <c r="F1120" s="595"/>
      <c r="G1120" s="589"/>
      <c r="H1120" s="337"/>
      <c r="I1120" s="337"/>
      <c r="J1120" s="337"/>
      <c r="K1120" s="337"/>
      <c r="L1120" s="337"/>
      <c r="M1120" s="337"/>
      <c r="N1120" s="337"/>
      <c r="O1120" s="337"/>
      <c r="P1120" s="337"/>
      <c r="Q1120" s="243"/>
      <c r="R1120" s="243"/>
      <c r="S1120" s="243"/>
      <c r="T1120" s="243"/>
      <c r="U1120" s="243"/>
      <c r="V1120" s="243"/>
      <c r="W1120" s="243"/>
      <c r="X1120" s="243"/>
      <c r="Y1120" s="243"/>
      <c r="Z1120" s="243"/>
      <c r="AA1120" s="243"/>
      <c r="AB1120" s="243"/>
      <c r="AC1120" s="243"/>
      <c r="AD1120" s="243"/>
      <c r="AE1120" s="243"/>
      <c r="AF1120" s="243"/>
      <c r="AG1120" s="243"/>
      <c r="AH1120" s="29"/>
      <c r="AI1120" s="29"/>
      <c r="AJ1120" s="29"/>
      <c r="AK1120" s="29"/>
      <c r="AL1120" s="29"/>
      <c r="AM1120" s="29"/>
      <c r="AN1120" s="29"/>
      <c r="AO1120" s="567"/>
      <c r="AP1120" s="567"/>
      <c r="AQ1120" s="568"/>
      <c r="AR1120" s="568"/>
      <c r="AS1120" s="568"/>
      <c r="AT1120" s="568"/>
      <c r="AU1120" s="568"/>
      <c r="AV1120" s="568"/>
      <c r="AW1120" s="568"/>
      <c r="AX1120" s="568"/>
      <c r="AY1120" s="568"/>
      <c r="AZ1120" s="568"/>
      <c r="BA1120" s="568"/>
      <c r="BB1120" s="569"/>
      <c r="BC1120" s="569"/>
      <c r="BD1120" s="569"/>
      <c r="BE1120" s="569"/>
      <c r="BF1120" s="55"/>
    </row>
    <row r="1121" customFormat="false" ht="14.1" hidden="true" customHeight="true" outlineLevel="1" collapsed="false">
      <c r="A1121" s="487" t="s">
        <v>739</v>
      </c>
      <c r="B1121" s="277"/>
      <c r="C1121" s="455"/>
      <c r="D1121" s="587"/>
      <c r="E1121" s="587"/>
      <c r="F1121" s="587"/>
      <c r="G1121" s="589"/>
      <c r="H1121" s="132"/>
      <c r="I1121" s="243"/>
      <c r="J1121" s="243"/>
      <c r="K1121" s="243"/>
      <c r="L1121" s="243"/>
      <c r="M1121" s="243"/>
      <c r="N1121" s="243"/>
      <c r="O1121" s="243"/>
      <c r="P1121" s="577"/>
      <c r="Q1121" s="577"/>
      <c r="R1121" s="577"/>
      <c r="S1121" s="577"/>
      <c r="T1121" s="577"/>
      <c r="U1121" s="577"/>
      <c r="V1121" s="577"/>
      <c r="W1121" s="577"/>
      <c r="X1121" s="577"/>
      <c r="Y1121" s="577"/>
      <c r="Z1121" s="577"/>
      <c r="AA1121" s="577"/>
      <c r="AB1121" s="577"/>
      <c r="AC1121" s="577"/>
      <c r="AD1121" s="577"/>
      <c r="AE1121" s="577"/>
      <c r="AF1121" s="577"/>
      <c r="AG1121" s="577"/>
      <c r="AH1121" s="578"/>
      <c r="AI1121" s="578"/>
      <c r="AJ1121" s="578"/>
      <c r="AK1121" s="578"/>
      <c r="AL1121" s="578"/>
      <c r="AM1121" s="578"/>
      <c r="AN1121" s="578"/>
      <c r="AO1121" s="579"/>
      <c r="AP1121" s="579"/>
      <c r="AQ1121" s="580"/>
      <c r="AR1121" s="580"/>
      <c r="AS1121" s="580"/>
      <c r="AT1121" s="580"/>
      <c r="AU1121" s="580"/>
      <c r="AV1121" s="580"/>
      <c r="AW1121" s="580"/>
      <c r="AX1121" s="580"/>
      <c r="AY1121" s="580"/>
      <c r="AZ1121" s="580"/>
      <c r="BA1121" s="580"/>
      <c r="BB1121" s="581"/>
      <c r="BC1121" s="581"/>
      <c r="BD1121" s="581"/>
      <c r="BE1121" s="581"/>
    </row>
    <row r="1122" s="56" customFormat="true" ht="14.1" hidden="true" customHeight="true" outlineLevel="1" collapsed="false">
      <c r="A1122" s="227" t="s">
        <v>740</v>
      </c>
      <c r="B1122" s="277"/>
      <c r="C1122" s="455"/>
      <c r="D1122" s="595"/>
      <c r="E1122" s="595"/>
      <c r="F1122" s="595"/>
      <c r="G1122" s="589"/>
      <c r="H1122" s="132"/>
      <c r="I1122" s="243"/>
      <c r="J1122" s="243"/>
      <c r="K1122" s="243"/>
      <c r="L1122" s="243"/>
      <c r="M1122" s="243"/>
      <c r="N1122" s="243"/>
      <c r="O1122" s="243"/>
      <c r="P1122" s="243"/>
      <c r="Q1122" s="243"/>
      <c r="R1122" s="243"/>
      <c r="S1122" s="243"/>
      <c r="T1122" s="243"/>
      <c r="U1122" s="243"/>
      <c r="V1122" s="243"/>
      <c r="W1122" s="243"/>
      <c r="X1122" s="243"/>
      <c r="Y1122" s="243"/>
      <c r="Z1122" s="243"/>
      <c r="AA1122" s="243"/>
      <c r="AB1122" s="243"/>
      <c r="AC1122" s="243"/>
      <c r="AD1122" s="243"/>
      <c r="AE1122" s="243"/>
      <c r="AF1122" s="243"/>
      <c r="AG1122" s="243"/>
      <c r="AH1122" s="29"/>
      <c r="AI1122" s="29"/>
      <c r="AJ1122" s="29"/>
      <c r="AK1122" s="29"/>
      <c r="AL1122" s="29"/>
      <c r="AM1122" s="29"/>
      <c r="AN1122" s="29"/>
      <c r="AO1122" s="567"/>
      <c r="AP1122" s="567"/>
      <c r="AQ1122" s="568"/>
      <c r="AR1122" s="568"/>
      <c r="AS1122" s="568"/>
      <c r="AT1122" s="568"/>
      <c r="AU1122" s="568"/>
      <c r="AV1122" s="568"/>
      <c r="AW1122" s="568"/>
      <c r="AX1122" s="568"/>
      <c r="AY1122" s="568"/>
      <c r="AZ1122" s="568"/>
      <c r="BA1122" s="568"/>
      <c r="BB1122" s="569"/>
      <c r="BC1122" s="569"/>
      <c r="BD1122" s="569"/>
      <c r="BE1122" s="569"/>
      <c r="BF1122" s="55"/>
    </row>
    <row r="1123" customFormat="false" ht="14.1" hidden="true" customHeight="true" outlineLevel="1" collapsed="false">
      <c r="A1123" s="591" t="s">
        <v>741</v>
      </c>
      <c r="B1123" s="277"/>
      <c r="C1123" s="455"/>
      <c r="D1123" s="587"/>
      <c r="E1123" s="587"/>
      <c r="F1123" s="587"/>
      <c r="G1123" s="589"/>
      <c r="H1123" s="132"/>
      <c r="I1123" s="243"/>
      <c r="J1123" s="243"/>
      <c r="K1123" s="243"/>
      <c r="L1123" s="243"/>
      <c r="M1123" s="243"/>
      <c r="N1123" s="243"/>
      <c r="O1123" s="243"/>
      <c r="P1123" s="577"/>
      <c r="Q1123" s="577"/>
      <c r="R1123" s="577"/>
      <c r="S1123" s="577"/>
      <c r="T1123" s="577"/>
      <c r="U1123" s="577"/>
      <c r="V1123" s="577"/>
      <c r="W1123" s="577"/>
      <c r="X1123" s="577"/>
      <c r="Y1123" s="577"/>
      <c r="Z1123" s="577"/>
      <c r="AA1123" s="577"/>
      <c r="AB1123" s="577"/>
      <c r="AC1123" s="577"/>
      <c r="AD1123" s="577"/>
      <c r="AE1123" s="577"/>
      <c r="AF1123" s="577"/>
      <c r="AG1123" s="577"/>
      <c r="AH1123" s="578"/>
      <c r="AI1123" s="578"/>
      <c r="AJ1123" s="578"/>
      <c r="AK1123" s="578"/>
      <c r="AL1123" s="578"/>
      <c r="AM1123" s="578"/>
      <c r="AN1123" s="578"/>
      <c r="AO1123" s="579"/>
      <c r="AP1123" s="579"/>
      <c r="AQ1123" s="580"/>
      <c r="AR1123" s="580"/>
      <c r="AS1123" s="580"/>
      <c r="AT1123" s="580"/>
      <c r="AU1123" s="580"/>
      <c r="AV1123" s="580"/>
      <c r="AW1123" s="580"/>
      <c r="AX1123" s="580"/>
      <c r="AY1123" s="580"/>
      <c r="AZ1123" s="580"/>
      <c r="BA1123" s="580"/>
      <c r="BB1123" s="581"/>
      <c r="BC1123" s="581"/>
      <c r="BD1123" s="581"/>
      <c r="BE1123" s="581"/>
    </row>
    <row r="1124" customFormat="false" ht="14.1" hidden="true" customHeight="true" outlineLevel="1" collapsed="false">
      <c r="A1124" s="250" t="s">
        <v>356</v>
      </c>
      <c r="B1124" s="277"/>
      <c r="C1124" s="455"/>
      <c r="D1124" s="587"/>
      <c r="E1124" s="587"/>
      <c r="F1124" s="587"/>
      <c r="G1124" s="589"/>
      <c r="H1124" s="132"/>
      <c r="I1124" s="243"/>
      <c r="J1124" s="243"/>
      <c r="K1124" s="243"/>
      <c r="L1124" s="243"/>
      <c r="M1124" s="243"/>
      <c r="N1124" s="243"/>
      <c r="O1124" s="243"/>
      <c r="P1124" s="577"/>
      <c r="Q1124" s="577"/>
      <c r="R1124" s="577"/>
      <c r="S1124" s="577"/>
      <c r="T1124" s="577"/>
      <c r="U1124" s="577"/>
      <c r="V1124" s="577"/>
      <c r="W1124" s="577"/>
      <c r="X1124" s="577"/>
      <c r="Y1124" s="577"/>
      <c r="Z1124" s="577"/>
      <c r="AA1124" s="577"/>
      <c r="AB1124" s="577"/>
      <c r="AC1124" s="577"/>
      <c r="AD1124" s="577"/>
      <c r="AE1124" s="577"/>
      <c r="AF1124" s="577"/>
      <c r="AG1124" s="577"/>
      <c r="AH1124" s="578"/>
      <c r="AI1124" s="578"/>
      <c r="AJ1124" s="578"/>
      <c r="AK1124" s="578"/>
      <c r="AL1124" s="578"/>
      <c r="AM1124" s="578"/>
      <c r="AN1124" s="578"/>
      <c r="AO1124" s="579"/>
      <c r="AP1124" s="579"/>
      <c r="AQ1124" s="580"/>
      <c r="AR1124" s="580"/>
      <c r="AS1124" s="580"/>
      <c r="AT1124" s="580"/>
      <c r="AU1124" s="580"/>
      <c r="AV1124" s="580"/>
      <c r="AW1124" s="580"/>
      <c r="AX1124" s="580"/>
      <c r="AY1124" s="580"/>
      <c r="AZ1124" s="580"/>
      <c r="BA1124" s="580"/>
      <c r="BB1124" s="581"/>
      <c r="BC1124" s="581"/>
      <c r="BD1124" s="581"/>
      <c r="BE1124" s="581"/>
    </row>
    <row r="1125" customFormat="false" ht="14.1" hidden="true" customHeight="true" outlineLevel="1" collapsed="false">
      <c r="A1125" s="596" t="s">
        <v>101</v>
      </c>
      <c r="B1125" s="277"/>
      <c r="C1125" s="455"/>
      <c r="D1125" s="587"/>
      <c r="E1125" s="587"/>
      <c r="F1125" s="587"/>
      <c r="G1125" s="589"/>
      <c r="H1125" s="132"/>
      <c r="I1125" s="243"/>
      <c r="J1125" s="243"/>
      <c r="K1125" s="243"/>
      <c r="L1125" s="243"/>
      <c r="M1125" s="243"/>
      <c r="N1125" s="243"/>
      <c r="O1125" s="243"/>
      <c r="P1125" s="577"/>
      <c r="Q1125" s="577"/>
      <c r="R1125" s="577"/>
      <c r="S1125" s="577"/>
      <c r="T1125" s="577"/>
      <c r="U1125" s="577"/>
      <c r="V1125" s="577"/>
      <c r="W1125" s="577"/>
      <c r="X1125" s="577"/>
      <c r="Y1125" s="577"/>
      <c r="Z1125" s="577"/>
      <c r="AA1125" s="577"/>
      <c r="AB1125" s="577"/>
      <c r="AC1125" s="577"/>
      <c r="AD1125" s="577"/>
      <c r="AE1125" s="577"/>
      <c r="AF1125" s="577"/>
      <c r="AG1125" s="577"/>
      <c r="AH1125" s="578"/>
      <c r="AI1125" s="578"/>
      <c r="AJ1125" s="578"/>
      <c r="AK1125" s="578"/>
      <c r="AL1125" s="578"/>
      <c r="AM1125" s="578"/>
      <c r="AN1125" s="578"/>
      <c r="AO1125" s="579"/>
      <c r="AP1125" s="579"/>
      <c r="AQ1125" s="580"/>
      <c r="AR1125" s="580"/>
      <c r="AS1125" s="580"/>
      <c r="AT1125" s="580"/>
      <c r="AU1125" s="580"/>
      <c r="AV1125" s="580"/>
      <c r="AW1125" s="580"/>
      <c r="AX1125" s="580"/>
      <c r="AY1125" s="580"/>
      <c r="AZ1125" s="580"/>
      <c r="BA1125" s="580"/>
      <c r="BB1125" s="581"/>
      <c r="BC1125" s="581"/>
      <c r="BD1125" s="581"/>
      <c r="BE1125" s="581"/>
    </row>
    <row r="1126" customFormat="false" ht="14.1" hidden="true" customHeight="true" outlineLevel="1" collapsed="false">
      <c r="A1126" s="250" t="s">
        <v>724</v>
      </c>
      <c r="B1126" s="277"/>
      <c r="C1126" s="455"/>
      <c r="D1126" s="587"/>
      <c r="E1126" s="587"/>
      <c r="F1126" s="587"/>
      <c r="G1126" s="589"/>
      <c r="H1126" s="132"/>
      <c r="I1126" s="243"/>
      <c r="J1126" s="243"/>
      <c r="K1126" s="243"/>
      <c r="L1126" s="243"/>
      <c r="M1126" s="243"/>
      <c r="N1126" s="243"/>
      <c r="O1126" s="243"/>
      <c r="P1126" s="577"/>
      <c r="Q1126" s="577"/>
      <c r="R1126" s="577"/>
      <c r="S1126" s="577"/>
      <c r="T1126" s="577"/>
      <c r="U1126" s="577"/>
      <c r="V1126" s="577"/>
      <c r="W1126" s="577"/>
      <c r="X1126" s="577"/>
      <c r="Y1126" s="577"/>
      <c r="Z1126" s="577"/>
      <c r="AA1126" s="577"/>
      <c r="AB1126" s="577"/>
      <c r="AC1126" s="577"/>
      <c r="AD1126" s="577"/>
      <c r="AE1126" s="577"/>
      <c r="AF1126" s="577"/>
      <c r="AG1126" s="577"/>
      <c r="AH1126" s="578"/>
      <c r="AI1126" s="578"/>
      <c r="AJ1126" s="578"/>
      <c r="AK1126" s="578"/>
      <c r="AL1126" s="578"/>
      <c r="AM1126" s="578"/>
      <c r="AN1126" s="578"/>
      <c r="AO1126" s="579"/>
      <c r="AP1126" s="579"/>
      <c r="AQ1126" s="580"/>
      <c r="AR1126" s="580"/>
      <c r="AS1126" s="580"/>
      <c r="AT1126" s="580"/>
      <c r="AU1126" s="580"/>
      <c r="AV1126" s="580"/>
      <c r="AW1126" s="580"/>
      <c r="AX1126" s="580"/>
      <c r="AY1126" s="580"/>
      <c r="AZ1126" s="580"/>
      <c r="BA1126" s="580"/>
      <c r="BB1126" s="581"/>
      <c r="BC1126" s="581"/>
      <c r="BD1126" s="581"/>
      <c r="BE1126" s="581"/>
    </row>
    <row r="1127" customFormat="false" ht="14.1" hidden="true" customHeight="true" outlineLevel="1" collapsed="false">
      <c r="A1127" s="597" t="s">
        <v>101</v>
      </c>
      <c r="B1127" s="277"/>
      <c r="C1127" s="455"/>
      <c r="D1127" s="587"/>
      <c r="E1127" s="587"/>
      <c r="F1127" s="587"/>
      <c r="G1127" s="589"/>
      <c r="H1127" s="132"/>
      <c r="I1127" s="243"/>
      <c r="J1127" s="243"/>
      <c r="K1127" s="243"/>
      <c r="L1127" s="243"/>
      <c r="M1127" s="243"/>
      <c r="N1127" s="243"/>
      <c r="O1127" s="243"/>
      <c r="P1127" s="577"/>
      <c r="Q1127" s="577"/>
      <c r="R1127" s="577"/>
      <c r="S1127" s="577"/>
      <c r="T1127" s="577"/>
      <c r="U1127" s="577"/>
      <c r="V1127" s="577"/>
      <c r="W1127" s="577"/>
      <c r="X1127" s="577"/>
      <c r="Y1127" s="577"/>
      <c r="Z1127" s="577"/>
      <c r="AA1127" s="577"/>
      <c r="AB1127" s="577"/>
      <c r="AC1127" s="577"/>
      <c r="AD1127" s="577"/>
      <c r="AE1127" s="577"/>
      <c r="AF1127" s="577"/>
      <c r="AG1127" s="577"/>
      <c r="AH1127" s="578"/>
      <c r="AI1127" s="578"/>
      <c r="AJ1127" s="578"/>
      <c r="AK1127" s="578"/>
      <c r="AL1127" s="578"/>
      <c r="AM1127" s="578"/>
      <c r="AN1127" s="578"/>
      <c r="AO1127" s="579"/>
      <c r="AP1127" s="579"/>
      <c r="AQ1127" s="580"/>
      <c r="AR1127" s="580"/>
      <c r="AS1127" s="580"/>
      <c r="AT1127" s="580"/>
      <c r="AU1127" s="580"/>
      <c r="AV1127" s="580"/>
      <c r="AW1127" s="580"/>
      <c r="AX1127" s="580"/>
      <c r="AY1127" s="580"/>
      <c r="AZ1127" s="580"/>
      <c r="BA1127" s="580"/>
      <c r="BB1127" s="581"/>
      <c r="BC1127" s="581"/>
      <c r="BD1127" s="581"/>
      <c r="BE1127" s="581"/>
    </row>
    <row r="1128" customFormat="false" ht="14.1" hidden="true" customHeight="true" outlineLevel="1" collapsed="false">
      <c r="A1128" s="250" t="s">
        <v>742</v>
      </c>
      <c r="B1128" s="455"/>
      <c r="C1128" s="138"/>
      <c r="D1128" s="587"/>
      <c r="E1128" s="587"/>
      <c r="F1128" s="587"/>
      <c r="G1128" s="589"/>
      <c r="H1128" s="132"/>
      <c r="I1128" s="243"/>
      <c r="J1128" s="243"/>
      <c r="K1128" s="243"/>
      <c r="L1128" s="243"/>
      <c r="M1128" s="243"/>
      <c r="N1128" s="243"/>
      <c r="O1128" s="243"/>
      <c r="P1128" s="577"/>
      <c r="Q1128" s="577"/>
      <c r="R1128" s="577"/>
      <c r="S1128" s="577"/>
      <c r="T1128" s="577"/>
      <c r="U1128" s="577"/>
      <c r="V1128" s="577"/>
      <c r="W1128" s="577"/>
      <c r="X1128" s="577"/>
      <c r="Y1128" s="577"/>
      <c r="Z1128" s="577"/>
      <c r="AA1128" s="577"/>
      <c r="AB1128" s="577"/>
      <c r="AC1128" s="577"/>
      <c r="AD1128" s="577"/>
      <c r="AE1128" s="577"/>
      <c r="AF1128" s="577"/>
      <c r="AG1128" s="577"/>
      <c r="AH1128" s="578"/>
      <c r="AI1128" s="578"/>
      <c r="AJ1128" s="578"/>
      <c r="AK1128" s="578"/>
      <c r="AL1128" s="578"/>
      <c r="AM1128" s="578"/>
      <c r="AN1128" s="578"/>
      <c r="AO1128" s="579"/>
      <c r="AP1128" s="579"/>
      <c r="AQ1128" s="580"/>
      <c r="AR1128" s="580"/>
      <c r="AS1128" s="580"/>
      <c r="AT1128" s="580"/>
      <c r="AU1128" s="580"/>
      <c r="AV1128" s="580"/>
      <c r="AW1128" s="580"/>
      <c r="AX1128" s="580"/>
      <c r="AY1128" s="580"/>
      <c r="AZ1128" s="580"/>
      <c r="BA1128" s="580"/>
      <c r="BB1128" s="581"/>
      <c r="BC1128" s="581"/>
      <c r="BD1128" s="581"/>
      <c r="BE1128" s="581"/>
    </row>
    <row r="1129" customFormat="false" ht="14.1" hidden="true" customHeight="true" outlineLevel="1" collapsed="false">
      <c r="A1129" s="597" t="s">
        <v>101</v>
      </c>
      <c r="B1129" s="277"/>
      <c r="C1129" s="455"/>
      <c r="D1129" s="587"/>
      <c r="E1129" s="587"/>
      <c r="F1129" s="587"/>
      <c r="G1129" s="589"/>
      <c r="H1129" s="132"/>
      <c r="I1129" s="243"/>
      <c r="J1129" s="243"/>
      <c r="K1129" s="243"/>
      <c r="L1129" s="243"/>
      <c r="M1129" s="243"/>
      <c r="N1129" s="243"/>
      <c r="O1129" s="243"/>
      <c r="P1129" s="577"/>
      <c r="Q1129" s="577"/>
      <c r="R1129" s="577"/>
      <c r="S1129" s="577"/>
      <c r="T1129" s="577"/>
      <c r="U1129" s="577"/>
      <c r="V1129" s="577"/>
      <c r="W1129" s="577"/>
      <c r="X1129" s="577"/>
      <c r="Y1129" s="577"/>
      <c r="Z1129" s="577"/>
      <c r="AA1129" s="577"/>
      <c r="AB1129" s="577"/>
      <c r="AC1129" s="577"/>
      <c r="AD1129" s="577"/>
      <c r="AE1129" s="577"/>
      <c r="AF1129" s="577"/>
      <c r="AG1129" s="577"/>
      <c r="AH1129" s="578"/>
      <c r="AI1129" s="578"/>
      <c r="AJ1129" s="578"/>
      <c r="AK1129" s="578"/>
      <c r="AL1129" s="578"/>
      <c r="AM1129" s="578"/>
      <c r="AN1129" s="578"/>
      <c r="AO1129" s="579"/>
      <c r="AP1129" s="579"/>
      <c r="AQ1129" s="580"/>
      <c r="AR1129" s="580"/>
      <c r="AS1129" s="580"/>
      <c r="AT1129" s="580"/>
      <c r="AU1129" s="580"/>
      <c r="AV1129" s="580"/>
      <c r="AW1129" s="580"/>
      <c r="AX1129" s="580"/>
      <c r="AY1129" s="580"/>
      <c r="AZ1129" s="580"/>
      <c r="BA1129" s="580"/>
      <c r="BB1129" s="581"/>
      <c r="BC1129" s="581"/>
      <c r="BD1129" s="581"/>
      <c r="BE1129" s="581"/>
    </row>
    <row r="1130" customFormat="false" ht="14.1" hidden="true" customHeight="true" outlineLevel="1" collapsed="false">
      <c r="A1130" s="250" t="s">
        <v>743</v>
      </c>
      <c r="B1130" s="277"/>
      <c r="C1130" s="455"/>
      <c r="D1130" s="587"/>
      <c r="E1130" s="587"/>
      <c r="F1130" s="587"/>
      <c r="G1130" s="589"/>
      <c r="H1130" s="132"/>
      <c r="I1130" s="243"/>
      <c r="J1130" s="243"/>
      <c r="K1130" s="243"/>
      <c r="L1130" s="243"/>
      <c r="M1130" s="243"/>
      <c r="N1130" s="243"/>
      <c r="O1130" s="243"/>
      <c r="P1130" s="577"/>
      <c r="Q1130" s="577"/>
      <c r="R1130" s="577"/>
      <c r="S1130" s="577"/>
      <c r="T1130" s="577"/>
      <c r="U1130" s="577"/>
      <c r="V1130" s="577"/>
      <c r="W1130" s="577"/>
      <c r="X1130" s="577"/>
      <c r="Y1130" s="577"/>
      <c r="Z1130" s="577"/>
      <c r="AA1130" s="577"/>
      <c r="AB1130" s="577"/>
      <c r="AC1130" s="577"/>
      <c r="AD1130" s="577"/>
      <c r="AE1130" s="577"/>
      <c r="AF1130" s="577"/>
      <c r="AG1130" s="577"/>
      <c r="AH1130" s="578"/>
      <c r="AI1130" s="578"/>
      <c r="AJ1130" s="578"/>
      <c r="AK1130" s="578"/>
      <c r="AL1130" s="578"/>
      <c r="AM1130" s="578"/>
      <c r="AN1130" s="578"/>
      <c r="AO1130" s="579"/>
      <c r="AP1130" s="579"/>
      <c r="AQ1130" s="580"/>
      <c r="AR1130" s="580"/>
      <c r="AS1130" s="580"/>
      <c r="AT1130" s="580"/>
      <c r="AU1130" s="580"/>
      <c r="AV1130" s="580"/>
      <c r="AW1130" s="580"/>
      <c r="AX1130" s="580"/>
      <c r="AY1130" s="580"/>
      <c r="AZ1130" s="580"/>
      <c r="BA1130" s="580"/>
      <c r="BB1130" s="581"/>
      <c r="BC1130" s="581"/>
      <c r="BD1130" s="581"/>
      <c r="BE1130" s="581"/>
    </row>
    <row r="1131" customFormat="false" ht="14.1" hidden="true" customHeight="true" outlineLevel="1" collapsed="false">
      <c r="A1131" s="597" t="s">
        <v>744</v>
      </c>
      <c r="B1131" s="277"/>
      <c r="C1131" s="455"/>
      <c r="D1131" s="587"/>
      <c r="E1131" s="587"/>
      <c r="F1131" s="587"/>
      <c r="G1131" s="589"/>
      <c r="H1131" s="132"/>
      <c r="I1131" s="243"/>
      <c r="J1131" s="243"/>
      <c r="K1131" s="243"/>
      <c r="L1131" s="243"/>
      <c r="M1131" s="243"/>
      <c r="N1131" s="243"/>
      <c r="O1131" s="243"/>
      <c r="P1131" s="577"/>
      <c r="Q1131" s="577"/>
      <c r="R1131" s="577"/>
      <c r="S1131" s="577"/>
      <c r="T1131" s="577"/>
      <c r="U1131" s="577"/>
      <c r="V1131" s="577"/>
      <c r="W1131" s="577"/>
      <c r="X1131" s="577"/>
      <c r="Y1131" s="577"/>
      <c r="Z1131" s="577"/>
      <c r="AA1131" s="577"/>
      <c r="AB1131" s="577"/>
      <c r="AC1131" s="577"/>
      <c r="AD1131" s="577"/>
      <c r="AE1131" s="577"/>
      <c r="AF1131" s="577"/>
      <c r="AG1131" s="577"/>
      <c r="AH1131" s="578"/>
      <c r="AI1131" s="578"/>
      <c r="AJ1131" s="578"/>
      <c r="AK1131" s="578"/>
      <c r="AL1131" s="578"/>
      <c r="AM1131" s="578"/>
      <c r="AN1131" s="578"/>
      <c r="AO1131" s="579"/>
      <c r="AP1131" s="579"/>
      <c r="AQ1131" s="580"/>
      <c r="AR1131" s="580"/>
      <c r="AS1131" s="580"/>
      <c r="AT1131" s="580"/>
      <c r="AU1131" s="580"/>
      <c r="AV1131" s="580"/>
      <c r="AW1131" s="580"/>
      <c r="AX1131" s="580"/>
      <c r="AY1131" s="580"/>
      <c r="AZ1131" s="580"/>
      <c r="BA1131" s="580"/>
      <c r="BB1131" s="581"/>
      <c r="BC1131" s="581"/>
      <c r="BD1131" s="581"/>
      <c r="BE1131" s="581"/>
    </row>
    <row r="1132" customFormat="false" ht="14.1" hidden="true" customHeight="true" outlineLevel="1" collapsed="false">
      <c r="A1132" s="250" t="s">
        <v>745</v>
      </c>
      <c r="B1132" s="277"/>
      <c r="C1132" s="594"/>
      <c r="D1132" s="587"/>
      <c r="E1132" s="587"/>
      <c r="F1132" s="587"/>
      <c r="G1132" s="589"/>
      <c r="H1132" s="132"/>
      <c r="I1132" s="243"/>
      <c r="J1132" s="243"/>
      <c r="K1132" s="243"/>
      <c r="L1132" s="243"/>
      <c r="M1132" s="243"/>
      <c r="N1132" s="243"/>
      <c r="O1132" s="243"/>
      <c r="P1132" s="577"/>
      <c r="Q1132" s="577"/>
      <c r="R1132" s="577"/>
      <c r="S1132" s="577"/>
      <c r="T1132" s="577"/>
      <c r="U1132" s="577"/>
      <c r="V1132" s="577"/>
      <c r="W1132" s="577"/>
      <c r="X1132" s="577"/>
      <c r="Y1132" s="577"/>
      <c r="Z1132" s="577"/>
      <c r="AA1132" s="577"/>
      <c r="AB1132" s="577"/>
      <c r="AC1132" s="577"/>
      <c r="AD1132" s="577"/>
      <c r="AE1132" s="577"/>
      <c r="AF1132" s="577"/>
      <c r="AG1132" s="577"/>
      <c r="AH1132" s="578"/>
      <c r="AI1132" s="578"/>
      <c r="AJ1132" s="578"/>
      <c r="AK1132" s="578"/>
      <c r="AL1132" s="578"/>
      <c r="AM1132" s="578"/>
      <c r="AN1132" s="578"/>
      <c r="AO1132" s="579"/>
      <c r="AP1132" s="579"/>
      <c r="AQ1132" s="580"/>
      <c r="AR1132" s="580"/>
      <c r="AS1132" s="580"/>
      <c r="AT1132" s="580"/>
      <c r="AU1132" s="580"/>
      <c r="AV1132" s="580"/>
      <c r="AW1132" s="580"/>
      <c r="AX1132" s="580"/>
      <c r="AY1132" s="580"/>
      <c r="AZ1132" s="580"/>
      <c r="BA1132" s="580"/>
      <c r="BB1132" s="581"/>
      <c r="BC1132" s="581"/>
      <c r="BD1132" s="581"/>
      <c r="BE1132" s="581"/>
    </row>
    <row r="1133" customFormat="false" ht="14.1" hidden="true" customHeight="true" outlineLevel="1" collapsed="false">
      <c r="A1133" s="597" t="s">
        <v>101</v>
      </c>
      <c r="B1133" s="277"/>
      <c r="C1133" s="594"/>
      <c r="D1133" s="587"/>
      <c r="E1133" s="587"/>
      <c r="F1133" s="587"/>
      <c r="G1133" s="589"/>
      <c r="H1133" s="132"/>
      <c r="I1133" s="243"/>
      <c r="J1133" s="243"/>
      <c r="K1133" s="243"/>
      <c r="L1133" s="243"/>
      <c r="M1133" s="243"/>
      <c r="N1133" s="243"/>
      <c r="O1133" s="243"/>
      <c r="P1133" s="577"/>
      <c r="Q1133" s="577"/>
      <c r="R1133" s="577"/>
      <c r="S1133" s="577"/>
      <c r="T1133" s="577"/>
      <c r="U1133" s="577"/>
      <c r="V1133" s="577"/>
      <c r="W1133" s="577"/>
      <c r="X1133" s="577"/>
      <c r="Y1133" s="577"/>
      <c r="Z1133" s="577"/>
      <c r="AA1133" s="577"/>
      <c r="AB1133" s="577"/>
      <c r="AC1133" s="577"/>
      <c r="AD1133" s="577"/>
      <c r="AE1133" s="577"/>
      <c r="AF1133" s="577"/>
      <c r="AG1133" s="577"/>
      <c r="AH1133" s="578"/>
      <c r="AI1133" s="578"/>
      <c r="AJ1133" s="578"/>
      <c r="AK1133" s="578"/>
      <c r="AL1133" s="578"/>
      <c r="AM1133" s="578"/>
      <c r="AN1133" s="578"/>
      <c r="AO1133" s="579"/>
      <c r="AP1133" s="579"/>
      <c r="AQ1133" s="580"/>
      <c r="AR1133" s="580"/>
      <c r="AS1133" s="580"/>
      <c r="AT1133" s="580"/>
      <c r="AU1133" s="580"/>
      <c r="AV1133" s="580"/>
      <c r="AW1133" s="580"/>
      <c r="AX1133" s="580"/>
      <c r="AY1133" s="580"/>
      <c r="AZ1133" s="580"/>
      <c r="BA1133" s="580"/>
      <c r="BB1133" s="581"/>
      <c r="BC1133" s="581"/>
      <c r="BD1133" s="581"/>
      <c r="BE1133" s="581"/>
    </row>
    <row r="1134" customFormat="false" ht="14.1" hidden="true" customHeight="true" outlineLevel="1" collapsed="false">
      <c r="A1134" s="250" t="s">
        <v>746</v>
      </c>
      <c r="B1134" s="277"/>
      <c r="C1134" s="594"/>
      <c r="D1134" s="587"/>
      <c r="E1134" s="587"/>
      <c r="F1134" s="587"/>
      <c r="G1134" s="589"/>
      <c r="H1134" s="132"/>
      <c r="I1134" s="243"/>
      <c r="J1134" s="243"/>
      <c r="K1134" s="243"/>
      <c r="L1134" s="243"/>
      <c r="M1134" s="243"/>
      <c r="N1134" s="243"/>
      <c r="O1134" s="243"/>
      <c r="P1134" s="577"/>
      <c r="Q1134" s="577"/>
      <c r="R1134" s="577"/>
      <c r="S1134" s="577"/>
      <c r="T1134" s="577"/>
      <c r="U1134" s="577"/>
      <c r="V1134" s="577"/>
      <c r="W1134" s="577"/>
      <c r="X1134" s="577"/>
      <c r="Y1134" s="577"/>
      <c r="Z1134" s="577"/>
      <c r="AA1134" s="577"/>
      <c r="AB1134" s="577"/>
      <c r="AC1134" s="577"/>
      <c r="AD1134" s="577"/>
      <c r="AE1134" s="577"/>
      <c r="AF1134" s="577"/>
      <c r="AG1134" s="577"/>
      <c r="AH1134" s="578"/>
      <c r="AI1134" s="578"/>
      <c r="AJ1134" s="578"/>
      <c r="AK1134" s="578"/>
      <c r="AL1134" s="578"/>
      <c r="AM1134" s="578"/>
      <c r="AN1134" s="578"/>
      <c r="AO1134" s="579"/>
      <c r="AP1134" s="579"/>
      <c r="AQ1134" s="580"/>
      <c r="AR1134" s="580"/>
      <c r="AS1134" s="580"/>
      <c r="AT1134" s="580"/>
      <c r="AU1134" s="580"/>
      <c r="AV1134" s="580"/>
      <c r="AW1134" s="580"/>
      <c r="AX1134" s="580"/>
      <c r="AY1134" s="580"/>
      <c r="AZ1134" s="580"/>
      <c r="BA1134" s="580"/>
      <c r="BB1134" s="581"/>
      <c r="BC1134" s="581"/>
      <c r="BD1134" s="581"/>
      <c r="BE1134" s="581"/>
    </row>
    <row r="1135" customFormat="false" ht="14.1" hidden="true" customHeight="true" outlineLevel="1" collapsed="false">
      <c r="A1135" s="598" t="s">
        <v>101</v>
      </c>
      <c r="B1135" s="277"/>
      <c r="C1135" s="594"/>
      <c r="D1135" s="587"/>
      <c r="E1135" s="587"/>
      <c r="F1135" s="587"/>
      <c r="G1135" s="589"/>
      <c r="H1135" s="132"/>
      <c r="I1135" s="243"/>
      <c r="J1135" s="243"/>
      <c r="K1135" s="243"/>
      <c r="L1135" s="243"/>
      <c r="M1135" s="243"/>
      <c r="N1135" s="243"/>
      <c r="O1135" s="243"/>
      <c r="P1135" s="577"/>
      <c r="Q1135" s="577"/>
      <c r="R1135" s="577"/>
      <c r="S1135" s="577"/>
      <c r="T1135" s="577"/>
      <c r="U1135" s="577"/>
      <c r="V1135" s="577"/>
      <c r="W1135" s="577"/>
      <c r="X1135" s="577"/>
      <c r="Y1135" s="577"/>
      <c r="Z1135" s="577"/>
      <c r="AA1135" s="577"/>
      <c r="AB1135" s="577"/>
      <c r="AC1135" s="577"/>
      <c r="AD1135" s="577"/>
      <c r="AE1135" s="577"/>
      <c r="AF1135" s="577"/>
      <c r="AG1135" s="577"/>
      <c r="AH1135" s="578"/>
      <c r="AI1135" s="578"/>
      <c r="AJ1135" s="578"/>
      <c r="AK1135" s="578"/>
      <c r="AL1135" s="578"/>
      <c r="AM1135" s="578"/>
      <c r="AN1135" s="578"/>
      <c r="AO1135" s="579"/>
      <c r="AP1135" s="579"/>
      <c r="AQ1135" s="580"/>
      <c r="AR1135" s="580"/>
      <c r="AS1135" s="580"/>
      <c r="AT1135" s="580"/>
      <c r="AU1135" s="580"/>
      <c r="AV1135" s="580"/>
      <c r="AW1135" s="580"/>
      <c r="AX1135" s="580"/>
      <c r="AY1135" s="580"/>
      <c r="AZ1135" s="580"/>
      <c r="BA1135" s="580"/>
      <c r="BB1135" s="581"/>
      <c r="BC1135" s="581"/>
      <c r="BD1135" s="581"/>
      <c r="BE1135" s="581"/>
    </row>
    <row r="1136" s="56" customFormat="true" ht="14.1" hidden="true" customHeight="true" outlineLevel="1" collapsed="false">
      <c r="A1136" s="455" t="s">
        <v>747</v>
      </c>
      <c r="B1136" s="277"/>
      <c r="C1136" s="594"/>
      <c r="D1136" s="595"/>
      <c r="E1136" s="595"/>
      <c r="F1136" s="595"/>
      <c r="G1136" s="589"/>
      <c r="H1136" s="132"/>
      <c r="I1136" s="243"/>
      <c r="J1136" s="243"/>
      <c r="K1136" s="243"/>
      <c r="L1136" s="243"/>
      <c r="M1136" s="243"/>
      <c r="N1136" s="243"/>
      <c r="O1136" s="243"/>
      <c r="P1136" s="243"/>
      <c r="Q1136" s="243"/>
      <c r="R1136" s="243"/>
      <c r="S1136" s="243"/>
      <c r="T1136" s="243"/>
      <c r="U1136" s="243"/>
      <c r="V1136" s="243"/>
      <c r="W1136" s="243"/>
      <c r="X1136" s="243"/>
      <c r="Y1136" s="243"/>
      <c r="Z1136" s="243"/>
      <c r="AA1136" s="243"/>
      <c r="AB1136" s="243"/>
      <c r="AC1136" s="243"/>
      <c r="AD1136" s="243"/>
      <c r="AE1136" s="243"/>
      <c r="AF1136" s="243"/>
      <c r="AG1136" s="243"/>
      <c r="AH1136" s="29"/>
      <c r="AI1136" s="29"/>
      <c r="AJ1136" s="29"/>
      <c r="AK1136" s="29"/>
      <c r="AL1136" s="29"/>
      <c r="AM1136" s="29"/>
      <c r="AN1136" s="29"/>
      <c r="AO1136" s="567"/>
      <c r="AP1136" s="567"/>
      <c r="AQ1136" s="568"/>
      <c r="AR1136" s="568"/>
      <c r="AS1136" s="568"/>
      <c r="AT1136" s="568"/>
      <c r="AU1136" s="568"/>
      <c r="AV1136" s="568"/>
      <c r="AW1136" s="568"/>
      <c r="AX1136" s="568"/>
      <c r="AY1136" s="568"/>
      <c r="AZ1136" s="568"/>
      <c r="BA1136" s="568"/>
      <c r="BB1136" s="569"/>
      <c r="BC1136" s="569"/>
      <c r="BD1136" s="569"/>
      <c r="BE1136" s="569"/>
      <c r="BF1136" s="55"/>
    </row>
    <row r="1137" customFormat="false" ht="14.1" hidden="true" customHeight="true" outlineLevel="1" collapsed="false">
      <c r="A1137" s="487" t="s">
        <v>223</v>
      </c>
      <c r="B1137" s="235"/>
      <c r="C1137" s="455"/>
      <c r="D1137" s="587"/>
      <c r="E1137" s="587"/>
      <c r="F1137" s="587"/>
      <c r="G1137" s="589"/>
      <c r="H1137" s="132"/>
      <c r="I1137" s="243"/>
      <c r="J1137" s="243"/>
      <c r="K1137" s="243"/>
      <c r="L1137" s="243"/>
      <c r="M1137" s="243"/>
      <c r="N1137" s="243"/>
      <c r="O1137" s="243"/>
      <c r="P1137" s="577"/>
      <c r="Q1137" s="577"/>
      <c r="R1137" s="577"/>
      <c r="S1137" s="577"/>
      <c r="T1137" s="577"/>
      <c r="U1137" s="577"/>
      <c r="V1137" s="577"/>
      <c r="W1137" s="577"/>
      <c r="X1137" s="577"/>
      <c r="Y1137" s="577"/>
      <c r="Z1137" s="577"/>
      <c r="AA1137" s="577"/>
      <c r="AB1137" s="577"/>
      <c r="AC1137" s="577"/>
      <c r="AD1137" s="577"/>
      <c r="AE1137" s="577"/>
      <c r="AF1137" s="577"/>
      <c r="AG1137" s="577"/>
      <c r="AH1137" s="578"/>
      <c r="AI1137" s="578"/>
      <c r="AJ1137" s="578"/>
      <c r="AK1137" s="578"/>
      <c r="AL1137" s="578"/>
      <c r="AM1137" s="578"/>
      <c r="AN1137" s="578"/>
      <c r="AO1137" s="579"/>
      <c r="AP1137" s="579"/>
      <c r="AQ1137" s="580"/>
      <c r="AR1137" s="580"/>
      <c r="AS1137" s="580"/>
      <c r="AT1137" s="580"/>
      <c r="AU1137" s="580"/>
      <c r="AV1137" s="580"/>
      <c r="AW1137" s="580"/>
      <c r="AX1137" s="580"/>
      <c r="AY1137" s="580"/>
      <c r="AZ1137" s="580"/>
      <c r="BA1137" s="580"/>
      <c r="BB1137" s="581"/>
      <c r="BC1137" s="581"/>
      <c r="BD1137" s="581"/>
      <c r="BE1137" s="581"/>
    </row>
    <row r="1138" s="56" customFormat="true" ht="14.1" hidden="true" customHeight="true" outlineLevel="1" collapsed="false">
      <c r="A1138" s="455" t="s">
        <v>748</v>
      </c>
      <c r="B1138" s="455"/>
      <c r="C1138" s="455"/>
      <c r="D1138" s="595"/>
      <c r="E1138" s="595"/>
      <c r="F1138" s="595"/>
      <c r="G1138" s="589"/>
      <c r="H1138" s="132"/>
      <c r="I1138" s="243"/>
      <c r="J1138" s="243"/>
      <c r="K1138" s="243"/>
      <c r="L1138" s="243"/>
      <c r="M1138" s="243"/>
      <c r="N1138" s="243"/>
      <c r="O1138" s="243"/>
      <c r="P1138" s="243"/>
      <c r="Q1138" s="243"/>
      <c r="R1138" s="243"/>
      <c r="S1138" s="243"/>
      <c r="T1138" s="243"/>
      <c r="U1138" s="243"/>
      <c r="V1138" s="243"/>
      <c r="W1138" s="243"/>
      <c r="X1138" s="243"/>
      <c r="Y1138" s="243"/>
      <c r="Z1138" s="243"/>
      <c r="AA1138" s="243"/>
      <c r="AB1138" s="243"/>
      <c r="AC1138" s="243"/>
      <c r="AD1138" s="243"/>
      <c r="AE1138" s="243"/>
      <c r="AF1138" s="243"/>
      <c r="AG1138" s="243"/>
      <c r="AH1138" s="29"/>
      <c r="AI1138" s="29"/>
      <c r="AJ1138" s="29"/>
      <c r="AK1138" s="29"/>
      <c r="AL1138" s="29"/>
      <c r="AM1138" s="29"/>
      <c r="AN1138" s="29"/>
      <c r="AO1138" s="567"/>
      <c r="AP1138" s="567"/>
      <c r="AQ1138" s="568"/>
      <c r="AR1138" s="568"/>
      <c r="AS1138" s="568"/>
      <c r="AT1138" s="568"/>
      <c r="AU1138" s="568"/>
      <c r="AV1138" s="568"/>
      <c r="AW1138" s="568"/>
      <c r="AX1138" s="568"/>
      <c r="AY1138" s="568"/>
      <c r="AZ1138" s="568"/>
      <c r="BA1138" s="568"/>
      <c r="BB1138" s="569"/>
      <c r="BC1138" s="569"/>
      <c r="BD1138" s="569"/>
      <c r="BE1138" s="569"/>
      <c r="BF1138" s="55"/>
    </row>
    <row r="1139" customFormat="false" ht="14.1" hidden="true" customHeight="true" outlineLevel="1" collapsed="false">
      <c r="A1139" s="591" t="s">
        <v>223</v>
      </c>
      <c r="B1139" s="235"/>
      <c r="C1139" s="455"/>
      <c r="D1139" s="587"/>
      <c r="E1139" s="587"/>
      <c r="F1139" s="587"/>
      <c r="G1139" s="589"/>
      <c r="H1139" s="132"/>
      <c r="I1139" s="243"/>
      <c r="J1139" s="243"/>
      <c r="K1139" s="243"/>
      <c r="L1139" s="243"/>
      <c r="M1139" s="243"/>
      <c r="N1139" s="243"/>
      <c r="O1139" s="243"/>
      <c r="P1139" s="577"/>
      <c r="Q1139" s="577"/>
      <c r="R1139" s="577"/>
      <c r="S1139" s="577"/>
      <c r="T1139" s="577"/>
      <c r="U1139" s="577"/>
      <c r="V1139" s="577"/>
      <c r="W1139" s="577"/>
      <c r="X1139" s="577"/>
      <c r="Y1139" s="577"/>
      <c r="Z1139" s="577"/>
      <c r="AA1139" s="577"/>
      <c r="AB1139" s="577"/>
      <c r="AC1139" s="577"/>
      <c r="AD1139" s="577"/>
      <c r="AE1139" s="577"/>
      <c r="AF1139" s="577"/>
      <c r="AG1139" s="577"/>
      <c r="AH1139" s="578"/>
      <c r="AI1139" s="578"/>
      <c r="AJ1139" s="578"/>
      <c r="AK1139" s="578"/>
      <c r="AL1139" s="578"/>
      <c r="AM1139" s="578"/>
      <c r="AN1139" s="578"/>
      <c r="AO1139" s="579"/>
      <c r="AP1139" s="579"/>
      <c r="AQ1139" s="580"/>
      <c r="AR1139" s="580"/>
      <c r="AS1139" s="580"/>
      <c r="AT1139" s="580"/>
      <c r="AU1139" s="580"/>
      <c r="AV1139" s="580"/>
      <c r="AW1139" s="580"/>
      <c r="AX1139" s="580"/>
      <c r="AY1139" s="580"/>
      <c r="AZ1139" s="580"/>
      <c r="BA1139" s="580"/>
      <c r="BB1139" s="581"/>
      <c r="BC1139" s="581"/>
      <c r="BD1139" s="581"/>
      <c r="BE1139" s="581"/>
    </row>
    <row r="1140" customFormat="false" ht="14.1" hidden="true" customHeight="true" outlineLevel="1" collapsed="false">
      <c r="A1140" s="138" t="s">
        <v>749</v>
      </c>
      <c r="B1140" s="235"/>
      <c r="C1140" s="138"/>
      <c r="D1140" s="587"/>
      <c r="E1140" s="587"/>
      <c r="F1140" s="587"/>
      <c r="G1140" s="589"/>
      <c r="H1140" s="599"/>
      <c r="I1140" s="599"/>
      <c r="J1140" s="599"/>
      <c r="K1140" s="599"/>
      <c r="L1140" s="599"/>
      <c r="M1140" s="599"/>
      <c r="N1140" s="599"/>
      <c r="O1140" s="599"/>
      <c r="P1140" s="599"/>
      <c r="Q1140" s="577"/>
      <c r="R1140" s="577"/>
      <c r="S1140" s="577"/>
      <c r="T1140" s="577"/>
      <c r="U1140" s="577"/>
      <c r="V1140" s="577"/>
      <c r="W1140" s="577"/>
      <c r="X1140" s="577"/>
      <c r="Y1140" s="577"/>
      <c r="Z1140" s="577"/>
      <c r="AA1140" s="577"/>
      <c r="AB1140" s="577"/>
      <c r="AC1140" s="577"/>
      <c r="AD1140" s="577"/>
      <c r="AE1140" s="577"/>
      <c r="AF1140" s="577"/>
      <c r="AG1140" s="577"/>
      <c r="AH1140" s="578"/>
      <c r="AI1140" s="578"/>
      <c r="AJ1140" s="578"/>
      <c r="AK1140" s="578"/>
      <c r="AL1140" s="578"/>
      <c r="AM1140" s="578"/>
      <c r="AN1140" s="578"/>
      <c r="AO1140" s="579"/>
      <c r="AP1140" s="579"/>
      <c r="AQ1140" s="580"/>
      <c r="AR1140" s="580"/>
      <c r="AS1140" s="580"/>
      <c r="AT1140" s="580"/>
      <c r="AU1140" s="580"/>
      <c r="AV1140" s="580"/>
      <c r="AW1140" s="580"/>
      <c r="AX1140" s="580"/>
      <c r="AY1140" s="580"/>
      <c r="AZ1140" s="580"/>
      <c r="BA1140" s="580"/>
      <c r="BB1140" s="581"/>
      <c r="BC1140" s="581"/>
      <c r="BD1140" s="581"/>
      <c r="BE1140" s="581"/>
    </row>
    <row r="1141" customFormat="false" ht="14.1" hidden="true" customHeight="true" outlineLevel="1" collapsed="false">
      <c r="A1141" s="597" t="s">
        <v>108</v>
      </c>
      <c r="B1141" s="119" t="s">
        <v>118</v>
      </c>
      <c r="C1141" s="370" t="n">
        <v>0</v>
      </c>
      <c r="D1141" s="587"/>
      <c r="E1141" s="587"/>
      <c r="F1141" s="587"/>
      <c r="G1141" s="599"/>
      <c r="H1141" s="599"/>
      <c r="I1141" s="599"/>
      <c r="J1141" s="599"/>
      <c r="K1141" s="599"/>
      <c r="L1141" s="599"/>
      <c r="M1141" s="599"/>
      <c r="N1141" s="599"/>
      <c r="O1141" s="243"/>
      <c r="P1141" s="243"/>
      <c r="Q1141" s="577"/>
      <c r="R1141" s="577"/>
      <c r="S1141" s="577"/>
      <c r="T1141" s="577"/>
      <c r="U1141" s="577"/>
      <c r="V1141" s="577"/>
      <c r="W1141" s="577"/>
      <c r="X1141" s="577"/>
      <c r="Y1141" s="577"/>
      <c r="Z1141" s="577"/>
      <c r="AA1141" s="577"/>
      <c r="AB1141" s="577"/>
      <c r="AC1141" s="577"/>
      <c r="AD1141" s="577"/>
      <c r="AE1141" s="577"/>
      <c r="AF1141" s="577"/>
      <c r="AG1141" s="577"/>
      <c r="AH1141" s="578"/>
      <c r="AI1141" s="578"/>
      <c r="AJ1141" s="578"/>
      <c r="AK1141" s="578"/>
      <c r="AL1141" s="578"/>
      <c r="AM1141" s="578"/>
      <c r="AN1141" s="578"/>
      <c r="AO1141" s="579"/>
      <c r="AP1141" s="579"/>
      <c r="AQ1141" s="580"/>
      <c r="AR1141" s="580"/>
      <c r="AS1141" s="580"/>
      <c r="AT1141" s="580"/>
      <c r="AU1141" s="580"/>
      <c r="AV1141" s="580"/>
      <c r="AW1141" s="580"/>
      <c r="AX1141" s="580"/>
      <c r="AY1141" s="580"/>
      <c r="AZ1141" s="580"/>
      <c r="BA1141" s="580"/>
      <c r="BB1141" s="581"/>
      <c r="BC1141" s="581"/>
      <c r="BD1141" s="581"/>
      <c r="BE1141" s="581"/>
    </row>
    <row r="1142" customFormat="false" ht="14.1" hidden="true" customHeight="true" outlineLevel="1" collapsed="false">
      <c r="A1142" s="600" t="s">
        <v>226</v>
      </c>
      <c r="B1142" s="119" t="s">
        <v>118</v>
      </c>
      <c r="C1142" s="370" t="n">
        <v>0</v>
      </c>
      <c r="D1142" s="587"/>
      <c r="E1142" s="587"/>
      <c r="F1142" s="587"/>
      <c r="G1142" s="599"/>
      <c r="H1142" s="599"/>
      <c r="I1142" s="599"/>
      <c r="J1142" s="599"/>
      <c r="K1142" s="599"/>
      <c r="L1142" s="599"/>
      <c r="M1142" s="599"/>
      <c r="N1142" s="599"/>
      <c r="O1142" s="243"/>
      <c r="P1142" s="243"/>
      <c r="Q1142" s="577"/>
      <c r="R1142" s="577"/>
      <c r="S1142" s="577"/>
      <c r="T1142" s="577"/>
      <c r="U1142" s="577"/>
      <c r="V1142" s="577"/>
      <c r="W1142" s="577"/>
      <c r="X1142" s="577"/>
      <c r="Y1142" s="577"/>
      <c r="Z1142" s="577"/>
      <c r="AA1142" s="577"/>
      <c r="AB1142" s="577"/>
      <c r="AC1142" s="577"/>
      <c r="AD1142" s="577"/>
      <c r="AE1142" s="577"/>
      <c r="AF1142" s="577"/>
      <c r="AG1142" s="577"/>
      <c r="AH1142" s="578"/>
      <c r="AI1142" s="578"/>
      <c r="AJ1142" s="578"/>
      <c r="AK1142" s="578"/>
      <c r="AL1142" s="578"/>
      <c r="AM1142" s="578"/>
      <c r="AN1142" s="578"/>
      <c r="AO1142" s="579"/>
      <c r="AP1142" s="579"/>
      <c r="AQ1142" s="580"/>
      <c r="AR1142" s="580"/>
      <c r="AS1142" s="580"/>
      <c r="AT1142" s="580"/>
      <c r="AU1142" s="580"/>
      <c r="AV1142" s="580"/>
      <c r="AW1142" s="580"/>
      <c r="AX1142" s="580"/>
      <c r="AY1142" s="580"/>
      <c r="AZ1142" s="580"/>
      <c r="BA1142" s="580"/>
      <c r="BB1142" s="581"/>
      <c r="BC1142" s="581"/>
      <c r="BD1142" s="581"/>
      <c r="BE1142" s="581"/>
    </row>
    <row r="1143" customFormat="false" ht="14.1" hidden="true" customHeight="true" outlineLevel="1" collapsed="false">
      <c r="A1143" s="601"/>
      <c r="B1143" s="277"/>
      <c r="C1143" s="455"/>
      <c r="D1143" s="587"/>
      <c r="E1143" s="587"/>
      <c r="F1143" s="587"/>
      <c r="G1143" s="599"/>
      <c r="H1143" s="599"/>
      <c r="I1143" s="599"/>
      <c r="J1143" s="599"/>
      <c r="K1143" s="599"/>
      <c r="L1143" s="599"/>
      <c r="M1143" s="599"/>
      <c r="N1143" s="599"/>
      <c r="O1143" s="243"/>
      <c r="P1143" s="243"/>
      <c r="Q1143" s="577"/>
      <c r="R1143" s="577"/>
      <c r="S1143" s="577"/>
      <c r="T1143" s="577"/>
      <c r="U1143" s="577"/>
      <c r="V1143" s="577"/>
      <c r="W1143" s="577"/>
      <c r="X1143" s="577"/>
      <c r="Y1143" s="577"/>
      <c r="Z1143" s="577"/>
      <c r="AA1143" s="577"/>
      <c r="AB1143" s="577"/>
      <c r="AC1143" s="577"/>
      <c r="AD1143" s="577"/>
      <c r="AE1143" s="577"/>
      <c r="AF1143" s="577"/>
      <c r="AG1143" s="577"/>
      <c r="AH1143" s="578"/>
      <c r="AI1143" s="578"/>
      <c r="AJ1143" s="578"/>
      <c r="AK1143" s="578"/>
      <c r="AL1143" s="578"/>
      <c r="AM1143" s="578"/>
      <c r="AN1143" s="578"/>
      <c r="AO1143" s="579"/>
      <c r="AP1143" s="579"/>
      <c r="AQ1143" s="580"/>
      <c r="AR1143" s="580"/>
      <c r="AS1143" s="580"/>
      <c r="AT1143" s="580"/>
      <c r="AU1143" s="580"/>
      <c r="AV1143" s="580"/>
      <c r="AW1143" s="580"/>
      <c r="AX1143" s="580"/>
      <c r="AY1143" s="580"/>
      <c r="AZ1143" s="580"/>
      <c r="BA1143" s="580"/>
      <c r="BB1143" s="581"/>
      <c r="BC1143" s="581"/>
      <c r="BD1143" s="581"/>
      <c r="BE1143" s="581"/>
    </row>
    <row r="1144" customFormat="false" ht="14.1" hidden="true" customHeight="true" outlineLevel="1" collapsed="false">
      <c r="A1144" s="246" t="s">
        <v>750</v>
      </c>
      <c r="B1144" s="119" t="s">
        <v>113</v>
      </c>
      <c r="C1144" s="252" t="n">
        <v>3000</v>
      </c>
      <c r="D1144" s="587"/>
      <c r="E1144" s="587"/>
      <c r="F1144" s="587"/>
      <c r="G1144" s="599"/>
      <c r="H1144" s="599"/>
      <c r="I1144" s="599"/>
      <c r="J1144" s="599"/>
      <c r="K1144" s="599"/>
      <c r="L1144" s="599"/>
      <c r="M1144" s="599"/>
      <c r="N1144" s="599"/>
      <c r="O1144" s="243"/>
      <c r="P1144" s="243"/>
      <c r="Q1144" s="577"/>
      <c r="R1144" s="577"/>
      <c r="S1144" s="577"/>
      <c r="T1144" s="577"/>
      <c r="U1144" s="577"/>
      <c r="V1144" s="577"/>
      <c r="W1144" s="577"/>
      <c r="X1144" s="577"/>
      <c r="Y1144" s="577"/>
      <c r="Z1144" s="577"/>
      <c r="AA1144" s="577"/>
      <c r="AB1144" s="577"/>
      <c r="AC1144" s="577"/>
      <c r="AD1144" s="577"/>
      <c r="AE1144" s="577"/>
      <c r="AF1144" s="577"/>
      <c r="AG1144" s="577"/>
      <c r="AH1144" s="578"/>
      <c r="AI1144" s="578"/>
      <c r="AJ1144" s="578"/>
      <c r="AK1144" s="578"/>
      <c r="AL1144" s="578"/>
      <c r="AM1144" s="578"/>
      <c r="AN1144" s="578"/>
      <c r="AO1144" s="579"/>
      <c r="AP1144" s="579"/>
      <c r="AQ1144" s="580"/>
      <c r="AR1144" s="580"/>
      <c r="AS1144" s="580"/>
      <c r="AT1144" s="580"/>
      <c r="AU1144" s="580"/>
      <c r="AV1144" s="580"/>
      <c r="AW1144" s="580"/>
      <c r="AX1144" s="580"/>
      <c r="AY1144" s="580"/>
      <c r="AZ1144" s="580"/>
      <c r="BA1144" s="580"/>
      <c r="BB1144" s="581"/>
      <c r="BC1144" s="581"/>
      <c r="BD1144" s="581"/>
      <c r="BE1144" s="581"/>
    </row>
    <row r="1145" customFormat="false" ht="14.1" hidden="true" customHeight="true" outlineLevel="1" collapsed="false">
      <c r="A1145" s="455"/>
      <c r="B1145" s="455"/>
      <c r="C1145" s="455"/>
      <c r="D1145" s="587"/>
      <c r="E1145" s="587"/>
      <c r="F1145" s="587"/>
      <c r="G1145" s="599"/>
      <c r="H1145" s="599"/>
      <c r="I1145" s="599"/>
      <c r="J1145" s="599"/>
      <c r="K1145" s="599"/>
      <c r="L1145" s="599"/>
      <c r="M1145" s="599"/>
      <c r="N1145" s="599"/>
      <c r="O1145" s="243"/>
      <c r="P1145" s="243"/>
      <c r="Q1145" s="577"/>
      <c r="R1145" s="577"/>
      <c r="S1145" s="577"/>
      <c r="T1145" s="577"/>
      <c r="U1145" s="577"/>
      <c r="V1145" s="577"/>
      <c r="W1145" s="577"/>
      <c r="X1145" s="577"/>
      <c r="Y1145" s="577"/>
      <c r="Z1145" s="577"/>
      <c r="AA1145" s="577"/>
      <c r="AB1145" s="577"/>
      <c r="AC1145" s="577"/>
      <c r="AD1145" s="577"/>
      <c r="AE1145" s="577"/>
      <c r="AF1145" s="577"/>
      <c r="AG1145" s="577"/>
      <c r="AH1145" s="578"/>
      <c r="AI1145" s="578"/>
      <c r="AJ1145" s="578"/>
      <c r="AK1145" s="578"/>
      <c r="AL1145" s="578"/>
      <c r="AM1145" s="578"/>
      <c r="AN1145" s="578"/>
      <c r="AO1145" s="579"/>
      <c r="AP1145" s="579"/>
      <c r="AQ1145" s="580"/>
      <c r="AR1145" s="580"/>
      <c r="AS1145" s="580"/>
      <c r="AT1145" s="580"/>
      <c r="AU1145" s="580"/>
      <c r="AV1145" s="580"/>
      <c r="AW1145" s="580"/>
      <c r="AX1145" s="580"/>
      <c r="AY1145" s="580"/>
      <c r="AZ1145" s="580"/>
      <c r="BA1145" s="580"/>
      <c r="BB1145" s="581"/>
      <c r="BC1145" s="581"/>
      <c r="BD1145" s="581"/>
      <c r="BE1145" s="581"/>
    </row>
    <row r="1146" customFormat="false" ht="14.1" hidden="true" customHeight="true" outlineLevel="1" collapsed="false">
      <c r="A1146" s="151" t="s">
        <v>714</v>
      </c>
      <c r="B1146" s="148" t="s">
        <v>162</v>
      </c>
      <c r="C1146" s="428" t="s">
        <v>56</v>
      </c>
      <c r="D1146" s="587"/>
      <c r="E1146" s="587"/>
      <c r="F1146" s="587"/>
      <c r="G1146" s="599"/>
      <c r="H1146" s="599"/>
      <c r="I1146" s="599"/>
      <c r="J1146" s="599"/>
      <c r="K1146" s="599"/>
      <c r="L1146" s="599"/>
      <c r="M1146" s="599"/>
      <c r="N1146" s="599"/>
      <c r="O1146" s="243"/>
      <c r="P1146" s="243"/>
      <c r="Q1146" s="577"/>
      <c r="R1146" s="577"/>
      <c r="S1146" s="577"/>
      <c r="T1146" s="577"/>
      <c r="U1146" s="577"/>
      <c r="V1146" s="577"/>
      <c r="W1146" s="577"/>
      <c r="X1146" s="577"/>
      <c r="Y1146" s="577"/>
      <c r="Z1146" s="577"/>
      <c r="AA1146" s="577"/>
      <c r="AB1146" s="577"/>
      <c r="AC1146" s="577"/>
      <c r="AD1146" s="577"/>
      <c r="AE1146" s="577"/>
      <c r="AF1146" s="577"/>
      <c r="AG1146" s="577"/>
      <c r="AH1146" s="578"/>
      <c r="AI1146" s="578"/>
      <c r="AJ1146" s="578"/>
      <c r="AK1146" s="578"/>
      <c r="AL1146" s="578"/>
      <c r="AM1146" s="578"/>
      <c r="AN1146" s="578"/>
      <c r="AO1146" s="579"/>
      <c r="AP1146" s="579"/>
      <c r="AQ1146" s="580"/>
      <c r="AR1146" s="580"/>
      <c r="AS1146" s="580"/>
      <c r="AT1146" s="580"/>
      <c r="AU1146" s="580"/>
      <c r="AV1146" s="580"/>
      <c r="AW1146" s="580"/>
      <c r="AX1146" s="580"/>
      <c r="AY1146" s="580"/>
      <c r="AZ1146" s="580"/>
      <c r="BA1146" s="580"/>
      <c r="BB1146" s="581"/>
      <c r="BC1146" s="581"/>
      <c r="BD1146" s="581"/>
      <c r="BE1146" s="581"/>
    </row>
    <row r="1147" customFormat="false" ht="14.1" hidden="true" customHeight="true" outlineLevel="1" collapsed="false">
      <c r="A1147" s="239" t="s">
        <v>715</v>
      </c>
      <c r="B1147" s="148" t="s">
        <v>109</v>
      </c>
      <c r="C1147" s="151" t="n">
        <v>3</v>
      </c>
      <c r="D1147" s="587"/>
      <c r="E1147" s="587"/>
      <c r="F1147" s="587"/>
      <c r="G1147" s="599"/>
      <c r="H1147" s="599"/>
      <c r="I1147" s="599"/>
      <c r="J1147" s="599"/>
      <c r="K1147" s="599"/>
      <c r="L1147" s="599"/>
      <c r="M1147" s="599"/>
      <c r="N1147" s="599"/>
      <c r="O1147" s="243"/>
      <c r="P1147" s="243"/>
      <c r="Q1147" s="577"/>
      <c r="R1147" s="577"/>
      <c r="S1147" s="577"/>
      <c r="T1147" s="577"/>
      <c r="U1147" s="577"/>
      <c r="V1147" s="577"/>
      <c r="W1147" s="577"/>
      <c r="X1147" s="577"/>
      <c r="Y1147" s="577"/>
      <c r="Z1147" s="577"/>
      <c r="AA1147" s="577"/>
      <c r="AB1147" s="577"/>
      <c r="AC1147" s="577"/>
      <c r="AD1147" s="577"/>
      <c r="AE1147" s="577"/>
      <c r="AF1147" s="577"/>
      <c r="AG1147" s="577"/>
      <c r="AH1147" s="578"/>
      <c r="AI1147" s="578"/>
      <c r="AJ1147" s="578"/>
      <c r="AK1147" s="578"/>
      <c r="AL1147" s="578"/>
      <c r="AM1147" s="578"/>
      <c r="AN1147" s="578"/>
      <c r="AO1147" s="579"/>
      <c r="AP1147" s="579"/>
      <c r="AQ1147" s="580"/>
      <c r="AR1147" s="580"/>
      <c r="AS1147" s="580"/>
      <c r="AT1147" s="580"/>
      <c r="AU1147" s="580"/>
      <c r="AV1147" s="580"/>
      <c r="AW1147" s="580"/>
      <c r="AX1147" s="580"/>
      <c r="AY1147" s="580"/>
      <c r="AZ1147" s="580"/>
      <c r="BA1147" s="580"/>
      <c r="BB1147" s="581"/>
      <c r="BC1147" s="581"/>
      <c r="BD1147" s="581"/>
      <c r="BE1147" s="581"/>
    </row>
    <row r="1148" customFormat="false" ht="14.1" hidden="true" customHeight="true" outlineLevel="1" collapsed="false">
      <c r="A1148" s="151" t="s">
        <v>716</v>
      </c>
      <c r="B1148" s="180" t="s">
        <v>109</v>
      </c>
      <c r="C1148" s="239" t="n">
        <v>5</v>
      </c>
      <c r="D1148" s="587"/>
      <c r="E1148" s="587"/>
      <c r="F1148" s="587"/>
      <c r="G1148" s="599"/>
      <c r="H1148" s="599"/>
      <c r="I1148" s="599"/>
      <c r="J1148" s="599"/>
      <c r="K1148" s="599"/>
      <c r="L1148" s="599"/>
      <c r="M1148" s="599"/>
      <c r="N1148" s="599"/>
      <c r="O1148" s="243"/>
      <c r="P1148" s="243"/>
      <c r="Q1148" s="577"/>
      <c r="R1148" s="577"/>
      <c r="S1148" s="577"/>
      <c r="T1148" s="577"/>
      <c r="U1148" s="577"/>
      <c r="V1148" s="577"/>
      <c r="W1148" s="577"/>
      <c r="X1148" s="577"/>
      <c r="Y1148" s="577"/>
      <c r="Z1148" s="577"/>
      <c r="AA1148" s="577"/>
      <c r="AB1148" s="577"/>
      <c r="AC1148" s="577"/>
      <c r="AD1148" s="577"/>
      <c r="AE1148" s="577"/>
      <c r="AF1148" s="577"/>
      <c r="AG1148" s="577"/>
      <c r="AH1148" s="578"/>
      <c r="AI1148" s="578"/>
      <c r="AJ1148" s="578"/>
      <c r="AK1148" s="578"/>
      <c r="AL1148" s="578"/>
      <c r="AM1148" s="578"/>
      <c r="AN1148" s="578"/>
      <c r="AO1148" s="579"/>
      <c r="AP1148" s="579"/>
      <c r="AQ1148" s="580"/>
      <c r="AR1148" s="580"/>
      <c r="AS1148" s="580"/>
      <c r="AT1148" s="580"/>
      <c r="AU1148" s="580"/>
      <c r="AV1148" s="580"/>
      <c r="AW1148" s="580"/>
      <c r="AX1148" s="580"/>
      <c r="AY1148" s="580"/>
      <c r="AZ1148" s="580"/>
      <c r="BA1148" s="580"/>
      <c r="BB1148" s="581"/>
      <c r="BC1148" s="581"/>
      <c r="BD1148" s="581"/>
      <c r="BE1148" s="581"/>
    </row>
    <row r="1149" customFormat="false" ht="14.1" hidden="true" customHeight="true" outlineLevel="1" collapsed="false">
      <c r="A1149" s="151" t="s">
        <v>717</v>
      </c>
      <c r="B1149" s="148" t="s">
        <v>113</v>
      </c>
      <c r="C1149" s="151" t="n">
        <v>700</v>
      </c>
      <c r="D1149" s="587"/>
      <c r="E1149" s="587"/>
      <c r="F1149" s="587"/>
      <c r="G1149" s="599"/>
      <c r="H1149" s="599"/>
      <c r="I1149" s="599"/>
      <c r="J1149" s="599"/>
      <c r="K1149" s="599"/>
      <c r="L1149" s="599"/>
      <c r="M1149" s="599"/>
      <c r="N1149" s="599"/>
      <c r="O1149" s="243"/>
      <c r="P1149" s="243"/>
      <c r="Q1149" s="577"/>
      <c r="R1149" s="577"/>
      <c r="S1149" s="577"/>
      <c r="T1149" s="577"/>
      <c r="U1149" s="577"/>
      <c r="V1149" s="577"/>
      <c r="W1149" s="577"/>
      <c r="X1149" s="577"/>
      <c r="Y1149" s="577"/>
      <c r="Z1149" s="577"/>
      <c r="AA1149" s="577"/>
      <c r="AB1149" s="577"/>
      <c r="AC1149" s="577"/>
      <c r="AD1149" s="577"/>
      <c r="AE1149" s="577"/>
      <c r="AF1149" s="577"/>
      <c r="AG1149" s="577"/>
      <c r="AH1149" s="578"/>
      <c r="AI1149" s="578"/>
      <c r="AJ1149" s="578"/>
      <c r="AK1149" s="578"/>
      <c r="AL1149" s="578"/>
      <c r="AM1149" s="578"/>
      <c r="AN1149" s="578"/>
      <c r="AO1149" s="579"/>
      <c r="AP1149" s="579"/>
      <c r="AQ1149" s="580"/>
      <c r="AR1149" s="580"/>
      <c r="AS1149" s="580"/>
      <c r="AT1149" s="580"/>
      <c r="AU1149" s="580"/>
      <c r="AV1149" s="580"/>
      <c r="AW1149" s="580"/>
      <c r="AX1149" s="580"/>
      <c r="AY1149" s="580"/>
      <c r="AZ1149" s="580"/>
      <c r="BA1149" s="580"/>
      <c r="BB1149" s="581"/>
      <c r="BC1149" s="581"/>
      <c r="BD1149" s="581"/>
      <c r="BE1149" s="581"/>
    </row>
    <row r="1150" customFormat="false" ht="14.1" hidden="true" customHeight="true" outlineLevel="1" collapsed="false">
      <c r="A1150" s="455"/>
      <c r="B1150" s="455"/>
      <c r="C1150" s="455"/>
      <c r="D1150" s="587"/>
      <c r="E1150" s="587"/>
      <c r="F1150" s="587"/>
      <c r="G1150" s="599"/>
      <c r="H1150" s="599"/>
      <c r="I1150" s="599"/>
      <c r="J1150" s="599"/>
      <c r="K1150" s="599"/>
      <c r="L1150" s="599"/>
      <c r="M1150" s="599"/>
      <c r="N1150" s="599"/>
      <c r="O1150" s="243"/>
      <c r="P1150" s="243"/>
      <c r="Q1150" s="577"/>
      <c r="R1150" s="577"/>
      <c r="S1150" s="577"/>
      <c r="T1150" s="577"/>
      <c r="U1150" s="577"/>
      <c r="V1150" s="577"/>
      <c r="W1150" s="577"/>
      <c r="X1150" s="577"/>
      <c r="Y1150" s="577"/>
      <c r="Z1150" s="577"/>
      <c r="AA1150" s="577"/>
      <c r="AB1150" s="577"/>
      <c r="AC1150" s="577"/>
      <c r="AD1150" s="577"/>
      <c r="AE1150" s="577"/>
      <c r="AF1150" s="577"/>
      <c r="AG1150" s="577"/>
      <c r="AH1150" s="578"/>
      <c r="AI1150" s="578"/>
      <c r="AJ1150" s="578"/>
      <c r="AK1150" s="578"/>
      <c r="AL1150" s="578"/>
      <c r="AM1150" s="578"/>
      <c r="AN1150" s="578"/>
      <c r="AO1150" s="579"/>
      <c r="AP1150" s="579"/>
      <c r="AQ1150" s="580"/>
      <c r="AR1150" s="580"/>
      <c r="AS1150" s="580"/>
      <c r="AT1150" s="580"/>
      <c r="AU1150" s="580"/>
      <c r="AV1150" s="580"/>
      <c r="AW1150" s="580"/>
      <c r="AX1150" s="580"/>
      <c r="AY1150" s="580"/>
      <c r="AZ1150" s="580"/>
      <c r="BA1150" s="580"/>
      <c r="BB1150" s="581"/>
      <c r="BC1150" s="581"/>
      <c r="BD1150" s="581"/>
      <c r="BE1150" s="581"/>
    </row>
    <row r="1151" customFormat="false" ht="14.1" hidden="false" customHeight="true" outlineLevel="0" collapsed="false">
      <c r="A1151" s="576" t="s">
        <v>751</v>
      </c>
      <c r="B1151" s="576"/>
      <c r="C1151" s="576"/>
      <c r="D1151" s="576"/>
      <c r="E1151" s="576"/>
      <c r="F1151" s="576"/>
      <c r="G1151" s="576"/>
      <c r="H1151" s="437"/>
      <c r="I1151" s="437"/>
      <c r="J1151" s="437"/>
      <c r="K1151" s="437"/>
      <c r="L1151" s="437"/>
      <c r="M1151" s="257"/>
      <c r="N1151" s="257"/>
      <c r="O1151" s="257"/>
      <c r="P1151" s="243"/>
      <c r="Q1151" s="165"/>
      <c r="R1151" s="243"/>
      <c r="S1151" s="577"/>
      <c r="T1151" s="243"/>
      <c r="U1151" s="243"/>
      <c r="V1151" s="243"/>
      <c r="W1151" s="243"/>
      <c r="X1151" s="243"/>
      <c r="Y1151" s="243"/>
      <c r="Z1151" s="243"/>
      <c r="AA1151" s="132"/>
      <c r="AB1151" s="132"/>
      <c r="AC1151" s="243"/>
      <c r="AD1151" s="243"/>
      <c r="AE1151" s="243"/>
      <c r="AF1151" s="243"/>
      <c r="AG1151" s="243"/>
      <c r="AH1151" s="29"/>
      <c r="AI1151" s="29"/>
      <c r="AJ1151" s="29"/>
      <c r="AK1151" s="29"/>
      <c r="AL1151" s="29"/>
      <c r="AM1151" s="29"/>
      <c r="AN1151" s="29"/>
      <c r="AO1151" s="579"/>
      <c r="AP1151" s="579"/>
      <c r="AQ1151" s="580"/>
      <c r="AR1151" s="580"/>
      <c r="AS1151" s="580"/>
      <c r="AT1151" s="580"/>
      <c r="AU1151" s="580"/>
      <c r="AV1151" s="127" t="n">
        <f aca="false">M1151</f>
        <v>0</v>
      </c>
      <c r="AW1151" s="580"/>
      <c r="AX1151" s="580"/>
      <c r="AY1151" s="580"/>
      <c r="AZ1151" s="580"/>
      <c r="BA1151" s="580"/>
      <c r="BB1151" s="581"/>
      <c r="BC1151" s="581"/>
      <c r="BD1151" s="581"/>
      <c r="BE1151" s="581"/>
    </row>
    <row r="1152" s="35" customFormat="true" ht="14.1" hidden="false" customHeight="true" outlineLevel="0" collapsed="false">
      <c r="A1152" s="577"/>
      <c r="B1152" s="602"/>
      <c r="C1152" s="577"/>
      <c r="D1152" s="577"/>
      <c r="E1152" s="577"/>
      <c r="F1152" s="577"/>
      <c r="G1152" s="603"/>
      <c r="H1152" s="583"/>
      <c r="I1152" s="577"/>
      <c r="J1152" s="577"/>
      <c r="K1152" s="577"/>
      <c r="L1152" s="577"/>
      <c r="M1152" s="577"/>
      <c r="N1152" s="577"/>
      <c r="O1152" s="577"/>
      <c r="P1152" s="577"/>
      <c r="Q1152" s="577"/>
      <c r="R1152" s="577"/>
      <c r="S1152" s="577"/>
      <c r="T1152" s="577"/>
      <c r="U1152" s="577"/>
      <c r="V1152" s="577"/>
      <c r="W1152" s="577"/>
      <c r="X1152" s="577"/>
      <c r="Y1152" s="577"/>
      <c r="Z1152" s="577"/>
      <c r="AA1152" s="577"/>
      <c r="AB1152" s="577"/>
      <c r="AC1152" s="577"/>
      <c r="AD1152" s="577"/>
      <c r="AE1152" s="577"/>
      <c r="AF1152" s="577"/>
      <c r="AG1152" s="577"/>
      <c r="AH1152" s="578"/>
      <c r="AI1152" s="578"/>
      <c r="AJ1152" s="578"/>
      <c r="AK1152" s="578"/>
      <c r="AL1152" s="578"/>
      <c r="AM1152" s="578"/>
      <c r="AN1152" s="578"/>
      <c r="AO1152" s="579"/>
      <c r="AP1152" s="579"/>
      <c r="AQ1152" s="580"/>
      <c r="AR1152" s="580"/>
      <c r="AS1152" s="580"/>
      <c r="AT1152" s="580"/>
      <c r="AU1152" s="580"/>
      <c r="AV1152" s="580"/>
      <c r="AW1152" s="580"/>
      <c r="AX1152" s="580"/>
      <c r="AY1152" s="580"/>
      <c r="AZ1152" s="580"/>
      <c r="BA1152" s="580"/>
      <c r="BB1152" s="580"/>
      <c r="BC1152" s="580"/>
      <c r="BD1152" s="580"/>
      <c r="BE1152" s="580"/>
      <c r="BF1152" s="156"/>
    </row>
    <row r="1153" customFormat="false" ht="14.1" hidden="true" customHeight="true" outlineLevel="1" collapsed="false">
      <c r="A1153" s="492" t="s">
        <v>752</v>
      </c>
      <c r="B1153" s="492"/>
      <c r="C1153" s="492"/>
      <c r="D1153" s="492"/>
      <c r="E1153" s="492"/>
      <c r="F1153" s="492"/>
      <c r="G1153" s="492"/>
      <c r="H1153" s="440"/>
      <c r="I1153" s="440"/>
      <c r="J1153" s="440"/>
      <c r="K1153" s="440"/>
      <c r="L1153" s="440"/>
      <c r="M1153" s="440"/>
      <c r="N1153" s="440"/>
      <c r="O1153" s="440"/>
      <c r="P1153" s="440"/>
      <c r="Q1153" s="440"/>
      <c r="R1153" s="440"/>
      <c r="S1153" s="440"/>
      <c r="T1153" s="440"/>
      <c r="U1153" s="440"/>
      <c r="V1153" s="440"/>
      <c r="W1153" s="440"/>
      <c r="X1153" s="440"/>
      <c r="Y1153" s="440"/>
      <c r="Z1153" s="440"/>
      <c r="AA1153" s="440"/>
      <c r="AB1153" s="440"/>
      <c r="AC1153" s="440"/>
      <c r="AD1153" s="440"/>
      <c r="AE1153" s="440"/>
      <c r="AF1153" s="440"/>
      <c r="AG1153" s="440"/>
      <c r="AH1153" s="584"/>
      <c r="AI1153" s="584"/>
      <c r="AJ1153" s="584"/>
      <c r="AK1153" s="584"/>
      <c r="AL1153" s="584"/>
      <c r="AM1153" s="584"/>
      <c r="AN1153" s="584"/>
      <c r="AO1153" s="584"/>
      <c r="AP1153" s="584"/>
      <c r="AQ1153" s="604"/>
      <c r="AR1153" s="605"/>
      <c r="AS1153" s="605"/>
      <c r="AT1153" s="605"/>
      <c r="AU1153" s="605"/>
      <c r="AV1153" s="605"/>
      <c r="AW1153" s="605"/>
      <c r="AX1153" s="605"/>
      <c r="AY1153" s="605"/>
      <c r="AZ1153" s="605"/>
      <c r="BA1153" s="605"/>
      <c r="BB1153" s="606"/>
      <c r="BC1153" s="606"/>
      <c r="BD1153" s="606"/>
      <c r="BE1153" s="606"/>
    </row>
    <row r="1154" customFormat="false" ht="14.1" hidden="true" customHeight="true" outlineLevel="1" collapsed="false">
      <c r="A1154" s="492"/>
      <c r="B1154" s="492"/>
      <c r="C1154" s="492"/>
      <c r="D1154" s="492"/>
      <c r="E1154" s="492"/>
      <c r="F1154" s="492"/>
      <c r="G1154" s="492"/>
      <c r="H1154" s="440"/>
      <c r="I1154" s="440"/>
      <c r="J1154" s="440"/>
      <c r="K1154" s="440"/>
      <c r="L1154" s="440"/>
      <c r="M1154" s="440"/>
      <c r="N1154" s="440"/>
      <c r="O1154" s="440"/>
      <c r="P1154" s="440"/>
      <c r="Q1154" s="440"/>
      <c r="R1154" s="440"/>
      <c r="S1154" s="440"/>
      <c r="T1154" s="440"/>
      <c r="U1154" s="440"/>
      <c r="V1154" s="440"/>
      <c r="W1154" s="440"/>
      <c r="X1154" s="440"/>
      <c r="Y1154" s="440"/>
      <c r="Z1154" s="440"/>
      <c r="AA1154" s="440"/>
      <c r="AB1154" s="440"/>
      <c r="AC1154" s="440"/>
      <c r="AD1154" s="440"/>
      <c r="AE1154" s="440"/>
      <c r="AF1154" s="440"/>
      <c r="AG1154" s="440"/>
      <c r="AH1154" s="584"/>
      <c r="AI1154" s="584"/>
      <c r="AJ1154" s="584"/>
      <c r="AK1154" s="584"/>
      <c r="AL1154" s="584"/>
      <c r="AM1154" s="584"/>
      <c r="AN1154" s="584"/>
      <c r="AO1154" s="584"/>
      <c r="AP1154" s="584"/>
      <c r="AQ1154" s="604"/>
      <c r="AR1154" s="605"/>
      <c r="AS1154" s="605"/>
      <c r="AT1154" s="605"/>
      <c r="AU1154" s="605"/>
      <c r="AV1154" s="605"/>
      <c r="AW1154" s="605"/>
      <c r="AX1154" s="605"/>
      <c r="AY1154" s="605"/>
      <c r="AZ1154" s="605"/>
      <c r="BA1154" s="605"/>
      <c r="BB1154" s="606"/>
      <c r="BC1154" s="606"/>
      <c r="BD1154" s="606"/>
      <c r="BE1154" s="606"/>
    </row>
    <row r="1155" customFormat="false" ht="14.1" hidden="true" customHeight="true" outlineLevel="1" collapsed="false">
      <c r="A1155" s="393" t="s">
        <v>461</v>
      </c>
      <c r="B1155" s="570"/>
      <c r="C1155" s="571"/>
      <c r="D1155" s="348" t="n">
        <v>1.1</v>
      </c>
      <c r="E1155" s="138"/>
      <c r="F1155" s="138"/>
      <c r="G1155" s="468"/>
      <c r="H1155" s="468"/>
      <c r="I1155" s="468"/>
      <c r="J1155" s="468"/>
      <c r="K1155" s="468"/>
      <c r="L1155" s="468"/>
      <c r="M1155" s="468"/>
      <c r="N1155" s="468"/>
      <c r="O1155" s="468"/>
      <c r="P1155" s="468"/>
      <c r="Q1155" s="468"/>
      <c r="R1155" s="468"/>
      <c r="S1155" s="468"/>
      <c r="T1155" s="468"/>
      <c r="U1155" s="468"/>
      <c r="V1155" s="468"/>
      <c r="W1155" s="468"/>
      <c r="X1155" s="468"/>
      <c r="Y1155" s="468"/>
      <c r="Z1155" s="468"/>
      <c r="AA1155" s="468"/>
      <c r="AB1155" s="468"/>
      <c r="AC1155" s="468"/>
      <c r="AD1155" s="468"/>
      <c r="AE1155" s="468"/>
      <c r="AF1155" s="243"/>
      <c r="AG1155" s="243"/>
      <c r="AH1155" s="607"/>
      <c r="AI1155" s="608"/>
      <c r="AJ1155" s="607"/>
      <c r="AK1155" s="607"/>
      <c r="AL1155" s="607"/>
      <c r="AM1155" s="607"/>
      <c r="AN1155" s="607"/>
      <c r="AO1155" s="609"/>
      <c r="AP1155" s="609"/>
      <c r="AQ1155" s="608"/>
      <c r="AR1155" s="605"/>
      <c r="AS1155" s="605"/>
      <c r="AT1155" s="605"/>
      <c r="AU1155" s="605"/>
      <c r="AV1155" s="605"/>
      <c r="AW1155" s="605"/>
      <c r="AX1155" s="605"/>
      <c r="AY1155" s="605"/>
      <c r="AZ1155" s="605"/>
      <c r="BA1155" s="605"/>
      <c r="BB1155" s="606"/>
      <c r="BC1155" s="606"/>
      <c r="BD1155" s="606"/>
      <c r="BE1155" s="606"/>
    </row>
    <row r="1156" customFormat="false" ht="14.1" hidden="true" customHeight="true" outlineLevel="1" collapsed="false">
      <c r="A1156" s="393" t="s">
        <v>462</v>
      </c>
      <c r="B1156" s="570"/>
      <c r="C1156" s="571"/>
      <c r="D1156" s="348" t="n">
        <v>1</v>
      </c>
      <c r="E1156" s="138"/>
      <c r="F1156" s="138"/>
      <c r="G1156" s="468"/>
      <c r="H1156" s="468"/>
      <c r="I1156" s="468"/>
      <c r="J1156" s="468"/>
      <c r="K1156" s="468"/>
      <c r="L1156" s="468"/>
      <c r="M1156" s="468"/>
      <c r="N1156" s="468"/>
      <c r="O1156" s="468"/>
      <c r="P1156" s="468"/>
      <c r="Q1156" s="468"/>
      <c r="R1156" s="468"/>
      <c r="S1156" s="468"/>
      <c r="T1156" s="468"/>
      <c r="U1156" s="468"/>
      <c r="V1156" s="468"/>
      <c r="W1156" s="468"/>
      <c r="X1156" s="468"/>
      <c r="Y1156" s="468"/>
      <c r="Z1156" s="468"/>
      <c r="AA1156" s="468"/>
      <c r="AB1156" s="468"/>
      <c r="AC1156" s="468"/>
      <c r="AD1156" s="468"/>
      <c r="AE1156" s="468"/>
      <c r="AF1156" s="243"/>
      <c r="AG1156" s="243"/>
      <c r="AH1156" s="607"/>
      <c r="AI1156" s="607"/>
      <c r="AJ1156" s="607"/>
      <c r="AK1156" s="607"/>
      <c r="AL1156" s="607"/>
      <c r="AM1156" s="607"/>
      <c r="AN1156" s="607"/>
      <c r="AO1156" s="609"/>
      <c r="AP1156" s="609"/>
      <c r="AQ1156" s="608"/>
      <c r="AR1156" s="605"/>
      <c r="AS1156" s="605"/>
      <c r="AT1156" s="605"/>
      <c r="AU1156" s="605"/>
      <c r="AV1156" s="605"/>
      <c r="AW1156" s="605"/>
      <c r="AX1156" s="605"/>
      <c r="AY1156" s="605"/>
      <c r="AZ1156" s="605"/>
      <c r="BA1156" s="605"/>
      <c r="BB1156" s="606"/>
      <c r="BC1156" s="606"/>
      <c r="BD1156" s="606"/>
      <c r="BE1156" s="606"/>
    </row>
    <row r="1157" customFormat="false" ht="14.1" hidden="true" customHeight="true" outlineLevel="1" collapsed="false">
      <c r="A1157" s="138"/>
      <c r="B1157" s="481"/>
      <c r="C1157" s="467"/>
      <c r="D1157" s="467"/>
      <c r="E1157" s="467"/>
      <c r="F1157" s="467"/>
      <c r="G1157" s="468"/>
      <c r="H1157" s="468"/>
      <c r="I1157" s="468"/>
      <c r="J1157" s="468"/>
      <c r="K1157" s="468"/>
      <c r="L1157" s="468"/>
      <c r="M1157" s="468"/>
      <c r="N1157" s="468"/>
      <c r="O1157" s="468"/>
      <c r="P1157" s="468"/>
      <c r="Q1157" s="468"/>
      <c r="R1157" s="468"/>
      <c r="S1157" s="468"/>
      <c r="T1157" s="468"/>
      <c r="U1157" s="468"/>
      <c r="V1157" s="468"/>
      <c r="W1157" s="468"/>
      <c r="X1157" s="468"/>
      <c r="Y1157" s="384"/>
      <c r="Z1157" s="384"/>
      <c r="AA1157" s="383"/>
      <c r="AB1157" s="384"/>
      <c r="AC1157" s="384"/>
      <c r="AD1157" s="384"/>
      <c r="AE1157" s="384"/>
      <c r="AF1157" s="243"/>
      <c r="AG1157" s="243"/>
      <c r="AH1157" s="607"/>
      <c r="AI1157" s="607"/>
      <c r="AJ1157" s="607"/>
      <c r="AK1157" s="607"/>
      <c r="AL1157" s="607"/>
      <c r="AM1157" s="607"/>
      <c r="AN1157" s="607"/>
      <c r="AO1157" s="609"/>
      <c r="AP1157" s="609"/>
      <c r="AQ1157" s="608"/>
      <c r="AR1157" s="605"/>
      <c r="AS1157" s="605"/>
      <c r="AT1157" s="605"/>
      <c r="AU1157" s="605"/>
      <c r="AV1157" s="605"/>
      <c r="AW1157" s="605"/>
      <c r="AX1157" s="605"/>
      <c r="AY1157" s="605"/>
      <c r="AZ1157" s="605"/>
      <c r="BA1157" s="605"/>
      <c r="BB1157" s="606"/>
      <c r="BC1157" s="606"/>
      <c r="BD1157" s="606"/>
      <c r="BE1157" s="606"/>
    </row>
    <row r="1158" customFormat="false" ht="14.1" hidden="true" customHeight="true" outlineLevel="1" collapsed="false">
      <c r="A1158" s="272" t="s">
        <v>753</v>
      </c>
      <c r="B1158" s="276"/>
      <c r="C1158" s="272"/>
      <c r="D1158" s="138"/>
      <c r="E1158" s="138"/>
      <c r="F1158" s="138"/>
      <c r="G1158" s="468"/>
      <c r="H1158" s="468"/>
      <c r="I1158" s="468"/>
      <c r="J1158" s="468"/>
      <c r="K1158" s="468"/>
      <c r="L1158" s="468"/>
      <c r="M1158" s="468"/>
      <c r="N1158" s="468"/>
      <c r="O1158" s="468"/>
      <c r="P1158" s="468"/>
      <c r="Q1158" s="468"/>
      <c r="R1158" s="468"/>
      <c r="S1158" s="468"/>
      <c r="T1158" s="468"/>
      <c r="U1158" s="468"/>
      <c r="V1158" s="468"/>
      <c r="W1158" s="468"/>
      <c r="X1158" s="468"/>
      <c r="Y1158" s="384"/>
      <c r="Z1158" s="384"/>
      <c r="AA1158" s="383"/>
      <c r="AB1158" s="384"/>
      <c r="AC1158" s="384"/>
      <c r="AD1158" s="384"/>
      <c r="AE1158" s="384"/>
      <c r="AF1158" s="243"/>
      <c r="AG1158" s="243"/>
      <c r="AH1158" s="607"/>
      <c r="AI1158" s="607"/>
      <c r="AJ1158" s="607"/>
      <c r="AK1158" s="607"/>
      <c r="AL1158" s="607"/>
      <c r="AM1158" s="607"/>
      <c r="AN1158" s="607"/>
      <c r="AO1158" s="609"/>
      <c r="AP1158" s="609"/>
      <c r="AQ1158" s="608"/>
      <c r="AR1158" s="605"/>
      <c r="AS1158" s="605"/>
      <c r="AT1158" s="605"/>
      <c r="AU1158" s="605"/>
      <c r="AV1158" s="605"/>
      <c r="AW1158" s="605"/>
      <c r="AX1158" s="605"/>
      <c r="AY1158" s="605"/>
      <c r="AZ1158" s="605"/>
      <c r="BA1158" s="605"/>
      <c r="BB1158" s="606"/>
      <c r="BC1158" s="606"/>
      <c r="BD1158" s="606"/>
      <c r="BE1158" s="606"/>
    </row>
    <row r="1159" customFormat="false" ht="14.1" hidden="true" customHeight="true" outlineLevel="1" collapsed="false">
      <c r="A1159" s="610" t="s">
        <v>754</v>
      </c>
      <c r="B1159" s="277"/>
      <c r="C1159" s="573"/>
      <c r="D1159" s="138"/>
      <c r="E1159" s="138"/>
      <c r="F1159" s="138"/>
      <c r="G1159" s="468"/>
      <c r="H1159" s="468"/>
      <c r="I1159" s="468"/>
      <c r="J1159" s="468"/>
      <c r="K1159" s="468"/>
      <c r="L1159" s="468"/>
      <c r="M1159" s="468"/>
      <c r="N1159" s="468"/>
      <c r="O1159" s="468"/>
      <c r="P1159" s="468"/>
      <c r="Q1159" s="468"/>
      <c r="R1159" s="468"/>
      <c r="S1159" s="468"/>
      <c r="T1159" s="468"/>
      <c r="U1159" s="468"/>
      <c r="V1159" s="468"/>
      <c r="W1159" s="468"/>
      <c r="X1159" s="468"/>
      <c r="Y1159" s="384"/>
      <c r="Z1159" s="384"/>
      <c r="AA1159" s="383"/>
      <c r="AB1159" s="384"/>
      <c r="AC1159" s="384"/>
      <c r="AD1159" s="384"/>
      <c r="AE1159" s="384"/>
      <c r="AF1159" s="243"/>
      <c r="AG1159" s="243"/>
      <c r="AH1159" s="607"/>
      <c r="AI1159" s="607"/>
      <c r="AJ1159" s="607"/>
      <c r="AK1159" s="607"/>
      <c r="AL1159" s="607"/>
      <c r="AM1159" s="607"/>
      <c r="AN1159" s="607"/>
      <c r="AO1159" s="609"/>
      <c r="AP1159" s="609"/>
      <c r="AQ1159" s="608"/>
      <c r="AR1159" s="605"/>
      <c r="AS1159" s="605"/>
      <c r="AT1159" s="605"/>
      <c r="AU1159" s="605"/>
      <c r="AV1159" s="605"/>
      <c r="AW1159" s="605"/>
      <c r="AX1159" s="605"/>
      <c r="AY1159" s="605"/>
      <c r="AZ1159" s="605"/>
      <c r="BA1159" s="605"/>
      <c r="BB1159" s="606"/>
      <c r="BC1159" s="606"/>
      <c r="BD1159" s="606"/>
      <c r="BE1159" s="606"/>
    </row>
    <row r="1160" customFormat="false" ht="14.1" hidden="true" customHeight="true" outlineLevel="1" collapsed="false">
      <c r="A1160" s="196" t="s">
        <v>755</v>
      </c>
      <c r="B1160" s="277"/>
      <c r="C1160" s="573"/>
      <c r="D1160" s="138"/>
      <c r="E1160" s="138"/>
      <c r="F1160" s="138"/>
      <c r="G1160" s="468"/>
      <c r="H1160" s="468"/>
      <c r="I1160" s="468"/>
      <c r="J1160" s="468"/>
      <c r="K1160" s="468"/>
      <c r="L1160" s="468"/>
      <c r="M1160" s="468"/>
      <c r="N1160" s="468"/>
      <c r="O1160" s="468"/>
      <c r="P1160" s="468"/>
      <c r="Q1160" s="468"/>
      <c r="R1160" s="468"/>
      <c r="S1160" s="468"/>
      <c r="T1160" s="468"/>
      <c r="U1160" s="468"/>
      <c r="V1160" s="468"/>
      <c r="W1160" s="468"/>
      <c r="X1160" s="468"/>
      <c r="Y1160" s="384"/>
      <c r="Z1160" s="384"/>
      <c r="AA1160" s="383"/>
      <c r="AB1160" s="384"/>
      <c r="AC1160" s="384"/>
      <c r="AD1160" s="384"/>
      <c r="AE1160" s="384"/>
      <c r="AF1160" s="243"/>
      <c r="AG1160" s="243"/>
      <c r="AH1160" s="607"/>
      <c r="AI1160" s="607"/>
      <c r="AJ1160" s="607"/>
      <c r="AK1160" s="607"/>
      <c r="AL1160" s="607"/>
      <c r="AM1160" s="607"/>
      <c r="AN1160" s="607"/>
      <c r="AO1160" s="609"/>
      <c r="AP1160" s="609"/>
      <c r="AQ1160" s="608"/>
      <c r="AR1160" s="605"/>
      <c r="AS1160" s="605"/>
      <c r="AT1160" s="605"/>
      <c r="AU1160" s="605"/>
      <c r="AV1160" s="605"/>
      <c r="AW1160" s="605"/>
      <c r="AX1160" s="605"/>
      <c r="AY1160" s="605"/>
      <c r="AZ1160" s="605"/>
      <c r="BA1160" s="605"/>
      <c r="BB1160" s="606"/>
      <c r="BC1160" s="606"/>
      <c r="BD1160" s="606"/>
      <c r="BE1160" s="606"/>
    </row>
    <row r="1161" customFormat="false" ht="14.1" hidden="true" customHeight="true" outlineLevel="1" collapsed="false">
      <c r="A1161" s="611" t="s">
        <v>756</v>
      </c>
      <c r="B1161" s="277"/>
      <c r="C1161" s="275"/>
      <c r="D1161" s="138"/>
      <c r="E1161" s="138"/>
      <c r="F1161" s="138"/>
      <c r="G1161" s="468"/>
      <c r="H1161" s="468"/>
      <c r="I1161" s="468"/>
      <c r="J1161" s="468"/>
      <c r="K1161" s="468"/>
      <c r="L1161" s="468"/>
      <c r="M1161" s="468"/>
      <c r="N1161" s="468"/>
      <c r="O1161" s="468"/>
      <c r="P1161" s="468"/>
      <c r="Q1161" s="468"/>
      <c r="R1161" s="468"/>
      <c r="S1161" s="468"/>
      <c r="T1161" s="468"/>
      <c r="U1161" s="468"/>
      <c r="V1161" s="468"/>
      <c r="W1161" s="468"/>
      <c r="X1161" s="468"/>
      <c r="Y1161" s="384"/>
      <c r="Z1161" s="384"/>
      <c r="AA1161" s="383"/>
      <c r="AB1161" s="384"/>
      <c r="AC1161" s="384"/>
      <c r="AD1161" s="384"/>
      <c r="AE1161" s="384"/>
      <c r="AF1161" s="243"/>
      <c r="AG1161" s="243"/>
      <c r="AH1161" s="607"/>
      <c r="AI1161" s="607"/>
      <c r="AJ1161" s="607"/>
      <c r="AK1161" s="607"/>
      <c r="AL1161" s="607"/>
      <c r="AM1161" s="607"/>
      <c r="AN1161" s="607"/>
      <c r="AO1161" s="609"/>
      <c r="AP1161" s="609"/>
      <c r="AQ1161" s="608"/>
      <c r="AR1161" s="605"/>
      <c r="AS1161" s="605"/>
      <c r="AT1161" s="605"/>
      <c r="AU1161" s="605"/>
      <c r="AV1161" s="605"/>
      <c r="AW1161" s="605"/>
      <c r="AX1161" s="605"/>
      <c r="AY1161" s="605"/>
      <c r="AZ1161" s="605"/>
      <c r="BA1161" s="605"/>
      <c r="BB1161" s="606"/>
      <c r="BC1161" s="606"/>
      <c r="BD1161" s="606"/>
      <c r="BE1161" s="606"/>
    </row>
    <row r="1162" customFormat="false" ht="14.1" hidden="true" customHeight="true" outlineLevel="1" collapsed="false">
      <c r="A1162" s="196" t="s">
        <v>757</v>
      </c>
      <c r="B1162" s="277"/>
      <c r="C1162" s="275"/>
      <c r="D1162" s="138"/>
      <c r="E1162" s="138"/>
      <c r="F1162" s="138"/>
      <c r="G1162" s="468"/>
      <c r="H1162" s="468"/>
      <c r="I1162" s="468"/>
      <c r="J1162" s="468"/>
      <c r="K1162" s="468"/>
      <c r="L1162" s="468"/>
      <c r="M1162" s="468"/>
      <c r="N1162" s="468"/>
      <c r="O1162" s="468"/>
      <c r="P1162" s="468"/>
      <c r="Q1162" s="468"/>
      <c r="R1162" s="468"/>
      <c r="S1162" s="468"/>
      <c r="T1162" s="468"/>
      <c r="U1162" s="468"/>
      <c r="V1162" s="468"/>
      <c r="W1162" s="468"/>
      <c r="X1162" s="468"/>
      <c r="Y1162" s="384"/>
      <c r="Z1162" s="384"/>
      <c r="AA1162" s="383"/>
      <c r="AB1162" s="384"/>
      <c r="AC1162" s="384"/>
      <c r="AD1162" s="384"/>
      <c r="AE1162" s="384"/>
      <c r="AF1162" s="243"/>
      <c r="AG1162" s="243"/>
      <c r="AH1162" s="607"/>
      <c r="AI1162" s="607"/>
      <c r="AJ1162" s="607"/>
      <c r="AK1162" s="607"/>
      <c r="AL1162" s="607"/>
      <c r="AM1162" s="607"/>
      <c r="AN1162" s="607"/>
      <c r="AO1162" s="609"/>
      <c r="AP1162" s="609"/>
      <c r="AQ1162" s="608"/>
      <c r="AR1162" s="605"/>
      <c r="AS1162" s="605"/>
      <c r="AT1162" s="605"/>
      <c r="AU1162" s="605"/>
      <c r="AV1162" s="605"/>
      <c r="AW1162" s="605"/>
      <c r="AX1162" s="605"/>
      <c r="AY1162" s="605"/>
      <c r="AZ1162" s="605"/>
      <c r="BA1162" s="605"/>
      <c r="BB1162" s="606"/>
      <c r="BC1162" s="606"/>
      <c r="BD1162" s="606"/>
      <c r="BE1162" s="606"/>
    </row>
    <row r="1163" customFormat="false" ht="14.1" hidden="true" customHeight="true" outlineLevel="1" collapsed="false">
      <c r="A1163" s="612" t="s">
        <v>758</v>
      </c>
      <c r="B1163" s="277"/>
      <c r="C1163" s="275"/>
      <c r="D1163" s="138"/>
      <c r="E1163" s="138"/>
      <c r="F1163" s="138"/>
      <c r="G1163" s="468"/>
      <c r="H1163" s="468"/>
      <c r="I1163" s="468"/>
      <c r="J1163" s="468"/>
      <c r="K1163" s="468"/>
      <c r="L1163" s="468"/>
      <c r="M1163" s="468"/>
      <c r="N1163" s="468"/>
      <c r="O1163" s="468"/>
      <c r="P1163" s="468"/>
      <c r="Q1163" s="468"/>
      <c r="R1163" s="468"/>
      <c r="S1163" s="468"/>
      <c r="T1163" s="468"/>
      <c r="U1163" s="468"/>
      <c r="V1163" s="468"/>
      <c r="W1163" s="468"/>
      <c r="X1163" s="468"/>
      <c r="Y1163" s="384"/>
      <c r="Z1163" s="384"/>
      <c r="AA1163" s="383"/>
      <c r="AB1163" s="384"/>
      <c r="AC1163" s="384"/>
      <c r="AD1163" s="384"/>
      <c r="AE1163" s="384"/>
      <c r="AF1163" s="243"/>
      <c r="AG1163" s="243"/>
      <c r="AH1163" s="607"/>
      <c r="AI1163" s="607"/>
      <c r="AJ1163" s="607"/>
      <c r="AK1163" s="607"/>
      <c r="AL1163" s="607"/>
      <c r="AM1163" s="607"/>
      <c r="AN1163" s="607"/>
      <c r="AO1163" s="609"/>
      <c r="AP1163" s="609"/>
      <c r="AQ1163" s="608"/>
      <c r="AR1163" s="605"/>
      <c r="AS1163" s="605"/>
      <c r="AT1163" s="605"/>
      <c r="AU1163" s="605"/>
      <c r="AV1163" s="605"/>
      <c r="AW1163" s="605"/>
      <c r="AX1163" s="605"/>
      <c r="AY1163" s="605"/>
      <c r="AZ1163" s="605"/>
      <c r="BA1163" s="605"/>
      <c r="BB1163" s="606"/>
      <c r="BC1163" s="606"/>
      <c r="BD1163" s="606"/>
      <c r="BE1163" s="606"/>
    </row>
    <row r="1164" customFormat="false" ht="14.1" hidden="true" customHeight="true" outlineLevel="1" collapsed="false">
      <c r="A1164" s="196"/>
      <c r="B1164" s="277"/>
      <c r="C1164" s="275"/>
      <c r="D1164" s="138"/>
      <c r="E1164" s="138"/>
      <c r="F1164" s="138"/>
      <c r="G1164" s="468"/>
      <c r="H1164" s="468"/>
      <c r="I1164" s="468"/>
      <c r="J1164" s="468"/>
      <c r="K1164" s="468"/>
      <c r="L1164" s="468"/>
      <c r="M1164" s="468"/>
      <c r="N1164" s="468"/>
      <c r="O1164" s="468"/>
      <c r="P1164" s="468"/>
      <c r="Q1164" s="468"/>
      <c r="R1164" s="468"/>
      <c r="S1164" s="468"/>
      <c r="T1164" s="468"/>
      <c r="U1164" s="468"/>
      <c r="V1164" s="468"/>
      <c r="W1164" s="468"/>
      <c r="X1164" s="468"/>
      <c r="Y1164" s="384"/>
      <c r="Z1164" s="384"/>
      <c r="AA1164" s="383"/>
      <c r="AB1164" s="384"/>
      <c r="AC1164" s="384"/>
      <c r="AD1164" s="384"/>
      <c r="AE1164" s="384"/>
      <c r="AF1164" s="243"/>
      <c r="AG1164" s="243"/>
      <c r="AH1164" s="607"/>
      <c r="AI1164" s="607"/>
      <c r="AJ1164" s="607"/>
      <c r="AK1164" s="607"/>
      <c r="AL1164" s="607"/>
      <c r="AM1164" s="607"/>
      <c r="AN1164" s="607"/>
      <c r="AO1164" s="609"/>
      <c r="AP1164" s="609"/>
      <c r="AQ1164" s="608"/>
      <c r="AR1164" s="605"/>
      <c r="AS1164" s="605"/>
      <c r="AT1164" s="605"/>
      <c r="AU1164" s="605"/>
      <c r="AV1164" s="605"/>
      <c r="AW1164" s="605"/>
      <c r="AX1164" s="605"/>
      <c r="AY1164" s="605"/>
      <c r="AZ1164" s="605"/>
      <c r="BA1164" s="605"/>
      <c r="BB1164" s="606"/>
      <c r="BC1164" s="606"/>
      <c r="BD1164" s="606"/>
      <c r="BE1164" s="606"/>
    </row>
    <row r="1165" customFormat="false" ht="14.1" hidden="true" customHeight="true" outlineLevel="1" collapsed="false">
      <c r="A1165" s="272" t="s">
        <v>759</v>
      </c>
      <c r="B1165" s="277"/>
      <c r="C1165" s="275"/>
      <c r="D1165" s="138"/>
      <c r="E1165" s="138"/>
      <c r="F1165" s="138"/>
      <c r="G1165" s="468"/>
      <c r="H1165" s="468"/>
      <c r="I1165" s="468"/>
      <c r="J1165" s="468"/>
      <c r="K1165" s="468"/>
      <c r="L1165" s="468"/>
      <c r="M1165" s="468"/>
      <c r="N1165" s="468"/>
      <c r="O1165" s="468"/>
      <c r="P1165" s="468"/>
      <c r="Q1165" s="468"/>
      <c r="R1165" s="468"/>
      <c r="S1165" s="468"/>
      <c r="T1165" s="468"/>
      <c r="U1165" s="468"/>
      <c r="V1165" s="468"/>
      <c r="W1165" s="468"/>
      <c r="X1165" s="468"/>
      <c r="Y1165" s="384"/>
      <c r="Z1165" s="384"/>
      <c r="AA1165" s="383"/>
      <c r="AB1165" s="384"/>
      <c r="AC1165" s="384"/>
      <c r="AD1165" s="384"/>
      <c r="AE1165" s="384"/>
      <c r="AF1165" s="243"/>
      <c r="AG1165" s="243"/>
      <c r="AH1165" s="607"/>
      <c r="AI1165" s="607"/>
      <c r="AJ1165" s="607"/>
      <c r="AK1165" s="607"/>
      <c r="AL1165" s="607"/>
      <c r="AM1165" s="607"/>
      <c r="AN1165" s="607"/>
      <c r="AO1165" s="609"/>
      <c r="AP1165" s="609"/>
      <c r="AQ1165" s="608"/>
      <c r="AR1165" s="605"/>
      <c r="AS1165" s="605"/>
      <c r="AT1165" s="605"/>
      <c r="AU1165" s="605"/>
      <c r="AV1165" s="605"/>
      <c r="AW1165" s="605"/>
      <c r="AX1165" s="605"/>
      <c r="AY1165" s="605"/>
      <c r="AZ1165" s="605"/>
      <c r="BA1165" s="605"/>
      <c r="BB1165" s="606"/>
      <c r="BC1165" s="606"/>
      <c r="BD1165" s="606"/>
      <c r="BE1165" s="606"/>
    </row>
    <row r="1166" customFormat="false" ht="14.1" hidden="true" customHeight="true" outlineLevel="1" collapsed="false">
      <c r="A1166" s="611" t="s">
        <v>760</v>
      </c>
      <c r="B1166" s="277"/>
      <c r="C1166" s="275"/>
      <c r="D1166" s="138"/>
      <c r="E1166" s="138"/>
      <c r="F1166" s="138"/>
      <c r="G1166" s="468"/>
      <c r="H1166" s="468"/>
      <c r="I1166" s="468"/>
      <c r="J1166" s="468"/>
      <c r="K1166" s="468"/>
      <c r="L1166" s="468"/>
      <c r="M1166" s="468"/>
      <c r="N1166" s="468"/>
      <c r="O1166" s="468"/>
      <c r="P1166" s="468"/>
      <c r="Q1166" s="468"/>
      <c r="R1166" s="468"/>
      <c r="S1166" s="468"/>
      <c r="T1166" s="468"/>
      <c r="U1166" s="468"/>
      <c r="V1166" s="468"/>
      <c r="W1166" s="468"/>
      <c r="X1166" s="468"/>
      <c r="Y1166" s="384"/>
      <c r="Z1166" s="384"/>
      <c r="AA1166" s="383"/>
      <c r="AB1166" s="384"/>
      <c r="AC1166" s="384"/>
      <c r="AD1166" s="384"/>
      <c r="AE1166" s="384"/>
      <c r="AF1166" s="243"/>
      <c r="AG1166" s="243"/>
      <c r="AH1166" s="607"/>
      <c r="AI1166" s="607"/>
      <c r="AJ1166" s="607"/>
      <c r="AK1166" s="607"/>
      <c r="AL1166" s="607"/>
      <c r="AM1166" s="607"/>
      <c r="AN1166" s="607"/>
      <c r="AO1166" s="609"/>
      <c r="AP1166" s="609"/>
      <c r="AQ1166" s="608"/>
      <c r="AR1166" s="605"/>
      <c r="AS1166" s="605"/>
      <c r="AT1166" s="605"/>
      <c r="AU1166" s="605"/>
      <c r="AV1166" s="605"/>
      <c r="AW1166" s="605"/>
      <c r="AX1166" s="605"/>
      <c r="AY1166" s="605"/>
      <c r="AZ1166" s="605"/>
      <c r="BA1166" s="605"/>
      <c r="BB1166" s="606"/>
      <c r="BC1166" s="606"/>
      <c r="BD1166" s="606"/>
      <c r="BE1166" s="606"/>
    </row>
    <row r="1167" customFormat="false" ht="14.1" hidden="true" customHeight="true" outlineLevel="1" collapsed="false">
      <c r="A1167" s="196" t="s">
        <v>761</v>
      </c>
      <c r="B1167" s="277"/>
      <c r="C1167" s="275"/>
      <c r="D1167" s="138"/>
      <c r="E1167" s="138"/>
      <c r="F1167" s="138"/>
      <c r="G1167" s="468"/>
      <c r="H1167" s="468"/>
      <c r="I1167" s="468"/>
      <c r="J1167" s="468"/>
      <c r="K1167" s="468"/>
      <c r="L1167" s="468"/>
      <c r="M1167" s="468"/>
      <c r="N1167" s="468"/>
      <c r="O1167" s="468"/>
      <c r="P1167" s="468"/>
      <c r="Q1167" s="468"/>
      <c r="R1167" s="468"/>
      <c r="S1167" s="468"/>
      <c r="T1167" s="468"/>
      <c r="U1167" s="468"/>
      <c r="V1167" s="468"/>
      <c r="W1167" s="468"/>
      <c r="X1167" s="468"/>
      <c r="Y1167" s="384"/>
      <c r="Z1167" s="384"/>
      <c r="AA1167" s="383"/>
      <c r="AB1167" s="384"/>
      <c r="AC1167" s="384"/>
      <c r="AD1167" s="384"/>
      <c r="AE1167" s="384"/>
      <c r="AF1167" s="243"/>
      <c r="AG1167" s="243"/>
      <c r="AH1167" s="607"/>
      <c r="AI1167" s="607"/>
      <c r="AJ1167" s="607"/>
      <c r="AK1167" s="607"/>
      <c r="AL1167" s="607"/>
      <c r="AM1167" s="607"/>
      <c r="AN1167" s="607"/>
      <c r="AO1167" s="609"/>
      <c r="AP1167" s="609"/>
      <c r="AQ1167" s="608"/>
      <c r="AR1167" s="605"/>
      <c r="AS1167" s="605"/>
      <c r="AT1167" s="605"/>
      <c r="AU1167" s="605"/>
      <c r="AV1167" s="605"/>
      <c r="AW1167" s="605"/>
      <c r="AX1167" s="605"/>
      <c r="AY1167" s="605"/>
      <c r="AZ1167" s="605"/>
      <c r="BA1167" s="605"/>
      <c r="BB1167" s="606"/>
      <c r="BC1167" s="606"/>
      <c r="BD1167" s="606"/>
      <c r="BE1167" s="606"/>
    </row>
    <row r="1168" customFormat="false" ht="14.1" hidden="true" customHeight="true" outlineLevel="1" collapsed="false">
      <c r="A1168" s="611" t="s">
        <v>762</v>
      </c>
      <c r="B1168" s="277"/>
      <c r="C1168" s="275"/>
      <c r="D1168" s="138"/>
      <c r="E1168" s="138"/>
      <c r="F1168" s="138"/>
      <c r="G1168" s="468"/>
      <c r="H1168" s="468"/>
      <c r="I1168" s="468"/>
      <c r="J1168" s="468"/>
      <c r="K1168" s="468"/>
      <c r="L1168" s="468"/>
      <c r="M1168" s="468"/>
      <c r="N1168" s="468"/>
      <c r="O1168" s="468"/>
      <c r="P1168" s="468"/>
      <c r="Q1168" s="468"/>
      <c r="R1168" s="468"/>
      <c r="S1168" s="468"/>
      <c r="T1168" s="468"/>
      <c r="U1168" s="468"/>
      <c r="V1168" s="468"/>
      <c r="W1168" s="468"/>
      <c r="X1168" s="468"/>
      <c r="Y1168" s="384"/>
      <c r="Z1168" s="384"/>
      <c r="AA1168" s="383"/>
      <c r="AB1168" s="384"/>
      <c r="AC1168" s="384"/>
      <c r="AD1168" s="384"/>
      <c r="AE1168" s="384"/>
      <c r="AF1168" s="243"/>
      <c r="AG1168" s="243"/>
      <c r="AH1168" s="607"/>
      <c r="AI1168" s="607"/>
      <c r="AJ1168" s="607"/>
      <c r="AK1168" s="607"/>
      <c r="AL1168" s="607"/>
      <c r="AM1168" s="607"/>
      <c r="AN1168" s="607"/>
      <c r="AO1168" s="609"/>
      <c r="AP1168" s="609"/>
      <c r="AQ1168" s="608"/>
      <c r="AR1168" s="605"/>
      <c r="AS1168" s="605"/>
      <c r="AT1168" s="605"/>
      <c r="AU1168" s="605"/>
      <c r="AV1168" s="605"/>
      <c r="AW1168" s="605"/>
      <c r="AX1168" s="605"/>
      <c r="AY1168" s="605"/>
      <c r="AZ1168" s="605"/>
      <c r="BA1168" s="605"/>
      <c r="BB1168" s="606"/>
      <c r="BC1168" s="606"/>
      <c r="BD1168" s="606"/>
      <c r="BE1168" s="606"/>
    </row>
    <row r="1169" customFormat="false" ht="14.1" hidden="true" customHeight="true" outlineLevel="1" collapsed="false">
      <c r="A1169" s="196" t="s">
        <v>763</v>
      </c>
      <c r="B1169" s="277"/>
      <c r="C1169" s="275"/>
      <c r="D1169" s="138"/>
      <c r="E1169" s="138"/>
      <c r="F1169" s="138"/>
      <c r="G1169" s="468"/>
      <c r="H1169" s="468"/>
      <c r="I1169" s="468"/>
      <c r="J1169" s="468"/>
      <c r="K1169" s="468"/>
      <c r="L1169" s="468"/>
      <c r="M1169" s="468"/>
      <c r="N1169" s="468"/>
      <c r="O1169" s="468"/>
      <c r="P1169" s="468"/>
      <c r="Q1169" s="468"/>
      <c r="R1169" s="468"/>
      <c r="S1169" s="468"/>
      <c r="T1169" s="468"/>
      <c r="U1169" s="468"/>
      <c r="V1169" s="468"/>
      <c r="W1169" s="468"/>
      <c r="X1169" s="468"/>
      <c r="Y1169" s="384"/>
      <c r="Z1169" s="384"/>
      <c r="AA1169" s="383"/>
      <c r="AB1169" s="384"/>
      <c r="AC1169" s="384"/>
      <c r="AD1169" s="384"/>
      <c r="AE1169" s="384"/>
      <c r="AF1169" s="243"/>
      <c r="AG1169" s="243"/>
      <c r="AH1169" s="607"/>
      <c r="AI1169" s="607"/>
      <c r="AJ1169" s="607"/>
      <c r="AK1169" s="607"/>
      <c r="AL1169" s="607"/>
      <c r="AM1169" s="607"/>
      <c r="AN1169" s="607"/>
      <c r="AO1169" s="609"/>
      <c r="AP1169" s="609"/>
      <c r="AQ1169" s="608"/>
      <c r="AR1169" s="605"/>
      <c r="AS1169" s="605"/>
      <c r="AT1169" s="605"/>
      <c r="AU1169" s="605"/>
      <c r="AV1169" s="605"/>
      <c r="AW1169" s="605"/>
      <c r="AX1169" s="605"/>
      <c r="AY1169" s="605"/>
      <c r="AZ1169" s="605"/>
      <c r="BA1169" s="605"/>
      <c r="BB1169" s="606"/>
      <c r="BC1169" s="606"/>
      <c r="BD1169" s="606"/>
      <c r="BE1169" s="606"/>
    </row>
    <row r="1170" customFormat="false" ht="14.1" hidden="true" customHeight="true" outlineLevel="1" collapsed="false">
      <c r="A1170" s="612" t="s">
        <v>762</v>
      </c>
      <c r="B1170" s="277"/>
      <c r="C1170" s="275"/>
      <c r="D1170" s="138"/>
      <c r="E1170" s="138"/>
      <c r="F1170" s="138"/>
      <c r="G1170" s="468"/>
      <c r="H1170" s="468"/>
      <c r="I1170" s="468"/>
      <c r="J1170" s="468"/>
      <c r="K1170" s="468"/>
      <c r="L1170" s="468"/>
      <c r="M1170" s="468"/>
      <c r="N1170" s="468"/>
      <c r="O1170" s="468"/>
      <c r="P1170" s="468"/>
      <c r="Q1170" s="468"/>
      <c r="R1170" s="468"/>
      <c r="S1170" s="468"/>
      <c r="T1170" s="468"/>
      <c r="U1170" s="468"/>
      <c r="V1170" s="468"/>
      <c r="W1170" s="468"/>
      <c r="X1170" s="468"/>
      <c r="Y1170" s="384"/>
      <c r="Z1170" s="384"/>
      <c r="AA1170" s="383"/>
      <c r="AB1170" s="384"/>
      <c r="AC1170" s="384"/>
      <c r="AD1170" s="384"/>
      <c r="AE1170" s="384"/>
      <c r="AF1170" s="243"/>
      <c r="AG1170" s="243"/>
      <c r="AH1170" s="607"/>
      <c r="AI1170" s="607"/>
      <c r="AJ1170" s="607"/>
      <c r="AK1170" s="607"/>
      <c r="AL1170" s="607"/>
      <c r="AM1170" s="607"/>
      <c r="AN1170" s="607"/>
      <c r="AO1170" s="609"/>
      <c r="AP1170" s="609"/>
      <c r="AQ1170" s="608"/>
      <c r="AR1170" s="605"/>
      <c r="AS1170" s="605"/>
      <c r="AT1170" s="605"/>
      <c r="AU1170" s="605"/>
      <c r="AV1170" s="605"/>
      <c r="AW1170" s="605"/>
      <c r="AX1170" s="605"/>
      <c r="AY1170" s="605"/>
      <c r="AZ1170" s="605"/>
      <c r="BA1170" s="605"/>
      <c r="BB1170" s="606"/>
      <c r="BC1170" s="606"/>
      <c r="BD1170" s="606"/>
      <c r="BE1170" s="606"/>
    </row>
    <row r="1171" customFormat="false" ht="14.1" hidden="true" customHeight="true" outlineLevel="1" collapsed="false">
      <c r="A1171" s="327"/>
      <c r="B1171" s="277"/>
      <c r="C1171" s="275"/>
      <c r="D1171" s="138"/>
      <c r="E1171" s="138"/>
      <c r="F1171" s="138"/>
      <c r="G1171" s="468"/>
      <c r="H1171" s="468"/>
      <c r="I1171" s="468"/>
      <c r="J1171" s="468"/>
      <c r="K1171" s="468"/>
      <c r="L1171" s="468"/>
      <c r="M1171" s="468"/>
      <c r="N1171" s="468"/>
      <c r="O1171" s="468"/>
      <c r="P1171" s="468"/>
      <c r="Q1171" s="468"/>
      <c r="R1171" s="468"/>
      <c r="S1171" s="468"/>
      <c r="T1171" s="468"/>
      <c r="U1171" s="468"/>
      <c r="V1171" s="468"/>
      <c r="W1171" s="468"/>
      <c r="X1171" s="468"/>
      <c r="Y1171" s="384"/>
      <c r="Z1171" s="384"/>
      <c r="AA1171" s="383"/>
      <c r="AB1171" s="384"/>
      <c r="AC1171" s="384"/>
      <c r="AD1171" s="384"/>
      <c r="AE1171" s="384"/>
      <c r="AF1171" s="243"/>
      <c r="AG1171" s="243"/>
      <c r="AH1171" s="607"/>
      <c r="AI1171" s="607"/>
      <c r="AJ1171" s="607"/>
      <c r="AK1171" s="607"/>
      <c r="AL1171" s="607"/>
      <c r="AM1171" s="607"/>
      <c r="AN1171" s="607"/>
      <c r="AO1171" s="609"/>
      <c r="AP1171" s="609"/>
      <c r="AQ1171" s="608"/>
      <c r="AR1171" s="605"/>
      <c r="AS1171" s="605"/>
      <c r="AT1171" s="605"/>
      <c r="AU1171" s="605"/>
      <c r="AV1171" s="605"/>
      <c r="AW1171" s="605"/>
      <c r="AX1171" s="605"/>
      <c r="AY1171" s="605"/>
      <c r="AZ1171" s="605"/>
      <c r="BA1171" s="605"/>
      <c r="BB1171" s="606"/>
      <c r="BC1171" s="606"/>
      <c r="BD1171" s="606"/>
      <c r="BE1171" s="606"/>
    </row>
    <row r="1172" customFormat="false" ht="14.1" hidden="true" customHeight="true" outlineLevel="1" collapsed="false">
      <c r="A1172" s="196" t="s">
        <v>764</v>
      </c>
      <c r="B1172" s="159" t="s">
        <v>765</v>
      </c>
      <c r="C1172" s="159"/>
      <c r="D1172" s="138"/>
      <c r="E1172" s="138"/>
      <c r="F1172" s="138"/>
      <c r="G1172" s="468"/>
      <c r="H1172" s="468"/>
      <c r="I1172" s="468"/>
      <c r="J1172" s="468"/>
      <c r="K1172" s="468"/>
      <c r="L1172" s="468"/>
      <c r="M1172" s="468"/>
      <c r="N1172" s="468"/>
      <c r="O1172" s="468"/>
      <c r="P1172" s="468"/>
      <c r="Q1172" s="468"/>
      <c r="R1172" s="468"/>
      <c r="S1172" s="468"/>
      <c r="T1172" s="468"/>
      <c r="U1172" s="468"/>
      <c r="V1172" s="468"/>
      <c r="W1172" s="468"/>
      <c r="X1172" s="468"/>
      <c r="Y1172" s="384"/>
      <c r="Z1172" s="384"/>
      <c r="AA1172" s="383"/>
      <c r="AB1172" s="384"/>
      <c r="AC1172" s="384"/>
      <c r="AD1172" s="384"/>
      <c r="AE1172" s="384"/>
      <c r="AF1172" s="243"/>
      <c r="AG1172" s="243"/>
      <c r="AH1172" s="607"/>
      <c r="AI1172" s="607"/>
      <c r="AJ1172" s="607"/>
      <c r="AK1172" s="607"/>
      <c r="AL1172" s="607"/>
      <c r="AM1172" s="607"/>
      <c r="AN1172" s="607"/>
      <c r="AO1172" s="609"/>
      <c r="AP1172" s="609"/>
      <c r="AQ1172" s="608"/>
      <c r="AR1172" s="605"/>
      <c r="AS1172" s="605"/>
      <c r="AT1172" s="605"/>
      <c r="AU1172" s="605"/>
      <c r="AV1172" s="605"/>
      <c r="AW1172" s="605"/>
      <c r="AX1172" s="605"/>
      <c r="AY1172" s="605"/>
      <c r="AZ1172" s="605"/>
      <c r="BA1172" s="605"/>
      <c r="BB1172" s="606"/>
      <c r="BC1172" s="606"/>
      <c r="BD1172" s="606"/>
      <c r="BE1172" s="606"/>
    </row>
    <row r="1173" customFormat="false" ht="14.1" hidden="true" customHeight="true" outlineLevel="1" collapsed="false">
      <c r="A1173" s="613" t="s">
        <v>766</v>
      </c>
      <c r="B1173" s="159" t="s">
        <v>15</v>
      </c>
      <c r="C1173" s="163" t="n">
        <v>0.4</v>
      </c>
      <c r="D1173" s="138"/>
      <c r="E1173" s="138"/>
      <c r="F1173" s="138"/>
      <c r="G1173" s="468"/>
      <c r="H1173" s="468"/>
      <c r="I1173" s="468"/>
      <c r="J1173" s="468"/>
      <c r="K1173" s="468"/>
      <c r="L1173" s="468"/>
      <c r="M1173" s="468"/>
      <c r="N1173" s="468"/>
      <c r="O1173" s="468"/>
      <c r="P1173" s="468"/>
      <c r="Q1173" s="468"/>
      <c r="R1173" s="468"/>
      <c r="S1173" s="468"/>
      <c r="T1173" s="468"/>
      <c r="U1173" s="468"/>
      <c r="V1173" s="468"/>
      <c r="W1173" s="468"/>
      <c r="X1173" s="468"/>
      <c r="Y1173" s="384"/>
      <c r="Z1173" s="384"/>
      <c r="AA1173" s="383"/>
      <c r="AB1173" s="384"/>
      <c r="AC1173" s="384"/>
      <c r="AD1173" s="384"/>
      <c r="AE1173" s="384"/>
      <c r="AF1173" s="243"/>
      <c r="AG1173" s="243"/>
      <c r="AH1173" s="607"/>
      <c r="AI1173" s="607"/>
      <c r="AJ1173" s="607"/>
      <c r="AK1173" s="607"/>
      <c r="AL1173" s="607"/>
      <c r="AM1173" s="607"/>
      <c r="AN1173" s="607"/>
      <c r="AO1173" s="609"/>
      <c r="AP1173" s="609"/>
      <c r="AQ1173" s="608"/>
      <c r="AR1173" s="605"/>
      <c r="AS1173" s="605"/>
      <c r="AT1173" s="605"/>
      <c r="AU1173" s="605"/>
      <c r="AV1173" s="605"/>
      <c r="AW1173" s="605"/>
      <c r="AX1173" s="605"/>
      <c r="AY1173" s="605"/>
      <c r="AZ1173" s="605"/>
      <c r="BA1173" s="605"/>
      <c r="BB1173" s="606"/>
      <c r="BC1173" s="606"/>
      <c r="BD1173" s="606"/>
      <c r="BE1173" s="606"/>
    </row>
    <row r="1174" customFormat="false" ht="14.1" hidden="true" customHeight="true" outlineLevel="1" collapsed="false">
      <c r="A1174" s="196" t="s">
        <v>767</v>
      </c>
      <c r="B1174" s="277"/>
      <c r="C1174" s="275"/>
      <c r="D1174" s="138"/>
      <c r="E1174" s="138"/>
      <c r="F1174" s="138"/>
      <c r="G1174" s="468"/>
      <c r="H1174" s="468"/>
      <c r="I1174" s="468"/>
      <c r="J1174" s="468"/>
      <c r="K1174" s="468"/>
      <c r="L1174" s="468"/>
      <c r="M1174" s="468"/>
      <c r="N1174" s="468"/>
      <c r="O1174" s="468"/>
      <c r="P1174" s="468"/>
      <c r="Q1174" s="468"/>
      <c r="R1174" s="468"/>
      <c r="S1174" s="468"/>
      <c r="T1174" s="468"/>
      <c r="U1174" s="468"/>
      <c r="V1174" s="468"/>
      <c r="W1174" s="468"/>
      <c r="X1174" s="468"/>
      <c r="Y1174" s="384"/>
      <c r="Z1174" s="384"/>
      <c r="AA1174" s="383"/>
      <c r="AB1174" s="384"/>
      <c r="AC1174" s="384"/>
      <c r="AD1174" s="384"/>
      <c r="AE1174" s="384"/>
      <c r="AF1174" s="243"/>
      <c r="AG1174" s="243"/>
      <c r="AH1174" s="607"/>
      <c r="AI1174" s="607"/>
      <c r="AJ1174" s="607"/>
      <c r="AK1174" s="607"/>
      <c r="AL1174" s="607"/>
      <c r="AM1174" s="607"/>
      <c r="AN1174" s="607"/>
      <c r="AO1174" s="609"/>
      <c r="AP1174" s="609"/>
      <c r="AQ1174" s="608"/>
      <c r="AR1174" s="605"/>
      <c r="AS1174" s="605"/>
      <c r="AT1174" s="605"/>
      <c r="AU1174" s="605"/>
      <c r="AV1174" s="605"/>
      <c r="AW1174" s="605"/>
      <c r="AX1174" s="605"/>
      <c r="AY1174" s="605"/>
      <c r="AZ1174" s="605"/>
      <c r="BA1174" s="605"/>
      <c r="BB1174" s="606"/>
      <c r="BC1174" s="606"/>
      <c r="BD1174" s="606"/>
      <c r="BE1174" s="606"/>
    </row>
    <row r="1175" customFormat="false" ht="14.1" hidden="true" customHeight="true" outlineLevel="1" collapsed="false">
      <c r="A1175" s="613" t="s">
        <v>766</v>
      </c>
      <c r="B1175" s="159" t="s">
        <v>15</v>
      </c>
      <c r="C1175" s="163" t="n">
        <v>0.3</v>
      </c>
      <c r="D1175" s="138"/>
      <c r="E1175" s="138"/>
      <c r="F1175" s="138"/>
      <c r="G1175" s="468"/>
      <c r="H1175" s="468"/>
      <c r="I1175" s="468"/>
      <c r="J1175" s="468"/>
      <c r="K1175" s="468"/>
      <c r="L1175" s="468"/>
      <c r="M1175" s="468"/>
      <c r="N1175" s="468"/>
      <c r="O1175" s="468"/>
      <c r="P1175" s="468"/>
      <c r="Q1175" s="468"/>
      <c r="R1175" s="468"/>
      <c r="S1175" s="468"/>
      <c r="T1175" s="468"/>
      <c r="U1175" s="468"/>
      <c r="V1175" s="468"/>
      <c r="W1175" s="468"/>
      <c r="X1175" s="468"/>
      <c r="Y1175" s="384"/>
      <c r="Z1175" s="384"/>
      <c r="AA1175" s="383"/>
      <c r="AB1175" s="384"/>
      <c r="AC1175" s="384"/>
      <c r="AD1175" s="384"/>
      <c r="AE1175" s="384"/>
      <c r="AF1175" s="243"/>
      <c r="AG1175" s="243"/>
      <c r="AH1175" s="607"/>
      <c r="AI1175" s="607"/>
      <c r="AJ1175" s="607"/>
      <c r="AK1175" s="607"/>
      <c r="AL1175" s="607"/>
      <c r="AM1175" s="607"/>
      <c r="AN1175" s="607"/>
      <c r="AO1175" s="609"/>
      <c r="AP1175" s="609"/>
      <c r="AQ1175" s="608"/>
      <c r="AR1175" s="605"/>
      <c r="AS1175" s="605"/>
      <c r="AT1175" s="605"/>
      <c r="AU1175" s="605"/>
      <c r="AV1175" s="605"/>
      <c r="AW1175" s="605"/>
      <c r="AX1175" s="605"/>
      <c r="AY1175" s="605"/>
      <c r="AZ1175" s="605"/>
      <c r="BA1175" s="605"/>
      <c r="BB1175" s="606"/>
      <c r="BC1175" s="606"/>
      <c r="BD1175" s="606"/>
      <c r="BE1175" s="606"/>
    </row>
    <row r="1176" customFormat="false" ht="14.1" hidden="true" customHeight="true" outlineLevel="1" collapsed="false">
      <c r="A1176" s="196" t="s">
        <v>768</v>
      </c>
      <c r="B1176" s="277"/>
      <c r="C1176" s="275"/>
      <c r="D1176" s="138"/>
      <c r="E1176" s="138"/>
      <c r="F1176" s="138"/>
      <c r="G1176" s="468"/>
      <c r="H1176" s="468"/>
      <c r="I1176" s="468"/>
      <c r="J1176" s="468"/>
      <c r="K1176" s="468"/>
      <c r="L1176" s="468"/>
      <c r="M1176" s="468"/>
      <c r="N1176" s="468"/>
      <c r="O1176" s="468"/>
      <c r="P1176" s="468"/>
      <c r="Q1176" s="468"/>
      <c r="R1176" s="468"/>
      <c r="S1176" s="468"/>
      <c r="T1176" s="468"/>
      <c r="U1176" s="468"/>
      <c r="V1176" s="468"/>
      <c r="W1176" s="468"/>
      <c r="X1176" s="468"/>
      <c r="Y1176" s="384"/>
      <c r="Z1176" s="384"/>
      <c r="AA1176" s="383"/>
      <c r="AB1176" s="384"/>
      <c r="AC1176" s="384"/>
      <c r="AD1176" s="384"/>
      <c r="AE1176" s="384"/>
      <c r="AF1176" s="243"/>
      <c r="AG1176" s="243"/>
      <c r="AH1176" s="607"/>
      <c r="AI1176" s="607"/>
      <c r="AJ1176" s="607"/>
      <c r="AK1176" s="607"/>
      <c r="AL1176" s="607"/>
      <c r="AM1176" s="607"/>
      <c r="AN1176" s="607"/>
      <c r="AO1176" s="609"/>
      <c r="AP1176" s="609"/>
      <c r="AQ1176" s="608"/>
      <c r="AR1176" s="605"/>
      <c r="AS1176" s="605"/>
      <c r="AT1176" s="605"/>
      <c r="AU1176" s="605"/>
      <c r="AV1176" s="605"/>
      <c r="AW1176" s="605"/>
      <c r="AX1176" s="605"/>
      <c r="AY1176" s="605"/>
      <c r="AZ1176" s="605"/>
      <c r="BA1176" s="605"/>
      <c r="BB1176" s="606"/>
      <c r="BC1176" s="606"/>
      <c r="BD1176" s="606"/>
      <c r="BE1176" s="606"/>
    </row>
    <row r="1177" customFormat="false" ht="14.1" hidden="true" customHeight="true" outlineLevel="1" collapsed="false">
      <c r="A1177" s="613" t="s">
        <v>766</v>
      </c>
      <c r="B1177" s="159" t="s">
        <v>15</v>
      </c>
      <c r="C1177" s="163" t="n">
        <v>0.2</v>
      </c>
      <c r="D1177" s="138"/>
      <c r="E1177" s="138"/>
      <c r="F1177" s="138"/>
      <c r="G1177" s="468"/>
      <c r="H1177" s="468"/>
      <c r="I1177" s="468"/>
      <c r="J1177" s="468"/>
      <c r="K1177" s="468"/>
      <c r="L1177" s="468"/>
      <c r="M1177" s="468"/>
      <c r="N1177" s="468"/>
      <c r="O1177" s="468"/>
      <c r="P1177" s="468"/>
      <c r="Q1177" s="468"/>
      <c r="R1177" s="468"/>
      <c r="S1177" s="468"/>
      <c r="T1177" s="468"/>
      <c r="U1177" s="468"/>
      <c r="V1177" s="468"/>
      <c r="W1177" s="468"/>
      <c r="X1177" s="468"/>
      <c r="Y1177" s="384"/>
      <c r="Z1177" s="384"/>
      <c r="AA1177" s="383"/>
      <c r="AB1177" s="384"/>
      <c r="AC1177" s="384"/>
      <c r="AD1177" s="384"/>
      <c r="AE1177" s="384"/>
      <c r="AF1177" s="243"/>
      <c r="AG1177" s="243"/>
      <c r="AH1177" s="607"/>
      <c r="AI1177" s="607"/>
      <c r="AJ1177" s="607"/>
      <c r="AK1177" s="607"/>
      <c r="AL1177" s="607"/>
      <c r="AM1177" s="607"/>
      <c r="AN1177" s="607"/>
      <c r="AO1177" s="609"/>
      <c r="AP1177" s="609"/>
      <c r="AQ1177" s="608"/>
      <c r="AR1177" s="605"/>
      <c r="AS1177" s="605"/>
      <c r="AT1177" s="605"/>
      <c r="AU1177" s="605"/>
      <c r="AV1177" s="605"/>
      <c r="AW1177" s="605"/>
      <c r="AX1177" s="605"/>
      <c r="AY1177" s="605"/>
      <c r="AZ1177" s="605"/>
      <c r="BA1177" s="605"/>
      <c r="BB1177" s="606"/>
      <c r="BC1177" s="606"/>
      <c r="BD1177" s="606"/>
      <c r="BE1177" s="606"/>
    </row>
    <row r="1178" customFormat="false" ht="14.1" hidden="true" customHeight="true" outlineLevel="1" collapsed="false">
      <c r="A1178" s="327"/>
      <c r="B1178" s="277"/>
      <c r="C1178" s="275"/>
      <c r="D1178" s="138"/>
      <c r="E1178" s="138"/>
      <c r="F1178" s="138"/>
      <c r="G1178" s="468"/>
      <c r="H1178" s="468"/>
      <c r="I1178" s="468"/>
      <c r="J1178" s="468"/>
      <c r="K1178" s="468"/>
      <c r="L1178" s="468"/>
      <c r="M1178" s="468"/>
      <c r="N1178" s="468"/>
      <c r="O1178" s="468"/>
      <c r="P1178" s="468"/>
      <c r="Q1178" s="468"/>
      <c r="R1178" s="468"/>
      <c r="S1178" s="468"/>
      <c r="T1178" s="468"/>
      <c r="U1178" s="468"/>
      <c r="V1178" s="468"/>
      <c r="W1178" s="468"/>
      <c r="X1178" s="468"/>
      <c r="Y1178" s="384"/>
      <c r="Z1178" s="384"/>
      <c r="AA1178" s="383"/>
      <c r="AB1178" s="384"/>
      <c r="AC1178" s="384"/>
      <c r="AD1178" s="384"/>
      <c r="AE1178" s="384"/>
      <c r="AF1178" s="243"/>
      <c r="AG1178" s="243"/>
      <c r="AH1178" s="607"/>
      <c r="AI1178" s="607"/>
      <c r="AJ1178" s="607"/>
      <c r="AK1178" s="607"/>
      <c r="AL1178" s="607"/>
      <c r="AM1178" s="607"/>
      <c r="AN1178" s="607"/>
      <c r="AO1178" s="609"/>
      <c r="AP1178" s="609"/>
      <c r="AQ1178" s="608"/>
      <c r="AR1178" s="605"/>
      <c r="AS1178" s="605"/>
      <c r="AT1178" s="605"/>
      <c r="AU1178" s="605"/>
      <c r="AV1178" s="605"/>
      <c r="AW1178" s="605"/>
      <c r="AX1178" s="605"/>
      <c r="AY1178" s="605"/>
      <c r="AZ1178" s="605"/>
      <c r="BA1178" s="605"/>
      <c r="BB1178" s="606"/>
      <c r="BC1178" s="606"/>
      <c r="BD1178" s="606"/>
      <c r="BE1178" s="606"/>
    </row>
    <row r="1179" customFormat="false" ht="14.1" hidden="true" customHeight="true" outlineLevel="1" collapsed="false">
      <c r="A1179" s="196" t="s">
        <v>769</v>
      </c>
      <c r="B1179" s="277"/>
      <c r="C1179" s="301"/>
      <c r="D1179" s="138"/>
      <c r="E1179" s="138"/>
      <c r="F1179" s="138"/>
      <c r="G1179" s="468"/>
      <c r="H1179" s="468"/>
      <c r="I1179" s="468"/>
      <c r="J1179" s="468"/>
      <c r="K1179" s="468"/>
      <c r="L1179" s="468"/>
      <c r="M1179" s="468"/>
      <c r="N1179" s="468"/>
      <c r="O1179" s="468"/>
      <c r="P1179" s="468"/>
      <c r="Q1179" s="468"/>
      <c r="R1179" s="468"/>
      <c r="S1179" s="468"/>
      <c r="T1179" s="468"/>
      <c r="U1179" s="468"/>
      <c r="V1179" s="468"/>
      <c r="W1179" s="468"/>
      <c r="X1179" s="468"/>
      <c r="Y1179" s="384"/>
      <c r="Z1179" s="384"/>
      <c r="AA1179" s="383"/>
      <c r="AB1179" s="384"/>
      <c r="AC1179" s="384"/>
      <c r="AD1179" s="384"/>
      <c r="AE1179" s="384"/>
      <c r="AF1179" s="243"/>
      <c r="AG1179" s="243"/>
      <c r="AH1179" s="607"/>
      <c r="AI1179" s="607"/>
      <c r="AJ1179" s="607"/>
      <c r="AK1179" s="607"/>
      <c r="AL1179" s="607"/>
      <c r="AM1179" s="607"/>
      <c r="AN1179" s="607"/>
      <c r="AO1179" s="609"/>
      <c r="AP1179" s="609"/>
      <c r="AQ1179" s="608"/>
      <c r="AR1179" s="605"/>
      <c r="AS1179" s="605"/>
      <c r="AT1179" s="605"/>
      <c r="AU1179" s="605"/>
      <c r="AV1179" s="605"/>
      <c r="AW1179" s="605"/>
      <c r="AX1179" s="605"/>
      <c r="AY1179" s="605"/>
      <c r="AZ1179" s="605"/>
      <c r="BA1179" s="605"/>
      <c r="BB1179" s="606"/>
      <c r="BC1179" s="606"/>
      <c r="BD1179" s="606"/>
      <c r="BE1179" s="606"/>
    </row>
    <row r="1180" customFormat="false" ht="14.1" hidden="true" customHeight="true" outlineLevel="1" collapsed="false">
      <c r="A1180" s="137" t="s">
        <v>770</v>
      </c>
      <c r="B1180" s="277"/>
      <c r="C1180" s="301"/>
      <c r="D1180" s="138"/>
      <c r="E1180" s="138"/>
      <c r="F1180" s="138"/>
      <c r="G1180" s="468"/>
      <c r="H1180" s="468"/>
      <c r="I1180" s="468"/>
      <c r="J1180" s="468"/>
      <c r="K1180" s="468"/>
      <c r="L1180" s="468"/>
      <c r="M1180" s="468"/>
      <c r="N1180" s="468"/>
      <c r="O1180" s="468"/>
      <c r="P1180" s="468"/>
      <c r="Q1180" s="468"/>
      <c r="R1180" s="468"/>
      <c r="S1180" s="468"/>
      <c r="T1180" s="468"/>
      <c r="U1180" s="468"/>
      <c r="V1180" s="468"/>
      <c r="W1180" s="468"/>
      <c r="X1180" s="468"/>
      <c r="Y1180" s="384"/>
      <c r="Z1180" s="384"/>
      <c r="AA1180" s="383"/>
      <c r="AB1180" s="384"/>
      <c r="AC1180" s="384"/>
      <c r="AD1180" s="384"/>
      <c r="AE1180" s="384"/>
      <c r="AF1180" s="243"/>
      <c r="AG1180" s="243"/>
      <c r="AH1180" s="607"/>
      <c r="AI1180" s="607"/>
      <c r="AJ1180" s="607"/>
      <c r="AK1180" s="607"/>
      <c r="AL1180" s="607"/>
      <c r="AM1180" s="607"/>
      <c r="AN1180" s="607"/>
      <c r="AO1180" s="609"/>
      <c r="AP1180" s="609"/>
      <c r="AQ1180" s="608"/>
      <c r="AR1180" s="605"/>
      <c r="AS1180" s="605"/>
      <c r="AT1180" s="605"/>
      <c r="AU1180" s="605"/>
      <c r="AV1180" s="605"/>
      <c r="AW1180" s="605"/>
      <c r="AX1180" s="605"/>
      <c r="AY1180" s="605"/>
      <c r="AZ1180" s="605"/>
      <c r="BA1180" s="605"/>
      <c r="BB1180" s="606"/>
      <c r="BC1180" s="606"/>
      <c r="BD1180" s="606"/>
      <c r="BE1180" s="606"/>
    </row>
    <row r="1181" customFormat="false" ht="14.1" hidden="true" customHeight="true" outlineLevel="1" collapsed="false">
      <c r="A1181" s="196" t="s">
        <v>771</v>
      </c>
      <c r="B1181" s="277"/>
      <c r="C1181" s="301"/>
      <c r="D1181" s="138"/>
      <c r="E1181" s="138"/>
      <c r="F1181" s="138"/>
      <c r="G1181" s="468"/>
      <c r="H1181" s="468"/>
      <c r="I1181" s="468"/>
      <c r="J1181" s="468"/>
      <c r="K1181" s="468"/>
      <c r="L1181" s="468"/>
      <c r="M1181" s="468"/>
      <c r="N1181" s="468"/>
      <c r="O1181" s="468"/>
      <c r="P1181" s="468"/>
      <c r="Q1181" s="468"/>
      <c r="R1181" s="468"/>
      <c r="S1181" s="468"/>
      <c r="T1181" s="468"/>
      <c r="U1181" s="468"/>
      <c r="V1181" s="468"/>
      <c r="W1181" s="468"/>
      <c r="X1181" s="468"/>
      <c r="Y1181" s="384"/>
      <c r="Z1181" s="384"/>
      <c r="AA1181" s="383"/>
      <c r="AB1181" s="384"/>
      <c r="AC1181" s="384"/>
      <c r="AD1181" s="384"/>
      <c r="AE1181" s="384"/>
      <c r="AF1181" s="243"/>
      <c r="AG1181" s="243"/>
      <c r="AH1181" s="607"/>
      <c r="AI1181" s="607"/>
      <c r="AJ1181" s="607"/>
      <c r="AK1181" s="607"/>
      <c r="AL1181" s="607"/>
      <c r="AM1181" s="607"/>
      <c r="AN1181" s="607"/>
      <c r="AO1181" s="609"/>
      <c r="AP1181" s="609"/>
      <c r="AQ1181" s="608"/>
      <c r="AR1181" s="605"/>
      <c r="AS1181" s="605"/>
      <c r="AT1181" s="605"/>
      <c r="AU1181" s="605"/>
      <c r="AV1181" s="605"/>
      <c r="AW1181" s="605"/>
      <c r="AX1181" s="605"/>
      <c r="AY1181" s="605"/>
      <c r="AZ1181" s="605"/>
      <c r="BA1181" s="605"/>
      <c r="BB1181" s="606"/>
      <c r="BC1181" s="606"/>
      <c r="BD1181" s="606"/>
      <c r="BE1181" s="606"/>
    </row>
    <row r="1182" customFormat="false" ht="14.1" hidden="true" customHeight="true" outlineLevel="1" collapsed="false">
      <c r="A1182" s="137" t="s">
        <v>772</v>
      </c>
      <c r="B1182" s="277"/>
      <c r="C1182" s="301"/>
      <c r="D1182" s="138"/>
      <c r="E1182" s="138"/>
      <c r="F1182" s="138"/>
      <c r="G1182" s="468"/>
      <c r="H1182" s="468"/>
      <c r="I1182" s="468"/>
      <c r="J1182" s="468"/>
      <c r="K1182" s="468"/>
      <c r="L1182" s="468"/>
      <c r="M1182" s="468"/>
      <c r="N1182" s="468"/>
      <c r="O1182" s="468"/>
      <c r="P1182" s="468"/>
      <c r="Q1182" s="468"/>
      <c r="R1182" s="468"/>
      <c r="S1182" s="468"/>
      <c r="T1182" s="468"/>
      <c r="U1182" s="468"/>
      <c r="V1182" s="468"/>
      <c r="W1182" s="468"/>
      <c r="X1182" s="468"/>
      <c r="Y1182" s="384"/>
      <c r="Z1182" s="384"/>
      <c r="AA1182" s="383"/>
      <c r="AB1182" s="384"/>
      <c r="AC1182" s="384"/>
      <c r="AD1182" s="384"/>
      <c r="AE1182" s="384"/>
      <c r="AF1182" s="243"/>
      <c r="AG1182" s="243"/>
      <c r="AH1182" s="607"/>
      <c r="AI1182" s="607"/>
      <c r="AJ1182" s="607"/>
      <c r="AK1182" s="607"/>
      <c r="AL1182" s="607"/>
      <c r="AM1182" s="607"/>
      <c r="AN1182" s="607"/>
      <c r="AO1182" s="609"/>
      <c r="AP1182" s="609"/>
      <c r="AQ1182" s="608"/>
      <c r="AR1182" s="605"/>
      <c r="AS1182" s="605"/>
      <c r="AT1182" s="605"/>
      <c r="AU1182" s="605"/>
      <c r="AV1182" s="605"/>
      <c r="AW1182" s="605"/>
      <c r="AX1182" s="605"/>
      <c r="AY1182" s="605"/>
      <c r="AZ1182" s="605"/>
      <c r="BA1182" s="605"/>
      <c r="BB1182" s="606"/>
      <c r="BC1182" s="606"/>
      <c r="BD1182" s="606"/>
      <c r="BE1182" s="606"/>
    </row>
    <row r="1183" customFormat="false" ht="14.1" hidden="true" customHeight="true" outlineLevel="1" collapsed="false">
      <c r="A1183" s="196" t="s">
        <v>773</v>
      </c>
      <c r="B1183" s="277"/>
      <c r="C1183" s="301"/>
      <c r="D1183" s="138"/>
      <c r="E1183" s="138"/>
      <c r="F1183" s="138"/>
      <c r="G1183" s="468"/>
      <c r="H1183" s="468"/>
      <c r="I1183" s="468"/>
      <c r="J1183" s="468"/>
      <c r="K1183" s="468"/>
      <c r="L1183" s="468"/>
      <c r="M1183" s="468"/>
      <c r="N1183" s="468"/>
      <c r="O1183" s="468"/>
      <c r="P1183" s="468"/>
      <c r="Q1183" s="468"/>
      <c r="R1183" s="468"/>
      <c r="S1183" s="468"/>
      <c r="T1183" s="468"/>
      <c r="U1183" s="468"/>
      <c r="V1183" s="468"/>
      <c r="W1183" s="468"/>
      <c r="X1183" s="468"/>
      <c r="Y1183" s="384"/>
      <c r="Z1183" s="384"/>
      <c r="AA1183" s="383"/>
      <c r="AB1183" s="384"/>
      <c r="AC1183" s="384"/>
      <c r="AD1183" s="384"/>
      <c r="AE1183" s="384"/>
      <c r="AF1183" s="243"/>
      <c r="AG1183" s="243"/>
      <c r="AH1183" s="607"/>
      <c r="AI1183" s="607"/>
      <c r="AJ1183" s="607"/>
      <c r="AK1183" s="607"/>
      <c r="AL1183" s="607"/>
      <c r="AM1183" s="607"/>
      <c r="AN1183" s="607"/>
      <c r="AO1183" s="609"/>
      <c r="AP1183" s="609"/>
      <c r="AQ1183" s="608"/>
      <c r="AR1183" s="605"/>
      <c r="AS1183" s="605"/>
      <c r="AT1183" s="605"/>
      <c r="AU1183" s="605"/>
      <c r="AV1183" s="605"/>
      <c r="AW1183" s="605"/>
      <c r="AX1183" s="605"/>
      <c r="AY1183" s="605"/>
      <c r="AZ1183" s="605"/>
      <c r="BA1183" s="605"/>
      <c r="BB1183" s="606"/>
      <c r="BC1183" s="606"/>
      <c r="BD1183" s="606"/>
      <c r="BE1183" s="606"/>
    </row>
    <row r="1184" customFormat="false" ht="14.1" hidden="true" customHeight="true" outlineLevel="1" collapsed="false">
      <c r="A1184" s="137" t="s">
        <v>772</v>
      </c>
      <c r="B1184" s="277"/>
      <c r="C1184" s="301"/>
      <c r="D1184" s="138"/>
      <c r="E1184" s="138"/>
      <c r="F1184" s="138"/>
      <c r="G1184" s="468"/>
      <c r="H1184" s="468"/>
      <c r="I1184" s="468"/>
      <c r="J1184" s="468"/>
      <c r="K1184" s="468"/>
      <c r="L1184" s="468"/>
      <c r="M1184" s="468"/>
      <c r="N1184" s="468"/>
      <c r="O1184" s="468"/>
      <c r="P1184" s="468"/>
      <c r="Q1184" s="468"/>
      <c r="R1184" s="468"/>
      <c r="S1184" s="468"/>
      <c r="T1184" s="468"/>
      <c r="U1184" s="468"/>
      <c r="V1184" s="468"/>
      <c r="W1184" s="468"/>
      <c r="X1184" s="468"/>
      <c r="Y1184" s="384"/>
      <c r="Z1184" s="384"/>
      <c r="AA1184" s="383"/>
      <c r="AB1184" s="384"/>
      <c r="AC1184" s="384"/>
      <c r="AD1184" s="384"/>
      <c r="AE1184" s="384"/>
      <c r="AF1184" s="243"/>
      <c r="AG1184" s="243"/>
      <c r="AH1184" s="607"/>
      <c r="AI1184" s="607"/>
      <c r="AJ1184" s="607"/>
      <c r="AK1184" s="607"/>
      <c r="AL1184" s="607"/>
      <c r="AM1184" s="607"/>
      <c r="AN1184" s="607"/>
      <c r="AO1184" s="609"/>
      <c r="AP1184" s="609"/>
      <c r="AQ1184" s="608"/>
      <c r="AR1184" s="605"/>
      <c r="AS1184" s="605"/>
      <c r="AT1184" s="605"/>
      <c r="AU1184" s="605"/>
      <c r="AV1184" s="605"/>
      <c r="AW1184" s="605"/>
      <c r="AX1184" s="605"/>
      <c r="AY1184" s="605"/>
      <c r="AZ1184" s="605"/>
      <c r="BA1184" s="605"/>
      <c r="BB1184" s="606"/>
      <c r="BC1184" s="606"/>
      <c r="BD1184" s="606"/>
      <c r="BE1184" s="606"/>
    </row>
    <row r="1185" customFormat="false" ht="14.1" hidden="true" customHeight="true" outlineLevel="1" collapsed="false">
      <c r="A1185" s="196" t="s">
        <v>774</v>
      </c>
      <c r="B1185" s="277"/>
      <c r="C1185" s="301"/>
      <c r="D1185" s="138"/>
      <c r="E1185" s="138"/>
      <c r="F1185" s="138"/>
      <c r="G1185" s="468"/>
      <c r="H1185" s="468"/>
      <c r="I1185" s="468"/>
      <c r="J1185" s="468"/>
      <c r="K1185" s="468"/>
      <c r="L1185" s="468"/>
      <c r="M1185" s="468"/>
      <c r="N1185" s="468"/>
      <c r="O1185" s="468"/>
      <c r="P1185" s="468"/>
      <c r="Q1185" s="468"/>
      <c r="R1185" s="468"/>
      <c r="S1185" s="468"/>
      <c r="T1185" s="468"/>
      <c r="U1185" s="468"/>
      <c r="V1185" s="468"/>
      <c r="W1185" s="468"/>
      <c r="X1185" s="468"/>
      <c r="Y1185" s="384"/>
      <c r="Z1185" s="384"/>
      <c r="AA1185" s="383"/>
      <c r="AB1185" s="384"/>
      <c r="AC1185" s="384"/>
      <c r="AD1185" s="384"/>
      <c r="AE1185" s="384"/>
      <c r="AF1185" s="243"/>
      <c r="AG1185" s="243"/>
      <c r="AH1185" s="607"/>
      <c r="AI1185" s="607"/>
      <c r="AJ1185" s="607"/>
      <c r="AK1185" s="607"/>
      <c r="AL1185" s="607"/>
      <c r="AM1185" s="607"/>
      <c r="AN1185" s="607"/>
      <c r="AO1185" s="609"/>
      <c r="AP1185" s="609"/>
      <c r="AQ1185" s="608"/>
      <c r="AR1185" s="605"/>
      <c r="AS1185" s="605"/>
      <c r="AT1185" s="605"/>
      <c r="AU1185" s="605"/>
      <c r="AV1185" s="605"/>
      <c r="AW1185" s="605"/>
      <c r="AX1185" s="605"/>
      <c r="AY1185" s="605"/>
      <c r="AZ1185" s="605"/>
      <c r="BA1185" s="605"/>
      <c r="BB1185" s="606"/>
      <c r="BC1185" s="606"/>
      <c r="BD1185" s="606"/>
      <c r="BE1185" s="606"/>
    </row>
    <row r="1186" customFormat="false" ht="14.1" hidden="true" customHeight="true" outlineLevel="1" collapsed="false">
      <c r="A1186" s="137" t="s">
        <v>775</v>
      </c>
      <c r="B1186" s="277"/>
      <c r="C1186" s="301"/>
      <c r="D1186" s="138"/>
      <c r="E1186" s="138"/>
      <c r="F1186" s="138"/>
      <c r="G1186" s="468"/>
      <c r="H1186" s="468"/>
      <c r="I1186" s="468"/>
      <c r="J1186" s="468"/>
      <c r="K1186" s="468"/>
      <c r="L1186" s="468"/>
      <c r="M1186" s="468"/>
      <c r="N1186" s="468"/>
      <c r="O1186" s="468"/>
      <c r="P1186" s="468"/>
      <c r="Q1186" s="468"/>
      <c r="R1186" s="468"/>
      <c r="S1186" s="468"/>
      <c r="T1186" s="468"/>
      <c r="U1186" s="468"/>
      <c r="V1186" s="468"/>
      <c r="W1186" s="468"/>
      <c r="X1186" s="468"/>
      <c r="Y1186" s="384"/>
      <c r="Z1186" s="384"/>
      <c r="AA1186" s="383"/>
      <c r="AB1186" s="384"/>
      <c r="AC1186" s="384"/>
      <c r="AD1186" s="384"/>
      <c r="AE1186" s="384"/>
      <c r="AF1186" s="243"/>
      <c r="AG1186" s="243"/>
      <c r="AH1186" s="607"/>
      <c r="AI1186" s="607"/>
      <c r="AJ1186" s="607"/>
      <c r="AK1186" s="607"/>
      <c r="AL1186" s="607"/>
      <c r="AM1186" s="607"/>
      <c r="AN1186" s="607"/>
      <c r="AO1186" s="609"/>
      <c r="AP1186" s="609"/>
      <c r="AQ1186" s="608"/>
      <c r="AR1186" s="605"/>
      <c r="AS1186" s="605"/>
      <c r="AT1186" s="605"/>
      <c r="AU1186" s="605"/>
      <c r="AV1186" s="605"/>
      <c r="AW1186" s="605"/>
      <c r="AX1186" s="605"/>
      <c r="AY1186" s="605"/>
      <c r="AZ1186" s="605"/>
      <c r="BA1186" s="605"/>
      <c r="BB1186" s="606"/>
      <c r="BC1186" s="606"/>
      <c r="BD1186" s="606"/>
      <c r="BE1186" s="606"/>
    </row>
    <row r="1187" customFormat="false" ht="14.1" hidden="true" customHeight="true" outlineLevel="1" collapsed="false">
      <c r="A1187" s="196" t="s">
        <v>776</v>
      </c>
      <c r="B1187" s="277"/>
      <c r="C1187" s="301"/>
      <c r="D1187" s="138"/>
      <c r="E1187" s="138"/>
      <c r="F1187" s="138"/>
      <c r="G1187" s="468"/>
      <c r="H1187" s="468"/>
      <c r="I1187" s="468"/>
      <c r="J1187" s="468"/>
      <c r="K1187" s="468"/>
      <c r="L1187" s="468"/>
      <c r="M1187" s="468"/>
      <c r="N1187" s="468"/>
      <c r="O1187" s="468"/>
      <c r="P1187" s="468"/>
      <c r="Q1187" s="468"/>
      <c r="R1187" s="468"/>
      <c r="S1187" s="468"/>
      <c r="T1187" s="468"/>
      <c r="U1187" s="468"/>
      <c r="V1187" s="468"/>
      <c r="W1187" s="468"/>
      <c r="X1187" s="468"/>
      <c r="Y1187" s="384"/>
      <c r="Z1187" s="384"/>
      <c r="AA1187" s="383"/>
      <c r="AB1187" s="384"/>
      <c r="AC1187" s="384"/>
      <c r="AD1187" s="384"/>
      <c r="AE1187" s="384"/>
      <c r="AF1187" s="243"/>
      <c r="AG1187" s="243"/>
      <c r="AH1187" s="607"/>
      <c r="AI1187" s="607"/>
      <c r="AJ1187" s="607"/>
      <c r="AK1187" s="607"/>
      <c r="AL1187" s="607"/>
      <c r="AM1187" s="607"/>
      <c r="AN1187" s="607"/>
      <c r="AO1187" s="609"/>
      <c r="AP1187" s="609"/>
      <c r="AQ1187" s="608"/>
      <c r="AR1187" s="605"/>
      <c r="AS1187" s="605"/>
      <c r="AT1187" s="605"/>
      <c r="AU1187" s="605"/>
      <c r="AV1187" s="605"/>
      <c r="AW1187" s="605"/>
      <c r="AX1187" s="605"/>
      <c r="AY1187" s="605"/>
      <c r="AZ1187" s="605"/>
      <c r="BA1187" s="605"/>
      <c r="BB1187" s="606"/>
      <c r="BC1187" s="606"/>
      <c r="BD1187" s="606"/>
      <c r="BE1187" s="606"/>
    </row>
    <row r="1188" customFormat="false" ht="14.1" hidden="true" customHeight="true" outlineLevel="1" collapsed="false">
      <c r="A1188" s="137" t="s">
        <v>777</v>
      </c>
      <c r="B1188" s="277"/>
      <c r="C1188" s="301"/>
      <c r="D1188" s="138"/>
      <c r="E1188" s="138"/>
      <c r="F1188" s="138"/>
      <c r="G1188" s="468"/>
      <c r="H1188" s="468"/>
      <c r="I1188" s="468"/>
      <c r="J1188" s="468"/>
      <c r="K1188" s="468"/>
      <c r="L1188" s="468"/>
      <c r="M1188" s="468"/>
      <c r="N1188" s="468"/>
      <c r="O1188" s="468"/>
      <c r="P1188" s="468"/>
      <c r="Q1188" s="468"/>
      <c r="R1188" s="468"/>
      <c r="S1188" s="468"/>
      <c r="T1188" s="468"/>
      <c r="U1188" s="468"/>
      <c r="V1188" s="468"/>
      <c r="W1188" s="468"/>
      <c r="X1188" s="468"/>
      <c r="Y1188" s="384"/>
      <c r="Z1188" s="384"/>
      <c r="AA1188" s="383"/>
      <c r="AB1188" s="384"/>
      <c r="AC1188" s="384"/>
      <c r="AD1188" s="384"/>
      <c r="AE1188" s="384"/>
      <c r="AF1188" s="243"/>
      <c r="AG1188" s="243"/>
      <c r="AH1188" s="607"/>
      <c r="AI1188" s="607"/>
      <c r="AJ1188" s="607"/>
      <c r="AK1188" s="607"/>
      <c r="AL1188" s="607"/>
      <c r="AM1188" s="607"/>
      <c r="AN1188" s="607"/>
      <c r="AO1188" s="609"/>
      <c r="AP1188" s="609"/>
      <c r="AQ1188" s="608"/>
      <c r="AR1188" s="605"/>
      <c r="AS1188" s="605"/>
      <c r="AT1188" s="605"/>
      <c r="AU1188" s="605"/>
      <c r="AV1188" s="605"/>
      <c r="AW1188" s="605"/>
      <c r="AX1188" s="605"/>
      <c r="AY1188" s="605"/>
      <c r="AZ1188" s="605"/>
      <c r="BA1188" s="605"/>
      <c r="BB1188" s="606"/>
      <c r="BC1188" s="606"/>
      <c r="BD1188" s="606"/>
      <c r="BE1188" s="606"/>
    </row>
    <row r="1189" customFormat="false" ht="14.1" hidden="true" customHeight="true" outlineLevel="1" collapsed="false">
      <c r="A1189" s="275" t="s">
        <v>575</v>
      </c>
      <c r="B1189" s="277"/>
      <c r="C1189" s="301"/>
      <c r="D1189" s="138"/>
      <c r="E1189" s="138"/>
      <c r="F1189" s="138"/>
      <c r="G1189" s="468"/>
      <c r="H1189" s="468"/>
      <c r="I1189" s="468"/>
      <c r="J1189" s="468"/>
      <c r="K1189" s="468"/>
      <c r="L1189" s="468"/>
      <c r="M1189" s="468"/>
      <c r="N1189" s="468"/>
      <c r="O1189" s="468"/>
      <c r="P1189" s="468"/>
      <c r="Q1189" s="468"/>
      <c r="R1189" s="468"/>
      <c r="S1189" s="468"/>
      <c r="T1189" s="468"/>
      <c r="U1189" s="468"/>
      <c r="V1189" s="468"/>
      <c r="W1189" s="468"/>
      <c r="X1189" s="468"/>
      <c r="Y1189" s="384"/>
      <c r="Z1189" s="384"/>
      <c r="AA1189" s="383"/>
      <c r="AB1189" s="384"/>
      <c r="AC1189" s="384"/>
      <c r="AD1189" s="384"/>
      <c r="AE1189" s="384"/>
      <c r="AF1189" s="243"/>
      <c r="AG1189" s="243"/>
      <c r="AH1189" s="607"/>
      <c r="AI1189" s="607"/>
      <c r="AJ1189" s="607"/>
      <c r="AK1189" s="607"/>
      <c r="AL1189" s="607"/>
      <c r="AM1189" s="607"/>
      <c r="AN1189" s="607"/>
      <c r="AO1189" s="609"/>
      <c r="AP1189" s="609"/>
      <c r="AQ1189" s="608"/>
      <c r="AR1189" s="605"/>
      <c r="AS1189" s="605"/>
      <c r="AT1189" s="605"/>
      <c r="AU1189" s="605"/>
      <c r="AV1189" s="605"/>
      <c r="AW1189" s="605"/>
      <c r="AX1189" s="605"/>
      <c r="AY1189" s="605"/>
      <c r="AZ1189" s="605"/>
      <c r="BA1189" s="605"/>
      <c r="BB1189" s="606"/>
      <c r="BC1189" s="606"/>
      <c r="BD1189" s="606"/>
      <c r="BE1189" s="606"/>
    </row>
    <row r="1190" customFormat="false" ht="14.1" hidden="true" customHeight="true" outlineLevel="1" collapsed="false">
      <c r="A1190" s="405" t="s">
        <v>36</v>
      </c>
      <c r="B1190" s="277"/>
      <c r="C1190" s="275"/>
      <c r="D1190" s="138"/>
      <c r="E1190" s="138"/>
      <c r="F1190" s="138"/>
      <c r="G1190" s="468"/>
      <c r="H1190" s="468"/>
      <c r="I1190" s="468"/>
      <c r="J1190" s="468"/>
      <c r="K1190" s="468"/>
      <c r="L1190" s="468"/>
      <c r="M1190" s="468"/>
      <c r="N1190" s="468"/>
      <c r="O1190" s="468"/>
      <c r="P1190" s="468"/>
      <c r="Q1190" s="468"/>
      <c r="R1190" s="468"/>
      <c r="S1190" s="468"/>
      <c r="T1190" s="468"/>
      <c r="U1190" s="468"/>
      <c r="V1190" s="468"/>
      <c r="W1190" s="468"/>
      <c r="X1190" s="468"/>
      <c r="Y1190" s="384"/>
      <c r="Z1190" s="384"/>
      <c r="AA1190" s="383"/>
      <c r="AB1190" s="384"/>
      <c r="AC1190" s="384"/>
      <c r="AD1190" s="384"/>
      <c r="AE1190" s="384"/>
      <c r="AF1190" s="243"/>
      <c r="AG1190" s="243"/>
      <c r="AH1190" s="607"/>
      <c r="AI1190" s="607"/>
      <c r="AJ1190" s="607"/>
      <c r="AK1190" s="607"/>
      <c r="AL1190" s="607"/>
      <c r="AM1190" s="607"/>
      <c r="AN1190" s="607"/>
      <c r="AO1190" s="609"/>
      <c r="AP1190" s="609"/>
      <c r="AQ1190" s="608"/>
      <c r="AR1190" s="605"/>
      <c r="AS1190" s="605"/>
      <c r="AT1190" s="605"/>
      <c r="AU1190" s="605"/>
      <c r="AV1190" s="605"/>
      <c r="AW1190" s="605"/>
      <c r="AX1190" s="605"/>
      <c r="AY1190" s="605"/>
      <c r="AZ1190" s="605"/>
      <c r="BA1190" s="605"/>
      <c r="BB1190" s="606"/>
      <c r="BC1190" s="606"/>
      <c r="BD1190" s="606"/>
      <c r="BE1190" s="606"/>
    </row>
    <row r="1191" s="56" customFormat="true" ht="14.1" hidden="true" customHeight="true" outlineLevel="1" collapsed="false">
      <c r="A1191" s="258" t="s">
        <v>778</v>
      </c>
      <c r="B1191" s="277"/>
      <c r="C1191" s="275"/>
      <c r="D1191" s="278"/>
      <c r="E1191" s="278"/>
      <c r="F1191" s="278"/>
      <c r="G1191" s="468"/>
      <c r="H1191" s="468"/>
      <c r="I1191" s="468"/>
      <c r="J1191" s="468"/>
      <c r="K1191" s="468"/>
      <c r="L1191" s="468"/>
      <c r="M1191" s="468"/>
      <c r="N1191" s="468"/>
      <c r="O1191" s="468"/>
      <c r="P1191" s="468"/>
      <c r="Q1191" s="468"/>
      <c r="R1191" s="468"/>
      <c r="S1191" s="468"/>
      <c r="T1191" s="468"/>
      <c r="U1191" s="468"/>
      <c r="V1191" s="468"/>
      <c r="W1191" s="468"/>
      <c r="X1191" s="468"/>
      <c r="Y1191" s="384"/>
      <c r="Z1191" s="384"/>
      <c r="AA1191" s="383"/>
      <c r="AB1191" s="384"/>
      <c r="AC1191" s="384"/>
      <c r="AD1191" s="384"/>
      <c r="AE1191" s="384"/>
      <c r="AF1191" s="243"/>
      <c r="AG1191" s="243"/>
      <c r="AH1191" s="607"/>
      <c r="AI1191" s="607"/>
      <c r="AJ1191" s="607"/>
      <c r="AK1191" s="607"/>
      <c r="AL1191" s="607"/>
      <c r="AM1191" s="607"/>
      <c r="AN1191" s="607"/>
      <c r="AO1191" s="609"/>
      <c r="AP1191" s="609"/>
      <c r="AQ1191" s="608"/>
      <c r="AR1191" s="608"/>
      <c r="AS1191" s="608"/>
      <c r="AT1191" s="608"/>
      <c r="AU1191" s="608"/>
      <c r="AV1191" s="608"/>
      <c r="AW1191" s="608"/>
      <c r="AX1191" s="608"/>
      <c r="AY1191" s="608"/>
      <c r="AZ1191" s="608"/>
      <c r="BA1191" s="608"/>
      <c r="BB1191" s="614"/>
      <c r="BC1191" s="614"/>
      <c r="BD1191" s="614"/>
      <c r="BE1191" s="614"/>
      <c r="BF1191" s="55"/>
    </row>
    <row r="1192" customFormat="false" ht="14.1" hidden="true" customHeight="true" outlineLevel="1" collapsed="false">
      <c r="A1192" s="615" t="s">
        <v>102</v>
      </c>
      <c r="B1192" s="277"/>
      <c r="C1192" s="301"/>
      <c r="D1192" s="138"/>
      <c r="E1192" s="138"/>
      <c r="F1192" s="138"/>
      <c r="G1192" s="468"/>
      <c r="H1192" s="468"/>
      <c r="I1192" s="468"/>
      <c r="J1192" s="468"/>
      <c r="K1192" s="468"/>
      <c r="L1192" s="468"/>
      <c r="M1192" s="468"/>
      <c r="N1192" s="468"/>
      <c r="O1192" s="468"/>
      <c r="P1192" s="468"/>
      <c r="Q1192" s="468"/>
      <c r="R1192" s="468"/>
      <c r="S1192" s="468"/>
      <c r="T1192" s="468"/>
      <c r="U1192" s="468"/>
      <c r="V1192" s="468"/>
      <c r="W1192" s="468"/>
      <c r="X1192" s="468"/>
      <c r="Y1192" s="384"/>
      <c r="Z1192" s="384"/>
      <c r="AA1192" s="383"/>
      <c r="AB1192" s="384"/>
      <c r="AC1192" s="384"/>
      <c r="AD1192" s="384"/>
      <c r="AE1192" s="384"/>
      <c r="AF1192" s="243"/>
      <c r="AG1192" s="243"/>
      <c r="AH1192" s="607"/>
      <c r="AI1192" s="607"/>
      <c r="AJ1192" s="607"/>
      <c r="AK1192" s="607"/>
      <c r="AL1192" s="607"/>
      <c r="AM1192" s="607"/>
      <c r="AN1192" s="607"/>
      <c r="AO1192" s="609"/>
      <c r="AP1192" s="609"/>
      <c r="AQ1192" s="608"/>
      <c r="AR1192" s="605"/>
      <c r="AS1192" s="605"/>
      <c r="AT1192" s="605"/>
      <c r="AU1192" s="605"/>
      <c r="AV1192" s="605"/>
      <c r="AW1192" s="605"/>
      <c r="AX1192" s="605"/>
      <c r="AY1192" s="605"/>
      <c r="AZ1192" s="605"/>
      <c r="BA1192" s="605"/>
      <c r="BB1192" s="606"/>
      <c r="BC1192" s="606"/>
      <c r="BD1192" s="606"/>
      <c r="BE1192" s="606"/>
    </row>
    <row r="1193" customFormat="false" ht="14.1" hidden="true" customHeight="true" outlineLevel="1" collapsed="false">
      <c r="A1193" s="138" t="s">
        <v>749</v>
      </c>
      <c r="B1193" s="235"/>
      <c r="C1193" s="138"/>
      <c r="D1193" s="138"/>
      <c r="E1193" s="138"/>
      <c r="F1193" s="138"/>
      <c r="G1193" s="468"/>
      <c r="H1193" s="468"/>
      <c r="I1193" s="468"/>
      <c r="J1193" s="468"/>
      <c r="K1193" s="468"/>
      <c r="L1193" s="468"/>
      <c r="M1193" s="468"/>
      <c r="N1193" s="468"/>
      <c r="O1193" s="468"/>
      <c r="P1193" s="468"/>
      <c r="Q1193" s="468"/>
      <c r="R1193" s="468"/>
      <c r="S1193" s="468"/>
      <c r="T1193" s="468"/>
      <c r="U1193" s="468"/>
      <c r="V1193" s="468"/>
      <c r="W1193" s="468"/>
      <c r="X1193" s="468"/>
      <c r="Y1193" s="384"/>
      <c r="Z1193" s="384"/>
      <c r="AA1193" s="383"/>
      <c r="AB1193" s="384"/>
      <c r="AC1193" s="384"/>
      <c r="AD1193" s="384"/>
      <c r="AE1193" s="384"/>
      <c r="AF1193" s="243"/>
      <c r="AG1193" s="243"/>
      <c r="AH1193" s="607"/>
      <c r="AI1193" s="607"/>
      <c r="AJ1193" s="607"/>
      <c r="AK1193" s="607"/>
      <c r="AL1193" s="607"/>
      <c r="AM1193" s="607"/>
      <c r="AN1193" s="607"/>
      <c r="AO1193" s="609"/>
      <c r="AP1193" s="609"/>
      <c r="AQ1193" s="608"/>
      <c r="AR1193" s="605"/>
      <c r="AS1193" s="605"/>
      <c r="AT1193" s="605"/>
      <c r="AU1193" s="605"/>
      <c r="AV1193" s="605"/>
      <c r="AW1193" s="605"/>
      <c r="AX1193" s="605"/>
      <c r="AY1193" s="605"/>
      <c r="AZ1193" s="605"/>
      <c r="BA1193" s="605"/>
      <c r="BB1193" s="606"/>
      <c r="BC1193" s="606"/>
      <c r="BD1193" s="606"/>
      <c r="BE1193" s="606"/>
    </row>
    <row r="1194" customFormat="false" ht="14.1" hidden="true" customHeight="true" outlineLevel="1" collapsed="false">
      <c r="A1194" s="149" t="s">
        <v>226</v>
      </c>
      <c r="B1194" s="616" t="s">
        <v>502</v>
      </c>
      <c r="C1194" s="163" t="n">
        <v>0</v>
      </c>
      <c r="D1194" s="138"/>
      <c r="E1194" s="138"/>
      <c r="F1194" s="138"/>
      <c r="G1194" s="26"/>
      <c r="H1194" s="468"/>
      <c r="I1194" s="468"/>
      <c r="J1194" s="468"/>
      <c r="K1194" s="468"/>
      <c r="L1194" s="468"/>
      <c r="M1194" s="468"/>
      <c r="N1194" s="468"/>
      <c r="O1194" s="468"/>
      <c r="P1194" s="468"/>
      <c r="Q1194" s="468"/>
      <c r="R1194" s="468"/>
      <c r="S1194" s="468"/>
      <c r="T1194" s="468"/>
      <c r="U1194" s="468"/>
      <c r="V1194" s="468"/>
      <c r="W1194" s="468"/>
      <c r="X1194" s="468"/>
      <c r="Y1194" s="384"/>
      <c r="Z1194" s="384"/>
      <c r="AA1194" s="383"/>
      <c r="AB1194" s="384"/>
      <c r="AC1194" s="384"/>
      <c r="AD1194" s="384"/>
      <c r="AE1194" s="384"/>
      <c r="AF1194" s="243"/>
      <c r="AG1194" s="243"/>
      <c r="AH1194" s="607"/>
      <c r="AI1194" s="607"/>
      <c r="AJ1194" s="607"/>
      <c r="AK1194" s="607"/>
      <c r="AL1194" s="607"/>
      <c r="AM1194" s="607"/>
      <c r="AN1194" s="607"/>
      <c r="AO1194" s="609"/>
      <c r="AP1194" s="609"/>
      <c r="AQ1194" s="608"/>
      <c r="AR1194" s="605"/>
      <c r="AS1194" s="605"/>
      <c r="AT1194" s="605"/>
      <c r="AU1194" s="605"/>
      <c r="AV1194" s="605"/>
      <c r="AW1194" s="605"/>
      <c r="AX1194" s="605"/>
      <c r="AY1194" s="605"/>
      <c r="AZ1194" s="605"/>
      <c r="BA1194" s="605"/>
      <c r="BB1194" s="606"/>
      <c r="BC1194" s="606"/>
      <c r="BD1194" s="606"/>
      <c r="BE1194" s="606"/>
    </row>
    <row r="1195" customFormat="false" ht="14.1" hidden="true" customHeight="true" outlineLevel="1" collapsed="false">
      <c r="A1195" s="147" t="s">
        <v>226</v>
      </c>
      <c r="B1195" s="616" t="s">
        <v>502</v>
      </c>
      <c r="C1195" s="348" t="n">
        <v>0</v>
      </c>
      <c r="D1195" s="467"/>
      <c r="E1195" s="138"/>
      <c r="F1195" s="138"/>
      <c r="G1195" s="26"/>
      <c r="H1195" s="468"/>
      <c r="I1195" s="468"/>
      <c r="J1195" s="468"/>
      <c r="K1195" s="468"/>
      <c r="L1195" s="468"/>
      <c r="M1195" s="468"/>
      <c r="N1195" s="468"/>
      <c r="O1195" s="468"/>
      <c r="P1195" s="468"/>
      <c r="Q1195" s="468"/>
      <c r="R1195" s="468"/>
      <c r="S1195" s="468"/>
      <c r="T1195" s="468"/>
      <c r="U1195" s="468"/>
      <c r="V1195" s="468"/>
      <c r="W1195" s="468"/>
      <c r="X1195" s="468"/>
      <c r="Y1195" s="384"/>
      <c r="Z1195" s="384"/>
      <c r="AA1195" s="383"/>
      <c r="AB1195" s="384"/>
      <c r="AC1195" s="384"/>
      <c r="AD1195" s="384"/>
      <c r="AE1195" s="384"/>
      <c r="AF1195" s="243"/>
      <c r="AG1195" s="243"/>
      <c r="AH1195" s="607"/>
      <c r="AI1195" s="607"/>
      <c r="AJ1195" s="607"/>
      <c r="AK1195" s="607"/>
      <c r="AL1195" s="607"/>
      <c r="AM1195" s="607"/>
      <c r="AN1195" s="607"/>
      <c r="AO1195" s="609"/>
      <c r="AP1195" s="609"/>
      <c r="AQ1195" s="608"/>
      <c r="AR1195" s="605"/>
      <c r="AS1195" s="605"/>
      <c r="AT1195" s="605"/>
      <c r="AU1195" s="605"/>
      <c r="AV1195" s="605"/>
      <c r="AW1195" s="605"/>
      <c r="AX1195" s="605"/>
      <c r="AY1195" s="605"/>
      <c r="AZ1195" s="605"/>
      <c r="BA1195" s="605"/>
      <c r="BB1195" s="606"/>
      <c r="BC1195" s="606"/>
      <c r="BD1195" s="606"/>
      <c r="BE1195" s="606"/>
    </row>
    <row r="1196" customFormat="false" ht="14.1" hidden="true" customHeight="true" outlineLevel="1" collapsed="false">
      <c r="A1196" s="149" t="s">
        <v>226</v>
      </c>
      <c r="B1196" s="119" t="s">
        <v>48</v>
      </c>
      <c r="C1196" s="163" t="n">
        <v>0</v>
      </c>
      <c r="D1196" s="467"/>
      <c r="E1196" s="138"/>
      <c r="F1196" s="138"/>
      <c r="G1196" s="26"/>
      <c r="H1196" s="468"/>
      <c r="I1196" s="468"/>
      <c r="J1196" s="468"/>
      <c r="K1196" s="468"/>
      <c r="L1196" s="468"/>
      <c r="M1196" s="468"/>
      <c r="N1196" s="468"/>
      <c r="O1196" s="468"/>
      <c r="P1196" s="468"/>
      <c r="Q1196" s="468"/>
      <c r="R1196" s="468"/>
      <c r="S1196" s="468"/>
      <c r="T1196" s="468"/>
      <c r="U1196" s="468"/>
      <c r="V1196" s="468"/>
      <c r="W1196" s="468"/>
      <c r="X1196" s="468"/>
      <c r="Y1196" s="384"/>
      <c r="Z1196" s="384"/>
      <c r="AA1196" s="383"/>
      <c r="AB1196" s="384"/>
      <c r="AC1196" s="384"/>
      <c r="AD1196" s="384"/>
      <c r="AE1196" s="384"/>
      <c r="AF1196" s="243"/>
      <c r="AG1196" s="243"/>
      <c r="AH1196" s="607"/>
      <c r="AI1196" s="607"/>
      <c r="AJ1196" s="607"/>
      <c r="AK1196" s="607"/>
      <c r="AL1196" s="607"/>
      <c r="AM1196" s="607"/>
      <c r="AN1196" s="607"/>
      <c r="AO1196" s="609"/>
      <c r="AP1196" s="609"/>
      <c r="AQ1196" s="608"/>
      <c r="AR1196" s="605"/>
      <c r="AS1196" s="605"/>
      <c r="AT1196" s="605"/>
      <c r="AU1196" s="605"/>
      <c r="AV1196" s="605"/>
      <c r="AW1196" s="605"/>
      <c r="AX1196" s="605"/>
      <c r="AY1196" s="605"/>
      <c r="AZ1196" s="605"/>
      <c r="BA1196" s="605"/>
      <c r="BB1196" s="606"/>
      <c r="BC1196" s="606"/>
      <c r="BD1196" s="606"/>
      <c r="BE1196" s="606"/>
    </row>
    <row r="1197" customFormat="false" ht="14.1" hidden="true" customHeight="true" outlineLevel="1" collapsed="false">
      <c r="A1197" s="138"/>
      <c r="B1197" s="235"/>
      <c r="C1197" s="169"/>
      <c r="D1197" s="275"/>
      <c r="E1197" s="278"/>
      <c r="F1197" s="278"/>
      <c r="G1197" s="132"/>
      <c r="H1197" s="389"/>
      <c r="I1197" s="617"/>
      <c r="J1197" s="229"/>
      <c r="K1197" s="229"/>
      <c r="L1197" s="243"/>
      <c r="M1197" s="243"/>
      <c r="N1197" s="243"/>
      <c r="O1197" s="577"/>
      <c r="P1197" s="577"/>
      <c r="Q1197" s="577"/>
      <c r="R1197" s="577"/>
      <c r="S1197" s="577"/>
      <c r="T1197" s="577"/>
      <c r="U1197" s="577"/>
      <c r="V1197" s="577"/>
      <c r="W1197" s="577"/>
      <c r="X1197" s="577"/>
      <c r="Y1197" s="577"/>
      <c r="Z1197" s="577"/>
      <c r="AA1197" s="577"/>
      <c r="AB1197" s="577"/>
      <c r="AC1197" s="577"/>
      <c r="AD1197" s="577"/>
      <c r="AE1197" s="577"/>
      <c r="AF1197" s="577"/>
      <c r="AG1197" s="577"/>
      <c r="AH1197" s="618"/>
      <c r="AI1197" s="618"/>
      <c r="AJ1197" s="618"/>
      <c r="AK1197" s="618"/>
      <c r="AL1197" s="618"/>
      <c r="AM1197" s="618"/>
      <c r="AN1197" s="618"/>
      <c r="AO1197" s="619"/>
      <c r="AP1197" s="619"/>
      <c r="AQ1197" s="605"/>
      <c r="AR1197" s="605"/>
      <c r="AS1197" s="605"/>
      <c r="AT1197" s="605"/>
      <c r="AU1197" s="605"/>
      <c r="AV1197" s="605"/>
      <c r="AW1197" s="605"/>
      <c r="AX1197" s="605"/>
      <c r="AY1197" s="605"/>
      <c r="AZ1197" s="605"/>
      <c r="BA1197" s="605"/>
      <c r="BB1197" s="606"/>
      <c r="BC1197" s="606"/>
      <c r="BD1197" s="606"/>
      <c r="BE1197" s="606"/>
    </row>
    <row r="1198" customFormat="false" ht="14.1" hidden="true" customHeight="true" outlineLevel="1" collapsed="false">
      <c r="A1198" s="163" t="s">
        <v>779</v>
      </c>
      <c r="B1198" s="119" t="s">
        <v>113</v>
      </c>
      <c r="C1198" s="252" t="n">
        <v>3000</v>
      </c>
      <c r="D1198" s="275"/>
      <c r="E1198" s="278"/>
      <c r="F1198" s="278"/>
      <c r="G1198" s="132"/>
      <c r="H1198" s="389"/>
      <c r="I1198" s="617"/>
      <c r="J1198" s="229"/>
      <c r="K1198" s="229"/>
      <c r="L1198" s="243"/>
      <c r="M1198" s="243"/>
      <c r="N1198" s="243"/>
      <c r="O1198" s="577"/>
      <c r="P1198" s="577"/>
      <c r="Q1198" s="577"/>
      <c r="R1198" s="577"/>
      <c r="S1198" s="577"/>
      <c r="T1198" s="577"/>
      <c r="U1198" s="577"/>
      <c r="V1198" s="577"/>
      <c r="W1198" s="577"/>
      <c r="X1198" s="577"/>
      <c r="Y1198" s="577"/>
      <c r="Z1198" s="577"/>
      <c r="AA1198" s="577"/>
      <c r="AB1198" s="577"/>
      <c r="AC1198" s="577"/>
      <c r="AD1198" s="577"/>
      <c r="AE1198" s="577"/>
      <c r="AF1198" s="577"/>
      <c r="AG1198" s="577"/>
      <c r="AH1198" s="618"/>
      <c r="AI1198" s="618"/>
      <c r="AJ1198" s="618"/>
      <c r="AK1198" s="618"/>
      <c r="AL1198" s="618"/>
      <c r="AM1198" s="618"/>
      <c r="AN1198" s="618"/>
      <c r="AO1198" s="619"/>
      <c r="AP1198" s="619"/>
      <c r="AQ1198" s="605"/>
      <c r="AR1198" s="605"/>
      <c r="AS1198" s="605"/>
      <c r="AT1198" s="605"/>
      <c r="AU1198" s="605"/>
      <c r="AV1198" s="605"/>
      <c r="AW1198" s="605"/>
      <c r="AX1198" s="605"/>
      <c r="AY1198" s="605"/>
      <c r="AZ1198" s="605"/>
      <c r="BA1198" s="605"/>
      <c r="BB1198" s="606"/>
      <c r="BC1198" s="606"/>
      <c r="BD1198" s="606"/>
      <c r="BE1198" s="606"/>
    </row>
    <row r="1199" customFormat="false" ht="14.1" hidden="true" customHeight="true" outlineLevel="1" collapsed="false">
      <c r="A1199" s="138"/>
      <c r="B1199" s="235"/>
      <c r="C1199" s="138"/>
      <c r="D1199" s="275"/>
      <c r="E1199" s="278"/>
      <c r="F1199" s="278"/>
      <c r="G1199" s="132"/>
      <c r="H1199" s="389"/>
      <c r="I1199" s="617"/>
      <c r="J1199" s="229"/>
      <c r="K1199" s="229"/>
      <c r="L1199" s="243"/>
      <c r="M1199" s="243"/>
      <c r="N1199" s="243"/>
      <c r="O1199" s="577"/>
      <c r="P1199" s="577"/>
      <c r="Q1199" s="577"/>
      <c r="R1199" s="577"/>
      <c r="S1199" s="577"/>
      <c r="T1199" s="577"/>
      <c r="U1199" s="577"/>
      <c r="V1199" s="577"/>
      <c r="W1199" s="577"/>
      <c r="X1199" s="577"/>
      <c r="Y1199" s="577"/>
      <c r="Z1199" s="577"/>
      <c r="AA1199" s="577"/>
      <c r="AB1199" s="577"/>
      <c r="AC1199" s="577"/>
      <c r="AD1199" s="577"/>
      <c r="AE1199" s="577"/>
      <c r="AF1199" s="577"/>
      <c r="AG1199" s="577"/>
      <c r="AH1199" s="618"/>
      <c r="AI1199" s="618"/>
      <c r="AJ1199" s="618"/>
      <c r="AK1199" s="618"/>
      <c r="AL1199" s="618"/>
      <c r="AM1199" s="618"/>
      <c r="AN1199" s="618"/>
      <c r="AO1199" s="619"/>
      <c r="AP1199" s="619"/>
      <c r="AQ1199" s="605"/>
      <c r="AR1199" s="605"/>
      <c r="AS1199" s="605"/>
      <c r="AT1199" s="605"/>
      <c r="AU1199" s="605"/>
      <c r="AV1199" s="605"/>
      <c r="AW1199" s="605"/>
      <c r="AX1199" s="605"/>
      <c r="AY1199" s="605"/>
      <c r="AZ1199" s="605"/>
      <c r="BA1199" s="605"/>
      <c r="BB1199" s="606"/>
      <c r="BC1199" s="606"/>
      <c r="BD1199" s="606"/>
      <c r="BE1199" s="606"/>
    </row>
    <row r="1200" customFormat="false" ht="14.1" hidden="true" customHeight="true" outlineLevel="1" collapsed="false">
      <c r="A1200" s="151" t="s">
        <v>714</v>
      </c>
      <c r="B1200" s="148" t="s">
        <v>162</v>
      </c>
      <c r="C1200" s="428" t="s">
        <v>56</v>
      </c>
      <c r="D1200" s="275"/>
      <c r="E1200" s="278"/>
      <c r="F1200" s="278"/>
      <c r="G1200" s="132"/>
      <c r="H1200" s="389"/>
      <c r="I1200" s="617"/>
      <c r="J1200" s="229"/>
      <c r="K1200" s="229"/>
      <c r="L1200" s="243"/>
      <c r="M1200" s="243"/>
      <c r="N1200" s="243"/>
      <c r="O1200" s="577"/>
      <c r="P1200" s="577"/>
      <c r="Q1200" s="577"/>
      <c r="R1200" s="577"/>
      <c r="S1200" s="577"/>
      <c r="T1200" s="577"/>
      <c r="U1200" s="577"/>
      <c r="V1200" s="577"/>
      <c r="W1200" s="577"/>
      <c r="X1200" s="577"/>
      <c r="Y1200" s="577"/>
      <c r="Z1200" s="577"/>
      <c r="AA1200" s="577"/>
      <c r="AB1200" s="577"/>
      <c r="AC1200" s="577"/>
      <c r="AD1200" s="577"/>
      <c r="AE1200" s="577"/>
      <c r="AF1200" s="577"/>
      <c r="AG1200" s="577"/>
      <c r="AH1200" s="618"/>
      <c r="AI1200" s="618"/>
      <c r="AJ1200" s="618"/>
      <c r="AK1200" s="618"/>
      <c r="AL1200" s="618"/>
      <c r="AM1200" s="618"/>
      <c r="AN1200" s="618"/>
      <c r="AO1200" s="619"/>
      <c r="AP1200" s="619"/>
      <c r="AQ1200" s="605"/>
      <c r="AR1200" s="605"/>
      <c r="AS1200" s="605"/>
      <c r="AT1200" s="605"/>
      <c r="AU1200" s="605"/>
      <c r="AV1200" s="605"/>
      <c r="AW1200" s="605"/>
      <c r="AX1200" s="605"/>
      <c r="AY1200" s="605"/>
      <c r="AZ1200" s="605"/>
      <c r="BA1200" s="605"/>
      <c r="BB1200" s="606"/>
      <c r="BC1200" s="606"/>
      <c r="BD1200" s="606"/>
      <c r="BE1200" s="606"/>
    </row>
    <row r="1201" customFormat="false" ht="14.1" hidden="true" customHeight="true" outlineLevel="1" collapsed="false">
      <c r="A1201" s="239" t="s">
        <v>715</v>
      </c>
      <c r="B1201" s="148" t="s">
        <v>109</v>
      </c>
      <c r="C1201" s="151" t="n">
        <v>3</v>
      </c>
      <c r="D1201" s="275"/>
      <c r="E1201" s="278"/>
      <c r="F1201" s="278"/>
      <c r="G1201" s="132"/>
      <c r="H1201" s="389"/>
      <c r="I1201" s="617"/>
      <c r="J1201" s="229"/>
      <c r="K1201" s="229"/>
      <c r="L1201" s="243"/>
      <c r="M1201" s="243"/>
      <c r="N1201" s="243"/>
      <c r="O1201" s="577"/>
      <c r="P1201" s="577"/>
      <c r="Q1201" s="577"/>
      <c r="R1201" s="577"/>
      <c r="S1201" s="577"/>
      <c r="T1201" s="577"/>
      <c r="U1201" s="577"/>
      <c r="V1201" s="577"/>
      <c r="W1201" s="577"/>
      <c r="X1201" s="577"/>
      <c r="Y1201" s="577"/>
      <c r="Z1201" s="577"/>
      <c r="AA1201" s="577"/>
      <c r="AB1201" s="577"/>
      <c r="AC1201" s="577"/>
      <c r="AD1201" s="577"/>
      <c r="AE1201" s="577"/>
      <c r="AF1201" s="577"/>
      <c r="AG1201" s="577"/>
      <c r="AH1201" s="618"/>
      <c r="AI1201" s="618"/>
      <c r="AJ1201" s="618"/>
      <c r="AK1201" s="618"/>
      <c r="AL1201" s="618"/>
      <c r="AM1201" s="618"/>
      <c r="AN1201" s="618"/>
      <c r="AO1201" s="619"/>
      <c r="AP1201" s="619"/>
      <c r="AQ1201" s="605"/>
      <c r="AR1201" s="605"/>
      <c r="AS1201" s="605"/>
      <c r="AT1201" s="605"/>
      <c r="AU1201" s="605"/>
      <c r="AV1201" s="605"/>
      <c r="AW1201" s="605"/>
      <c r="AX1201" s="605"/>
      <c r="AY1201" s="605"/>
      <c r="AZ1201" s="605"/>
      <c r="BA1201" s="605"/>
      <c r="BB1201" s="606"/>
      <c r="BC1201" s="606"/>
      <c r="BD1201" s="606"/>
      <c r="BE1201" s="606"/>
    </row>
    <row r="1202" customFormat="false" ht="14.1" hidden="true" customHeight="true" outlineLevel="1" collapsed="false">
      <c r="A1202" s="151" t="s">
        <v>716</v>
      </c>
      <c r="B1202" s="180" t="s">
        <v>109</v>
      </c>
      <c r="C1202" s="239" t="n">
        <v>12</v>
      </c>
      <c r="D1202" s="275"/>
      <c r="E1202" s="278"/>
      <c r="F1202" s="278"/>
      <c r="G1202" s="132"/>
      <c r="H1202" s="389"/>
      <c r="I1202" s="617"/>
      <c r="J1202" s="229"/>
      <c r="K1202" s="229"/>
      <c r="L1202" s="243"/>
      <c r="M1202" s="243"/>
      <c r="N1202" s="243"/>
      <c r="O1202" s="577"/>
      <c r="P1202" s="577"/>
      <c r="Q1202" s="577"/>
      <c r="R1202" s="577"/>
      <c r="S1202" s="577"/>
      <c r="T1202" s="577"/>
      <c r="U1202" s="577"/>
      <c r="V1202" s="577"/>
      <c r="W1202" s="577"/>
      <c r="X1202" s="577"/>
      <c r="Y1202" s="577"/>
      <c r="Z1202" s="577"/>
      <c r="AA1202" s="577"/>
      <c r="AB1202" s="577"/>
      <c r="AC1202" s="577"/>
      <c r="AD1202" s="577"/>
      <c r="AE1202" s="577"/>
      <c r="AF1202" s="577"/>
      <c r="AG1202" s="577"/>
      <c r="AH1202" s="618"/>
      <c r="AI1202" s="618"/>
      <c r="AJ1202" s="618"/>
      <c r="AK1202" s="618"/>
      <c r="AL1202" s="618"/>
      <c r="AM1202" s="618"/>
      <c r="AN1202" s="618"/>
      <c r="AO1202" s="619"/>
      <c r="AP1202" s="619"/>
      <c r="AQ1202" s="605"/>
      <c r="AR1202" s="605"/>
      <c r="AS1202" s="605"/>
      <c r="AT1202" s="605"/>
      <c r="AU1202" s="605"/>
      <c r="AV1202" s="605"/>
      <c r="AW1202" s="605"/>
      <c r="AX1202" s="605"/>
      <c r="AY1202" s="605"/>
      <c r="AZ1202" s="605"/>
      <c r="BA1202" s="605"/>
      <c r="BB1202" s="606"/>
      <c r="BC1202" s="606"/>
      <c r="BD1202" s="606"/>
      <c r="BE1202" s="606"/>
    </row>
    <row r="1203" customFormat="false" ht="14.1" hidden="true" customHeight="true" outlineLevel="1" collapsed="false">
      <c r="A1203" s="151" t="s">
        <v>717</v>
      </c>
      <c r="B1203" s="148" t="s">
        <v>113</v>
      </c>
      <c r="C1203" s="151" t="n">
        <v>800</v>
      </c>
      <c r="D1203" s="275"/>
      <c r="E1203" s="278"/>
      <c r="F1203" s="278"/>
      <c r="G1203" s="132"/>
      <c r="H1203" s="389"/>
      <c r="I1203" s="617"/>
      <c r="J1203" s="229"/>
      <c r="K1203" s="229"/>
      <c r="L1203" s="243"/>
      <c r="M1203" s="243"/>
      <c r="N1203" s="243"/>
      <c r="O1203" s="577"/>
      <c r="P1203" s="577"/>
      <c r="Q1203" s="577"/>
      <c r="R1203" s="577"/>
      <c r="S1203" s="577"/>
      <c r="T1203" s="577"/>
      <c r="U1203" s="577"/>
      <c r="V1203" s="577"/>
      <c r="W1203" s="577"/>
      <c r="X1203" s="577"/>
      <c r="Y1203" s="577"/>
      <c r="Z1203" s="577"/>
      <c r="AA1203" s="577"/>
      <c r="AB1203" s="577"/>
      <c r="AC1203" s="577"/>
      <c r="AD1203" s="577"/>
      <c r="AE1203" s="577"/>
      <c r="AF1203" s="577"/>
      <c r="AG1203" s="577"/>
      <c r="AH1203" s="618"/>
      <c r="AI1203" s="618"/>
      <c r="AJ1203" s="618"/>
      <c r="AK1203" s="618"/>
      <c r="AL1203" s="618"/>
      <c r="AM1203" s="618"/>
      <c r="AN1203" s="618"/>
      <c r="AO1203" s="619"/>
      <c r="AP1203" s="619"/>
      <c r="AQ1203" s="605"/>
      <c r="AR1203" s="605"/>
      <c r="AS1203" s="605"/>
      <c r="AT1203" s="605"/>
      <c r="AU1203" s="605"/>
      <c r="AV1203" s="605"/>
      <c r="AW1203" s="605"/>
      <c r="AX1203" s="605"/>
      <c r="AY1203" s="605"/>
      <c r="AZ1203" s="605"/>
      <c r="BA1203" s="605"/>
      <c r="BB1203" s="606"/>
      <c r="BC1203" s="606"/>
      <c r="BD1203" s="606"/>
      <c r="BE1203" s="606"/>
    </row>
    <row r="1204" customFormat="false" ht="14.1" hidden="true" customHeight="true" outlineLevel="1" collapsed="false">
      <c r="A1204" s="138"/>
      <c r="B1204" s="235"/>
      <c r="C1204" s="138"/>
      <c r="D1204" s="275"/>
      <c r="E1204" s="278"/>
      <c r="F1204" s="278"/>
      <c r="G1204" s="132"/>
      <c r="H1204" s="389"/>
      <c r="I1204" s="617"/>
      <c r="J1204" s="229"/>
      <c r="K1204" s="229"/>
      <c r="L1204" s="243"/>
      <c r="M1204" s="243"/>
      <c r="N1204" s="243"/>
      <c r="O1204" s="577"/>
      <c r="P1204" s="577"/>
      <c r="Q1204" s="577"/>
      <c r="R1204" s="577"/>
      <c r="S1204" s="577"/>
      <c r="T1204" s="577"/>
      <c r="U1204" s="577"/>
      <c r="V1204" s="577"/>
      <c r="W1204" s="577"/>
      <c r="X1204" s="577"/>
      <c r="Y1204" s="577"/>
      <c r="Z1204" s="577"/>
      <c r="AA1204" s="577"/>
      <c r="AB1204" s="577"/>
      <c r="AC1204" s="577"/>
      <c r="AD1204" s="577"/>
      <c r="AE1204" s="577"/>
      <c r="AF1204" s="577"/>
      <c r="AG1204" s="577"/>
      <c r="AH1204" s="618"/>
      <c r="AI1204" s="618"/>
      <c r="AJ1204" s="618"/>
      <c r="AK1204" s="618"/>
      <c r="AL1204" s="618"/>
      <c r="AM1204" s="618"/>
      <c r="AN1204" s="618"/>
      <c r="AO1204" s="619"/>
      <c r="AP1204" s="619"/>
      <c r="AQ1204" s="605"/>
      <c r="AR1204" s="605"/>
      <c r="AS1204" s="605"/>
      <c r="AT1204" s="605"/>
      <c r="AU1204" s="605"/>
      <c r="AV1204" s="605"/>
      <c r="AW1204" s="605"/>
      <c r="AX1204" s="605"/>
      <c r="AY1204" s="605"/>
      <c r="AZ1204" s="605"/>
      <c r="BA1204" s="605"/>
      <c r="BB1204" s="606"/>
      <c r="BC1204" s="606"/>
      <c r="BD1204" s="606"/>
      <c r="BE1204" s="606"/>
    </row>
    <row r="1205" customFormat="false" ht="14.1" hidden="false" customHeight="true" outlineLevel="0" collapsed="false">
      <c r="A1205" s="576" t="s">
        <v>780</v>
      </c>
      <c r="B1205" s="576"/>
      <c r="C1205" s="576"/>
      <c r="D1205" s="576"/>
      <c r="E1205" s="576"/>
      <c r="F1205" s="576"/>
      <c r="G1205" s="576"/>
      <c r="H1205" s="437"/>
      <c r="I1205" s="437"/>
      <c r="J1205" s="437"/>
      <c r="K1205" s="437"/>
      <c r="L1205" s="437"/>
      <c r="M1205" s="257"/>
      <c r="N1205" s="257"/>
      <c r="O1205" s="257"/>
      <c r="P1205" s="243"/>
      <c r="Q1205" s="165"/>
      <c r="R1205" s="243"/>
      <c r="S1205" s="243"/>
      <c r="T1205" s="243"/>
      <c r="U1205" s="243"/>
      <c r="V1205" s="243"/>
      <c r="W1205" s="243"/>
      <c r="X1205" s="243"/>
      <c r="Y1205" s="243"/>
      <c r="Z1205" s="243"/>
      <c r="AA1205" s="243"/>
      <c r="AB1205" s="243"/>
      <c r="AC1205" s="243"/>
      <c r="AD1205" s="243"/>
      <c r="AE1205" s="243"/>
      <c r="AF1205" s="243"/>
      <c r="AG1205" s="243"/>
      <c r="AH1205" s="29"/>
      <c r="AI1205" s="29"/>
      <c r="AJ1205" s="29"/>
      <c r="AK1205" s="29"/>
      <c r="AL1205" s="29"/>
      <c r="AM1205" s="29"/>
      <c r="AN1205" s="29"/>
      <c r="AO1205" s="567"/>
      <c r="AP1205" s="567"/>
      <c r="AQ1205" s="568"/>
      <c r="AR1205" s="568"/>
      <c r="AS1205" s="568"/>
      <c r="AT1205" s="568"/>
      <c r="AU1205" s="568"/>
      <c r="AV1205" s="127" t="n">
        <f aca="false">M1205</f>
        <v>0</v>
      </c>
      <c r="AW1205" s="568"/>
      <c r="AX1205" s="568"/>
      <c r="AY1205" s="568"/>
      <c r="AZ1205" s="568"/>
      <c r="BA1205" s="568"/>
      <c r="BB1205" s="569"/>
      <c r="BC1205" s="569"/>
      <c r="BD1205" s="569"/>
      <c r="BE1205" s="569"/>
    </row>
    <row r="1206" s="35" customFormat="true" ht="14.1" hidden="false" customHeight="true" outlineLevel="0" collapsed="false">
      <c r="A1206" s="589"/>
      <c r="B1206" s="241"/>
      <c r="C1206" s="243"/>
      <c r="D1206" s="620"/>
      <c r="E1206" s="620"/>
      <c r="F1206" s="620"/>
      <c r="G1206" s="620"/>
      <c r="H1206" s="243"/>
      <c r="I1206" s="243"/>
      <c r="J1206" s="243"/>
      <c r="K1206" s="243"/>
      <c r="L1206" s="243"/>
      <c r="M1206" s="243"/>
      <c r="N1206" s="243"/>
      <c r="O1206" s="243"/>
      <c r="P1206" s="243"/>
      <c r="Q1206" s="243"/>
      <c r="R1206" s="243"/>
      <c r="S1206" s="243"/>
      <c r="T1206" s="243"/>
      <c r="U1206" s="243"/>
      <c r="V1206" s="243"/>
      <c r="W1206" s="243"/>
      <c r="X1206" s="243"/>
      <c r="Y1206" s="243"/>
      <c r="Z1206" s="243"/>
      <c r="AA1206" s="243"/>
      <c r="AB1206" s="243"/>
      <c r="AC1206" s="243"/>
      <c r="AD1206" s="243"/>
      <c r="AE1206" s="243"/>
      <c r="AF1206" s="243"/>
      <c r="AG1206" s="243"/>
      <c r="AH1206" s="29"/>
      <c r="AI1206" s="29"/>
      <c r="AJ1206" s="29"/>
      <c r="AK1206" s="29"/>
      <c r="AL1206" s="29"/>
      <c r="AM1206" s="29"/>
      <c r="AN1206" s="29"/>
      <c r="AO1206" s="567"/>
      <c r="AP1206" s="567"/>
      <c r="AQ1206" s="568"/>
      <c r="AR1206" s="568"/>
      <c r="AS1206" s="568"/>
      <c r="AT1206" s="568"/>
      <c r="AU1206" s="568"/>
      <c r="AV1206" s="568"/>
      <c r="AW1206" s="568"/>
      <c r="AX1206" s="568"/>
      <c r="AY1206" s="568"/>
      <c r="AZ1206" s="568"/>
      <c r="BA1206" s="568"/>
      <c r="BB1206" s="568"/>
      <c r="BC1206" s="568"/>
      <c r="BD1206" s="568"/>
      <c r="BE1206" s="568"/>
      <c r="BF1206" s="156"/>
    </row>
    <row r="1207" customFormat="false" ht="14.1" hidden="true" customHeight="true" outlineLevel="1" collapsed="false">
      <c r="A1207" s="621" t="s">
        <v>781</v>
      </c>
      <c r="B1207" s="621"/>
      <c r="C1207" s="621"/>
      <c r="D1207" s="621"/>
      <c r="E1207" s="621"/>
      <c r="F1207" s="621"/>
      <c r="G1207" s="621"/>
      <c r="H1207" s="14"/>
      <c r="I1207" s="14"/>
      <c r="J1207" s="14"/>
      <c r="K1207" s="14"/>
      <c r="L1207" s="14"/>
      <c r="M1207" s="14"/>
      <c r="N1207" s="14"/>
      <c r="O1207" s="14"/>
      <c r="P1207" s="14"/>
      <c r="Q1207" s="14"/>
      <c r="R1207" s="14"/>
      <c r="S1207" s="14"/>
      <c r="T1207" s="14"/>
      <c r="U1207" s="14"/>
      <c r="V1207" s="14"/>
      <c r="W1207" s="14"/>
      <c r="X1207" s="14"/>
      <c r="Y1207" s="14"/>
      <c r="Z1207" s="14"/>
      <c r="AA1207" s="14"/>
      <c r="AB1207" s="14"/>
      <c r="AC1207" s="14"/>
      <c r="AD1207" s="14"/>
      <c r="AE1207" s="14"/>
      <c r="AF1207" s="14"/>
      <c r="AG1207" s="14"/>
      <c r="AH1207" s="15"/>
      <c r="AI1207" s="15"/>
      <c r="AJ1207" s="578"/>
      <c r="AK1207" s="578"/>
      <c r="AL1207" s="578"/>
      <c r="AM1207" s="578"/>
      <c r="AN1207" s="578"/>
      <c r="AO1207" s="579"/>
      <c r="AP1207" s="579"/>
      <c r="AQ1207" s="580"/>
      <c r="AR1207" s="580"/>
      <c r="AS1207" s="580"/>
      <c r="AT1207" s="580"/>
      <c r="AU1207" s="580"/>
      <c r="AV1207" s="580"/>
      <c r="AW1207" s="580"/>
      <c r="AX1207" s="580"/>
      <c r="AY1207" s="580"/>
      <c r="AZ1207" s="580"/>
      <c r="BA1207" s="580"/>
      <c r="BB1207" s="622"/>
      <c r="BC1207" s="622"/>
      <c r="BD1207" s="622"/>
      <c r="BE1207" s="622"/>
    </row>
    <row r="1208" customFormat="false" ht="14.1" hidden="true" customHeight="true" outlineLevel="1" collapsed="false">
      <c r="A1208" s="621"/>
      <c r="B1208" s="621"/>
      <c r="C1208" s="621"/>
      <c r="D1208" s="621"/>
      <c r="E1208" s="621"/>
      <c r="F1208" s="621"/>
      <c r="G1208" s="621"/>
      <c r="H1208" s="14"/>
      <c r="I1208" s="14"/>
      <c r="J1208" s="14"/>
      <c r="K1208" s="14"/>
      <c r="L1208" s="14"/>
      <c r="M1208" s="14"/>
      <c r="N1208" s="14"/>
      <c r="O1208" s="14"/>
      <c r="P1208" s="14"/>
      <c r="Q1208" s="14"/>
      <c r="R1208" s="14"/>
      <c r="S1208" s="14"/>
      <c r="T1208" s="14"/>
      <c r="U1208" s="14"/>
      <c r="V1208" s="14"/>
      <c r="W1208" s="14"/>
      <c r="X1208" s="14"/>
      <c r="Y1208" s="14"/>
      <c r="Z1208" s="14"/>
      <c r="AA1208" s="14"/>
      <c r="AB1208" s="14"/>
      <c r="AC1208" s="14"/>
      <c r="AD1208" s="14"/>
      <c r="AE1208" s="14"/>
      <c r="AF1208" s="14"/>
      <c r="AG1208" s="14"/>
      <c r="AH1208" s="15"/>
      <c r="AI1208" s="15"/>
      <c r="AJ1208" s="578"/>
      <c r="AK1208" s="578"/>
      <c r="AL1208" s="578"/>
      <c r="AM1208" s="578"/>
      <c r="AN1208" s="578"/>
      <c r="AO1208" s="579"/>
      <c r="AP1208" s="579"/>
      <c r="AQ1208" s="580"/>
      <c r="AR1208" s="580"/>
      <c r="AS1208" s="580"/>
      <c r="AT1208" s="580"/>
      <c r="AU1208" s="580"/>
      <c r="AV1208" s="580"/>
      <c r="AW1208" s="580"/>
      <c r="AX1208" s="580"/>
      <c r="AY1208" s="580"/>
      <c r="AZ1208" s="580"/>
      <c r="BA1208" s="580"/>
      <c r="BB1208" s="622"/>
      <c r="BC1208" s="622"/>
      <c r="BD1208" s="622"/>
      <c r="BE1208" s="622"/>
    </row>
    <row r="1209" customFormat="false" ht="14.1" hidden="true" customHeight="true" outlineLevel="1" collapsed="false">
      <c r="A1209" s="393" t="s">
        <v>461</v>
      </c>
      <c r="B1209" s="570"/>
      <c r="C1209" s="571"/>
      <c r="D1209" s="348" t="n">
        <v>1</v>
      </c>
      <c r="E1209" s="138"/>
      <c r="F1209" s="138"/>
      <c r="G1209" s="468"/>
      <c r="H1209" s="468"/>
      <c r="I1209" s="468"/>
      <c r="J1209" s="468"/>
      <c r="K1209" s="468"/>
      <c r="L1209" s="468"/>
      <c r="M1209" s="468"/>
      <c r="N1209" s="468"/>
      <c r="O1209" s="468"/>
      <c r="P1209" s="468"/>
      <c r="Q1209" s="468"/>
      <c r="R1209" s="468"/>
      <c r="S1209" s="468"/>
      <c r="T1209" s="468"/>
      <c r="U1209" s="468"/>
      <c r="V1209" s="468"/>
      <c r="W1209" s="468"/>
      <c r="X1209" s="468"/>
      <c r="Y1209" s="468"/>
      <c r="Z1209" s="468"/>
      <c r="AA1209" s="468"/>
      <c r="AB1209" s="468"/>
      <c r="AC1209" s="468"/>
      <c r="AD1209" s="468"/>
      <c r="AE1209" s="468"/>
      <c r="AF1209" s="243"/>
      <c r="AG1209" s="243"/>
      <c r="AH1209" s="29"/>
      <c r="AI1209" s="568"/>
      <c r="AJ1209" s="578"/>
      <c r="AK1209" s="578"/>
      <c r="AL1209" s="578"/>
      <c r="AM1209" s="578"/>
      <c r="AN1209" s="578"/>
      <c r="AO1209" s="579"/>
      <c r="AP1209" s="579"/>
      <c r="AQ1209" s="580"/>
      <c r="AR1209" s="580"/>
      <c r="AS1209" s="580"/>
      <c r="AT1209" s="580"/>
      <c r="AU1209" s="580"/>
      <c r="AV1209" s="580"/>
      <c r="AW1209" s="580"/>
      <c r="AX1209" s="580"/>
      <c r="AY1209" s="580"/>
      <c r="AZ1209" s="580"/>
      <c r="BA1209" s="580"/>
      <c r="BB1209" s="581"/>
      <c r="BC1209" s="581"/>
      <c r="BD1209" s="581"/>
      <c r="BE1209" s="581"/>
    </row>
    <row r="1210" customFormat="false" ht="14.1" hidden="true" customHeight="true" outlineLevel="1" collapsed="false">
      <c r="A1210" s="393" t="s">
        <v>462</v>
      </c>
      <c r="B1210" s="570"/>
      <c r="C1210" s="571"/>
      <c r="D1210" s="348" t="n">
        <v>1</v>
      </c>
      <c r="E1210" s="138"/>
      <c r="F1210" s="138"/>
      <c r="G1210" s="468"/>
      <c r="H1210" s="468"/>
      <c r="I1210" s="468"/>
      <c r="J1210" s="468"/>
      <c r="K1210" s="468"/>
      <c r="L1210" s="468"/>
      <c r="M1210" s="468"/>
      <c r="N1210" s="468"/>
      <c r="O1210" s="468"/>
      <c r="P1210" s="468"/>
      <c r="Q1210" s="468"/>
      <c r="R1210" s="468"/>
      <c r="S1210" s="468"/>
      <c r="T1210" s="468"/>
      <c r="U1210" s="468"/>
      <c r="V1210" s="468"/>
      <c r="W1210" s="468"/>
      <c r="X1210" s="468"/>
      <c r="Y1210" s="468"/>
      <c r="Z1210" s="468"/>
      <c r="AA1210" s="468"/>
      <c r="AB1210" s="468"/>
      <c r="AC1210" s="468"/>
      <c r="AD1210" s="468"/>
      <c r="AE1210" s="468"/>
      <c r="AF1210" s="243"/>
      <c r="AG1210" s="243"/>
      <c r="AH1210" s="29"/>
      <c r="AI1210" s="29"/>
      <c r="AJ1210" s="578"/>
      <c r="AK1210" s="578"/>
      <c r="AL1210" s="578"/>
      <c r="AM1210" s="578"/>
      <c r="AN1210" s="578"/>
      <c r="AO1210" s="579"/>
      <c r="AP1210" s="579"/>
      <c r="AQ1210" s="580"/>
      <c r="AR1210" s="580"/>
      <c r="AS1210" s="580"/>
      <c r="AT1210" s="580"/>
      <c r="AU1210" s="580"/>
      <c r="AV1210" s="580"/>
      <c r="AW1210" s="580"/>
      <c r="AX1210" s="580"/>
      <c r="AY1210" s="580"/>
      <c r="AZ1210" s="580"/>
      <c r="BA1210" s="580"/>
      <c r="BB1210" s="581"/>
      <c r="BC1210" s="581"/>
      <c r="BD1210" s="581"/>
      <c r="BE1210" s="581"/>
    </row>
    <row r="1211" customFormat="false" ht="14.1" hidden="true" customHeight="true" outlineLevel="1" collapsed="false">
      <c r="A1211" s="138"/>
      <c r="B1211" s="481"/>
      <c r="C1211" s="467"/>
      <c r="D1211" s="467"/>
      <c r="E1211" s="467"/>
      <c r="F1211" s="467"/>
      <c r="G1211" s="468"/>
      <c r="H1211" s="468"/>
      <c r="I1211" s="468"/>
      <c r="J1211" s="468"/>
      <c r="K1211" s="468"/>
      <c r="L1211" s="468"/>
      <c r="M1211" s="468"/>
      <c r="N1211" s="468"/>
      <c r="O1211" s="468"/>
      <c r="P1211" s="468"/>
      <c r="Q1211" s="468"/>
      <c r="R1211" s="468"/>
      <c r="S1211" s="468"/>
      <c r="T1211" s="468"/>
      <c r="U1211" s="468"/>
      <c r="V1211" s="468"/>
      <c r="W1211" s="468"/>
      <c r="X1211" s="468"/>
      <c r="Y1211" s="384"/>
      <c r="Z1211" s="384"/>
      <c r="AA1211" s="384"/>
      <c r="AB1211" s="383"/>
      <c r="AC1211" s="384"/>
      <c r="AD1211" s="384"/>
      <c r="AE1211" s="384"/>
      <c r="AF1211" s="243"/>
      <c r="AG1211" s="243"/>
      <c r="AH1211" s="29"/>
      <c r="AI1211" s="29"/>
      <c r="AJ1211" s="578"/>
      <c r="AK1211" s="578"/>
      <c r="AL1211" s="578"/>
      <c r="AM1211" s="578"/>
      <c r="AN1211" s="578"/>
      <c r="AO1211" s="579"/>
      <c r="AP1211" s="579"/>
      <c r="AQ1211" s="580"/>
      <c r="AR1211" s="580"/>
      <c r="AS1211" s="580"/>
      <c r="AT1211" s="580"/>
      <c r="AU1211" s="580"/>
      <c r="AV1211" s="580"/>
      <c r="AW1211" s="580"/>
      <c r="AX1211" s="580"/>
      <c r="AY1211" s="580"/>
      <c r="AZ1211" s="580"/>
      <c r="BA1211" s="580"/>
      <c r="BB1211" s="581"/>
      <c r="BC1211" s="581"/>
      <c r="BD1211" s="581"/>
      <c r="BE1211" s="581"/>
    </row>
    <row r="1212" customFormat="false" ht="14.1" hidden="true" customHeight="true" outlineLevel="1" collapsed="false">
      <c r="A1212" s="418" t="s">
        <v>782</v>
      </c>
      <c r="B1212" s="119" t="s">
        <v>162</v>
      </c>
      <c r="C1212" s="393" t="s">
        <v>118</v>
      </c>
      <c r="D1212" s="623" t="s">
        <v>56</v>
      </c>
      <c r="E1212" s="467"/>
      <c r="F1212" s="467"/>
      <c r="G1212" s="468"/>
      <c r="H1212" s="468"/>
      <c r="I1212" s="468"/>
      <c r="J1212" s="468"/>
      <c r="K1212" s="468"/>
      <c r="L1212" s="468"/>
      <c r="M1212" s="468"/>
      <c r="N1212" s="468"/>
      <c r="O1212" s="468"/>
      <c r="P1212" s="468"/>
      <c r="Q1212" s="468"/>
      <c r="R1212" s="468"/>
      <c r="S1212" s="468"/>
      <c r="T1212" s="468"/>
      <c r="U1212" s="468"/>
      <c r="V1212" s="468"/>
      <c r="W1212" s="468"/>
      <c r="X1212" s="468"/>
      <c r="Y1212" s="384"/>
      <c r="Z1212" s="384"/>
      <c r="AA1212" s="384"/>
      <c r="AB1212" s="383"/>
      <c r="AC1212" s="384"/>
      <c r="AD1212" s="384"/>
      <c r="AE1212" s="384"/>
      <c r="AF1212" s="243"/>
      <c r="AG1212" s="243"/>
      <c r="AH1212" s="29"/>
      <c r="AI1212" s="29"/>
      <c r="AJ1212" s="578"/>
      <c r="AK1212" s="578"/>
      <c r="AL1212" s="578"/>
      <c r="AM1212" s="578"/>
      <c r="AN1212" s="578"/>
      <c r="AO1212" s="579"/>
      <c r="AP1212" s="579"/>
      <c r="AQ1212" s="580"/>
      <c r="AR1212" s="580"/>
      <c r="AS1212" s="580"/>
      <c r="AT1212" s="580"/>
      <c r="AU1212" s="580"/>
      <c r="AV1212" s="580"/>
      <c r="AW1212" s="580"/>
      <c r="AX1212" s="580"/>
      <c r="AY1212" s="580"/>
      <c r="AZ1212" s="580"/>
      <c r="BA1212" s="580"/>
      <c r="BB1212" s="581"/>
      <c r="BC1212" s="581"/>
      <c r="BD1212" s="581"/>
      <c r="BE1212" s="581"/>
    </row>
    <row r="1213" customFormat="false" ht="14.1" hidden="true" customHeight="true" outlineLevel="1" collapsed="false">
      <c r="A1213" s="139" t="s">
        <v>783</v>
      </c>
      <c r="B1213" s="119" t="s">
        <v>48</v>
      </c>
      <c r="C1213" s="348" t="n">
        <v>1</v>
      </c>
      <c r="D1213" s="624"/>
      <c r="E1213" s="467"/>
      <c r="F1213" s="467"/>
      <c r="G1213" s="468"/>
      <c r="H1213" s="468"/>
      <c r="I1213" s="468"/>
      <c r="J1213" s="468"/>
      <c r="K1213" s="468"/>
      <c r="L1213" s="468"/>
      <c r="M1213" s="468"/>
      <c r="N1213" s="468"/>
      <c r="O1213" s="468"/>
      <c r="P1213" s="468"/>
      <c r="Q1213" s="468"/>
      <c r="R1213" s="468"/>
      <c r="S1213" s="468"/>
      <c r="T1213" s="468"/>
      <c r="U1213" s="468"/>
      <c r="V1213" s="468"/>
      <c r="W1213" s="468"/>
      <c r="X1213" s="468"/>
      <c r="Y1213" s="384"/>
      <c r="Z1213" s="384"/>
      <c r="AA1213" s="384"/>
      <c r="AB1213" s="383"/>
      <c r="AC1213" s="384"/>
      <c r="AD1213" s="384"/>
      <c r="AE1213" s="384"/>
      <c r="AF1213" s="243"/>
      <c r="AG1213" s="243"/>
      <c r="AH1213" s="29"/>
      <c r="AI1213" s="29"/>
      <c r="AJ1213" s="578"/>
      <c r="AK1213" s="578"/>
      <c r="AL1213" s="578"/>
      <c r="AM1213" s="578"/>
      <c r="AN1213" s="578"/>
      <c r="AO1213" s="579"/>
      <c r="AP1213" s="579"/>
      <c r="AQ1213" s="580"/>
      <c r="AR1213" s="580"/>
      <c r="AS1213" s="580"/>
      <c r="AT1213" s="580"/>
      <c r="AU1213" s="580"/>
      <c r="AV1213" s="580"/>
      <c r="AW1213" s="580"/>
      <c r="AX1213" s="580"/>
      <c r="AY1213" s="580"/>
      <c r="AZ1213" s="580"/>
      <c r="BA1213" s="580"/>
      <c r="BB1213" s="581"/>
      <c r="BC1213" s="581"/>
      <c r="BD1213" s="581"/>
      <c r="BE1213" s="581"/>
    </row>
    <row r="1214" customFormat="false" ht="14.1" hidden="true" customHeight="true" outlineLevel="1" collapsed="false">
      <c r="A1214" s="139" t="s">
        <v>784</v>
      </c>
      <c r="B1214" s="119" t="s">
        <v>48</v>
      </c>
      <c r="C1214" s="348" t="n">
        <v>2</v>
      </c>
      <c r="D1214" s="624"/>
      <c r="E1214" s="467"/>
      <c r="F1214" s="467"/>
      <c r="G1214" s="468"/>
      <c r="H1214" s="468"/>
      <c r="I1214" s="468"/>
      <c r="J1214" s="468"/>
      <c r="K1214" s="468"/>
      <c r="L1214" s="468"/>
      <c r="M1214" s="468"/>
      <c r="N1214" s="468"/>
      <c r="O1214" s="468"/>
      <c r="P1214" s="468"/>
      <c r="Q1214" s="468"/>
      <c r="R1214" s="468"/>
      <c r="S1214" s="468"/>
      <c r="T1214" s="468"/>
      <c r="U1214" s="468"/>
      <c r="V1214" s="468"/>
      <c r="W1214" s="468"/>
      <c r="X1214" s="468"/>
      <c r="Y1214" s="384"/>
      <c r="Z1214" s="384"/>
      <c r="AA1214" s="384"/>
      <c r="AB1214" s="383"/>
      <c r="AC1214" s="384"/>
      <c r="AD1214" s="384"/>
      <c r="AE1214" s="384"/>
      <c r="AF1214" s="243"/>
      <c r="AG1214" s="243"/>
      <c r="AH1214" s="29"/>
      <c r="AI1214" s="29"/>
      <c r="AJ1214" s="578"/>
      <c r="AK1214" s="578"/>
      <c r="AL1214" s="578"/>
      <c r="AM1214" s="578"/>
      <c r="AN1214" s="578"/>
      <c r="AO1214" s="579"/>
      <c r="AP1214" s="579"/>
      <c r="AQ1214" s="580"/>
      <c r="AR1214" s="580"/>
      <c r="AS1214" s="580"/>
      <c r="AT1214" s="580"/>
      <c r="AU1214" s="580"/>
      <c r="AV1214" s="580"/>
      <c r="AW1214" s="580"/>
      <c r="AX1214" s="580"/>
      <c r="AY1214" s="580"/>
      <c r="AZ1214" s="580"/>
      <c r="BA1214" s="580"/>
      <c r="BB1214" s="581"/>
      <c r="BC1214" s="581"/>
      <c r="BD1214" s="581"/>
      <c r="BE1214" s="581"/>
    </row>
    <row r="1215" customFormat="false" ht="14.1" hidden="true" customHeight="true" outlineLevel="1" collapsed="false">
      <c r="A1215" s="139" t="s">
        <v>783</v>
      </c>
      <c r="B1215" s="119" t="s">
        <v>48</v>
      </c>
      <c r="C1215" s="348" t="n">
        <v>5</v>
      </c>
      <c r="D1215" s="624"/>
      <c r="E1215" s="467"/>
      <c r="F1215" s="467"/>
      <c r="G1215" s="468"/>
      <c r="H1215" s="468"/>
      <c r="I1215" s="468"/>
      <c r="J1215" s="468"/>
      <c r="K1215" s="468"/>
      <c r="L1215" s="468"/>
      <c r="M1215" s="468"/>
      <c r="N1215" s="468"/>
      <c r="O1215" s="468"/>
      <c r="P1215" s="468"/>
      <c r="Q1215" s="468"/>
      <c r="R1215" s="468"/>
      <c r="S1215" s="468"/>
      <c r="T1215" s="468"/>
      <c r="U1215" s="468"/>
      <c r="V1215" s="468"/>
      <c r="W1215" s="468"/>
      <c r="X1215" s="468"/>
      <c r="Y1215" s="384"/>
      <c r="Z1215" s="384"/>
      <c r="AA1215" s="384"/>
      <c r="AB1215" s="383"/>
      <c r="AC1215" s="384"/>
      <c r="AD1215" s="384"/>
      <c r="AE1215" s="384"/>
      <c r="AF1215" s="243"/>
      <c r="AG1215" s="243"/>
      <c r="AH1215" s="29"/>
      <c r="AI1215" s="29"/>
      <c r="AJ1215" s="578"/>
      <c r="AK1215" s="578"/>
      <c r="AL1215" s="578"/>
      <c r="AM1215" s="578"/>
      <c r="AN1215" s="578"/>
      <c r="AO1215" s="579"/>
      <c r="AP1215" s="579"/>
      <c r="AQ1215" s="580"/>
      <c r="AR1215" s="580"/>
      <c r="AS1215" s="580"/>
      <c r="AT1215" s="580"/>
      <c r="AU1215" s="580"/>
      <c r="AV1215" s="580"/>
      <c r="AW1215" s="580"/>
      <c r="AX1215" s="580"/>
      <c r="AY1215" s="580"/>
      <c r="AZ1215" s="580"/>
      <c r="BA1215" s="580"/>
      <c r="BB1215" s="581"/>
      <c r="BC1215" s="581"/>
      <c r="BD1215" s="581"/>
      <c r="BE1215" s="581"/>
    </row>
    <row r="1216" customFormat="false" ht="14.1" hidden="true" customHeight="true" outlineLevel="1" collapsed="false">
      <c r="A1216" s="139" t="s">
        <v>785</v>
      </c>
      <c r="B1216" s="119" t="s">
        <v>48</v>
      </c>
      <c r="C1216" s="348" t="n">
        <v>0</v>
      </c>
      <c r="D1216" s="624"/>
      <c r="E1216" s="467"/>
      <c r="F1216" s="467"/>
      <c r="G1216" s="468"/>
      <c r="H1216" s="468"/>
      <c r="I1216" s="468"/>
      <c r="J1216" s="468"/>
      <c r="K1216" s="468"/>
      <c r="L1216" s="468"/>
      <c r="M1216" s="468"/>
      <c r="N1216" s="468"/>
      <c r="O1216" s="468"/>
      <c r="P1216" s="468"/>
      <c r="Q1216" s="468"/>
      <c r="R1216" s="468"/>
      <c r="S1216" s="468"/>
      <c r="T1216" s="468"/>
      <c r="U1216" s="468"/>
      <c r="V1216" s="468"/>
      <c r="W1216" s="468"/>
      <c r="X1216" s="468"/>
      <c r="Y1216" s="384"/>
      <c r="Z1216" s="384"/>
      <c r="AA1216" s="384"/>
      <c r="AB1216" s="383"/>
      <c r="AC1216" s="384"/>
      <c r="AD1216" s="384"/>
      <c r="AE1216" s="384"/>
      <c r="AF1216" s="243"/>
      <c r="AG1216" s="243"/>
      <c r="AH1216" s="29"/>
      <c r="AI1216" s="29"/>
      <c r="AJ1216" s="578"/>
      <c r="AK1216" s="578"/>
      <c r="AL1216" s="578"/>
      <c r="AM1216" s="578"/>
      <c r="AN1216" s="578"/>
      <c r="AO1216" s="579"/>
      <c r="AP1216" s="579"/>
      <c r="AQ1216" s="580"/>
      <c r="AR1216" s="580"/>
      <c r="AS1216" s="580"/>
      <c r="AT1216" s="580"/>
      <c r="AU1216" s="580"/>
      <c r="AV1216" s="580"/>
      <c r="AW1216" s="580"/>
      <c r="AX1216" s="580"/>
      <c r="AY1216" s="580"/>
      <c r="AZ1216" s="580"/>
      <c r="BA1216" s="580"/>
      <c r="BB1216" s="581"/>
      <c r="BC1216" s="581"/>
      <c r="BD1216" s="581"/>
      <c r="BE1216" s="581"/>
    </row>
    <row r="1217" customFormat="false" ht="14.1" hidden="true" customHeight="true" outlineLevel="1" collapsed="false">
      <c r="A1217" s="138"/>
      <c r="B1217" s="481"/>
      <c r="C1217" s="467"/>
      <c r="D1217" s="467"/>
      <c r="E1217" s="467"/>
      <c r="F1217" s="467"/>
      <c r="G1217" s="468"/>
      <c r="H1217" s="468"/>
      <c r="I1217" s="468"/>
      <c r="J1217" s="468"/>
      <c r="K1217" s="468"/>
      <c r="L1217" s="468"/>
      <c r="M1217" s="468"/>
      <c r="N1217" s="468"/>
      <c r="O1217" s="468"/>
      <c r="P1217" s="468"/>
      <c r="Q1217" s="468"/>
      <c r="R1217" s="468"/>
      <c r="S1217" s="468"/>
      <c r="T1217" s="468"/>
      <c r="U1217" s="468"/>
      <c r="V1217" s="468"/>
      <c r="W1217" s="468"/>
      <c r="X1217" s="468"/>
      <c r="Y1217" s="384"/>
      <c r="Z1217" s="384"/>
      <c r="AA1217" s="384"/>
      <c r="AB1217" s="383"/>
      <c r="AC1217" s="384"/>
      <c r="AD1217" s="384"/>
      <c r="AE1217" s="384"/>
      <c r="AF1217" s="243"/>
      <c r="AG1217" s="243"/>
      <c r="AH1217" s="29"/>
      <c r="AI1217" s="29"/>
      <c r="AJ1217" s="578"/>
      <c r="AK1217" s="578"/>
      <c r="AL1217" s="578"/>
      <c r="AM1217" s="578"/>
      <c r="AN1217" s="578"/>
      <c r="AO1217" s="579"/>
      <c r="AP1217" s="579"/>
      <c r="AQ1217" s="580"/>
      <c r="AR1217" s="580"/>
      <c r="AS1217" s="580"/>
      <c r="AT1217" s="580"/>
      <c r="AU1217" s="580"/>
      <c r="AV1217" s="580"/>
      <c r="AW1217" s="580"/>
      <c r="AX1217" s="580"/>
      <c r="AY1217" s="580"/>
      <c r="AZ1217" s="580"/>
      <c r="BA1217" s="580"/>
      <c r="BB1217" s="581"/>
      <c r="BC1217" s="581"/>
      <c r="BD1217" s="581"/>
      <c r="BE1217" s="581"/>
    </row>
    <row r="1218" customFormat="false" ht="14.1" hidden="true" customHeight="true" outlineLevel="1" collapsed="false">
      <c r="A1218" s="292" t="s">
        <v>786</v>
      </c>
      <c r="B1218" s="180" t="s">
        <v>12</v>
      </c>
      <c r="C1218" s="292" t="s">
        <v>13</v>
      </c>
      <c r="D1218" s="467"/>
      <c r="E1218" s="467"/>
      <c r="F1218" s="467"/>
      <c r="G1218" s="468"/>
      <c r="H1218" s="468"/>
      <c r="I1218" s="468"/>
      <c r="J1218" s="468"/>
      <c r="K1218" s="468"/>
      <c r="L1218" s="468"/>
      <c r="M1218" s="468"/>
      <c r="N1218" s="468"/>
      <c r="O1218" s="468"/>
      <c r="P1218" s="468"/>
      <c r="Q1218" s="468"/>
      <c r="R1218" s="468"/>
      <c r="S1218" s="468"/>
      <c r="T1218" s="468"/>
      <c r="U1218" s="468"/>
      <c r="V1218" s="468"/>
      <c r="W1218" s="468"/>
      <c r="X1218" s="468"/>
      <c r="Y1218" s="384"/>
      <c r="Z1218" s="384"/>
      <c r="AA1218" s="384"/>
      <c r="AB1218" s="384"/>
      <c r="AC1218" s="384"/>
      <c r="AD1218" s="384"/>
      <c r="AE1218" s="384"/>
      <c r="AF1218" s="243"/>
      <c r="AG1218" s="243"/>
      <c r="AH1218" s="29"/>
      <c r="AI1218" s="29"/>
      <c r="AJ1218" s="578"/>
      <c r="AK1218" s="578"/>
      <c r="AL1218" s="578"/>
      <c r="AM1218" s="578"/>
      <c r="AN1218" s="578"/>
      <c r="AO1218" s="579"/>
      <c r="AP1218" s="579"/>
      <c r="AQ1218" s="580"/>
      <c r="AR1218" s="580"/>
      <c r="AS1218" s="580"/>
      <c r="AT1218" s="580"/>
      <c r="AU1218" s="580"/>
      <c r="AV1218" s="580"/>
      <c r="AW1218" s="580"/>
      <c r="AX1218" s="580"/>
      <c r="AY1218" s="580"/>
      <c r="AZ1218" s="580"/>
      <c r="BA1218" s="580"/>
      <c r="BB1218" s="581"/>
      <c r="BC1218" s="581"/>
      <c r="BD1218" s="581"/>
      <c r="BE1218" s="581"/>
    </row>
    <row r="1219" customFormat="false" ht="14.1" hidden="true" customHeight="true" outlineLevel="1" collapsed="false">
      <c r="A1219" s="163" t="s">
        <v>787</v>
      </c>
      <c r="B1219" s="119" t="s">
        <v>486</v>
      </c>
      <c r="C1219" s="428" t="s">
        <v>44</v>
      </c>
      <c r="D1219" s="275"/>
      <c r="E1219" s="138"/>
      <c r="F1219" s="138"/>
      <c r="G1219" s="26"/>
      <c r="H1219" s="243"/>
      <c r="I1219" s="243"/>
      <c r="J1219" s="243"/>
      <c r="K1219" s="625"/>
      <c r="L1219" s="243"/>
      <c r="M1219" s="243"/>
      <c r="N1219" s="243"/>
      <c r="O1219" s="243"/>
      <c r="P1219" s="243"/>
      <c r="Q1219" s="243"/>
      <c r="R1219" s="243"/>
      <c r="S1219" s="243"/>
      <c r="T1219" s="243"/>
      <c r="U1219" s="243"/>
      <c r="V1219" s="243"/>
      <c r="W1219" s="243"/>
      <c r="X1219" s="243"/>
      <c r="Y1219" s="243"/>
      <c r="Z1219" s="243"/>
      <c r="AA1219" s="243"/>
      <c r="AB1219" s="243"/>
      <c r="AC1219" s="243"/>
      <c r="AD1219" s="243"/>
      <c r="AE1219" s="577"/>
      <c r="AF1219" s="577"/>
      <c r="AG1219" s="577"/>
      <c r="AH1219" s="578"/>
      <c r="AI1219" s="578"/>
      <c r="AJ1219" s="578"/>
      <c r="AK1219" s="578"/>
      <c r="AL1219" s="578"/>
      <c r="AM1219" s="578"/>
      <c r="AN1219" s="578"/>
      <c r="AO1219" s="579"/>
      <c r="AP1219" s="579"/>
      <c r="AQ1219" s="580"/>
      <c r="AR1219" s="580"/>
      <c r="AS1219" s="580"/>
      <c r="AT1219" s="580"/>
      <c r="AU1219" s="580"/>
      <c r="AV1219" s="580"/>
      <c r="AW1219" s="580"/>
      <c r="AX1219" s="580"/>
      <c r="AY1219" s="580"/>
      <c r="AZ1219" s="580"/>
      <c r="BA1219" s="580"/>
      <c r="BB1219" s="622"/>
      <c r="BC1219" s="622"/>
      <c r="BD1219" s="622"/>
      <c r="BE1219" s="622"/>
    </row>
    <row r="1220" customFormat="false" ht="14.1" hidden="true" customHeight="true" outlineLevel="1" collapsed="false">
      <c r="A1220" s="163" t="s">
        <v>788</v>
      </c>
      <c r="B1220" s="119" t="s">
        <v>486</v>
      </c>
      <c r="C1220" s="428" t="s">
        <v>44</v>
      </c>
      <c r="D1220" s="275"/>
      <c r="E1220" s="138"/>
      <c r="F1220" s="138"/>
      <c r="G1220" s="26"/>
      <c r="H1220" s="243"/>
      <c r="I1220" s="243"/>
      <c r="J1220" s="243"/>
      <c r="K1220" s="625"/>
      <c r="L1220" s="243"/>
      <c r="M1220" s="243"/>
      <c r="N1220" s="243"/>
      <c r="O1220" s="243"/>
      <c r="P1220" s="243"/>
      <c r="Q1220" s="243"/>
      <c r="R1220" s="243"/>
      <c r="S1220" s="243"/>
      <c r="T1220" s="243"/>
      <c r="U1220" s="243"/>
      <c r="V1220" s="243"/>
      <c r="W1220" s="243"/>
      <c r="X1220" s="243"/>
      <c r="Y1220" s="243"/>
      <c r="Z1220" s="243"/>
      <c r="AA1220" s="243"/>
      <c r="AB1220" s="243"/>
      <c r="AC1220" s="243"/>
      <c r="AD1220" s="243"/>
      <c r="AE1220" s="577"/>
      <c r="AF1220" s="577"/>
      <c r="AG1220" s="577"/>
      <c r="AH1220" s="578"/>
      <c r="AI1220" s="578"/>
      <c r="AJ1220" s="578"/>
      <c r="AK1220" s="578"/>
      <c r="AL1220" s="578"/>
      <c r="AM1220" s="578"/>
      <c r="AN1220" s="578"/>
      <c r="AO1220" s="579"/>
      <c r="AP1220" s="579"/>
      <c r="AQ1220" s="580"/>
      <c r="AR1220" s="580"/>
      <c r="AS1220" s="580"/>
      <c r="AT1220" s="580"/>
      <c r="AU1220" s="580"/>
      <c r="AV1220" s="580"/>
      <c r="AW1220" s="580"/>
      <c r="AX1220" s="580"/>
      <c r="AY1220" s="580"/>
      <c r="AZ1220" s="580"/>
      <c r="BA1220" s="580"/>
      <c r="BB1220" s="622"/>
      <c r="BC1220" s="622"/>
      <c r="BD1220" s="622"/>
      <c r="BE1220" s="622"/>
    </row>
    <row r="1221" customFormat="false" ht="14.1" hidden="true" customHeight="true" outlineLevel="1" collapsed="false">
      <c r="A1221" s="163" t="s">
        <v>789</v>
      </c>
      <c r="B1221" s="119" t="s">
        <v>486</v>
      </c>
      <c r="C1221" s="428" t="s">
        <v>44</v>
      </c>
      <c r="D1221" s="275"/>
      <c r="E1221" s="138"/>
      <c r="F1221" s="138"/>
      <c r="G1221" s="26"/>
      <c r="H1221" s="243"/>
      <c r="I1221" s="243"/>
      <c r="J1221" s="243"/>
      <c r="K1221" s="243"/>
      <c r="L1221" s="243"/>
      <c r="M1221" s="243"/>
      <c r="N1221" s="243"/>
      <c r="O1221" s="243"/>
      <c r="P1221" s="243"/>
      <c r="Q1221" s="243"/>
      <c r="R1221" s="243"/>
      <c r="S1221" s="243"/>
      <c r="T1221" s="243"/>
      <c r="U1221" s="243"/>
      <c r="V1221" s="243"/>
      <c r="W1221" s="243"/>
      <c r="X1221" s="243"/>
      <c r="Y1221" s="243"/>
      <c r="Z1221" s="243"/>
      <c r="AA1221" s="243"/>
      <c r="AB1221" s="243"/>
      <c r="AC1221" s="243"/>
      <c r="AD1221" s="243"/>
      <c r="AE1221" s="577"/>
      <c r="AF1221" s="577"/>
      <c r="AG1221" s="577"/>
      <c r="AH1221" s="578"/>
      <c r="AI1221" s="578"/>
      <c r="AJ1221" s="578"/>
      <c r="AK1221" s="578"/>
      <c r="AL1221" s="578"/>
      <c r="AM1221" s="578"/>
      <c r="AN1221" s="578"/>
      <c r="AO1221" s="579"/>
      <c r="AP1221" s="579"/>
      <c r="AQ1221" s="580"/>
      <c r="AR1221" s="580"/>
      <c r="AS1221" s="580"/>
      <c r="AT1221" s="580"/>
      <c r="AU1221" s="580"/>
      <c r="AV1221" s="580"/>
      <c r="AW1221" s="580"/>
      <c r="AX1221" s="580"/>
      <c r="AY1221" s="580"/>
      <c r="AZ1221" s="580"/>
      <c r="BA1221" s="580"/>
      <c r="BB1221" s="622"/>
      <c r="BC1221" s="622"/>
      <c r="BD1221" s="622"/>
      <c r="BE1221" s="622"/>
    </row>
    <row r="1222" customFormat="false" ht="14.1" hidden="true" customHeight="true" outlineLevel="1" collapsed="false">
      <c r="A1222" s="163" t="s">
        <v>790</v>
      </c>
      <c r="B1222" s="119" t="s">
        <v>486</v>
      </c>
      <c r="C1222" s="428" t="s">
        <v>44</v>
      </c>
      <c r="D1222" s="275"/>
      <c r="E1222" s="138"/>
      <c r="F1222" s="138"/>
      <c r="G1222" s="26"/>
      <c r="H1222" s="243"/>
      <c r="I1222" s="243"/>
      <c r="J1222" s="243"/>
      <c r="K1222" s="243"/>
      <c r="L1222" s="243"/>
      <c r="M1222" s="243"/>
      <c r="N1222" s="243"/>
      <c r="O1222" s="243"/>
      <c r="P1222" s="243"/>
      <c r="Q1222" s="243"/>
      <c r="R1222" s="243"/>
      <c r="S1222" s="243"/>
      <c r="T1222" s="243"/>
      <c r="U1222" s="243"/>
      <c r="V1222" s="243"/>
      <c r="W1222" s="243"/>
      <c r="X1222" s="243"/>
      <c r="Y1222" s="243"/>
      <c r="Z1222" s="243"/>
      <c r="AA1222" s="243"/>
      <c r="AB1222" s="243"/>
      <c r="AC1222" s="243"/>
      <c r="AD1222" s="243"/>
      <c r="AE1222" s="577"/>
      <c r="AF1222" s="577"/>
      <c r="AG1222" s="577"/>
      <c r="AH1222" s="578"/>
      <c r="AI1222" s="578"/>
      <c r="AJ1222" s="578"/>
      <c r="AK1222" s="578"/>
      <c r="AL1222" s="578"/>
      <c r="AM1222" s="578"/>
      <c r="AN1222" s="578"/>
      <c r="AO1222" s="579"/>
      <c r="AP1222" s="579"/>
      <c r="AQ1222" s="580"/>
      <c r="AR1222" s="580"/>
      <c r="AS1222" s="580"/>
      <c r="AT1222" s="580"/>
      <c r="AU1222" s="580"/>
      <c r="AV1222" s="580"/>
      <c r="AW1222" s="580"/>
      <c r="AX1222" s="580"/>
      <c r="AY1222" s="580"/>
      <c r="AZ1222" s="580"/>
      <c r="BA1222" s="580"/>
      <c r="BB1222" s="622"/>
      <c r="BC1222" s="622"/>
      <c r="BD1222" s="622"/>
      <c r="BE1222" s="622"/>
    </row>
    <row r="1223" customFormat="false" ht="14.1" hidden="true" customHeight="true" outlineLevel="1" collapsed="false">
      <c r="A1223" s="163" t="s">
        <v>791</v>
      </c>
      <c r="B1223" s="119" t="s">
        <v>486</v>
      </c>
      <c r="C1223" s="428" t="s">
        <v>56</v>
      </c>
      <c r="D1223" s="275"/>
      <c r="E1223" s="138"/>
      <c r="F1223" s="138"/>
      <c r="G1223" s="26"/>
      <c r="H1223" s="243"/>
      <c r="I1223" s="243"/>
      <c r="J1223" s="243"/>
      <c r="K1223" s="243"/>
      <c r="L1223" s="243"/>
      <c r="M1223" s="243"/>
      <c r="N1223" s="243"/>
      <c r="O1223" s="243"/>
      <c r="P1223" s="243"/>
      <c r="Q1223" s="243"/>
      <c r="R1223" s="243"/>
      <c r="S1223" s="243"/>
      <c r="T1223" s="243"/>
      <c r="U1223" s="243"/>
      <c r="V1223" s="243"/>
      <c r="W1223" s="243"/>
      <c r="X1223" s="243"/>
      <c r="Y1223" s="243"/>
      <c r="Z1223" s="243"/>
      <c r="AA1223" s="243"/>
      <c r="AB1223" s="243"/>
      <c r="AC1223" s="243"/>
      <c r="AD1223" s="243"/>
      <c r="AE1223" s="577"/>
      <c r="AF1223" s="577"/>
      <c r="AG1223" s="577"/>
      <c r="AH1223" s="578"/>
      <c r="AI1223" s="578"/>
      <c r="AJ1223" s="578"/>
      <c r="AK1223" s="578"/>
      <c r="AL1223" s="578"/>
      <c r="AM1223" s="578"/>
      <c r="AN1223" s="578"/>
      <c r="AO1223" s="579"/>
      <c r="AP1223" s="579"/>
      <c r="AQ1223" s="580"/>
      <c r="AR1223" s="580"/>
      <c r="AS1223" s="580"/>
      <c r="AT1223" s="580"/>
      <c r="AU1223" s="580"/>
      <c r="AV1223" s="580"/>
      <c r="AW1223" s="580"/>
      <c r="AX1223" s="580"/>
      <c r="AY1223" s="580"/>
      <c r="AZ1223" s="580"/>
      <c r="BA1223" s="580"/>
      <c r="BB1223" s="622"/>
      <c r="BC1223" s="622"/>
      <c r="BD1223" s="622"/>
      <c r="BE1223" s="622"/>
    </row>
    <row r="1224" customFormat="false" ht="14.1" hidden="true" customHeight="true" outlineLevel="1" collapsed="false">
      <c r="A1224" s="163" t="s">
        <v>792</v>
      </c>
      <c r="B1224" s="119" t="s">
        <v>486</v>
      </c>
      <c r="C1224" s="428" t="s">
        <v>56</v>
      </c>
      <c r="D1224" s="275"/>
      <c r="E1224" s="138"/>
      <c r="F1224" s="138"/>
      <c r="G1224" s="26"/>
      <c r="H1224" s="243"/>
      <c r="I1224" s="243"/>
      <c r="J1224" s="243"/>
      <c r="K1224" s="243"/>
      <c r="L1224" s="243"/>
      <c r="M1224" s="243"/>
      <c r="N1224" s="243"/>
      <c r="O1224" s="243"/>
      <c r="P1224" s="243"/>
      <c r="Q1224" s="243"/>
      <c r="R1224" s="243"/>
      <c r="S1224" s="243"/>
      <c r="T1224" s="243"/>
      <c r="U1224" s="243"/>
      <c r="V1224" s="243"/>
      <c r="W1224" s="243"/>
      <c r="X1224" s="243"/>
      <c r="Y1224" s="243"/>
      <c r="Z1224" s="243"/>
      <c r="AA1224" s="243"/>
      <c r="AB1224" s="243"/>
      <c r="AC1224" s="243"/>
      <c r="AD1224" s="243"/>
      <c r="AE1224" s="577"/>
      <c r="AF1224" s="577"/>
      <c r="AG1224" s="577"/>
      <c r="AH1224" s="578"/>
      <c r="AI1224" s="578"/>
      <c r="AJ1224" s="578"/>
      <c r="AK1224" s="578"/>
      <c r="AL1224" s="578"/>
      <c r="AM1224" s="578"/>
      <c r="AN1224" s="578"/>
      <c r="AO1224" s="579"/>
      <c r="AP1224" s="579"/>
      <c r="AQ1224" s="580"/>
      <c r="AR1224" s="580"/>
      <c r="AS1224" s="580"/>
      <c r="AT1224" s="580"/>
      <c r="AU1224" s="580"/>
      <c r="AV1224" s="580"/>
      <c r="AW1224" s="580"/>
      <c r="AX1224" s="580"/>
      <c r="AY1224" s="580"/>
      <c r="AZ1224" s="580"/>
      <c r="BA1224" s="580"/>
      <c r="BB1224" s="622"/>
      <c r="BC1224" s="622"/>
      <c r="BD1224" s="622"/>
      <c r="BE1224" s="622"/>
    </row>
    <row r="1225" customFormat="false" ht="14.1" hidden="true" customHeight="true" outlineLevel="1" collapsed="false">
      <c r="A1225" s="163" t="s">
        <v>793</v>
      </c>
      <c r="B1225" s="119" t="s">
        <v>486</v>
      </c>
      <c r="C1225" s="428" t="s">
        <v>56</v>
      </c>
      <c r="D1225" s="275"/>
      <c r="E1225" s="138"/>
      <c r="F1225" s="138"/>
      <c r="G1225" s="26"/>
      <c r="H1225" s="243"/>
      <c r="I1225" s="243"/>
      <c r="J1225" s="243"/>
      <c r="K1225" s="243"/>
      <c r="L1225" s="243"/>
      <c r="M1225" s="243"/>
      <c r="N1225" s="243"/>
      <c r="O1225" s="243"/>
      <c r="P1225" s="243"/>
      <c r="Q1225" s="243"/>
      <c r="R1225" s="243"/>
      <c r="S1225" s="243"/>
      <c r="T1225" s="243"/>
      <c r="U1225" s="243"/>
      <c r="V1225" s="243"/>
      <c r="W1225" s="243"/>
      <c r="X1225" s="243"/>
      <c r="Y1225" s="243"/>
      <c r="Z1225" s="243"/>
      <c r="AA1225" s="243"/>
      <c r="AB1225" s="243"/>
      <c r="AC1225" s="243"/>
      <c r="AD1225" s="243"/>
      <c r="AE1225" s="577"/>
      <c r="AF1225" s="577"/>
      <c r="AG1225" s="577"/>
      <c r="AH1225" s="578"/>
      <c r="AI1225" s="578"/>
      <c r="AJ1225" s="578"/>
      <c r="AK1225" s="578"/>
      <c r="AL1225" s="578"/>
      <c r="AM1225" s="578"/>
      <c r="AN1225" s="578"/>
      <c r="AO1225" s="579"/>
      <c r="AP1225" s="579"/>
      <c r="AQ1225" s="580"/>
      <c r="AR1225" s="580"/>
      <c r="AS1225" s="580"/>
      <c r="AT1225" s="580"/>
      <c r="AU1225" s="580"/>
      <c r="AV1225" s="580"/>
      <c r="AW1225" s="580"/>
      <c r="AX1225" s="580"/>
      <c r="AY1225" s="580"/>
      <c r="AZ1225" s="580"/>
      <c r="BA1225" s="580"/>
      <c r="BB1225" s="622"/>
      <c r="BC1225" s="622"/>
      <c r="BD1225" s="622"/>
      <c r="BE1225" s="622"/>
    </row>
    <row r="1226" customFormat="false" ht="14.1" hidden="true" customHeight="true" outlineLevel="1" collapsed="false">
      <c r="A1226" s="163" t="s">
        <v>794</v>
      </c>
      <c r="B1226" s="119" t="s">
        <v>486</v>
      </c>
      <c r="C1226" s="428" t="s">
        <v>44</v>
      </c>
      <c r="D1226" s="275"/>
      <c r="E1226" s="138"/>
      <c r="F1226" s="138"/>
      <c r="G1226" s="26"/>
      <c r="H1226" s="243"/>
      <c r="I1226" s="243"/>
      <c r="J1226" s="243"/>
      <c r="K1226" s="243"/>
      <c r="L1226" s="243"/>
      <c r="M1226" s="243"/>
      <c r="N1226" s="243"/>
      <c r="O1226" s="243"/>
      <c r="P1226" s="243"/>
      <c r="Q1226" s="243"/>
      <c r="R1226" s="243"/>
      <c r="S1226" s="243"/>
      <c r="T1226" s="243"/>
      <c r="U1226" s="243"/>
      <c r="V1226" s="243"/>
      <c r="W1226" s="243"/>
      <c r="X1226" s="243"/>
      <c r="Y1226" s="243"/>
      <c r="Z1226" s="243"/>
      <c r="AA1226" s="243"/>
      <c r="AB1226" s="243"/>
      <c r="AC1226" s="243"/>
      <c r="AD1226" s="243"/>
      <c r="AE1226" s="577"/>
      <c r="AF1226" s="577"/>
      <c r="AG1226" s="577"/>
      <c r="AH1226" s="578"/>
      <c r="AI1226" s="578"/>
      <c r="AJ1226" s="578"/>
      <c r="AK1226" s="578"/>
      <c r="AL1226" s="578"/>
      <c r="AM1226" s="578"/>
      <c r="AN1226" s="578"/>
      <c r="AO1226" s="579"/>
      <c r="AP1226" s="579"/>
      <c r="AQ1226" s="580"/>
      <c r="AR1226" s="580"/>
      <c r="AS1226" s="580"/>
      <c r="AT1226" s="580"/>
      <c r="AU1226" s="580"/>
      <c r="AV1226" s="580"/>
      <c r="AW1226" s="580"/>
      <c r="AX1226" s="580"/>
      <c r="AY1226" s="580"/>
      <c r="AZ1226" s="580"/>
      <c r="BA1226" s="580"/>
      <c r="BB1226" s="622"/>
      <c r="BC1226" s="622"/>
      <c r="BD1226" s="622"/>
      <c r="BE1226" s="622"/>
    </row>
    <row r="1227" customFormat="false" ht="14.1" hidden="true" customHeight="true" outlineLevel="1" collapsed="false">
      <c r="A1227" s="163" t="s">
        <v>795</v>
      </c>
      <c r="B1227" s="119" t="s">
        <v>486</v>
      </c>
      <c r="C1227" s="428" t="s">
        <v>44</v>
      </c>
      <c r="D1227" s="275"/>
      <c r="E1227" s="138"/>
      <c r="F1227" s="138"/>
      <c r="G1227" s="26"/>
      <c r="H1227" s="243"/>
      <c r="I1227" s="243"/>
      <c r="J1227" s="243"/>
      <c r="K1227" s="243"/>
      <c r="L1227" s="243"/>
      <c r="M1227" s="243"/>
      <c r="N1227" s="243"/>
      <c r="O1227" s="243"/>
      <c r="P1227" s="243"/>
      <c r="Q1227" s="243"/>
      <c r="R1227" s="243"/>
      <c r="S1227" s="243"/>
      <c r="T1227" s="243"/>
      <c r="U1227" s="243"/>
      <c r="V1227" s="243"/>
      <c r="W1227" s="243"/>
      <c r="X1227" s="243"/>
      <c r="Y1227" s="243"/>
      <c r="Z1227" s="243"/>
      <c r="AA1227" s="243"/>
      <c r="AB1227" s="243"/>
      <c r="AC1227" s="243"/>
      <c r="AD1227" s="243"/>
      <c r="AE1227" s="577"/>
      <c r="AF1227" s="577"/>
      <c r="AG1227" s="577"/>
      <c r="AH1227" s="578"/>
      <c r="AI1227" s="578"/>
      <c r="AJ1227" s="578"/>
      <c r="AK1227" s="578"/>
      <c r="AL1227" s="578"/>
      <c r="AM1227" s="578"/>
      <c r="AN1227" s="578"/>
      <c r="AO1227" s="579"/>
      <c r="AP1227" s="579"/>
      <c r="AQ1227" s="580"/>
      <c r="AR1227" s="580"/>
      <c r="AS1227" s="580"/>
      <c r="AT1227" s="580"/>
      <c r="AU1227" s="580"/>
      <c r="AV1227" s="580"/>
      <c r="AW1227" s="580"/>
      <c r="AX1227" s="580"/>
      <c r="AY1227" s="580"/>
      <c r="AZ1227" s="580"/>
      <c r="BA1227" s="580"/>
      <c r="BB1227" s="622"/>
      <c r="BC1227" s="622"/>
      <c r="BD1227" s="622"/>
      <c r="BE1227" s="622"/>
    </row>
    <row r="1228" customFormat="false" ht="14.1" hidden="true" customHeight="true" outlineLevel="1" collapsed="false">
      <c r="A1228" s="275" t="s">
        <v>749</v>
      </c>
      <c r="B1228" s="277"/>
      <c r="C1228" s="275"/>
      <c r="D1228" s="275"/>
      <c r="E1228" s="138"/>
      <c r="F1228" s="138"/>
      <c r="G1228" s="26"/>
      <c r="H1228" s="243"/>
      <c r="I1228" s="599"/>
      <c r="J1228" s="599"/>
      <c r="K1228" s="599"/>
      <c r="L1228" s="599"/>
      <c r="M1228" s="599"/>
      <c r="N1228" s="599"/>
      <c r="O1228" s="599"/>
      <c r="P1228" s="599"/>
      <c r="Q1228" s="243"/>
      <c r="R1228" s="243"/>
      <c r="S1228" s="243"/>
      <c r="T1228" s="243"/>
      <c r="U1228" s="243"/>
      <c r="V1228" s="243"/>
      <c r="W1228" s="243"/>
      <c r="X1228" s="243"/>
      <c r="Y1228" s="243"/>
      <c r="Z1228" s="243"/>
      <c r="AA1228" s="243"/>
      <c r="AB1228" s="243"/>
      <c r="AC1228" s="243"/>
      <c r="AD1228" s="243"/>
      <c r="AE1228" s="577"/>
      <c r="AF1228" s="577"/>
      <c r="AG1228" s="577"/>
      <c r="AH1228" s="578"/>
      <c r="AI1228" s="578"/>
      <c r="AJ1228" s="578"/>
      <c r="AK1228" s="578"/>
      <c r="AL1228" s="578"/>
      <c r="AM1228" s="578"/>
      <c r="AN1228" s="578"/>
      <c r="AO1228" s="579"/>
      <c r="AP1228" s="579"/>
      <c r="AQ1228" s="580"/>
      <c r="AR1228" s="580"/>
      <c r="AS1228" s="580"/>
      <c r="AT1228" s="580"/>
      <c r="AU1228" s="580"/>
      <c r="AV1228" s="580"/>
      <c r="AW1228" s="580"/>
      <c r="AX1228" s="580"/>
      <c r="AY1228" s="580"/>
      <c r="AZ1228" s="580"/>
      <c r="BA1228" s="580"/>
      <c r="BB1228" s="622"/>
      <c r="BC1228" s="622"/>
      <c r="BD1228" s="622"/>
      <c r="BE1228" s="622"/>
    </row>
    <row r="1229" customFormat="false" ht="14.1" hidden="true" customHeight="true" outlineLevel="1" collapsed="false">
      <c r="A1229" s="147" t="s">
        <v>226</v>
      </c>
      <c r="B1229" s="616" t="s">
        <v>502</v>
      </c>
      <c r="C1229" s="348" t="n">
        <v>0</v>
      </c>
      <c r="D1229" s="275"/>
      <c r="E1229" s="138"/>
      <c r="F1229" s="138"/>
      <c r="G1229" s="26"/>
      <c r="H1229" s="243"/>
      <c r="I1229" s="599"/>
      <c r="J1229" s="599"/>
      <c r="K1229" s="599"/>
      <c r="L1229" s="599"/>
      <c r="M1229" s="599"/>
      <c r="N1229" s="599"/>
      <c r="O1229" s="599"/>
      <c r="P1229" s="599"/>
      <c r="Q1229" s="243"/>
      <c r="R1229" s="243"/>
      <c r="S1229" s="243"/>
      <c r="T1229" s="243"/>
      <c r="U1229" s="243"/>
      <c r="V1229" s="243"/>
      <c r="W1229" s="243"/>
      <c r="X1229" s="243"/>
      <c r="Y1229" s="243"/>
      <c r="Z1229" s="243"/>
      <c r="AA1229" s="243"/>
      <c r="AB1229" s="243"/>
      <c r="AC1229" s="243"/>
      <c r="AD1229" s="243"/>
      <c r="AE1229" s="577"/>
      <c r="AF1229" s="577"/>
      <c r="AG1229" s="577"/>
      <c r="AH1229" s="578"/>
      <c r="AI1229" s="578"/>
      <c r="AJ1229" s="578"/>
      <c r="AK1229" s="578"/>
      <c r="AL1229" s="578"/>
      <c r="AM1229" s="578"/>
      <c r="AN1229" s="578"/>
      <c r="AO1229" s="579"/>
      <c r="AP1229" s="579"/>
      <c r="AQ1229" s="580"/>
      <c r="AR1229" s="580"/>
      <c r="AS1229" s="580"/>
      <c r="AT1229" s="580"/>
      <c r="AU1229" s="580"/>
      <c r="AV1229" s="580"/>
      <c r="AW1229" s="580"/>
      <c r="AX1229" s="580"/>
      <c r="AY1229" s="580"/>
      <c r="AZ1229" s="580"/>
      <c r="BA1229" s="580"/>
      <c r="BB1229" s="622"/>
      <c r="BC1229" s="622"/>
      <c r="BD1229" s="622"/>
      <c r="BE1229" s="622"/>
    </row>
    <row r="1230" customFormat="false" ht="14.1" hidden="true" customHeight="true" outlineLevel="1" collapsed="false">
      <c r="A1230" s="149" t="s">
        <v>226</v>
      </c>
      <c r="B1230" s="119" t="s">
        <v>48</v>
      </c>
      <c r="C1230" s="163" t="n">
        <v>3</v>
      </c>
      <c r="D1230" s="275"/>
      <c r="E1230" s="138"/>
      <c r="F1230" s="138"/>
      <c r="G1230" s="26"/>
      <c r="H1230" s="243"/>
      <c r="I1230" s="599"/>
      <c r="J1230" s="599"/>
      <c r="K1230" s="599"/>
      <c r="L1230" s="599"/>
      <c r="M1230" s="599"/>
      <c r="N1230" s="599"/>
      <c r="O1230" s="599"/>
      <c r="P1230" s="599"/>
      <c r="Q1230" s="243"/>
      <c r="R1230" s="243"/>
      <c r="S1230" s="243"/>
      <c r="T1230" s="243"/>
      <c r="U1230" s="243"/>
      <c r="V1230" s="243"/>
      <c r="W1230" s="243"/>
      <c r="X1230" s="243"/>
      <c r="Y1230" s="243"/>
      <c r="Z1230" s="243"/>
      <c r="AA1230" s="243"/>
      <c r="AB1230" s="243"/>
      <c r="AC1230" s="243"/>
      <c r="AD1230" s="243"/>
      <c r="AE1230" s="577"/>
      <c r="AF1230" s="577"/>
      <c r="AG1230" s="577"/>
      <c r="AH1230" s="578"/>
      <c r="AI1230" s="578"/>
      <c r="AJ1230" s="578"/>
      <c r="AK1230" s="578"/>
      <c r="AL1230" s="578"/>
      <c r="AM1230" s="578"/>
      <c r="AN1230" s="578"/>
      <c r="AO1230" s="579"/>
      <c r="AP1230" s="579"/>
      <c r="AQ1230" s="580"/>
      <c r="AR1230" s="580"/>
      <c r="AS1230" s="580"/>
      <c r="AT1230" s="580"/>
      <c r="AU1230" s="580"/>
      <c r="AV1230" s="580"/>
      <c r="AW1230" s="580"/>
      <c r="AX1230" s="580"/>
      <c r="AY1230" s="580"/>
      <c r="AZ1230" s="580"/>
      <c r="BA1230" s="580"/>
      <c r="BB1230" s="622"/>
      <c r="BC1230" s="622"/>
      <c r="BD1230" s="622"/>
      <c r="BE1230" s="622"/>
    </row>
    <row r="1231" customFormat="false" ht="14.1" hidden="true" customHeight="true" outlineLevel="1" collapsed="false">
      <c r="A1231" s="138"/>
      <c r="B1231" s="235"/>
      <c r="C1231" s="169"/>
      <c r="D1231" s="275"/>
      <c r="E1231" s="138"/>
      <c r="F1231" s="138"/>
      <c r="G1231" s="26"/>
      <c r="H1231" s="243"/>
      <c r="I1231" s="599"/>
      <c r="J1231" s="599"/>
      <c r="K1231" s="599"/>
      <c r="L1231" s="599"/>
      <c r="M1231" s="599"/>
      <c r="N1231" s="599"/>
      <c r="O1231" s="599"/>
      <c r="P1231" s="599"/>
      <c r="Q1231" s="243"/>
      <c r="R1231" s="243"/>
      <c r="S1231" s="243"/>
      <c r="T1231" s="243"/>
      <c r="U1231" s="243"/>
      <c r="V1231" s="243"/>
      <c r="W1231" s="243"/>
      <c r="X1231" s="243"/>
      <c r="Y1231" s="243"/>
      <c r="Z1231" s="243"/>
      <c r="AA1231" s="243"/>
      <c r="AB1231" s="243"/>
      <c r="AC1231" s="243"/>
      <c r="AD1231" s="243"/>
      <c r="AE1231" s="577"/>
      <c r="AF1231" s="577"/>
      <c r="AG1231" s="577"/>
      <c r="AH1231" s="578"/>
      <c r="AI1231" s="578"/>
      <c r="AJ1231" s="578"/>
      <c r="AK1231" s="578"/>
      <c r="AL1231" s="578"/>
      <c r="AM1231" s="578"/>
      <c r="AN1231" s="578"/>
      <c r="AO1231" s="579"/>
      <c r="AP1231" s="579"/>
      <c r="AQ1231" s="580"/>
      <c r="AR1231" s="580"/>
      <c r="AS1231" s="580"/>
      <c r="AT1231" s="580"/>
      <c r="AU1231" s="580"/>
      <c r="AV1231" s="580"/>
      <c r="AW1231" s="580"/>
      <c r="AX1231" s="580"/>
      <c r="AY1231" s="580"/>
      <c r="AZ1231" s="580"/>
      <c r="BA1231" s="580"/>
      <c r="BB1231" s="622"/>
      <c r="BC1231" s="622"/>
      <c r="BD1231" s="622"/>
      <c r="BE1231" s="622"/>
    </row>
    <row r="1232" customFormat="false" ht="14.1" hidden="true" customHeight="true" outlineLevel="1" collapsed="false">
      <c r="A1232" s="163" t="s">
        <v>796</v>
      </c>
      <c r="B1232" s="119" t="s">
        <v>113</v>
      </c>
      <c r="C1232" s="252" t="n">
        <v>5000</v>
      </c>
      <c r="D1232" s="275"/>
      <c r="E1232" s="138"/>
      <c r="F1232" s="138"/>
      <c r="G1232" s="26"/>
      <c r="H1232" s="243"/>
      <c r="I1232" s="599"/>
      <c r="J1232" s="599"/>
      <c r="K1232" s="599"/>
      <c r="L1232" s="599"/>
      <c r="M1232" s="599"/>
      <c r="N1232" s="599"/>
      <c r="O1232" s="599"/>
      <c r="P1232" s="599"/>
      <c r="Q1232" s="243"/>
      <c r="R1232" s="243"/>
      <c r="S1232" s="243"/>
      <c r="T1232" s="243"/>
      <c r="U1232" s="243"/>
      <c r="V1232" s="243"/>
      <c r="W1232" s="243"/>
      <c r="X1232" s="243"/>
      <c r="Y1232" s="243"/>
      <c r="Z1232" s="243"/>
      <c r="AA1232" s="243"/>
      <c r="AB1232" s="243"/>
      <c r="AC1232" s="243"/>
      <c r="AD1232" s="243"/>
      <c r="AE1232" s="577"/>
      <c r="AF1232" s="577"/>
      <c r="AG1232" s="577"/>
      <c r="AH1232" s="578"/>
      <c r="AI1232" s="578"/>
      <c r="AJ1232" s="578"/>
      <c r="AK1232" s="578"/>
      <c r="AL1232" s="578"/>
      <c r="AM1232" s="578"/>
      <c r="AN1232" s="578"/>
      <c r="AO1232" s="579"/>
      <c r="AP1232" s="579"/>
      <c r="AQ1232" s="580"/>
      <c r="AR1232" s="580"/>
      <c r="AS1232" s="580"/>
      <c r="AT1232" s="580"/>
      <c r="AU1232" s="580"/>
      <c r="AV1232" s="580"/>
      <c r="AW1232" s="580"/>
      <c r="AX1232" s="580"/>
      <c r="AY1232" s="580"/>
      <c r="AZ1232" s="580"/>
      <c r="BA1232" s="580"/>
      <c r="BB1232" s="622"/>
      <c r="BC1232" s="622"/>
      <c r="BD1232" s="622"/>
      <c r="BE1232" s="622"/>
    </row>
    <row r="1233" s="162" customFormat="true" ht="14.1" hidden="true" customHeight="true" outlineLevel="1" collapsed="false">
      <c r="A1233" s="152"/>
      <c r="B1233" s="626"/>
      <c r="C1233" s="627"/>
      <c r="D1233" s="275"/>
      <c r="E1233" s="169"/>
      <c r="F1233" s="169"/>
      <c r="G1233" s="26"/>
      <c r="H1233" s="243"/>
      <c r="I1233" s="599"/>
      <c r="J1233" s="599"/>
      <c r="K1233" s="599"/>
      <c r="L1233" s="599"/>
      <c r="M1233" s="599"/>
      <c r="N1233" s="599"/>
      <c r="O1233" s="599"/>
      <c r="P1233" s="599"/>
      <c r="Q1233" s="243"/>
      <c r="R1233" s="243"/>
      <c r="S1233" s="243"/>
      <c r="T1233" s="243"/>
      <c r="U1233" s="243"/>
      <c r="V1233" s="243"/>
      <c r="W1233" s="243"/>
      <c r="X1233" s="243"/>
      <c r="Y1233" s="243"/>
      <c r="Z1233" s="243"/>
      <c r="AA1233" s="243"/>
      <c r="AB1233" s="243"/>
      <c r="AC1233" s="243"/>
      <c r="AD1233" s="243"/>
      <c r="AE1233" s="577"/>
      <c r="AF1233" s="577"/>
      <c r="AG1233" s="577"/>
      <c r="AH1233" s="578"/>
      <c r="AI1233" s="578"/>
      <c r="AJ1233" s="578"/>
      <c r="AK1233" s="578"/>
      <c r="AL1233" s="578"/>
      <c r="AM1233" s="578"/>
      <c r="AN1233" s="578"/>
      <c r="AO1233" s="579"/>
      <c r="AP1233" s="579"/>
      <c r="AQ1233" s="580"/>
      <c r="AR1233" s="580"/>
      <c r="AS1233" s="580"/>
      <c r="AT1233" s="580"/>
      <c r="AU1233" s="580"/>
      <c r="AV1233" s="580"/>
      <c r="AW1233" s="580"/>
      <c r="AX1233" s="580"/>
      <c r="AY1233" s="580"/>
      <c r="AZ1233" s="580"/>
      <c r="BA1233" s="580"/>
      <c r="BB1233" s="581"/>
      <c r="BC1233" s="581"/>
      <c r="BD1233" s="581"/>
      <c r="BE1233" s="581"/>
      <c r="BF1233" s="161"/>
    </row>
    <row r="1234" customFormat="false" ht="14.1" hidden="false" customHeight="true" outlineLevel="0" collapsed="false">
      <c r="A1234" s="628" t="s">
        <v>797</v>
      </c>
      <c r="B1234" s="628"/>
      <c r="C1234" s="628"/>
      <c r="D1234" s="628"/>
      <c r="E1234" s="628"/>
      <c r="F1234" s="428" t="s">
        <v>56</v>
      </c>
      <c r="G1234" s="26"/>
      <c r="H1234" s="437"/>
      <c r="I1234" s="437"/>
      <c r="J1234" s="437"/>
      <c r="K1234" s="437"/>
      <c r="L1234" s="437"/>
      <c r="M1234" s="257"/>
      <c r="N1234" s="257"/>
      <c r="O1234" s="257"/>
      <c r="P1234" s="243"/>
      <c r="Q1234" s="165"/>
      <c r="R1234" s="243"/>
      <c r="S1234" s="243"/>
      <c r="T1234" s="243"/>
      <c r="U1234" s="243"/>
      <c r="V1234" s="243"/>
      <c r="W1234" s="243"/>
      <c r="X1234" s="243"/>
      <c r="Y1234" s="243"/>
      <c r="Z1234" s="243"/>
      <c r="AA1234" s="243"/>
      <c r="AB1234" s="243"/>
      <c r="AC1234" s="243"/>
      <c r="AD1234" s="243"/>
      <c r="AE1234" s="577"/>
      <c r="AF1234" s="577"/>
      <c r="AG1234" s="577"/>
      <c r="AH1234" s="578"/>
      <c r="AI1234" s="578"/>
      <c r="AJ1234" s="578"/>
      <c r="AK1234" s="578"/>
      <c r="AL1234" s="578"/>
      <c r="AM1234" s="578"/>
      <c r="AN1234" s="578"/>
      <c r="AO1234" s="579"/>
      <c r="AP1234" s="579"/>
      <c r="AQ1234" s="580"/>
      <c r="AR1234" s="580"/>
      <c r="AS1234" s="580"/>
      <c r="AT1234" s="580"/>
      <c r="AU1234" s="580"/>
      <c r="AV1234" s="127" t="n">
        <f aca="false">M1234</f>
        <v>0</v>
      </c>
      <c r="AW1234" s="580"/>
      <c r="AX1234" s="580"/>
      <c r="AY1234" s="580"/>
      <c r="AZ1234" s="580"/>
      <c r="BA1234" s="580"/>
      <c r="BB1234" s="622"/>
      <c r="BC1234" s="622"/>
      <c r="BD1234" s="622"/>
      <c r="BE1234" s="622"/>
    </row>
    <row r="1235" s="35" customFormat="true" ht="14.1" hidden="false" customHeight="true" outlineLevel="0" collapsed="false">
      <c r="A1235" s="577"/>
      <c r="B1235" s="602"/>
      <c r="C1235" s="577"/>
      <c r="D1235" s="577"/>
      <c r="E1235" s="577"/>
      <c r="F1235" s="577"/>
      <c r="G1235" s="577"/>
      <c r="H1235" s="583"/>
      <c r="I1235" s="577"/>
      <c r="J1235" s="577"/>
      <c r="K1235" s="577"/>
      <c r="L1235" s="577"/>
      <c r="M1235" s="577"/>
      <c r="N1235" s="577"/>
      <c r="O1235" s="577"/>
      <c r="P1235" s="577"/>
      <c r="Q1235" s="577"/>
      <c r="R1235" s="577"/>
      <c r="S1235" s="577"/>
      <c r="T1235" s="577"/>
      <c r="U1235" s="577"/>
      <c r="V1235" s="577"/>
      <c r="W1235" s="577"/>
      <c r="X1235" s="577"/>
      <c r="Y1235" s="577"/>
      <c r="Z1235" s="577"/>
      <c r="AA1235" s="577"/>
      <c r="AB1235" s="577"/>
      <c r="AC1235" s="577"/>
      <c r="AD1235" s="577"/>
      <c r="AE1235" s="577"/>
      <c r="AF1235" s="577"/>
      <c r="AG1235" s="577"/>
      <c r="AH1235" s="578"/>
      <c r="AI1235" s="578"/>
      <c r="AJ1235" s="578"/>
      <c r="AK1235" s="578"/>
      <c r="AL1235" s="578"/>
      <c r="AM1235" s="578"/>
      <c r="AN1235" s="578"/>
      <c r="AO1235" s="579"/>
      <c r="AP1235" s="579"/>
      <c r="AQ1235" s="580"/>
      <c r="AR1235" s="580"/>
      <c r="AS1235" s="580"/>
      <c r="AT1235" s="580"/>
      <c r="AU1235" s="580"/>
      <c r="AV1235" s="580"/>
      <c r="AW1235" s="580"/>
      <c r="AX1235" s="580"/>
      <c r="AY1235" s="580"/>
      <c r="AZ1235" s="580"/>
      <c r="BA1235" s="580"/>
      <c r="BB1235" s="580"/>
      <c r="BC1235" s="580"/>
      <c r="BD1235" s="580"/>
      <c r="BE1235" s="580"/>
      <c r="BF1235" s="156"/>
    </row>
    <row r="1236" customFormat="false" ht="14.1" hidden="true" customHeight="true" outlineLevel="1" collapsed="false">
      <c r="A1236" s="629" t="s">
        <v>798</v>
      </c>
      <c r="B1236" s="629"/>
      <c r="C1236" s="629"/>
      <c r="D1236" s="629"/>
      <c r="E1236" s="629"/>
      <c r="F1236" s="629"/>
      <c r="G1236" s="629"/>
      <c r="H1236" s="440"/>
      <c r="I1236" s="440"/>
      <c r="J1236" s="440"/>
      <c r="K1236" s="440"/>
      <c r="L1236" s="440"/>
      <c r="M1236" s="440"/>
      <c r="N1236" s="440"/>
      <c r="O1236" s="440"/>
      <c r="P1236" s="440"/>
      <c r="Q1236" s="440"/>
      <c r="R1236" s="440"/>
      <c r="S1236" s="440"/>
      <c r="T1236" s="440"/>
      <c r="U1236" s="440"/>
      <c r="V1236" s="440"/>
      <c r="W1236" s="440"/>
      <c r="X1236" s="440"/>
      <c r="Y1236" s="440"/>
      <c r="Z1236" s="440"/>
      <c r="AA1236" s="440"/>
      <c r="AB1236" s="440"/>
      <c r="AC1236" s="440"/>
      <c r="AD1236" s="440"/>
      <c r="AE1236" s="440"/>
      <c r="AF1236" s="440"/>
      <c r="AG1236" s="440"/>
      <c r="AH1236" s="584"/>
      <c r="AI1236" s="584"/>
      <c r="AJ1236" s="578"/>
      <c r="AK1236" s="578"/>
      <c r="AL1236" s="578"/>
      <c r="AM1236" s="578"/>
      <c r="AN1236" s="578"/>
      <c r="AO1236" s="579"/>
      <c r="AP1236" s="579"/>
      <c r="AQ1236" s="580"/>
      <c r="AR1236" s="580"/>
      <c r="AS1236" s="580"/>
      <c r="AT1236" s="580"/>
      <c r="AU1236" s="580"/>
      <c r="AV1236" s="580"/>
      <c r="AW1236" s="580"/>
      <c r="AX1236" s="580"/>
      <c r="AY1236" s="580"/>
      <c r="AZ1236" s="580"/>
      <c r="BA1236" s="580"/>
      <c r="BB1236" s="622"/>
      <c r="BC1236" s="622"/>
      <c r="BD1236" s="622"/>
      <c r="BE1236" s="622"/>
    </row>
    <row r="1237" customFormat="false" ht="14.1" hidden="true" customHeight="true" outlineLevel="1" collapsed="false">
      <c r="A1237" s="629"/>
      <c r="B1237" s="629"/>
      <c r="C1237" s="629"/>
      <c r="D1237" s="629"/>
      <c r="E1237" s="629"/>
      <c r="F1237" s="629"/>
      <c r="G1237" s="629"/>
      <c r="H1237" s="440"/>
      <c r="I1237" s="440"/>
      <c r="J1237" s="440"/>
      <c r="K1237" s="440"/>
      <c r="L1237" s="440"/>
      <c r="M1237" s="440"/>
      <c r="N1237" s="440"/>
      <c r="O1237" s="440"/>
      <c r="P1237" s="440"/>
      <c r="Q1237" s="440"/>
      <c r="R1237" s="440"/>
      <c r="S1237" s="440"/>
      <c r="T1237" s="440"/>
      <c r="U1237" s="440"/>
      <c r="V1237" s="440"/>
      <c r="W1237" s="440"/>
      <c r="X1237" s="440"/>
      <c r="Y1237" s="440"/>
      <c r="Z1237" s="440"/>
      <c r="AA1237" s="440"/>
      <c r="AB1237" s="440"/>
      <c r="AC1237" s="440"/>
      <c r="AD1237" s="440"/>
      <c r="AE1237" s="440"/>
      <c r="AF1237" s="440"/>
      <c r="AG1237" s="440"/>
      <c r="AH1237" s="584"/>
      <c r="AI1237" s="584"/>
      <c r="AJ1237" s="578"/>
      <c r="AK1237" s="578"/>
      <c r="AL1237" s="578"/>
      <c r="AM1237" s="578"/>
      <c r="AN1237" s="578"/>
      <c r="AO1237" s="579"/>
      <c r="AP1237" s="579"/>
      <c r="AQ1237" s="580"/>
      <c r="AR1237" s="580"/>
      <c r="AS1237" s="580"/>
      <c r="AT1237" s="580"/>
      <c r="AU1237" s="580"/>
      <c r="AV1237" s="580"/>
      <c r="AW1237" s="580"/>
      <c r="AX1237" s="580"/>
      <c r="AY1237" s="580"/>
      <c r="AZ1237" s="580"/>
      <c r="BA1237" s="580"/>
      <c r="BB1237" s="622"/>
      <c r="BC1237" s="622"/>
      <c r="BD1237" s="622"/>
      <c r="BE1237" s="622"/>
    </row>
    <row r="1238" s="632" customFormat="true" ht="14.1" hidden="true" customHeight="true" outlineLevel="1" collapsed="false">
      <c r="A1238" s="501"/>
      <c r="B1238" s="501"/>
      <c r="C1238" s="501"/>
      <c r="D1238" s="501"/>
      <c r="E1238" s="501"/>
      <c r="F1238" s="501"/>
      <c r="G1238" s="522"/>
      <c r="H1238" s="440"/>
      <c r="I1238" s="440"/>
      <c r="J1238" s="440"/>
      <c r="K1238" s="440"/>
      <c r="L1238" s="440"/>
      <c r="M1238" s="440"/>
      <c r="N1238" s="440"/>
      <c r="O1238" s="440"/>
      <c r="P1238" s="440"/>
      <c r="Q1238" s="440"/>
      <c r="R1238" s="440"/>
      <c r="S1238" s="440"/>
      <c r="T1238" s="440"/>
      <c r="U1238" s="440"/>
      <c r="V1238" s="440"/>
      <c r="W1238" s="440"/>
      <c r="X1238" s="440"/>
      <c r="Y1238" s="440"/>
      <c r="Z1238" s="440"/>
      <c r="AA1238" s="440"/>
      <c r="AB1238" s="440"/>
      <c r="AC1238" s="440"/>
      <c r="AD1238" s="440"/>
      <c r="AE1238" s="440"/>
      <c r="AF1238" s="440"/>
      <c r="AG1238" s="440"/>
      <c r="AH1238" s="584"/>
      <c r="AI1238" s="584"/>
      <c r="AJ1238" s="29"/>
      <c r="AK1238" s="29"/>
      <c r="AL1238" s="29"/>
      <c r="AM1238" s="29"/>
      <c r="AN1238" s="29"/>
      <c r="AO1238" s="567"/>
      <c r="AP1238" s="567"/>
      <c r="AQ1238" s="568"/>
      <c r="AR1238" s="568"/>
      <c r="AS1238" s="568"/>
      <c r="AT1238" s="568"/>
      <c r="AU1238" s="568"/>
      <c r="AV1238" s="568"/>
      <c r="AW1238" s="568"/>
      <c r="AX1238" s="568"/>
      <c r="AY1238" s="568"/>
      <c r="AZ1238" s="568"/>
      <c r="BA1238" s="568"/>
      <c r="BB1238" s="630"/>
      <c r="BC1238" s="630"/>
      <c r="BD1238" s="630"/>
      <c r="BE1238" s="630"/>
      <c r="BF1238" s="631"/>
    </row>
    <row r="1239" s="632" customFormat="true" ht="14.1" hidden="true" customHeight="true" outlineLevel="1" collapsed="false">
      <c r="A1239" s="292" t="s">
        <v>161</v>
      </c>
      <c r="B1239" s="180" t="s">
        <v>12</v>
      </c>
      <c r="C1239" s="292" t="s">
        <v>13</v>
      </c>
      <c r="D1239" s="501"/>
      <c r="E1239" s="501"/>
      <c r="F1239" s="501"/>
      <c r="G1239" s="522"/>
      <c r="H1239" s="440"/>
      <c r="I1239" s="440"/>
      <c r="J1239" s="440"/>
      <c r="K1239" s="440"/>
      <c r="L1239" s="440"/>
      <c r="M1239" s="440"/>
      <c r="N1239" s="440"/>
      <c r="O1239" s="440"/>
      <c r="P1239" s="440"/>
      <c r="Q1239" s="440"/>
      <c r="R1239" s="440"/>
      <c r="S1239" s="440"/>
      <c r="T1239" s="440"/>
      <c r="U1239" s="440"/>
      <c r="V1239" s="440"/>
      <c r="W1239" s="440"/>
      <c r="X1239" s="440"/>
      <c r="Y1239" s="440"/>
      <c r="Z1239" s="440"/>
      <c r="AA1239" s="440"/>
      <c r="AB1239" s="440"/>
      <c r="AC1239" s="440"/>
      <c r="AD1239" s="440"/>
      <c r="AE1239" s="440"/>
      <c r="AF1239" s="440"/>
      <c r="AG1239" s="440"/>
      <c r="AH1239" s="584"/>
      <c r="AI1239" s="584"/>
      <c r="AJ1239" s="29"/>
      <c r="AK1239" s="29"/>
      <c r="AL1239" s="29"/>
      <c r="AM1239" s="29"/>
      <c r="AN1239" s="29"/>
      <c r="AO1239" s="567"/>
      <c r="AP1239" s="567"/>
      <c r="AQ1239" s="568"/>
      <c r="AR1239" s="568"/>
      <c r="AS1239" s="568"/>
      <c r="AT1239" s="568"/>
      <c r="AU1239" s="568"/>
      <c r="AV1239" s="568"/>
      <c r="AW1239" s="568"/>
      <c r="AX1239" s="568"/>
      <c r="AY1239" s="568"/>
      <c r="AZ1239" s="568"/>
      <c r="BA1239" s="568"/>
      <c r="BB1239" s="630"/>
      <c r="BC1239" s="630"/>
      <c r="BD1239" s="630"/>
      <c r="BE1239" s="630"/>
      <c r="BF1239" s="631"/>
    </row>
    <row r="1240" customFormat="false" ht="14.1" hidden="true" customHeight="true" outlineLevel="1" collapsed="false">
      <c r="A1240" s="163" t="s">
        <v>799</v>
      </c>
      <c r="B1240" s="119" t="s">
        <v>48</v>
      </c>
      <c r="C1240" s="370" t="n">
        <v>18</v>
      </c>
      <c r="D1240" s="275"/>
      <c r="E1240" s="138"/>
      <c r="F1240" s="138"/>
      <c r="G1240" s="26"/>
      <c r="H1240" s="589"/>
      <c r="I1240" s="589"/>
      <c r="J1240" s="589"/>
      <c r="K1240" s="589"/>
      <c r="L1240" s="589"/>
      <c r="M1240" s="589"/>
      <c r="N1240" s="589"/>
      <c r="O1240" s="589"/>
      <c r="P1240" s="243"/>
      <c r="Q1240" s="243"/>
      <c r="R1240" s="243"/>
      <c r="S1240" s="243"/>
      <c r="T1240" s="243"/>
      <c r="U1240" s="243"/>
      <c r="V1240" s="243"/>
      <c r="W1240" s="243"/>
      <c r="X1240" s="243"/>
      <c r="Y1240" s="243"/>
      <c r="Z1240" s="243"/>
      <c r="AA1240" s="243"/>
      <c r="AB1240" s="243"/>
      <c r="AC1240" s="243"/>
      <c r="AD1240" s="243"/>
      <c r="AE1240" s="243"/>
      <c r="AF1240" s="243"/>
      <c r="AG1240" s="243"/>
      <c r="AH1240" s="29"/>
      <c r="AI1240" s="29"/>
      <c r="AJ1240" s="578"/>
      <c r="AK1240" s="578"/>
      <c r="AL1240" s="578"/>
      <c r="AM1240" s="578"/>
      <c r="AN1240" s="578"/>
      <c r="AO1240" s="579"/>
      <c r="AP1240" s="579"/>
      <c r="AQ1240" s="580"/>
      <c r="AR1240" s="580"/>
      <c r="AS1240" s="580"/>
      <c r="AT1240" s="580"/>
      <c r="AU1240" s="580"/>
      <c r="AV1240" s="580"/>
      <c r="AW1240" s="580"/>
      <c r="AX1240" s="580"/>
      <c r="AY1240" s="580"/>
      <c r="AZ1240" s="580"/>
      <c r="BA1240" s="580"/>
      <c r="BB1240" s="622"/>
      <c r="BC1240" s="622"/>
      <c r="BD1240" s="622"/>
      <c r="BE1240" s="622"/>
    </row>
    <row r="1241" s="162" customFormat="true" ht="14.1" hidden="true" customHeight="true" outlineLevel="1" collapsed="false">
      <c r="A1241" s="275" t="s">
        <v>749</v>
      </c>
      <c r="B1241" s="277"/>
      <c r="C1241" s="275"/>
      <c r="D1241" s="275"/>
      <c r="E1241" s="169"/>
      <c r="F1241" s="169"/>
      <c r="G1241" s="26"/>
      <c r="H1241" s="589"/>
      <c r="I1241" s="589"/>
      <c r="J1241" s="589"/>
      <c r="K1241" s="589"/>
      <c r="L1241" s="589"/>
      <c r="M1241" s="589"/>
      <c r="N1241" s="589"/>
      <c r="O1241" s="589"/>
      <c r="P1241" s="243"/>
      <c r="Q1241" s="243"/>
      <c r="R1241" s="243"/>
      <c r="S1241" s="243"/>
      <c r="T1241" s="243"/>
      <c r="U1241" s="243"/>
      <c r="V1241" s="243"/>
      <c r="W1241" s="243"/>
      <c r="X1241" s="243"/>
      <c r="Y1241" s="243"/>
      <c r="Z1241" s="243"/>
      <c r="AA1241" s="243"/>
      <c r="AB1241" s="243"/>
      <c r="AC1241" s="243"/>
      <c r="AD1241" s="243"/>
      <c r="AE1241" s="243"/>
      <c r="AF1241" s="243"/>
      <c r="AG1241" s="243"/>
      <c r="AH1241" s="29"/>
      <c r="AI1241" s="29"/>
      <c r="AJ1241" s="578"/>
      <c r="AK1241" s="578"/>
      <c r="AL1241" s="578"/>
      <c r="AM1241" s="578"/>
      <c r="AN1241" s="578"/>
      <c r="AO1241" s="579"/>
      <c r="AP1241" s="579"/>
      <c r="AQ1241" s="580"/>
      <c r="AR1241" s="580"/>
      <c r="AS1241" s="580"/>
      <c r="AT1241" s="580"/>
      <c r="AU1241" s="580"/>
      <c r="AV1241" s="580"/>
      <c r="AW1241" s="580"/>
      <c r="AX1241" s="580"/>
      <c r="AY1241" s="580"/>
      <c r="AZ1241" s="580"/>
      <c r="BA1241" s="580"/>
      <c r="BB1241" s="581"/>
      <c r="BC1241" s="581"/>
      <c r="BD1241" s="581"/>
      <c r="BE1241" s="581"/>
      <c r="BF1241" s="161"/>
    </row>
    <row r="1242" s="162" customFormat="true" ht="14.1" hidden="true" customHeight="true" outlineLevel="1" collapsed="false">
      <c r="A1242" s="147" t="s">
        <v>226</v>
      </c>
      <c r="B1242" s="616" t="s">
        <v>502</v>
      </c>
      <c r="C1242" s="348" t="n">
        <v>0</v>
      </c>
      <c r="D1242" s="275"/>
      <c r="E1242" s="169"/>
      <c r="F1242" s="169"/>
      <c r="G1242" s="26"/>
      <c r="H1242" s="589"/>
      <c r="I1242" s="589"/>
      <c r="J1242" s="589"/>
      <c r="K1242" s="589"/>
      <c r="L1242" s="589"/>
      <c r="M1242" s="589"/>
      <c r="N1242" s="589"/>
      <c r="O1242" s="589"/>
      <c r="P1242" s="243"/>
      <c r="Q1242" s="243"/>
      <c r="R1242" s="243"/>
      <c r="S1242" s="243"/>
      <c r="T1242" s="243"/>
      <c r="U1242" s="243"/>
      <c r="V1242" s="243"/>
      <c r="W1242" s="243"/>
      <c r="X1242" s="243"/>
      <c r="Y1242" s="243"/>
      <c r="Z1242" s="243"/>
      <c r="AA1242" s="243"/>
      <c r="AB1242" s="243"/>
      <c r="AC1242" s="243"/>
      <c r="AD1242" s="243"/>
      <c r="AE1242" s="243"/>
      <c r="AF1242" s="243"/>
      <c r="AG1242" s="243"/>
      <c r="AH1242" s="29"/>
      <c r="AI1242" s="29"/>
      <c r="AJ1242" s="578"/>
      <c r="AK1242" s="578"/>
      <c r="AL1242" s="578"/>
      <c r="AM1242" s="578"/>
      <c r="AN1242" s="578"/>
      <c r="AO1242" s="579"/>
      <c r="AP1242" s="579"/>
      <c r="AQ1242" s="580"/>
      <c r="AR1242" s="580"/>
      <c r="AS1242" s="580"/>
      <c r="AT1242" s="580"/>
      <c r="AU1242" s="580"/>
      <c r="AV1242" s="580"/>
      <c r="AW1242" s="580"/>
      <c r="AX1242" s="580"/>
      <c r="AY1242" s="580"/>
      <c r="AZ1242" s="580"/>
      <c r="BA1242" s="580"/>
      <c r="BB1242" s="581"/>
      <c r="BC1242" s="581"/>
      <c r="BD1242" s="581"/>
      <c r="BE1242" s="581"/>
      <c r="BF1242" s="161"/>
    </row>
    <row r="1243" s="162" customFormat="true" ht="14.1" hidden="true" customHeight="true" outlineLevel="1" collapsed="false">
      <c r="A1243" s="149" t="s">
        <v>226</v>
      </c>
      <c r="B1243" s="119" t="s">
        <v>48</v>
      </c>
      <c r="C1243" s="163" t="n">
        <v>3</v>
      </c>
      <c r="D1243" s="275"/>
      <c r="E1243" s="169"/>
      <c r="F1243" s="169"/>
      <c r="G1243" s="26"/>
      <c r="H1243" s="589"/>
      <c r="I1243" s="589"/>
      <c r="J1243" s="589"/>
      <c r="K1243" s="589"/>
      <c r="L1243" s="589"/>
      <c r="M1243" s="589"/>
      <c r="N1243" s="589"/>
      <c r="O1243" s="589"/>
      <c r="P1243" s="243"/>
      <c r="Q1243" s="243"/>
      <c r="R1243" s="243"/>
      <c r="S1243" s="243"/>
      <c r="T1243" s="243"/>
      <c r="U1243" s="243"/>
      <c r="V1243" s="243"/>
      <c r="W1243" s="243"/>
      <c r="X1243" s="243"/>
      <c r="Y1243" s="243"/>
      <c r="Z1243" s="243"/>
      <c r="AA1243" s="243"/>
      <c r="AB1243" s="243"/>
      <c r="AC1243" s="243"/>
      <c r="AD1243" s="243"/>
      <c r="AE1243" s="243"/>
      <c r="AF1243" s="243"/>
      <c r="AG1243" s="243"/>
      <c r="AH1243" s="29"/>
      <c r="AI1243" s="29"/>
      <c r="AJ1243" s="578"/>
      <c r="AK1243" s="578"/>
      <c r="AL1243" s="578"/>
      <c r="AM1243" s="578"/>
      <c r="AN1243" s="578"/>
      <c r="AO1243" s="579"/>
      <c r="AP1243" s="579"/>
      <c r="AQ1243" s="580"/>
      <c r="AR1243" s="580"/>
      <c r="AS1243" s="580"/>
      <c r="AT1243" s="580"/>
      <c r="AU1243" s="580"/>
      <c r="AV1243" s="580"/>
      <c r="AW1243" s="580"/>
      <c r="AX1243" s="580"/>
      <c r="AY1243" s="580"/>
      <c r="AZ1243" s="580"/>
      <c r="BA1243" s="580"/>
      <c r="BB1243" s="581"/>
      <c r="BC1243" s="581"/>
      <c r="BD1243" s="581"/>
      <c r="BE1243" s="581"/>
      <c r="BF1243" s="161"/>
    </row>
    <row r="1244" s="162" customFormat="true" ht="14.1" hidden="true" customHeight="true" outlineLevel="1" collapsed="false">
      <c r="A1244" s="138"/>
      <c r="B1244" s="235"/>
      <c r="C1244" s="169"/>
      <c r="D1244" s="275"/>
      <c r="E1244" s="169"/>
      <c r="F1244" s="169"/>
      <c r="G1244" s="26"/>
      <c r="H1244" s="589"/>
      <c r="I1244" s="589"/>
      <c r="J1244" s="589"/>
      <c r="K1244" s="589"/>
      <c r="L1244" s="589"/>
      <c r="M1244" s="589"/>
      <c r="N1244" s="589"/>
      <c r="O1244" s="589"/>
      <c r="P1244" s="243"/>
      <c r="Q1244" s="243"/>
      <c r="R1244" s="243"/>
      <c r="S1244" s="243"/>
      <c r="T1244" s="243"/>
      <c r="U1244" s="243"/>
      <c r="V1244" s="243"/>
      <c r="W1244" s="243"/>
      <c r="X1244" s="243"/>
      <c r="Y1244" s="243"/>
      <c r="Z1244" s="243"/>
      <c r="AA1244" s="243"/>
      <c r="AB1244" s="243"/>
      <c r="AC1244" s="243"/>
      <c r="AD1244" s="243"/>
      <c r="AE1244" s="243"/>
      <c r="AF1244" s="243"/>
      <c r="AG1244" s="243"/>
      <c r="AH1244" s="29"/>
      <c r="AI1244" s="29"/>
      <c r="AJ1244" s="578"/>
      <c r="AK1244" s="578"/>
      <c r="AL1244" s="578"/>
      <c r="AM1244" s="578"/>
      <c r="AN1244" s="578"/>
      <c r="AO1244" s="579"/>
      <c r="AP1244" s="579"/>
      <c r="AQ1244" s="580"/>
      <c r="AR1244" s="580"/>
      <c r="AS1244" s="580"/>
      <c r="AT1244" s="580"/>
      <c r="AU1244" s="580"/>
      <c r="AV1244" s="580"/>
      <c r="AW1244" s="580"/>
      <c r="AX1244" s="580"/>
      <c r="AY1244" s="580"/>
      <c r="AZ1244" s="580"/>
      <c r="BA1244" s="580"/>
      <c r="BB1244" s="581"/>
      <c r="BC1244" s="581"/>
      <c r="BD1244" s="581"/>
      <c r="BE1244" s="581"/>
      <c r="BF1244" s="161"/>
    </row>
    <row r="1245" s="162" customFormat="true" ht="14.1" hidden="true" customHeight="true" outlineLevel="1" collapsed="false">
      <c r="A1245" s="163" t="s">
        <v>800</v>
      </c>
      <c r="B1245" s="119" t="s">
        <v>113</v>
      </c>
      <c r="C1245" s="252" t="n">
        <v>5000</v>
      </c>
      <c r="D1245" s="275"/>
      <c r="E1245" s="169"/>
      <c r="F1245" s="169"/>
      <c r="G1245" s="26"/>
      <c r="H1245" s="589"/>
      <c r="I1245" s="589"/>
      <c r="J1245" s="589"/>
      <c r="K1245" s="589"/>
      <c r="L1245" s="589"/>
      <c r="M1245" s="589"/>
      <c r="N1245" s="589"/>
      <c r="O1245" s="589"/>
      <c r="P1245" s="243"/>
      <c r="Q1245" s="243"/>
      <c r="R1245" s="243"/>
      <c r="S1245" s="243"/>
      <c r="T1245" s="243"/>
      <c r="U1245" s="243"/>
      <c r="V1245" s="243"/>
      <c r="W1245" s="243"/>
      <c r="X1245" s="243"/>
      <c r="Y1245" s="243"/>
      <c r="Z1245" s="243"/>
      <c r="AA1245" s="243"/>
      <c r="AB1245" s="243"/>
      <c r="AC1245" s="243"/>
      <c r="AD1245" s="243"/>
      <c r="AE1245" s="243"/>
      <c r="AF1245" s="243"/>
      <c r="AG1245" s="243"/>
      <c r="AH1245" s="29"/>
      <c r="AI1245" s="29"/>
      <c r="AJ1245" s="578"/>
      <c r="AK1245" s="578"/>
      <c r="AL1245" s="578"/>
      <c r="AM1245" s="578"/>
      <c r="AN1245" s="578"/>
      <c r="AO1245" s="579"/>
      <c r="AP1245" s="579"/>
      <c r="AQ1245" s="580"/>
      <c r="AR1245" s="580"/>
      <c r="AS1245" s="580"/>
      <c r="AT1245" s="580"/>
      <c r="AU1245" s="580"/>
      <c r="AV1245" s="580"/>
      <c r="AW1245" s="580"/>
      <c r="AX1245" s="580"/>
      <c r="AY1245" s="580"/>
      <c r="AZ1245" s="580"/>
      <c r="BA1245" s="580"/>
      <c r="BB1245" s="581"/>
      <c r="BC1245" s="581"/>
      <c r="BD1245" s="581"/>
      <c r="BE1245" s="581"/>
      <c r="BF1245" s="161"/>
    </row>
    <row r="1246" customFormat="false" ht="14.1" hidden="true" customHeight="true" outlineLevel="1" collapsed="false">
      <c r="A1246" s="275"/>
      <c r="B1246" s="277"/>
      <c r="C1246" s="455"/>
      <c r="D1246" s="275"/>
      <c r="E1246" s="138"/>
      <c r="F1246" s="138"/>
      <c r="G1246" s="26"/>
      <c r="H1246" s="599"/>
      <c r="I1246" s="599"/>
      <c r="J1246" s="599"/>
      <c r="K1246" s="599"/>
      <c r="L1246" s="599"/>
      <c r="M1246" s="599"/>
      <c r="N1246" s="599"/>
      <c r="O1246" s="599"/>
      <c r="P1246" s="243"/>
      <c r="Q1246" s="243"/>
      <c r="R1246" s="243"/>
      <c r="S1246" s="243"/>
      <c r="T1246" s="243"/>
      <c r="U1246" s="243"/>
      <c r="V1246" s="243"/>
      <c r="W1246" s="243"/>
      <c r="X1246" s="243"/>
      <c r="Y1246" s="243"/>
      <c r="Z1246" s="243"/>
      <c r="AA1246" s="243"/>
      <c r="AB1246" s="243"/>
      <c r="AC1246" s="243"/>
      <c r="AD1246" s="243"/>
      <c r="AE1246" s="243"/>
      <c r="AF1246" s="243"/>
      <c r="AG1246" s="243"/>
      <c r="AH1246" s="29"/>
      <c r="AI1246" s="29"/>
      <c r="AJ1246" s="578"/>
      <c r="AK1246" s="578"/>
      <c r="AL1246" s="578"/>
      <c r="AM1246" s="578"/>
      <c r="AN1246" s="578"/>
      <c r="AO1246" s="579"/>
      <c r="AP1246" s="579"/>
      <c r="AQ1246" s="580"/>
      <c r="AR1246" s="580"/>
      <c r="AS1246" s="580"/>
      <c r="AT1246" s="580"/>
      <c r="AU1246" s="580"/>
      <c r="AV1246" s="580"/>
      <c r="AW1246" s="580"/>
      <c r="AX1246" s="580"/>
      <c r="AY1246" s="580"/>
      <c r="AZ1246" s="580"/>
      <c r="BA1246" s="580"/>
      <c r="BB1246" s="622"/>
      <c r="BC1246" s="622"/>
      <c r="BD1246" s="622"/>
      <c r="BE1246" s="622"/>
    </row>
    <row r="1247" customFormat="false" ht="14.1" hidden="false" customHeight="true" outlineLevel="0" collapsed="false">
      <c r="A1247" s="628" t="s">
        <v>801</v>
      </c>
      <c r="B1247" s="628"/>
      <c r="C1247" s="628"/>
      <c r="D1247" s="628"/>
      <c r="E1247" s="628"/>
      <c r="F1247" s="428" t="s">
        <v>56</v>
      </c>
      <c r="G1247" s="26"/>
      <c r="H1247" s="437"/>
      <c r="I1247" s="437"/>
      <c r="J1247" s="437"/>
      <c r="K1247" s="437"/>
      <c r="L1247" s="437"/>
      <c r="M1247" s="257"/>
      <c r="N1247" s="257"/>
      <c r="O1247" s="257"/>
      <c r="P1247" s="243"/>
      <c r="Q1247" s="165"/>
      <c r="R1247" s="243"/>
      <c r="S1247" s="243"/>
      <c r="T1247" s="243"/>
      <c r="U1247" s="243"/>
      <c r="V1247" s="243"/>
      <c r="W1247" s="243"/>
      <c r="X1247" s="243"/>
      <c r="Y1247" s="243"/>
      <c r="Z1247" s="243"/>
      <c r="AA1247" s="243"/>
      <c r="AB1247" s="243"/>
      <c r="AC1247" s="243"/>
      <c r="AD1247" s="243"/>
      <c r="AE1247" s="243"/>
      <c r="AF1247" s="243"/>
      <c r="AG1247" s="243"/>
      <c r="AH1247" s="29"/>
      <c r="AI1247" s="29"/>
      <c r="AJ1247" s="578"/>
      <c r="AK1247" s="578"/>
      <c r="AL1247" s="578"/>
      <c r="AM1247" s="578"/>
      <c r="AN1247" s="578"/>
      <c r="AO1247" s="579"/>
      <c r="AP1247" s="579"/>
      <c r="AQ1247" s="580"/>
      <c r="AR1247" s="580"/>
      <c r="AS1247" s="580"/>
      <c r="AT1247" s="580"/>
      <c r="AU1247" s="580"/>
      <c r="AV1247" s="127" t="n">
        <f aca="false">M1247</f>
        <v>0</v>
      </c>
      <c r="AW1247" s="580"/>
      <c r="AX1247" s="580"/>
      <c r="AY1247" s="580"/>
      <c r="AZ1247" s="580"/>
      <c r="BA1247" s="580"/>
      <c r="BB1247" s="622"/>
      <c r="BC1247" s="622"/>
      <c r="BD1247" s="622"/>
      <c r="BE1247" s="622"/>
    </row>
    <row r="1248" s="35" customFormat="true" ht="14.1" hidden="false" customHeight="true" outlineLevel="0" collapsed="false">
      <c r="A1248" s="577"/>
      <c r="B1248" s="602"/>
      <c r="C1248" s="577"/>
      <c r="D1248" s="577"/>
      <c r="E1248" s="577"/>
      <c r="F1248" s="577"/>
      <c r="G1248" s="603"/>
      <c r="H1248" s="583"/>
      <c r="I1248" s="577"/>
      <c r="J1248" s="577"/>
      <c r="K1248" s="577"/>
      <c r="L1248" s="577"/>
      <c r="M1248" s="577"/>
      <c r="N1248" s="577"/>
      <c r="O1248" s="577"/>
      <c r="P1248" s="577"/>
      <c r="Q1248" s="577"/>
      <c r="R1248" s="577"/>
      <c r="S1248" s="577"/>
      <c r="T1248" s="577"/>
      <c r="U1248" s="577"/>
      <c r="V1248" s="577"/>
      <c r="W1248" s="577"/>
      <c r="X1248" s="577"/>
      <c r="Y1248" s="577"/>
      <c r="Z1248" s="577"/>
      <c r="AA1248" s="577"/>
      <c r="AB1248" s="243"/>
      <c r="AC1248" s="577"/>
      <c r="AD1248" s="577"/>
      <c r="AE1248" s="577"/>
      <c r="AF1248" s="577"/>
      <c r="AG1248" s="577"/>
      <c r="AH1248" s="578"/>
      <c r="AI1248" s="578"/>
      <c r="AJ1248" s="578"/>
      <c r="AK1248" s="578"/>
      <c r="AL1248" s="578"/>
      <c r="AM1248" s="578"/>
      <c r="AN1248" s="578"/>
      <c r="AO1248" s="579"/>
      <c r="AP1248" s="579"/>
      <c r="AQ1248" s="580"/>
      <c r="AR1248" s="580"/>
      <c r="AS1248" s="580"/>
      <c r="AT1248" s="580"/>
      <c r="AU1248" s="580"/>
      <c r="AV1248" s="580"/>
      <c r="AW1248" s="580"/>
      <c r="AX1248" s="580"/>
      <c r="AY1248" s="580"/>
      <c r="AZ1248" s="580"/>
      <c r="BA1248" s="580"/>
      <c r="BB1248" s="580"/>
      <c r="BC1248" s="580"/>
      <c r="BD1248" s="580"/>
      <c r="BE1248" s="580"/>
      <c r="BF1248" s="156"/>
    </row>
    <row r="1249" customFormat="false" ht="14.1" hidden="true" customHeight="true" outlineLevel="1" collapsed="false">
      <c r="A1249" s="629" t="s">
        <v>802</v>
      </c>
      <c r="B1249" s="629"/>
      <c r="C1249" s="629"/>
      <c r="D1249" s="629"/>
      <c r="E1249" s="629"/>
      <c r="F1249" s="629"/>
      <c r="G1249" s="629"/>
      <c r="H1249" s="440"/>
      <c r="I1249" s="440"/>
      <c r="J1249" s="440"/>
      <c r="K1249" s="440"/>
      <c r="L1249" s="440"/>
      <c r="M1249" s="440"/>
      <c r="N1249" s="440"/>
      <c r="O1249" s="440"/>
      <c r="P1249" s="440"/>
      <c r="Q1249" s="440"/>
      <c r="R1249" s="440"/>
      <c r="S1249" s="440"/>
      <c r="T1249" s="440"/>
      <c r="U1249" s="440"/>
      <c r="V1249" s="440"/>
      <c r="W1249" s="440"/>
      <c r="X1249" s="440"/>
      <c r="Y1249" s="440"/>
      <c r="Z1249" s="440"/>
      <c r="AA1249" s="440"/>
      <c r="AB1249" s="440"/>
      <c r="AC1249" s="440"/>
      <c r="AD1249" s="440"/>
      <c r="AE1249" s="440"/>
      <c r="AF1249" s="440"/>
      <c r="AG1249" s="440"/>
      <c r="AH1249" s="493"/>
      <c r="AI1249" s="493"/>
      <c r="AJ1249" s="578"/>
      <c r="AK1249" s="578"/>
      <c r="AL1249" s="578"/>
      <c r="AM1249" s="578"/>
      <c r="AN1249" s="578"/>
      <c r="AO1249" s="579"/>
      <c r="AP1249" s="579"/>
      <c r="AQ1249" s="580"/>
      <c r="AR1249" s="580"/>
      <c r="AS1249" s="580"/>
      <c r="AT1249" s="580"/>
      <c r="AU1249" s="580"/>
      <c r="AV1249" s="580"/>
      <c r="AW1249" s="580"/>
      <c r="AX1249" s="580"/>
      <c r="AY1249" s="580"/>
      <c r="AZ1249" s="580"/>
      <c r="BA1249" s="580"/>
      <c r="BB1249" s="622"/>
      <c r="BC1249" s="622"/>
      <c r="BD1249" s="622"/>
      <c r="BE1249" s="622"/>
    </row>
    <row r="1250" customFormat="false" ht="14.1" hidden="true" customHeight="true" outlineLevel="1" collapsed="false">
      <c r="A1250" s="629"/>
      <c r="B1250" s="629"/>
      <c r="C1250" s="629"/>
      <c r="D1250" s="629"/>
      <c r="E1250" s="629"/>
      <c r="F1250" s="629"/>
      <c r="G1250" s="629"/>
      <c r="H1250" s="440"/>
      <c r="I1250" s="440"/>
      <c r="J1250" s="440"/>
      <c r="K1250" s="440"/>
      <c r="L1250" s="440"/>
      <c r="M1250" s="440"/>
      <c r="N1250" s="440"/>
      <c r="O1250" s="440"/>
      <c r="P1250" s="440"/>
      <c r="Q1250" s="440"/>
      <c r="R1250" s="440"/>
      <c r="S1250" s="440"/>
      <c r="T1250" s="440"/>
      <c r="U1250" s="440"/>
      <c r="V1250" s="440"/>
      <c r="W1250" s="440"/>
      <c r="X1250" s="440"/>
      <c r="Y1250" s="440"/>
      <c r="Z1250" s="440"/>
      <c r="AA1250" s="440"/>
      <c r="AB1250" s="440"/>
      <c r="AC1250" s="440"/>
      <c r="AD1250" s="440"/>
      <c r="AE1250" s="440"/>
      <c r="AF1250" s="440"/>
      <c r="AG1250" s="440"/>
      <c r="AH1250" s="493"/>
      <c r="AI1250" s="493"/>
      <c r="AJ1250" s="578"/>
      <c r="AK1250" s="578"/>
      <c r="AL1250" s="578"/>
      <c r="AM1250" s="578"/>
      <c r="AN1250" s="578"/>
      <c r="AO1250" s="579"/>
      <c r="AP1250" s="579"/>
      <c r="AQ1250" s="580"/>
      <c r="AR1250" s="580"/>
      <c r="AS1250" s="580"/>
      <c r="AT1250" s="580"/>
      <c r="AU1250" s="580"/>
      <c r="AV1250" s="580"/>
      <c r="AW1250" s="580"/>
      <c r="AX1250" s="580"/>
      <c r="AY1250" s="580"/>
      <c r="AZ1250" s="580"/>
      <c r="BA1250" s="580"/>
      <c r="BB1250" s="622"/>
      <c r="BC1250" s="622"/>
      <c r="BD1250" s="622"/>
      <c r="BE1250" s="622"/>
    </row>
    <row r="1251" customFormat="false" ht="14.1" hidden="true" customHeight="true" outlineLevel="1" collapsed="false">
      <c r="A1251" s="393" t="s">
        <v>461</v>
      </c>
      <c r="B1251" s="570"/>
      <c r="C1251" s="571"/>
      <c r="D1251" s="348" t="n">
        <v>1</v>
      </c>
      <c r="E1251" s="138"/>
      <c r="F1251" s="138"/>
      <c r="G1251" s="468"/>
      <c r="H1251" s="468"/>
      <c r="I1251" s="468"/>
      <c r="J1251" s="468"/>
      <c r="K1251" s="468"/>
      <c r="L1251" s="468"/>
      <c r="M1251" s="468"/>
      <c r="N1251" s="468"/>
      <c r="O1251" s="468"/>
      <c r="P1251" s="468"/>
      <c r="Q1251" s="468"/>
      <c r="R1251" s="468"/>
      <c r="S1251" s="468"/>
      <c r="T1251" s="468"/>
      <c r="U1251" s="468"/>
      <c r="V1251" s="468"/>
      <c r="W1251" s="468"/>
      <c r="X1251" s="468"/>
      <c r="Y1251" s="468"/>
      <c r="Z1251" s="468"/>
      <c r="AA1251" s="468"/>
      <c r="AB1251" s="468"/>
      <c r="AC1251" s="468"/>
      <c r="AD1251" s="468"/>
      <c r="AE1251" s="468"/>
      <c r="AF1251" s="243"/>
      <c r="AG1251" s="243"/>
      <c r="AH1251" s="29"/>
      <c r="AI1251" s="568"/>
      <c r="AJ1251" s="578"/>
      <c r="AK1251" s="578"/>
      <c r="AL1251" s="578"/>
      <c r="AM1251" s="578"/>
      <c r="AN1251" s="578"/>
      <c r="AO1251" s="579"/>
      <c r="AP1251" s="579"/>
      <c r="AQ1251" s="580"/>
      <c r="AR1251" s="580"/>
      <c r="AS1251" s="580"/>
      <c r="AT1251" s="580"/>
      <c r="AU1251" s="580"/>
      <c r="AV1251" s="580"/>
      <c r="AW1251" s="580"/>
      <c r="AX1251" s="580"/>
      <c r="AY1251" s="580"/>
      <c r="AZ1251" s="580"/>
      <c r="BA1251" s="580"/>
      <c r="BB1251" s="581"/>
      <c r="BC1251" s="581"/>
      <c r="BD1251" s="581"/>
      <c r="BE1251" s="581"/>
    </row>
    <row r="1252" customFormat="false" ht="14.1" hidden="true" customHeight="true" outlineLevel="1" collapsed="false">
      <c r="A1252" s="393" t="s">
        <v>462</v>
      </c>
      <c r="B1252" s="570"/>
      <c r="C1252" s="571"/>
      <c r="D1252" s="348" t="n">
        <v>1</v>
      </c>
      <c r="E1252" s="138"/>
      <c r="F1252" s="138"/>
      <c r="G1252" s="468"/>
      <c r="H1252" s="468"/>
      <c r="I1252" s="468"/>
      <c r="J1252" s="468"/>
      <c r="K1252" s="468"/>
      <c r="L1252" s="468"/>
      <c r="M1252" s="468"/>
      <c r="N1252" s="468"/>
      <c r="O1252" s="468"/>
      <c r="P1252" s="468"/>
      <c r="Q1252" s="468"/>
      <c r="R1252" s="468"/>
      <c r="S1252" s="468"/>
      <c r="T1252" s="468"/>
      <c r="U1252" s="468"/>
      <c r="V1252" s="468"/>
      <c r="W1252" s="468"/>
      <c r="X1252" s="468"/>
      <c r="Y1252" s="468"/>
      <c r="Z1252" s="468"/>
      <c r="AA1252" s="468"/>
      <c r="AB1252" s="468"/>
      <c r="AC1252" s="468"/>
      <c r="AD1252" s="468"/>
      <c r="AE1252" s="468"/>
      <c r="AF1252" s="243"/>
      <c r="AG1252" s="243"/>
      <c r="AH1252" s="29"/>
      <c r="AI1252" s="29"/>
      <c r="AJ1252" s="578"/>
      <c r="AK1252" s="578"/>
      <c r="AL1252" s="578"/>
      <c r="AM1252" s="578"/>
      <c r="AN1252" s="578"/>
      <c r="AO1252" s="579"/>
      <c r="AP1252" s="579"/>
      <c r="AQ1252" s="580"/>
      <c r="AR1252" s="580"/>
      <c r="AS1252" s="580"/>
      <c r="AT1252" s="580"/>
      <c r="AU1252" s="580"/>
      <c r="AV1252" s="580"/>
      <c r="AW1252" s="580"/>
      <c r="AX1252" s="580"/>
      <c r="AY1252" s="580"/>
      <c r="AZ1252" s="580"/>
      <c r="BA1252" s="580"/>
      <c r="BB1252" s="581"/>
      <c r="BC1252" s="581"/>
      <c r="BD1252" s="581"/>
      <c r="BE1252" s="581"/>
    </row>
    <row r="1253" customFormat="false" ht="14.1" hidden="true" customHeight="true" outlineLevel="1" collapsed="false">
      <c r="A1253" s="138"/>
      <c r="B1253" s="481"/>
      <c r="C1253" s="467"/>
      <c r="D1253" s="467"/>
      <c r="E1253" s="467"/>
      <c r="F1253" s="467"/>
      <c r="G1253" s="468"/>
      <c r="H1253" s="468"/>
      <c r="I1253" s="468"/>
      <c r="J1253" s="468"/>
      <c r="K1253" s="468"/>
      <c r="L1253" s="468"/>
      <c r="M1253" s="468"/>
      <c r="N1253" s="468"/>
      <c r="O1253" s="468"/>
      <c r="P1253" s="468"/>
      <c r="Q1253" s="468"/>
      <c r="R1253" s="468"/>
      <c r="S1253" s="468"/>
      <c r="T1253" s="468"/>
      <c r="U1253" s="468"/>
      <c r="V1253" s="468"/>
      <c r="W1253" s="468"/>
      <c r="X1253" s="468"/>
      <c r="Y1253" s="384"/>
      <c r="Z1253" s="384"/>
      <c r="AA1253" s="384"/>
      <c r="AB1253" s="383"/>
      <c r="AC1253" s="384"/>
      <c r="AD1253" s="384"/>
      <c r="AE1253" s="384"/>
      <c r="AF1253" s="243"/>
      <c r="AG1253" s="243"/>
      <c r="AH1253" s="29"/>
      <c r="AI1253" s="29"/>
      <c r="AJ1253" s="578"/>
      <c r="AK1253" s="578"/>
      <c r="AL1253" s="578"/>
      <c r="AM1253" s="578"/>
      <c r="AN1253" s="578"/>
      <c r="AO1253" s="579"/>
      <c r="AP1253" s="579"/>
      <c r="AQ1253" s="580"/>
      <c r="AR1253" s="580"/>
      <c r="AS1253" s="580"/>
      <c r="AT1253" s="580"/>
      <c r="AU1253" s="580"/>
      <c r="AV1253" s="580"/>
      <c r="AW1253" s="580"/>
      <c r="AX1253" s="580"/>
      <c r="AY1253" s="580"/>
      <c r="AZ1253" s="580"/>
      <c r="BA1253" s="580"/>
      <c r="BB1253" s="581"/>
      <c r="BC1253" s="581"/>
      <c r="BD1253" s="581"/>
      <c r="BE1253" s="581"/>
    </row>
    <row r="1254" customFormat="false" ht="14.1" hidden="true" customHeight="true" outlineLevel="1" collapsed="false">
      <c r="A1254" s="138"/>
      <c r="B1254" s="276"/>
      <c r="C1254" s="272"/>
      <c r="D1254" s="467"/>
      <c r="E1254" s="467"/>
      <c r="F1254" s="467"/>
      <c r="G1254" s="468"/>
      <c r="H1254" s="468"/>
      <c r="I1254" s="468"/>
      <c r="J1254" s="468"/>
      <c r="K1254" s="468"/>
      <c r="L1254" s="468"/>
      <c r="M1254" s="468"/>
      <c r="N1254" s="468"/>
      <c r="O1254" s="468"/>
      <c r="P1254" s="468"/>
      <c r="Q1254" s="468"/>
      <c r="R1254" s="468"/>
      <c r="S1254" s="468"/>
      <c r="T1254" s="468"/>
      <c r="U1254" s="468"/>
      <c r="V1254" s="468"/>
      <c r="W1254" s="468"/>
      <c r="X1254" s="468"/>
      <c r="Y1254" s="384"/>
      <c r="Z1254" s="384"/>
      <c r="AA1254" s="384"/>
      <c r="AB1254" s="384"/>
      <c r="AC1254" s="384"/>
      <c r="AD1254" s="384"/>
      <c r="AE1254" s="384"/>
      <c r="AF1254" s="243"/>
      <c r="AG1254" s="243"/>
      <c r="AH1254" s="29"/>
      <c r="AI1254" s="29"/>
      <c r="AJ1254" s="578"/>
      <c r="AK1254" s="578"/>
      <c r="AL1254" s="578"/>
      <c r="AM1254" s="578"/>
      <c r="AN1254" s="578"/>
      <c r="AO1254" s="579"/>
      <c r="AP1254" s="579"/>
      <c r="AQ1254" s="580"/>
      <c r="AR1254" s="580"/>
      <c r="AS1254" s="580"/>
      <c r="AT1254" s="580"/>
      <c r="AU1254" s="580"/>
      <c r="AV1254" s="580"/>
      <c r="AW1254" s="580"/>
      <c r="AX1254" s="580"/>
      <c r="AY1254" s="580"/>
      <c r="AZ1254" s="580"/>
      <c r="BA1254" s="580"/>
      <c r="BB1254" s="581"/>
      <c r="BC1254" s="581"/>
      <c r="BD1254" s="581"/>
      <c r="BE1254" s="581"/>
    </row>
    <row r="1255" customFormat="false" ht="14.1" hidden="true" customHeight="true" outlineLevel="1" collapsed="false">
      <c r="A1255" s="138"/>
      <c r="B1255" s="277"/>
      <c r="C1255" s="275"/>
      <c r="D1255" s="275"/>
      <c r="E1255" s="138"/>
      <c r="F1255" s="138"/>
      <c r="G1255" s="241"/>
      <c r="H1255" s="241"/>
      <c r="I1255" s="173"/>
      <c r="J1255" s="173"/>
      <c r="K1255" s="173"/>
      <c r="L1255" s="173"/>
      <c r="M1255" s="220"/>
      <c r="N1255" s="220"/>
      <c r="O1255" s="243"/>
      <c r="P1255" s="577"/>
      <c r="Q1255" s="577"/>
      <c r="R1255" s="577"/>
      <c r="S1255" s="577"/>
      <c r="T1255" s="577"/>
      <c r="U1255" s="577"/>
      <c r="V1255" s="577"/>
      <c r="W1255" s="577"/>
      <c r="X1255" s="577"/>
      <c r="Y1255" s="577"/>
      <c r="Z1255" s="577"/>
      <c r="AA1255" s="577"/>
      <c r="AB1255" s="577"/>
      <c r="AC1255" s="577"/>
      <c r="AD1255" s="577"/>
      <c r="AE1255" s="577"/>
      <c r="AF1255" s="577"/>
      <c r="AG1255" s="577"/>
      <c r="AH1255" s="578"/>
      <c r="AI1255" s="578"/>
      <c r="AJ1255" s="578"/>
      <c r="AK1255" s="578"/>
      <c r="AL1255" s="578"/>
      <c r="AM1255" s="578"/>
      <c r="AN1255" s="578"/>
      <c r="AO1255" s="579"/>
      <c r="AP1255" s="579"/>
      <c r="AQ1255" s="580"/>
      <c r="AR1255" s="580"/>
      <c r="AS1255" s="580"/>
      <c r="AT1255" s="580"/>
      <c r="AU1255" s="580"/>
      <c r="AV1255" s="580"/>
      <c r="AW1255" s="580"/>
      <c r="AX1255" s="580"/>
      <c r="AY1255" s="580"/>
      <c r="AZ1255" s="580"/>
      <c r="BA1255" s="580"/>
      <c r="BB1255" s="622"/>
      <c r="BC1255" s="622"/>
      <c r="BD1255" s="622"/>
      <c r="BE1255" s="622"/>
    </row>
    <row r="1256" s="162" customFormat="true" ht="14.1" hidden="true" customHeight="true" outlineLevel="1" collapsed="false">
      <c r="A1256" s="227" t="s">
        <v>803</v>
      </c>
      <c r="B1256" s="273"/>
      <c r="C1256" s="273"/>
      <c r="D1256" s="275"/>
      <c r="E1256" s="169"/>
      <c r="F1256" s="169"/>
      <c r="G1256" s="241"/>
      <c r="H1256" s="241"/>
      <c r="I1256" s="173"/>
      <c r="J1256" s="173"/>
      <c r="K1256" s="173"/>
      <c r="L1256" s="173"/>
      <c r="M1256" s="220"/>
      <c r="N1256" s="220"/>
      <c r="O1256" s="243"/>
      <c r="P1256" s="577"/>
      <c r="Q1256" s="577"/>
      <c r="R1256" s="577"/>
      <c r="S1256" s="577"/>
      <c r="T1256" s="577"/>
      <c r="U1256" s="577"/>
      <c r="V1256" s="577"/>
      <c r="W1256" s="577"/>
      <c r="X1256" s="577"/>
      <c r="Y1256" s="577"/>
      <c r="Z1256" s="577"/>
      <c r="AA1256" s="577"/>
      <c r="AB1256" s="577"/>
      <c r="AC1256" s="577"/>
      <c r="AD1256" s="577"/>
      <c r="AE1256" s="577"/>
      <c r="AF1256" s="577"/>
      <c r="AG1256" s="577"/>
      <c r="AH1256" s="578"/>
      <c r="AI1256" s="578"/>
      <c r="AJ1256" s="578"/>
      <c r="AK1256" s="578"/>
      <c r="AL1256" s="578"/>
      <c r="AM1256" s="578"/>
      <c r="AN1256" s="578"/>
      <c r="AO1256" s="579"/>
      <c r="AP1256" s="579"/>
      <c r="AQ1256" s="580"/>
      <c r="AR1256" s="580"/>
      <c r="AS1256" s="580"/>
      <c r="AT1256" s="580"/>
      <c r="AU1256" s="580"/>
      <c r="AV1256" s="580"/>
      <c r="AW1256" s="580"/>
      <c r="AX1256" s="580"/>
      <c r="AY1256" s="580"/>
      <c r="AZ1256" s="580"/>
      <c r="BA1256" s="580"/>
      <c r="BB1256" s="581"/>
      <c r="BC1256" s="581"/>
      <c r="BD1256" s="581"/>
      <c r="BE1256" s="581"/>
      <c r="BF1256" s="161"/>
    </row>
    <row r="1257" s="162" customFormat="true" ht="14.1" hidden="true" customHeight="true" outlineLevel="1" collapsed="false">
      <c r="A1257" s="600" t="s">
        <v>804</v>
      </c>
      <c r="B1257" s="273"/>
      <c r="C1257" s="273"/>
      <c r="D1257" s="275"/>
      <c r="E1257" s="169"/>
      <c r="F1257" s="169"/>
      <c r="G1257" s="241"/>
      <c r="H1257" s="241"/>
      <c r="I1257" s="173"/>
      <c r="J1257" s="173"/>
      <c r="K1257" s="173"/>
      <c r="L1257" s="173"/>
      <c r="M1257" s="220"/>
      <c r="N1257" s="220"/>
      <c r="O1257" s="243"/>
      <c r="P1257" s="577"/>
      <c r="Q1257" s="577"/>
      <c r="R1257" s="577"/>
      <c r="S1257" s="577"/>
      <c r="T1257" s="577"/>
      <c r="U1257" s="577"/>
      <c r="V1257" s="577"/>
      <c r="W1257" s="577"/>
      <c r="X1257" s="577"/>
      <c r="Y1257" s="577"/>
      <c r="Z1257" s="577"/>
      <c r="AA1257" s="577"/>
      <c r="AB1257" s="577"/>
      <c r="AC1257" s="577"/>
      <c r="AD1257" s="577"/>
      <c r="AE1257" s="577"/>
      <c r="AF1257" s="577"/>
      <c r="AG1257" s="577"/>
      <c r="AH1257" s="578"/>
      <c r="AI1257" s="578"/>
      <c r="AJ1257" s="578"/>
      <c r="AK1257" s="578"/>
      <c r="AL1257" s="578"/>
      <c r="AM1257" s="578"/>
      <c r="AN1257" s="578"/>
      <c r="AO1257" s="579"/>
      <c r="AP1257" s="579"/>
      <c r="AQ1257" s="580"/>
      <c r="AR1257" s="580"/>
      <c r="AS1257" s="580"/>
      <c r="AT1257" s="580"/>
      <c r="AU1257" s="580"/>
      <c r="AV1257" s="580"/>
      <c r="AW1257" s="580"/>
      <c r="AX1257" s="580"/>
      <c r="AY1257" s="580"/>
      <c r="AZ1257" s="580"/>
      <c r="BA1257" s="580"/>
      <c r="BB1257" s="581"/>
      <c r="BC1257" s="581"/>
      <c r="BD1257" s="581"/>
      <c r="BE1257" s="581"/>
      <c r="BF1257" s="161"/>
    </row>
    <row r="1258" s="162" customFormat="true" ht="14.1" hidden="true" customHeight="true" outlineLevel="1" collapsed="false">
      <c r="A1258" s="633" t="s">
        <v>805</v>
      </c>
      <c r="B1258" s="633"/>
      <c r="C1258" s="633"/>
      <c r="D1258" s="163" t="n">
        <v>3.2</v>
      </c>
      <c r="E1258" s="169"/>
      <c r="F1258" s="169"/>
      <c r="G1258" s="241"/>
      <c r="H1258" s="241"/>
      <c r="I1258" s="173"/>
      <c r="J1258" s="173"/>
      <c r="K1258" s="173"/>
      <c r="L1258" s="173"/>
      <c r="M1258" s="220"/>
      <c r="N1258" s="220"/>
      <c r="O1258" s="243"/>
      <c r="P1258" s="577"/>
      <c r="Q1258" s="577"/>
      <c r="R1258" s="577"/>
      <c r="S1258" s="577"/>
      <c r="T1258" s="577"/>
      <c r="U1258" s="577"/>
      <c r="V1258" s="577"/>
      <c r="W1258" s="577"/>
      <c r="X1258" s="577"/>
      <c r="Y1258" s="577"/>
      <c r="Z1258" s="577"/>
      <c r="AA1258" s="577"/>
      <c r="AB1258" s="577"/>
      <c r="AC1258" s="577"/>
      <c r="AD1258" s="577"/>
      <c r="AE1258" s="577"/>
      <c r="AF1258" s="577"/>
      <c r="AG1258" s="577"/>
      <c r="AH1258" s="578"/>
      <c r="AI1258" s="578"/>
      <c r="AJ1258" s="578"/>
      <c r="AK1258" s="578"/>
      <c r="AL1258" s="578"/>
      <c r="AM1258" s="578"/>
      <c r="AN1258" s="578"/>
      <c r="AO1258" s="579"/>
      <c r="AP1258" s="579"/>
      <c r="AQ1258" s="580"/>
      <c r="AR1258" s="580"/>
      <c r="AS1258" s="580"/>
      <c r="AT1258" s="580"/>
      <c r="AU1258" s="580"/>
      <c r="AV1258" s="580"/>
      <c r="AW1258" s="580"/>
      <c r="AX1258" s="580"/>
      <c r="AY1258" s="580"/>
      <c r="AZ1258" s="580"/>
      <c r="BA1258" s="580"/>
      <c r="BB1258" s="581"/>
      <c r="BC1258" s="581"/>
      <c r="BD1258" s="581"/>
      <c r="BE1258" s="581"/>
      <c r="BF1258" s="161"/>
    </row>
    <row r="1259" s="162" customFormat="true" ht="14.1" hidden="true" customHeight="true" outlineLevel="1" collapsed="false">
      <c r="A1259" s="275" t="s">
        <v>575</v>
      </c>
      <c r="B1259" s="277"/>
      <c r="C1259" s="275"/>
      <c r="D1259" s="275"/>
      <c r="E1259" s="169"/>
      <c r="F1259" s="169"/>
      <c r="G1259" s="241"/>
      <c r="H1259" s="241"/>
      <c r="I1259" s="173"/>
      <c r="J1259" s="173"/>
      <c r="K1259" s="173"/>
      <c r="L1259" s="173"/>
      <c r="M1259" s="220"/>
      <c r="N1259" s="220"/>
      <c r="O1259" s="243"/>
      <c r="P1259" s="577"/>
      <c r="Q1259" s="577"/>
      <c r="R1259" s="577"/>
      <c r="S1259" s="577"/>
      <c r="T1259" s="577"/>
      <c r="U1259" s="577"/>
      <c r="V1259" s="577"/>
      <c r="W1259" s="577"/>
      <c r="X1259" s="577"/>
      <c r="Y1259" s="577"/>
      <c r="Z1259" s="577"/>
      <c r="AA1259" s="577"/>
      <c r="AB1259" s="577"/>
      <c r="AC1259" s="577"/>
      <c r="AD1259" s="577"/>
      <c r="AE1259" s="577"/>
      <c r="AF1259" s="577"/>
      <c r="AG1259" s="577"/>
      <c r="AH1259" s="578"/>
      <c r="AI1259" s="578"/>
      <c r="AJ1259" s="578"/>
      <c r="AK1259" s="578"/>
      <c r="AL1259" s="578"/>
      <c r="AM1259" s="578"/>
      <c r="AN1259" s="578"/>
      <c r="AO1259" s="579"/>
      <c r="AP1259" s="579"/>
      <c r="AQ1259" s="580"/>
      <c r="AR1259" s="580"/>
      <c r="AS1259" s="580"/>
      <c r="AT1259" s="580"/>
      <c r="AU1259" s="580"/>
      <c r="AV1259" s="580"/>
      <c r="AW1259" s="580"/>
      <c r="AX1259" s="580"/>
      <c r="AY1259" s="580"/>
      <c r="AZ1259" s="580"/>
      <c r="BA1259" s="580"/>
      <c r="BB1259" s="581"/>
      <c r="BC1259" s="581"/>
      <c r="BD1259" s="581"/>
      <c r="BE1259" s="581"/>
      <c r="BF1259" s="161"/>
    </row>
    <row r="1260" s="162" customFormat="true" ht="14.1" hidden="true" customHeight="true" outlineLevel="1" collapsed="false">
      <c r="A1260" s="405" t="s">
        <v>36</v>
      </c>
      <c r="B1260" s="277"/>
      <c r="C1260" s="275"/>
      <c r="D1260" s="275"/>
      <c r="E1260" s="169"/>
      <c r="F1260" s="169"/>
      <c r="G1260" s="241"/>
      <c r="H1260" s="241"/>
      <c r="I1260" s="173"/>
      <c r="J1260" s="173"/>
      <c r="K1260" s="173"/>
      <c r="L1260" s="173"/>
      <c r="M1260" s="220"/>
      <c r="N1260" s="220"/>
      <c r="O1260" s="243"/>
      <c r="P1260" s="577"/>
      <c r="Q1260" s="577"/>
      <c r="R1260" s="577"/>
      <c r="S1260" s="577"/>
      <c r="T1260" s="577"/>
      <c r="U1260" s="577"/>
      <c r="V1260" s="577"/>
      <c r="W1260" s="577"/>
      <c r="X1260" s="577"/>
      <c r="Y1260" s="577"/>
      <c r="Z1260" s="577"/>
      <c r="AA1260" s="577"/>
      <c r="AB1260" s="577"/>
      <c r="AC1260" s="577"/>
      <c r="AD1260" s="577"/>
      <c r="AE1260" s="577"/>
      <c r="AF1260" s="577"/>
      <c r="AG1260" s="577"/>
      <c r="AH1260" s="578"/>
      <c r="AI1260" s="578"/>
      <c r="AJ1260" s="578"/>
      <c r="AK1260" s="578"/>
      <c r="AL1260" s="578"/>
      <c r="AM1260" s="578"/>
      <c r="AN1260" s="578"/>
      <c r="AO1260" s="579"/>
      <c r="AP1260" s="579"/>
      <c r="AQ1260" s="580"/>
      <c r="AR1260" s="580"/>
      <c r="AS1260" s="580"/>
      <c r="AT1260" s="580"/>
      <c r="AU1260" s="580"/>
      <c r="AV1260" s="580"/>
      <c r="AW1260" s="580"/>
      <c r="AX1260" s="580"/>
      <c r="AY1260" s="580"/>
      <c r="AZ1260" s="580"/>
      <c r="BA1260" s="580"/>
      <c r="BB1260" s="581"/>
      <c r="BC1260" s="581"/>
      <c r="BD1260" s="581"/>
      <c r="BE1260" s="581"/>
      <c r="BF1260" s="161"/>
    </row>
    <row r="1261" s="56" customFormat="true" ht="14.1" hidden="true" customHeight="true" outlineLevel="1" collapsed="false">
      <c r="A1261" s="275" t="s">
        <v>806</v>
      </c>
      <c r="B1261" s="277"/>
      <c r="C1261" s="275"/>
      <c r="D1261" s="275"/>
      <c r="E1261" s="278"/>
      <c r="F1261" s="278"/>
      <c r="G1261" s="241"/>
      <c r="H1261" s="241"/>
      <c r="I1261" s="173"/>
      <c r="J1261" s="173"/>
      <c r="K1261" s="173"/>
      <c r="L1261" s="173"/>
      <c r="M1261" s="220"/>
      <c r="N1261" s="220"/>
      <c r="O1261" s="243"/>
      <c r="P1261" s="243"/>
      <c r="Q1261" s="243"/>
      <c r="R1261" s="243"/>
      <c r="S1261" s="243"/>
      <c r="T1261" s="243"/>
      <c r="U1261" s="243"/>
      <c r="V1261" s="243"/>
      <c r="W1261" s="243"/>
      <c r="X1261" s="243"/>
      <c r="Y1261" s="243"/>
      <c r="Z1261" s="243"/>
      <c r="AA1261" s="243"/>
      <c r="AB1261" s="243"/>
      <c r="AC1261" s="243"/>
      <c r="AD1261" s="243"/>
      <c r="AE1261" s="243"/>
      <c r="AF1261" s="243"/>
      <c r="AG1261" s="243"/>
      <c r="AH1261" s="29"/>
      <c r="AI1261" s="29"/>
      <c r="AJ1261" s="29"/>
      <c r="AK1261" s="29"/>
      <c r="AL1261" s="29"/>
      <c r="AM1261" s="29"/>
      <c r="AN1261" s="29"/>
      <c r="AO1261" s="567"/>
      <c r="AP1261" s="567"/>
      <c r="AQ1261" s="568"/>
      <c r="AR1261" s="568"/>
      <c r="AS1261" s="568"/>
      <c r="AT1261" s="568"/>
      <c r="AU1261" s="568"/>
      <c r="AV1261" s="568"/>
      <c r="AW1261" s="568"/>
      <c r="AX1261" s="568"/>
      <c r="AY1261" s="568"/>
      <c r="AZ1261" s="568"/>
      <c r="BA1261" s="568"/>
      <c r="BB1261" s="569"/>
      <c r="BC1261" s="569"/>
      <c r="BD1261" s="569"/>
      <c r="BE1261" s="569"/>
      <c r="BF1261" s="55"/>
    </row>
    <row r="1262" customFormat="false" ht="14.1" hidden="true" customHeight="true" outlineLevel="1" collapsed="false">
      <c r="A1262" s="149" t="s">
        <v>101</v>
      </c>
      <c r="B1262" s="277"/>
      <c r="C1262" s="275"/>
      <c r="D1262" s="275"/>
      <c r="E1262" s="138"/>
      <c r="F1262" s="138"/>
      <c r="G1262" s="625"/>
      <c r="H1262" s="243"/>
      <c r="I1262" s="230"/>
      <c r="J1262" s="230"/>
      <c r="K1262" s="230"/>
      <c r="L1262" s="230"/>
      <c r="M1262" s="230"/>
      <c r="N1262" s="230"/>
      <c r="O1262" s="230"/>
      <c r="P1262" s="230"/>
      <c r="Q1262" s="577"/>
      <c r="R1262" s="577"/>
      <c r="S1262" s="577"/>
      <c r="T1262" s="577"/>
      <c r="U1262" s="577"/>
      <c r="V1262" s="577"/>
      <c r="W1262" s="577"/>
      <c r="X1262" s="577"/>
      <c r="Y1262" s="577"/>
      <c r="Z1262" s="577"/>
      <c r="AA1262" s="577"/>
      <c r="AB1262" s="577"/>
      <c r="AC1262" s="577"/>
      <c r="AD1262" s="577"/>
      <c r="AE1262" s="577"/>
      <c r="AF1262" s="577"/>
      <c r="AG1262" s="577"/>
      <c r="AH1262" s="578"/>
      <c r="AI1262" s="578"/>
      <c r="AJ1262" s="578"/>
      <c r="AK1262" s="578"/>
      <c r="AL1262" s="578"/>
      <c r="AM1262" s="578"/>
      <c r="AN1262" s="578"/>
      <c r="AO1262" s="579"/>
      <c r="AP1262" s="579"/>
      <c r="AQ1262" s="580"/>
      <c r="AR1262" s="580"/>
      <c r="AS1262" s="580"/>
      <c r="AT1262" s="580"/>
      <c r="AU1262" s="580"/>
      <c r="AV1262" s="580"/>
      <c r="AW1262" s="580"/>
      <c r="AX1262" s="580"/>
      <c r="AY1262" s="580"/>
      <c r="AZ1262" s="580"/>
      <c r="BA1262" s="580"/>
      <c r="BB1262" s="622"/>
      <c r="BC1262" s="622"/>
      <c r="BD1262" s="622"/>
      <c r="BE1262" s="622"/>
    </row>
    <row r="1263" customFormat="false" ht="14.1" hidden="true" customHeight="true" outlineLevel="1" collapsed="false">
      <c r="A1263" s="152" t="s">
        <v>807</v>
      </c>
      <c r="B1263" s="277"/>
      <c r="C1263" s="301"/>
      <c r="D1263" s="275"/>
      <c r="E1263" s="138"/>
      <c r="F1263" s="138"/>
      <c r="G1263" s="625"/>
      <c r="H1263" s="243"/>
      <c r="I1263" s="230"/>
      <c r="J1263" s="230"/>
      <c r="K1263" s="230"/>
      <c r="L1263" s="230"/>
      <c r="M1263" s="230"/>
      <c r="N1263" s="230"/>
      <c r="O1263" s="230"/>
      <c r="P1263" s="230"/>
      <c r="Q1263" s="577"/>
      <c r="R1263" s="577"/>
      <c r="S1263" s="577"/>
      <c r="T1263" s="577"/>
      <c r="U1263" s="577"/>
      <c r="V1263" s="577"/>
      <c r="W1263" s="577"/>
      <c r="X1263" s="577"/>
      <c r="Y1263" s="577"/>
      <c r="Z1263" s="577"/>
      <c r="AA1263" s="577"/>
      <c r="AB1263" s="577"/>
      <c r="AC1263" s="577"/>
      <c r="AD1263" s="577"/>
      <c r="AE1263" s="577"/>
      <c r="AF1263" s="577"/>
      <c r="AG1263" s="577"/>
      <c r="AH1263" s="578"/>
      <c r="AI1263" s="578"/>
      <c r="AJ1263" s="578"/>
      <c r="AK1263" s="578"/>
      <c r="AL1263" s="578"/>
      <c r="AM1263" s="578"/>
      <c r="AN1263" s="578"/>
      <c r="AO1263" s="579"/>
      <c r="AP1263" s="579"/>
      <c r="AQ1263" s="580"/>
      <c r="AR1263" s="580"/>
      <c r="AS1263" s="580"/>
      <c r="AT1263" s="580"/>
      <c r="AU1263" s="580"/>
      <c r="AV1263" s="580"/>
      <c r="AW1263" s="580"/>
      <c r="AX1263" s="580"/>
      <c r="AY1263" s="580"/>
      <c r="AZ1263" s="580"/>
      <c r="BA1263" s="580"/>
      <c r="BB1263" s="622"/>
      <c r="BC1263" s="622"/>
      <c r="BD1263" s="622"/>
      <c r="BE1263" s="622"/>
    </row>
    <row r="1264" customFormat="false" ht="14.1" hidden="true" customHeight="true" outlineLevel="1" collapsed="false">
      <c r="A1264" s="231" t="s">
        <v>808</v>
      </c>
      <c r="B1264" s="277"/>
      <c r="C1264" s="301"/>
      <c r="D1264" s="275"/>
      <c r="E1264" s="138"/>
      <c r="F1264" s="138"/>
      <c r="G1264" s="625"/>
      <c r="H1264" s="243"/>
      <c r="I1264" s="230"/>
      <c r="J1264" s="230"/>
      <c r="K1264" s="230"/>
      <c r="L1264" s="230"/>
      <c r="M1264" s="230"/>
      <c r="N1264" s="230"/>
      <c r="O1264" s="230"/>
      <c r="P1264" s="230"/>
      <c r="Q1264" s="577"/>
      <c r="R1264" s="577"/>
      <c r="S1264" s="577"/>
      <c r="T1264" s="577"/>
      <c r="U1264" s="577"/>
      <c r="V1264" s="577"/>
      <c r="W1264" s="577"/>
      <c r="X1264" s="577"/>
      <c r="Y1264" s="577"/>
      <c r="Z1264" s="577"/>
      <c r="AA1264" s="577"/>
      <c r="AB1264" s="577"/>
      <c r="AC1264" s="577"/>
      <c r="AD1264" s="577"/>
      <c r="AE1264" s="577"/>
      <c r="AF1264" s="577"/>
      <c r="AG1264" s="577"/>
      <c r="AH1264" s="578"/>
      <c r="AI1264" s="578"/>
      <c r="AJ1264" s="578"/>
      <c r="AK1264" s="578"/>
      <c r="AL1264" s="578"/>
      <c r="AM1264" s="578"/>
      <c r="AN1264" s="578"/>
      <c r="AO1264" s="579"/>
      <c r="AP1264" s="579"/>
      <c r="AQ1264" s="580"/>
      <c r="AR1264" s="580"/>
      <c r="AS1264" s="580"/>
      <c r="AT1264" s="580"/>
      <c r="AU1264" s="580"/>
      <c r="AV1264" s="580"/>
      <c r="AW1264" s="580"/>
      <c r="AX1264" s="580"/>
      <c r="AY1264" s="580"/>
      <c r="AZ1264" s="580"/>
      <c r="BA1264" s="580"/>
      <c r="BB1264" s="622"/>
      <c r="BC1264" s="622"/>
      <c r="BD1264" s="622"/>
      <c r="BE1264" s="622"/>
    </row>
    <row r="1265" s="56" customFormat="true" ht="14.1" hidden="true" customHeight="true" outlineLevel="1" collapsed="false">
      <c r="A1265" s="275" t="s">
        <v>809</v>
      </c>
      <c r="B1265" s="277"/>
      <c r="C1265" s="275"/>
      <c r="D1265" s="275"/>
      <c r="E1265" s="278"/>
      <c r="F1265" s="278"/>
      <c r="G1265" s="625"/>
      <c r="H1265" s="243"/>
      <c r="I1265" s="230"/>
      <c r="J1265" s="230"/>
      <c r="K1265" s="230"/>
      <c r="L1265" s="230"/>
      <c r="M1265" s="230"/>
      <c r="N1265" s="230"/>
      <c r="O1265" s="230"/>
      <c r="P1265" s="230"/>
      <c r="Q1265" s="243"/>
      <c r="R1265" s="243"/>
      <c r="S1265" s="243"/>
      <c r="T1265" s="243"/>
      <c r="U1265" s="243"/>
      <c r="V1265" s="243"/>
      <c r="W1265" s="243"/>
      <c r="X1265" s="243"/>
      <c r="Y1265" s="243"/>
      <c r="Z1265" s="243"/>
      <c r="AA1265" s="243"/>
      <c r="AB1265" s="243"/>
      <c r="AC1265" s="243"/>
      <c r="AD1265" s="243"/>
      <c r="AE1265" s="243"/>
      <c r="AF1265" s="243"/>
      <c r="AG1265" s="243"/>
      <c r="AH1265" s="29"/>
      <c r="AI1265" s="29"/>
      <c r="AJ1265" s="29"/>
      <c r="AK1265" s="29"/>
      <c r="AL1265" s="29"/>
      <c r="AM1265" s="29"/>
      <c r="AN1265" s="29"/>
      <c r="AO1265" s="567"/>
      <c r="AP1265" s="567"/>
      <c r="AQ1265" s="568"/>
      <c r="AR1265" s="568"/>
      <c r="AS1265" s="568"/>
      <c r="AT1265" s="568"/>
      <c r="AU1265" s="568"/>
      <c r="AV1265" s="568"/>
      <c r="AW1265" s="568"/>
      <c r="AX1265" s="568"/>
      <c r="AY1265" s="568"/>
      <c r="AZ1265" s="568"/>
      <c r="BA1265" s="568"/>
      <c r="BB1265" s="569"/>
      <c r="BC1265" s="569"/>
      <c r="BD1265" s="569"/>
      <c r="BE1265" s="569"/>
      <c r="BF1265" s="55"/>
    </row>
    <row r="1266" customFormat="false" ht="14.1" hidden="true" customHeight="true" outlineLevel="1" collapsed="false">
      <c r="A1266" s="149" t="s">
        <v>810</v>
      </c>
      <c r="B1266" s="119" t="s">
        <v>15</v>
      </c>
      <c r="C1266" s="370" t="n">
        <v>0.2</v>
      </c>
      <c r="D1266" s="275"/>
      <c r="E1266" s="138"/>
      <c r="F1266" s="138"/>
      <c r="G1266" s="625"/>
      <c r="H1266" s="243"/>
      <c r="I1266" s="230"/>
      <c r="J1266" s="230"/>
      <c r="K1266" s="230"/>
      <c r="L1266" s="230"/>
      <c r="M1266" s="230"/>
      <c r="N1266" s="230"/>
      <c r="O1266" s="230"/>
      <c r="P1266" s="230"/>
      <c r="Q1266" s="577"/>
      <c r="R1266" s="577"/>
      <c r="S1266" s="577"/>
      <c r="T1266" s="577"/>
      <c r="U1266" s="577"/>
      <c r="V1266" s="577"/>
      <c r="W1266" s="577"/>
      <c r="X1266" s="577"/>
      <c r="Y1266" s="577"/>
      <c r="Z1266" s="577"/>
      <c r="AA1266" s="577"/>
      <c r="AB1266" s="577"/>
      <c r="AC1266" s="577"/>
      <c r="AD1266" s="577"/>
      <c r="AE1266" s="577"/>
      <c r="AF1266" s="577"/>
      <c r="AG1266" s="577"/>
      <c r="AH1266" s="578"/>
      <c r="AI1266" s="578"/>
      <c r="AJ1266" s="578"/>
      <c r="AK1266" s="578"/>
      <c r="AL1266" s="578"/>
      <c r="AM1266" s="578"/>
      <c r="AN1266" s="578"/>
      <c r="AO1266" s="579"/>
      <c r="AP1266" s="579"/>
      <c r="AQ1266" s="580"/>
      <c r="AR1266" s="580"/>
      <c r="AS1266" s="580"/>
      <c r="AT1266" s="580"/>
      <c r="AU1266" s="580"/>
      <c r="AV1266" s="580"/>
      <c r="AW1266" s="580"/>
      <c r="AX1266" s="580"/>
      <c r="AY1266" s="580"/>
      <c r="AZ1266" s="580"/>
      <c r="BA1266" s="580"/>
      <c r="BB1266" s="622"/>
      <c r="BC1266" s="622"/>
      <c r="BD1266" s="622"/>
      <c r="BE1266" s="622"/>
    </row>
    <row r="1267" customFormat="false" ht="14.1" hidden="true" customHeight="true" outlineLevel="1" collapsed="false">
      <c r="A1267" s="275" t="s">
        <v>811</v>
      </c>
      <c r="B1267" s="277"/>
      <c r="C1267" s="301"/>
      <c r="D1267" s="275"/>
      <c r="E1267" s="138"/>
      <c r="F1267" s="138"/>
      <c r="G1267" s="625"/>
      <c r="H1267" s="243"/>
      <c r="I1267" s="230"/>
      <c r="J1267" s="230"/>
      <c r="K1267" s="230"/>
      <c r="L1267" s="230"/>
      <c r="M1267" s="230"/>
      <c r="N1267" s="230"/>
      <c r="O1267" s="230"/>
      <c r="P1267" s="230"/>
      <c r="Q1267" s="577"/>
      <c r="R1267" s="577"/>
      <c r="S1267" s="577"/>
      <c r="T1267" s="577"/>
      <c r="U1267" s="577"/>
      <c r="V1267" s="577"/>
      <c r="W1267" s="577"/>
      <c r="X1267" s="577"/>
      <c r="Y1267" s="577"/>
      <c r="Z1267" s="577"/>
      <c r="AA1267" s="577"/>
      <c r="AB1267" s="577"/>
      <c r="AC1267" s="577"/>
      <c r="AD1267" s="577"/>
      <c r="AE1267" s="577"/>
      <c r="AF1267" s="577"/>
      <c r="AG1267" s="577"/>
      <c r="AH1267" s="578"/>
      <c r="AI1267" s="578"/>
      <c r="AJ1267" s="578"/>
      <c r="AK1267" s="578"/>
      <c r="AL1267" s="578"/>
      <c r="AM1267" s="578"/>
      <c r="AN1267" s="578"/>
      <c r="AO1267" s="579"/>
      <c r="AP1267" s="579"/>
      <c r="AQ1267" s="580"/>
      <c r="AR1267" s="580"/>
      <c r="AS1267" s="580"/>
      <c r="AT1267" s="580"/>
      <c r="AU1267" s="580"/>
      <c r="AV1267" s="580"/>
      <c r="AW1267" s="580"/>
      <c r="AX1267" s="580"/>
      <c r="AY1267" s="580"/>
      <c r="AZ1267" s="580"/>
      <c r="BA1267" s="580"/>
      <c r="BB1267" s="622"/>
      <c r="BC1267" s="622"/>
      <c r="BD1267" s="622"/>
      <c r="BE1267" s="622"/>
    </row>
    <row r="1268" customFormat="false" ht="14.1" hidden="true" customHeight="true" outlineLevel="1" collapsed="false">
      <c r="A1268" s="149" t="s">
        <v>812</v>
      </c>
      <c r="B1268" s="277"/>
      <c r="C1268" s="301"/>
      <c r="D1268" s="275"/>
      <c r="E1268" s="138"/>
      <c r="F1268" s="138"/>
      <c r="G1268" s="625"/>
      <c r="H1268" s="243"/>
      <c r="I1268" s="230"/>
      <c r="J1268" s="230"/>
      <c r="K1268" s="230"/>
      <c r="L1268" s="230"/>
      <c r="M1268" s="230"/>
      <c r="N1268" s="230"/>
      <c r="O1268" s="230"/>
      <c r="P1268" s="230"/>
      <c r="Q1268" s="577"/>
      <c r="R1268" s="577"/>
      <c r="S1268" s="577"/>
      <c r="T1268" s="577"/>
      <c r="U1268" s="577"/>
      <c r="V1268" s="577"/>
      <c r="W1268" s="577"/>
      <c r="X1268" s="577"/>
      <c r="Y1268" s="577"/>
      <c r="Z1268" s="577"/>
      <c r="AA1268" s="577"/>
      <c r="AB1268" s="577"/>
      <c r="AC1268" s="577"/>
      <c r="AD1268" s="577"/>
      <c r="AE1268" s="577"/>
      <c r="AF1268" s="577"/>
      <c r="AG1268" s="577"/>
      <c r="AH1268" s="578"/>
      <c r="AI1268" s="578"/>
      <c r="AJ1268" s="578"/>
      <c r="AK1268" s="578"/>
      <c r="AL1268" s="578"/>
      <c r="AM1268" s="578"/>
      <c r="AN1268" s="578"/>
      <c r="AO1268" s="579"/>
      <c r="AP1268" s="579"/>
      <c r="AQ1268" s="580"/>
      <c r="AR1268" s="580"/>
      <c r="AS1268" s="580"/>
      <c r="AT1268" s="580"/>
      <c r="AU1268" s="580"/>
      <c r="AV1268" s="580"/>
      <c r="AW1268" s="580"/>
      <c r="AX1268" s="580"/>
      <c r="AY1268" s="580"/>
      <c r="AZ1268" s="580"/>
      <c r="BA1268" s="580"/>
      <c r="BB1268" s="622"/>
      <c r="BC1268" s="622"/>
      <c r="BD1268" s="622"/>
      <c r="BE1268" s="622"/>
    </row>
    <row r="1269" s="56" customFormat="true" ht="14.1" hidden="true" customHeight="true" outlineLevel="1" collapsed="false">
      <c r="A1269" s="275" t="s">
        <v>813</v>
      </c>
      <c r="B1269" s="277"/>
      <c r="C1269" s="301"/>
      <c r="D1269" s="275"/>
      <c r="E1269" s="278"/>
      <c r="F1269" s="278"/>
      <c r="G1269" s="625"/>
      <c r="H1269" s="243"/>
      <c r="I1269" s="230"/>
      <c r="J1269" s="230"/>
      <c r="K1269" s="230"/>
      <c r="L1269" s="230"/>
      <c r="M1269" s="230"/>
      <c r="N1269" s="230"/>
      <c r="O1269" s="230"/>
      <c r="P1269" s="230"/>
      <c r="Q1269" s="243"/>
      <c r="R1269" s="243"/>
      <c r="S1269" s="243"/>
      <c r="T1269" s="243"/>
      <c r="U1269" s="243"/>
      <c r="V1269" s="243"/>
      <c r="W1269" s="243"/>
      <c r="X1269" s="243"/>
      <c r="Y1269" s="243"/>
      <c r="Z1269" s="243"/>
      <c r="AA1269" s="243"/>
      <c r="AB1269" s="243"/>
      <c r="AC1269" s="243"/>
      <c r="AD1269" s="243"/>
      <c r="AE1269" s="243"/>
      <c r="AF1269" s="243"/>
      <c r="AG1269" s="243"/>
      <c r="AH1269" s="29"/>
      <c r="AI1269" s="29"/>
      <c r="AJ1269" s="29"/>
      <c r="AK1269" s="29"/>
      <c r="AL1269" s="29"/>
      <c r="AM1269" s="29"/>
      <c r="AN1269" s="29"/>
      <c r="AO1269" s="567"/>
      <c r="AP1269" s="567"/>
      <c r="AQ1269" s="568"/>
      <c r="AR1269" s="568"/>
      <c r="AS1269" s="568"/>
      <c r="AT1269" s="568"/>
      <c r="AU1269" s="568"/>
      <c r="AV1269" s="568"/>
      <c r="AW1269" s="568"/>
      <c r="AX1269" s="568"/>
      <c r="AY1269" s="568"/>
      <c r="AZ1269" s="568"/>
      <c r="BA1269" s="568"/>
      <c r="BB1269" s="569"/>
      <c r="BC1269" s="569"/>
      <c r="BD1269" s="569"/>
      <c r="BE1269" s="569"/>
      <c r="BF1269" s="55"/>
    </row>
    <row r="1270" s="56" customFormat="true" ht="14.1" hidden="true" customHeight="true" outlineLevel="1" collapsed="false">
      <c r="A1270" s="149" t="s">
        <v>814</v>
      </c>
      <c r="B1270" s="119" t="s">
        <v>815</v>
      </c>
      <c r="C1270" s="370" t="n">
        <v>1</v>
      </c>
      <c r="D1270" s="275"/>
      <c r="E1270" s="278"/>
      <c r="F1270" s="278"/>
      <c r="G1270" s="625"/>
      <c r="H1270" s="243"/>
      <c r="I1270" s="230"/>
      <c r="J1270" s="230"/>
      <c r="K1270" s="230"/>
      <c r="L1270" s="230"/>
      <c r="M1270" s="230"/>
      <c r="N1270" s="230"/>
      <c r="O1270" s="230"/>
      <c r="P1270" s="230"/>
      <c r="Q1270" s="243"/>
      <c r="R1270" s="243"/>
      <c r="S1270" s="243"/>
      <c r="T1270" s="243"/>
      <c r="U1270" s="243"/>
      <c r="V1270" s="243"/>
      <c r="W1270" s="243"/>
      <c r="X1270" s="243"/>
      <c r="Y1270" s="243"/>
      <c r="Z1270" s="243"/>
      <c r="AA1270" s="243"/>
      <c r="AB1270" s="243"/>
      <c r="AC1270" s="243"/>
      <c r="AD1270" s="243"/>
      <c r="AE1270" s="243"/>
      <c r="AF1270" s="243"/>
      <c r="AG1270" s="243"/>
      <c r="AH1270" s="29"/>
      <c r="AI1270" s="29"/>
      <c r="AJ1270" s="29"/>
      <c r="AK1270" s="29"/>
      <c r="AL1270" s="29"/>
      <c r="AM1270" s="29"/>
      <c r="AN1270" s="29"/>
      <c r="AO1270" s="567"/>
      <c r="AP1270" s="567"/>
      <c r="AQ1270" s="568"/>
      <c r="AR1270" s="568"/>
      <c r="AS1270" s="568"/>
      <c r="AT1270" s="568"/>
      <c r="AU1270" s="568"/>
      <c r="AV1270" s="568"/>
      <c r="AW1270" s="568"/>
      <c r="AX1270" s="568"/>
      <c r="AY1270" s="568"/>
      <c r="AZ1270" s="568"/>
      <c r="BA1270" s="568"/>
      <c r="BB1270" s="569"/>
      <c r="BC1270" s="569"/>
      <c r="BD1270" s="569"/>
      <c r="BE1270" s="569"/>
      <c r="BF1270" s="55"/>
    </row>
    <row r="1271" customFormat="false" ht="14.1" hidden="true" customHeight="true" outlineLevel="1" collapsed="false">
      <c r="A1271" s="459" t="s">
        <v>816</v>
      </c>
      <c r="B1271" s="564"/>
      <c r="C1271" s="138"/>
      <c r="D1271" s="275"/>
      <c r="E1271" s="138"/>
      <c r="F1271" s="138"/>
      <c r="G1271" s="625"/>
      <c r="H1271" s="243"/>
      <c r="I1271" s="230"/>
      <c r="J1271" s="230"/>
      <c r="K1271" s="230"/>
      <c r="L1271" s="230"/>
      <c r="M1271" s="230"/>
      <c r="N1271" s="230"/>
      <c r="O1271" s="230"/>
      <c r="P1271" s="230"/>
      <c r="Q1271" s="577"/>
      <c r="R1271" s="577"/>
      <c r="S1271" s="577"/>
      <c r="T1271" s="577"/>
      <c r="U1271" s="577"/>
      <c r="V1271" s="577"/>
      <c r="W1271" s="577"/>
      <c r="X1271" s="577"/>
      <c r="Y1271" s="577"/>
      <c r="Z1271" s="577"/>
      <c r="AA1271" s="577"/>
      <c r="AB1271" s="577"/>
      <c r="AC1271" s="577"/>
      <c r="AD1271" s="577"/>
      <c r="AE1271" s="577"/>
      <c r="AF1271" s="577"/>
      <c r="AG1271" s="577"/>
      <c r="AH1271" s="578"/>
      <c r="AI1271" s="578"/>
      <c r="AJ1271" s="578"/>
      <c r="AK1271" s="578"/>
      <c r="AL1271" s="578"/>
      <c r="AM1271" s="578"/>
      <c r="AN1271" s="578"/>
      <c r="AO1271" s="579"/>
      <c r="AP1271" s="579"/>
      <c r="AQ1271" s="580"/>
      <c r="AR1271" s="580"/>
      <c r="AS1271" s="580"/>
      <c r="AT1271" s="580"/>
      <c r="AU1271" s="580"/>
      <c r="AV1271" s="580"/>
      <c r="AW1271" s="580"/>
      <c r="AX1271" s="580"/>
      <c r="AY1271" s="580"/>
      <c r="AZ1271" s="580"/>
      <c r="BA1271" s="580"/>
      <c r="BB1271" s="622"/>
      <c r="BC1271" s="622"/>
      <c r="BD1271" s="622"/>
      <c r="BE1271" s="622"/>
    </row>
    <row r="1272" customFormat="false" ht="14.1" hidden="true" customHeight="true" outlineLevel="1" collapsed="false">
      <c r="A1272" s="149" t="s">
        <v>702</v>
      </c>
      <c r="B1272" s="119" t="s">
        <v>815</v>
      </c>
      <c r="C1272" s="370" t="n">
        <v>3</v>
      </c>
      <c r="D1272" s="275"/>
      <c r="E1272" s="138"/>
      <c r="F1272" s="138"/>
      <c r="G1272" s="625"/>
      <c r="H1272" s="243"/>
      <c r="I1272" s="230"/>
      <c r="J1272" s="230"/>
      <c r="K1272" s="230"/>
      <c r="L1272" s="230"/>
      <c r="M1272" s="230"/>
      <c r="N1272" s="230"/>
      <c r="O1272" s="230"/>
      <c r="P1272" s="230"/>
      <c r="Q1272" s="577"/>
      <c r="R1272" s="577"/>
      <c r="S1272" s="577"/>
      <c r="T1272" s="577"/>
      <c r="U1272" s="577"/>
      <c r="V1272" s="577"/>
      <c r="W1272" s="577"/>
      <c r="X1272" s="577"/>
      <c r="Y1272" s="577"/>
      <c r="Z1272" s="577"/>
      <c r="AA1272" s="577"/>
      <c r="AB1272" s="577"/>
      <c r="AC1272" s="577"/>
      <c r="AD1272" s="577"/>
      <c r="AE1272" s="577"/>
      <c r="AF1272" s="577"/>
      <c r="AG1272" s="577"/>
      <c r="AH1272" s="578"/>
      <c r="AI1272" s="578"/>
      <c r="AJ1272" s="578"/>
      <c r="AK1272" s="578"/>
      <c r="AL1272" s="578"/>
      <c r="AM1272" s="578"/>
      <c r="AN1272" s="578"/>
      <c r="AO1272" s="579"/>
      <c r="AP1272" s="579"/>
      <c r="AQ1272" s="580"/>
      <c r="AR1272" s="580"/>
      <c r="AS1272" s="580"/>
      <c r="AT1272" s="580"/>
      <c r="AU1272" s="580"/>
      <c r="AV1272" s="580"/>
      <c r="AW1272" s="580"/>
      <c r="AX1272" s="580"/>
      <c r="AY1272" s="580"/>
      <c r="AZ1272" s="580"/>
      <c r="BA1272" s="580"/>
      <c r="BB1272" s="622"/>
      <c r="BC1272" s="622"/>
      <c r="BD1272" s="622"/>
      <c r="BE1272" s="622"/>
    </row>
    <row r="1273" customFormat="false" ht="14.1" hidden="true" customHeight="true" outlineLevel="1" collapsed="false">
      <c r="A1273" s="152" t="s">
        <v>817</v>
      </c>
      <c r="B1273" s="277"/>
      <c r="C1273" s="301"/>
      <c r="D1273" s="275"/>
      <c r="E1273" s="138"/>
      <c r="F1273" s="138"/>
      <c r="G1273" s="625"/>
      <c r="H1273" s="243"/>
      <c r="I1273" s="230"/>
      <c r="J1273" s="230"/>
      <c r="K1273" s="230"/>
      <c r="L1273" s="230"/>
      <c r="M1273" s="230"/>
      <c r="N1273" s="230"/>
      <c r="O1273" s="230"/>
      <c r="P1273" s="230"/>
      <c r="Q1273" s="577"/>
      <c r="R1273" s="577"/>
      <c r="S1273" s="577"/>
      <c r="T1273" s="577"/>
      <c r="U1273" s="577"/>
      <c r="V1273" s="577"/>
      <c r="W1273" s="577"/>
      <c r="X1273" s="577"/>
      <c r="Y1273" s="577"/>
      <c r="Z1273" s="577"/>
      <c r="AA1273" s="577"/>
      <c r="AB1273" s="577"/>
      <c r="AC1273" s="577"/>
      <c r="AD1273" s="577"/>
      <c r="AE1273" s="577"/>
      <c r="AF1273" s="577"/>
      <c r="AG1273" s="577"/>
      <c r="AH1273" s="578"/>
      <c r="AI1273" s="578"/>
      <c r="AJ1273" s="578"/>
      <c r="AK1273" s="578"/>
      <c r="AL1273" s="578"/>
      <c r="AM1273" s="578"/>
      <c r="AN1273" s="578"/>
      <c r="AO1273" s="579"/>
      <c r="AP1273" s="579"/>
      <c r="AQ1273" s="580"/>
      <c r="AR1273" s="580"/>
      <c r="AS1273" s="580"/>
      <c r="AT1273" s="580"/>
      <c r="AU1273" s="580"/>
      <c r="AV1273" s="580"/>
      <c r="AW1273" s="580"/>
      <c r="AX1273" s="580"/>
      <c r="AY1273" s="580"/>
      <c r="AZ1273" s="580"/>
      <c r="BA1273" s="580"/>
      <c r="BB1273" s="622"/>
      <c r="BC1273" s="622"/>
      <c r="BD1273" s="622"/>
      <c r="BE1273" s="622"/>
    </row>
    <row r="1274" customFormat="false" ht="14.1" hidden="true" customHeight="true" outlineLevel="1" collapsed="false">
      <c r="A1274" s="149" t="s">
        <v>818</v>
      </c>
      <c r="B1274" s="119" t="s">
        <v>815</v>
      </c>
      <c r="C1274" s="370" t="n">
        <v>3</v>
      </c>
      <c r="D1274" s="275"/>
      <c r="E1274" s="138"/>
      <c r="F1274" s="138"/>
      <c r="G1274" s="625"/>
      <c r="H1274" s="243"/>
      <c r="I1274" s="230"/>
      <c r="J1274" s="230"/>
      <c r="K1274" s="230"/>
      <c r="L1274" s="230"/>
      <c r="M1274" s="230"/>
      <c r="N1274" s="230"/>
      <c r="O1274" s="230"/>
      <c r="P1274" s="230"/>
      <c r="Q1274" s="577"/>
      <c r="R1274" s="577"/>
      <c r="S1274" s="577"/>
      <c r="T1274" s="577"/>
      <c r="U1274" s="577"/>
      <c r="V1274" s="577"/>
      <c r="W1274" s="577"/>
      <c r="X1274" s="577"/>
      <c r="Y1274" s="577"/>
      <c r="Z1274" s="577"/>
      <c r="AA1274" s="577"/>
      <c r="AB1274" s="577"/>
      <c r="AC1274" s="577"/>
      <c r="AD1274" s="577"/>
      <c r="AE1274" s="577"/>
      <c r="AF1274" s="577"/>
      <c r="AG1274" s="577"/>
      <c r="AH1274" s="578"/>
      <c r="AI1274" s="578"/>
      <c r="AJ1274" s="578"/>
      <c r="AK1274" s="578"/>
      <c r="AL1274" s="578"/>
      <c r="AM1274" s="578"/>
      <c r="AN1274" s="578"/>
      <c r="AO1274" s="579"/>
      <c r="AP1274" s="579"/>
      <c r="AQ1274" s="580"/>
      <c r="AR1274" s="580"/>
      <c r="AS1274" s="580"/>
      <c r="AT1274" s="580"/>
      <c r="AU1274" s="580"/>
      <c r="AV1274" s="580"/>
      <c r="AW1274" s="580"/>
      <c r="AX1274" s="580"/>
      <c r="AY1274" s="580"/>
      <c r="AZ1274" s="580"/>
      <c r="BA1274" s="580"/>
      <c r="BB1274" s="622"/>
      <c r="BC1274" s="622"/>
      <c r="BD1274" s="622"/>
      <c r="BE1274" s="622"/>
    </row>
    <row r="1275" customFormat="false" ht="14.1" hidden="true" customHeight="true" outlineLevel="1" collapsed="false">
      <c r="A1275" s="163" t="s">
        <v>819</v>
      </c>
      <c r="B1275" s="119" t="s">
        <v>820</v>
      </c>
      <c r="C1275" s="428" t="s">
        <v>56</v>
      </c>
      <c r="D1275" s="275"/>
      <c r="E1275" s="138"/>
      <c r="F1275" s="138"/>
      <c r="G1275" s="625"/>
      <c r="H1275" s="243"/>
      <c r="I1275" s="230"/>
      <c r="J1275" s="230"/>
      <c r="K1275" s="230"/>
      <c r="L1275" s="230"/>
      <c r="M1275" s="230"/>
      <c r="N1275" s="230"/>
      <c r="O1275" s="230"/>
      <c r="P1275" s="230"/>
      <c r="Q1275" s="577"/>
      <c r="R1275" s="577"/>
      <c r="S1275" s="577"/>
      <c r="T1275" s="577"/>
      <c r="U1275" s="577"/>
      <c r="V1275" s="577"/>
      <c r="W1275" s="577"/>
      <c r="X1275" s="577"/>
      <c r="Y1275" s="577"/>
      <c r="Z1275" s="577"/>
      <c r="AA1275" s="577"/>
      <c r="AB1275" s="577"/>
      <c r="AC1275" s="577"/>
      <c r="AD1275" s="577"/>
      <c r="AE1275" s="577"/>
      <c r="AF1275" s="577"/>
      <c r="AG1275" s="577"/>
      <c r="AH1275" s="578"/>
      <c r="AI1275" s="578"/>
      <c r="AJ1275" s="578"/>
      <c r="AK1275" s="578"/>
      <c r="AL1275" s="578"/>
      <c r="AM1275" s="578"/>
      <c r="AN1275" s="578"/>
      <c r="AO1275" s="579"/>
      <c r="AP1275" s="579"/>
      <c r="AQ1275" s="580"/>
      <c r="AR1275" s="580"/>
      <c r="AS1275" s="580"/>
      <c r="AT1275" s="580"/>
      <c r="AU1275" s="580"/>
      <c r="AV1275" s="580"/>
      <c r="AW1275" s="580"/>
      <c r="AX1275" s="580"/>
      <c r="AY1275" s="580"/>
      <c r="AZ1275" s="580"/>
      <c r="BA1275" s="580"/>
      <c r="BB1275" s="622"/>
      <c r="BC1275" s="622"/>
      <c r="BD1275" s="622"/>
      <c r="BE1275" s="622"/>
    </row>
    <row r="1276" s="56" customFormat="true" ht="14.1" hidden="true" customHeight="true" outlineLevel="1" collapsed="false">
      <c r="A1276" s="275"/>
      <c r="B1276" s="277"/>
      <c r="C1276" s="458"/>
      <c r="D1276" s="275"/>
      <c r="E1276" s="278"/>
      <c r="F1276" s="278"/>
      <c r="G1276" s="625"/>
      <c r="H1276" s="243"/>
      <c r="I1276" s="230"/>
      <c r="J1276" s="230"/>
      <c r="K1276" s="230"/>
      <c r="L1276" s="230"/>
      <c r="M1276" s="230"/>
      <c r="N1276" s="230"/>
      <c r="O1276" s="230"/>
      <c r="P1276" s="230"/>
      <c r="Q1276" s="243"/>
      <c r="R1276" s="243"/>
      <c r="S1276" s="243"/>
      <c r="T1276" s="243"/>
      <c r="U1276" s="243"/>
      <c r="V1276" s="243"/>
      <c r="W1276" s="243"/>
      <c r="X1276" s="243"/>
      <c r="Y1276" s="243"/>
      <c r="Z1276" s="243"/>
      <c r="AA1276" s="243"/>
      <c r="AB1276" s="243"/>
      <c r="AC1276" s="243"/>
      <c r="AD1276" s="243"/>
      <c r="AE1276" s="243"/>
      <c r="AF1276" s="243"/>
      <c r="AG1276" s="243"/>
      <c r="AH1276" s="29"/>
      <c r="AI1276" s="29"/>
      <c r="AJ1276" s="29"/>
      <c r="AK1276" s="29"/>
      <c r="AL1276" s="29"/>
      <c r="AM1276" s="29"/>
      <c r="AN1276" s="29"/>
      <c r="AO1276" s="567"/>
      <c r="AP1276" s="567"/>
      <c r="AQ1276" s="568"/>
      <c r="AR1276" s="568"/>
      <c r="AS1276" s="568"/>
      <c r="AT1276" s="568"/>
      <c r="AU1276" s="568"/>
      <c r="AV1276" s="568"/>
      <c r="AW1276" s="568"/>
      <c r="AX1276" s="568"/>
      <c r="AY1276" s="568"/>
      <c r="AZ1276" s="568"/>
      <c r="BA1276" s="568"/>
      <c r="BB1276" s="569"/>
      <c r="BC1276" s="569"/>
      <c r="BD1276" s="569"/>
      <c r="BE1276" s="569"/>
      <c r="BF1276" s="55"/>
    </row>
    <row r="1277" customFormat="false" ht="14.1" hidden="true" customHeight="true" outlineLevel="1" collapsed="false">
      <c r="A1277" s="418" t="s">
        <v>821</v>
      </c>
      <c r="B1277" s="119" t="s">
        <v>820</v>
      </c>
      <c r="C1277" s="428" t="s">
        <v>56</v>
      </c>
      <c r="D1277" s="275"/>
      <c r="E1277" s="138"/>
      <c r="F1277" s="138"/>
      <c r="G1277" s="625"/>
      <c r="H1277" s="243"/>
      <c r="I1277" s="220"/>
      <c r="J1277" s="220"/>
      <c r="K1277" s="220"/>
      <c r="L1277" s="220"/>
      <c r="M1277" s="220"/>
      <c r="N1277" s="220"/>
      <c r="O1277" s="243"/>
      <c r="P1277" s="577"/>
      <c r="Q1277" s="577"/>
      <c r="R1277" s="577"/>
      <c r="S1277" s="577"/>
      <c r="T1277" s="577"/>
      <c r="U1277" s="577"/>
      <c r="V1277" s="577"/>
      <c r="W1277" s="577"/>
      <c r="X1277" s="577"/>
      <c r="Y1277" s="577"/>
      <c r="Z1277" s="577"/>
      <c r="AA1277" s="577"/>
      <c r="AB1277" s="577"/>
      <c r="AC1277" s="577"/>
      <c r="AD1277" s="577"/>
      <c r="AE1277" s="577"/>
      <c r="AF1277" s="577"/>
      <c r="AG1277" s="577"/>
      <c r="AH1277" s="578"/>
      <c r="AI1277" s="578"/>
      <c r="AJ1277" s="578"/>
      <c r="AK1277" s="578"/>
      <c r="AL1277" s="578"/>
      <c r="AM1277" s="578"/>
      <c r="AN1277" s="578"/>
      <c r="AO1277" s="579"/>
      <c r="AP1277" s="579"/>
      <c r="AQ1277" s="580"/>
      <c r="AR1277" s="580"/>
      <c r="AS1277" s="580"/>
      <c r="AT1277" s="580"/>
      <c r="AU1277" s="580"/>
      <c r="AV1277" s="580"/>
      <c r="AW1277" s="580"/>
      <c r="AX1277" s="580"/>
      <c r="AY1277" s="580"/>
      <c r="AZ1277" s="580"/>
      <c r="BA1277" s="580"/>
      <c r="BB1277" s="622"/>
      <c r="BC1277" s="622"/>
      <c r="BD1277" s="622"/>
      <c r="BE1277" s="622"/>
    </row>
    <row r="1278" s="56" customFormat="true" ht="14.1" hidden="true" customHeight="true" outlineLevel="1" collapsed="false">
      <c r="A1278" s="275" t="s">
        <v>822</v>
      </c>
      <c r="B1278" s="277"/>
      <c r="C1278" s="301"/>
      <c r="D1278" s="275"/>
      <c r="E1278" s="278"/>
      <c r="F1278" s="278"/>
      <c r="G1278" s="625"/>
      <c r="H1278" s="243"/>
      <c r="I1278" s="220"/>
      <c r="J1278" s="220"/>
      <c r="K1278" s="220"/>
      <c r="L1278" s="220"/>
      <c r="M1278" s="220"/>
      <c r="N1278" s="220"/>
      <c r="O1278" s="243"/>
      <c r="P1278" s="243"/>
      <c r="Q1278" s="243"/>
      <c r="R1278" s="243"/>
      <c r="S1278" s="243"/>
      <c r="T1278" s="243"/>
      <c r="U1278" s="243"/>
      <c r="V1278" s="243"/>
      <c r="W1278" s="243"/>
      <c r="X1278" s="243"/>
      <c r="Y1278" s="243"/>
      <c r="Z1278" s="243"/>
      <c r="AA1278" s="243"/>
      <c r="AB1278" s="243"/>
      <c r="AC1278" s="243"/>
      <c r="AD1278" s="243"/>
      <c r="AE1278" s="243"/>
      <c r="AF1278" s="243"/>
      <c r="AG1278" s="243"/>
      <c r="AH1278" s="29"/>
      <c r="AI1278" s="29"/>
      <c r="AJ1278" s="29"/>
      <c r="AK1278" s="29"/>
      <c r="AL1278" s="29"/>
      <c r="AM1278" s="29"/>
      <c r="AN1278" s="29"/>
      <c r="AO1278" s="567"/>
      <c r="AP1278" s="567"/>
      <c r="AQ1278" s="568"/>
      <c r="AR1278" s="568"/>
      <c r="AS1278" s="568"/>
      <c r="AT1278" s="568"/>
      <c r="AU1278" s="568"/>
      <c r="AV1278" s="568"/>
      <c r="AW1278" s="568"/>
      <c r="AX1278" s="568"/>
      <c r="AY1278" s="568"/>
      <c r="AZ1278" s="568"/>
      <c r="BA1278" s="568"/>
      <c r="BB1278" s="569"/>
      <c r="BC1278" s="569"/>
      <c r="BD1278" s="569"/>
      <c r="BE1278" s="569"/>
      <c r="BF1278" s="55"/>
    </row>
    <row r="1279" customFormat="false" ht="14.1" hidden="true" customHeight="true" outlineLevel="1" collapsed="false">
      <c r="A1279" s="407" t="s">
        <v>823</v>
      </c>
      <c r="B1279" s="277"/>
      <c r="C1279" s="301"/>
      <c r="D1279" s="275"/>
      <c r="E1279" s="138"/>
      <c r="F1279" s="138"/>
      <c r="G1279" s="625"/>
      <c r="H1279" s="243"/>
      <c r="I1279" s="220"/>
      <c r="J1279" s="220"/>
      <c r="K1279" s="220"/>
      <c r="L1279" s="220"/>
      <c r="M1279" s="220"/>
      <c r="N1279" s="220"/>
      <c r="O1279" s="243"/>
      <c r="P1279" s="577"/>
      <c r="Q1279" s="577"/>
      <c r="R1279" s="577"/>
      <c r="S1279" s="577"/>
      <c r="T1279" s="577"/>
      <c r="U1279" s="577"/>
      <c r="V1279" s="577"/>
      <c r="W1279" s="577"/>
      <c r="X1279" s="577"/>
      <c r="Y1279" s="577"/>
      <c r="Z1279" s="577"/>
      <c r="AA1279" s="577"/>
      <c r="AB1279" s="577"/>
      <c r="AC1279" s="577"/>
      <c r="AD1279" s="577"/>
      <c r="AE1279" s="577"/>
      <c r="AF1279" s="577"/>
      <c r="AG1279" s="577"/>
      <c r="AH1279" s="578"/>
      <c r="AI1279" s="578"/>
      <c r="AJ1279" s="578"/>
      <c r="AK1279" s="578"/>
      <c r="AL1279" s="578"/>
      <c r="AM1279" s="578"/>
      <c r="AN1279" s="578"/>
      <c r="AO1279" s="579"/>
      <c r="AP1279" s="579"/>
      <c r="AQ1279" s="580"/>
      <c r="AR1279" s="580"/>
      <c r="AS1279" s="580"/>
      <c r="AT1279" s="580"/>
      <c r="AU1279" s="580"/>
      <c r="AV1279" s="580"/>
      <c r="AW1279" s="580"/>
      <c r="AX1279" s="580"/>
      <c r="AY1279" s="580"/>
      <c r="AZ1279" s="580"/>
      <c r="BA1279" s="580"/>
      <c r="BB1279" s="622"/>
      <c r="BC1279" s="622"/>
      <c r="BD1279" s="622"/>
      <c r="BE1279" s="622"/>
    </row>
    <row r="1280" s="56" customFormat="true" ht="14.1" hidden="true" customHeight="true" outlineLevel="1" collapsed="false">
      <c r="A1280" s="275" t="s">
        <v>824</v>
      </c>
      <c r="B1280" s="277"/>
      <c r="C1280" s="301"/>
      <c r="D1280" s="275"/>
      <c r="E1280" s="278"/>
      <c r="F1280" s="278"/>
      <c r="G1280" s="625"/>
      <c r="H1280" s="243"/>
      <c r="I1280" s="220"/>
      <c r="J1280" s="220"/>
      <c r="K1280" s="220"/>
      <c r="L1280" s="220"/>
      <c r="M1280" s="220"/>
      <c r="N1280" s="220"/>
      <c r="O1280" s="243"/>
      <c r="P1280" s="243"/>
      <c r="Q1280" s="243"/>
      <c r="R1280" s="243"/>
      <c r="S1280" s="243"/>
      <c r="T1280" s="243"/>
      <c r="U1280" s="243"/>
      <c r="V1280" s="243"/>
      <c r="W1280" s="243"/>
      <c r="X1280" s="243"/>
      <c r="Y1280" s="243"/>
      <c r="Z1280" s="243"/>
      <c r="AA1280" s="243"/>
      <c r="AB1280" s="243"/>
      <c r="AC1280" s="243"/>
      <c r="AD1280" s="243"/>
      <c r="AE1280" s="243"/>
      <c r="AF1280" s="243"/>
      <c r="AG1280" s="243"/>
      <c r="AH1280" s="29"/>
      <c r="AI1280" s="29"/>
      <c r="AJ1280" s="29"/>
      <c r="AK1280" s="29"/>
      <c r="AL1280" s="29"/>
      <c r="AM1280" s="29"/>
      <c r="AN1280" s="29"/>
      <c r="AO1280" s="567"/>
      <c r="AP1280" s="567"/>
      <c r="AQ1280" s="568"/>
      <c r="AR1280" s="568"/>
      <c r="AS1280" s="568"/>
      <c r="AT1280" s="568"/>
      <c r="AU1280" s="568"/>
      <c r="AV1280" s="568"/>
      <c r="AW1280" s="568"/>
      <c r="AX1280" s="568"/>
      <c r="AY1280" s="568"/>
      <c r="AZ1280" s="568"/>
      <c r="BA1280" s="568"/>
      <c r="BB1280" s="569"/>
      <c r="BC1280" s="569"/>
      <c r="BD1280" s="569"/>
      <c r="BE1280" s="569"/>
      <c r="BF1280" s="55"/>
    </row>
    <row r="1281" customFormat="false" ht="14.1" hidden="true" customHeight="true" outlineLevel="1" collapsed="false">
      <c r="A1281" s="149" t="s">
        <v>101</v>
      </c>
      <c r="B1281" s="277"/>
      <c r="C1281" s="301"/>
      <c r="D1281" s="275"/>
      <c r="E1281" s="138"/>
      <c r="F1281" s="138"/>
      <c r="G1281" s="625"/>
      <c r="H1281" s="243"/>
      <c r="I1281" s="220"/>
      <c r="J1281" s="220"/>
      <c r="K1281" s="220"/>
      <c r="L1281" s="220"/>
      <c r="M1281" s="220"/>
      <c r="N1281" s="220"/>
      <c r="O1281" s="243"/>
      <c r="P1281" s="577"/>
      <c r="Q1281" s="577"/>
      <c r="R1281" s="577"/>
      <c r="S1281" s="577"/>
      <c r="T1281" s="577"/>
      <c r="U1281" s="577"/>
      <c r="V1281" s="577"/>
      <c r="W1281" s="577"/>
      <c r="X1281" s="577"/>
      <c r="Y1281" s="577"/>
      <c r="Z1281" s="577"/>
      <c r="AA1281" s="577"/>
      <c r="AB1281" s="577"/>
      <c r="AC1281" s="577"/>
      <c r="AD1281" s="577"/>
      <c r="AE1281" s="577"/>
      <c r="AF1281" s="577"/>
      <c r="AG1281" s="577"/>
      <c r="AH1281" s="578"/>
      <c r="AI1281" s="578"/>
      <c r="AJ1281" s="578"/>
      <c r="AK1281" s="578"/>
      <c r="AL1281" s="578"/>
      <c r="AM1281" s="578"/>
      <c r="AN1281" s="578"/>
      <c r="AO1281" s="579"/>
      <c r="AP1281" s="579"/>
      <c r="AQ1281" s="580"/>
      <c r="AR1281" s="580"/>
      <c r="AS1281" s="580"/>
      <c r="AT1281" s="580"/>
      <c r="AU1281" s="580"/>
      <c r="AV1281" s="580"/>
      <c r="AW1281" s="580"/>
      <c r="AX1281" s="580"/>
      <c r="AY1281" s="580"/>
      <c r="AZ1281" s="580"/>
      <c r="BA1281" s="580"/>
      <c r="BB1281" s="622"/>
      <c r="BC1281" s="622"/>
      <c r="BD1281" s="622"/>
      <c r="BE1281" s="622"/>
    </row>
    <row r="1282" customFormat="false" ht="14.1" hidden="true" customHeight="true" outlineLevel="1" collapsed="false">
      <c r="A1282" s="152" t="s">
        <v>807</v>
      </c>
      <c r="B1282" s="277"/>
      <c r="C1282" s="458"/>
      <c r="D1282" s="275"/>
      <c r="E1282" s="138"/>
      <c r="F1282" s="138"/>
      <c r="G1282" s="625"/>
      <c r="H1282" s="243"/>
      <c r="I1282" s="220"/>
      <c r="J1282" s="220"/>
      <c r="K1282" s="220"/>
      <c r="L1282" s="220"/>
      <c r="M1282" s="220"/>
      <c r="N1282" s="220"/>
      <c r="O1282" s="243"/>
      <c r="P1282" s="577"/>
      <c r="Q1282" s="577"/>
      <c r="R1282" s="577"/>
      <c r="S1282" s="577"/>
      <c r="T1282" s="577"/>
      <c r="U1282" s="577"/>
      <c r="V1282" s="577"/>
      <c r="W1282" s="577"/>
      <c r="X1282" s="577"/>
      <c r="Y1282" s="577"/>
      <c r="Z1282" s="577"/>
      <c r="AA1282" s="577"/>
      <c r="AB1282" s="577"/>
      <c r="AC1282" s="577"/>
      <c r="AD1282" s="577"/>
      <c r="AE1282" s="577"/>
      <c r="AF1282" s="577"/>
      <c r="AG1282" s="577"/>
      <c r="AH1282" s="578"/>
      <c r="AI1282" s="578"/>
      <c r="AJ1282" s="578"/>
      <c r="AK1282" s="578"/>
      <c r="AL1282" s="578"/>
      <c r="AM1282" s="578"/>
      <c r="AN1282" s="578"/>
      <c r="AO1282" s="579"/>
      <c r="AP1282" s="579"/>
      <c r="AQ1282" s="580"/>
      <c r="AR1282" s="580"/>
      <c r="AS1282" s="580"/>
      <c r="AT1282" s="580"/>
      <c r="AU1282" s="580"/>
      <c r="AV1282" s="580"/>
      <c r="AW1282" s="580"/>
      <c r="AX1282" s="580"/>
      <c r="AY1282" s="580"/>
      <c r="AZ1282" s="580"/>
      <c r="BA1282" s="580"/>
      <c r="BB1282" s="622"/>
      <c r="BC1282" s="622"/>
      <c r="BD1282" s="622"/>
      <c r="BE1282" s="622"/>
    </row>
    <row r="1283" customFormat="false" ht="14.1" hidden="true" customHeight="true" outlineLevel="1" collapsed="false">
      <c r="A1283" s="231" t="s">
        <v>825</v>
      </c>
      <c r="B1283" s="277"/>
      <c r="C1283" s="458"/>
      <c r="D1283" s="275"/>
      <c r="E1283" s="138"/>
      <c r="F1283" s="138"/>
      <c r="G1283" s="625"/>
      <c r="H1283" s="243"/>
      <c r="I1283" s="220"/>
      <c r="J1283" s="220"/>
      <c r="K1283" s="220"/>
      <c r="L1283" s="220"/>
      <c r="M1283" s="220"/>
      <c r="N1283" s="220"/>
      <c r="O1283" s="243"/>
      <c r="P1283" s="577"/>
      <c r="Q1283" s="577"/>
      <c r="R1283" s="577"/>
      <c r="S1283" s="577"/>
      <c r="T1283" s="577"/>
      <c r="U1283" s="577"/>
      <c r="V1283" s="577"/>
      <c r="W1283" s="577"/>
      <c r="X1283" s="577"/>
      <c r="Y1283" s="577"/>
      <c r="Z1283" s="577"/>
      <c r="AA1283" s="577"/>
      <c r="AB1283" s="577"/>
      <c r="AC1283" s="577"/>
      <c r="AD1283" s="577"/>
      <c r="AE1283" s="577"/>
      <c r="AF1283" s="577"/>
      <c r="AG1283" s="577"/>
      <c r="AH1283" s="578"/>
      <c r="AI1283" s="578"/>
      <c r="AJ1283" s="578"/>
      <c r="AK1283" s="578"/>
      <c r="AL1283" s="578"/>
      <c r="AM1283" s="578"/>
      <c r="AN1283" s="578"/>
      <c r="AO1283" s="579"/>
      <c r="AP1283" s="579"/>
      <c r="AQ1283" s="580"/>
      <c r="AR1283" s="580"/>
      <c r="AS1283" s="580"/>
      <c r="AT1283" s="580"/>
      <c r="AU1283" s="580"/>
      <c r="AV1283" s="580"/>
      <c r="AW1283" s="580"/>
      <c r="AX1283" s="580"/>
      <c r="AY1283" s="580"/>
      <c r="AZ1283" s="580"/>
      <c r="BA1283" s="580"/>
      <c r="BB1283" s="622"/>
      <c r="BC1283" s="622"/>
      <c r="BD1283" s="622"/>
      <c r="BE1283" s="622"/>
    </row>
    <row r="1284" s="162" customFormat="true" ht="14.1" hidden="true" customHeight="true" outlineLevel="1" collapsed="false">
      <c r="A1284" s="275" t="s">
        <v>811</v>
      </c>
      <c r="B1284" s="277"/>
      <c r="C1284" s="458"/>
      <c r="D1284" s="275"/>
      <c r="E1284" s="169"/>
      <c r="F1284" s="169"/>
      <c r="G1284" s="625"/>
      <c r="H1284" s="243"/>
      <c r="I1284" s="220"/>
      <c r="J1284" s="220"/>
      <c r="K1284" s="220"/>
      <c r="L1284" s="220"/>
      <c r="M1284" s="220"/>
      <c r="N1284" s="220"/>
      <c r="O1284" s="243"/>
      <c r="P1284" s="577"/>
      <c r="Q1284" s="577"/>
      <c r="R1284" s="577"/>
      <c r="S1284" s="577"/>
      <c r="T1284" s="577"/>
      <c r="U1284" s="577"/>
      <c r="V1284" s="577"/>
      <c r="W1284" s="577"/>
      <c r="X1284" s="577"/>
      <c r="Y1284" s="577"/>
      <c r="Z1284" s="577"/>
      <c r="AA1284" s="577"/>
      <c r="AB1284" s="577"/>
      <c r="AC1284" s="577"/>
      <c r="AD1284" s="577"/>
      <c r="AE1284" s="577"/>
      <c r="AF1284" s="577"/>
      <c r="AG1284" s="577"/>
      <c r="AH1284" s="578"/>
      <c r="AI1284" s="578"/>
      <c r="AJ1284" s="578"/>
      <c r="AK1284" s="578"/>
      <c r="AL1284" s="578"/>
      <c r="AM1284" s="578"/>
      <c r="AN1284" s="578"/>
      <c r="AO1284" s="579"/>
      <c r="AP1284" s="579"/>
      <c r="AQ1284" s="580"/>
      <c r="AR1284" s="580"/>
      <c r="AS1284" s="580"/>
      <c r="AT1284" s="580"/>
      <c r="AU1284" s="580"/>
      <c r="AV1284" s="580"/>
      <c r="AW1284" s="580"/>
      <c r="AX1284" s="580"/>
      <c r="AY1284" s="580"/>
      <c r="AZ1284" s="580"/>
      <c r="BA1284" s="580"/>
      <c r="BB1284" s="581"/>
      <c r="BC1284" s="581"/>
      <c r="BD1284" s="581"/>
      <c r="BE1284" s="581"/>
      <c r="BF1284" s="161"/>
    </row>
    <row r="1285" s="162" customFormat="true" ht="14.1" hidden="true" customHeight="true" outlineLevel="1" collapsed="false">
      <c r="A1285" s="149" t="s">
        <v>826</v>
      </c>
      <c r="B1285" s="277"/>
      <c r="C1285" s="458"/>
      <c r="D1285" s="275"/>
      <c r="E1285" s="169"/>
      <c r="F1285" s="169"/>
      <c r="G1285" s="625"/>
      <c r="H1285" s="243"/>
      <c r="I1285" s="220"/>
      <c r="J1285" s="220"/>
      <c r="K1285" s="220"/>
      <c r="L1285" s="220"/>
      <c r="M1285" s="220"/>
      <c r="N1285" s="220"/>
      <c r="O1285" s="243"/>
      <c r="P1285" s="577"/>
      <c r="Q1285" s="577"/>
      <c r="R1285" s="577"/>
      <c r="S1285" s="577"/>
      <c r="T1285" s="577"/>
      <c r="U1285" s="577"/>
      <c r="V1285" s="577"/>
      <c r="W1285" s="577"/>
      <c r="X1285" s="577"/>
      <c r="Y1285" s="577"/>
      <c r="Z1285" s="577"/>
      <c r="AA1285" s="577"/>
      <c r="AB1285" s="577"/>
      <c r="AC1285" s="577"/>
      <c r="AD1285" s="577"/>
      <c r="AE1285" s="577"/>
      <c r="AF1285" s="577"/>
      <c r="AG1285" s="577"/>
      <c r="AH1285" s="578"/>
      <c r="AI1285" s="578"/>
      <c r="AJ1285" s="578"/>
      <c r="AK1285" s="578"/>
      <c r="AL1285" s="578"/>
      <c r="AM1285" s="578"/>
      <c r="AN1285" s="578"/>
      <c r="AO1285" s="579"/>
      <c r="AP1285" s="579"/>
      <c r="AQ1285" s="580"/>
      <c r="AR1285" s="580"/>
      <c r="AS1285" s="580"/>
      <c r="AT1285" s="580"/>
      <c r="AU1285" s="580"/>
      <c r="AV1285" s="580"/>
      <c r="AW1285" s="580"/>
      <c r="AX1285" s="580"/>
      <c r="AY1285" s="580"/>
      <c r="AZ1285" s="580"/>
      <c r="BA1285" s="580"/>
      <c r="BB1285" s="581"/>
      <c r="BC1285" s="581"/>
      <c r="BD1285" s="581"/>
      <c r="BE1285" s="581"/>
      <c r="BF1285" s="161"/>
    </row>
    <row r="1286" customFormat="false" ht="14.1" hidden="true" customHeight="true" outlineLevel="1" collapsed="false">
      <c r="A1286" s="163" t="s">
        <v>827</v>
      </c>
      <c r="B1286" s="119" t="s">
        <v>15</v>
      </c>
      <c r="C1286" s="370" t="n">
        <v>0.4</v>
      </c>
      <c r="D1286" s="275"/>
      <c r="E1286" s="138"/>
      <c r="F1286" s="138"/>
      <c r="G1286" s="625"/>
      <c r="H1286" s="243"/>
      <c r="I1286" s="220"/>
      <c r="J1286" s="220"/>
      <c r="K1286" s="220"/>
      <c r="L1286" s="220"/>
      <c r="M1286" s="220"/>
      <c r="N1286" s="220"/>
      <c r="O1286" s="243"/>
      <c r="P1286" s="577"/>
      <c r="Q1286" s="577"/>
      <c r="R1286" s="577"/>
      <c r="S1286" s="577"/>
      <c r="T1286" s="577"/>
      <c r="U1286" s="577"/>
      <c r="V1286" s="577"/>
      <c r="W1286" s="577"/>
      <c r="X1286" s="577"/>
      <c r="Y1286" s="577"/>
      <c r="Z1286" s="577"/>
      <c r="AA1286" s="577"/>
      <c r="AB1286" s="577"/>
      <c r="AC1286" s="577"/>
      <c r="AD1286" s="577"/>
      <c r="AE1286" s="577"/>
      <c r="AF1286" s="577"/>
      <c r="AG1286" s="577"/>
      <c r="AH1286" s="578"/>
      <c r="AI1286" s="578"/>
      <c r="AJ1286" s="578"/>
      <c r="AK1286" s="578"/>
      <c r="AL1286" s="578"/>
      <c r="AM1286" s="578"/>
      <c r="AN1286" s="578"/>
      <c r="AO1286" s="579"/>
      <c r="AP1286" s="579"/>
      <c r="AQ1286" s="580"/>
      <c r="AR1286" s="580"/>
      <c r="AS1286" s="580"/>
      <c r="AT1286" s="580"/>
      <c r="AU1286" s="580"/>
      <c r="AV1286" s="580"/>
      <c r="AW1286" s="580"/>
      <c r="AX1286" s="580"/>
      <c r="AY1286" s="580"/>
      <c r="AZ1286" s="580"/>
      <c r="BA1286" s="580"/>
      <c r="BB1286" s="622"/>
      <c r="BC1286" s="622"/>
      <c r="BD1286" s="622"/>
      <c r="BE1286" s="622"/>
    </row>
    <row r="1287" customFormat="false" ht="14.1" hidden="true" customHeight="true" outlineLevel="1" collapsed="false">
      <c r="A1287" s="163" t="s">
        <v>828</v>
      </c>
      <c r="B1287" s="119" t="s">
        <v>15</v>
      </c>
      <c r="C1287" s="428" t="s">
        <v>56</v>
      </c>
      <c r="D1287" s="275"/>
      <c r="E1287" s="138"/>
      <c r="F1287" s="138"/>
      <c r="G1287" s="625"/>
      <c r="H1287" s="243"/>
      <c r="I1287" s="220"/>
      <c r="J1287" s="220"/>
      <c r="K1287" s="220"/>
      <c r="L1287" s="220"/>
      <c r="M1287" s="220"/>
      <c r="N1287" s="220"/>
      <c r="O1287" s="243"/>
      <c r="P1287" s="577"/>
      <c r="Q1287" s="577"/>
      <c r="R1287" s="577"/>
      <c r="S1287" s="577"/>
      <c r="T1287" s="577"/>
      <c r="U1287" s="577"/>
      <c r="V1287" s="577"/>
      <c r="W1287" s="577"/>
      <c r="X1287" s="577"/>
      <c r="Y1287" s="577"/>
      <c r="Z1287" s="577"/>
      <c r="AA1287" s="577"/>
      <c r="AB1287" s="577"/>
      <c r="AC1287" s="577"/>
      <c r="AD1287" s="577"/>
      <c r="AE1287" s="577"/>
      <c r="AF1287" s="577"/>
      <c r="AG1287" s="577"/>
      <c r="AH1287" s="578"/>
      <c r="AI1287" s="578"/>
      <c r="AJ1287" s="578"/>
      <c r="AK1287" s="578"/>
      <c r="AL1287" s="578"/>
      <c r="AM1287" s="578"/>
      <c r="AN1287" s="578"/>
      <c r="AO1287" s="579"/>
      <c r="AP1287" s="579"/>
      <c r="AQ1287" s="580"/>
      <c r="AR1287" s="580"/>
      <c r="AS1287" s="580"/>
      <c r="AT1287" s="580"/>
      <c r="AU1287" s="580"/>
      <c r="AV1287" s="580"/>
      <c r="AW1287" s="580"/>
      <c r="AX1287" s="580"/>
      <c r="AY1287" s="580"/>
      <c r="AZ1287" s="580"/>
      <c r="BA1287" s="580"/>
      <c r="BB1287" s="622"/>
      <c r="BC1287" s="622"/>
      <c r="BD1287" s="622"/>
      <c r="BE1287" s="622"/>
    </row>
    <row r="1288" customFormat="false" ht="14.1" hidden="true" customHeight="true" outlineLevel="1" collapsed="false">
      <c r="A1288" s="138"/>
      <c r="B1288" s="328"/>
      <c r="C1288" s="634"/>
      <c r="D1288" s="275"/>
      <c r="E1288" s="138"/>
      <c r="F1288" s="138"/>
      <c r="G1288" s="625"/>
      <c r="H1288" s="243"/>
      <c r="I1288" s="230"/>
      <c r="J1288" s="230"/>
      <c r="K1288" s="230"/>
      <c r="L1288" s="230"/>
      <c r="M1288" s="230"/>
      <c r="N1288" s="230"/>
      <c r="O1288" s="230"/>
      <c r="P1288" s="230"/>
      <c r="Q1288" s="577"/>
      <c r="R1288" s="577"/>
      <c r="S1288" s="577"/>
      <c r="T1288" s="577"/>
      <c r="U1288" s="577"/>
      <c r="V1288" s="577"/>
      <c r="W1288" s="577"/>
      <c r="X1288" s="577"/>
      <c r="Y1288" s="577"/>
      <c r="Z1288" s="577"/>
      <c r="AA1288" s="577"/>
      <c r="AB1288" s="577"/>
      <c r="AC1288" s="577"/>
      <c r="AD1288" s="577"/>
      <c r="AE1288" s="577"/>
      <c r="AF1288" s="577"/>
      <c r="AG1288" s="577"/>
      <c r="AH1288" s="578"/>
      <c r="AI1288" s="578"/>
      <c r="AJ1288" s="578"/>
      <c r="AK1288" s="578"/>
      <c r="AL1288" s="578"/>
      <c r="AM1288" s="578"/>
      <c r="AN1288" s="578"/>
      <c r="AO1288" s="579"/>
      <c r="AP1288" s="579"/>
      <c r="AQ1288" s="580"/>
      <c r="AR1288" s="580"/>
      <c r="AS1288" s="580"/>
      <c r="AT1288" s="580"/>
      <c r="AU1288" s="580"/>
      <c r="AV1288" s="580"/>
      <c r="AW1288" s="580"/>
      <c r="AX1288" s="580"/>
      <c r="AY1288" s="580"/>
      <c r="AZ1288" s="580"/>
      <c r="BA1288" s="580"/>
      <c r="BB1288" s="622"/>
      <c r="BC1288" s="622"/>
      <c r="BD1288" s="622"/>
      <c r="BE1288" s="622"/>
    </row>
    <row r="1289" customFormat="false" ht="14.1" hidden="true" customHeight="true" outlineLevel="1" collapsed="false">
      <c r="A1289" s="418" t="s">
        <v>829</v>
      </c>
      <c r="B1289" s="119" t="s">
        <v>820</v>
      </c>
      <c r="C1289" s="428" t="s">
        <v>56</v>
      </c>
      <c r="D1289" s="275"/>
      <c r="E1289" s="138"/>
      <c r="F1289" s="138"/>
      <c r="G1289" s="625"/>
      <c r="H1289" s="243"/>
      <c r="I1289" s="230"/>
      <c r="J1289" s="220"/>
      <c r="K1289" s="220"/>
      <c r="L1289" s="220"/>
      <c r="M1289" s="220"/>
      <c r="N1289" s="220"/>
      <c r="O1289" s="243"/>
      <c r="P1289" s="577"/>
      <c r="Q1289" s="577"/>
      <c r="R1289" s="577"/>
      <c r="S1289" s="577"/>
      <c r="T1289" s="577"/>
      <c r="U1289" s="577"/>
      <c r="V1289" s="577"/>
      <c r="W1289" s="577"/>
      <c r="X1289" s="577"/>
      <c r="Y1289" s="577"/>
      <c r="Z1289" s="577"/>
      <c r="AA1289" s="577"/>
      <c r="AB1289" s="577"/>
      <c r="AC1289" s="577"/>
      <c r="AD1289" s="577"/>
      <c r="AE1289" s="577"/>
      <c r="AF1289" s="577"/>
      <c r="AG1289" s="577"/>
      <c r="AH1289" s="578"/>
      <c r="AI1289" s="578"/>
      <c r="AJ1289" s="578"/>
      <c r="AK1289" s="578"/>
      <c r="AL1289" s="578"/>
      <c r="AM1289" s="578"/>
      <c r="AN1289" s="578"/>
      <c r="AO1289" s="579"/>
      <c r="AP1289" s="579"/>
      <c r="AQ1289" s="580"/>
      <c r="AR1289" s="580"/>
      <c r="AS1289" s="580"/>
      <c r="AT1289" s="580"/>
      <c r="AU1289" s="580"/>
      <c r="AV1289" s="580"/>
      <c r="AW1289" s="580"/>
      <c r="AX1289" s="580"/>
      <c r="AY1289" s="580"/>
      <c r="AZ1289" s="580"/>
      <c r="BA1289" s="580"/>
      <c r="BB1289" s="622"/>
      <c r="BC1289" s="622"/>
      <c r="BD1289" s="622"/>
      <c r="BE1289" s="622"/>
    </row>
    <row r="1290" s="56" customFormat="true" ht="14.1" hidden="true" customHeight="true" outlineLevel="1" collapsed="false">
      <c r="A1290" s="275" t="s">
        <v>830</v>
      </c>
      <c r="B1290" s="277"/>
      <c r="C1290" s="458"/>
      <c r="D1290" s="275"/>
      <c r="E1290" s="278"/>
      <c r="F1290" s="278"/>
      <c r="G1290" s="625"/>
      <c r="H1290" s="243"/>
      <c r="I1290" s="230"/>
      <c r="J1290" s="220"/>
      <c r="K1290" s="220"/>
      <c r="L1290" s="220"/>
      <c r="M1290" s="220"/>
      <c r="N1290" s="220"/>
      <c r="O1290" s="243"/>
      <c r="P1290" s="243"/>
      <c r="Q1290" s="243"/>
      <c r="R1290" s="243"/>
      <c r="S1290" s="243"/>
      <c r="T1290" s="243"/>
      <c r="U1290" s="243"/>
      <c r="V1290" s="243"/>
      <c r="W1290" s="243"/>
      <c r="X1290" s="243"/>
      <c r="Y1290" s="243"/>
      <c r="Z1290" s="243"/>
      <c r="AA1290" s="243"/>
      <c r="AB1290" s="243"/>
      <c r="AC1290" s="243"/>
      <c r="AD1290" s="243"/>
      <c r="AE1290" s="243"/>
      <c r="AF1290" s="243"/>
      <c r="AG1290" s="243"/>
      <c r="AH1290" s="29"/>
      <c r="AI1290" s="29"/>
      <c r="AJ1290" s="29"/>
      <c r="AK1290" s="29"/>
      <c r="AL1290" s="29"/>
      <c r="AM1290" s="29"/>
      <c r="AN1290" s="29"/>
      <c r="AO1290" s="567"/>
      <c r="AP1290" s="567"/>
      <c r="AQ1290" s="568"/>
      <c r="AR1290" s="568"/>
      <c r="AS1290" s="568"/>
      <c r="AT1290" s="568"/>
      <c r="AU1290" s="568"/>
      <c r="AV1290" s="568"/>
      <c r="AW1290" s="568"/>
      <c r="AX1290" s="568"/>
      <c r="AY1290" s="568"/>
      <c r="AZ1290" s="568"/>
      <c r="BA1290" s="568"/>
      <c r="BB1290" s="569"/>
      <c r="BC1290" s="569"/>
      <c r="BD1290" s="569"/>
      <c r="BE1290" s="569"/>
      <c r="BF1290" s="55"/>
    </row>
    <row r="1291" customFormat="false" ht="14.1" hidden="true" customHeight="true" outlineLevel="1" collapsed="false">
      <c r="A1291" s="407" t="s">
        <v>831</v>
      </c>
      <c r="B1291" s="277"/>
      <c r="C1291" s="301"/>
      <c r="D1291" s="275"/>
      <c r="E1291" s="138"/>
      <c r="F1291" s="138"/>
      <c r="G1291" s="625"/>
      <c r="H1291" s="243"/>
      <c r="I1291" s="230"/>
      <c r="J1291" s="220"/>
      <c r="K1291" s="220"/>
      <c r="L1291" s="220"/>
      <c r="M1291" s="220"/>
      <c r="N1291" s="220"/>
      <c r="O1291" s="243"/>
      <c r="P1291" s="577"/>
      <c r="Q1291" s="577"/>
      <c r="R1291" s="577"/>
      <c r="S1291" s="577"/>
      <c r="T1291" s="577"/>
      <c r="U1291" s="577"/>
      <c r="V1291" s="577"/>
      <c r="W1291" s="577"/>
      <c r="X1291" s="577"/>
      <c r="Y1291" s="577"/>
      <c r="Z1291" s="577"/>
      <c r="AA1291" s="577"/>
      <c r="AB1291" s="577"/>
      <c r="AC1291" s="577"/>
      <c r="AD1291" s="577"/>
      <c r="AE1291" s="577"/>
      <c r="AF1291" s="577"/>
      <c r="AG1291" s="577"/>
      <c r="AH1291" s="578"/>
      <c r="AI1291" s="578"/>
      <c r="AJ1291" s="578"/>
      <c r="AK1291" s="578"/>
      <c r="AL1291" s="578"/>
      <c r="AM1291" s="578"/>
      <c r="AN1291" s="578"/>
      <c r="AO1291" s="579"/>
      <c r="AP1291" s="579"/>
      <c r="AQ1291" s="580"/>
      <c r="AR1291" s="580"/>
      <c r="AS1291" s="580"/>
      <c r="AT1291" s="580"/>
      <c r="AU1291" s="580"/>
      <c r="AV1291" s="580"/>
      <c r="AW1291" s="580"/>
      <c r="AX1291" s="580"/>
      <c r="AY1291" s="580"/>
      <c r="AZ1291" s="580"/>
      <c r="BA1291" s="580"/>
      <c r="BB1291" s="622"/>
      <c r="BC1291" s="622"/>
      <c r="BD1291" s="622"/>
      <c r="BE1291" s="622"/>
    </row>
    <row r="1292" customFormat="false" ht="14.1" hidden="true" customHeight="true" outlineLevel="1" collapsed="false">
      <c r="A1292" s="138" t="s">
        <v>832</v>
      </c>
      <c r="B1292" s="277"/>
      <c r="C1292" s="301"/>
      <c r="D1292" s="275"/>
      <c r="E1292" s="138"/>
      <c r="F1292" s="138"/>
      <c r="G1292" s="625"/>
      <c r="H1292" s="243"/>
      <c r="I1292" s="230"/>
      <c r="J1292" s="220"/>
      <c r="K1292" s="220"/>
      <c r="L1292" s="220"/>
      <c r="M1292" s="220"/>
      <c r="N1292" s="220"/>
      <c r="O1292" s="243"/>
      <c r="P1292" s="577"/>
      <c r="Q1292" s="577"/>
      <c r="R1292" s="577"/>
      <c r="S1292" s="577"/>
      <c r="T1292" s="577"/>
      <c r="U1292" s="577"/>
      <c r="V1292" s="577"/>
      <c r="W1292" s="577"/>
      <c r="X1292" s="577"/>
      <c r="Y1292" s="577"/>
      <c r="Z1292" s="577"/>
      <c r="AA1292" s="577"/>
      <c r="AB1292" s="577"/>
      <c r="AC1292" s="577"/>
      <c r="AD1292" s="577"/>
      <c r="AE1292" s="577"/>
      <c r="AF1292" s="577"/>
      <c r="AG1292" s="577"/>
      <c r="AH1292" s="578"/>
      <c r="AI1292" s="578"/>
      <c r="AJ1292" s="578"/>
      <c r="AK1292" s="578"/>
      <c r="AL1292" s="578"/>
      <c r="AM1292" s="578"/>
      <c r="AN1292" s="578"/>
      <c r="AO1292" s="579"/>
      <c r="AP1292" s="579"/>
      <c r="AQ1292" s="580"/>
      <c r="AR1292" s="580"/>
      <c r="AS1292" s="580"/>
      <c r="AT1292" s="580"/>
      <c r="AU1292" s="580"/>
      <c r="AV1292" s="580"/>
      <c r="AW1292" s="580"/>
      <c r="AX1292" s="580"/>
      <c r="AY1292" s="580"/>
      <c r="AZ1292" s="580"/>
      <c r="BA1292" s="580"/>
      <c r="BB1292" s="622"/>
      <c r="BC1292" s="622"/>
      <c r="BD1292" s="622"/>
      <c r="BE1292" s="622"/>
    </row>
    <row r="1293" customFormat="false" ht="14.1" hidden="true" customHeight="true" outlineLevel="1" collapsed="false">
      <c r="A1293" s="242" t="s">
        <v>284</v>
      </c>
      <c r="B1293" s="277"/>
      <c r="C1293" s="301"/>
      <c r="D1293" s="275"/>
      <c r="E1293" s="138"/>
      <c r="F1293" s="138"/>
      <c r="G1293" s="625"/>
      <c r="H1293" s="243"/>
      <c r="I1293" s="230"/>
      <c r="J1293" s="220"/>
      <c r="K1293" s="220"/>
      <c r="L1293" s="220"/>
      <c r="M1293" s="220"/>
      <c r="N1293" s="220"/>
      <c r="O1293" s="243"/>
      <c r="P1293" s="577"/>
      <c r="Q1293" s="577"/>
      <c r="R1293" s="577"/>
      <c r="S1293" s="577"/>
      <c r="T1293" s="577"/>
      <c r="U1293" s="577"/>
      <c r="V1293" s="577"/>
      <c r="W1293" s="577"/>
      <c r="X1293" s="577"/>
      <c r="Y1293" s="577"/>
      <c r="Z1293" s="577"/>
      <c r="AA1293" s="577"/>
      <c r="AB1293" s="577"/>
      <c r="AC1293" s="577"/>
      <c r="AD1293" s="577"/>
      <c r="AE1293" s="577"/>
      <c r="AF1293" s="577"/>
      <c r="AG1293" s="577"/>
      <c r="AH1293" s="578"/>
      <c r="AI1293" s="578"/>
      <c r="AJ1293" s="578"/>
      <c r="AK1293" s="578"/>
      <c r="AL1293" s="578"/>
      <c r="AM1293" s="578"/>
      <c r="AN1293" s="578"/>
      <c r="AO1293" s="579"/>
      <c r="AP1293" s="579"/>
      <c r="AQ1293" s="580"/>
      <c r="AR1293" s="580"/>
      <c r="AS1293" s="580"/>
      <c r="AT1293" s="580"/>
      <c r="AU1293" s="580"/>
      <c r="AV1293" s="580"/>
      <c r="AW1293" s="580"/>
      <c r="AX1293" s="580"/>
      <c r="AY1293" s="580"/>
      <c r="AZ1293" s="580"/>
      <c r="BA1293" s="580"/>
      <c r="BB1293" s="622"/>
      <c r="BC1293" s="622"/>
      <c r="BD1293" s="622"/>
      <c r="BE1293" s="622"/>
    </row>
    <row r="1294" customFormat="false" ht="14.1" hidden="true" customHeight="true" outlineLevel="1" collapsed="false">
      <c r="A1294" s="275" t="s">
        <v>749</v>
      </c>
      <c r="B1294" s="277"/>
      <c r="C1294" s="458"/>
      <c r="D1294" s="275"/>
      <c r="E1294" s="138"/>
      <c r="F1294" s="138"/>
      <c r="G1294" s="243"/>
      <c r="H1294" s="243"/>
      <c r="I1294" s="220"/>
      <c r="J1294" s="220"/>
      <c r="K1294" s="220"/>
      <c r="L1294" s="220"/>
      <c r="M1294" s="220"/>
      <c r="N1294" s="220"/>
      <c r="O1294" s="243"/>
      <c r="P1294" s="577"/>
      <c r="Q1294" s="577"/>
      <c r="R1294" s="577"/>
      <c r="S1294" s="577"/>
      <c r="T1294" s="577"/>
      <c r="U1294" s="577"/>
      <c r="V1294" s="577"/>
      <c r="W1294" s="577"/>
      <c r="X1294" s="577"/>
      <c r="Y1294" s="577"/>
      <c r="Z1294" s="577"/>
      <c r="AA1294" s="577"/>
      <c r="AB1294" s="577"/>
      <c r="AC1294" s="577"/>
      <c r="AD1294" s="577"/>
      <c r="AE1294" s="577"/>
      <c r="AF1294" s="577"/>
      <c r="AG1294" s="577"/>
      <c r="AH1294" s="578"/>
      <c r="AI1294" s="578"/>
      <c r="AJ1294" s="578"/>
      <c r="AK1294" s="578"/>
      <c r="AL1294" s="578"/>
      <c r="AM1294" s="578"/>
      <c r="AN1294" s="578"/>
      <c r="AO1294" s="579"/>
      <c r="AP1294" s="579"/>
      <c r="AQ1294" s="580"/>
      <c r="AR1294" s="580"/>
      <c r="AS1294" s="580"/>
      <c r="AT1294" s="580"/>
      <c r="AU1294" s="580"/>
      <c r="AV1294" s="580"/>
      <c r="AW1294" s="580"/>
      <c r="AX1294" s="580"/>
      <c r="AY1294" s="580"/>
      <c r="AZ1294" s="580"/>
      <c r="BA1294" s="580"/>
      <c r="BB1294" s="622"/>
      <c r="BC1294" s="622"/>
      <c r="BD1294" s="622"/>
      <c r="BE1294" s="622"/>
    </row>
    <row r="1295" customFormat="false" ht="14.1" hidden="true" customHeight="true" outlineLevel="1" collapsed="false">
      <c r="A1295" s="147" t="s">
        <v>226</v>
      </c>
      <c r="B1295" s="616" t="s">
        <v>502</v>
      </c>
      <c r="C1295" s="348" t="n">
        <v>0</v>
      </c>
      <c r="D1295" s="275"/>
      <c r="E1295" s="138"/>
      <c r="F1295" s="138"/>
      <c r="G1295" s="625"/>
      <c r="H1295" s="243"/>
      <c r="I1295" s="220"/>
      <c r="J1295" s="220"/>
      <c r="K1295" s="220"/>
      <c r="L1295" s="220"/>
      <c r="M1295" s="220"/>
      <c r="N1295" s="220"/>
      <c r="O1295" s="243"/>
      <c r="P1295" s="577"/>
      <c r="Q1295" s="577"/>
      <c r="R1295" s="577"/>
      <c r="S1295" s="577"/>
      <c r="T1295" s="577"/>
      <c r="U1295" s="577"/>
      <c r="V1295" s="577"/>
      <c r="W1295" s="577"/>
      <c r="X1295" s="577"/>
      <c r="Y1295" s="577"/>
      <c r="Z1295" s="577"/>
      <c r="AA1295" s="577"/>
      <c r="AB1295" s="577"/>
      <c r="AC1295" s="577"/>
      <c r="AD1295" s="577"/>
      <c r="AE1295" s="577"/>
      <c r="AF1295" s="577"/>
      <c r="AG1295" s="577"/>
      <c r="AH1295" s="578"/>
      <c r="AI1295" s="578"/>
      <c r="AJ1295" s="578"/>
      <c r="AK1295" s="578"/>
      <c r="AL1295" s="578"/>
      <c r="AM1295" s="578"/>
      <c r="AN1295" s="578"/>
      <c r="AO1295" s="579"/>
      <c r="AP1295" s="579"/>
      <c r="AQ1295" s="580"/>
      <c r="AR1295" s="580"/>
      <c r="AS1295" s="580"/>
      <c r="AT1295" s="580"/>
      <c r="AU1295" s="580"/>
      <c r="AV1295" s="580"/>
      <c r="AW1295" s="580"/>
      <c r="AX1295" s="580"/>
      <c r="AY1295" s="580"/>
      <c r="AZ1295" s="580"/>
      <c r="BA1295" s="580"/>
      <c r="BB1295" s="622"/>
      <c r="BC1295" s="622"/>
      <c r="BD1295" s="622"/>
      <c r="BE1295" s="622"/>
    </row>
    <row r="1296" customFormat="false" ht="14.1" hidden="true" customHeight="true" outlineLevel="1" collapsed="false">
      <c r="A1296" s="149" t="s">
        <v>226</v>
      </c>
      <c r="B1296" s="119" t="s">
        <v>48</v>
      </c>
      <c r="C1296" s="163" t="n">
        <v>0</v>
      </c>
      <c r="D1296" s="275"/>
      <c r="E1296" s="138"/>
      <c r="F1296" s="138"/>
      <c r="G1296" s="625"/>
      <c r="H1296" s="243"/>
      <c r="I1296" s="220"/>
      <c r="J1296" s="220"/>
      <c r="K1296" s="220"/>
      <c r="L1296" s="220"/>
      <c r="M1296" s="220"/>
      <c r="N1296" s="220"/>
      <c r="O1296" s="243"/>
      <c r="P1296" s="577"/>
      <c r="Q1296" s="577"/>
      <c r="R1296" s="577"/>
      <c r="S1296" s="577"/>
      <c r="T1296" s="577"/>
      <c r="U1296" s="577"/>
      <c r="V1296" s="577"/>
      <c r="W1296" s="577"/>
      <c r="X1296" s="577"/>
      <c r="Y1296" s="577"/>
      <c r="Z1296" s="577"/>
      <c r="AA1296" s="577"/>
      <c r="AB1296" s="577"/>
      <c r="AC1296" s="577"/>
      <c r="AD1296" s="577"/>
      <c r="AE1296" s="577"/>
      <c r="AF1296" s="577"/>
      <c r="AG1296" s="577"/>
      <c r="AH1296" s="578"/>
      <c r="AI1296" s="578"/>
      <c r="AJ1296" s="578"/>
      <c r="AK1296" s="578"/>
      <c r="AL1296" s="578"/>
      <c r="AM1296" s="578"/>
      <c r="AN1296" s="578"/>
      <c r="AO1296" s="579"/>
      <c r="AP1296" s="579"/>
      <c r="AQ1296" s="580"/>
      <c r="AR1296" s="580"/>
      <c r="AS1296" s="580"/>
      <c r="AT1296" s="580"/>
      <c r="AU1296" s="580"/>
      <c r="AV1296" s="580"/>
      <c r="AW1296" s="580"/>
      <c r="AX1296" s="580"/>
      <c r="AY1296" s="580"/>
      <c r="AZ1296" s="580"/>
      <c r="BA1296" s="580"/>
      <c r="BB1296" s="622"/>
      <c r="BC1296" s="622"/>
      <c r="BD1296" s="622"/>
      <c r="BE1296" s="622"/>
    </row>
    <row r="1297" customFormat="false" ht="14.1" hidden="true" customHeight="true" outlineLevel="1" collapsed="false">
      <c r="A1297" s="138"/>
      <c r="B1297" s="235"/>
      <c r="C1297" s="169"/>
      <c r="D1297" s="275"/>
      <c r="E1297" s="138"/>
      <c r="F1297" s="138"/>
      <c r="G1297" s="243"/>
      <c r="H1297" s="257"/>
      <c r="I1297" s="257"/>
      <c r="J1297" s="257"/>
      <c r="K1297" s="257"/>
      <c r="L1297" s="257"/>
      <c r="M1297" s="257"/>
      <c r="N1297" s="257"/>
      <c r="O1297" s="257"/>
      <c r="P1297" s="243"/>
      <c r="Q1297" s="243"/>
      <c r="R1297" s="577"/>
      <c r="S1297" s="577"/>
      <c r="T1297" s="577"/>
      <c r="U1297" s="577"/>
      <c r="V1297" s="577"/>
      <c r="W1297" s="577"/>
      <c r="X1297" s="577"/>
      <c r="Y1297" s="577"/>
      <c r="Z1297" s="577"/>
      <c r="AA1297" s="577"/>
      <c r="AB1297" s="577"/>
      <c r="AC1297" s="577"/>
      <c r="AD1297" s="577"/>
      <c r="AE1297" s="577"/>
      <c r="AF1297" s="577"/>
      <c r="AG1297" s="577"/>
      <c r="AH1297" s="578"/>
      <c r="AI1297" s="578"/>
      <c r="AJ1297" s="578"/>
      <c r="AK1297" s="578"/>
      <c r="AL1297" s="578"/>
      <c r="AM1297" s="578"/>
      <c r="AN1297" s="578"/>
      <c r="AO1297" s="579"/>
      <c r="AP1297" s="579"/>
      <c r="AQ1297" s="580"/>
      <c r="AR1297" s="580"/>
      <c r="AS1297" s="580"/>
      <c r="AT1297" s="580"/>
      <c r="AU1297" s="580"/>
      <c r="AV1297" s="580"/>
      <c r="AW1297" s="580"/>
      <c r="AX1297" s="580"/>
      <c r="AY1297" s="580"/>
      <c r="AZ1297" s="580"/>
      <c r="BA1297" s="580"/>
      <c r="BB1297" s="622"/>
      <c r="BC1297" s="622"/>
      <c r="BD1297" s="622"/>
      <c r="BE1297" s="622"/>
    </row>
    <row r="1298" customFormat="false" ht="14.1" hidden="true" customHeight="true" outlineLevel="1" collapsed="false">
      <c r="A1298" s="163" t="s">
        <v>833</v>
      </c>
      <c r="B1298" s="119" t="s">
        <v>113</v>
      </c>
      <c r="C1298" s="252" t="n">
        <v>3000</v>
      </c>
      <c r="D1298" s="275"/>
      <c r="E1298" s="138"/>
      <c r="F1298" s="138"/>
      <c r="G1298" s="243"/>
      <c r="H1298" s="257"/>
      <c r="I1298" s="257"/>
      <c r="J1298" s="257"/>
      <c r="K1298" s="257"/>
      <c r="L1298" s="257"/>
      <c r="M1298" s="257"/>
      <c r="N1298" s="257"/>
      <c r="O1298" s="257"/>
      <c r="P1298" s="243"/>
      <c r="Q1298" s="243"/>
      <c r="R1298" s="577"/>
      <c r="S1298" s="577"/>
      <c r="T1298" s="577"/>
      <c r="U1298" s="577"/>
      <c r="V1298" s="577"/>
      <c r="W1298" s="577"/>
      <c r="X1298" s="577"/>
      <c r="Y1298" s="577"/>
      <c r="Z1298" s="577"/>
      <c r="AA1298" s="577"/>
      <c r="AB1298" s="577"/>
      <c r="AC1298" s="577"/>
      <c r="AD1298" s="577"/>
      <c r="AE1298" s="577"/>
      <c r="AF1298" s="577"/>
      <c r="AG1298" s="577"/>
      <c r="AH1298" s="578"/>
      <c r="AI1298" s="578"/>
      <c r="AJ1298" s="578"/>
      <c r="AK1298" s="578"/>
      <c r="AL1298" s="578"/>
      <c r="AM1298" s="578"/>
      <c r="AN1298" s="578"/>
      <c r="AO1298" s="579"/>
      <c r="AP1298" s="579"/>
      <c r="AQ1298" s="580"/>
      <c r="AR1298" s="580"/>
      <c r="AS1298" s="580"/>
      <c r="AT1298" s="580"/>
      <c r="AU1298" s="580"/>
      <c r="AV1298" s="580"/>
      <c r="AW1298" s="580"/>
      <c r="AX1298" s="580"/>
      <c r="AY1298" s="580"/>
      <c r="AZ1298" s="580"/>
      <c r="BA1298" s="580"/>
      <c r="BB1298" s="622"/>
      <c r="BC1298" s="622"/>
      <c r="BD1298" s="622"/>
      <c r="BE1298" s="622"/>
    </row>
    <row r="1299" customFormat="false" ht="14.1" hidden="true" customHeight="true" outlineLevel="1" collapsed="false">
      <c r="A1299" s="138"/>
      <c r="B1299" s="235"/>
      <c r="C1299" s="275"/>
      <c r="D1299" s="275"/>
      <c r="E1299" s="138"/>
      <c r="F1299" s="138"/>
      <c r="G1299" s="243"/>
      <c r="H1299" s="257"/>
      <c r="I1299" s="257"/>
      <c r="J1299" s="257"/>
      <c r="K1299" s="257"/>
      <c r="L1299" s="257"/>
      <c r="M1299" s="257"/>
      <c r="N1299" s="257"/>
      <c r="O1299" s="257"/>
      <c r="P1299" s="243"/>
      <c r="Q1299" s="243"/>
      <c r="R1299" s="577"/>
      <c r="S1299" s="577"/>
      <c r="T1299" s="577"/>
      <c r="U1299" s="577"/>
      <c r="V1299" s="577"/>
      <c r="W1299" s="577"/>
      <c r="X1299" s="577"/>
      <c r="Y1299" s="577"/>
      <c r="Z1299" s="577"/>
      <c r="AA1299" s="577"/>
      <c r="AB1299" s="577"/>
      <c r="AC1299" s="577"/>
      <c r="AD1299" s="577"/>
      <c r="AE1299" s="577"/>
      <c r="AF1299" s="577"/>
      <c r="AG1299" s="577"/>
      <c r="AH1299" s="578"/>
      <c r="AI1299" s="578"/>
      <c r="AJ1299" s="578"/>
      <c r="AK1299" s="578"/>
      <c r="AL1299" s="578"/>
      <c r="AM1299" s="578"/>
      <c r="AN1299" s="578"/>
      <c r="AO1299" s="579"/>
      <c r="AP1299" s="579"/>
      <c r="AQ1299" s="580"/>
      <c r="AR1299" s="580"/>
      <c r="AS1299" s="580"/>
      <c r="AT1299" s="580"/>
      <c r="AU1299" s="580"/>
      <c r="AV1299" s="580"/>
      <c r="AW1299" s="580"/>
      <c r="AX1299" s="580"/>
      <c r="AY1299" s="580"/>
      <c r="AZ1299" s="580"/>
      <c r="BA1299" s="580"/>
      <c r="BB1299" s="622"/>
      <c r="BC1299" s="622"/>
      <c r="BD1299" s="622"/>
      <c r="BE1299" s="622"/>
    </row>
    <row r="1300" customFormat="false" ht="14.1" hidden="false" customHeight="true" outlineLevel="0" collapsed="false">
      <c r="A1300" s="628" t="s">
        <v>834</v>
      </c>
      <c r="B1300" s="628"/>
      <c r="C1300" s="628"/>
      <c r="D1300" s="628"/>
      <c r="E1300" s="628"/>
      <c r="F1300" s="428" t="s">
        <v>44</v>
      </c>
      <c r="G1300" s="26"/>
      <c r="H1300" s="437"/>
      <c r="I1300" s="437"/>
      <c r="J1300" s="437"/>
      <c r="K1300" s="437"/>
      <c r="L1300" s="437"/>
      <c r="M1300" s="257"/>
      <c r="N1300" s="257"/>
      <c r="O1300" s="257"/>
      <c r="P1300" s="577"/>
      <c r="Q1300" s="165"/>
      <c r="R1300" s="577"/>
      <c r="S1300" s="577"/>
      <c r="T1300" s="577"/>
      <c r="U1300" s="577"/>
      <c r="V1300" s="577"/>
      <c r="W1300" s="577"/>
      <c r="X1300" s="577"/>
      <c r="Y1300" s="577"/>
      <c r="Z1300" s="577"/>
      <c r="AA1300" s="577"/>
      <c r="AB1300" s="577"/>
      <c r="AC1300" s="577"/>
      <c r="AD1300" s="577"/>
      <c r="AE1300" s="577"/>
      <c r="AF1300" s="577"/>
      <c r="AG1300" s="577"/>
      <c r="AH1300" s="578"/>
      <c r="AI1300" s="578"/>
      <c r="AJ1300" s="578"/>
      <c r="AK1300" s="578"/>
      <c r="AL1300" s="578"/>
      <c r="AM1300" s="578"/>
      <c r="AN1300" s="578"/>
      <c r="AO1300" s="579"/>
      <c r="AP1300" s="579"/>
      <c r="AQ1300" s="580"/>
      <c r="AR1300" s="580"/>
      <c r="AS1300" s="580"/>
      <c r="AT1300" s="580"/>
      <c r="AU1300" s="580"/>
      <c r="AV1300" s="127" t="n">
        <f aca="false">M1300</f>
        <v>0</v>
      </c>
      <c r="AW1300" s="580"/>
      <c r="AX1300" s="580"/>
      <c r="AY1300" s="580"/>
      <c r="AZ1300" s="580"/>
      <c r="BA1300" s="580"/>
      <c r="BB1300" s="622"/>
      <c r="BC1300" s="622"/>
      <c r="BD1300" s="622"/>
      <c r="BE1300" s="622"/>
    </row>
    <row r="1301" s="35" customFormat="true" ht="14.1" hidden="false" customHeight="true" outlineLevel="0" collapsed="false">
      <c r="A1301" s="577"/>
      <c r="B1301" s="602"/>
      <c r="C1301" s="577"/>
      <c r="D1301" s="577"/>
      <c r="E1301" s="577"/>
      <c r="F1301" s="577"/>
      <c r="G1301" s="577"/>
      <c r="H1301" s="583"/>
      <c r="I1301" s="577"/>
      <c r="J1301" s="577"/>
      <c r="K1301" s="577"/>
      <c r="L1301" s="577"/>
      <c r="M1301" s="577"/>
      <c r="N1301" s="577"/>
      <c r="O1301" s="577"/>
      <c r="P1301" s="577"/>
      <c r="Q1301" s="577"/>
      <c r="R1301" s="577"/>
      <c r="S1301" s="577"/>
      <c r="T1301" s="577"/>
      <c r="U1301" s="577"/>
      <c r="V1301" s="577"/>
      <c r="W1301" s="577"/>
      <c r="X1301" s="577"/>
      <c r="Y1301" s="577"/>
      <c r="Z1301" s="577"/>
      <c r="AA1301" s="577"/>
      <c r="AB1301" s="577"/>
      <c r="AC1301" s="577"/>
      <c r="AD1301" s="577"/>
      <c r="AE1301" s="577"/>
      <c r="AF1301" s="577"/>
      <c r="AG1301" s="577"/>
      <c r="AH1301" s="578"/>
      <c r="AI1301" s="578"/>
      <c r="AJ1301" s="578"/>
      <c r="AK1301" s="578"/>
      <c r="AL1301" s="578"/>
      <c r="AM1301" s="578"/>
      <c r="AN1301" s="578"/>
      <c r="AO1301" s="579"/>
      <c r="AP1301" s="579"/>
      <c r="AQ1301" s="580"/>
      <c r="AR1301" s="580"/>
      <c r="AS1301" s="580"/>
      <c r="AT1301" s="580"/>
      <c r="AU1301" s="580"/>
      <c r="AV1301" s="580"/>
      <c r="AW1301" s="580"/>
      <c r="AX1301" s="580"/>
      <c r="AY1301" s="580"/>
      <c r="AZ1301" s="580"/>
      <c r="BA1301" s="580"/>
      <c r="BB1301" s="580"/>
      <c r="BC1301" s="580"/>
      <c r="BD1301" s="580"/>
      <c r="BE1301" s="580"/>
      <c r="BF1301" s="156"/>
    </row>
    <row r="1302" customFormat="false" ht="14.1" hidden="true" customHeight="true" outlineLevel="1" collapsed="false">
      <c r="A1302" s="629" t="s">
        <v>835</v>
      </c>
      <c r="B1302" s="629"/>
      <c r="C1302" s="629"/>
      <c r="D1302" s="629"/>
      <c r="E1302" s="629"/>
      <c r="F1302" s="629"/>
      <c r="G1302" s="629"/>
      <c r="H1302" s="440"/>
      <c r="I1302" s="440"/>
      <c r="J1302" s="440"/>
      <c r="K1302" s="440"/>
      <c r="L1302" s="440"/>
      <c r="M1302" s="440"/>
      <c r="N1302" s="440"/>
      <c r="O1302" s="440"/>
      <c r="P1302" s="440"/>
      <c r="Q1302" s="440"/>
      <c r="R1302" s="440"/>
      <c r="S1302" s="440"/>
      <c r="T1302" s="440"/>
      <c r="U1302" s="440"/>
      <c r="V1302" s="440"/>
      <c r="W1302" s="440"/>
      <c r="X1302" s="440"/>
      <c r="Y1302" s="440"/>
      <c r="Z1302" s="440"/>
      <c r="AA1302" s="440"/>
      <c r="AB1302" s="440"/>
      <c r="AC1302" s="440"/>
      <c r="AD1302" s="440"/>
      <c r="AE1302" s="440"/>
      <c r="AF1302" s="440"/>
      <c r="AG1302" s="440"/>
      <c r="AH1302" s="584"/>
      <c r="AI1302" s="584"/>
      <c r="AJ1302" s="578"/>
      <c r="AK1302" s="578"/>
      <c r="AL1302" s="578"/>
      <c r="AM1302" s="578"/>
      <c r="AN1302" s="578"/>
      <c r="AO1302" s="579"/>
      <c r="AP1302" s="579"/>
      <c r="AQ1302" s="580"/>
      <c r="AR1302" s="580"/>
      <c r="AS1302" s="580"/>
      <c r="AT1302" s="580"/>
      <c r="AU1302" s="580"/>
      <c r="AV1302" s="580"/>
      <c r="AW1302" s="580"/>
      <c r="AX1302" s="580"/>
      <c r="AY1302" s="580"/>
      <c r="AZ1302" s="580"/>
      <c r="BA1302" s="580"/>
      <c r="BB1302" s="622"/>
      <c r="BC1302" s="622"/>
      <c r="BD1302" s="622"/>
      <c r="BE1302" s="622"/>
    </row>
    <row r="1303" customFormat="false" ht="14.1" hidden="true" customHeight="true" outlineLevel="1" collapsed="false">
      <c r="A1303" s="629"/>
      <c r="B1303" s="629"/>
      <c r="C1303" s="629"/>
      <c r="D1303" s="629"/>
      <c r="E1303" s="629"/>
      <c r="F1303" s="629"/>
      <c r="G1303" s="629"/>
      <c r="H1303" s="440"/>
      <c r="I1303" s="440"/>
      <c r="J1303" s="440"/>
      <c r="K1303" s="440"/>
      <c r="L1303" s="440"/>
      <c r="M1303" s="440"/>
      <c r="N1303" s="440"/>
      <c r="O1303" s="440"/>
      <c r="P1303" s="440"/>
      <c r="Q1303" s="440"/>
      <c r="R1303" s="440"/>
      <c r="S1303" s="440"/>
      <c r="T1303" s="440"/>
      <c r="U1303" s="440"/>
      <c r="V1303" s="440"/>
      <c r="W1303" s="440"/>
      <c r="X1303" s="440"/>
      <c r="Y1303" s="440"/>
      <c r="Z1303" s="440"/>
      <c r="AA1303" s="440"/>
      <c r="AB1303" s="440"/>
      <c r="AC1303" s="440"/>
      <c r="AD1303" s="440"/>
      <c r="AE1303" s="440"/>
      <c r="AF1303" s="440"/>
      <c r="AG1303" s="440"/>
      <c r="AH1303" s="584"/>
      <c r="AI1303" s="584"/>
      <c r="AJ1303" s="578"/>
      <c r="AK1303" s="578"/>
      <c r="AL1303" s="578"/>
      <c r="AM1303" s="578"/>
      <c r="AN1303" s="578"/>
      <c r="AO1303" s="579"/>
      <c r="AP1303" s="579"/>
      <c r="AQ1303" s="580"/>
      <c r="AR1303" s="580"/>
      <c r="AS1303" s="580"/>
      <c r="AT1303" s="580"/>
      <c r="AU1303" s="580"/>
      <c r="AV1303" s="580"/>
      <c r="AW1303" s="580"/>
      <c r="AX1303" s="580"/>
      <c r="AY1303" s="580"/>
      <c r="AZ1303" s="580"/>
      <c r="BA1303" s="580"/>
      <c r="BB1303" s="622"/>
      <c r="BC1303" s="622"/>
      <c r="BD1303" s="622"/>
      <c r="BE1303" s="622"/>
    </row>
    <row r="1304" customFormat="false" ht="14.1" hidden="true" customHeight="true" outlineLevel="1" collapsed="false">
      <c r="A1304" s="393" t="s">
        <v>461</v>
      </c>
      <c r="B1304" s="570"/>
      <c r="C1304" s="571"/>
      <c r="D1304" s="348" t="n">
        <v>1</v>
      </c>
      <c r="E1304" s="138"/>
      <c r="F1304" s="138"/>
      <c r="G1304" s="468"/>
      <c r="H1304" s="468"/>
      <c r="I1304" s="468"/>
      <c r="J1304" s="468"/>
      <c r="K1304" s="468"/>
      <c r="L1304" s="468"/>
      <c r="M1304" s="468"/>
      <c r="N1304" s="468"/>
      <c r="O1304" s="468"/>
      <c r="P1304" s="468"/>
      <c r="Q1304" s="468"/>
      <c r="R1304" s="468"/>
      <c r="S1304" s="468"/>
      <c r="T1304" s="468"/>
      <c r="U1304" s="468"/>
      <c r="V1304" s="468"/>
      <c r="W1304" s="468"/>
      <c r="X1304" s="468"/>
      <c r="Y1304" s="468"/>
      <c r="Z1304" s="468"/>
      <c r="AA1304" s="468"/>
      <c r="AB1304" s="468"/>
      <c r="AC1304" s="468"/>
      <c r="AD1304" s="468"/>
      <c r="AE1304" s="468"/>
      <c r="AF1304" s="243"/>
      <c r="AG1304" s="243"/>
      <c r="AH1304" s="29"/>
      <c r="AI1304" s="568"/>
      <c r="AJ1304" s="578"/>
      <c r="AK1304" s="578"/>
      <c r="AL1304" s="578"/>
      <c r="AM1304" s="578"/>
      <c r="AN1304" s="578"/>
      <c r="AO1304" s="579"/>
      <c r="AP1304" s="579"/>
      <c r="AQ1304" s="580"/>
      <c r="AR1304" s="580"/>
      <c r="AS1304" s="580"/>
      <c r="AT1304" s="580"/>
      <c r="AU1304" s="580"/>
      <c r="AV1304" s="580"/>
      <c r="AW1304" s="580"/>
      <c r="AX1304" s="580"/>
      <c r="AY1304" s="580"/>
      <c r="AZ1304" s="580"/>
      <c r="BA1304" s="580"/>
      <c r="BB1304" s="581"/>
      <c r="BC1304" s="581"/>
      <c r="BD1304" s="581"/>
      <c r="BE1304" s="581"/>
    </row>
    <row r="1305" customFormat="false" ht="14.1" hidden="true" customHeight="true" outlineLevel="1" collapsed="false">
      <c r="A1305" s="393" t="s">
        <v>462</v>
      </c>
      <c r="B1305" s="570"/>
      <c r="C1305" s="571"/>
      <c r="D1305" s="348" t="n">
        <v>1</v>
      </c>
      <c r="E1305" s="138"/>
      <c r="F1305" s="138"/>
      <c r="G1305" s="468"/>
      <c r="H1305" s="468"/>
      <c r="I1305" s="468"/>
      <c r="J1305" s="468"/>
      <c r="K1305" s="468"/>
      <c r="L1305" s="468"/>
      <c r="M1305" s="468"/>
      <c r="N1305" s="468"/>
      <c r="O1305" s="468"/>
      <c r="P1305" s="468"/>
      <c r="Q1305" s="468"/>
      <c r="R1305" s="468"/>
      <c r="S1305" s="468"/>
      <c r="T1305" s="468"/>
      <c r="U1305" s="468"/>
      <c r="V1305" s="468"/>
      <c r="W1305" s="468"/>
      <c r="X1305" s="468"/>
      <c r="Y1305" s="468"/>
      <c r="Z1305" s="468"/>
      <c r="AA1305" s="468"/>
      <c r="AB1305" s="468"/>
      <c r="AC1305" s="468"/>
      <c r="AD1305" s="468"/>
      <c r="AE1305" s="468"/>
      <c r="AF1305" s="243"/>
      <c r="AG1305" s="243"/>
      <c r="AH1305" s="29"/>
      <c r="AI1305" s="29"/>
      <c r="AJ1305" s="578"/>
      <c r="AK1305" s="578"/>
      <c r="AL1305" s="578"/>
      <c r="AM1305" s="578"/>
      <c r="AN1305" s="578"/>
      <c r="AO1305" s="579"/>
      <c r="AP1305" s="579"/>
      <c r="AQ1305" s="580"/>
      <c r="AR1305" s="580"/>
      <c r="AS1305" s="580"/>
      <c r="AT1305" s="580"/>
      <c r="AU1305" s="580"/>
      <c r="AV1305" s="580"/>
      <c r="AW1305" s="580"/>
      <c r="AX1305" s="580"/>
      <c r="AY1305" s="580"/>
      <c r="AZ1305" s="580"/>
      <c r="BA1305" s="580"/>
      <c r="BB1305" s="581"/>
      <c r="BC1305" s="581"/>
      <c r="BD1305" s="581"/>
      <c r="BE1305" s="581"/>
    </row>
    <row r="1306" customFormat="false" ht="14.1" hidden="true" customHeight="true" outlineLevel="1" collapsed="false">
      <c r="A1306" s="138"/>
      <c r="B1306" s="481"/>
      <c r="C1306" s="467"/>
      <c r="D1306" s="467"/>
      <c r="E1306" s="467"/>
      <c r="F1306" s="467"/>
      <c r="G1306" s="468"/>
      <c r="H1306" s="468"/>
      <c r="I1306" s="468"/>
      <c r="J1306" s="468"/>
      <c r="K1306" s="468"/>
      <c r="L1306" s="468"/>
      <c r="M1306" s="468"/>
      <c r="N1306" s="468"/>
      <c r="O1306" s="468"/>
      <c r="P1306" s="468"/>
      <c r="Q1306" s="468"/>
      <c r="R1306" s="468"/>
      <c r="S1306" s="468"/>
      <c r="T1306" s="468"/>
      <c r="U1306" s="468"/>
      <c r="V1306" s="468"/>
      <c r="W1306" s="468"/>
      <c r="X1306" s="468"/>
      <c r="Y1306" s="384"/>
      <c r="Z1306" s="384"/>
      <c r="AA1306" s="383"/>
      <c r="AB1306" s="384"/>
      <c r="AC1306" s="384"/>
      <c r="AD1306" s="384"/>
      <c r="AE1306" s="384"/>
      <c r="AF1306" s="243"/>
      <c r="AG1306" s="243"/>
      <c r="AH1306" s="29"/>
      <c r="AI1306" s="29"/>
      <c r="AJ1306" s="578"/>
      <c r="AK1306" s="578"/>
      <c r="AL1306" s="578"/>
      <c r="AM1306" s="578"/>
      <c r="AN1306" s="578"/>
      <c r="AO1306" s="579"/>
      <c r="AP1306" s="579"/>
      <c r="AQ1306" s="580"/>
      <c r="AR1306" s="580"/>
      <c r="AS1306" s="580"/>
      <c r="AT1306" s="580"/>
      <c r="AU1306" s="580"/>
      <c r="AV1306" s="580"/>
      <c r="AW1306" s="580"/>
      <c r="AX1306" s="580"/>
      <c r="AY1306" s="580"/>
      <c r="AZ1306" s="580"/>
      <c r="BA1306" s="580"/>
      <c r="BB1306" s="581"/>
      <c r="BC1306" s="581"/>
      <c r="BD1306" s="581"/>
      <c r="BE1306" s="581"/>
    </row>
    <row r="1307" customFormat="false" ht="14.1" hidden="true" customHeight="true" outlineLevel="1" collapsed="false">
      <c r="A1307" s="418" t="s">
        <v>836</v>
      </c>
      <c r="B1307" s="180" t="s">
        <v>12</v>
      </c>
      <c r="C1307" s="292" t="s">
        <v>13</v>
      </c>
      <c r="D1307" s="467"/>
      <c r="E1307" s="467"/>
      <c r="F1307" s="467"/>
      <c r="G1307" s="468"/>
      <c r="H1307" s="468"/>
      <c r="I1307" s="468"/>
      <c r="J1307" s="468"/>
      <c r="K1307" s="468"/>
      <c r="L1307" s="468"/>
      <c r="M1307" s="468"/>
      <c r="N1307" s="468"/>
      <c r="O1307" s="468"/>
      <c r="P1307" s="468"/>
      <c r="Q1307" s="468"/>
      <c r="R1307" s="468"/>
      <c r="S1307" s="468"/>
      <c r="T1307" s="468"/>
      <c r="U1307" s="468"/>
      <c r="V1307" s="468"/>
      <c r="W1307" s="468"/>
      <c r="X1307" s="468"/>
      <c r="Y1307" s="384"/>
      <c r="Z1307" s="384"/>
      <c r="AA1307" s="384"/>
      <c r="AB1307" s="384"/>
      <c r="AC1307" s="384"/>
      <c r="AD1307" s="384"/>
      <c r="AE1307" s="384"/>
      <c r="AF1307" s="243"/>
      <c r="AG1307" s="243"/>
      <c r="AH1307" s="29"/>
      <c r="AI1307" s="29"/>
      <c r="AJ1307" s="578"/>
      <c r="AK1307" s="578"/>
      <c r="AL1307" s="578"/>
      <c r="AM1307" s="578"/>
      <c r="AN1307" s="578"/>
      <c r="AO1307" s="579"/>
      <c r="AP1307" s="579"/>
      <c r="AQ1307" s="580"/>
      <c r="AR1307" s="580"/>
      <c r="AS1307" s="580"/>
      <c r="AT1307" s="580"/>
      <c r="AU1307" s="580"/>
      <c r="AV1307" s="580"/>
      <c r="AW1307" s="580"/>
      <c r="AX1307" s="580"/>
      <c r="AY1307" s="580"/>
      <c r="AZ1307" s="580"/>
      <c r="BA1307" s="580"/>
      <c r="BB1307" s="581"/>
      <c r="BC1307" s="581"/>
      <c r="BD1307" s="581"/>
      <c r="BE1307" s="581"/>
    </row>
    <row r="1308" customFormat="false" ht="14.1" hidden="true" customHeight="true" outlineLevel="1" collapsed="false">
      <c r="A1308" s="635" t="s">
        <v>837</v>
      </c>
      <c r="B1308" s="635" t="s">
        <v>493</v>
      </c>
      <c r="C1308" s="419" t="s">
        <v>44</v>
      </c>
      <c r="D1308" s="386"/>
      <c r="E1308" s="138"/>
      <c r="F1308" s="138"/>
      <c r="G1308" s="26"/>
      <c r="H1308" s="389"/>
      <c r="I1308" s="241"/>
      <c r="J1308" s="241"/>
      <c r="K1308" s="636"/>
      <c r="L1308" s="522"/>
      <c r="M1308" s="522"/>
      <c r="N1308" s="522"/>
      <c r="O1308" s="522"/>
      <c r="P1308" s="243"/>
      <c r="Q1308" s="243"/>
      <c r="R1308" s="577"/>
      <c r="S1308" s="577"/>
      <c r="T1308" s="577"/>
      <c r="U1308" s="577"/>
      <c r="V1308" s="577"/>
      <c r="W1308" s="577"/>
      <c r="X1308" s="577"/>
      <c r="Y1308" s="577"/>
      <c r="Z1308" s="577"/>
      <c r="AA1308" s="577"/>
      <c r="AB1308" s="577"/>
      <c r="AC1308" s="577"/>
      <c r="AD1308" s="577"/>
      <c r="AE1308" s="577"/>
      <c r="AF1308" s="577"/>
      <c r="AG1308" s="577"/>
      <c r="AH1308" s="578"/>
      <c r="AI1308" s="578"/>
      <c r="AJ1308" s="578"/>
      <c r="AK1308" s="578"/>
      <c r="AL1308" s="578"/>
      <c r="AM1308" s="578"/>
      <c r="AN1308" s="578"/>
      <c r="AO1308" s="579"/>
      <c r="AP1308" s="579"/>
      <c r="AQ1308" s="580"/>
      <c r="AR1308" s="580"/>
      <c r="AS1308" s="580"/>
      <c r="AT1308" s="580"/>
      <c r="AU1308" s="580"/>
      <c r="AV1308" s="580"/>
      <c r="AW1308" s="580"/>
      <c r="AX1308" s="580"/>
      <c r="AY1308" s="580"/>
      <c r="AZ1308" s="580"/>
      <c r="BA1308" s="580"/>
      <c r="BB1308" s="622"/>
      <c r="BC1308" s="622"/>
      <c r="BD1308" s="622"/>
      <c r="BE1308" s="622"/>
    </row>
    <row r="1309" customFormat="false" ht="14.1" hidden="true" customHeight="true" outlineLevel="1" collapsed="false">
      <c r="A1309" s="164" t="s">
        <v>838</v>
      </c>
      <c r="B1309" s="635" t="s">
        <v>493</v>
      </c>
      <c r="C1309" s="419" t="s">
        <v>56</v>
      </c>
      <c r="D1309" s="386"/>
      <c r="E1309" s="138"/>
      <c r="F1309" s="138"/>
      <c r="G1309" s="26"/>
      <c r="H1309" s="389"/>
      <c r="I1309" s="243"/>
      <c r="J1309" s="243"/>
      <c r="K1309" s="243"/>
      <c r="L1309" s="243"/>
      <c r="M1309" s="243"/>
      <c r="N1309" s="243"/>
      <c r="O1309" s="243"/>
      <c r="P1309" s="243"/>
      <c r="Q1309" s="243"/>
      <c r="R1309" s="577"/>
      <c r="S1309" s="577"/>
      <c r="T1309" s="577"/>
      <c r="U1309" s="577"/>
      <c r="V1309" s="577"/>
      <c r="W1309" s="577"/>
      <c r="X1309" s="577"/>
      <c r="Y1309" s="577"/>
      <c r="Z1309" s="577"/>
      <c r="AA1309" s="577"/>
      <c r="AB1309" s="577"/>
      <c r="AC1309" s="577"/>
      <c r="AD1309" s="577"/>
      <c r="AE1309" s="577"/>
      <c r="AF1309" s="577"/>
      <c r="AG1309" s="577"/>
      <c r="AH1309" s="578"/>
      <c r="AI1309" s="578"/>
      <c r="AJ1309" s="578"/>
      <c r="AK1309" s="578"/>
      <c r="AL1309" s="578"/>
      <c r="AM1309" s="578"/>
      <c r="AN1309" s="578"/>
      <c r="AO1309" s="579"/>
      <c r="AP1309" s="579"/>
      <c r="AQ1309" s="580"/>
      <c r="AR1309" s="580"/>
      <c r="AS1309" s="580"/>
      <c r="AT1309" s="580"/>
      <c r="AU1309" s="580"/>
      <c r="AV1309" s="580"/>
      <c r="AW1309" s="580"/>
      <c r="AX1309" s="580"/>
      <c r="AY1309" s="580"/>
      <c r="AZ1309" s="580"/>
      <c r="BA1309" s="580"/>
      <c r="BB1309" s="622"/>
      <c r="BC1309" s="622"/>
      <c r="BD1309" s="622"/>
      <c r="BE1309" s="622"/>
    </row>
    <row r="1310" customFormat="false" ht="14.1" hidden="true" customHeight="true" outlineLevel="1" collapsed="false">
      <c r="A1310" s="637" t="s">
        <v>839</v>
      </c>
      <c r="B1310" s="635" t="s">
        <v>493</v>
      </c>
      <c r="C1310" s="269"/>
      <c r="D1310" s="386"/>
      <c r="E1310" s="138"/>
      <c r="F1310" s="138"/>
      <c r="G1310" s="26"/>
      <c r="H1310" s="389"/>
      <c r="I1310" s="243"/>
      <c r="J1310" s="243"/>
      <c r="K1310" s="243"/>
      <c r="L1310" s="243"/>
      <c r="M1310" s="243"/>
      <c r="N1310" s="243"/>
      <c r="O1310" s="243"/>
      <c r="P1310" s="243"/>
      <c r="Q1310" s="243"/>
      <c r="R1310" s="577"/>
      <c r="S1310" s="577"/>
      <c r="T1310" s="577"/>
      <c r="U1310" s="577"/>
      <c r="V1310" s="577"/>
      <c r="W1310" s="577"/>
      <c r="X1310" s="577"/>
      <c r="Y1310" s="577"/>
      <c r="Z1310" s="577"/>
      <c r="AA1310" s="577"/>
      <c r="AB1310" s="577"/>
      <c r="AC1310" s="577"/>
      <c r="AD1310" s="577"/>
      <c r="AE1310" s="577"/>
      <c r="AF1310" s="577"/>
      <c r="AG1310" s="577"/>
      <c r="AH1310" s="578"/>
      <c r="AI1310" s="578"/>
      <c r="AJ1310" s="578"/>
      <c r="AK1310" s="578"/>
      <c r="AL1310" s="578"/>
      <c r="AM1310" s="578"/>
      <c r="AN1310" s="578"/>
      <c r="AO1310" s="579"/>
      <c r="AP1310" s="579"/>
      <c r="AQ1310" s="580"/>
      <c r="AR1310" s="580"/>
      <c r="AS1310" s="580"/>
      <c r="AT1310" s="580"/>
      <c r="AU1310" s="580"/>
      <c r="AV1310" s="580"/>
      <c r="AW1310" s="580"/>
      <c r="AX1310" s="580"/>
      <c r="AY1310" s="580"/>
      <c r="AZ1310" s="580"/>
      <c r="BA1310" s="580"/>
      <c r="BB1310" s="622"/>
      <c r="BC1310" s="622"/>
      <c r="BD1310" s="622"/>
      <c r="BE1310" s="622"/>
    </row>
    <row r="1311" customFormat="false" ht="14.1" hidden="true" customHeight="true" outlineLevel="1" collapsed="false">
      <c r="A1311" s="164" t="s">
        <v>840</v>
      </c>
      <c r="B1311" s="635" t="s">
        <v>493</v>
      </c>
      <c r="C1311" s="419" t="s">
        <v>56</v>
      </c>
      <c r="D1311" s="386"/>
      <c r="E1311" s="138"/>
      <c r="F1311" s="138"/>
      <c r="G1311" s="26"/>
      <c r="H1311" s="389"/>
      <c r="I1311" s="243"/>
      <c r="J1311" s="243"/>
      <c r="K1311" s="243"/>
      <c r="L1311" s="243"/>
      <c r="M1311" s="243"/>
      <c r="N1311" s="243"/>
      <c r="O1311" s="243"/>
      <c r="P1311" s="243"/>
      <c r="Q1311" s="243"/>
      <c r="R1311" s="577"/>
      <c r="S1311" s="577"/>
      <c r="T1311" s="577"/>
      <c r="U1311" s="577"/>
      <c r="V1311" s="577"/>
      <c r="W1311" s="577"/>
      <c r="X1311" s="577"/>
      <c r="Y1311" s="577"/>
      <c r="Z1311" s="577"/>
      <c r="AA1311" s="577"/>
      <c r="AB1311" s="577"/>
      <c r="AC1311" s="577"/>
      <c r="AD1311" s="577"/>
      <c r="AE1311" s="577"/>
      <c r="AF1311" s="577"/>
      <c r="AG1311" s="577"/>
      <c r="AH1311" s="578"/>
      <c r="AI1311" s="578"/>
      <c r="AJ1311" s="578"/>
      <c r="AK1311" s="578"/>
      <c r="AL1311" s="578"/>
      <c r="AM1311" s="578"/>
      <c r="AN1311" s="578"/>
      <c r="AO1311" s="579"/>
      <c r="AP1311" s="579"/>
      <c r="AQ1311" s="580"/>
      <c r="AR1311" s="580"/>
      <c r="AS1311" s="580"/>
      <c r="AT1311" s="580"/>
      <c r="AU1311" s="580"/>
      <c r="AV1311" s="580"/>
      <c r="AW1311" s="580"/>
      <c r="AX1311" s="580"/>
      <c r="AY1311" s="580"/>
      <c r="AZ1311" s="580"/>
      <c r="BA1311" s="580"/>
      <c r="BB1311" s="622"/>
      <c r="BC1311" s="622"/>
      <c r="BD1311" s="622"/>
      <c r="BE1311" s="622"/>
    </row>
    <row r="1312" customFormat="false" ht="14.1" hidden="true" customHeight="true" outlineLevel="1" collapsed="false">
      <c r="A1312" s="164" t="s">
        <v>841</v>
      </c>
      <c r="B1312" s="635" t="s">
        <v>493</v>
      </c>
      <c r="C1312" s="419" t="s">
        <v>56</v>
      </c>
      <c r="D1312" s="386"/>
      <c r="E1312" s="138"/>
      <c r="F1312" s="138"/>
      <c r="G1312" s="26"/>
      <c r="H1312" s="389"/>
      <c r="I1312" s="243"/>
      <c r="J1312" s="243"/>
      <c r="K1312" s="243"/>
      <c r="L1312" s="243"/>
      <c r="M1312" s="243"/>
      <c r="N1312" s="243"/>
      <c r="O1312" s="243"/>
      <c r="P1312" s="243"/>
      <c r="Q1312" s="243"/>
      <c r="R1312" s="577"/>
      <c r="S1312" s="577"/>
      <c r="T1312" s="577"/>
      <c r="U1312" s="577"/>
      <c r="V1312" s="577"/>
      <c r="W1312" s="577"/>
      <c r="X1312" s="577"/>
      <c r="Y1312" s="577"/>
      <c r="Z1312" s="577"/>
      <c r="AA1312" s="577"/>
      <c r="AB1312" s="577"/>
      <c r="AC1312" s="577"/>
      <c r="AD1312" s="577"/>
      <c r="AE1312" s="577"/>
      <c r="AF1312" s="577"/>
      <c r="AG1312" s="577"/>
      <c r="AH1312" s="578"/>
      <c r="AI1312" s="578"/>
      <c r="AJ1312" s="578"/>
      <c r="AK1312" s="578"/>
      <c r="AL1312" s="578"/>
      <c r="AM1312" s="578"/>
      <c r="AN1312" s="578"/>
      <c r="AO1312" s="579"/>
      <c r="AP1312" s="579"/>
      <c r="AQ1312" s="580"/>
      <c r="AR1312" s="580"/>
      <c r="AS1312" s="580"/>
      <c r="AT1312" s="580"/>
      <c r="AU1312" s="580"/>
      <c r="AV1312" s="580"/>
      <c r="AW1312" s="580"/>
      <c r="AX1312" s="580"/>
      <c r="AY1312" s="580"/>
      <c r="AZ1312" s="580"/>
      <c r="BA1312" s="580"/>
      <c r="BB1312" s="622"/>
      <c r="BC1312" s="622"/>
      <c r="BD1312" s="622"/>
      <c r="BE1312" s="622"/>
    </row>
    <row r="1313" customFormat="false" ht="14.1" hidden="true" customHeight="true" outlineLevel="1" collapsed="false">
      <c r="A1313" s="164" t="s">
        <v>842</v>
      </c>
      <c r="B1313" s="635" t="s">
        <v>493</v>
      </c>
      <c r="C1313" s="419" t="s">
        <v>56</v>
      </c>
      <c r="D1313" s="386"/>
      <c r="E1313" s="138"/>
      <c r="F1313" s="138"/>
      <c r="G1313" s="26"/>
      <c r="H1313" s="389"/>
      <c r="I1313" s="243"/>
      <c r="J1313" s="243"/>
      <c r="K1313" s="243"/>
      <c r="L1313" s="243"/>
      <c r="M1313" s="243"/>
      <c r="N1313" s="243"/>
      <c r="O1313" s="243"/>
      <c r="P1313" s="243"/>
      <c r="Q1313" s="243"/>
      <c r="R1313" s="577"/>
      <c r="S1313" s="577"/>
      <c r="T1313" s="577"/>
      <c r="U1313" s="577"/>
      <c r="V1313" s="577"/>
      <c r="W1313" s="577"/>
      <c r="X1313" s="577"/>
      <c r="Y1313" s="577"/>
      <c r="Z1313" s="577"/>
      <c r="AA1313" s="577"/>
      <c r="AB1313" s="577"/>
      <c r="AC1313" s="577"/>
      <c r="AD1313" s="577"/>
      <c r="AE1313" s="577"/>
      <c r="AF1313" s="577"/>
      <c r="AG1313" s="577"/>
      <c r="AH1313" s="578"/>
      <c r="AI1313" s="578"/>
      <c r="AJ1313" s="578"/>
      <c r="AK1313" s="578"/>
      <c r="AL1313" s="578"/>
      <c r="AM1313" s="578"/>
      <c r="AN1313" s="578"/>
      <c r="AO1313" s="579"/>
      <c r="AP1313" s="579"/>
      <c r="AQ1313" s="580"/>
      <c r="AR1313" s="580"/>
      <c r="AS1313" s="580"/>
      <c r="AT1313" s="580"/>
      <c r="AU1313" s="580"/>
      <c r="AV1313" s="580"/>
      <c r="AW1313" s="580"/>
      <c r="AX1313" s="580"/>
      <c r="AY1313" s="580"/>
      <c r="AZ1313" s="580"/>
      <c r="BA1313" s="580"/>
      <c r="BB1313" s="622"/>
      <c r="BC1313" s="622"/>
      <c r="BD1313" s="622"/>
      <c r="BE1313" s="622"/>
    </row>
    <row r="1314" customFormat="false" ht="14.1" hidden="true" customHeight="true" outlineLevel="1" collapsed="false">
      <c r="A1314" s="637" t="s">
        <v>843</v>
      </c>
      <c r="B1314" s="635" t="s">
        <v>493</v>
      </c>
      <c r="C1314" s="269"/>
      <c r="D1314" s="386"/>
      <c r="E1314" s="138"/>
      <c r="F1314" s="138"/>
      <c r="G1314" s="26"/>
      <c r="H1314" s="389"/>
      <c r="I1314" s="243"/>
      <c r="J1314" s="243"/>
      <c r="K1314" s="243"/>
      <c r="L1314" s="243"/>
      <c r="M1314" s="243"/>
      <c r="N1314" s="243"/>
      <c r="O1314" s="243"/>
      <c r="P1314" s="243"/>
      <c r="Q1314" s="243"/>
      <c r="R1314" s="577"/>
      <c r="S1314" s="577"/>
      <c r="T1314" s="577"/>
      <c r="U1314" s="577"/>
      <c r="V1314" s="577"/>
      <c r="W1314" s="577"/>
      <c r="X1314" s="577"/>
      <c r="Y1314" s="577"/>
      <c r="Z1314" s="577"/>
      <c r="AA1314" s="577"/>
      <c r="AB1314" s="577"/>
      <c r="AC1314" s="577"/>
      <c r="AD1314" s="577"/>
      <c r="AE1314" s="577"/>
      <c r="AF1314" s="577"/>
      <c r="AG1314" s="577"/>
      <c r="AH1314" s="578"/>
      <c r="AI1314" s="578"/>
      <c r="AJ1314" s="578"/>
      <c r="AK1314" s="578"/>
      <c r="AL1314" s="578"/>
      <c r="AM1314" s="578"/>
      <c r="AN1314" s="578"/>
      <c r="AO1314" s="579"/>
      <c r="AP1314" s="579"/>
      <c r="AQ1314" s="580"/>
      <c r="AR1314" s="580"/>
      <c r="AS1314" s="580"/>
      <c r="AT1314" s="580"/>
      <c r="AU1314" s="580"/>
      <c r="AV1314" s="580"/>
      <c r="AW1314" s="580"/>
      <c r="AX1314" s="580"/>
      <c r="AY1314" s="580"/>
      <c r="AZ1314" s="580"/>
      <c r="BA1314" s="580"/>
      <c r="BB1314" s="622"/>
      <c r="BC1314" s="622"/>
      <c r="BD1314" s="622"/>
      <c r="BE1314" s="622"/>
    </row>
    <row r="1315" customFormat="false" ht="14.1" hidden="true" customHeight="true" outlineLevel="1" collapsed="false">
      <c r="A1315" s="635" t="s">
        <v>844</v>
      </c>
      <c r="B1315" s="635" t="s">
        <v>493</v>
      </c>
      <c r="C1315" s="419" t="s">
        <v>44</v>
      </c>
      <c r="D1315" s="386"/>
      <c r="E1315" s="138"/>
      <c r="F1315" s="138"/>
      <c r="G1315" s="26"/>
      <c r="H1315" s="257"/>
      <c r="I1315" s="241"/>
      <c r="J1315" s="241"/>
      <c r="K1315" s="636"/>
      <c r="L1315" s="522"/>
      <c r="M1315" s="522"/>
      <c r="N1315" s="522"/>
      <c r="O1315" s="522"/>
      <c r="P1315" s="243"/>
      <c r="Q1315" s="243"/>
      <c r="R1315" s="577"/>
      <c r="S1315" s="577"/>
      <c r="T1315" s="577"/>
      <c r="U1315" s="577"/>
      <c r="V1315" s="577"/>
      <c r="W1315" s="577"/>
      <c r="X1315" s="577"/>
      <c r="Y1315" s="577"/>
      <c r="Z1315" s="577"/>
      <c r="AA1315" s="577"/>
      <c r="AB1315" s="577"/>
      <c r="AC1315" s="577"/>
      <c r="AD1315" s="577"/>
      <c r="AE1315" s="577"/>
      <c r="AF1315" s="577"/>
      <c r="AG1315" s="577"/>
      <c r="AH1315" s="578"/>
      <c r="AI1315" s="578"/>
      <c r="AJ1315" s="578"/>
      <c r="AK1315" s="578"/>
      <c r="AL1315" s="578"/>
      <c r="AM1315" s="578"/>
      <c r="AN1315" s="578"/>
      <c r="AO1315" s="579"/>
      <c r="AP1315" s="579"/>
      <c r="AQ1315" s="580"/>
      <c r="AR1315" s="580"/>
      <c r="AS1315" s="580"/>
      <c r="AT1315" s="580"/>
      <c r="AU1315" s="580"/>
      <c r="AV1315" s="580"/>
      <c r="AW1315" s="580"/>
      <c r="AX1315" s="580"/>
      <c r="AY1315" s="580"/>
      <c r="AZ1315" s="580"/>
      <c r="BA1315" s="580"/>
      <c r="BB1315" s="622"/>
      <c r="BC1315" s="622"/>
      <c r="BD1315" s="622"/>
      <c r="BE1315" s="622"/>
    </row>
    <row r="1316" customFormat="false" ht="14.1" hidden="true" customHeight="true" outlineLevel="1" collapsed="false">
      <c r="A1316" s="164" t="s">
        <v>845</v>
      </c>
      <c r="B1316" s="635" t="s">
        <v>493</v>
      </c>
      <c r="C1316" s="419" t="s">
        <v>56</v>
      </c>
      <c r="D1316" s="386"/>
      <c r="E1316" s="138"/>
      <c r="F1316" s="138"/>
      <c r="G1316" s="26"/>
      <c r="H1316" s="389"/>
      <c r="I1316" s="243"/>
      <c r="J1316" s="243"/>
      <c r="K1316" s="243"/>
      <c r="L1316" s="243"/>
      <c r="M1316" s="243"/>
      <c r="N1316" s="243"/>
      <c r="O1316" s="243"/>
      <c r="P1316" s="243"/>
      <c r="Q1316" s="243"/>
      <c r="R1316" s="577"/>
      <c r="S1316" s="577"/>
      <c r="T1316" s="577"/>
      <c r="U1316" s="577"/>
      <c r="V1316" s="577"/>
      <c r="W1316" s="577"/>
      <c r="X1316" s="577"/>
      <c r="Y1316" s="577"/>
      <c r="Z1316" s="577"/>
      <c r="AA1316" s="577"/>
      <c r="AB1316" s="577"/>
      <c r="AC1316" s="577"/>
      <c r="AD1316" s="577"/>
      <c r="AE1316" s="577"/>
      <c r="AF1316" s="577"/>
      <c r="AG1316" s="577"/>
      <c r="AH1316" s="578"/>
      <c r="AI1316" s="578"/>
      <c r="AJ1316" s="578"/>
      <c r="AK1316" s="578"/>
      <c r="AL1316" s="578"/>
      <c r="AM1316" s="578"/>
      <c r="AN1316" s="578"/>
      <c r="AO1316" s="579"/>
      <c r="AP1316" s="579"/>
      <c r="AQ1316" s="580"/>
      <c r="AR1316" s="580"/>
      <c r="AS1316" s="580"/>
      <c r="AT1316" s="580"/>
      <c r="AU1316" s="580"/>
      <c r="AV1316" s="580"/>
      <c r="AW1316" s="580"/>
      <c r="AX1316" s="580"/>
      <c r="AY1316" s="580"/>
      <c r="AZ1316" s="580"/>
      <c r="BA1316" s="580"/>
      <c r="BB1316" s="622"/>
      <c r="BC1316" s="622"/>
      <c r="BD1316" s="622"/>
      <c r="BE1316" s="622"/>
    </row>
    <row r="1317" customFormat="false" ht="14.1" hidden="true" customHeight="true" outlineLevel="1" collapsed="false">
      <c r="A1317" s="637" t="s">
        <v>839</v>
      </c>
      <c r="B1317" s="638" t="s">
        <v>493</v>
      </c>
      <c r="C1317" s="269"/>
      <c r="D1317" s="386"/>
      <c r="E1317" s="138"/>
      <c r="F1317" s="138"/>
      <c r="G1317" s="26"/>
      <c r="H1317" s="389"/>
      <c r="I1317" s="243"/>
      <c r="J1317" s="243"/>
      <c r="K1317" s="243"/>
      <c r="L1317" s="243"/>
      <c r="M1317" s="243"/>
      <c r="N1317" s="243"/>
      <c r="O1317" s="243"/>
      <c r="P1317" s="243"/>
      <c r="Q1317" s="243"/>
      <c r="R1317" s="577"/>
      <c r="S1317" s="577"/>
      <c r="T1317" s="577"/>
      <c r="U1317" s="577"/>
      <c r="V1317" s="577"/>
      <c r="W1317" s="577"/>
      <c r="X1317" s="577"/>
      <c r="Y1317" s="577"/>
      <c r="Z1317" s="577"/>
      <c r="AA1317" s="577"/>
      <c r="AB1317" s="577"/>
      <c r="AC1317" s="577"/>
      <c r="AD1317" s="577"/>
      <c r="AE1317" s="577"/>
      <c r="AF1317" s="577"/>
      <c r="AG1317" s="577"/>
      <c r="AH1317" s="578"/>
      <c r="AI1317" s="578"/>
      <c r="AJ1317" s="578"/>
      <c r="AK1317" s="578"/>
      <c r="AL1317" s="578"/>
      <c r="AM1317" s="578"/>
      <c r="AN1317" s="578"/>
      <c r="AO1317" s="579"/>
      <c r="AP1317" s="579"/>
      <c r="AQ1317" s="580"/>
      <c r="AR1317" s="580"/>
      <c r="AS1317" s="580"/>
      <c r="AT1317" s="580"/>
      <c r="AU1317" s="580"/>
      <c r="AV1317" s="580"/>
      <c r="AW1317" s="580"/>
      <c r="AX1317" s="580"/>
      <c r="AY1317" s="580"/>
      <c r="AZ1317" s="580"/>
      <c r="BA1317" s="580"/>
      <c r="BB1317" s="622"/>
      <c r="BC1317" s="622"/>
      <c r="BD1317" s="622"/>
      <c r="BE1317" s="622"/>
    </row>
    <row r="1318" customFormat="false" ht="14.1" hidden="true" customHeight="true" outlineLevel="1" collapsed="false">
      <c r="A1318" s="164" t="s">
        <v>840</v>
      </c>
      <c r="B1318" s="635" t="s">
        <v>493</v>
      </c>
      <c r="C1318" s="419" t="s">
        <v>56</v>
      </c>
      <c r="D1318" s="386"/>
      <c r="E1318" s="138"/>
      <c r="F1318" s="138"/>
      <c r="G1318" s="26"/>
      <c r="H1318" s="389"/>
      <c r="I1318" s="243"/>
      <c r="J1318" s="243"/>
      <c r="K1318" s="243"/>
      <c r="L1318" s="243"/>
      <c r="M1318" s="243"/>
      <c r="N1318" s="243"/>
      <c r="O1318" s="243"/>
      <c r="P1318" s="243"/>
      <c r="Q1318" s="243"/>
      <c r="R1318" s="577"/>
      <c r="S1318" s="577"/>
      <c r="T1318" s="577"/>
      <c r="U1318" s="577"/>
      <c r="V1318" s="577"/>
      <c r="W1318" s="577"/>
      <c r="X1318" s="577"/>
      <c r="Y1318" s="577"/>
      <c r="Z1318" s="577"/>
      <c r="AA1318" s="577"/>
      <c r="AB1318" s="577"/>
      <c r="AC1318" s="577"/>
      <c r="AD1318" s="577"/>
      <c r="AE1318" s="577"/>
      <c r="AF1318" s="577"/>
      <c r="AG1318" s="577"/>
      <c r="AH1318" s="578"/>
      <c r="AI1318" s="578"/>
      <c r="AJ1318" s="578"/>
      <c r="AK1318" s="578"/>
      <c r="AL1318" s="578"/>
      <c r="AM1318" s="578"/>
      <c r="AN1318" s="578"/>
      <c r="AO1318" s="579"/>
      <c r="AP1318" s="579"/>
      <c r="AQ1318" s="580"/>
      <c r="AR1318" s="580"/>
      <c r="AS1318" s="580"/>
      <c r="AT1318" s="580"/>
      <c r="AU1318" s="580"/>
      <c r="AV1318" s="580"/>
      <c r="AW1318" s="580"/>
      <c r="AX1318" s="580"/>
      <c r="AY1318" s="580"/>
      <c r="AZ1318" s="580"/>
      <c r="BA1318" s="580"/>
      <c r="BB1318" s="622"/>
      <c r="BC1318" s="622"/>
      <c r="BD1318" s="622"/>
      <c r="BE1318" s="622"/>
    </row>
    <row r="1319" customFormat="false" ht="14.1" hidden="true" customHeight="true" outlineLevel="1" collapsed="false">
      <c r="A1319" s="164" t="s">
        <v>842</v>
      </c>
      <c r="B1319" s="635" t="s">
        <v>493</v>
      </c>
      <c r="C1319" s="419" t="s">
        <v>56</v>
      </c>
      <c r="D1319" s="386"/>
      <c r="E1319" s="138"/>
      <c r="F1319" s="138"/>
      <c r="G1319" s="26"/>
      <c r="H1319" s="389"/>
      <c r="I1319" s="243"/>
      <c r="J1319" s="243"/>
      <c r="K1319" s="243"/>
      <c r="L1319" s="243"/>
      <c r="M1319" s="243"/>
      <c r="N1319" s="243"/>
      <c r="O1319" s="243"/>
      <c r="P1319" s="243"/>
      <c r="Q1319" s="243"/>
      <c r="R1319" s="577"/>
      <c r="S1319" s="577"/>
      <c r="T1319" s="577"/>
      <c r="U1319" s="577"/>
      <c r="V1319" s="577"/>
      <c r="W1319" s="577"/>
      <c r="X1319" s="577"/>
      <c r="Y1319" s="577"/>
      <c r="Z1319" s="577"/>
      <c r="AA1319" s="577"/>
      <c r="AB1319" s="577"/>
      <c r="AC1319" s="577"/>
      <c r="AD1319" s="577"/>
      <c r="AE1319" s="577"/>
      <c r="AF1319" s="577"/>
      <c r="AG1319" s="577"/>
      <c r="AH1319" s="578"/>
      <c r="AI1319" s="578"/>
      <c r="AJ1319" s="578"/>
      <c r="AK1319" s="578"/>
      <c r="AL1319" s="578"/>
      <c r="AM1319" s="578"/>
      <c r="AN1319" s="578"/>
      <c r="AO1319" s="579"/>
      <c r="AP1319" s="579"/>
      <c r="AQ1319" s="580"/>
      <c r="AR1319" s="580"/>
      <c r="AS1319" s="580"/>
      <c r="AT1319" s="580"/>
      <c r="AU1319" s="580"/>
      <c r="AV1319" s="580"/>
      <c r="AW1319" s="580"/>
      <c r="AX1319" s="580"/>
      <c r="AY1319" s="580"/>
      <c r="AZ1319" s="580"/>
      <c r="BA1319" s="580"/>
      <c r="BB1319" s="622"/>
      <c r="BC1319" s="622"/>
      <c r="BD1319" s="622"/>
      <c r="BE1319" s="622"/>
    </row>
    <row r="1320" customFormat="false" ht="14.1" hidden="true" customHeight="true" outlineLevel="1" collapsed="false">
      <c r="A1320" s="164" t="s">
        <v>846</v>
      </c>
      <c r="B1320" s="635" t="s">
        <v>493</v>
      </c>
      <c r="C1320" s="419" t="s">
        <v>56</v>
      </c>
      <c r="D1320" s="386"/>
      <c r="E1320" s="138"/>
      <c r="F1320" s="138"/>
      <c r="G1320" s="26"/>
      <c r="H1320" s="389"/>
      <c r="I1320" s="243"/>
      <c r="J1320" s="243"/>
      <c r="K1320" s="243"/>
      <c r="L1320" s="243"/>
      <c r="M1320" s="243"/>
      <c r="N1320" s="243"/>
      <c r="O1320" s="243"/>
      <c r="P1320" s="243"/>
      <c r="Q1320" s="243"/>
      <c r="R1320" s="577"/>
      <c r="S1320" s="577"/>
      <c r="T1320" s="577"/>
      <c r="U1320" s="577"/>
      <c r="V1320" s="577"/>
      <c r="W1320" s="577"/>
      <c r="X1320" s="577"/>
      <c r="Y1320" s="577"/>
      <c r="Z1320" s="577"/>
      <c r="AA1320" s="577"/>
      <c r="AB1320" s="577"/>
      <c r="AC1320" s="577"/>
      <c r="AD1320" s="577"/>
      <c r="AE1320" s="577"/>
      <c r="AF1320" s="577"/>
      <c r="AG1320" s="577"/>
      <c r="AH1320" s="578"/>
      <c r="AI1320" s="578"/>
      <c r="AJ1320" s="578"/>
      <c r="AK1320" s="578"/>
      <c r="AL1320" s="578"/>
      <c r="AM1320" s="578"/>
      <c r="AN1320" s="578"/>
      <c r="AO1320" s="579"/>
      <c r="AP1320" s="579"/>
      <c r="AQ1320" s="580"/>
      <c r="AR1320" s="580"/>
      <c r="AS1320" s="580"/>
      <c r="AT1320" s="580"/>
      <c r="AU1320" s="580"/>
      <c r="AV1320" s="580"/>
      <c r="AW1320" s="580"/>
      <c r="AX1320" s="580"/>
      <c r="AY1320" s="580"/>
      <c r="AZ1320" s="580"/>
      <c r="BA1320" s="580"/>
      <c r="BB1320" s="622"/>
      <c r="BC1320" s="622"/>
      <c r="BD1320" s="622"/>
      <c r="BE1320" s="622"/>
    </row>
    <row r="1321" customFormat="false" ht="14.1" hidden="true" customHeight="true" outlineLevel="1" collapsed="false">
      <c r="A1321" s="637" t="s">
        <v>847</v>
      </c>
      <c r="B1321" s="635" t="s">
        <v>493</v>
      </c>
      <c r="C1321" s="269"/>
      <c r="D1321" s="386"/>
      <c r="E1321" s="138"/>
      <c r="F1321" s="138"/>
      <c r="G1321" s="26"/>
      <c r="H1321" s="389"/>
      <c r="I1321" s="243"/>
      <c r="J1321" s="243"/>
      <c r="K1321" s="243"/>
      <c r="L1321" s="243"/>
      <c r="M1321" s="243"/>
      <c r="N1321" s="243"/>
      <c r="O1321" s="243"/>
      <c r="P1321" s="243"/>
      <c r="Q1321" s="243"/>
      <c r="R1321" s="577"/>
      <c r="S1321" s="577"/>
      <c r="T1321" s="577"/>
      <c r="U1321" s="577"/>
      <c r="V1321" s="577"/>
      <c r="W1321" s="577"/>
      <c r="X1321" s="577"/>
      <c r="Y1321" s="577"/>
      <c r="Z1321" s="577"/>
      <c r="AA1321" s="577"/>
      <c r="AB1321" s="577"/>
      <c r="AC1321" s="577"/>
      <c r="AD1321" s="577"/>
      <c r="AE1321" s="577"/>
      <c r="AF1321" s="577"/>
      <c r="AG1321" s="577"/>
      <c r="AH1321" s="578"/>
      <c r="AI1321" s="578"/>
      <c r="AJ1321" s="578"/>
      <c r="AK1321" s="578"/>
      <c r="AL1321" s="578"/>
      <c r="AM1321" s="578"/>
      <c r="AN1321" s="578"/>
      <c r="AO1321" s="579"/>
      <c r="AP1321" s="579"/>
      <c r="AQ1321" s="580"/>
      <c r="AR1321" s="580"/>
      <c r="AS1321" s="580"/>
      <c r="AT1321" s="580"/>
      <c r="AU1321" s="580"/>
      <c r="AV1321" s="580"/>
      <c r="AW1321" s="580"/>
      <c r="AX1321" s="580"/>
      <c r="AY1321" s="580"/>
      <c r="AZ1321" s="580"/>
      <c r="BA1321" s="580"/>
      <c r="BB1321" s="622"/>
      <c r="BC1321" s="622"/>
      <c r="BD1321" s="622"/>
      <c r="BE1321" s="622"/>
    </row>
    <row r="1322" customFormat="false" ht="14.1" hidden="true" customHeight="true" outlineLevel="1" collapsed="false">
      <c r="A1322" s="635" t="s">
        <v>848</v>
      </c>
      <c r="B1322" s="635" t="s">
        <v>493</v>
      </c>
      <c r="C1322" s="419" t="s">
        <v>44</v>
      </c>
      <c r="D1322" s="386"/>
      <c r="E1322" s="138"/>
      <c r="F1322" s="138"/>
      <c r="G1322" s="26"/>
      <c r="H1322" s="257"/>
      <c r="I1322" s="241"/>
      <c r="J1322" s="241"/>
      <c r="K1322" s="636"/>
      <c r="L1322" s="522"/>
      <c r="M1322" s="522"/>
      <c r="N1322" s="522"/>
      <c r="O1322" s="522"/>
      <c r="P1322" s="243"/>
      <c r="Q1322" s="243"/>
      <c r="R1322" s="577"/>
      <c r="S1322" s="577"/>
      <c r="T1322" s="577"/>
      <c r="U1322" s="577"/>
      <c r="V1322" s="577"/>
      <c r="W1322" s="577"/>
      <c r="X1322" s="577"/>
      <c r="Y1322" s="577"/>
      <c r="Z1322" s="577"/>
      <c r="AA1322" s="577"/>
      <c r="AB1322" s="577"/>
      <c r="AC1322" s="577"/>
      <c r="AD1322" s="577"/>
      <c r="AE1322" s="577"/>
      <c r="AF1322" s="577"/>
      <c r="AG1322" s="577"/>
      <c r="AH1322" s="578"/>
      <c r="AI1322" s="578"/>
      <c r="AJ1322" s="578"/>
      <c r="AK1322" s="578"/>
      <c r="AL1322" s="578"/>
      <c r="AM1322" s="578"/>
      <c r="AN1322" s="578"/>
      <c r="AO1322" s="579"/>
      <c r="AP1322" s="579"/>
      <c r="AQ1322" s="580"/>
      <c r="AR1322" s="580"/>
      <c r="AS1322" s="580"/>
      <c r="AT1322" s="580"/>
      <c r="AU1322" s="580"/>
      <c r="AV1322" s="580"/>
      <c r="AW1322" s="580"/>
      <c r="AX1322" s="580"/>
      <c r="AY1322" s="580"/>
      <c r="AZ1322" s="580"/>
      <c r="BA1322" s="580"/>
      <c r="BB1322" s="622"/>
      <c r="BC1322" s="622"/>
      <c r="BD1322" s="622"/>
      <c r="BE1322" s="622"/>
    </row>
    <row r="1323" customFormat="false" ht="14.1" hidden="true" customHeight="true" outlineLevel="1" collapsed="false">
      <c r="A1323" s="637" t="s">
        <v>849</v>
      </c>
      <c r="B1323" s="635" t="s">
        <v>493</v>
      </c>
      <c r="C1323" s="269"/>
      <c r="D1323" s="386"/>
      <c r="E1323" s="138"/>
      <c r="F1323" s="138"/>
      <c r="G1323" s="26"/>
      <c r="H1323" s="389"/>
      <c r="I1323" s="243"/>
      <c r="J1323" s="243"/>
      <c r="K1323" s="243"/>
      <c r="L1323" s="243"/>
      <c r="M1323" s="243"/>
      <c r="N1323" s="243"/>
      <c r="O1323" s="243"/>
      <c r="P1323" s="243"/>
      <c r="Q1323" s="243"/>
      <c r="R1323" s="577"/>
      <c r="S1323" s="577"/>
      <c r="T1323" s="577"/>
      <c r="U1323" s="577"/>
      <c r="V1323" s="577"/>
      <c r="W1323" s="577"/>
      <c r="X1323" s="577"/>
      <c r="Y1323" s="577"/>
      <c r="Z1323" s="577"/>
      <c r="AA1323" s="577"/>
      <c r="AB1323" s="577"/>
      <c r="AC1323" s="577"/>
      <c r="AD1323" s="577"/>
      <c r="AE1323" s="577"/>
      <c r="AF1323" s="577"/>
      <c r="AG1323" s="577"/>
      <c r="AH1323" s="578"/>
      <c r="AI1323" s="578"/>
      <c r="AJ1323" s="578"/>
      <c r="AK1323" s="578"/>
      <c r="AL1323" s="578"/>
      <c r="AM1323" s="578"/>
      <c r="AN1323" s="578"/>
      <c r="AO1323" s="579"/>
      <c r="AP1323" s="579"/>
      <c r="AQ1323" s="580"/>
      <c r="AR1323" s="580"/>
      <c r="AS1323" s="580"/>
      <c r="AT1323" s="580"/>
      <c r="AU1323" s="580"/>
      <c r="AV1323" s="580"/>
      <c r="AW1323" s="580"/>
      <c r="AX1323" s="580"/>
      <c r="AY1323" s="580"/>
      <c r="AZ1323" s="580"/>
      <c r="BA1323" s="580"/>
      <c r="BB1323" s="622"/>
      <c r="BC1323" s="622"/>
      <c r="BD1323" s="622"/>
      <c r="BE1323" s="622"/>
    </row>
    <row r="1324" customFormat="false" ht="14.1" hidden="true" customHeight="true" outlineLevel="1" collapsed="false">
      <c r="A1324" s="164" t="s">
        <v>850</v>
      </c>
      <c r="B1324" s="635" t="s">
        <v>820</v>
      </c>
      <c r="C1324" s="252" t="n">
        <v>0</v>
      </c>
      <c r="D1324" s="386"/>
      <c r="E1324" s="138"/>
      <c r="F1324" s="138"/>
      <c r="G1324" s="26"/>
      <c r="H1324" s="389"/>
      <c r="I1324" s="243"/>
      <c r="J1324" s="243"/>
      <c r="K1324" s="243"/>
      <c r="L1324" s="243"/>
      <c r="M1324" s="243"/>
      <c r="N1324" s="243"/>
      <c r="O1324" s="243"/>
      <c r="P1324" s="243"/>
      <c r="Q1324" s="243"/>
      <c r="R1324" s="577"/>
      <c r="S1324" s="577"/>
      <c r="T1324" s="577"/>
      <c r="U1324" s="577"/>
      <c r="V1324" s="577"/>
      <c r="W1324" s="577"/>
      <c r="X1324" s="577"/>
      <c r="Y1324" s="577"/>
      <c r="Z1324" s="577"/>
      <c r="AA1324" s="577"/>
      <c r="AB1324" s="577"/>
      <c r="AC1324" s="577"/>
      <c r="AD1324" s="577"/>
      <c r="AE1324" s="577"/>
      <c r="AF1324" s="577"/>
      <c r="AG1324" s="577"/>
      <c r="AH1324" s="578"/>
      <c r="AI1324" s="578"/>
      <c r="AJ1324" s="578"/>
      <c r="AK1324" s="578"/>
      <c r="AL1324" s="578"/>
      <c r="AM1324" s="578"/>
      <c r="AN1324" s="578"/>
      <c r="AO1324" s="579"/>
      <c r="AP1324" s="579"/>
      <c r="AQ1324" s="580"/>
      <c r="AR1324" s="580"/>
      <c r="AS1324" s="580"/>
      <c r="AT1324" s="580"/>
      <c r="AU1324" s="580"/>
      <c r="AV1324" s="580"/>
      <c r="AW1324" s="580"/>
      <c r="AX1324" s="580"/>
      <c r="AY1324" s="580"/>
      <c r="AZ1324" s="580"/>
      <c r="BA1324" s="580"/>
      <c r="BB1324" s="622"/>
      <c r="BC1324" s="622"/>
      <c r="BD1324" s="622"/>
      <c r="BE1324" s="622"/>
    </row>
    <row r="1325" customFormat="false" ht="14.1" hidden="true" customHeight="true" outlineLevel="1" collapsed="false">
      <c r="A1325" s="164" t="s">
        <v>851</v>
      </c>
      <c r="B1325" s="635" t="s">
        <v>493</v>
      </c>
      <c r="C1325" s="419" t="s">
        <v>56</v>
      </c>
      <c r="D1325" s="386"/>
      <c r="E1325" s="138"/>
      <c r="F1325" s="138"/>
      <c r="G1325" s="26"/>
      <c r="H1325" s="389"/>
      <c r="I1325" s="243"/>
      <c r="J1325" s="243"/>
      <c r="K1325" s="243"/>
      <c r="L1325" s="243"/>
      <c r="M1325" s="243"/>
      <c r="N1325" s="243"/>
      <c r="O1325" s="243"/>
      <c r="P1325" s="243"/>
      <c r="Q1325" s="243"/>
      <c r="R1325" s="577"/>
      <c r="S1325" s="577"/>
      <c r="T1325" s="577"/>
      <c r="U1325" s="577"/>
      <c r="V1325" s="577"/>
      <c r="W1325" s="577"/>
      <c r="X1325" s="577"/>
      <c r="Y1325" s="577"/>
      <c r="Z1325" s="577"/>
      <c r="AA1325" s="577"/>
      <c r="AB1325" s="577"/>
      <c r="AC1325" s="577"/>
      <c r="AD1325" s="577"/>
      <c r="AE1325" s="577"/>
      <c r="AF1325" s="577"/>
      <c r="AG1325" s="577"/>
      <c r="AH1325" s="578"/>
      <c r="AI1325" s="578"/>
      <c r="AJ1325" s="578"/>
      <c r="AK1325" s="578"/>
      <c r="AL1325" s="578"/>
      <c r="AM1325" s="578"/>
      <c r="AN1325" s="578"/>
      <c r="AO1325" s="579"/>
      <c r="AP1325" s="579"/>
      <c r="AQ1325" s="580"/>
      <c r="AR1325" s="580"/>
      <c r="AS1325" s="580"/>
      <c r="AT1325" s="580"/>
      <c r="AU1325" s="580"/>
      <c r="AV1325" s="580"/>
      <c r="AW1325" s="580"/>
      <c r="AX1325" s="580"/>
      <c r="AY1325" s="580"/>
      <c r="AZ1325" s="580"/>
      <c r="BA1325" s="580"/>
      <c r="BB1325" s="622"/>
      <c r="BC1325" s="622"/>
      <c r="BD1325" s="622"/>
      <c r="BE1325" s="622"/>
    </row>
    <row r="1326" customFormat="false" ht="14.1" hidden="true" customHeight="true" outlineLevel="1" collapsed="false">
      <c r="A1326" s="635" t="s">
        <v>852</v>
      </c>
      <c r="B1326" s="635" t="s">
        <v>493</v>
      </c>
      <c r="C1326" s="419" t="s">
        <v>56</v>
      </c>
      <c r="D1326" s="386"/>
      <c r="E1326" s="138"/>
      <c r="F1326" s="138"/>
      <c r="G1326" s="26"/>
      <c r="H1326" s="257"/>
      <c r="I1326" s="241"/>
      <c r="J1326" s="241"/>
      <c r="K1326" s="636"/>
      <c r="L1326" s="522"/>
      <c r="M1326" s="522"/>
      <c r="N1326" s="522"/>
      <c r="O1326" s="522"/>
      <c r="P1326" s="243"/>
      <c r="Q1326" s="243"/>
      <c r="R1326" s="577"/>
      <c r="S1326" s="577"/>
      <c r="T1326" s="577"/>
      <c r="U1326" s="577"/>
      <c r="V1326" s="577"/>
      <c r="W1326" s="577"/>
      <c r="X1326" s="577"/>
      <c r="Y1326" s="577"/>
      <c r="Z1326" s="577"/>
      <c r="AA1326" s="577"/>
      <c r="AB1326" s="577"/>
      <c r="AC1326" s="577"/>
      <c r="AD1326" s="577"/>
      <c r="AE1326" s="577"/>
      <c r="AF1326" s="577"/>
      <c r="AG1326" s="577"/>
      <c r="AH1326" s="578"/>
      <c r="AI1326" s="578"/>
      <c r="AJ1326" s="578"/>
      <c r="AK1326" s="578"/>
      <c r="AL1326" s="578"/>
      <c r="AM1326" s="578"/>
      <c r="AN1326" s="578"/>
      <c r="AO1326" s="579"/>
      <c r="AP1326" s="579"/>
      <c r="AQ1326" s="580"/>
      <c r="AR1326" s="580"/>
      <c r="AS1326" s="580"/>
      <c r="AT1326" s="580"/>
      <c r="AU1326" s="580"/>
      <c r="AV1326" s="580"/>
      <c r="AW1326" s="580"/>
      <c r="AX1326" s="580"/>
      <c r="AY1326" s="580"/>
      <c r="AZ1326" s="580"/>
      <c r="BA1326" s="580"/>
      <c r="BB1326" s="622"/>
      <c r="BC1326" s="622"/>
      <c r="BD1326" s="622"/>
      <c r="BE1326" s="622"/>
    </row>
    <row r="1327" customFormat="false" ht="14.1" hidden="true" customHeight="true" outlineLevel="1" collapsed="false">
      <c r="A1327" s="164" t="s">
        <v>853</v>
      </c>
      <c r="B1327" s="635" t="s">
        <v>820</v>
      </c>
      <c r="C1327" s="252" t="n">
        <v>6</v>
      </c>
      <c r="D1327" s="386"/>
      <c r="E1327" s="138"/>
      <c r="F1327" s="138"/>
      <c r="G1327" s="26"/>
      <c r="H1327" s="257"/>
      <c r="I1327" s="243"/>
      <c r="J1327" s="243"/>
      <c r="K1327" s="243"/>
      <c r="L1327" s="243"/>
      <c r="M1327" s="243"/>
      <c r="N1327" s="522"/>
      <c r="O1327" s="522"/>
      <c r="P1327" s="243"/>
      <c r="Q1327" s="243"/>
      <c r="R1327" s="577"/>
      <c r="S1327" s="577"/>
      <c r="T1327" s="577"/>
      <c r="U1327" s="577"/>
      <c r="V1327" s="577"/>
      <c r="W1327" s="577"/>
      <c r="X1327" s="577"/>
      <c r="Y1327" s="577"/>
      <c r="Z1327" s="577"/>
      <c r="AA1327" s="577"/>
      <c r="AB1327" s="577"/>
      <c r="AC1327" s="577"/>
      <c r="AD1327" s="577"/>
      <c r="AE1327" s="577"/>
      <c r="AF1327" s="577"/>
      <c r="AG1327" s="577"/>
      <c r="AH1327" s="578"/>
      <c r="AI1327" s="578"/>
      <c r="AJ1327" s="578"/>
      <c r="AK1327" s="578"/>
      <c r="AL1327" s="578"/>
      <c r="AM1327" s="578"/>
      <c r="AN1327" s="578"/>
      <c r="AO1327" s="579"/>
      <c r="AP1327" s="579"/>
      <c r="AQ1327" s="580"/>
      <c r="AR1327" s="580"/>
      <c r="AS1327" s="580"/>
      <c r="AT1327" s="580"/>
      <c r="AU1327" s="580"/>
      <c r="AV1327" s="580"/>
      <c r="AW1327" s="580"/>
      <c r="AX1327" s="580"/>
      <c r="AY1327" s="580"/>
      <c r="AZ1327" s="580"/>
      <c r="BA1327" s="580"/>
      <c r="BB1327" s="622"/>
      <c r="BC1327" s="622"/>
      <c r="BD1327" s="622"/>
      <c r="BE1327" s="622"/>
    </row>
    <row r="1328" customFormat="false" ht="14.1" hidden="true" customHeight="true" outlineLevel="1" collapsed="false">
      <c r="A1328" s="164" t="s">
        <v>854</v>
      </c>
      <c r="B1328" s="635" t="s">
        <v>820</v>
      </c>
      <c r="C1328" s="252" t="n">
        <v>6</v>
      </c>
      <c r="D1328" s="386"/>
      <c r="E1328" s="138"/>
      <c r="F1328" s="138"/>
      <c r="G1328" s="26"/>
      <c r="H1328" s="257"/>
      <c r="I1328" s="243"/>
      <c r="J1328" s="243"/>
      <c r="K1328" s="243"/>
      <c r="L1328" s="243"/>
      <c r="M1328" s="243"/>
      <c r="N1328" s="522"/>
      <c r="O1328" s="522"/>
      <c r="P1328" s="243"/>
      <c r="Q1328" s="243"/>
      <c r="R1328" s="577"/>
      <c r="S1328" s="577"/>
      <c r="T1328" s="577"/>
      <c r="U1328" s="577"/>
      <c r="V1328" s="577"/>
      <c r="W1328" s="577"/>
      <c r="X1328" s="577"/>
      <c r="Y1328" s="577"/>
      <c r="Z1328" s="577"/>
      <c r="AA1328" s="577"/>
      <c r="AB1328" s="577"/>
      <c r="AC1328" s="577"/>
      <c r="AD1328" s="577"/>
      <c r="AE1328" s="577"/>
      <c r="AF1328" s="577"/>
      <c r="AG1328" s="577"/>
      <c r="AH1328" s="578"/>
      <c r="AI1328" s="578"/>
      <c r="AJ1328" s="578"/>
      <c r="AK1328" s="578"/>
      <c r="AL1328" s="578"/>
      <c r="AM1328" s="578"/>
      <c r="AN1328" s="578"/>
      <c r="AO1328" s="579"/>
      <c r="AP1328" s="579"/>
      <c r="AQ1328" s="580"/>
      <c r="AR1328" s="580"/>
      <c r="AS1328" s="580"/>
      <c r="AT1328" s="580"/>
      <c r="AU1328" s="580"/>
      <c r="AV1328" s="580"/>
      <c r="AW1328" s="580"/>
      <c r="AX1328" s="580"/>
      <c r="AY1328" s="580"/>
      <c r="AZ1328" s="580"/>
      <c r="BA1328" s="580"/>
      <c r="BB1328" s="622"/>
      <c r="BC1328" s="622"/>
      <c r="BD1328" s="622"/>
      <c r="BE1328" s="622"/>
    </row>
    <row r="1329" customFormat="false" ht="14.1" hidden="true" customHeight="true" outlineLevel="1" collapsed="false">
      <c r="A1329" s="164" t="s">
        <v>855</v>
      </c>
      <c r="B1329" s="635" t="s">
        <v>820</v>
      </c>
      <c r="C1329" s="252" t="n">
        <v>6</v>
      </c>
      <c r="D1329" s="386"/>
      <c r="E1329" s="138"/>
      <c r="F1329" s="138"/>
      <c r="G1329" s="26"/>
      <c r="H1329" s="257"/>
      <c r="I1329" s="243"/>
      <c r="J1329" s="243"/>
      <c r="K1329" s="243"/>
      <c r="L1329" s="243"/>
      <c r="M1329" s="243"/>
      <c r="N1329" s="522"/>
      <c r="O1329" s="522"/>
      <c r="P1329" s="243"/>
      <c r="Q1329" s="243"/>
      <c r="R1329" s="577"/>
      <c r="S1329" s="577"/>
      <c r="T1329" s="577"/>
      <c r="U1329" s="577"/>
      <c r="V1329" s="577"/>
      <c r="W1329" s="577"/>
      <c r="X1329" s="577"/>
      <c r="Y1329" s="577"/>
      <c r="Z1329" s="577"/>
      <c r="AA1329" s="577"/>
      <c r="AB1329" s="577"/>
      <c r="AC1329" s="577"/>
      <c r="AD1329" s="577"/>
      <c r="AE1329" s="577"/>
      <c r="AF1329" s="577"/>
      <c r="AG1329" s="577"/>
      <c r="AH1329" s="578"/>
      <c r="AI1329" s="578"/>
      <c r="AJ1329" s="578"/>
      <c r="AK1329" s="578"/>
      <c r="AL1329" s="578"/>
      <c r="AM1329" s="578"/>
      <c r="AN1329" s="578"/>
      <c r="AO1329" s="579"/>
      <c r="AP1329" s="579"/>
      <c r="AQ1329" s="580"/>
      <c r="AR1329" s="580"/>
      <c r="AS1329" s="580"/>
      <c r="AT1329" s="580"/>
      <c r="AU1329" s="580"/>
      <c r="AV1329" s="580"/>
      <c r="AW1329" s="580"/>
      <c r="AX1329" s="580"/>
      <c r="AY1329" s="580"/>
      <c r="AZ1329" s="580"/>
      <c r="BA1329" s="580"/>
      <c r="BB1329" s="622"/>
      <c r="BC1329" s="622"/>
      <c r="BD1329" s="622"/>
      <c r="BE1329" s="622"/>
    </row>
    <row r="1330" customFormat="false" ht="14.1" hidden="true" customHeight="true" outlineLevel="1" collapsed="false">
      <c r="A1330" s="164" t="s">
        <v>856</v>
      </c>
      <c r="B1330" s="635" t="s">
        <v>493</v>
      </c>
      <c r="C1330" s="269"/>
      <c r="D1330" s="386"/>
      <c r="E1330" s="138"/>
      <c r="F1330" s="138"/>
      <c r="G1330" s="26"/>
      <c r="H1330" s="389"/>
      <c r="I1330" s="243"/>
      <c r="J1330" s="243"/>
      <c r="K1330" s="243"/>
      <c r="L1330" s="243"/>
      <c r="M1330" s="243"/>
      <c r="N1330" s="243"/>
      <c r="O1330" s="243"/>
      <c r="P1330" s="243"/>
      <c r="Q1330" s="243"/>
      <c r="R1330" s="577"/>
      <c r="S1330" s="577"/>
      <c r="T1330" s="577"/>
      <c r="U1330" s="577"/>
      <c r="V1330" s="577"/>
      <c r="W1330" s="577"/>
      <c r="X1330" s="577"/>
      <c r="Y1330" s="577"/>
      <c r="Z1330" s="577"/>
      <c r="AA1330" s="577"/>
      <c r="AB1330" s="577"/>
      <c r="AC1330" s="577"/>
      <c r="AD1330" s="577"/>
      <c r="AE1330" s="577"/>
      <c r="AF1330" s="577"/>
      <c r="AG1330" s="577"/>
      <c r="AH1330" s="578"/>
      <c r="AI1330" s="578"/>
      <c r="AJ1330" s="578"/>
      <c r="AK1330" s="578"/>
      <c r="AL1330" s="578"/>
      <c r="AM1330" s="578"/>
      <c r="AN1330" s="578"/>
      <c r="AO1330" s="579"/>
      <c r="AP1330" s="579"/>
      <c r="AQ1330" s="580"/>
      <c r="AR1330" s="580"/>
      <c r="AS1330" s="580"/>
      <c r="AT1330" s="580"/>
      <c r="AU1330" s="580"/>
      <c r="AV1330" s="580"/>
      <c r="AW1330" s="580"/>
      <c r="AX1330" s="580"/>
      <c r="AY1330" s="580"/>
      <c r="AZ1330" s="580"/>
      <c r="BA1330" s="580"/>
      <c r="BB1330" s="622"/>
      <c r="BC1330" s="622"/>
      <c r="BD1330" s="622"/>
      <c r="BE1330" s="622"/>
    </row>
    <row r="1331" customFormat="false" ht="14.1" hidden="true" customHeight="true" outlineLevel="1" collapsed="false">
      <c r="A1331" s="164" t="s">
        <v>857</v>
      </c>
      <c r="B1331" s="635" t="s">
        <v>493</v>
      </c>
      <c r="C1331" s="269"/>
      <c r="D1331" s="386"/>
      <c r="E1331" s="138"/>
      <c r="F1331" s="138"/>
      <c r="G1331" s="26"/>
      <c r="H1331" s="389"/>
      <c r="I1331" s="243"/>
      <c r="J1331" s="243"/>
      <c r="K1331" s="243"/>
      <c r="L1331" s="243"/>
      <c r="M1331" s="243"/>
      <c r="N1331" s="243"/>
      <c r="O1331" s="243"/>
      <c r="P1331" s="243"/>
      <c r="Q1331" s="243"/>
      <c r="R1331" s="577"/>
      <c r="S1331" s="577"/>
      <c r="T1331" s="577"/>
      <c r="U1331" s="577"/>
      <c r="V1331" s="577"/>
      <c r="W1331" s="577"/>
      <c r="X1331" s="577"/>
      <c r="Y1331" s="577"/>
      <c r="Z1331" s="577"/>
      <c r="AA1331" s="577"/>
      <c r="AB1331" s="577"/>
      <c r="AC1331" s="577"/>
      <c r="AD1331" s="577"/>
      <c r="AE1331" s="577"/>
      <c r="AF1331" s="577"/>
      <c r="AG1331" s="577"/>
      <c r="AH1331" s="578"/>
      <c r="AI1331" s="578"/>
      <c r="AJ1331" s="578"/>
      <c r="AK1331" s="578"/>
      <c r="AL1331" s="578"/>
      <c r="AM1331" s="578"/>
      <c r="AN1331" s="578"/>
      <c r="AO1331" s="579"/>
      <c r="AP1331" s="579"/>
      <c r="AQ1331" s="580"/>
      <c r="AR1331" s="580"/>
      <c r="AS1331" s="580"/>
      <c r="AT1331" s="580"/>
      <c r="AU1331" s="580"/>
      <c r="AV1331" s="580"/>
      <c r="AW1331" s="580"/>
      <c r="AX1331" s="580"/>
      <c r="AY1331" s="580"/>
      <c r="AZ1331" s="580"/>
      <c r="BA1331" s="580"/>
      <c r="BB1331" s="622"/>
      <c r="BC1331" s="622"/>
      <c r="BD1331" s="622"/>
      <c r="BE1331" s="622"/>
    </row>
    <row r="1332" customFormat="false" ht="14.1" hidden="true" customHeight="true" outlineLevel="1" collapsed="false">
      <c r="A1332" s="164" t="s">
        <v>858</v>
      </c>
      <c r="B1332" s="635" t="s">
        <v>493</v>
      </c>
      <c r="C1332" s="269"/>
      <c r="D1332" s="386"/>
      <c r="E1332" s="138"/>
      <c r="F1332" s="138"/>
      <c r="G1332" s="26"/>
      <c r="H1332" s="389"/>
      <c r="I1332" s="243"/>
      <c r="J1332" s="243"/>
      <c r="K1332" s="243"/>
      <c r="L1332" s="243"/>
      <c r="M1332" s="243"/>
      <c r="N1332" s="243"/>
      <c r="O1332" s="243"/>
      <c r="P1332" s="243"/>
      <c r="Q1332" s="243"/>
      <c r="R1332" s="577"/>
      <c r="S1332" s="577"/>
      <c r="T1332" s="577"/>
      <c r="U1332" s="577"/>
      <c r="V1332" s="577"/>
      <c r="W1332" s="577"/>
      <c r="X1332" s="577"/>
      <c r="Y1332" s="577"/>
      <c r="Z1332" s="577"/>
      <c r="AA1332" s="577"/>
      <c r="AB1332" s="577"/>
      <c r="AC1332" s="577"/>
      <c r="AD1332" s="577"/>
      <c r="AE1332" s="577"/>
      <c r="AF1332" s="577"/>
      <c r="AG1332" s="577"/>
      <c r="AH1332" s="578"/>
      <c r="AI1332" s="578"/>
      <c r="AJ1332" s="578"/>
      <c r="AK1332" s="578"/>
      <c r="AL1332" s="578"/>
      <c r="AM1332" s="578"/>
      <c r="AN1332" s="578"/>
      <c r="AO1332" s="579"/>
      <c r="AP1332" s="579"/>
      <c r="AQ1332" s="580"/>
      <c r="AR1332" s="580"/>
      <c r="AS1332" s="580"/>
      <c r="AT1332" s="580"/>
      <c r="AU1332" s="580"/>
      <c r="AV1332" s="580"/>
      <c r="AW1332" s="580"/>
      <c r="AX1332" s="580"/>
      <c r="AY1332" s="580"/>
      <c r="AZ1332" s="580"/>
      <c r="BA1332" s="580"/>
      <c r="BB1332" s="622"/>
      <c r="BC1332" s="622"/>
      <c r="BD1332" s="622"/>
      <c r="BE1332" s="622"/>
    </row>
    <row r="1333" customFormat="false" ht="14.1" hidden="true" customHeight="true" outlineLevel="1" collapsed="false">
      <c r="A1333" s="635" t="s">
        <v>859</v>
      </c>
      <c r="B1333" s="635" t="s">
        <v>493</v>
      </c>
      <c r="C1333" s="419" t="s">
        <v>56</v>
      </c>
      <c r="D1333" s="386"/>
      <c r="E1333" s="138"/>
      <c r="F1333" s="138"/>
      <c r="G1333" s="26"/>
      <c r="H1333" s="389"/>
      <c r="I1333" s="243"/>
      <c r="J1333" s="243"/>
      <c r="K1333" s="243"/>
      <c r="L1333" s="243"/>
      <c r="M1333" s="243"/>
      <c r="N1333" s="243"/>
      <c r="O1333" s="243"/>
      <c r="P1333" s="243"/>
      <c r="Q1333" s="243"/>
      <c r="R1333" s="577"/>
      <c r="S1333" s="577"/>
      <c r="T1333" s="577"/>
      <c r="U1333" s="577"/>
      <c r="V1333" s="577"/>
      <c r="W1333" s="577"/>
      <c r="X1333" s="577"/>
      <c r="Y1333" s="577"/>
      <c r="Z1333" s="577"/>
      <c r="AA1333" s="577"/>
      <c r="AB1333" s="577"/>
      <c r="AC1333" s="577"/>
      <c r="AD1333" s="577"/>
      <c r="AE1333" s="577"/>
      <c r="AF1333" s="577"/>
      <c r="AG1333" s="577"/>
      <c r="AH1333" s="578"/>
      <c r="AI1333" s="578"/>
      <c r="AJ1333" s="578"/>
      <c r="AK1333" s="578"/>
      <c r="AL1333" s="578"/>
      <c r="AM1333" s="578"/>
      <c r="AN1333" s="578"/>
      <c r="AO1333" s="579"/>
      <c r="AP1333" s="579"/>
      <c r="AQ1333" s="580"/>
      <c r="AR1333" s="580"/>
      <c r="AS1333" s="580"/>
      <c r="AT1333" s="580"/>
      <c r="AU1333" s="580"/>
      <c r="AV1333" s="580"/>
      <c r="AW1333" s="580"/>
      <c r="AX1333" s="580"/>
      <c r="AY1333" s="580"/>
      <c r="AZ1333" s="580"/>
      <c r="BA1333" s="580"/>
      <c r="BB1333" s="622"/>
      <c r="BC1333" s="622"/>
      <c r="BD1333" s="622"/>
      <c r="BE1333" s="622"/>
    </row>
    <row r="1334" s="162" customFormat="true" ht="14.1" hidden="true" customHeight="true" outlineLevel="1" collapsed="false">
      <c r="A1334" s="639" t="s">
        <v>551</v>
      </c>
      <c r="B1334" s="635" t="s">
        <v>493</v>
      </c>
      <c r="C1334" s="419" t="s">
        <v>44</v>
      </c>
      <c r="D1334" s="386"/>
      <c r="E1334" s="169"/>
      <c r="F1334" s="169"/>
      <c r="G1334" s="26"/>
      <c r="H1334" s="389"/>
      <c r="I1334" s="243"/>
      <c r="J1334" s="243"/>
      <c r="K1334" s="243"/>
      <c r="L1334" s="243"/>
      <c r="M1334" s="243"/>
      <c r="N1334" s="243"/>
      <c r="O1334" s="243"/>
      <c r="P1334" s="243"/>
      <c r="Q1334" s="243"/>
      <c r="R1334" s="577"/>
      <c r="S1334" s="577"/>
      <c r="T1334" s="577"/>
      <c r="U1334" s="577"/>
      <c r="V1334" s="577"/>
      <c r="W1334" s="577"/>
      <c r="X1334" s="577"/>
      <c r="Y1334" s="577"/>
      <c r="Z1334" s="577"/>
      <c r="AA1334" s="577"/>
      <c r="AB1334" s="577"/>
      <c r="AC1334" s="577"/>
      <c r="AD1334" s="577"/>
      <c r="AE1334" s="577"/>
      <c r="AF1334" s="577"/>
      <c r="AG1334" s="577"/>
      <c r="AH1334" s="578"/>
      <c r="AI1334" s="578"/>
      <c r="AJ1334" s="578"/>
      <c r="AK1334" s="578"/>
      <c r="AL1334" s="578"/>
      <c r="AM1334" s="578"/>
      <c r="AN1334" s="578"/>
      <c r="AO1334" s="579"/>
      <c r="AP1334" s="579"/>
      <c r="AQ1334" s="580"/>
      <c r="AR1334" s="580"/>
      <c r="AS1334" s="580"/>
      <c r="AT1334" s="580"/>
      <c r="AU1334" s="580"/>
      <c r="AV1334" s="580"/>
      <c r="AW1334" s="580"/>
      <c r="AX1334" s="580"/>
      <c r="AY1334" s="580"/>
      <c r="AZ1334" s="580"/>
      <c r="BA1334" s="580"/>
      <c r="BB1334" s="581"/>
      <c r="BC1334" s="581"/>
      <c r="BD1334" s="581"/>
      <c r="BE1334" s="581"/>
      <c r="BF1334" s="161"/>
    </row>
    <row r="1335" customFormat="false" ht="14.1" hidden="true" customHeight="true" outlineLevel="1" collapsed="false">
      <c r="A1335" s="164" t="s">
        <v>860</v>
      </c>
      <c r="B1335" s="635" t="s">
        <v>493</v>
      </c>
      <c r="C1335" s="419" t="s">
        <v>44</v>
      </c>
      <c r="D1335" s="386"/>
      <c r="E1335" s="138"/>
      <c r="F1335" s="138"/>
      <c r="G1335" s="26"/>
      <c r="H1335" s="389"/>
      <c r="I1335" s="243"/>
      <c r="J1335" s="243"/>
      <c r="K1335" s="243"/>
      <c r="L1335" s="243"/>
      <c r="M1335" s="243"/>
      <c r="N1335" s="243"/>
      <c r="O1335" s="243"/>
      <c r="P1335" s="243"/>
      <c r="Q1335" s="243"/>
      <c r="R1335" s="577"/>
      <c r="S1335" s="577"/>
      <c r="T1335" s="577"/>
      <c r="U1335" s="577"/>
      <c r="V1335" s="577"/>
      <c r="W1335" s="577"/>
      <c r="X1335" s="577"/>
      <c r="Y1335" s="577"/>
      <c r="Z1335" s="577"/>
      <c r="AA1335" s="577"/>
      <c r="AB1335" s="577"/>
      <c r="AC1335" s="577"/>
      <c r="AD1335" s="577"/>
      <c r="AE1335" s="577"/>
      <c r="AF1335" s="577"/>
      <c r="AG1335" s="577"/>
      <c r="AH1335" s="578"/>
      <c r="AI1335" s="578"/>
      <c r="AJ1335" s="578"/>
      <c r="AK1335" s="578"/>
      <c r="AL1335" s="578"/>
      <c r="AM1335" s="578"/>
      <c r="AN1335" s="578"/>
      <c r="AO1335" s="579"/>
      <c r="AP1335" s="579"/>
      <c r="AQ1335" s="580"/>
      <c r="AR1335" s="580"/>
      <c r="AS1335" s="580"/>
      <c r="AT1335" s="580"/>
      <c r="AU1335" s="580"/>
      <c r="AV1335" s="580"/>
      <c r="AW1335" s="580"/>
      <c r="AX1335" s="580"/>
      <c r="AY1335" s="580"/>
      <c r="AZ1335" s="580"/>
      <c r="BA1335" s="580"/>
      <c r="BB1335" s="622"/>
      <c r="BC1335" s="622"/>
      <c r="BD1335" s="622"/>
      <c r="BE1335" s="622"/>
    </row>
    <row r="1336" customFormat="false" ht="14.1" hidden="true" customHeight="true" outlineLevel="1" collapsed="false">
      <c r="A1336" s="164" t="s">
        <v>861</v>
      </c>
      <c r="B1336" s="635" t="s">
        <v>493</v>
      </c>
      <c r="C1336" s="419" t="s">
        <v>44</v>
      </c>
      <c r="D1336" s="386"/>
      <c r="E1336" s="138"/>
      <c r="F1336" s="138"/>
      <c r="G1336" s="26"/>
      <c r="H1336" s="389"/>
      <c r="I1336" s="243"/>
      <c r="J1336" s="243"/>
      <c r="K1336" s="243"/>
      <c r="L1336" s="243"/>
      <c r="M1336" s="243"/>
      <c r="N1336" s="243"/>
      <c r="O1336" s="243"/>
      <c r="P1336" s="243"/>
      <c r="Q1336" s="243"/>
      <c r="R1336" s="577"/>
      <c r="S1336" s="577"/>
      <c r="T1336" s="577"/>
      <c r="U1336" s="577"/>
      <c r="V1336" s="577"/>
      <c r="W1336" s="577"/>
      <c r="X1336" s="577"/>
      <c r="Y1336" s="577"/>
      <c r="Z1336" s="577"/>
      <c r="AA1336" s="577"/>
      <c r="AB1336" s="577"/>
      <c r="AC1336" s="577"/>
      <c r="AD1336" s="577"/>
      <c r="AE1336" s="577"/>
      <c r="AF1336" s="577"/>
      <c r="AG1336" s="577"/>
      <c r="AH1336" s="578"/>
      <c r="AI1336" s="578"/>
      <c r="AJ1336" s="578"/>
      <c r="AK1336" s="578"/>
      <c r="AL1336" s="578"/>
      <c r="AM1336" s="578"/>
      <c r="AN1336" s="578"/>
      <c r="AO1336" s="579"/>
      <c r="AP1336" s="579"/>
      <c r="AQ1336" s="580"/>
      <c r="AR1336" s="580"/>
      <c r="AS1336" s="580"/>
      <c r="AT1336" s="580"/>
      <c r="AU1336" s="580"/>
      <c r="AV1336" s="580"/>
      <c r="AW1336" s="580"/>
      <c r="AX1336" s="580"/>
      <c r="AY1336" s="580"/>
      <c r="AZ1336" s="580"/>
      <c r="BA1336" s="580"/>
      <c r="BB1336" s="622"/>
      <c r="BC1336" s="622"/>
      <c r="BD1336" s="622"/>
      <c r="BE1336" s="622"/>
    </row>
    <row r="1337" customFormat="false" ht="14.1" hidden="true" customHeight="true" outlineLevel="1" collapsed="false">
      <c r="A1337" s="164" t="s">
        <v>862</v>
      </c>
      <c r="B1337" s="635" t="s">
        <v>493</v>
      </c>
      <c r="C1337" s="419" t="s">
        <v>44</v>
      </c>
      <c r="D1337" s="386"/>
      <c r="E1337" s="138"/>
      <c r="F1337" s="138"/>
      <c r="G1337" s="26"/>
      <c r="H1337" s="389"/>
      <c r="I1337" s="243"/>
      <c r="J1337" s="243"/>
      <c r="K1337" s="243"/>
      <c r="L1337" s="243"/>
      <c r="M1337" s="243"/>
      <c r="N1337" s="243"/>
      <c r="O1337" s="243"/>
      <c r="P1337" s="243"/>
      <c r="Q1337" s="243"/>
      <c r="R1337" s="577"/>
      <c r="S1337" s="577"/>
      <c r="T1337" s="577"/>
      <c r="U1337" s="577"/>
      <c r="V1337" s="577"/>
      <c r="W1337" s="577"/>
      <c r="X1337" s="577"/>
      <c r="Y1337" s="577"/>
      <c r="Z1337" s="577"/>
      <c r="AA1337" s="577"/>
      <c r="AB1337" s="577"/>
      <c r="AC1337" s="577"/>
      <c r="AD1337" s="577"/>
      <c r="AE1337" s="577"/>
      <c r="AF1337" s="577"/>
      <c r="AG1337" s="577"/>
      <c r="AH1337" s="578"/>
      <c r="AI1337" s="578"/>
      <c r="AJ1337" s="578"/>
      <c r="AK1337" s="578"/>
      <c r="AL1337" s="578"/>
      <c r="AM1337" s="578"/>
      <c r="AN1337" s="578"/>
      <c r="AO1337" s="579"/>
      <c r="AP1337" s="579"/>
      <c r="AQ1337" s="580"/>
      <c r="AR1337" s="580"/>
      <c r="AS1337" s="580"/>
      <c r="AT1337" s="580"/>
      <c r="AU1337" s="580"/>
      <c r="AV1337" s="580"/>
      <c r="AW1337" s="580"/>
      <c r="AX1337" s="580"/>
      <c r="AY1337" s="580"/>
      <c r="AZ1337" s="580"/>
      <c r="BA1337" s="580"/>
      <c r="BB1337" s="622"/>
      <c r="BC1337" s="622"/>
      <c r="BD1337" s="622"/>
      <c r="BE1337" s="622"/>
    </row>
    <row r="1338" customFormat="false" ht="14.1" hidden="true" customHeight="true" outlineLevel="1" collapsed="false">
      <c r="A1338" s="164" t="s">
        <v>863</v>
      </c>
      <c r="B1338" s="635" t="s">
        <v>493</v>
      </c>
      <c r="C1338" s="419" t="s">
        <v>44</v>
      </c>
      <c r="D1338" s="386"/>
      <c r="E1338" s="138"/>
      <c r="F1338" s="138"/>
      <c r="G1338" s="26"/>
      <c r="H1338" s="389"/>
      <c r="I1338" s="243"/>
      <c r="J1338" s="243"/>
      <c r="K1338" s="243"/>
      <c r="L1338" s="243"/>
      <c r="M1338" s="243"/>
      <c r="N1338" s="243"/>
      <c r="O1338" s="243"/>
      <c r="P1338" s="243"/>
      <c r="Q1338" s="243"/>
      <c r="R1338" s="577"/>
      <c r="S1338" s="577"/>
      <c r="T1338" s="577"/>
      <c r="U1338" s="577"/>
      <c r="V1338" s="577"/>
      <c r="W1338" s="577"/>
      <c r="X1338" s="577"/>
      <c r="Y1338" s="577"/>
      <c r="Z1338" s="577"/>
      <c r="AA1338" s="577"/>
      <c r="AB1338" s="577"/>
      <c r="AC1338" s="577"/>
      <c r="AD1338" s="577"/>
      <c r="AE1338" s="577"/>
      <c r="AF1338" s="577"/>
      <c r="AG1338" s="577"/>
      <c r="AH1338" s="578"/>
      <c r="AI1338" s="578"/>
      <c r="AJ1338" s="578"/>
      <c r="AK1338" s="578"/>
      <c r="AL1338" s="578"/>
      <c r="AM1338" s="578"/>
      <c r="AN1338" s="578"/>
      <c r="AO1338" s="579"/>
      <c r="AP1338" s="579"/>
      <c r="AQ1338" s="580"/>
      <c r="AR1338" s="580"/>
      <c r="AS1338" s="580"/>
      <c r="AT1338" s="580"/>
      <c r="AU1338" s="580"/>
      <c r="AV1338" s="580"/>
      <c r="AW1338" s="580"/>
      <c r="AX1338" s="580"/>
      <c r="AY1338" s="580"/>
      <c r="AZ1338" s="580"/>
      <c r="BA1338" s="580"/>
      <c r="BB1338" s="622"/>
      <c r="BC1338" s="622"/>
      <c r="BD1338" s="622"/>
      <c r="BE1338" s="622"/>
    </row>
    <row r="1339" s="162" customFormat="true" ht="14.1" hidden="true" customHeight="true" outlineLevel="1" collapsed="false">
      <c r="A1339" s="386"/>
      <c r="B1339" s="640"/>
      <c r="C1339" s="269"/>
      <c r="D1339" s="386"/>
      <c r="E1339" s="169"/>
      <c r="F1339" s="169"/>
      <c r="G1339" s="26"/>
      <c r="H1339" s="257"/>
      <c r="I1339" s="257"/>
      <c r="J1339" s="257"/>
      <c r="K1339" s="257"/>
      <c r="L1339" s="257"/>
      <c r="M1339" s="257"/>
      <c r="N1339" s="257"/>
      <c r="O1339" s="257"/>
      <c r="P1339" s="243"/>
      <c r="Q1339" s="243"/>
      <c r="R1339" s="577"/>
      <c r="S1339" s="577"/>
      <c r="T1339" s="577"/>
      <c r="U1339" s="577"/>
      <c r="V1339" s="577"/>
      <c r="W1339" s="577"/>
      <c r="X1339" s="577"/>
      <c r="Y1339" s="577"/>
      <c r="Z1339" s="577"/>
      <c r="AA1339" s="577"/>
      <c r="AB1339" s="577"/>
      <c r="AC1339" s="577"/>
      <c r="AD1339" s="577"/>
      <c r="AE1339" s="577"/>
      <c r="AF1339" s="577"/>
      <c r="AG1339" s="577"/>
      <c r="AH1339" s="578"/>
      <c r="AI1339" s="578"/>
      <c r="AJ1339" s="578"/>
      <c r="AK1339" s="578"/>
      <c r="AL1339" s="578"/>
      <c r="AM1339" s="578"/>
      <c r="AN1339" s="578"/>
      <c r="AO1339" s="579"/>
      <c r="AP1339" s="579"/>
      <c r="AQ1339" s="580"/>
      <c r="AR1339" s="580"/>
      <c r="AS1339" s="580"/>
      <c r="AT1339" s="580"/>
      <c r="AU1339" s="580"/>
      <c r="AV1339" s="580"/>
      <c r="AW1339" s="580"/>
      <c r="AX1339" s="580"/>
      <c r="AY1339" s="580"/>
      <c r="AZ1339" s="580"/>
      <c r="BA1339" s="580"/>
      <c r="BB1339" s="581"/>
      <c r="BC1339" s="581"/>
      <c r="BD1339" s="581"/>
      <c r="BE1339" s="581"/>
      <c r="BF1339" s="161"/>
    </row>
    <row r="1340" s="162" customFormat="true" ht="14.1" hidden="true" customHeight="true" outlineLevel="1" collapsed="false">
      <c r="A1340" s="275" t="s">
        <v>749</v>
      </c>
      <c r="B1340" s="277"/>
      <c r="C1340" s="458"/>
      <c r="D1340" s="386"/>
      <c r="E1340" s="169"/>
      <c r="F1340" s="169"/>
      <c r="G1340" s="26"/>
      <c r="H1340" s="257"/>
      <c r="I1340" s="257"/>
      <c r="J1340" s="257"/>
      <c r="K1340" s="257"/>
      <c r="L1340" s="257"/>
      <c r="M1340" s="257"/>
      <c r="N1340" s="257"/>
      <c r="O1340" s="257"/>
      <c r="P1340" s="243"/>
      <c r="Q1340" s="243"/>
      <c r="R1340" s="577"/>
      <c r="S1340" s="577"/>
      <c r="T1340" s="577"/>
      <c r="U1340" s="577"/>
      <c r="V1340" s="577"/>
      <c r="W1340" s="577"/>
      <c r="X1340" s="577"/>
      <c r="Y1340" s="577"/>
      <c r="Z1340" s="577"/>
      <c r="AA1340" s="577"/>
      <c r="AB1340" s="577"/>
      <c r="AC1340" s="577"/>
      <c r="AD1340" s="577"/>
      <c r="AE1340" s="577"/>
      <c r="AF1340" s="577"/>
      <c r="AG1340" s="577"/>
      <c r="AH1340" s="578"/>
      <c r="AI1340" s="578"/>
      <c r="AJ1340" s="578"/>
      <c r="AK1340" s="578"/>
      <c r="AL1340" s="578"/>
      <c r="AM1340" s="578"/>
      <c r="AN1340" s="578"/>
      <c r="AO1340" s="579"/>
      <c r="AP1340" s="579"/>
      <c r="AQ1340" s="580"/>
      <c r="AR1340" s="580"/>
      <c r="AS1340" s="580"/>
      <c r="AT1340" s="580"/>
      <c r="AU1340" s="580"/>
      <c r="AV1340" s="580"/>
      <c r="AW1340" s="580"/>
      <c r="AX1340" s="580"/>
      <c r="AY1340" s="580"/>
      <c r="AZ1340" s="580"/>
      <c r="BA1340" s="580"/>
      <c r="BB1340" s="581"/>
      <c r="BC1340" s="581"/>
      <c r="BD1340" s="581"/>
      <c r="BE1340" s="581"/>
      <c r="BF1340" s="161"/>
    </row>
    <row r="1341" s="162" customFormat="true" ht="14.1" hidden="true" customHeight="true" outlineLevel="1" collapsed="false">
      <c r="A1341" s="147" t="s">
        <v>226</v>
      </c>
      <c r="B1341" s="616" t="s">
        <v>502</v>
      </c>
      <c r="C1341" s="348" t="n">
        <v>0</v>
      </c>
      <c r="D1341" s="386"/>
      <c r="E1341" s="169"/>
      <c r="F1341" s="169"/>
      <c r="G1341" s="26"/>
      <c r="H1341" s="257"/>
      <c r="I1341" s="257"/>
      <c r="J1341" s="257"/>
      <c r="K1341" s="257"/>
      <c r="L1341" s="257"/>
      <c r="M1341" s="257"/>
      <c r="N1341" s="257"/>
      <c r="O1341" s="257"/>
      <c r="P1341" s="243"/>
      <c r="Q1341" s="243"/>
      <c r="R1341" s="577"/>
      <c r="S1341" s="577"/>
      <c r="T1341" s="577"/>
      <c r="U1341" s="577"/>
      <c r="V1341" s="577"/>
      <c r="W1341" s="577"/>
      <c r="X1341" s="577"/>
      <c r="Y1341" s="577"/>
      <c r="Z1341" s="577"/>
      <c r="AA1341" s="577"/>
      <c r="AB1341" s="577"/>
      <c r="AC1341" s="577"/>
      <c r="AD1341" s="577"/>
      <c r="AE1341" s="577"/>
      <c r="AF1341" s="577"/>
      <c r="AG1341" s="577"/>
      <c r="AH1341" s="578"/>
      <c r="AI1341" s="578"/>
      <c r="AJ1341" s="578"/>
      <c r="AK1341" s="578"/>
      <c r="AL1341" s="578"/>
      <c r="AM1341" s="578"/>
      <c r="AN1341" s="578"/>
      <c r="AO1341" s="579"/>
      <c r="AP1341" s="579"/>
      <c r="AQ1341" s="580"/>
      <c r="AR1341" s="580"/>
      <c r="AS1341" s="580"/>
      <c r="AT1341" s="580"/>
      <c r="AU1341" s="580"/>
      <c r="AV1341" s="580"/>
      <c r="AW1341" s="580"/>
      <c r="AX1341" s="580"/>
      <c r="AY1341" s="580"/>
      <c r="AZ1341" s="580"/>
      <c r="BA1341" s="580"/>
      <c r="BB1341" s="581"/>
      <c r="BC1341" s="581"/>
      <c r="BD1341" s="581"/>
      <c r="BE1341" s="581"/>
      <c r="BF1341" s="161"/>
    </row>
    <row r="1342" s="162" customFormat="true" ht="14.1" hidden="true" customHeight="true" outlineLevel="1" collapsed="false">
      <c r="A1342" s="149" t="s">
        <v>226</v>
      </c>
      <c r="B1342" s="119" t="s">
        <v>48</v>
      </c>
      <c r="C1342" s="163" t="n">
        <v>0</v>
      </c>
      <c r="D1342" s="386"/>
      <c r="E1342" s="169"/>
      <c r="F1342" s="169"/>
      <c r="G1342" s="26"/>
      <c r="H1342" s="257"/>
      <c r="I1342" s="257"/>
      <c r="J1342" s="257"/>
      <c r="K1342" s="257"/>
      <c r="L1342" s="257"/>
      <c r="M1342" s="257"/>
      <c r="N1342" s="257"/>
      <c r="O1342" s="257"/>
      <c r="P1342" s="243"/>
      <c r="Q1342" s="243"/>
      <c r="R1342" s="577"/>
      <c r="S1342" s="577"/>
      <c r="T1342" s="577"/>
      <c r="U1342" s="577"/>
      <c r="V1342" s="577"/>
      <c r="W1342" s="577"/>
      <c r="X1342" s="577"/>
      <c r="Y1342" s="577"/>
      <c r="Z1342" s="577"/>
      <c r="AA1342" s="577"/>
      <c r="AB1342" s="577"/>
      <c r="AC1342" s="577"/>
      <c r="AD1342" s="577"/>
      <c r="AE1342" s="577"/>
      <c r="AF1342" s="577"/>
      <c r="AG1342" s="577"/>
      <c r="AH1342" s="578"/>
      <c r="AI1342" s="578"/>
      <c r="AJ1342" s="578"/>
      <c r="AK1342" s="578"/>
      <c r="AL1342" s="578"/>
      <c r="AM1342" s="578"/>
      <c r="AN1342" s="578"/>
      <c r="AO1342" s="579"/>
      <c r="AP1342" s="579"/>
      <c r="AQ1342" s="580"/>
      <c r="AR1342" s="580"/>
      <c r="AS1342" s="580"/>
      <c r="AT1342" s="580"/>
      <c r="AU1342" s="580"/>
      <c r="AV1342" s="580"/>
      <c r="AW1342" s="580"/>
      <c r="AX1342" s="580"/>
      <c r="AY1342" s="580"/>
      <c r="AZ1342" s="580"/>
      <c r="BA1342" s="580"/>
      <c r="BB1342" s="581"/>
      <c r="BC1342" s="581"/>
      <c r="BD1342" s="581"/>
      <c r="BE1342" s="581"/>
      <c r="BF1342" s="161"/>
    </row>
    <row r="1343" s="162" customFormat="true" ht="14.1" hidden="true" customHeight="true" outlineLevel="1" collapsed="false">
      <c r="A1343" s="138"/>
      <c r="B1343" s="235"/>
      <c r="C1343" s="169"/>
      <c r="D1343" s="386"/>
      <c r="E1343" s="169"/>
      <c r="F1343" s="169"/>
      <c r="G1343" s="26"/>
      <c r="H1343" s="257"/>
      <c r="I1343" s="257"/>
      <c r="J1343" s="257"/>
      <c r="K1343" s="257"/>
      <c r="L1343" s="257"/>
      <c r="M1343" s="257"/>
      <c r="N1343" s="257"/>
      <c r="O1343" s="257"/>
      <c r="P1343" s="243"/>
      <c r="Q1343" s="243"/>
      <c r="R1343" s="577"/>
      <c r="S1343" s="577"/>
      <c r="T1343" s="577"/>
      <c r="U1343" s="577"/>
      <c r="V1343" s="577"/>
      <c r="W1343" s="577"/>
      <c r="X1343" s="577"/>
      <c r="Y1343" s="577"/>
      <c r="Z1343" s="577"/>
      <c r="AA1343" s="577"/>
      <c r="AB1343" s="577"/>
      <c r="AC1343" s="577"/>
      <c r="AD1343" s="577"/>
      <c r="AE1343" s="577"/>
      <c r="AF1343" s="577"/>
      <c r="AG1343" s="577"/>
      <c r="AH1343" s="578"/>
      <c r="AI1343" s="578"/>
      <c r="AJ1343" s="578"/>
      <c r="AK1343" s="578"/>
      <c r="AL1343" s="578"/>
      <c r="AM1343" s="578"/>
      <c r="AN1343" s="578"/>
      <c r="AO1343" s="579"/>
      <c r="AP1343" s="579"/>
      <c r="AQ1343" s="580"/>
      <c r="AR1343" s="580"/>
      <c r="AS1343" s="580"/>
      <c r="AT1343" s="580"/>
      <c r="AU1343" s="580"/>
      <c r="AV1343" s="580"/>
      <c r="AW1343" s="580"/>
      <c r="AX1343" s="580"/>
      <c r="AY1343" s="580"/>
      <c r="AZ1343" s="580"/>
      <c r="BA1343" s="580"/>
      <c r="BB1343" s="581"/>
      <c r="BC1343" s="581"/>
      <c r="BD1343" s="581"/>
      <c r="BE1343" s="581"/>
      <c r="BF1343" s="161"/>
    </row>
    <row r="1344" s="162" customFormat="true" ht="14.1" hidden="true" customHeight="true" outlineLevel="1" collapsed="false">
      <c r="A1344" s="163" t="s">
        <v>864</v>
      </c>
      <c r="B1344" s="119" t="s">
        <v>113</v>
      </c>
      <c r="C1344" s="252" t="n">
        <v>5000</v>
      </c>
      <c r="D1344" s="386"/>
      <c r="E1344" s="169"/>
      <c r="F1344" s="169"/>
      <c r="G1344" s="26"/>
      <c r="H1344" s="257"/>
      <c r="I1344" s="257"/>
      <c r="J1344" s="257"/>
      <c r="K1344" s="257"/>
      <c r="L1344" s="257"/>
      <c r="M1344" s="257"/>
      <c r="N1344" s="257"/>
      <c r="O1344" s="257"/>
      <c r="P1344" s="243"/>
      <c r="Q1344" s="243"/>
      <c r="R1344" s="577"/>
      <c r="S1344" s="577"/>
      <c r="T1344" s="577"/>
      <c r="U1344" s="577"/>
      <c r="V1344" s="577"/>
      <c r="W1344" s="577"/>
      <c r="X1344" s="577"/>
      <c r="Y1344" s="577"/>
      <c r="Z1344" s="577"/>
      <c r="AA1344" s="577"/>
      <c r="AB1344" s="577"/>
      <c r="AC1344" s="577"/>
      <c r="AD1344" s="577"/>
      <c r="AE1344" s="577"/>
      <c r="AF1344" s="577"/>
      <c r="AG1344" s="577"/>
      <c r="AH1344" s="578"/>
      <c r="AI1344" s="578"/>
      <c r="AJ1344" s="578"/>
      <c r="AK1344" s="578"/>
      <c r="AL1344" s="578"/>
      <c r="AM1344" s="578"/>
      <c r="AN1344" s="578"/>
      <c r="AO1344" s="579"/>
      <c r="AP1344" s="579"/>
      <c r="AQ1344" s="580"/>
      <c r="AR1344" s="580"/>
      <c r="AS1344" s="580"/>
      <c r="AT1344" s="580"/>
      <c r="AU1344" s="580"/>
      <c r="AV1344" s="580"/>
      <c r="AW1344" s="580"/>
      <c r="AX1344" s="580"/>
      <c r="AY1344" s="580"/>
      <c r="AZ1344" s="580"/>
      <c r="BA1344" s="580"/>
      <c r="BB1344" s="581"/>
      <c r="BC1344" s="581"/>
      <c r="BD1344" s="581"/>
      <c r="BE1344" s="581"/>
      <c r="BF1344" s="161"/>
    </row>
    <row r="1345" customFormat="false" ht="14.1" hidden="true" customHeight="true" outlineLevel="1" collapsed="false">
      <c r="A1345" s="386"/>
      <c r="B1345" s="640"/>
      <c r="C1345" s="386"/>
      <c r="D1345" s="386"/>
      <c r="E1345" s="138"/>
      <c r="F1345" s="138"/>
      <c r="G1345" s="26"/>
      <c r="H1345" s="257"/>
      <c r="I1345" s="257"/>
      <c r="J1345" s="257"/>
      <c r="K1345" s="257"/>
      <c r="L1345" s="257"/>
      <c r="M1345" s="257"/>
      <c r="N1345" s="257"/>
      <c r="O1345" s="257"/>
      <c r="P1345" s="243"/>
      <c r="Q1345" s="243"/>
      <c r="R1345" s="577"/>
      <c r="S1345" s="577"/>
      <c r="T1345" s="577"/>
      <c r="U1345" s="577"/>
      <c r="V1345" s="577"/>
      <c r="W1345" s="577"/>
      <c r="X1345" s="577"/>
      <c r="Y1345" s="577"/>
      <c r="Z1345" s="577"/>
      <c r="AA1345" s="577"/>
      <c r="AB1345" s="577"/>
      <c r="AC1345" s="577"/>
      <c r="AD1345" s="577"/>
      <c r="AE1345" s="577"/>
      <c r="AF1345" s="577"/>
      <c r="AG1345" s="577"/>
      <c r="AH1345" s="578"/>
      <c r="AI1345" s="578"/>
      <c r="AJ1345" s="578"/>
      <c r="AK1345" s="578"/>
      <c r="AL1345" s="578"/>
      <c r="AM1345" s="578"/>
      <c r="AN1345" s="578"/>
      <c r="AO1345" s="579"/>
      <c r="AP1345" s="579"/>
      <c r="AQ1345" s="580"/>
      <c r="AR1345" s="580"/>
      <c r="AS1345" s="580"/>
      <c r="AT1345" s="580"/>
      <c r="AU1345" s="580"/>
      <c r="AV1345" s="580"/>
      <c r="AW1345" s="580"/>
      <c r="AX1345" s="580"/>
      <c r="AY1345" s="580"/>
      <c r="AZ1345" s="580"/>
      <c r="BA1345" s="580"/>
      <c r="BB1345" s="622"/>
      <c r="BC1345" s="622"/>
      <c r="BD1345" s="622"/>
      <c r="BE1345" s="622"/>
    </row>
    <row r="1346" customFormat="false" ht="14.1" hidden="false" customHeight="true" outlineLevel="0" collapsed="false">
      <c r="A1346" s="628" t="s">
        <v>865</v>
      </c>
      <c r="B1346" s="628"/>
      <c r="C1346" s="628"/>
      <c r="D1346" s="628"/>
      <c r="E1346" s="628"/>
      <c r="F1346" s="428" t="s">
        <v>44</v>
      </c>
      <c r="G1346" s="26"/>
      <c r="H1346" s="437"/>
      <c r="I1346" s="437"/>
      <c r="J1346" s="437"/>
      <c r="K1346" s="437"/>
      <c r="L1346" s="437"/>
      <c r="M1346" s="257"/>
      <c r="N1346" s="257"/>
      <c r="O1346" s="257"/>
      <c r="P1346" s="243"/>
      <c r="Q1346" s="165"/>
      <c r="R1346" s="243"/>
      <c r="S1346" s="577"/>
      <c r="T1346" s="243"/>
      <c r="U1346" s="243"/>
      <c r="V1346" s="577"/>
      <c r="W1346" s="577"/>
      <c r="X1346" s="577"/>
      <c r="Y1346" s="577"/>
      <c r="Z1346" s="577"/>
      <c r="AA1346" s="577"/>
      <c r="AB1346" s="577"/>
      <c r="AC1346" s="577"/>
      <c r="AD1346" s="577"/>
      <c r="AE1346" s="577"/>
      <c r="AF1346" s="577"/>
      <c r="AG1346" s="577"/>
      <c r="AH1346" s="578"/>
      <c r="AI1346" s="578"/>
      <c r="AJ1346" s="578"/>
      <c r="AK1346" s="578"/>
      <c r="AL1346" s="578"/>
      <c r="AM1346" s="578"/>
      <c r="AN1346" s="578"/>
      <c r="AO1346" s="579"/>
      <c r="AP1346" s="579"/>
      <c r="AQ1346" s="580"/>
      <c r="AR1346" s="580"/>
      <c r="AS1346" s="580"/>
      <c r="AT1346" s="580"/>
      <c r="AU1346" s="580"/>
      <c r="AV1346" s="127" t="n">
        <f aca="false">M1346</f>
        <v>0</v>
      </c>
      <c r="AW1346" s="580"/>
      <c r="AX1346" s="580"/>
      <c r="AY1346" s="580"/>
      <c r="AZ1346" s="580"/>
      <c r="BA1346" s="580"/>
      <c r="BB1346" s="622"/>
      <c r="BC1346" s="622"/>
      <c r="BD1346" s="622"/>
      <c r="BE1346" s="622"/>
    </row>
    <row r="1347" s="35" customFormat="true" ht="14.1" hidden="false" customHeight="true" outlineLevel="0" collapsed="false">
      <c r="A1347" s="636"/>
      <c r="B1347" s="636"/>
      <c r="C1347" s="636"/>
      <c r="D1347" s="636"/>
      <c r="E1347" s="636"/>
      <c r="F1347" s="636"/>
      <c r="G1347" s="636"/>
      <c r="H1347" s="577"/>
      <c r="I1347" s="577"/>
      <c r="J1347" s="577"/>
      <c r="K1347" s="577"/>
      <c r="L1347" s="577"/>
      <c r="M1347" s="577"/>
      <c r="N1347" s="577"/>
      <c r="O1347" s="577"/>
      <c r="P1347" s="577"/>
      <c r="Q1347" s="577"/>
      <c r="R1347" s="577"/>
      <c r="S1347" s="577"/>
      <c r="T1347" s="577"/>
      <c r="U1347" s="577"/>
      <c r="V1347" s="577"/>
      <c r="W1347" s="577"/>
      <c r="X1347" s="577"/>
      <c r="Y1347" s="577"/>
      <c r="Z1347" s="577"/>
      <c r="AA1347" s="577"/>
      <c r="AB1347" s="577"/>
      <c r="AC1347" s="577"/>
      <c r="AD1347" s="577"/>
      <c r="AE1347" s="577"/>
      <c r="AF1347" s="577"/>
      <c r="AG1347" s="577"/>
      <c r="AH1347" s="578"/>
      <c r="AI1347" s="578"/>
      <c r="AJ1347" s="578"/>
      <c r="AK1347" s="578"/>
      <c r="AL1347" s="578"/>
      <c r="AM1347" s="578"/>
      <c r="AN1347" s="578"/>
      <c r="AO1347" s="579"/>
      <c r="AP1347" s="579"/>
      <c r="AQ1347" s="580"/>
      <c r="AR1347" s="580"/>
      <c r="AS1347" s="580"/>
      <c r="AT1347" s="580"/>
      <c r="AU1347" s="580"/>
      <c r="AV1347" s="580"/>
      <c r="AW1347" s="580"/>
      <c r="AX1347" s="580"/>
      <c r="AY1347" s="580"/>
      <c r="AZ1347" s="580"/>
      <c r="BA1347" s="580"/>
      <c r="BB1347" s="580"/>
      <c r="BC1347" s="580"/>
      <c r="BD1347" s="580"/>
      <c r="BE1347" s="580"/>
      <c r="BF1347" s="156"/>
    </row>
    <row r="1348" customFormat="false" ht="14.1" hidden="true" customHeight="true" outlineLevel="1" collapsed="false">
      <c r="A1348" s="641" t="s">
        <v>866</v>
      </c>
      <c r="B1348" s="641"/>
      <c r="C1348" s="641"/>
      <c r="D1348" s="641"/>
      <c r="E1348" s="641"/>
      <c r="F1348" s="641"/>
      <c r="G1348" s="641"/>
      <c r="H1348" s="440"/>
      <c r="I1348" s="440"/>
      <c r="J1348" s="440"/>
      <c r="K1348" s="440"/>
      <c r="L1348" s="440"/>
      <c r="M1348" s="440"/>
      <c r="N1348" s="440"/>
      <c r="O1348" s="440"/>
      <c r="P1348" s="440"/>
      <c r="Q1348" s="440"/>
      <c r="R1348" s="440"/>
      <c r="S1348" s="440"/>
      <c r="T1348" s="440"/>
      <c r="U1348" s="440"/>
      <c r="V1348" s="440"/>
      <c r="W1348" s="440"/>
      <c r="X1348" s="440"/>
      <c r="Y1348" s="440"/>
      <c r="Z1348" s="440"/>
      <c r="AA1348" s="440"/>
      <c r="AB1348" s="440"/>
      <c r="AC1348" s="440"/>
      <c r="AD1348" s="440"/>
      <c r="AE1348" s="440"/>
      <c r="AF1348" s="440"/>
      <c r="AG1348" s="440"/>
      <c r="AH1348" s="584"/>
      <c r="AI1348" s="584"/>
      <c r="AJ1348" s="29"/>
      <c r="AK1348" s="29"/>
      <c r="AL1348" s="29"/>
      <c r="AM1348" s="29"/>
      <c r="AN1348" s="578"/>
      <c r="AO1348" s="579"/>
      <c r="AP1348" s="579"/>
      <c r="AQ1348" s="580"/>
      <c r="AR1348" s="580"/>
      <c r="AS1348" s="580"/>
      <c r="AT1348" s="580"/>
      <c r="AU1348" s="580"/>
      <c r="AV1348" s="580"/>
      <c r="AW1348" s="580"/>
      <c r="AX1348" s="580"/>
      <c r="AY1348" s="580"/>
      <c r="AZ1348" s="580"/>
      <c r="BA1348" s="580"/>
      <c r="BB1348" s="622"/>
      <c r="BC1348" s="622"/>
      <c r="BD1348" s="622"/>
      <c r="BE1348" s="622"/>
    </row>
    <row r="1349" customFormat="false" ht="14.1" hidden="true" customHeight="true" outlineLevel="1" collapsed="false">
      <c r="A1349" s="641"/>
      <c r="B1349" s="641"/>
      <c r="C1349" s="641"/>
      <c r="D1349" s="641"/>
      <c r="E1349" s="641"/>
      <c r="F1349" s="641"/>
      <c r="G1349" s="641"/>
      <c r="H1349" s="440"/>
      <c r="I1349" s="440"/>
      <c r="J1349" s="440"/>
      <c r="K1349" s="440"/>
      <c r="L1349" s="440"/>
      <c r="M1349" s="440"/>
      <c r="N1349" s="440"/>
      <c r="O1349" s="440"/>
      <c r="P1349" s="440"/>
      <c r="Q1349" s="440"/>
      <c r="R1349" s="440"/>
      <c r="S1349" s="440"/>
      <c r="T1349" s="440"/>
      <c r="U1349" s="440"/>
      <c r="V1349" s="440"/>
      <c r="W1349" s="440"/>
      <c r="X1349" s="440"/>
      <c r="Y1349" s="440"/>
      <c r="Z1349" s="440"/>
      <c r="AA1349" s="440"/>
      <c r="AB1349" s="440"/>
      <c r="AC1349" s="440"/>
      <c r="AD1349" s="440"/>
      <c r="AE1349" s="440"/>
      <c r="AF1349" s="440"/>
      <c r="AG1349" s="440"/>
      <c r="AH1349" s="584"/>
      <c r="AI1349" s="584"/>
      <c r="AJ1349" s="29"/>
      <c r="AK1349" s="29"/>
      <c r="AL1349" s="29"/>
      <c r="AM1349" s="29"/>
      <c r="AN1349" s="578"/>
      <c r="AO1349" s="579"/>
      <c r="AP1349" s="579"/>
      <c r="AQ1349" s="580"/>
      <c r="AR1349" s="580"/>
      <c r="AS1349" s="580"/>
      <c r="AT1349" s="580"/>
      <c r="AU1349" s="580"/>
      <c r="AV1349" s="580"/>
      <c r="AW1349" s="580"/>
      <c r="AX1349" s="580"/>
      <c r="AY1349" s="580"/>
      <c r="AZ1349" s="580"/>
      <c r="BA1349" s="580"/>
      <c r="BB1349" s="622"/>
      <c r="BC1349" s="622"/>
      <c r="BD1349" s="622"/>
      <c r="BE1349" s="622"/>
    </row>
    <row r="1350" customFormat="false" ht="14.1" hidden="true" customHeight="true" outlineLevel="1" collapsed="false">
      <c r="A1350" s="393" t="s">
        <v>461</v>
      </c>
      <c r="B1350" s="570"/>
      <c r="C1350" s="571"/>
      <c r="D1350" s="348" t="n">
        <v>1</v>
      </c>
      <c r="E1350" s="138"/>
      <c r="F1350" s="138"/>
      <c r="G1350" s="468"/>
      <c r="H1350" s="468"/>
      <c r="I1350" s="468"/>
      <c r="J1350" s="468"/>
      <c r="K1350" s="468"/>
      <c r="L1350" s="468"/>
      <c r="M1350" s="468"/>
      <c r="N1350" s="468"/>
      <c r="O1350" s="468"/>
      <c r="P1350" s="468"/>
      <c r="Q1350" s="468"/>
      <c r="R1350" s="468"/>
      <c r="S1350" s="468"/>
      <c r="T1350" s="468"/>
      <c r="U1350" s="468"/>
      <c r="V1350" s="468"/>
      <c r="W1350" s="468"/>
      <c r="X1350" s="468"/>
      <c r="Y1350" s="468"/>
      <c r="Z1350" s="468"/>
      <c r="AA1350" s="468"/>
      <c r="AB1350" s="468"/>
      <c r="AC1350" s="468"/>
      <c r="AD1350" s="468"/>
      <c r="AE1350" s="468"/>
      <c r="AF1350" s="243"/>
      <c r="AG1350" s="243"/>
      <c r="AH1350" s="29"/>
      <c r="AI1350" s="568"/>
      <c r="AJ1350" s="29"/>
      <c r="AK1350" s="29"/>
      <c r="AL1350" s="29"/>
      <c r="AM1350" s="29"/>
      <c r="AN1350" s="578"/>
      <c r="AO1350" s="579"/>
      <c r="AP1350" s="579"/>
      <c r="AQ1350" s="580"/>
      <c r="AR1350" s="580"/>
      <c r="AS1350" s="580"/>
      <c r="AT1350" s="580"/>
      <c r="AU1350" s="580"/>
      <c r="AV1350" s="580"/>
      <c r="AW1350" s="580"/>
      <c r="AX1350" s="580"/>
      <c r="AY1350" s="580"/>
      <c r="AZ1350" s="580"/>
      <c r="BA1350" s="580"/>
      <c r="BB1350" s="581"/>
      <c r="BC1350" s="581"/>
      <c r="BD1350" s="581"/>
      <c r="BE1350" s="581"/>
    </row>
    <row r="1351" customFormat="false" ht="14.1" hidden="true" customHeight="true" outlineLevel="1" collapsed="false">
      <c r="A1351" s="393" t="s">
        <v>462</v>
      </c>
      <c r="B1351" s="570"/>
      <c r="C1351" s="571"/>
      <c r="D1351" s="348" t="n">
        <v>1</v>
      </c>
      <c r="E1351" s="138"/>
      <c r="F1351" s="138"/>
      <c r="G1351" s="468"/>
      <c r="H1351" s="468"/>
      <c r="I1351" s="468"/>
      <c r="J1351" s="468"/>
      <c r="K1351" s="468"/>
      <c r="L1351" s="468"/>
      <c r="M1351" s="468"/>
      <c r="N1351" s="468"/>
      <c r="O1351" s="468"/>
      <c r="P1351" s="468"/>
      <c r="Q1351" s="468"/>
      <c r="R1351" s="468"/>
      <c r="S1351" s="468"/>
      <c r="T1351" s="468"/>
      <c r="U1351" s="468"/>
      <c r="V1351" s="468"/>
      <c r="W1351" s="468"/>
      <c r="X1351" s="468"/>
      <c r="Y1351" s="468"/>
      <c r="Z1351" s="468"/>
      <c r="AA1351" s="468"/>
      <c r="AB1351" s="468"/>
      <c r="AC1351" s="468"/>
      <c r="AD1351" s="468"/>
      <c r="AE1351" s="468"/>
      <c r="AF1351" s="243"/>
      <c r="AG1351" s="243"/>
      <c r="AH1351" s="29"/>
      <c r="AI1351" s="29"/>
      <c r="AJ1351" s="29"/>
      <c r="AK1351" s="29"/>
      <c r="AL1351" s="29"/>
      <c r="AM1351" s="29"/>
      <c r="AN1351" s="578"/>
      <c r="AO1351" s="579"/>
      <c r="AP1351" s="579"/>
      <c r="AQ1351" s="580"/>
      <c r="AR1351" s="580"/>
      <c r="AS1351" s="580"/>
      <c r="AT1351" s="580"/>
      <c r="AU1351" s="580"/>
      <c r="AV1351" s="580"/>
      <c r="AW1351" s="580"/>
      <c r="AX1351" s="580"/>
      <c r="AY1351" s="580"/>
      <c r="AZ1351" s="580"/>
      <c r="BA1351" s="580"/>
      <c r="BB1351" s="581"/>
      <c r="BC1351" s="581"/>
      <c r="BD1351" s="581"/>
      <c r="BE1351" s="581"/>
    </row>
    <row r="1352" customFormat="false" ht="14.1" hidden="true" customHeight="true" outlineLevel="1" collapsed="false">
      <c r="A1352" s="138"/>
      <c r="B1352" s="481"/>
      <c r="C1352" s="467"/>
      <c r="D1352" s="467"/>
      <c r="E1352" s="376"/>
      <c r="F1352" s="376"/>
      <c r="G1352" s="468"/>
      <c r="H1352" s="468"/>
      <c r="I1352" s="468"/>
      <c r="J1352" s="468"/>
      <c r="K1352" s="468"/>
      <c r="L1352" s="468"/>
      <c r="M1352" s="468"/>
      <c r="N1352" s="468"/>
      <c r="O1352" s="468"/>
      <c r="P1352" s="468"/>
      <c r="Q1352" s="468"/>
      <c r="R1352" s="468"/>
      <c r="S1352" s="468"/>
      <c r="T1352" s="468"/>
      <c r="U1352" s="468"/>
      <c r="V1352" s="468"/>
      <c r="W1352" s="468"/>
      <c r="X1352" s="468"/>
      <c r="Y1352" s="384"/>
      <c r="Z1352" s="384"/>
      <c r="AA1352" s="383"/>
      <c r="AB1352" s="384"/>
      <c r="AC1352" s="384"/>
      <c r="AD1352" s="384"/>
      <c r="AE1352" s="384"/>
      <c r="AF1352" s="243"/>
      <c r="AG1352" s="243"/>
      <c r="AH1352" s="29"/>
      <c r="AI1352" s="29"/>
      <c r="AJ1352" s="29"/>
      <c r="AK1352" s="29"/>
      <c r="AL1352" s="29"/>
      <c r="AM1352" s="29"/>
      <c r="AN1352" s="578"/>
      <c r="AO1352" s="579"/>
      <c r="AP1352" s="579"/>
      <c r="AQ1352" s="580"/>
      <c r="AR1352" s="580"/>
      <c r="AS1352" s="580"/>
      <c r="AT1352" s="580"/>
      <c r="AU1352" s="580"/>
      <c r="AV1352" s="580"/>
      <c r="AW1352" s="580"/>
      <c r="AX1352" s="580"/>
      <c r="AY1352" s="580"/>
      <c r="AZ1352" s="580"/>
      <c r="BA1352" s="580"/>
      <c r="BB1352" s="581"/>
      <c r="BC1352" s="581"/>
      <c r="BD1352" s="581"/>
      <c r="BE1352" s="581"/>
    </row>
    <row r="1353" customFormat="false" ht="14.1" hidden="true" customHeight="true" outlineLevel="1" collapsed="false">
      <c r="A1353" s="138" t="s">
        <v>867</v>
      </c>
      <c r="B1353" s="481"/>
      <c r="C1353" s="467"/>
      <c r="D1353" s="467"/>
      <c r="E1353" s="376"/>
      <c r="F1353" s="376"/>
      <c r="G1353" s="468"/>
      <c r="H1353" s="468"/>
      <c r="I1353" s="468"/>
      <c r="J1353" s="468"/>
      <c r="K1353" s="468"/>
      <c r="L1353" s="468"/>
      <c r="M1353" s="468"/>
      <c r="N1353" s="468"/>
      <c r="O1353" s="468"/>
      <c r="P1353" s="468"/>
      <c r="Q1353" s="468"/>
      <c r="R1353" s="468"/>
      <c r="S1353" s="468"/>
      <c r="T1353" s="468"/>
      <c r="U1353" s="468"/>
      <c r="V1353" s="468"/>
      <c r="W1353" s="468"/>
      <c r="X1353" s="468"/>
      <c r="Y1353" s="384"/>
      <c r="Z1353" s="384"/>
      <c r="AA1353" s="383"/>
      <c r="AB1353" s="384"/>
      <c r="AC1353" s="384"/>
      <c r="AD1353" s="384"/>
      <c r="AE1353" s="384"/>
      <c r="AF1353" s="243"/>
      <c r="AG1353" s="243"/>
      <c r="AH1353" s="29"/>
      <c r="AI1353" s="29"/>
      <c r="AJ1353" s="29"/>
      <c r="AK1353" s="29"/>
      <c r="AL1353" s="29"/>
      <c r="AM1353" s="29"/>
      <c r="AN1353" s="578"/>
      <c r="AO1353" s="579"/>
      <c r="AP1353" s="579"/>
      <c r="AQ1353" s="580"/>
      <c r="AR1353" s="580"/>
      <c r="AS1353" s="580"/>
      <c r="AT1353" s="580"/>
      <c r="AU1353" s="580"/>
      <c r="AV1353" s="580"/>
      <c r="AW1353" s="580"/>
      <c r="AX1353" s="580"/>
      <c r="AY1353" s="580"/>
      <c r="AZ1353" s="580"/>
      <c r="BA1353" s="580"/>
      <c r="BB1353" s="581"/>
      <c r="BC1353" s="581"/>
      <c r="BD1353" s="581"/>
      <c r="BE1353" s="581"/>
    </row>
    <row r="1354" customFormat="false" ht="14.1" hidden="true" customHeight="true" outlineLevel="1" collapsed="false">
      <c r="A1354" s="244" t="s">
        <v>868</v>
      </c>
      <c r="B1354" s="481"/>
      <c r="C1354" s="467"/>
      <c r="D1354" s="467"/>
      <c r="E1354" s="376"/>
      <c r="F1354" s="376"/>
      <c r="G1354" s="468"/>
      <c r="H1354" s="468"/>
      <c r="I1354" s="468"/>
      <c r="J1354" s="468"/>
      <c r="K1354" s="468"/>
      <c r="L1354" s="468"/>
      <c r="M1354" s="468"/>
      <c r="N1354" s="468"/>
      <c r="O1354" s="468"/>
      <c r="P1354" s="468"/>
      <c r="Q1354" s="468"/>
      <c r="R1354" s="468"/>
      <c r="S1354" s="468"/>
      <c r="T1354" s="468"/>
      <c r="U1354" s="468"/>
      <c r="V1354" s="468"/>
      <c r="W1354" s="468"/>
      <c r="X1354" s="468"/>
      <c r="Y1354" s="384"/>
      <c r="Z1354" s="384"/>
      <c r="AA1354" s="383"/>
      <c r="AB1354" s="384"/>
      <c r="AC1354" s="384"/>
      <c r="AD1354" s="384"/>
      <c r="AE1354" s="384"/>
      <c r="AF1354" s="243"/>
      <c r="AG1354" s="243"/>
      <c r="AH1354" s="29"/>
      <c r="AI1354" s="29"/>
      <c r="AJ1354" s="29"/>
      <c r="AK1354" s="29"/>
      <c r="AL1354" s="29"/>
      <c r="AM1354" s="29"/>
      <c r="AN1354" s="578"/>
      <c r="AO1354" s="579"/>
      <c r="AP1354" s="579"/>
      <c r="AQ1354" s="580"/>
      <c r="AR1354" s="580"/>
      <c r="AS1354" s="580"/>
      <c r="AT1354" s="580"/>
      <c r="AU1354" s="580"/>
      <c r="AV1354" s="580"/>
      <c r="AW1354" s="580"/>
      <c r="AX1354" s="580"/>
      <c r="AY1354" s="580"/>
      <c r="AZ1354" s="580"/>
      <c r="BA1354" s="580"/>
      <c r="BB1354" s="581"/>
      <c r="BC1354" s="581"/>
      <c r="BD1354" s="581"/>
      <c r="BE1354" s="581"/>
    </row>
    <row r="1355" s="162" customFormat="true" ht="14.1" hidden="true" customHeight="true" outlineLevel="1" collapsed="false">
      <c r="A1355" s="359" t="s">
        <v>869</v>
      </c>
      <c r="B1355" s="481"/>
      <c r="C1355" s="467"/>
      <c r="D1355" s="467"/>
      <c r="E1355" s="376"/>
      <c r="F1355" s="376"/>
      <c r="G1355" s="468"/>
      <c r="H1355" s="468"/>
      <c r="I1355" s="468"/>
      <c r="J1355" s="468"/>
      <c r="K1355" s="468"/>
      <c r="L1355" s="468"/>
      <c r="M1355" s="468"/>
      <c r="N1355" s="468"/>
      <c r="O1355" s="468"/>
      <c r="P1355" s="468"/>
      <c r="Q1355" s="468"/>
      <c r="R1355" s="468"/>
      <c r="S1355" s="468"/>
      <c r="T1355" s="468"/>
      <c r="U1355" s="468"/>
      <c r="V1355" s="468"/>
      <c r="W1355" s="468"/>
      <c r="X1355" s="468"/>
      <c r="Y1355" s="384"/>
      <c r="Z1355" s="384"/>
      <c r="AA1355" s="383"/>
      <c r="AB1355" s="384"/>
      <c r="AC1355" s="384"/>
      <c r="AD1355" s="384"/>
      <c r="AE1355" s="384"/>
      <c r="AF1355" s="243"/>
      <c r="AG1355" s="243"/>
      <c r="AH1355" s="29"/>
      <c r="AI1355" s="29"/>
      <c r="AJ1355" s="29"/>
      <c r="AK1355" s="29"/>
      <c r="AL1355" s="29"/>
      <c r="AM1355" s="29"/>
      <c r="AN1355" s="578"/>
      <c r="AO1355" s="579"/>
      <c r="AP1355" s="579"/>
      <c r="AQ1355" s="580"/>
      <c r="AR1355" s="580"/>
      <c r="AS1355" s="580"/>
      <c r="AT1355" s="580"/>
      <c r="AU1355" s="580"/>
      <c r="AV1355" s="580"/>
      <c r="AW1355" s="580"/>
      <c r="AX1355" s="580"/>
      <c r="AY1355" s="580"/>
      <c r="AZ1355" s="580"/>
      <c r="BA1355" s="580"/>
      <c r="BB1355" s="581"/>
      <c r="BC1355" s="581"/>
      <c r="BD1355" s="581"/>
      <c r="BE1355" s="581"/>
      <c r="BF1355" s="161"/>
    </row>
    <row r="1356" s="162" customFormat="true" ht="14.1" hidden="true" customHeight="true" outlineLevel="1" collapsed="false">
      <c r="A1356" s="244" t="s">
        <v>870</v>
      </c>
      <c r="B1356" s="481"/>
      <c r="C1356" s="467"/>
      <c r="D1356" s="467"/>
      <c r="E1356" s="376"/>
      <c r="F1356" s="376"/>
      <c r="G1356" s="468"/>
      <c r="H1356" s="468"/>
      <c r="I1356" s="468"/>
      <c r="J1356" s="468"/>
      <c r="K1356" s="468"/>
      <c r="L1356" s="468"/>
      <c r="M1356" s="468"/>
      <c r="N1356" s="468"/>
      <c r="O1356" s="468"/>
      <c r="P1356" s="468"/>
      <c r="Q1356" s="468"/>
      <c r="R1356" s="468"/>
      <c r="S1356" s="468"/>
      <c r="T1356" s="468"/>
      <c r="U1356" s="468"/>
      <c r="V1356" s="468"/>
      <c r="W1356" s="468"/>
      <c r="X1356" s="468"/>
      <c r="Y1356" s="384"/>
      <c r="Z1356" s="384"/>
      <c r="AA1356" s="383"/>
      <c r="AB1356" s="384"/>
      <c r="AC1356" s="384"/>
      <c r="AD1356" s="384"/>
      <c r="AE1356" s="384"/>
      <c r="AF1356" s="243"/>
      <c r="AG1356" s="243"/>
      <c r="AH1356" s="29"/>
      <c r="AI1356" s="29"/>
      <c r="AJ1356" s="29"/>
      <c r="AK1356" s="29"/>
      <c r="AL1356" s="29"/>
      <c r="AM1356" s="29"/>
      <c r="AN1356" s="578"/>
      <c r="AO1356" s="579"/>
      <c r="AP1356" s="579"/>
      <c r="AQ1356" s="580"/>
      <c r="AR1356" s="580"/>
      <c r="AS1356" s="580"/>
      <c r="AT1356" s="580"/>
      <c r="AU1356" s="580"/>
      <c r="AV1356" s="580"/>
      <c r="AW1356" s="580"/>
      <c r="AX1356" s="580"/>
      <c r="AY1356" s="580"/>
      <c r="AZ1356" s="580"/>
      <c r="BA1356" s="580"/>
      <c r="BB1356" s="581"/>
      <c r="BC1356" s="581"/>
      <c r="BD1356" s="581"/>
      <c r="BE1356" s="581"/>
      <c r="BF1356" s="161"/>
    </row>
    <row r="1357" s="162" customFormat="true" ht="14.1" hidden="true" customHeight="true" outlineLevel="1" collapsed="false">
      <c r="A1357" s="359" t="s">
        <v>871</v>
      </c>
      <c r="B1357" s="481"/>
      <c r="C1357" s="467"/>
      <c r="D1357" s="467"/>
      <c r="E1357" s="376"/>
      <c r="F1357" s="376"/>
      <c r="G1357" s="468"/>
      <c r="H1357" s="468"/>
      <c r="I1357" s="468"/>
      <c r="J1357" s="468"/>
      <c r="K1357" s="468"/>
      <c r="L1357" s="468"/>
      <c r="M1357" s="468"/>
      <c r="N1357" s="468"/>
      <c r="O1357" s="468"/>
      <c r="P1357" s="468"/>
      <c r="Q1357" s="468"/>
      <c r="R1357" s="468"/>
      <c r="S1357" s="468"/>
      <c r="T1357" s="468"/>
      <c r="U1357" s="468"/>
      <c r="V1357" s="468"/>
      <c r="W1357" s="468"/>
      <c r="X1357" s="468"/>
      <c r="Y1357" s="384"/>
      <c r="Z1357" s="384"/>
      <c r="AA1357" s="383"/>
      <c r="AB1357" s="384"/>
      <c r="AC1357" s="384"/>
      <c r="AD1357" s="384"/>
      <c r="AE1357" s="384"/>
      <c r="AF1357" s="243"/>
      <c r="AG1357" s="243"/>
      <c r="AH1357" s="29"/>
      <c r="AI1357" s="29"/>
      <c r="AJ1357" s="29"/>
      <c r="AK1357" s="29"/>
      <c r="AL1357" s="29"/>
      <c r="AM1357" s="29"/>
      <c r="AN1357" s="578"/>
      <c r="AO1357" s="579"/>
      <c r="AP1357" s="579"/>
      <c r="AQ1357" s="580"/>
      <c r="AR1357" s="580"/>
      <c r="AS1357" s="580"/>
      <c r="AT1357" s="580"/>
      <c r="AU1357" s="580"/>
      <c r="AV1357" s="580"/>
      <c r="AW1357" s="580"/>
      <c r="AX1357" s="580"/>
      <c r="AY1357" s="580"/>
      <c r="AZ1357" s="580"/>
      <c r="BA1357" s="580"/>
      <c r="BB1357" s="581"/>
      <c r="BC1357" s="581"/>
      <c r="BD1357" s="581"/>
      <c r="BE1357" s="581"/>
      <c r="BF1357" s="161"/>
    </row>
    <row r="1358" s="162" customFormat="true" ht="14.1" hidden="true" customHeight="true" outlineLevel="1" collapsed="false">
      <c r="A1358" s="244" t="s">
        <v>872</v>
      </c>
      <c r="B1358" s="481"/>
      <c r="C1358" s="467"/>
      <c r="D1358" s="467"/>
      <c r="E1358" s="376"/>
      <c r="F1358" s="376"/>
      <c r="G1358" s="468"/>
      <c r="H1358" s="468"/>
      <c r="I1358" s="468"/>
      <c r="J1358" s="468"/>
      <c r="K1358" s="468"/>
      <c r="L1358" s="468"/>
      <c r="M1358" s="468"/>
      <c r="N1358" s="468"/>
      <c r="O1358" s="468"/>
      <c r="P1358" s="468"/>
      <c r="Q1358" s="468"/>
      <c r="R1358" s="468"/>
      <c r="S1358" s="468"/>
      <c r="T1358" s="468"/>
      <c r="U1358" s="468"/>
      <c r="V1358" s="468"/>
      <c r="W1358" s="468"/>
      <c r="X1358" s="468"/>
      <c r="Y1358" s="384"/>
      <c r="Z1358" s="384"/>
      <c r="AA1358" s="383"/>
      <c r="AB1358" s="384"/>
      <c r="AC1358" s="384"/>
      <c r="AD1358" s="384"/>
      <c r="AE1358" s="384"/>
      <c r="AF1358" s="243"/>
      <c r="AG1358" s="243"/>
      <c r="AH1358" s="29"/>
      <c r="AI1358" s="29"/>
      <c r="AJ1358" s="29"/>
      <c r="AK1358" s="29"/>
      <c r="AL1358" s="29"/>
      <c r="AM1358" s="29"/>
      <c r="AN1358" s="578"/>
      <c r="AO1358" s="579"/>
      <c r="AP1358" s="579"/>
      <c r="AQ1358" s="580"/>
      <c r="AR1358" s="580"/>
      <c r="AS1358" s="580"/>
      <c r="AT1358" s="580"/>
      <c r="AU1358" s="580"/>
      <c r="AV1358" s="580"/>
      <c r="AW1358" s="580"/>
      <c r="AX1358" s="580"/>
      <c r="AY1358" s="580"/>
      <c r="AZ1358" s="580"/>
      <c r="BA1358" s="580"/>
      <c r="BB1358" s="581"/>
      <c r="BC1358" s="581"/>
      <c r="BD1358" s="581"/>
      <c r="BE1358" s="581"/>
      <c r="BF1358" s="161"/>
    </row>
    <row r="1359" s="162" customFormat="true" ht="14.1" hidden="true" customHeight="true" outlineLevel="1" collapsed="false">
      <c r="A1359" s="359" t="s">
        <v>873</v>
      </c>
      <c r="B1359" s="481"/>
      <c r="C1359" s="467"/>
      <c r="D1359" s="467"/>
      <c r="E1359" s="376"/>
      <c r="F1359" s="376"/>
      <c r="G1359" s="468"/>
      <c r="H1359" s="468"/>
      <c r="I1359" s="468"/>
      <c r="J1359" s="468"/>
      <c r="K1359" s="468"/>
      <c r="L1359" s="468"/>
      <c r="M1359" s="468"/>
      <c r="N1359" s="468"/>
      <c r="O1359" s="468"/>
      <c r="P1359" s="468"/>
      <c r="Q1359" s="468"/>
      <c r="R1359" s="468"/>
      <c r="S1359" s="468"/>
      <c r="T1359" s="468"/>
      <c r="U1359" s="468"/>
      <c r="V1359" s="468"/>
      <c r="W1359" s="468"/>
      <c r="X1359" s="468"/>
      <c r="Y1359" s="384"/>
      <c r="Z1359" s="384"/>
      <c r="AA1359" s="383"/>
      <c r="AB1359" s="384"/>
      <c r="AC1359" s="384"/>
      <c r="AD1359" s="384"/>
      <c r="AE1359" s="384"/>
      <c r="AF1359" s="243"/>
      <c r="AG1359" s="243"/>
      <c r="AH1359" s="29"/>
      <c r="AI1359" s="29"/>
      <c r="AJ1359" s="29"/>
      <c r="AK1359" s="29"/>
      <c r="AL1359" s="29"/>
      <c r="AM1359" s="29"/>
      <c r="AN1359" s="578"/>
      <c r="AO1359" s="579"/>
      <c r="AP1359" s="579"/>
      <c r="AQ1359" s="580"/>
      <c r="AR1359" s="580"/>
      <c r="AS1359" s="580"/>
      <c r="AT1359" s="580"/>
      <c r="AU1359" s="580"/>
      <c r="AV1359" s="580"/>
      <c r="AW1359" s="580"/>
      <c r="AX1359" s="580"/>
      <c r="AY1359" s="580"/>
      <c r="AZ1359" s="580"/>
      <c r="BA1359" s="580"/>
      <c r="BB1359" s="581"/>
      <c r="BC1359" s="581"/>
      <c r="BD1359" s="581"/>
      <c r="BE1359" s="581"/>
      <c r="BF1359" s="161"/>
    </row>
    <row r="1360" s="162" customFormat="true" ht="14.1" hidden="true" customHeight="true" outlineLevel="1" collapsed="false">
      <c r="A1360" s="244" t="s">
        <v>874</v>
      </c>
      <c r="B1360" s="481"/>
      <c r="C1360" s="467"/>
      <c r="D1360" s="467"/>
      <c r="E1360" s="376"/>
      <c r="F1360" s="376"/>
      <c r="G1360" s="468"/>
      <c r="H1360" s="468"/>
      <c r="I1360" s="468"/>
      <c r="J1360" s="468"/>
      <c r="K1360" s="468"/>
      <c r="L1360" s="468"/>
      <c r="M1360" s="468"/>
      <c r="N1360" s="468"/>
      <c r="O1360" s="468"/>
      <c r="P1360" s="468"/>
      <c r="Q1360" s="468"/>
      <c r="R1360" s="468"/>
      <c r="S1360" s="468"/>
      <c r="T1360" s="468"/>
      <c r="U1360" s="468"/>
      <c r="V1360" s="468"/>
      <c r="W1360" s="468"/>
      <c r="X1360" s="468"/>
      <c r="Y1360" s="384"/>
      <c r="Z1360" s="384"/>
      <c r="AA1360" s="383"/>
      <c r="AB1360" s="384"/>
      <c r="AC1360" s="384"/>
      <c r="AD1360" s="384"/>
      <c r="AE1360" s="384"/>
      <c r="AF1360" s="243"/>
      <c r="AG1360" s="243"/>
      <c r="AH1360" s="29"/>
      <c r="AI1360" s="29"/>
      <c r="AJ1360" s="29"/>
      <c r="AK1360" s="29"/>
      <c r="AL1360" s="29"/>
      <c r="AM1360" s="29"/>
      <c r="AN1360" s="578"/>
      <c r="AO1360" s="579"/>
      <c r="AP1360" s="579"/>
      <c r="AQ1360" s="580"/>
      <c r="AR1360" s="580"/>
      <c r="AS1360" s="580"/>
      <c r="AT1360" s="580"/>
      <c r="AU1360" s="580"/>
      <c r="AV1360" s="580"/>
      <c r="AW1360" s="580"/>
      <c r="AX1360" s="580"/>
      <c r="AY1360" s="580"/>
      <c r="AZ1360" s="580"/>
      <c r="BA1360" s="580"/>
      <c r="BB1360" s="581"/>
      <c r="BC1360" s="581"/>
      <c r="BD1360" s="581"/>
      <c r="BE1360" s="581"/>
      <c r="BF1360" s="161"/>
    </row>
    <row r="1361" s="162" customFormat="true" ht="14.1" hidden="true" customHeight="true" outlineLevel="1" collapsed="false">
      <c r="A1361" s="359" t="s">
        <v>875</v>
      </c>
      <c r="B1361" s="481"/>
      <c r="C1361" s="467"/>
      <c r="D1361" s="467"/>
      <c r="E1361" s="376"/>
      <c r="F1361" s="376"/>
      <c r="G1361" s="468"/>
      <c r="H1361" s="468"/>
      <c r="I1361" s="468"/>
      <c r="J1361" s="468"/>
      <c r="K1361" s="468"/>
      <c r="L1361" s="468"/>
      <c r="M1361" s="468"/>
      <c r="N1361" s="468"/>
      <c r="O1361" s="468"/>
      <c r="P1361" s="468"/>
      <c r="Q1361" s="468"/>
      <c r="R1361" s="468"/>
      <c r="S1361" s="468"/>
      <c r="T1361" s="468"/>
      <c r="U1361" s="468"/>
      <c r="V1361" s="468"/>
      <c r="W1361" s="468"/>
      <c r="X1361" s="468"/>
      <c r="Y1361" s="384"/>
      <c r="Z1361" s="384"/>
      <c r="AA1361" s="383"/>
      <c r="AB1361" s="384"/>
      <c r="AC1361" s="384"/>
      <c r="AD1361" s="384"/>
      <c r="AE1361" s="384"/>
      <c r="AF1361" s="243"/>
      <c r="AG1361" s="243"/>
      <c r="AH1361" s="29"/>
      <c r="AI1361" s="29"/>
      <c r="AJ1361" s="29"/>
      <c r="AK1361" s="29"/>
      <c r="AL1361" s="29"/>
      <c r="AM1361" s="29"/>
      <c r="AN1361" s="578"/>
      <c r="AO1361" s="579"/>
      <c r="AP1361" s="579"/>
      <c r="AQ1361" s="580"/>
      <c r="AR1361" s="580"/>
      <c r="AS1361" s="580"/>
      <c r="AT1361" s="580"/>
      <c r="AU1361" s="580"/>
      <c r="AV1361" s="580"/>
      <c r="AW1361" s="580"/>
      <c r="AX1361" s="580"/>
      <c r="AY1361" s="580"/>
      <c r="AZ1361" s="580"/>
      <c r="BA1361" s="580"/>
      <c r="BB1361" s="581"/>
      <c r="BC1361" s="581"/>
      <c r="BD1361" s="581"/>
      <c r="BE1361" s="581"/>
      <c r="BF1361" s="161"/>
    </row>
    <row r="1362" s="162" customFormat="true" ht="14.1" hidden="true" customHeight="true" outlineLevel="1" collapsed="false">
      <c r="A1362" s="244" t="s">
        <v>876</v>
      </c>
      <c r="B1362" s="481"/>
      <c r="C1362" s="467"/>
      <c r="D1362" s="467"/>
      <c r="E1362" s="376"/>
      <c r="F1362" s="376"/>
      <c r="G1362" s="468"/>
      <c r="H1362" s="468"/>
      <c r="I1362" s="468"/>
      <c r="J1362" s="468"/>
      <c r="K1362" s="468"/>
      <c r="L1362" s="468"/>
      <c r="M1362" s="468"/>
      <c r="N1362" s="468"/>
      <c r="O1362" s="468"/>
      <c r="P1362" s="468"/>
      <c r="Q1362" s="468"/>
      <c r="R1362" s="468"/>
      <c r="S1362" s="468"/>
      <c r="T1362" s="468"/>
      <c r="U1362" s="468"/>
      <c r="V1362" s="468"/>
      <c r="W1362" s="468"/>
      <c r="X1362" s="468"/>
      <c r="Y1362" s="384"/>
      <c r="Z1362" s="384"/>
      <c r="AA1362" s="383"/>
      <c r="AB1362" s="384"/>
      <c r="AC1362" s="384"/>
      <c r="AD1362" s="384"/>
      <c r="AE1362" s="384"/>
      <c r="AF1362" s="243"/>
      <c r="AG1362" s="243"/>
      <c r="AH1362" s="29"/>
      <c r="AI1362" s="29"/>
      <c r="AJ1362" s="29"/>
      <c r="AK1362" s="29"/>
      <c r="AL1362" s="29"/>
      <c r="AM1362" s="29"/>
      <c r="AN1362" s="578"/>
      <c r="AO1362" s="579"/>
      <c r="AP1362" s="579"/>
      <c r="AQ1362" s="580"/>
      <c r="AR1362" s="580"/>
      <c r="AS1362" s="580"/>
      <c r="AT1362" s="580"/>
      <c r="AU1362" s="580"/>
      <c r="AV1362" s="580"/>
      <c r="AW1362" s="580"/>
      <c r="AX1362" s="580"/>
      <c r="AY1362" s="580"/>
      <c r="AZ1362" s="580"/>
      <c r="BA1362" s="580"/>
      <c r="BB1362" s="581"/>
      <c r="BC1362" s="581"/>
      <c r="BD1362" s="581"/>
      <c r="BE1362" s="581"/>
      <c r="BF1362" s="161"/>
    </row>
    <row r="1363" s="162" customFormat="true" ht="14.1" hidden="true" customHeight="true" outlineLevel="1" collapsed="false">
      <c r="A1363" s="359" t="s">
        <v>877</v>
      </c>
      <c r="B1363" s="481"/>
      <c r="C1363" s="467"/>
      <c r="D1363" s="467"/>
      <c r="E1363" s="376"/>
      <c r="F1363" s="376"/>
      <c r="G1363" s="468"/>
      <c r="H1363" s="468"/>
      <c r="I1363" s="468"/>
      <c r="J1363" s="468"/>
      <c r="K1363" s="468"/>
      <c r="L1363" s="468"/>
      <c r="M1363" s="468"/>
      <c r="N1363" s="468"/>
      <c r="O1363" s="468"/>
      <c r="P1363" s="468"/>
      <c r="Q1363" s="468"/>
      <c r="R1363" s="468"/>
      <c r="S1363" s="468"/>
      <c r="T1363" s="468"/>
      <c r="U1363" s="468"/>
      <c r="V1363" s="468"/>
      <c r="W1363" s="468"/>
      <c r="X1363" s="468"/>
      <c r="Y1363" s="384"/>
      <c r="Z1363" s="384"/>
      <c r="AA1363" s="383"/>
      <c r="AB1363" s="384"/>
      <c r="AC1363" s="384"/>
      <c r="AD1363" s="384"/>
      <c r="AE1363" s="384"/>
      <c r="AF1363" s="243"/>
      <c r="AG1363" s="243"/>
      <c r="AH1363" s="29"/>
      <c r="AI1363" s="29"/>
      <c r="AJ1363" s="29"/>
      <c r="AK1363" s="29"/>
      <c r="AL1363" s="29"/>
      <c r="AM1363" s="29"/>
      <c r="AN1363" s="578"/>
      <c r="AO1363" s="579"/>
      <c r="AP1363" s="579"/>
      <c r="AQ1363" s="580"/>
      <c r="AR1363" s="580"/>
      <c r="AS1363" s="580"/>
      <c r="AT1363" s="580"/>
      <c r="AU1363" s="580"/>
      <c r="AV1363" s="580"/>
      <c r="AW1363" s="580"/>
      <c r="AX1363" s="580"/>
      <c r="AY1363" s="580"/>
      <c r="AZ1363" s="580"/>
      <c r="BA1363" s="580"/>
      <c r="BB1363" s="581"/>
      <c r="BC1363" s="581"/>
      <c r="BD1363" s="581"/>
      <c r="BE1363" s="581"/>
      <c r="BF1363" s="161"/>
    </row>
    <row r="1364" s="162" customFormat="true" ht="14.1" hidden="true" customHeight="true" outlineLevel="1" collapsed="false">
      <c r="A1364" s="244" t="s">
        <v>878</v>
      </c>
      <c r="B1364" s="481"/>
      <c r="C1364" s="467"/>
      <c r="D1364" s="467"/>
      <c r="E1364" s="376"/>
      <c r="F1364" s="376"/>
      <c r="G1364" s="468"/>
      <c r="H1364" s="468"/>
      <c r="I1364" s="468"/>
      <c r="J1364" s="468"/>
      <c r="K1364" s="468"/>
      <c r="L1364" s="468"/>
      <c r="M1364" s="468"/>
      <c r="N1364" s="468"/>
      <c r="O1364" s="468"/>
      <c r="P1364" s="468"/>
      <c r="Q1364" s="468"/>
      <c r="R1364" s="468"/>
      <c r="S1364" s="468"/>
      <c r="T1364" s="468"/>
      <c r="U1364" s="468"/>
      <c r="V1364" s="468"/>
      <c r="W1364" s="468"/>
      <c r="X1364" s="468"/>
      <c r="Y1364" s="384"/>
      <c r="Z1364" s="384"/>
      <c r="AA1364" s="383"/>
      <c r="AB1364" s="384"/>
      <c r="AC1364" s="384"/>
      <c r="AD1364" s="384"/>
      <c r="AE1364" s="384"/>
      <c r="AF1364" s="243"/>
      <c r="AG1364" s="243"/>
      <c r="AH1364" s="29"/>
      <c r="AI1364" s="29"/>
      <c r="AJ1364" s="29"/>
      <c r="AK1364" s="29"/>
      <c r="AL1364" s="29"/>
      <c r="AM1364" s="29"/>
      <c r="AN1364" s="578"/>
      <c r="AO1364" s="579"/>
      <c r="AP1364" s="579"/>
      <c r="AQ1364" s="580"/>
      <c r="AR1364" s="580"/>
      <c r="AS1364" s="580"/>
      <c r="AT1364" s="580"/>
      <c r="AU1364" s="580"/>
      <c r="AV1364" s="580"/>
      <c r="AW1364" s="580"/>
      <c r="AX1364" s="580"/>
      <c r="AY1364" s="580"/>
      <c r="AZ1364" s="580"/>
      <c r="BA1364" s="580"/>
      <c r="BB1364" s="581"/>
      <c r="BC1364" s="581"/>
      <c r="BD1364" s="581"/>
      <c r="BE1364" s="581"/>
      <c r="BF1364" s="161"/>
    </row>
    <row r="1365" s="162" customFormat="true" ht="14.1" hidden="true" customHeight="true" outlineLevel="1" collapsed="false">
      <c r="A1365" s="359" t="s">
        <v>879</v>
      </c>
      <c r="B1365" s="481"/>
      <c r="C1365" s="467"/>
      <c r="D1365" s="467"/>
      <c r="E1365" s="376"/>
      <c r="F1365" s="376"/>
      <c r="G1365" s="468"/>
      <c r="H1365" s="468"/>
      <c r="I1365" s="468"/>
      <c r="J1365" s="468"/>
      <c r="K1365" s="468"/>
      <c r="L1365" s="468"/>
      <c r="M1365" s="468"/>
      <c r="N1365" s="468"/>
      <c r="O1365" s="468"/>
      <c r="P1365" s="468"/>
      <c r="Q1365" s="468"/>
      <c r="R1365" s="468"/>
      <c r="S1365" s="468"/>
      <c r="T1365" s="468"/>
      <c r="U1365" s="468"/>
      <c r="V1365" s="468"/>
      <c r="W1365" s="468"/>
      <c r="X1365" s="468"/>
      <c r="Y1365" s="384"/>
      <c r="Z1365" s="384"/>
      <c r="AA1365" s="383"/>
      <c r="AB1365" s="384"/>
      <c r="AC1365" s="384"/>
      <c r="AD1365" s="384"/>
      <c r="AE1365" s="384"/>
      <c r="AF1365" s="243"/>
      <c r="AG1365" s="243"/>
      <c r="AH1365" s="29"/>
      <c r="AI1365" s="29"/>
      <c r="AJ1365" s="29"/>
      <c r="AK1365" s="29"/>
      <c r="AL1365" s="29"/>
      <c r="AM1365" s="29"/>
      <c r="AN1365" s="578"/>
      <c r="AO1365" s="579"/>
      <c r="AP1365" s="579"/>
      <c r="AQ1365" s="580"/>
      <c r="AR1365" s="580"/>
      <c r="AS1365" s="580"/>
      <c r="AT1365" s="580"/>
      <c r="AU1365" s="580"/>
      <c r="AV1365" s="580"/>
      <c r="AW1365" s="580"/>
      <c r="AX1365" s="580"/>
      <c r="AY1365" s="580"/>
      <c r="AZ1365" s="580"/>
      <c r="BA1365" s="580"/>
      <c r="BB1365" s="581"/>
      <c r="BC1365" s="581"/>
      <c r="BD1365" s="581"/>
      <c r="BE1365" s="581"/>
      <c r="BF1365" s="161"/>
    </row>
    <row r="1366" s="162" customFormat="true" ht="14.1" hidden="true" customHeight="true" outlineLevel="1" collapsed="false">
      <c r="A1366" s="244" t="s">
        <v>880</v>
      </c>
      <c r="B1366" s="481"/>
      <c r="C1366" s="467"/>
      <c r="D1366" s="467"/>
      <c r="E1366" s="376"/>
      <c r="F1366" s="376"/>
      <c r="G1366" s="468"/>
      <c r="H1366" s="468"/>
      <c r="I1366" s="468"/>
      <c r="J1366" s="468"/>
      <c r="K1366" s="468"/>
      <c r="L1366" s="468"/>
      <c r="M1366" s="468"/>
      <c r="N1366" s="468"/>
      <c r="O1366" s="468"/>
      <c r="P1366" s="468"/>
      <c r="Q1366" s="468"/>
      <c r="R1366" s="468"/>
      <c r="S1366" s="468"/>
      <c r="T1366" s="468"/>
      <c r="U1366" s="468"/>
      <c r="V1366" s="468"/>
      <c r="W1366" s="468"/>
      <c r="X1366" s="468"/>
      <c r="Y1366" s="384"/>
      <c r="Z1366" s="384"/>
      <c r="AA1366" s="383"/>
      <c r="AB1366" s="384"/>
      <c r="AC1366" s="384"/>
      <c r="AD1366" s="384"/>
      <c r="AE1366" s="384"/>
      <c r="AF1366" s="243"/>
      <c r="AG1366" s="243"/>
      <c r="AH1366" s="29"/>
      <c r="AI1366" s="29"/>
      <c r="AJ1366" s="29"/>
      <c r="AK1366" s="29"/>
      <c r="AL1366" s="29"/>
      <c r="AM1366" s="29"/>
      <c r="AN1366" s="578"/>
      <c r="AO1366" s="579"/>
      <c r="AP1366" s="579"/>
      <c r="AQ1366" s="580"/>
      <c r="AR1366" s="580"/>
      <c r="AS1366" s="580"/>
      <c r="AT1366" s="580"/>
      <c r="AU1366" s="580"/>
      <c r="AV1366" s="580"/>
      <c r="AW1366" s="580"/>
      <c r="AX1366" s="580"/>
      <c r="AY1366" s="580"/>
      <c r="AZ1366" s="580"/>
      <c r="BA1366" s="580"/>
      <c r="BB1366" s="581"/>
      <c r="BC1366" s="581"/>
      <c r="BD1366" s="581"/>
      <c r="BE1366" s="581"/>
      <c r="BF1366" s="161"/>
    </row>
    <row r="1367" customFormat="false" ht="14.1" hidden="true" customHeight="true" outlineLevel="1" collapsed="false">
      <c r="A1367" s="163" t="s">
        <v>881</v>
      </c>
      <c r="B1367" s="119" t="s">
        <v>118</v>
      </c>
      <c r="C1367" s="163" t="n">
        <v>1</v>
      </c>
      <c r="D1367" s="467"/>
      <c r="E1367" s="467"/>
      <c r="F1367" s="467"/>
      <c r="G1367" s="468"/>
      <c r="H1367" s="468"/>
      <c r="I1367" s="468"/>
      <c r="J1367" s="468"/>
      <c r="K1367" s="468"/>
      <c r="L1367" s="468"/>
      <c r="M1367" s="468"/>
      <c r="N1367" s="468"/>
      <c r="O1367" s="468"/>
      <c r="P1367" s="468"/>
      <c r="Q1367" s="468"/>
      <c r="R1367" s="468"/>
      <c r="S1367" s="468"/>
      <c r="T1367" s="468"/>
      <c r="U1367" s="468"/>
      <c r="V1367" s="468"/>
      <c r="W1367" s="468"/>
      <c r="X1367" s="468"/>
      <c r="Y1367" s="384"/>
      <c r="Z1367" s="384"/>
      <c r="AA1367" s="384"/>
      <c r="AB1367" s="384"/>
      <c r="AC1367" s="384"/>
      <c r="AD1367" s="384"/>
      <c r="AE1367" s="384"/>
      <c r="AF1367" s="243"/>
      <c r="AG1367" s="243"/>
      <c r="AH1367" s="29"/>
      <c r="AI1367" s="29"/>
      <c r="AJ1367" s="29"/>
      <c r="AK1367" s="29"/>
      <c r="AL1367" s="29"/>
      <c r="AM1367" s="29"/>
      <c r="AN1367" s="578"/>
      <c r="AO1367" s="579"/>
      <c r="AP1367" s="579"/>
      <c r="AQ1367" s="580"/>
      <c r="AR1367" s="580"/>
      <c r="AS1367" s="580"/>
      <c r="AT1367" s="580"/>
      <c r="AU1367" s="580"/>
      <c r="AV1367" s="580"/>
      <c r="AW1367" s="580"/>
      <c r="AX1367" s="580"/>
      <c r="AY1367" s="580"/>
      <c r="AZ1367" s="580"/>
      <c r="BA1367" s="580"/>
      <c r="BB1367" s="581"/>
      <c r="BC1367" s="581"/>
      <c r="BD1367" s="581"/>
      <c r="BE1367" s="581"/>
    </row>
    <row r="1368" s="56" customFormat="true" ht="14.1" hidden="true" customHeight="true" outlineLevel="1" collapsed="false">
      <c r="A1368" s="275" t="s">
        <v>882</v>
      </c>
      <c r="B1368" s="277"/>
      <c r="C1368" s="275"/>
      <c r="D1368" s="467"/>
      <c r="E1368" s="467"/>
      <c r="F1368" s="467"/>
      <c r="G1368" s="468"/>
      <c r="H1368" s="468"/>
      <c r="I1368" s="468"/>
      <c r="J1368" s="468"/>
      <c r="K1368" s="468"/>
      <c r="L1368" s="468"/>
      <c r="M1368" s="468"/>
      <c r="N1368" s="468"/>
      <c r="O1368" s="468"/>
      <c r="P1368" s="468"/>
      <c r="Q1368" s="468"/>
      <c r="R1368" s="468"/>
      <c r="S1368" s="468"/>
      <c r="T1368" s="468"/>
      <c r="U1368" s="468"/>
      <c r="V1368" s="468"/>
      <c r="W1368" s="468"/>
      <c r="X1368" s="468"/>
      <c r="Y1368" s="384"/>
      <c r="Z1368" s="384"/>
      <c r="AA1368" s="384"/>
      <c r="AB1368" s="384"/>
      <c r="AC1368" s="384"/>
      <c r="AD1368" s="384"/>
      <c r="AE1368" s="384"/>
      <c r="AF1368" s="243"/>
      <c r="AG1368" s="243"/>
      <c r="AH1368" s="29"/>
      <c r="AI1368" s="29"/>
      <c r="AJ1368" s="29"/>
      <c r="AK1368" s="29"/>
      <c r="AL1368" s="29"/>
      <c r="AM1368" s="29"/>
      <c r="AN1368" s="29"/>
      <c r="AO1368" s="567"/>
      <c r="AP1368" s="567"/>
      <c r="AQ1368" s="568"/>
      <c r="AR1368" s="568"/>
      <c r="AS1368" s="568"/>
      <c r="AT1368" s="568"/>
      <c r="AU1368" s="568"/>
      <c r="AV1368" s="568"/>
      <c r="AW1368" s="568"/>
      <c r="AX1368" s="568"/>
      <c r="AY1368" s="568"/>
      <c r="AZ1368" s="568"/>
      <c r="BA1368" s="568"/>
      <c r="BB1368" s="569"/>
      <c r="BC1368" s="569"/>
      <c r="BD1368" s="569"/>
      <c r="BE1368" s="569"/>
      <c r="BF1368" s="55"/>
    </row>
    <row r="1369" customFormat="false" ht="14.1" hidden="true" customHeight="true" outlineLevel="1" collapsed="false">
      <c r="A1369" s="149" t="s">
        <v>883</v>
      </c>
      <c r="B1369" s="119" t="s">
        <v>118</v>
      </c>
      <c r="C1369" s="163" t="n">
        <v>20</v>
      </c>
      <c r="D1369" s="275"/>
      <c r="E1369" s="275"/>
      <c r="F1369" s="275"/>
      <c r="G1369" s="243"/>
      <c r="H1369" s="132"/>
      <c r="I1369" s="243"/>
      <c r="J1369" s="243"/>
      <c r="K1369" s="243"/>
      <c r="L1369" s="243"/>
      <c r="M1369" s="243"/>
      <c r="N1369" s="243"/>
      <c r="O1369" s="243"/>
      <c r="P1369" s="243"/>
      <c r="Q1369" s="243"/>
      <c r="R1369" s="243"/>
      <c r="S1369" s="243"/>
      <c r="T1369" s="243"/>
      <c r="U1369" s="243"/>
      <c r="V1369" s="243"/>
      <c r="W1369" s="243"/>
      <c r="X1369" s="243"/>
      <c r="Y1369" s="243"/>
      <c r="Z1369" s="243"/>
      <c r="AA1369" s="243"/>
      <c r="AB1369" s="243"/>
      <c r="AC1369" s="243"/>
      <c r="AD1369" s="243"/>
      <c r="AE1369" s="243"/>
      <c r="AF1369" s="243"/>
      <c r="AG1369" s="243"/>
      <c r="AH1369" s="29"/>
      <c r="AI1369" s="29"/>
      <c r="AJ1369" s="29"/>
      <c r="AK1369" s="29"/>
      <c r="AL1369" s="29"/>
      <c r="AM1369" s="29"/>
      <c r="AN1369" s="578"/>
      <c r="AO1369" s="579"/>
      <c r="AP1369" s="579"/>
      <c r="AQ1369" s="580"/>
      <c r="AR1369" s="580"/>
      <c r="AS1369" s="580"/>
      <c r="AT1369" s="580"/>
      <c r="AU1369" s="580"/>
      <c r="AV1369" s="580"/>
      <c r="AW1369" s="580"/>
      <c r="AX1369" s="580"/>
      <c r="AY1369" s="580"/>
      <c r="AZ1369" s="580"/>
      <c r="BA1369" s="580"/>
      <c r="BB1369" s="622"/>
      <c r="BC1369" s="622"/>
      <c r="BD1369" s="622"/>
      <c r="BE1369" s="622"/>
    </row>
    <row r="1370" s="56" customFormat="true" ht="14.1" hidden="true" customHeight="true" outlineLevel="1" collapsed="false">
      <c r="A1370" s="275" t="s">
        <v>884</v>
      </c>
      <c r="B1370" s="277"/>
      <c r="C1370" s="275"/>
      <c r="D1370" s="275"/>
      <c r="E1370" s="275"/>
      <c r="F1370" s="275"/>
      <c r="G1370" s="243"/>
      <c r="H1370" s="132"/>
      <c r="I1370" s="243"/>
      <c r="J1370" s="243"/>
      <c r="K1370" s="243"/>
      <c r="L1370" s="243"/>
      <c r="M1370" s="243"/>
      <c r="N1370" s="243"/>
      <c r="O1370" s="243"/>
      <c r="P1370" s="243"/>
      <c r="Q1370" s="243"/>
      <c r="R1370" s="243"/>
      <c r="S1370" s="243"/>
      <c r="T1370" s="243"/>
      <c r="U1370" s="243"/>
      <c r="V1370" s="243"/>
      <c r="W1370" s="243"/>
      <c r="X1370" s="243"/>
      <c r="Y1370" s="243"/>
      <c r="Z1370" s="243"/>
      <c r="AA1370" s="243"/>
      <c r="AB1370" s="243"/>
      <c r="AC1370" s="243"/>
      <c r="AD1370" s="243"/>
      <c r="AE1370" s="243"/>
      <c r="AF1370" s="243"/>
      <c r="AG1370" s="243"/>
      <c r="AH1370" s="29"/>
      <c r="AI1370" s="29"/>
      <c r="AJ1370" s="29"/>
      <c r="AK1370" s="29"/>
      <c r="AL1370" s="29"/>
      <c r="AM1370" s="29"/>
      <c r="AN1370" s="29"/>
      <c r="AO1370" s="567"/>
      <c r="AP1370" s="567"/>
      <c r="AQ1370" s="568"/>
      <c r="AR1370" s="568"/>
      <c r="AS1370" s="568"/>
      <c r="AT1370" s="568"/>
      <c r="AU1370" s="568"/>
      <c r="AV1370" s="568"/>
      <c r="AW1370" s="568"/>
      <c r="AX1370" s="568"/>
      <c r="AY1370" s="568"/>
      <c r="AZ1370" s="568"/>
      <c r="BA1370" s="568"/>
      <c r="BB1370" s="569"/>
      <c r="BC1370" s="569"/>
      <c r="BD1370" s="569"/>
      <c r="BE1370" s="569"/>
      <c r="BF1370" s="55"/>
    </row>
    <row r="1371" customFormat="false" ht="14.1" hidden="true" customHeight="true" outlineLevel="1" collapsed="false">
      <c r="A1371" s="149" t="s">
        <v>885</v>
      </c>
      <c r="B1371" s="119" t="s">
        <v>118</v>
      </c>
      <c r="C1371" s="163" t="n">
        <v>40</v>
      </c>
      <c r="D1371" s="275"/>
      <c r="E1371" s="275"/>
      <c r="F1371" s="275"/>
      <c r="G1371" s="243"/>
      <c r="H1371" s="132"/>
      <c r="I1371" s="243"/>
      <c r="J1371" s="243"/>
      <c r="K1371" s="243"/>
      <c r="L1371" s="243"/>
      <c r="M1371" s="243"/>
      <c r="N1371" s="243"/>
      <c r="O1371" s="243"/>
      <c r="P1371" s="243"/>
      <c r="Q1371" s="243"/>
      <c r="R1371" s="243"/>
      <c r="S1371" s="243"/>
      <c r="T1371" s="243"/>
      <c r="U1371" s="243"/>
      <c r="V1371" s="243"/>
      <c r="W1371" s="243"/>
      <c r="X1371" s="243"/>
      <c r="Y1371" s="243"/>
      <c r="Z1371" s="243"/>
      <c r="AA1371" s="243"/>
      <c r="AB1371" s="243"/>
      <c r="AC1371" s="243"/>
      <c r="AD1371" s="243"/>
      <c r="AE1371" s="243"/>
      <c r="AF1371" s="243"/>
      <c r="AG1371" s="243"/>
      <c r="AH1371" s="29"/>
      <c r="AI1371" s="29"/>
      <c r="AJ1371" s="29"/>
      <c r="AK1371" s="29"/>
      <c r="AL1371" s="29"/>
      <c r="AM1371" s="29"/>
      <c r="AN1371" s="578"/>
      <c r="AO1371" s="579"/>
      <c r="AP1371" s="579"/>
      <c r="AQ1371" s="580"/>
      <c r="AR1371" s="580"/>
      <c r="AS1371" s="580"/>
      <c r="AT1371" s="580"/>
      <c r="AU1371" s="580"/>
      <c r="AV1371" s="580"/>
      <c r="AW1371" s="580"/>
      <c r="AX1371" s="580"/>
      <c r="AY1371" s="580"/>
      <c r="AZ1371" s="580"/>
      <c r="BA1371" s="580"/>
      <c r="BB1371" s="622"/>
      <c r="BC1371" s="622"/>
      <c r="BD1371" s="622"/>
      <c r="BE1371" s="622"/>
    </row>
    <row r="1372" s="56" customFormat="true" ht="14.1" hidden="true" customHeight="true" outlineLevel="1" collapsed="false">
      <c r="A1372" s="275"/>
      <c r="B1372" s="277"/>
      <c r="C1372" s="275"/>
      <c r="D1372" s="275"/>
      <c r="E1372" s="275"/>
      <c r="F1372" s="275"/>
      <c r="G1372" s="243"/>
      <c r="H1372" s="132"/>
      <c r="I1372" s="243"/>
      <c r="J1372" s="243"/>
      <c r="K1372" s="243"/>
      <c r="L1372" s="243"/>
      <c r="M1372" s="243"/>
      <c r="N1372" s="243"/>
      <c r="O1372" s="243"/>
      <c r="P1372" s="243"/>
      <c r="Q1372" s="243"/>
      <c r="R1372" s="243"/>
      <c r="S1372" s="243"/>
      <c r="T1372" s="243"/>
      <c r="U1372" s="243"/>
      <c r="V1372" s="243"/>
      <c r="W1372" s="243"/>
      <c r="X1372" s="243"/>
      <c r="Y1372" s="243"/>
      <c r="Z1372" s="243"/>
      <c r="AA1372" s="243"/>
      <c r="AB1372" s="243"/>
      <c r="AC1372" s="243"/>
      <c r="AD1372" s="243"/>
      <c r="AE1372" s="243"/>
      <c r="AF1372" s="243"/>
      <c r="AG1372" s="243"/>
      <c r="AH1372" s="29"/>
      <c r="AI1372" s="29"/>
      <c r="AJ1372" s="29"/>
      <c r="AK1372" s="29"/>
      <c r="AL1372" s="29"/>
      <c r="AM1372" s="29"/>
      <c r="AN1372" s="29"/>
      <c r="AO1372" s="567"/>
      <c r="AP1372" s="567"/>
      <c r="AQ1372" s="568"/>
      <c r="AR1372" s="568"/>
      <c r="AS1372" s="568"/>
      <c r="AT1372" s="568"/>
      <c r="AU1372" s="568"/>
      <c r="AV1372" s="568"/>
      <c r="AW1372" s="568"/>
      <c r="AX1372" s="568"/>
      <c r="AY1372" s="568"/>
      <c r="AZ1372" s="568"/>
      <c r="BA1372" s="568"/>
      <c r="BB1372" s="569"/>
      <c r="BC1372" s="569"/>
      <c r="BD1372" s="569"/>
      <c r="BE1372" s="569"/>
      <c r="BF1372" s="55"/>
    </row>
    <row r="1373" customFormat="false" ht="14.1" hidden="true" customHeight="true" outlineLevel="1" collapsed="false">
      <c r="A1373" s="138" t="s">
        <v>749</v>
      </c>
      <c r="B1373" s="235"/>
      <c r="C1373" s="138"/>
      <c r="D1373" s="275"/>
      <c r="E1373" s="275"/>
      <c r="F1373" s="275"/>
      <c r="G1373" s="243"/>
      <c r="H1373" s="132"/>
      <c r="I1373" s="599"/>
      <c r="J1373" s="599"/>
      <c r="K1373" s="599"/>
      <c r="L1373" s="599"/>
      <c r="M1373" s="599"/>
      <c r="N1373" s="599"/>
      <c r="O1373" s="599"/>
      <c r="P1373" s="599"/>
      <c r="Q1373" s="599"/>
      <c r="R1373" s="599"/>
      <c r="S1373" s="243"/>
      <c r="T1373" s="243"/>
      <c r="U1373" s="243"/>
      <c r="V1373" s="243"/>
      <c r="W1373" s="243"/>
      <c r="X1373" s="243"/>
      <c r="Y1373" s="243"/>
      <c r="Z1373" s="243"/>
      <c r="AA1373" s="243"/>
      <c r="AB1373" s="243"/>
      <c r="AC1373" s="243"/>
      <c r="AD1373" s="243"/>
      <c r="AE1373" s="243"/>
      <c r="AF1373" s="243"/>
      <c r="AG1373" s="243"/>
      <c r="AH1373" s="29"/>
      <c r="AI1373" s="29"/>
      <c r="AJ1373" s="29"/>
      <c r="AK1373" s="29"/>
      <c r="AL1373" s="29"/>
      <c r="AM1373" s="29"/>
      <c r="AN1373" s="578"/>
      <c r="AO1373" s="579"/>
      <c r="AP1373" s="579"/>
      <c r="AQ1373" s="580"/>
      <c r="AR1373" s="580"/>
      <c r="AS1373" s="580"/>
      <c r="AT1373" s="580"/>
      <c r="AU1373" s="580"/>
      <c r="AV1373" s="580"/>
      <c r="AW1373" s="580"/>
      <c r="AX1373" s="580"/>
      <c r="AY1373" s="580"/>
      <c r="AZ1373" s="580"/>
      <c r="BA1373" s="580"/>
      <c r="BB1373" s="622"/>
      <c r="BC1373" s="622"/>
      <c r="BD1373" s="622"/>
      <c r="BE1373" s="622"/>
    </row>
    <row r="1374" customFormat="false" ht="14.1" hidden="true" customHeight="true" outlineLevel="1" collapsed="false">
      <c r="A1374" s="149" t="s">
        <v>226</v>
      </c>
      <c r="B1374" s="616" t="s">
        <v>502</v>
      </c>
      <c r="C1374" s="163" t="n">
        <v>4</v>
      </c>
      <c r="D1374" s="275"/>
      <c r="E1374" s="275"/>
      <c r="F1374" s="275"/>
      <c r="G1374" s="243"/>
      <c r="H1374" s="132"/>
      <c r="I1374" s="599"/>
      <c r="J1374" s="599"/>
      <c r="K1374" s="599"/>
      <c r="L1374" s="599"/>
      <c r="M1374" s="599"/>
      <c r="N1374" s="599"/>
      <c r="O1374" s="599"/>
      <c r="P1374" s="599"/>
      <c r="Q1374" s="243"/>
      <c r="R1374" s="243"/>
      <c r="S1374" s="243"/>
      <c r="T1374" s="243"/>
      <c r="U1374" s="243"/>
      <c r="V1374" s="243"/>
      <c r="W1374" s="243"/>
      <c r="X1374" s="243"/>
      <c r="Y1374" s="243"/>
      <c r="Z1374" s="243"/>
      <c r="AA1374" s="243"/>
      <c r="AB1374" s="243"/>
      <c r="AC1374" s="243"/>
      <c r="AD1374" s="243"/>
      <c r="AE1374" s="243"/>
      <c r="AF1374" s="243"/>
      <c r="AG1374" s="243"/>
      <c r="AH1374" s="29"/>
      <c r="AI1374" s="29"/>
      <c r="AJ1374" s="29"/>
      <c r="AK1374" s="29"/>
      <c r="AL1374" s="29"/>
      <c r="AM1374" s="29"/>
      <c r="AN1374" s="578"/>
      <c r="AO1374" s="579"/>
      <c r="AP1374" s="579"/>
      <c r="AQ1374" s="580"/>
      <c r="AR1374" s="580"/>
      <c r="AS1374" s="580"/>
      <c r="AT1374" s="580"/>
      <c r="AU1374" s="580"/>
      <c r="AV1374" s="580"/>
      <c r="AW1374" s="580"/>
      <c r="AX1374" s="580"/>
      <c r="AY1374" s="580"/>
      <c r="AZ1374" s="580"/>
      <c r="BA1374" s="580"/>
      <c r="BB1374" s="622"/>
      <c r="BC1374" s="622"/>
      <c r="BD1374" s="622"/>
      <c r="BE1374" s="622"/>
    </row>
    <row r="1375" s="162" customFormat="true" ht="14.1" hidden="true" customHeight="true" outlineLevel="1" collapsed="false">
      <c r="A1375" s="147" t="s">
        <v>226</v>
      </c>
      <c r="B1375" s="616" t="s">
        <v>502</v>
      </c>
      <c r="C1375" s="348" t="n">
        <v>0</v>
      </c>
      <c r="D1375" s="275"/>
      <c r="E1375" s="275"/>
      <c r="F1375" s="275"/>
      <c r="G1375" s="243"/>
      <c r="H1375" s="132"/>
      <c r="I1375" s="599"/>
      <c r="J1375" s="599"/>
      <c r="K1375" s="599"/>
      <c r="L1375" s="599"/>
      <c r="M1375" s="599"/>
      <c r="N1375" s="599"/>
      <c r="O1375" s="599"/>
      <c r="P1375" s="599"/>
      <c r="Q1375" s="243"/>
      <c r="R1375" s="243"/>
      <c r="S1375" s="243"/>
      <c r="T1375" s="243"/>
      <c r="U1375" s="243"/>
      <c r="V1375" s="243"/>
      <c r="W1375" s="243"/>
      <c r="X1375" s="243"/>
      <c r="Y1375" s="243"/>
      <c r="Z1375" s="243"/>
      <c r="AA1375" s="243"/>
      <c r="AB1375" s="243"/>
      <c r="AC1375" s="243"/>
      <c r="AD1375" s="243"/>
      <c r="AE1375" s="243"/>
      <c r="AF1375" s="243"/>
      <c r="AG1375" s="243"/>
      <c r="AH1375" s="29"/>
      <c r="AI1375" s="29"/>
      <c r="AJ1375" s="29"/>
      <c r="AK1375" s="29"/>
      <c r="AL1375" s="29"/>
      <c r="AM1375" s="29"/>
      <c r="AN1375" s="578"/>
      <c r="AO1375" s="579"/>
      <c r="AP1375" s="579"/>
      <c r="AQ1375" s="580"/>
      <c r="AR1375" s="580"/>
      <c r="AS1375" s="580"/>
      <c r="AT1375" s="580"/>
      <c r="AU1375" s="580"/>
      <c r="AV1375" s="580"/>
      <c r="AW1375" s="580"/>
      <c r="AX1375" s="580"/>
      <c r="AY1375" s="580"/>
      <c r="AZ1375" s="580"/>
      <c r="BA1375" s="580"/>
      <c r="BB1375" s="581"/>
      <c r="BC1375" s="581"/>
      <c r="BD1375" s="581"/>
      <c r="BE1375" s="581"/>
      <c r="BF1375" s="161"/>
    </row>
    <row r="1376" s="162" customFormat="true" ht="14.1" hidden="true" customHeight="true" outlineLevel="1" collapsed="false">
      <c r="A1376" s="249" t="s">
        <v>886</v>
      </c>
      <c r="B1376" s="248" t="s">
        <v>113</v>
      </c>
      <c r="C1376" s="642" t="n">
        <v>5000</v>
      </c>
      <c r="D1376" s="275"/>
      <c r="E1376" s="275"/>
      <c r="F1376" s="275"/>
      <c r="G1376" s="243"/>
      <c r="H1376" s="132"/>
      <c r="I1376" s="599"/>
      <c r="J1376" s="599"/>
      <c r="K1376" s="599"/>
      <c r="L1376" s="599"/>
      <c r="M1376" s="599"/>
      <c r="N1376" s="599"/>
      <c r="O1376" s="599"/>
      <c r="P1376" s="599"/>
      <c r="Q1376" s="243"/>
      <c r="R1376" s="243"/>
      <c r="S1376" s="243"/>
      <c r="T1376" s="243"/>
      <c r="U1376" s="243"/>
      <c r="V1376" s="243"/>
      <c r="W1376" s="243"/>
      <c r="X1376" s="243"/>
      <c r="Y1376" s="243"/>
      <c r="Z1376" s="243"/>
      <c r="AA1376" s="243"/>
      <c r="AB1376" s="243"/>
      <c r="AC1376" s="243"/>
      <c r="AD1376" s="243"/>
      <c r="AE1376" s="243"/>
      <c r="AF1376" s="243"/>
      <c r="AG1376" s="243"/>
      <c r="AH1376" s="29"/>
      <c r="AI1376" s="29"/>
      <c r="AJ1376" s="29"/>
      <c r="AK1376" s="29"/>
      <c r="AL1376" s="29"/>
      <c r="AM1376" s="29"/>
      <c r="AN1376" s="578"/>
      <c r="AO1376" s="579"/>
      <c r="AP1376" s="579"/>
      <c r="AQ1376" s="580"/>
      <c r="AR1376" s="580"/>
      <c r="AS1376" s="580"/>
      <c r="AT1376" s="580"/>
      <c r="AU1376" s="580"/>
      <c r="AV1376" s="580"/>
      <c r="AW1376" s="580"/>
      <c r="AX1376" s="580"/>
      <c r="AY1376" s="580"/>
      <c r="AZ1376" s="580"/>
      <c r="BA1376" s="580"/>
      <c r="BB1376" s="581"/>
      <c r="BC1376" s="581"/>
      <c r="BD1376" s="581"/>
      <c r="BE1376" s="581"/>
      <c r="BF1376" s="161"/>
    </row>
    <row r="1377" s="56" customFormat="true" ht="14.1" hidden="true" customHeight="true" outlineLevel="1" collapsed="false">
      <c r="A1377" s="275"/>
      <c r="B1377" s="277"/>
      <c r="C1377" s="275"/>
      <c r="D1377" s="275"/>
      <c r="E1377" s="275"/>
      <c r="F1377" s="275"/>
      <c r="G1377" s="243"/>
      <c r="H1377" s="132"/>
      <c r="I1377" s="599"/>
      <c r="J1377" s="599"/>
      <c r="K1377" s="599"/>
      <c r="L1377" s="599"/>
      <c r="M1377" s="599"/>
      <c r="N1377" s="599"/>
      <c r="O1377" s="599"/>
      <c r="P1377" s="599"/>
      <c r="Q1377" s="243"/>
      <c r="R1377" s="243"/>
      <c r="S1377" s="243"/>
      <c r="T1377" s="243"/>
      <c r="U1377" s="243"/>
      <c r="V1377" s="243"/>
      <c r="W1377" s="243"/>
      <c r="X1377" s="243"/>
      <c r="Y1377" s="243"/>
      <c r="Z1377" s="243"/>
      <c r="AA1377" s="243"/>
      <c r="AB1377" s="243"/>
      <c r="AC1377" s="243"/>
      <c r="AD1377" s="243"/>
      <c r="AE1377" s="243"/>
      <c r="AF1377" s="243"/>
      <c r="AG1377" s="243"/>
      <c r="AH1377" s="29"/>
      <c r="AI1377" s="29"/>
      <c r="AJ1377" s="29"/>
      <c r="AK1377" s="29"/>
      <c r="AL1377" s="29"/>
      <c r="AM1377" s="29"/>
      <c r="AN1377" s="29"/>
      <c r="AO1377" s="567"/>
      <c r="AP1377" s="567"/>
      <c r="AQ1377" s="568"/>
      <c r="AR1377" s="568"/>
      <c r="AS1377" s="568"/>
      <c r="AT1377" s="568"/>
      <c r="AU1377" s="568"/>
      <c r="AV1377" s="568"/>
      <c r="AW1377" s="568"/>
      <c r="AX1377" s="568"/>
      <c r="AY1377" s="568"/>
      <c r="AZ1377" s="568"/>
      <c r="BA1377" s="568"/>
      <c r="BB1377" s="569"/>
      <c r="BC1377" s="569"/>
      <c r="BD1377" s="569"/>
      <c r="BE1377" s="569"/>
      <c r="BF1377" s="55"/>
    </row>
    <row r="1378" customFormat="false" ht="14.1" hidden="false" customHeight="true" outlineLevel="0" collapsed="false">
      <c r="A1378" s="643" t="s">
        <v>887</v>
      </c>
      <c r="B1378" s="643"/>
      <c r="C1378" s="643"/>
      <c r="D1378" s="643"/>
      <c r="E1378" s="643"/>
      <c r="F1378" s="428" t="s">
        <v>56</v>
      </c>
      <c r="G1378" s="26"/>
      <c r="H1378" s="437"/>
      <c r="I1378" s="437"/>
      <c r="J1378" s="437"/>
      <c r="K1378" s="437"/>
      <c r="L1378" s="437"/>
      <c r="M1378" s="257"/>
      <c r="N1378" s="257"/>
      <c r="O1378" s="257"/>
      <c r="P1378" s="243"/>
      <c r="Q1378" s="165"/>
      <c r="R1378" s="243"/>
      <c r="S1378" s="243"/>
      <c r="T1378" s="243"/>
      <c r="U1378" s="243"/>
      <c r="V1378" s="243"/>
      <c r="W1378" s="243"/>
      <c r="X1378" s="243"/>
      <c r="Y1378" s="243"/>
      <c r="Z1378" s="243"/>
      <c r="AA1378" s="243"/>
      <c r="AB1378" s="243"/>
      <c r="AC1378" s="243"/>
      <c r="AD1378" s="243"/>
      <c r="AE1378" s="243"/>
      <c r="AF1378" s="243"/>
      <c r="AG1378" s="243"/>
      <c r="AH1378" s="29"/>
      <c r="AI1378" s="29"/>
      <c r="AJ1378" s="29"/>
      <c r="AK1378" s="29"/>
      <c r="AL1378" s="29"/>
      <c r="AM1378" s="29"/>
      <c r="AN1378" s="578"/>
      <c r="AO1378" s="579"/>
      <c r="AP1378" s="579"/>
      <c r="AQ1378" s="580"/>
      <c r="AR1378" s="580"/>
      <c r="AS1378" s="580"/>
      <c r="AT1378" s="580"/>
      <c r="AU1378" s="580"/>
      <c r="AV1378" s="127" t="n">
        <f aca="false">M1378</f>
        <v>0</v>
      </c>
      <c r="AW1378" s="580"/>
      <c r="AX1378" s="580"/>
      <c r="AY1378" s="580"/>
      <c r="AZ1378" s="580"/>
      <c r="BA1378" s="580"/>
      <c r="BB1378" s="622"/>
      <c r="BC1378" s="622"/>
      <c r="BD1378" s="622"/>
      <c r="BE1378" s="622"/>
    </row>
    <row r="1379" s="35" customFormat="true" ht="14.1" hidden="false" customHeight="true" outlineLevel="0" collapsed="false">
      <c r="A1379" s="243"/>
      <c r="B1379" s="241"/>
      <c r="C1379" s="243"/>
      <c r="D1379" s="243"/>
      <c r="E1379" s="243"/>
      <c r="F1379" s="243"/>
      <c r="G1379" s="243"/>
      <c r="H1379" s="243"/>
      <c r="I1379" s="243"/>
      <c r="J1379" s="243"/>
      <c r="K1379" s="243"/>
      <c r="L1379" s="243"/>
      <c r="M1379" s="243"/>
      <c r="N1379" s="243"/>
      <c r="O1379" s="243"/>
      <c r="P1379" s="243"/>
      <c r="Q1379" s="243"/>
      <c r="R1379" s="243"/>
      <c r="S1379" s="243"/>
      <c r="T1379" s="243"/>
      <c r="U1379" s="243"/>
      <c r="V1379" s="243"/>
      <c r="W1379" s="243"/>
      <c r="X1379" s="243"/>
      <c r="Y1379" s="243"/>
      <c r="Z1379" s="243"/>
      <c r="AA1379" s="243"/>
      <c r="AB1379" s="243"/>
      <c r="AC1379" s="243"/>
      <c r="AD1379" s="243"/>
      <c r="AE1379" s="243"/>
      <c r="AF1379" s="243"/>
      <c r="AG1379" s="243"/>
      <c r="AH1379" s="29"/>
      <c r="AI1379" s="29"/>
      <c r="AJ1379" s="29"/>
      <c r="AK1379" s="29"/>
      <c r="AL1379" s="29"/>
      <c r="AM1379" s="29"/>
      <c r="AN1379" s="578"/>
      <c r="AO1379" s="579"/>
      <c r="AP1379" s="579"/>
      <c r="AQ1379" s="580"/>
      <c r="AR1379" s="580"/>
      <c r="AS1379" s="580"/>
      <c r="AT1379" s="580"/>
      <c r="AU1379" s="580"/>
      <c r="AV1379" s="580"/>
      <c r="AW1379" s="580"/>
      <c r="AX1379" s="580"/>
      <c r="AY1379" s="580"/>
      <c r="AZ1379" s="580"/>
      <c r="BA1379" s="580"/>
      <c r="BB1379" s="580"/>
      <c r="BC1379" s="580"/>
      <c r="BD1379" s="580"/>
      <c r="BE1379" s="580"/>
      <c r="BF1379" s="156"/>
    </row>
    <row r="1380" customFormat="false" ht="14.1" hidden="true" customHeight="true" outlineLevel="1" collapsed="false">
      <c r="A1380" s="641" t="s">
        <v>888</v>
      </c>
      <c r="B1380" s="641"/>
      <c r="C1380" s="641"/>
      <c r="D1380" s="641"/>
      <c r="E1380" s="641"/>
      <c r="F1380" s="641"/>
      <c r="G1380" s="641"/>
      <c r="H1380" s="440"/>
      <c r="I1380" s="440"/>
      <c r="J1380" s="440"/>
      <c r="K1380" s="440"/>
      <c r="L1380" s="440"/>
      <c r="M1380" s="440"/>
      <c r="N1380" s="440"/>
      <c r="O1380" s="440"/>
      <c r="P1380" s="440"/>
      <c r="Q1380" s="440"/>
      <c r="R1380" s="440"/>
      <c r="S1380" s="440"/>
      <c r="T1380" s="440"/>
      <c r="U1380" s="440"/>
      <c r="V1380" s="440"/>
      <c r="W1380" s="440"/>
      <c r="X1380" s="440"/>
      <c r="Y1380" s="440"/>
      <c r="Z1380" s="440"/>
      <c r="AA1380" s="440"/>
      <c r="AB1380" s="440"/>
      <c r="AC1380" s="440"/>
      <c r="AD1380" s="440"/>
      <c r="AE1380" s="440"/>
      <c r="AF1380" s="440"/>
      <c r="AG1380" s="440"/>
      <c r="AH1380" s="584"/>
      <c r="AI1380" s="584"/>
      <c r="AJ1380" s="29"/>
      <c r="AK1380" s="29"/>
      <c r="AL1380" s="29"/>
      <c r="AM1380" s="29"/>
      <c r="AN1380" s="578"/>
      <c r="AO1380" s="579"/>
      <c r="AP1380" s="579"/>
      <c r="AQ1380" s="580"/>
      <c r="AR1380" s="580"/>
      <c r="AS1380" s="580"/>
      <c r="AT1380" s="580"/>
      <c r="AU1380" s="580"/>
      <c r="AV1380" s="580"/>
      <c r="AW1380" s="580"/>
      <c r="AX1380" s="580"/>
      <c r="AY1380" s="580"/>
      <c r="AZ1380" s="580"/>
      <c r="BA1380" s="580"/>
      <c r="BB1380" s="622"/>
      <c r="BC1380" s="622"/>
      <c r="BD1380" s="622"/>
      <c r="BE1380" s="622"/>
    </row>
    <row r="1381" customFormat="false" ht="14.1" hidden="true" customHeight="true" outlineLevel="1" collapsed="false">
      <c r="A1381" s="641"/>
      <c r="B1381" s="641"/>
      <c r="C1381" s="641"/>
      <c r="D1381" s="641"/>
      <c r="E1381" s="641"/>
      <c r="F1381" s="641"/>
      <c r="G1381" s="641"/>
      <c r="H1381" s="440"/>
      <c r="I1381" s="440"/>
      <c r="J1381" s="440"/>
      <c r="K1381" s="440"/>
      <c r="L1381" s="440"/>
      <c r="M1381" s="440"/>
      <c r="N1381" s="440"/>
      <c r="O1381" s="440"/>
      <c r="P1381" s="440"/>
      <c r="Q1381" s="440"/>
      <c r="R1381" s="440"/>
      <c r="S1381" s="440"/>
      <c r="T1381" s="440"/>
      <c r="U1381" s="440"/>
      <c r="V1381" s="440"/>
      <c r="W1381" s="440"/>
      <c r="X1381" s="440"/>
      <c r="Y1381" s="440"/>
      <c r="Z1381" s="440"/>
      <c r="AA1381" s="440"/>
      <c r="AB1381" s="440"/>
      <c r="AC1381" s="440"/>
      <c r="AD1381" s="440"/>
      <c r="AE1381" s="440"/>
      <c r="AF1381" s="440"/>
      <c r="AG1381" s="440"/>
      <c r="AH1381" s="584"/>
      <c r="AI1381" s="584"/>
      <c r="AJ1381" s="29"/>
      <c r="AK1381" s="29"/>
      <c r="AL1381" s="29"/>
      <c r="AM1381" s="29"/>
      <c r="AN1381" s="578"/>
      <c r="AO1381" s="579"/>
      <c r="AP1381" s="579"/>
      <c r="AQ1381" s="580"/>
      <c r="AR1381" s="580"/>
      <c r="AS1381" s="580"/>
      <c r="AT1381" s="580"/>
      <c r="AU1381" s="580"/>
      <c r="AV1381" s="580"/>
      <c r="AW1381" s="580"/>
      <c r="AX1381" s="580"/>
      <c r="AY1381" s="580"/>
      <c r="AZ1381" s="580"/>
      <c r="BA1381" s="580"/>
      <c r="BB1381" s="622"/>
      <c r="BC1381" s="622"/>
      <c r="BD1381" s="622"/>
      <c r="BE1381" s="622"/>
    </row>
    <row r="1382" customFormat="false" ht="14.1" hidden="true" customHeight="true" outlineLevel="1" collapsed="false">
      <c r="A1382" s="393" t="s">
        <v>461</v>
      </c>
      <c r="B1382" s="570"/>
      <c r="C1382" s="571"/>
      <c r="D1382" s="348" t="n">
        <v>1</v>
      </c>
      <c r="E1382" s="138"/>
      <c r="F1382" s="138"/>
      <c r="G1382" s="468"/>
      <c r="H1382" s="468"/>
      <c r="I1382" s="468"/>
      <c r="J1382" s="468"/>
      <c r="K1382" s="468"/>
      <c r="L1382" s="468"/>
      <c r="M1382" s="468"/>
      <c r="N1382" s="468"/>
      <c r="O1382" s="468"/>
      <c r="P1382" s="468"/>
      <c r="Q1382" s="468"/>
      <c r="R1382" s="468"/>
      <c r="S1382" s="468"/>
      <c r="T1382" s="468"/>
      <c r="U1382" s="468"/>
      <c r="V1382" s="468"/>
      <c r="W1382" s="468"/>
      <c r="X1382" s="468"/>
      <c r="Y1382" s="468"/>
      <c r="Z1382" s="468"/>
      <c r="AA1382" s="468"/>
      <c r="AB1382" s="468"/>
      <c r="AC1382" s="468"/>
      <c r="AD1382" s="468"/>
      <c r="AE1382" s="468"/>
      <c r="AF1382" s="243"/>
      <c r="AG1382" s="243"/>
      <c r="AH1382" s="29"/>
      <c r="AI1382" s="568"/>
      <c r="AJ1382" s="29"/>
      <c r="AK1382" s="29"/>
      <c r="AL1382" s="29"/>
      <c r="AM1382" s="29"/>
      <c r="AN1382" s="578"/>
      <c r="AO1382" s="579"/>
      <c r="AP1382" s="579"/>
      <c r="AQ1382" s="580"/>
      <c r="AR1382" s="580"/>
      <c r="AS1382" s="580"/>
      <c r="AT1382" s="580"/>
      <c r="AU1382" s="580"/>
      <c r="AV1382" s="580"/>
      <c r="AW1382" s="580"/>
      <c r="AX1382" s="580"/>
      <c r="AY1382" s="580"/>
      <c r="AZ1382" s="580"/>
      <c r="BA1382" s="580"/>
      <c r="BB1382" s="581"/>
      <c r="BC1382" s="581"/>
      <c r="BD1382" s="581"/>
      <c r="BE1382" s="581"/>
    </row>
    <row r="1383" customFormat="false" ht="14.1" hidden="true" customHeight="true" outlineLevel="1" collapsed="false">
      <c r="A1383" s="393" t="s">
        <v>462</v>
      </c>
      <c r="B1383" s="570"/>
      <c r="C1383" s="571"/>
      <c r="D1383" s="348" t="n">
        <v>1</v>
      </c>
      <c r="E1383" s="138"/>
      <c r="F1383" s="138"/>
      <c r="G1383" s="468"/>
      <c r="H1383" s="468"/>
      <c r="I1383" s="468"/>
      <c r="J1383" s="468"/>
      <c r="K1383" s="468"/>
      <c r="L1383" s="468"/>
      <c r="M1383" s="468"/>
      <c r="N1383" s="468"/>
      <c r="O1383" s="468"/>
      <c r="P1383" s="468"/>
      <c r="Q1383" s="468"/>
      <c r="R1383" s="468"/>
      <c r="S1383" s="468"/>
      <c r="T1383" s="468"/>
      <c r="U1383" s="468"/>
      <c r="V1383" s="468"/>
      <c r="W1383" s="468"/>
      <c r="X1383" s="468"/>
      <c r="Y1383" s="468"/>
      <c r="Z1383" s="468"/>
      <c r="AA1383" s="468"/>
      <c r="AB1383" s="468"/>
      <c r="AC1383" s="468"/>
      <c r="AD1383" s="468"/>
      <c r="AE1383" s="468"/>
      <c r="AF1383" s="243"/>
      <c r="AG1383" s="243"/>
      <c r="AH1383" s="29"/>
      <c r="AI1383" s="29"/>
      <c r="AJ1383" s="29"/>
      <c r="AK1383" s="29"/>
      <c r="AL1383" s="29"/>
      <c r="AM1383" s="29"/>
      <c r="AN1383" s="578"/>
      <c r="AO1383" s="579"/>
      <c r="AP1383" s="579"/>
      <c r="AQ1383" s="580"/>
      <c r="AR1383" s="580"/>
      <c r="AS1383" s="580"/>
      <c r="AT1383" s="580"/>
      <c r="AU1383" s="580"/>
      <c r="AV1383" s="580"/>
      <c r="AW1383" s="580"/>
      <c r="AX1383" s="580"/>
      <c r="AY1383" s="580"/>
      <c r="AZ1383" s="580"/>
      <c r="BA1383" s="580"/>
      <c r="BB1383" s="581"/>
      <c r="BC1383" s="581"/>
      <c r="BD1383" s="581"/>
      <c r="BE1383" s="581"/>
    </row>
    <row r="1384" customFormat="false" ht="14.1" hidden="true" customHeight="true" outlineLevel="1" collapsed="false">
      <c r="A1384" s="138"/>
      <c r="B1384" s="481"/>
      <c r="C1384" s="467"/>
      <c r="D1384" s="467"/>
      <c r="E1384" s="467"/>
      <c r="F1384" s="467"/>
      <c r="G1384" s="468"/>
      <c r="H1384" s="468"/>
      <c r="I1384" s="468"/>
      <c r="J1384" s="468"/>
      <c r="K1384" s="468"/>
      <c r="L1384" s="468"/>
      <c r="M1384" s="468"/>
      <c r="N1384" s="468"/>
      <c r="O1384" s="468"/>
      <c r="P1384" s="468"/>
      <c r="Q1384" s="468"/>
      <c r="R1384" s="468"/>
      <c r="S1384" s="468"/>
      <c r="T1384" s="468"/>
      <c r="U1384" s="468"/>
      <c r="V1384" s="468"/>
      <c r="W1384" s="468"/>
      <c r="X1384" s="468"/>
      <c r="Y1384" s="384"/>
      <c r="Z1384" s="384"/>
      <c r="AA1384" s="383"/>
      <c r="AB1384" s="384"/>
      <c r="AC1384" s="384"/>
      <c r="AD1384" s="384"/>
      <c r="AE1384" s="384"/>
      <c r="AF1384" s="243"/>
      <c r="AG1384" s="243"/>
      <c r="AH1384" s="29"/>
      <c r="AI1384" s="29"/>
      <c r="AJ1384" s="29"/>
      <c r="AK1384" s="29"/>
      <c r="AL1384" s="29"/>
      <c r="AM1384" s="29"/>
      <c r="AN1384" s="578"/>
      <c r="AO1384" s="579"/>
      <c r="AP1384" s="579"/>
      <c r="AQ1384" s="580"/>
      <c r="AR1384" s="580"/>
      <c r="AS1384" s="580"/>
      <c r="AT1384" s="580"/>
      <c r="AU1384" s="580"/>
      <c r="AV1384" s="580"/>
      <c r="AW1384" s="580"/>
      <c r="AX1384" s="580"/>
      <c r="AY1384" s="580"/>
      <c r="AZ1384" s="580"/>
      <c r="BA1384" s="580"/>
      <c r="BB1384" s="581"/>
      <c r="BC1384" s="581"/>
      <c r="BD1384" s="581"/>
      <c r="BE1384" s="581"/>
    </row>
    <row r="1385" customFormat="false" ht="14.1" hidden="true" customHeight="true" outlineLevel="1" collapsed="false">
      <c r="A1385" s="138" t="s">
        <v>889</v>
      </c>
      <c r="B1385" s="235"/>
      <c r="C1385" s="138"/>
      <c r="D1385" s="467"/>
      <c r="E1385" s="467"/>
      <c r="F1385" s="467"/>
      <c r="G1385" s="468"/>
      <c r="H1385" s="468"/>
      <c r="I1385" s="468"/>
      <c r="J1385" s="468"/>
      <c r="K1385" s="468"/>
      <c r="L1385" s="468"/>
      <c r="M1385" s="468"/>
      <c r="N1385" s="468"/>
      <c r="O1385" s="468"/>
      <c r="P1385" s="468"/>
      <c r="Q1385" s="468"/>
      <c r="R1385" s="468"/>
      <c r="S1385" s="468"/>
      <c r="T1385" s="468"/>
      <c r="U1385" s="468"/>
      <c r="V1385" s="468"/>
      <c r="W1385" s="468"/>
      <c r="X1385" s="468"/>
      <c r="Y1385" s="384"/>
      <c r="Z1385" s="384"/>
      <c r="AA1385" s="384"/>
      <c r="AB1385" s="384"/>
      <c r="AC1385" s="384"/>
      <c r="AD1385" s="384"/>
      <c r="AE1385" s="384"/>
      <c r="AF1385" s="243"/>
      <c r="AG1385" s="243"/>
      <c r="AH1385" s="29"/>
      <c r="AI1385" s="29"/>
      <c r="AJ1385" s="29"/>
      <c r="AK1385" s="29"/>
      <c r="AL1385" s="29"/>
      <c r="AM1385" s="29"/>
      <c r="AN1385" s="578"/>
      <c r="AO1385" s="579"/>
      <c r="AP1385" s="579"/>
      <c r="AQ1385" s="580"/>
      <c r="AR1385" s="580"/>
      <c r="AS1385" s="580"/>
      <c r="AT1385" s="580"/>
      <c r="AU1385" s="580"/>
      <c r="AV1385" s="580"/>
      <c r="AW1385" s="580"/>
      <c r="AX1385" s="580"/>
      <c r="AY1385" s="580"/>
      <c r="AZ1385" s="580"/>
      <c r="BA1385" s="580"/>
      <c r="BB1385" s="581"/>
      <c r="BC1385" s="581"/>
      <c r="BD1385" s="581"/>
      <c r="BE1385" s="581"/>
    </row>
    <row r="1386" customFormat="false" ht="14.1" hidden="true" customHeight="true" outlineLevel="1" collapsed="false">
      <c r="A1386" s="405" t="s">
        <v>890</v>
      </c>
      <c r="B1386" s="277"/>
      <c r="C1386" s="275"/>
      <c r="D1386" s="275"/>
      <c r="E1386" s="275"/>
      <c r="F1386" s="275"/>
      <c r="G1386" s="243"/>
      <c r="H1386" s="644"/>
      <c r="I1386" s="243"/>
      <c r="J1386" s="243"/>
      <c r="K1386" s="243"/>
      <c r="L1386" s="243"/>
      <c r="M1386" s="243"/>
      <c r="N1386" s="243"/>
      <c r="O1386" s="241"/>
      <c r="P1386" s="241"/>
      <c r="Q1386" s="241"/>
      <c r="R1386" s="243"/>
      <c r="S1386" s="243"/>
      <c r="T1386" s="243"/>
      <c r="U1386" s="243"/>
      <c r="V1386" s="243"/>
      <c r="W1386" s="243"/>
      <c r="X1386" s="243"/>
      <c r="Y1386" s="243"/>
      <c r="Z1386" s="243"/>
      <c r="AA1386" s="243"/>
      <c r="AB1386" s="243"/>
      <c r="AC1386" s="243"/>
      <c r="AD1386" s="243"/>
      <c r="AE1386" s="243"/>
      <c r="AF1386" s="243"/>
      <c r="AG1386" s="243"/>
      <c r="AH1386" s="29"/>
      <c r="AI1386" s="29"/>
      <c r="AJ1386" s="29"/>
      <c r="AK1386" s="29"/>
      <c r="AL1386" s="29"/>
      <c r="AM1386" s="29"/>
      <c r="AN1386" s="578"/>
      <c r="AO1386" s="579"/>
      <c r="AP1386" s="579"/>
      <c r="AQ1386" s="580"/>
      <c r="AR1386" s="580"/>
      <c r="AS1386" s="580"/>
      <c r="AT1386" s="580"/>
      <c r="AU1386" s="580"/>
      <c r="AV1386" s="580"/>
      <c r="AW1386" s="580"/>
      <c r="AX1386" s="580"/>
      <c r="AY1386" s="580"/>
      <c r="AZ1386" s="580"/>
      <c r="BA1386" s="580"/>
      <c r="BB1386" s="622"/>
      <c r="BC1386" s="622"/>
      <c r="BD1386" s="622"/>
      <c r="BE1386" s="622"/>
    </row>
    <row r="1387" customFormat="false" ht="14.1" hidden="true" customHeight="true" outlineLevel="1" collapsed="false">
      <c r="A1387" s="151" t="s">
        <v>891</v>
      </c>
      <c r="B1387" s="219" t="s">
        <v>48</v>
      </c>
      <c r="C1387" s="151" t="n">
        <v>5</v>
      </c>
      <c r="D1387" s="275"/>
      <c r="E1387" s="275"/>
      <c r="F1387" s="275"/>
      <c r="G1387" s="243"/>
      <c r="H1387" s="644"/>
      <c r="I1387" s="243"/>
      <c r="J1387" s="243"/>
      <c r="K1387" s="243"/>
      <c r="L1387" s="243"/>
      <c r="M1387" s="243"/>
      <c r="N1387" s="243"/>
      <c r="O1387" s="241"/>
      <c r="P1387" s="241"/>
      <c r="Q1387" s="241"/>
      <c r="R1387" s="243"/>
      <c r="S1387" s="243"/>
      <c r="T1387" s="243"/>
      <c r="U1387" s="243"/>
      <c r="V1387" s="243"/>
      <c r="W1387" s="243"/>
      <c r="X1387" s="243"/>
      <c r="Y1387" s="243"/>
      <c r="Z1387" s="243"/>
      <c r="AA1387" s="243"/>
      <c r="AB1387" s="243"/>
      <c r="AC1387" s="243"/>
      <c r="AD1387" s="243"/>
      <c r="AE1387" s="243"/>
      <c r="AF1387" s="243"/>
      <c r="AG1387" s="243"/>
      <c r="AH1387" s="29"/>
      <c r="AI1387" s="29"/>
      <c r="AJ1387" s="29"/>
      <c r="AK1387" s="29"/>
      <c r="AL1387" s="29"/>
      <c r="AM1387" s="29"/>
      <c r="AN1387" s="578"/>
      <c r="AO1387" s="579"/>
      <c r="AP1387" s="579"/>
      <c r="AQ1387" s="580"/>
      <c r="AR1387" s="580"/>
      <c r="AS1387" s="580"/>
      <c r="AT1387" s="580"/>
      <c r="AU1387" s="580"/>
      <c r="AV1387" s="580"/>
      <c r="AW1387" s="580"/>
      <c r="AX1387" s="580"/>
      <c r="AY1387" s="580"/>
      <c r="AZ1387" s="580"/>
      <c r="BA1387" s="580"/>
      <c r="BB1387" s="622"/>
      <c r="BC1387" s="622"/>
      <c r="BD1387" s="622"/>
      <c r="BE1387" s="622"/>
    </row>
    <row r="1388" customFormat="false" ht="14.1" hidden="true" customHeight="true" outlineLevel="1" collapsed="false">
      <c r="A1388" s="138"/>
      <c r="B1388" s="235"/>
      <c r="C1388" s="138"/>
      <c r="D1388" s="275"/>
      <c r="E1388" s="275"/>
      <c r="F1388" s="275"/>
      <c r="G1388" s="243"/>
      <c r="H1388" s="644"/>
      <c r="I1388" s="243"/>
      <c r="J1388" s="243"/>
      <c r="K1388" s="243"/>
      <c r="L1388" s="243"/>
      <c r="M1388" s="243"/>
      <c r="N1388" s="243"/>
      <c r="O1388" s="241"/>
      <c r="P1388" s="241"/>
      <c r="Q1388" s="241"/>
      <c r="R1388" s="243"/>
      <c r="S1388" s="243"/>
      <c r="T1388" s="243"/>
      <c r="U1388" s="243"/>
      <c r="V1388" s="243"/>
      <c r="W1388" s="243"/>
      <c r="X1388" s="243"/>
      <c r="Y1388" s="243"/>
      <c r="Z1388" s="243"/>
      <c r="AA1388" s="243"/>
      <c r="AB1388" s="243"/>
      <c r="AC1388" s="243"/>
      <c r="AD1388" s="243"/>
      <c r="AE1388" s="243"/>
      <c r="AF1388" s="243"/>
      <c r="AG1388" s="243"/>
      <c r="AH1388" s="29"/>
      <c r="AI1388" s="29"/>
      <c r="AJ1388" s="29"/>
      <c r="AK1388" s="29"/>
      <c r="AL1388" s="29"/>
      <c r="AM1388" s="29"/>
      <c r="AN1388" s="578"/>
      <c r="AO1388" s="579"/>
      <c r="AP1388" s="579"/>
      <c r="AQ1388" s="580"/>
      <c r="AR1388" s="580"/>
      <c r="AS1388" s="580"/>
      <c r="AT1388" s="580"/>
      <c r="AU1388" s="580"/>
      <c r="AV1388" s="580"/>
      <c r="AW1388" s="580"/>
      <c r="AX1388" s="580"/>
      <c r="AY1388" s="580"/>
      <c r="AZ1388" s="580"/>
      <c r="BA1388" s="580"/>
      <c r="BB1388" s="622"/>
      <c r="BC1388" s="622"/>
      <c r="BD1388" s="622"/>
      <c r="BE1388" s="622"/>
    </row>
    <row r="1389" customFormat="false" ht="14.1" hidden="true" customHeight="true" outlineLevel="1" collapsed="false">
      <c r="A1389" s="138" t="s">
        <v>749</v>
      </c>
      <c r="B1389" s="235"/>
      <c r="C1389" s="138"/>
      <c r="D1389" s="275"/>
      <c r="E1389" s="275"/>
      <c r="F1389" s="275"/>
      <c r="G1389" s="243"/>
      <c r="H1389" s="644"/>
      <c r="I1389" s="243"/>
      <c r="J1389" s="243"/>
      <c r="K1389" s="243"/>
      <c r="L1389" s="243"/>
      <c r="M1389" s="243"/>
      <c r="N1389" s="243"/>
      <c r="O1389" s="241"/>
      <c r="P1389" s="241"/>
      <c r="Q1389" s="241"/>
      <c r="R1389" s="243"/>
      <c r="S1389" s="243"/>
      <c r="T1389" s="243"/>
      <c r="U1389" s="243"/>
      <c r="V1389" s="243"/>
      <c r="W1389" s="243"/>
      <c r="X1389" s="243"/>
      <c r="Y1389" s="243"/>
      <c r="Z1389" s="243"/>
      <c r="AA1389" s="243"/>
      <c r="AB1389" s="243"/>
      <c r="AC1389" s="243"/>
      <c r="AD1389" s="243"/>
      <c r="AE1389" s="243"/>
      <c r="AF1389" s="243"/>
      <c r="AG1389" s="243"/>
      <c r="AH1389" s="29"/>
      <c r="AI1389" s="29"/>
      <c r="AJ1389" s="29"/>
      <c r="AK1389" s="29"/>
      <c r="AL1389" s="29"/>
      <c r="AM1389" s="29"/>
      <c r="AN1389" s="578"/>
      <c r="AO1389" s="579"/>
      <c r="AP1389" s="579"/>
      <c r="AQ1389" s="580"/>
      <c r="AR1389" s="580"/>
      <c r="AS1389" s="580"/>
      <c r="AT1389" s="580"/>
      <c r="AU1389" s="580"/>
      <c r="AV1389" s="580"/>
      <c r="AW1389" s="580"/>
      <c r="AX1389" s="580"/>
      <c r="AY1389" s="580"/>
      <c r="AZ1389" s="580"/>
      <c r="BA1389" s="580"/>
      <c r="BB1389" s="622"/>
      <c r="BC1389" s="622"/>
      <c r="BD1389" s="622"/>
      <c r="BE1389" s="622"/>
    </row>
    <row r="1390" customFormat="false" ht="14.1" hidden="true" customHeight="true" outlineLevel="1" collapsed="false">
      <c r="A1390" s="149" t="s">
        <v>226</v>
      </c>
      <c r="B1390" s="616" t="s">
        <v>502</v>
      </c>
      <c r="C1390" s="163" t="n">
        <v>0</v>
      </c>
      <c r="D1390" s="275"/>
      <c r="E1390" s="275"/>
      <c r="F1390" s="275"/>
      <c r="G1390" s="243"/>
      <c r="H1390" s="644"/>
      <c r="I1390" s="243"/>
      <c r="J1390" s="243"/>
      <c r="K1390" s="243"/>
      <c r="L1390" s="243"/>
      <c r="M1390" s="243"/>
      <c r="N1390" s="243"/>
      <c r="O1390" s="241"/>
      <c r="P1390" s="241"/>
      <c r="Q1390" s="241"/>
      <c r="R1390" s="243"/>
      <c r="S1390" s="243"/>
      <c r="T1390" s="243"/>
      <c r="U1390" s="243"/>
      <c r="V1390" s="243"/>
      <c r="W1390" s="243"/>
      <c r="X1390" s="243"/>
      <c r="Y1390" s="243"/>
      <c r="Z1390" s="243"/>
      <c r="AA1390" s="243"/>
      <c r="AB1390" s="243"/>
      <c r="AC1390" s="243"/>
      <c r="AD1390" s="243"/>
      <c r="AE1390" s="243"/>
      <c r="AF1390" s="243"/>
      <c r="AG1390" s="243"/>
      <c r="AH1390" s="29"/>
      <c r="AI1390" s="29"/>
      <c r="AJ1390" s="29"/>
      <c r="AK1390" s="29"/>
      <c r="AL1390" s="29"/>
      <c r="AM1390" s="29"/>
      <c r="AN1390" s="578"/>
      <c r="AO1390" s="579"/>
      <c r="AP1390" s="579"/>
      <c r="AQ1390" s="580"/>
      <c r="AR1390" s="580"/>
      <c r="AS1390" s="580"/>
      <c r="AT1390" s="580"/>
      <c r="AU1390" s="580"/>
      <c r="AV1390" s="580"/>
      <c r="AW1390" s="580"/>
      <c r="AX1390" s="580"/>
      <c r="AY1390" s="580"/>
      <c r="AZ1390" s="580"/>
      <c r="BA1390" s="580"/>
      <c r="BB1390" s="622"/>
      <c r="BC1390" s="622"/>
      <c r="BD1390" s="622"/>
      <c r="BE1390" s="622"/>
    </row>
    <row r="1391" customFormat="false" ht="14.1" hidden="true" customHeight="true" outlineLevel="1" collapsed="false">
      <c r="A1391" s="147" t="s">
        <v>226</v>
      </c>
      <c r="B1391" s="616" t="s">
        <v>502</v>
      </c>
      <c r="C1391" s="348" t="n">
        <v>0</v>
      </c>
      <c r="D1391" s="275"/>
      <c r="E1391" s="275"/>
      <c r="F1391" s="275"/>
      <c r="G1391" s="243"/>
      <c r="H1391" s="644"/>
      <c r="I1391" s="243"/>
      <c r="J1391" s="243"/>
      <c r="K1391" s="243"/>
      <c r="L1391" s="243"/>
      <c r="M1391" s="243"/>
      <c r="N1391" s="243"/>
      <c r="O1391" s="243"/>
      <c r="P1391" s="243"/>
      <c r="Q1391" s="243"/>
      <c r="R1391" s="243"/>
      <c r="S1391" s="243"/>
      <c r="T1391" s="243"/>
      <c r="U1391" s="243"/>
      <c r="V1391" s="243"/>
      <c r="W1391" s="243"/>
      <c r="X1391" s="243"/>
      <c r="Y1391" s="243"/>
      <c r="Z1391" s="243"/>
      <c r="AA1391" s="243"/>
      <c r="AB1391" s="243"/>
      <c r="AC1391" s="243"/>
      <c r="AD1391" s="243"/>
      <c r="AE1391" s="243"/>
      <c r="AF1391" s="243"/>
      <c r="AG1391" s="243"/>
      <c r="AH1391" s="29"/>
      <c r="AI1391" s="29"/>
      <c r="AJ1391" s="29"/>
      <c r="AK1391" s="29"/>
      <c r="AL1391" s="29"/>
      <c r="AM1391" s="29"/>
      <c r="AN1391" s="578"/>
      <c r="AO1391" s="579"/>
      <c r="AP1391" s="579"/>
      <c r="AQ1391" s="580"/>
      <c r="AR1391" s="580"/>
      <c r="AS1391" s="580"/>
      <c r="AT1391" s="580"/>
      <c r="AU1391" s="580"/>
      <c r="AV1391" s="580"/>
      <c r="AW1391" s="580"/>
      <c r="AX1391" s="580"/>
      <c r="AY1391" s="580"/>
      <c r="AZ1391" s="580"/>
      <c r="BA1391" s="580"/>
      <c r="BB1391" s="622"/>
      <c r="BC1391" s="622"/>
      <c r="BD1391" s="622"/>
      <c r="BE1391" s="622"/>
    </row>
    <row r="1392" customFormat="false" ht="14.1" hidden="true" customHeight="true" outlineLevel="1" collapsed="false">
      <c r="A1392" s="249" t="s">
        <v>892</v>
      </c>
      <c r="B1392" s="248" t="s">
        <v>113</v>
      </c>
      <c r="C1392" s="642" t="n">
        <v>5000</v>
      </c>
      <c r="D1392" s="275"/>
      <c r="E1392" s="275"/>
      <c r="F1392" s="275"/>
      <c r="G1392" s="243"/>
      <c r="H1392" s="644"/>
      <c r="I1392" s="599"/>
      <c r="J1392" s="599"/>
      <c r="K1392" s="599"/>
      <c r="L1392" s="599"/>
      <c r="M1392" s="599"/>
      <c r="N1392" s="599"/>
      <c r="O1392" s="599"/>
      <c r="P1392" s="599"/>
      <c r="Q1392" s="599"/>
      <c r="R1392" s="599"/>
      <c r="S1392" s="243"/>
      <c r="T1392" s="243"/>
      <c r="U1392" s="243"/>
      <c r="V1392" s="243"/>
      <c r="W1392" s="243"/>
      <c r="X1392" s="243"/>
      <c r="Y1392" s="243"/>
      <c r="Z1392" s="243"/>
      <c r="AA1392" s="243"/>
      <c r="AB1392" s="243"/>
      <c r="AC1392" s="243"/>
      <c r="AD1392" s="243"/>
      <c r="AE1392" s="243"/>
      <c r="AF1392" s="243"/>
      <c r="AG1392" s="243"/>
      <c r="AH1392" s="29"/>
      <c r="AI1392" s="29"/>
      <c r="AJ1392" s="29"/>
      <c r="AK1392" s="29"/>
      <c r="AL1392" s="29"/>
      <c r="AM1392" s="29"/>
      <c r="AN1392" s="578"/>
      <c r="AO1392" s="579"/>
      <c r="AP1392" s="579"/>
      <c r="AQ1392" s="580"/>
      <c r="AR1392" s="580"/>
      <c r="AS1392" s="580"/>
      <c r="AT1392" s="580"/>
      <c r="AU1392" s="580"/>
      <c r="AV1392" s="580"/>
      <c r="AW1392" s="580"/>
      <c r="AX1392" s="580"/>
      <c r="AY1392" s="580"/>
      <c r="AZ1392" s="580"/>
      <c r="BA1392" s="580"/>
      <c r="BB1392" s="622"/>
      <c r="BC1392" s="622"/>
      <c r="BD1392" s="622"/>
      <c r="BE1392" s="622"/>
    </row>
    <row r="1393" customFormat="false" ht="14.1" hidden="true" customHeight="true" outlineLevel="1" collapsed="false">
      <c r="A1393" s="275"/>
      <c r="B1393" s="277"/>
      <c r="C1393" s="275"/>
      <c r="D1393" s="275"/>
      <c r="E1393" s="275"/>
      <c r="F1393" s="275"/>
      <c r="G1393" s="243"/>
      <c r="H1393" s="644"/>
      <c r="I1393" s="599"/>
      <c r="J1393" s="599"/>
      <c r="K1393" s="599"/>
      <c r="L1393" s="599"/>
      <c r="M1393" s="599"/>
      <c r="N1393" s="599"/>
      <c r="O1393" s="599"/>
      <c r="P1393" s="599"/>
      <c r="Q1393" s="243"/>
      <c r="R1393" s="243"/>
      <c r="S1393" s="243"/>
      <c r="T1393" s="243"/>
      <c r="U1393" s="243"/>
      <c r="V1393" s="243"/>
      <c r="W1393" s="243"/>
      <c r="X1393" s="243"/>
      <c r="Y1393" s="243"/>
      <c r="Z1393" s="243"/>
      <c r="AA1393" s="243"/>
      <c r="AB1393" s="243"/>
      <c r="AC1393" s="243"/>
      <c r="AD1393" s="243"/>
      <c r="AE1393" s="243"/>
      <c r="AF1393" s="243"/>
      <c r="AG1393" s="243"/>
      <c r="AH1393" s="29"/>
      <c r="AI1393" s="29"/>
      <c r="AJ1393" s="29"/>
      <c r="AK1393" s="29"/>
      <c r="AL1393" s="29"/>
      <c r="AM1393" s="29"/>
      <c r="AN1393" s="578"/>
      <c r="AO1393" s="579"/>
      <c r="AP1393" s="579"/>
      <c r="AQ1393" s="580"/>
      <c r="AR1393" s="580"/>
      <c r="AS1393" s="580"/>
      <c r="AT1393" s="580"/>
      <c r="AU1393" s="580"/>
      <c r="AV1393" s="580"/>
      <c r="AW1393" s="580"/>
      <c r="AX1393" s="580"/>
      <c r="AY1393" s="580"/>
      <c r="AZ1393" s="580"/>
      <c r="BA1393" s="580"/>
      <c r="BB1393" s="622"/>
      <c r="BC1393" s="622"/>
      <c r="BD1393" s="622"/>
      <c r="BE1393" s="622"/>
    </row>
    <row r="1394" customFormat="false" ht="14.1" hidden="false" customHeight="true" outlineLevel="0" collapsed="false">
      <c r="A1394" s="643" t="s">
        <v>893</v>
      </c>
      <c r="B1394" s="643"/>
      <c r="C1394" s="643"/>
      <c r="D1394" s="643"/>
      <c r="E1394" s="643"/>
      <c r="F1394" s="428" t="s">
        <v>56</v>
      </c>
      <c r="G1394" s="26"/>
      <c r="H1394" s="437"/>
      <c r="I1394" s="437"/>
      <c r="J1394" s="437"/>
      <c r="K1394" s="437"/>
      <c r="L1394" s="437"/>
      <c r="M1394" s="257"/>
      <c r="N1394" s="257"/>
      <c r="O1394" s="257"/>
      <c r="P1394" s="243"/>
      <c r="Q1394" s="165"/>
      <c r="R1394" s="243"/>
      <c r="S1394" s="243"/>
      <c r="T1394" s="243"/>
      <c r="U1394" s="243"/>
      <c r="V1394" s="243"/>
      <c r="W1394" s="243"/>
      <c r="X1394" s="243"/>
      <c r="Y1394" s="243"/>
      <c r="Z1394" s="243"/>
      <c r="AA1394" s="243"/>
      <c r="AB1394" s="243"/>
      <c r="AC1394" s="243"/>
      <c r="AD1394" s="243"/>
      <c r="AE1394" s="243"/>
      <c r="AF1394" s="243"/>
      <c r="AG1394" s="243"/>
      <c r="AH1394" s="29"/>
      <c r="AI1394" s="29"/>
      <c r="AJ1394" s="29"/>
      <c r="AK1394" s="29"/>
      <c r="AL1394" s="29"/>
      <c r="AM1394" s="29"/>
      <c r="AN1394" s="578"/>
      <c r="AO1394" s="579"/>
      <c r="AP1394" s="579"/>
      <c r="AQ1394" s="580"/>
      <c r="AR1394" s="580"/>
      <c r="AS1394" s="580"/>
      <c r="AT1394" s="580"/>
      <c r="AU1394" s="580"/>
      <c r="AV1394" s="127" t="n">
        <f aca="false">M1394</f>
        <v>0</v>
      </c>
      <c r="AW1394" s="580"/>
      <c r="AX1394" s="580"/>
      <c r="AY1394" s="580"/>
      <c r="AZ1394" s="580"/>
      <c r="BA1394" s="580"/>
      <c r="BB1394" s="622"/>
      <c r="BC1394" s="622"/>
      <c r="BD1394" s="622"/>
      <c r="BE1394" s="622"/>
    </row>
    <row r="1395" s="35" customFormat="true" ht="14.1" hidden="false" customHeight="true" outlineLevel="0" collapsed="false">
      <c r="A1395" s="243"/>
      <c r="B1395" s="241"/>
      <c r="C1395" s="243"/>
      <c r="D1395" s="243"/>
      <c r="E1395" s="243"/>
      <c r="F1395" s="243"/>
      <c r="G1395" s="243"/>
      <c r="H1395" s="243"/>
      <c r="I1395" s="243"/>
      <c r="J1395" s="243"/>
      <c r="K1395" s="243"/>
      <c r="L1395" s="243"/>
      <c r="M1395" s="243"/>
      <c r="N1395" s="243"/>
      <c r="O1395" s="243"/>
      <c r="P1395" s="243"/>
      <c r="Q1395" s="243"/>
      <c r="R1395" s="243"/>
      <c r="S1395" s="243"/>
      <c r="T1395" s="243"/>
      <c r="U1395" s="243"/>
      <c r="V1395" s="243"/>
      <c r="W1395" s="243"/>
      <c r="X1395" s="243"/>
      <c r="Y1395" s="243"/>
      <c r="Z1395" s="243"/>
      <c r="AA1395" s="243"/>
      <c r="AB1395" s="243"/>
      <c r="AC1395" s="243"/>
      <c r="AD1395" s="243"/>
      <c r="AE1395" s="243"/>
      <c r="AF1395" s="243"/>
      <c r="AG1395" s="243"/>
      <c r="AH1395" s="29"/>
      <c r="AI1395" s="29"/>
      <c r="AJ1395" s="29"/>
      <c r="AK1395" s="29"/>
      <c r="AL1395" s="29"/>
      <c r="AM1395" s="29"/>
      <c r="AN1395" s="578"/>
      <c r="AO1395" s="579"/>
      <c r="AP1395" s="579"/>
      <c r="AQ1395" s="580"/>
      <c r="AR1395" s="580"/>
      <c r="AS1395" s="580"/>
      <c r="AT1395" s="580"/>
      <c r="AU1395" s="580"/>
      <c r="AV1395" s="580"/>
      <c r="AW1395" s="580"/>
      <c r="AX1395" s="580"/>
      <c r="AY1395" s="580"/>
      <c r="AZ1395" s="580"/>
      <c r="BA1395" s="580"/>
      <c r="BB1395" s="580"/>
      <c r="BC1395" s="580"/>
      <c r="BD1395" s="580"/>
      <c r="BE1395" s="580"/>
      <c r="BF1395" s="156"/>
    </row>
    <row r="1396" customFormat="false" ht="14.1" hidden="true" customHeight="true" outlineLevel="1" collapsed="false">
      <c r="A1396" s="641" t="s">
        <v>894</v>
      </c>
      <c r="B1396" s="641"/>
      <c r="C1396" s="641"/>
      <c r="D1396" s="641"/>
      <c r="E1396" s="641"/>
      <c r="F1396" s="641"/>
      <c r="G1396" s="641"/>
      <c r="H1396" s="440"/>
      <c r="I1396" s="440"/>
      <c r="J1396" s="440"/>
      <c r="K1396" s="440"/>
      <c r="L1396" s="440"/>
      <c r="M1396" s="440"/>
      <c r="N1396" s="440"/>
      <c r="O1396" s="440"/>
      <c r="P1396" s="440"/>
      <c r="Q1396" s="440"/>
      <c r="R1396" s="440"/>
      <c r="S1396" s="440"/>
      <c r="T1396" s="440"/>
      <c r="U1396" s="440"/>
      <c r="V1396" s="440"/>
      <c r="W1396" s="440"/>
      <c r="X1396" s="440"/>
      <c r="Y1396" s="440"/>
      <c r="Z1396" s="440"/>
      <c r="AA1396" s="440"/>
      <c r="AB1396" s="440"/>
      <c r="AC1396" s="440"/>
      <c r="AD1396" s="440"/>
      <c r="AE1396" s="440"/>
      <c r="AF1396" s="440"/>
      <c r="AG1396" s="440"/>
      <c r="AH1396" s="584"/>
      <c r="AI1396" s="584"/>
      <c r="AJ1396" s="29"/>
      <c r="AK1396" s="29"/>
      <c r="AL1396" s="29"/>
      <c r="AM1396" s="29"/>
      <c r="AN1396" s="578"/>
      <c r="AO1396" s="579"/>
      <c r="AP1396" s="579"/>
      <c r="AQ1396" s="580"/>
      <c r="AR1396" s="580"/>
      <c r="AS1396" s="580"/>
      <c r="AT1396" s="580"/>
      <c r="AU1396" s="580"/>
      <c r="AV1396" s="580"/>
      <c r="AW1396" s="580"/>
      <c r="AX1396" s="580"/>
      <c r="AY1396" s="580"/>
      <c r="AZ1396" s="580"/>
      <c r="BA1396" s="580"/>
      <c r="BB1396" s="622"/>
      <c r="BC1396" s="622"/>
      <c r="BD1396" s="622"/>
      <c r="BE1396" s="622"/>
    </row>
    <row r="1397" customFormat="false" ht="14.1" hidden="true" customHeight="true" outlineLevel="1" collapsed="false">
      <c r="A1397" s="641"/>
      <c r="B1397" s="641"/>
      <c r="C1397" s="641"/>
      <c r="D1397" s="641"/>
      <c r="E1397" s="641"/>
      <c r="F1397" s="641"/>
      <c r="G1397" s="641"/>
      <c r="H1397" s="440"/>
      <c r="I1397" s="440"/>
      <c r="J1397" s="440"/>
      <c r="K1397" s="440"/>
      <c r="L1397" s="440"/>
      <c r="M1397" s="440"/>
      <c r="N1397" s="440"/>
      <c r="O1397" s="440"/>
      <c r="P1397" s="440"/>
      <c r="Q1397" s="440"/>
      <c r="R1397" s="440"/>
      <c r="S1397" s="440"/>
      <c r="T1397" s="440"/>
      <c r="U1397" s="440"/>
      <c r="V1397" s="440"/>
      <c r="W1397" s="440"/>
      <c r="X1397" s="440"/>
      <c r="Y1397" s="440"/>
      <c r="Z1397" s="440"/>
      <c r="AA1397" s="440"/>
      <c r="AB1397" s="440"/>
      <c r="AC1397" s="440"/>
      <c r="AD1397" s="440"/>
      <c r="AE1397" s="440"/>
      <c r="AF1397" s="440"/>
      <c r="AG1397" s="440"/>
      <c r="AH1397" s="584"/>
      <c r="AI1397" s="584"/>
      <c r="AJ1397" s="29"/>
      <c r="AK1397" s="29"/>
      <c r="AL1397" s="29"/>
      <c r="AM1397" s="29"/>
      <c r="AN1397" s="578"/>
      <c r="AO1397" s="579"/>
      <c r="AP1397" s="579"/>
      <c r="AQ1397" s="580"/>
      <c r="AR1397" s="580"/>
      <c r="AS1397" s="580"/>
      <c r="AT1397" s="580"/>
      <c r="AU1397" s="580"/>
      <c r="AV1397" s="580"/>
      <c r="AW1397" s="580"/>
      <c r="AX1397" s="580"/>
      <c r="AY1397" s="580"/>
      <c r="AZ1397" s="580"/>
      <c r="BA1397" s="580"/>
      <c r="BB1397" s="622"/>
      <c r="BC1397" s="622"/>
      <c r="BD1397" s="622"/>
      <c r="BE1397" s="622"/>
    </row>
    <row r="1398" customFormat="false" ht="14.1" hidden="true" customHeight="true" outlineLevel="1" collapsed="false">
      <c r="A1398" s="501"/>
      <c r="B1398" s="501"/>
      <c r="C1398" s="501"/>
      <c r="D1398" s="501"/>
      <c r="E1398" s="501"/>
      <c r="F1398" s="501"/>
      <c r="G1398" s="522"/>
      <c r="H1398" s="440"/>
      <c r="I1398" s="440"/>
      <c r="J1398" s="440"/>
      <c r="K1398" s="440"/>
      <c r="L1398" s="440"/>
      <c r="M1398" s="440"/>
      <c r="N1398" s="440"/>
      <c r="O1398" s="440"/>
      <c r="P1398" s="440"/>
      <c r="Q1398" s="440"/>
      <c r="R1398" s="440"/>
      <c r="S1398" s="440"/>
      <c r="T1398" s="440"/>
      <c r="U1398" s="440"/>
      <c r="V1398" s="440"/>
      <c r="W1398" s="440"/>
      <c r="X1398" s="440"/>
      <c r="Y1398" s="440"/>
      <c r="Z1398" s="440"/>
      <c r="AA1398" s="440"/>
      <c r="AB1398" s="440"/>
      <c r="AC1398" s="440"/>
      <c r="AD1398" s="440"/>
      <c r="AE1398" s="440"/>
      <c r="AF1398" s="440"/>
      <c r="AG1398" s="440"/>
      <c r="AH1398" s="584"/>
      <c r="AI1398" s="584"/>
      <c r="AJ1398" s="29"/>
      <c r="AK1398" s="29"/>
      <c r="AL1398" s="29"/>
      <c r="AM1398" s="29"/>
      <c r="AN1398" s="578"/>
      <c r="AO1398" s="579"/>
      <c r="AP1398" s="579"/>
      <c r="AQ1398" s="580"/>
      <c r="AR1398" s="580"/>
      <c r="AS1398" s="580"/>
      <c r="AT1398" s="580"/>
      <c r="AU1398" s="580"/>
      <c r="AV1398" s="580"/>
      <c r="AW1398" s="580"/>
      <c r="AX1398" s="580"/>
      <c r="AY1398" s="580"/>
      <c r="AZ1398" s="580"/>
      <c r="BA1398" s="580"/>
      <c r="BB1398" s="622"/>
      <c r="BC1398" s="622"/>
      <c r="BD1398" s="622"/>
      <c r="BE1398" s="622"/>
    </row>
    <row r="1399" customFormat="false" ht="14.1" hidden="true" customHeight="true" outlineLevel="1" collapsed="false">
      <c r="A1399" s="292" t="s">
        <v>161</v>
      </c>
      <c r="B1399" s="180" t="s">
        <v>12</v>
      </c>
      <c r="C1399" s="292" t="s">
        <v>13</v>
      </c>
      <c r="D1399" s="501"/>
      <c r="E1399" s="501"/>
      <c r="F1399" s="501"/>
      <c r="G1399" s="522"/>
      <c r="H1399" s="440"/>
      <c r="I1399" s="440"/>
      <c r="J1399" s="440"/>
      <c r="K1399" s="440"/>
      <c r="L1399" s="440"/>
      <c r="M1399" s="440"/>
      <c r="N1399" s="440"/>
      <c r="O1399" s="440"/>
      <c r="P1399" s="440"/>
      <c r="Q1399" s="440"/>
      <c r="R1399" s="440"/>
      <c r="S1399" s="440"/>
      <c r="T1399" s="440"/>
      <c r="U1399" s="440"/>
      <c r="V1399" s="440"/>
      <c r="W1399" s="440"/>
      <c r="X1399" s="440"/>
      <c r="Y1399" s="440"/>
      <c r="Z1399" s="440"/>
      <c r="AA1399" s="440"/>
      <c r="AB1399" s="440"/>
      <c r="AC1399" s="440"/>
      <c r="AD1399" s="440"/>
      <c r="AE1399" s="440"/>
      <c r="AF1399" s="440"/>
      <c r="AG1399" s="440"/>
      <c r="AH1399" s="584"/>
      <c r="AI1399" s="584"/>
      <c r="AJ1399" s="29"/>
      <c r="AK1399" s="29"/>
      <c r="AL1399" s="29"/>
      <c r="AM1399" s="29"/>
      <c r="AN1399" s="578"/>
      <c r="AO1399" s="579"/>
      <c r="AP1399" s="579"/>
      <c r="AQ1399" s="580"/>
      <c r="AR1399" s="580"/>
      <c r="AS1399" s="580"/>
      <c r="AT1399" s="580"/>
      <c r="AU1399" s="580"/>
      <c r="AV1399" s="580"/>
      <c r="AW1399" s="580"/>
      <c r="AX1399" s="580"/>
      <c r="AY1399" s="580"/>
      <c r="AZ1399" s="580"/>
      <c r="BA1399" s="580"/>
      <c r="BB1399" s="622"/>
      <c r="BC1399" s="622"/>
      <c r="BD1399" s="622"/>
      <c r="BE1399" s="622"/>
    </row>
    <row r="1400" customFormat="false" ht="14.1" hidden="true" customHeight="true" outlineLevel="1" collapsed="false">
      <c r="A1400" s="163" t="s">
        <v>566</v>
      </c>
      <c r="B1400" s="119" t="s">
        <v>502</v>
      </c>
      <c r="C1400" s="370" t="n">
        <v>5</v>
      </c>
      <c r="D1400" s="275"/>
      <c r="E1400" s="275"/>
      <c r="F1400" s="275"/>
      <c r="G1400" s="26"/>
      <c r="H1400" s="243"/>
      <c r="I1400" s="645"/>
      <c r="J1400" s="243"/>
      <c r="K1400" s="243"/>
      <c r="L1400" s="243"/>
      <c r="M1400" s="243"/>
      <c r="N1400" s="243"/>
      <c r="O1400" s="243"/>
      <c r="P1400" s="243"/>
      <c r="Q1400" s="243"/>
      <c r="R1400" s="243"/>
      <c r="S1400" s="243"/>
      <c r="T1400" s="243"/>
      <c r="U1400" s="243"/>
      <c r="V1400" s="243"/>
      <c r="W1400" s="243"/>
      <c r="X1400" s="243"/>
      <c r="Y1400" s="243"/>
      <c r="Z1400" s="243"/>
      <c r="AA1400" s="243"/>
      <c r="AB1400" s="243"/>
      <c r="AC1400" s="243"/>
      <c r="AD1400" s="243"/>
      <c r="AE1400" s="243"/>
      <c r="AF1400" s="243"/>
      <c r="AG1400" s="243"/>
      <c r="AH1400" s="29"/>
      <c r="AI1400" s="29"/>
      <c r="AJ1400" s="29"/>
      <c r="AK1400" s="29"/>
      <c r="AL1400" s="29"/>
      <c r="AM1400" s="29"/>
      <c r="AN1400" s="578"/>
      <c r="AO1400" s="579"/>
      <c r="AP1400" s="579"/>
      <c r="AQ1400" s="580"/>
      <c r="AR1400" s="580"/>
      <c r="AS1400" s="580"/>
      <c r="AT1400" s="580"/>
      <c r="AU1400" s="580"/>
      <c r="AV1400" s="580"/>
      <c r="AW1400" s="580"/>
      <c r="AX1400" s="580"/>
      <c r="AY1400" s="580"/>
      <c r="AZ1400" s="580"/>
      <c r="BA1400" s="580"/>
      <c r="BB1400" s="622"/>
      <c r="BC1400" s="622"/>
      <c r="BD1400" s="622"/>
      <c r="BE1400" s="622"/>
    </row>
    <row r="1401" customFormat="false" ht="14.1" hidden="true" customHeight="true" outlineLevel="1" collapsed="false">
      <c r="A1401" s="163" t="s">
        <v>895</v>
      </c>
      <c r="B1401" s="119" t="s">
        <v>48</v>
      </c>
      <c r="C1401" s="428" t="s">
        <v>44</v>
      </c>
      <c r="D1401" s="275"/>
      <c r="E1401" s="275"/>
      <c r="F1401" s="275"/>
      <c r="G1401" s="26"/>
      <c r="H1401" s="243"/>
      <c r="I1401" s="243"/>
      <c r="J1401" s="243"/>
      <c r="K1401" s="243"/>
      <c r="L1401" s="243"/>
      <c r="M1401" s="243"/>
      <c r="N1401" s="243"/>
      <c r="O1401" s="243"/>
      <c r="P1401" s="243"/>
      <c r="Q1401" s="243"/>
      <c r="R1401" s="243"/>
      <c r="S1401" s="243"/>
      <c r="T1401" s="243"/>
      <c r="U1401" s="243"/>
      <c r="V1401" s="243"/>
      <c r="W1401" s="243"/>
      <c r="X1401" s="243"/>
      <c r="Y1401" s="243"/>
      <c r="Z1401" s="243"/>
      <c r="AA1401" s="243"/>
      <c r="AB1401" s="243"/>
      <c r="AC1401" s="243"/>
      <c r="AD1401" s="243"/>
      <c r="AE1401" s="243"/>
      <c r="AF1401" s="243"/>
      <c r="AG1401" s="243"/>
      <c r="AH1401" s="29"/>
      <c r="AI1401" s="29"/>
      <c r="AJ1401" s="29"/>
      <c r="AK1401" s="29"/>
      <c r="AL1401" s="29"/>
      <c r="AM1401" s="29"/>
      <c r="AN1401" s="578"/>
      <c r="AO1401" s="579"/>
      <c r="AP1401" s="579"/>
      <c r="AQ1401" s="580"/>
      <c r="AR1401" s="580"/>
      <c r="AS1401" s="580"/>
      <c r="AT1401" s="580"/>
      <c r="AU1401" s="580"/>
      <c r="AV1401" s="580"/>
      <c r="AW1401" s="580"/>
      <c r="AX1401" s="580"/>
      <c r="AY1401" s="580"/>
      <c r="AZ1401" s="580"/>
      <c r="BA1401" s="580"/>
      <c r="BB1401" s="622"/>
      <c r="BC1401" s="622"/>
      <c r="BD1401" s="622"/>
      <c r="BE1401" s="622"/>
    </row>
    <row r="1402" customFormat="false" ht="14.1" hidden="true" customHeight="true" outlineLevel="1" collapsed="false">
      <c r="A1402" s="163" t="s">
        <v>896</v>
      </c>
      <c r="B1402" s="119" t="s">
        <v>48</v>
      </c>
      <c r="C1402" s="428" t="s">
        <v>44</v>
      </c>
      <c r="D1402" s="275"/>
      <c r="E1402" s="275"/>
      <c r="F1402" s="275"/>
      <c r="G1402" s="26"/>
      <c r="H1402" s="243"/>
      <c r="I1402" s="243"/>
      <c r="J1402" s="243"/>
      <c r="K1402" s="243"/>
      <c r="L1402" s="243"/>
      <c r="M1402" s="243"/>
      <c r="N1402" s="243"/>
      <c r="O1402" s="243"/>
      <c r="P1402" s="243"/>
      <c r="Q1402" s="243"/>
      <c r="R1402" s="243"/>
      <c r="S1402" s="243"/>
      <c r="T1402" s="243"/>
      <c r="U1402" s="243"/>
      <c r="V1402" s="243"/>
      <c r="W1402" s="243"/>
      <c r="X1402" s="243"/>
      <c r="Y1402" s="243"/>
      <c r="Z1402" s="243"/>
      <c r="AA1402" s="243"/>
      <c r="AB1402" s="243"/>
      <c r="AC1402" s="243"/>
      <c r="AD1402" s="243"/>
      <c r="AE1402" s="243"/>
      <c r="AF1402" s="243"/>
      <c r="AG1402" s="243"/>
      <c r="AH1402" s="29"/>
      <c r="AI1402" s="29"/>
      <c r="AJ1402" s="29"/>
      <c r="AK1402" s="29"/>
      <c r="AL1402" s="29"/>
      <c r="AM1402" s="29"/>
      <c r="AN1402" s="578"/>
      <c r="AO1402" s="579"/>
      <c r="AP1402" s="579"/>
      <c r="AQ1402" s="580"/>
      <c r="AR1402" s="580"/>
      <c r="AS1402" s="580"/>
      <c r="AT1402" s="580"/>
      <c r="AU1402" s="580"/>
      <c r="AV1402" s="580"/>
      <c r="AW1402" s="580"/>
      <c r="AX1402" s="580"/>
      <c r="AY1402" s="580"/>
      <c r="AZ1402" s="580"/>
      <c r="BA1402" s="580"/>
      <c r="BB1402" s="622"/>
      <c r="BC1402" s="622"/>
      <c r="BD1402" s="622"/>
      <c r="BE1402" s="622"/>
    </row>
    <row r="1403" customFormat="false" ht="14.1" hidden="true" customHeight="true" outlineLevel="1" collapsed="false">
      <c r="A1403" s="163" t="s">
        <v>897</v>
      </c>
      <c r="B1403" s="119" t="s">
        <v>15</v>
      </c>
      <c r="C1403" s="370" t="n">
        <v>42</v>
      </c>
      <c r="D1403" s="275"/>
      <c r="E1403" s="275"/>
      <c r="F1403" s="275"/>
      <c r="G1403" s="26"/>
      <c r="H1403" s="243"/>
      <c r="I1403" s="243"/>
      <c r="J1403" s="243"/>
      <c r="K1403" s="243"/>
      <c r="L1403" s="243"/>
      <c r="M1403" s="243"/>
      <c r="N1403" s="243"/>
      <c r="O1403" s="243"/>
      <c r="P1403" s="243"/>
      <c r="Q1403" s="243"/>
      <c r="R1403" s="243"/>
      <c r="S1403" s="243"/>
      <c r="T1403" s="243"/>
      <c r="U1403" s="243"/>
      <c r="V1403" s="243"/>
      <c r="W1403" s="243"/>
      <c r="X1403" s="243"/>
      <c r="Y1403" s="243"/>
      <c r="Z1403" s="243"/>
      <c r="AA1403" s="243"/>
      <c r="AB1403" s="243"/>
      <c r="AC1403" s="243"/>
      <c r="AD1403" s="243"/>
      <c r="AE1403" s="243"/>
      <c r="AF1403" s="243"/>
      <c r="AG1403" s="243"/>
      <c r="AH1403" s="29"/>
      <c r="AI1403" s="29"/>
      <c r="AJ1403" s="29"/>
      <c r="AK1403" s="29"/>
      <c r="AL1403" s="29"/>
      <c r="AM1403" s="29"/>
      <c r="AN1403" s="578"/>
      <c r="AO1403" s="579"/>
      <c r="AP1403" s="579"/>
      <c r="AQ1403" s="580"/>
      <c r="AR1403" s="580"/>
      <c r="AS1403" s="580"/>
      <c r="AT1403" s="580"/>
      <c r="AU1403" s="580"/>
      <c r="AV1403" s="580"/>
      <c r="AW1403" s="580"/>
      <c r="AX1403" s="580"/>
      <c r="AY1403" s="580"/>
      <c r="AZ1403" s="580"/>
      <c r="BA1403" s="580"/>
      <c r="BB1403" s="622"/>
      <c r="BC1403" s="622"/>
      <c r="BD1403" s="622"/>
      <c r="BE1403" s="622"/>
    </row>
    <row r="1404" customFormat="false" ht="14.1" hidden="true" customHeight="true" outlineLevel="1" collapsed="false">
      <c r="A1404" s="138" t="s">
        <v>749</v>
      </c>
      <c r="B1404" s="235"/>
      <c r="C1404" s="138"/>
      <c r="D1404" s="275"/>
      <c r="E1404" s="275"/>
      <c r="F1404" s="275"/>
      <c r="G1404" s="26"/>
      <c r="H1404" s="243"/>
      <c r="I1404" s="257"/>
      <c r="J1404" s="257"/>
      <c r="K1404" s="257"/>
      <c r="L1404" s="257"/>
      <c r="M1404" s="257"/>
      <c r="N1404" s="257"/>
      <c r="O1404" s="257"/>
      <c r="P1404" s="257"/>
      <c r="Q1404" s="257"/>
      <c r="R1404" s="257"/>
      <c r="S1404" s="243"/>
      <c r="T1404" s="243"/>
      <c r="U1404" s="243"/>
      <c r="V1404" s="243"/>
      <c r="W1404" s="243"/>
      <c r="X1404" s="243"/>
      <c r="Y1404" s="243"/>
      <c r="Z1404" s="243"/>
      <c r="AA1404" s="243"/>
      <c r="AB1404" s="243"/>
      <c r="AC1404" s="243"/>
      <c r="AD1404" s="243"/>
      <c r="AE1404" s="243"/>
      <c r="AF1404" s="243"/>
      <c r="AG1404" s="243"/>
      <c r="AH1404" s="29"/>
      <c r="AI1404" s="29"/>
      <c r="AJ1404" s="29"/>
      <c r="AK1404" s="29"/>
      <c r="AL1404" s="29"/>
      <c r="AM1404" s="29"/>
      <c r="AN1404" s="578"/>
      <c r="AO1404" s="579"/>
      <c r="AP1404" s="579"/>
      <c r="AQ1404" s="580"/>
      <c r="AR1404" s="580"/>
      <c r="AS1404" s="580"/>
      <c r="AT1404" s="580"/>
      <c r="AU1404" s="580"/>
      <c r="AV1404" s="580"/>
      <c r="AW1404" s="580"/>
      <c r="AX1404" s="580"/>
      <c r="AY1404" s="580"/>
      <c r="AZ1404" s="580"/>
      <c r="BA1404" s="580"/>
      <c r="BB1404" s="622"/>
      <c r="BC1404" s="622"/>
      <c r="BD1404" s="622"/>
      <c r="BE1404" s="622"/>
    </row>
    <row r="1405" customFormat="false" ht="14.1" hidden="true" customHeight="true" outlineLevel="1" collapsed="false">
      <c r="A1405" s="149" t="s">
        <v>226</v>
      </c>
      <c r="B1405" s="616" t="s">
        <v>502</v>
      </c>
      <c r="C1405" s="163" t="n">
        <v>4</v>
      </c>
      <c r="D1405" s="275"/>
      <c r="E1405" s="275"/>
      <c r="F1405" s="275"/>
      <c r="G1405" s="26"/>
      <c r="H1405" s="243"/>
      <c r="I1405" s="257"/>
      <c r="J1405" s="257"/>
      <c r="K1405" s="257"/>
      <c r="L1405" s="257"/>
      <c r="M1405" s="257"/>
      <c r="N1405" s="257"/>
      <c r="O1405" s="257"/>
      <c r="P1405" s="257"/>
      <c r="Q1405" s="257"/>
      <c r="R1405" s="257"/>
      <c r="S1405" s="243"/>
      <c r="T1405" s="243"/>
      <c r="U1405" s="243"/>
      <c r="V1405" s="243"/>
      <c r="W1405" s="243"/>
      <c r="X1405" s="243"/>
      <c r="Y1405" s="243"/>
      <c r="Z1405" s="243"/>
      <c r="AA1405" s="243"/>
      <c r="AB1405" s="243"/>
      <c r="AC1405" s="243"/>
      <c r="AD1405" s="243"/>
      <c r="AE1405" s="243"/>
      <c r="AF1405" s="243"/>
      <c r="AG1405" s="243"/>
      <c r="AH1405" s="29"/>
      <c r="AI1405" s="29"/>
      <c r="AJ1405" s="29"/>
      <c r="AK1405" s="29"/>
      <c r="AL1405" s="29"/>
      <c r="AM1405" s="29"/>
      <c r="AN1405" s="578"/>
      <c r="AO1405" s="579"/>
      <c r="AP1405" s="579"/>
      <c r="AQ1405" s="580"/>
      <c r="AR1405" s="580"/>
      <c r="AS1405" s="580"/>
      <c r="AT1405" s="580"/>
      <c r="AU1405" s="580"/>
      <c r="AV1405" s="580"/>
      <c r="AW1405" s="580"/>
      <c r="AX1405" s="580"/>
      <c r="AY1405" s="580"/>
      <c r="AZ1405" s="580"/>
      <c r="BA1405" s="580"/>
      <c r="BB1405" s="622"/>
      <c r="BC1405" s="622"/>
      <c r="BD1405" s="622"/>
      <c r="BE1405" s="622"/>
    </row>
    <row r="1406" customFormat="false" ht="14.1" hidden="true" customHeight="true" outlineLevel="1" collapsed="false">
      <c r="A1406" s="147" t="s">
        <v>226</v>
      </c>
      <c r="B1406" s="616" t="s">
        <v>502</v>
      </c>
      <c r="C1406" s="348" t="n">
        <v>0</v>
      </c>
      <c r="D1406" s="275"/>
      <c r="E1406" s="275"/>
      <c r="F1406" s="275"/>
      <c r="G1406" s="26"/>
      <c r="H1406" s="243"/>
      <c r="I1406" s="257"/>
      <c r="J1406" s="257"/>
      <c r="K1406" s="257"/>
      <c r="L1406" s="257"/>
      <c r="M1406" s="257"/>
      <c r="N1406" s="257"/>
      <c r="O1406" s="257"/>
      <c r="P1406" s="257"/>
      <c r="Q1406" s="257"/>
      <c r="R1406" s="257"/>
      <c r="S1406" s="243"/>
      <c r="T1406" s="243"/>
      <c r="U1406" s="243"/>
      <c r="V1406" s="243"/>
      <c r="W1406" s="243"/>
      <c r="X1406" s="243"/>
      <c r="Y1406" s="243"/>
      <c r="Z1406" s="243"/>
      <c r="AA1406" s="243"/>
      <c r="AB1406" s="243"/>
      <c r="AC1406" s="243"/>
      <c r="AD1406" s="243"/>
      <c r="AE1406" s="243"/>
      <c r="AF1406" s="243"/>
      <c r="AG1406" s="243"/>
      <c r="AH1406" s="29"/>
      <c r="AI1406" s="29"/>
      <c r="AJ1406" s="29"/>
      <c r="AK1406" s="29"/>
      <c r="AL1406" s="29"/>
      <c r="AM1406" s="29"/>
      <c r="AN1406" s="578"/>
      <c r="AO1406" s="579"/>
      <c r="AP1406" s="579"/>
      <c r="AQ1406" s="580"/>
      <c r="AR1406" s="580"/>
      <c r="AS1406" s="580"/>
      <c r="AT1406" s="580"/>
      <c r="AU1406" s="580"/>
      <c r="AV1406" s="580"/>
      <c r="AW1406" s="580"/>
      <c r="AX1406" s="580"/>
      <c r="AY1406" s="580"/>
      <c r="AZ1406" s="580"/>
      <c r="BA1406" s="580"/>
      <c r="BB1406" s="622"/>
      <c r="BC1406" s="622"/>
      <c r="BD1406" s="622"/>
      <c r="BE1406" s="622"/>
    </row>
    <row r="1407" customFormat="false" ht="14.1" hidden="true" customHeight="true" outlineLevel="1" collapsed="false">
      <c r="A1407" s="249" t="s">
        <v>898</v>
      </c>
      <c r="B1407" s="248" t="s">
        <v>113</v>
      </c>
      <c r="C1407" s="642" t="n">
        <v>5000</v>
      </c>
      <c r="D1407" s="275"/>
      <c r="E1407" s="275"/>
      <c r="F1407" s="275"/>
      <c r="G1407" s="26"/>
      <c r="H1407" s="243"/>
      <c r="I1407" s="257"/>
      <c r="J1407" s="257"/>
      <c r="K1407" s="257"/>
      <c r="L1407" s="257"/>
      <c r="M1407" s="257"/>
      <c r="N1407" s="257"/>
      <c r="O1407" s="257"/>
      <c r="P1407" s="257"/>
      <c r="Q1407" s="243"/>
      <c r="R1407" s="243"/>
      <c r="S1407" s="243"/>
      <c r="T1407" s="243"/>
      <c r="U1407" s="243"/>
      <c r="V1407" s="243"/>
      <c r="W1407" s="243"/>
      <c r="X1407" s="243"/>
      <c r="Y1407" s="243"/>
      <c r="Z1407" s="243"/>
      <c r="AA1407" s="243"/>
      <c r="AB1407" s="243"/>
      <c r="AC1407" s="243"/>
      <c r="AD1407" s="243"/>
      <c r="AE1407" s="243"/>
      <c r="AF1407" s="243"/>
      <c r="AG1407" s="243"/>
      <c r="AH1407" s="29"/>
      <c r="AI1407" s="29"/>
      <c r="AJ1407" s="29"/>
      <c r="AK1407" s="29"/>
      <c r="AL1407" s="29"/>
      <c r="AM1407" s="29"/>
      <c r="AN1407" s="578"/>
      <c r="AO1407" s="579"/>
      <c r="AP1407" s="579"/>
      <c r="AQ1407" s="580"/>
      <c r="AR1407" s="580"/>
      <c r="AS1407" s="580"/>
      <c r="AT1407" s="580"/>
      <c r="AU1407" s="580"/>
      <c r="AV1407" s="580"/>
      <c r="AW1407" s="580"/>
      <c r="AX1407" s="580"/>
      <c r="AY1407" s="580"/>
      <c r="AZ1407" s="580"/>
      <c r="BA1407" s="580"/>
      <c r="BB1407" s="622"/>
      <c r="BC1407" s="622"/>
      <c r="BD1407" s="622"/>
      <c r="BE1407" s="622"/>
    </row>
    <row r="1408" customFormat="false" ht="14.1" hidden="true" customHeight="true" outlineLevel="1" collapsed="false">
      <c r="A1408" s="275"/>
      <c r="B1408" s="277"/>
      <c r="C1408" s="275"/>
      <c r="D1408" s="275"/>
      <c r="E1408" s="275"/>
      <c r="F1408" s="275"/>
      <c r="G1408" s="26"/>
      <c r="H1408" s="243"/>
      <c r="I1408" s="257"/>
      <c r="J1408" s="257"/>
      <c r="K1408" s="257"/>
      <c r="L1408" s="257"/>
      <c r="M1408" s="257"/>
      <c r="N1408" s="257"/>
      <c r="O1408" s="257"/>
      <c r="P1408" s="257"/>
      <c r="Q1408" s="243"/>
      <c r="R1408" s="243"/>
      <c r="S1408" s="243"/>
      <c r="T1408" s="243"/>
      <c r="U1408" s="243"/>
      <c r="V1408" s="243"/>
      <c r="W1408" s="243"/>
      <c r="X1408" s="243"/>
      <c r="Y1408" s="243"/>
      <c r="Z1408" s="243"/>
      <c r="AA1408" s="243"/>
      <c r="AB1408" s="243"/>
      <c r="AC1408" s="243"/>
      <c r="AD1408" s="243"/>
      <c r="AE1408" s="243"/>
      <c r="AF1408" s="243"/>
      <c r="AG1408" s="243"/>
      <c r="AH1408" s="29"/>
      <c r="AI1408" s="29"/>
      <c r="AJ1408" s="29"/>
      <c r="AK1408" s="29"/>
      <c r="AL1408" s="29"/>
      <c r="AM1408" s="29"/>
      <c r="AN1408" s="578"/>
      <c r="AO1408" s="579"/>
      <c r="AP1408" s="579"/>
      <c r="AQ1408" s="580"/>
      <c r="AR1408" s="580"/>
      <c r="AS1408" s="580"/>
      <c r="AT1408" s="580"/>
      <c r="AU1408" s="580"/>
      <c r="AV1408" s="580"/>
      <c r="AW1408" s="580"/>
      <c r="AX1408" s="580"/>
      <c r="AY1408" s="580"/>
      <c r="AZ1408" s="580"/>
      <c r="BA1408" s="580"/>
      <c r="BB1408" s="622"/>
      <c r="BC1408" s="622"/>
      <c r="BD1408" s="622"/>
      <c r="BE1408" s="622"/>
    </row>
    <row r="1409" customFormat="false" ht="14.1" hidden="false" customHeight="true" outlineLevel="0" collapsed="false">
      <c r="A1409" s="643" t="s">
        <v>899</v>
      </c>
      <c r="B1409" s="643"/>
      <c r="C1409" s="643"/>
      <c r="D1409" s="643"/>
      <c r="E1409" s="643"/>
      <c r="F1409" s="428" t="s">
        <v>56</v>
      </c>
      <c r="G1409" s="26"/>
      <c r="H1409" s="437"/>
      <c r="I1409" s="437"/>
      <c r="J1409" s="437"/>
      <c r="K1409" s="437"/>
      <c r="L1409" s="437"/>
      <c r="M1409" s="257"/>
      <c r="N1409" s="257"/>
      <c r="O1409" s="257"/>
      <c r="P1409" s="243"/>
      <c r="Q1409" s="165"/>
      <c r="R1409" s="243"/>
      <c r="S1409" s="243"/>
      <c r="T1409" s="243"/>
      <c r="U1409" s="243"/>
      <c r="V1409" s="243"/>
      <c r="W1409" s="243"/>
      <c r="X1409" s="243"/>
      <c r="Y1409" s="243"/>
      <c r="Z1409" s="243"/>
      <c r="AA1409" s="243"/>
      <c r="AB1409" s="243"/>
      <c r="AC1409" s="243"/>
      <c r="AD1409" s="243"/>
      <c r="AE1409" s="243"/>
      <c r="AF1409" s="243"/>
      <c r="AG1409" s="243"/>
      <c r="AH1409" s="29"/>
      <c r="AI1409" s="29"/>
      <c r="AJ1409" s="29"/>
      <c r="AK1409" s="29"/>
      <c r="AL1409" s="29"/>
      <c r="AM1409" s="29"/>
      <c r="AN1409" s="578"/>
      <c r="AO1409" s="579"/>
      <c r="AP1409" s="579"/>
      <c r="AQ1409" s="580"/>
      <c r="AR1409" s="580"/>
      <c r="AS1409" s="580"/>
      <c r="AT1409" s="580"/>
      <c r="AU1409" s="580"/>
      <c r="AV1409" s="127" t="n">
        <f aca="false">M1409</f>
        <v>0</v>
      </c>
      <c r="AW1409" s="580"/>
      <c r="AX1409" s="580"/>
      <c r="AY1409" s="580"/>
      <c r="AZ1409" s="580"/>
      <c r="BA1409" s="580"/>
      <c r="BB1409" s="622"/>
      <c r="BC1409" s="622"/>
      <c r="BD1409" s="622"/>
      <c r="BE1409" s="622"/>
    </row>
    <row r="1410" s="35" customFormat="true" ht="14.1" hidden="false" customHeight="true" outlineLevel="0" collapsed="false">
      <c r="A1410" s="243"/>
      <c r="B1410" s="241"/>
      <c r="C1410" s="243"/>
      <c r="D1410" s="243"/>
      <c r="E1410" s="243"/>
      <c r="F1410" s="243"/>
      <c r="G1410" s="243"/>
      <c r="H1410" s="243"/>
      <c r="I1410" s="243"/>
      <c r="J1410" s="243"/>
      <c r="K1410" s="243"/>
      <c r="L1410" s="243"/>
      <c r="M1410" s="257"/>
      <c r="N1410" s="257"/>
      <c r="O1410" s="257"/>
      <c r="P1410" s="243"/>
      <c r="Q1410" s="243"/>
      <c r="R1410" s="243"/>
      <c r="S1410" s="243"/>
      <c r="T1410" s="243"/>
      <c r="U1410" s="243"/>
      <c r="V1410" s="243"/>
      <c r="W1410" s="243"/>
      <c r="X1410" s="243"/>
      <c r="Y1410" s="243"/>
      <c r="Z1410" s="243"/>
      <c r="AA1410" s="243"/>
      <c r="AB1410" s="243"/>
      <c r="AC1410" s="243"/>
      <c r="AD1410" s="243"/>
      <c r="AE1410" s="243"/>
      <c r="AF1410" s="243"/>
      <c r="AG1410" s="243"/>
      <c r="AH1410" s="29"/>
      <c r="AI1410" s="29"/>
      <c r="AJ1410" s="29"/>
      <c r="AK1410" s="29"/>
      <c r="AL1410" s="29"/>
      <c r="AM1410" s="29"/>
      <c r="AN1410" s="578"/>
      <c r="AO1410" s="579"/>
      <c r="AP1410" s="579"/>
      <c r="AQ1410" s="580"/>
      <c r="AR1410" s="580"/>
      <c r="AS1410" s="580"/>
      <c r="AT1410" s="580"/>
      <c r="AU1410" s="580"/>
      <c r="AV1410" s="580"/>
      <c r="AW1410" s="580"/>
      <c r="AX1410" s="580"/>
      <c r="AY1410" s="580"/>
      <c r="AZ1410" s="580"/>
      <c r="BA1410" s="580"/>
      <c r="BB1410" s="580"/>
      <c r="BC1410" s="580"/>
      <c r="BD1410" s="580"/>
      <c r="BE1410" s="580"/>
      <c r="BF1410" s="156"/>
    </row>
    <row r="1411" customFormat="false" ht="14.1" hidden="true" customHeight="true" outlineLevel="1" collapsed="false">
      <c r="A1411" s="641" t="s">
        <v>900</v>
      </c>
      <c r="B1411" s="641"/>
      <c r="C1411" s="641"/>
      <c r="D1411" s="641"/>
      <c r="E1411" s="641"/>
      <c r="F1411" s="641"/>
      <c r="G1411" s="641"/>
      <c r="H1411" s="440"/>
      <c r="I1411" s="440"/>
      <c r="J1411" s="440"/>
      <c r="K1411" s="440"/>
      <c r="L1411" s="440"/>
      <c r="M1411" s="440"/>
      <c r="N1411" s="440"/>
      <c r="O1411" s="440"/>
      <c r="P1411" s="440"/>
      <c r="Q1411" s="440"/>
      <c r="R1411" s="440"/>
      <c r="S1411" s="440"/>
      <c r="T1411" s="440"/>
      <c r="U1411" s="440"/>
      <c r="V1411" s="440"/>
      <c r="W1411" s="440"/>
      <c r="X1411" s="440"/>
      <c r="Y1411" s="440"/>
      <c r="Z1411" s="440"/>
      <c r="AA1411" s="440"/>
      <c r="AB1411" s="440"/>
      <c r="AC1411" s="440"/>
      <c r="AD1411" s="440"/>
      <c r="AE1411" s="440"/>
      <c r="AF1411" s="440"/>
      <c r="AG1411" s="440"/>
      <c r="AH1411" s="584"/>
      <c r="AI1411" s="584"/>
      <c r="AJ1411" s="29"/>
      <c r="AK1411" s="29"/>
      <c r="AL1411" s="29"/>
      <c r="AM1411" s="29"/>
      <c r="AN1411" s="578"/>
      <c r="AO1411" s="579"/>
      <c r="AP1411" s="579"/>
      <c r="AQ1411" s="580"/>
      <c r="AR1411" s="580"/>
      <c r="AS1411" s="580"/>
      <c r="AT1411" s="580"/>
      <c r="AU1411" s="580"/>
      <c r="AV1411" s="580"/>
      <c r="AW1411" s="580"/>
      <c r="AX1411" s="580"/>
      <c r="AY1411" s="580"/>
      <c r="AZ1411" s="580"/>
      <c r="BA1411" s="580"/>
      <c r="BB1411" s="622"/>
      <c r="BC1411" s="622"/>
      <c r="BD1411" s="622"/>
      <c r="BE1411" s="622"/>
    </row>
    <row r="1412" customFormat="false" ht="14.1" hidden="true" customHeight="true" outlineLevel="1" collapsed="false">
      <c r="A1412" s="641"/>
      <c r="B1412" s="641"/>
      <c r="C1412" s="641"/>
      <c r="D1412" s="641"/>
      <c r="E1412" s="641"/>
      <c r="F1412" s="641"/>
      <c r="G1412" s="641"/>
      <c r="H1412" s="440"/>
      <c r="I1412" s="440"/>
      <c r="J1412" s="440"/>
      <c r="K1412" s="440"/>
      <c r="L1412" s="440"/>
      <c r="M1412" s="440"/>
      <c r="N1412" s="440"/>
      <c r="O1412" s="440"/>
      <c r="P1412" s="440"/>
      <c r="Q1412" s="440"/>
      <c r="R1412" s="440"/>
      <c r="S1412" s="440"/>
      <c r="T1412" s="440"/>
      <c r="U1412" s="440"/>
      <c r="V1412" s="440"/>
      <c r="W1412" s="440"/>
      <c r="X1412" s="440"/>
      <c r="Y1412" s="440"/>
      <c r="Z1412" s="440"/>
      <c r="AA1412" s="440"/>
      <c r="AB1412" s="440"/>
      <c r="AC1412" s="440"/>
      <c r="AD1412" s="440"/>
      <c r="AE1412" s="440"/>
      <c r="AF1412" s="440"/>
      <c r="AG1412" s="440"/>
      <c r="AH1412" s="584"/>
      <c r="AI1412" s="584"/>
      <c r="AJ1412" s="29"/>
      <c r="AK1412" s="29"/>
      <c r="AL1412" s="29"/>
      <c r="AM1412" s="29"/>
      <c r="AN1412" s="578"/>
      <c r="AO1412" s="579"/>
      <c r="AP1412" s="579"/>
      <c r="AQ1412" s="580"/>
      <c r="AR1412" s="580"/>
      <c r="AS1412" s="580"/>
      <c r="AT1412" s="580"/>
      <c r="AU1412" s="580"/>
      <c r="AV1412" s="580"/>
      <c r="AW1412" s="580"/>
      <c r="AX1412" s="580"/>
      <c r="AY1412" s="580"/>
      <c r="AZ1412" s="580"/>
      <c r="BA1412" s="580"/>
      <c r="BB1412" s="622"/>
      <c r="BC1412" s="622"/>
      <c r="BD1412" s="622"/>
      <c r="BE1412" s="622"/>
    </row>
    <row r="1413" customFormat="false" ht="14.1" hidden="true" customHeight="true" outlineLevel="1" collapsed="false">
      <c r="A1413" s="502"/>
      <c r="B1413" s="501"/>
      <c r="C1413" s="502"/>
      <c r="D1413" s="502"/>
      <c r="E1413" s="502"/>
      <c r="F1413" s="502"/>
      <c r="G1413" s="440"/>
      <c r="H1413" s="440"/>
      <c r="I1413" s="440"/>
      <c r="J1413" s="440"/>
      <c r="K1413" s="440"/>
      <c r="L1413" s="440"/>
      <c r="M1413" s="440"/>
      <c r="N1413" s="440"/>
      <c r="O1413" s="440"/>
      <c r="P1413" s="440"/>
      <c r="Q1413" s="440"/>
      <c r="R1413" s="440"/>
      <c r="S1413" s="440"/>
      <c r="T1413" s="440"/>
      <c r="U1413" s="440"/>
      <c r="V1413" s="440"/>
      <c r="W1413" s="440"/>
      <c r="X1413" s="440"/>
      <c r="Y1413" s="440"/>
      <c r="Z1413" s="440"/>
      <c r="AA1413" s="440"/>
      <c r="AB1413" s="440"/>
      <c r="AC1413" s="440"/>
      <c r="AD1413" s="440"/>
      <c r="AE1413" s="440"/>
      <c r="AF1413" s="440"/>
      <c r="AG1413" s="440"/>
      <c r="AH1413" s="584"/>
      <c r="AI1413" s="584"/>
      <c r="AJ1413" s="29"/>
      <c r="AK1413" s="29"/>
      <c r="AL1413" s="29"/>
      <c r="AM1413" s="29"/>
      <c r="AN1413" s="578"/>
      <c r="AO1413" s="579"/>
      <c r="AP1413" s="579"/>
      <c r="AQ1413" s="580"/>
      <c r="AR1413" s="580"/>
      <c r="AS1413" s="580"/>
      <c r="AT1413" s="580"/>
      <c r="AU1413" s="580"/>
      <c r="AV1413" s="580"/>
      <c r="AW1413" s="580"/>
      <c r="AX1413" s="580"/>
      <c r="AY1413" s="580"/>
      <c r="AZ1413" s="580"/>
      <c r="BA1413" s="580"/>
      <c r="BB1413" s="622"/>
      <c r="BC1413" s="622"/>
      <c r="BD1413" s="622"/>
      <c r="BE1413" s="622"/>
    </row>
    <row r="1414" customFormat="false" ht="14.1" hidden="true" customHeight="true" outlineLevel="1" collapsed="false">
      <c r="A1414" s="292" t="s">
        <v>901</v>
      </c>
      <c r="B1414" s="180" t="s">
        <v>12</v>
      </c>
      <c r="C1414" s="292" t="s">
        <v>13</v>
      </c>
      <c r="D1414" s="502"/>
      <c r="E1414" s="502"/>
      <c r="F1414" s="502"/>
      <c r="G1414" s="440"/>
      <c r="H1414" s="440"/>
      <c r="I1414" s="440"/>
      <c r="J1414" s="440"/>
      <c r="K1414" s="440"/>
      <c r="L1414" s="440"/>
      <c r="M1414" s="440"/>
      <c r="N1414" s="440"/>
      <c r="O1414" s="440"/>
      <c r="P1414" s="440"/>
      <c r="Q1414" s="440"/>
      <c r="R1414" s="440"/>
      <c r="S1414" s="440"/>
      <c r="T1414" s="440"/>
      <c r="U1414" s="440"/>
      <c r="V1414" s="440"/>
      <c r="W1414" s="440"/>
      <c r="X1414" s="440"/>
      <c r="Y1414" s="440"/>
      <c r="Z1414" s="440"/>
      <c r="AA1414" s="440"/>
      <c r="AB1414" s="440"/>
      <c r="AC1414" s="440"/>
      <c r="AD1414" s="440"/>
      <c r="AE1414" s="440"/>
      <c r="AF1414" s="440"/>
      <c r="AG1414" s="440"/>
      <c r="AH1414" s="584"/>
      <c r="AI1414" s="584"/>
      <c r="AJ1414" s="29"/>
      <c r="AK1414" s="29"/>
      <c r="AL1414" s="29"/>
      <c r="AM1414" s="29"/>
      <c r="AN1414" s="578"/>
      <c r="AO1414" s="579"/>
      <c r="AP1414" s="579"/>
      <c r="AQ1414" s="580"/>
      <c r="AR1414" s="580"/>
      <c r="AS1414" s="580"/>
      <c r="AT1414" s="580"/>
      <c r="AU1414" s="580"/>
      <c r="AV1414" s="580"/>
      <c r="AW1414" s="580"/>
      <c r="AX1414" s="580"/>
      <c r="AY1414" s="580"/>
      <c r="AZ1414" s="580"/>
      <c r="BA1414" s="580"/>
      <c r="BB1414" s="622"/>
      <c r="BC1414" s="622"/>
      <c r="BD1414" s="622"/>
      <c r="BE1414" s="622"/>
    </row>
    <row r="1415" customFormat="false" ht="14.1" hidden="true" customHeight="true" outlineLevel="1" collapsed="false">
      <c r="A1415" s="149" t="s">
        <v>902</v>
      </c>
      <c r="B1415" s="119" t="s">
        <v>48</v>
      </c>
      <c r="C1415" s="370" t="n">
        <v>1</v>
      </c>
      <c r="D1415" s="275"/>
      <c r="E1415" s="138"/>
      <c r="F1415" s="138"/>
      <c r="G1415" s="26"/>
      <c r="H1415" s="243"/>
      <c r="I1415" s="243"/>
      <c r="J1415" s="243"/>
      <c r="K1415" s="243"/>
      <c r="L1415" s="243"/>
      <c r="M1415" s="243"/>
      <c r="N1415" s="243"/>
      <c r="O1415" s="243"/>
      <c r="P1415" s="243"/>
      <c r="Q1415" s="243"/>
      <c r="R1415" s="243"/>
      <c r="S1415" s="243"/>
      <c r="T1415" s="243"/>
      <c r="U1415" s="243"/>
      <c r="V1415" s="243"/>
      <c r="W1415" s="243"/>
      <c r="X1415" s="243"/>
      <c r="Y1415" s="243"/>
      <c r="Z1415" s="243"/>
      <c r="AA1415" s="243"/>
      <c r="AB1415" s="243"/>
      <c r="AC1415" s="243"/>
      <c r="AD1415" s="243"/>
      <c r="AE1415" s="243"/>
      <c r="AF1415" s="243"/>
      <c r="AG1415" s="243"/>
      <c r="AH1415" s="29"/>
      <c r="AI1415" s="29"/>
      <c r="AJ1415" s="29"/>
      <c r="AK1415" s="29"/>
      <c r="AL1415" s="29"/>
      <c r="AM1415" s="29"/>
      <c r="AN1415" s="578"/>
      <c r="AO1415" s="579"/>
      <c r="AP1415" s="579"/>
      <c r="AQ1415" s="580"/>
      <c r="AR1415" s="580"/>
      <c r="AS1415" s="580"/>
      <c r="AT1415" s="580"/>
      <c r="AU1415" s="580"/>
      <c r="AV1415" s="580"/>
      <c r="AW1415" s="580"/>
      <c r="AX1415" s="580"/>
      <c r="AY1415" s="580"/>
      <c r="AZ1415" s="580"/>
      <c r="BA1415" s="580"/>
      <c r="BB1415" s="622"/>
      <c r="BC1415" s="622"/>
      <c r="BD1415" s="622"/>
      <c r="BE1415" s="622"/>
    </row>
    <row r="1416" customFormat="false" ht="14.1" hidden="true" customHeight="true" outlineLevel="1" collapsed="false">
      <c r="A1416" s="149" t="s">
        <v>903</v>
      </c>
      <c r="B1416" s="119" t="s">
        <v>48</v>
      </c>
      <c r="C1416" s="370" t="n">
        <v>3</v>
      </c>
      <c r="D1416" s="275"/>
      <c r="E1416" s="138"/>
      <c r="F1416" s="138"/>
      <c r="G1416" s="26"/>
      <c r="H1416" s="243"/>
      <c r="I1416" s="243"/>
      <c r="J1416" s="243"/>
      <c r="K1416" s="243"/>
      <c r="L1416" s="243"/>
      <c r="M1416" s="243"/>
      <c r="N1416" s="243"/>
      <c r="O1416" s="243"/>
      <c r="P1416" s="243"/>
      <c r="Q1416" s="243"/>
      <c r="R1416" s="243"/>
      <c r="S1416" s="243"/>
      <c r="T1416" s="243"/>
      <c r="U1416" s="243"/>
      <c r="V1416" s="243"/>
      <c r="W1416" s="243"/>
      <c r="X1416" s="243"/>
      <c r="Y1416" s="243"/>
      <c r="Z1416" s="243"/>
      <c r="AA1416" s="243"/>
      <c r="AB1416" s="243"/>
      <c r="AC1416" s="243"/>
      <c r="AD1416" s="243"/>
      <c r="AE1416" s="243"/>
      <c r="AF1416" s="243"/>
      <c r="AG1416" s="243"/>
      <c r="AH1416" s="29"/>
      <c r="AI1416" s="29"/>
      <c r="AJ1416" s="29"/>
      <c r="AK1416" s="29"/>
      <c r="AL1416" s="29"/>
      <c r="AM1416" s="29"/>
      <c r="AN1416" s="578"/>
      <c r="AO1416" s="579"/>
      <c r="AP1416" s="579"/>
      <c r="AQ1416" s="580"/>
      <c r="AR1416" s="580"/>
      <c r="AS1416" s="580"/>
      <c r="AT1416" s="580"/>
      <c r="AU1416" s="580"/>
      <c r="AV1416" s="580"/>
      <c r="AW1416" s="580"/>
      <c r="AX1416" s="580"/>
      <c r="AY1416" s="580"/>
      <c r="AZ1416" s="580"/>
      <c r="BA1416" s="580"/>
      <c r="BB1416" s="622"/>
      <c r="BC1416" s="622"/>
      <c r="BD1416" s="622"/>
      <c r="BE1416" s="622"/>
    </row>
    <row r="1417" customFormat="false" ht="14.1" hidden="true" customHeight="true" outlineLevel="1" collapsed="false">
      <c r="A1417" s="149" t="s">
        <v>904</v>
      </c>
      <c r="B1417" s="119" t="s">
        <v>48</v>
      </c>
      <c r="C1417" s="370" t="n">
        <v>1</v>
      </c>
      <c r="D1417" s="275"/>
      <c r="E1417" s="138"/>
      <c r="F1417" s="138"/>
      <c r="G1417" s="26"/>
      <c r="H1417" s="243"/>
      <c r="I1417" s="243"/>
      <c r="J1417" s="243"/>
      <c r="K1417" s="243"/>
      <c r="L1417" s="243"/>
      <c r="M1417" s="243"/>
      <c r="N1417" s="243"/>
      <c r="O1417" s="243"/>
      <c r="P1417" s="243"/>
      <c r="Q1417" s="243"/>
      <c r="R1417" s="243"/>
      <c r="S1417" s="243"/>
      <c r="T1417" s="243"/>
      <c r="U1417" s="243"/>
      <c r="V1417" s="243"/>
      <c r="W1417" s="243"/>
      <c r="X1417" s="243"/>
      <c r="Y1417" s="243"/>
      <c r="Z1417" s="243"/>
      <c r="AA1417" s="243"/>
      <c r="AB1417" s="243"/>
      <c r="AC1417" s="243"/>
      <c r="AD1417" s="243"/>
      <c r="AE1417" s="243"/>
      <c r="AF1417" s="243"/>
      <c r="AG1417" s="243"/>
      <c r="AH1417" s="29"/>
      <c r="AI1417" s="29"/>
      <c r="AJ1417" s="29"/>
      <c r="AK1417" s="29"/>
      <c r="AL1417" s="29"/>
      <c r="AM1417" s="29"/>
      <c r="AN1417" s="578"/>
      <c r="AO1417" s="579"/>
      <c r="AP1417" s="579"/>
      <c r="AQ1417" s="580"/>
      <c r="AR1417" s="580"/>
      <c r="AS1417" s="580"/>
      <c r="AT1417" s="580"/>
      <c r="AU1417" s="580"/>
      <c r="AV1417" s="580"/>
      <c r="AW1417" s="580"/>
      <c r="AX1417" s="580"/>
      <c r="AY1417" s="580"/>
      <c r="AZ1417" s="580"/>
      <c r="BA1417" s="580"/>
      <c r="BB1417" s="622"/>
      <c r="BC1417" s="622"/>
      <c r="BD1417" s="622"/>
      <c r="BE1417" s="622"/>
    </row>
    <row r="1418" customFormat="false" ht="14.1" hidden="true" customHeight="true" outlineLevel="1" collapsed="false">
      <c r="A1418" s="149" t="s">
        <v>905</v>
      </c>
      <c r="B1418" s="119" t="s">
        <v>48</v>
      </c>
      <c r="C1418" s="370" t="n">
        <v>0</v>
      </c>
      <c r="D1418" s="275"/>
      <c r="E1418" s="138"/>
      <c r="F1418" s="138"/>
      <c r="G1418" s="26"/>
      <c r="H1418" s="243"/>
      <c r="I1418" s="243"/>
      <c r="J1418" s="243"/>
      <c r="K1418" s="243"/>
      <c r="L1418" s="243"/>
      <c r="M1418" s="243"/>
      <c r="N1418" s="243"/>
      <c r="O1418" s="243"/>
      <c r="P1418" s="243"/>
      <c r="Q1418" s="243"/>
      <c r="R1418" s="243"/>
      <c r="S1418" s="243"/>
      <c r="T1418" s="243"/>
      <c r="U1418" s="243"/>
      <c r="V1418" s="243"/>
      <c r="W1418" s="243"/>
      <c r="X1418" s="243"/>
      <c r="Y1418" s="243"/>
      <c r="Z1418" s="243"/>
      <c r="AA1418" s="243"/>
      <c r="AB1418" s="243"/>
      <c r="AC1418" s="243"/>
      <c r="AD1418" s="243"/>
      <c r="AE1418" s="243"/>
      <c r="AF1418" s="243"/>
      <c r="AG1418" s="243"/>
      <c r="AH1418" s="29"/>
      <c r="AI1418" s="29"/>
      <c r="AJ1418" s="29"/>
      <c r="AK1418" s="29"/>
      <c r="AL1418" s="29"/>
      <c r="AM1418" s="29"/>
      <c r="AN1418" s="578"/>
      <c r="AO1418" s="579"/>
      <c r="AP1418" s="579"/>
      <c r="AQ1418" s="580"/>
      <c r="AR1418" s="580"/>
      <c r="AS1418" s="580"/>
      <c r="AT1418" s="580"/>
      <c r="AU1418" s="580"/>
      <c r="AV1418" s="580"/>
      <c r="AW1418" s="580"/>
      <c r="AX1418" s="580"/>
      <c r="AY1418" s="580"/>
      <c r="AZ1418" s="580"/>
      <c r="BA1418" s="580"/>
      <c r="BB1418" s="622"/>
      <c r="BC1418" s="622"/>
      <c r="BD1418" s="622"/>
      <c r="BE1418" s="622"/>
    </row>
    <row r="1419" s="56" customFormat="true" ht="14.1" hidden="true" customHeight="true" outlineLevel="1" collapsed="false">
      <c r="A1419" s="163" t="s">
        <v>906</v>
      </c>
      <c r="B1419" s="119" t="s">
        <v>48</v>
      </c>
      <c r="C1419" s="370" t="n">
        <v>1</v>
      </c>
      <c r="D1419" s="275"/>
      <c r="E1419" s="278"/>
      <c r="F1419" s="278"/>
      <c r="G1419" s="132"/>
      <c r="H1419" s="243"/>
      <c r="I1419" s="243"/>
      <c r="J1419" s="243"/>
      <c r="K1419" s="243"/>
      <c r="L1419" s="243"/>
      <c r="M1419" s="243"/>
      <c r="N1419" s="243"/>
      <c r="O1419" s="243"/>
      <c r="P1419" s="243"/>
      <c r="Q1419" s="243"/>
      <c r="R1419" s="243"/>
      <c r="S1419" s="243"/>
      <c r="T1419" s="243"/>
      <c r="U1419" s="243"/>
      <c r="V1419" s="243"/>
      <c r="W1419" s="243"/>
      <c r="X1419" s="243"/>
      <c r="Y1419" s="243"/>
      <c r="Z1419" s="243"/>
      <c r="AA1419" s="243"/>
      <c r="AB1419" s="243"/>
      <c r="AC1419" s="243"/>
      <c r="AD1419" s="243"/>
      <c r="AE1419" s="243"/>
      <c r="AF1419" s="243"/>
      <c r="AG1419" s="243"/>
      <c r="AH1419" s="29"/>
      <c r="AI1419" s="29"/>
      <c r="AJ1419" s="29"/>
      <c r="AK1419" s="29"/>
      <c r="AL1419" s="29"/>
      <c r="AM1419" s="29"/>
      <c r="AN1419" s="29"/>
      <c r="AO1419" s="567"/>
      <c r="AP1419" s="567"/>
      <c r="AQ1419" s="568"/>
      <c r="AR1419" s="568"/>
      <c r="AS1419" s="568"/>
      <c r="AT1419" s="568"/>
      <c r="AU1419" s="568"/>
      <c r="AV1419" s="568"/>
      <c r="AW1419" s="568"/>
      <c r="AX1419" s="568"/>
      <c r="AY1419" s="568"/>
      <c r="AZ1419" s="568"/>
      <c r="BA1419" s="568"/>
      <c r="BB1419" s="569"/>
      <c r="BC1419" s="569"/>
      <c r="BD1419" s="569"/>
      <c r="BE1419" s="569"/>
      <c r="BF1419" s="55"/>
    </row>
    <row r="1420" s="56" customFormat="true" ht="14.1" hidden="true" customHeight="true" outlineLevel="1" collapsed="false">
      <c r="A1420" s="275"/>
      <c r="B1420" s="277"/>
      <c r="C1420" s="301"/>
      <c r="D1420" s="275"/>
      <c r="E1420" s="278"/>
      <c r="F1420" s="278"/>
      <c r="G1420" s="132"/>
      <c r="H1420" s="243"/>
      <c r="I1420" s="243"/>
      <c r="J1420" s="243"/>
      <c r="K1420" s="243"/>
      <c r="L1420" s="243"/>
      <c r="M1420" s="243"/>
      <c r="N1420" s="243"/>
      <c r="O1420" s="243"/>
      <c r="P1420" s="243"/>
      <c r="Q1420" s="243"/>
      <c r="R1420" s="243"/>
      <c r="S1420" s="243"/>
      <c r="T1420" s="243"/>
      <c r="U1420" s="243"/>
      <c r="V1420" s="243"/>
      <c r="W1420" s="243"/>
      <c r="X1420" s="243"/>
      <c r="Y1420" s="243"/>
      <c r="Z1420" s="243"/>
      <c r="AA1420" s="243"/>
      <c r="AB1420" s="243"/>
      <c r="AC1420" s="243"/>
      <c r="AD1420" s="243"/>
      <c r="AE1420" s="243"/>
      <c r="AF1420" s="243"/>
      <c r="AG1420" s="243"/>
      <c r="AH1420" s="29"/>
      <c r="AI1420" s="29"/>
      <c r="AJ1420" s="29"/>
      <c r="AK1420" s="29"/>
      <c r="AL1420" s="29"/>
      <c r="AM1420" s="29"/>
      <c r="AN1420" s="29"/>
      <c r="AO1420" s="567"/>
      <c r="AP1420" s="567"/>
      <c r="AQ1420" s="568"/>
      <c r="AR1420" s="568"/>
      <c r="AS1420" s="568"/>
      <c r="AT1420" s="568"/>
      <c r="AU1420" s="568"/>
      <c r="AV1420" s="568"/>
      <c r="AW1420" s="568"/>
      <c r="AX1420" s="568"/>
      <c r="AY1420" s="568"/>
      <c r="AZ1420" s="568"/>
      <c r="BA1420" s="568"/>
      <c r="BB1420" s="569"/>
      <c r="BC1420" s="569"/>
      <c r="BD1420" s="569"/>
      <c r="BE1420" s="569"/>
      <c r="BF1420" s="55"/>
    </row>
    <row r="1421" s="56" customFormat="true" ht="14.1" hidden="true" customHeight="true" outlineLevel="1" collapsed="false">
      <c r="A1421" s="292" t="s">
        <v>907</v>
      </c>
      <c r="B1421" s="180" t="s">
        <v>12</v>
      </c>
      <c r="C1421" s="428" t="s">
        <v>44</v>
      </c>
      <c r="D1421" s="275"/>
      <c r="E1421" s="278"/>
      <c r="F1421" s="278"/>
      <c r="G1421" s="132"/>
      <c r="H1421" s="243"/>
      <c r="I1421" s="243"/>
      <c r="J1421" s="243"/>
      <c r="K1421" s="243"/>
      <c r="L1421" s="243"/>
      <c r="M1421" s="243"/>
      <c r="N1421" s="243"/>
      <c r="O1421" s="243"/>
      <c r="P1421" s="243"/>
      <c r="Q1421" s="243"/>
      <c r="R1421" s="243"/>
      <c r="S1421" s="243"/>
      <c r="T1421" s="243"/>
      <c r="U1421" s="243"/>
      <c r="V1421" s="243"/>
      <c r="W1421" s="243"/>
      <c r="X1421" s="243"/>
      <c r="Y1421" s="243"/>
      <c r="Z1421" s="243"/>
      <c r="AA1421" s="243"/>
      <c r="AB1421" s="243"/>
      <c r="AC1421" s="243"/>
      <c r="AD1421" s="243"/>
      <c r="AE1421" s="243"/>
      <c r="AF1421" s="243"/>
      <c r="AG1421" s="243"/>
      <c r="AH1421" s="29"/>
      <c r="AI1421" s="29"/>
      <c r="AJ1421" s="29"/>
      <c r="AK1421" s="29"/>
      <c r="AL1421" s="29"/>
      <c r="AM1421" s="29"/>
      <c r="AN1421" s="29"/>
      <c r="AO1421" s="567"/>
      <c r="AP1421" s="567"/>
      <c r="AQ1421" s="568"/>
      <c r="AR1421" s="568"/>
      <c r="AS1421" s="568"/>
      <c r="AT1421" s="568"/>
      <c r="AU1421" s="568"/>
      <c r="AV1421" s="568"/>
      <c r="AW1421" s="568"/>
      <c r="AX1421" s="568"/>
      <c r="AY1421" s="568"/>
      <c r="AZ1421" s="568"/>
      <c r="BA1421" s="568"/>
      <c r="BB1421" s="569"/>
      <c r="BC1421" s="569"/>
      <c r="BD1421" s="569"/>
      <c r="BE1421" s="569"/>
      <c r="BF1421" s="55"/>
    </row>
    <row r="1422" s="56" customFormat="true" ht="14.1" hidden="true" customHeight="true" outlineLevel="1" collapsed="false">
      <c r="A1422" s="149" t="s">
        <v>908</v>
      </c>
      <c r="B1422" s="119" t="s">
        <v>48</v>
      </c>
      <c r="C1422" s="370" t="n">
        <v>1</v>
      </c>
      <c r="D1422" s="275"/>
      <c r="E1422" s="278"/>
      <c r="F1422" s="278"/>
      <c r="G1422" s="132"/>
      <c r="H1422" s="243"/>
      <c r="I1422" s="243"/>
      <c r="J1422" s="243"/>
      <c r="K1422" s="243"/>
      <c r="L1422" s="243"/>
      <c r="M1422" s="243"/>
      <c r="N1422" s="243"/>
      <c r="O1422" s="243"/>
      <c r="P1422" s="243"/>
      <c r="Q1422" s="243"/>
      <c r="R1422" s="243"/>
      <c r="S1422" s="243"/>
      <c r="T1422" s="243"/>
      <c r="U1422" s="243"/>
      <c r="V1422" s="243"/>
      <c r="W1422" s="243"/>
      <c r="X1422" s="243"/>
      <c r="Y1422" s="243"/>
      <c r="Z1422" s="243"/>
      <c r="AA1422" s="243"/>
      <c r="AB1422" s="243"/>
      <c r="AC1422" s="243"/>
      <c r="AD1422" s="243"/>
      <c r="AE1422" s="243"/>
      <c r="AF1422" s="243"/>
      <c r="AG1422" s="243"/>
      <c r="AH1422" s="29"/>
      <c r="AI1422" s="29"/>
      <c r="AJ1422" s="29"/>
      <c r="AK1422" s="29"/>
      <c r="AL1422" s="29"/>
      <c r="AM1422" s="29"/>
      <c r="AN1422" s="29"/>
      <c r="AO1422" s="567"/>
      <c r="AP1422" s="567"/>
      <c r="AQ1422" s="568"/>
      <c r="AR1422" s="568"/>
      <c r="AS1422" s="568"/>
      <c r="AT1422" s="568"/>
      <c r="AU1422" s="568"/>
      <c r="AV1422" s="568"/>
      <c r="AW1422" s="568"/>
      <c r="AX1422" s="568"/>
      <c r="AY1422" s="568"/>
      <c r="AZ1422" s="568"/>
      <c r="BA1422" s="568"/>
      <c r="BB1422" s="569"/>
      <c r="BC1422" s="569"/>
      <c r="BD1422" s="569"/>
      <c r="BE1422" s="569"/>
      <c r="BF1422" s="55"/>
    </row>
    <row r="1423" s="56" customFormat="true" ht="14.1" hidden="true" customHeight="true" outlineLevel="1" collapsed="false">
      <c r="A1423" s="149" t="s">
        <v>909</v>
      </c>
      <c r="B1423" s="119" t="s">
        <v>48</v>
      </c>
      <c r="C1423" s="370" t="n">
        <v>3</v>
      </c>
      <c r="D1423" s="275"/>
      <c r="E1423" s="278"/>
      <c r="F1423" s="278"/>
      <c r="G1423" s="132"/>
      <c r="H1423" s="243"/>
      <c r="I1423" s="243"/>
      <c r="J1423" s="243"/>
      <c r="K1423" s="243"/>
      <c r="L1423" s="243"/>
      <c r="M1423" s="243"/>
      <c r="N1423" s="243"/>
      <c r="O1423" s="243"/>
      <c r="P1423" s="243"/>
      <c r="Q1423" s="243"/>
      <c r="R1423" s="243"/>
      <c r="S1423" s="243"/>
      <c r="T1423" s="243"/>
      <c r="U1423" s="243"/>
      <c r="V1423" s="243"/>
      <c r="W1423" s="243"/>
      <c r="X1423" s="243"/>
      <c r="Y1423" s="243"/>
      <c r="Z1423" s="243"/>
      <c r="AA1423" s="243"/>
      <c r="AB1423" s="243"/>
      <c r="AC1423" s="243"/>
      <c r="AD1423" s="243"/>
      <c r="AE1423" s="243"/>
      <c r="AF1423" s="243"/>
      <c r="AG1423" s="243"/>
      <c r="AH1423" s="29"/>
      <c r="AI1423" s="29"/>
      <c r="AJ1423" s="29"/>
      <c r="AK1423" s="29"/>
      <c r="AL1423" s="29"/>
      <c r="AM1423" s="29"/>
      <c r="AN1423" s="29"/>
      <c r="AO1423" s="567"/>
      <c r="AP1423" s="567"/>
      <c r="AQ1423" s="568"/>
      <c r="AR1423" s="568"/>
      <c r="AS1423" s="568"/>
      <c r="AT1423" s="568"/>
      <c r="AU1423" s="568"/>
      <c r="AV1423" s="568"/>
      <c r="AW1423" s="568"/>
      <c r="AX1423" s="568"/>
      <c r="AY1423" s="568"/>
      <c r="AZ1423" s="568"/>
      <c r="BA1423" s="568"/>
      <c r="BB1423" s="569"/>
      <c r="BC1423" s="569"/>
      <c r="BD1423" s="569"/>
      <c r="BE1423" s="569"/>
      <c r="BF1423" s="55"/>
    </row>
    <row r="1424" s="56" customFormat="true" ht="14.1" hidden="true" customHeight="true" outlineLevel="1" collapsed="false">
      <c r="A1424" s="149" t="s">
        <v>910</v>
      </c>
      <c r="B1424" s="119" t="s">
        <v>48</v>
      </c>
      <c r="C1424" s="370" t="n">
        <v>1</v>
      </c>
      <c r="D1424" s="275"/>
      <c r="E1424" s="278"/>
      <c r="F1424" s="278"/>
      <c r="G1424" s="132"/>
      <c r="H1424" s="243"/>
      <c r="I1424" s="243"/>
      <c r="J1424" s="243"/>
      <c r="K1424" s="243"/>
      <c r="L1424" s="243"/>
      <c r="M1424" s="243"/>
      <c r="N1424" s="243"/>
      <c r="O1424" s="243"/>
      <c r="P1424" s="243"/>
      <c r="Q1424" s="243"/>
      <c r="R1424" s="243"/>
      <c r="S1424" s="243"/>
      <c r="T1424" s="243"/>
      <c r="U1424" s="243"/>
      <c r="V1424" s="243"/>
      <c r="W1424" s="243"/>
      <c r="X1424" s="243"/>
      <c r="Y1424" s="243"/>
      <c r="Z1424" s="243"/>
      <c r="AA1424" s="243"/>
      <c r="AB1424" s="243"/>
      <c r="AC1424" s="243"/>
      <c r="AD1424" s="243"/>
      <c r="AE1424" s="243"/>
      <c r="AF1424" s="243"/>
      <c r="AG1424" s="243"/>
      <c r="AH1424" s="29"/>
      <c r="AI1424" s="29"/>
      <c r="AJ1424" s="29"/>
      <c r="AK1424" s="29"/>
      <c r="AL1424" s="29"/>
      <c r="AM1424" s="29"/>
      <c r="AN1424" s="29"/>
      <c r="AO1424" s="567"/>
      <c r="AP1424" s="567"/>
      <c r="AQ1424" s="568"/>
      <c r="AR1424" s="568"/>
      <c r="AS1424" s="568"/>
      <c r="AT1424" s="568"/>
      <c r="AU1424" s="568"/>
      <c r="AV1424" s="568"/>
      <c r="AW1424" s="568"/>
      <c r="AX1424" s="568"/>
      <c r="AY1424" s="568"/>
      <c r="AZ1424" s="568"/>
      <c r="BA1424" s="568"/>
      <c r="BB1424" s="569"/>
      <c r="BC1424" s="569"/>
      <c r="BD1424" s="569"/>
      <c r="BE1424" s="569"/>
      <c r="BF1424" s="55"/>
    </row>
    <row r="1425" s="56" customFormat="true" ht="14.1" hidden="true" customHeight="true" outlineLevel="1" collapsed="false">
      <c r="A1425" s="149" t="s">
        <v>905</v>
      </c>
      <c r="B1425" s="119" t="s">
        <v>48</v>
      </c>
      <c r="C1425" s="370" t="n">
        <v>0</v>
      </c>
      <c r="D1425" s="275"/>
      <c r="E1425" s="278"/>
      <c r="F1425" s="278"/>
      <c r="G1425" s="132"/>
      <c r="H1425" s="243"/>
      <c r="I1425" s="243"/>
      <c r="J1425" s="243"/>
      <c r="K1425" s="243"/>
      <c r="L1425" s="243"/>
      <c r="M1425" s="243"/>
      <c r="N1425" s="243"/>
      <c r="O1425" s="243"/>
      <c r="P1425" s="243"/>
      <c r="Q1425" s="243"/>
      <c r="R1425" s="243"/>
      <c r="S1425" s="243"/>
      <c r="T1425" s="243"/>
      <c r="U1425" s="243"/>
      <c r="V1425" s="243"/>
      <c r="W1425" s="243"/>
      <c r="X1425" s="243"/>
      <c r="Y1425" s="243"/>
      <c r="Z1425" s="243"/>
      <c r="AA1425" s="243"/>
      <c r="AB1425" s="243"/>
      <c r="AC1425" s="243"/>
      <c r="AD1425" s="243"/>
      <c r="AE1425" s="243"/>
      <c r="AF1425" s="243"/>
      <c r="AG1425" s="243"/>
      <c r="AH1425" s="29"/>
      <c r="AI1425" s="29"/>
      <c r="AJ1425" s="29"/>
      <c r="AK1425" s="29"/>
      <c r="AL1425" s="29"/>
      <c r="AM1425" s="29"/>
      <c r="AN1425" s="29"/>
      <c r="AO1425" s="567"/>
      <c r="AP1425" s="567"/>
      <c r="AQ1425" s="568"/>
      <c r="AR1425" s="568"/>
      <c r="AS1425" s="568"/>
      <c r="AT1425" s="568"/>
      <c r="AU1425" s="568"/>
      <c r="AV1425" s="568"/>
      <c r="AW1425" s="568"/>
      <c r="AX1425" s="568"/>
      <c r="AY1425" s="568"/>
      <c r="AZ1425" s="568"/>
      <c r="BA1425" s="568"/>
      <c r="BB1425" s="569"/>
      <c r="BC1425" s="569"/>
      <c r="BD1425" s="569"/>
      <c r="BE1425" s="569"/>
      <c r="BF1425" s="55"/>
    </row>
    <row r="1426" s="56" customFormat="true" ht="14.1" hidden="true" customHeight="true" outlineLevel="1" collapsed="false">
      <c r="A1426" s="275"/>
      <c r="B1426" s="277"/>
      <c r="C1426" s="301"/>
      <c r="D1426" s="275"/>
      <c r="E1426" s="278"/>
      <c r="F1426" s="278"/>
      <c r="G1426" s="132"/>
      <c r="H1426" s="243"/>
      <c r="I1426" s="243"/>
      <c r="J1426" s="243"/>
      <c r="K1426" s="243"/>
      <c r="L1426" s="243"/>
      <c r="M1426" s="243"/>
      <c r="N1426" s="243"/>
      <c r="O1426" s="243"/>
      <c r="P1426" s="243"/>
      <c r="Q1426" s="243"/>
      <c r="R1426" s="243"/>
      <c r="S1426" s="243"/>
      <c r="T1426" s="243"/>
      <c r="U1426" s="243"/>
      <c r="V1426" s="243"/>
      <c r="W1426" s="243"/>
      <c r="X1426" s="243"/>
      <c r="Y1426" s="243"/>
      <c r="Z1426" s="243"/>
      <c r="AA1426" s="243"/>
      <c r="AB1426" s="243"/>
      <c r="AC1426" s="243"/>
      <c r="AD1426" s="243"/>
      <c r="AE1426" s="243"/>
      <c r="AF1426" s="243"/>
      <c r="AG1426" s="243"/>
      <c r="AH1426" s="29"/>
      <c r="AI1426" s="29"/>
      <c r="AJ1426" s="29"/>
      <c r="AK1426" s="29"/>
      <c r="AL1426" s="29"/>
      <c r="AM1426" s="29"/>
      <c r="AN1426" s="29"/>
      <c r="AO1426" s="567"/>
      <c r="AP1426" s="567"/>
      <c r="AQ1426" s="568"/>
      <c r="AR1426" s="568"/>
      <c r="AS1426" s="568"/>
      <c r="AT1426" s="568"/>
      <c r="AU1426" s="568"/>
      <c r="AV1426" s="568"/>
      <c r="AW1426" s="568"/>
      <c r="AX1426" s="568"/>
      <c r="AY1426" s="568"/>
      <c r="AZ1426" s="568"/>
      <c r="BA1426" s="568"/>
      <c r="BB1426" s="569"/>
      <c r="BC1426" s="569"/>
      <c r="BD1426" s="569"/>
      <c r="BE1426" s="569"/>
      <c r="BF1426" s="55"/>
    </row>
    <row r="1427" customFormat="false" ht="14.1" hidden="true" customHeight="true" outlineLevel="1" collapsed="false">
      <c r="A1427" s="163" t="s">
        <v>911</v>
      </c>
      <c r="B1427" s="119" t="s">
        <v>48</v>
      </c>
      <c r="C1427" s="428" t="s">
        <v>44</v>
      </c>
      <c r="D1427" s="275"/>
      <c r="E1427" s="138"/>
      <c r="F1427" s="138"/>
      <c r="G1427" s="26"/>
      <c r="H1427" s="243"/>
      <c r="I1427" s="243"/>
      <c r="J1427" s="243"/>
      <c r="K1427" s="243"/>
      <c r="L1427" s="243"/>
      <c r="M1427" s="243"/>
      <c r="N1427" s="243"/>
      <c r="O1427" s="243"/>
      <c r="P1427" s="243"/>
      <c r="Q1427" s="243"/>
      <c r="R1427" s="243"/>
      <c r="S1427" s="243"/>
      <c r="T1427" s="243"/>
      <c r="U1427" s="243"/>
      <c r="V1427" s="243"/>
      <c r="W1427" s="243"/>
      <c r="X1427" s="243"/>
      <c r="Y1427" s="243"/>
      <c r="Z1427" s="243"/>
      <c r="AA1427" s="243"/>
      <c r="AB1427" s="243"/>
      <c r="AC1427" s="243"/>
      <c r="AD1427" s="243"/>
      <c r="AE1427" s="243"/>
      <c r="AF1427" s="243"/>
      <c r="AG1427" s="243"/>
      <c r="AH1427" s="29"/>
      <c r="AI1427" s="29"/>
      <c r="AJ1427" s="29"/>
      <c r="AK1427" s="29"/>
      <c r="AL1427" s="29"/>
      <c r="AM1427" s="29"/>
      <c r="AN1427" s="578"/>
      <c r="AO1427" s="579"/>
      <c r="AP1427" s="579"/>
      <c r="AQ1427" s="580"/>
      <c r="AR1427" s="580"/>
      <c r="AS1427" s="580"/>
      <c r="AT1427" s="580"/>
      <c r="AU1427" s="580"/>
      <c r="AV1427" s="580"/>
      <c r="AW1427" s="580"/>
      <c r="AX1427" s="580"/>
      <c r="AY1427" s="580"/>
      <c r="AZ1427" s="580"/>
      <c r="BA1427" s="580"/>
      <c r="BB1427" s="622"/>
      <c r="BC1427" s="622"/>
      <c r="BD1427" s="622"/>
      <c r="BE1427" s="622"/>
    </row>
    <row r="1428" customFormat="false" ht="14.1" hidden="true" customHeight="true" outlineLevel="1" collapsed="false">
      <c r="A1428" s="163" t="s">
        <v>912</v>
      </c>
      <c r="B1428" s="119" t="s">
        <v>15</v>
      </c>
      <c r="C1428" s="370" t="n">
        <v>10</v>
      </c>
      <c r="D1428" s="275"/>
      <c r="E1428" s="138"/>
      <c r="F1428" s="138"/>
      <c r="G1428" s="26"/>
      <c r="H1428" s="243"/>
      <c r="I1428" s="243"/>
      <c r="J1428" s="243"/>
      <c r="K1428" s="243"/>
      <c r="L1428" s="243"/>
      <c r="M1428" s="243"/>
      <c r="N1428" s="243"/>
      <c r="O1428" s="243"/>
      <c r="P1428" s="243"/>
      <c r="Q1428" s="243"/>
      <c r="R1428" s="243"/>
      <c r="S1428" s="243"/>
      <c r="T1428" s="243"/>
      <c r="U1428" s="243"/>
      <c r="V1428" s="243"/>
      <c r="W1428" s="243"/>
      <c r="X1428" s="243"/>
      <c r="Y1428" s="243"/>
      <c r="Z1428" s="243"/>
      <c r="AA1428" s="243"/>
      <c r="AB1428" s="243"/>
      <c r="AC1428" s="243"/>
      <c r="AD1428" s="243"/>
      <c r="AE1428" s="243"/>
      <c r="AF1428" s="243"/>
      <c r="AG1428" s="243"/>
      <c r="AH1428" s="29"/>
      <c r="AI1428" s="29"/>
      <c r="AJ1428" s="29"/>
      <c r="AK1428" s="29"/>
      <c r="AL1428" s="29"/>
      <c r="AM1428" s="29"/>
      <c r="AN1428" s="578"/>
      <c r="AO1428" s="579"/>
      <c r="AP1428" s="579"/>
      <c r="AQ1428" s="580"/>
      <c r="AR1428" s="580"/>
      <c r="AS1428" s="580"/>
      <c r="AT1428" s="580"/>
      <c r="AU1428" s="580"/>
      <c r="AV1428" s="580"/>
      <c r="AW1428" s="580"/>
      <c r="AX1428" s="580"/>
      <c r="AY1428" s="580"/>
      <c r="AZ1428" s="580"/>
      <c r="BA1428" s="580"/>
      <c r="BB1428" s="622"/>
      <c r="BC1428" s="622"/>
      <c r="BD1428" s="622"/>
      <c r="BE1428" s="622"/>
    </row>
    <row r="1429" customFormat="false" ht="14.1" hidden="true" customHeight="true" outlineLevel="1" collapsed="false">
      <c r="A1429" s="163" t="s">
        <v>913</v>
      </c>
      <c r="B1429" s="119" t="s">
        <v>15</v>
      </c>
      <c r="C1429" s="370" t="n">
        <v>8</v>
      </c>
      <c r="D1429" s="275"/>
      <c r="E1429" s="138"/>
      <c r="F1429" s="138"/>
      <c r="G1429" s="26"/>
      <c r="H1429" s="243"/>
      <c r="I1429" s="243"/>
      <c r="J1429" s="243"/>
      <c r="K1429" s="243"/>
      <c r="L1429" s="243"/>
      <c r="M1429" s="243"/>
      <c r="N1429" s="243"/>
      <c r="O1429" s="243"/>
      <c r="P1429" s="243"/>
      <c r="Q1429" s="243"/>
      <c r="R1429" s="243"/>
      <c r="S1429" s="243"/>
      <c r="T1429" s="243"/>
      <c r="U1429" s="243"/>
      <c r="V1429" s="243"/>
      <c r="W1429" s="243"/>
      <c r="X1429" s="243"/>
      <c r="Y1429" s="243"/>
      <c r="Z1429" s="243"/>
      <c r="AA1429" s="243"/>
      <c r="AB1429" s="243"/>
      <c r="AC1429" s="243"/>
      <c r="AD1429" s="243"/>
      <c r="AE1429" s="243"/>
      <c r="AF1429" s="243"/>
      <c r="AG1429" s="243"/>
      <c r="AH1429" s="29"/>
      <c r="AI1429" s="29"/>
      <c r="AJ1429" s="29"/>
      <c r="AK1429" s="29"/>
      <c r="AL1429" s="29"/>
      <c r="AM1429" s="29"/>
      <c r="AN1429" s="578"/>
      <c r="AO1429" s="579"/>
      <c r="AP1429" s="579"/>
      <c r="AQ1429" s="580"/>
      <c r="AR1429" s="580"/>
      <c r="AS1429" s="580"/>
      <c r="AT1429" s="580"/>
      <c r="AU1429" s="580"/>
      <c r="AV1429" s="580"/>
      <c r="AW1429" s="580"/>
      <c r="AX1429" s="580"/>
      <c r="AY1429" s="580"/>
      <c r="AZ1429" s="580"/>
      <c r="BA1429" s="580"/>
      <c r="BB1429" s="622"/>
      <c r="BC1429" s="622"/>
      <c r="BD1429" s="622"/>
      <c r="BE1429" s="622"/>
    </row>
    <row r="1430" customFormat="false" ht="14.1" hidden="true" customHeight="true" outlineLevel="1" collapsed="false">
      <c r="A1430" s="138" t="s">
        <v>749</v>
      </c>
      <c r="B1430" s="235"/>
      <c r="C1430" s="138"/>
      <c r="D1430" s="275"/>
      <c r="E1430" s="138"/>
      <c r="F1430" s="138"/>
      <c r="G1430" s="26"/>
      <c r="H1430" s="257"/>
      <c r="I1430" s="257"/>
      <c r="J1430" s="257"/>
      <c r="K1430" s="243"/>
      <c r="L1430" s="257"/>
      <c r="M1430" s="257"/>
      <c r="N1430" s="257"/>
      <c r="O1430" s="257"/>
      <c r="P1430" s="257"/>
      <c r="Q1430" s="243"/>
      <c r="R1430" s="243"/>
      <c r="S1430" s="243"/>
      <c r="T1430" s="243"/>
      <c r="U1430" s="243"/>
      <c r="V1430" s="243"/>
      <c r="W1430" s="243"/>
      <c r="X1430" s="243"/>
      <c r="Y1430" s="243"/>
      <c r="Z1430" s="243"/>
      <c r="AA1430" s="243"/>
      <c r="AB1430" s="243"/>
      <c r="AC1430" s="243"/>
      <c r="AD1430" s="243"/>
      <c r="AE1430" s="243"/>
      <c r="AF1430" s="243"/>
      <c r="AG1430" s="243"/>
      <c r="AH1430" s="29"/>
      <c r="AI1430" s="29"/>
      <c r="AJ1430" s="29"/>
      <c r="AK1430" s="29"/>
      <c r="AL1430" s="29"/>
      <c r="AM1430" s="29"/>
      <c r="AN1430" s="578"/>
      <c r="AO1430" s="579"/>
      <c r="AP1430" s="579"/>
      <c r="AQ1430" s="580"/>
      <c r="AR1430" s="580"/>
      <c r="AS1430" s="580"/>
      <c r="AT1430" s="580"/>
      <c r="AU1430" s="580"/>
      <c r="AV1430" s="580"/>
      <c r="AW1430" s="580"/>
      <c r="AX1430" s="580"/>
      <c r="AY1430" s="580"/>
      <c r="AZ1430" s="580"/>
      <c r="BA1430" s="580"/>
      <c r="BB1430" s="622"/>
      <c r="BC1430" s="622"/>
      <c r="BD1430" s="622"/>
      <c r="BE1430" s="622"/>
    </row>
    <row r="1431" s="162" customFormat="true" ht="14.1" hidden="true" customHeight="true" outlineLevel="1" collapsed="false">
      <c r="A1431" s="149" t="s">
        <v>914</v>
      </c>
      <c r="B1431" s="616" t="s">
        <v>502</v>
      </c>
      <c r="C1431" s="163" t="n">
        <v>5</v>
      </c>
      <c r="D1431" s="275"/>
      <c r="E1431" s="169"/>
      <c r="F1431" s="169"/>
      <c r="G1431" s="26"/>
      <c r="H1431" s="257"/>
      <c r="I1431" s="257"/>
      <c r="J1431" s="257"/>
      <c r="K1431" s="243"/>
      <c r="L1431" s="257"/>
      <c r="M1431" s="257"/>
      <c r="N1431" s="257"/>
      <c r="O1431" s="257"/>
      <c r="P1431" s="257"/>
      <c r="Q1431" s="243"/>
      <c r="R1431" s="243"/>
      <c r="S1431" s="243"/>
      <c r="T1431" s="243"/>
      <c r="U1431" s="243"/>
      <c r="V1431" s="243"/>
      <c r="W1431" s="243"/>
      <c r="X1431" s="243"/>
      <c r="Y1431" s="243"/>
      <c r="Z1431" s="243"/>
      <c r="AA1431" s="243"/>
      <c r="AB1431" s="243"/>
      <c r="AC1431" s="243"/>
      <c r="AD1431" s="243"/>
      <c r="AE1431" s="243"/>
      <c r="AF1431" s="243"/>
      <c r="AG1431" s="243"/>
      <c r="AH1431" s="29"/>
      <c r="AI1431" s="29"/>
      <c r="AJ1431" s="29"/>
      <c r="AK1431" s="29"/>
      <c r="AL1431" s="29"/>
      <c r="AM1431" s="29"/>
      <c r="AN1431" s="578"/>
      <c r="AO1431" s="579"/>
      <c r="AP1431" s="579"/>
      <c r="AQ1431" s="580"/>
      <c r="AR1431" s="580"/>
      <c r="AS1431" s="580"/>
      <c r="AT1431" s="580"/>
      <c r="AU1431" s="580"/>
      <c r="AV1431" s="580"/>
      <c r="AW1431" s="580"/>
      <c r="AX1431" s="580"/>
      <c r="AY1431" s="580"/>
      <c r="AZ1431" s="580"/>
      <c r="BA1431" s="580"/>
      <c r="BB1431" s="581"/>
      <c r="BC1431" s="581"/>
      <c r="BD1431" s="581"/>
      <c r="BE1431" s="581"/>
      <c r="BF1431" s="161"/>
    </row>
    <row r="1432" s="162" customFormat="true" ht="14.1" hidden="true" customHeight="true" outlineLevel="1" collapsed="false">
      <c r="A1432" s="147" t="s">
        <v>915</v>
      </c>
      <c r="B1432" s="616" t="s">
        <v>502</v>
      </c>
      <c r="C1432" s="348" t="n">
        <v>3</v>
      </c>
      <c r="D1432" s="275"/>
      <c r="E1432" s="169"/>
      <c r="F1432" s="169"/>
      <c r="G1432" s="26"/>
      <c r="H1432" s="257"/>
      <c r="I1432" s="257"/>
      <c r="J1432" s="257"/>
      <c r="K1432" s="243"/>
      <c r="L1432" s="257"/>
      <c r="M1432" s="257"/>
      <c r="N1432" s="257"/>
      <c r="O1432" s="257"/>
      <c r="P1432" s="257"/>
      <c r="Q1432" s="243"/>
      <c r="R1432" s="243"/>
      <c r="S1432" s="243"/>
      <c r="T1432" s="243"/>
      <c r="U1432" s="243"/>
      <c r="V1432" s="243"/>
      <c r="W1432" s="243"/>
      <c r="X1432" s="243"/>
      <c r="Y1432" s="243"/>
      <c r="Z1432" s="243"/>
      <c r="AA1432" s="243"/>
      <c r="AB1432" s="243"/>
      <c r="AC1432" s="243"/>
      <c r="AD1432" s="243"/>
      <c r="AE1432" s="243"/>
      <c r="AF1432" s="243"/>
      <c r="AG1432" s="243"/>
      <c r="AH1432" s="29"/>
      <c r="AI1432" s="29"/>
      <c r="AJ1432" s="29"/>
      <c r="AK1432" s="29"/>
      <c r="AL1432" s="29"/>
      <c r="AM1432" s="29"/>
      <c r="AN1432" s="578"/>
      <c r="AO1432" s="579"/>
      <c r="AP1432" s="579"/>
      <c r="AQ1432" s="580"/>
      <c r="AR1432" s="580"/>
      <c r="AS1432" s="580"/>
      <c r="AT1432" s="580"/>
      <c r="AU1432" s="580"/>
      <c r="AV1432" s="580"/>
      <c r="AW1432" s="580"/>
      <c r="AX1432" s="580"/>
      <c r="AY1432" s="580"/>
      <c r="AZ1432" s="580"/>
      <c r="BA1432" s="580"/>
      <c r="BB1432" s="581"/>
      <c r="BC1432" s="581"/>
      <c r="BD1432" s="581"/>
      <c r="BE1432" s="581"/>
      <c r="BF1432" s="161"/>
    </row>
    <row r="1433" customFormat="false" ht="14.1" hidden="true" customHeight="true" outlineLevel="1" collapsed="false">
      <c r="A1433" s="275"/>
      <c r="B1433" s="277"/>
      <c r="C1433" s="301"/>
      <c r="D1433" s="275"/>
      <c r="E1433" s="138"/>
      <c r="F1433" s="138"/>
      <c r="G1433" s="26"/>
      <c r="H1433" s="257"/>
      <c r="I1433" s="257"/>
      <c r="J1433" s="257"/>
      <c r="K1433" s="243"/>
      <c r="L1433" s="257"/>
      <c r="M1433" s="257"/>
      <c r="N1433" s="257"/>
      <c r="O1433" s="257"/>
      <c r="P1433" s="257"/>
      <c r="Q1433" s="243"/>
      <c r="R1433" s="243"/>
      <c r="S1433" s="243"/>
      <c r="T1433" s="243"/>
      <c r="U1433" s="243"/>
      <c r="V1433" s="243"/>
      <c r="W1433" s="243"/>
      <c r="X1433" s="243"/>
      <c r="Y1433" s="243"/>
      <c r="Z1433" s="243"/>
      <c r="AA1433" s="243"/>
      <c r="AB1433" s="243"/>
      <c r="AC1433" s="243"/>
      <c r="AD1433" s="243"/>
      <c r="AE1433" s="243"/>
      <c r="AF1433" s="243"/>
      <c r="AG1433" s="243"/>
      <c r="AH1433" s="29"/>
      <c r="AI1433" s="29"/>
      <c r="AJ1433" s="29"/>
      <c r="AK1433" s="29"/>
      <c r="AL1433" s="29"/>
      <c r="AM1433" s="29"/>
      <c r="AN1433" s="578"/>
      <c r="AO1433" s="579"/>
      <c r="AP1433" s="579"/>
      <c r="AQ1433" s="580"/>
      <c r="AR1433" s="580"/>
      <c r="AS1433" s="580"/>
      <c r="AT1433" s="580"/>
      <c r="AU1433" s="580"/>
      <c r="AV1433" s="580"/>
      <c r="AW1433" s="580"/>
      <c r="AX1433" s="580"/>
      <c r="AY1433" s="580"/>
      <c r="AZ1433" s="580"/>
      <c r="BA1433" s="580"/>
      <c r="BB1433" s="622"/>
      <c r="BC1433" s="622"/>
      <c r="BD1433" s="622"/>
      <c r="BE1433" s="622"/>
    </row>
    <row r="1434" customFormat="false" ht="14.1" hidden="true" customHeight="true" outlineLevel="1" collapsed="false">
      <c r="A1434" s="163" t="s">
        <v>916</v>
      </c>
      <c r="B1434" s="119" t="s">
        <v>113</v>
      </c>
      <c r="C1434" s="435" t="n">
        <v>5000</v>
      </c>
      <c r="D1434" s="275"/>
      <c r="E1434" s="138"/>
      <c r="F1434" s="138"/>
      <c r="G1434" s="26"/>
      <c r="H1434" s="257"/>
      <c r="I1434" s="257"/>
      <c r="J1434" s="257"/>
      <c r="K1434" s="243"/>
      <c r="L1434" s="257"/>
      <c r="M1434" s="257"/>
      <c r="N1434" s="257"/>
      <c r="O1434" s="257"/>
      <c r="P1434" s="257"/>
      <c r="Q1434" s="243"/>
      <c r="R1434" s="243"/>
      <c r="S1434" s="243"/>
      <c r="T1434" s="243"/>
      <c r="U1434" s="243"/>
      <c r="V1434" s="243"/>
      <c r="W1434" s="243"/>
      <c r="X1434" s="243"/>
      <c r="Y1434" s="243"/>
      <c r="Z1434" s="243"/>
      <c r="AA1434" s="243"/>
      <c r="AB1434" s="243"/>
      <c r="AC1434" s="243"/>
      <c r="AD1434" s="243"/>
      <c r="AE1434" s="243"/>
      <c r="AF1434" s="243"/>
      <c r="AG1434" s="243"/>
      <c r="AH1434" s="29"/>
      <c r="AI1434" s="29"/>
      <c r="AJ1434" s="29"/>
      <c r="AK1434" s="29"/>
      <c r="AL1434" s="29"/>
      <c r="AM1434" s="29"/>
      <c r="AN1434" s="578"/>
      <c r="AO1434" s="579"/>
      <c r="AP1434" s="579"/>
      <c r="AQ1434" s="580"/>
      <c r="AR1434" s="580"/>
      <c r="AS1434" s="580"/>
      <c r="AT1434" s="580"/>
      <c r="AU1434" s="580"/>
      <c r="AV1434" s="580"/>
      <c r="AW1434" s="580"/>
      <c r="AX1434" s="580"/>
      <c r="AY1434" s="580"/>
      <c r="AZ1434" s="580"/>
      <c r="BA1434" s="580"/>
      <c r="BB1434" s="622"/>
      <c r="BC1434" s="622"/>
      <c r="BD1434" s="622"/>
      <c r="BE1434" s="622"/>
    </row>
    <row r="1435" customFormat="false" ht="14.1" hidden="true" customHeight="true" outlineLevel="1" collapsed="false">
      <c r="A1435" s="275"/>
      <c r="B1435" s="277"/>
      <c r="C1435" s="275"/>
      <c r="D1435" s="275"/>
      <c r="E1435" s="275"/>
      <c r="F1435" s="275"/>
      <c r="G1435" s="243"/>
      <c r="H1435" s="257"/>
      <c r="I1435" s="257"/>
      <c r="J1435" s="257"/>
      <c r="K1435" s="243"/>
      <c r="L1435" s="257"/>
      <c r="M1435" s="257"/>
      <c r="N1435" s="257"/>
      <c r="O1435" s="257"/>
      <c r="P1435" s="257"/>
      <c r="Q1435" s="243"/>
      <c r="R1435" s="243"/>
      <c r="S1435" s="243"/>
      <c r="T1435" s="243"/>
      <c r="U1435" s="243"/>
      <c r="V1435" s="243"/>
      <c r="W1435" s="243"/>
      <c r="X1435" s="243"/>
      <c r="Y1435" s="243"/>
      <c r="Z1435" s="243"/>
      <c r="AA1435" s="243"/>
      <c r="AB1435" s="243"/>
      <c r="AC1435" s="243"/>
      <c r="AD1435" s="243"/>
      <c r="AE1435" s="243"/>
      <c r="AF1435" s="243"/>
      <c r="AG1435" s="243"/>
      <c r="AH1435" s="29"/>
      <c r="AI1435" s="29"/>
      <c r="AJ1435" s="29"/>
      <c r="AK1435" s="29"/>
      <c r="AL1435" s="29"/>
      <c r="AM1435" s="29"/>
      <c r="AN1435" s="578"/>
      <c r="AO1435" s="579"/>
      <c r="AP1435" s="579"/>
      <c r="AQ1435" s="580"/>
      <c r="AR1435" s="580"/>
      <c r="AS1435" s="580"/>
      <c r="AT1435" s="580"/>
      <c r="AU1435" s="580"/>
      <c r="AV1435" s="580"/>
      <c r="AW1435" s="580"/>
      <c r="AX1435" s="580"/>
      <c r="AY1435" s="580"/>
      <c r="AZ1435" s="580"/>
      <c r="BA1435" s="580"/>
      <c r="BB1435" s="622"/>
      <c r="BC1435" s="622"/>
      <c r="BD1435" s="622"/>
      <c r="BE1435" s="622"/>
    </row>
    <row r="1436" customFormat="false" ht="14.1" hidden="false" customHeight="true" outlineLevel="0" collapsed="false">
      <c r="A1436" s="643" t="s">
        <v>917</v>
      </c>
      <c r="B1436" s="643"/>
      <c r="C1436" s="643"/>
      <c r="D1436" s="643"/>
      <c r="E1436" s="643"/>
      <c r="F1436" s="428" t="s">
        <v>56</v>
      </c>
      <c r="G1436" s="26"/>
      <c r="H1436" s="437"/>
      <c r="I1436" s="437"/>
      <c r="J1436" s="437"/>
      <c r="K1436" s="437"/>
      <c r="L1436" s="437"/>
      <c r="M1436" s="257"/>
      <c r="N1436" s="257"/>
      <c r="O1436" s="257"/>
      <c r="P1436" s="243"/>
      <c r="Q1436" s="165"/>
      <c r="R1436" s="243"/>
      <c r="S1436" s="243"/>
      <c r="T1436" s="243"/>
      <c r="U1436" s="243"/>
      <c r="V1436" s="243"/>
      <c r="W1436" s="243"/>
      <c r="X1436" s="243"/>
      <c r="Y1436" s="243"/>
      <c r="Z1436" s="243"/>
      <c r="AA1436" s="243"/>
      <c r="AB1436" s="243"/>
      <c r="AC1436" s="243"/>
      <c r="AD1436" s="243"/>
      <c r="AE1436" s="243"/>
      <c r="AF1436" s="243"/>
      <c r="AG1436" s="243"/>
      <c r="AH1436" s="29"/>
      <c r="AI1436" s="29"/>
      <c r="AJ1436" s="29"/>
      <c r="AK1436" s="29"/>
      <c r="AL1436" s="29"/>
      <c r="AM1436" s="29"/>
      <c r="AN1436" s="578"/>
      <c r="AO1436" s="579"/>
      <c r="AP1436" s="579"/>
      <c r="AQ1436" s="580"/>
      <c r="AR1436" s="580"/>
      <c r="AS1436" s="580"/>
      <c r="AT1436" s="580"/>
      <c r="AU1436" s="580"/>
      <c r="AV1436" s="127" t="n">
        <f aca="false">M1436</f>
        <v>0</v>
      </c>
      <c r="AW1436" s="580"/>
      <c r="AX1436" s="580"/>
      <c r="AY1436" s="580"/>
      <c r="AZ1436" s="580"/>
      <c r="BA1436" s="580"/>
      <c r="BB1436" s="622"/>
      <c r="BC1436" s="622"/>
      <c r="BD1436" s="622"/>
      <c r="BE1436" s="622"/>
    </row>
    <row r="1437" s="35" customFormat="true" ht="14.1" hidden="false" customHeight="true" outlineLevel="0" collapsed="false">
      <c r="A1437" s="243"/>
      <c r="B1437" s="241"/>
      <c r="C1437" s="243"/>
      <c r="D1437" s="243"/>
      <c r="E1437" s="243"/>
      <c r="F1437" s="243"/>
      <c r="G1437" s="243"/>
      <c r="H1437" s="243"/>
      <c r="I1437" s="243"/>
      <c r="J1437" s="243"/>
      <c r="K1437" s="243"/>
      <c r="L1437" s="243"/>
      <c r="M1437" s="243"/>
      <c r="N1437" s="243"/>
      <c r="O1437" s="243"/>
      <c r="P1437" s="243"/>
      <c r="Q1437" s="243"/>
      <c r="R1437" s="243"/>
      <c r="S1437" s="243"/>
      <c r="T1437" s="243"/>
      <c r="U1437" s="243"/>
      <c r="V1437" s="243"/>
      <c r="W1437" s="243"/>
      <c r="X1437" s="243"/>
      <c r="Y1437" s="243"/>
      <c r="Z1437" s="243"/>
      <c r="AA1437" s="243"/>
      <c r="AB1437" s="243"/>
      <c r="AC1437" s="243"/>
      <c r="AD1437" s="243"/>
      <c r="AE1437" s="243"/>
      <c r="AF1437" s="243"/>
      <c r="AG1437" s="243"/>
      <c r="AH1437" s="29"/>
      <c r="AI1437" s="29"/>
      <c r="AJ1437" s="29"/>
      <c r="AK1437" s="29"/>
      <c r="AL1437" s="29"/>
      <c r="AM1437" s="29"/>
      <c r="AN1437" s="578"/>
      <c r="AO1437" s="579"/>
      <c r="AP1437" s="579"/>
      <c r="AQ1437" s="580"/>
      <c r="AR1437" s="580"/>
      <c r="AS1437" s="580"/>
      <c r="AT1437" s="580"/>
      <c r="AU1437" s="580"/>
      <c r="AV1437" s="580"/>
      <c r="AW1437" s="580"/>
      <c r="AX1437" s="580"/>
      <c r="AY1437" s="580"/>
      <c r="AZ1437" s="580"/>
      <c r="BA1437" s="580"/>
      <c r="BB1437" s="580"/>
      <c r="BC1437" s="580"/>
      <c r="BD1437" s="580"/>
      <c r="BE1437" s="580"/>
      <c r="BF1437" s="156"/>
    </row>
    <row r="1438" customFormat="false" ht="14.1" hidden="true" customHeight="true" outlineLevel="1" collapsed="false">
      <c r="A1438" s="641" t="s">
        <v>918</v>
      </c>
      <c r="B1438" s="641"/>
      <c r="C1438" s="641"/>
      <c r="D1438" s="641"/>
      <c r="E1438" s="641"/>
      <c r="F1438" s="641"/>
      <c r="G1438" s="641"/>
      <c r="H1438" s="440"/>
      <c r="I1438" s="440"/>
      <c r="J1438" s="440"/>
      <c r="K1438" s="440"/>
      <c r="L1438" s="440"/>
      <c r="M1438" s="440"/>
      <c r="N1438" s="440"/>
      <c r="O1438" s="440"/>
      <c r="P1438" s="440"/>
      <c r="Q1438" s="440"/>
      <c r="R1438" s="440"/>
      <c r="S1438" s="440"/>
      <c r="T1438" s="440"/>
      <c r="U1438" s="440"/>
      <c r="V1438" s="440"/>
      <c r="W1438" s="440"/>
      <c r="X1438" s="440"/>
      <c r="Y1438" s="440"/>
      <c r="Z1438" s="440"/>
      <c r="AA1438" s="440"/>
      <c r="AB1438" s="440"/>
      <c r="AC1438" s="440"/>
      <c r="AD1438" s="440"/>
      <c r="AE1438" s="440"/>
      <c r="AF1438" s="440"/>
      <c r="AG1438" s="440"/>
      <c r="AH1438" s="584"/>
      <c r="AI1438" s="584"/>
      <c r="AJ1438" s="29"/>
      <c r="AK1438" s="29"/>
      <c r="AL1438" s="29"/>
      <c r="AM1438" s="29"/>
      <c r="AN1438" s="578"/>
      <c r="AO1438" s="579"/>
      <c r="AP1438" s="579"/>
      <c r="AQ1438" s="580"/>
      <c r="AR1438" s="580"/>
      <c r="AS1438" s="580"/>
      <c r="AT1438" s="580"/>
      <c r="AU1438" s="580"/>
      <c r="AV1438" s="580"/>
      <c r="AW1438" s="580"/>
      <c r="AX1438" s="580"/>
      <c r="AY1438" s="580"/>
      <c r="AZ1438" s="580"/>
      <c r="BA1438" s="580"/>
      <c r="BB1438" s="622"/>
      <c r="BC1438" s="622"/>
      <c r="BD1438" s="622"/>
      <c r="BE1438" s="622"/>
    </row>
    <row r="1439" customFormat="false" ht="14.1" hidden="true" customHeight="true" outlineLevel="1" collapsed="false">
      <c r="A1439" s="641"/>
      <c r="B1439" s="641"/>
      <c r="C1439" s="641"/>
      <c r="D1439" s="641"/>
      <c r="E1439" s="641"/>
      <c r="F1439" s="641"/>
      <c r="G1439" s="641"/>
      <c r="H1439" s="440"/>
      <c r="I1439" s="440"/>
      <c r="J1439" s="440"/>
      <c r="K1439" s="440"/>
      <c r="L1439" s="440"/>
      <c r="M1439" s="440"/>
      <c r="N1439" s="440"/>
      <c r="O1439" s="440"/>
      <c r="P1439" s="440"/>
      <c r="Q1439" s="440"/>
      <c r="R1439" s="440"/>
      <c r="S1439" s="440"/>
      <c r="T1439" s="440"/>
      <c r="U1439" s="440"/>
      <c r="V1439" s="440"/>
      <c r="W1439" s="440"/>
      <c r="X1439" s="440"/>
      <c r="Y1439" s="440"/>
      <c r="Z1439" s="440"/>
      <c r="AA1439" s="440"/>
      <c r="AB1439" s="440"/>
      <c r="AC1439" s="440"/>
      <c r="AD1439" s="440"/>
      <c r="AE1439" s="440"/>
      <c r="AF1439" s="440"/>
      <c r="AG1439" s="440"/>
      <c r="AH1439" s="584"/>
      <c r="AI1439" s="584"/>
      <c r="AJ1439" s="29"/>
      <c r="AK1439" s="29"/>
      <c r="AL1439" s="29"/>
      <c r="AM1439" s="29"/>
      <c r="AN1439" s="578"/>
      <c r="AO1439" s="579"/>
      <c r="AP1439" s="579"/>
      <c r="AQ1439" s="580"/>
      <c r="AR1439" s="580"/>
      <c r="AS1439" s="580"/>
      <c r="AT1439" s="580"/>
      <c r="AU1439" s="580"/>
      <c r="AV1439" s="580"/>
      <c r="AW1439" s="580"/>
      <c r="AX1439" s="580"/>
      <c r="AY1439" s="580"/>
      <c r="AZ1439" s="580"/>
      <c r="BA1439" s="580"/>
      <c r="BB1439" s="622"/>
      <c r="BC1439" s="622"/>
      <c r="BD1439" s="622"/>
      <c r="BE1439" s="622"/>
    </row>
    <row r="1440" customFormat="false" ht="14.1" hidden="true" customHeight="true" outlineLevel="1" collapsed="false">
      <c r="A1440" s="393" t="s">
        <v>461</v>
      </c>
      <c r="B1440" s="570"/>
      <c r="C1440" s="571"/>
      <c r="D1440" s="348" t="n">
        <v>1</v>
      </c>
      <c r="E1440" s="138"/>
      <c r="F1440" s="138"/>
      <c r="G1440" s="468"/>
      <c r="H1440" s="468"/>
      <c r="I1440" s="468"/>
      <c r="J1440" s="468"/>
      <c r="K1440" s="468"/>
      <c r="L1440" s="468"/>
      <c r="M1440" s="468"/>
      <c r="N1440" s="468"/>
      <c r="O1440" s="468"/>
      <c r="P1440" s="468"/>
      <c r="Q1440" s="468"/>
      <c r="R1440" s="468"/>
      <c r="S1440" s="468"/>
      <c r="T1440" s="468"/>
      <c r="U1440" s="468"/>
      <c r="V1440" s="468"/>
      <c r="W1440" s="468"/>
      <c r="X1440" s="468"/>
      <c r="Y1440" s="468"/>
      <c r="Z1440" s="468"/>
      <c r="AA1440" s="468"/>
      <c r="AB1440" s="468"/>
      <c r="AC1440" s="468"/>
      <c r="AD1440" s="468"/>
      <c r="AE1440" s="468"/>
      <c r="AF1440" s="243"/>
      <c r="AG1440" s="243"/>
      <c r="AH1440" s="29"/>
      <c r="AI1440" s="568"/>
      <c r="AJ1440" s="29"/>
      <c r="AK1440" s="29"/>
      <c r="AL1440" s="29"/>
      <c r="AM1440" s="29"/>
      <c r="AN1440" s="578"/>
      <c r="AO1440" s="579"/>
      <c r="AP1440" s="579"/>
      <c r="AQ1440" s="580"/>
      <c r="AR1440" s="580"/>
      <c r="AS1440" s="580"/>
      <c r="AT1440" s="580"/>
      <c r="AU1440" s="580"/>
      <c r="AV1440" s="580"/>
      <c r="AW1440" s="580"/>
      <c r="AX1440" s="580"/>
      <c r="AY1440" s="580"/>
      <c r="AZ1440" s="580"/>
      <c r="BA1440" s="580"/>
      <c r="BB1440" s="581"/>
      <c r="BC1440" s="581"/>
      <c r="BD1440" s="581"/>
      <c r="BE1440" s="581"/>
    </row>
    <row r="1441" customFormat="false" ht="14.1" hidden="true" customHeight="true" outlineLevel="1" collapsed="false">
      <c r="A1441" s="393" t="s">
        <v>462</v>
      </c>
      <c r="B1441" s="570"/>
      <c r="C1441" s="571"/>
      <c r="D1441" s="348" t="n">
        <v>1</v>
      </c>
      <c r="E1441" s="138"/>
      <c r="F1441" s="138"/>
      <c r="G1441" s="468"/>
      <c r="H1441" s="468"/>
      <c r="I1441" s="468"/>
      <c r="J1441" s="468"/>
      <c r="K1441" s="468"/>
      <c r="L1441" s="468"/>
      <c r="M1441" s="468"/>
      <c r="N1441" s="468"/>
      <c r="O1441" s="468"/>
      <c r="P1441" s="468"/>
      <c r="Q1441" s="468"/>
      <c r="R1441" s="468"/>
      <c r="S1441" s="468"/>
      <c r="T1441" s="468"/>
      <c r="U1441" s="468"/>
      <c r="V1441" s="468"/>
      <c r="W1441" s="468"/>
      <c r="X1441" s="468"/>
      <c r="Y1441" s="468"/>
      <c r="Z1441" s="468"/>
      <c r="AA1441" s="468"/>
      <c r="AB1441" s="468"/>
      <c r="AC1441" s="468"/>
      <c r="AD1441" s="468"/>
      <c r="AE1441" s="468"/>
      <c r="AF1441" s="243"/>
      <c r="AG1441" s="243"/>
      <c r="AH1441" s="29"/>
      <c r="AI1441" s="29"/>
      <c r="AJ1441" s="29"/>
      <c r="AK1441" s="29"/>
      <c r="AL1441" s="29"/>
      <c r="AM1441" s="29"/>
      <c r="AN1441" s="578"/>
      <c r="AO1441" s="579"/>
      <c r="AP1441" s="579"/>
      <c r="AQ1441" s="580"/>
      <c r="AR1441" s="580"/>
      <c r="AS1441" s="580"/>
      <c r="AT1441" s="580"/>
      <c r="AU1441" s="580"/>
      <c r="AV1441" s="580"/>
      <c r="AW1441" s="580"/>
      <c r="AX1441" s="580"/>
      <c r="AY1441" s="580"/>
      <c r="AZ1441" s="580"/>
      <c r="BA1441" s="580"/>
      <c r="BB1441" s="581"/>
      <c r="BC1441" s="581"/>
      <c r="BD1441" s="581"/>
      <c r="BE1441" s="581"/>
    </row>
    <row r="1442" customFormat="false" ht="14.1" hidden="true" customHeight="true" outlineLevel="1" collapsed="false">
      <c r="A1442" s="138"/>
      <c r="B1442" s="481"/>
      <c r="C1442" s="467"/>
      <c r="D1442" s="467"/>
      <c r="E1442" s="467"/>
      <c r="F1442" s="467"/>
      <c r="G1442" s="468"/>
      <c r="H1442" s="468"/>
      <c r="I1442" s="468"/>
      <c r="J1442" s="468"/>
      <c r="K1442" s="468"/>
      <c r="L1442" s="468"/>
      <c r="M1442" s="468"/>
      <c r="N1442" s="468"/>
      <c r="O1442" s="468"/>
      <c r="P1442" s="468"/>
      <c r="Q1442" s="468"/>
      <c r="R1442" s="468"/>
      <c r="S1442" s="468"/>
      <c r="T1442" s="468"/>
      <c r="U1442" s="468"/>
      <c r="V1442" s="468"/>
      <c r="W1442" s="468"/>
      <c r="X1442" s="468"/>
      <c r="Y1442" s="384"/>
      <c r="Z1442" s="384"/>
      <c r="AA1442" s="383"/>
      <c r="AB1442" s="384"/>
      <c r="AC1442" s="384"/>
      <c r="AD1442" s="384"/>
      <c r="AE1442" s="384"/>
      <c r="AF1442" s="243"/>
      <c r="AG1442" s="243"/>
      <c r="AH1442" s="29"/>
      <c r="AI1442" s="29"/>
      <c r="AJ1442" s="29"/>
      <c r="AK1442" s="29"/>
      <c r="AL1442" s="29"/>
      <c r="AM1442" s="29"/>
      <c r="AN1442" s="578"/>
      <c r="AO1442" s="579"/>
      <c r="AP1442" s="579"/>
      <c r="AQ1442" s="580"/>
      <c r="AR1442" s="580"/>
      <c r="AS1442" s="580"/>
      <c r="AT1442" s="580"/>
      <c r="AU1442" s="580"/>
      <c r="AV1442" s="580"/>
      <c r="AW1442" s="580"/>
      <c r="AX1442" s="580"/>
      <c r="AY1442" s="580"/>
      <c r="AZ1442" s="580"/>
      <c r="BA1442" s="580"/>
      <c r="BB1442" s="581"/>
      <c r="BC1442" s="581"/>
      <c r="BD1442" s="581"/>
      <c r="BE1442" s="581"/>
    </row>
    <row r="1443" customFormat="false" ht="14.1" hidden="true" customHeight="true" outlineLevel="1" collapsed="false">
      <c r="A1443" s="292" t="s">
        <v>161</v>
      </c>
      <c r="B1443" s="180" t="s">
        <v>12</v>
      </c>
      <c r="C1443" s="292" t="s">
        <v>13</v>
      </c>
      <c r="D1443" s="467"/>
      <c r="E1443" s="467"/>
      <c r="F1443" s="467"/>
      <c r="G1443" s="468"/>
      <c r="H1443" s="468"/>
      <c r="I1443" s="468"/>
      <c r="J1443" s="468"/>
      <c r="K1443" s="468"/>
      <c r="L1443" s="468"/>
      <c r="M1443" s="468"/>
      <c r="N1443" s="468"/>
      <c r="O1443" s="468"/>
      <c r="P1443" s="468"/>
      <c r="Q1443" s="468"/>
      <c r="R1443" s="468"/>
      <c r="S1443" s="468"/>
      <c r="T1443" s="468"/>
      <c r="U1443" s="468"/>
      <c r="V1443" s="468"/>
      <c r="W1443" s="468"/>
      <c r="X1443" s="468"/>
      <c r="Y1443" s="384"/>
      <c r="Z1443" s="384"/>
      <c r="AA1443" s="384"/>
      <c r="AB1443" s="384"/>
      <c r="AC1443" s="384"/>
      <c r="AD1443" s="384"/>
      <c r="AE1443" s="384"/>
      <c r="AF1443" s="243"/>
      <c r="AG1443" s="243"/>
      <c r="AH1443" s="29"/>
      <c r="AI1443" s="29"/>
      <c r="AJ1443" s="29"/>
      <c r="AK1443" s="29"/>
      <c r="AL1443" s="29"/>
      <c r="AM1443" s="29"/>
      <c r="AN1443" s="578"/>
      <c r="AO1443" s="579"/>
      <c r="AP1443" s="579"/>
      <c r="AQ1443" s="580"/>
      <c r="AR1443" s="580"/>
      <c r="AS1443" s="580"/>
      <c r="AT1443" s="580"/>
      <c r="AU1443" s="580"/>
      <c r="AV1443" s="580"/>
      <c r="AW1443" s="580"/>
      <c r="AX1443" s="580"/>
      <c r="AY1443" s="580"/>
      <c r="AZ1443" s="580"/>
      <c r="BA1443" s="580"/>
      <c r="BB1443" s="581"/>
      <c r="BC1443" s="581"/>
      <c r="BD1443" s="581"/>
      <c r="BE1443" s="581"/>
    </row>
    <row r="1444" customFormat="false" ht="14.1" hidden="true" customHeight="true" outlineLevel="1" collapsed="false">
      <c r="A1444" s="163" t="s">
        <v>919</v>
      </c>
      <c r="B1444" s="119" t="s">
        <v>48</v>
      </c>
      <c r="C1444" s="428" t="s">
        <v>44</v>
      </c>
      <c r="D1444" s="275"/>
      <c r="E1444" s="138"/>
      <c r="F1444" s="138"/>
      <c r="G1444" s="589"/>
      <c r="H1444" s="243"/>
      <c r="I1444" s="522"/>
      <c r="J1444" s="522"/>
      <c r="K1444" s="522"/>
      <c r="L1444" s="522"/>
      <c r="M1444" s="522"/>
      <c r="N1444" s="522"/>
      <c r="O1444" s="522"/>
      <c r="P1444" s="243"/>
      <c r="Q1444" s="243"/>
      <c r="R1444" s="243"/>
      <c r="S1444" s="243"/>
      <c r="T1444" s="243"/>
      <c r="U1444" s="243"/>
      <c r="V1444" s="243"/>
      <c r="W1444" s="243"/>
      <c r="X1444" s="243"/>
      <c r="Y1444" s="243"/>
      <c r="Z1444" s="243"/>
      <c r="AA1444" s="243"/>
      <c r="AB1444" s="243"/>
      <c r="AC1444" s="243"/>
      <c r="AD1444" s="243"/>
      <c r="AE1444" s="243"/>
      <c r="AF1444" s="243"/>
      <c r="AG1444" s="243"/>
      <c r="AH1444" s="29"/>
      <c r="AI1444" s="29"/>
      <c r="AJ1444" s="29"/>
      <c r="AK1444" s="29"/>
      <c r="AL1444" s="29"/>
      <c r="AM1444" s="29"/>
      <c r="AN1444" s="578"/>
      <c r="AO1444" s="579"/>
      <c r="AP1444" s="579"/>
      <c r="AQ1444" s="580"/>
      <c r="AR1444" s="580"/>
      <c r="AS1444" s="580"/>
      <c r="AT1444" s="580"/>
      <c r="AU1444" s="580"/>
      <c r="AV1444" s="580"/>
      <c r="AW1444" s="580"/>
      <c r="AX1444" s="580"/>
      <c r="AY1444" s="580"/>
      <c r="AZ1444" s="580"/>
      <c r="BA1444" s="580"/>
      <c r="BB1444" s="622"/>
      <c r="BC1444" s="622"/>
      <c r="BD1444" s="622"/>
      <c r="BE1444" s="622"/>
    </row>
    <row r="1445" customFormat="false" ht="14.1" hidden="true" customHeight="true" outlineLevel="1" collapsed="false">
      <c r="A1445" s="163" t="s">
        <v>920</v>
      </c>
      <c r="B1445" s="119" t="s">
        <v>48</v>
      </c>
      <c r="C1445" s="428" t="s">
        <v>44</v>
      </c>
      <c r="D1445" s="275"/>
      <c r="E1445" s="138"/>
      <c r="F1445" s="138"/>
      <c r="G1445" s="589"/>
      <c r="H1445" s="243"/>
      <c r="I1445" s="522"/>
      <c r="J1445" s="522"/>
      <c r="K1445" s="522"/>
      <c r="L1445" s="522"/>
      <c r="M1445" s="522"/>
      <c r="N1445" s="522"/>
      <c r="O1445" s="522"/>
      <c r="P1445" s="243"/>
      <c r="Q1445" s="243"/>
      <c r="R1445" s="243"/>
      <c r="S1445" s="243"/>
      <c r="T1445" s="243"/>
      <c r="U1445" s="243"/>
      <c r="V1445" s="243"/>
      <c r="W1445" s="243"/>
      <c r="X1445" s="243"/>
      <c r="Y1445" s="243"/>
      <c r="Z1445" s="243"/>
      <c r="AA1445" s="243"/>
      <c r="AB1445" s="243"/>
      <c r="AC1445" s="243"/>
      <c r="AD1445" s="243"/>
      <c r="AE1445" s="243"/>
      <c r="AF1445" s="243"/>
      <c r="AG1445" s="243"/>
      <c r="AH1445" s="29"/>
      <c r="AI1445" s="29"/>
      <c r="AJ1445" s="29"/>
      <c r="AK1445" s="29"/>
      <c r="AL1445" s="29"/>
      <c r="AM1445" s="29"/>
      <c r="AN1445" s="578"/>
      <c r="AO1445" s="579"/>
      <c r="AP1445" s="579"/>
      <c r="AQ1445" s="580"/>
      <c r="AR1445" s="580"/>
      <c r="AS1445" s="580"/>
      <c r="AT1445" s="580"/>
      <c r="AU1445" s="580"/>
      <c r="AV1445" s="580"/>
      <c r="AW1445" s="580"/>
      <c r="AX1445" s="580"/>
      <c r="AY1445" s="580"/>
      <c r="AZ1445" s="580"/>
      <c r="BA1445" s="580"/>
      <c r="BB1445" s="622"/>
      <c r="BC1445" s="622"/>
      <c r="BD1445" s="622"/>
      <c r="BE1445" s="622"/>
    </row>
    <row r="1446" customFormat="false" ht="14.1" hidden="true" customHeight="true" outlineLevel="1" collapsed="false">
      <c r="A1446" s="163" t="s">
        <v>921</v>
      </c>
      <c r="B1446" s="119" t="s">
        <v>48</v>
      </c>
      <c r="C1446" s="428" t="s">
        <v>44</v>
      </c>
      <c r="D1446" s="275"/>
      <c r="E1446" s="138"/>
      <c r="F1446" s="138"/>
      <c r="G1446" s="589"/>
      <c r="H1446" s="243"/>
      <c r="I1446" s="522"/>
      <c r="J1446" s="522"/>
      <c r="K1446" s="522"/>
      <c r="L1446" s="522"/>
      <c r="M1446" s="522"/>
      <c r="N1446" s="522"/>
      <c r="O1446" s="522"/>
      <c r="P1446" s="243"/>
      <c r="Q1446" s="243"/>
      <c r="R1446" s="243"/>
      <c r="S1446" s="243"/>
      <c r="T1446" s="243"/>
      <c r="U1446" s="243"/>
      <c r="V1446" s="243"/>
      <c r="W1446" s="243"/>
      <c r="X1446" s="243"/>
      <c r="Y1446" s="243"/>
      <c r="Z1446" s="243"/>
      <c r="AA1446" s="243"/>
      <c r="AB1446" s="243"/>
      <c r="AC1446" s="243"/>
      <c r="AD1446" s="243"/>
      <c r="AE1446" s="243"/>
      <c r="AF1446" s="243"/>
      <c r="AG1446" s="243"/>
      <c r="AH1446" s="29"/>
      <c r="AI1446" s="29"/>
      <c r="AJ1446" s="29"/>
      <c r="AK1446" s="29"/>
      <c r="AL1446" s="29"/>
      <c r="AM1446" s="29"/>
      <c r="AN1446" s="578"/>
      <c r="AO1446" s="579"/>
      <c r="AP1446" s="579"/>
      <c r="AQ1446" s="580"/>
      <c r="AR1446" s="580"/>
      <c r="AS1446" s="580"/>
      <c r="AT1446" s="580"/>
      <c r="AU1446" s="580"/>
      <c r="AV1446" s="580"/>
      <c r="AW1446" s="580"/>
      <c r="AX1446" s="580"/>
      <c r="AY1446" s="580"/>
      <c r="AZ1446" s="580"/>
      <c r="BA1446" s="580"/>
      <c r="BB1446" s="622"/>
      <c r="BC1446" s="622"/>
      <c r="BD1446" s="622"/>
      <c r="BE1446" s="622"/>
    </row>
    <row r="1447" customFormat="false" ht="14.1" hidden="true" customHeight="true" outlineLevel="1" collapsed="false">
      <c r="A1447" s="163" t="s">
        <v>922</v>
      </c>
      <c r="B1447" s="119" t="s">
        <v>48</v>
      </c>
      <c r="C1447" s="428" t="s">
        <v>44</v>
      </c>
      <c r="D1447" s="275"/>
      <c r="E1447" s="138"/>
      <c r="F1447" s="138"/>
      <c r="G1447" s="589"/>
      <c r="H1447" s="243"/>
      <c r="I1447" s="522"/>
      <c r="J1447" s="522"/>
      <c r="K1447" s="522"/>
      <c r="L1447" s="522"/>
      <c r="M1447" s="522"/>
      <c r="N1447" s="522"/>
      <c r="O1447" s="522"/>
      <c r="P1447" s="243"/>
      <c r="Q1447" s="243"/>
      <c r="R1447" s="243"/>
      <c r="S1447" s="243"/>
      <c r="T1447" s="243"/>
      <c r="U1447" s="243"/>
      <c r="V1447" s="243"/>
      <c r="W1447" s="243"/>
      <c r="X1447" s="243"/>
      <c r="Y1447" s="243"/>
      <c r="Z1447" s="243"/>
      <c r="AA1447" s="243"/>
      <c r="AB1447" s="243"/>
      <c r="AC1447" s="243"/>
      <c r="AD1447" s="243"/>
      <c r="AE1447" s="243"/>
      <c r="AF1447" s="243"/>
      <c r="AG1447" s="243"/>
      <c r="AH1447" s="29"/>
      <c r="AI1447" s="29"/>
      <c r="AJ1447" s="29"/>
      <c r="AK1447" s="29"/>
      <c r="AL1447" s="29"/>
      <c r="AM1447" s="29"/>
      <c r="AN1447" s="578"/>
      <c r="AO1447" s="579"/>
      <c r="AP1447" s="579"/>
      <c r="AQ1447" s="580"/>
      <c r="AR1447" s="580"/>
      <c r="AS1447" s="580"/>
      <c r="AT1447" s="580"/>
      <c r="AU1447" s="580"/>
      <c r="AV1447" s="580"/>
      <c r="AW1447" s="580"/>
      <c r="AX1447" s="580"/>
      <c r="AY1447" s="580"/>
      <c r="AZ1447" s="580"/>
      <c r="BA1447" s="580"/>
      <c r="BB1447" s="622"/>
      <c r="BC1447" s="622"/>
      <c r="BD1447" s="622"/>
      <c r="BE1447" s="622"/>
    </row>
    <row r="1448" customFormat="false" ht="14.1" hidden="true" customHeight="true" outlineLevel="1" collapsed="false">
      <c r="A1448" s="163" t="s">
        <v>923</v>
      </c>
      <c r="B1448" s="119" t="s">
        <v>48</v>
      </c>
      <c r="C1448" s="428" t="s">
        <v>44</v>
      </c>
      <c r="D1448" s="275"/>
      <c r="E1448" s="138"/>
      <c r="F1448" s="138"/>
      <c r="G1448" s="589"/>
      <c r="H1448" s="243"/>
      <c r="I1448" s="522"/>
      <c r="J1448" s="522"/>
      <c r="K1448" s="522"/>
      <c r="L1448" s="522"/>
      <c r="M1448" s="522"/>
      <c r="N1448" s="522"/>
      <c r="O1448" s="522"/>
      <c r="P1448" s="243"/>
      <c r="Q1448" s="243"/>
      <c r="R1448" s="243"/>
      <c r="S1448" s="243"/>
      <c r="T1448" s="243"/>
      <c r="U1448" s="243"/>
      <c r="V1448" s="243"/>
      <c r="W1448" s="243"/>
      <c r="X1448" s="243"/>
      <c r="Y1448" s="243"/>
      <c r="Z1448" s="243"/>
      <c r="AA1448" s="243"/>
      <c r="AB1448" s="243"/>
      <c r="AC1448" s="243"/>
      <c r="AD1448" s="243"/>
      <c r="AE1448" s="243"/>
      <c r="AF1448" s="243"/>
      <c r="AG1448" s="243"/>
      <c r="AH1448" s="29"/>
      <c r="AI1448" s="29"/>
      <c r="AJ1448" s="29"/>
      <c r="AK1448" s="29"/>
      <c r="AL1448" s="29"/>
      <c r="AM1448" s="29"/>
      <c r="AN1448" s="578"/>
      <c r="AO1448" s="579"/>
      <c r="AP1448" s="579"/>
      <c r="AQ1448" s="580"/>
      <c r="AR1448" s="580"/>
      <c r="AS1448" s="580"/>
      <c r="AT1448" s="580"/>
      <c r="AU1448" s="580"/>
      <c r="AV1448" s="580"/>
      <c r="AW1448" s="580"/>
      <c r="AX1448" s="580"/>
      <c r="AY1448" s="580"/>
      <c r="AZ1448" s="580"/>
      <c r="BA1448" s="580"/>
      <c r="BB1448" s="622"/>
      <c r="BC1448" s="622"/>
      <c r="BD1448" s="622"/>
      <c r="BE1448" s="622"/>
    </row>
    <row r="1449" s="56" customFormat="true" ht="14.1" hidden="true" customHeight="true" outlineLevel="1" collapsed="false">
      <c r="A1449" s="275"/>
      <c r="B1449" s="277"/>
      <c r="C1449" s="301"/>
      <c r="D1449" s="275"/>
      <c r="E1449" s="278"/>
      <c r="F1449" s="278"/>
      <c r="G1449" s="589"/>
      <c r="H1449" s="243"/>
      <c r="I1449" s="522"/>
      <c r="J1449" s="522"/>
      <c r="K1449" s="522"/>
      <c r="L1449" s="522"/>
      <c r="M1449" s="522"/>
      <c r="N1449" s="522"/>
      <c r="O1449" s="522"/>
      <c r="P1449" s="243"/>
      <c r="Q1449" s="243"/>
      <c r="R1449" s="243"/>
      <c r="S1449" s="243"/>
      <c r="T1449" s="243"/>
      <c r="U1449" s="243"/>
      <c r="V1449" s="243"/>
      <c r="W1449" s="243"/>
      <c r="X1449" s="243"/>
      <c r="Y1449" s="243"/>
      <c r="Z1449" s="243"/>
      <c r="AA1449" s="243"/>
      <c r="AB1449" s="243"/>
      <c r="AC1449" s="243"/>
      <c r="AD1449" s="243"/>
      <c r="AE1449" s="243"/>
      <c r="AF1449" s="243"/>
      <c r="AG1449" s="243"/>
      <c r="AH1449" s="29"/>
      <c r="AI1449" s="29"/>
      <c r="AJ1449" s="29"/>
      <c r="AK1449" s="29"/>
      <c r="AL1449" s="29"/>
      <c r="AM1449" s="29"/>
      <c r="AN1449" s="29"/>
      <c r="AO1449" s="567"/>
      <c r="AP1449" s="567"/>
      <c r="AQ1449" s="568"/>
      <c r="AR1449" s="568"/>
      <c r="AS1449" s="568"/>
      <c r="AT1449" s="568"/>
      <c r="AU1449" s="568"/>
      <c r="AV1449" s="568"/>
      <c r="AW1449" s="568"/>
      <c r="AX1449" s="568"/>
      <c r="AY1449" s="568"/>
      <c r="AZ1449" s="568"/>
      <c r="BA1449" s="568"/>
      <c r="BB1449" s="569"/>
      <c r="BC1449" s="569"/>
      <c r="BD1449" s="569"/>
      <c r="BE1449" s="569"/>
      <c r="BF1449" s="55"/>
    </row>
    <row r="1450" s="56" customFormat="true" ht="14.1" hidden="true" customHeight="true" outlineLevel="1" collapsed="false">
      <c r="A1450" s="138" t="s">
        <v>749</v>
      </c>
      <c r="B1450" s="235"/>
      <c r="C1450" s="138"/>
      <c r="D1450" s="275"/>
      <c r="E1450" s="278"/>
      <c r="F1450" s="278"/>
      <c r="G1450" s="589"/>
      <c r="H1450" s="243"/>
      <c r="I1450" s="522"/>
      <c r="J1450" s="522"/>
      <c r="K1450" s="522"/>
      <c r="L1450" s="522"/>
      <c r="M1450" s="522"/>
      <c r="N1450" s="522"/>
      <c r="O1450" s="522"/>
      <c r="P1450" s="243"/>
      <c r="Q1450" s="243"/>
      <c r="R1450" s="243"/>
      <c r="S1450" s="243"/>
      <c r="T1450" s="243"/>
      <c r="U1450" s="243"/>
      <c r="V1450" s="243"/>
      <c r="W1450" s="243"/>
      <c r="X1450" s="243"/>
      <c r="Y1450" s="243"/>
      <c r="Z1450" s="243"/>
      <c r="AA1450" s="243"/>
      <c r="AB1450" s="243"/>
      <c r="AC1450" s="243"/>
      <c r="AD1450" s="243"/>
      <c r="AE1450" s="243"/>
      <c r="AF1450" s="243"/>
      <c r="AG1450" s="243"/>
      <c r="AH1450" s="29"/>
      <c r="AI1450" s="29"/>
      <c r="AJ1450" s="29"/>
      <c r="AK1450" s="29"/>
      <c r="AL1450" s="29"/>
      <c r="AM1450" s="29"/>
      <c r="AN1450" s="29"/>
      <c r="AO1450" s="567"/>
      <c r="AP1450" s="567"/>
      <c r="AQ1450" s="568"/>
      <c r="AR1450" s="568"/>
      <c r="AS1450" s="568"/>
      <c r="AT1450" s="568"/>
      <c r="AU1450" s="568"/>
      <c r="AV1450" s="568"/>
      <c r="AW1450" s="568"/>
      <c r="AX1450" s="568"/>
      <c r="AY1450" s="568"/>
      <c r="AZ1450" s="568"/>
      <c r="BA1450" s="568"/>
      <c r="BB1450" s="569"/>
      <c r="BC1450" s="569"/>
      <c r="BD1450" s="569"/>
      <c r="BE1450" s="569"/>
      <c r="BF1450" s="55"/>
    </row>
    <row r="1451" s="56" customFormat="true" ht="14.1" hidden="true" customHeight="true" outlineLevel="1" collapsed="false">
      <c r="A1451" s="149" t="s">
        <v>226</v>
      </c>
      <c r="B1451" s="616" t="s">
        <v>502</v>
      </c>
      <c r="C1451" s="163" t="n">
        <v>4</v>
      </c>
      <c r="D1451" s="275"/>
      <c r="E1451" s="278"/>
      <c r="F1451" s="278"/>
      <c r="G1451" s="589"/>
      <c r="H1451" s="243"/>
      <c r="I1451" s="522"/>
      <c r="J1451" s="522"/>
      <c r="K1451" s="522"/>
      <c r="L1451" s="522"/>
      <c r="M1451" s="522"/>
      <c r="N1451" s="522"/>
      <c r="O1451" s="522"/>
      <c r="P1451" s="243"/>
      <c r="Q1451" s="243"/>
      <c r="R1451" s="243"/>
      <c r="S1451" s="243"/>
      <c r="T1451" s="243"/>
      <c r="U1451" s="243"/>
      <c r="V1451" s="243"/>
      <c r="W1451" s="243"/>
      <c r="X1451" s="243"/>
      <c r="Y1451" s="243"/>
      <c r="Z1451" s="243"/>
      <c r="AA1451" s="243"/>
      <c r="AB1451" s="243"/>
      <c r="AC1451" s="243"/>
      <c r="AD1451" s="243"/>
      <c r="AE1451" s="243"/>
      <c r="AF1451" s="243"/>
      <c r="AG1451" s="243"/>
      <c r="AH1451" s="29"/>
      <c r="AI1451" s="29"/>
      <c r="AJ1451" s="29"/>
      <c r="AK1451" s="29"/>
      <c r="AL1451" s="29"/>
      <c r="AM1451" s="29"/>
      <c r="AN1451" s="29"/>
      <c r="AO1451" s="567"/>
      <c r="AP1451" s="567"/>
      <c r="AQ1451" s="568"/>
      <c r="AR1451" s="568"/>
      <c r="AS1451" s="568"/>
      <c r="AT1451" s="568"/>
      <c r="AU1451" s="568"/>
      <c r="AV1451" s="568"/>
      <c r="AW1451" s="568"/>
      <c r="AX1451" s="568"/>
      <c r="AY1451" s="568"/>
      <c r="AZ1451" s="568"/>
      <c r="BA1451" s="568"/>
      <c r="BB1451" s="569"/>
      <c r="BC1451" s="569"/>
      <c r="BD1451" s="569"/>
      <c r="BE1451" s="569"/>
      <c r="BF1451" s="55"/>
    </row>
    <row r="1452" s="56" customFormat="true" ht="14.1" hidden="true" customHeight="true" outlineLevel="1" collapsed="false">
      <c r="A1452" s="147" t="s">
        <v>226</v>
      </c>
      <c r="B1452" s="616" t="s">
        <v>502</v>
      </c>
      <c r="C1452" s="348" t="n">
        <v>0</v>
      </c>
      <c r="D1452" s="275"/>
      <c r="E1452" s="278"/>
      <c r="F1452" s="278"/>
      <c r="G1452" s="589"/>
      <c r="H1452" s="243"/>
      <c r="I1452" s="522"/>
      <c r="J1452" s="522"/>
      <c r="K1452" s="522"/>
      <c r="L1452" s="522"/>
      <c r="M1452" s="522"/>
      <c r="N1452" s="522"/>
      <c r="O1452" s="522"/>
      <c r="P1452" s="243"/>
      <c r="Q1452" s="243"/>
      <c r="R1452" s="243"/>
      <c r="S1452" s="243"/>
      <c r="T1452" s="243"/>
      <c r="U1452" s="243"/>
      <c r="V1452" s="243"/>
      <c r="W1452" s="243"/>
      <c r="X1452" s="243"/>
      <c r="Y1452" s="243"/>
      <c r="Z1452" s="243"/>
      <c r="AA1452" s="243"/>
      <c r="AB1452" s="243"/>
      <c r="AC1452" s="243"/>
      <c r="AD1452" s="243"/>
      <c r="AE1452" s="243"/>
      <c r="AF1452" s="243"/>
      <c r="AG1452" s="243"/>
      <c r="AH1452" s="29"/>
      <c r="AI1452" s="29"/>
      <c r="AJ1452" s="29"/>
      <c r="AK1452" s="29"/>
      <c r="AL1452" s="29"/>
      <c r="AM1452" s="29"/>
      <c r="AN1452" s="29"/>
      <c r="AO1452" s="567"/>
      <c r="AP1452" s="567"/>
      <c r="AQ1452" s="568"/>
      <c r="AR1452" s="568"/>
      <c r="AS1452" s="568"/>
      <c r="AT1452" s="568"/>
      <c r="AU1452" s="568"/>
      <c r="AV1452" s="568"/>
      <c r="AW1452" s="568"/>
      <c r="AX1452" s="568"/>
      <c r="AY1452" s="568"/>
      <c r="AZ1452" s="568"/>
      <c r="BA1452" s="568"/>
      <c r="BB1452" s="569"/>
      <c r="BC1452" s="569"/>
      <c r="BD1452" s="569"/>
      <c r="BE1452" s="569"/>
      <c r="BF1452" s="55"/>
    </row>
    <row r="1453" customFormat="false" ht="14.1" hidden="true" customHeight="true" outlineLevel="1" collapsed="false">
      <c r="A1453" s="275"/>
      <c r="B1453" s="277"/>
      <c r="C1453" s="301"/>
      <c r="D1453" s="275"/>
      <c r="E1453" s="138"/>
      <c r="F1453" s="138"/>
      <c r="G1453" s="589"/>
      <c r="H1453" s="257"/>
      <c r="I1453" s="257"/>
      <c r="J1453" s="257"/>
      <c r="K1453" s="257"/>
      <c r="L1453" s="257"/>
      <c r="M1453" s="257"/>
      <c r="N1453" s="257"/>
      <c r="O1453" s="257"/>
      <c r="P1453" s="257"/>
      <c r="Q1453" s="257"/>
      <c r="R1453" s="243"/>
      <c r="S1453" s="243"/>
      <c r="T1453" s="243"/>
      <c r="U1453" s="243"/>
      <c r="V1453" s="243"/>
      <c r="W1453" s="243"/>
      <c r="X1453" s="243"/>
      <c r="Y1453" s="243"/>
      <c r="Z1453" s="243"/>
      <c r="AA1453" s="243"/>
      <c r="AB1453" s="243"/>
      <c r="AC1453" s="243"/>
      <c r="AD1453" s="243"/>
      <c r="AE1453" s="243"/>
      <c r="AF1453" s="243"/>
      <c r="AG1453" s="243"/>
      <c r="AH1453" s="29"/>
      <c r="AI1453" s="29"/>
      <c r="AJ1453" s="29"/>
      <c r="AK1453" s="29"/>
      <c r="AL1453" s="29"/>
      <c r="AM1453" s="29"/>
      <c r="AN1453" s="578"/>
      <c r="AO1453" s="579"/>
      <c r="AP1453" s="579"/>
      <c r="AQ1453" s="580"/>
      <c r="AR1453" s="580"/>
      <c r="AS1453" s="580"/>
      <c r="AT1453" s="580"/>
      <c r="AU1453" s="580"/>
      <c r="AV1453" s="580"/>
      <c r="AW1453" s="580"/>
      <c r="AX1453" s="580"/>
      <c r="AY1453" s="580"/>
      <c r="AZ1453" s="580"/>
      <c r="BA1453" s="580"/>
      <c r="BB1453" s="622"/>
      <c r="BC1453" s="622"/>
      <c r="BD1453" s="622"/>
      <c r="BE1453" s="622"/>
    </row>
    <row r="1454" customFormat="false" ht="14.1" hidden="true" customHeight="true" outlineLevel="1" collapsed="false">
      <c r="A1454" s="163" t="s">
        <v>924</v>
      </c>
      <c r="B1454" s="119" t="s">
        <v>113</v>
      </c>
      <c r="C1454" s="435" t="n">
        <v>5000</v>
      </c>
      <c r="D1454" s="275"/>
      <c r="E1454" s="138"/>
      <c r="F1454" s="138"/>
      <c r="G1454" s="589"/>
      <c r="H1454" s="257"/>
      <c r="I1454" s="257"/>
      <c r="J1454" s="257"/>
      <c r="K1454" s="257"/>
      <c r="L1454" s="257"/>
      <c r="M1454" s="257"/>
      <c r="N1454" s="257"/>
      <c r="O1454" s="257"/>
      <c r="P1454" s="243"/>
      <c r="Q1454" s="243"/>
      <c r="R1454" s="243"/>
      <c r="S1454" s="243"/>
      <c r="T1454" s="243"/>
      <c r="U1454" s="243"/>
      <c r="V1454" s="243"/>
      <c r="W1454" s="243"/>
      <c r="X1454" s="243"/>
      <c r="Y1454" s="243"/>
      <c r="Z1454" s="243"/>
      <c r="AA1454" s="243"/>
      <c r="AB1454" s="243"/>
      <c r="AC1454" s="243"/>
      <c r="AD1454" s="243"/>
      <c r="AE1454" s="243"/>
      <c r="AF1454" s="243"/>
      <c r="AG1454" s="243"/>
      <c r="AH1454" s="29"/>
      <c r="AI1454" s="29"/>
      <c r="AJ1454" s="29"/>
      <c r="AK1454" s="29"/>
      <c r="AL1454" s="29"/>
      <c r="AM1454" s="29"/>
      <c r="AN1454" s="578"/>
      <c r="AO1454" s="579"/>
      <c r="AP1454" s="579"/>
      <c r="AQ1454" s="580"/>
      <c r="AR1454" s="580"/>
      <c r="AS1454" s="580"/>
      <c r="AT1454" s="580"/>
      <c r="AU1454" s="580"/>
      <c r="AV1454" s="580"/>
      <c r="AW1454" s="580"/>
      <c r="AX1454" s="580"/>
      <c r="AY1454" s="580"/>
      <c r="AZ1454" s="580"/>
      <c r="BA1454" s="580"/>
      <c r="BB1454" s="622"/>
      <c r="BC1454" s="622"/>
      <c r="BD1454" s="622"/>
      <c r="BE1454" s="622"/>
    </row>
    <row r="1455" customFormat="false" ht="14.1" hidden="true" customHeight="true" outlineLevel="1" collapsed="false">
      <c r="A1455" s="275"/>
      <c r="B1455" s="277"/>
      <c r="C1455" s="275"/>
      <c r="D1455" s="275"/>
      <c r="E1455" s="138"/>
      <c r="F1455" s="138"/>
      <c r="G1455" s="589"/>
      <c r="H1455" s="257"/>
      <c r="I1455" s="257"/>
      <c r="J1455" s="257"/>
      <c r="K1455" s="257"/>
      <c r="L1455" s="257"/>
      <c r="M1455" s="257"/>
      <c r="N1455" s="257"/>
      <c r="O1455" s="257"/>
      <c r="P1455" s="243"/>
      <c r="Q1455" s="243"/>
      <c r="R1455" s="243"/>
      <c r="S1455" s="243"/>
      <c r="T1455" s="243"/>
      <c r="U1455" s="243"/>
      <c r="V1455" s="243"/>
      <c r="W1455" s="243"/>
      <c r="X1455" s="243"/>
      <c r="Y1455" s="243"/>
      <c r="Z1455" s="243"/>
      <c r="AA1455" s="243"/>
      <c r="AB1455" s="243"/>
      <c r="AC1455" s="243"/>
      <c r="AD1455" s="243"/>
      <c r="AE1455" s="243"/>
      <c r="AF1455" s="243"/>
      <c r="AG1455" s="243"/>
      <c r="AH1455" s="29"/>
      <c r="AI1455" s="29"/>
      <c r="AJ1455" s="29"/>
      <c r="AK1455" s="29"/>
      <c r="AL1455" s="29"/>
      <c r="AM1455" s="29"/>
      <c r="AN1455" s="578"/>
      <c r="AO1455" s="579"/>
      <c r="AP1455" s="579"/>
      <c r="AQ1455" s="580"/>
      <c r="AR1455" s="580"/>
      <c r="AS1455" s="580"/>
      <c r="AT1455" s="580"/>
      <c r="AU1455" s="580"/>
      <c r="AV1455" s="580"/>
      <c r="AW1455" s="580"/>
      <c r="AX1455" s="580"/>
      <c r="AY1455" s="580"/>
      <c r="AZ1455" s="580"/>
      <c r="BA1455" s="580"/>
      <c r="BB1455" s="622"/>
      <c r="BC1455" s="622"/>
      <c r="BD1455" s="622"/>
      <c r="BE1455" s="622"/>
    </row>
    <row r="1456" customFormat="false" ht="14.1" hidden="false" customHeight="true" outlineLevel="0" collapsed="false">
      <c r="A1456" s="643" t="s">
        <v>925</v>
      </c>
      <c r="B1456" s="643"/>
      <c r="C1456" s="643"/>
      <c r="D1456" s="643"/>
      <c r="E1456" s="643"/>
      <c r="F1456" s="428" t="s">
        <v>56</v>
      </c>
      <c r="G1456" s="26"/>
      <c r="H1456" s="437"/>
      <c r="I1456" s="437"/>
      <c r="J1456" s="437"/>
      <c r="K1456" s="437"/>
      <c r="L1456" s="437"/>
      <c r="M1456" s="257"/>
      <c r="N1456" s="257"/>
      <c r="O1456" s="257"/>
      <c r="P1456" s="243"/>
      <c r="Q1456" s="165"/>
      <c r="R1456" s="243"/>
      <c r="S1456" s="243"/>
      <c r="T1456" s="243"/>
      <c r="U1456" s="243"/>
      <c r="V1456" s="243"/>
      <c r="W1456" s="243"/>
      <c r="X1456" s="243"/>
      <c r="Y1456" s="243"/>
      <c r="Z1456" s="243"/>
      <c r="AA1456" s="243"/>
      <c r="AB1456" s="243"/>
      <c r="AC1456" s="243"/>
      <c r="AD1456" s="243"/>
      <c r="AE1456" s="243"/>
      <c r="AF1456" s="243"/>
      <c r="AG1456" s="243"/>
      <c r="AH1456" s="29"/>
      <c r="AI1456" s="29"/>
      <c r="AJ1456" s="29"/>
      <c r="AK1456" s="29"/>
      <c r="AL1456" s="29"/>
      <c r="AM1456" s="29"/>
      <c r="AN1456" s="578"/>
      <c r="AO1456" s="579"/>
      <c r="AP1456" s="579"/>
      <c r="AQ1456" s="580"/>
      <c r="AR1456" s="580"/>
      <c r="AS1456" s="580"/>
      <c r="AT1456" s="580"/>
      <c r="AU1456" s="580"/>
      <c r="AV1456" s="127" t="n">
        <f aca="false">M1456</f>
        <v>0</v>
      </c>
      <c r="AW1456" s="580"/>
      <c r="AX1456" s="580"/>
      <c r="AY1456" s="580"/>
      <c r="AZ1456" s="580"/>
      <c r="BA1456" s="580"/>
      <c r="BB1456" s="622"/>
      <c r="BC1456" s="622"/>
      <c r="BD1456" s="622"/>
      <c r="BE1456" s="622"/>
    </row>
    <row r="1460" customFormat="false" ht="14.1" hidden="false" customHeight="true" outlineLevel="0" collapsed="false">
      <c r="A1460" s="272"/>
      <c r="B1460" s="276"/>
      <c r="C1460" s="272"/>
      <c r="D1460" s="272"/>
      <c r="E1460" s="272"/>
      <c r="F1460" s="272"/>
      <c r="G1460" s="272"/>
      <c r="H1460" s="272"/>
      <c r="I1460" s="272"/>
      <c r="J1460" s="272"/>
      <c r="K1460" s="272"/>
      <c r="L1460" s="272"/>
      <c r="M1460" s="272"/>
      <c r="N1460" s="272"/>
      <c r="O1460" s="272"/>
      <c r="P1460" s="272"/>
      <c r="Q1460" s="272"/>
      <c r="R1460" s="272"/>
      <c r="S1460" s="272"/>
      <c r="T1460" s="272"/>
      <c r="U1460" s="272"/>
      <c r="V1460" s="272"/>
      <c r="W1460" s="272"/>
      <c r="X1460" s="272"/>
      <c r="Y1460" s="272"/>
      <c r="Z1460" s="272"/>
      <c r="AA1460" s="272"/>
      <c r="AB1460" s="272"/>
      <c r="AC1460" s="272"/>
      <c r="AD1460" s="272"/>
      <c r="AE1460" s="272"/>
      <c r="AF1460" s="272"/>
      <c r="AG1460" s="272"/>
      <c r="AH1460" s="53"/>
      <c r="AI1460" s="53"/>
      <c r="AJ1460" s="53"/>
      <c r="AK1460" s="53"/>
      <c r="AL1460" s="53"/>
      <c r="AM1460" s="53"/>
      <c r="AN1460" s="42"/>
      <c r="AO1460" s="43"/>
      <c r="AP1460" s="43"/>
      <c r="AQ1460" s="21"/>
      <c r="AR1460" s="21"/>
      <c r="AS1460" s="21"/>
      <c r="AT1460" s="21"/>
      <c r="AU1460" s="21"/>
      <c r="AV1460" s="21"/>
      <c r="AW1460" s="21"/>
      <c r="AX1460" s="21"/>
      <c r="AY1460" s="21"/>
      <c r="AZ1460" s="21"/>
      <c r="BA1460" s="21"/>
      <c r="BB1460" s="21"/>
      <c r="BC1460" s="21"/>
      <c r="BD1460" s="21"/>
      <c r="BE1460" s="21"/>
    </row>
    <row r="1461" customFormat="false" ht="14.1" hidden="false" customHeight="true" outlineLevel="0" collapsed="false">
      <c r="A1461" s="138"/>
      <c r="B1461" s="235"/>
      <c r="C1461" s="138"/>
      <c r="D1461" s="138"/>
      <c r="E1461" s="138"/>
      <c r="F1461" s="138"/>
      <c r="G1461" s="138"/>
      <c r="H1461" s="138"/>
      <c r="I1461" s="138"/>
      <c r="J1461" s="138"/>
      <c r="K1461" s="138"/>
      <c r="L1461" s="138"/>
      <c r="M1461" s="138"/>
      <c r="N1461" s="138"/>
      <c r="O1461" s="138"/>
      <c r="P1461" s="138"/>
      <c r="Q1461" s="138"/>
      <c r="R1461" s="138"/>
      <c r="S1461" s="138"/>
      <c r="T1461" s="138"/>
      <c r="U1461" s="138"/>
      <c r="V1461" s="138"/>
      <c r="W1461" s="138"/>
      <c r="X1461" s="138"/>
      <c r="Y1461" s="138"/>
      <c r="Z1461" s="138"/>
      <c r="AA1461" s="138"/>
      <c r="AB1461" s="138"/>
      <c r="AC1461" s="138"/>
      <c r="AD1461" s="138"/>
      <c r="AE1461" s="138"/>
      <c r="AF1461" s="138"/>
      <c r="AG1461" s="138"/>
    </row>
    <row r="1462" customFormat="false" ht="14.1" hidden="false" customHeight="true" outlineLevel="0" collapsed="false">
      <c r="A1462" s="138"/>
      <c r="B1462" s="235"/>
      <c r="C1462" s="138"/>
      <c r="D1462" s="138"/>
      <c r="E1462" s="138"/>
      <c r="F1462" s="138"/>
      <c r="G1462" s="138"/>
      <c r="H1462" s="138"/>
      <c r="I1462" s="138"/>
      <c r="J1462" s="138"/>
      <c r="K1462" s="138"/>
      <c r="L1462" s="138"/>
      <c r="M1462" s="138"/>
      <c r="N1462" s="138"/>
      <c r="O1462" s="138"/>
      <c r="P1462" s="138"/>
      <c r="Q1462" s="138"/>
      <c r="R1462" s="138"/>
      <c r="S1462" s="138"/>
      <c r="T1462" s="138"/>
      <c r="U1462" s="138"/>
      <c r="V1462" s="138"/>
      <c r="W1462" s="138"/>
      <c r="X1462" s="138"/>
      <c r="Y1462" s="138"/>
      <c r="Z1462" s="138"/>
      <c r="AA1462" s="138"/>
      <c r="AB1462" s="138"/>
      <c r="AC1462" s="138"/>
      <c r="AD1462" s="138"/>
      <c r="AE1462" s="138"/>
      <c r="AF1462" s="138"/>
      <c r="AG1462" s="138"/>
    </row>
  </sheetData>
  <mergeCells count="180">
    <mergeCell ref="C18:C20"/>
    <mergeCell ref="D18:F20"/>
    <mergeCell ref="G19:X23"/>
    <mergeCell ref="G25:W25"/>
    <mergeCell ref="A27:B27"/>
    <mergeCell ref="A44:B44"/>
    <mergeCell ref="A46:B46"/>
    <mergeCell ref="A60:B60"/>
    <mergeCell ref="A62:B62"/>
    <mergeCell ref="A79:B79"/>
    <mergeCell ref="A81:B81"/>
    <mergeCell ref="A96:B96"/>
    <mergeCell ref="A98:B98"/>
    <mergeCell ref="A103:C103"/>
    <mergeCell ref="A109:B109"/>
    <mergeCell ref="A111:B111"/>
    <mergeCell ref="A116:C116"/>
    <mergeCell ref="A120:B120"/>
    <mergeCell ref="A122:E123"/>
    <mergeCell ref="A154:E154"/>
    <mergeCell ref="L156:AE157"/>
    <mergeCell ref="A157:E157"/>
    <mergeCell ref="A166:E166"/>
    <mergeCell ref="A180:E180"/>
    <mergeCell ref="A184:E184"/>
    <mergeCell ref="A188:E188"/>
    <mergeCell ref="A192:E192"/>
    <mergeCell ref="A196:E196"/>
    <mergeCell ref="E198:F200"/>
    <mergeCell ref="H198:AG200"/>
    <mergeCell ref="A202:A205"/>
    <mergeCell ref="A206:A209"/>
    <mergeCell ref="A210:A213"/>
    <mergeCell ref="A214:A217"/>
    <mergeCell ref="A218:A221"/>
    <mergeCell ref="A222:A225"/>
    <mergeCell ref="A226:A229"/>
    <mergeCell ref="H229:O232"/>
    <mergeCell ref="R229:X232"/>
    <mergeCell ref="Z229:AG232"/>
    <mergeCell ref="A230:A233"/>
    <mergeCell ref="H234:AG235"/>
    <mergeCell ref="A236:E236"/>
    <mergeCell ref="A238:E238"/>
    <mergeCell ref="M238:AF239"/>
    <mergeCell ref="A240:D240"/>
    <mergeCell ref="A241:D241"/>
    <mergeCell ref="A244:A245"/>
    <mergeCell ref="F251:F254"/>
    <mergeCell ref="A255:A256"/>
    <mergeCell ref="A257:A258"/>
    <mergeCell ref="F267:F270"/>
    <mergeCell ref="A284:E284"/>
    <mergeCell ref="A286:E286"/>
    <mergeCell ref="M286:AF287"/>
    <mergeCell ref="A288:D288"/>
    <mergeCell ref="A289:D289"/>
    <mergeCell ref="A301:A302"/>
    <mergeCell ref="A327:E327"/>
    <mergeCell ref="A329:E329"/>
    <mergeCell ref="J329:AC330"/>
    <mergeCell ref="A330:D330"/>
    <mergeCell ref="A331:D331"/>
    <mergeCell ref="A363:E363"/>
    <mergeCell ref="A365:E365"/>
    <mergeCell ref="J365:AC366"/>
    <mergeCell ref="A367:D367"/>
    <mergeCell ref="A368:D368"/>
    <mergeCell ref="A402:E402"/>
    <mergeCell ref="A404:E404"/>
    <mergeCell ref="I404:AC405"/>
    <mergeCell ref="A406:D406"/>
    <mergeCell ref="A407:D407"/>
    <mergeCell ref="K408:N411"/>
    <mergeCell ref="AA415:AD418"/>
    <mergeCell ref="W424:X424"/>
    <mergeCell ref="W425:X425"/>
    <mergeCell ref="A443:E443"/>
    <mergeCell ref="A445:E445"/>
    <mergeCell ref="I445:AG446"/>
    <mergeCell ref="A447:D447"/>
    <mergeCell ref="A448:D448"/>
    <mergeCell ref="B450:B452"/>
    <mergeCell ref="B454:B456"/>
    <mergeCell ref="B458:B460"/>
    <mergeCell ref="B462:B464"/>
    <mergeCell ref="C466:F466"/>
    <mergeCell ref="A476:F476"/>
    <mergeCell ref="A504:E504"/>
    <mergeCell ref="A506:E506"/>
    <mergeCell ref="K506:AG507"/>
    <mergeCell ref="A508:D508"/>
    <mergeCell ref="A509:D509"/>
    <mergeCell ref="AQ516:AR516"/>
    <mergeCell ref="A543:E543"/>
    <mergeCell ref="A545:E545"/>
    <mergeCell ref="I545:AE546"/>
    <mergeCell ref="A547:C547"/>
    <mergeCell ref="F552:F554"/>
    <mergeCell ref="K562:O564"/>
    <mergeCell ref="G563:H563"/>
    <mergeCell ref="A566:C566"/>
    <mergeCell ref="F573:F575"/>
    <mergeCell ref="A574:B575"/>
    <mergeCell ref="H580:K582"/>
    <mergeCell ref="F581:G581"/>
    <mergeCell ref="A597:E597"/>
    <mergeCell ref="A599:E599"/>
    <mergeCell ref="J599:AE600"/>
    <mergeCell ref="A601:D601"/>
    <mergeCell ref="A602:D602"/>
    <mergeCell ref="A604:C604"/>
    <mergeCell ref="E612:F616"/>
    <mergeCell ref="Z625:AA625"/>
    <mergeCell ref="U629:V630"/>
    <mergeCell ref="E642:F646"/>
    <mergeCell ref="A663:C663"/>
    <mergeCell ref="F668:F670"/>
    <mergeCell ref="H675:K677"/>
    <mergeCell ref="F676:G676"/>
    <mergeCell ref="A685:C685"/>
    <mergeCell ref="A702:E702"/>
    <mergeCell ref="A704:E704"/>
    <mergeCell ref="J704:AE705"/>
    <mergeCell ref="A706:D706"/>
    <mergeCell ref="A707:D707"/>
    <mergeCell ref="F716:G720"/>
    <mergeCell ref="F733:G737"/>
    <mergeCell ref="F751:G755"/>
    <mergeCell ref="A777:E777"/>
    <mergeCell ref="A779:G780"/>
    <mergeCell ref="A781:D781"/>
    <mergeCell ref="A782:D782"/>
    <mergeCell ref="A798:E798"/>
    <mergeCell ref="M798:O798"/>
    <mergeCell ref="A800:G801"/>
    <mergeCell ref="A848:E848"/>
    <mergeCell ref="A850:G851"/>
    <mergeCell ref="A897:C897"/>
    <mergeCell ref="A906:E906"/>
    <mergeCell ref="A908:G909"/>
    <mergeCell ref="A910:D910"/>
    <mergeCell ref="A911:D911"/>
    <mergeCell ref="A920:A921"/>
    <mergeCell ref="A922:A923"/>
    <mergeCell ref="A925:A927"/>
    <mergeCell ref="A928:A929"/>
    <mergeCell ref="A974:E974"/>
    <mergeCell ref="A976:G977"/>
    <mergeCell ref="W979:AF979"/>
    <mergeCell ref="K980:O980"/>
    <mergeCell ref="J981:P981"/>
    <mergeCell ref="H982:R982"/>
    <mergeCell ref="A1075:G1075"/>
    <mergeCell ref="A1077:G1078"/>
    <mergeCell ref="A1102:G1102"/>
    <mergeCell ref="A1104:G1105"/>
    <mergeCell ref="A1151:G1151"/>
    <mergeCell ref="A1153:G1154"/>
    <mergeCell ref="B1172:C1172"/>
    <mergeCell ref="A1205:G1205"/>
    <mergeCell ref="A1207:G1208"/>
    <mergeCell ref="A1234:E1234"/>
    <mergeCell ref="A1236:G1237"/>
    <mergeCell ref="A1247:E1247"/>
    <mergeCell ref="A1249:G1250"/>
    <mergeCell ref="A1258:C1258"/>
    <mergeCell ref="A1300:E1300"/>
    <mergeCell ref="A1302:G1303"/>
    <mergeCell ref="A1346:E1346"/>
    <mergeCell ref="A1348:G1349"/>
    <mergeCell ref="A1378:E1378"/>
    <mergeCell ref="A1380:G1381"/>
    <mergeCell ref="A1394:E1394"/>
    <mergeCell ref="A1396:G1397"/>
    <mergeCell ref="A1409:E1409"/>
    <mergeCell ref="A1411:G1412"/>
    <mergeCell ref="A1436:E1436"/>
    <mergeCell ref="A1438:G1439"/>
    <mergeCell ref="A1456:E1456"/>
  </mergeCells>
  <dataValidations count="102">
    <dataValidation allowBlank="true" errorStyle="stop" operator="between" showDropDown="false" showErrorMessage="true" showInputMessage="true" sqref="A32 A37 A42 A270 A314 A350 A389 A433 A494 A529 A657 A821 A835 A956 A961 A1121 A1123 A1190 A1260" type="list">
      <formula1>'Прайс лист'!$B$600:$B$638</formula1>
      <formula2>0</formula2>
    </dataValidation>
    <dataValidation allowBlank="true" errorStyle="stop" operator="between" showDropDown="false" showErrorMessage="true" showInputMessage="true" sqref="C44 C60 C79 C96 B245:C245 C415:D415 F443 H546:H547 D547 D566 C573 B576:B577 F597 G602 D604 B619:B621 D663 F702 B748:B750 B788:B790 B792 C823 C829 C879 C881 C888 C934 C943 C952 C962:C963 C966 F974 C1069 C1097 C1146 C1200 D1212 C1219:C1227 F1234 F1247 C1269 C1275 C1277:C1278 C1287 C1289:C1290 F1300 C1308:C1309 C1311:C1313 C1315:C1316 C1318:C1320 C1322 C1325:C1326 C1333:C1338 F1346 F1378 F1394 C1401:C1402 F1409 C1421 C1427 F1436 C1444:C1449 F1456" type="list">
      <formula1>связи1!$A$2:$A$3</formula1>
      <formula2>0</formula2>
    </dataValidation>
    <dataValidation allowBlank="true" errorStyle="stop" operator="between" showDropDown="false" showErrorMessage="true" showInputMessage="true" sqref="A58 A77 A94 A247 A293 A335 A372 A410 A647" type="list">
      <formula1>связи1!$A$6:$A$9</formula1>
      <formula2>0</formula2>
    </dataValidation>
    <dataValidation allowBlank="true" errorStyle="stop" operator="between" showDropDown="false" showErrorMessage="true" showInputMessage="true" sqref="A92 A645" type="list">
      <formula1>связи1!$A$105:$A$107</formula1>
      <formula2>0</formula2>
    </dataValidation>
    <dataValidation allowBlank="true" errorStyle="stop" operator="between" showDropDown="false" showErrorMessage="true" showInputMessage="true" sqref="A90 A614" type="list">
      <formula1>связи1!$A$478:$A$480</formula1>
      <formula2>0</formula2>
    </dataValidation>
    <dataValidation allowBlank="true" errorStyle="stop" operator="between" showDropDown="false" showErrorMessage="true" showInputMessage="true" sqref="A17 A73 A455 A459 A463" type="list">
      <formula1>связи1!$A$94:$A$98</formula1>
      <formula2>0</formula2>
    </dataValidation>
    <dataValidation allowBlank="true" errorStyle="stop" operator="between" showDropDown="false" showErrorMessage="true" showInputMessage="true" sqref="A75 A454 A458 A462" type="list">
      <formula1>связи1!$A$105:$A$111</formula1>
      <formula2>0</formula2>
    </dataValidation>
    <dataValidation allowBlank="true" errorStyle="stop" operator="between" showDropDown="false" showErrorMessage="true" showInputMessage="true" sqref="A30 A35 A40" type="list">
      <formula1>связи1!$A$198:$A$241</formula1>
      <formula2>0</formula2>
    </dataValidation>
    <dataValidation allowBlank="true" errorStyle="stop" operator="between" showDropDown="false" showErrorMessage="true" showInputMessage="true" sqref="A114" type="list">
      <formula1>связи1!$A$132:$A$133</formula1>
      <formula2>0</formula2>
    </dataValidation>
    <dataValidation allowBlank="true" errorStyle="stop" operator="between" showDropDown="false" showErrorMessage="true" showInputMessage="true" sqref="A101" type="list">
      <formula1>связи1!$A$128:$A$129</formula1>
      <formula2>0</formula2>
    </dataValidation>
    <dataValidation allowBlank="true" errorStyle="stop" operator="between" showDropDown="false" showErrorMessage="true" showInputMessage="true" sqref="A25" type="list">
      <formula1>связи1!$A$17:$A$25</formula1>
      <formula2>0</formula2>
    </dataValidation>
    <dataValidation allowBlank="true" errorStyle="stop" operator="between" showDropDown="false" showErrorMessage="true" showInputMessage="true" sqref="A23" type="list">
      <formula1>связи1!$F$87:$F$92</formula1>
      <formula2>0</formula2>
    </dataValidation>
    <dataValidation allowBlank="true" errorStyle="stop" operator="between" showDropDown="false" showErrorMessage="true" showInputMessage="true" sqref="A21" type="list">
      <formula1>связи1!$F$81:$F$85</formula1>
      <formula2>0</formula2>
    </dataValidation>
    <dataValidation allowBlank="true" errorStyle="stop" operator="between" showDropDown="false" showErrorMessage="true" showInputMessage="true" sqref="A19" type="list">
      <formula1>связи1!$A$149:$A$183</formula1>
      <formula2>0</formula2>
    </dataValidation>
    <dataValidation allowBlank="true" errorStyle="stop" operator="between" showDropDown="false" showErrorMessage="true" showInputMessage="true" sqref="A130 A137 A145 A266 A310 A346 A385 A429 A490 A523 A653 A736 A1021 A1133 A1135 A1293" type="list">
      <formula1>связи1!$A$417:$A$420</formula1>
      <formula2>0</formula2>
    </dataValidation>
    <dataValidation allowBlank="true" errorStyle="stop" operator="between" showDropDown="false" showErrorMessage="true" showInputMessage="true" sqref="A131 A138 A146 A275 A319 A355 A394 A435 A496 A532 A659 A740 A1137 A1192" type="list">
      <formula1>'Прайс лист'!$B$649:$B$675</formula1>
      <formula2>0</formula2>
    </dataValidation>
    <dataValidation allowBlank="true" errorStyle="stop" operator="between" showDropDown="false" showErrorMessage="true" showInputMessage="true" sqref="A132 A139 A147 A277 A321 A357 A396 A437 A498 A535 A661 A1139" type="list">
      <formula1>'Прайс лист'!$B$676:$B$687</formula1>
      <formula2>0</formula2>
    </dataValidation>
    <dataValidation allowBlank="true" errorStyle="stop" operator="between" showDropDown="false" showErrorMessage="true" showInputMessage="true" sqref="A129 A136 A144 A264 A308 A344 A383 A427 A488 A520 A651 A734" type="list">
      <formula1>связи1!$A$431:$A$439</formula1>
      <formula2>0</formula2>
    </dataValidation>
    <dataValidation allowBlank="true" errorStyle="stop" operator="between" showDropDown="false" showErrorMessage="true" showInputMessage="true" sqref="A150:A152 A280:A281 A323:A324 A359:A360 A398:A399 A439:A440 A500:A501 A538:A539 A593:A594 A698:A699 A773:A774 A793:A795 A840:A844 A898:A902 A967:A970 A1065:A1066 A1093 A1141:A1142 A1194:A1196 A1229:A1230 A1242:A1243 A1295:A1296 A1341:A1342 A1374:A1375 A1390:A1391 A1405:A1406 A1431:A1432 A1451:A1452" type="list">
      <formula1>'Прайс лист'!$B$192:$B$206</formula1>
      <formula2>0</formula2>
    </dataValidation>
    <dataValidation allowBlank="true" errorStyle="stop" operator="between" showDropDown="false" showErrorMessage="true" showInputMessage="true" sqref="A260 A304 A584 A586 A588 A625 A627 A629 A631 A633 A635 A639 A677 A679 A681 A720 A722 A724 A728 A755 A757 A759 A983 A985 A987 A989" type="list">
      <formula1>'Прайс лист'!$B$340:$B$426</formula1>
      <formula2>0</formula2>
    </dataValidation>
    <dataValidation allowBlank="true" errorStyle="stop" operator="between" showDropDown="false" showErrorMessage="true" showInputMessage="true" sqref="A622 A751 A791" type="list">
      <formula1>'Прайс лист'!$B$812:$B$815</formula1>
      <formula2>0</formula2>
    </dataValidation>
    <dataValidation allowBlank="true" errorStyle="stop" operator="between" showDropDown="false" showErrorMessage="true" showInputMessage="true" sqref="A268 A312 A348 A387 A431 A492 A526 A582 A655 A675 A738 A1125 A1127 A1129 A1131" type="list">
      <formula1>'Прайс лист'!$B$863:$B$907</formula1>
      <formula2>0</formula2>
    </dataValidation>
    <dataValidation allowBlank="true" errorStyle="stop" operator="between" showDropDown="false" showErrorMessage="true" showInputMessage="true" sqref="A262 A306 A342 A381 A425 A486 A517 A649 A732 A1015 A1017 A1019" type="list">
      <formula1>связи1!$A$406:$A$415</formula1>
      <formula2>0</formula2>
    </dataValidation>
    <dataValidation allowBlank="true" errorStyle="stop" operator="between" showDropDown="false" showErrorMessage="true" showInputMessage="true" sqref="C1093 C1143 C1339 C1433 C1453" type="list">
      <formula1>связи1!$F$29:$F$46</formula1>
      <formula2>0</formula2>
    </dataValidation>
    <dataValidation allowBlank="true" errorStyle="stop" operator="between" showDropDown="false" showErrorMessage="true" showInputMessage="true" sqref="A1415 A1422" type="list">
      <formula1>связи1!$A$74:$A$78</formula1>
      <formula2>0</formula2>
    </dataValidation>
    <dataValidation allowBlank="true" errorStyle="stop" operator="between" showDropDown="false" showErrorMessage="true" showInputMessage="true" sqref="A1416 A1423" type="list">
      <formula1>связи1!$A$79:$A$83</formula1>
      <formula2>0</formula2>
    </dataValidation>
    <dataValidation allowBlank="true" errorStyle="stop" operator="between" showDropDown="false" showErrorMessage="true" showInputMessage="true" sqref="A1417 A1424" type="list">
      <formula1>связи1!$A$84:$A$88</formula1>
      <formula2>0</formula2>
    </dataValidation>
    <dataValidation allowBlank="true" errorStyle="stop" operator="between" showDropDown="false" showErrorMessage="true" showInputMessage="true" sqref="A1418 A1425" type="list">
      <formula1>связи1!$A$89:$A$91</formula1>
      <formula2>0</formula2>
    </dataValidation>
    <dataValidation allowBlank="true" errorStyle="stop" operator="between" showDropDown="false" showErrorMessage="true" showInputMessage="true" sqref="A1386" type="list">
      <formula1>связи1!$A$69:$A$70</formula1>
      <formula2>0</formula2>
    </dataValidation>
    <dataValidation allowBlank="true" errorStyle="stop" operator="between" showDropDown="false" showErrorMessage="true" showInputMessage="true" sqref="A1356 A1360 A1364" type="list">
      <formula1>'Прайс лист'!$B$1032:$B$1037</formula1>
      <formula2>0</formula2>
    </dataValidation>
    <dataValidation allowBlank="true" errorStyle="stop" operator="between" showDropDown="false" showErrorMessage="true" showInputMessage="true" sqref="A1039 A1044 A1272" type="list">
      <formula1>'Прайс лист'!$B$1359:$B$1386</formula1>
      <formula2>0</formula2>
    </dataValidation>
    <dataValidation allowBlank="true" errorStyle="stop" operator="between" showDropDown="false" showErrorMessage="true" showInputMessage="true" sqref="A1323" type="list">
      <formula1>связи1!$H$13:$H$15</formula1>
      <formula2>0</formula2>
    </dataValidation>
    <dataValidation allowBlank="true" errorStyle="stop" operator="between" showDropDown="false" showErrorMessage="true" showInputMessage="true" sqref="A1310 A1317" type="list">
      <formula1>связи1!$H$8:$H$10</formula1>
      <formula2>0</formula2>
    </dataValidation>
    <dataValidation allowBlank="true" errorStyle="stop" operator="between" showDropDown="false" showErrorMessage="true" showInputMessage="true" sqref="A1321" type="list">
      <formula1>связи1!$H$18:$H$23</formula1>
      <formula2>0</formula2>
    </dataValidation>
    <dataValidation allowBlank="true" errorStyle="stop" operator="between" showDropDown="false" showErrorMessage="true" showInputMessage="true" sqref="A1279" type="list">
      <formula1>связи1!$A$28:$A$31</formula1>
      <formula2>0</formula2>
    </dataValidation>
    <dataValidation allowBlank="true" errorStyle="stop" operator="between" showDropDown="false" showErrorMessage="true" showInputMessage="true" sqref="A1291" type="list">
      <formula1>связи1!$H$3:$H$5</formula1>
      <formula2>0</formula2>
    </dataValidation>
    <dataValidation allowBlank="true" errorStyle="stop" operator="between" showDropDown="false" showErrorMessage="true" showInputMessage="true" sqref="A1314" type="list">
      <formula1>связи1!$H$26:$H$31</formula1>
      <formula2>0</formula2>
    </dataValidation>
    <dataValidation allowBlank="true" errorStyle="stop" operator="between" showDropDown="false" showErrorMessage="true" showInputMessage="true" sqref="A1330" type="list">
      <formula1>связи1!$H$34:$H$36</formula1>
      <formula2>0</formula2>
    </dataValidation>
    <dataValidation allowBlank="true" errorStyle="stop" operator="between" showDropDown="false" showErrorMessage="true" showInputMessage="true" sqref="A1331" type="list">
      <formula1>связи1!$H$40:$H$43</formula1>
      <formula2>0</formula2>
    </dataValidation>
    <dataValidation allowBlank="true" errorStyle="stop" operator="between" showDropDown="false" showErrorMessage="true" showInputMessage="true" sqref="A1332" type="list">
      <formula1>связи1!$H$46:$H$48</formula1>
      <formula2>0</formula2>
    </dataValidation>
    <dataValidation allowBlank="true" errorStyle="stop" operator="between" showDropDown="false" showErrorMessage="true" showInputMessage="true" sqref="A1262 A1281" type="list">
      <formula1>связи1!$A$442:$A$453</formula1>
      <formula2>0</formula2>
    </dataValidation>
    <dataValidation allowBlank="true" errorStyle="stop" operator="between" showDropDown="false" showErrorMessage="true" showInputMessage="true" sqref="A1264 A1283" type="list">
      <formula1>'Прайс лист'!$B$1330:$B$1341</formula1>
      <formula2>0</formula2>
    </dataValidation>
    <dataValidation allowBlank="true" errorStyle="stop" operator="between" showDropDown="false" showErrorMessage="true" showInputMessage="true" sqref="A1268 A1285" type="list">
      <formula1>'Прайс лист'!$B$1346:$B$1351</formula1>
      <formula2>0</formula2>
    </dataValidation>
    <dataValidation allowBlank="true" errorStyle="stop" operator="between" showDropDown="false" showErrorMessage="true" showInputMessage="true" sqref="A1270" type="list">
      <formula1>'Прайс лист'!$B$1356:$B$1358</formula1>
      <formula2>0</formula2>
    </dataValidation>
    <dataValidation allowBlank="true" errorStyle="stop" operator="between" showDropDown="false" showErrorMessage="true" showInputMessage="true" sqref="A1274" type="list">
      <formula1>'Прайс лист'!$B$1387:$B$1389</formula1>
      <formula2>0</formula2>
    </dataValidation>
    <dataValidation allowBlank="true" errorStyle="stop" operator="between" showDropDown="false" showErrorMessage="true" showInputMessage="true" sqref="A1257" type="list">
      <formula1>INDIRECT($A$25)</formula1>
      <formula2>0</formula2>
    </dataValidation>
    <dataValidation allowBlank="true" errorStyle="stop" operator="between" showDropDown="false" showErrorMessage="true" showInputMessage="true" sqref="A1213:A1216" type="list">
      <formula1>'Прайс лист'!$B$1162:$B$1173</formula1>
      <formula2>0</formula2>
    </dataValidation>
    <dataValidation allowBlank="true" errorStyle="stop" operator="between" showDropDown="false" showErrorMessage="true" showInputMessage="true" sqref="A1180" type="list">
      <formula1>связи1!$A$314:$A$320</formula1>
      <formula2>0</formula2>
    </dataValidation>
    <dataValidation allowBlank="true" errorStyle="stop" operator="between" showDropDown="false" showErrorMessage="true" showInputMessage="true" sqref="A1182 A1184" type="list">
      <formula1>связи1!$A$355:$A$362</formula1>
      <formula2>0</formula2>
    </dataValidation>
    <dataValidation allowBlank="true" errorStyle="stop" operator="between" showDropDown="false" showErrorMessage="true" showInputMessage="true" sqref="A1186" type="list">
      <formula1>связи1!$A$364:$A$371</formula1>
      <formula2>0</formula2>
    </dataValidation>
    <dataValidation allowBlank="true" errorStyle="stop" operator="between" showDropDown="false" showErrorMessage="true" showInputMessage="true" sqref="A1188" type="list">
      <formula1>связи1!$A$373:$A$378</formula1>
      <formula2>0</formula2>
    </dataValidation>
    <dataValidation allowBlank="true" errorStyle="stop" operator="between" showDropDown="false" showErrorMessage="true" showInputMessage="true" sqref="A1159 A1161 A1163" type="list">
      <formula1>связи1!$A$253:$A$294</formula1>
      <formula2>0</formula2>
    </dataValidation>
    <dataValidation allowBlank="true" errorStyle="stop" operator="between" showDropDown="false" showErrorMessage="true" showInputMessage="true" sqref="A1166 A1168 A1170" type="list">
      <formula1>связи1!$A$382:$A$396</formula1>
      <formula2>0</formula2>
    </dataValidation>
    <dataValidation allowBlank="true" errorStyle="stop" operator="between" showDropDown="false" showErrorMessage="true" showInputMessage="true" sqref="A1173 A1175 A1177" type="list">
      <formula1>'Прайс лист'!$B$821:$B$861</formula1>
      <formula2>0</formula2>
    </dataValidation>
    <dataValidation allowBlank="true" errorStyle="stop" operator="between" showDropDown="false" showErrorMessage="true" showInputMessage="true" sqref="A1354" type="list">
      <formula1>связи1!$A$554:$A$555</formula1>
      <formula2>0</formula2>
    </dataValidation>
    <dataValidation allowBlank="true" errorStyle="stop" operator="between" showDropDown="false" showErrorMessage="true" showInputMessage="true" sqref="A1358 A1362 A1366" type="list">
      <formula1>'Прайс лист'!$B$1038:$B$1060</formula1>
      <formula2>0</formula2>
    </dataValidation>
    <dataValidation allowBlank="true" errorStyle="stop" operator="between" showDropDown="false" showErrorMessage="true" showInputMessage="true" sqref="A1369" type="list">
      <formula1>'Прайс лист'!$B$1070:$B$1074</formula1>
      <formula2>0</formula2>
    </dataValidation>
    <dataValidation allowBlank="true" errorStyle="stop" operator="between" showDropDown="false" showErrorMessage="true" showInputMessage="true" sqref="A1371" type="list">
      <formula1>'Прайс лист'!$B$1075:$B$1079</formula1>
      <formula2>0</formula2>
    </dataValidation>
    <dataValidation allowBlank="true" errorStyle="stop" operator="between" showDropDown="false" showErrorMessage="true" showInputMessage="true" sqref="A879 A962" type="list">
      <formula1>'Прайс лист'!$B$910:$B$918</formula1>
      <formula2>0</formula2>
    </dataValidation>
    <dataValidation allowBlank="true" errorStyle="stop" operator="between" showDropDown="false" showErrorMessage="true" showInputMessage="true" sqref="A881 A963" type="list">
      <formula1>'Прайс лист'!$B$919:$B$926</formula1>
      <formula2>0</formula2>
    </dataValidation>
    <dataValidation allowBlank="true" errorStyle="stop" operator="between" showDropDown="false" showErrorMessage="true" showInputMessage="true" sqref="A883 A964" type="list">
      <formula1>'Прайс лист'!$B$929:$B$944</formula1>
      <formula2>0</formula2>
    </dataValidation>
    <dataValidation allowBlank="true" errorStyle="stop" operator="between" showDropDown="false" showErrorMessage="true" showInputMessage="true" sqref="A885 A965" type="list">
      <formula1>'Прайс лист'!$B$950:$B$953</formula1>
      <formula2>0</formula2>
    </dataValidation>
    <dataValidation allowBlank="true" errorStyle="stop" operator="between" showDropDown="false" showErrorMessage="true" showInputMessage="true" sqref="A914" type="list">
      <formula1>связи1!$F$22:$F$23</formula1>
      <formula2>0</formula2>
    </dataValidation>
    <dataValidation allowBlank="true" errorStyle="stop" operator="between" showDropDown="false" showErrorMessage="true" showInputMessage="true" sqref="A787" type="list">
      <formula1>связи1!$F$25:$F$26</formula1>
      <formula2>0</formula2>
    </dataValidation>
    <dataValidation allowBlank="true" errorStyle="stop" operator="between" showDropDown="false" showErrorMessage="true" showInputMessage="true" sqref="A785" type="list">
      <formula1>'Прайс лист'!$B$751:$B$811</formula1>
      <formula2>0</formula2>
    </dataValidation>
    <dataValidation allowBlank="true" errorStyle="stop" operator="between" showDropDown="false" showErrorMessage="true" showInputMessage="true" sqref="A816 A818 A872 A874 A876" type="list">
      <formula1>'Прайс лист'!$B$211:$B$222</formula1>
      <formula2>0</formula2>
    </dataValidation>
    <dataValidation allowBlank="true" errorStyle="stop" operator="between" showDropDown="false" showErrorMessage="true" showInputMessage="true" sqref="A814 A865" type="list">
      <formula1>'Прайс лист'!$B$298:$B$310</formula1>
      <formula2>0</formula2>
    </dataValidation>
    <dataValidation allowBlank="true" errorStyle="stop" operator="between" showDropDown="false" showErrorMessage="true" showInputMessage="true" sqref="A812 A827 A837 A867 A890" type="list">
      <formula1>'Прайс лист'!$B$237:$B$244</formula1>
      <formula2>0</formula2>
    </dataValidation>
    <dataValidation allowBlank="true" errorStyle="stop" operator="between" showDropDown="false" showErrorMessage="true" showInputMessage="true" sqref="A860" type="list">
      <formula1>связи1!$A$422:$A$429</formula1>
      <formula2>0</formula2>
    </dataValidation>
    <dataValidation allowBlank="true" errorStyle="stop" operator="between" showDropDown="false" showErrorMessage="true" showInputMessage="true" sqref="A1052 A1054" type="list">
      <formula1>'Прайс лист'!$B$575:$B$581</formula1>
      <formula2>0</formula2>
    </dataValidation>
    <dataValidation allowBlank="true" errorStyle="stop" operator="between" showDropDown="false" showErrorMessage="true" showInputMessage="true" sqref="A1115 A1117 A1119" type="list">
      <formula1>связи1!$A$407:$A$415</formula1>
      <formula2>0</formula2>
    </dataValidation>
    <dataValidation allowBlank="true" errorStyle="stop" operator="between" showDropDown="false" showErrorMessage="true" showInputMessage="true" sqref="C1134:C1136" type="list">
      <formula1>связи1!$E$12:$E$23</formula1>
      <formula2>0</formula2>
    </dataValidation>
    <dataValidation allowBlank="true" errorStyle="stop" operator="between" showDropDown="false" showErrorMessage="true" showInputMessage="true" sqref="C1115:C1123" type="list">
      <formula1>связи1!$E$2:$E$9</formula1>
      <formula2>0</formula2>
    </dataValidation>
    <dataValidation allowBlank="true" errorStyle="stop" operator="between" showDropDown="false" showErrorMessage="true" showInputMessage="true" sqref="A1083 A1110" type="list">
      <formula1>связи1!$A$202:$A$211</formula1>
      <formula2>0</formula2>
    </dataValidation>
    <dataValidation allowBlank="true" errorStyle="stop" operator="between" showDropDown="false" showErrorMessage="true" showInputMessage="true" sqref="A1085 A1087 A1089 A1091" type="list">
      <formula1>'Прайс лист'!$B$265:$B$277</formula1>
      <formula2>0</formula2>
    </dataValidation>
    <dataValidation allowBlank="true" errorStyle="stop" operator="between" showDropDown="false" showErrorMessage="true" showInputMessage="true" sqref="A1049" type="list">
      <formula1>связи1!$A$557:$A$558</formula1>
      <formula2>0</formula2>
    </dataValidation>
    <dataValidation allowBlank="true" errorStyle="stop" operator="between" showDropDown="false" showErrorMessage="true" showInputMessage="true" sqref="A1057" type="list">
      <formula1>связи1!$A$560:$A$561</formula1>
      <formula2>0</formula2>
    </dataValidation>
    <dataValidation allowBlank="true" errorStyle="stop" operator="between" showDropDown="false" showErrorMessage="true" showInputMessage="true" sqref="A1060" type="list">
      <formula1>связи1!$A$563:$A$564</formula1>
      <formula2>0</formula2>
    </dataValidation>
    <dataValidation allowBlank="true" errorStyle="stop" operator="between" showDropDown="false" showErrorMessage="true" showInputMessage="true" sqref="A1058:A1059 A1061:A1062" type="list">
      <formula1>'Прайс лист'!$B$1303:$B$1311</formula1>
      <formula2>0</formula2>
    </dataValidation>
    <dataValidation allowBlank="true" errorStyle="stop" operator="between" showDropDown="false" showErrorMessage="true" showInputMessage="true" sqref="A1024 A1031" type="list">
      <formula1>связи1!$A$487:$A$492</formula1>
      <formula2>0</formula2>
    </dataValidation>
    <dataValidation allowBlank="true" errorStyle="stop" operator="between" showDropDown="false" showErrorMessage="true" showInputMessage="true" sqref="A1027" type="list">
      <formula1>связи1!$A$458:$A$460</formula1>
      <formula2>0</formula2>
    </dataValidation>
    <dataValidation allowBlank="true" errorStyle="stop" operator="between" showDropDown="false" showErrorMessage="true" showInputMessage="true" sqref="A1029" type="list">
      <formula1>связи1!$A$474:$A$475</formula1>
      <formula2>0</formula2>
    </dataValidation>
    <dataValidation allowBlank="true" errorStyle="stop" operator="between" showDropDown="false" showErrorMessage="true" showInputMessage="true" sqref="A1034" type="list">
      <formula1>'Прайс лист'!$B$584:$B$593</formula1>
      <formula2>0</formula2>
    </dataValidation>
    <dataValidation allowBlank="true" errorStyle="stop" operator="between" showDropDown="false" showErrorMessage="true" showInputMessage="true" sqref="A1004" type="list">
      <formula1>связи1!$A$99:$A$102</formula1>
      <formula2>0</formula2>
    </dataValidation>
    <dataValidation allowBlank="true" errorStyle="stop" operator="between" showDropDown="false" showErrorMessage="true" showInputMessage="true" sqref="A993 A995 A997 A999" type="list">
      <formula1>'Прайс лист'!$B$448:$B$535</formula1>
      <formula2>0</formula2>
    </dataValidation>
    <dataValidation allowBlank="true" errorStyle="stop" operator="between" showDropDown="false" showErrorMessage="true" showInputMessage="true" sqref="A686:A687 A762:A763" type="list">
      <formula1>'Прайс лист'!$B$692:$B$695</formula1>
      <formula2>0</formula2>
    </dataValidation>
    <dataValidation allowBlank="true" errorStyle="stop" operator="between" showDropDown="false" showErrorMessage="true" showInputMessage="true" sqref="A688:A689 A764:A765" type="list">
      <formula1>'Прайс лист'!$B$698:$B$701</formula1>
      <formula2>0</formula2>
    </dataValidation>
    <dataValidation allowBlank="true" errorStyle="stop" operator="between" showDropDown="false" showErrorMessage="true" showInputMessage="true" sqref="A690:A691 A766:A767" type="list">
      <formula1>'Прайс лист'!$B$708:$B$720</formula1>
      <formula2>0</formula2>
    </dataValidation>
    <dataValidation allowBlank="true" errorStyle="stop" operator="between" showDropDown="false" showErrorMessage="true" showInputMessage="true" sqref="A692:A693 A768:A769" type="list">
      <formula1>'Прайс лист'!$B$724:$B$730</formula1>
      <formula2>0</formula2>
    </dataValidation>
    <dataValidation allowBlank="true" errorStyle="stop" operator="between" showDropDown="false" showErrorMessage="true" showInputMessage="true" sqref="A694 A770" type="list">
      <formula1>'Прайс лист'!$B$735:$B$738</formula1>
      <formula2>0</formula2>
    </dataValidation>
    <dataValidation allowBlank="true" errorStyle="stop" operator="between" showDropDown="false" showErrorMessage="true" showInputMessage="true" sqref="A695 A771" type="list">
      <formula1>'Прайс лист'!$B$741:$B$743</formula1>
      <formula2>0</formula2>
    </dataValidation>
    <dataValidation allowBlank="true" errorStyle="stop" operator="between" showDropDown="false" showErrorMessage="true" showInputMessage="true" sqref="A618 A747" type="list">
      <formula1>связи1!$A$482:$A$483</formula1>
      <formula2>0</formula2>
    </dataValidation>
    <dataValidation allowBlank="true" errorStyle="stop" operator="between" showDropDown="false" showErrorMessage="true" showInputMessage="true" sqref="A745" type="list">
      <formula1>INDIRECT($A$90)</formula1>
      <formula2>0</formula2>
    </dataValidation>
    <dataValidation allowBlank="true" errorStyle="stop" operator="between" showDropDown="false" showErrorMessage="true" showInputMessage="true" sqref="A249 A295 A337 A374 A412 A484 A514 A560" type="list">
      <formula1>связи1!$F$201:$F$211</formula1>
      <formula2>0</formula2>
    </dataValidation>
    <dataValidation allowBlank="true" errorStyle="stop" operator="between" showDropDown="false" showErrorMessage="true" showInputMessage="true" sqref="A590 A637 A683 A726" type="list">
      <formula1>'Прайс лист'!$B$427:$B$431</formula1>
      <formula2>0</formula2>
    </dataValidation>
    <dataValidation allowBlank="true" errorStyle="stop" operator="between" showDropDown="false" showErrorMessage="true" showInputMessage="true" sqref="A616" type="list">
      <formula1>INDIRECT($A$617)</formula1>
      <formula2>0</formula2>
    </dataValidation>
    <dataValidation allowBlank="true" errorStyle="stop" operator="between" showDropDown="false" showErrorMessage="true" showInputMessage="true" sqref="A580 A673" type="list">
      <formula1>'Прайс лист'!$B$1214:$B$1217</formula1>
      <formula2>0</formula2>
    </dataValidation>
    <dataValidation allowBlank="true" errorStyle="stop" operator="between" showDropDown="false" showErrorMessage="true" showInputMessage="true" sqref="A556" type="list">
      <formula1>связи1!$A$455:$A$456</formula1>
      <formula2>0</formula2>
    </dataValidation>
    <dataValidation allowBlank="true" errorStyle="stop" operator="between" showDropDown="false" showErrorMessage="true" showInputMessage="true" sqref="A558" type="list">
      <formula1>INDIRECT($A$559)</formula1>
      <formula2>0</formula2>
    </dataValidation>
    <dataValidation allowBlank="true" errorStyle="stop" operator="between" showDropDown="false" showErrorMessage="true" showInputMessage="true" sqref="A452 A456 A460 A464" type="list">
      <formula1>связи1!$A$120:$A$125</formula1>
      <formula2>0</formula2>
    </dataValidation>
    <dataValidation allowBlank="true" errorStyle="stop" operator="between" showDropDown="false" showErrorMessage="true" showInputMessage="true" sqref="D125 D134 D142:D145" type="list">
      <formula1>связи1!$A$398:$A$404</formula1>
      <formula2>0</formula2>
    </dataValidation>
    <dataValidation allowBlank="true" errorStyle="stop" operator="between" showDropDown="false" showErrorMessage="true" showInputMessage="true" sqref="A127" type="list">
      <formula1>связи1!$A$245:$A$248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00B0F0"/>
    <pageSetUpPr fitToPage="false"/>
  </sheetPr>
  <dimension ref="A1:U270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8" activeCellId="0" sqref="A8"/>
    </sheetView>
  </sheetViews>
  <sheetFormatPr defaultColWidth="9.15625" defaultRowHeight="15" zeroHeight="false" outlineLevelRow="1" outlineLevelCol="0"/>
  <cols>
    <col collapsed="false" customWidth="true" hidden="false" outlineLevel="0" max="1" min="1" style="646" width="11.57"/>
    <col collapsed="false" customWidth="true" hidden="false" outlineLevel="0" max="2" min="2" style="647" width="53"/>
    <col collapsed="false" customWidth="true" hidden="false" outlineLevel="0" max="3" min="3" style="648" width="8.42"/>
    <col collapsed="false" customWidth="true" hidden="false" outlineLevel="0" max="4" min="4" style="649" width="13.14"/>
    <col collapsed="false" customWidth="true" hidden="false" outlineLevel="0" max="5" min="5" style="649" width="9.71"/>
    <col collapsed="false" customWidth="true" hidden="false" outlineLevel="0" max="6" min="6" style="650" width="11.29"/>
    <col collapsed="false" customWidth="true" hidden="false" outlineLevel="0" max="7" min="7" style="650" width="12.71"/>
    <col collapsed="false" customWidth="true" hidden="false" outlineLevel="0" max="8" min="8" style="651" width="8.57"/>
    <col collapsed="false" customWidth="true" hidden="false" outlineLevel="0" max="9" min="9" style="651" width="16.14"/>
    <col collapsed="false" customWidth="false" hidden="false" outlineLevel="0" max="21" min="10" style="651" width="9.14"/>
    <col collapsed="false" customWidth="false" hidden="false" outlineLevel="0" max="1024" min="22" style="652" width="9.14"/>
  </cols>
  <sheetData>
    <row r="1" customFormat="false" ht="14.25" hidden="false" customHeight="true" outlineLevel="0" collapsed="false">
      <c r="A1" s="653"/>
      <c r="B1" s="653"/>
      <c r="C1" s="653"/>
      <c r="D1" s="653"/>
      <c r="E1" s="653"/>
      <c r="F1" s="653"/>
      <c r="G1" s="653"/>
    </row>
    <row r="2" customFormat="false" ht="14.25" hidden="false" customHeight="true" outlineLevel="0" collapsed="false">
      <c r="A2" s="653"/>
      <c r="B2" s="654" t="s">
        <v>926</v>
      </c>
      <c r="C2" s="654"/>
      <c r="D2" s="654"/>
      <c r="E2" s="655"/>
      <c r="F2" s="653"/>
      <c r="G2" s="656" t="s">
        <v>927</v>
      </c>
      <c r="I2" s="657"/>
      <c r="J2" s="657"/>
      <c r="K2" s="657"/>
      <c r="L2" s="657"/>
    </row>
    <row r="3" customFormat="false" ht="14.25" hidden="false" customHeight="true" outlineLevel="0" collapsed="false">
      <c r="A3" s="653"/>
      <c r="B3" s="654"/>
      <c r="C3" s="654"/>
      <c r="D3" s="654"/>
      <c r="E3" s="655"/>
      <c r="F3" s="653"/>
      <c r="G3" s="656" t="s">
        <v>7</v>
      </c>
      <c r="I3" s="657"/>
      <c r="J3" s="657"/>
      <c r="K3" s="657"/>
      <c r="L3" s="657"/>
    </row>
    <row r="4" customFormat="false" ht="14.25" hidden="false" customHeight="true" outlineLevel="0" collapsed="false">
      <c r="A4" s="653"/>
      <c r="B4" s="654"/>
      <c r="C4" s="654"/>
      <c r="D4" s="654"/>
      <c r="E4" s="655"/>
      <c r="F4" s="653"/>
      <c r="G4" s="656" t="s">
        <v>8</v>
      </c>
      <c r="I4" s="657"/>
      <c r="J4" s="657"/>
      <c r="K4" s="657"/>
      <c r="L4" s="657"/>
    </row>
    <row r="5" customFormat="false" ht="14.25" hidden="false" customHeight="true" outlineLevel="0" collapsed="false">
      <c r="A5" s="653"/>
      <c r="B5" s="654"/>
      <c r="C5" s="654"/>
      <c r="D5" s="654"/>
      <c r="E5" s="655"/>
      <c r="F5" s="653"/>
      <c r="G5" s="656" t="s">
        <v>928</v>
      </c>
      <c r="I5" s="657"/>
      <c r="J5" s="657"/>
      <c r="K5" s="657"/>
      <c r="L5" s="657"/>
    </row>
    <row r="6" customFormat="false" ht="14.25" hidden="false" customHeight="true" outlineLevel="0" collapsed="false">
      <c r="A6" s="653"/>
      <c r="B6" s="654"/>
      <c r="C6" s="654"/>
      <c r="D6" s="654"/>
      <c r="E6" s="655"/>
      <c r="F6" s="653"/>
      <c r="G6" s="656" t="s">
        <v>929</v>
      </c>
      <c r="I6" s="657"/>
      <c r="J6" s="657"/>
      <c r="K6" s="657"/>
      <c r="L6" s="657"/>
    </row>
    <row r="7" customFormat="false" ht="14.25" hidden="false" customHeight="true" outlineLevel="0" collapsed="false">
      <c r="A7" s="653"/>
      <c r="B7" s="653"/>
      <c r="C7" s="653"/>
      <c r="D7" s="653"/>
      <c r="E7" s="653"/>
      <c r="F7" s="653"/>
      <c r="G7" s="653"/>
      <c r="I7" s="657"/>
      <c r="J7" s="657"/>
      <c r="K7" s="657"/>
      <c r="L7" s="657"/>
    </row>
    <row r="8" customFormat="false" ht="15.75" hidden="true" customHeight="true" outlineLevel="1" collapsed="false">
      <c r="A8" s="658" t="s">
        <v>930</v>
      </c>
      <c r="B8" s="659"/>
      <c r="C8" s="660" t="s">
        <v>931</v>
      </c>
      <c r="D8" s="661"/>
      <c r="E8" s="661"/>
      <c r="F8" s="662"/>
      <c r="G8" s="662"/>
      <c r="I8" s="657"/>
      <c r="J8" s="657"/>
      <c r="K8" s="657"/>
      <c r="L8" s="657"/>
    </row>
    <row r="9" customFormat="false" ht="15.75" hidden="true" customHeight="true" outlineLevel="1" collapsed="false">
      <c r="A9" s="663" t="s">
        <v>46</v>
      </c>
      <c r="B9" s="663"/>
      <c r="C9" s="664" t="s">
        <v>932</v>
      </c>
      <c r="D9" s="665" t="s">
        <v>933</v>
      </c>
      <c r="E9" s="665" t="s">
        <v>934</v>
      </c>
      <c r="F9" s="666" t="s">
        <v>935</v>
      </c>
      <c r="G9" s="666" t="s">
        <v>936</v>
      </c>
      <c r="I9" s="657"/>
      <c r="J9" s="657"/>
      <c r="K9" s="657"/>
      <c r="L9" s="657"/>
    </row>
    <row r="10" customFormat="false" ht="15" hidden="true" customHeight="true" outlineLevel="1" collapsed="false">
      <c r="A10" s="667"/>
      <c r="B10" s="668" t="s">
        <v>937</v>
      </c>
      <c r="C10" s="669" t="n">
        <v>0.031</v>
      </c>
      <c r="D10" s="670" t="n">
        <v>32.25</v>
      </c>
      <c r="E10" s="670" t="n">
        <v>217</v>
      </c>
      <c r="F10" s="670" t="n">
        <v>7000</v>
      </c>
      <c r="G10" s="671"/>
      <c r="I10" s="657"/>
      <c r="J10" s="657"/>
      <c r="K10" s="657"/>
      <c r="L10" s="657"/>
    </row>
    <row r="11" customFormat="false" ht="15" hidden="true" customHeight="true" outlineLevel="1" collapsed="false">
      <c r="A11" s="672"/>
      <c r="B11" s="668" t="s">
        <v>938</v>
      </c>
      <c r="C11" s="669" t="n">
        <v>0.047</v>
      </c>
      <c r="D11" s="670" t="n">
        <v>21.27</v>
      </c>
      <c r="E11" s="670" t="n">
        <v>370</v>
      </c>
      <c r="F11" s="670" t="n">
        <v>7872.34</v>
      </c>
      <c r="G11" s="671" t="n">
        <v>2582</v>
      </c>
      <c r="I11" s="657"/>
      <c r="J11" s="657"/>
      <c r="K11" s="657"/>
      <c r="L11" s="657"/>
    </row>
    <row r="12" customFormat="false" ht="15" hidden="true" customHeight="true" outlineLevel="1" collapsed="false">
      <c r="A12" s="672"/>
      <c r="B12" s="668" t="s">
        <v>939</v>
      </c>
      <c r="C12" s="669" t="n">
        <v>0.016</v>
      </c>
      <c r="D12" s="670" t="n">
        <v>62.5</v>
      </c>
      <c r="E12" s="670" t="n">
        <v>125</v>
      </c>
      <c r="F12" s="670" t="n">
        <v>7812.5</v>
      </c>
      <c r="G12" s="671"/>
      <c r="I12" s="657"/>
      <c r="J12" s="657"/>
      <c r="K12" s="657"/>
      <c r="L12" s="657"/>
    </row>
    <row r="13" customFormat="false" ht="15" hidden="true" customHeight="true" outlineLevel="1" collapsed="false">
      <c r="A13" s="672"/>
      <c r="B13" s="673" t="s">
        <v>940</v>
      </c>
      <c r="C13" s="669" t="n">
        <v>0.047</v>
      </c>
      <c r="D13" s="670" t="n">
        <v>21.27</v>
      </c>
      <c r="E13" s="670" t="n">
        <v>370</v>
      </c>
      <c r="F13" s="670" t="n">
        <v>7872.34</v>
      </c>
      <c r="G13" s="671" t="s">
        <v>941</v>
      </c>
      <c r="I13" s="657"/>
      <c r="J13" s="657"/>
      <c r="K13" s="657"/>
      <c r="L13" s="657"/>
    </row>
    <row r="14" customFormat="false" ht="15" hidden="true" customHeight="true" outlineLevel="1" collapsed="false">
      <c r="A14" s="672"/>
      <c r="B14" s="647" t="s">
        <v>942</v>
      </c>
      <c r="C14" s="669" t="n">
        <v>0.027</v>
      </c>
      <c r="D14" s="670" t="n">
        <v>37.03</v>
      </c>
      <c r="E14" s="650" t="n">
        <v>191</v>
      </c>
      <c r="F14" s="650" t="n">
        <v>7074.07</v>
      </c>
      <c r="G14" s="671"/>
      <c r="I14" s="657"/>
      <c r="J14" s="657"/>
      <c r="K14" s="657"/>
      <c r="L14" s="657"/>
    </row>
    <row r="15" customFormat="false" ht="15" hidden="true" customHeight="true" outlineLevel="1" collapsed="false">
      <c r="A15" s="672"/>
      <c r="B15" s="647" t="s">
        <v>943</v>
      </c>
      <c r="C15" s="669" t="n">
        <v>0.036</v>
      </c>
      <c r="D15" s="670" t="n">
        <v>27.77</v>
      </c>
      <c r="E15" s="650" t="n">
        <v>298</v>
      </c>
      <c r="F15" s="650" t="n">
        <v>8277.77</v>
      </c>
      <c r="G15" s="671" t="n">
        <v>2273</v>
      </c>
      <c r="I15" s="657"/>
      <c r="J15" s="657"/>
      <c r="K15" s="657"/>
      <c r="L15" s="657"/>
    </row>
    <row r="16" customFormat="false" ht="15" hidden="true" customHeight="true" outlineLevel="1" collapsed="false">
      <c r="A16" s="672"/>
      <c r="B16" s="647" t="s">
        <v>944</v>
      </c>
      <c r="C16" s="669" t="n">
        <v>0.014</v>
      </c>
      <c r="D16" s="670" t="n">
        <v>71.43</v>
      </c>
      <c r="E16" s="650" t="n">
        <v>118</v>
      </c>
      <c r="F16" s="650" t="n">
        <v>8428.57</v>
      </c>
      <c r="G16" s="671"/>
      <c r="I16" s="657"/>
      <c r="J16" s="657"/>
      <c r="K16" s="657"/>
      <c r="L16" s="657"/>
    </row>
    <row r="17" customFormat="false" ht="15" hidden="true" customHeight="true" outlineLevel="1" collapsed="false">
      <c r="A17" s="672"/>
      <c r="B17" s="674" t="s">
        <v>945</v>
      </c>
      <c r="C17" s="675" t="n">
        <v>0.023</v>
      </c>
      <c r="D17" s="676" t="n">
        <v>43.47</v>
      </c>
      <c r="E17" s="650" t="n">
        <v>165</v>
      </c>
      <c r="F17" s="650" t="n">
        <v>7173.91</v>
      </c>
      <c r="G17" s="677"/>
      <c r="I17" s="657"/>
      <c r="J17" s="657"/>
      <c r="K17" s="657"/>
      <c r="L17" s="657"/>
    </row>
    <row r="18" customFormat="false" ht="15" hidden="true" customHeight="true" outlineLevel="1" collapsed="false">
      <c r="A18" s="672"/>
      <c r="B18" s="674" t="s">
        <v>946</v>
      </c>
      <c r="C18" s="675" t="n">
        <v>0.029</v>
      </c>
      <c r="D18" s="676" t="n">
        <v>34.48</v>
      </c>
      <c r="E18" s="650" t="n">
        <v>244</v>
      </c>
      <c r="F18" s="650" t="n">
        <v>8413.79</v>
      </c>
      <c r="G18" s="678" t="n">
        <v>1964</v>
      </c>
      <c r="I18" s="657"/>
      <c r="J18" s="657"/>
      <c r="K18" s="657"/>
      <c r="L18" s="657"/>
    </row>
    <row r="19" customFormat="false" ht="15" hidden="true" customHeight="true" outlineLevel="1" collapsed="false">
      <c r="A19" s="672"/>
      <c r="B19" s="674" t="s">
        <v>947</v>
      </c>
      <c r="C19" s="675" t="n">
        <v>0.012</v>
      </c>
      <c r="D19" s="676" t="n">
        <v>83.33</v>
      </c>
      <c r="E19" s="650" t="n">
        <v>105</v>
      </c>
      <c r="F19" s="650" t="n">
        <v>8750</v>
      </c>
      <c r="G19" s="678"/>
      <c r="I19" s="657"/>
      <c r="J19" s="657"/>
      <c r="K19" s="657"/>
      <c r="L19" s="657"/>
    </row>
    <row r="20" customFormat="false" ht="15" hidden="true" customHeight="true" outlineLevel="1" collapsed="false">
      <c r="A20" s="672"/>
      <c r="B20" s="674"/>
      <c r="C20" s="675"/>
      <c r="D20" s="676"/>
      <c r="E20" s="650"/>
      <c r="G20" s="678"/>
      <c r="I20" s="657"/>
      <c r="J20" s="657"/>
      <c r="K20" s="657"/>
      <c r="L20" s="657"/>
    </row>
    <row r="21" customFormat="false" ht="15" hidden="true" customHeight="true" outlineLevel="1" collapsed="false">
      <c r="A21" s="672"/>
      <c r="B21" s="674"/>
      <c r="C21" s="675"/>
      <c r="D21" s="676"/>
      <c r="E21" s="650"/>
      <c r="G21" s="678"/>
      <c r="I21" s="657"/>
      <c r="J21" s="657"/>
      <c r="K21" s="657"/>
      <c r="L21" s="657"/>
    </row>
    <row r="22" customFormat="false" ht="15" hidden="true" customHeight="true" outlineLevel="1" collapsed="false">
      <c r="A22" s="679"/>
      <c r="B22" s="674"/>
      <c r="C22" s="675"/>
      <c r="D22" s="676"/>
      <c r="E22" s="650"/>
      <c r="G22" s="678"/>
      <c r="I22" s="657"/>
      <c r="J22" s="657"/>
      <c r="K22" s="657"/>
      <c r="L22" s="657"/>
    </row>
    <row r="23" customFormat="false" ht="15" hidden="false" customHeight="true" outlineLevel="0" collapsed="false">
      <c r="A23" s="680" t="s">
        <v>930</v>
      </c>
      <c r="B23" s="681"/>
      <c r="C23" s="682" t="s">
        <v>931</v>
      </c>
      <c r="D23" s="683"/>
      <c r="E23" s="683"/>
      <c r="F23" s="684"/>
      <c r="G23" s="684"/>
      <c r="I23" s="657"/>
      <c r="J23" s="657"/>
      <c r="K23" s="657"/>
      <c r="L23" s="657"/>
    </row>
    <row r="24" customFormat="false" ht="15" hidden="true" customHeight="true" outlineLevel="1" collapsed="false">
      <c r="A24" s="680" t="s">
        <v>948</v>
      </c>
      <c r="B24" s="685"/>
      <c r="C24" s="682" t="s">
        <v>931</v>
      </c>
      <c r="D24" s="686"/>
      <c r="E24" s="686"/>
      <c r="F24" s="686"/>
      <c r="G24" s="686"/>
      <c r="I24" s="657"/>
      <c r="J24" s="657"/>
      <c r="K24" s="657"/>
      <c r="L24" s="657"/>
    </row>
    <row r="25" customFormat="false" ht="15" hidden="true" customHeight="true" outlineLevel="1" collapsed="false">
      <c r="A25" s="667"/>
      <c r="B25" s="668" t="s">
        <v>949</v>
      </c>
      <c r="C25" s="669" t="n">
        <v>0.032</v>
      </c>
      <c r="D25" s="670" t="n">
        <v>31.25</v>
      </c>
      <c r="E25" s="650" t="n">
        <v>196</v>
      </c>
      <c r="F25" s="650" t="n">
        <v>6125</v>
      </c>
      <c r="G25" s="671"/>
      <c r="I25" s="657"/>
      <c r="J25" s="657"/>
      <c r="K25" s="657"/>
      <c r="L25" s="657"/>
    </row>
    <row r="26" customFormat="false" ht="15" hidden="true" customHeight="true" outlineLevel="1" collapsed="false">
      <c r="A26" s="672"/>
      <c r="B26" s="668" t="s">
        <v>950</v>
      </c>
      <c r="C26" s="669" t="n">
        <v>0.048</v>
      </c>
      <c r="D26" s="670" t="n">
        <v>20.83</v>
      </c>
      <c r="E26" s="650" t="n">
        <v>331</v>
      </c>
      <c r="F26" s="650" t="n">
        <v>6895.83</v>
      </c>
      <c r="G26" s="671" t="n">
        <v>2332.4</v>
      </c>
      <c r="I26" s="657"/>
      <c r="J26" s="657"/>
      <c r="K26" s="657"/>
      <c r="L26" s="657"/>
    </row>
    <row r="27" customFormat="false" ht="15" hidden="true" customHeight="true" outlineLevel="1" collapsed="false">
      <c r="A27" s="672"/>
      <c r="B27" s="668" t="s">
        <v>951</v>
      </c>
      <c r="C27" s="669" t="n">
        <v>0.016</v>
      </c>
      <c r="D27" s="670" t="n">
        <v>62.5</v>
      </c>
      <c r="E27" s="650" t="n">
        <v>106</v>
      </c>
      <c r="F27" s="650" t="n">
        <v>6625</v>
      </c>
      <c r="G27" s="671"/>
      <c r="I27" s="657"/>
      <c r="J27" s="657"/>
      <c r="K27" s="657"/>
      <c r="L27" s="657"/>
    </row>
    <row r="28" customFormat="false" ht="15" hidden="true" customHeight="true" outlineLevel="1" collapsed="false">
      <c r="A28" s="672"/>
      <c r="B28" s="668" t="s">
        <v>952</v>
      </c>
      <c r="C28" s="669" t="n">
        <v>0.028</v>
      </c>
      <c r="D28" s="670" t="n">
        <v>35.71</v>
      </c>
      <c r="E28" s="670" t="n">
        <v>160</v>
      </c>
      <c r="F28" s="670" t="n">
        <v>5713.6</v>
      </c>
      <c r="G28" s="671"/>
      <c r="I28" s="657"/>
      <c r="J28" s="657"/>
      <c r="K28" s="657"/>
      <c r="L28" s="657"/>
    </row>
    <row r="29" customFormat="false" ht="15" hidden="true" customHeight="true" outlineLevel="1" collapsed="false">
      <c r="A29" s="672"/>
      <c r="B29" s="668" t="s">
        <v>953</v>
      </c>
      <c r="C29" s="669" t="n">
        <v>0.038</v>
      </c>
      <c r="D29" s="670" t="n">
        <v>26.31</v>
      </c>
      <c r="E29" s="670" t="n">
        <v>254</v>
      </c>
      <c r="F29" s="670" t="n">
        <v>6682.74</v>
      </c>
      <c r="G29" s="671" t="n">
        <v>2000</v>
      </c>
      <c r="I29" s="657"/>
      <c r="J29" s="657"/>
      <c r="K29" s="657"/>
      <c r="L29" s="657"/>
    </row>
    <row r="30" customFormat="false" ht="15" hidden="true" customHeight="true" outlineLevel="1" collapsed="false">
      <c r="A30" s="672"/>
      <c r="B30" s="668" t="s">
        <v>954</v>
      </c>
      <c r="C30" s="669" t="n">
        <v>0.14</v>
      </c>
      <c r="D30" s="670" t="n">
        <v>71.43</v>
      </c>
      <c r="E30" s="670" t="n">
        <v>88</v>
      </c>
      <c r="F30" s="670" t="n">
        <v>5714.4</v>
      </c>
      <c r="G30" s="671"/>
      <c r="I30" s="657"/>
      <c r="J30" s="657"/>
      <c r="K30" s="657"/>
      <c r="L30" s="657"/>
    </row>
    <row r="31" customFormat="false" ht="15" hidden="true" customHeight="true" outlineLevel="1" collapsed="false">
      <c r="A31" s="672"/>
      <c r="B31" s="668" t="s">
        <v>955</v>
      </c>
      <c r="C31" s="669" t="n">
        <v>0.024</v>
      </c>
      <c r="D31" s="670" t="n">
        <v>41.66</v>
      </c>
      <c r="E31" s="650" t="n">
        <v>150</v>
      </c>
      <c r="F31" s="650" t="n">
        <v>6250</v>
      </c>
      <c r="G31" s="671"/>
      <c r="I31" s="657"/>
      <c r="J31" s="657"/>
      <c r="K31" s="657"/>
      <c r="L31" s="657"/>
    </row>
    <row r="32" customFormat="false" ht="15" hidden="true" customHeight="true" outlineLevel="1" collapsed="false">
      <c r="A32" s="672"/>
      <c r="B32" s="668" t="s">
        <v>956</v>
      </c>
      <c r="C32" s="669" t="n">
        <v>0.03</v>
      </c>
      <c r="D32" s="670" t="n">
        <v>33.33</v>
      </c>
      <c r="E32" s="650" t="n">
        <v>210</v>
      </c>
      <c r="F32" s="650" t="n">
        <v>7000</v>
      </c>
      <c r="G32" s="687" t="n">
        <v>1785</v>
      </c>
      <c r="I32" s="657"/>
      <c r="J32" s="657"/>
      <c r="K32" s="657"/>
      <c r="L32" s="657"/>
    </row>
    <row r="33" customFormat="false" ht="15" hidden="true" customHeight="true" outlineLevel="1" collapsed="false">
      <c r="A33" s="672"/>
      <c r="B33" s="668" t="s">
        <v>957</v>
      </c>
      <c r="C33" s="669" t="n">
        <v>0.012</v>
      </c>
      <c r="D33" s="670" t="n">
        <v>83.33</v>
      </c>
      <c r="E33" s="650" t="n">
        <v>84</v>
      </c>
      <c r="F33" s="650" t="n">
        <v>7000</v>
      </c>
      <c r="G33" s="687"/>
      <c r="I33" s="657"/>
      <c r="J33" s="657"/>
      <c r="K33" s="657"/>
      <c r="L33" s="657"/>
    </row>
    <row r="34" customFormat="false" ht="15" hidden="true" customHeight="true" outlineLevel="1" collapsed="false">
      <c r="A34" s="672"/>
      <c r="B34" s="668"/>
      <c r="C34" s="669"/>
      <c r="D34" s="670"/>
      <c r="E34" s="650"/>
      <c r="G34" s="687"/>
      <c r="I34" s="657"/>
      <c r="J34" s="657"/>
      <c r="K34" s="657"/>
      <c r="L34" s="657"/>
    </row>
    <row r="35" customFormat="false" ht="15" hidden="true" customHeight="true" outlineLevel="1" collapsed="false">
      <c r="A35" s="672"/>
      <c r="B35" s="668"/>
      <c r="C35" s="669"/>
      <c r="D35" s="670"/>
      <c r="E35" s="650"/>
      <c r="G35" s="687"/>
      <c r="I35" s="657"/>
      <c r="J35" s="657"/>
      <c r="K35" s="657"/>
      <c r="L35" s="657"/>
    </row>
    <row r="36" customFormat="false" ht="15" hidden="true" customHeight="true" outlineLevel="1" collapsed="false">
      <c r="A36" s="679"/>
      <c r="B36" s="668"/>
      <c r="C36" s="669"/>
      <c r="D36" s="670"/>
      <c r="E36" s="650"/>
      <c r="G36" s="687"/>
      <c r="I36" s="657"/>
      <c r="J36" s="657"/>
      <c r="K36" s="657"/>
      <c r="L36" s="657"/>
    </row>
    <row r="37" customFormat="false" ht="15" hidden="false" customHeight="true" outlineLevel="0" collapsed="false">
      <c r="A37" s="680" t="s">
        <v>948</v>
      </c>
      <c r="B37" s="685"/>
      <c r="C37" s="682" t="s">
        <v>931</v>
      </c>
      <c r="D37" s="686"/>
      <c r="E37" s="686"/>
      <c r="F37" s="686"/>
      <c r="G37" s="686"/>
      <c r="I37" s="657"/>
      <c r="J37" s="657"/>
      <c r="K37" s="657"/>
      <c r="L37" s="657"/>
    </row>
    <row r="38" customFormat="false" ht="15" hidden="true" customHeight="true" outlineLevel="1" collapsed="false">
      <c r="A38" s="680" t="s">
        <v>958</v>
      </c>
      <c r="B38" s="685"/>
      <c r="C38" s="682" t="s">
        <v>931</v>
      </c>
      <c r="D38" s="686"/>
      <c r="E38" s="686"/>
      <c r="F38" s="686"/>
      <c r="G38" s="686"/>
      <c r="I38" s="657"/>
      <c r="J38" s="657"/>
      <c r="K38" s="657"/>
      <c r="L38" s="657"/>
    </row>
    <row r="39" customFormat="false" ht="15" hidden="true" customHeight="true" outlineLevel="1" collapsed="false">
      <c r="A39" s="667"/>
      <c r="B39" s="668" t="s">
        <v>937</v>
      </c>
      <c r="C39" s="669" t="n">
        <v>0.031</v>
      </c>
      <c r="D39" s="670" t="n">
        <v>32.25</v>
      </c>
      <c r="E39" s="670" t="n">
        <v>137</v>
      </c>
      <c r="F39" s="670" t="n">
        <v>4419.35</v>
      </c>
      <c r="G39" s="671"/>
      <c r="I39" s="657"/>
      <c r="J39" s="657"/>
      <c r="K39" s="657"/>
      <c r="L39" s="657"/>
    </row>
    <row r="40" customFormat="false" ht="15" hidden="true" customHeight="true" outlineLevel="1" collapsed="false">
      <c r="A40" s="672"/>
      <c r="B40" s="668" t="s">
        <v>938</v>
      </c>
      <c r="C40" s="669" t="n">
        <v>0.047</v>
      </c>
      <c r="D40" s="670" t="n">
        <v>21.27</v>
      </c>
      <c r="E40" s="670" t="n">
        <v>209</v>
      </c>
      <c r="F40" s="670" t="n">
        <v>4446.8</v>
      </c>
      <c r="G40" s="671" t="n">
        <v>1630.3</v>
      </c>
      <c r="I40" s="657"/>
      <c r="J40" s="657"/>
      <c r="K40" s="657"/>
      <c r="L40" s="657"/>
    </row>
    <row r="41" customFormat="false" ht="15" hidden="true" customHeight="true" outlineLevel="1" collapsed="false">
      <c r="A41" s="672"/>
      <c r="B41" s="668" t="s">
        <v>939</v>
      </c>
      <c r="C41" s="669" t="n">
        <v>0.016</v>
      </c>
      <c r="D41" s="670" t="n">
        <v>62.5</v>
      </c>
      <c r="E41" s="670" t="n">
        <v>71</v>
      </c>
      <c r="F41" s="670" t="n">
        <v>4434.78</v>
      </c>
      <c r="G41" s="671"/>
      <c r="I41" s="657"/>
      <c r="J41" s="657"/>
      <c r="K41" s="657"/>
      <c r="L41" s="657"/>
    </row>
    <row r="42" customFormat="false" ht="15" hidden="true" customHeight="true" outlineLevel="1" collapsed="false">
      <c r="A42" s="672"/>
      <c r="B42" s="647" t="s">
        <v>942</v>
      </c>
      <c r="C42" s="669" t="n">
        <v>0.027</v>
      </c>
      <c r="D42" s="670" t="n">
        <v>37.03</v>
      </c>
      <c r="E42" s="670" t="n">
        <v>119</v>
      </c>
      <c r="F42" s="670" t="n">
        <v>4407.41</v>
      </c>
      <c r="G42" s="671"/>
      <c r="I42" s="657"/>
      <c r="J42" s="657"/>
      <c r="K42" s="657"/>
      <c r="L42" s="657"/>
    </row>
    <row r="43" customFormat="false" ht="15" hidden="true" customHeight="true" outlineLevel="1" collapsed="false">
      <c r="A43" s="672"/>
      <c r="B43" s="647" t="s">
        <v>943</v>
      </c>
      <c r="C43" s="669" t="n">
        <v>0.036</v>
      </c>
      <c r="D43" s="670" t="n">
        <v>27.77</v>
      </c>
      <c r="E43" s="670" t="n">
        <v>162</v>
      </c>
      <c r="F43" s="670" t="n">
        <v>4498.74</v>
      </c>
      <c r="G43" s="671" t="n">
        <v>1416.1</v>
      </c>
      <c r="I43" s="657"/>
      <c r="J43" s="657"/>
      <c r="K43" s="657"/>
      <c r="L43" s="657"/>
    </row>
    <row r="44" customFormat="false" ht="15" hidden="true" customHeight="true" outlineLevel="1" collapsed="false">
      <c r="A44" s="672"/>
      <c r="B44" s="647" t="s">
        <v>944</v>
      </c>
      <c r="C44" s="669" t="n">
        <v>0.014</v>
      </c>
      <c r="D44" s="670" t="n">
        <v>71.43</v>
      </c>
      <c r="E44" s="670" t="n">
        <v>70</v>
      </c>
      <c r="F44" s="670" t="n">
        <v>5000.1</v>
      </c>
      <c r="G44" s="671"/>
      <c r="I44" s="657"/>
      <c r="J44" s="657"/>
      <c r="K44" s="657"/>
      <c r="L44" s="657"/>
    </row>
    <row r="45" customFormat="false" ht="15" hidden="true" customHeight="true" outlineLevel="1" collapsed="false">
      <c r="A45" s="672"/>
      <c r="B45" s="668" t="s">
        <v>945</v>
      </c>
      <c r="C45" s="669" t="n">
        <v>0.023</v>
      </c>
      <c r="D45" s="670" t="n">
        <v>43.47</v>
      </c>
      <c r="E45" s="670" t="n">
        <v>102</v>
      </c>
      <c r="F45" s="670" t="n">
        <v>4434.78</v>
      </c>
      <c r="G45" s="671"/>
      <c r="I45" s="657"/>
      <c r="J45" s="657"/>
      <c r="K45" s="657"/>
      <c r="L45" s="657"/>
    </row>
    <row r="46" customFormat="false" ht="15" hidden="true" customHeight="true" outlineLevel="1" collapsed="false">
      <c r="A46" s="672"/>
      <c r="B46" s="668" t="s">
        <v>946</v>
      </c>
      <c r="C46" s="669" t="n">
        <v>0.029</v>
      </c>
      <c r="D46" s="670" t="n">
        <v>34.48</v>
      </c>
      <c r="E46" s="670" t="n">
        <v>131</v>
      </c>
      <c r="F46" s="670" t="n">
        <v>4517.24</v>
      </c>
      <c r="G46" s="671" t="n">
        <v>1213.8</v>
      </c>
      <c r="I46" s="657"/>
      <c r="J46" s="657"/>
      <c r="K46" s="657"/>
      <c r="L46" s="657"/>
    </row>
    <row r="47" customFormat="false" ht="15" hidden="true" customHeight="true" outlineLevel="1" collapsed="false">
      <c r="A47" s="672"/>
      <c r="B47" s="668" t="s">
        <v>947</v>
      </c>
      <c r="C47" s="669" t="n">
        <v>0.012</v>
      </c>
      <c r="D47" s="670" t="n">
        <v>83.33</v>
      </c>
      <c r="E47" s="670" t="n">
        <v>55</v>
      </c>
      <c r="F47" s="670" t="n">
        <v>4583.33</v>
      </c>
      <c r="G47" s="687"/>
      <c r="I47" s="657"/>
      <c r="J47" s="657"/>
      <c r="K47" s="657"/>
      <c r="L47" s="657"/>
    </row>
    <row r="48" customFormat="false" ht="15" hidden="true" customHeight="true" outlineLevel="1" collapsed="false">
      <c r="A48" s="672"/>
      <c r="B48" s="668"/>
      <c r="C48" s="669"/>
      <c r="D48" s="670"/>
      <c r="E48" s="670"/>
      <c r="F48" s="670"/>
      <c r="G48" s="687"/>
      <c r="I48" s="657"/>
      <c r="J48" s="657"/>
      <c r="K48" s="657"/>
      <c r="L48" s="657"/>
    </row>
    <row r="49" customFormat="false" ht="15" hidden="true" customHeight="true" outlineLevel="1" collapsed="false">
      <c r="A49" s="672"/>
      <c r="B49" s="668"/>
      <c r="C49" s="669"/>
      <c r="D49" s="670"/>
      <c r="E49" s="670"/>
      <c r="F49" s="670"/>
      <c r="G49" s="687"/>
      <c r="I49" s="657"/>
      <c r="J49" s="657"/>
      <c r="K49" s="657"/>
      <c r="L49" s="657"/>
    </row>
    <row r="50" customFormat="false" ht="15" hidden="true" customHeight="true" outlineLevel="1" collapsed="false">
      <c r="A50" s="679"/>
      <c r="B50" s="668"/>
      <c r="C50" s="669"/>
      <c r="D50" s="670"/>
      <c r="E50" s="670"/>
      <c r="F50" s="670"/>
      <c r="G50" s="687"/>
      <c r="I50" s="657"/>
      <c r="J50" s="657"/>
      <c r="K50" s="657"/>
      <c r="L50" s="657"/>
    </row>
    <row r="51" customFormat="false" ht="15" hidden="false" customHeight="true" outlineLevel="0" collapsed="false">
      <c r="A51" s="680" t="s">
        <v>958</v>
      </c>
      <c r="B51" s="685"/>
      <c r="C51" s="682" t="s">
        <v>931</v>
      </c>
      <c r="D51" s="686"/>
      <c r="E51" s="686"/>
      <c r="F51" s="686"/>
      <c r="G51" s="686"/>
      <c r="I51" s="657"/>
      <c r="J51" s="657"/>
      <c r="K51" s="657"/>
      <c r="L51" s="657"/>
    </row>
    <row r="52" customFormat="false" ht="15" hidden="true" customHeight="true" outlineLevel="1" collapsed="false">
      <c r="A52" s="688" t="s">
        <v>959</v>
      </c>
      <c r="B52" s="689"/>
      <c r="C52" s="682" t="s">
        <v>931</v>
      </c>
      <c r="D52" s="690"/>
      <c r="E52" s="690"/>
      <c r="F52" s="690"/>
      <c r="G52" s="690"/>
      <c r="I52" s="691"/>
      <c r="J52" s="691"/>
      <c r="K52" s="691"/>
      <c r="L52" s="691"/>
    </row>
    <row r="53" customFormat="false" ht="15" hidden="true" customHeight="true" outlineLevel="1" collapsed="false">
      <c r="A53" s="667"/>
      <c r="B53" s="668" t="s">
        <v>960</v>
      </c>
      <c r="C53" s="669" t="n">
        <v>0.031</v>
      </c>
      <c r="D53" s="670" t="n">
        <v>32.25</v>
      </c>
      <c r="E53" s="650" t="n">
        <v>160</v>
      </c>
      <c r="F53" s="650" t="n">
        <v>5161.3</v>
      </c>
      <c r="G53" s="670"/>
      <c r="I53" s="691"/>
      <c r="J53" s="691"/>
      <c r="K53" s="691"/>
      <c r="L53" s="691"/>
    </row>
    <row r="54" customFormat="false" ht="15" hidden="true" customHeight="true" outlineLevel="1" collapsed="false">
      <c r="A54" s="672"/>
      <c r="B54" s="668" t="s">
        <v>938</v>
      </c>
      <c r="C54" s="669" t="n">
        <v>0.047</v>
      </c>
      <c r="D54" s="670" t="n">
        <v>21.27</v>
      </c>
      <c r="E54" s="650" t="n">
        <v>310</v>
      </c>
      <c r="F54" s="650" t="n">
        <v>6595.74</v>
      </c>
      <c r="G54" s="670"/>
      <c r="I54" s="691"/>
      <c r="J54" s="691"/>
      <c r="K54" s="691"/>
      <c r="L54" s="691"/>
    </row>
    <row r="55" customFormat="false" ht="15" hidden="true" customHeight="true" outlineLevel="1" collapsed="false">
      <c r="A55" s="672"/>
      <c r="B55" s="668" t="s">
        <v>961</v>
      </c>
      <c r="C55" s="669" t="n">
        <v>0.036</v>
      </c>
      <c r="D55" s="670" t="n">
        <v>27.77</v>
      </c>
      <c r="E55" s="670" t="n">
        <v>242</v>
      </c>
      <c r="F55" s="670" t="n">
        <v>6720.34</v>
      </c>
      <c r="G55" s="670"/>
      <c r="I55" s="691"/>
      <c r="J55" s="691"/>
      <c r="K55" s="691"/>
      <c r="L55" s="691"/>
    </row>
    <row r="56" customFormat="false" ht="15" hidden="true" customHeight="true" outlineLevel="1" collapsed="false">
      <c r="A56" s="672"/>
      <c r="B56" s="668" t="s">
        <v>946</v>
      </c>
      <c r="C56" s="669" t="n">
        <v>0.029</v>
      </c>
      <c r="D56" s="670" t="n">
        <v>34.48</v>
      </c>
      <c r="E56" s="650" t="n">
        <v>205</v>
      </c>
      <c r="F56" s="650" t="n">
        <v>7068.96</v>
      </c>
      <c r="G56" s="670"/>
      <c r="I56" s="691"/>
      <c r="J56" s="691"/>
      <c r="K56" s="691"/>
      <c r="L56" s="691"/>
    </row>
    <row r="57" customFormat="false" ht="15" hidden="true" customHeight="true" outlineLevel="1" collapsed="false">
      <c r="A57" s="672"/>
      <c r="B57" s="668"/>
      <c r="C57" s="669"/>
      <c r="D57" s="670"/>
      <c r="E57" s="650"/>
      <c r="G57" s="670"/>
      <c r="I57" s="691"/>
      <c r="J57" s="691"/>
      <c r="K57" s="691"/>
      <c r="L57" s="691"/>
    </row>
    <row r="58" customFormat="false" ht="15" hidden="true" customHeight="true" outlineLevel="1" collapsed="false">
      <c r="A58" s="679"/>
      <c r="B58" s="668"/>
      <c r="C58" s="669"/>
      <c r="D58" s="670"/>
      <c r="E58" s="650"/>
      <c r="G58" s="670"/>
      <c r="I58" s="691"/>
      <c r="J58" s="691"/>
      <c r="K58" s="691"/>
      <c r="L58" s="691"/>
    </row>
    <row r="59" customFormat="false" ht="15" hidden="false" customHeight="true" outlineLevel="0" collapsed="false">
      <c r="A59" s="688" t="s">
        <v>959</v>
      </c>
      <c r="B59" s="689"/>
      <c r="C59" s="682" t="s">
        <v>931</v>
      </c>
      <c r="D59" s="690"/>
      <c r="E59" s="690"/>
      <c r="F59" s="690"/>
      <c r="G59" s="690"/>
      <c r="I59" s="691"/>
      <c r="J59" s="691"/>
      <c r="K59" s="691"/>
      <c r="L59" s="691"/>
    </row>
    <row r="60" customFormat="false" ht="15" hidden="true" customHeight="true" outlineLevel="1" collapsed="false">
      <c r="A60" s="688" t="s">
        <v>962</v>
      </c>
      <c r="B60" s="692"/>
      <c r="C60" s="682" t="s">
        <v>931</v>
      </c>
      <c r="D60" s="690"/>
      <c r="E60" s="690"/>
      <c r="F60" s="690"/>
      <c r="G60" s="690"/>
      <c r="I60" s="691"/>
      <c r="J60" s="691"/>
      <c r="K60" s="691"/>
      <c r="L60" s="691"/>
    </row>
    <row r="61" customFormat="false" ht="15" hidden="true" customHeight="true" outlineLevel="1" collapsed="false">
      <c r="A61" s="667"/>
      <c r="B61" s="668" t="s">
        <v>963</v>
      </c>
      <c r="C61" s="669" t="n">
        <v>0.024</v>
      </c>
      <c r="D61" s="670"/>
      <c r="E61" s="670" t="n">
        <v>100.8</v>
      </c>
      <c r="F61" s="670" t="n">
        <v>4200</v>
      </c>
      <c r="G61" s="670"/>
      <c r="I61" s="691"/>
      <c r="J61" s="691"/>
      <c r="K61" s="691"/>
      <c r="L61" s="691"/>
    </row>
    <row r="62" customFormat="false" ht="15" hidden="true" customHeight="true" outlineLevel="1" collapsed="false">
      <c r="A62" s="672"/>
      <c r="B62" s="668" t="s">
        <v>964</v>
      </c>
      <c r="C62" s="669" t="n">
        <v>0.032</v>
      </c>
      <c r="D62" s="670"/>
      <c r="E62" s="670" t="n">
        <v>134.4</v>
      </c>
      <c r="F62" s="670" t="n">
        <v>4200</v>
      </c>
      <c r="G62" s="670"/>
      <c r="I62" s="691"/>
      <c r="J62" s="691"/>
      <c r="K62" s="691"/>
      <c r="L62" s="691"/>
    </row>
    <row r="63" customFormat="false" ht="15" hidden="true" customHeight="true" outlineLevel="1" collapsed="false">
      <c r="A63" s="672"/>
      <c r="B63" s="668"/>
      <c r="C63" s="669"/>
      <c r="D63" s="670"/>
      <c r="E63" s="670"/>
      <c r="F63" s="670"/>
      <c r="G63" s="670"/>
      <c r="I63" s="691"/>
      <c r="J63" s="691"/>
      <c r="K63" s="691"/>
      <c r="L63" s="691"/>
    </row>
    <row r="64" customFormat="false" ht="15" hidden="true" customHeight="true" outlineLevel="1" collapsed="false">
      <c r="A64" s="679"/>
      <c r="B64" s="668"/>
      <c r="C64" s="669"/>
      <c r="D64" s="670"/>
      <c r="E64" s="670"/>
      <c r="F64" s="670"/>
      <c r="G64" s="670"/>
      <c r="I64" s="691"/>
      <c r="J64" s="691"/>
      <c r="K64" s="691"/>
      <c r="L64" s="691"/>
    </row>
    <row r="65" customFormat="false" ht="15" hidden="false" customHeight="true" outlineLevel="0" collapsed="false">
      <c r="A65" s="688" t="s">
        <v>962</v>
      </c>
      <c r="B65" s="692"/>
      <c r="C65" s="682" t="s">
        <v>931</v>
      </c>
      <c r="D65" s="690"/>
      <c r="E65" s="690"/>
      <c r="F65" s="690"/>
      <c r="G65" s="690"/>
      <c r="I65" s="693" t="s">
        <v>965</v>
      </c>
      <c r="J65" s="693"/>
      <c r="K65" s="693"/>
      <c r="L65" s="693"/>
    </row>
    <row r="66" customFormat="false" ht="15" hidden="true" customHeight="true" outlineLevel="1" collapsed="false">
      <c r="A66" s="688" t="s">
        <v>966</v>
      </c>
      <c r="B66" s="692"/>
      <c r="C66" s="682" t="s">
        <v>931</v>
      </c>
      <c r="D66" s="690"/>
      <c r="E66" s="690"/>
      <c r="F66" s="690"/>
      <c r="G66" s="690"/>
      <c r="I66" s="693"/>
      <c r="J66" s="693"/>
      <c r="K66" s="693"/>
      <c r="L66" s="693"/>
    </row>
    <row r="67" customFormat="false" ht="15" hidden="true" customHeight="true" outlineLevel="1" collapsed="false">
      <c r="A67" s="667"/>
      <c r="B67" s="668" t="s">
        <v>754</v>
      </c>
      <c r="C67" s="669" t="n">
        <v>0.024</v>
      </c>
      <c r="D67" s="670"/>
      <c r="E67" s="670" t="n">
        <v>100.8</v>
      </c>
      <c r="F67" s="670" t="n">
        <v>4200</v>
      </c>
      <c r="G67" s="670"/>
      <c r="I67" s="693"/>
      <c r="J67" s="693"/>
      <c r="K67" s="693"/>
      <c r="L67" s="693"/>
    </row>
    <row r="68" customFormat="false" ht="15" hidden="true" customHeight="true" outlineLevel="1" collapsed="false">
      <c r="A68" s="672"/>
      <c r="B68" s="668" t="s">
        <v>967</v>
      </c>
      <c r="C68" s="669" t="n">
        <v>0.032</v>
      </c>
      <c r="D68" s="670"/>
      <c r="E68" s="670" t="n">
        <v>134.4</v>
      </c>
      <c r="F68" s="670" t="n">
        <v>4200</v>
      </c>
      <c r="G68" s="670"/>
      <c r="I68" s="693"/>
      <c r="J68" s="693"/>
      <c r="K68" s="693"/>
      <c r="L68" s="693"/>
    </row>
    <row r="69" customFormat="false" ht="15" hidden="true" customHeight="true" outlineLevel="1" collapsed="false">
      <c r="A69" s="672"/>
      <c r="B69" s="668"/>
      <c r="C69" s="669"/>
      <c r="D69" s="670"/>
      <c r="E69" s="670"/>
      <c r="F69" s="670"/>
      <c r="G69" s="670"/>
      <c r="I69" s="693"/>
      <c r="J69" s="693"/>
      <c r="K69" s="693"/>
      <c r="L69" s="693"/>
    </row>
    <row r="70" customFormat="false" ht="15" hidden="true" customHeight="true" outlineLevel="1" collapsed="false">
      <c r="A70" s="679"/>
      <c r="B70" s="668"/>
      <c r="C70" s="669"/>
      <c r="D70" s="670"/>
      <c r="E70" s="670"/>
      <c r="F70" s="670"/>
      <c r="G70" s="670"/>
      <c r="I70" s="693"/>
      <c r="J70" s="693"/>
      <c r="K70" s="693"/>
      <c r="L70" s="693"/>
    </row>
    <row r="71" customFormat="false" ht="15" hidden="false" customHeight="true" outlineLevel="0" collapsed="false">
      <c r="A71" s="688" t="s">
        <v>966</v>
      </c>
      <c r="B71" s="692"/>
      <c r="C71" s="682" t="s">
        <v>931</v>
      </c>
      <c r="D71" s="690"/>
      <c r="E71" s="690"/>
      <c r="F71" s="690"/>
      <c r="G71" s="690"/>
      <c r="I71" s="693"/>
      <c r="J71" s="693"/>
      <c r="K71" s="693"/>
      <c r="L71" s="693"/>
    </row>
    <row r="72" customFormat="false" ht="15" hidden="true" customHeight="true" outlineLevel="1" collapsed="false">
      <c r="A72" s="688" t="s">
        <v>968</v>
      </c>
      <c r="B72" s="692"/>
      <c r="C72" s="682" t="s">
        <v>931</v>
      </c>
      <c r="D72" s="690"/>
      <c r="E72" s="690"/>
      <c r="F72" s="690"/>
      <c r="G72" s="690"/>
      <c r="I72" s="693"/>
      <c r="J72" s="693"/>
      <c r="K72" s="693"/>
      <c r="L72" s="693"/>
    </row>
    <row r="73" customFormat="false" ht="15" hidden="true" customHeight="true" outlineLevel="1" collapsed="false">
      <c r="A73" s="667"/>
      <c r="B73" s="668" t="s">
        <v>969</v>
      </c>
      <c r="C73" s="669" t="n">
        <v>0.024</v>
      </c>
      <c r="D73" s="670"/>
      <c r="E73" s="670" t="n">
        <v>100.8</v>
      </c>
      <c r="F73" s="670" t="n">
        <v>4200</v>
      </c>
      <c r="G73" s="670"/>
      <c r="I73" s="693"/>
      <c r="J73" s="693"/>
      <c r="K73" s="693"/>
      <c r="L73" s="693"/>
    </row>
    <row r="74" customFormat="false" ht="15" hidden="true" customHeight="true" outlineLevel="1" collapsed="false">
      <c r="A74" s="672"/>
      <c r="B74" s="668" t="s">
        <v>970</v>
      </c>
      <c r="C74" s="669" t="n">
        <v>0.032</v>
      </c>
      <c r="D74" s="670"/>
      <c r="E74" s="670" t="n">
        <v>134.4</v>
      </c>
      <c r="F74" s="670" t="n">
        <v>4200</v>
      </c>
      <c r="G74" s="670"/>
      <c r="I74" s="693"/>
      <c r="J74" s="693"/>
      <c r="K74" s="693"/>
      <c r="L74" s="693"/>
    </row>
    <row r="75" customFormat="false" ht="15" hidden="true" customHeight="true" outlineLevel="1" collapsed="false">
      <c r="A75" s="672"/>
      <c r="B75" s="668"/>
      <c r="C75" s="669"/>
      <c r="D75" s="670"/>
      <c r="E75" s="670"/>
      <c r="F75" s="670"/>
      <c r="G75" s="670"/>
      <c r="I75" s="693"/>
      <c r="J75" s="693"/>
      <c r="K75" s="693"/>
      <c r="L75" s="693"/>
    </row>
    <row r="76" customFormat="false" ht="15" hidden="true" customHeight="true" outlineLevel="1" collapsed="false">
      <c r="A76" s="679"/>
      <c r="B76" s="668"/>
      <c r="C76" s="669"/>
      <c r="D76" s="670"/>
      <c r="E76" s="670"/>
      <c r="F76" s="670"/>
      <c r="G76" s="670"/>
      <c r="I76" s="693"/>
      <c r="J76" s="693"/>
      <c r="K76" s="693"/>
      <c r="L76" s="693"/>
    </row>
    <row r="77" customFormat="false" ht="15" hidden="false" customHeight="true" outlineLevel="0" collapsed="false">
      <c r="A77" s="688" t="s">
        <v>968</v>
      </c>
      <c r="B77" s="692"/>
      <c r="C77" s="682" t="s">
        <v>931</v>
      </c>
      <c r="D77" s="690"/>
      <c r="E77" s="690"/>
      <c r="F77" s="690"/>
      <c r="G77" s="690"/>
      <c r="I77" s="693"/>
      <c r="J77" s="693"/>
      <c r="K77" s="693"/>
      <c r="L77" s="693"/>
    </row>
    <row r="78" customFormat="false" ht="15" hidden="true" customHeight="true" outlineLevel="1" collapsed="false">
      <c r="A78" s="688" t="s">
        <v>971</v>
      </c>
      <c r="B78" s="692"/>
      <c r="C78" s="682" t="s">
        <v>931</v>
      </c>
      <c r="D78" s="690"/>
      <c r="E78" s="690"/>
      <c r="F78" s="690"/>
      <c r="G78" s="690"/>
      <c r="I78" s="693"/>
      <c r="J78" s="693"/>
      <c r="K78" s="693"/>
      <c r="L78" s="693"/>
    </row>
    <row r="79" customFormat="false" ht="15" hidden="true" customHeight="true" outlineLevel="1" collapsed="false">
      <c r="A79" s="667"/>
      <c r="B79" s="668" t="s">
        <v>972</v>
      </c>
      <c r="C79" s="669" t="n">
        <v>0.024</v>
      </c>
      <c r="D79" s="670"/>
      <c r="E79" s="670" t="n">
        <v>100.8</v>
      </c>
      <c r="F79" s="670" t="n">
        <v>4200</v>
      </c>
      <c r="G79" s="670"/>
      <c r="I79" s="693"/>
      <c r="J79" s="693"/>
      <c r="K79" s="693"/>
      <c r="L79" s="693"/>
    </row>
    <row r="80" customFormat="false" ht="15" hidden="true" customHeight="true" outlineLevel="1" collapsed="false">
      <c r="A80" s="672"/>
      <c r="B80" s="668" t="s">
        <v>973</v>
      </c>
      <c r="C80" s="669" t="n">
        <v>0.032</v>
      </c>
      <c r="D80" s="670"/>
      <c r="E80" s="670" t="n">
        <v>134.4</v>
      </c>
      <c r="F80" s="670" t="n">
        <v>4200</v>
      </c>
      <c r="G80" s="670"/>
      <c r="I80" s="693"/>
      <c r="J80" s="693"/>
      <c r="K80" s="693"/>
      <c r="L80" s="693"/>
    </row>
    <row r="81" customFormat="false" ht="15" hidden="true" customHeight="true" outlineLevel="1" collapsed="false">
      <c r="A81" s="672"/>
      <c r="B81" s="668"/>
      <c r="C81" s="669"/>
      <c r="D81" s="670"/>
      <c r="E81" s="670"/>
      <c r="F81" s="670"/>
      <c r="G81" s="670"/>
      <c r="I81" s="693"/>
      <c r="J81" s="693"/>
      <c r="K81" s="693"/>
      <c r="L81" s="693"/>
    </row>
    <row r="82" customFormat="false" ht="15" hidden="true" customHeight="true" outlineLevel="1" collapsed="false">
      <c r="A82" s="679"/>
      <c r="B82" s="668"/>
      <c r="C82" s="669"/>
      <c r="D82" s="670"/>
      <c r="E82" s="670"/>
      <c r="F82" s="670"/>
      <c r="G82" s="670"/>
      <c r="I82" s="693"/>
      <c r="J82" s="693"/>
      <c r="K82" s="693"/>
      <c r="L82" s="693"/>
    </row>
    <row r="83" customFormat="false" ht="15" hidden="false" customHeight="true" outlineLevel="0" collapsed="false">
      <c r="A83" s="688" t="s">
        <v>971</v>
      </c>
      <c r="B83" s="692"/>
      <c r="C83" s="682" t="s">
        <v>931</v>
      </c>
      <c r="D83" s="690"/>
      <c r="E83" s="690"/>
      <c r="F83" s="690"/>
      <c r="G83" s="690"/>
      <c r="I83" s="693"/>
      <c r="J83" s="693"/>
      <c r="K83" s="693"/>
      <c r="L83" s="693"/>
    </row>
    <row r="84" customFormat="false" ht="15" hidden="true" customHeight="true" outlineLevel="1" collapsed="false">
      <c r="A84" s="688" t="s">
        <v>974</v>
      </c>
      <c r="B84" s="692"/>
      <c r="C84" s="682" t="s">
        <v>931</v>
      </c>
      <c r="D84" s="690"/>
      <c r="E84" s="690"/>
      <c r="F84" s="690"/>
      <c r="G84" s="690"/>
      <c r="I84" s="693"/>
      <c r="J84" s="693"/>
      <c r="K84" s="693"/>
      <c r="L84" s="693"/>
    </row>
    <row r="85" customFormat="false" ht="15" hidden="true" customHeight="true" outlineLevel="1" collapsed="false">
      <c r="A85" s="694"/>
      <c r="B85" s="668" t="s">
        <v>975</v>
      </c>
      <c r="C85" s="669" t="n">
        <v>0.024</v>
      </c>
      <c r="D85" s="670"/>
      <c r="E85" s="670" t="n">
        <v>92.4</v>
      </c>
      <c r="F85" s="670" t="n">
        <v>4050</v>
      </c>
      <c r="G85" s="670"/>
      <c r="I85" s="693"/>
      <c r="J85" s="693"/>
      <c r="K85" s="693"/>
      <c r="L85" s="693"/>
    </row>
    <row r="86" customFormat="false" ht="15" hidden="true" customHeight="true" outlineLevel="1" collapsed="false">
      <c r="A86" s="695"/>
      <c r="B86" s="668" t="s">
        <v>976</v>
      </c>
      <c r="C86" s="669" t="n">
        <v>0.032</v>
      </c>
      <c r="D86" s="670"/>
      <c r="E86" s="670" t="n">
        <v>123.2</v>
      </c>
      <c r="F86" s="670" t="n">
        <v>4050</v>
      </c>
      <c r="G86" s="670"/>
      <c r="I86" s="693"/>
      <c r="J86" s="693"/>
      <c r="K86" s="693"/>
      <c r="L86" s="693"/>
    </row>
    <row r="87" customFormat="false" ht="15" hidden="true" customHeight="true" outlineLevel="1" collapsed="false">
      <c r="A87" s="695"/>
      <c r="B87" s="668"/>
      <c r="C87" s="669"/>
      <c r="D87" s="670"/>
      <c r="E87" s="670"/>
      <c r="F87" s="670"/>
      <c r="G87" s="670"/>
      <c r="I87" s="693"/>
      <c r="J87" s="693"/>
      <c r="K87" s="693"/>
      <c r="L87" s="693"/>
    </row>
    <row r="88" customFormat="false" ht="15" hidden="true" customHeight="true" outlineLevel="1" collapsed="false">
      <c r="A88" s="696"/>
      <c r="B88" s="668"/>
      <c r="C88" s="669"/>
      <c r="D88" s="670"/>
      <c r="E88" s="670"/>
      <c r="F88" s="670"/>
      <c r="G88" s="670"/>
      <c r="I88" s="693"/>
      <c r="J88" s="693"/>
      <c r="K88" s="693"/>
      <c r="L88" s="693"/>
    </row>
    <row r="89" customFormat="false" ht="15" hidden="false" customHeight="true" outlineLevel="0" collapsed="false">
      <c r="A89" s="688" t="s">
        <v>974</v>
      </c>
      <c r="B89" s="692"/>
      <c r="C89" s="682" t="s">
        <v>931</v>
      </c>
      <c r="D89" s="690"/>
      <c r="E89" s="690"/>
      <c r="F89" s="690"/>
      <c r="G89" s="690"/>
      <c r="I89" s="693"/>
      <c r="J89" s="693"/>
      <c r="K89" s="693"/>
      <c r="L89" s="693"/>
    </row>
    <row r="90" customFormat="false" ht="15" hidden="true" customHeight="true" outlineLevel="1" collapsed="false">
      <c r="A90" s="697" t="s">
        <v>977</v>
      </c>
      <c r="B90" s="698"/>
      <c r="C90" s="682" t="s">
        <v>931</v>
      </c>
      <c r="D90" s="699" t="s">
        <v>978</v>
      </c>
      <c r="E90" s="699" t="s">
        <v>979</v>
      </c>
      <c r="F90" s="699" t="s">
        <v>980</v>
      </c>
      <c r="G90" s="699" t="s">
        <v>981</v>
      </c>
      <c r="I90" s="693"/>
      <c r="J90" s="693"/>
      <c r="K90" s="693"/>
      <c r="L90" s="693"/>
    </row>
    <row r="91" s="705" customFormat="true" ht="15" hidden="true" customHeight="true" outlineLevel="1" collapsed="false">
      <c r="A91" s="700"/>
      <c r="B91" s="701" t="s">
        <v>982</v>
      </c>
      <c r="C91" s="702" t="n">
        <f aca="false">D91*E91*F91/1000000000</f>
        <v>0.015625</v>
      </c>
      <c r="D91" s="703" t="n">
        <v>625</v>
      </c>
      <c r="E91" s="704" t="n">
        <v>100</v>
      </c>
      <c r="F91" s="704" t="n">
        <v>250</v>
      </c>
      <c r="G91" s="704" t="n">
        <v>4100</v>
      </c>
      <c r="H91" s="651"/>
      <c r="I91" s="693"/>
      <c r="J91" s="693"/>
      <c r="K91" s="693"/>
      <c r="L91" s="693"/>
      <c r="M91" s="651"/>
      <c r="N91" s="651"/>
      <c r="O91" s="651"/>
      <c r="P91" s="651"/>
      <c r="Q91" s="651"/>
      <c r="R91" s="651"/>
      <c r="S91" s="651"/>
      <c r="T91" s="651"/>
      <c r="U91" s="651"/>
    </row>
    <row r="92" customFormat="false" ht="15" hidden="true" customHeight="true" outlineLevel="1" collapsed="false">
      <c r="A92" s="706"/>
      <c r="B92" s="701" t="s">
        <v>982</v>
      </c>
      <c r="C92" s="702" t="n">
        <f aca="false">D92*E92*F92/1000000000</f>
        <v>0.03125</v>
      </c>
      <c r="D92" s="703" t="n">
        <v>625</v>
      </c>
      <c r="E92" s="704" t="n">
        <v>200</v>
      </c>
      <c r="F92" s="704" t="n">
        <v>250</v>
      </c>
      <c r="G92" s="704" t="n">
        <v>4100</v>
      </c>
      <c r="I92" s="693"/>
      <c r="J92" s="693"/>
      <c r="K92" s="693"/>
      <c r="L92" s="693"/>
    </row>
    <row r="93" customFormat="false" ht="15" hidden="true" customHeight="true" outlineLevel="1" collapsed="false">
      <c r="A93" s="706"/>
      <c r="B93" s="701" t="s">
        <v>982</v>
      </c>
      <c r="C93" s="702" t="n">
        <f aca="false">D93*E93*F93/1000000000</f>
        <v>0.0375</v>
      </c>
      <c r="D93" s="703" t="n">
        <v>625</v>
      </c>
      <c r="E93" s="704" t="n">
        <v>240</v>
      </c>
      <c r="F93" s="704" t="n">
        <v>250</v>
      </c>
      <c r="G93" s="704" t="n">
        <v>4100</v>
      </c>
      <c r="I93" s="693"/>
      <c r="J93" s="693"/>
      <c r="K93" s="693"/>
      <c r="L93" s="693"/>
    </row>
    <row r="94" customFormat="false" ht="15" hidden="true" customHeight="true" outlineLevel="1" collapsed="false">
      <c r="A94" s="706"/>
      <c r="B94" s="701" t="s">
        <v>982</v>
      </c>
      <c r="C94" s="702" t="n">
        <f aca="false">D94*E94*F94/1000000000</f>
        <v>0.046875</v>
      </c>
      <c r="D94" s="703" t="n">
        <v>625</v>
      </c>
      <c r="E94" s="704" t="n">
        <v>300</v>
      </c>
      <c r="F94" s="704" t="n">
        <v>250</v>
      </c>
      <c r="G94" s="704" t="n">
        <v>4100</v>
      </c>
      <c r="I94" s="693"/>
      <c r="J94" s="693"/>
      <c r="K94" s="693"/>
      <c r="L94" s="693"/>
    </row>
    <row r="95" customFormat="false" ht="15" hidden="true" customHeight="true" outlineLevel="1" collapsed="false">
      <c r="A95" s="706"/>
      <c r="B95" s="701" t="s">
        <v>982</v>
      </c>
      <c r="C95" s="702" t="n">
        <f aca="false">D95*E95*F95/1000000000</f>
        <v>0.0625</v>
      </c>
      <c r="D95" s="703" t="n">
        <v>625</v>
      </c>
      <c r="E95" s="704" t="n">
        <v>400</v>
      </c>
      <c r="F95" s="704" t="n">
        <v>250</v>
      </c>
      <c r="G95" s="704" t="n">
        <v>4100</v>
      </c>
      <c r="I95" s="693"/>
      <c r="J95" s="693"/>
      <c r="K95" s="693"/>
      <c r="L95" s="693"/>
    </row>
    <row r="96" customFormat="false" ht="15" hidden="true" customHeight="true" outlineLevel="1" collapsed="false">
      <c r="A96" s="706"/>
      <c r="B96" s="701" t="s">
        <v>983</v>
      </c>
      <c r="C96" s="702" t="n">
        <f aca="false">D96*E96*F96/1000000000</f>
        <v>0.015625</v>
      </c>
      <c r="D96" s="703" t="n">
        <v>625</v>
      </c>
      <c r="E96" s="704" t="n">
        <v>100</v>
      </c>
      <c r="F96" s="704" t="n">
        <v>250</v>
      </c>
      <c r="G96" s="704" t="n">
        <v>4200</v>
      </c>
      <c r="I96" s="693"/>
      <c r="J96" s="693"/>
      <c r="K96" s="693"/>
      <c r="L96" s="693"/>
    </row>
    <row r="97" customFormat="false" ht="15" hidden="true" customHeight="true" outlineLevel="1" collapsed="false">
      <c r="A97" s="706"/>
      <c r="B97" s="701" t="s">
        <v>983</v>
      </c>
      <c r="C97" s="702" t="n">
        <f aca="false">D97*E97*F97/1000000000</f>
        <v>0.03125</v>
      </c>
      <c r="D97" s="703" t="n">
        <v>625</v>
      </c>
      <c r="E97" s="704" t="n">
        <v>200</v>
      </c>
      <c r="F97" s="704" t="n">
        <v>250</v>
      </c>
      <c r="G97" s="704" t="n">
        <v>4200</v>
      </c>
      <c r="I97" s="693"/>
      <c r="J97" s="693"/>
      <c r="K97" s="693"/>
      <c r="L97" s="693"/>
    </row>
    <row r="98" customFormat="false" ht="15" hidden="true" customHeight="true" outlineLevel="1" collapsed="false">
      <c r="A98" s="706"/>
      <c r="B98" s="701" t="s">
        <v>983</v>
      </c>
      <c r="C98" s="702" t="n">
        <f aca="false">D98*E98*F98/1000000000</f>
        <v>0.0375</v>
      </c>
      <c r="D98" s="703" t="n">
        <v>625</v>
      </c>
      <c r="E98" s="704" t="n">
        <v>240</v>
      </c>
      <c r="F98" s="704" t="n">
        <v>250</v>
      </c>
      <c r="G98" s="704" t="n">
        <v>4200</v>
      </c>
      <c r="I98" s="693"/>
      <c r="J98" s="693"/>
      <c r="K98" s="693"/>
      <c r="L98" s="693"/>
    </row>
    <row r="99" customFormat="false" ht="15" hidden="true" customHeight="true" outlineLevel="1" collapsed="false">
      <c r="A99" s="706"/>
      <c r="B99" s="701" t="s">
        <v>983</v>
      </c>
      <c r="C99" s="702" t="n">
        <f aca="false">D99*E99*F99/1000000000</f>
        <v>0.046875</v>
      </c>
      <c r="D99" s="703" t="n">
        <v>625</v>
      </c>
      <c r="E99" s="704" t="n">
        <v>300</v>
      </c>
      <c r="F99" s="704" t="n">
        <v>250</v>
      </c>
      <c r="G99" s="704" t="n">
        <v>4200</v>
      </c>
      <c r="I99" s="693"/>
      <c r="J99" s="693"/>
      <c r="K99" s="693"/>
      <c r="L99" s="693"/>
    </row>
    <row r="100" customFormat="false" ht="15" hidden="true" customHeight="true" outlineLevel="1" collapsed="false">
      <c r="A100" s="706"/>
      <c r="B100" s="701" t="s">
        <v>983</v>
      </c>
      <c r="C100" s="702" t="n">
        <f aca="false">D100*E100*F100/1000000000</f>
        <v>0.0625</v>
      </c>
      <c r="D100" s="703" t="n">
        <v>625</v>
      </c>
      <c r="E100" s="704" t="n">
        <v>400</v>
      </c>
      <c r="F100" s="704" t="n">
        <v>250</v>
      </c>
      <c r="G100" s="704" t="n">
        <v>4200</v>
      </c>
      <c r="I100" s="693"/>
      <c r="J100" s="693"/>
      <c r="K100" s="693"/>
      <c r="L100" s="693"/>
    </row>
    <row r="101" customFormat="false" ht="15" hidden="true" customHeight="true" outlineLevel="1" collapsed="false">
      <c r="A101" s="706"/>
      <c r="B101" s="701" t="s">
        <v>984</v>
      </c>
      <c r="C101" s="702" t="n">
        <f aca="false">D101*E101*F101/1000000000</f>
        <v>0.015625</v>
      </c>
      <c r="D101" s="703" t="n">
        <v>625</v>
      </c>
      <c r="E101" s="704" t="n">
        <v>100</v>
      </c>
      <c r="F101" s="704" t="n">
        <v>250</v>
      </c>
      <c r="G101" s="704" t="n">
        <v>4350</v>
      </c>
      <c r="I101" s="693"/>
      <c r="J101" s="693"/>
      <c r="K101" s="693"/>
      <c r="L101" s="693"/>
    </row>
    <row r="102" customFormat="false" ht="15" hidden="true" customHeight="true" outlineLevel="1" collapsed="false">
      <c r="A102" s="706"/>
      <c r="B102" s="701" t="s">
        <v>984</v>
      </c>
      <c r="C102" s="702" t="n">
        <f aca="false">D102*E102*F102/1000000000</f>
        <v>0.03125</v>
      </c>
      <c r="D102" s="703" t="n">
        <v>625</v>
      </c>
      <c r="E102" s="704" t="n">
        <v>200</v>
      </c>
      <c r="F102" s="704" t="n">
        <v>250</v>
      </c>
      <c r="G102" s="704" t="n">
        <v>4350</v>
      </c>
      <c r="I102" s="693"/>
      <c r="J102" s="693"/>
      <c r="K102" s="693"/>
      <c r="L102" s="693"/>
    </row>
    <row r="103" customFormat="false" ht="15" hidden="true" customHeight="true" outlineLevel="1" collapsed="false">
      <c r="A103" s="706"/>
      <c r="B103" s="701" t="s">
        <v>984</v>
      </c>
      <c r="C103" s="702" t="n">
        <f aca="false">D103*E103*F103/1000000000</f>
        <v>0.0375</v>
      </c>
      <c r="D103" s="703" t="n">
        <v>625</v>
      </c>
      <c r="E103" s="704" t="n">
        <v>240</v>
      </c>
      <c r="F103" s="704" t="n">
        <v>250</v>
      </c>
      <c r="G103" s="704" t="n">
        <v>4350</v>
      </c>
      <c r="I103" s="693"/>
      <c r="J103" s="693"/>
      <c r="K103" s="693"/>
      <c r="L103" s="693"/>
    </row>
    <row r="104" customFormat="false" ht="15" hidden="true" customHeight="true" outlineLevel="1" collapsed="false">
      <c r="A104" s="706"/>
      <c r="B104" s="701" t="s">
        <v>984</v>
      </c>
      <c r="C104" s="702" t="n">
        <f aca="false">D104*E104*F104/1000000000</f>
        <v>0.046875</v>
      </c>
      <c r="D104" s="703" t="n">
        <v>625</v>
      </c>
      <c r="E104" s="704" t="n">
        <v>300</v>
      </c>
      <c r="F104" s="704" t="n">
        <v>250</v>
      </c>
      <c r="G104" s="704" t="n">
        <v>4350</v>
      </c>
      <c r="I104" s="693"/>
      <c r="J104" s="693"/>
      <c r="K104" s="693"/>
      <c r="L104" s="693"/>
    </row>
    <row r="105" customFormat="false" ht="15" hidden="true" customHeight="true" outlineLevel="1" collapsed="false">
      <c r="A105" s="706"/>
      <c r="B105" s="701" t="s">
        <v>984</v>
      </c>
      <c r="C105" s="702" t="n">
        <f aca="false">D105*E105*F105/1000000000</f>
        <v>0.0625</v>
      </c>
      <c r="D105" s="703" t="n">
        <v>625</v>
      </c>
      <c r="E105" s="704" t="n">
        <v>400</v>
      </c>
      <c r="F105" s="704" t="n">
        <v>250</v>
      </c>
      <c r="G105" s="704" t="n">
        <v>4350</v>
      </c>
      <c r="I105" s="693"/>
      <c r="J105" s="693"/>
      <c r="K105" s="693"/>
      <c r="L105" s="693"/>
    </row>
    <row r="106" customFormat="false" ht="15" hidden="true" customHeight="true" outlineLevel="1" collapsed="false">
      <c r="A106" s="706"/>
      <c r="B106" s="701"/>
      <c r="C106" s="702"/>
      <c r="D106" s="703"/>
      <c r="E106" s="704"/>
      <c r="F106" s="704"/>
      <c r="G106" s="704"/>
      <c r="I106" s="693"/>
      <c r="J106" s="693"/>
      <c r="K106" s="693"/>
      <c r="L106" s="693"/>
    </row>
    <row r="107" customFormat="false" ht="15" hidden="true" customHeight="true" outlineLevel="1" collapsed="false">
      <c r="A107" s="707"/>
      <c r="B107" s="701"/>
      <c r="C107" s="702"/>
      <c r="D107" s="703"/>
      <c r="E107" s="704"/>
      <c r="F107" s="704"/>
      <c r="G107" s="704"/>
      <c r="I107" s="693"/>
      <c r="J107" s="693"/>
      <c r="K107" s="693"/>
      <c r="L107" s="693"/>
    </row>
    <row r="108" customFormat="false" ht="15" hidden="false" customHeight="true" outlineLevel="0" collapsed="false">
      <c r="A108" s="697" t="s">
        <v>977</v>
      </c>
      <c r="B108" s="708"/>
      <c r="C108" s="709" t="s">
        <v>931</v>
      </c>
      <c r="D108" s="710" t="s">
        <v>978</v>
      </c>
      <c r="E108" s="710" t="s">
        <v>979</v>
      </c>
      <c r="F108" s="710" t="s">
        <v>980</v>
      </c>
      <c r="G108" s="710" t="s">
        <v>981</v>
      </c>
      <c r="I108" s="693"/>
      <c r="J108" s="693"/>
      <c r="K108" s="693"/>
      <c r="L108" s="693"/>
    </row>
    <row r="109" customFormat="false" ht="15" hidden="true" customHeight="true" outlineLevel="1" collapsed="false">
      <c r="A109" s="688" t="s">
        <v>985</v>
      </c>
      <c r="B109" s="711"/>
      <c r="C109" s="682" t="s">
        <v>931</v>
      </c>
      <c r="D109" s="712"/>
      <c r="E109" s="712"/>
      <c r="F109" s="712"/>
      <c r="G109" s="712"/>
      <c r="I109" s="693"/>
      <c r="J109" s="693"/>
      <c r="K109" s="693"/>
      <c r="L109" s="693"/>
    </row>
    <row r="110" customFormat="false" ht="15" hidden="true" customHeight="true" outlineLevel="1" collapsed="false">
      <c r="A110" s="667"/>
      <c r="B110" s="668" t="s">
        <v>986</v>
      </c>
      <c r="C110" s="669" t="n">
        <v>0.012</v>
      </c>
      <c r="D110" s="670" t="n">
        <v>83.3</v>
      </c>
      <c r="E110" s="670" t="n">
        <v>200</v>
      </c>
      <c r="F110" s="670" t="n">
        <f aca="false">1/C110*E110</f>
        <v>16666.6666666667</v>
      </c>
      <c r="G110" s="670"/>
      <c r="I110" s="693"/>
      <c r="J110" s="693"/>
      <c r="K110" s="693"/>
      <c r="L110" s="693"/>
    </row>
    <row r="111" customFormat="false" ht="15" hidden="true" customHeight="true" outlineLevel="1" collapsed="false">
      <c r="A111" s="672"/>
      <c r="B111" s="668" t="s">
        <v>987</v>
      </c>
      <c r="C111" s="669" t="n">
        <v>0.032</v>
      </c>
      <c r="D111" s="670"/>
      <c r="E111" s="670" t="n">
        <v>250</v>
      </c>
      <c r="F111" s="670" t="n">
        <v>7812.5</v>
      </c>
      <c r="I111" s="693"/>
      <c r="J111" s="693"/>
      <c r="K111" s="693"/>
      <c r="L111" s="693"/>
    </row>
    <row r="112" customFormat="false" ht="15" hidden="true" customHeight="true" outlineLevel="1" collapsed="false">
      <c r="A112" s="672"/>
      <c r="B112" s="668"/>
      <c r="C112" s="669"/>
      <c r="D112" s="670"/>
      <c r="E112" s="670"/>
      <c r="F112" s="670"/>
      <c r="I112" s="693"/>
      <c r="J112" s="693"/>
      <c r="K112" s="693"/>
      <c r="L112" s="693"/>
    </row>
    <row r="113" customFormat="false" ht="15" hidden="true" customHeight="true" outlineLevel="1" collapsed="false">
      <c r="A113" s="679"/>
      <c r="B113" s="668"/>
      <c r="C113" s="669"/>
      <c r="D113" s="670"/>
      <c r="E113" s="670"/>
      <c r="F113" s="670"/>
      <c r="I113" s="693"/>
      <c r="J113" s="693"/>
      <c r="K113" s="693"/>
      <c r="L113" s="693"/>
    </row>
    <row r="114" customFormat="false" ht="15" hidden="false" customHeight="true" outlineLevel="0" collapsed="false">
      <c r="A114" s="688" t="s">
        <v>985</v>
      </c>
      <c r="B114" s="713"/>
      <c r="C114" s="709" t="s">
        <v>931</v>
      </c>
      <c r="D114" s="714"/>
      <c r="E114" s="714"/>
      <c r="F114" s="714"/>
      <c r="G114" s="714"/>
      <c r="I114" s="693"/>
      <c r="J114" s="693"/>
      <c r="K114" s="693"/>
      <c r="L114" s="693"/>
    </row>
    <row r="115" customFormat="false" ht="15" hidden="true" customHeight="true" outlineLevel="1" collapsed="false">
      <c r="A115" s="688" t="s">
        <v>988</v>
      </c>
      <c r="B115" s="715"/>
      <c r="C115" s="682" t="s">
        <v>931</v>
      </c>
      <c r="D115" s="699" t="s">
        <v>978</v>
      </c>
      <c r="E115" s="699" t="s">
        <v>979</v>
      </c>
      <c r="F115" s="699" t="s">
        <v>980</v>
      </c>
      <c r="G115" s="699" t="s">
        <v>981</v>
      </c>
      <c r="I115" s="693"/>
      <c r="J115" s="693"/>
      <c r="K115" s="693"/>
      <c r="L115" s="693"/>
    </row>
    <row r="116" customFormat="false" ht="15" hidden="true" customHeight="true" outlineLevel="1" collapsed="false">
      <c r="A116" s="667"/>
      <c r="B116" s="668" t="s">
        <v>989</v>
      </c>
      <c r="C116" s="669"/>
      <c r="D116" s="670"/>
      <c r="E116" s="650"/>
      <c r="F116" s="670"/>
      <c r="G116" s="670" t="n">
        <v>7150</v>
      </c>
      <c r="I116" s="693"/>
      <c r="J116" s="693"/>
      <c r="K116" s="693"/>
      <c r="L116" s="693"/>
    </row>
    <row r="117" customFormat="false" ht="15" hidden="true" customHeight="true" outlineLevel="1" collapsed="false">
      <c r="A117" s="672"/>
      <c r="B117" s="668" t="s">
        <v>990</v>
      </c>
      <c r="C117" s="669"/>
      <c r="D117" s="670"/>
      <c r="E117" s="650"/>
      <c r="F117" s="670"/>
      <c r="G117" s="670" t="n">
        <v>6580</v>
      </c>
      <c r="I117" s="693"/>
      <c r="J117" s="693"/>
      <c r="K117" s="693"/>
      <c r="L117" s="693"/>
    </row>
    <row r="118" customFormat="false" ht="15" hidden="true" customHeight="true" outlineLevel="1" collapsed="false">
      <c r="A118" s="672"/>
      <c r="B118" s="668" t="s">
        <v>991</v>
      </c>
      <c r="C118" s="669"/>
      <c r="D118" s="670"/>
      <c r="E118" s="650"/>
      <c r="F118" s="670"/>
      <c r="G118" s="670" t="n">
        <v>5300</v>
      </c>
      <c r="I118" s="693"/>
      <c r="J118" s="693"/>
      <c r="K118" s="693"/>
      <c r="L118" s="693"/>
    </row>
    <row r="119" customFormat="false" ht="15" hidden="true" customHeight="true" outlineLevel="1" collapsed="false">
      <c r="A119" s="672"/>
      <c r="B119" s="668" t="s">
        <v>992</v>
      </c>
      <c r="C119" s="669"/>
      <c r="D119" s="670"/>
      <c r="E119" s="650"/>
      <c r="F119" s="670"/>
      <c r="G119" s="670" t="n">
        <v>2670</v>
      </c>
      <c r="I119" s="693"/>
      <c r="J119" s="693"/>
      <c r="K119" s="693"/>
      <c r="L119" s="693"/>
    </row>
    <row r="120" customFormat="false" ht="15" hidden="true" customHeight="true" outlineLevel="1" collapsed="false">
      <c r="A120" s="672"/>
      <c r="B120" s="668" t="s">
        <v>993</v>
      </c>
      <c r="C120" s="669"/>
      <c r="D120" s="670"/>
      <c r="E120" s="650"/>
      <c r="F120" s="670"/>
      <c r="G120" s="670" t="n">
        <v>2300</v>
      </c>
      <c r="I120" s="693"/>
      <c r="J120" s="693"/>
      <c r="K120" s="693"/>
      <c r="L120" s="693"/>
    </row>
    <row r="121" customFormat="false" ht="15" hidden="true" customHeight="true" outlineLevel="1" collapsed="false">
      <c r="A121" s="672"/>
      <c r="B121" s="668" t="s">
        <v>994</v>
      </c>
      <c r="C121" s="669"/>
      <c r="D121" s="670"/>
      <c r="E121" s="650"/>
      <c r="F121" s="670"/>
      <c r="G121" s="670" t="n">
        <v>1900</v>
      </c>
      <c r="I121" s="693"/>
      <c r="J121" s="693"/>
      <c r="K121" s="693"/>
      <c r="L121" s="693"/>
    </row>
    <row r="122" customFormat="false" ht="15" hidden="true" customHeight="true" outlineLevel="1" collapsed="false">
      <c r="A122" s="672"/>
      <c r="B122" s="668" t="s">
        <v>995</v>
      </c>
      <c r="C122" s="669"/>
      <c r="D122" s="670"/>
      <c r="E122" s="650"/>
      <c r="F122" s="670"/>
      <c r="G122" s="670"/>
      <c r="I122" s="693"/>
      <c r="J122" s="693"/>
      <c r="K122" s="693"/>
      <c r="L122" s="693"/>
    </row>
    <row r="123" customFormat="false" ht="15" hidden="true" customHeight="true" outlineLevel="1" collapsed="false">
      <c r="A123" s="679"/>
      <c r="B123" s="668" t="s">
        <v>996</v>
      </c>
      <c r="C123" s="669"/>
      <c r="D123" s="670"/>
      <c r="E123" s="650"/>
      <c r="F123" s="670"/>
      <c r="G123" s="670"/>
      <c r="I123" s="693"/>
      <c r="J123" s="693"/>
      <c r="K123" s="693"/>
      <c r="L123" s="693"/>
    </row>
    <row r="124" customFormat="false" ht="15" hidden="false" customHeight="true" outlineLevel="0" collapsed="false">
      <c r="A124" s="688" t="s">
        <v>988</v>
      </c>
      <c r="B124" s="715"/>
      <c r="C124" s="709" t="s">
        <v>931</v>
      </c>
      <c r="D124" s="710" t="s">
        <v>978</v>
      </c>
      <c r="E124" s="710" t="s">
        <v>979</v>
      </c>
      <c r="F124" s="710" t="s">
        <v>980</v>
      </c>
      <c r="G124" s="710" t="s">
        <v>981</v>
      </c>
      <c r="I124" s="693"/>
      <c r="J124" s="693"/>
      <c r="K124" s="693"/>
      <c r="L124" s="693"/>
    </row>
    <row r="125" customFormat="false" ht="15" hidden="true" customHeight="true" outlineLevel="1" collapsed="false">
      <c r="A125" s="688" t="s">
        <v>997</v>
      </c>
      <c r="B125" s="715"/>
      <c r="C125" s="682" t="s">
        <v>931</v>
      </c>
      <c r="D125" s="699"/>
      <c r="E125" s="699"/>
      <c r="F125" s="699" t="s">
        <v>980</v>
      </c>
      <c r="G125" s="699" t="s">
        <v>981</v>
      </c>
      <c r="I125" s="693"/>
      <c r="J125" s="693"/>
      <c r="K125" s="693"/>
      <c r="L125" s="693"/>
    </row>
    <row r="126" customFormat="false" ht="22.5" hidden="true" customHeight="true" outlineLevel="1" collapsed="false">
      <c r="A126" s="667"/>
      <c r="B126" s="668" t="s">
        <v>998</v>
      </c>
      <c r="C126" s="669" t="n">
        <v>0.014</v>
      </c>
      <c r="D126" s="670" t="n">
        <v>71.42</v>
      </c>
      <c r="E126" s="670" t="n">
        <v>51</v>
      </c>
      <c r="G126" s="670" t="n">
        <v>3642.85</v>
      </c>
      <c r="I126" s="693"/>
      <c r="J126" s="693"/>
      <c r="K126" s="693"/>
      <c r="L126" s="693"/>
    </row>
    <row r="127" customFormat="false" ht="21" hidden="true" customHeight="true" outlineLevel="1" collapsed="false">
      <c r="A127" s="672"/>
      <c r="B127" s="668" t="s">
        <v>999</v>
      </c>
      <c r="C127" s="669" t="n">
        <v>0.009</v>
      </c>
      <c r="D127" s="670" t="n">
        <v>111.11</v>
      </c>
      <c r="E127" s="670" t="n">
        <v>41</v>
      </c>
      <c r="G127" s="670" t="n">
        <v>4555.55</v>
      </c>
      <c r="I127" s="693"/>
      <c r="J127" s="693"/>
      <c r="K127" s="693"/>
      <c r="L127" s="693"/>
    </row>
    <row r="128" customFormat="false" ht="15" hidden="true" customHeight="true" outlineLevel="1" collapsed="false">
      <c r="A128" s="672"/>
      <c r="B128" s="668" t="s">
        <v>1000</v>
      </c>
      <c r="C128" s="669" t="s">
        <v>1001</v>
      </c>
      <c r="D128" s="670"/>
      <c r="E128" s="670" t="s">
        <v>1002</v>
      </c>
      <c r="F128" s="670"/>
      <c r="I128" s="693"/>
      <c r="J128" s="693"/>
      <c r="K128" s="693"/>
      <c r="L128" s="693"/>
    </row>
    <row r="129" customFormat="false" ht="15" hidden="true" customHeight="true" outlineLevel="1" collapsed="false">
      <c r="A129" s="672"/>
      <c r="B129" s="668"/>
      <c r="C129" s="669"/>
      <c r="D129" s="670"/>
      <c r="E129" s="670"/>
      <c r="F129" s="670"/>
      <c r="I129" s="693"/>
      <c r="J129" s="693"/>
      <c r="K129" s="693"/>
      <c r="L129" s="693"/>
    </row>
    <row r="130" customFormat="false" ht="15" hidden="true" customHeight="true" outlineLevel="1" collapsed="false">
      <c r="A130" s="672"/>
      <c r="B130" s="668"/>
      <c r="C130" s="669"/>
      <c r="D130" s="670"/>
      <c r="E130" s="670"/>
      <c r="F130" s="670"/>
      <c r="I130" s="693"/>
      <c r="J130" s="693"/>
      <c r="K130" s="693"/>
      <c r="L130" s="693"/>
    </row>
    <row r="131" customFormat="false" ht="15" hidden="true" customHeight="true" outlineLevel="1" collapsed="false">
      <c r="A131" s="679"/>
      <c r="B131" s="668"/>
      <c r="C131" s="669"/>
      <c r="D131" s="670"/>
      <c r="E131" s="670"/>
      <c r="F131" s="670"/>
      <c r="I131" s="693"/>
      <c r="J131" s="693"/>
      <c r="K131" s="693"/>
      <c r="L131" s="693"/>
    </row>
    <row r="132" customFormat="false" ht="15" hidden="false" customHeight="true" outlineLevel="0" collapsed="false">
      <c r="A132" s="688" t="s">
        <v>997</v>
      </c>
      <c r="B132" s="715"/>
      <c r="C132" s="709" t="s">
        <v>931</v>
      </c>
      <c r="D132" s="710"/>
      <c r="E132" s="710"/>
      <c r="F132" s="710" t="s">
        <v>980</v>
      </c>
      <c r="G132" s="710" t="s">
        <v>981</v>
      </c>
      <c r="I132" s="693"/>
      <c r="J132" s="693"/>
      <c r="K132" s="693"/>
      <c r="L132" s="693"/>
    </row>
    <row r="133" customFormat="false" ht="15" hidden="true" customHeight="true" outlineLevel="1" collapsed="false">
      <c r="A133" s="688" t="s">
        <v>1003</v>
      </c>
      <c r="B133" s="715"/>
      <c r="C133" s="692"/>
      <c r="D133" s="690"/>
      <c r="E133" s="690"/>
      <c r="F133" s="690"/>
      <c r="G133" s="699" t="s">
        <v>1004</v>
      </c>
      <c r="I133" s="693"/>
      <c r="J133" s="693"/>
      <c r="K133" s="693"/>
      <c r="L133" s="693"/>
    </row>
    <row r="134" customFormat="false" ht="15" hidden="true" customHeight="true" outlineLevel="1" collapsed="false">
      <c r="A134" s="667"/>
      <c r="B134" s="668"/>
      <c r="C134" s="669"/>
      <c r="D134" s="670"/>
      <c r="E134" s="670"/>
      <c r="G134" s="670" t="n">
        <v>19000</v>
      </c>
      <c r="I134" s="693"/>
      <c r="J134" s="693"/>
      <c r="K134" s="693"/>
      <c r="L134" s="693"/>
    </row>
    <row r="135" customFormat="false" ht="15" hidden="true" customHeight="true" outlineLevel="1" collapsed="false">
      <c r="A135" s="672"/>
      <c r="D135" s="650"/>
      <c r="E135" s="650"/>
      <c r="I135" s="693"/>
      <c r="J135" s="693"/>
      <c r="K135" s="693"/>
      <c r="L135" s="693"/>
    </row>
    <row r="136" customFormat="false" ht="15" hidden="true" customHeight="true" outlineLevel="1" collapsed="false">
      <c r="A136" s="672"/>
      <c r="D136" s="650"/>
      <c r="E136" s="650"/>
      <c r="I136" s="693"/>
      <c r="J136" s="693"/>
      <c r="K136" s="693"/>
      <c r="L136" s="693"/>
    </row>
    <row r="137" customFormat="false" ht="15" hidden="false" customHeight="true" outlineLevel="0" collapsed="false">
      <c r="A137" s="688" t="s">
        <v>1003</v>
      </c>
      <c r="B137" s="715"/>
      <c r="C137" s="692"/>
      <c r="D137" s="690"/>
      <c r="E137" s="690"/>
      <c r="F137" s="690"/>
      <c r="G137" s="710" t="s">
        <v>1004</v>
      </c>
      <c r="I137" s="693"/>
      <c r="J137" s="693"/>
      <c r="K137" s="693"/>
      <c r="L137" s="693"/>
    </row>
    <row r="138" customFormat="false" ht="15" hidden="true" customHeight="true" outlineLevel="1" collapsed="false">
      <c r="A138" s="688" t="s">
        <v>1005</v>
      </c>
      <c r="B138" s="715"/>
      <c r="C138" s="682" t="s">
        <v>931</v>
      </c>
      <c r="D138" s="710" t="s">
        <v>978</v>
      </c>
      <c r="E138" s="690"/>
      <c r="F138" s="690"/>
      <c r="G138" s="699" t="s">
        <v>1004</v>
      </c>
      <c r="I138" s="693"/>
      <c r="J138" s="693"/>
      <c r="K138" s="693"/>
      <c r="L138" s="693"/>
    </row>
    <row r="139" s="705" customFormat="true" ht="15" hidden="true" customHeight="true" outlineLevel="1" collapsed="false">
      <c r="A139" s="700"/>
      <c r="B139" s="716" t="s">
        <v>1006</v>
      </c>
      <c r="C139" s="717"/>
      <c r="D139" s="704"/>
      <c r="E139" s="718"/>
      <c r="F139" s="650"/>
      <c r="G139" s="718" t="n">
        <v>0</v>
      </c>
      <c r="H139" s="651"/>
      <c r="I139" s="693"/>
      <c r="J139" s="693"/>
      <c r="K139" s="693"/>
      <c r="L139" s="693"/>
      <c r="M139" s="651"/>
      <c r="N139" s="651"/>
      <c r="O139" s="651"/>
      <c r="P139" s="651"/>
      <c r="Q139" s="651"/>
      <c r="R139" s="651"/>
      <c r="S139" s="651"/>
      <c r="T139" s="651"/>
      <c r="U139" s="651"/>
    </row>
    <row r="140" customFormat="false" ht="15" hidden="true" customHeight="true" outlineLevel="1" collapsed="false">
      <c r="A140" s="706"/>
      <c r="B140" s="668" t="s">
        <v>1007</v>
      </c>
      <c r="C140" s="669" t="n">
        <v>0.101</v>
      </c>
      <c r="D140" s="670" t="n">
        <v>2600</v>
      </c>
      <c r="E140" s="650"/>
      <c r="G140" s="670" t="n">
        <v>2500</v>
      </c>
      <c r="I140" s="693"/>
      <c r="J140" s="693"/>
      <c r="K140" s="693"/>
      <c r="L140" s="693"/>
    </row>
    <row r="141" customFormat="false" ht="15" hidden="true" customHeight="true" outlineLevel="1" collapsed="false">
      <c r="A141" s="706"/>
      <c r="B141" s="668" t="s">
        <v>1008</v>
      </c>
      <c r="C141" s="669" t="n">
        <v>0.101</v>
      </c>
      <c r="D141" s="670" t="n">
        <v>2600</v>
      </c>
      <c r="E141" s="650"/>
      <c r="G141" s="670" t="n">
        <v>2500</v>
      </c>
      <c r="I141" s="693"/>
      <c r="J141" s="693"/>
      <c r="K141" s="693"/>
      <c r="L141" s="693"/>
    </row>
    <row r="142" customFormat="false" ht="15" hidden="true" customHeight="true" outlineLevel="1" collapsed="false">
      <c r="A142" s="706"/>
      <c r="B142" s="668" t="s">
        <v>1009</v>
      </c>
      <c r="C142" s="669" t="n">
        <v>0.093</v>
      </c>
      <c r="D142" s="670" t="n">
        <v>2400</v>
      </c>
      <c r="E142" s="650"/>
      <c r="G142" s="670" t="n">
        <v>2100</v>
      </c>
      <c r="I142" s="693"/>
      <c r="J142" s="693"/>
      <c r="K142" s="693"/>
      <c r="L142" s="693"/>
    </row>
    <row r="143" customFormat="false" ht="15" hidden="true" customHeight="true" outlineLevel="1" collapsed="false">
      <c r="A143" s="706"/>
      <c r="B143" s="668" t="s">
        <v>1010</v>
      </c>
      <c r="C143" s="669" t="n">
        <v>0.093</v>
      </c>
      <c r="D143" s="670" t="n">
        <v>2400</v>
      </c>
      <c r="E143" s="650"/>
      <c r="G143" s="670" t="n">
        <v>2100</v>
      </c>
      <c r="I143" s="693"/>
      <c r="J143" s="693"/>
      <c r="K143" s="693"/>
      <c r="L143" s="693"/>
    </row>
    <row r="144" customFormat="false" ht="15" hidden="true" customHeight="true" outlineLevel="1" collapsed="false">
      <c r="A144" s="706"/>
      <c r="B144" s="668" t="s">
        <v>1011</v>
      </c>
      <c r="C144" s="669" t="n">
        <v>0.085</v>
      </c>
      <c r="D144" s="670" t="n">
        <v>2200</v>
      </c>
      <c r="E144" s="650"/>
      <c r="G144" s="670" t="n">
        <v>1760</v>
      </c>
      <c r="I144" s="693"/>
      <c r="J144" s="693"/>
      <c r="K144" s="693"/>
      <c r="L144" s="693"/>
    </row>
    <row r="145" customFormat="false" ht="15" hidden="true" customHeight="true" outlineLevel="1" collapsed="false">
      <c r="A145" s="706"/>
      <c r="B145" s="668" t="s">
        <v>1012</v>
      </c>
      <c r="C145" s="669" t="n">
        <v>0.085</v>
      </c>
      <c r="D145" s="670" t="n">
        <v>2200</v>
      </c>
      <c r="E145" s="650"/>
      <c r="G145" s="670" t="n">
        <v>1865</v>
      </c>
      <c r="I145" s="693"/>
      <c r="J145" s="693"/>
      <c r="K145" s="693"/>
      <c r="L145" s="693"/>
    </row>
    <row r="146" customFormat="false" ht="15" hidden="true" customHeight="true" outlineLevel="1" collapsed="false">
      <c r="A146" s="706"/>
      <c r="B146" s="668" t="s">
        <v>1013</v>
      </c>
      <c r="C146" s="669" t="n">
        <v>0.077</v>
      </c>
      <c r="D146" s="670" t="n">
        <v>2000</v>
      </c>
      <c r="E146" s="650"/>
      <c r="G146" s="670" t="n">
        <v>1645</v>
      </c>
      <c r="I146" s="693"/>
      <c r="J146" s="693"/>
      <c r="K146" s="693"/>
      <c r="L146" s="693"/>
    </row>
    <row r="147" customFormat="false" ht="15" hidden="true" customHeight="true" outlineLevel="1" collapsed="false">
      <c r="A147" s="706"/>
      <c r="B147" s="668" t="s">
        <v>1014</v>
      </c>
      <c r="C147" s="669" t="n">
        <v>0.077</v>
      </c>
      <c r="D147" s="670" t="n">
        <v>2000</v>
      </c>
      <c r="E147" s="650"/>
      <c r="G147" s="670" t="n">
        <v>1750</v>
      </c>
      <c r="I147" s="693"/>
      <c r="J147" s="693"/>
      <c r="K147" s="693"/>
      <c r="L147" s="693"/>
    </row>
    <row r="148" customFormat="false" ht="15" hidden="true" customHeight="true" outlineLevel="1" collapsed="false">
      <c r="A148" s="706"/>
      <c r="B148" s="668" t="s">
        <v>1015</v>
      </c>
      <c r="C148" s="669" t="n">
        <v>0.054</v>
      </c>
      <c r="D148" s="670" t="n">
        <v>1400</v>
      </c>
      <c r="E148" s="650"/>
      <c r="G148" s="670" t="n">
        <v>1308</v>
      </c>
      <c r="I148" s="693"/>
      <c r="J148" s="693"/>
      <c r="K148" s="693"/>
      <c r="L148" s="693"/>
    </row>
    <row r="149" customFormat="false" ht="15" hidden="true" customHeight="true" outlineLevel="1" collapsed="false">
      <c r="A149" s="706"/>
      <c r="B149" s="668" t="s">
        <v>1016</v>
      </c>
      <c r="C149" s="669" t="n">
        <v>0.054</v>
      </c>
      <c r="D149" s="670" t="n">
        <v>1400</v>
      </c>
      <c r="E149" s="650"/>
      <c r="G149" s="670" t="n">
        <v>1350</v>
      </c>
      <c r="I149" s="693"/>
      <c r="J149" s="693"/>
      <c r="K149" s="693"/>
      <c r="L149" s="693"/>
    </row>
    <row r="150" customFormat="false" ht="15" hidden="true" customHeight="true" outlineLevel="1" collapsed="false">
      <c r="A150" s="706"/>
      <c r="B150" s="647" t="s">
        <v>1017</v>
      </c>
      <c r="C150" s="669" t="n">
        <v>0.126</v>
      </c>
      <c r="D150" s="670" t="n">
        <v>2200</v>
      </c>
      <c r="E150" s="650"/>
      <c r="G150" s="670" t="n">
        <v>3200</v>
      </c>
      <c r="I150" s="693"/>
      <c r="J150" s="693"/>
      <c r="K150" s="693"/>
      <c r="L150" s="693"/>
    </row>
    <row r="151" customFormat="false" ht="15" hidden="true" customHeight="true" outlineLevel="1" collapsed="false">
      <c r="A151" s="706"/>
      <c r="B151" s="647" t="s">
        <v>1018</v>
      </c>
      <c r="C151" s="669" t="n">
        <v>0.115</v>
      </c>
      <c r="D151" s="670" t="n">
        <v>2000</v>
      </c>
      <c r="E151" s="650"/>
      <c r="G151" s="670" t="n">
        <v>2700</v>
      </c>
      <c r="I151" s="693"/>
      <c r="J151" s="693"/>
      <c r="K151" s="693"/>
      <c r="L151" s="693"/>
    </row>
    <row r="152" customFormat="false" ht="15" hidden="true" customHeight="true" outlineLevel="1" collapsed="false">
      <c r="A152" s="707"/>
      <c r="B152" s="647" t="s">
        <v>1019</v>
      </c>
      <c r="C152" s="669" t="n">
        <v>0.08</v>
      </c>
      <c r="D152" s="670" t="n">
        <v>1400</v>
      </c>
      <c r="E152" s="650"/>
      <c r="G152" s="670" t="n">
        <v>2400</v>
      </c>
      <c r="I152" s="693"/>
      <c r="J152" s="693"/>
      <c r="K152" s="693"/>
      <c r="L152" s="693"/>
    </row>
    <row r="153" customFormat="false" ht="15" hidden="false" customHeight="true" outlineLevel="0" collapsed="false">
      <c r="A153" s="688" t="s">
        <v>1005</v>
      </c>
      <c r="B153" s="715"/>
      <c r="C153" s="709" t="s">
        <v>931</v>
      </c>
      <c r="D153" s="710" t="s">
        <v>978</v>
      </c>
      <c r="E153" s="690"/>
      <c r="F153" s="690"/>
      <c r="G153" s="710" t="s">
        <v>1004</v>
      </c>
      <c r="I153" s="693"/>
      <c r="J153" s="693"/>
      <c r="K153" s="693"/>
      <c r="L153" s="693"/>
    </row>
    <row r="154" customFormat="false" ht="17.25" hidden="true" customHeight="true" outlineLevel="1" collapsed="false">
      <c r="A154" s="719" t="s">
        <v>1020</v>
      </c>
      <c r="B154" s="719"/>
      <c r="C154" s="682" t="s">
        <v>931</v>
      </c>
      <c r="D154" s="699" t="s">
        <v>978</v>
      </c>
      <c r="E154" s="699" t="s">
        <v>979</v>
      </c>
      <c r="F154" s="699" t="s">
        <v>980</v>
      </c>
      <c r="G154" s="699" t="s">
        <v>1004</v>
      </c>
      <c r="I154" s="693"/>
      <c r="J154" s="693"/>
      <c r="K154" s="693"/>
      <c r="L154" s="693"/>
    </row>
    <row r="155" customFormat="false" ht="15" hidden="true" customHeight="true" outlineLevel="1" collapsed="false">
      <c r="A155" s="720"/>
      <c r="B155" s="701" t="s">
        <v>1021</v>
      </c>
      <c r="C155" s="721" t="n">
        <f aca="false">D155*E155*F155/1000000000</f>
        <v>0.1875</v>
      </c>
      <c r="D155" s="703" t="n">
        <v>2500</v>
      </c>
      <c r="E155" s="703" t="n">
        <v>300</v>
      </c>
      <c r="F155" s="650" t="n">
        <v>250</v>
      </c>
      <c r="G155" s="703" t="n">
        <v>2850</v>
      </c>
      <c r="I155" s="693"/>
      <c r="J155" s="693"/>
      <c r="K155" s="693"/>
      <c r="L155" s="693"/>
    </row>
    <row r="156" customFormat="false" ht="15" hidden="true" customHeight="true" outlineLevel="1" collapsed="false">
      <c r="A156" s="722"/>
      <c r="B156" s="701" t="s">
        <v>1022</v>
      </c>
      <c r="C156" s="721" t="n">
        <f aca="false">D156*E156*F156/1000000000</f>
        <v>0.15</v>
      </c>
      <c r="D156" s="703" t="n">
        <v>2000</v>
      </c>
      <c r="E156" s="703" t="n">
        <v>300</v>
      </c>
      <c r="F156" s="650" t="n">
        <v>250</v>
      </c>
      <c r="G156" s="703" t="n">
        <v>2350</v>
      </c>
      <c r="I156" s="693"/>
      <c r="J156" s="693"/>
      <c r="K156" s="693"/>
      <c r="L156" s="693"/>
    </row>
    <row r="157" customFormat="false" ht="15" hidden="true" customHeight="true" outlineLevel="1" collapsed="false">
      <c r="A157" s="722"/>
      <c r="B157" s="701" t="s">
        <v>1023</v>
      </c>
      <c r="C157" s="721" t="n">
        <f aca="false">D157*E157*F157/1000000000</f>
        <v>0.1125</v>
      </c>
      <c r="D157" s="703" t="n">
        <v>1500</v>
      </c>
      <c r="E157" s="703" t="n">
        <v>300</v>
      </c>
      <c r="F157" s="650" t="n">
        <v>250</v>
      </c>
      <c r="G157" s="703" t="n">
        <v>1750</v>
      </c>
      <c r="I157" s="693"/>
      <c r="J157" s="693"/>
      <c r="K157" s="693"/>
      <c r="L157" s="693"/>
    </row>
    <row r="158" customFormat="false" ht="15" hidden="true" customHeight="true" outlineLevel="1" collapsed="false">
      <c r="A158" s="722"/>
      <c r="B158" s="701" t="s">
        <v>1024</v>
      </c>
      <c r="C158" s="721" t="n">
        <f aca="false">D158*E158*F158/1000000000</f>
        <v>0.125</v>
      </c>
      <c r="D158" s="703" t="n">
        <v>2500</v>
      </c>
      <c r="E158" s="703" t="n">
        <v>200</v>
      </c>
      <c r="F158" s="650" t="n">
        <v>250</v>
      </c>
      <c r="G158" s="703" t="n">
        <v>1850</v>
      </c>
      <c r="I158" s="693"/>
      <c r="J158" s="693"/>
      <c r="K158" s="693"/>
      <c r="L158" s="693"/>
    </row>
    <row r="159" customFormat="false" ht="15" hidden="true" customHeight="true" outlineLevel="1" collapsed="false">
      <c r="A159" s="722"/>
      <c r="B159" s="701" t="s">
        <v>1025</v>
      </c>
      <c r="C159" s="721" t="n">
        <f aca="false">D159*E159*F159/1000000000</f>
        <v>0.1</v>
      </c>
      <c r="D159" s="703" t="n">
        <v>2000</v>
      </c>
      <c r="E159" s="703" t="n">
        <v>200</v>
      </c>
      <c r="F159" s="650" t="n">
        <v>250</v>
      </c>
      <c r="G159" s="703" t="n">
        <v>1650</v>
      </c>
      <c r="I159" s="693"/>
      <c r="J159" s="693"/>
      <c r="K159" s="693"/>
      <c r="L159" s="693"/>
    </row>
    <row r="160" customFormat="false" ht="15" hidden="true" customHeight="true" outlineLevel="1" collapsed="false">
      <c r="A160" s="722"/>
      <c r="B160" s="701" t="s">
        <v>1026</v>
      </c>
      <c r="C160" s="721" t="n">
        <f aca="false">D160*E160*F160/1000000000</f>
        <v>0.075</v>
      </c>
      <c r="D160" s="703" t="n">
        <v>1500</v>
      </c>
      <c r="E160" s="703" t="n">
        <v>200</v>
      </c>
      <c r="F160" s="650" t="n">
        <v>250</v>
      </c>
      <c r="G160" s="703" t="n">
        <v>1450</v>
      </c>
      <c r="I160" s="693"/>
      <c r="J160" s="693"/>
      <c r="K160" s="693"/>
      <c r="L160" s="693"/>
    </row>
    <row r="161" customFormat="false" ht="15" hidden="true" customHeight="true" outlineLevel="1" collapsed="false">
      <c r="A161" s="722"/>
      <c r="B161" s="701" t="s">
        <v>1027</v>
      </c>
      <c r="C161" s="721" t="n">
        <f aca="false">D161*E161*F161/1000000000</f>
        <v>0.09375</v>
      </c>
      <c r="D161" s="703" t="n">
        <v>2500</v>
      </c>
      <c r="E161" s="703" t="n">
        <v>150</v>
      </c>
      <c r="F161" s="650" t="n">
        <v>250</v>
      </c>
      <c r="G161" s="703" t="n">
        <v>1600</v>
      </c>
      <c r="I161" s="693"/>
      <c r="J161" s="693"/>
      <c r="K161" s="693"/>
      <c r="L161" s="693"/>
    </row>
    <row r="162" customFormat="false" ht="15" hidden="true" customHeight="true" outlineLevel="1" collapsed="false">
      <c r="A162" s="722"/>
      <c r="B162" s="701" t="s">
        <v>1028</v>
      </c>
      <c r="C162" s="721" t="n">
        <f aca="false">D162*E162*F162/1000000000</f>
        <v>0.0703125</v>
      </c>
      <c r="D162" s="703" t="n">
        <v>1875</v>
      </c>
      <c r="E162" s="703" t="n">
        <v>150</v>
      </c>
      <c r="F162" s="650" t="n">
        <v>250</v>
      </c>
      <c r="G162" s="703" t="n">
        <v>1450</v>
      </c>
      <c r="I162" s="693"/>
      <c r="J162" s="693"/>
      <c r="K162" s="693"/>
      <c r="L162" s="693"/>
    </row>
    <row r="163" customFormat="false" ht="15" hidden="true" customHeight="true" outlineLevel="1" collapsed="false">
      <c r="A163" s="722"/>
      <c r="B163" s="701" t="s">
        <v>1029</v>
      </c>
      <c r="C163" s="721" t="n">
        <f aca="false">D163*E163*F163/1000000000</f>
        <v>0.0625</v>
      </c>
      <c r="D163" s="703" t="n">
        <v>2500</v>
      </c>
      <c r="E163" s="703" t="n">
        <v>100</v>
      </c>
      <c r="F163" s="650" t="n">
        <v>250</v>
      </c>
      <c r="G163" s="703" t="n">
        <v>1450</v>
      </c>
      <c r="I163" s="693"/>
      <c r="J163" s="693"/>
      <c r="K163" s="693"/>
      <c r="L163" s="693"/>
    </row>
    <row r="164" customFormat="false" ht="15" hidden="true" customHeight="true" outlineLevel="1" collapsed="false">
      <c r="A164" s="722"/>
      <c r="B164" s="701" t="s">
        <v>1030</v>
      </c>
      <c r="C164" s="721" t="n">
        <f aca="false">D164*E164*F164/1000000000</f>
        <v>0.046875</v>
      </c>
      <c r="D164" s="703" t="n">
        <v>1875</v>
      </c>
      <c r="E164" s="703" t="n">
        <v>100</v>
      </c>
      <c r="F164" s="650" t="n">
        <v>250</v>
      </c>
      <c r="G164" s="703" t="n">
        <v>1300</v>
      </c>
      <c r="I164" s="693"/>
      <c r="J164" s="693"/>
      <c r="K164" s="693"/>
      <c r="L164" s="693"/>
    </row>
    <row r="165" customFormat="false" ht="15" hidden="true" customHeight="true" outlineLevel="1" collapsed="false">
      <c r="A165" s="722"/>
      <c r="B165" s="701"/>
      <c r="C165" s="721"/>
      <c r="D165" s="703"/>
      <c r="E165" s="703"/>
      <c r="G165" s="703"/>
      <c r="I165" s="693"/>
      <c r="J165" s="693"/>
      <c r="K165" s="693"/>
      <c r="L165" s="693"/>
    </row>
    <row r="166" customFormat="false" ht="15" hidden="false" customHeight="true" outlineLevel="0" collapsed="false">
      <c r="A166" s="723" t="s">
        <v>1020</v>
      </c>
      <c r="B166" s="723"/>
      <c r="C166" s="709" t="s">
        <v>931</v>
      </c>
      <c r="D166" s="710" t="s">
        <v>978</v>
      </c>
      <c r="E166" s="710" t="s">
        <v>979</v>
      </c>
      <c r="F166" s="710" t="s">
        <v>980</v>
      </c>
      <c r="G166" s="710" t="s">
        <v>1004</v>
      </c>
      <c r="I166" s="693"/>
      <c r="J166" s="693"/>
      <c r="K166" s="693"/>
      <c r="L166" s="693"/>
    </row>
    <row r="167" customFormat="false" ht="15" hidden="true" customHeight="true" outlineLevel="1" collapsed="false">
      <c r="A167" s="724" t="s">
        <v>1031</v>
      </c>
      <c r="B167" s="725"/>
      <c r="C167" s="726" t="s">
        <v>12</v>
      </c>
      <c r="D167" s="727" t="s">
        <v>1032</v>
      </c>
      <c r="E167" s="690" t="s">
        <v>1033</v>
      </c>
      <c r="F167" s="690" t="s">
        <v>1034</v>
      </c>
      <c r="G167" s="690" t="s">
        <v>1035</v>
      </c>
      <c r="I167" s="693"/>
      <c r="J167" s="693"/>
      <c r="K167" s="693"/>
      <c r="L167" s="693"/>
    </row>
    <row r="168" customFormat="false" ht="15" hidden="true" customHeight="true" outlineLevel="1" collapsed="false">
      <c r="A168" s="667"/>
      <c r="B168" s="728" t="s">
        <v>770</v>
      </c>
      <c r="C168" s="729" t="s">
        <v>1036</v>
      </c>
      <c r="D168" s="730" t="n">
        <v>25</v>
      </c>
      <c r="E168" s="730" t="s">
        <v>1037</v>
      </c>
      <c r="F168" s="730" t="s">
        <v>1038</v>
      </c>
      <c r="G168" s="731" t="n">
        <v>185</v>
      </c>
      <c r="I168" s="693"/>
      <c r="J168" s="693"/>
      <c r="K168" s="693"/>
      <c r="L168" s="693"/>
    </row>
    <row r="169" customFormat="false" ht="15" hidden="true" customHeight="true" outlineLevel="1" collapsed="false">
      <c r="A169" s="672"/>
      <c r="B169" s="728" t="s">
        <v>1039</v>
      </c>
      <c r="C169" s="729" t="s">
        <v>1036</v>
      </c>
      <c r="D169" s="730" t="n">
        <v>25</v>
      </c>
      <c r="E169" s="730" t="s">
        <v>1040</v>
      </c>
      <c r="F169" s="730" t="s">
        <v>1038</v>
      </c>
      <c r="G169" s="731" t="n">
        <v>215</v>
      </c>
      <c r="I169" s="693"/>
      <c r="J169" s="693"/>
      <c r="K169" s="693"/>
      <c r="L169" s="693"/>
    </row>
    <row r="170" customFormat="false" ht="15" hidden="true" customHeight="true" outlineLevel="1" collapsed="false">
      <c r="A170" s="672"/>
      <c r="B170" s="728"/>
      <c r="C170" s="729"/>
      <c r="D170" s="730"/>
      <c r="E170" s="730"/>
      <c r="F170" s="730"/>
      <c r="G170" s="731"/>
      <c r="I170" s="693"/>
      <c r="J170" s="693"/>
      <c r="K170" s="693"/>
      <c r="L170" s="693"/>
    </row>
    <row r="171" customFormat="false" ht="15" hidden="false" customHeight="true" outlineLevel="0" collapsed="false">
      <c r="A171" s="724" t="s">
        <v>1031</v>
      </c>
      <c r="B171" s="725"/>
      <c r="C171" s="726" t="s">
        <v>12</v>
      </c>
      <c r="D171" s="727" t="s">
        <v>1032</v>
      </c>
      <c r="E171" s="690" t="s">
        <v>1033</v>
      </c>
      <c r="F171" s="690" t="s">
        <v>1034</v>
      </c>
      <c r="G171" s="690" t="s">
        <v>1035</v>
      </c>
      <c r="I171" s="693"/>
      <c r="J171" s="693"/>
      <c r="K171" s="693"/>
      <c r="L171" s="693"/>
    </row>
    <row r="172" customFormat="false" ht="15" hidden="true" customHeight="true" outlineLevel="1" collapsed="false">
      <c r="A172" s="732" t="s">
        <v>1041</v>
      </c>
      <c r="B172" s="733"/>
      <c r="C172" s="692" t="s">
        <v>12</v>
      </c>
      <c r="D172" s="727"/>
      <c r="E172" s="690"/>
      <c r="F172" s="690"/>
      <c r="G172" s="690" t="s">
        <v>1042</v>
      </c>
      <c r="I172" s="693"/>
      <c r="J172" s="693"/>
      <c r="K172" s="693"/>
      <c r="L172" s="693"/>
    </row>
    <row r="173" customFormat="false" ht="15" hidden="true" customHeight="true" outlineLevel="1" collapsed="false">
      <c r="A173" s="672"/>
      <c r="B173" s="728" t="s">
        <v>1041</v>
      </c>
      <c r="C173" s="729" t="s">
        <v>820</v>
      </c>
      <c r="D173" s="730"/>
      <c r="E173" s="730"/>
      <c r="F173" s="730"/>
      <c r="G173" s="731" t="n">
        <v>1400</v>
      </c>
      <c r="I173" s="693"/>
      <c r="J173" s="693"/>
      <c r="K173" s="693"/>
      <c r="L173" s="693"/>
    </row>
    <row r="174" customFormat="false" ht="15" hidden="true" customHeight="true" outlineLevel="1" collapsed="false">
      <c r="A174" s="672"/>
      <c r="B174" s="728" t="s">
        <v>542</v>
      </c>
      <c r="C174" s="729" t="s">
        <v>1043</v>
      </c>
      <c r="D174" s="730"/>
      <c r="E174" s="730"/>
      <c r="F174" s="730"/>
      <c r="G174" s="731" t="n">
        <v>1200</v>
      </c>
      <c r="I174" s="693"/>
      <c r="J174" s="693"/>
      <c r="K174" s="693"/>
      <c r="L174" s="693"/>
    </row>
    <row r="175" customFormat="false" ht="15" hidden="false" customHeight="true" outlineLevel="0" collapsed="false">
      <c r="A175" s="732" t="s">
        <v>1041</v>
      </c>
      <c r="B175" s="733"/>
      <c r="C175" s="692" t="s">
        <v>12</v>
      </c>
      <c r="D175" s="727"/>
      <c r="E175" s="690"/>
      <c r="F175" s="690"/>
      <c r="G175" s="690" t="s">
        <v>1042</v>
      </c>
      <c r="I175" s="693"/>
      <c r="J175" s="693"/>
      <c r="K175" s="693"/>
      <c r="L175" s="693"/>
    </row>
    <row r="176" customFormat="false" ht="15" hidden="true" customHeight="true" outlineLevel="1" collapsed="false">
      <c r="A176" s="724" t="s">
        <v>1044</v>
      </c>
      <c r="B176" s="725"/>
      <c r="C176" s="692" t="s">
        <v>12</v>
      </c>
      <c r="D176" s="727"/>
      <c r="E176" s="690"/>
      <c r="F176" s="690"/>
      <c r="G176" s="690" t="s">
        <v>1045</v>
      </c>
      <c r="I176" s="693"/>
      <c r="J176" s="693"/>
      <c r="K176" s="693"/>
      <c r="L176" s="693"/>
    </row>
    <row r="177" s="705" customFormat="true" ht="15" hidden="true" customHeight="true" outlineLevel="1" collapsed="false">
      <c r="A177" s="734"/>
      <c r="B177" s="735" t="s">
        <v>1046</v>
      </c>
      <c r="C177" s="675" t="s">
        <v>1043</v>
      </c>
      <c r="D177" s="736"/>
      <c r="E177" s="676"/>
      <c r="F177" s="676"/>
      <c r="G177" s="676" t="n">
        <v>250</v>
      </c>
      <c r="H177" s="651"/>
      <c r="I177" s="693"/>
      <c r="J177" s="693"/>
      <c r="K177" s="693"/>
      <c r="L177" s="693"/>
      <c r="M177" s="651"/>
      <c r="N177" s="651"/>
      <c r="O177" s="651"/>
      <c r="P177" s="651"/>
      <c r="Q177" s="651"/>
      <c r="R177" s="651"/>
      <c r="S177" s="651"/>
      <c r="T177" s="651"/>
      <c r="U177" s="651"/>
    </row>
    <row r="178" s="705" customFormat="true" ht="15" hidden="true" customHeight="true" outlineLevel="1" collapsed="false">
      <c r="A178" s="737"/>
      <c r="B178" s="735" t="s">
        <v>1047</v>
      </c>
      <c r="C178" s="675" t="s">
        <v>1048</v>
      </c>
      <c r="D178" s="736"/>
      <c r="E178" s="676"/>
      <c r="F178" s="676"/>
      <c r="G178" s="676" t="n">
        <v>5000</v>
      </c>
      <c r="H178" s="651"/>
      <c r="I178" s="693"/>
      <c r="J178" s="693"/>
      <c r="K178" s="693"/>
      <c r="L178" s="693"/>
      <c r="M178" s="651"/>
      <c r="N178" s="651"/>
      <c r="O178" s="651"/>
      <c r="P178" s="651"/>
      <c r="Q178" s="651"/>
      <c r="R178" s="651"/>
      <c r="S178" s="651"/>
      <c r="T178" s="651"/>
      <c r="U178" s="651"/>
    </row>
    <row r="179" customFormat="false" ht="15" hidden="true" customHeight="true" outlineLevel="1" collapsed="false">
      <c r="A179" s="737"/>
      <c r="B179" s="738" t="s">
        <v>1049</v>
      </c>
      <c r="C179" s="739" t="s">
        <v>1048</v>
      </c>
      <c r="D179" s="704"/>
      <c r="E179" s="704"/>
      <c r="F179" s="704"/>
      <c r="G179" s="740" t="n">
        <v>10000</v>
      </c>
      <c r="I179" s="693"/>
      <c r="J179" s="693"/>
      <c r="K179" s="693"/>
      <c r="L179" s="693"/>
    </row>
    <row r="180" customFormat="false" ht="15" hidden="true" customHeight="true" outlineLevel="1" collapsed="false">
      <c r="A180" s="737"/>
      <c r="B180" s="738" t="s">
        <v>1050</v>
      </c>
      <c r="C180" s="739" t="s">
        <v>1048</v>
      </c>
      <c r="D180" s="704"/>
      <c r="E180" s="704"/>
      <c r="F180" s="704"/>
      <c r="G180" s="740" t="n">
        <v>6000</v>
      </c>
      <c r="I180" s="693"/>
      <c r="J180" s="693"/>
      <c r="K180" s="693"/>
      <c r="L180" s="693"/>
    </row>
    <row r="181" customFormat="false" ht="15" hidden="true" customHeight="true" outlineLevel="1" collapsed="false">
      <c r="A181" s="737"/>
      <c r="B181" s="738" t="s">
        <v>1051</v>
      </c>
      <c r="C181" s="739" t="s">
        <v>1048</v>
      </c>
      <c r="D181" s="704"/>
      <c r="E181" s="704"/>
      <c r="F181" s="704"/>
      <c r="G181" s="740" t="n">
        <v>15000</v>
      </c>
      <c r="I181" s="693"/>
      <c r="J181" s="693"/>
      <c r="K181" s="693"/>
      <c r="L181" s="693"/>
    </row>
    <row r="182" customFormat="false" ht="15" hidden="true" customHeight="true" outlineLevel="1" collapsed="false">
      <c r="A182" s="737"/>
      <c r="B182" s="738" t="s">
        <v>1052</v>
      </c>
      <c r="C182" s="739" t="s">
        <v>1048</v>
      </c>
      <c r="D182" s="704"/>
      <c r="E182" s="704"/>
      <c r="F182" s="704"/>
      <c r="G182" s="740" t="n">
        <v>7500</v>
      </c>
      <c r="I182" s="693"/>
      <c r="J182" s="693"/>
      <c r="K182" s="693"/>
      <c r="L182" s="693"/>
    </row>
    <row r="183" customFormat="false" ht="15" hidden="true" customHeight="true" outlineLevel="1" collapsed="false">
      <c r="A183" s="737"/>
      <c r="B183" s="738" t="s">
        <v>1053</v>
      </c>
      <c r="C183" s="739" t="s">
        <v>1048</v>
      </c>
      <c r="D183" s="704"/>
      <c r="E183" s="704"/>
      <c r="F183" s="704"/>
      <c r="G183" s="740" t="n">
        <v>12000</v>
      </c>
      <c r="I183" s="693"/>
      <c r="J183" s="693"/>
      <c r="K183" s="693"/>
      <c r="L183" s="693"/>
    </row>
    <row r="184" customFormat="false" ht="15" hidden="true" customHeight="true" outlineLevel="1" collapsed="false">
      <c r="A184" s="737"/>
      <c r="B184" s="738" t="s">
        <v>1054</v>
      </c>
      <c r="C184" s="739" t="s">
        <v>1048</v>
      </c>
      <c r="D184" s="740"/>
      <c r="E184" s="704"/>
      <c r="F184" s="704"/>
      <c r="G184" s="704" t="n">
        <v>7000</v>
      </c>
      <c r="I184" s="693"/>
      <c r="J184" s="693"/>
      <c r="K184" s="693"/>
      <c r="L184" s="693"/>
    </row>
    <row r="185" customFormat="false" ht="15" hidden="true" customHeight="true" outlineLevel="1" collapsed="false">
      <c r="A185" s="737"/>
      <c r="B185" s="738" t="s">
        <v>1055</v>
      </c>
      <c r="C185" s="739" t="s">
        <v>1048</v>
      </c>
      <c r="D185" s="740"/>
      <c r="E185" s="704"/>
      <c r="F185" s="704"/>
      <c r="G185" s="704" t="n">
        <v>16000</v>
      </c>
      <c r="I185" s="693"/>
      <c r="J185" s="693"/>
      <c r="K185" s="693"/>
      <c r="L185" s="693"/>
    </row>
    <row r="186" customFormat="false" ht="15" hidden="true" customHeight="true" outlineLevel="1" collapsed="false">
      <c r="A186" s="737"/>
      <c r="B186" s="738" t="s">
        <v>1056</v>
      </c>
      <c r="C186" s="739" t="s">
        <v>1048</v>
      </c>
      <c r="D186" s="740"/>
      <c r="E186" s="704"/>
      <c r="F186" s="704"/>
      <c r="G186" s="704" t="n">
        <v>8000</v>
      </c>
      <c r="I186" s="693"/>
      <c r="J186" s="693"/>
      <c r="K186" s="693"/>
      <c r="L186" s="693"/>
    </row>
    <row r="187" customFormat="false" ht="15" hidden="true" customHeight="true" outlineLevel="1" collapsed="false">
      <c r="A187" s="737"/>
      <c r="B187" s="738" t="s">
        <v>1057</v>
      </c>
      <c r="C187" s="739" t="s">
        <v>1058</v>
      </c>
      <c r="D187" s="740"/>
      <c r="E187" s="704"/>
      <c r="F187" s="704"/>
      <c r="G187" s="704" t="n">
        <v>250</v>
      </c>
      <c r="I187" s="693"/>
      <c r="J187" s="693"/>
      <c r="K187" s="693"/>
      <c r="L187" s="693"/>
    </row>
    <row r="188" customFormat="false" ht="15" hidden="true" customHeight="true" outlineLevel="1" collapsed="false">
      <c r="A188" s="737"/>
      <c r="B188" s="738"/>
      <c r="C188" s="739"/>
      <c r="D188" s="740"/>
      <c r="E188" s="704"/>
      <c r="F188" s="704"/>
      <c r="G188" s="704"/>
      <c r="I188" s="693"/>
      <c r="J188" s="693"/>
      <c r="K188" s="693"/>
      <c r="L188" s="693"/>
    </row>
    <row r="189" customFormat="false" ht="15" hidden="true" customHeight="true" outlineLevel="1" collapsed="false">
      <c r="A189" s="737"/>
      <c r="B189" s="738"/>
      <c r="C189" s="739"/>
      <c r="D189" s="740"/>
      <c r="E189" s="704"/>
      <c r="F189" s="704"/>
      <c r="G189" s="704"/>
      <c r="I189" s="693"/>
      <c r="J189" s="693"/>
      <c r="K189" s="693"/>
      <c r="L189" s="693"/>
    </row>
    <row r="190" customFormat="false" ht="15" hidden="false" customHeight="true" outlineLevel="0" collapsed="false">
      <c r="A190" s="724" t="s">
        <v>1044</v>
      </c>
      <c r="B190" s="725"/>
      <c r="C190" s="692" t="s">
        <v>12</v>
      </c>
      <c r="D190" s="727"/>
      <c r="E190" s="690"/>
      <c r="F190" s="690"/>
      <c r="G190" s="690" t="s">
        <v>1045</v>
      </c>
      <c r="I190" s="693"/>
      <c r="J190" s="693"/>
      <c r="K190" s="693"/>
      <c r="L190" s="693"/>
    </row>
    <row r="191" customFormat="false" ht="15" hidden="true" customHeight="true" outlineLevel="1" collapsed="false">
      <c r="A191" s="724" t="s">
        <v>749</v>
      </c>
      <c r="B191" s="725"/>
      <c r="C191" s="692" t="s">
        <v>12</v>
      </c>
      <c r="D191" s="727"/>
      <c r="E191" s="690"/>
      <c r="F191" s="690"/>
      <c r="G191" s="690" t="s">
        <v>1045</v>
      </c>
      <c r="I191" s="693"/>
      <c r="J191" s="693"/>
      <c r="K191" s="693"/>
      <c r="L191" s="693"/>
    </row>
    <row r="192" s="705" customFormat="true" ht="15" hidden="true" customHeight="true" outlineLevel="1" collapsed="false">
      <c r="A192" s="734"/>
      <c r="B192" s="741" t="s">
        <v>226</v>
      </c>
      <c r="C192" s="675"/>
      <c r="D192" s="736"/>
      <c r="E192" s="676"/>
      <c r="F192" s="676"/>
      <c r="G192" s="676" t="n">
        <v>0</v>
      </c>
      <c r="H192" s="651"/>
      <c r="I192" s="693"/>
      <c r="J192" s="693"/>
      <c r="K192" s="693"/>
      <c r="L192" s="693"/>
      <c r="M192" s="651"/>
      <c r="N192" s="651"/>
      <c r="O192" s="651"/>
      <c r="P192" s="651"/>
      <c r="Q192" s="651"/>
      <c r="R192" s="651"/>
      <c r="S192" s="651"/>
      <c r="T192" s="651"/>
      <c r="U192" s="651"/>
    </row>
    <row r="193" customFormat="false" ht="15" hidden="true" customHeight="true" outlineLevel="1" collapsed="false">
      <c r="A193" s="737"/>
      <c r="B193" s="738" t="s">
        <v>914</v>
      </c>
      <c r="C193" s="739" t="s">
        <v>502</v>
      </c>
      <c r="D193" s="704"/>
      <c r="E193" s="704"/>
      <c r="F193" s="704"/>
      <c r="G193" s="740" t="n">
        <v>2200</v>
      </c>
      <c r="I193" s="693"/>
      <c r="J193" s="693"/>
      <c r="K193" s="693"/>
      <c r="L193" s="693"/>
    </row>
    <row r="194" customFormat="false" ht="15" hidden="true" customHeight="true" outlineLevel="1" collapsed="false">
      <c r="A194" s="737"/>
      <c r="B194" s="738" t="s">
        <v>457</v>
      </c>
      <c r="C194" s="739" t="s">
        <v>15</v>
      </c>
      <c r="D194" s="704"/>
      <c r="E194" s="704"/>
      <c r="F194" s="704"/>
      <c r="G194" s="740" t="n">
        <v>300</v>
      </c>
      <c r="I194" s="693"/>
      <c r="J194" s="693"/>
      <c r="K194" s="693"/>
      <c r="L194" s="693"/>
    </row>
    <row r="195" customFormat="false" ht="15" hidden="true" customHeight="true" outlineLevel="1" collapsed="false">
      <c r="A195" s="737"/>
      <c r="B195" s="738" t="s">
        <v>1059</v>
      </c>
      <c r="C195" s="739" t="s">
        <v>15</v>
      </c>
      <c r="D195" s="704"/>
      <c r="E195" s="704"/>
      <c r="F195" s="704"/>
      <c r="G195" s="740" t="n">
        <v>1700</v>
      </c>
      <c r="I195" s="693"/>
      <c r="J195" s="693"/>
      <c r="K195" s="693"/>
      <c r="L195" s="693"/>
    </row>
    <row r="196" customFormat="false" ht="15" hidden="true" customHeight="true" outlineLevel="1" collapsed="false">
      <c r="A196" s="737"/>
      <c r="B196" s="738" t="s">
        <v>915</v>
      </c>
      <c r="C196" s="739" t="s">
        <v>48</v>
      </c>
      <c r="D196" s="704"/>
      <c r="E196" s="704"/>
      <c r="F196" s="704"/>
      <c r="G196" s="740" t="n">
        <v>2500</v>
      </c>
      <c r="I196" s="693"/>
      <c r="J196" s="693"/>
      <c r="K196" s="693"/>
      <c r="L196" s="693"/>
    </row>
    <row r="197" customFormat="false" ht="15" hidden="true" customHeight="true" outlineLevel="1" collapsed="false">
      <c r="A197" s="737"/>
      <c r="B197" s="738" t="s">
        <v>1060</v>
      </c>
      <c r="C197" s="739" t="s">
        <v>48</v>
      </c>
      <c r="D197" s="704"/>
      <c r="E197" s="704"/>
      <c r="F197" s="704"/>
      <c r="G197" s="740" t="n">
        <v>2000</v>
      </c>
      <c r="I197" s="693"/>
      <c r="J197" s="693"/>
      <c r="K197" s="693"/>
      <c r="L197" s="693"/>
    </row>
    <row r="198" customFormat="false" ht="15" hidden="true" customHeight="true" outlineLevel="1" collapsed="false">
      <c r="A198" s="737"/>
      <c r="B198" s="738" t="s">
        <v>1061</v>
      </c>
      <c r="C198" s="739" t="s">
        <v>48</v>
      </c>
      <c r="D198" s="704"/>
      <c r="E198" s="704"/>
      <c r="F198" s="704"/>
      <c r="G198" s="740" t="n">
        <v>2500</v>
      </c>
      <c r="I198" s="693"/>
      <c r="J198" s="693"/>
      <c r="K198" s="693"/>
      <c r="L198" s="693"/>
    </row>
    <row r="199" customFormat="false" ht="15" hidden="true" customHeight="true" outlineLevel="1" collapsed="false">
      <c r="A199" s="737"/>
      <c r="B199" s="738" t="s">
        <v>108</v>
      </c>
      <c r="C199" s="739" t="s">
        <v>48</v>
      </c>
      <c r="D199" s="704"/>
      <c r="E199" s="704"/>
      <c r="F199" s="704"/>
      <c r="G199" s="740" t="n">
        <v>500</v>
      </c>
      <c r="I199" s="693"/>
      <c r="J199" s="693"/>
      <c r="K199" s="693"/>
      <c r="L199" s="693"/>
    </row>
    <row r="200" customFormat="false" ht="15" hidden="true" customHeight="true" outlineLevel="1" collapsed="false">
      <c r="A200" s="737"/>
      <c r="B200" s="738" t="s">
        <v>1062</v>
      </c>
      <c r="C200" s="739" t="s">
        <v>502</v>
      </c>
      <c r="D200" s="704"/>
      <c r="E200" s="704"/>
      <c r="F200" s="704"/>
      <c r="G200" s="740" t="n">
        <v>3500</v>
      </c>
      <c r="I200" s="693"/>
      <c r="J200" s="693"/>
      <c r="K200" s="693"/>
      <c r="L200" s="693"/>
    </row>
    <row r="201" customFormat="false" ht="15" hidden="true" customHeight="true" outlineLevel="1" collapsed="false">
      <c r="A201" s="737"/>
      <c r="B201" s="738" t="s">
        <v>1063</v>
      </c>
      <c r="C201" s="739" t="s">
        <v>502</v>
      </c>
      <c r="D201" s="704"/>
      <c r="E201" s="704"/>
      <c r="F201" s="704"/>
      <c r="G201" s="740" t="n">
        <v>1700</v>
      </c>
      <c r="I201" s="693"/>
      <c r="J201" s="693"/>
      <c r="K201" s="693"/>
      <c r="L201" s="693"/>
    </row>
    <row r="202" customFormat="false" ht="15" hidden="true" customHeight="true" outlineLevel="1" collapsed="false">
      <c r="A202" s="737"/>
      <c r="B202" s="738" t="s">
        <v>1064</v>
      </c>
      <c r="C202" s="739" t="s">
        <v>48</v>
      </c>
      <c r="D202" s="704"/>
      <c r="E202" s="704"/>
      <c r="F202" s="704"/>
      <c r="G202" s="740" t="n">
        <v>2500</v>
      </c>
      <c r="I202" s="693"/>
      <c r="J202" s="693"/>
      <c r="K202" s="693"/>
      <c r="L202" s="693"/>
    </row>
    <row r="203" customFormat="false" ht="15" hidden="true" customHeight="true" outlineLevel="1" collapsed="false">
      <c r="A203" s="737"/>
      <c r="B203" s="738" t="s">
        <v>1065</v>
      </c>
      <c r="C203" s="739" t="s">
        <v>502</v>
      </c>
      <c r="D203" s="704"/>
      <c r="E203" s="704"/>
      <c r="F203" s="704"/>
      <c r="G203" s="740" t="n">
        <v>1200</v>
      </c>
      <c r="I203" s="693"/>
      <c r="J203" s="693"/>
      <c r="K203" s="693"/>
      <c r="L203" s="693"/>
    </row>
    <row r="204" customFormat="false" ht="15" hidden="true" customHeight="true" outlineLevel="1" collapsed="false">
      <c r="A204" s="737"/>
      <c r="B204" s="738" t="s">
        <v>1066</v>
      </c>
      <c r="C204" s="739" t="s">
        <v>502</v>
      </c>
      <c r="D204" s="704"/>
      <c r="E204" s="704"/>
      <c r="F204" s="704"/>
      <c r="G204" s="740" t="n">
        <v>500</v>
      </c>
      <c r="I204" s="693"/>
      <c r="J204" s="693"/>
      <c r="K204" s="693"/>
      <c r="L204" s="693"/>
    </row>
    <row r="205" customFormat="false" ht="15" hidden="true" customHeight="true" outlineLevel="1" collapsed="false">
      <c r="A205" s="737"/>
      <c r="B205" s="738" t="s">
        <v>110</v>
      </c>
      <c r="C205" s="739" t="s">
        <v>48</v>
      </c>
      <c r="D205" s="704"/>
      <c r="E205" s="704"/>
      <c r="F205" s="704"/>
      <c r="G205" s="740" t="n">
        <v>15000</v>
      </c>
      <c r="I205" s="693"/>
      <c r="J205" s="693"/>
      <c r="K205" s="693"/>
      <c r="L205" s="693"/>
    </row>
    <row r="206" customFormat="false" ht="15" hidden="true" customHeight="true" outlineLevel="1" collapsed="false">
      <c r="A206" s="737"/>
      <c r="B206" s="738" t="s">
        <v>1067</v>
      </c>
      <c r="C206" s="739" t="s">
        <v>48</v>
      </c>
      <c r="D206" s="704"/>
      <c r="E206" s="704"/>
      <c r="F206" s="704"/>
      <c r="G206" s="740" t="n">
        <v>5000</v>
      </c>
      <c r="I206" s="693"/>
      <c r="J206" s="693"/>
      <c r="K206" s="693"/>
      <c r="L206" s="693"/>
    </row>
    <row r="207" customFormat="false" ht="15" hidden="true" customHeight="true" outlineLevel="1" collapsed="false">
      <c r="A207" s="737"/>
      <c r="B207" s="738"/>
      <c r="C207" s="739"/>
      <c r="D207" s="704"/>
      <c r="E207" s="704"/>
      <c r="F207" s="704"/>
      <c r="G207" s="740"/>
      <c r="I207" s="693"/>
      <c r="J207" s="693"/>
      <c r="K207" s="693"/>
      <c r="L207" s="693"/>
    </row>
    <row r="208" customFormat="false" ht="15" hidden="true" customHeight="true" outlineLevel="1" collapsed="false">
      <c r="A208" s="737"/>
      <c r="B208" s="738"/>
      <c r="C208" s="739"/>
      <c r="D208" s="704"/>
      <c r="E208" s="704"/>
      <c r="F208" s="704"/>
      <c r="G208" s="740"/>
      <c r="I208" s="693"/>
      <c r="J208" s="693"/>
      <c r="K208" s="693"/>
      <c r="L208" s="693"/>
    </row>
    <row r="209" customFormat="false" ht="15" hidden="false" customHeight="true" outlineLevel="0" collapsed="false">
      <c r="A209" s="724" t="s">
        <v>749</v>
      </c>
      <c r="B209" s="725"/>
      <c r="C209" s="692" t="s">
        <v>12</v>
      </c>
      <c r="D209" s="727"/>
      <c r="E209" s="690"/>
      <c r="F209" s="690"/>
      <c r="G209" s="690" t="s">
        <v>1045</v>
      </c>
      <c r="I209" s="693"/>
      <c r="J209" s="693"/>
      <c r="K209" s="693"/>
      <c r="L209" s="693"/>
    </row>
    <row r="210" customFormat="false" ht="15" hidden="true" customHeight="true" outlineLevel="1" collapsed="false">
      <c r="A210" s="724" t="s">
        <v>1068</v>
      </c>
      <c r="B210" s="725"/>
      <c r="C210" s="692" t="s">
        <v>12</v>
      </c>
      <c r="D210" s="690"/>
      <c r="E210" s="690" t="s">
        <v>1069</v>
      </c>
      <c r="F210" s="690" t="s">
        <v>1070</v>
      </c>
      <c r="G210" s="690" t="s">
        <v>1045</v>
      </c>
      <c r="I210" s="693"/>
      <c r="J210" s="693"/>
      <c r="K210" s="693"/>
      <c r="L210" s="693"/>
    </row>
    <row r="211" customFormat="false" ht="15" hidden="true" customHeight="true" outlineLevel="1" collapsed="false">
      <c r="A211" s="667"/>
      <c r="B211" s="742" t="s">
        <v>1071</v>
      </c>
      <c r="C211" s="743" t="s">
        <v>15</v>
      </c>
      <c r="D211" s="703"/>
      <c r="E211" s="703" t="n">
        <v>0</v>
      </c>
      <c r="F211" s="703" t="n">
        <v>0</v>
      </c>
      <c r="G211" s="703" t="n">
        <v>0</v>
      </c>
      <c r="I211" s="693"/>
      <c r="J211" s="693"/>
      <c r="K211" s="693"/>
      <c r="L211" s="693"/>
    </row>
    <row r="212" customFormat="false" ht="15" hidden="true" customHeight="true" outlineLevel="1" collapsed="false">
      <c r="A212" s="672"/>
      <c r="B212" s="647" t="s">
        <v>1072</v>
      </c>
      <c r="C212" s="743" t="s">
        <v>15</v>
      </c>
      <c r="D212" s="744" t="s">
        <v>1073</v>
      </c>
      <c r="E212" s="703" t="n">
        <v>43500</v>
      </c>
      <c r="F212" s="703" t="n">
        <v>0.222</v>
      </c>
      <c r="G212" s="703" t="n">
        <f aca="false">E212/(1000/F212)</f>
        <v>9.657</v>
      </c>
      <c r="I212" s="693"/>
      <c r="J212" s="693"/>
      <c r="K212" s="693"/>
      <c r="L212" s="693"/>
    </row>
    <row r="213" customFormat="false" ht="15" hidden="true" customHeight="true" outlineLevel="1" collapsed="false">
      <c r="A213" s="672"/>
      <c r="B213" s="647" t="s">
        <v>1074</v>
      </c>
      <c r="C213" s="743" t="s">
        <v>15</v>
      </c>
      <c r="D213" s="744"/>
      <c r="E213" s="703" t="n">
        <v>44400</v>
      </c>
      <c r="F213" s="703" t="n">
        <v>0.395</v>
      </c>
      <c r="G213" s="703" t="n">
        <f aca="false">E213/(1000/F213)</f>
        <v>17.538</v>
      </c>
      <c r="I213" s="693"/>
      <c r="J213" s="693"/>
      <c r="K213" s="693"/>
      <c r="L213" s="693"/>
    </row>
    <row r="214" customFormat="false" ht="15" hidden="true" customHeight="true" outlineLevel="1" collapsed="false">
      <c r="A214" s="672"/>
      <c r="B214" s="647" t="s">
        <v>1075</v>
      </c>
      <c r="C214" s="743" t="s">
        <v>15</v>
      </c>
      <c r="D214" s="744"/>
      <c r="E214" s="703" t="n">
        <v>42500</v>
      </c>
      <c r="F214" s="703" t="n">
        <v>0.617</v>
      </c>
      <c r="G214" s="703" t="n">
        <f aca="false">E214/(1000/F214)</f>
        <v>26.2225</v>
      </c>
      <c r="I214" s="693"/>
      <c r="J214" s="693"/>
      <c r="K214" s="693"/>
      <c r="L214" s="693"/>
    </row>
    <row r="215" customFormat="false" ht="15" hidden="true" customHeight="true" outlineLevel="1" collapsed="false">
      <c r="A215" s="672"/>
      <c r="B215" s="742" t="s">
        <v>481</v>
      </c>
      <c r="C215" s="743" t="s">
        <v>15</v>
      </c>
      <c r="D215" s="744"/>
      <c r="E215" s="703" t="n">
        <v>40600</v>
      </c>
      <c r="F215" s="703" t="n">
        <v>0.222</v>
      </c>
      <c r="G215" s="703" t="n">
        <f aca="false">E215/(1000/F215)</f>
        <v>9.0132</v>
      </c>
      <c r="I215" s="693"/>
      <c r="J215" s="693"/>
      <c r="K215" s="693"/>
      <c r="L215" s="693"/>
    </row>
    <row r="216" customFormat="false" ht="15" hidden="true" customHeight="true" outlineLevel="1" collapsed="false">
      <c r="A216" s="672"/>
      <c r="B216" s="742" t="s">
        <v>479</v>
      </c>
      <c r="C216" s="743" t="s">
        <v>15</v>
      </c>
      <c r="D216" s="744"/>
      <c r="E216" s="703" t="n">
        <v>40600</v>
      </c>
      <c r="F216" s="703" t="n">
        <v>0.395</v>
      </c>
      <c r="G216" s="703" t="n">
        <f aca="false">E216/(1000/F216)</f>
        <v>16.037</v>
      </c>
      <c r="I216" s="693"/>
      <c r="J216" s="693"/>
      <c r="K216" s="693"/>
      <c r="L216" s="693"/>
    </row>
    <row r="217" customFormat="false" ht="15" hidden="true" customHeight="true" outlineLevel="1" collapsed="false">
      <c r="A217" s="672"/>
      <c r="B217" s="742" t="s">
        <v>524</v>
      </c>
      <c r="C217" s="743" t="s">
        <v>15</v>
      </c>
      <c r="D217" s="744"/>
      <c r="E217" s="703" t="n">
        <v>34100</v>
      </c>
      <c r="F217" s="703" t="n">
        <v>0.617</v>
      </c>
      <c r="G217" s="703" t="n">
        <f aca="false">E217/(1000/F217)</f>
        <v>21.0397</v>
      </c>
      <c r="I217" s="693"/>
      <c r="J217" s="693"/>
      <c r="K217" s="693"/>
      <c r="L217" s="693"/>
    </row>
    <row r="218" customFormat="false" ht="15" hidden="true" customHeight="true" outlineLevel="1" collapsed="false">
      <c r="A218" s="672"/>
      <c r="B218" s="742" t="s">
        <v>521</v>
      </c>
      <c r="C218" s="743" t="s">
        <v>15</v>
      </c>
      <c r="D218" s="744"/>
      <c r="E218" s="703" t="n">
        <v>32900</v>
      </c>
      <c r="F218" s="703" t="n">
        <v>0.888</v>
      </c>
      <c r="G218" s="703" t="n">
        <f aca="false">E218/(1000/F218)</f>
        <v>29.2152</v>
      </c>
      <c r="I218" s="693"/>
      <c r="J218" s="693"/>
      <c r="K218" s="693"/>
      <c r="L218" s="693"/>
    </row>
    <row r="219" customFormat="false" ht="15" hidden="true" customHeight="true" outlineLevel="1" collapsed="false">
      <c r="A219" s="672"/>
      <c r="B219" s="742" t="s">
        <v>1076</v>
      </c>
      <c r="C219" s="743" t="s">
        <v>15</v>
      </c>
      <c r="D219" s="744"/>
      <c r="E219" s="703" t="n">
        <v>32400</v>
      </c>
      <c r="F219" s="703" t="n">
        <v>1.21</v>
      </c>
      <c r="G219" s="703" t="n">
        <f aca="false">E219/(1000/F219)</f>
        <v>39.204</v>
      </c>
      <c r="I219" s="693"/>
      <c r="J219" s="693"/>
      <c r="K219" s="693"/>
      <c r="L219" s="693"/>
    </row>
    <row r="220" customFormat="false" ht="15" hidden="true" customHeight="true" outlineLevel="1" collapsed="false">
      <c r="A220" s="672"/>
      <c r="B220" s="742" t="s">
        <v>1077</v>
      </c>
      <c r="C220" s="743" t="s">
        <v>15</v>
      </c>
      <c r="D220" s="744"/>
      <c r="E220" s="703" t="n">
        <v>32400</v>
      </c>
      <c r="F220" s="703" t="n">
        <v>1.58</v>
      </c>
      <c r="G220" s="703" t="n">
        <f aca="false">E220/(1000/F220)</f>
        <v>51.192</v>
      </c>
      <c r="I220" s="693"/>
      <c r="J220" s="693"/>
      <c r="K220" s="693"/>
      <c r="L220" s="693"/>
    </row>
    <row r="221" customFormat="false" ht="15" hidden="true" customHeight="true" outlineLevel="1" collapsed="false">
      <c r="A221" s="672"/>
      <c r="B221" s="742" t="s">
        <v>1078</v>
      </c>
      <c r="C221" s="743" t="s">
        <v>15</v>
      </c>
      <c r="D221" s="744"/>
      <c r="E221" s="703" t="n">
        <v>32400</v>
      </c>
      <c r="F221" s="703" t="n">
        <v>2</v>
      </c>
      <c r="G221" s="703" t="n">
        <f aca="false">E221/(1000/F221)</f>
        <v>64.8</v>
      </c>
      <c r="I221" s="693"/>
      <c r="J221" s="693"/>
      <c r="K221" s="693"/>
      <c r="L221" s="693"/>
    </row>
    <row r="222" customFormat="false" ht="15" hidden="true" customHeight="true" outlineLevel="1" collapsed="false">
      <c r="A222" s="672"/>
      <c r="B222" s="742" t="s">
        <v>1079</v>
      </c>
      <c r="C222" s="743" t="s">
        <v>15</v>
      </c>
      <c r="D222" s="744"/>
      <c r="E222" s="703" t="n">
        <v>32400</v>
      </c>
      <c r="F222" s="703" t="n">
        <v>2.47</v>
      </c>
      <c r="G222" s="703" t="n">
        <f aca="false">E222/(1000/F222)</f>
        <v>80.028</v>
      </c>
      <c r="I222" s="693"/>
      <c r="J222" s="693"/>
      <c r="K222" s="693"/>
      <c r="L222" s="693"/>
    </row>
    <row r="223" customFormat="false" ht="15" hidden="true" customHeight="true" outlineLevel="1" collapsed="false">
      <c r="A223" s="672"/>
      <c r="B223" s="742" t="s">
        <v>1080</v>
      </c>
      <c r="C223" s="743" t="s">
        <v>820</v>
      </c>
      <c r="D223" s="703"/>
      <c r="E223" s="703"/>
      <c r="F223" s="703"/>
      <c r="G223" s="703" t="n">
        <v>70</v>
      </c>
      <c r="I223" s="693"/>
      <c r="J223" s="693"/>
      <c r="K223" s="693"/>
      <c r="L223" s="693"/>
    </row>
    <row r="224" customFormat="false" ht="15" hidden="true" customHeight="true" outlineLevel="1" collapsed="false">
      <c r="A224" s="672"/>
      <c r="B224" s="742" t="s">
        <v>1081</v>
      </c>
      <c r="C224" s="743" t="s">
        <v>434</v>
      </c>
      <c r="D224" s="703"/>
      <c r="E224" s="703"/>
      <c r="F224" s="703"/>
      <c r="G224" s="703" t="n">
        <v>80</v>
      </c>
      <c r="I224" s="693"/>
      <c r="J224" s="693"/>
      <c r="K224" s="693"/>
      <c r="L224" s="693"/>
    </row>
    <row r="225" customFormat="false" ht="15" hidden="true" customHeight="true" outlineLevel="1" collapsed="false">
      <c r="A225" s="672"/>
      <c r="B225" s="742" t="s">
        <v>1082</v>
      </c>
      <c r="C225" s="743" t="s">
        <v>48</v>
      </c>
      <c r="D225" s="703"/>
      <c r="E225" s="703"/>
      <c r="F225" s="703"/>
      <c r="G225" s="703" t="n">
        <v>2</v>
      </c>
      <c r="I225" s="693"/>
      <c r="J225" s="693"/>
      <c r="K225" s="693"/>
      <c r="L225" s="693"/>
    </row>
    <row r="226" customFormat="false" ht="15" hidden="true" customHeight="true" outlineLevel="1" collapsed="false">
      <c r="A226" s="672"/>
      <c r="B226" s="742" t="s">
        <v>1083</v>
      </c>
      <c r="C226" s="743" t="s">
        <v>48</v>
      </c>
      <c r="D226" s="703"/>
      <c r="E226" s="703"/>
      <c r="F226" s="703"/>
      <c r="G226" s="703" t="n">
        <v>5</v>
      </c>
      <c r="I226" s="693"/>
      <c r="J226" s="693"/>
      <c r="K226" s="693"/>
      <c r="L226" s="693"/>
    </row>
    <row r="227" customFormat="false" ht="15" hidden="true" customHeight="true" outlineLevel="1" collapsed="false">
      <c r="A227" s="672"/>
      <c r="B227" s="742" t="s">
        <v>1084</v>
      </c>
      <c r="C227" s="743" t="s">
        <v>820</v>
      </c>
      <c r="D227" s="703"/>
      <c r="E227" s="703"/>
      <c r="F227" s="703"/>
      <c r="G227" s="703" t="n">
        <v>15</v>
      </c>
      <c r="I227" s="693"/>
      <c r="J227" s="693"/>
      <c r="K227" s="693"/>
      <c r="L227" s="693"/>
    </row>
    <row r="228" customFormat="false" ht="15" hidden="true" customHeight="true" outlineLevel="1" collapsed="false">
      <c r="A228" s="672"/>
      <c r="B228" s="742" t="s">
        <v>1085</v>
      </c>
      <c r="C228" s="743" t="s">
        <v>15</v>
      </c>
      <c r="D228" s="703"/>
      <c r="E228" s="703"/>
      <c r="F228" s="703"/>
      <c r="G228" s="703" t="n">
        <v>500</v>
      </c>
      <c r="I228" s="693"/>
      <c r="J228" s="693"/>
      <c r="K228" s="693"/>
      <c r="L228" s="693"/>
    </row>
    <row r="229" customFormat="false" ht="15" hidden="true" customHeight="true" outlineLevel="1" collapsed="false">
      <c r="A229" s="672"/>
      <c r="B229" s="742" t="s">
        <v>1086</v>
      </c>
      <c r="C229" s="743" t="s">
        <v>15</v>
      </c>
      <c r="D229" s="703"/>
      <c r="E229" s="703"/>
      <c r="F229" s="703"/>
      <c r="G229" s="703" t="n">
        <v>50</v>
      </c>
      <c r="I229" s="693"/>
      <c r="J229" s="693"/>
      <c r="K229" s="693"/>
      <c r="L229" s="693"/>
    </row>
    <row r="230" customFormat="false" ht="15" hidden="true" customHeight="true" outlineLevel="1" collapsed="false">
      <c r="A230" s="672"/>
      <c r="B230" s="742" t="s">
        <v>1087</v>
      </c>
      <c r="C230" s="743" t="s">
        <v>434</v>
      </c>
      <c r="D230" s="703"/>
      <c r="E230" s="703"/>
      <c r="F230" s="703"/>
      <c r="G230" s="703" t="n">
        <v>100</v>
      </c>
      <c r="I230" s="693"/>
      <c r="J230" s="693"/>
      <c r="K230" s="693"/>
      <c r="L230" s="693"/>
    </row>
    <row r="231" customFormat="false" ht="15" hidden="true" customHeight="true" outlineLevel="1" collapsed="false">
      <c r="A231" s="672"/>
      <c r="B231" s="742" t="s">
        <v>1088</v>
      </c>
      <c r="C231" s="743" t="s">
        <v>434</v>
      </c>
      <c r="D231" s="703"/>
      <c r="E231" s="703"/>
      <c r="F231" s="703"/>
      <c r="G231" s="703" t="n">
        <v>100</v>
      </c>
      <c r="I231" s="693"/>
      <c r="J231" s="693"/>
      <c r="K231" s="693"/>
      <c r="L231" s="693"/>
    </row>
    <row r="232" customFormat="false" ht="15" hidden="true" customHeight="true" outlineLevel="1" collapsed="false">
      <c r="A232" s="672"/>
      <c r="B232" s="742" t="s">
        <v>1089</v>
      </c>
      <c r="C232" s="743" t="s">
        <v>48</v>
      </c>
      <c r="D232" s="703"/>
      <c r="E232" s="703"/>
      <c r="F232" s="703"/>
      <c r="G232" s="703" t="n">
        <v>20</v>
      </c>
      <c r="I232" s="693"/>
      <c r="J232" s="693"/>
      <c r="K232" s="693"/>
      <c r="L232" s="693"/>
    </row>
    <row r="233" customFormat="false" ht="15" hidden="true" customHeight="true" outlineLevel="1" collapsed="false">
      <c r="A233" s="672"/>
      <c r="B233" s="742" t="s">
        <v>1090</v>
      </c>
      <c r="C233" s="743" t="s">
        <v>48</v>
      </c>
      <c r="D233" s="703"/>
      <c r="E233" s="703"/>
      <c r="F233" s="703"/>
      <c r="G233" s="703" t="n">
        <v>10</v>
      </c>
      <c r="I233" s="693"/>
      <c r="J233" s="693"/>
      <c r="K233" s="693"/>
      <c r="L233" s="693"/>
    </row>
    <row r="234" customFormat="false" ht="15" hidden="true" customHeight="true" outlineLevel="1" collapsed="false">
      <c r="A234" s="672"/>
      <c r="B234" s="742"/>
      <c r="C234" s="743"/>
      <c r="D234" s="703"/>
      <c r="E234" s="703"/>
      <c r="F234" s="703"/>
      <c r="G234" s="703"/>
      <c r="I234" s="693"/>
      <c r="J234" s="693"/>
      <c r="K234" s="693"/>
      <c r="L234" s="693"/>
    </row>
    <row r="235" customFormat="false" ht="15" hidden="false" customHeight="true" outlineLevel="0" collapsed="false">
      <c r="A235" s="724" t="s">
        <v>1068</v>
      </c>
      <c r="B235" s="725"/>
      <c r="C235" s="692" t="s">
        <v>12</v>
      </c>
      <c r="D235" s="690"/>
      <c r="E235" s="690" t="s">
        <v>1069</v>
      </c>
      <c r="F235" s="690" t="s">
        <v>1070</v>
      </c>
      <c r="G235" s="690" t="s">
        <v>1045</v>
      </c>
      <c r="I235" s="693"/>
      <c r="J235" s="693"/>
      <c r="K235" s="693"/>
      <c r="L235" s="693"/>
    </row>
    <row r="236" customFormat="false" ht="15" hidden="true" customHeight="true" outlineLevel="1" collapsed="false">
      <c r="A236" s="745" t="s">
        <v>1091</v>
      </c>
      <c r="B236" s="746"/>
      <c r="C236" s="692" t="s">
        <v>12</v>
      </c>
      <c r="D236" s="727"/>
      <c r="E236" s="690"/>
      <c r="F236" s="690"/>
      <c r="G236" s="690" t="s">
        <v>1045</v>
      </c>
      <c r="I236" s="693"/>
      <c r="J236" s="693"/>
      <c r="K236" s="693"/>
      <c r="L236" s="693"/>
    </row>
    <row r="237" customFormat="false" ht="15" hidden="true" customHeight="true" outlineLevel="1" collapsed="false">
      <c r="A237" s="667"/>
      <c r="B237" s="738" t="s">
        <v>500</v>
      </c>
      <c r="C237" s="739" t="s">
        <v>1043</v>
      </c>
      <c r="D237" s="740"/>
      <c r="E237" s="704"/>
      <c r="F237" s="704"/>
      <c r="G237" s="704" t="n">
        <v>2500</v>
      </c>
      <c r="I237" s="693"/>
      <c r="J237" s="693"/>
      <c r="K237" s="693"/>
      <c r="L237" s="693"/>
    </row>
    <row r="238" customFormat="false" ht="15" hidden="true" customHeight="true" outlineLevel="1" collapsed="false">
      <c r="A238" s="672"/>
      <c r="B238" s="738" t="s">
        <v>475</v>
      </c>
      <c r="C238" s="739" t="s">
        <v>1043</v>
      </c>
      <c r="D238" s="740"/>
      <c r="E238" s="704"/>
      <c r="F238" s="704"/>
      <c r="G238" s="704" t="n">
        <v>2750</v>
      </c>
      <c r="I238" s="693"/>
      <c r="J238" s="693"/>
      <c r="K238" s="693"/>
      <c r="L238" s="693"/>
    </row>
    <row r="239" customFormat="false" ht="15" hidden="true" customHeight="true" outlineLevel="1" collapsed="false">
      <c r="A239" s="672"/>
      <c r="B239" s="738" t="s">
        <v>491</v>
      </c>
      <c r="C239" s="739" t="s">
        <v>1043</v>
      </c>
      <c r="D239" s="740"/>
      <c r="E239" s="704"/>
      <c r="F239" s="704"/>
      <c r="G239" s="704" t="n">
        <v>3000</v>
      </c>
      <c r="I239" s="693"/>
      <c r="J239" s="693"/>
      <c r="K239" s="693"/>
      <c r="L239" s="693"/>
    </row>
    <row r="240" customFormat="false" ht="15" hidden="true" customHeight="true" outlineLevel="1" collapsed="false">
      <c r="A240" s="672"/>
      <c r="B240" s="738" t="s">
        <v>516</v>
      </c>
      <c r="C240" s="739" t="s">
        <v>1043</v>
      </c>
      <c r="D240" s="740"/>
      <c r="E240" s="704"/>
      <c r="F240" s="704"/>
      <c r="G240" s="704" t="n">
        <v>3500</v>
      </c>
      <c r="I240" s="693"/>
      <c r="J240" s="693"/>
      <c r="K240" s="693"/>
      <c r="L240" s="693"/>
    </row>
    <row r="241" customFormat="false" ht="15" hidden="true" customHeight="true" outlineLevel="1" collapsed="false">
      <c r="A241" s="672"/>
      <c r="B241" s="738" t="s">
        <v>1092</v>
      </c>
      <c r="C241" s="739" t="s">
        <v>1043</v>
      </c>
      <c r="D241" s="650"/>
      <c r="E241" s="650"/>
      <c r="G241" s="650" t="n">
        <v>2100</v>
      </c>
      <c r="I241" s="693"/>
      <c r="J241" s="693"/>
      <c r="K241" s="693"/>
      <c r="L241" s="693"/>
    </row>
    <row r="242" customFormat="false" ht="15" hidden="true" customHeight="true" outlineLevel="1" collapsed="false">
      <c r="A242" s="672"/>
      <c r="B242" s="738" t="s">
        <v>1093</v>
      </c>
      <c r="C242" s="739" t="s">
        <v>1043</v>
      </c>
      <c r="D242" s="650"/>
      <c r="E242" s="650"/>
      <c r="G242" s="650" t="n">
        <v>2500</v>
      </c>
      <c r="I242" s="693"/>
      <c r="J242" s="693"/>
      <c r="K242" s="693"/>
      <c r="L242" s="693"/>
    </row>
    <row r="243" customFormat="false" ht="15" hidden="true" customHeight="true" outlineLevel="1" collapsed="false">
      <c r="A243" s="672"/>
      <c r="B243" s="738" t="s">
        <v>1094</v>
      </c>
      <c r="C243" s="739" t="s">
        <v>1043</v>
      </c>
      <c r="D243" s="650"/>
      <c r="E243" s="650"/>
      <c r="G243" s="650" t="n">
        <v>3000</v>
      </c>
      <c r="I243" s="693"/>
      <c r="J243" s="693"/>
      <c r="K243" s="693"/>
      <c r="L243" s="693"/>
    </row>
    <row r="244" customFormat="false" ht="15" hidden="true" customHeight="true" outlineLevel="1" collapsed="false">
      <c r="A244" s="672"/>
      <c r="B244" s="738" t="s">
        <v>1095</v>
      </c>
      <c r="C244" s="739" t="s">
        <v>1043</v>
      </c>
      <c r="D244" s="650"/>
      <c r="E244" s="650"/>
      <c r="G244" s="650" t="n">
        <v>3500</v>
      </c>
      <c r="I244" s="693"/>
      <c r="J244" s="693"/>
      <c r="K244" s="693"/>
      <c r="L244" s="693"/>
    </row>
    <row r="245" customFormat="false" ht="15" hidden="true" customHeight="true" outlineLevel="1" collapsed="false">
      <c r="A245" s="672"/>
      <c r="B245" s="738"/>
      <c r="C245" s="739"/>
      <c r="D245" s="650"/>
      <c r="E245" s="650"/>
      <c r="I245" s="693"/>
      <c r="J245" s="693"/>
      <c r="K245" s="693"/>
      <c r="L245" s="693"/>
    </row>
    <row r="246" customFormat="false" ht="15" hidden="false" customHeight="true" outlineLevel="0" collapsed="false">
      <c r="A246" s="745" t="s">
        <v>1091</v>
      </c>
      <c r="B246" s="746"/>
      <c r="C246" s="692" t="s">
        <v>12</v>
      </c>
      <c r="D246" s="727"/>
      <c r="E246" s="690"/>
      <c r="F246" s="690"/>
      <c r="G246" s="690" t="s">
        <v>1045</v>
      </c>
      <c r="I246" s="693"/>
      <c r="J246" s="693"/>
      <c r="K246" s="693"/>
      <c r="L246" s="693"/>
    </row>
    <row r="247" customFormat="false" ht="15" hidden="true" customHeight="true" outlineLevel="1" collapsed="false">
      <c r="A247" s="723" t="s">
        <v>1096</v>
      </c>
      <c r="B247" s="723"/>
      <c r="C247" s="692" t="s">
        <v>162</v>
      </c>
      <c r="D247" s="710" t="s">
        <v>980</v>
      </c>
      <c r="E247" s="710" t="s">
        <v>979</v>
      </c>
      <c r="F247" s="710" t="s">
        <v>1097</v>
      </c>
      <c r="G247" s="710" t="s">
        <v>981</v>
      </c>
      <c r="I247" s="693"/>
      <c r="J247" s="693"/>
      <c r="K247" s="693"/>
      <c r="L247" s="693"/>
    </row>
    <row r="248" customFormat="false" ht="15" hidden="true" customHeight="true" outlineLevel="1" collapsed="false">
      <c r="A248" s="747"/>
      <c r="B248" s="748" t="s">
        <v>1098</v>
      </c>
      <c r="C248" s="749" t="s">
        <v>1043</v>
      </c>
      <c r="D248" s="704" t="n">
        <v>200</v>
      </c>
      <c r="E248" s="750" t="n">
        <v>400</v>
      </c>
      <c r="F248" s="750" t="n">
        <v>600</v>
      </c>
      <c r="G248" s="750" t="n">
        <v>3950</v>
      </c>
      <c r="I248" s="693"/>
      <c r="J248" s="693"/>
      <c r="K248" s="693"/>
      <c r="L248" s="693"/>
    </row>
    <row r="249" customFormat="false" ht="15" hidden="true" customHeight="true" outlineLevel="1" collapsed="false">
      <c r="A249" s="751"/>
      <c r="B249" s="748" t="s">
        <v>760</v>
      </c>
      <c r="C249" s="749" t="s">
        <v>1043</v>
      </c>
      <c r="D249" s="704" t="n">
        <v>200</v>
      </c>
      <c r="E249" s="750" t="n">
        <v>300</v>
      </c>
      <c r="F249" s="750" t="n">
        <v>600</v>
      </c>
      <c r="G249" s="750" t="n">
        <v>3650</v>
      </c>
      <c r="I249" s="693"/>
      <c r="J249" s="693"/>
      <c r="K249" s="693"/>
      <c r="L249" s="693"/>
    </row>
    <row r="250" customFormat="false" ht="15" hidden="true" customHeight="true" outlineLevel="1" collapsed="false">
      <c r="A250" s="751"/>
      <c r="B250" s="748" t="s">
        <v>1099</v>
      </c>
      <c r="C250" s="749" t="s">
        <v>1043</v>
      </c>
      <c r="D250" s="704" t="n">
        <v>200</v>
      </c>
      <c r="E250" s="750" t="n">
        <v>200</v>
      </c>
      <c r="F250" s="750" t="n">
        <v>600</v>
      </c>
      <c r="G250" s="750" t="n">
        <v>3950</v>
      </c>
      <c r="I250" s="693"/>
      <c r="J250" s="693"/>
      <c r="K250" s="693"/>
      <c r="L250" s="693"/>
    </row>
    <row r="251" customFormat="false" ht="15" hidden="true" customHeight="true" outlineLevel="1" collapsed="false">
      <c r="A251" s="751"/>
      <c r="B251" s="748" t="s">
        <v>762</v>
      </c>
      <c r="C251" s="749" t="s">
        <v>1043</v>
      </c>
      <c r="D251" s="704" t="n">
        <v>200</v>
      </c>
      <c r="E251" s="750" t="n">
        <v>150</v>
      </c>
      <c r="F251" s="750" t="n">
        <v>600</v>
      </c>
      <c r="G251" s="750" t="n">
        <v>3950</v>
      </c>
      <c r="I251" s="693"/>
      <c r="J251" s="693"/>
      <c r="K251" s="693"/>
      <c r="L251" s="693"/>
    </row>
    <row r="252" customFormat="false" ht="15" hidden="true" customHeight="true" outlineLevel="1" collapsed="false">
      <c r="A252" s="751"/>
      <c r="B252" s="748" t="s">
        <v>1100</v>
      </c>
      <c r="C252" s="749" t="s">
        <v>1043</v>
      </c>
      <c r="D252" s="704" t="n">
        <v>200</v>
      </c>
      <c r="E252" s="750" t="n">
        <v>100</v>
      </c>
      <c r="F252" s="750" t="n">
        <v>600</v>
      </c>
      <c r="G252" s="750" t="n">
        <v>3950</v>
      </c>
      <c r="I252" s="693"/>
      <c r="J252" s="693"/>
      <c r="K252" s="693"/>
      <c r="L252" s="693"/>
    </row>
    <row r="253" customFormat="false" ht="15" hidden="true" customHeight="true" outlineLevel="1" collapsed="false">
      <c r="A253" s="751"/>
      <c r="B253" s="748" t="s">
        <v>1101</v>
      </c>
      <c r="C253" s="749" t="s">
        <v>1043</v>
      </c>
      <c r="D253" s="704" t="n">
        <v>200</v>
      </c>
      <c r="E253" s="750" t="n">
        <v>400</v>
      </c>
      <c r="F253" s="750" t="n">
        <v>600</v>
      </c>
      <c r="G253" s="750" t="n">
        <v>3950</v>
      </c>
      <c r="I253" s="693"/>
      <c r="J253" s="693"/>
      <c r="K253" s="693"/>
      <c r="L253" s="693"/>
    </row>
    <row r="254" customFormat="false" ht="15" hidden="true" customHeight="true" outlineLevel="1" collapsed="false">
      <c r="A254" s="751"/>
      <c r="B254" s="748" t="s">
        <v>1102</v>
      </c>
      <c r="C254" s="749" t="s">
        <v>1043</v>
      </c>
      <c r="D254" s="704" t="n">
        <v>150</v>
      </c>
      <c r="E254" s="750" t="n">
        <v>300</v>
      </c>
      <c r="F254" s="750" t="n">
        <v>600</v>
      </c>
      <c r="G254" s="750" t="n">
        <v>3750</v>
      </c>
      <c r="I254" s="693"/>
      <c r="J254" s="693"/>
      <c r="K254" s="693"/>
      <c r="L254" s="693"/>
    </row>
    <row r="255" customFormat="false" ht="15" hidden="true" customHeight="true" outlineLevel="1" collapsed="false">
      <c r="A255" s="751"/>
      <c r="B255" s="748" t="s">
        <v>1103</v>
      </c>
      <c r="C255" s="749" t="s">
        <v>1043</v>
      </c>
      <c r="D255" s="704" t="n">
        <v>150</v>
      </c>
      <c r="E255" s="750" t="n">
        <v>200</v>
      </c>
      <c r="F255" s="750" t="n">
        <v>600</v>
      </c>
      <c r="G255" s="750" t="n">
        <v>3750</v>
      </c>
      <c r="I255" s="693"/>
      <c r="J255" s="693"/>
      <c r="K255" s="693"/>
      <c r="L255" s="693"/>
    </row>
    <row r="256" customFormat="false" ht="15" hidden="true" customHeight="true" outlineLevel="1" collapsed="false">
      <c r="A256" s="751"/>
      <c r="B256" s="748" t="s">
        <v>1104</v>
      </c>
      <c r="C256" s="749" t="s">
        <v>1043</v>
      </c>
      <c r="D256" s="704" t="n">
        <v>150</v>
      </c>
      <c r="E256" s="750" t="n">
        <v>150</v>
      </c>
      <c r="F256" s="750" t="n">
        <v>600</v>
      </c>
      <c r="G256" s="750" t="n">
        <v>3750</v>
      </c>
      <c r="I256" s="693"/>
      <c r="J256" s="693"/>
      <c r="K256" s="693"/>
      <c r="L256" s="693"/>
    </row>
    <row r="257" customFormat="false" ht="15" hidden="true" customHeight="true" outlineLevel="1" collapsed="false">
      <c r="A257" s="751"/>
      <c r="B257" s="748" t="s">
        <v>1105</v>
      </c>
      <c r="C257" s="749" t="s">
        <v>1043</v>
      </c>
      <c r="D257" s="704" t="n">
        <v>150</v>
      </c>
      <c r="E257" s="750" t="n">
        <v>100</v>
      </c>
      <c r="F257" s="750" t="n">
        <v>600</v>
      </c>
      <c r="G257" s="750" t="n">
        <v>3750</v>
      </c>
      <c r="I257" s="693"/>
      <c r="J257" s="693"/>
      <c r="K257" s="693"/>
      <c r="L257" s="693"/>
    </row>
    <row r="258" customFormat="false" ht="15" hidden="true" customHeight="true" outlineLevel="1" collapsed="false">
      <c r="A258" s="751"/>
      <c r="B258" s="748" t="s">
        <v>1106</v>
      </c>
      <c r="C258" s="749" t="s">
        <v>1043</v>
      </c>
      <c r="D258" s="704" t="n">
        <v>100</v>
      </c>
      <c r="E258" s="750" t="n">
        <v>400</v>
      </c>
      <c r="F258" s="750" t="n">
        <v>600</v>
      </c>
      <c r="G258" s="750" t="n">
        <v>3750</v>
      </c>
      <c r="I258" s="693"/>
      <c r="J258" s="693"/>
      <c r="K258" s="693"/>
      <c r="L258" s="693"/>
    </row>
    <row r="259" customFormat="false" ht="15" hidden="true" customHeight="true" outlineLevel="1" collapsed="false">
      <c r="A259" s="751"/>
      <c r="B259" s="748" t="s">
        <v>1107</v>
      </c>
      <c r="C259" s="749" t="s">
        <v>1043</v>
      </c>
      <c r="D259" s="704" t="n">
        <v>100</v>
      </c>
      <c r="E259" s="750" t="n">
        <v>300</v>
      </c>
      <c r="F259" s="750" t="n">
        <v>600</v>
      </c>
      <c r="G259" s="750" t="n">
        <v>3950</v>
      </c>
      <c r="I259" s="693"/>
      <c r="J259" s="693"/>
      <c r="K259" s="693"/>
      <c r="L259" s="693"/>
    </row>
    <row r="260" customFormat="false" ht="15" hidden="true" customHeight="true" outlineLevel="1" collapsed="false">
      <c r="A260" s="751"/>
      <c r="B260" s="748" t="s">
        <v>1108</v>
      </c>
      <c r="C260" s="749" t="s">
        <v>1043</v>
      </c>
      <c r="D260" s="704" t="n">
        <v>100</v>
      </c>
      <c r="E260" s="750" t="n">
        <v>200</v>
      </c>
      <c r="F260" s="750" t="n">
        <v>600</v>
      </c>
      <c r="G260" s="750" t="n">
        <v>3950</v>
      </c>
      <c r="I260" s="693"/>
      <c r="J260" s="693"/>
      <c r="K260" s="693"/>
      <c r="L260" s="693"/>
    </row>
    <row r="261" customFormat="false" ht="15" hidden="true" customHeight="true" outlineLevel="1" collapsed="false">
      <c r="A261" s="751"/>
      <c r="B261" s="748" t="s">
        <v>1109</v>
      </c>
      <c r="C261" s="749" t="s">
        <v>1043</v>
      </c>
      <c r="D261" s="704" t="n">
        <v>100</v>
      </c>
      <c r="E261" s="750" t="n">
        <v>150</v>
      </c>
      <c r="F261" s="750" t="n">
        <v>600</v>
      </c>
      <c r="G261" s="750" t="n">
        <v>3950</v>
      </c>
      <c r="I261" s="693"/>
      <c r="J261" s="693"/>
      <c r="K261" s="693"/>
      <c r="L261" s="693"/>
    </row>
    <row r="262" customFormat="false" ht="15" hidden="true" customHeight="true" outlineLevel="1" collapsed="false">
      <c r="A262" s="752"/>
      <c r="B262" s="748" t="s">
        <v>1110</v>
      </c>
      <c r="C262" s="749" t="s">
        <v>1043</v>
      </c>
      <c r="D262" s="704" t="n">
        <v>100</v>
      </c>
      <c r="E262" s="750" t="n">
        <v>100</v>
      </c>
      <c r="F262" s="750" t="n">
        <v>600</v>
      </c>
      <c r="G262" s="750" t="n">
        <v>3950</v>
      </c>
      <c r="I262" s="693"/>
      <c r="J262" s="693"/>
      <c r="K262" s="693"/>
      <c r="L262" s="693"/>
    </row>
    <row r="263" customFormat="false" ht="15" hidden="false" customHeight="true" outlineLevel="0" collapsed="false">
      <c r="A263" s="723" t="s">
        <v>1096</v>
      </c>
      <c r="B263" s="723"/>
      <c r="C263" s="692" t="s">
        <v>162</v>
      </c>
      <c r="D263" s="710" t="s">
        <v>980</v>
      </c>
      <c r="E263" s="710" t="s">
        <v>979</v>
      </c>
      <c r="F263" s="710" t="s">
        <v>1097</v>
      </c>
      <c r="G263" s="710" t="s">
        <v>981</v>
      </c>
      <c r="I263" s="693"/>
      <c r="J263" s="693"/>
      <c r="K263" s="693"/>
      <c r="L263" s="693"/>
    </row>
    <row r="264" customFormat="false" ht="15" hidden="true" customHeight="true" outlineLevel="1" collapsed="false">
      <c r="A264" s="753" t="s">
        <v>1111</v>
      </c>
      <c r="B264" s="754"/>
      <c r="C264" s="692" t="s">
        <v>162</v>
      </c>
      <c r="D264" s="710" t="s">
        <v>1112</v>
      </c>
      <c r="E264" s="710"/>
      <c r="F264" s="690"/>
      <c r="G264" s="710" t="s">
        <v>981</v>
      </c>
    </row>
    <row r="265" s="705" customFormat="true" ht="15" hidden="true" customHeight="true" outlineLevel="1" collapsed="false">
      <c r="A265" s="755"/>
      <c r="B265" s="756" t="s">
        <v>727</v>
      </c>
      <c r="C265" s="675" t="s">
        <v>820</v>
      </c>
      <c r="D265" s="677" t="n">
        <v>0</v>
      </c>
      <c r="E265" s="677" t="n">
        <v>0</v>
      </c>
      <c r="F265" s="676" t="n">
        <v>0</v>
      </c>
      <c r="G265" s="677" t="n">
        <v>0</v>
      </c>
      <c r="H265" s="651"/>
      <c r="I265" s="651"/>
      <c r="J265" s="651"/>
      <c r="K265" s="651"/>
      <c r="L265" s="651"/>
      <c r="M265" s="651"/>
      <c r="N265" s="651"/>
      <c r="O265" s="651"/>
      <c r="P265" s="651"/>
      <c r="Q265" s="651"/>
      <c r="R265" s="651"/>
      <c r="S265" s="651"/>
      <c r="T265" s="651"/>
      <c r="U265" s="651"/>
    </row>
    <row r="266" customFormat="false" ht="15" hidden="true" customHeight="true" outlineLevel="1" collapsed="false">
      <c r="A266" s="755"/>
      <c r="B266" s="748" t="s">
        <v>1113</v>
      </c>
      <c r="C266" s="749" t="s">
        <v>820</v>
      </c>
      <c r="D266" s="750" t="n">
        <v>3</v>
      </c>
      <c r="E266" s="750"/>
      <c r="F266" s="704"/>
      <c r="G266" s="750" t="n">
        <v>800</v>
      </c>
    </row>
    <row r="267" customFormat="false" ht="15" hidden="true" customHeight="true" outlineLevel="1" collapsed="false">
      <c r="A267" s="755"/>
      <c r="B267" s="748" t="s">
        <v>1114</v>
      </c>
      <c r="C267" s="749" t="s">
        <v>820</v>
      </c>
      <c r="D267" s="750" t="n">
        <v>3</v>
      </c>
      <c r="E267" s="750"/>
      <c r="F267" s="704"/>
      <c r="G267" s="750" t="n">
        <v>1200</v>
      </c>
    </row>
    <row r="268" customFormat="false" ht="15" hidden="true" customHeight="true" outlineLevel="1" collapsed="false">
      <c r="A268" s="755"/>
      <c r="B268" s="748" t="s">
        <v>1115</v>
      </c>
      <c r="C268" s="749" t="s">
        <v>820</v>
      </c>
      <c r="D268" s="750" t="n">
        <v>3</v>
      </c>
      <c r="E268" s="750"/>
      <c r="F268" s="704"/>
      <c r="G268" s="750" t="n">
        <v>1400</v>
      </c>
    </row>
    <row r="269" customFormat="false" ht="15" hidden="true" customHeight="true" outlineLevel="1" collapsed="false">
      <c r="A269" s="755"/>
      <c r="B269" s="748" t="s">
        <v>725</v>
      </c>
      <c r="C269" s="749" t="s">
        <v>820</v>
      </c>
      <c r="D269" s="750" t="n">
        <v>3.5</v>
      </c>
      <c r="E269" s="750"/>
      <c r="F269" s="704"/>
      <c r="G269" s="750" t="n">
        <v>800</v>
      </c>
    </row>
    <row r="270" customFormat="false" ht="15" hidden="true" customHeight="true" outlineLevel="1" collapsed="false">
      <c r="A270" s="755"/>
      <c r="B270" s="748" t="s">
        <v>722</v>
      </c>
      <c r="C270" s="749" t="s">
        <v>820</v>
      </c>
      <c r="D270" s="750" t="n">
        <v>3.5</v>
      </c>
      <c r="E270" s="750"/>
      <c r="F270" s="704"/>
      <c r="G270" s="750" t="n">
        <v>1200</v>
      </c>
    </row>
    <row r="271" customFormat="false" ht="15" hidden="true" customHeight="true" outlineLevel="1" collapsed="false">
      <c r="A271" s="755"/>
      <c r="B271" s="748" t="s">
        <v>1116</v>
      </c>
      <c r="C271" s="749" t="s">
        <v>820</v>
      </c>
      <c r="D271" s="750" t="n">
        <v>3.5</v>
      </c>
      <c r="E271" s="750"/>
      <c r="F271" s="704"/>
      <c r="G271" s="750" t="n">
        <v>1400</v>
      </c>
    </row>
    <row r="272" customFormat="false" ht="15" hidden="true" customHeight="true" outlineLevel="1" collapsed="false">
      <c r="A272" s="755"/>
      <c r="B272" s="748" t="s">
        <v>1117</v>
      </c>
      <c r="C272" s="749" t="s">
        <v>820</v>
      </c>
      <c r="D272" s="750" t="n">
        <v>3.75</v>
      </c>
      <c r="E272" s="750"/>
      <c r="F272" s="704"/>
      <c r="G272" s="750" t="n">
        <v>800</v>
      </c>
    </row>
    <row r="273" customFormat="false" ht="15" hidden="true" customHeight="true" outlineLevel="1" collapsed="false">
      <c r="A273" s="755"/>
      <c r="B273" s="748" t="s">
        <v>1118</v>
      </c>
      <c r="C273" s="749" t="s">
        <v>820</v>
      </c>
      <c r="D273" s="750" t="n">
        <v>3.75</v>
      </c>
      <c r="E273" s="750"/>
      <c r="F273" s="704"/>
      <c r="G273" s="750" t="n">
        <v>1200</v>
      </c>
    </row>
    <row r="274" customFormat="false" ht="15" hidden="true" customHeight="true" outlineLevel="1" collapsed="false">
      <c r="A274" s="755"/>
      <c r="B274" s="748" t="s">
        <v>1119</v>
      </c>
      <c r="C274" s="749" t="s">
        <v>820</v>
      </c>
      <c r="D274" s="750" t="n">
        <v>3.75</v>
      </c>
      <c r="E274" s="750"/>
      <c r="F274" s="704"/>
      <c r="G274" s="750" t="n">
        <v>1400</v>
      </c>
    </row>
    <row r="275" customFormat="false" ht="15" hidden="true" customHeight="true" outlineLevel="1" collapsed="false">
      <c r="A275" s="755"/>
      <c r="B275" s="748" t="s">
        <v>1120</v>
      </c>
      <c r="C275" s="749" t="s">
        <v>820</v>
      </c>
      <c r="D275" s="750" t="n">
        <v>1.5</v>
      </c>
      <c r="E275" s="750"/>
      <c r="F275" s="704"/>
      <c r="G275" s="750" t="n">
        <v>800</v>
      </c>
    </row>
    <row r="276" customFormat="false" ht="15" hidden="true" customHeight="true" outlineLevel="1" collapsed="false">
      <c r="A276" s="755"/>
      <c r="B276" s="748" t="s">
        <v>1121</v>
      </c>
      <c r="C276" s="749" t="s">
        <v>820</v>
      </c>
      <c r="D276" s="750" t="n">
        <v>1.5</v>
      </c>
      <c r="E276" s="750"/>
      <c r="F276" s="704"/>
      <c r="G276" s="750" t="n">
        <v>1200</v>
      </c>
    </row>
    <row r="277" customFormat="false" ht="15" hidden="true" customHeight="true" outlineLevel="1" collapsed="false">
      <c r="A277" s="755"/>
      <c r="B277" s="748" t="s">
        <v>1122</v>
      </c>
      <c r="C277" s="749" t="s">
        <v>820</v>
      </c>
      <c r="D277" s="750" t="n">
        <v>1.5</v>
      </c>
      <c r="E277" s="750"/>
      <c r="F277" s="704"/>
      <c r="G277" s="750" t="n">
        <v>1400</v>
      </c>
    </row>
    <row r="278" customFormat="false" ht="15" hidden="true" customHeight="true" outlineLevel="1" collapsed="false">
      <c r="A278" s="755"/>
      <c r="B278" s="748"/>
      <c r="C278" s="749"/>
      <c r="D278" s="750"/>
      <c r="E278" s="750"/>
      <c r="F278" s="704"/>
      <c r="G278" s="750"/>
    </row>
    <row r="279" customFormat="false" ht="15" hidden="false" customHeight="true" outlineLevel="0" collapsed="false">
      <c r="A279" s="753" t="s">
        <v>1111</v>
      </c>
      <c r="B279" s="754"/>
      <c r="C279" s="692" t="s">
        <v>162</v>
      </c>
      <c r="D279" s="710" t="s">
        <v>1112</v>
      </c>
      <c r="E279" s="710"/>
      <c r="F279" s="690"/>
      <c r="G279" s="710" t="s">
        <v>981</v>
      </c>
    </row>
    <row r="280" customFormat="false" ht="15" hidden="true" customHeight="true" outlineLevel="1" collapsed="false">
      <c r="A280" s="753" t="s">
        <v>1123</v>
      </c>
      <c r="B280" s="754"/>
      <c r="C280" s="692" t="s">
        <v>162</v>
      </c>
      <c r="D280" s="710"/>
      <c r="E280" s="710"/>
      <c r="F280" s="690"/>
      <c r="G280" s="710" t="s">
        <v>981</v>
      </c>
    </row>
    <row r="281" customFormat="false" ht="15" hidden="true" customHeight="true" outlineLevel="1" collapsed="false">
      <c r="A281" s="751"/>
      <c r="B281" s="757" t="s">
        <v>1124</v>
      </c>
      <c r="C281" s="749" t="s">
        <v>15</v>
      </c>
      <c r="D281" s="750"/>
      <c r="E281" s="750"/>
      <c r="F281" s="704"/>
      <c r="G281" s="750" t="n">
        <v>303</v>
      </c>
    </row>
    <row r="282" customFormat="false" ht="15" hidden="true" customHeight="true" outlineLevel="1" collapsed="false">
      <c r="A282" s="751"/>
      <c r="B282" s="757" t="s">
        <v>1125</v>
      </c>
      <c r="C282" s="749" t="s">
        <v>15</v>
      </c>
      <c r="D282" s="750"/>
      <c r="E282" s="750"/>
      <c r="F282" s="704"/>
      <c r="G282" s="750" t="n">
        <v>355</v>
      </c>
    </row>
    <row r="283" customFormat="false" ht="15" hidden="true" customHeight="true" outlineLevel="1" collapsed="false">
      <c r="A283" s="751"/>
      <c r="B283" s="757" t="s">
        <v>34</v>
      </c>
      <c r="C283" s="749" t="s">
        <v>15</v>
      </c>
      <c r="D283" s="750"/>
      <c r="E283" s="750"/>
      <c r="F283" s="704"/>
      <c r="G283" s="750" t="n">
        <v>287</v>
      </c>
    </row>
    <row r="284" customFormat="false" ht="15" hidden="true" customHeight="true" outlineLevel="1" collapsed="false">
      <c r="A284" s="751"/>
      <c r="B284" s="757" t="s">
        <v>1126</v>
      </c>
      <c r="C284" s="749" t="s">
        <v>15</v>
      </c>
      <c r="D284" s="750"/>
      <c r="E284" s="750"/>
      <c r="F284" s="704"/>
      <c r="G284" s="750" t="n">
        <v>315</v>
      </c>
    </row>
    <row r="285" customFormat="false" ht="15" hidden="true" customHeight="true" outlineLevel="1" collapsed="false">
      <c r="A285" s="751"/>
      <c r="B285" s="757" t="s">
        <v>1127</v>
      </c>
      <c r="C285" s="749" t="s">
        <v>15</v>
      </c>
      <c r="D285" s="750"/>
      <c r="E285" s="750"/>
      <c r="F285" s="704"/>
      <c r="G285" s="750" t="n">
        <v>273</v>
      </c>
    </row>
    <row r="286" customFormat="false" ht="15" hidden="true" customHeight="true" outlineLevel="1" collapsed="false">
      <c r="A286" s="751"/>
      <c r="B286" s="757" t="s">
        <v>1128</v>
      </c>
      <c r="C286" s="749" t="s">
        <v>15</v>
      </c>
      <c r="D286" s="750"/>
      <c r="E286" s="750"/>
      <c r="F286" s="704"/>
      <c r="G286" s="750" t="n">
        <v>315</v>
      </c>
    </row>
    <row r="287" customFormat="false" ht="15" hidden="true" customHeight="true" outlineLevel="1" collapsed="false">
      <c r="A287" s="751"/>
      <c r="B287" s="757" t="s">
        <v>1129</v>
      </c>
      <c r="C287" s="749" t="s">
        <v>15</v>
      </c>
      <c r="D287" s="750"/>
      <c r="E287" s="750"/>
      <c r="F287" s="704"/>
      <c r="G287" s="750" t="n">
        <v>263</v>
      </c>
    </row>
    <row r="288" customFormat="false" ht="15" hidden="true" customHeight="true" outlineLevel="1" collapsed="false">
      <c r="A288" s="751"/>
      <c r="B288" s="757" t="s">
        <v>1130</v>
      </c>
      <c r="C288" s="749" t="s">
        <v>15</v>
      </c>
      <c r="D288" s="750"/>
      <c r="E288" s="750"/>
      <c r="F288" s="704"/>
      <c r="G288" s="750" t="n">
        <v>291</v>
      </c>
    </row>
    <row r="289" customFormat="false" ht="15" hidden="true" customHeight="true" outlineLevel="1" collapsed="false">
      <c r="A289" s="751"/>
      <c r="B289" s="757" t="s">
        <v>1131</v>
      </c>
      <c r="C289" s="749" t="s">
        <v>15</v>
      </c>
      <c r="D289" s="750"/>
      <c r="E289" s="750"/>
      <c r="F289" s="704"/>
      <c r="G289" s="750" t="n">
        <v>250</v>
      </c>
    </row>
    <row r="290" customFormat="false" ht="15" hidden="true" customHeight="true" outlineLevel="1" collapsed="false">
      <c r="A290" s="751"/>
      <c r="B290" s="757" t="s">
        <v>1132</v>
      </c>
      <c r="C290" s="749" t="s">
        <v>15</v>
      </c>
      <c r="D290" s="750"/>
      <c r="E290" s="750"/>
      <c r="F290" s="704"/>
      <c r="G290" s="750" t="n">
        <v>280</v>
      </c>
    </row>
    <row r="291" customFormat="false" ht="15" hidden="true" customHeight="true" outlineLevel="1" collapsed="false">
      <c r="A291" s="751"/>
      <c r="B291" s="757" t="s">
        <v>1133</v>
      </c>
      <c r="C291" s="749" t="s">
        <v>15</v>
      </c>
      <c r="D291" s="750"/>
      <c r="E291" s="750"/>
      <c r="F291" s="704"/>
      <c r="G291" s="750" t="n">
        <v>220</v>
      </c>
    </row>
    <row r="292" customFormat="false" ht="15" hidden="true" customHeight="true" outlineLevel="1" collapsed="false">
      <c r="A292" s="751"/>
      <c r="B292" s="757" t="s">
        <v>1134</v>
      </c>
      <c r="C292" s="749" t="s">
        <v>15</v>
      </c>
      <c r="D292" s="750"/>
      <c r="E292" s="750"/>
      <c r="F292" s="704"/>
      <c r="G292" s="750" t="n">
        <v>250</v>
      </c>
    </row>
    <row r="293" customFormat="false" ht="15" hidden="true" customHeight="true" outlineLevel="1" collapsed="false">
      <c r="A293" s="751"/>
    </row>
    <row r="294" customFormat="false" ht="15" hidden="true" customHeight="true" outlineLevel="1" collapsed="false">
      <c r="A294" s="751"/>
    </row>
    <row r="295" customFormat="false" ht="15" hidden="true" customHeight="true" outlineLevel="1" collapsed="false">
      <c r="A295" s="751"/>
    </row>
    <row r="296" customFormat="false" ht="15" hidden="false" customHeight="true" outlineLevel="0" collapsed="false">
      <c r="A296" s="753" t="s">
        <v>1123</v>
      </c>
      <c r="B296" s="754"/>
      <c r="C296" s="692" t="s">
        <v>162</v>
      </c>
      <c r="D296" s="710"/>
      <c r="E296" s="710"/>
      <c r="F296" s="690"/>
      <c r="G296" s="710" t="s">
        <v>981</v>
      </c>
    </row>
    <row r="297" customFormat="false" ht="15" hidden="true" customHeight="true" outlineLevel="1" collapsed="false">
      <c r="A297" s="758" t="s">
        <v>1135</v>
      </c>
      <c r="B297" s="759"/>
      <c r="C297" s="692" t="s">
        <v>162</v>
      </c>
      <c r="D297" s="760" t="s">
        <v>1136</v>
      </c>
      <c r="E297" s="760" t="s">
        <v>1137</v>
      </c>
      <c r="F297" s="710" t="s">
        <v>1138</v>
      </c>
      <c r="G297" s="710" t="s">
        <v>981</v>
      </c>
    </row>
    <row r="298" customFormat="false" ht="15" hidden="true" customHeight="true" outlineLevel="1" collapsed="false">
      <c r="A298" s="751"/>
      <c r="B298" s="738" t="s">
        <v>1139</v>
      </c>
      <c r="C298" s="761" t="s">
        <v>1043</v>
      </c>
      <c r="D298" s="740"/>
      <c r="E298" s="762" t="n">
        <v>0.05</v>
      </c>
      <c r="F298" s="704"/>
      <c r="G298" s="704" t="n">
        <v>6500</v>
      </c>
    </row>
    <row r="299" customFormat="false" ht="15" hidden="true" customHeight="true" outlineLevel="1" collapsed="false">
      <c r="A299" s="751"/>
      <c r="B299" s="738" t="s">
        <v>1140</v>
      </c>
      <c r="C299" s="761" t="s">
        <v>1043</v>
      </c>
      <c r="D299" s="740"/>
      <c r="E299" s="762" t="n">
        <v>0.05</v>
      </c>
      <c r="F299" s="704"/>
      <c r="G299" s="704" t="n">
        <v>6500</v>
      </c>
    </row>
    <row r="300" customFormat="false" ht="15" hidden="true" customHeight="true" outlineLevel="1" collapsed="false">
      <c r="A300" s="751"/>
      <c r="B300" s="738" t="s">
        <v>1141</v>
      </c>
      <c r="C300" s="761" t="s">
        <v>1043</v>
      </c>
      <c r="D300" s="740"/>
      <c r="E300" s="762" t="n">
        <v>0.05</v>
      </c>
      <c r="F300" s="704"/>
      <c r="G300" s="704" t="n">
        <v>6500</v>
      </c>
    </row>
    <row r="301" customFormat="false" ht="15" hidden="true" customHeight="true" outlineLevel="1" collapsed="false">
      <c r="A301" s="751"/>
      <c r="B301" s="738" t="s">
        <v>1142</v>
      </c>
      <c r="C301" s="761" t="s">
        <v>1043</v>
      </c>
      <c r="D301" s="740"/>
      <c r="E301" s="762" t="n">
        <v>0.05</v>
      </c>
      <c r="F301" s="704"/>
      <c r="G301" s="704" t="n">
        <v>6500</v>
      </c>
    </row>
    <row r="302" customFormat="false" ht="15" hidden="true" customHeight="true" outlineLevel="1" collapsed="false">
      <c r="A302" s="751"/>
      <c r="B302" s="738" t="s">
        <v>1143</v>
      </c>
      <c r="C302" s="761" t="s">
        <v>1043</v>
      </c>
      <c r="D302" s="740"/>
      <c r="E302" s="762" t="n">
        <v>0.04</v>
      </c>
      <c r="F302" s="704"/>
      <c r="G302" s="704" t="n">
        <v>6500</v>
      </c>
    </row>
    <row r="303" customFormat="false" ht="15" hidden="true" customHeight="true" outlineLevel="1" collapsed="false">
      <c r="A303" s="751"/>
      <c r="B303" s="738" t="s">
        <v>514</v>
      </c>
      <c r="C303" s="761" t="s">
        <v>1043</v>
      </c>
      <c r="D303" s="740"/>
      <c r="E303" s="762" t="n">
        <v>0.04</v>
      </c>
      <c r="F303" s="704"/>
      <c r="G303" s="704" t="n">
        <v>6500</v>
      </c>
    </row>
    <row r="304" customFormat="false" ht="15" hidden="true" customHeight="true" outlineLevel="1" collapsed="false">
      <c r="A304" s="751"/>
      <c r="B304" s="738" t="s">
        <v>477</v>
      </c>
      <c r="C304" s="761" t="s">
        <v>1043</v>
      </c>
      <c r="D304" s="740"/>
      <c r="E304" s="762" t="n">
        <v>0.04</v>
      </c>
      <c r="F304" s="704"/>
      <c r="G304" s="704" t="n">
        <v>6500</v>
      </c>
    </row>
    <row r="305" customFormat="false" ht="15" hidden="true" customHeight="true" outlineLevel="1" collapsed="false">
      <c r="A305" s="751"/>
      <c r="B305" s="738" t="s">
        <v>1144</v>
      </c>
      <c r="C305" s="761" t="s">
        <v>1043</v>
      </c>
      <c r="D305" s="740"/>
      <c r="E305" s="762" t="n">
        <v>0.04</v>
      </c>
      <c r="F305" s="704"/>
      <c r="G305" s="704" t="n">
        <v>6500</v>
      </c>
    </row>
    <row r="306" customFormat="false" ht="15" hidden="true" customHeight="true" outlineLevel="1" collapsed="false">
      <c r="A306" s="751"/>
      <c r="B306" s="738" t="s">
        <v>1145</v>
      </c>
      <c r="C306" s="761" t="s">
        <v>1043</v>
      </c>
      <c r="D306" s="740"/>
      <c r="E306" s="762" t="n">
        <v>0.025</v>
      </c>
      <c r="F306" s="704"/>
      <c r="G306" s="704" t="n">
        <v>6500</v>
      </c>
    </row>
    <row r="307" customFormat="false" ht="15" hidden="true" customHeight="true" outlineLevel="1" collapsed="false">
      <c r="A307" s="751"/>
      <c r="B307" s="738" t="s">
        <v>1146</v>
      </c>
      <c r="C307" s="761" t="s">
        <v>1043</v>
      </c>
      <c r="D307" s="740"/>
      <c r="E307" s="762" t="n">
        <v>0.025</v>
      </c>
      <c r="F307" s="704"/>
      <c r="G307" s="704" t="n">
        <v>6500</v>
      </c>
    </row>
    <row r="308" customFormat="false" ht="15" hidden="true" customHeight="true" outlineLevel="1" collapsed="false">
      <c r="A308" s="751"/>
      <c r="B308" s="738" t="s">
        <v>1147</v>
      </c>
      <c r="C308" s="761" t="s">
        <v>1043</v>
      </c>
      <c r="D308" s="740"/>
      <c r="E308" s="762" t="n">
        <v>0.025</v>
      </c>
      <c r="F308" s="704"/>
      <c r="G308" s="704" t="n">
        <v>6500</v>
      </c>
    </row>
    <row r="309" customFormat="false" ht="15" hidden="true" customHeight="true" outlineLevel="1" collapsed="false">
      <c r="A309" s="751"/>
      <c r="B309" s="738" t="s">
        <v>212</v>
      </c>
      <c r="C309" s="761" t="s">
        <v>1043</v>
      </c>
      <c r="D309" s="740"/>
      <c r="E309" s="762" t="n">
        <v>0.025</v>
      </c>
      <c r="F309" s="704" t="n">
        <v>12</v>
      </c>
      <c r="G309" s="704" t="n">
        <v>6500</v>
      </c>
    </row>
    <row r="310" customFormat="false" ht="15" hidden="true" customHeight="true" outlineLevel="1" collapsed="false">
      <c r="A310" s="751"/>
      <c r="B310" s="738" t="s">
        <v>214</v>
      </c>
      <c r="C310" s="761" t="s">
        <v>1043</v>
      </c>
      <c r="D310" s="740"/>
      <c r="E310" s="762" t="n">
        <v>0.05</v>
      </c>
      <c r="F310" s="704" t="n">
        <v>15</v>
      </c>
      <c r="G310" s="704" t="n">
        <v>6500</v>
      </c>
    </row>
    <row r="311" customFormat="false" ht="15" hidden="true" customHeight="true" outlineLevel="1" collapsed="false">
      <c r="A311" s="751"/>
      <c r="B311" s="738"/>
      <c r="C311" s="761"/>
      <c r="D311" s="740"/>
      <c r="E311" s="762"/>
      <c r="F311" s="704"/>
      <c r="G311" s="704"/>
    </row>
    <row r="312" customFormat="false" ht="15" hidden="true" customHeight="true" outlineLevel="1" collapsed="false">
      <c r="A312" s="751"/>
      <c r="B312" s="738"/>
      <c r="C312" s="761"/>
      <c r="D312" s="740"/>
      <c r="E312" s="762"/>
      <c r="F312" s="704"/>
      <c r="G312" s="704"/>
    </row>
    <row r="313" customFormat="false" ht="15" hidden="false" customHeight="true" outlineLevel="0" collapsed="false">
      <c r="A313" s="758" t="s">
        <v>1135</v>
      </c>
      <c r="B313" s="759"/>
      <c r="C313" s="692" t="s">
        <v>162</v>
      </c>
      <c r="D313" s="760" t="s">
        <v>1136</v>
      </c>
      <c r="E313" s="760" t="s">
        <v>1137</v>
      </c>
      <c r="F313" s="710" t="s">
        <v>1138</v>
      </c>
      <c r="G313" s="710" t="s">
        <v>981</v>
      </c>
    </row>
    <row r="314" customFormat="false" ht="15" hidden="true" customHeight="true" outlineLevel="1" collapsed="false">
      <c r="A314" s="758" t="s">
        <v>1148</v>
      </c>
      <c r="B314" s="759"/>
      <c r="C314" s="692" t="s">
        <v>162</v>
      </c>
      <c r="D314" s="760" t="s">
        <v>1136</v>
      </c>
      <c r="E314" s="760" t="s">
        <v>1149</v>
      </c>
      <c r="F314" s="710" t="s">
        <v>1138</v>
      </c>
      <c r="G314" s="710" t="s">
        <v>981</v>
      </c>
    </row>
    <row r="315" customFormat="false" ht="15" hidden="true" customHeight="true" outlineLevel="1" collapsed="false">
      <c r="A315" s="667"/>
      <c r="B315" s="738" t="s">
        <v>1150</v>
      </c>
      <c r="C315" s="761" t="s">
        <v>1043</v>
      </c>
      <c r="D315" s="704"/>
      <c r="E315" s="762"/>
      <c r="F315" s="704"/>
      <c r="G315" s="704" t="n">
        <v>12500</v>
      </c>
    </row>
    <row r="316" customFormat="false" ht="15" hidden="true" customHeight="true" outlineLevel="1" collapsed="false">
      <c r="A316" s="672"/>
      <c r="B316" s="738" t="s">
        <v>1151</v>
      </c>
      <c r="C316" s="761" t="s">
        <v>1043</v>
      </c>
      <c r="D316" s="740"/>
      <c r="E316" s="762"/>
      <c r="F316" s="704"/>
      <c r="G316" s="704" t="n">
        <v>12500</v>
      </c>
    </row>
    <row r="317" customFormat="false" ht="15" hidden="true" customHeight="true" outlineLevel="1" collapsed="false">
      <c r="A317" s="672"/>
      <c r="B317" s="738" t="s">
        <v>1152</v>
      </c>
      <c r="C317" s="761" t="s">
        <v>1043</v>
      </c>
      <c r="D317" s="704"/>
      <c r="E317" s="762"/>
      <c r="F317" s="704"/>
      <c r="G317" s="704" t="n">
        <v>12500</v>
      </c>
    </row>
    <row r="318" customFormat="false" ht="15" hidden="true" customHeight="true" outlineLevel="1" collapsed="false">
      <c r="A318" s="672"/>
      <c r="B318" s="738" t="s">
        <v>284</v>
      </c>
      <c r="C318" s="761" t="s">
        <v>1043</v>
      </c>
      <c r="D318" s="740"/>
      <c r="E318" s="762"/>
      <c r="F318" s="704" t="n">
        <v>17</v>
      </c>
      <c r="G318" s="704" t="n">
        <v>12500</v>
      </c>
    </row>
    <row r="319" customFormat="false" ht="15" hidden="true" customHeight="true" outlineLevel="1" collapsed="false">
      <c r="A319" s="672"/>
      <c r="B319" s="738"/>
      <c r="C319" s="761"/>
      <c r="D319" s="740"/>
      <c r="E319" s="762"/>
      <c r="F319" s="704"/>
      <c r="G319" s="704"/>
    </row>
    <row r="320" customFormat="false" ht="15" hidden="true" customHeight="true" outlineLevel="1" collapsed="false">
      <c r="A320" s="672"/>
      <c r="B320" s="738"/>
      <c r="C320" s="761"/>
      <c r="D320" s="740"/>
      <c r="E320" s="762"/>
      <c r="F320" s="704"/>
      <c r="G320" s="704"/>
    </row>
    <row r="321" customFormat="false" ht="15" hidden="false" customHeight="true" outlineLevel="0" collapsed="false">
      <c r="A321" s="758" t="s">
        <v>1148</v>
      </c>
      <c r="B321" s="759"/>
      <c r="C321" s="692" t="s">
        <v>162</v>
      </c>
      <c r="D321" s="760" t="s">
        <v>1136</v>
      </c>
      <c r="E321" s="760" t="s">
        <v>1149</v>
      </c>
      <c r="F321" s="710" t="s">
        <v>1138</v>
      </c>
      <c r="G321" s="710" t="s">
        <v>981</v>
      </c>
    </row>
    <row r="322" customFormat="false" ht="15" hidden="true" customHeight="true" outlineLevel="1" collapsed="false">
      <c r="A322" s="758" t="s">
        <v>1153</v>
      </c>
      <c r="B322" s="759"/>
      <c r="C322" s="692" t="s">
        <v>162</v>
      </c>
      <c r="D322" s="760" t="s">
        <v>1136</v>
      </c>
      <c r="E322" s="760" t="s">
        <v>1149</v>
      </c>
      <c r="F322" s="710" t="s">
        <v>1138</v>
      </c>
      <c r="G322" s="710" t="s">
        <v>981</v>
      </c>
    </row>
    <row r="323" customFormat="false" ht="15" hidden="true" customHeight="true" outlineLevel="1" collapsed="false">
      <c r="A323" s="667"/>
      <c r="B323" s="738" t="s">
        <v>1154</v>
      </c>
      <c r="C323" s="761" t="s">
        <v>1043</v>
      </c>
      <c r="D323" s="740" t="n">
        <v>0.2</v>
      </c>
      <c r="E323" s="762" t="n">
        <v>0.05</v>
      </c>
      <c r="F323" s="704" t="n">
        <f aca="false">G323/(1/D323/E323)</f>
        <v>90</v>
      </c>
      <c r="G323" s="704" t="n">
        <v>9000</v>
      </c>
    </row>
    <row r="324" customFormat="false" ht="15" hidden="true" customHeight="true" outlineLevel="1" collapsed="false">
      <c r="A324" s="672"/>
      <c r="B324" s="738" t="s">
        <v>1155</v>
      </c>
      <c r="C324" s="761" t="s">
        <v>1043</v>
      </c>
      <c r="D324" s="740" t="n">
        <v>0.18</v>
      </c>
      <c r="E324" s="762" t="n">
        <v>0.05</v>
      </c>
      <c r="F324" s="704" t="n">
        <f aca="false">G324/(1/D324/E324)</f>
        <v>81</v>
      </c>
      <c r="G324" s="704" t="n">
        <v>9000</v>
      </c>
    </row>
    <row r="325" customFormat="false" ht="15" hidden="true" customHeight="true" outlineLevel="1" collapsed="false">
      <c r="A325" s="672"/>
      <c r="B325" s="738" t="s">
        <v>1156</v>
      </c>
      <c r="C325" s="761" t="s">
        <v>1043</v>
      </c>
      <c r="D325" s="740" t="n">
        <v>0.15</v>
      </c>
      <c r="E325" s="762" t="n">
        <v>0.05</v>
      </c>
      <c r="F325" s="704" t="n">
        <f aca="false">G325/(1/D325/E325)</f>
        <v>67.5</v>
      </c>
      <c r="G325" s="704" t="n">
        <v>9000</v>
      </c>
    </row>
    <row r="326" customFormat="false" ht="15" hidden="true" customHeight="true" outlineLevel="1" collapsed="false">
      <c r="A326" s="672"/>
      <c r="B326" s="738" t="s">
        <v>1157</v>
      </c>
      <c r="C326" s="761" t="s">
        <v>1043</v>
      </c>
      <c r="D326" s="740" t="n">
        <v>0.1</v>
      </c>
      <c r="E326" s="762" t="n">
        <v>0.05</v>
      </c>
      <c r="F326" s="704" t="n">
        <f aca="false">G326/(1/D326/E326)</f>
        <v>45</v>
      </c>
      <c r="G326" s="704" t="n">
        <v>9000</v>
      </c>
    </row>
    <row r="327" customFormat="false" ht="15" hidden="true" customHeight="true" outlineLevel="1" collapsed="false">
      <c r="A327" s="672"/>
      <c r="B327" s="738" t="s">
        <v>1158</v>
      </c>
      <c r="C327" s="761" t="s">
        <v>1043</v>
      </c>
      <c r="D327" s="740" t="n">
        <v>0.2</v>
      </c>
      <c r="E327" s="762" t="n">
        <v>0.04</v>
      </c>
      <c r="F327" s="704" t="n">
        <f aca="false">G327/(1/D327/E327)</f>
        <v>72</v>
      </c>
      <c r="G327" s="704" t="n">
        <v>9000</v>
      </c>
    </row>
    <row r="328" customFormat="false" ht="15" hidden="true" customHeight="true" outlineLevel="1" collapsed="false">
      <c r="A328" s="672"/>
      <c r="B328" s="738" t="s">
        <v>1159</v>
      </c>
      <c r="C328" s="761" t="s">
        <v>1043</v>
      </c>
      <c r="D328" s="740" t="n">
        <v>0.18</v>
      </c>
      <c r="E328" s="762" t="n">
        <v>0.04</v>
      </c>
      <c r="F328" s="704" t="n">
        <f aca="false">G328/(1/D328/E328)</f>
        <v>64.8</v>
      </c>
      <c r="G328" s="704" t="n">
        <v>9000</v>
      </c>
    </row>
    <row r="329" customFormat="false" ht="15" hidden="true" customHeight="true" outlineLevel="1" collapsed="false">
      <c r="A329" s="672"/>
      <c r="B329" s="738" t="s">
        <v>1160</v>
      </c>
      <c r="C329" s="761" t="s">
        <v>1043</v>
      </c>
      <c r="D329" s="740" t="n">
        <v>0.15</v>
      </c>
      <c r="E329" s="762" t="n">
        <v>0.04</v>
      </c>
      <c r="F329" s="704" t="n">
        <f aca="false">G329/(1/D329/E329)</f>
        <v>54</v>
      </c>
      <c r="G329" s="704" t="n">
        <v>9000</v>
      </c>
    </row>
    <row r="330" customFormat="false" ht="15" hidden="true" customHeight="true" outlineLevel="1" collapsed="false">
      <c r="A330" s="672"/>
      <c r="B330" s="738" t="s">
        <v>1161</v>
      </c>
      <c r="C330" s="761" t="s">
        <v>1043</v>
      </c>
      <c r="D330" s="740" t="n">
        <v>0.1</v>
      </c>
      <c r="E330" s="762" t="n">
        <v>0.04</v>
      </c>
      <c r="F330" s="704" t="n">
        <f aca="false">G330/(1/D330/E330)</f>
        <v>36</v>
      </c>
      <c r="G330" s="704" t="n">
        <v>9000</v>
      </c>
    </row>
    <row r="331" customFormat="false" ht="15" hidden="true" customHeight="true" outlineLevel="1" collapsed="false">
      <c r="A331" s="672"/>
      <c r="B331" s="738" t="s">
        <v>1162</v>
      </c>
      <c r="C331" s="761" t="s">
        <v>1043</v>
      </c>
      <c r="D331" s="740" t="n">
        <v>0.2</v>
      </c>
      <c r="E331" s="762" t="n">
        <v>0.025</v>
      </c>
      <c r="F331" s="704" t="n">
        <f aca="false">G331/(1/D331/E331)</f>
        <v>45</v>
      </c>
      <c r="G331" s="704" t="n">
        <v>9000</v>
      </c>
    </row>
    <row r="332" customFormat="false" ht="15" hidden="true" customHeight="true" outlineLevel="1" collapsed="false">
      <c r="A332" s="672"/>
      <c r="B332" s="738" t="s">
        <v>1163</v>
      </c>
      <c r="C332" s="761" t="s">
        <v>1043</v>
      </c>
      <c r="D332" s="740" t="n">
        <v>0.18</v>
      </c>
      <c r="E332" s="762" t="n">
        <v>0.025</v>
      </c>
      <c r="F332" s="704" t="n">
        <f aca="false">G332/(1/D332/E332)</f>
        <v>40.5</v>
      </c>
      <c r="G332" s="704" t="n">
        <v>9000</v>
      </c>
    </row>
    <row r="333" customFormat="false" ht="15" hidden="true" customHeight="true" outlineLevel="1" collapsed="false">
      <c r="A333" s="672"/>
      <c r="B333" s="738" t="s">
        <v>1164</v>
      </c>
      <c r="C333" s="761" t="s">
        <v>1043</v>
      </c>
      <c r="D333" s="740" t="n">
        <v>0.15</v>
      </c>
      <c r="E333" s="762" t="n">
        <v>0.025</v>
      </c>
      <c r="F333" s="704" t="n">
        <f aca="false">G333/(1/D333/E333)</f>
        <v>33.75</v>
      </c>
      <c r="G333" s="704" t="n">
        <v>9000</v>
      </c>
    </row>
    <row r="334" customFormat="false" ht="15" hidden="true" customHeight="true" outlineLevel="1" collapsed="false">
      <c r="A334" s="672"/>
      <c r="B334" s="738" t="s">
        <v>1165</v>
      </c>
      <c r="C334" s="761" t="s">
        <v>1043</v>
      </c>
      <c r="D334" s="740" t="n">
        <v>0.1</v>
      </c>
      <c r="E334" s="762" t="n">
        <v>0.025</v>
      </c>
      <c r="F334" s="704" t="n">
        <f aca="false">G334/(1/D334/E334)</f>
        <v>22.5</v>
      </c>
      <c r="G334" s="704" t="n">
        <v>9000</v>
      </c>
    </row>
    <row r="335" customFormat="false" ht="15" hidden="true" customHeight="true" outlineLevel="1" collapsed="false">
      <c r="A335" s="672"/>
      <c r="B335" s="738" t="s">
        <v>1166</v>
      </c>
      <c r="C335" s="761" t="s">
        <v>1043</v>
      </c>
      <c r="D335" s="704" t="n">
        <v>0.05</v>
      </c>
      <c r="E335" s="762" t="n">
        <v>0.05</v>
      </c>
      <c r="F335" s="704" t="n">
        <f aca="false">G335/(1/D335/E335)</f>
        <v>22.5</v>
      </c>
      <c r="G335" s="704" t="n">
        <v>9000</v>
      </c>
    </row>
    <row r="336" customFormat="false" ht="15" hidden="true" customHeight="true" outlineLevel="1" collapsed="false">
      <c r="A336" s="672"/>
      <c r="B336" s="738"/>
      <c r="C336" s="761"/>
      <c r="D336" s="704"/>
      <c r="E336" s="762"/>
      <c r="F336" s="704"/>
      <c r="G336" s="704"/>
    </row>
    <row r="337" customFormat="false" ht="15" hidden="true" customHeight="true" outlineLevel="1" collapsed="false">
      <c r="A337" s="672"/>
      <c r="B337" s="738"/>
      <c r="C337" s="761"/>
      <c r="D337" s="704"/>
      <c r="E337" s="762"/>
      <c r="F337" s="704"/>
      <c r="G337" s="704"/>
    </row>
    <row r="338" customFormat="false" ht="15" hidden="false" customHeight="true" outlineLevel="0" collapsed="false">
      <c r="A338" s="758" t="s">
        <v>1153</v>
      </c>
      <c r="B338" s="759"/>
      <c r="C338" s="692" t="s">
        <v>162</v>
      </c>
      <c r="D338" s="760" t="s">
        <v>1136</v>
      </c>
      <c r="E338" s="760" t="s">
        <v>1149</v>
      </c>
      <c r="F338" s="710" t="s">
        <v>1138</v>
      </c>
      <c r="G338" s="710" t="s">
        <v>981</v>
      </c>
    </row>
    <row r="339" customFormat="false" ht="15" hidden="true" customHeight="true" outlineLevel="1" collapsed="false">
      <c r="A339" s="758" t="s">
        <v>1167</v>
      </c>
      <c r="B339" s="759"/>
      <c r="C339" s="692" t="s">
        <v>162</v>
      </c>
      <c r="D339" s="760" t="s">
        <v>137</v>
      </c>
      <c r="E339" s="760" t="s">
        <v>1149</v>
      </c>
      <c r="F339" s="710" t="s">
        <v>1137</v>
      </c>
      <c r="G339" s="710" t="s">
        <v>981</v>
      </c>
    </row>
    <row r="340" s="705" customFormat="true" ht="15" hidden="true" customHeight="true" outlineLevel="1" collapsed="false">
      <c r="A340" s="734"/>
      <c r="B340" s="738" t="s">
        <v>36</v>
      </c>
      <c r="C340" s="761" t="s">
        <v>1043</v>
      </c>
      <c r="D340" s="763" t="n">
        <v>1</v>
      </c>
      <c r="E340" s="763" t="n">
        <v>1</v>
      </c>
      <c r="F340" s="678" t="n">
        <v>1</v>
      </c>
      <c r="G340" s="678" t="n">
        <v>0</v>
      </c>
      <c r="H340" s="651"/>
      <c r="I340" s="651"/>
      <c r="J340" s="651"/>
      <c r="K340" s="651"/>
      <c r="L340" s="651"/>
      <c r="M340" s="651"/>
      <c r="N340" s="651"/>
      <c r="O340" s="651"/>
      <c r="P340" s="651"/>
      <c r="Q340" s="651"/>
      <c r="R340" s="651"/>
      <c r="S340" s="651"/>
      <c r="T340" s="651"/>
      <c r="U340" s="651"/>
    </row>
    <row r="341" s="705" customFormat="true" ht="15" hidden="true" customHeight="true" outlineLevel="1" collapsed="false">
      <c r="A341" s="737"/>
      <c r="B341" s="738" t="s">
        <v>414</v>
      </c>
      <c r="C341" s="761" t="s">
        <v>1043</v>
      </c>
      <c r="D341" s="740" t="n">
        <v>0.2</v>
      </c>
      <c r="E341" s="740" t="n">
        <v>0.2</v>
      </c>
      <c r="F341" s="704" t="n">
        <f aca="false">D341*E341</f>
        <v>0.04</v>
      </c>
      <c r="G341" s="704" t="n">
        <v>9000</v>
      </c>
      <c r="H341" s="651"/>
      <c r="I341" s="651"/>
      <c r="J341" s="651"/>
      <c r="K341" s="651"/>
      <c r="L341" s="651"/>
      <c r="M341" s="651"/>
      <c r="N341" s="651"/>
      <c r="O341" s="651"/>
      <c r="P341" s="651"/>
      <c r="Q341" s="651"/>
      <c r="R341" s="651"/>
      <c r="S341" s="651"/>
      <c r="T341" s="651"/>
      <c r="U341" s="651"/>
    </row>
    <row r="342" s="705" customFormat="true" ht="15" hidden="true" customHeight="true" outlineLevel="1" collapsed="false">
      <c r="A342" s="737"/>
      <c r="B342" s="738" t="s">
        <v>1168</v>
      </c>
      <c r="C342" s="761" t="s">
        <v>1043</v>
      </c>
      <c r="D342" s="740" t="n">
        <v>0.2</v>
      </c>
      <c r="E342" s="740" t="n">
        <v>0.18</v>
      </c>
      <c r="F342" s="704" t="n">
        <f aca="false">D342*E342</f>
        <v>0.036</v>
      </c>
      <c r="G342" s="704" t="n">
        <v>8500</v>
      </c>
      <c r="H342" s="651"/>
      <c r="I342" s="651"/>
      <c r="J342" s="651"/>
      <c r="K342" s="651"/>
      <c r="L342" s="651"/>
      <c r="M342" s="651"/>
      <c r="N342" s="651"/>
      <c r="O342" s="651"/>
      <c r="P342" s="651"/>
      <c r="Q342" s="651"/>
      <c r="R342" s="651"/>
      <c r="S342" s="651"/>
      <c r="T342" s="651"/>
      <c r="U342" s="651"/>
    </row>
    <row r="343" s="705" customFormat="true" ht="15" hidden="true" customHeight="true" outlineLevel="1" collapsed="false">
      <c r="A343" s="737"/>
      <c r="B343" s="738" t="s">
        <v>412</v>
      </c>
      <c r="C343" s="761" t="s">
        <v>1043</v>
      </c>
      <c r="D343" s="740" t="n">
        <v>0.2</v>
      </c>
      <c r="E343" s="740" t="n">
        <v>0.15</v>
      </c>
      <c r="F343" s="704" t="n">
        <f aca="false">D343*E343</f>
        <v>0.03</v>
      </c>
      <c r="G343" s="704" t="n">
        <v>8500</v>
      </c>
      <c r="H343" s="651"/>
      <c r="I343" s="651"/>
      <c r="J343" s="651"/>
      <c r="K343" s="651"/>
      <c r="L343" s="651"/>
      <c r="M343" s="651"/>
      <c r="N343" s="651"/>
      <c r="O343" s="651"/>
      <c r="P343" s="651"/>
      <c r="Q343" s="651"/>
      <c r="R343" s="651"/>
      <c r="S343" s="651"/>
      <c r="T343" s="651"/>
      <c r="U343" s="651"/>
    </row>
    <row r="344" s="705" customFormat="true" ht="15" hidden="true" customHeight="true" outlineLevel="1" collapsed="false">
      <c r="A344" s="737"/>
      <c r="B344" s="738" t="s">
        <v>1169</v>
      </c>
      <c r="C344" s="761" t="s">
        <v>1043</v>
      </c>
      <c r="D344" s="740" t="n">
        <v>0.2</v>
      </c>
      <c r="E344" s="740" t="n">
        <v>0.1</v>
      </c>
      <c r="F344" s="704" t="n">
        <f aca="false">D344*E344</f>
        <v>0.02</v>
      </c>
      <c r="G344" s="704" t="n">
        <v>8500</v>
      </c>
      <c r="H344" s="651"/>
      <c r="I344" s="651"/>
      <c r="J344" s="651"/>
      <c r="K344" s="651"/>
      <c r="L344" s="651"/>
      <c r="M344" s="651"/>
      <c r="N344" s="651"/>
      <c r="O344" s="651"/>
      <c r="P344" s="651"/>
      <c r="Q344" s="651"/>
      <c r="R344" s="651"/>
      <c r="S344" s="651"/>
      <c r="T344" s="651"/>
      <c r="U344" s="651"/>
    </row>
    <row r="345" s="705" customFormat="true" ht="15" hidden="true" customHeight="true" outlineLevel="1" collapsed="false">
      <c r="A345" s="737"/>
      <c r="B345" s="738" t="s">
        <v>1170</v>
      </c>
      <c r="C345" s="761" t="s">
        <v>1043</v>
      </c>
      <c r="D345" s="740" t="n">
        <v>0.18</v>
      </c>
      <c r="E345" s="740" t="n">
        <v>0.18</v>
      </c>
      <c r="F345" s="704" t="n">
        <f aca="false">D345*E345</f>
        <v>0.0324</v>
      </c>
      <c r="G345" s="704" t="n">
        <v>8500</v>
      </c>
      <c r="H345" s="651"/>
      <c r="I345" s="651"/>
      <c r="J345" s="651"/>
      <c r="K345" s="651"/>
      <c r="L345" s="651"/>
      <c r="M345" s="651"/>
      <c r="N345" s="651"/>
      <c r="O345" s="651"/>
      <c r="P345" s="651"/>
      <c r="Q345" s="651"/>
      <c r="R345" s="651"/>
      <c r="S345" s="651"/>
      <c r="T345" s="651"/>
      <c r="U345" s="651"/>
    </row>
    <row r="346" s="705" customFormat="true" ht="15" hidden="true" customHeight="true" outlineLevel="1" collapsed="false">
      <c r="A346" s="737"/>
      <c r="B346" s="738" t="s">
        <v>1171</v>
      </c>
      <c r="C346" s="761" t="s">
        <v>1043</v>
      </c>
      <c r="D346" s="740" t="n">
        <v>0.18</v>
      </c>
      <c r="E346" s="740" t="n">
        <v>0.15</v>
      </c>
      <c r="F346" s="704" t="n">
        <f aca="false">D346*E346</f>
        <v>0.027</v>
      </c>
      <c r="G346" s="704" t="n">
        <v>8500</v>
      </c>
      <c r="H346" s="651"/>
      <c r="I346" s="651"/>
      <c r="J346" s="651"/>
      <c r="K346" s="651"/>
      <c r="L346" s="651"/>
      <c r="M346" s="651"/>
      <c r="N346" s="651"/>
      <c r="O346" s="651"/>
      <c r="P346" s="651"/>
      <c r="Q346" s="651"/>
      <c r="R346" s="651"/>
      <c r="S346" s="651"/>
      <c r="T346" s="651"/>
      <c r="U346" s="651"/>
    </row>
    <row r="347" s="705" customFormat="true" ht="15" hidden="true" customHeight="true" outlineLevel="1" collapsed="false">
      <c r="A347" s="737"/>
      <c r="B347" s="738" t="s">
        <v>1172</v>
      </c>
      <c r="C347" s="761" t="s">
        <v>1043</v>
      </c>
      <c r="D347" s="740" t="n">
        <v>0.18</v>
      </c>
      <c r="E347" s="740" t="n">
        <v>0.1</v>
      </c>
      <c r="F347" s="704" t="n">
        <f aca="false">D347*E347</f>
        <v>0.018</v>
      </c>
      <c r="G347" s="704" t="n">
        <v>8500</v>
      </c>
      <c r="H347" s="651"/>
      <c r="I347" s="651"/>
      <c r="J347" s="651"/>
      <c r="K347" s="651"/>
      <c r="L347" s="651"/>
      <c r="M347" s="651"/>
      <c r="N347" s="651"/>
      <c r="O347" s="651"/>
      <c r="P347" s="651"/>
      <c r="Q347" s="651"/>
      <c r="R347" s="651"/>
      <c r="S347" s="651"/>
      <c r="T347" s="651"/>
      <c r="U347" s="651"/>
    </row>
    <row r="348" s="705" customFormat="true" ht="15" hidden="true" customHeight="true" outlineLevel="1" collapsed="false">
      <c r="A348" s="737"/>
      <c r="B348" s="738" t="s">
        <v>448</v>
      </c>
      <c r="C348" s="761" t="s">
        <v>1043</v>
      </c>
      <c r="D348" s="740" t="n">
        <v>0.15</v>
      </c>
      <c r="E348" s="740" t="n">
        <v>0.15</v>
      </c>
      <c r="F348" s="704" t="n">
        <f aca="false">D348*E348</f>
        <v>0.0225</v>
      </c>
      <c r="G348" s="704" t="n">
        <v>8500</v>
      </c>
      <c r="H348" s="651"/>
      <c r="I348" s="651"/>
      <c r="J348" s="651"/>
      <c r="K348" s="651"/>
      <c r="L348" s="651"/>
      <c r="M348" s="651"/>
      <c r="N348" s="651"/>
      <c r="O348" s="651"/>
      <c r="P348" s="651"/>
      <c r="Q348" s="651"/>
      <c r="R348" s="651"/>
      <c r="S348" s="651"/>
      <c r="T348" s="651"/>
      <c r="U348" s="651"/>
    </row>
    <row r="349" s="705" customFormat="true" ht="15" hidden="true" customHeight="true" outlineLevel="1" collapsed="false">
      <c r="A349" s="737"/>
      <c r="B349" s="738" t="s">
        <v>447</v>
      </c>
      <c r="C349" s="761" t="s">
        <v>1043</v>
      </c>
      <c r="D349" s="740" t="n">
        <v>0.15</v>
      </c>
      <c r="E349" s="740" t="n">
        <v>0.1</v>
      </c>
      <c r="F349" s="704" t="n">
        <f aca="false">D349*E349</f>
        <v>0.015</v>
      </c>
      <c r="G349" s="704" t="n">
        <v>8500</v>
      </c>
      <c r="H349" s="651"/>
      <c r="I349" s="651"/>
      <c r="J349" s="651"/>
      <c r="K349" s="651"/>
      <c r="L349" s="651"/>
      <c r="M349" s="651"/>
      <c r="N349" s="651"/>
      <c r="O349" s="651"/>
      <c r="P349" s="651"/>
      <c r="Q349" s="651"/>
      <c r="R349" s="651"/>
      <c r="S349" s="651"/>
      <c r="T349" s="651"/>
      <c r="U349" s="651"/>
    </row>
    <row r="350" s="705" customFormat="true" ht="15" hidden="true" customHeight="true" outlineLevel="1" collapsed="false">
      <c r="A350" s="737"/>
      <c r="B350" s="738" t="s">
        <v>1173</v>
      </c>
      <c r="C350" s="761" t="s">
        <v>1043</v>
      </c>
      <c r="D350" s="740" t="n">
        <v>0.1</v>
      </c>
      <c r="E350" s="740" t="n">
        <v>0.1</v>
      </c>
      <c r="F350" s="704" t="n">
        <f aca="false">D350*E350</f>
        <v>0.01</v>
      </c>
      <c r="G350" s="704" t="n">
        <v>8500</v>
      </c>
      <c r="H350" s="651"/>
      <c r="I350" s="651"/>
      <c r="J350" s="651"/>
      <c r="K350" s="651"/>
      <c r="L350" s="651"/>
      <c r="M350" s="651"/>
      <c r="N350" s="651"/>
      <c r="O350" s="651"/>
      <c r="P350" s="651"/>
      <c r="Q350" s="651"/>
      <c r="R350" s="651"/>
      <c r="S350" s="651"/>
      <c r="T350" s="651"/>
      <c r="U350" s="651"/>
    </row>
    <row r="351" s="705" customFormat="true" ht="15" hidden="true" customHeight="true" outlineLevel="1" collapsed="false">
      <c r="A351" s="737"/>
      <c r="B351" s="738" t="s">
        <v>1174</v>
      </c>
      <c r="C351" s="761" t="s">
        <v>1043</v>
      </c>
      <c r="D351" s="740" t="n">
        <v>0.2</v>
      </c>
      <c r="E351" s="740" t="n">
        <v>0.2</v>
      </c>
      <c r="F351" s="704" t="n">
        <f aca="false">D351*E351</f>
        <v>0.04</v>
      </c>
      <c r="G351" s="704" t="n">
        <v>6500</v>
      </c>
      <c r="H351" s="651"/>
      <c r="I351" s="651"/>
      <c r="J351" s="651"/>
      <c r="K351" s="651"/>
      <c r="L351" s="651"/>
      <c r="M351" s="651"/>
      <c r="N351" s="651"/>
      <c r="O351" s="651"/>
      <c r="P351" s="651"/>
      <c r="Q351" s="651"/>
      <c r="R351" s="651"/>
      <c r="S351" s="651"/>
      <c r="T351" s="651"/>
      <c r="U351" s="651"/>
    </row>
    <row r="352" s="705" customFormat="true" ht="15" hidden="true" customHeight="true" outlineLevel="1" collapsed="false">
      <c r="A352" s="737"/>
      <c r="B352" s="738" t="s">
        <v>1175</v>
      </c>
      <c r="C352" s="761" t="s">
        <v>1043</v>
      </c>
      <c r="D352" s="740" t="n">
        <v>0.2</v>
      </c>
      <c r="E352" s="740" t="n">
        <v>0.18</v>
      </c>
      <c r="F352" s="704" t="n">
        <f aca="false">D352*E352</f>
        <v>0.036</v>
      </c>
      <c r="G352" s="704" t="n">
        <v>6500</v>
      </c>
      <c r="H352" s="651"/>
      <c r="I352" s="651"/>
      <c r="J352" s="651"/>
      <c r="K352" s="651"/>
      <c r="L352" s="651"/>
      <c r="M352" s="651"/>
      <c r="N352" s="651"/>
      <c r="O352" s="651"/>
      <c r="P352" s="651"/>
      <c r="Q352" s="651"/>
      <c r="R352" s="651"/>
      <c r="S352" s="651"/>
      <c r="T352" s="651"/>
      <c r="U352" s="651"/>
    </row>
    <row r="353" s="705" customFormat="true" ht="15" hidden="true" customHeight="true" outlineLevel="1" collapsed="false">
      <c r="A353" s="737"/>
      <c r="B353" s="738" t="s">
        <v>588</v>
      </c>
      <c r="C353" s="761" t="s">
        <v>1043</v>
      </c>
      <c r="D353" s="740" t="n">
        <v>0.2</v>
      </c>
      <c r="E353" s="740" t="n">
        <v>0.15</v>
      </c>
      <c r="F353" s="704" t="n">
        <f aca="false">D353*E353</f>
        <v>0.03</v>
      </c>
      <c r="G353" s="704" t="n">
        <v>6500</v>
      </c>
      <c r="H353" s="651"/>
      <c r="I353" s="651"/>
      <c r="J353" s="651"/>
      <c r="K353" s="651"/>
      <c r="L353" s="651"/>
      <c r="M353" s="651"/>
      <c r="N353" s="651"/>
      <c r="O353" s="651"/>
      <c r="P353" s="651"/>
      <c r="Q353" s="651"/>
      <c r="R353" s="651"/>
      <c r="S353" s="651"/>
      <c r="T353" s="651"/>
      <c r="U353" s="651"/>
    </row>
    <row r="354" s="705" customFormat="true" ht="15" hidden="true" customHeight="true" outlineLevel="1" collapsed="false">
      <c r="A354" s="737"/>
      <c r="B354" s="738" t="s">
        <v>595</v>
      </c>
      <c r="C354" s="761" t="s">
        <v>1043</v>
      </c>
      <c r="D354" s="740" t="n">
        <v>0.2</v>
      </c>
      <c r="E354" s="740" t="n">
        <v>0.1</v>
      </c>
      <c r="F354" s="704" t="n">
        <f aca="false">D354*E354</f>
        <v>0.02</v>
      </c>
      <c r="G354" s="704" t="n">
        <v>6500</v>
      </c>
      <c r="H354" s="651"/>
      <c r="I354" s="651"/>
      <c r="J354" s="651"/>
      <c r="K354" s="651"/>
      <c r="L354" s="651"/>
      <c r="M354" s="651"/>
      <c r="N354" s="651"/>
      <c r="O354" s="651"/>
      <c r="P354" s="651"/>
      <c r="Q354" s="651"/>
      <c r="R354" s="651"/>
      <c r="S354" s="651"/>
      <c r="T354" s="651"/>
      <c r="U354" s="651"/>
    </row>
    <row r="355" s="705" customFormat="true" ht="15" hidden="true" customHeight="true" outlineLevel="1" collapsed="false">
      <c r="A355" s="737"/>
      <c r="B355" s="738" t="s">
        <v>1176</v>
      </c>
      <c r="C355" s="761" t="s">
        <v>1043</v>
      </c>
      <c r="D355" s="740" t="n">
        <v>0.18</v>
      </c>
      <c r="E355" s="740" t="n">
        <v>0.18</v>
      </c>
      <c r="F355" s="704" t="n">
        <f aca="false">D355*E355</f>
        <v>0.0324</v>
      </c>
      <c r="G355" s="704" t="n">
        <v>6500</v>
      </c>
      <c r="H355" s="651"/>
      <c r="I355" s="651"/>
      <c r="J355" s="651"/>
      <c r="K355" s="651"/>
      <c r="L355" s="651"/>
      <c r="M355" s="651"/>
      <c r="N355" s="651"/>
      <c r="O355" s="651"/>
      <c r="P355" s="651"/>
      <c r="Q355" s="651"/>
      <c r="R355" s="651"/>
      <c r="S355" s="651"/>
      <c r="T355" s="651"/>
      <c r="U355" s="651"/>
    </row>
    <row r="356" s="705" customFormat="true" ht="15" hidden="true" customHeight="true" outlineLevel="1" collapsed="false">
      <c r="A356" s="737"/>
      <c r="B356" s="738" t="s">
        <v>1177</v>
      </c>
      <c r="C356" s="761" t="s">
        <v>1043</v>
      </c>
      <c r="D356" s="740" t="n">
        <v>0.18</v>
      </c>
      <c r="E356" s="740" t="n">
        <v>0.15</v>
      </c>
      <c r="F356" s="704" t="n">
        <f aca="false">D356*E356</f>
        <v>0.027</v>
      </c>
      <c r="G356" s="704" t="n">
        <v>6500</v>
      </c>
      <c r="H356" s="651"/>
      <c r="I356" s="651"/>
      <c r="J356" s="651"/>
      <c r="K356" s="651"/>
      <c r="L356" s="651"/>
      <c r="M356" s="651"/>
      <c r="N356" s="651"/>
      <c r="O356" s="651"/>
      <c r="P356" s="651"/>
      <c r="Q356" s="651"/>
      <c r="R356" s="651"/>
      <c r="S356" s="651"/>
      <c r="T356" s="651"/>
      <c r="U356" s="651"/>
    </row>
    <row r="357" s="705" customFormat="true" ht="15" hidden="true" customHeight="true" outlineLevel="1" collapsed="false">
      <c r="A357" s="737"/>
      <c r="B357" s="738" t="s">
        <v>1178</v>
      </c>
      <c r="C357" s="761" t="s">
        <v>1043</v>
      </c>
      <c r="D357" s="740" t="n">
        <v>0.18</v>
      </c>
      <c r="E357" s="740" t="n">
        <v>0.1</v>
      </c>
      <c r="F357" s="704" t="n">
        <f aca="false">D357*E357</f>
        <v>0.018</v>
      </c>
      <c r="G357" s="704" t="n">
        <v>6500</v>
      </c>
      <c r="H357" s="651"/>
      <c r="I357" s="651"/>
      <c r="J357" s="651"/>
      <c r="K357" s="651"/>
      <c r="L357" s="651"/>
      <c r="M357" s="651"/>
      <c r="N357" s="651"/>
      <c r="O357" s="651"/>
      <c r="P357" s="651"/>
      <c r="Q357" s="651"/>
      <c r="R357" s="651"/>
      <c r="S357" s="651"/>
      <c r="T357" s="651"/>
      <c r="U357" s="651"/>
    </row>
    <row r="358" s="705" customFormat="true" ht="15" hidden="true" customHeight="true" outlineLevel="1" collapsed="false">
      <c r="A358" s="737"/>
      <c r="B358" s="738" t="s">
        <v>1179</v>
      </c>
      <c r="C358" s="761" t="s">
        <v>1043</v>
      </c>
      <c r="D358" s="740" t="n">
        <v>0.15</v>
      </c>
      <c r="E358" s="740" t="n">
        <v>0.15</v>
      </c>
      <c r="F358" s="704" t="n">
        <f aca="false">D358*E358</f>
        <v>0.0225</v>
      </c>
      <c r="G358" s="704" t="n">
        <v>6500</v>
      </c>
      <c r="H358" s="651"/>
      <c r="I358" s="651"/>
      <c r="J358" s="651"/>
      <c r="K358" s="651"/>
      <c r="L358" s="651"/>
      <c r="M358" s="651"/>
      <c r="N358" s="651"/>
      <c r="O358" s="651"/>
      <c r="P358" s="651"/>
      <c r="Q358" s="651"/>
      <c r="R358" s="651"/>
      <c r="S358" s="651"/>
      <c r="T358" s="651"/>
      <c r="U358" s="651"/>
    </row>
    <row r="359" s="705" customFormat="true" ht="15" hidden="true" customHeight="true" outlineLevel="1" collapsed="false">
      <c r="A359" s="737"/>
      <c r="B359" s="738" t="s">
        <v>456</v>
      </c>
      <c r="C359" s="761" t="s">
        <v>1043</v>
      </c>
      <c r="D359" s="740" t="n">
        <v>0.15</v>
      </c>
      <c r="E359" s="740" t="n">
        <v>0.1</v>
      </c>
      <c r="F359" s="704" t="n">
        <f aca="false">D359*E359</f>
        <v>0.015</v>
      </c>
      <c r="G359" s="704" t="n">
        <v>6500</v>
      </c>
      <c r="H359" s="651"/>
      <c r="I359" s="651"/>
      <c r="J359" s="651"/>
      <c r="K359" s="651"/>
      <c r="L359" s="651"/>
      <c r="M359" s="651"/>
      <c r="N359" s="651"/>
      <c r="O359" s="651"/>
      <c r="P359" s="651"/>
      <c r="Q359" s="651"/>
      <c r="R359" s="651"/>
      <c r="S359" s="651"/>
      <c r="T359" s="651"/>
      <c r="U359" s="651"/>
    </row>
    <row r="360" s="705" customFormat="true" ht="15" hidden="true" customHeight="true" outlineLevel="1" collapsed="false">
      <c r="A360" s="737"/>
      <c r="B360" s="738" t="s">
        <v>1180</v>
      </c>
      <c r="C360" s="761" t="s">
        <v>1043</v>
      </c>
      <c r="D360" s="740" t="n">
        <v>0.1</v>
      </c>
      <c r="E360" s="740" t="n">
        <v>0.1</v>
      </c>
      <c r="F360" s="704" t="n">
        <f aca="false">D360*E360</f>
        <v>0.01</v>
      </c>
      <c r="G360" s="704" t="n">
        <v>6500</v>
      </c>
      <c r="H360" s="651"/>
      <c r="I360" s="651"/>
      <c r="J360" s="651"/>
      <c r="K360" s="651"/>
      <c r="L360" s="651"/>
      <c r="M360" s="651"/>
      <c r="N360" s="651"/>
      <c r="O360" s="651"/>
      <c r="P360" s="651"/>
      <c r="Q360" s="651"/>
      <c r="R360" s="651"/>
      <c r="S360" s="651"/>
      <c r="T360" s="651"/>
      <c r="U360" s="651"/>
    </row>
    <row r="361" customFormat="false" ht="15" hidden="true" customHeight="true" outlineLevel="1" collapsed="false">
      <c r="A361" s="737"/>
      <c r="B361" s="738" t="s">
        <v>1181</v>
      </c>
      <c r="C361" s="739" t="s">
        <v>1043</v>
      </c>
      <c r="D361" s="740" t="n">
        <v>0.27</v>
      </c>
      <c r="E361" s="762" t="n">
        <v>0.24</v>
      </c>
      <c r="F361" s="704" t="n">
        <f aca="false">D361*E361</f>
        <v>0.0648</v>
      </c>
      <c r="G361" s="704" t="n">
        <v>24000</v>
      </c>
    </row>
    <row r="362" customFormat="false" ht="15" hidden="true" customHeight="true" outlineLevel="1" collapsed="false">
      <c r="A362" s="737"/>
      <c r="B362" s="738" t="s">
        <v>1182</v>
      </c>
      <c r="C362" s="739" t="s">
        <v>1043</v>
      </c>
      <c r="D362" s="740" t="n">
        <v>0.27</v>
      </c>
      <c r="E362" s="762" t="n">
        <v>0.2</v>
      </c>
      <c r="F362" s="704" t="n">
        <f aca="false">D362*E362</f>
        <v>0.054</v>
      </c>
      <c r="G362" s="704" t="n">
        <v>24000</v>
      </c>
    </row>
    <row r="363" customFormat="false" ht="15" hidden="true" customHeight="true" outlineLevel="1" collapsed="false">
      <c r="A363" s="737"/>
      <c r="B363" s="738" t="s">
        <v>1183</v>
      </c>
      <c r="C363" s="739" t="s">
        <v>1043</v>
      </c>
      <c r="D363" s="740" t="n">
        <v>0.27</v>
      </c>
      <c r="E363" s="762" t="n">
        <v>0.16</v>
      </c>
      <c r="F363" s="704" t="n">
        <f aca="false">D363*E363</f>
        <v>0.0432</v>
      </c>
      <c r="G363" s="704" t="n">
        <v>24000</v>
      </c>
    </row>
    <row r="364" customFormat="false" ht="15" hidden="true" customHeight="true" outlineLevel="1" collapsed="false">
      <c r="A364" s="737"/>
      <c r="B364" s="738" t="s">
        <v>1184</v>
      </c>
      <c r="C364" s="739" t="s">
        <v>1043</v>
      </c>
      <c r="D364" s="740" t="n">
        <v>0.27</v>
      </c>
      <c r="E364" s="762" t="n">
        <v>0.12</v>
      </c>
      <c r="F364" s="704" t="n">
        <f aca="false">D364*E364</f>
        <v>0.0324</v>
      </c>
      <c r="G364" s="704" t="n">
        <v>24000</v>
      </c>
    </row>
    <row r="365" customFormat="false" ht="15" hidden="true" customHeight="true" outlineLevel="1" collapsed="false">
      <c r="A365" s="737"/>
      <c r="B365" s="738" t="s">
        <v>1185</v>
      </c>
      <c r="C365" s="739" t="s">
        <v>1043</v>
      </c>
      <c r="D365" s="740" t="n">
        <v>0.23</v>
      </c>
      <c r="E365" s="762" t="n">
        <v>0.24</v>
      </c>
      <c r="F365" s="704" t="n">
        <f aca="false">D365*E365</f>
        <v>0.0552</v>
      </c>
      <c r="G365" s="704" t="n">
        <v>24000</v>
      </c>
    </row>
    <row r="366" customFormat="false" ht="15" hidden="true" customHeight="true" outlineLevel="1" collapsed="false">
      <c r="A366" s="737"/>
      <c r="B366" s="738" t="s">
        <v>1186</v>
      </c>
      <c r="C366" s="739" t="s">
        <v>1043</v>
      </c>
      <c r="D366" s="740" t="n">
        <v>0.23</v>
      </c>
      <c r="E366" s="762" t="n">
        <v>0.2</v>
      </c>
      <c r="F366" s="704" t="n">
        <f aca="false">D366*E366</f>
        <v>0.046</v>
      </c>
      <c r="G366" s="704" t="n">
        <v>24000</v>
      </c>
    </row>
    <row r="367" customFormat="false" ht="15" hidden="true" customHeight="true" outlineLevel="1" collapsed="false">
      <c r="A367" s="737"/>
      <c r="B367" s="738" t="s">
        <v>1187</v>
      </c>
      <c r="C367" s="739" t="s">
        <v>1043</v>
      </c>
      <c r="D367" s="740" t="n">
        <v>0.23</v>
      </c>
      <c r="E367" s="762" t="n">
        <v>0.16</v>
      </c>
      <c r="F367" s="704" t="n">
        <f aca="false">D367*E367</f>
        <v>0.0368</v>
      </c>
      <c r="G367" s="704" t="n">
        <v>24000</v>
      </c>
    </row>
    <row r="368" customFormat="false" ht="15" hidden="true" customHeight="true" outlineLevel="1" collapsed="false">
      <c r="A368" s="737"/>
      <c r="B368" s="738" t="s">
        <v>1188</v>
      </c>
      <c r="C368" s="739" t="s">
        <v>1043</v>
      </c>
      <c r="D368" s="740" t="n">
        <v>0.23</v>
      </c>
      <c r="E368" s="762" t="n">
        <v>0.12</v>
      </c>
      <c r="F368" s="704" t="n">
        <f aca="false">D368*E368</f>
        <v>0.0276</v>
      </c>
      <c r="G368" s="704" t="n">
        <v>24000</v>
      </c>
    </row>
    <row r="369" customFormat="false" ht="15" hidden="true" customHeight="true" outlineLevel="1" collapsed="false">
      <c r="A369" s="737"/>
      <c r="B369" s="738" t="s">
        <v>1189</v>
      </c>
      <c r="C369" s="739" t="s">
        <v>1043</v>
      </c>
      <c r="D369" s="740" t="n">
        <v>0.185</v>
      </c>
      <c r="E369" s="762" t="n">
        <v>0.24</v>
      </c>
      <c r="F369" s="704" t="n">
        <f aca="false">D369*E369</f>
        <v>0.0444</v>
      </c>
      <c r="G369" s="704" t="n">
        <v>24000</v>
      </c>
    </row>
    <row r="370" customFormat="false" ht="15" hidden="true" customHeight="true" outlineLevel="1" collapsed="false">
      <c r="A370" s="737"/>
      <c r="B370" s="738" t="s">
        <v>1190</v>
      </c>
      <c r="C370" s="739" t="s">
        <v>1043</v>
      </c>
      <c r="D370" s="740" t="n">
        <v>0.185</v>
      </c>
      <c r="E370" s="762" t="n">
        <v>0.2</v>
      </c>
      <c r="F370" s="704" t="n">
        <f aca="false">D370*E370</f>
        <v>0.037</v>
      </c>
      <c r="G370" s="704" t="n">
        <v>24000</v>
      </c>
    </row>
    <row r="371" customFormat="false" ht="15" hidden="true" customHeight="true" outlineLevel="1" collapsed="false">
      <c r="A371" s="737"/>
      <c r="B371" s="738" t="s">
        <v>1191</v>
      </c>
      <c r="C371" s="739" t="s">
        <v>1043</v>
      </c>
      <c r="D371" s="740" t="n">
        <v>0.185</v>
      </c>
      <c r="E371" s="762" t="n">
        <v>0.16</v>
      </c>
      <c r="F371" s="704" t="n">
        <f aca="false">D371*E371</f>
        <v>0.0296</v>
      </c>
      <c r="G371" s="704" t="n">
        <v>24000</v>
      </c>
    </row>
    <row r="372" customFormat="false" ht="15" hidden="true" customHeight="true" outlineLevel="1" collapsed="false">
      <c r="A372" s="737"/>
      <c r="B372" s="738" t="s">
        <v>1192</v>
      </c>
      <c r="C372" s="739" t="s">
        <v>1043</v>
      </c>
      <c r="D372" s="740" t="n">
        <v>0.185</v>
      </c>
      <c r="E372" s="762" t="n">
        <v>0.12</v>
      </c>
      <c r="F372" s="704" t="n">
        <f aca="false">D372*E372</f>
        <v>0.0222</v>
      </c>
      <c r="G372" s="704" t="n">
        <v>24000</v>
      </c>
    </row>
    <row r="373" customFormat="false" ht="15" hidden="true" customHeight="true" outlineLevel="1" collapsed="false">
      <c r="A373" s="737"/>
      <c r="B373" s="738" t="s">
        <v>1193</v>
      </c>
      <c r="C373" s="739" t="s">
        <v>1043</v>
      </c>
      <c r="D373" s="740" t="n">
        <v>0.18</v>
      </c>
      <c r="E373" s="762" t="n">
        <v>0.24</v>
      </c>
      <c r="F373" s="704" t="n">
        <f aca="false">D373*E373</f>
        <v>0.0432</v>
      </c>
      <c r="G373" s="704" t="n">
        <v>24000</v>
      </c>
    </row>
    <row r="374" customFormat="false" ht="15" hidden="true" customHeight="true" outlineLevel="1" collapsed="false">
      <c r="A374" s="737"/>
      <c r="B374" s="738" t="s">
        <v>1194</v>
      </c>
      <c r="C374" s="739" t="s">
        <v>1043</v>
      </c>
      <c r="D374" s="740" t="n">
        <v>0.18</v>
      </c>
      <c r="E374" s="762" t="n">
        <v>0.2</v>
      </c>
      <c r="F374" s="704" t="n">
        <f aca="false">D374*E374</f>
        <v>0.036</v>
      </c>
      <c r="G374" s="704" t="n">
        <v>24000</v>
      </c>
    </row>
    <row r="375" customFormat="false" ht="15" hidden="true" customHeight="true" outlineLevel="1" collapsed="false">
      <c r="A375" s="737"/>
      <c r="B375" s="738" t="s">
        <v>1195</v>
      </c>
      <c r="C375" s="739" t="s">
        <v>1043</v>
      </c>
      <c r="D375" s="740" t="n">
        <v>0.18</v>
      </c>
      <c r="E375" s="762" t="n">
        <v>0.16</v>
      </c>
      <c r="F375" s="704" t="n">
        <f aca="false">D375*E375</f>
        <v>0.0288</v>
      </c>
      <c r="G375" s="704" t="n">
        <v>24000</v>
      </c>
    </row>
    <row r="376" customFormat="false" ht="15" hidden="true" customHeight="true" outlineLevel="1" collapsed="false">
      <c r="A376" s="737"/>
      <c r="B376" s="738" t="s">
        <v>1196</v>
      </c>
      <c r="C376" s="739" t="s">
        <v>1043</v>
      </c>
      <c r="D376" s="740" t="n">
        <v>0.18</v>
      </c>
      <c r="E376" s="762" t="n">
        <v>0.12</v>
      </c>
      <c r="F376" s="704" t="n">
        <f aca="false">D376*E376</f>
        <v>0.0216</v>
      </c>
      <c r="G376" s="704" t="n">
        <v>24000</v>
      </c>
    </row>
    <row r="377" customFormat="false" ht="15" hidden="true" customHeight="true" outlineLevel="1" collapsed="false">
      <c r="A377" s="737"/>
      <c r="B377" s="738" t="s">
        <v>1197</v>
      </c>
      <c r="C377" s="739" t="s">
        <v>1043</v>
      </c>
      <c r="D377" s="740" t="n">
        <v>0.16</v>
      </c>
      <c r="E377" s="762" t="n">
        <v>0.24</v>
      </c>
      <c r="F377" s="704" t="n">
        <f aca="false">D377*E377</f>
        <v>0.0384</v>
      </c>
      <c r="G377" s="704" t="n">
        <v>24000</v>
      </c>
    </row>
    <row r="378" customFormat="false" ht="15" hidden="true" customHeight="true" outlineLevel="1" collapsed="false">
      <c r="A378" s="737"/>
      <c r="B378" s="738" t="s">
        <v>1198</v>
      </c>
      <c r="C378" s="739" t="s">
        <v>1043</v>
      </c>
      <c r="D378" s="740" t="n">
        <v>0.16</v>
      </c>
      <c r="E378" s="762" t="n">
        <v>0.2</v>
      </c>
      <c r="F378" s="704" t="n">
        <f aca="false">D378*E378</f>
        <v>0.032</v>
      </c>
      <c r="G378" s="704" t="n">
        <v>24000</v>
      </c>
    </row>
    <row r="379" customFormat="false" ht="15" hidden="true" customHeight="true" outlineLevel="1" collapsed="false">
      <c r="A379" s="737"/>
      <c r="B379" s="738" t="s">
        <v>1199</v>
      </c>
      <c r="C379" s="739" t="s">
        <v>1043</v>
      </c>
      <c r="D379" s="740" t="n">
        <v>0.16</v>
      </c>
      <c r="E379" s="762" t="n">
        <v>0.16</v>
      </c>
      <c r="F379" s="704" t="n">
        <f aca="false">D379*E379</f>
        <v>0.0256</v>
      </c>
      <c r="G379" s="704" t="n">
        <v>24000</v>
      </c>
    </row>
    <row r="380" customFormat="false" ht="15" hidden="true" customHeight="true" outlineLevel="1" collapsed="false">
      <c r="A380" s="737"/>
      <c r="B380" s="738" t="s">
        <v>1200</v>
      </c>
      <c r="C380" s="739" t="s">
        <v>1043</v>
      </c>
      <c r="D380" s="740" t="n">
        <v>0.16</v>
      </c>
      <c r="E380" s="762" t="n">
        <v>0.12</v>
      </c>
      <c r="F380" s="704" t="n">
        <f aca="false">D380*E380</f>
        <v>0.0192</v>
      </c>
      <c r="G380" s="704" t="n">
        <v>24000</v>
      </c>
    </row>
    <row r="381" customFormat="false" ht="15" hidden="true" customHeight="true" outlineLevel="1" collapsed="false">
      <c r="A381" s="737"/>
      <c r="B381" s="738" t="s">
        <v>1201</v>
      </c>
      <c r="C381" s="739" t="s">
        <v>1043</v>
      </c>
      <c r="D381" s="740" t="n">
        <v>0.145</v>
      </c>
      <c r="E381" s="762" t="n">
        <v>0.24</v>
      </c>
      <c r="F381" s="704" t="n">
        <f aca="false">D381*E381</f>
        <v>0.0348</v>
      </c>
      <c r="G381" s="704" t="n">
        <v>24000</v>
      </c>
    </row>
    <row r="382" customFormat="false" ht="15" hidden="true" customHeight="true" outlineLevel="1" collapsed="false">
      <c r="A382" s="737"/>
      <c r="B382" s="738" t="s">
        <v>1202</v>
      </c>
      <c r="C382" s="739" t="s">
        <v>1043</v>
      </c>
      <c r="D382" s="740" t="n">
        <v>0.145</v>
      </c>
      <c r="E382" s="762" t="n">
        <v>0.2</v>
      </c>
      <c r="F382" s="704" t="n">
        <f aca="false">D382*E382</f>
        <v>0.029</v>
      </c>
      <c r="G382" s="704" t="n">
        <v>24000</v>
      </c>
    </row>
    <row r="383" customFormat="false" ht="15" hidden="true" customHeight="true" outlineLevel="1" collapsed="false">
      <c r="A383" s="737"/>
      <c r="B383" s="738" t="s">
        <v>1203</v>
      </c>
      <c r="C383" s="739" t="s">
        <v>1043</v>
      </c>
      <c r="D383" s="740" t="n">
        <v>0.145</v>
      </c>
      <c r="E383" s="762" t="n">
        <v>0.16</v>
      </c>
      <c r="F383" s="704" t="n">
        <f aca="false">D383*E383</f>
        <v>0.0232</v>
      </c>
      <c r="G383" s="704" t="n">
        <v>24000</v>
      </c>
    </row>
    <row r="384" customFormat="false" ht="15" hidden="true" customHeight="true" outlineLevel="1" collapsed="false">
      <c r="A384" s="737"/>
      <c r="B384" s="738" t="s">
        <v>1204</v>
      </c>
      <c r="C384" s="739" t="s">
        <v>1043</v>
      </c>
      <c r="D384" s="740" t="n">
        <v>0.145</v>
      </c>
      <c r="E384" s="762" t="n">
        <v>0.12</v>
      </c>
      <c r="F384" s="704" t="n">
        <f aca="false">D384*E384</f>
        <v>0.0174</v>
      </c>
      <c r="G384" s="704" t="n">
        <v>24000</v>
      </c>
    </row>
    <row r="385" customFormat="false" ht="15" hidden="true" customHeight="true" outlineLevel="1" collapsed="false">
      <c r="A385" s="737"/>
      <c r="B385" s="738" t="s">
        <v>381</v>
      </c>
      <c r="C385" s="739" t="s">
        <v>1043</v>
      </c>
      <c r="D385" s="740" t="n">
        <v>0.14</v>
      </c>
      <c r="E385" s="762" t="n">
        <v>0.24</v>
      </c>
      <c r="F385" s="704" t="n">
        <f aca="false">D385*E385</f>
        <v>0.0336</v>
      </c>
      <c r="G385" s="704" t="n">
        <v>24000</v>
      </c>
    </row>
    <row r="386" customFormat="false" ht="15" hidden="true" customHeight="true" outlineLevel="1" collapsed="false">
      <c r="A386" s="737"/>
      <c r="B386" s="738" t="s">
        <v>1205</v>
      </c>
      <c r="C386" s="739" t="s">
        <v>1043</v>
      </c>
      <c r="D386" s="740" t="n">
        <v>0.14</v>
      </c>
      <c r="E386" s="762" t="n">
        <v>0.2</v>
      </c>
      <c r="F386" s="704" t="n">
        <f aca="false">D386*E386</f>
        <v>0.028</v>
      </c>
      <c r="G386" s="704" t="n">
        <v>24000</v>
      </c>
    </row>
    <row r="387" customFormat="false" ht="15" hidden="true" customHeight="true" outlineLevel="1" collapsed="false">
      <c r="A387" s="737"/>
      <c r="B387" s="738" t="s">
        <v>1206</v>
      </c>
      <c r="C387" s="739" t="s">
        <v>1043</v>
      </c>
      <c r="D387" s="740" t="n">
        <v>0.14</v>
      </c>
      <c r="E387" s="762" t="n">
        <v>0.16</v>
      </c>
      <c r="F387" s="704" t="n">
        <f aca="false">D387*E387</f>
        <v>0.0224</v>
      </c>
      <c r="G387" s="704" t="n">
        <v>24000</v>
      </c>
    </row>
    <row r="388" customFormat="false" ht="15" hidden="true" customHeight="true" outlineLevel="1" collapsed="false">
      <c r="A388" s="737"/>
      <c r="B388" s="738" t="s">
        <v>1207</v>
      </c>
      <c r="C388" s="739" t="s">
        <v>1043</v>
      </c>
      <c r="D388" s="740" t="n">
        <v>0.14</v>
      </c>
      <c r="E388" s="762" t="n">
        <v>0.12</v>
      </c>
      <c r="F388" s="704" t="n">
        <f aca="false">D388*E388</f>
        <v>0.0168</v>
      </c>
      <c r="G388" s="704" t="n">
        <v>24000</v>
      </c>
    </row>
    <row r="389" customFormat="false" ht="15" hidden="true" customHeight="true" outlineLevel="1" collapsed="false">
      <c r="A389" s="737"/>
      <c r="B389" s="738" t="s">
        <v>379</v>
      </c>
      <c r="C389" s="739" t="s">
        <v>1043</v>
      </c>
      <c r="D389" s="740" t="n">
        <v>0.14</v>
      </c>
      <c r="E389" s="762" t="n">
        <v>0.24</v>
      </c>
      <c r="F389" s="704" t="n">
        <f aca="false">D389*E389</f>
        <v>0.0336</v>
      </c>
      <c r="G389" s="704" t="n">
        <v>24000</v>
      </c>
    </row>
    <row r="390" customFormat="false" ht="15" hidden="true" customHeight="true" outlineLevel="1" collapsed="false">
      <c r="A390" s="737"/>
      <c r="B390" s="738" t="s">
        <v>1208</v>
      </c>
      <c r="C390" s="739" t="s">
        <v>1043</v>
      </c>
      <c r="D390" s="740" t="n">
        <v>0.14</v>
      </c>
      <c r="E390" s="762" t="n">
        <v>0.2</v>
      </c>
      <c r="F390" s="704" t="n">
        <f aca="false">D390*E390</f>
        <v>0.028</v>
      </c>
      <c r="G390" s="704" t="n">
        <v>24000</v>
      </c>
    </row>
    <row r="391" customFormat="false" ht="15" hidden="true" customHeight="true" outlineLevel="1" collapsed="false">
      <c r="A391" s="737"/>
      <c r="B391" s="738" t="s">
        <v>1209</v>
      </c>
      <c r="C391" s="739" t="s">
        <v>1043</v>
      </c>
      <c r="D391" s="740" t="n">
        <v>0.14</v>
      </c>
      <c r="E391" s="762" t="n">
        <v>0.16</v>
      </c>
      <c r="F391" s="704" t="n">
        <f aca="false">D391*E391</f>
        <v>0.0224</v>
      </c>
      <c r="G391" s="704" t="n">
        <v>24000</v>
      </c>
    </row>
    <row r="392" customFormat="false" ht="15" hidden="true" customHeight="true" outlineLevel="1" collapsed="false">
      <c r="A392" s="737"/>
      <c r="B392" s="738" t="s">
        <v>1210</v>
      </c>
      <c r="C392" s="739" t="s">
        <v>1043</v>
      </c>
      <c r="D392" s="740" t="n">
        <v>0.14</v>
      </c>
      <c r="E392" s="762" t="n">
        <v>0.12</v>
      </c>
      <c r="F392" s="704" t="n">
        <f aca="false">D392*E392</f>
        <v>0.0168</v>
      </c>
      <c r="G392" s="704" t="n">
        <v>24000</v>
      </c>
    </row>
    <row r="393" customFormat="false" ht="15" hidden="true" customHeight="true" outlineLevel="1" collapsed="false">
      <c r="A393" s="737"/>
      <c r="B393" s="738" t="s">
        <v>1211</v>
      </c>
      <c r="C393" s="739" t="s">
        <v>1043</v>
      </c>
      <c r="D393" s="740" t="n">
        <v>0.14</v>
      </c>
      <c r="E393" s="762" t="n">
        <v>0.24</v>
      </c>
      <c r="F393" s="704" t="n">
        <f aca="false">D393*E393</f>
        <v>0.0336</v>
      </c>
      <c r="G393" s="704" t="n">
        <v>35000</v>
      </c>
    </row>
    <row r="394" customFormat="false" ht="15" hidden="true" customHeight="true" outlineLevel="1" collapsed="false">
      <c r="A394" s="737"/>
      <c r="B394" s="738" t="s">
        <v>1212</v>
      </c>
      <c r="C394" s="739" t="s">
        <v>1043</v>
      </c>
      <c r="D394" s="740" t="n">
        <v>0.14</v>
      </c>
      <c r="E394" s="762" t="n">
        <v>0.2</v>
      </c>
      <c r="F394" s="704" t="n">
        <f aca="false">D394*E394</f>
        <v>0.028</v>
      </c>
      <c r="G394" s="704" t="n">
        <v>35000</v>
      </c>
    </row>
    <row r="395" customFormat="false" ht="15" hidden="true" customHeight="true" outlineLevel="1" collapsed="false">
      <c r="A395" s="737"/>
      <c r="B395" s="738" t="s">
        <v>1213</v>
      </c>
      <c r="C395" s="739" t="s">
        <v>1043</v>
      </c>
      <c r="D395" s="740" t="n">
        <v>0.14</v>
      </c>
      <c r="E395" s="762" t="n">
        <v>0.16</v>
      </c>
      <c r="F395" s="704" t="n">
        <f aca="false">D395*E395</f>
        <v>0.0224</v>
      </c>
      <c r="G395" s="704" t="n">
        <v>35000</v>
      </c>
    </row>
    <row r="396" customFormat="false" ht="15" hidden="true" customHeight="true" outlineLevel="1" collapsed="false">
      <c r="A396" s="737"/>
      <c r="B396" s="738" t="s">
        <v>1214</v>
      </c>
      <c r="C396" s="739" t="s">
        <v>1043</v>
      </c>
      <c r="D396" s="740" t="n">
        <v>0.14</v>
      </c>
      <c r="E396" s="762" t="n">
        <v>0.12</v>
      </c>
      <c r="F396" s="704" t="n">
        <f aca="false">D396*E396</f>
        <v>0.0168</v>
      </c>
      <c r="G396" s="704" t="n">
        <v>35000</v>
      </c>
    </row>
    <row r="397" customFormat="false" ht="15" hidden="true" customHeight="true" outlineLevel="1" collapsed="false">
      <c r="A397" s="737"/>
      <c r="B397" s="738" t="s">
        <v>1215</v>
      </c>
      <c r="C397" s="761" t="s">
        <v>1043</v>
      </c>
      <c r="D397" s="764" t="n">
        <v>0.8</v>
      </c>
      <c r="E397" s="764" t="n">
        <v>0.1</v>
      </c>
      <c r="F397" s="704" t="n">
        <f aca="false">D397*E397</f>
        <v>0.08</v>
      </c>
      <c r="G397" s="764" t="n">
        <v>11000</v>
      </c>
    </row>
    <row r="398" customFormat="false" ht="15" hidden="true" customHeight="true" outlineLevel="1" collapsed="false">
      <c r="A398" s="737"/>
      <c r="B398" s="738" t="s">
        <v>1216</v>
      </c>
      <c r="C398" s="761" t="s">
        <v>1043</v>
      </c>
      <c r="D398" s="764" t="n">
        <v>0.8</v>
      </c>
      <c r="E398" s="764" t="n">
        <v>0.15</v>
      </c>
      <c r="F398" s="704" t="n">
        <f aca="false">D398*E398</f>
        <v>0.12</v>
      </c>
      <c r="G398" s="764" t="n">
        <v>11000</v>
      </c>
    </row>
    <row r="399" customFormat="false" ht="15" hidden="true" customHeight="true" outlineLevel="1" collapsed="false">
      <c r="A399" s="737"/>
      <c r="B399" s="738" t="s">
        <v>1217</v>
      </c>
      <c r="C399" s="761" t="s">
        <v>1043</v>
      </c>
      <c r="D399" s="764" t="n">
        <v>0.1</v>
      </c>
      <c r="E399" s="764" t="n">
        <v>0.1</v>
      </c>
      <c r="F399" s="704" t="n">
        <f aca="false">D399*E399</f>
        <v>0.01</v>
      </c>
      <c r="G399" s="764" t="n">
        <v>11000</v>
      </c>
    </row>
    <row r="400" customFormat="false" ht="15" hidden="true" customHeight="true" outlineLevel="1" collapsed="false">
      <c r="A400" s="737"/>
      <c r="B400" s="738" t="s">
        <v>1218</v>
      </c>
      <c r="C400" s="761" t="s">
        <v>1043</v>
      </c>
      <c r="D400" s="764" t="n">
        <v>0.1</v>
      </c>
      <c r="E400" s="764" t="n">
        <v>0.15</v>
      </c>
      <c r="F400" s="704" t="n">
        <f aca="false">D400*E400</f>
        <v>0.015</v>
      </c>
      <c r="G400" s="764" t="n">
        <v>11000</v>
      </c>
    </row>
    <row r="401" customFormat="false" ht="15" hidden="true" customHeight="true" outlineLevel="1" collapsed="false">
      <c r="A401" s="737"/>
      <c r="B401" s="738" t="s">
        <v>1219</v>
      </c>
      <c r="C401" s="761" t="s">
        <v>1043</v>
      </c>
      <c r="D401" s="764" t="n">
        <v>0.14</v>
      </c>
      <c r="E401" s="764" t="n">
        <v>0.12</v>
      </c>
      <c r="F401" s="704" t="n">
        <f aca="false">D401*E401</f>
        <v>0.0168</v>
      </c>
      <c r="G401" s="764" t="n">
        <v>11000</v>
      </c>
    </row>
    <row r="402" customFormat="false" ht="15" hidden="true" customHeight="true" outlineLevel="1" collapsed="false">
      <c r="A402" s="737"/>
      <c r="B402" s="738" t="s">
        <v>1220</v>
      </c>
      <c r="C402" s="761" t="s">
        <v>1043</v>
      </c>
      <c r="D402" s="764" t="n">
        <v>0.14</v>
      </c>
      <c r="E402" s="764" t="n">
        <v>0.14</v>
      </c>
      <c r="F402" s="704" t="n">
        <f aca="false">D402*E402</f>
        <v>0.0196</v>
      </c>
      <c r="G402" s="764" t="n">
        <v>11000</v>
      </c>
    </row>
    <row r="403" customFormat="false" ht="15" hidden="true" customHeight="true" outlineLevel="1" collapsed="false">
      <c r="A403" s="737"/>
      <c r="B403" s="738" t="s">
        <v>1221</v>
      </c>
      <c r="C403" s="761" t="s">
        <v>1043</v>
      </c>
      <c r="D403" s="764" t="n">
        <v>0.14</v>
      </c>
      <c r="E403" s="764" t="n">
        <v>0.19</v>
      </c>
      <c r="F403" s="704" t="n">
        <f aca="false">D403*E403</f>
        <v>0.0266</v>
      </c>
      <c r="G403" s="764" t="n">
        <v>11000</v>
      </c>
    </row>
    <row r="404" customFormat="false" ht="15" hidden="true" customHeight="true" outlineLevel="1" collapsed="false">
      <c r="A404" s="737"/>
      <c r="B404" s="738" t="s">
        <v>1222</v>
      </c>
      <c r="C404" s="761" t="s">
        <v>1043</v>
      </c>
      <c r="D404" s="764" t="n">
        <v>0.15</v>
      </c>
      <c r="E404" s="764" t="n">
        <v>0.1</v>
      </c>
      <c r="F404" s="704" t="n">
        <f aca="false">D404*E404</f>
        <v>0.015</v>
      </c>
      <c r="G404" s="764" t="n">
        <v>11200</v>
      </c>
    </row>
    <row r="405" customFormat="false" ht="15" hidden="true" customHeight="true" outlineLevel="1" collapsed="false">
      <c r="A405" s="737"/>
      <c r="B405" s="738" t="s">
        <v>1223</v>
      </c>
      <c r="C405" s="761" t="s">
        <v>1043</v>
      </c>
      <c r="D405" s="764" t="n">
        <v>0.15</v>
      </c>
      <c r="E405" s="764" t="n">
        <v>0.15</v>
      </c>
      <c r="F405" s="704" t="n">
        <f aca="false">D405*E405</f>
        <v>0.0225</v>
      </c>
      <c r="G405" s="764" t="n">
        <v>11200</v>
      </c>
    </row>
    <row r="406" customFormat="false" ht="15" hidden="true" customHeight="true" outlineLevel="1" collapsed="false">
      <c r="A406" s="737"/>
      <c r="B406" s="738" t="s">
        <v>1224</v>
      </c>
      <c r="C406" s="761" t="s">
        <v>1043</v>
      </c>
      <c r="D406" s="764" t="n">
        <v>0.15</v>
      </c>
      <c r="E406" s="704" t="n">
        <v>0.18</v>
      </c>
      <c r="F406" s="704" t="n">
        <f aca="false">D406*E406</f>
        <v>0.027</v>
      </c>
      <c r="G406" s="764" t="n">
        <v>11200</v>
      </c>
    </row>
    <row r="407" customFormat="false" ht="15" hidden="true" customHeight="true" outlineLevel="1" collapsed="false">
      <c r="A407" s="737"/>
      <c r="B407" s="738" t="s">
        <v>1225</v>
      </c>
      <c r="C407" s="761" t="s">
        <v>1043</v>
      </c>
      <c r="D407" s="764" t="n">
        <v>0.2</v>
      </c>
      <c r="E407" s="764" t="n">
        <v>0.1</v>
      </c>
      <c r="F407" s="704" t="n">
        <f aca="false">D407*E407</f>
        <v>0.02</v>
      </c>
      <c r="G407" s="764" t="n">
        <v>11300</v>
      </c>
    </row>
    <row r="408" customFormat="false" ht="15" hidden="true" customHeight="true" outlineLevel="1" collapsed="false">
      <c r="A408" s="737"/>
      <c r="B408" s="738" t="s">
        <v>1226</v>
      </c>
      <c r="C408" s="761" t="s">
        <v>1043</v>
      </c>
      <c r="D408" s="764" t="n">
        <v>0.2</v>
      </c>
      <c r="E408" s="764" t="n">
        <v>0.15</v>
      </c>
      <c r="F408" s="704" t="n">
        <f aca="false">D408*E408</f>
        <v>0.03</v>
      </c>
      <c r="G408" s="764" t="n">
        <v>11300</v>
      </c>
    </row>
    <row r="409" customFormat="false" ht="15" hidden="true" customHeight="true" outlineLevel="1" collapsed="false">
      <c r="A409" s="737"/>
      <c r="B409" s="738" t="s">
        <v>1227</v>
      </c>
      <c r="C409" s="761" t="s">
        <v>1043</v>
      </c>
      <c r="D409" s="764" t="n">
        <v>0.2</v>
      </c>
      <c r="E409" s="704" t="n">
        <v>0.18</v>
      </c>
      <c r="F409" s="704" t="n">
        <f aca="false">D409*E409</f>
        <v>0.036</v>
      </c>
      <c r="G409" s="764" t="n">
        <v>11300</v>
      </c>
    </row>
    <row r="410" customFormat="false" ht="15" hidden="true" customHeight="true" outlineLevel="1" collapsed="false">
      <c r="A410" s="737"/>
      <c r="B410" s="738" t="s">
        <v>1228</v>
      </c>
      <c r="C410" s="761" t="s">
        <v>1043</v>
      </c>
      <c r="D410" s="764" t="n">
        <v>0.8</v>
      </c>
      <c r="E410" s="764" t="n">
        <v>0.1</v>
      </c>
      <c r="F410" s="704" t="n">
        <f aca="false">D410*E410</f>
        <v>0.08</v>
      </c>
      <c r="G410" s="704" t="n">
        <v>9000</v>
      </c>
    </row>
    <row r="411" customFormat="false" ht="15" hidden="true" customHeight="true" outlineLevel="1" collapsed="false">
      <c r="A411" s="737"/>
      <c r="B411" s="738" t="s">
        <v>1229</v>
      </c>
      <c r="C411" s="761" t="s">
        <v>1043</v>
      </c>
      <c r="D411" s="764" t="n">
        <v>0.8</v>
      </c>
      <c r="E411" s="764" t="n">
        <v>0.15</v>
      </c>
      <c r="F411" s="704" t="n">
        <f aca="false">D411*E411</f>
        <v>0.12</v>
      </c>
      <c r="G411" s="704" t="n">
        <v>9000</v>
      </c>
    </row>
    <row r="412" customFormat="false" ht="15" hidden="true" customHeight="true" outlineLevel="1" collapsed="false">
      <c r="A412" s="737"/>
      <c r="B412" s="738" t="s">
        <v>1230</v>
      </c>
      <c r="C412" s="761" t="s">
        <v>1043</v>
      </c>
      <c r="D412" s="764" t="n">
        <v>0.1</v>
      </c>
      <c r="E412" s="764" t="n">
        <v>0.1</v>
      </c>
      <c r="F412" s="704" t="n">
        <f aca="false">D412*E412</f>
        <v>0.01</v>
      </c>
      <c r="G412" s="704" t="n">
        <v>9000</v>
      </c>
    </row>
    <row r="413" customFormat="false" ht="15" hidden="true" customHeight="true" outlineLevel="1" collapsed="false">
      <c r="A413" s="737"/>
      <c r="B413" s="738" t="s">
        <v>1231</v>
      </c>
      <c r="C413" s="761" t="s">
        <v>1043</v>
      </c>
      <c r="D413" s="764" t="n">
        <v>0.1</v>
      </c>
      <c r="E413" s="764" t="n">
        <v>0.15</v>
      </c>
      <c r="F413" s="704" t="n">
        <f aca="false">D413*E413</f>
        <v>0.015</v>
      </c>
      <c r="G413" s="704" t="n">
        <v>9000</v>
      </c>
    </row>
    <row r="414" customFormat="false" ht="15" hidden="true" customHeight="true" outlineLevel="1" collapsed="false">
      <c r="A414" s="737"/>
      <c r="B414" s="738" t="s">
        <v>1232</v>
      </c>
      <c r="C414" s="761" t="s">
        <v>1043</v>
      </c>
      <c r="D414" s="764" t="n">
        <v>0.14</v>
      </c>
      <c r="E414" s="764" t="n">
        <v>0.14</v>
      </c>
      <c r="F414" s="704" t="n">
        <f aca="false">D414*E414</f>
        <v>0.0196</v>
      </c>
      <c r="G414" s="704" t="n">
        <v>9000</v>
      </c>
    </row>
    <row r="415" customFormat="false" ht="15" hidden="true" customHeight="true" outlineLevel="1" collapsed="false">
      <c r="A415" s="737"/>
      <c r="B415" s="738" t="s">
        <v>1233</v>
      </c>
      <c r="C415" s="761" t="s">
        <v>1043</v>
      </c>
      <c r="D415" s="764" t="n">
        <v>0.14</v>
      </c>
      <c r="E415" s="764" t="n">
        <v>0.19</v>
      </c>
      <c r="F415" s="704" t="n">
        <f aca="false">D415*E415</f>
        <v>0.0266</v>
      </c>
      <c r="G415" s="704" t="n">
        <v>9000</v>
      </c>
    </row>
    <row r="416" customFormat="false" ht="15" hidden="true" customHeight="true" outlineLevel="1" collapsed="false">
      <c r="A416" s="737"/>
      <c r="B416" s="738" t="s">
        <v>1234</v>
      </c>
      <c r="C416" s="761" t="s">
        <v>1043</v>
      </c>
      <c r="D416" s="764" t="n">
        <v>0.14</v>
      </c>
      <c r="E416" s="764" t="n">
        <v>0.23</v>
      </c>
      <c r="F416" s="704" t="n">
        <f aca="false">D416*E416</f>
        <v>0.0322</v>
      </c>
      <c r="G416" s="704" t="n">
        <v>9000</v>
      </c>
    </row>
    <row r="417" customFormat="false" ht="15" hidden="true" customHeight="true" outlineLevel="1" collapsed="false">
      <c r="A417" s="737"/>
      <c r="B417" s="738" t="s">
        <v>1235</v>
      </c>
      <c r="C417" s="761" t="s">
        <v>1043</v>
      </c>
      <c r="D417" s="764" t="n">
        <v>0.14</v>
      </c>
      <c r="E417" s="764" t="n">
        <v>0.25</v>
      </c>
      <c r="F417" s="704" t="n">
        <f aca="false">D417*E417</f>
        <v>0.035</v>
      </c>
      <c r="G417" s="704" t="n">
        <v>9000</v>
      </c>
    </row>
    <row r="418" customFormat="false" ht="15" hidden="true" customHeight="true" outlineLevel="1" collapsed="false">
      <c r="A418" s="737"/>
      <c r="B418" s="738" t="s">
        <v>1236</v>
      </c>
      <c r="C418" s="761" t="s">
        <v>1043</v>
      </c>
      <c r="D418" s="764" t="n">
        <v>0.15</v>
      </c>
      <c r="E418" s="764" t="n">
        <v>0.1</v>
      </c>
      <c r="F418" s="704" t="n">
        <f aca="false">D418*E418</f>
        <v>0.015</v>
      </c>
      <c r="G418" s="704" t="n">
        <v>9200</v>
      </c>
    </row>
    <row r="419" customFormat="false" ht="15" hidden="true" customHeight="true" outlineLevel="1" collapsed="false">
      <c r="A419" s="737"/>
      <c r="B419" s="738" t="s">
        <v>1237</v>
      </c>
      <c r="C419" s="761" t="s">
        <v>1043</v>
      </c>
      <c r="D419" s="764" t="n">
        <v>0.15</v>
      </c>
      <c r="E419" s="764" t="n">
        <v>0.15</v>
      </c>
      <c r="F419" s="704" t="n">
        <f aca="false">D419*E419</f>
        <v>0.0225</v>
      </c>
      <c r="G419" s="704" t="n">
        <v>9200</v>
      </c>
    </row>
    <row r="420" customFormat="false" ht="15" hidden="true" customHeight="true" outlineLevel="1" collapsed="false">
      <c r="A420" s="737"/>
      <c r="B420" s="738" t="s">
        <v>1238</v>
      </c>
      <c r="C420" s="761" t="s">
        <v>1043</v>
      </c>
      <c r="D420" s="764" t="n">
        <v>0.15</v>
      </c>
      <c r="E420" s="704" t="n">
        <v>0.18</v>
      </c>
      <c r="F420" s="704" t="n">
        <f aca="false">D420*E420</f>
        <v>0.027</v>
      </c>
      <c r="G420" s="704" t="n">
        <v>9200</v>
      </c>
    </row>
    <row r="421" customFormat="false" ht="15" hidden="true" customHeight="true" outlineLevel="1" collapsed="false">
      <c r="A421" s="737"/>
      <c r="B421" s="738" t="s">
        <v>1239</v>
      </c>
      <c r="C421" s="761" t="s">
        <v>1043</v>
      </c>
      <c r="D421" s="764" t="n">
        <v>0.19</v>
      </c>
      <c r="E421" s="764" t="n">
        <v>0.19</v>
      </c>
      <c r="F421" s="704" t="n">
        <f aca="false">D421*E421</f>
        <v>0.0361</v>
      </c>
      <c r="G421" s="704" t="n">
        <v>9200</v>
      </c>
    </row>
    <row r="422" customFormat="false" ht="15" hidden="true" customHeight="true" outlineLevel="1" collapsed="false">
      <c r="A422" s="737"/>
      <c r="B422" s="738" t="s">
        <v>1240</v>
      </c>
      <c r="C422" s="761" t="s">
        <v>1043</v>
      </c>
      <c r="D422" s="764" t="n">
        <v>0.19</v>
      </c>
      <c r="E422" s="764" t="n">
        <v>0.23</v>
      </c>
      <c r="F422" s="704" t="n">
        <f aca="false">D422*E422</f>
        <v>0.0437</v>
      </c>
      <c r="G422" s="704" t="n">
        <v>9200</v>
      </c>
    </row>
    <row r="423" customFormat="false" ht="15" hidden="true" customHeight="true" outlineLevel="1" collapsed="false">
      <c r="A423" s="737"/>
      <c r="B423" s="738" t="s">
        <v>1241</v>
      </c>
      <c r="C423" s="761" t="s">
        <v>1043</v>
      </c>
      <c r="D423" s="764" t="n">
        <v>0.19</v>
      </c>
      <c r="E423" s="764" t="n">
        <v>0.25</v>
      </c>
      <c r="F423" s="704" t="n">
        <f aca="false">D423*E423</f>
        <v>0.0475</v>
      </c>
      <c r="G423" s="704" t="n">
        <v>9200</v>
      </c>
    </row>
    <row r="424" customFormat="false" ht="15" hidden="true" customHeight="true" outlineLevel="1" collapsed="false">
      <c r="A424" s="737"/>
      <c r="B424" s="738" t="s">
        <v>1242</v>
      </c>
      <c r="C424" s="761" t="s">
        <v>1043</v>
      </c>
      <c r="D424" s="764" t="n">
        <v>0.2</v>
      </c>
      <c r="E424" s="764" t="n">
        <v>0.1</v>
      </c>
      <c r="F424" s="704" t="n">
        <f aca="false">D424*E424</f>
        <v>0.02</v>
      </c>
      <c r="G424" s="704" t="n">
        <v>9300</v>
      </c>
    </row>
    <row r="425" customFormat="false" ht="15" hidden="true" customHeight="true" outlineLevel="1" collapsed="false">
      <c r="A425" s="737"/>
      <c r="B425" s="738" t="s">
        <v>377</v>
      </c>
      <c r="C425" s="761" t="s">
        <v>1043</v>
      </c>
      <c r="D425" s="764" t="n">
        <v>0.2</v>
      </c>
      <c r="E425" s="764" t="n">
        <v>0.15</v>
      </c>
      <c r="F425" s="704" t="n">
        <f aca="false">D425*E425</f>
        <v>0.03</v>
      </c>
      <c r="G425" s="704" t="n">
        <v>9300</v>
      </c>
    </row>
    <row r="426" customFormat="false" ht="15" hidden="true" customHeight="true" outlineLevel="1" collapsed="false">
      <c r="A426" s="737"/>
      <c r="B426" s="738" t="s">
        <v>418</v>
      </c>
      <c r="C426" s="761" t="s">
        <v>1043</v>
      </c>
      <c r="D426" s="764" t="n">
        <v>0.2</v>
      </c>
      <c r="E426" s="704" t="n">
        <v>0.18</v>
      </c>
      <c r="F426" s="704" t="n">
        <f aca="false">D426*E426</f>
        <v>0.036</v>
      </c>
      <c r="G426" s="704" t="n">
        <v>9300</v>
      </c>
    </row>
    <row r="427" customFormat="false" ht="15" hidden="true" customHeight="true" outlineLevel="1" collapsed="false">
      <c r="A427" s="737"/>
      <c r="B427" s="738" t="s">
        <v>416</v>
      </c>
      <c r="C427" s="761" t="s">
        <v>15</v>
      </c>
      <c r="D427" s="764"/>
      <c r="E427" s="704"/>
      <c r="F427" s="704"/>
      <c r="G427" s="704" t="n">
        <v>0</v>
      </c>
    </row>
    <row r="428" customFormat="false" ht="15" hidden="true" customHeight="true" outlineLevel="1" collapsed="false">
      <c r="A428" s="737"/>
      <c r="B428" s="738" t="s">
        <v>383</v>
      </c>
      <c r="C428" s="761" t="s">
        <v>15</v>
      </c>
      <c r="D428" s="764"/>
      <c r="E428" s="762" t="n">
        <v>0.24</v>
      </c>
      <c r="F428" s="704"/>
      <c r="G428" s="704" t="n">
        <v>400</v>
      </c>
    </row>
    <row r="429" customFormat="false" ht="15" hidden="true" customHeight="true" outlineLevel="1" collapsed="false">
      <c r="A429" s="737"/>
      <c r="B429" s="738" t="s">
        <v>1243</v>
      </c>
      <c r="C429" s="761" t="s">
        <v>15</v>
      </c>
      <c r="D429" s="764"/>
      <c r="E429" s="762" t="n">
        <v>0.2</v>
      </c>
      <c r="F429" s="704"/>
      <c r="G429" s="704" t="n">
        <v>350</v>
      </c>
    </row>
    <row r="430" customFormat="false" ht="15" hidden="true" customHeight="true" outlineLevel="1" collapsed="false">
      <c r="A430" s="737"/>
      <c r="B430" s="738" t="s">
        <v>1244</v>
      </c>
      <c r="C430" s="761" t="s">
        <v>15</v>
      </c>
      <c r="D430" s="764"/>
      <c r="E430" s="762" t="n">
        <v>0.16</v>
      </c>
      <c r="F430" s="704"/>
      <c r="G430" s="704" t="n">
        <v>300</v>
      </c>
    </row>
    <row r="431" customFormat="false" ht="15" hidden="true" customHeight="true" outlineLevel="1" collapsed="false">
      <c r="A431" s="737"/>
      <c r="B431" s="738" t="s">
        <v>1245</v>
      </c>
      <c r="C431" s="761" t="s">
        <v>15</v>
      </c>
      <c r="D431" s="764"/>
      <c r="E431" s="762" t="n">
        <v>0.12</v>
      </c>
      <c r="F431" s="704"/>
      <c r="G431" s="704" t="n">
        <v>250</v>
      </c>
    </row>
    <row r="432" customFormat="false" ht="15" hidden="true" customHeight="true" outlineLevel="1" collapsed="false">
      <c r="A432" s="737"/>
      <c r="B432" s="738" t="s">
        <v>685</v>
      </c>
      <c r="C432" s="761" t="s">
        <v>48</v>
      </c>
      <c r="D432" s="740"/>
      <c r="E432" s="762"/>
      <c r="F432" s="704"/>
      <c r="G432" s="704" t="n">
        <v>6</v>
      </c>
    </row>
    <row r="433" customFormat="false" ht="15" hidden="true" customHeight="true" outlineLevel="1" collapsed="false">
      <c r="A433" s="737"/>
      <c r="B433" s="738" t="s">
        <v>1246</v>
      </c>
      <c r="C433" s="739" t="s">
        <v>1247</v>
      </c>
      <c r="D433" s="740"/>
      <c r="E433" s="762"/>
      <c r="F433" s="704"/>
      <c r="G433" s="704" t="n">
        <v>130</v>
      </c>
    </row>
    <row r="434" customFormat="false" ht="15" hidden="true" customHeight="true" outlineLevel="1" collapsed="false">
      <c r="A434" s="737"/>
      <c r="B434" s="738" t="s">
        <v>1248</v>
      </c>
      <c r="C434" s="739" t="s">
        <v>48</v>
      </c>
      <c r="D434" s="740"/>
      <c r="E434" s="762"/>
      <c r="F434" s="704"/>
      <c r="G434" s="704" t="n">
        <v>54</v>
      </c>
    </row>
    <row r="435" customFormat="false" ht="15" hidden="true" customHeight="true" outlineLevel="1" collapsed="false">
      <c r="A435" s="737"/>
      <c r="B435" s="765" t="s">
        <v>1249</v>
      </c>
      <c r="C435" s="743" t="s">
        <v>1247</v>
      </c>
      <c r="D435" s="736" t="n">
        <v>0.1</v>
      </c>
      <c r="E435" s="735" t="n">
        <v>0.05</v>
      </c>
      <c r="F435" s="766" t="n">
        <v>20</v>
      </c>
      <c r="G435" s="677" t="n">
        <v>110</v>
      </c>
    </row>
    <row r="436" customFormat="false" ht="15" hidden="true" customHeight="true" outlineLevel="1" collapsed="false">
      <c r="A436" s="737"/>
      <c r="B436" s="765" t="s">
        <v>1250</v>
      </c>
      <c r="C436" s="743" t="s">
        <v>1247</v>
      </c>
      <c r="D436" s="736" t="n">
        <v>0.15</v>
      </c>
      <c r="E436" s="735" t="n">
        <v>0.05</v>
      </c>
      <c r="F436" s="766" t="n">
        <v>20</v>
      </c>
      <c r="G436" s="677" t="n">
        <v>140</v>
      </c>
    </row>
    <row r="437" customFormat="false" ht="15" hidden="true" customHeight="true" outlineLevel="1" collapsed="false">
      <c r="A437" s="737"/>
      <c r="B437" s="765" t="s">
        <v>677</v>
      </c>
      <c r="C437" s="743" t="s">
        <v>1247</v>
      </c>
      <c r="D437" s="736" t="n">
        <v>0.2</v>
      </c>
      <c r="E437" s="735" t="n">
        <v>0.05</v>
      </c>
      <c r="F437" s="766" t="n">
        <v>20</v>
      </c>
      <c r="G437" s="677" t="n">
        <v>175</v>
      </c>
    </row>
    <row r="438" customFormat="false" ht="15" hidden="true" customHeight="true" outlineLevel="1" collapsed="false">
      <c r="A438" s="737"/>
      <c r="B438" s="765" t="s">
        <v>1251</v>
      </c>
      <c r="C438" s="743" t="s">
        <v>1247</v>
      </c>
      <c r="D438" s="736" t="n">
        <v>0.8</v>
      </c>
      <c r="E438" s="735" t="n">
        <v>0.05</v>
      </c>
      <c r="F438" s="766" t="n">
        <v>20</v>
      </c>
      <c r="G438" s="677" t="n">
        <v>750</v>
      </c>
    </row>
    <row r="439" customFormat="false" ht="15" hidden="true" customHeight="true" outlineLevel="1" collapsed="false">
      <c r="A439" s="737"/>
      <c r="B439" s="765" t="s">
        <v>1252</v>
      </c>
      <c r="C439" s="743" t="s">
        <v>1247</v>
      </c>
      <c r="D439" s="736" t="n">
        <v>0.16</v>
      </c>
      <c r="E439" s="735" t="n">
        <v>0.05</v>
      </c>
      <c r="F439" s="766" t="n">
        <v>20</v>
      </c>
      <c r="G439" s="677" t="n">
        <v>1500</v>
      </c>
    </row>
    <row r="440" customFormat="false" ht="15" hidden="true" customHeight="true" outlineLevel="1" collapsed="false">
      <c r="A440" s="737"/>
      <c r="B440" s="767" t="s">
        <v>1253</v>
      </c>
      <c r="C440" s="739" t="s">
        <v>699</v>
      </c>
      <c r="D440" s="740"/>
      <c r="E440" s="762"/>
      <c r="F440" s="704"/>
      <c r="G440" s="704" t="n">
        <v>40</v>
      </c>
    </row>
    <row r="441" customFormat="false" ht="15" hidden="true" customHeight="true" outlineLevel="1" collapsed="false">
      <c r="A441" s="737"/>
      <c r="B441" s="767" t="s">
        <v>1254</v>
      </c>
      <c r="C441" s="739" t="s">
        <v>699</v>
      </c>
      <c r="D441" s="740"/>
      <c r="E441" s="762"/>
      <c r="F441" s="704"/>
      <c r="G441" s="704" t="n">
        <v>250</v>
      </c>
    </row>
    <row r="442" customFormat="false" ht="15" hidden="true" customHeight="true" outlineLevel="1" collapsed="false">
      <c r="A442" s="737"/>
      <c r="B442" s="767" t="s">
        <v>1255</v>
      </c>
      <c r="C442" s="739" t="s">
        <v>48</v>
      </c>
      <c r="D442" s="740"/>
      <c r="E442" s="762"/>
      <c r="F442" s="704"/>
      <c r="G442" s="704" t="n">
        <v>800</v>
      </c>
    </row>
    <row r="443" customFormat="false" ht="15" hidden="true" customHeight="true" outlineLevel="1" collapsed="false">
      <c r="A443" s="737"/>
      <c r="B443" s="738"/>
      <c r="C443" s="739"/>
      <c r="D443" s="740"/>
      <c r="E443" s="762"/>
      <c r="F443" s="704"/>
      <c r="G443" s="704"/>
    </row>
    <row r="444" customFormat="false" ht="15" hidden="true" customHeight="true" outlineLevel="1" collapsed="false">
      <c r="A444" s="737"/>
      <c r="B444" s="738"/>
      <c r="C444" s="739"/>
      <c r="D444" s="740"/>
      <c r="E444" s="762"/>
      <c r="F444" s="704"/>
      <c r="G444" s="704"/>
    </row>
    <row r="445" customFormat="false" ht="15" hidden="true" customHeight="true" outlineLevel="1" collapsed="false">
      <c r="A445" s="737"/>
      <c r="B445" s="738"/>
      <c r="C445" s="739"/>
      <c r="D445" s="740"/>
      <c r="E445" s="762"/>
      <c r="F445" s="704"/>
      <c r="G445" s="704"/>
    </row>
    <row r="446" customFormat="false" ht="15" hidden="false" customHeight="true" outlineLevel="0" collapsed="false">
      <c r="A446" s="758" t="s">
        <v>1167</v>
      </c>
      <c r="B446" s="759"/>
      <c r="C446" s="692" t="s">
        <v>162</v>
      </c>
      <c r="D446" s="760" t="s">
        <v>137</v>
      </c>
      <c r="E446" s="760" t="s">
        <v>1149</v>
      </c>
      <c r="F446" s="710" t="s">
        <v>1137</v>
      </c>
      <c r="G446" s="710" t="s">
        <v>981</v>
      </c>
    </row>
    <row r="447" customFormat="false" ht="15" hidden="true" customHeight="true" outlineLevel="1" collapsed="false">
      <c r="A447" s="768" t="s">
        <v>1256</v>
      </c>
      <c r="B447" s="769"/>
      <c r="C447" s="770" t="s">
        <v>162</v>
      </c>
      <c r="D447" s="760" t="s">
        <v>1257</v>
      </c>
      <c r="E447" s="760" t="s">
        <v>1149</v>
      </c>
      <c r="F447" s="710" t="s">
        <v>981</v>
      </c>
      <c r="G447" s="710"/>
    </row>
    <row r="448" customFormat="false" ht="15" hidden="true" customHeight="true" outlineLevel="1" collapsed="false">
      <c r="A448" s="771"/>
      <c r="B448" s="742" t="s">
        <v>1258</v>
      </c>
      <c r="C448" s="749" t="s">
        <v>1043</v>
      </c>
      <c r="D448" s="676" t="n">
        <v>0.2</v>
      </c>
      <c r="E448" s="772"/>
      <c r="F448" s="703"/>
      <c r="G448" s="676" t="n">
        <v>8000</v>
      </c>
    </row>
    <row r="449" customFormat="false" ht="15" hidden="true" customHeight="true" outlineLevel="1" collapsed="false">
      <c r="A449" s="773"/>
      <c r="B449" s="742" t="s">
        <v>604</v>
      </c>
      <c r="C449" s="749" t="s">
        <v>1043</v>
      </c>
      <c r="D449" s="676" t="n">
        <v>0.22</v>
      </c>
      <c r="E449" s="772"/>
      <c r="F449" s="703"/>
      <c r="G449" s="676" t="n">
        <v>8000</v>
      </c>
    </row>
    <row r="450" customFormat="false" ht="15" hidden="true" customHeight="true" outlineLevel="1" collapsed="false">
      <c r="A450" s="773"/>
      <c r="B450" s="742" t="s">
        <v>1259</v>
      </c>
      <c r="C450" s="749" t="s">
        <v>1043</v>
      </c>
      <c r="D450" s="676" t="n">
        <v>0.24</v>
      </c>
      <c r="E450" s="772"/>
      <c r="F450" s="703"/>
      <c r="G450" s="676" t="n">
        <v>8500</v>
      </c>
    </row>
    <row r="451" customFormat="false" ht="15" hidden="true" customHeight="true" outlineLevel="1" collapsed="false">
      <c r="A451" s="773"/>
      <c r="B451" s="742" t="s">
        <v>361</v>
      </c>
      <c r="C451" s="749" t="s">
        <v>1043</v>
      </c>
      <c r="D451" s="676" t="n">
        <v>0.26</v>
      </c>
      <c r="E451" s="772"/>
      <c r="F451" s="703"/>
      <c r="G451" s="676" t="n">
        <v>8500</v>
      </c>
    </row>
    <row r="452" customFormat="false" ht="15" hidden="true" customHeight="true" outlineLevel="1" collapsed="false">
      <c r="A452" s="773"/>
      <c r="B452" s="742" t="s">
        <v>1260</v>
      </c>
      <c r="C452" s="749" t="s">
        <v>1043</v>
      </c>
      <c r="D452" s="703" t="n">
        <v>0.28</v>
      </c>
      <c r="E452" s="774"/>
      <c r="F452" s="703"/>
      <c r="G452" s="703" t="n">
        <v>9000</v>
      </c>
    </row>
    <row r="453" customFormat="false" ht="15" hidden="true" customHeight="true" outlineLevel="1" collapsed="false">
      <c r="A453" s="773"/>
      <c r="B453" s="742" t="s">
        <v>1261</v>
      </c>
      <c r="C453" s="749" t="s">
        <v>1043</v>
      </c>
      <c r="D453" s="703" t="n">
        <v>0.3</v>
      </c>
      <c r="E453" s="774"/>
      <c r="F453" s="703"/>
      <c r="G453" s="703" t="n">
        <v>9000</v>
      </c>
    </row>
    <row r="454" customFormat="false" ht="15" hidden="true" customHeight="true" outlineLevel="1" collapsed="false">
      <c r="A454" s="773"/>
      <c r="B454" s="742" t="s">
        <v>1262</v>
      </c>
      <c r="C454" s="749" t="s">
        <v>1043</v>
      </c>
      <c r="D454" s="703" t="n">
        <v>0.32</v>
      </c>
      <c r="E454" s="774"/>
      <c r="F454" s="703"/>
      <c r="G454" s="703" t="n">
        <v>9500</v>
      </c>
    </row>
    <row r="455" customFormat="false" ht="15" hidden="true" customHeight="true" outlineLevel="1" collapsed="false">
      <c r="A455" s="773"/>
      <c r="B455" s="742" t="s">
        <v>1263</v>
      </c>
      <c r="C455" s="749" t="s">
        <v>1043</v>
      </c>
      <c r="D455" s="703" t="n">
        <v>0.34</v>
      </c>
      <c r="E455" s="774"/>
      <c r="F455" s="703"/>
      <c r="G455" s="703" t="n">
        <v>9500</v>
      </c>
    </row>
    <row r="456" customFormat="false" ht="15" hidden="true" customHeight="true" outlineLevel="1" collapsed="false">
      <c r="A456" s="773"/>
      <c r="B456" s="742" t="s">
        <v>1264</v>
      </c>
      <c r="C456" s="749" t="s">
        <v>1043</v>
      </c>
      <c r="D456" s="703" t="n">
        <v>0.36</v>
      </c>
      <c r="E456" s="774"/>
      <c r="F456" s="703"/>
      <c r="G456" s="703" t="n">
        <v>10500</v>
      </c>
    </row>
    <row r="457" customFormat="false" ht="15" hidden="true" customHeight="true" outlineLevel="1" collapsed="false">
      <c r="A457" s="773"/>
      <c r="B457" s="742" t="s">
        <v>1265</v>
      </c>
      <c r="C457" s="749" t="s">
        <v>1043</v>
      </c>
      <c r="D457" s="703" t="n">
        <v>0.38</v>
      </c>
      <c r="E457" s="774"/>
      <c r="F457" s="703"/>
      <c r="G457" s="703" t="n">
        <v>10500</v>
      </c>
    </row>
    <row r="458" customFormat="false" ht="15" hidden="true" customHeight="true" outlineLevel="1" collapsed="false">
      <c r="A458" s="773"/>
      <c r="B458" s="742" t="s">
        <v>1266</v>
      </c>
      <c r="C458" s="749" t="s">
        <v>1043</v>
      </c>
      <c r="D458" s="703" t="n">
        <v>0.4</v>
      </c>
      <c r="E458" s="774"/>
      <c r="F458" s="703"/>
      <c r="G458" s="703" t="n">
        <v>11000</v>
      </c>
    </row>
    <row r="459" customFormat="false" ht="15" hidden="true" customHeight="true" outlineLevel="1" collapsed="false">
      <c r="A459" s="773"/>
      <c r="B459" s="742" t="s">
        <v>1267</v>
      </c>
      <c r="C459" s="749" t="s">
        <v>1043</v>
      </c>
      <c r="D459" s="703" t="n">
        <v>0.42</v>
      </c>
      <c r="E459" s="774"/>
      <c r="F459" s="703"/>
      <c r="G459" s="703" t="n">
        <v>11000</v>
      </c>
    </row>
    <row r="460" customFormat="false" ht="15" hidden="true" customHeight="true" outlineLevel="1" collapsed="false">
      <c r="A460" s="773"/>
      <c r="B460" s="742" t="s">
        <v>1268</v>
      </c>
      <c r="C460" s="749" t="s">
        <v>1043</v>
      </c>
      <c r="D460" s="703" t="n">
        <v>0.44</v>
      </c>
      <c r="E460" s="774"/>
      <c r="F460" s="703"/>
      <c r="G460" s="703" t="n">
        <v>11500</v>
      </c>
    </row>
    <row r="461" customFormat="false" ht="15" hidden="true" customHeight="true" outlineLevel="1" collapsed="false">
      <c r="A461" s="773"/>
      <c r="B461" s="742" t="s">
        <v>1269</v>
      </c>
      <c r="C461" s="749" t="s">
        <v>1043</v>
      </c>
      <c r="D461" s="703" t="n">
        <v>0.46</v>
      </c>
      <c r="E461" s="774"/>
      <c r="F461" s="703"/>
      <c r="G461" s="703" t="n">
        <v>11500</v>
      </c>
    </row>
    <row r="462" customFormat="false" ht="15" hidden="true" customHeight="true" outlineLevel="1" collapsed="false">
      <c r="A462" s="773"/>
      <c r="B462" s="742" t="s">
        <v>1270</v>
      </c>
      <c r="C462" s="749" t="s">
        <v>1043</v>
      </c>
      <c r="D462" s="703" t="n">
        <v>0.48</v>
      </c>
      <c r="E462" s="774"/>
      <c r="F462" s="703"/>
      <c r="G462" s="703" t="n">
        <v>12000</v>
      </c>
    </row>
    <row r="463" customFormat="false" ht="15" hidden="true" customHeight="true" outlineLevel="1" collapsed="false">
      <c r="A463" s="773"/>
      <c r="B463" s="742" t="s">
        <v>1271</v>
      </c>
      <c r="C463" s="749" t="s">
        <v>1043</v>
      </c>
      <c r="D463" s="703" t="n">
        <v>0.5</v>
      </c>
      <c r="E463" s="774"/>
      <c r="F463" s="703"/>
      <c r="G463" s="703" t="n">
        <v>12000</v>
      </c>
    </row>
    <row r="464" customFormat="false" ht="15" hidden="true" customHeight="true" outlineLevel="1" collapsed="false">
      <c r="A464" s="773"/>
      <c r="B464" s="742" t="s">
        <v>1272</v>
      </c>
      <c r="C464" s="749" t="s">
        <v>1043</v>
      </c>
      <c r="D464" s="676" t="n">
        <v>0.2</v>
      </c>
      <c r="E464" s="774"/>
      <c r="F464" s="703"/>
      <c r="G464" s="703" t="n">
        <v>10000</v>
      </c>
    </row>
    <row r="465" customFormat="false" ht="15" hidden="true" customHeight="true" outlineLevel="1" collapsed="false">
      <c r="A465" s="773"/>
      <c r="B465" s="742" t="s">
        <v>1273</v>
      </c>
      <c r="C465" s="749" t="s">
        <v>1043</v>
      </c>
      <c r="D465" s="676" t="n">
        <v>0.22</v>
      </c>
      <c r="E465" s="774"/>
      <c r="F465" s="703"/>
      <c r="G465" s="703" t="n">
        <v>10000</v>
      </c>
    </row>
    <row r="466" customFormat="false" ht="15" hidden="true" customHeight="true" outlineLevel="1" collapsed="false">
      <c r="A466" s="773"/>
      <c r="B466" s="742" t="s">
        <v>1274</v>
      </c>
      <c r="C466" s="749" t="s">
        <v>1043</v>
      </c>
      <c r="D466" s="676" t="n">
        <v>0.24</v>
      </c>
      <c r="E466" s="774"/>
      <c r="F466" s="703"/>
      <c r="G466" s="703" t="n">
        <v>10500</v>
      </c>
    </row>
    <row r="467" customFormat="false" ht="15" hidden="true" customHeight="true" outlineLevel="1" collapsed="false">
      <c r="A467" s="773"/>
      <c r="B467" s="742" t="s">
        <v>1275</v>
      </c>
      <c r="C467" s="749" t="s">
        <v>1043</v>
      </c>
      <c r="D467" s="676" t="n">
        <v>0.26</v>
      </c>
      <c r="E467" s="774"/>
      <c r="F467" s="703"/>
      <c r="G467" s="703" t="n">
        <v>10500</v>
      </c>
    </row>
    <row r="468" customFormat="false" ht="15" hidden="true" customHeight="true" outlineLevel="1" collapsed="false">
      <c r="A468" s="773"/>
      <c r="B468" s="742" t="s">
        <v>1276</v>
      </c>
      <c r="C468" s="749" t="s">
        <v>1043</v>
      </c>
      <c r="D468" s="703" t="n">
        <v>0.28</v>
      </c>
      <c r="E468" s="774"/>
      <c r="F468" s="703"/>
      <c r="G468" s="703" t="n">
        <v>11000</v>
      </c>
    </row>
    <row r="469" customFormat="false" ht="15" hidden="true" customHeight="true" outlineLevel="1" collapsed="false">
      <c r="A469" s="773"/>
      <c r="B469" s="742" t="s">
        <v>1277</v>
      </c>
      <c r="C469" s="749" t="s">
        <v>1043</v>
      </c>
      <c r="D469" s="703" t="n">
        <v>0.3</v>
      </c>
      <c r="E469" s="774"/>
      <c r="F469" s="703"/>
      <c r="G469" s="703" t="n">
        <v>11000</v>
      </c>
    </row>
    <row r="470" customFormat="false" ht="15" hidden="true" customHeight="true" outlineLevel="1" collapsed="false">
      <c r="A470" s="773"/>
      <c r="B470" s="742" t="s">
        <v>1278</v>
      </c>
      <c r="C470" s="749" t="s">
        <v>1043</v>
      </c>
      <c r="D470" s="703" t="n">
        <v>0.32</v>
      </c>
      <c r="E470" s="774"/>
      <c r="F470" s="703"/>
      <c r="G470" s="703" t="n">
        <v>11500</v>
      </c>
    </row>
    <row r="471" customFormat="false" ht="15" hidden="true" customHeight="true" outlineLevel="1" collapsed="false">
      <c r="A471" s="773"/>
      <c r="B471" s="742" t="s">
        <v>1279</v>
      </c>
      <c r="C471" s="749" t="s">
        <v>1043</v>
      </c>
      <c r="D471" s="703" t="n">
        <v>0.34</v>
      </c>
      <c r="E471" s="774"/>
      <c r="F471" s="703"/>
      <c r="G471" s="703" t="n">
        <v>11500</v>
      </c>
    </row>
    <row r="472" customFormat="false" ht="15" hidden="true" customHeight="true" outlineLevel="1" collapsed="false">
      <c r="A472" s="773"/>
      <c r="B472" s="742" t="s">
        <v>1280</v>
      </c>
      <c r="C472" s="749" t="s">
        <v>1043</v>
      </c>
      <c r="D472" s="703" t="n">
        <v>0.36</v>
      </c>
      <c r="E472" s="774"/>
      <c r="F472" s="703"/>
      <c r="G472" s="703" t="n">
        <v>12500</v>
      </c>
    </row>
    <row r="473" customFormat="false" ht="15" hidden="true" customHeight="true" outlineLevel="1" collapsed="false">
      <c r="A473" s="773"/>
      <c r="B473" s="742" t="s">
        <v>1281</v>
      </c>
      <c r="C473" s="749" t="s">
        <v>1043</v>
      </c>
      <c r="D473" s="703" t="n">
        <v>0.38</v>
      </c>
      <c r="E473" s="774"/>
      <c r="F473" s="703"/>
      <c r="G473" s="703" t="n">
        <v>12500</v>
      </c>
    </row>
    <row r="474" customFormat="false" ht="15" hidden="true" customHeight="true" outlineLevel="1" collapsed="false">
      <c r="A474" s="773"/>
      <c r="B474" s="742" t="s">
        <v>1282</v>
      </c>
      <c r="C474" s="749" t="s">
        <v>1043</v>
      </c>
      <c r="D474" s="703" t="n">
        <v>0.4</v>
      </c>
      <c r="E474" s="774"/>
      <c r="F474" s="703"/>
      <c r="G474" s="703" t="n">
        <v>13000</v>
      </c>
    </row>
    <row r="475" customFormat="false" ht="15" hidden="true" customHeight="true" outlineLevel="1" collapsed="false">
      <c r="A475" s="773"/>
      <c r="B475" s="742" t="s">
        <v>1283</v>
      </c>
      <c r="C475" s="749" t="s">
        <v>1043</v>
      </c>
      <c r="D475" s="703" t="n">
        <v>0.42</v>
      </c>
      <c r="E475" s="774"/>
      <c r="F475" s="703"/>
      <c r="G475" s="703" t="n">
        <v>13000</v>
      </c>
    </row>
    <row r="476" customFormat="false" ht="15" hidden="true" customHeight="true" outlineLevel="1" collapsed="false">
      <c r="A476" s="773"/>
      <c r="B476" s="742" t="s">
        <v>1284</v>
      </c>
      <c r="C476" s="749" t="s">
        <v>1043</v>
      </c>
      <c r="D476" s="703" t="n">
        <v>0.44</v>
      </c>
      <c r="E476" s="774"/>
      <c r="F476" s="703"/>
      <c r="G476" s="703" t="n">
        <v>13500</v>
      </c>
    </row>
    <row r="477" customFormat="false" ht="15" hidden="true" customHeight="true" outlineLevel="1" collapsed="false">
      <c r="A477" s="773"/>
      <c r="B477" s="742" t="s">
        <v>1285</v>
      </c>
      <c r="C477" s="749" t="s">
        <v>1043</v>
      </c>
      <c r="D477" s="703" t="n">
        <v>0.46</v>
      </c>
      <c r="E477" s="774"/>
      <c r="F477" s="703"/>
      <c r="G477" s="703" t="n">
        <v>13500</v>
      </c>
    </row>
    <row r="478" customFormat="false" ht="15" hidden="true" customHeight="true" outlineLevel="1" collapsed="false">
      <c r="A478" s="773"/>
      <c r="B478" s="742" t="s">
        <v>1286</v>
      </c>
      <c r="C478" s="749" t="s">
        <v>1043</v>
      </c>
      <c r="D478" s="703" t="n">
        <v>0.48</v>
      </c>
      <c r="E478" s="774"/>
      <c r="F478" s="703"/>
      <c r="G478" s="703" t="n">
        <v>14000</v>
      </c>
    </row>
    <row r="479" customFormat="false" ht="15" hidden="true" customHeight="true" outlineLevel="1" collapsed="false">
      <c r="A479" s="773"/>
      <c r="B479" s="742" t="s">
        <v>1287</v>
      </c>
      <c r="C479" s="749" t="s">
        <v>1043</v>
      </c>
      <c r="D479" s="703" t="n">
        <v>0.5</v>
      </c>
      <c r="E479" s="774"/>
      <c r="F479" s="703"/>
      <c r="G479" s="703" t="n">
        <v>14000</v>
      </c>
    </row>
    <row r="480" customFormat="false" ht="15" hidden="true" customHeight="true" outlineLevel="1" collapsed="false">
      <c r="A480" s="773"/>
      <c r="B480" s="742" t="s">
        <v>612</v>
      </c>
      <c r="C480" s="749" t="s">
        <v>1043</v>
      </c>
      <c r="D480" s="703" t="n">
        <v>0.28</v>
      </c>
      <c r="E480" s="774"/>
      <c r="F480" s="703"/>
      <c r="G480" s="703" t="n">
        <v>10000</v>
      </c>
    </row>
    <row r="481" customFormat="false" ht="15" hidden="true" customHeight="true" outlineLevel="1" collapsed="false">
      <c r="A481" s="773"/>
      <c r="B481" s="742" t="s">
        <v>1288</v>
      </c>
      <c r="C481" s="749" t="s">
        <v>1043</v>
      </c>
      <c r="D481" s="703" t="n">
        <v>0.3</v>
      </c>
      <c r="E481" s="774"/>
      <c r="F481" s="703"/>
      <c r="G481" s="703" t="n">
        <v>10000</v>
      </c>
    </row>
    <row r="482" customFormat="false" ht="15" hidden="true" customHeight="true" outlineLevel="1" collapsed="false">
      <c r="A482" s="773"/>
      <c r="B482" s="742" t="s">
        <v>1289</v>
      </c>
      <c r="C482" s="749" t="s">
        <v>1043</v>
      </c>
      <c r="D482" s="703" t="n">
        <v>0.32</v>
      </c>
      <c r="E482" s="772"/>
      <c r="F482" s="703"/>
      <c r="G482" s="703" t="n">
        <v>10500</v>
      </c>
    </row>
    <row r="483" customFormat="false" ht="15" hidden="true" customHeight="true" outlineLevel="1" collapsed="false">
      <c r="A483" s="773"/>
      <c r="B483" s="742" t="s">
        <v>1290</v>
      </c>
      <c r="C483" s="749" t="s">
        <v>1043</v>
      </c>
      <c r="D483" s="703" t="n">
        <v>0.34</v>
      </c>
      <c r="E483" s="772"/>
      <c r="F483" s="703"/>
      <c r="G483" s="703" t="n">
        <v>10500</v>
      </c>
    </row>
    <row r="484" customFormat="false" ht="15" hidden="true" customHeight="true" outlineLevel="1" collapsed="false">
      <c r="A484" s="773"/>
      <c r="B484" s="742" t="s">
        <v>1291</v>
      </c>
      <c r="C484" s="749" t="s">
        <v>1043</v>
      </c>
      <c r="D484" s="703" t="n">
        <v>0.36</v>
      </c>
      <c r="E484" s="772"/>
      <c r="F484" s="703"/>
      <c r="G484" s="703" t="n">
        <v>11000</v>
      </c>
    </row>
    <row r="485" customFormat="false" ht="15" hidden="true" customHeight="true" outlineLevel="1" collapsed="false">
      <c r="A485" s="773"/>
      <c r="B485" s="742" t="s">
        <v>1292</v>
      </c>
      <c r="C485" s="749" t="s">
        <v>1043</v>
      </c>
      <c r="D485" s="703" t="n">
        <v>0.38</v>
      </c>
      <c r="E485" s="772"/>
      <c r="F485" s="703"/>
      <c r="G485" s="703" t="n">
        <v>11000</v>
      </c>
    </row>
    <row r="486" customFormat="false" ht="15" hidden="true" customHeight="true" outlineLevel="1" collapsed="false">
      <c r="A486" s="773"/>
      <c r="B486" s="742" t="s">
        <v>1293</v>
      </c>
      <c r="C486" s="749" t="s">
        <v>1043</v>
      </c>
      <c r="D486" s="703" t="n">
        <v>0.4</v>
      </c>
      <c r="E486" s="772"/>
      <c r="F486" s="703"/>
      <c r="G486" s="703" t="n">
        <v>11500</v>
      </c>
    </row>
    <row r="487" customFormat="false" ht="15" hidden="true" customHeight="true" outlineLevel="1" collapsed="false">
      <c r="A487" s="773"/>
      <c r="B487" s="742" t="s">
        <v>1294</v>
      </c>
      <c r="C487" s="749" t="s">
        <v>1043</v>
      </c>
      <c r="D487" s="703" t="n">
        <v>0.42</v>
      </c>
      <c r="E487" s="772"/>
      <c r="F487" s="703"/>
      <c r="G487" s="703" t="n">
        <v>11500</v>
      </c>
    </row>
    <row r="488" customFormat="false" ht="15" hidden="true" customHeight="true" outlineLevel="1" collapsed="false">
      <c r="A488" s="773"/>
      <c r="B488" s="742" t="s">
        <v>1295</v>
      </c>
      <c r="C488" s="749" t="s">
        <v>1043</v>
      </c>
      <c r="D488" s="703" t="n">
        <v>0.44</v>
      </c>
      <c r="E488" s="772"/>
      <c r="F488" s="703"/>
      <c r="G488" s="703" t="n">
        <v>12000</v>
      </c>
    </row>
    <row r="489" customFormat="false" ht="15" hidden="true" customHeight="true" outlineLevel="1" collapsed="false">
      <c r="A489" s="773"/>
      <c r="B489" s="742" t="s">
        <v>1296</v>
      </c>
      <c r="C489" s="749" t="s">
        <v>1043</v>
      </c>
      <c r="D489" s="703" t="n">
        <v>0.46</v>
      </c>
      <c r="E489" s="772"/>
      <c r="F489" s="703"/>
      <c r="G489" s="703" t="n">
        <v>12000</v>
      </c>
    </row>
    <row r="490" customFormat="false" ht="15" hidden="true" customHeight="true" outlineLevel="1" collapsed="false">
      <c r="A490" s="773"/>
      <c r="B490" s="742" t="s">
        <v>1297</v>
      </c>
      <c r="C490" s="749" t="s">
        <v>1043</v>
      </c>
      <c r="D490" s="703" t="n">
        <v>0.48</v>
      </c>
      <c r="E490" s="772"/>
      <c r="F490" s="703"/>
      <c r="G490" s="703" t="n">
        <v>12500</v>
      </c>
    </row>
    <row r="491" customFormat="false" ht="15" hidden="true" customHeight="true" outlineLevel="1" collapsed="false">
      <c r="A491" s="773"/>
      <c r="B491" s="742" t="s">
        <v>1298</v>
      </c>
      <c r="C491" s="749" t="s">
        <v>1043</v>
      </c>
      <c r="D491" s="703" t="n">
        <v>0.5</v>
      </c>
      <c r="E491" s="772"/>
      <c r="F491" s="703"/>
      <c r="G491" s="703" t="n">
        <v>12500</v>
      </c>
    </row>
    <row r="492" customFormat="false" ht="15" hidden="true" customHeight="true" outlineLevel="1" collapsed="false">
      <c r="A492" s="773"/>
      <c r="B492" s="742" t="s">
        <v>1299</v>
      </c>
      <c r="C492" s="749" t="s">
        <v>1043</v>
      </c>
      <c r="D492" s="676" t="n">
        <v>0.2</v>
      </c>
      <c r="E492" s="772"/>
      <c r="F492" s="703"/>
      <c r="G492" s="676" t="n">
        <v>5000</v>
      </c>
    </row>
    <row r="493" customFormat="false" ht="15" hidden="true" customHeight="true" outlineLevel="1" collapsed="false">
      <c r="A493" s="773"/>
      <c r="B493" s="742" t="s">
        <v>1300</v>
      </c>
      <c r="C493" s="749" t="s">
        <v>1043</v>
      </c>
      <c r="D493" s="676" t="n">
        <v>0.22</v>
      </c>
      <c r="E493" s="772"/>
      <c r="F493" s="703"/>
      <c r="G493" s="676" t="n">
        <v>5000</v>
      </c>
    </row>
    <row r="494" customFormat="false" ht="15" hidden="true" customHeight="true" outlineLevel="1" collapsed="false">
      <c r="A494" s="773"/>
      <c r="B494" s="742" t="s">
        <v>1301</v>
      </c>
      <c r="C494" s="749" t="s">
        <v>1043</v>
      </c>
      <c r="D494" s="676" t="n">
        <v>0.24</v>
      </c>
      <c r="E494" s="772"/>
      <c r="F494" s="703"/>
      <c r="G494" s="676" t="n">
        <v>5000</v>
      </c>
    </row>
    <row r="495" customFormat="false" ht="15" hidden="true" customHeight="true" outlineLevel="1" collapsed="false">
      <c r="A495" s="773"/>
      <c r="B495" s="742" t="s">
        <v>1302</v>
      </c>
      <c r="C495" s="749" t="s">
        <v>1043</v>
      </c>
      <c r="D495" s="676" t="n">
        <v>0.26</v>
      </c>
      <c r="E495" s="772"/>
      <c r="F495" s="703"/>
      <c r="G495" s="676" t="n">
        <v>5000</v>
      </c>
    </row>
    <row r="496" customFormat="false" ht="15" hidden="true" customHeight="true" outlineLevel="1" collapsed="false">
      <c r="A496" s="773"/>
      <c r="B496" s="742" t="s">
        <v>1303</v>
      </c>
      <c r="C496" s="749" t="s">
        <v>1043</v>
      </c>
      <c r="D496" s="703" t="n">
        <v>0.28</v>
      </c>
      <c r="E496" s="774"/>
      <c r="F496" s="703"/>
      <c r="G496" s="676" t="n">
        <v>5000</v>
      </c>
    </row>
    <row r="497" customFormat="false" ht="15" hidden="true" customHeight="true" outlineLevel="1" collapsed="false">
      <c r="A497" s="773"/>
      <c r="B497" s="742" t="s">
        <v>1304</v>
      </c>
      <c r="C497" s="749" t="s">
        <v>1043</v>
      </c>
      <c r="D497" s="703" t="n">
        <v>0.3</v>
      </c>
      <c r="E497" s="774"/>
      <c r="F497" s="703"/>
      <c r="G497" s="676" t="n">
        <v>5000</v>
      </c>
    </row>
    <row r="498" customFormat="false" ht="15" hidden="true" customHeight="true" outlineLevel="1" collapsed="false">
      <c r="A498" s="773"/>
      <c r="B498" s="742" t="s">
        <v>1305</v>
      </c>
      <c r="C498" s="749" t="s">
        <v>1043</v>
      </c>
      <c r="D498" s="703" t="n">
        <v>0.32</v>
      </c>
      <c r="E498" s="774"/>
      <c r="F498" s="703"/>
      <c r="G498" s="676" t="n">
        <v>5000</v>
      </c>
    </row>
    <row r="499" customFormat="false" ht="15" hidden="true" customHeight="true" outlineLevel="1" collapsed="false">
      <c r="A499" s="773"/>
      <c r="B499" s="742" t="s">
        <v>1306</v>
      </c>
      <c r="C499" s="749" t="s">
        <v>1043</v>
      </c>
      <c r="D499" s="703" t="n">
        <v>0.34</v>
      </c>
      <c r="E499" s="774"/>
      <c r="F499" s="703"/>
      <c r="G499" s="676" t="n">
        <v>5000</v>
      </c>
    </row>
    <row r="500" customFormat="false" ht="15" hidden="true" customHeight="true" outlineLevel="1" collapsed="false">
      <c r="A500" s="773"/>
      <c r="B500" s="742" t="s">
        <v>1307</v>
      </c>
      <c r="C500" s="749" t="s">
        <v>1043</v>
      </c>
      <c r="D500" s="703" t="n">
        <v>0.36</v>
      </c>
      <c r="E500" s="774"/>
      <c r="F500" s="703"/>
      <c r="G500" s="676" t="n">
        <v>5000</v>
      </c>
    </row>
    <row r="501" customFormat="false" ht="15" hidden="true" customHeight="true" outlineLevel="1" collapsed="false">
      <c r="A501" s="773"/>
      <c r="B501" s="742" t="s">
        <v>1308</v>
      </c>
      <c r="C501" s="749" t="s">
        <v>1043</v>
      </c>
      <c r="D501" s="703" t="n">
        <v>0.38</v>
      </c>
      <c r="E501" s="774"/>
      <c r="F501" s="703"/>
      <c r="G501" s="676" t="n">
        <v>5000</v>
      </c>
    </row>
    <row r="502" customFormat="false" ht="15" hidden="true" customHeight="true" outlineLevel="1" collapsed="false">
      <c r="A502" s="773"/>
      <c r="B502" s="742" t="s">
        <v>1309</v>
      </c>
      <c r="C502" s="749" t="s">
        <v>1043</v>
      </c>
      <c r="D502" s="703" t="n">
        <v>0.4</v>
      </c>
      <c r="E502" s="774"/>
      <c r="F502" s="703"/>
      <c r="G502" s="676" t="n">
        <v>5000</v>
      </c>
    </row>
    <row r="503" customFormat="false" ht="15" hidden="true" customHeight="true" outlineLevel="1" collapsed="false">
      <c r="A503" s="773"/>
      <c r="B503" s="742" t="s">
        <v>1310</v>
      </c>
      <c r="C503" s="749" t="s">
        <v>1043</v>
      </c>
      <c r="D503" s="703" t="n">
        <v>0.42</v>
      </c>
      <c r="E503" s="774"/>
      <c r="F503" s="703"/>
      <c r="G503" s="676" t="n">
        <v>5000</v>
      </c>
    </row>
    <row r="504" customFormat="false" ht="15" hidden="true" customHeight="true" outlineLevel="1" collapsed="false">
      <c r="A504" s="773"/>
      <c r="B504" s="742" t="s">
        <v>1311</v>
      </c>
      <c r="C504" s="749" t="s">
        <v>1043</v>
      </c>
      <c r="D504" s="703" t="n">
        <v>0.44</v>
      </c>
      <c r="E504" s="774"/>
      <c r="F504" s="703"/>
      <c r="G504" s="676" t="n">
        <v>5000</v>
      </c>
    </row>
    <row r="505" customFormat="false" ht="15" hidden="true" customHeight="true" outlineLevel="1" collapsed="false">
      <c r="A505" s="773"/>
      <c r="B505" s="742" t="s">
        <v>1312</v>
      </c>
      <c r="C505" s="749" t="s">
        <v>1043</v>
      </c>
      <c r="D505" s="703" t="n">
        <v>0.46</v>
      </c>
      <c r="E505" s="774"/>
      <c r="F505" s="703"/>
      <c r="G505" s="676" t="n">
        <v>5000</v>
      </c>
    </row>
    <row r="506" customFormat="false" ht="15" hidden="true" customHeight="true" outlineLevel="1" collapsed="false">
      <c r="A506" s="773"/>
      <c r="B506" s="742" t="s">
        <v>1313</v>
      </c>
      <c r="C506" s="749" t="s">
        <v>1043</v>
      </c>
      <c r="D506" s="703" t="n">
        <v>0.48</v>
      </c>
      <c r="E506" s="774"/>
      <c r="F506" s="703"/>
      <c r="G506" s="676" t="n">
        <v>5000</v>
      </c>
    </row>
    <row r="507" customFormat="false" ht="15" hidden="true" customHeight="true" outlineLevel="1" collapsed="false">
      <c r="A507" s="773"/>
      <c r="B507" s="742" t="s">
        <v>1314</v>
      </c>
      <c r="C507" s="749" t="s">
        <v>1043</v>
      </c>
      <c r="D507" s="703" t="n">
        <v>0.5</v>
      </c>
      <c r="E507" s="774"/>
      <c r="F507" s="703"/>
      <c r="G507" s="676" t="n">
        <v>5000</v>
      </c>
    </row>
    <row r="508" customFormat="false" ht="15" hidden="true" customHeight="true" outlineLevel="1" collapsed="false">
      <c r="A508" s="773"/>
      <c r="B508" s="742" t="s">
        <v>1315</v>
      </c>
      <c r="C508" s="749" t="s">
        <v>1043</v>
      </c>
      <c r="D508" s="676" t="n">
        <v>0.2</v>
      </c>
      <c r="E508" s="774"/>
      <c r="F508" s="703"/>
      <c r="G508" s="703" t="n">
        <v>6500</v>
      </c>
    </row>
    <row r="509" customFormat="false" ht="15" hidden="true" customHeight="true" outlineLevel="1" collapsed="false">
      <c r="A509" s="773"/>
      <c r="B509" s="742" t="s">
        <v>1316</v>
      </c>
      <c r="C509" s="749" t="s">
        <v>1043</v>
      </c>
      <c r="D509" s="676" t="n">
        <v>0.22</v>
      </c>
      <c r="E509" s="774"/>
      <c r="F509" s="703"/>
      <c r="G509" s="703" t="n">
        <v>6500</v>
      </c>
    </row>
    <row r="510" customFormat="false" ht="15" hidden="true" customHeight="true" outlineLevel="1" collapsed="false">
      <c r="A510" s="773"/>
      <c r="B510" s="742" t="s">
        <v>1317</v>
      </c>
      <c r="C510" s="749" t="s">
        <v>1043</v>
      </c>
      <c r="D510" s="676" t="n">
        <v>0.24</v>
      </c>
      <c r="E510" s="774"/>
      <c r="F510" s="703"/>
      <c r="G510" s="703" t="n">
        <v>6500</v>
      </c>
    </row>
    <row r="511" customFormat="false" ht="15" hidden="true" customHeight="true" outlineLevel="1" collapsed="false">
      <c r="A511" s="773"/>
      <c r="B511" s="742" t="s">
        <v>1318</v>
      </c>
      <c r="C511" s="749" t="s">
        <v>1043</v>
      </c>
      <c r="D511" s="676" t="n">
        <v>0.26</v>
      </c>
      <c r="E511" s="774"/>
      <c r="F511" s="703"/>
      <c r="G511" s="703" t="n">
        <v>6500</v>
      </c>
    </row>
    <row r="512" customFormat="false" ht="15" hidden="true" customHeight="true" outlineLevel="1" collapsed="false">
      <c r="A512" s="773"/>
      <c r="B512" s="742" t="s">
        <v>1319</v>
      </c>
      <c r="C512" s="749" t="s">
        <v>1043</v>
      </c>
      <c r="D512" s="703" t="n">
        <v>0.28</v>
      </c>
      <c r="E512" s="774"/>
      <c r="F512" s="703"/>
      <c r="G512" s="703" t="n">
        <v>6500</v>
      </c>
    </row>
    <row r="513" customFormat="false" ht="15" hidden="true" customHeight="true" outlineLevel="1" collapsed="false">
      <c r="A513" s="773"/>
      <c r="B513" s="742" t="s">
        <v>1320</v>
      </c>
      <c r="C513" s="749" t="s">
        <v>1043</v>
      </c>
      <c r="D513" s="703" t="n">
        <v>0.3</v>
      </c>
      <c r="E513" s="774"/>
      <c r="F513" s="703"/>
      <c r="G513" s="703" t="n">
        <v>6500</v>
      </c>
    </row>
    <row r="514" customFormat="false" ht="15" hidden="true" customHeight="true" outlineLevel="1" collapsed="false">
      <c r="A514" s="773"/>
      <c r="B514" s="742" t="s">
        <v>1321</v>
      </c>
      <c r="C514" s="749" t="s">
        <v>1043</v>
      </c>
      <c r="D514" s="703" t="n">
        <v>0.32</v>
      </c>
      <c r="E514" s="774"/>
      <c r="F514" s="703"/>
      <c r="G514" s="703" t="n">
        <v>6500</v>
      </c>
    </row>
    <row r="515" customFormat="false" ht="15" hidden="true" customHeight="true" outlineLevel="1" collapsed="false">
      <c r="A515" s="773"/>
      <c r="B515" s="742" t="s">
        <v>1322</v>
      </c>
      <c r="C515" s="749" t="s">
        <v>1043</v>
      </c>
      <c r="D515" s="703" t="n">
        <v>0.34</v>
      </c>
      <c r="E515" s="774"/>
      <c r="F515" s="703"/>
      <c r="G515" s="703" t="n">
        <v>6500</v>
      </c>
    </row>
    <row r="516" customFormat="false" ht="15" hidden="true" customHeight="true" outlineLevel="1" collapsed="false">
      <c r="A516" s="773"/>
      <c r="B516" s="742" t="s">
        <v>1323</v>
      </c>
      <c r="C516" s="749" t="s">
        <v>1043</v>
      </c>
      <c r="D516" s="703" t="n">
        <v>0.36</v>
      </c>
      <c r="E516" s="774"/>
      <c r="F516" s="703"/>
      <c r="G516" s="703" t="n">
        <v>6500</v>
      </c>
    </row>
    <row r="517" customFormat="false" ht="15" hidden="true" customHeight="true" outlineLevel="1" collapsed="false">
      <c r="A517" s="773"/>
      <c r="B517" s="742" t="s">
        <v>1324</v>
      </c>
      <c r="C517" s="749" t="s">
        <v>1043</v>
      </c>
      <c r="D517" s="703" t="n">
        <v>0.38</v>
      </c>
      <c r="E517" s="774"/>
      <c r="F517" s="703"/>
      <c r="G517" s="703" t="n">
        <v>6500</v>
      </c>
    </row>
    <row r="518" customFormat="false" ht="15" hidden="true" customHeight="true" outlineLevel="1" collapsed="false">
      <c r="A518" s="773"/>
      <c r="B518" s="742" t="s">
        <v>1325</v>
      </c>
      <c r="C518" s="749" t="s">
        <v>1043</v>
      </c>
      <c r="D518" s="703" t="n">
        <v>0.4</v>
      </c>
      <c r="E518" s="774"/>
      <c r="F518" s="703"/>
      <c r="G518" s="703" t="n">
        <v>6500</v>
      </c>
    </row>
    <row r="519" customFormat="false" ht="15" hidden="true" customHeight="true" outlineLevel="1" collapsed="false">
      <c r="A519" s="773"/>
      <c r="B519" s="742" t="s">
        <v>1326</v>
      </c>
      <c r="C519" s="749" t="s">
        <v>1043</v>
      </c>
      <c r="D519" s="703" t="n">
        <v>0.42</v>
      </c>
      <c r="E519" s="774"/>
      <c r="F519" s="703"/>
      <c r="G519" s="703" t="n">
        <v>6500</v>
      </c>
    </row>
    <row r="520" customFormat="false" ht="15" hidden="true" customHeight="true" outlineLevel="1" collapsed="false">
      <c r="A520" s="773"/>
      <c r="B520" s="742" t="s">
        <v>1327</v>
      </c>
      <c r="C520" s="749" t="s">
        <v>1043</v>
      </c>
      <c r="D520" s="703" t="n">
        <v>0.44</v>
      </c>
      <c r="E520" s="774"/>
      <c r="F520" s="703"/>
      <c r="G520" s="703" t="n">
        <v>6500</v>
      </c>
    </row>
    <row r="521" customFormat="false" ht="15" hidden="true" customHeight="true" outlineLevel="1" collapsed="false">
      <c r="A521" s="773"/>
      <c r="B521" s="742" t="s">
        <v>1328</v>
      </c>
      <c r="C521" s="749" t="s">
        <v>1043</v>
      </c>
      <c r="D521" s="703" t="n">
        <v>0.46</v>
      </c>
      <c r="E521" s="774"/>
      <c r="F521" s="703"/>
      <c r="G521" s="703" t="n">
        <v>6500</v>
      </c>
    </row>
    <row r="522" customFormat="false" ht="15" hidden="true" customHeight="true" outlineLevel="1" collapsed="false">
      <c r="A522" s="773"/>
      <c r="B522" s="742" t="s">
        <v>1329</v>
      </c>
      <c r="C522" s="749" t="s">
        <v>1043</v>
      </c>
      <c r="D522" s="703" t="n">
        <v>0.48</v>
      </c>
      <c r="E522" s="774"/>
      <c r="F522" s="703"/>
      <c r="G522" s="703" t="n">
        <v>6500</v>
      </c>
    </row>
    <row r="523" customFormat="false" ht="15" hidden="true" customHeight="true" outlineLevel="1" collapsed="false">
      <c r="A523" s="773"/>
      <c r="B523" s="742" t="s">
        <v>1330</v>
      </c>
      <c r="C523" s="749" t="s">
        <v>1043</v>
      </c>
      <c r="D523" s="703" t="n">
        <v>0.5</v>
      </c>
      <c r="E523" s="774"/>
      <c r="F523" s="703"/>
      <c r="G523" s="703" t="n">
        <v>6500</v>
      </c>
    </row>
    <row r="524" customFormat="false" ht="15" hidden="true" customHeight="true" outlineLevel="1" collapsed="false">
      <c r="A524" s="773"/>
      <c r="B524" s="742" t="s">
        <v>1331</v>
      </c>
      <c r="C524" s="749" t="s">
        <v>1043</v>
      </c>
      <c r="D524" s="703" t="n">
        <v>0.28</v>
      </c>
      <c r="E524" s="774"/>
      <c r="F524" s="703"/>
      <c r="G524" s="703" t="n">
        <v>6000</v>
      </c>
    </row>
    <row r="525" customFormat="false" ht="15" hidden="true" customHeight="true" outlineLevel="1" collapsed="false">
      <c r="A525" s="773"/>
      <c r="B525" s="742" t="s">
        <v>1332</v>
      </c>
      <c r="C525" s="749" t="s">
        <v>1043</v>
      </c>
      <c r="D525" s="703" t="n">
        <v>0.3</v>
      </c>
      <c r="E525" s="774"/>
      <c r="F525" s="703"/>
      <c r="G525" s="703" t="n">
        <v>6000</v>
      </c>
    </row>
    <row r="526" customFormat="false" ht="15" hidden="true" customHeight="true" outlineLevel="1" collapsed="false">
      <c r="A526" s="773"/>
      <c r="B526" s="742" t="s">
        <v>1333</v>
      </c>
      <c r="C526" s="749" t="s">
        <v>1043</v>
      </c>
      <c r="D526" s="703" t="n">
        <v>0.32</v>
      </c>
      <c r="E526" s="772"/>
      <c r="F526" s="703"/>
      <c r="G526" s="703" t="n">
        <v>6000</v>
      </c>
    </row>
    <row r="527" customFormat="false" ht="15" hidden="true" customHeight="true" outlineLevel="1" collapsed="false">
      <c r="A527" s="773"/>
      <c r="B527" s="742" t="s">
        <v>1334</v>
      </c>
      <c r="C527" s="749" t="s">
        <v>1043</v>
      </c>
      <c r="D527" s="703" t="n">
        <v>0.34</v>
      </c>
      <c r="E527" s="772"/>
      <c r="F527" s="703"/>
      <c r="G527" s="703" t="n">
        <v>6000</v>
      </c>
    </row>
    <row r="528" customFormat="false" ht="15" hidden="true" customHeight="true" outlineLevel="1" collapsed="false">
      <c r="A528" s="773"/>
      <c r="B528" s="742" t="s">
        <v>1335</v>
      </c>
      <c r="C528" s="749" t="s">
        <v>1043</v>
      </c>
      <c r="D528" s="703" t="n">
        <v>0.36</v>
      </c>
      <c r="E528" s="772"/>
      <c r="F528" s="703"/>
      <c r="G528" s="703" t="n">
        <v>6000</v>
      </c>
    </row>
    <row r="529" customFormat="false" ht="15" hidden="true" customHeight="true" outlineLevel="1" collapsed="false">
      <c r="A529" s="773"/>
      <c r="B529" s="742" t="s">
        <v>1336</v>
      </c>
      <c r="C529" s="749" t="s">
        <v>1043</v>
      </c>
      <c r="D529" s="703" t="n">
        <v>0.38</v>
      </c>
      <c r="E529" s="772"/>
      <c r="F529" s="703"/>
      <c r="G529" s="703" t="n">
        <v>6000</v>
      </c>
    </row>
    <row r="530" customFormat="false" ht="15" hidden="true" customHeight="true" outlineLevel="1" collapsed="false">
      <c r="A530" s="773"/>
      <c r="B530" s="742" t="s">
        <v>1337</v>
      </c>
      <c r="C530" s="749" t="s">
        <v>1043</v>
      </c>
      <c r="D530" s="703" t="n">
        <v>0.4</v>
      </c>
      <c r="E530" s="772"/>
      <c r="F530" s="703"/>
      <c r="G530" s="703" t="n">
        <v>6000</v>
      </c>
    </row>
    <row r="531" customFormat="false" ht="15" hidden="true" customHeight="true" outlineLevel="1" collapsed="false">
      <c r="A531" s="773"/>
      <c r="B531" s="742" t="s">
        <v>1338</v>
      </c>
      <c r="C531" s="749" t="s">
        <v>1043</v>
      </c>
      <c r="D531" s="703" t="n">
        <v>0.42</v>
      </c>
      <c r="E531" s="772"/>
      <c r="F531" s="703"/>
      <c r="G531" s="703" t="n">
        <v>6000</v>
      </c>
    </row>
    <row r="532" customFormat="false" ht="15" hidden="true" customHeight="true" outlineLevel="1" collapsed="false">
      <c r="A532" s="773"/>
      <c r="B532" s="742" t="s">
        <v>1339</v>
      </c>
      <c r="C532" s="749" t="s">
        <v>1043</v>
      </c>
      <c r="D532" s="703" t="n">
        <v>0.44</v>
      </c>
      <c r="E532" s="772"/>
      <c r="F532" s="703"/>
      <c r="G532" s="703" t="n">
        <v>6000</v>
      </c>
    </row>
    <row r="533" customFormat="false" ht="15" hidden="true" customHeight="true" outlineLevel="1" collapsed="false">
      <c r="A533" s="773"/>
      <c r="B533" s="742" t="s">
        <v>1340</v>
      </c>
      <c r="C533" s="749" t="s">
        <v>1043</v>
      </c>
      <c r="D533" s="703" t="n">
        <v>0.46</v>
      </c>
      <c r="E533" s="772"/>
      <c r="F533" s="703"/>
      <c r="G533" s="703" t="n">
        <v>6000</v>
      </c>
    </row>
    <row r="534" customFormat="false" ht="15" hidden="true" customHeight="true" outlineLevel="1" collapsed="false">
      <c r="A534" s="773"/>
      <c r="B534" s="742" t="s">
        <v>1341</v>
      </c>
      <c r="C534" s="749" t="s">
        <v>1043</v>
      </c>
      <c r="D534" s="703" t="n">
        <v>0.48</v>
      </c>
      <c r="E534" s="772"/>
      <c r="F534" s="703"/>
      <c r="G534" s="703" t="n">
        <v>6000</v>
      </c>
    </row>
    <row r="535" customFormat="false" ht="15" hidden="true" customHeight="true" outlineLevel="1" collapsed="false">
      <c r="A535" s="773"/>
      <c r="B535" s="742" t="s">
        <v>1342</v>
      </c>
      <c r="C535" s="749" t="s">
        <v>1043</v>
      </c>
      <c r="D535" s="703" t="n">
        <v>0.5</v>
      </c>
      <c r="E535" s="772"/>
      <c r="F535" s="703"/>
      <c r="G535" s="703" t="n">
        <v>6000</v>
      </c>
    </row>
    <row r="536" customFormat="false" ht="15" hidden="true" customHeight="true" outlineLevel="1" collapsed="false">
      <c r="A536" s="773"/>
      <c r="B536" s="742" t="s">
        <v>1343</v>
      </c>
      <c r="C536" s="749" t="s">
        <v>48</v>
      </c>
      <c r="D536" s="703"/>
      <c r="E536" s="772"/>
      <c r="F536" s="703"/>
      <c r="G536" s="703" t="n">
        <v>50</v>
      </c>
    </row>
    <row r="537" customFormat="false" ht="15" hidden="true" customHeight="true" outlineLevel="1" collapsed="false">
      <c r="A537" s="773"/>
      <c r="B537" s="742" t="s">
        <v>1344</v>
      </c>
      <c r="C537" s="749" t="s">
        <v>48</v>
      </c>
      <c r="D537" s="703"/>
      <c r="E537" s="772"/>
      <c r="F537" s="703"/>
      <c r="G537" s="703" t="n">
        <v>450</v>
      </c>
    </row>
    <row r="538" customFormat="false" ht="15" hidden="true" customHeight="true" outlineLevel="1" collapsed="false">
      <c r="A538" s="773"/>
      <c r="B538" s="742" t="s">
        <v>1345</v>
      </c>
      <c r="C538" s="749" t="s">
        <v>48</v>
      </c>
      <c r="D538" s="703"/>
      <c r="E538" s="772"/>
      <c r="F538" s="703"/>
      <c r="G538" s="703" t="n">
        <v>51</v>
      </c>
    </row>
    <row r="539" customFormat="false" ht="15" hidden="true" customHeight="true" outlineLevel="1" collapsed="false">
      <c r="A539" s="773"/>
      <c r="B539" s="742"/>
      <c r="C539" s="749"/>
      <c r="D539" s="703"/>
      <c r="E539" s="772"/>
      <c r="F539" s="703"/>
      <c r="G539" s="703"/>
    </row>
    <row r="540" customFormat="false" ht="15" hidden="false" customHeight="true" outlineLevel="0" collapsed="false">
      <c r="A540" s="768" t="s">
        <v>1256</v>
      </c>
      <c r="B540" s="769"/>
      <c r="C540" s="770" t="s">
        <v>162</v>
      </c>
      <c r="D540" s="760" t="s">
        <v>1257</v>
      </c>
      <c r="E540" s="760" t="s">
        <v>1149</v>
      </c>
      <c r="F540" s="710" t="s">
        <v>981</v>
      </c>
      <c r="G540" s="710"/>
    </row>
    <row r="541" customFormat="false" ht="15" hidden="true" customHeight="true" outlineLevel="1" collapsed="false">
      <c r="A541" s="775" t="s">
        <v>1346</v>
      </c>
      <c r="B541" s="776"/>
      <c r="C541" s="692" t="s">
        <v>162</v>
      </c>
      <c r="D541" s="709" t="s">
        <v>1097</v>
      </c>
      <c r="E541" s="709" t="s">
        <v>1149</v>
      </c>
      <c r="F541" s="777" t="s">
        <v>1137</v>
      </c>
      <c r="G541" s="778" t="s">
        <v>981</v>
      </c>
    </row>
    <row r="542" s="705" customFormat="true" ht="15" hidden="true" customHeight="true" outlineLevel="1" collapsed="false">
      <c r="A542" s="779"/>
      <c r="B542" s="674" t="s">
        <v>36</v>
      </c>
      <c r="C542" s="739" t="s">
        <v>820</v>
      </c>
      <c r="D542" s="780"/>
      <c r="E542" s="780"/>
      <c r="F542" s="781"/>
      <c r="G542" s="782" t="n">
        <v>0</v>
      </c>
      <c r="H542" s="651"/>
      <c r="I542" s="651"/>
      <c r="J542" s="651"/>
      <c r="K542" s="651"/>
      <c r="L542" s="651"/>
      <c r="M542" s="651"/>
      <c r="N542" s="651"/>
      <c r="O542" s="651"/>
      <c r="P542" s="651"/>
      <c r="Q542" s="651"/>
      <c r="R542" s="651"/>
      <c r="S542" s="651"/>
      <c r="T542" s="651"/>
      <c r="U542" s="651"/>
    </row>
    <row r="543" customFormat="false" ht="15" hidden="true" customHeight="true" outlineLevel="1" collapsed="false">
      <c r="A543" s="752"/>
      <c r="B543" s="738" t="s">
        <v>1347</v>
      </c>
      <c r="C543" s="739" t="s">
        <v>820</v>
      </c>
      <c r="D543" s="783"/>
      <c r="E543" s="784"/>
      <c r="F543" s="785"/>
      <c r="G543" s="785" t="n">
        <v>660</v>
      </c>
    </row>
    <row r="544" customFormat="false" ht="15" hidden="true" customHeight="true" outlineLevel="1" collapsed="false">
      <c r="A544" s="752"/>
      <c r="B544" s="738" t="s">
        <v>1348</v>
      </c>
      <c r="C544" s="739" t="s">
        <v>820</v>
      </c>
      <c r="D544" s="783"/>
      <c r="E544" s="784"/>
      <c r="F544" s="785"/>
      <c r="G544" s="785" t="n">
        <v>720</v>
      </c>
    </row>
    <row r="545" customFormat="false" ht="15" hidden="true" customHeight="true" outlineLevel="1" collapsed="false">
      <c r="A545" s="752"/>
      <c r="B545" s="738" t="s">
        <v>1349</v>
      </c>
      <c r="C545" s="739" t="s">
        <v>820</v>
      </c>
      <c r="D545" s="783"/>
      <c r="E545" s="784"/>
      <c r="F545" s="785"/>
      <c r="G545" s="785" t="n">
        <v>450</v>
      </c>
    </row>
    <row r="546" customFormat="false" ht="15" hidden="true" customHeight="true" outlineLevel="1" collapsed="false">
      <c r="A546" s="752"/>
      <c r="B546" s="738" t="s">
        <v>1350</v>
      </c>
      <c r="C546" s="739" t="s">
        <v>820</v>
      </c>
      <c r="D546" s="783"/>
      <c r="E546" s="784"/>
      <c r="F546" s="785"/>
      <c r="G546" s="785" t="n">
        <v>480</v>
      </c>
    </row>
    <row r="547" customFormat="false" ht="15" hidden="true" customHeight="true" outlineLevel="1" collapsed="false">
      <c r="A547" s="752"/>
      <c r="B547" s="738" t="s">
        <v>1351</v>
      </c>
      <c r="C547" s="739" t="s">
        <v>820</v>
      </c>
      <c r="D547" s="783"/>
      <c r="E547" s="784"/>
      <c r="F547" s="785"/>
      <c r="G547" s="785" t="n">
        <v>250</v>
      </c>
    </row>
    <row r="548" customFormat="false" ht="15" hidden="true" customHeight="true" outlineLevel="1" collapsed="false">
      <c r="A548" s="752"/>
      <c r="B548" s="738" t="s">
        <v>1352</v>
      </c>
      <c r="C548" s="739" t="s">
        <v>820</v>
      </c>
      <c r="D548" s="783"/>
      <c r="E548" s="784"/>
      <c r="F548" s="785"/>
      <c r="G548" s="785" t="n">
        <v>275</v>
      </c>
    </row>
    <row r="549" customFormat="false" ht="15" hidden="true" customHeight="true" outlineLevel="1" collapsed="false">
      <c r="A549" s="752"/>
      <c r="B549" s="738" t="s">
        <v>1353</v>
      </c>
      <c r="C549" s="739" t="s">
        <v>820</v>
      </c>
      <c r="D549" s="783"/>
      <c r="E549" s="784"/>
      <c r="F549" s="785"/>
      <c r="G549" s="785" t="n">
        <v>720</v>
      </c>
    </row>
    <row r="550" customFormat="false" ht="15" hidden="true" customHeight="true" outlineLevel="1" collapsed="false">
      <c r="A550" s="752"/>
      <c r="B550" s="738" t="s">
        <v>1354</v>
      </c>
      <c r="C550" s="739" t="s">
        <v>820</v>
      </c>
      <c r="D550" s="783"/>
      <c r="E550" s="784"/>
      <c r="F550" s="785"/>
      <c r="G550" s="785" t="n">
        <v>480</v>
      </c>
    </row>
    <row r="551" customFormat="false" ht="15" hidden="true" customHeight="true" outlineLevel="1" collapsed="false">
      <c r="A551" s="752"/>
      <c r="B551" s="738" t="s">
        <v>1355</v>
      </c>
      <c r="C551" s="739" t="s">
        <v>820</v>
      </c>
      <c r="D551" s="783"/>
      <c r="E551" s="784"/>
      <c r="F551" s="785"/>
      <c r="G551" s="785" t="n">
        <v>275</v>
      </c>
    </row>
    <row r="552" customFormat="false" ht="15" hidden="true" customHeight="true" outlineLevel="1" collapsed="false">
      <c r="A552" s="752"/>
      <c r="B552" s="738" t="s">
        <v>1356</v>
      </c>
      <c r="C552" s="739" t="s">
        <v>820</v>
      </c>
      <c r="D552" s="783"/>
      <c r="E552" s="784"/>
      <c r="F552" s="785"/>
      <c r="G552" s="785" t="n">
        <v>950</v>
      </c>
    </row>
    <row r="553" customFormat="false" ht="15" hidden="true" customHeight="true" outlineLevel="1" collapsed="false">
      <c r="A553" s="752"/>
      <c r="B553" s="738" t="s">
        <v>1357</v>
      </c>
      <c r="C553" s="739" t="s">
        <v>820</v>
      </c>
      <c r="D553" s="783"/>
      <c r="E553" s="784"/>
      <c r="F553" s="785"/>
      <c r="G553" s="785" t="n">
        <v>645</v>
      </c>
    </row>
    <row r="554" customFormat="false" ht="15" hidden="true" customHeight="true" outlineLevel="1" collapsed="false">
      <c r="A554" s="752"/>
      <c r="B554" s="738" t="s">
        <v>1358</v>
      </c>
      <c r="C554" s="739" t="s">
        <v>820</v>
      </c>
      <c r="D554" s="783"/>
      <c r="E554" s="784"/>
      <c r="F554" s="785"/>
      <c r="G554" s="785" t="n">
        <v>325</v>
      </c>
    </row>
    <row r="555" customFormat="false" ht="15" hidden="true" customHeight="true" outlineLevel="1" collapsed="false">
      <c r="A555" s="752"/>
      <c r="B555" s="738" t="s">
        <v>1359</v>
      </c>
      <c r="C555" s="739" t="s">
        <v>820</v>
      </c>
      <c r="D555" s="783"/>
      <c r="E555" s="784"/>
      <c r="F555" s="785"/>
      <c r="G555" s="785" t="n">
        <v>555</v>
      </c>
    </row>
    <row r="556" customFormat="false" ht="15" hidden="true" customHeight="true" outlineLevel="1" collapsed="false">
      <c r="A556" s="752"/>
      <c r="B556" s="738" t="s">
        <v>1360</v>
      </c>
      <c r="C556" s="739" t="s">
        <v>820</v>
      </c>
      <c r="D556" s="783"/>
      <c r="E556" s="784"/>
      <c r="F556" s="785"/>
      <c r="G556" s="785" t="n">
        <v>720</v>
      </c>
    </row>
    <row r="557" customFormat="false" ht="15" hidden="true" customHeight="true" outlineLevel="1" collapsed="false">
      <c r="A557" s="752"/>
      <c r="B557" s="738" t="s">
        <v>1361</v>
      </c>
      <c r="C557" s="739" t="s">
        <v>820</v>
      </c>
      <c r="D557" s="783"/>
      <c r="E557" s="784"/>
      <c r="F557" s="785"/>
      <c r="G557" s="785" t="n">
        <v>385</v>
      </c>
    </row>
    <row r="558" customFormat="false" ht="15" hidden="true" customHeight="true" outlineLevel="1" collapsed="false">
      <c r="A558" s="752"/>
      <c r="B558" s="738" t="s">
        <v>1362</v>
      </c>
      <c r="C558" s="739" t="s">
        <v>820</v>
      </c>
      <c r="D558" s="783"/>
      <c r="E558" s="784"/>
      <c r="F558" s="785"/>
      <c r="G558" s="785" t="n">
        <v>480</v>
      </c>
    </row>
    <row r="559" customFormat="false" ht="15" hidden="true" customHeight="true" outlineLevel="1" collapsed="false">
      <c r="A559" s="752"/>
      <c r="B559" s="738" t="s">
        <v>1363</v>
      </c>
      <c r="C559" s="739" t="s">
        <v>820</v>
      </c>
      <c r="D559" s="783"/>
      <c r="E559" s="784"/>
      <c r="F559" s="785"/>
      <c r="G559" s="785" t="n">
        <v>210</v>
      </c>
    </row>
    <row r="560" customFormat="false" ht="15" hidden="true" customHeight="true" outlineLevel="1" collapsed="false">
      <c r="A560" s="752"/>
      <c r="B560" s="738" t="s">
        <v>1364</v>
      </c>
      <c r="C560" s="739" t="s">
        <v>820</v>
      </c>
      <c r="D560" s="783"/>
      <c r="E560" s="784"/>
      <c r="F560" s="785"/>
      <c r="G560" s="785" t="n">
        <v>275</v>
      </c>
    </row>
    <row r="561" customFormat="false" ht="15" hidden="true" customHeight="true" outlineLevel="1" collapsed="false">
      <c r="A561" s="752"/>
      <c r="B561" s="738" t="s">
        <v>1365</v>
      </c>
      <c r="C561" s="739" t="s">
        <v>820</v>
      </c>
      <c r="D561" s="783"/>
      <c r="E561" s="784"/>
      <c r="F561" s="785"/>
      <c r="G561" s="785" t="n">
        <v>440</v>
      </c>
    </row>
    <row r="562" customFormat="false" ht="15" hidden="true" customHeight="true" outlineLevel="1" collapsed="false">
      <c r="A562" s="752"/>
      <c r="B562" s="738" t="s">
        <v>1366</v>
      </c>
      <c r="C562" s="739" t="s">
        <v>820</v>
      </c>
      <c r="D562" s="783"/>
      <c r="E562" s="784"/>
      <c r="F562" s="785"/>
      <c r="G562" s="785" t="n">
        <v>525</v>
      </c>
    </row>
    <row r="563" customFormat="false" ht="15" hidden="true" customHeight="true" outlineLevel="1" collapsed="false">
      <c r="A563" s="752"/>
      <c r="B563" s="738" t="s">
        <v>1367</v>
      </c>
      <c r="C563" s="739" t="s">
        <v>820</v>
      </c>
      <c r="D563" s="783"/>
      <c r="E563" s="784"/>
      <c r="F563" s="785"/>
      <c r="G563" s="785" t="n">
        <v>329</v>
      </c>
    </row>
    <row r="564" customFormat="false" ht="15" hidden="true" customHeight="true" outlineLevel="1" collapsed="false">
      <c r="A564" s="752"/>
      <c r="B564" s="738" t="s">
        <v>1368</v>
      </c>
      <c r="C564" s="739" t="s">
        <v>820</v>
      </c>
      <c r="D564" s="783"/>
      <c r="E564" s="784"/>
      <c r="F564" s="785"/>
      <c r="G564" s="785" t="n">
        <v>365</v>
      </c>
    </row>
    <row r="565" customFormat="false" ht="15" hidden="true" customHeight="true" outlineLevel="1" collapsed="false">
      <c r="A565" s="752"/>
      <c r="B565" s="738" t="s">
        <v>1369</v>
      </c>
      <c r="C565" s="739" t="s">
        <v>820</v>
      </c>
      <c r="D565" s="783"/>
      <c r="E565" s="784"/>
      <c r="F565" s="785"/>
      <c r="G565" s="785" t="n">
        <v>185</v>
      </c>
    </row>
    <row r="566" customFormat="false" ht="15" hidden="true" customHeight="true" outlineLevel="1" collapsed="false">
      <c r="A566" s="752"/>
      <c r="B566" s="738" t="s">
        <v>1370</v>
      </c>
      <c r="C566" s="739" t="s">
        <v>820</v>
      </c>
      <c r="D566" s="783"/>
      <c r="E566" s="784"/>
      <c r="F566" s="785"/>
      <c r="G566" s="785" t="n">
        <v>195</v>
      </c>
    </row>
    <row r="567" customFormat="false" ht="15" hidden="true" customHeight="true" outlineLevel="1" collapsed="false">
      <c r="A567" s="752"/>
      <c r="B567" s="738" t="s">
        <v>1371</v>
      </c>
      <c r="C567" s="739" t="s">
        <v>820</v>
      </c>
      <c r="D567" s="783"/>
      <c r="E567" s="784"/>
      <c r="F567" s="785"/>
      <c r="G567" s="785" t="n">
        <v>555</v>
      </c>
    </row>
    <row r="568" customFormat="false" ht="15" hidden="true" customHeight="true" outlineLevel="1" collapsed="false">
      <c r="A568" s="752"/>
      <c r="B568" s="738" t="s">
        <v>1372</v>
      </c>
      <c r="C568" s="739" t="s">
        <v>820</v>
      </c>
      <c r="D568" s="783"/>
      <c r="E568" s="784"/>
      <c r="F568" s="785"/>
      <c r="G568" s="785" t="n">
        <v>365</v>
      </c>
    </row>
    <row r="569" customFormat="false" ht="15" hidden="true" customHeight="true" outlineLevel="1" collapsed="false">
      <c r="A569" s="752"/>
      <c r="B569" s="738" t="s">
        <v>1373</v>
      </c>
      <c r="C569" s="739" t="s">
        <v>820</v>
      </c>
      <c r="D569" s="783"/>
      <c r="E569" s="784"/>
      <c r="F569" s="785"/>
      <c r="G569" s="785" t="n">
        <v>185</v>
      </c>
    </row>
    <row r="570" customFormat="false" ht="15" hidden="true" customHeight="true" outlineLevel="1" collapsed="false">
      <c r="A570" s="752"/>
      <c r="B570" s="738" t="s">
        <v>1374</v>
      </c>
      <c r="C570" s="739" t="s">
        <v>820</v>
      </c>
      <c r="D570" s="783"/>
      <c r="E570" s="784"/>
      <c r="F570" s="785"/>
      <c r="G570" s="785" t="n">
        <v>555</v>
      </c>
    </row>
    <row r="571" customFormat="false" ht="15" hidden="true" customHeight="true" outlineLevel="1" collapsed="false">
      <c r="A571" s="752"/>
      <c r="B571" s="738" t="s">
        <v>1375</v>
      </c>
      <c r="C571" s="739" t="s">
        <v>820</v>
      </c>
      <c r="D571" s="783"/>
      <c r="E571" s="784"/>
      <c r="F571" s="785"/>
      <c r="G571" s="785" t="n">
        <v>385</v>
      </c>
    </row>
    <row r="572" customFormat="false" ht="15" hidden="true" customHeight="true" outlineLevel="1" collapsed="false">
      <c r="A572" s="752"/>
      <c r="B572" s="738" t="s">
        <v>1376</v>
      </c>
      <c r="C572" s="739" t="s">
        <v>820</v>
      </c>
      <c r="D572" s="783"/>
      <c r="E572" s="784"/>
      <c r="F572" s="785"/>
      <c r="G572" s="785" t="n">
        <v>210</v>
      </c>
    </row>
    <row r="573" customFormat="false" ht="15" hidden="true" customHeight="true" outlineLevel="1" collapsed="false">
      <c r="A573" s="752"/>
      <c r="B573" s="784" t="s">
        <v>1377</v>
      </c>
      <c r="C573" s="739" t="s">
        <v>15</v>
      </c>
      <c r="D573" s="783"/>
      <c r="E573" s="784"/>
      <c r="F573" s="785"/>
      <c r="G573" s="785" t="n">
        <v>35</v>
      </c>
    </row>
    <row r="574" customFormat="false" ht="15" hidden="true" customHeight="true" outlineLevel="1" collapsed="false">
      <c r="A574" s="752"/>
      <c r="B574" s="784" t="s">
        <v>1378</v>
      </c>
      <c r="C574" s="739" t="s">
        <v>15</v>
      </c>
      <c r="D574" s="783"/>
      <c r="E574" s="784"/>
      <c r="F574" s="785"/>
      <c r="G574" s="785" t="n">
        <v>27</v>
      </c>
    </row>
    <row r="575" customFormat="false" ht="15" hidden="true" customHeight="true" outlineLevel="1" collapsed="false">
      <c r="A575" s="752"/>
      <c r="B575" s="784" t="s">
        <v>707</v>
      </c>
      <c r="C575" s="739" t="s">
        <v>15</v>
      </c>
      <c r="D575" s="783"/>
      <c r="E575" s="784"/>
      <c r="F575" s="785"/>
      <c r="G575" s="785" t="n">
        <v>0</v>
      </c>
    </row>
    <row r="576" customFormat="false" ht="15" hidden="true" customHeight="true" outlineLevel="1" collapsed="false">
      <c r="A576" s="752"/>
      <c r="B576" s="738" t="s">
        <v>1379</v>
      </c>
      <c r="C576" s="739" t="s">
        <v>15</v>
      </c>
      <c r="D576" s="783"/>
      <c r="E576" s="784"/>
      <c r="F576" s="785"/>
      <c r="G576" s="785" t="n">
        <v>65</v>
      </c>
    </row>
    <row r="577" customFormat="false" ht="15" hidden="true" customHeight="true" outlineLevel="1" collapsed="false">
      <c r="A577" s="752"/>
      <c r="B577" s="738" t="s">
        <v>1380</v>
      </c>
      <c r="C577" s="739" t="s">
        <v>15</v>
      </c>
      <c r="D577" s="783"/>
      <c r="E577" s="784"/>
      <c r="F577" s="785"/>
      <c r="G577" s="785" t="n">
        <v>78</v>
      </c>
    </row>
    <row r="578" customFormat="false" ht="15" hidden="true" customHeight="true" outlineLevel="1" collapsed="false">
      <c r="A578" s="752"/>
      <c r="B578" s="738" t="s">
        <v>1381</v>
      </c>
      <c r="C578" s="739" t="s">
        <v>15</v>
      </c>
      <c r="D578" s="783"/>
      <c r="E578" s="784"/>
      <c r="F578" s="785"/>
      <c r="G578" s="785" t="n">
        <v>90</v>
      </c>
    </row>
    <row r="579" customFormat="false" ht="15" hidden="true" customHeight="true" outlineLevel="1" collapsed="false">
      <c r="A579" s="752"/>
      <c r="B579" s="738" t="s">
        <v>1382</v>
      </c>
      <c r="C579" s="739" t="s">
        <v>15</v>
      </c>
      <c r="D579" s="703"/>
      <c r="E579" s="772"/>
      <c r="F579" s="703"/>
      <c r="G579" s="703" t="n">
        <v>80</v>
      </c>
    </row>
    <row r="580" customFormat="false" ht="15" hidden="true" customHeight="true" outlineLevel="1" collapsed="false">
      <c r="A580" s="752"/>
      <c r="B580" s="738" t="s">
        <v>1383</v>
      </c>
      <c r="C580" s="739" t="s">
        <v>15</v>
      </c>
      <c r="D580" s="703"/>
      <c r="E580" s="772"/>
      <c r="F580" s="703"/>
      <c r="G580" s="703" t="n">
        <v>88</v>
      </c>
    </row>
    <row r="581" customFormat="false" ht="15" hidden="true" customHeight="true" outlineLevel="1" collapsed="false">
      <c r="A581" s="752"/>
      <c r="B581" s="738" t="s">
        <v>1384</v>
      </c>
      <c r="C581" s="739" t="s">
        <v>15</v>
      </c>
      <c r="D581" s="703"/>
      <c r="E581" s="772"/>
      <c r="F581" s="703"/>
      <c r="G581" s="703" t="n">
        <v>101</v>
      </c>
    </row>
    <row r="582" customFormat="false" ht="15" hidden="false" customHeight="true" outlineLevel="0" collapsed="false">
      <c r="A582" s="775" t="s">
        <v>1346</v>
      </c>
      <c r="B582" s="776"/>
      <c r="C582" s="692" t="s">
        <v>162</v>
      </c>
      <c r="D582" s="709" t="s">
        <v>1097</v>
      </c>
      <c r="E582" s="709" t="s">
        <v>1149</v>
      </c>
      <c r="F582" s="777" t="s">
        <v>1137</v>
      </c>
      <c r="G582" s="778" t="s">
        <v>981</v>
      </c>
    </row>
    <row r="583" customFormat="false" ht="15" hidden="true" customHeight="true" outlineLevel="1" collapsed="false">
      <c r="A583" s="786" t="s">
        <v>1385</v>
      </c>
      <c r="B583" s="733"/>
      <c r="C583" s="692" t="s">
        <v>162</v>
      </c>
      <c r="D583" s="710"/>
      <c r="E583" s="787"/>
      <c r="F583" s="710"/>
      <c r="G583" s="710" t="s">
        <v>1386</v>
      </c>
    </row>
    <row r="584" s="705" customFormat="true" ht="15" hidden="true" customHeight="true" outlineLevel="1" collapsed="false">
      <c r="A584" s="779"/>
      <c r="B584" s="674" t="s">
        <v>1387</v>
      </c>
      <c r="C584" s="675" t="s">
        <v>1388</v>
      </c>
      <c r="D584" s="788"/>
      <c r="E584" s="789"/>
      <c r="F584" s="788"/>
      <c r="G584" s="677" t="n">
        <v>0</v>
      </c>
      <c r="H584" s="651"/>
      <c r="I584" s="651"/>
      <c r="J584" s="651"/>
      <c r="K584" s="651"/>
      <c r="L584" s="651"/>
      <c r="M584" s="651"/>
      <c r="N584" s="651"/>
      <c r="O584" s="651"/>
      <c r="P584" s="651"/>
      <c r="Q584" s="651"/>
      <c r="R584" s="651"/>
      <c r="S584" s="651"/>
      <c r="T584" s="651"/>
      <c r="U584" s="651"/>
    </row>
    <row r="585" customFormat="false" ht="15" hidden="true" customHeight="true" outlineLevel="1" collapsed="false">
      <c r="A585" s="752"/>
      <c r="B585" s="790" t="s">
        <v>1389</v>
      </c>
      <c r="C585" s="791" t="s">
        <v>1388</v>
      </c>
      <c r="D585" s="703"/>
      <c r="E585" s="772"/>
      <c r="F585" s="792"/>
      <c r="G585" s="703" t="n">
        <v>108</v>
      </c>
    </row>
    <row r="586" customFormat="false" ht="15" hidden="true" customHeight="true" outlineLevel="1" collapsed="false">
      <c r="A586" s="752"/>
      <c r="B586" s="790" t="s">
        <v>1390</v>
      </c>
      <c r="C586" s="791" t="s">
        <v>1388</v>
      </c>
      <c r="D586" s="703"/>
      <c r="E586" s="772"/>
      <c r="F586" s="792"/>
      <c r="G586" s="703" t="n">
        <v>99</v>
      </c>
    </row>
    <row r="587" customFormat="false" ht="15" hidden="true" customHeight="true" outlineLevel="1" collapsed="false">
      <c r="A587" s="752"/>
      <c r="B587" s="790" t="s">
        <v>1391</v>
      </c>
      <c r="C587" s="791" t="s">
        <v>1388</v>
      </c>
      <c r="D587" s="703"/>
      <c r="E587" s="772"/>
      <c r="F587" s="792"/>
      <c r="G587" s="703" t="n">
        <v>470</v>
      </c>
    </row>
    <row r="588" customFormat="false" ht="15" hidden="true" customHeight="true" outlineLevel="1" collapsed="false">
      <c r="A588" s="752"/>
      <c r="B588" s="790" t="s">
        <v>1392</v>
      </c>
      <c r="C588" s="791" t="s">
        <v>1388</v>
      </c>
      <c r="D588" s="703"/>
      <c r="E588" s="772"/>
      <c r="F588" s="792"/>
      <c r="G588" s="703" t="n">
        <v>49</v>
      </c>
    </row>
    <row r="589" customFormat="false" ht="15" hidden="true" customHeight="true" outlineLevel="1" collapsed="false">
      <c r="A589" s="752"/>
      <c r="B589" s="790" t="s">
        <v>1392</v>
      </c>
      <c r="C589" s="791" t="s">
        <v>1388</v>
      </c>
      <c r="D589" s="703"/>
      <c r="E589" s="772"/>
      <c r="F589" s="792"/>
      <c r="G589" s="703" t="n">
        <v>46</v>
      </c>
    </row>
    <row r="590" customFormat="false" ht="15" hidden="true" customHeight="true" outlineLevel="1" collapsed="false">
      <c r="A590" s="752"/>
      <c r="B590" s="790" t="s">
        <v>697</v>
      </c>
      <c r="C590" s="791" t="s">
        <v>1388</v>
      </c>
      <c r="D590" s="703"/>
      <c r="E590" s="772"/>
      <c r="F590" s="792"/>
      <c r="G590" s="703" t="n">
        <v>42</v>
      </c>
    </row>
    <row r="591" customFormat="false" ht="15" hidden="true" customHeight="true" outlineLevel="1" collapsed="false">
      <c r="A591" s="752"/>
      <c r="B591" s="790" t="s">
        <v>1393</v>
      </c>
      <c r="C591" s="791" t="s">
        <v>1388</v>
      </c>
      <c r="D591" s="703"/>
      <c r="E591" s="772"/>
      <c r="F591" s="792"/>
      <c r="G591" s="703" t="n">
        <v>33</v>
      </c>
    </row>
    <row r="592" customFormat="false" ht="15" hidden="true" customHeight="true" outlineLevel="1" collapsed="false">
      <c r="A592" s="752"/>
      <c r="B592" s="790" t="s">
        <v>1394</v>
      </c>
      <c r="C592" s="791" t="s">
        <v>1388</v>
      </c>
      <c r="D592" s="703"/>
      <c r="E592" s="772"/>
      <c r="F592" s="792"/>
      <c r="G592" s="703" t="n">
        <v>70</v>
      </c>
    </row>
    <row r="593" customFormat="false" ht="15" hidden="true" customHeight="true" outlineLevel="1" collapsed="false">
      <c r="A593" s="752"/>
      <c r="B593" s="790" t="s">
        <v>1395</v>
      </c>
      <c r="C593" s="791" t="s">
        <v>1388</v>
      </c>
      <c r="D593" s="703"/>
      <c r="E593" s="772"/>
      <c r="F593" s="792"/>
      <c r="G593" s="703" t="n">
        <v>41</v>
      </c>
    </row>
    <row r="594" customFormat="false" ht="15" hidden="true" customHeight="true" outlineLevel="1" collapsed="false">
      <c r="A594" s="752"/>
      <c r="B594" s="793"/>
      <c r="C594" s="791"/>
      <c r="D594" s="703"/>
      <c r="E594" s="772"/>
      <c r="F594" s="792"/>
      <c r="G594" s="703"/>
    </row>
    <row r="595" customFormat="false" ht="15" hidden="true" customHeight="true" outlineLevel="1" collapsed="false">
      <c r="A595" s="752"/>
      <c r="B595" s="793"/>
      <c r="C595" s="791"/>
      <c r="D595" s="703"/>
      <c r="E595" s="772"/>
      <c r="F595" s="792"/>
      <c r="G595" s="703"/>
    </row>
    <row r="596" customFormat="false" ht="15" hidden="true" customHeight="true" outlineLevel="1" collapsed="false">
      <c r="A596" s="752"/>
      <c r="B596" s="793"/>
      <c r="C596" s="791"/>
      <c r="D596" s="703"/>
      <c r="E596" s="772"/>
      <c r="F596" s="792"/>
      <c r="G596" s="703"/>
    </row>
    <row r="597" customFormat="false" ht="15" hidden="true" customHeight="true" outlineLevel="1" collapsed="false">
      <c r="A597" s="752"/>
      <c r="B597" s="793"/>
      <c r="C597" s="791"/>
      <c r="D597" s="703"/>
      <c r="E597" s="772"/>
      <c r="F597" s="792"/>
      <c r="G597" s="703"/>
    </row>
    <row r="598" customFormat="false" ht="15" hidden="false" customHeight="true" outlineLevel="0" collapsed="false">
      <c r="A598" s="786" t="s">
        <v>1385</v>
      </c>
      <c r="B598" s="733"/>
      <c r="C598" s="692" t="s">
        <v>162</v>
      </c>
      <c r="D598" s="710"/>
      <c r="E598" s="787"/>
      <c r="F598" s="710"/>
      <c r="G598" s="710" t="s">
        <v>1386</v>
      </c>
    </row>
    <row r="599" customFormat="false" ht="15" hidden="true" customHeight="true" outlineLevel="1" collapsed="false">
      <c r="A599" s="794" t="s">
        <v>1396</v>
      </c>
      <c r="B599" s="795"/>
      <c r="C599" s="796" t="s">
        <v>162</v>
      </c>
      <c r="D599" s="797" t="s">
        <v>1137</v>
      </c>
      <c r="E599" s="798"/>
      <c r="F599" s="799" t="s">
        <v>1397</v>
      </c>
      <c r="G599" s="799" t="s">
        <v>1042</v>
      </c>
      <c r="H599" s="691"/>
      <c r="I599" s="691"/>
    </row>
    <row r="600" customFormat="false" ht="15" hidden="true" customHeight="true" outlineLevel="1" collapsed="false">
      <c r="A600" s="667"/>
      <c r="B600" s="800" t="s">
        <v>36</v>
      </c>
      <c r="C600" s="801" t="s">
        <v>1043</v>
      </c>
      <c r="D600" s="762" t="n">
        <v>0</v>
      </c>
      <c r="E600" s="802"/>
      <c r="F600" s="803"/>
      <c r="G600" s="803" t="n">
        <v>0</v>
      </c>
      <c r="H600" s="691"/>
      <c r="I600" s="691"/>
    </row>
    <row r="601" customFormat="false" ht="15" hidden="true" customHeight="true" outlineLevel="1" collapsed="false">
      <c r="A601" s="672"/>
      <c r="B601" s="800" t="s">
        <v>741</v>
      </c>
      <c r="C601" s="801" t="s">
        <v>1043</v>
      </c>
      <c r="D601" s="762" t="n">
        <v>0.05</v>
      </c>
      <c r="E601" s="762"/>
      <c r="F601" s="803" t="s">
        <v>1398</v>
      </c>
      <c r="G601" s="704" t="n">
        <v>1700</v>
      </c>
      <c r="H601" s="691"/>
      <c r="I601" s="691"/>
    </row>
    <row r="602" customFormat="false" ht="15" hidden="true" customHeight="true" outlineLevel="1" collapsed="false">
      <c r="A602" s="672"/>
      <c r="B602" s="800" t="s">
        <v>218</v>
      </c>
      <c r="C602" s="801" t="s">
        <v>1043</v>
      </c>
      <c r="D602" s="762" t="n">
        <v>0.1</v>
      </c>
      <c r="E602" s="762"/>
      <c r="F602" s="803" t="s">
        <v>1398</v>
      </c>
      <c r="G602" s="704" t="n">
        <v>1700</v>
      </c>
      <c r="H602" s="691"/>
      <c r="I602" s="691"/>
    </row>
    <row r="603" customFormat="false" ht="15" hidden="true" customHeight="true" outlineLevel="1" collapsed="false">
      <c r="A603" s="672"/>
      <c r="B603" s="800" t="s">
        <v>739</v>
      </c>
      <c r="C603" s="801" t="s">
        <v>1043</v>
      </c>
      <c r="D603" s="762" t="n">
        <v>0.15</v>
      </c>
      <c r="E603" s="762"/>
      <c r="F603" s="803" t="s">
        <v>1398</v>
      </c>
      <c r="G603" s="704" t="n">
        <v>1700</v>
      </c>
      <c r="H603" s="691"/>
      <c r="I603" s="691"/>
    </row>
    <row r="604" customFormat="false" ht="15" hidden="true" customHeight="true" outlineLevel="1" collapsed="false">
      <c r="A604" s="672"/>
      <c r="B604" s="800" t="s">
        <v>327</v>
      </c>
      <c r="C604" s="801" t="s">
        <v>1043</v>
      </c>
      <c r="D604" s="762" t="n">
        <v>0.2</v>
      </c>
      <c r="E604" s="762"/>
      <c r="F604" s="803" t="s">
        <v>1398</v>
      </c>
      <c r="G604" s="704" t="n">
        <v>1700</v>
      </c>
      <c r="H604" s="691"/>
      <c r="I604" s="691"/>
    </row>
    <row r="605" customFormat="false" ht="15" hidden="true" customHeight="true" outlineLevel="1" collapsed="false">
      <c r="A605" s="672"/>
      <c r="B605" s="800" t="s">
        <v>1399</v>
      </c>
      <c r="C605" s="801" t="s">
        <v>1043</v>
      </c>
      <c r="D605" s="762" t="n">
        <v>0.25</v>
      </c>
      <c r="E605" s="762"/>
      <c r="F605" s="803"/>
      <c r="G605" s="704" t="n">
        <v>1700</v>
      </c>
      <c r="H605" s="691"/>
      <c r="I605" s="691"/>
    </row>
    <row r="606" customFormat="false" ht="15" hidden="true" customHeight="true" outlineLevel="1" collapsed="false">
      <c r="A606" s="672"/>
      <c r="B606" s="800" t="s">
        <v>1400</v>
      </c>
      <c r="C606" s="801" t="s">
        <v>1043</v>
      </c>
      <c r="D606" s="762" t="n">
        <v>0.3</v>
      </c>
      <c r="E606" s="762"/>
      <c r="F606" s="803"/>
      <c r="G606" s="704" t="n">
        <v>1700</v>
      </c>
      <c r="H606" s="691"/>
      <c r="I606" s="691"/>
    </row>
    <row r="607" customFormat="false" ht="15" hidden="true" customHeight="true" outlineLevel="1" collapsed="false">
      <c r="A607" s="672"/>
      <c r="B607" s="800" t="s">
        <v>1401</v>
      </c>
      <c r="C607" s="801" t="s">
        <v>1043</v>
      </c>
      <c r="D607" s="762" t="n">
        <v>0.05</v>
      </c>
      <c r="E607" s="762"/>
      <c r="F607" s="803" t="s">
        <v>1402</v>
      </c>
      <c r="G607" s="704" t="n">
        <v>2500</v>
      </c>
      <c r="H607" s="691"/>
      <c r="I607" s="691"/>
    </row>
    <row r="608" customFormat="false" ht="15" hidden="true" customHeight="true" outlineLevel="1" collapsed="false">
      <c r="A608" s="672"/>
      <c r="B608" s="800" t="s">
        <v>1403</v>
      </c>
      <c r="C608" s="801" t="s">
        <v>1043</v>
      </c>
      <c r="D608" s="762" t="n">
        <v>0.1</v>
      </c>
      <c r="E608" s="762"/>
      <c r="F608" s="803" t="s">
        <v>1402</v>
      </c>
      <c r="G608" s="704" t="n">
        <v>2500</v>
      </c>
      <c r="H608" s="691"/>
      <c r="I608" s="691"/>
    </row>
    <row r="609" customFormat="false" ht="15" hidden="true" customHeight="true" outlineLevel="1" collapsed="false">
      <c r="A609" s="672"/>
      <c r="B609" s="800" t="s">
        <v>1404</v>
      </c>
      <c r="C609" s="801" t="s">
        <v>1043</v>
      </c>
      <c r="D609" s="762" t="n">
        <v>0.15</v>
      </c>
      <c r="E609" s="762"/>
      <c r="F609" s="803" t="s">
        <v>1402</v>
      </c>
      <c r="G609" s="704" t="n">
        <v>2500</v>
      </c>
      <c r="H609" s="691"/>
      <c r="I609" s="691"/>
    </row>
    <row r="610" customFormat="false" ht="15" hidden="true" customHeight="true" outlineLevel="1" collapsed="false">
      <c r="A610" s="672"/>
      <c r="B610" s="800" t="s">
        <v>1405</v>
      </c>
      <c r="C610" s="801" t="s">
        <v>1043</v>
      </c>
      <c r="D610" s="762" t="n">
        <v>0.2</v>
      </c>
      <c r="E610" s="762"/>
      <c r="F610" s="803" t="s">
        <v>1402</v>
      </c>
      <c r="G610" s="704" t="n">
        <v>2500</v>
      </c>
      <c r="H610" s="691"/>
      <c r="I610" s="691"/>
    </row>
    <row r="611" customFormat="false" ht="15" hidden="true" customHeight="true" outlineLevel="1" collapsed="false">
      <c r="A611" s="672"/>
      <c r="B611" s="800" t="s">
        <v>1406</v>
      </c>
      <c r="C611" s="801" t="s">
        <v>1043</v>
      </c>
      <c r="D611" s="762" t="n">
        <v>0.25</v>
      </c>
      <c r="E611" s="762"/>
      <c r="F611" s="803"/>
      <c r="G611" s="704" t="n">
        <v>2500</v>
      </c>
      <c r="H611" s="691"/>
      <c r="I611" s="691"/>
    </row>
    <row r="612" customFormat="false" ht="15" hidden="true" customHeight="true" outlineLevel="1" collapsed="false">
      <c r="A612" s="672"/>
      <c r="B612" s="800" t="s">
        <v>1407</v>
      </c>
      <c r="C612" s="801" t="s">
        <v>1043</v>
      </c>
      <c r="D612" s="762" t="n">
        <v>0.3</v>
      </c>
      <c r="E612" s="762"/>
      <c r="F612" s="803"/>
      <c r="G612" s="704" t="n">
        <v>2500</v>
      </c>
      <c r="H612" s="691"/>
      <c r="I612" s="691"/>
    </row>
    <row r="613" customFormat="false" ht="15" hidden="true" customHeight="true" outlineLevel="1" collapsed="false">
      <c r="A613" s="672"/>
      <c r="B613" s="804" t="s">
        <v>1408</v>
      </c>
      <c r="C613" s="801" t="s">
        <v>1043</v>
      </c>
      <c r="D613" s="762" t="n">
        <v>0.05</v>
      </c>
      <c r="E613" s="802"/>
      <c r="F613" s="803" t="s">
        <v>1409</v>
      </c>
      <c r="G613" s="803" t="n">
        <v>1400</v>
      </c>
      <c r="H613" s="691"/>
      <c r="I613" s="691"/>
    </row>
    <row r="614" customFormat="false" ht="15" hidden="true" customHeight="true" outlineLevel="1" collapsed="false">
      <c r="A614" s="672"/>
      <c r="B614" s="804" t="s">
        <v>1410</v>
      </c>
      <c r="C614" s="801" t="s">
        <v>1043</v>
      </c>
      <c r="D614" s="762" t="n">
        <v>0.1</v>
      </c>
      <c r="E614" s="802"/>
      <c r="F614" s="803" t="s">
        <v>1409</v>
      </c>
      <c r="G614" s="803" t="n">
        <v>1400</v>
      </c>
      <c r="H614" s="691"/>
      <c r="I614" s="691"/>
    </row>
    <row r="615" customFormat="false" ht="15" hidden="true" customHeight="true" outlineLevel="1" collapsed="false">
      <c r="A615" s="672"/>
      <c r="B615" s="804" t="s">
        <v>1411</v>
      </c>
      <c r="C615" s="801" t="s">
        <v>1043</v>
      </c>
      <c r="D615" s="762" t="n">
        <v>0.15</v>
      </c>
      <c r="E615" s="802"/>
      <c r="F615" s="803" t="s">
        <v>1409</v>
      </c>
      <c r="G615" s="803" t="n">
        <v>1400</v>
      </c>
      <c r="H615" s="691"/>
      <c r="I615" s="691"/>
    </row>
    <row r="616" customFormat="false" ht="15" hidden="true" customHeight="true" outlineLevel="1" collapsed="false">
      <c r="A616" s="672"/>
      <c r="B616" s="804" t="s">
        <v>1412</v>
      </c>
      <c r="C616" s="801" t="s">
        <v>1043</v>
      </c>
      <c r="D616" s="762" t="n">
        <v>0.2</v>
      </c>
      <c r="E616" s="802"/>
      <c r="F616" s="803" t="s">
        <v>1409</v>
      </c>
      <c r="G616" s="803" t="n">
        <v>1400</v>
      </c>
      <c r="H616" s="691"/>
      <c r="I616" s="691"/>
    </row>
    <row r="617" customFormat="false" ht="15" hidden="true" customHeight="true" outlineLevel="1" collapsed="false">
      <c r="A617" s="672"/>
      <c r="B617" s="804" t="s">
        <v>1413</v>
      </c>
      <c r="C617" s="801" t="s">
        <v>1043</v>
      </c>
      <c r="D617" s="762" t="n">
        <v>0.25</v>
      </c>
      <c r="E617" s="802"/>
      <c r="F617" s="803" t="s">
        <v>1409</v>
      </c>
      <c r="G617" s="803" t="n">
        <v>1400</v>
      </c>
      <c r="H617" s="691"/>
      <c r="I617" s="691"/>
    </row>
    <row r="618" customFormat="false" ht="15" hidden="true" customHeight="true" outlineLevel="1" collapsed="false">
      <c r="A618" s="672"/>
      <c r="B618" s="804" t="s">
        <v>1414</v>
      </c>
      <c r="C618" s="801" t="s">
        <v>1043</v>
      </c>
      <c r="D618" s="762" t="n">
        <v>0.3</v>
      </c>
      <c r="E618" s="802"/>
      <c r="F618" s="803" t="s">
        <v>1409</v>
      </c>
      <c r="G618" s="803" t="n">
        <v>1400</v>
      </c>
      <c r="H618" s="691"/>
      <c r="I618" s="691"/>
    </row>
    <row r="619" customFormat="false" ht="15" hidden="true" customHeight="true" outlineLevel="1" collapsed="false">
      <c r="A619" s="672"/>
      <c r="B619" s="804" t="s">
        <v>1415</v>
      </c>
      <c r="C619" s="801" t="s">
        <v>1043</v>
      </c>
      <c r="D619" s="762" t="n">
        <v>0.05</v>
      </c>
      <c r="E619" s="802"/>
      <c r="F619" s="803" t="s">
        <v>1398</v>
      </c>
      <c r="G619" s="803" t="n">
        <v>2200</v>
      </c>
      <c r="H619" s="691"/>
      <c r="I619" s="691"/>
    </row>
    <row r="620" customFormat="false" ht="15" hidden="true" customHeight="true" outlineLevel="1" collapsed="false">
      <c r="A620" s="672"/>
      <c r="B620" s="804" t="s">
        <v>1416</v>
      </c>
      <c r="C620" s="801" t="s">
        <v>1043</v>
      </c>
      <c r="D620" s="762" t="n">
        <v>0.1</v>
      </c>
      <c r="E620" s="802"/>
      <c r="F620" s="803" t="s">
        <v>1398</v>
      </c>
      <c r="G620" s="803" t="n">
        <v>2200</v>
      </c>
      <c r="H620" s="691"/>
      <c r="I620" s="691"/>
    </row>
    <row r="621" customFormat="false" ht="15" hidden="true" customHeight="true" outlineLevel="1" collapsed="false">
      <c r="A621" s="672"/>
      <c r="B621" s="804" t="s">
        <v>1417</v>
      </c>
      <c r="C621" s="801" t="s">
        <v>1043</v>
      </c>
      <c r="D621" s="762" t="n">
        <v>0.15</v>
      </c>
      <c r="E621" s="802"/>
      <c r="F621" s="803" t="s">
        <v>1398</v>
      </c>
      <c r="G621" s="803" t="n">
        <v>2200</v>
      </c>
      <c r="H621" s="691"/>
      <c r="I621" s="691"/>
    </row>
    <row r="622" customFormat="false" ht="15" hidden="true" customHeight="true" outlineLevel="1" collapsed="false">
      <c r="A622" s="672"/>
      <c r="B622" s="804" t="s">
        <v>1418</v>
      </c>
      <c r="C622" s="801" t="s">
        <v>1043</v>
      </c>
      <c r="D622" s="762" t="n">
        <v>0.2</v>
      </c>
      <c r="E622" s="802"/>
      <c r="F622" s="803" t="s">
        <v>1398</v>
      </c>
      <c r="G622" s="803" t="n">
        <v>2200</v>
      </c>
      <c r="H622" s="691"/>
      <c r="I622" s="691"/>
    </row>
    <row r="623" customFormat="false" ht="15" hidden="true" customHeight="true" outlineLevel="1" collapsed="false">
      <c r="A623" s="672"/>
      <c r="B623" s="804" t="s">
        <v>1419</v>
      </c>
      <c r="C623" s="801" t="s">
        <v>1043</v>
      </c>
      <c r="D623" s="762" t="n">
        <v>0.25</v>
      </c>
      <c r="E623" s="802"/>
      <c r="F623" s="803" t="s">
        <v>1398</v>
      </c>
      <c r="G623" s="803" t="n">
        <v>2200</v>
      </c>
      <c r="H623" s="691"/>
      <c r="I623" s="691"/>
    </row>
    <row r="624" customFormat="false" ht="15" hidden="true" customHeight="true" outlineLevel="1" collapsed="false">
      <c r="A624" s="672"/>
      <c r="B624" s="804" t="s">
        <v>1420</v>
      </c>
      <c r="C624" s="801" t="s">
        <v>1043</v>
      </c>
      <c r="D624" s="762" t="n">
        <v>0.3</v>
      </c>
      <c r="E624" s="802"/>
      <c r="F624" s="803" t="s">
        <v>1398</v>
      </c>
      <c r="G624" s="803" t="n">
        <v>2200</v>
      </c>
      <c r="H624" s="691"/>
      <c r="I624" s="691"/>
    </row>
    <row r="625" customFormat="false" ht="15" hidden="true" customHeight="true" outlineLevel="1" collapsed="false">
      <c r="A625" s="672"/>
      <c r="B625" s="804" t="s">
        <v>1421</v>
      </c>
      <c r="C625" s="801" t="s">
        <v>1043</v>
      </c>
      <c r="D625" s="762" t="n">
        <v>0.05</v>
      </c>
      <c r="E625" s="802"/>
      <c r="F625" s="803" t="s">
        <v>1402</v>
      </c>
      <c r="G625" s="803" t="n">
        <v>3400</v>
      </c>
      <c r="H625" s="691"/>
      <c r="I625" s="691"/>
    </row>
    <row r="626" customFormat="false" ht="15" hidden="true" customHeight="true" outlineLevel="1" collapsed="false">
      <c r="A626" s="672"/>
      <c r="B626" s="804" t="s">
        <v>40</v>
      </c>
      <c r="C626" s="801" t="s">
        <v>1043</v>
      </c>
      <c r="D626" s="762" t="n">
        <v>0.1</v>
      </c>
      <c r="E626" s="802"/>
      <c r="F626" s="803" t="s">
        <v>1402</v>
      </c>
      <c r="G626" s="803" t="n">
        <v>3400</v>
      </c>
      <c r="H626" s="691"/>
      <c r="I626" s="691"/>
    </row>
    <row r="627" customFormat="false" ht="15" hidden="true" customHeight="true" outlineLevel="1" collapsed="false">
      <c r="A627" s="672"/>
      <c r="B627" s="804" t="s">
        <v>1422</v>
      </c>
      <c r="C627" s="801" t="s">
        <v>1043</v>
      </c>
      <c r="D627" s="762" t="n">
        <v>0.15</v>
      </c>
      <c r="E627" s="802"/>
      <c r="F627" s="803" t="s">
        <v>1402</v>
      </c>
      <c r="G627" s="803" t="n">
        <v>3400</v>
      </c>
      <c r="H627" s="691"/>
    </row>
    <row r="628" customFormat="false" ht="15" hidden="true" customHeight="true" outlineLevel="1" collapsed="false">
      <c r="A628" s="672"/>
      <c r="B628" s="804" t="s">
        <v>1423</v>
      </c>
      <c r="C628" s="801" t="s">
        <v>1043</v>
      </c>
      <c r="D628" s="762" t="n">
        <v>0.2</v>
      </c>
      <c r="E628" s="802"/>
      <c r="F628" s="803" t="s">
        <v>1402</v>
      </c>
      <c r="G628" s="803" t="n">
        <v>3400</v>
      </c>
      <c r="H628" s="691"/>
    </row>
    <row r="629" customFormat="false" ht="15" hidden="true" customHeight="true" outlineLevel="1" collapsed="false">
      <c r="A629" s="672"/>
      <c r="B629" s="804" t="s">
        <v>1424</v>
      </c>
      <c r="C629" s="801" t="s">
        <v>1043</v>
      </c>
      <c r="D629" s="762" t="n">
        <v>0.25</v>
      </c>
      <c r="E629" s="802"/>
      <c r="F629" s="803" t="s">
        <v>1402</v>
      </c>
      <c r="G629" s="803" t="n">
        <v>3400</v>
      </c>
      <c r="H629" s="691"/>
    </row>
    <row r="630" customFormat="false" ht="15" hidden="true" customHeight="true" outlineLevel="1" collapsed="false">
      <c r="A630" s="672"/>
      <c r="B630" s="804" t="s">
        <v>1425</v>
      </c>
      <c r="C630" s="801" t="s">
        <v>1043</v>
      </c>
      <c r="D630" s="762" t="n">
        <v>0.3</v>
      </c>
      <c r="E630" s="802"/>
      <c r="F630" s="803" t="s">
        <v>1402</v>
      </c>
      <c r="G630" s="803" t="n">
        <v>3400</v>
      </c>
      <c r="H630" s="691"/>
    </row>
    <row r="631" customFormat="false" ht="15" hidden="true" customHeight="true" outlineLevel="1" collapsed="false">
      <c r="A631" s="672"/>
      <c r="B631" s="800" t="s">
        <v>1426</v>
      </c>
      <c r="C631" s="801" t="s">
        <v>1043</v>
      </c>
      <c r="D631" s="762" t="n">
        <v>0.05</v>
      </c>
      <c r="E631" s="762"/>
      <c r="F631" s="803" t="s">
        <v>1402</v>
      </c>
      <c r="G631" s="704" t="n">
        <v>5000</v>
      </c>
      <c r="H631" s="691"/>
    </row>
    <row r="632" customFormat="false" ht="15" hidden="true" customHeight="true" outlineLevel="1" collapsed="false">
      <c r="A632" s="672"/>
      <c r="B632" s="800" t="s">
        <v>1427</v>
      </c>
      <c r="C632" s="801" t="s">
        <v>1043</v>
      </c>
      <c r="D632" s="762" t="n">
        <v>0.1</v>
      </c>
      <c r="E632" s="762"/>
      <c r="F632" s="803" t="s">
        <v>1402</v>
      </c>
      <c r="G632" s="704" t="n">
        <v>5000</v>
      </c>
      <c r="H632" s="691"/>
    </row>
    <row r="633" customFormat="false" ht="15" hidden="true" customHeight="true" outlineLevel="1" collapsed="false">
      <c r="A633" s="672"/>
      <c r="B633" s="800" t="s">
        <v>1428</v>
      </c>
      <c r="C633" s="801" t="s">
        <v>1043</v>
      </c>
      <c r="D633" s="762" t="n">
        <v>0.15</v>
      </c>
      <c r="E633" s="762"/>
      <c r="F633" s="803" t="s">
        <v>1402</v>
      </c>
      <c r="G633" s="704" t="n">
        <v>5000</v>
      </c>
      <c r="H633" s="691"/>
    </row>
    <row r="634" customFormat="false" ht="15" hidden="true" customHeight="true" outlineLevel="1" collapsed="false">
      <c r="A634" s="672"/>
      <c r="B634" s="800" t="s">
        <v>1429</v>
      </c>
      <c r="C634" s="801" t="s">
        <v>1043</v>
      </c>
      <c r="D634" s="762" t="n">
        <v>0.2</v>
      </c>
      <c r="E634" s="762"/>
      <c r="F634" s="803" t="s">
        <v>1402</v>
      </c>
      <c r="G634" s="704" t="n">
        <v>5000</v>
      </c>
      <c r="H634" s="691"/>
    </row>
    <row r="635" customFormat="false" ht="15" hidden="true" customHeight="true" outlineLevel="1" collapsed="false">
      <c r="A635" s="672"/>
      <c r="B635" s="800" t="s">
        <v>1430</v>
      </c>
      <c r="C635" s="801" t="s">
        <v>1043</v>
      </c>
      <c r="D635" s="762" t="n">
        <v>0.05</v>
      </c>
      <c r="E635" s="762"/>
      <c r="F635" s="803" t="s">
        <v>1398</v>
      </c>
      <c r="G635" s="704" t="n">
        <v>5000</v>
      </c>
      <c r="H635" s="691"/>
    </row>
    <row r="636" customFormat="false" ht="15" hidden="true" customHeight="true" outlineLevel="1" collapsed="false">
      <c r="A636" s="672"/>
      <c r="B636" s="800" t="s">
        <v>1431</v>
      </c>
      <c r="C636" s="801" t="s">
        <v>1043</v>
      </c>
      <c r="D636" s="762" t="n">
        <v>0.1</v>
      </c>
      <c r="E636" s="762"/>
      <c r="F636" s="803" t="s">
        <v>1398</v>
      </c>
      <c r="G636" s="704" t="n">
        <v>5000</v>
      </c>
      <c r="H636" s="691"/>
    </row>
    <row r="637" customFormat="false" ht="15" hidden="true" customHeight="true" outlineLevel="1" collapsed="false">
      <c r="A637" s="672"/>
      <c r="B637" s="800" t="s">
        <v>1432</v>
      </c>
      <c r="C637" s="801" t="s">
        <v>1043</v>
      </c>
      <c r="D637" s="762" t="n">
        <v>0.15</v>
      </c>
      <c r="E637" s="762"/>
      <c r="F637" s="803" t="s">
        <v>1398</v>
      </c>
      <c r="G637" s="704" t="n">
        <v>5000</v>
      </c>
      <c r="H637" s="691"/>
    </row>
    <row r="638" customFormat="false" ht="15" hidden="true" customHeight="true" outlineLevel="1" collapsed="false">
      <c r="A638" s="672"/>
      <c r="B638" s="800" t="s">
        <v>1433</v>
      </c>
      <c r="C638" s="801" t="s">
        <v>1043</v>
      </c>
      <c r="D638" s="762" t="n">
        <v>0.2</v>
      </c>
      <c r="E638" s="762"/>
      <c r="F638" s="803" t="s">
        <v>1398</v>
      </c>
      <c r="G638" s="704" t="n">
        <v>5000</v>
      </c>
      <c r="H638" s="691"/>
    </row>
    <row r="639" customFormat="false" ht="15" hidden="true" customHeight="true" outlineLevel="1" collapsed="false">
      <c r="A639" s="672"/>
      <c r="B639" s="800" t="s">
        <v>1434</v>
      </c>
      <c r="C639" s="801" t="s">
        <v>48</v>
      </c>
      <c r="D639" s="762"/>
      <c r="E639" s="762"/>
      <c r="F639" s="803"/>
      <c r="G639" s="704" t="n">
        <v>15</v>
      </c>
      <c r="H639" s="691"/>
    </row>
    <row r="640" customFormat="false" ht="15" hidden="true" customHeight="true" outlineLevel="1" collapsed="false">
      <c r="A640" s="672"/>
      <c r="B640" s="800"/>
      <c r="C640" s="801"/>
      <c r="D640" s="762"/>
      <c r="E640" s="762"/>
      <c r="F640" s="803"/>
      <c r="G640" s="704"/>
      <c r="H640" s="691"/>
    </row>
    <row r="641" customFormat="false" ht="15" hidden="true" customHeight="true" outlineLevel="1" collapsed="false">
      <c r="A641" s="672"/>
      <c r="B641" s="800"/>
      <c r="C641" s="801"/>
      <c r="D641" s="762"/>
      <c r="E641" s="762"/>
      <c r="F641" s="803"/>
      <c r="G641" s="704"/>
      <c r="H641" s="691"/>
    </row>
    <row r="642" customFormat="false" ht="15" hidden="false" customHeight="true" outlineLevel="0" collapsed="false">
      <c r="A642" s="794" t="s">
        <v>1396</v>
      </c>
      <c r="B642" s="795"/>
      <c r="C642" s="796" t="s">
        <v>162</v>
      </c>
      <c r="D642" s="797" t="s">
        <v>1137</v>
      </c>
      <c r="E642" s="798"/>
      <c r="F642" s="799" t="s">
        <v>1397</v>
      </c>
      <c r="G642" s="799" t="s">
        <v>1042</v>
      </c>
      <c r="H642" s="691"/>
    </row>
    <row r="643" customFormat="false" ht="15" hidden="true" customHeight="true" outlineLevel="1" collapsed="false">
      <c r="A643" s="805" t="s">
        <v>1435</v>
      </c>
      <c r="B643" s="715"/>
      <c r="C643" s="692" t="s">
        <v>162</v>
      </c>
      <c r="D643" s="710"/>
      <c r="E643" s="710"/>
      <c r="F643" s="690" t="s">
        <v>1436</v>
      </c>
      <c r="G643" s="710" t="s">
        <v>981</v>
      </c>
      <c r="H643" s="691"/>
    </row>
    <row r="644" customFormat="false" ht="15" hidden="true" customHeight="true" outlineLevel="1" collapsed="false">
      <c r="A644" s="667"/>
      <c r="B644" s="738" t="s">
        <v>1437</v>
      </c>
      <c r="C644" s="739" t="s">
        <v>820</v>
      </c>
      <c r="D644" s="762"/>
      <c r="E644" s="762"/>
      <c r="F644" s="803"/>
      <c r="G644" s="704" t="n">
        <v>70</v>
      </c>
      <c r="H644" s="691"/>
    </row>
    <row r="645" customFormat="false" ht="15" hidden="true" customHeight="true" outlineLevel="1" collapsed="false">
      <c r="A645" s="672"/>
      <c r="B645" s="738" t="s">
        <v>1438</v>
      </c>
      <c r="C645" s="739" t="s">
        <v>699</v>
      </c>
      <c r="D645" s="762"/>
      <c r="E645" s="762"/>
      <c r="F645" s="803"/>
      <c r="G645" s="704" t="n">
        <v>60</v>
      </c>
      <c r="H645" s="691"/>
    </row>
    <row r="646" customFormat="false" ht="15" hidden="true" customHeight="true" outlineLevel="1" collapsed="false">
      <c r="A646" s="672"/>
      <c r="B646" s="738" t="s">
        <v>1439</v>
      </c>
      <c r="C646" s="739" t="s">
        <v>820</v>
      </c>
      <c r="D646" s="762"/>
      <c r="E646" s="762"/>
      <c r="F646" s="803"/>
      <c r="G646" s="704" t="n">
        <v>30</v>
      </c>
      <c r="H646" s="691"/>
    </row>
    <row r="647" customFormat="false" ht="15" hidden="true" customHeight="true" outlineLevel="1" collapsed="false">
      <c r="A647" s="672"/>
      <c r="B647" s="738" t="s">
        <v>1440</v>
      </c>
      <c r="C647" s="739" t="s">
        <v>820</v>
      </c>
      <c r="D647" s="762"/>
      <c r="E647" s="762"/>
      <c r="F647" s="803"/>
      <c r="G647" s="704" t="n">
        <v>100</v>
      </c>
      <c r="H647" s="691"/>
    </row>
    <row r="648" customFormat="false" ht="15" hidden="true" customHeight="true" outlineLevel="1" collapsed="false">
      <c r="A648" s="672"/>
      <c r="B648" s="738" t="s">
        <v>1441</v>
      </c>
      <c r="C648" s="739" t="s">
        <v>820</v>
      </c>
      <c r="D648" s="762"/>
      <c r="E648" s="762"/>
      <c r="F648" s="803"/>
      <c r="G648" s="704" t="n">
        <v>15</v>
      </c>
      <c r="H648" s="691"/>
    </row>
    <row r="649" customFormat="false" ht="15" hidden="true" customHeight="true" outlineLevel="1" collapsed="false">
      <c r="A649" s="672"/>
      <c r="B649" s="738" t="s">
        <v>102</v>
      </c>
      <c r="C649" s="739" t="s">
        <v>820</v>
      </c>
      <c r="D649" s="762"/>
      <c r="E649" s="762"/>
      <c r="F649" s="803"/>
      <c r="G649" s="704" t="n">
        <v>0</v>
      </c>
      <c r="H649" s="691"/>
    </row>
    <row r="650" customFormat="false" ht="15" hidden="true" customHeight="true" outlineLevel="1" collapsed="false">
      <c r="A650" s="672"/>
      <c r="B650" s="647" t="s">
        <v>1442</v>
      </c>
      <c r="C650" s="739" t="s">
        <v>820</v>
      </c>
      <c r="D650" s="806" t="s">
        <v>1443</v>
      </c>
      <c r="E650" s="647" t="s">
        <v>1444</v>
      </c>
      <c r="F650" s="807" t="n">
        <v>1500</v>
      </c>
      <c r="G650" s="807" t="n">
        <f aca="false">CEILING(F650/75,1)</f>
        <v>20</v>
      </c>
      <c r="H650" s="691"/>
    </row>
    <row r="651" customFormat="false" ht="15" hidden="true" customHeight="true" outlineLevel="1" collapsed="false">
      <c r="A651" s="672"/>
      <c r="B651" s="647" t="s">
        <v>1445</v>
      </c>
      <c r="C651" s="739" t="s">
        <v>820</v>
      </c>
      <c r="D651" s="806"/>
      <c r="E651" s="647" t="s">
        <v>1444</v>
      </c>
      <c r="F651" s="807" t="n">
        <v>1800</v>
      </c>
      <c r="G651" s="807" t="n">
        <f aca="false">CEILING(F651/75,1)</f>
        <v>24</v>
      </c>
      <c r="H651" s="691"/>
    </row>
    <row r="652" customFormat="false" ht="15" hidden="true" customHeight="true" outlineLevel="1" collapsed="false">
      <c r="A652" s="672"/>
      <c r="B652" s="647" t="s">
        <v>1446</v>
      </c>
      <c r="C652" s="739" t="s">
        <v>820</v>
      </c>
      <c r="D652" s="806"/>
      <c r="E652" s="647" t="s">
        <v>1444</v>
      </c>
      <c r="F652" s="807" t="n">
        <v>2500</v>
      </c>
      <c r="G652" s="807" t="n">
        <f aca="false">CEILING(F652/75,1)</f>
        <v>34</v>
      </c>
      <c r="H652" s="691"/>
    </row>
    <row r="653" customFormat="false" ht="15" hidden="true" customHeight="true" outlineLevel="1" collapsed="false">
      <c r="A653" s="672"/>
      <c r="B653" s="647" t="s">
        <v>1447</v>
      </c>
      <c r="C653" s="739" t="s">
        <v>820</v>
      </c>
      <c r="D653" s="806"/>
      <c r="E653" s="647" t="s">
        <v>1444</v>
      </c>
      <c r="F653" s="807" t="n">
        <v>6400</v>
      </c>
      <c r="G653" s="807" t="n">
        <f aca="false">CEILING(F653/75,1)</f>
        <v>86</v>
      </c>
      <c r="H653" s="691"/>
    </row>
    <row r="654" customFormat="false" ht="15" hidden="true" customHeight="true" outlineLevel="1" collapsed="false">
      <c r="A654" s="672"/>
      <c r="B654" s="647" t="s">
        <v>1448</v>
      </c>
      <c r="C654" s="739" t="s">
        <v>820</v>
      </c>
      <c r="D654" s="806"/>
      <c r="E654" s="647" t="s">
        <v>1444</v>
      </c>
      <c r="F654" s="807" t="n">
        <v>6700</v>
      </c>
      <c r="G654" s="807" t="n">
        <f aca="false">CEILING(F654/75,1)</f>
        <v>90</v>
      </c>
      <c r="H654" s="691"/>
    </row>
    <row r="655" customFormat="false" ht="15" hidden="true" customHeight="true" outlineLevel="1" collapsed="false">
      <c r="A655" s="672"/>
      <c r="B655" s="647" t="s">
        <v>1449</v>
      </c>
      <c r="C655" s="739" t="s">
        <v>820</v>
      </c>
      <c r="D655" s="806"/>
      <c r="E655" s="647" t="s">
        <v>1444</v>
      </c>
      <c r="F655" s="807" t="n">
        <v>10500</v>
      </c>
      <c r="G655" s="807" t="n">
        <f aca="false">CEILING(F655/75,1)</f>
        <v>140</v>
      </c>
      <c r="H655" s="691"/>
    </row>
    <row r="656" customFormat="false" ht="15" hidden="true" customHeight="true" outlineLevel="1" collapsed="false">
      <c r="A656" s="672"/>
      <c r="B656" s="647" t="s">
        <v>1450</v>
      </c>
      <c r="C656" s="739" t="s">
        <v>820</v>
      </c>
      <c r="D656" s="806"/>
      <c r="E656" s="647" t="s">
        <v>1444</v>
      </c>
      <c r="F656" s="807" t="n">
        <v>7400</v>
      </c>
      <c r="G656" s="807" t="n">
        <f aca="false">CEILING(F656/75,1)</f>
        <v>99</v>
      </c>
      <c r="H656" s="691"/>
    </row>
    <row r="657" customFormat="false" ht="15" hidden="true" customHeight="true" outlineLevel="1" collapsed="false">
      <c r="A657" s="672"/>
      <c r="B657" s="647" t="s">
        <v>1451</v>
      </c>
      <c r="C657" s="739" t="s">
        <v>820</v>
      </c>
      <c r="D657" s="806" t="s">
        <v>1443</v>
      </c>
      <c r="E657" s="647" t="s">
        <v>1444</v>
      </c>
      <c r="F657" s="807" t="n">
        <v>15000</v>
      </c>
      <c r="G657" s="807" t="n">
        <f aca="false">CEILING(F657/75,1)</f>
        <v>200</v>
      </c>
      <c r="H657" s="691"/>
    </row>
    <row r="658" customFormat="false" ht="15" hidden="true" customHeight="true" outlineLevel="1" collapsed="false">
      <c r="A658" s="672"/>
      <c r="B658" s="647" t="s">
        <v>1452</v>
      </c>
      <c r="C658" s="739" t="s">
        <v>820</v>
      </c>
      <c r="D658" s="806"/>
      <c r="E658" s="647" t="s">
        <v>1444</v>
      </c>
      <c r="F658" s="807" t="n">
        <v>7900</v>
      </c>
      <c r="G658" s="807" t="n">
        <f aca="false">CEILING(F658/75,1)</f>
        <v>106</v>
      </c>
      <c r="H658" s="691"/>
    </row>
    <row r="659" customFormat="false" ht="15" hidden="true" customHeight="true" outlineLevel="1" collapsed="false">
      <c r="A659" s="672"/>
      <c r="B659" s="647" t="s">
        <v>1453</v>
      </c>
      <c r="C659" s="739" t="s">
        <v>820</v>
      </c>
      <c r="D659" s="806"/>
      <c r="E659" s="647" t="s">
        <v>1444</v>
      </c>
      <c r="F659" s="807" t="n">
        <v>10100</v>
      </c>
      <c r="G659" s="807" t="n">
        <f aca="false">CEILING(F659/75,1)</f>
        <v>135</v>
      </c>
      <c r="H659" s="691"/>
    </row>
    <row r="660" customFormat="false" ht="15" hidden="true" customHeight="true" outlineLevel="1" collapsed="false">
      <c r="A660" s="672"/>
      <c r="B660" s="647" t="s">
        <v>1454</v>
      </c>
      <c r="C660" s="739" t="s">
        <v>820</v>
      </c>
      <c r="D660" s="806"/>
      <c r="E660" s="647" t="s">
        <v>1444</v>
      </c>
      <c r="F660" s="807" t="n">
        <v>15300</v>
      </c>
      <c r="G660" s="807" t="n">
        <f aca="false">CEILING(F660/75,1)</f>
        <v>204</v>
      </c>
      <c r="H660" s="691"/>
    </row>
    <row r="661" customFormat="false" ht="15" hidden="true" customHeight="true" outlineLevel="1" collapsed="false">
      <c r="A661" s="672"/>
      <c r="B661" s="647" t="s">
        <v>1455</v>
      </c>
      <c r="C661" s="739" t="s">
        <v>820</v>
      </c>
      <c r="D661" s="806"/>
      <c r="E661" s="647" t="s">
        <v>1444</v>
      </c>
      <c r="F661" s="807" t="n">
        <v>17800</v>
      </c>
      <c r="G661" s="807" t="n">
        <f aca="false">CEILING(F661/75,1)</f>
        <v>238</v>
      </c>
      <c r="H661" s="691"/>
    </row>
    <row r="662" customFormat="false" ht="15" hidden="true" customHeight="true" outlineLevel="1" collapsed="false">
      <c r="A662" s="672"/>
      <c r="B662" s="647" t="s">
        <v>1456</v>
      </c>
      <c r="C662" s="739" t="s">
        <v>820</v>
      </c>
      <c r="D662" s="806"/>
      <c r="E662" s="647" t="s">
        <v>1457</v>
      </c>
      <c r="F662" s="785" t="n">
        <v>1400</v>
      </c>
      <c r="G662" s="807" t="n">
        <f aca="false">CEILING(F662/75,1)</f>
        <v>19</v>
      </c>
      <c r="H662" s="691"/>
    </row>
    <row r="663" customFormat="false" ht="15" hidden="true" customHeight="true" outlineLevel="1" collapsed="false">
      <c r="A663" s="672"/>
      <c r="B663" s="647" t="s">
        <v>1458</v>
      </c>
      <c r="C663" s="739" t="s">
        <v>820</v>
      </c>
      <c r="D663" s="806"/>
      <c r="E663" s="647" t="s">
        <v>1457</v>
      </c>
      <c r="F663" s="785" t="n">
        <v>1400</v>
      </c>
      <c r="G663" s="807" t="n">
        <f aca="false">CEILING(F663/75,1)</f>
        <v>19</v>
      </c>
      <c r="H663" s="691"/>
    </row>
    <row r="664" customFormat="false" ht="15" hidden="true" customHeight="true" outlineLevel="1" collapsed="false">
      <c r="A664" s="672"/>
      <c r="B664" s="808" t="s">
        <v>1459</v>
      </c>
      <c r="C664" s="739" t="s">
        <v>820</v>
      </c>
      <c r="D664" s="806"/>
      <c r="E664" s="647" t="s">
        <v>1460</v>
      </c>
      <c r="F664" s="785" t="n">
        <v>1450</v>
      </c>
      <c r="G664" s="807" t="n">
        <f aca="false">CEILING(F664/75,1)</f>
        <v>20</v>
      </c>
      <c r="H664" s="691"/>
    </row>
    <row r="665" customFormat="false" ht="15" hidden="true" customHeight="true" outlineLevel="1" collapsed="false">
      <c r="A665" s="672"/>
      <c r="B665" s="647" t="s">
        <v>1461</v>
      </c>
      <c r="C665" s="739" t="s">
        <v>820</v>
      </c>
      <c r="D665" s="806"/>
      <c r="E665" s="647" t="s">
        <v>1462</v>
      </c>
      <c r="F665" s="807" t="n">
        <v>1870</v>
      </c>
      <c r="G665" s="807" t="n">
        <f aca="false">CEILING(F665/75,1)</f>
        <v>25</v>
      </c>
      <c r="H665" s="691"/>
    </row>
    <row r="666" customFormat="false" ht="15" hidden="true" customHeight="true" outlineLevel="1" collapsed="false">
      <c r="A666" s="672"/>
      <c r="B666" s="647" t="s">
        <v>1463</v>
      </c>
      <c r="C666" s="739" t="s">
        <v>820</v>
      </c>
      <c r="D666" s="806"/>
      <c r="E666" s="647" t="s">
        <v>1462</v>
      </c>
      <c r="F666" s="807" t="n">
        <v>5300</v>
      </c>
      <c r="G666" s="807" t="n">
        <f aca="false">CEILING(F666/75,1)</f>
        <v>71</v>
      </c>
      <c r="H666" s="691"/>
    </row>
    <row r="667" customFormat="false" ht="15" hidden="true" customHeight="true" outlineLevel="1" collapsed="false">
      <c r="A667" s="672"/>
      <c r="B667" s="756" t="s">
        <v>1464</v>
      </c>
      <c r="C667" s="743" t="s">
        <v>820</v>
      </c>
      <c r="D667" s="806" t="s">
        <v>1443</v>
      </c>
      <c r="E667" s="756" t="n">
        <v>3.24</v>
      </c>
      <c r="F667" s="809" t="n">
        <v>528</v>
      </c>
      <c r="G667" s="677" t="n">
        <f aca="false">F667/E667</f>
        <v>162.962962962963</v>
      </c>
      <c r="H667" s="691"/>
    </row>
    <row r="668" customFormat="false" ht="15" hidden="true" customHeight="true" outlineLevel="1" collapsed="false">
      <c r="A668" s="672"/>
      <c r="B668" s="756" t="s">
        <v>1465</v>
      </c>
      <c r="C668" s="743" t="s">
        <v>820</v>
      </c>
      <c r="D668" s="806"/>
      <c r="E668" s="756" t="n">
        <v>3.24</v>
      </c>
      <c r="F668" s="809" t="n">
        <v>608</v>
      </c>
      <c r="G668" s="677" t="n">
        <f aca="false">F668/E668</f>
        <v>187.654320987654</v>
      </c>
      <c r="H668" s="691"/>
    </row>
    <row r="669" customFormat="false" ht="15" hidden="true" customHeight="true" outlineLevel="1" collapsed="false">
      <c r="A669" s="672"/>
      <c r="B669" s="756" t="s">
        <v>1466</v>
      </c>
      <c r="C669" s="743" t="s">
        <v>820</v>
      </c>
      <c r="D669" s="806"/>
      <c r="E669" s="756" t="n">
        <v>3.24</v>
      </c>
      <c r="F669" s="809" t="n">
        <v>1258</v>
      </c>
      <c r="G669" s="677" t="n">
        <f aca="false">F669/E669</f>
        <v>388.271604938272</v>
      </c>
      <c r="H669" s="691"/>
    </row>
    <row r="670" customFormat="false" ht="15" hidden="true" customHeight="true" outlineLevel="1" collapsed="false">
      <c r="A670" s="672"/>
      <c r="B670" s="756" t="s">
        <v>1467</v>
      </c>
      <c r="C670" s="743" t="s">
        <v>820</v>
      </c>
      <c r="D670" s="806"/>
      <c r="E670" s="756" t="n">
        <v>3.24</v>
      </c>
      <c r="F670" s="809" t="n">
        <v>718</v>
      </c>
      <c r="G670" s="677" t="n">
        <f aca="false">F670/E670</f>
        <v>221.604938271605</v>
      </c>
      <c r="H670" s="691"/>
    </row>
    <row r="671" customFormat="false" ht="15" hidden="true" customHeight="true" outlineLevel="1" collapsed="false">
      <c r="A671" s="672"/>
      <c r="B671" s="756" t="s">
        <v>1468</v>
      </c>
      <c r="C671" s="743" t="s">
        <v>820</v>
      </c>
      <c r="D671" s="806"/>
      <c r="E671" s="756" t="n">
        <v>3.24</v>
      </c>
      <c r="F671" s="810" t="n">
        <v>1488</v>
      </c>
      <c r="G671" s="677" t="n">
        <f aca="false">F671/E671</f>
        <v>459.259259259259</v>
      </c>
      <c r="H671" s="691"/>
    </row>
    <row r="672" customFormat="false" ht="15" hidden="true" customHeight="true" outlineLevel="1" collapsed="false">
      <c r="A672" s="672"/>
      <c r="B672" s="756" t="s">
        <v>1469</v>
      </c>
      <c r="C672" s="743" t="s">
        <v>820</v>
      </c>
      <c r="D672" s="806"/>
      <c r="E672" s="756" t="n">
        <v>1.92</v>
      </c>
      <c r="F672" s="809" t="n">
        <v>800</v>
      </c>
      <c r="G672" s="677" t="n">
        <f aca="false">F672/E672</f>
        <v>416.666666666667</v>
      </c>
      <c r="H672" s="691"/>
    </row>
    <row r="673" customFormat="false" ht="15" hidden="true" customHeight="true" outlineLevel="1" collapsed="false">
      <c r="A673" s="672"/>
      <c r="B673" s="756" t="s">
        <v>1470</v>
      </c>
      <c r="C673" s="743" t="s">
        <v>820</v>
      </c>
      <c r="D673" s="806"/>
      <c r="E673" s="756" t="n">
        <v>1.08</v>
      </c>
      <c r="F673" s="809" t="n">
        <v>655</v>
      </c>
      <c r="G673" s="677" t="n">
        <f aca="false">F673/E673</f>
        <v>606.481481481481</v>
      </c>
      <c r="H673" s="691"/>
    </row>
    <row r="674" customFormat="false" ht="15" hidden="true" customHeight="true" outlineLevel="1" collapsed="false">
      <c r="A674" s="672"/>
      <c r="B674" s="756" t="s">
        <v>1471</v>
      </c>
      <c r="C674" s="743" t="s">
        <v>820</v>
      </c>
      <c r="D674" s="806"/>
      <c r="E674" s="756" t="n">
        <v>1.08</v>
      </c>
      <c r="F674" s="809" t="n">
        <v>980</v>
      </c>
      <c r="G674" s="677" t="n">
        <f aca="false">F674/E674</f>
        <v>907.407407407407</v>
      </c>
      <c r="H674" s="691"/>
    </row>
    <row r="675" customFormat="false" ht="15" hidden="true" customHeight="true" outlineLevel="1" collapsed="false">
      <c r="A675" s="672"/>
      <c r="B675" s="756" t="s">
        <v>1472</v>
      </c>
      <c r="C675" s="743" t="s">
        <v>820</v>
      </c>
      <c r="D675" s="806"/>
      <c r="E675" s="756" t="n">
        <v>1.08</v>
      </c>
      <c r="F675" s="809" t="n">
        <v>1215</v>
      </c>
      <c r="G675" s="677" t="n">
        <f aca="false">F675/E675</f>
        <v>1125</v>
      </c>
      <c r="H675" s="691"/>
    </row>
    <row r="676" customFormat="false" ht="15" hidden="true" customHeight="true" outlineLevel="1" collapsed="false">
      <c r="A676" s="672"/>
      <c r="B676" s="738" t="s">
        <v>103</v>
      </c>
      <c r="C676" s="739" t="s">
        <v>820</v>
      </c>
      <c r="D676" s="806" t="s">
        <v>1443</v>
      </c>
      <c r="E676" s="762"/>
      <c r="F676" s="803"/>
      <c r="G676" s="704" t="n">
        <v>0</v>
      </c>
      <c r="H676" s="691"/>
    </row>
    <row r="677" customFormat="false" ht="15" hidden="true" customHeight="true" outlineLevel="1" collapsed="false">
      <c r="A677" s="672"/>
      <c r="B677" s="647" t="s">
        <v>1473</v>
      </c>
      <c r="C677" s="739" t="s">
        <v>820</v>
      </c>
      <c r="D677" s="806"/>
      <c r="E677" s="647" t="s">
        <v>1444</v>
      </c>
      <c r="F677" s="807" t="n">
        <v>1450</v>
      </c>
      <c r="G677" s="807" t="n">
        <f aca="false">CEILING(F677/75,1)</f>
        <v>20</v>
      </c>
      <c r="H677" s="691"/>
    </row>
    <row r="678" customFormat="false" ht="15" hidden="true" customHeight="true" outlineLevel="1" collapsed="false">
      <c r="A678" s="672"/>
      <c r="B678" s="647" t="s">
        <v>1474</v>
      </c>
      <c r="C678" s="739" t="s">
        <v>820</v>
      </c>
      <c r="D678" s="806"/>
      <c r="E678" s="647" t="s">
        <v>1444</v>
      </c>
      <c r="F678" s="807" t="n">
        <v>1790</v>
      </c>
      <c r="G678" s="807" t="n">
        <f aca="false">CEILING(F678/75,1)</f>
        <v>24</v>
      </c>
      <c r="H678" s="691"/>
    </row>
    <row r="679" customFormat="false" ht="15" hidden="true" customHeight="true" outlineLevel="1" collapsed="false">
      <c r="A679" s="672"/>
      <c r="B679" s="647" t="s">
        <v>1475</v>
      </c>
      <c r="C679" s="739" t="s">
        <v>820</v>
      </c>
      <c r="D679" s="806"/>
      <c r="E679" s="647" t="s">
        <v>1444</v>
      </c>
      <c r="F679" s="807" t="n">
        <v>13000</v>
      </c>
      <c r="G679" s="807" t="n">
        <f aca="false">CEILING(F679/75,1)</f>
        <v>174</v>
      </c>
      <c r="H679" s="691"/>
    </row>
    <row r="680" customFormat="false" ht="15" hidden="true" customHeight="true" outlineLevel="1" collapsed="false">
      <c r="A680" s="672"/>
      <c r="B680" s="647" t="s">
        <v>1476</v>
      </c>
      <c r="C680" s="739" t="s">
        <v>820</v>
      </c>
      <c r="D680" s="806"/>
      <c r="E680" s="647" t="s">
        <v>1444</v>
      </c>
      <c r="F680" s="807" t="n">
        <v>9900</v>
      </c>
      <c r="G680" s="807" t="n">
        <f aca="false">CEILING(F680/75,1)</f>
        <v>132</v>
      </c>
      <c r="H680" s="691"/>
    </row>
    <row r="681" customFormat="false" ht="15" hidden="true" customHeight="true" outlineLevel="1" collapsed="false">
      <c r="A681" s="672"/>
      <c r="B681" s="647" t="s">
        <v>1477</v>
      </c>
      <c r="C681" s="739" t="s">
        <v>820</v>
      </c>
      <c r="D681" s="806"/>
      <c r="E681" s="647" t="s">
        <v>1444</v>
      </c>
      <c r="F681" s="807" t="n">
        <v>11700</v>
      </c>
      <c r="G681" s="807" t="n">
        <f aca="false">CEILING(F681/75,1)</f>
        <v>156</v>
      </c>
      <c r="H681" s="691"/>
    </row>
    <row r="682" customFormat="false" ht="15" hidden="true" customHeight="true" outlineLevel="1" collapsed="false">
      <c r="A682" s="672"/>
      <c r="B682" s="647" t="s">
        <v>1478</v>
      </c>
      <c r="C682" s="739" t="s">
        <v>820</v>
      </c>
      <c r="D682" s="806"/>
      <c r="E682" s="647" t="s">
        <v>1444</v>
      </c>
      <c r="F682" s="807" t="n">
        <v>13100</v>
      </c>
      <c r="G682" s="807" t="n">
        <f aca="false">CEILING(F682/75,1)</f>
        <v>175</v>
      </c>
      <c r="H682" s="691"/>
    </row>
    <row r="683" customFormat="false" ht="15" hidden="true" customHeight="true" outlineLevel="1" collapsed="false">
      <c r="A683" s="672"/>
      <c r="B683" s="647" t="s">
        <v>1458</v>
      </c>
      <c r="C683" s="739" t="s">
        <v>820</v>
      </c>
      <c r="D683" s="806"/>
      <c r="E683" s="647" t="s">
        <v>1457</v>
      </c>
      <c r="F683" s="785" t="n">
        <v>1500</v>
      </c>
      <c r="G683" s="807" t="n">
        <f aca="false">CEILING(F683/75,1)</f>
        <v>20</v>
      </c>
      <c r="H683" s="691"/>
    </row>
    <row r="684" customFormat="false" ht="15" hidden="true" customHeight="true" outlineLevel="1" collapsed="false">
      <c r="A684" s="672"/>
      <c r="B684" s="808" t="s">
        <v>1459</v>
      </c>
      <c r="C684" s="739" t="s">
        <v>820</v>
      </c>
      <c r="D684" s="806"/>
      <c r="E684" s="647" t="s">
        <v>1460</v>
      </c>
      <c r="F684" s="785" t="n">
        <v>1450</v>
      </c>
      <c r="G684" s="807" t="n">
        <f aca="false">CEILING(F684/75,1)</f>
        <v>20</v>
      </c>
      <c r="H684" s="691"/>
    </row>
    <row r="685" customFormat="false" ht="15" hidden="true" customHeight="true" outlineLevel="1" collapsed="false">
      <c r="A685" s="672"/>
      <c r="B685" s="647" t="s">
        <v>1479</v>
      </c>
      <c r="C685" s="739" t="s">
        <v>820</v>
      </c>
      <c r="D685" s="806"/>
      <c r="E685" s="647" t="s">
        <v>1457</v>
      </c>
      <c r="F685" s="785" t="n">
        <v>1300</v>
      </c>
      <c r="G685" s="807" t="n">
        <f aca="false">CEILING(F685/75,1)</f>
        <v>18</v>
      </c>
      <c r="H685" s="691"/>
    </row>
    <row r="686" customFormat="false" ht="15" hidden="true" customHeight="true" outlineLevel="1" collapsed="false">
      <c r="A686" s="672"/>
      <c r="B686" s="647" t="s">
        <v>1480</v>
      </c>
      <c r="C686" s="739" t="s">
        <v>820</v>
      </c>
      <c r="D686" s="806"/>
      <c r="E686" s="647" t="s">
        <v>1462</v>
      </c>
      <c r="F686" s="807" t="n">
        <v>1900</v>
      </c>
      <c r="G686" s="807" t="n">
        <f aca="false">CEILING(F686/75,1)</f>
        <v>26</v>
      </c>
      <c r="H686" s="691"/>
    </row>
    <row r="687" customFormat="false" ht="15" hidden="true" customHeight="true" outlineLevel="1" collapsed="false">
      <c r="A687" s="672"/>
      <c r="B687" s="647" t="s">
        <v>1481</v>
      </c>
      <c r="C687" s="739" t="s">
        <v>820</v>
      </c>
      <c r="D687" s="806"/>
      <c r="E687" s="647" t="s">
        <v>1462</v>
      </c>
      <c r="F687" s="807" t="n">
        <v>3900</v>
      </c>
      <c r="G687" s="807" t="n">
        <f aca="false">CEILING(F687/75,1)</f>
        <v>52</v>
      </c>
      <c r="H687" s="691"/>
    </row>
    <row r="688" customFormat="false" ht="15" hidden="true" customHeight="true" outlineLevel="1" collapsed="false">
      <c r="A688" s="672"/>
      <c r="B688" s="738" t="s">
        <v>1482</v>
      </c>
      <c r="C688" s="739" t="s">
        <v>48</v>
      </c>
      <c r="D688" s="762"/>
      <c r="E688" s="762"/>
      <c r="F688" s="803"/>
      <c r="G688" s="704" t="n">
        <v>100</v>
      </c>
      <c r="H688" s="691"/>
    </row>
    <row r="689" customFormat="false" ht="15" hidden="true" customHeight="true" outlineLevel="1" collapsed="false">
      <c r="A689" s="672"/>
      <c r="B689" s="738"/>
      <c r="C689" s="739"/>
      <c r="D689" s="762"/>
      <c r="E689" s="762"/>
      <c r="F689" s="803"/>
      <c r="G689" s="704"/>
      <c r="H689" s="691"/>
    </row>
    <row r="690" customFormat="false" ht="15" hidden="false" customHeight="true" outlineLevel="0" collapsed="false">
      <c r="A690" s="805" t="s">
        <v>1435</v>
      </c>
      <c r="B690" s="715"/>
      <c r="C690" s="692" t="s">
        <v>162</v>
      </c>
      <c r="D690" s="710"/>
      <c r="E690" s="710"/>
      <c r="F690" s="690" t="s">
        <v>1436</v>
      </c>
      <c r="G690" s="710" t="s">
        <v>981</v>
      </c>
      <c r="H690" s="691"/>
    </row>
    <row r="691" customFormat="false" ht="15" hidden="true" customHeight="true" outlineLevel="1" collapsed="false">
      <c r="A691" s="811" t="s">
        <v>1483</v>
      </c>
      <c r="B691" s="811"/>
      <c r="C691" s="770" t="s">
        <v>162</v>
      </c>
      <c r="D691" s="812"/>
      <c r="E691" s="812"/>
      <c r="F691" s="813"/>
      <c r="G691" s="710" t="s">
        <v>1484</v>
      </c>
      <c r="H691" s="691"/>
    </row>
    <row r="692" s="817" customFormat="true" ht="15" hidden="true" customHeight="true" outlineLevel="1" collapsed="false">
      <c r="A692" s="814"/>
      <c r="B692" s="647" t="s">
        <v>428</v>
      </c>
      <c r="C692" s="648" t="s">
        <v>1485</v>
      </c>
      <c r="D692" s="649"/>
      <c r="E692" s="649"/>
      <c r="F692" s="649"/>
      <c r="G692" s="650" t="n">
        <v>0</v>
      </c>
      <c r="H692" s="815"/>
      <c r="I692" s="816"/>
      <c r="J692" s="816"/>
      <c r="K692" s="816"/>
      <c r="L692" s="816"/>
      <c r="M692" s="816"/>
      <c r="N692" s="816"/>
      <c r="O692" s="816"/>
      <c r="P692" s="816"/>
      <c r="Q692" s="816"/>
      <c r="R692" s="816"/>
      <c r="S692" s="816"/>
      <c r="T692" s="816"/>
      <c r="U692" s="816"/>
    </row>
    <row r="693" customFormat="false" ht="15" hidden="true" customHeight="true" outlineLevel="1" collapsed="false">
      <c r="A693" s="667"/>
      <c r="B693" s="818" t="s">
        <v>427</v>
      </c>
      <c r="C693" s="761" t="s">
        <v>1485</v>
      </c>
      <c r="F693" s="649"/>
      <c r="G693" s="650" t="n">
        <v>30</v>
      </c>
      <c r="H693" s="691"/>
    </row>
    <row r="694" customFormat="false" ht="15" hidden="true" customHeight="true" outlineLevel="1" collapsed="false">
      <c r="A694" s="672"/>
      <c r="B694" s="818" t="s">
        <v>1486</v>
      </c>
      <c r="C694" s="761" t="s">
        <v>1485</v>
      </c>
      <c r="D694" s="762"/>
      <c r="E694" s="762"/>
      <c r="F694" s="762"/>
      <c r="G694" s="819" t="n">
        <v>14.21</v>
      </c>
      <c r="H694" s="691"/>
    </row>
    <row r="695" customFormat="false" ht="15" hidden="true" customHeight="true" outlineLevel="1" collapsed="false">
      <c r="A695" s="679"/>
      <c r="B695" s="818" t="s">
        <v>1487</v>
      </c>
      <c r="C695" s="761" t="s">
        <v>1485</v>
      </c>
      <c r="D695" s="762"/>
      <c r="E695" s="762"/>
      <c r="F695" s="762"/>
      <c r="G695" s="819" t="n">
        <v>11</v>
      </c>
      <c r="H695" s="691"/>
    </row>
    <row r="696" customFormat="false" ht="15" hidden="false" customHeight="true" outlineLevel="0" collapsed="false">
      <c r="A696" s="811" t="s">
        <v>1483</v>
      </c>
      <c r="B696" s="811"/>
      <c r="C696" s="770" t="s">
        <v>162</v>
      </c>
      <c r="D696" s="812"/>
      <c r="E696" s="812"/>
      <c r="F696" s="813"/>
      <c r="G696" s="710" t="s">
        <v>1484</v>
      </c>
      <c r="H696" s="691"/>
    </row>
    <row r="697" customFormat="false" ht="15" hidden="true" customHeight="true" outlineLevel="1" collapsed="false">
      <c r="A697" s="811" t="s">
        <v>1488</v>
      </c>
      <c r="B697" s="811"/>
      <c r="C697" s="770" t="s">
        <v>162</v>
      </c>
      <c r="D697" s="812"/>
      <c r="E697" s="812"/>
      <c r="F697" s="813"/>
      <c r="G697" s="710" t="s">
        <v>1484</v>
      </c>
      <c r="H697" s="691"/>
    </row>
    <row r="698" s="817" customFormat="true" ht="15" hidden="true" customHeight="true" outlineLevel="1" collapsed="false">
      <c r="A698" s="820"/>
      <c r="B698" s="647" t="s">
        <v>430</v>
      </c>
      <c r="C698" s="648" t="s">
        <v>1485</v>
      </c>
      <c r="D698" s="649"/>
      <c r="E698" s="649"/>
      <c r="F698" s="649"/>
      <c r="G698" s="650" t="n">
        <v>0</v>
      </c>
      <c r="H698" s="815"/>
      <c r="I698" s="816"/>
      <c r="J698" s="816"/>
      <c r="K698" s="816"/>
      <c r="L698" s="816"/>
      <c r="M698" s="816"/>
      <c r="N698" s="816"/>
      <c r="O698" s="816"/>
      <c r="P698" s="816"/>
      <c r="Q698" s="816"/>
      <c r="R698" s="816"/>
      <c r="S698" s="816"/>
      <c r="T698" s="816"/>
      <c r="U698" s="816"/>
    </row>
    <row r="699" customFormat="false" ht="15" hidden="true" customHeight="true" outlineLevel="1" collapsed="false">
      <c r="A699" s="667"/>
      <c r="B699" s="818" t="s">
        <v>429</v>
      </c>
      <c r="C699" s="761" t="s">
        <v>1485</v>
      </c>
      <c r="D699" s="762"/>
      <c r="E699" s="762"/>
      <c r="F699" s="762"/>
      <c r="G699" s="819" t="n">
        <v>31.54</v>
      </c>
      <c r="H699" s="691"/>
    </row>
    <row r="700" customFormat="false" ht="15" hidden="true" customHeight="true" outlineLevel="1" collapsed="false">
      <c r="A700" s="672"/>
      <c r="B700" s="818" t="s">
        <v>1489</v>
      </c>
      <c r="C700" s="761" t="s">
        <v>1485</v>
      </c>
      <c r="D700" s="762"/>
      <c r="E700" s="762"/>
      <c r="F700" s="762"/>
      <c r="G700" s="819" t="n">
        <v>45</v>
      </c>
      <c r="H700" s="691"/>
    </row>
    <row r="701" customFormat="false" ht="15" hidden="true" customHeight="true" outlineLevel="1" collapsed="false">
      <c r="A701" s="679"/>
      <c r="B701" s="818" t="s">
        <v>1489</v>
      </c>
      <c r="C701" s="761" t="s">
        <v>1485</v>
      </c>
      <c r="D701" s="762"/>
      <c r="E701" s="762"/>
      <c r="F701" s="762"/>
      <c r="G701" s="819" t="n">
        <v>55</v>
      </c>
      <c r="H701" s="691"/>
    </row>
    <row r="702" customFormat="false" ht="15" hidden="false" customHeight="true" outlineLevel="0" collapsed="false">
      <c r="A702" s="811" t="s">
        <v>1488</v>
      </c>
      <c r="B702" s="811"/>
      <c r="C702" s="770" t="s">
        <v>162</v>
      </c>
      <c r="D702" s="812"/>
      <c r="E702" s="812"/>
      <c r="F702" s="813"/>
      <c r="G702" s="710" t="s">
        <v>1484</v>
      </c>
      <c r="H702" s="691"/>
    </row>
    <row r="703" customFormat="false" ht="15" hidden="true" customHeight="true" outlineLevel="1" collapsed="false">
      <c r="A703" s="811" t="s">
        <v>1490</v>
      </c>
      <c r="B703" s="811"/>
      <c r="C703" s="770" t="s">
        <v>162</v>
      </c>
      <c r="D703" s="812"/>
      <c r="E703" s="812"/>
      <c r="F703" s="813"/>
      <c r="G703" s="710" t="s">
        <v>1484</v>
      </c>
      <c r="H703" s="691"/>
    </row>
    <row r="704" customFormat="false" ht="15" hidden="true" customHeight="true" outlineLevel="1" collapsed="false">
      <c r="A704" s="747"/>
      <c r="B704" s="818" t="s">
        <v>1491</v>
      </c>
      <c r="C704" s="761" t="s">
        <v>1485</v>
      </c>
      <c r="D704" s="762"/>
      <c r="E704" s="762"/>
      <c r="F704" s="704"/>
      <c r="G704" s="821" t="n">
        <v>50</v>
      </c>
      <c r="H704" s="691"/>
    </row>
    <row r="705" customFormat="false" ht="15" hidden="true" customHeight="true" outlineLevel="1" collapsed="false">
      <c r="A705" s="751"/>
      <c r="B705" s="818"/>
      <c r="C705" s="761"/>
      <c r="D705" s="762"/>
      <c r="E705" s="762"/>
      <c r="F705" s="704"/>
      <c r="G705" s="821"/>
      <c r="H705" s="691"/>
    </row>
    <row r="706" customFormat="false" ht="15" hidden="false" customHeight="true" outlineLevel="0" collapsed="false">
      <c r="A706" s="811" t="s">
        <v>1490</v>
      </c>
      <c r="B706" s="811"/>
      <c r="C706" s="770" t="s">
        <v>162</v>
      </c>
      <c r="D706" s="812"/>
      <c r="E706" s="812"/>
      <c r="F706" s="813"/>
      <c r="G706" s="710" t="s">
        <v>1484</v>
      </c>
      <c r="H706" s="691"/>
    </row>
    <row r="707" customFormat="false" ht="15" hidden="true" customHeight="true" outlineLevel="1" collapsed="false">
      <c r="A707" s="822" t="s">
        <v>1492</v>
      </c>
      <c r="B707" s="822"/>
      <c r="C707" s="770" t="s">
        <v>162</v>
      </c>
      <c r="D707" s="812" t="s">
        <v>1493</v>
      </c>
      <c r="E707" s="812" t="s">
        <v>1494</v>
      </c>
      <c r="F707" s="813" t="s">
        <v>1495</v>
      </c>
      <c r="G707" s="686" t="s">
        <v>1496</v>
      </c>
      <c r="H707" s="691"/>
    </row>
    <row r="708" s="817" customFormat="true" ht="15" hidden="true" customHeight="true" outlineLevel="1" collapsed="false">
      <c r="A708" s="823"/>
      <c r="B708" s="647" t="s">
        <v>432</v>
      </c>
      <c r="C708" s="648" t="s">
        <v>1485</v>
      </c>
      <c r="D708" s="649"/>
      <c r="E708" s="649"/>
      <c r="F708" s="649"/>
      <c r="G708" s="650" t="n">
        <v>0</v>
      </c>
      <c r="H708" s="815"/>
      <c r="I708" s="816"/>
      <c r="J708" s="816"/>
      <c r="K708" s="816"/>
      <c r="L708" s="816"/>
      <c r="M708" s="816"/>
      <c r="N708" s="816"/>
      <c r="O708" s="816"/>
      <c r="P708" s="816"/>
      <c r="Q708" s="816"/>
      <c r="R708" s="816"/>
      <c r="S708" s="816"/>
      <c r="T708" s="816"/>
      <c r="U708" s="816"/>
    </row>
    <row r="709" customFormat="false" ht="15" hidden="true" customHeight="true" outlineLevel="1" collapsed="false">
      <c r="A709" s="667"/>
      <c r="B709" s="818" t="s">
        <v>1497</v>
      </c>
      <c r="C709" s="761" t="s">
        <v>1485</v>
      </c>
      <c r="D709" s="762"/>
      <c r="E709" s="762"/>
      <c r="F709" s="821"/>
      <c r="G709" s="704" t="n">
        <v>4</v>
      </c>
      <c r="H709" s="691"/>
    </row>
    <row r="710" customFormat="false" ht="15" hidden="true" customHeight="true" outlineLevel="1" collapsed="false">
      <c r="A710" s="672"/>
      <c r="B710" s="818" t="s">
        <v>1498</v>
      </c>
      <c r="C710" s="761" t="s">
        <v>1485</v>
      </c>
      <c r="D710" s="762"/>
      <c r="E710" s="762"/>
      <c r="F710" s="821"/>
      <c r="G710" s="704" t="n">
        <v>7.4</v>
      </c>
      <c r="H710" s="691"/>
    </row>
    <row r="711" customFormat="false" ht="15" hidden="true" customHeight="true" outlineLevel="1" collapsed="false">
      <c r="A711" s="672"/>
      <c r="B711" s="818" t="s">
        <v>431</v>
      </c>
      <c r="C711" s="761" t="s">
        <v>1485</v>
      </c>
      <c r="D711" s="762"/>
      <c r="E711" s="762"/>
      <c r="F711" s="821"/>
      <c r="G711" s="704" t="n">
        <v>11.2</v>
      </c>
      <c r="H711" s="691"/>
    </row>
    <row r="712" customFormat="false" ht="15" hidden="true" customHeight="true" outlineLevel="1" collapsed="false">
      <c r="A712" s="672"/>
      <c r="B712" s="818" t="s">
        <v>1499</v>
      </c>
      <c r="C712" s="761" t="s">
        <v>1485</v>
      </c>
      <c r="D712" s="762"/>
      <c r="E712" s="762"/>
      <c r="F712" s="821"/>
      <c r="G712" s="704" t="n">
        <v>11.5</v>
      </c>
      <c r="H712" s="691"/>
    </row>
    <row r="713" customFormat="false" ht="15" hidden="true" customHeight="true" outlineLevel="1" collapsed="false">
      <c r="A713" s="672"/>
      <c r="B713" s="818" t="s">
        <v>1500</v>
      </c>
      <c r="C713" s="761" t="s">
        <v>1485</v>
      </c>
      <c r="D713" s="762"/>
      <c r="E713" s="762"/>
      <c r="F713" s="821"/>
      <c r="G713" s="704" t="n">
        <v>24.5</v>
      </c>
      <c r="H713" s="691"/>
    </row>
    <row r="714" customFormat="false" ht="15" hidden="true" customHeight="true" outlineLevel="1" collapsed="false">
      <c r="A714" s="672"/>
      <c r="B714" s="818" t="s">
        <v>1501</v>
      </c>
      <c r="C714" s="761" t="s">
        <v>1485</v>
      </c>
      <c r="D714" s="762"/>
      <c r="E714" s="762"/>
      <c r="F714" s="821"/>
      <c r="G714" s="704" t="n">
        <v>27.1</v>
      </c>
      <c r="H714" s="691"/>
    </row>
    <row r="715" customFormat="false" ht="15" hidden="true" customHeight="true" outlineLevel="1" collapsed="false">
      <c r="A715" s="672"/>
      <c r="B715" s="818" t="s">
        <v>1502</v>
      </c>
      <c r="C715" s="761" t="s">
        <v>1485</v>
      </c>
      <c r="D715" s="762"/>
      <c r="E715" s="762"/>
      <c r="F715" s="821"/>
      <c r="G715" s="704" t="n">
        <v>29.1</v>
      </c>
      <c r="H715" s="691"/>
    </row>
    <row r="716" customFormat="false" ht="15" hidden="true" customHeight="true" outlineLevel="1" collapsed="false">
      <c r="A716" s="672"/>
      <c r="B716" s="818" t="s">
        <v>1503</v>
      </c>
      <c r="C716" s="761" t="s">
        <v>1485</v>
      </c>
      <c r="D716" s="762"/>
      <c r="E716" s="762"/>
      <c r="F716" s="821"/>
      <c r="G716" s="704" t="n">
        <v>26.9</v>
      </c>
      <c r="H716" s="691"/>
    </row>
    <row r="717" customFormat="false" ht="15" hidden="true" customHeight="true" outlineLevel="1" collapsed="false">
      <c r="A717" s="672"/>
      <c r="B717" s="818" t="s">
        <v>1504</v>
      </c>
      <c r="C717" s="761" t="s">
        <v>1485</v>
      </c>
      <c r="D717" s="762"/>
      <c r="E717" s="762"/>
      <c r="F717" s="821"/>
      <c r="G717" s="704" t="n">
        <v>32.9</v>
      </c>
      <c r="H717" s="691"/>
    </row>
    <row r="718" customFormat="false" ht="15" hidden="true" customHeight="true" outlineLevel="1" collapsed="false">
      <c r="A718" s="672"/>
      <c r="B718" s="818" t="s">
        <v>1505</v>
      </c>
      <c r="C718" s="761" t="s">
        <v>1485</v>
      </c>
      <c r="D718" s="762"/>
      <c r="E718" s="762"/>
      <c r="F718" s="821"/>
      <c r="G718" s="704" t="n">
        <v>77.2</v>
      </c>
      <c r="H718" s="691"/>
    </row>
    <row r="719" customFormat="false" ht="15" hidden="true" customHeight="true" outlineLevel="1" collapsed="false">
      <c r="A719" s="672"/>
      <c r="B719" s="818" t="s">
        <v>1506</v>
      </c>
      <c r="C719" s="761" t="s">
        <v>1485</v>
      </c>
      <c r="D719" s="762"/>
      <c r="E719" s="762"/>
      <c r="F719" s="821"/>
      <c r="G719" s="704" t="n">
        <v>88.1</v>
      </c>
      <c r="H719" s="691"/>
    </row>
    <row r="720" customFormat="false" ht="15" hidden="true" customHeight="true" outlineLevel="1" collapsed="false">
      <c r="A720" s="672"/>
      <c r="B720" s="818" t="s">
        <v>1507</v>
      </c>
      <c r="C720" s="761" t="s">
        <v>1485</v>
      </c>
      <c r="D720" s="762"/>
      <c r="E720" s="762"/>
      <c r="F720" s="821"/>
      <c r="G720" s="704" t="n">
        <v>100.2</v>
      </c>
      <c r="H720" s="691"/>
    </row>
    <row r="721" customFormat="false" ht="15" hidden="true" customHeight="true" outlineLevel="1" collapsed="false">
      <c r="A721" s="672"/>
      <c r="B721" s="818"/>
      <c r="C721" s="761"/>
      <c r="D721" s="762"/>
      <c r="E721" s="762"/>
      <c r="F721" s="821"/>
      <c r="G721" s="704"/>
      <c r="H721" s="691"/>
    </row>
    <row r="722" customFormat="false" ht="15" hidden="false" customHeight="true" outlineLevel="0" collapsed="false">
      <c r="A722" s="822" t="s">
        <v>1492</v>
      </c>
      <c r="B722" s="822"/>
      <c r="C722" s="770" t="s">
        <v>162</v>
      </c>
      <c r="D722" s="812" t="s">
        <v>1493</v>
      </c>
      <c r="E722" s="812" t="s">
        <v>1494</v>
      </c>
      <c r="F722" s="813" t="s">
        <v>1495</v>
      </c>
      <c r="G722" s="686" t="s">
        <v>1496</v>
      </c>
      <c r="H722" s="691"/>
    </row>
    <row r="723" customFormat="false" ht="15" hidden="true" customHeight="true" outlineLevel="1" collapsed="false">
      <c r="A723" s="824" t="s">
        <v>1508</v>
      </c>
      <c r="B723" s="825"/>
      <c r="C723" s="770" t="s">
        <v>162</v>
      </c>
      <c r="D723" s="812" t="s">
        <v>1493</v>
      </c>
      <c r="E723" s="812" t="s">
        <v>1494</v>
      </c>
      <c r="F723" s="710" t="s">
        <v>1509</v>
      </c>
      <c r="G723" s="710" t="s">
        <v>1510</v>
      </c>
      <c r="H723" s="691"/>
    </row>
    <row r="724" s="817" customFormat="true" ht="15" hidden="true" customHeight="true" outlineLevel="1" collapsed="false">
      <c r="A724" s="826"/>
      <c r="B724" s="827" t="s">
        <v>435</v>
      </c>
      <c r="C724" s="828" t="s">
        <v>1511</v>
      </c>
      <c r="D724" s="829"/>
      <c r="E724" s="829"/>
      <c r="F724" s="829" t="n">
        <v>0</v>
      </c>
      <c r="G724" s="677" t="n">
        <v>0</v>
      </c>
      <c r="H724" s="815"/>
      <c r="I724" s="816"/>
      <c r="J724" s="816"/>
      <c r="K724" s="816"/>
      <c r="L724" s="816"/>
      <c r="M724" s="816"/>
      <c r="N724" s="816"/>
      <c r="O724" s="816"/>
      <c r="P724" s="816"/>
      <c r="Q724" s="816"/>
      <c r="R724" s="816"/>
      <c r="S724" s="816"/>
      <c r="T724" s="816"/>
      <c r="U724" s="816"/>
    </row>
    <row r="725" customFormat="false" ht="15" hidden="true" customHeight="true" outlineLevel="1" collapsed="false">
      <c r="A725" s="667"/>
      <c r="B725" s="818" t="s">
        <v>1512</v>
      </c>
      <c r="C725" s="761" t="s">
        <v>1511</v>
      </c>
      <c r="D725" s="762"/>
      <c r="E725" s="762"/>
      <c r="F725" s="704" t="n">
        <v>0.2</v>
      </c>
      <c r="G725" s="821" t="n">
        <v>105.62</v>
      </c>
    </row>
    <row r="726" customFormat="false" ht="15" hidden="true" customHeight="true" outlineLevel="1" collapsed="false">
      <c r="A726" s="672"/>
      <c r="B726" s="818" t="s">
        <v>433</v>
      </c>
      <c r="C726" s="761" t="s">
        <v>1511</v>
      </c>
      <c r="D726" s="762"/>
      <c r="E726" s="762"/>
      <c r="F726" s="704" t="n">
        <v>0.25</v>
      </c>
      <c r="G726" s="821" t="n">
        <v>105.62</v>
      </c>
    </row>
    <row r="727" customFormat="false" ht="15" hidden="true" customHeight="true" outlineLevel="1" collapsed="false">
      <c r="A727" s="672"/>
      <c r="B727" s="818" t="s">
        <v>1513</v>
      </c>
      <c r="C727" s="761" t="s">
        <v>1511</v>
      </c>
      <c r="D727" s="762"/>
      <c r="E727" s="762"/>
      <c r="F727" s="704" t="n">
        <v>0.3</v>
      </c>
      <c r="G727" s="821" t="n">
        <v>105.62</v>
      </c>
    </row>
    <row r="728" customFormat="false" ht="15" hidden="true" customHeight="true" outlineLevel="1" collapsed="false">
      <c r="A728" s="672"/>
      <c r="B728" s="818" t="s">
        <v>1514</v>
      </c>
      <c r="C728" s="761" t="s">
        <v>1511</v>
      </c>
      <c r="D728" s="762"/>
      <c r="E728" s="762"/>
      <c r="F728" s="704" t="n">
        <v>0.45</v>
      </c>
      <c r="G728" s="821" t="n">
        <v>107.62</v>
      </c>
    </row>
    <row r="729" customFormat="false" ht="15" hidden="true" customHeight="true" outlineLevel="1" collapsed="false">
      <c r="A729" s="672"/>
      <c r="B729" s="818" t="s">
        <v>1515</v>
      </c>
      <c r="C729" s="761" t="s">
        <v>1511</v>
      </c>
      <c r="D729" s="762"/>
      <c r="E729" s="762"/>
      <c r="F729" s="704" t="n">
        <v>0.55</v>
      </c>
      <c r="G729" s="821" t="n">
        <v>107.62</v>
      </c>
    </row>
    <row r="730" customFormat="false" ht="15" hidden="true" customHeight="true" outlineLevel="1" collapsed="false">
      <c r="A730" s="672"/>
      <c r="B730" s="818" t="s">
        <v>1516</v>
      </c>
      <c r="C730" s="761" t="s">
        <v>1511</v>
      </c>
      <c r="D730" s="762"/>
      <c r="E730" s="762"/>
      <c r="F730" s="704" t="n">
        <v>0.6</v>
      </c>
      <c r="G730" s="821" t="n">
        <v>107.62</v>
      </c>
    </row>
    <row r="731" customFormat="false" ht="15" hidden="true" customHeight="true" outlineLevel="1" collapsed="false">
      <c r="A731" s="672"/>
      <c r="B731" s="818"/>
      <c r="C731" s="761"/>
      <c r="D731" s="762"/>
      <c r="E731" s="762"/>
      <c r="F731" s="704"/>
      <c r="G731" s="821"/>
    </row>
    <row r="732" customFormat="false" ht="15" hidden="true" customHeight="true" outlineLevel="1" collapsed="false">
      <c r="A732" s="672"/>
      <c r="B732" s="818"/>
      <c r="C732" s="761"/>
      <c r="D732" s="762"/>
      <c r="E732" s="762"/>
      <c r="F732" s="704"/>
      <c r="G732" s="821"/>
    </row>
    <row r="733" customFormat="false" ht="15" hidden="false" customHeight="true" outlineLevel="0" collapsed="false">
      <c r="A733" s="824" t="s">
        <v>1508</v>
      </c>
      <c r="B733" s="825"/>
      <c r="C733" s="770" t="s">
        <v>162</v>
      </c>
      <c r="D733" s="812" t="s">
        <v>1493</v>
      </c>
      <c r="E733" s="812" t="s">
        <v>1494</v>
      </c>
      <c r="F733" s="710" t="s">
        <v>1509</v>
      </c>
      <c r="G733" s="710" t="s">
        <v>1510</v>
      </c>
    </row>
    <row r="734" customFormat="false" ht="15" hidden="true" customHeight="true" outlineLevel="1" collapsed="false">
      <c r="A734" s="824" t="s">
        <v>1517</v>
      </c>
      <c r="B734" s="825"/>
      <c r="C734" s="770" t="s">
        <v>162</v>
      </c>
      <c r="D734" s="812" t="s">
        <v>1493</v>
      </c>
      <c r="E734" s="812" t="s">
        <v>1494</v>
      </c>
      <c r="F734" s="710" t="s">
        <v>1509</v>
      </c>
      <c r="G734" s="710" t="s">
        <v>1510</v>
      </c>
    </row>
    <row r="735" s="817" customFormat="true" ht="15" hidden="true" customHeight="true" outlineLevel="1" collapsed="false">
      <c r="A735" s="826"/>
      <c r="B735" s="647" t="s">
        <v>1518</v>
      </c>
      <c r="C735" s="648" t="s">
        <v>1511</v>
      </c>
      <c r="D735" s="647"/>
      <c r="E735" s="647"/>
      <c r="F735" s="647" t="n">
        <v>0</v>
      </c>
      <c r="G735" s="647" t="n">
        <v>0</v>
      </c>
      <c r="H735" s="816"/>
      <c r="I735" s="816"/>
      <c r="J735" s="816"/>
      <c r="K735" s="816"/>
      <c r="L735" s="816"/>
      <c r="M735" s="816"/>
      <c r="N735" s="816"/>
      <c r="O735" s="816"/>
      <c r="P735" s="816"/>
      <c r="Q735" s="816"/>
      <c r="R735" s="816"/>
      <c r="S735" s="816"/>
      <c r="T735" s="816"/>
      <c r="U735" s="816"/>
    </row>
    <row r="736" customFormat="false" ht="15" hidden="true" customHeight="true" outlineLevel="1" collapsed="false">
      <c r="A736" s="667"/>
      <c r="B736" s="830" t="s">
        <v>436</v>
      </c>
      <c r="C736" s="761" t="s">
        <v>1511</v>
      </c>
      <c r="D736" s="831"/>
      <c r="E736" s="832"/>
      <c r="F736" s="704" t="n">
        <v>15</v>
      </c>
      <c r="G736" s="833" t="n">
        <v>70</v>
      </c>
    </row>
    <row r="737" customFormat="false" ht="15" hidden="true" customHeight="true" outlineLevel="1" collapsed="false">
      <c r="A737" s="672"/>
      <c r="B737" s="830" t="s">
        <v>1519</v>
      </c>
      <c r="C737" s="761" t="s">
        <v>1511</v>
      </c>
      <c r="D737" s="831"/>
      <c r="E737" s="832"/>
      <c r="F737" s="704" t="n">
        <v>45</v>
      </c>
      <c r="G737" s="833" t="n">
        <v>70</v>
      </c>
    </row>
    <row r="738" customFormat="false" ht="15" hidden="true" customHeight="true" outlineLevel="1" collapsed="false">
      <c r="A738" s="672"/>
      <c r="B738" s="830" t="s">
        <v>1520</v>
      </c>
      <c r="C738" s="761" t="s">
        <v>1511</v>
      </c>
      <c r="D738" s="831"/>
      <c r="E738" s="832"/>
      <c r="F738" s="704" t="n">
        <v>76</v>
      </c>
      <c r="G738" s="833" t="n">
        <v>70</v>
      </c>
    </row>
    <row r="739" customFormat="false" ht="15" hidden="false" customHeight="true" outlineLevel="0" collapsed="false">
      <c r="A739" s="824" t="s">
        <v>1517</v>
      </c>
      <c r="B739" s="825"/>
      <c r="C739" s="770" t="s">
        <v>162</v>
      </c>
      <c r="D739" s="812" t="s">
        <v>1493</v>
      </c>
      <c r="E739" s="812" t="s">
        <v>1494</v>
      </c>
      <c r="F739" s="710" t="s">
        <v>1509</v>
      </c>
      <c r="G739" s="710" t="s">
        <v>1510</v>
      </c>
    </row>
    <row r="740" customFormat="false" ht="15" hidden="true" customHeight="true" outlineLevel="1" collapsed="false">
      <c r="A740" s="811" t="s">
        <v>1521</v>
      </c>
      <c r="B740" s="811"/>
      <c r="C740" s="770" t="s">
        <v>162</v>
      </c>
      <c r="D740" s="812" t="s">
        <v>1493</v>
      </c>
      <c r="E740" s="812" t="s">
        <v>1494</v>
      </c>
      <c r="F740" s="710" t="s">
        <v>1509</v>
      </c>
      <c r="G740" s="710" t="s">
        <v>1510</v>
      </c>
    </row>
    <row r="741" s="817" customFormat="true" ht="15" hidden="true" customHeight="true" outlineLevel="1" collapsed="false">
      <c r="A741" s="814"/>
      <c r="B741" s="647" t="s">
        <v>1522</v>
      </c>
      <c r="C741" s="648" t="s">
        <v>1511</v>
      </c>
      <c r="D741" s="647"/>
      <c r="E741" s="647"/>
      <c r="F741" s="647" t="n">
        <v>0</v>
      </c>
      <c r="G741" s="647" t="n">
        <v>0</v>
      </c>
      <c r="H741" s="816"/>
      <c r="I741" s="816"/>
      <c r="J741" s="816"/>
      <c r="K741" s="816"/>
      <c r="L741" s="816"/>
      <c r="M741" s="816"/>
      <c r="N741" s="816"/>
      <c r="O741" s="816"/>
      <c r="P741" s="816"/>
      <c r="Q741" s="816"/>
      <c r="R741" s="816"/>
      <c r="S741" s="816"/>
      <c r="T741" s="816"/>
      <c r="U741" s="816"/>
    </row>
    <row r="742" customFormat="false" ht="15" hidden="true" customHeight="true" outlineLevel="1" collapsed="false">
      <c r="A742" s="667"/>
      <c r="B742" s="830" t="s">
        <v>437</v>
      </c>
      <c r="C742" s="761" t="s">
        <v>1511</v>
      </c>
      <c r="D742" s="750"/>
      <c r="E742" s="750"/>
      <c r="F742" s="704" t="n">
        <v>0.6</v>
      </c>
      <c r="G742" s="833" t="n">
        <v>75.51</v>
      </c>
    </row>
    <row r="743" customFormat="false" ht="15" hidden="true" customHeight="true" outlineLevel="1" collapsed="false">
      <c r="A743" s="672"/>
      <c r="B743" s="830" t="s">
        <v>1523</v>
      </c>
      <c r="C743" s="761" t="s">
        <v>1511</v>
      </c>
      <c r="D743" s="750"/>
      <c r="E743" s="750"/>
      <c r="F743" s="704" t="n">
        <v>0.95</v>
      </c>
      <c r="G743" s="833" t="n">
        <v>76.49</v>
      </c>
    </row>
    <row r="744" customFormat="false" ht="15" hidden="true" customHeight="true" outlineLevel="1" collapsed="false">
      <c r="A744" s="672"/>
      <c r="B744" s="830"/>
      <c r="C744" s="761"/>
      <c r="D744" s="750"/>
      <c r="E744" s="750"/>
      <c r="F744" s="704"/>
      <c r="G744" s="833"/>
    </row>
    <row r="745" customFormat="false" ht="15" hidden="false" customHeight="true" outlineLevel="0" collapsed="false">
      <c r="A745" s="811" t="s">
        <v>1521</v>
      </c>
      <c r="B745" s="811"/>
      <c r="C745" s="770" t="s">
        <v>162</v>
      </c>
      <c r="D745" s="812" t="s">
        <v>1493</v>
      </c>
      <c r="E745" s="812" t="s">
        <v>1494</v>
      </c>
      <c r="F745" s="710" t="s">
        <v>1509</v>
      </c>
      <c r="G745" s="710" t="s">
        <v>1510</v>
      </c>
    </row>
    <row r="746" customFormat="false" ht="15" hidden="true" customHeight="true" outlineLevel="1" collapsed="false">
      <c r="A746" s="688" t="s">
        <v>1524</v>
      </c>
      <c r="B746" s="715"/>
      <c r="C746" s="770" t="s">
        <v>162</v>
      </c>
      <c r="D746" s="812"/>
      <c r="E746" s="812"/>
      <c r="F746" s="813"/>
      <c r="G746" s="710" t="s">
        <v>1484</v>
      </c>
    </row>
    <row r="747" customFormat="false" ht="15" hidden="true" customHeight="true" outlineLevel="1" collapsed="false">
      <c r="A747" s="667"/>
      <c r="B747" s="738" t="s">
        <v>1525</v>
      </c>
      <c r="G747" s="650" t="n">
        <v>300</v>
      </c>
    </row>
    <row r="748" customFormat="false" ht="15" hidden="true" customHeight="true" outlineLevel="1" collapsed="false">
      <c r="A748" s="672"/>
      <c r="B748" s="738"/>
    </row>
    <row r="749" customFormat="false" ht="15" hidden="false" customHeight="true" outlineLevel="0" collapsed="false">
      <c r="A749" s="688" t="s">
        <v>1524</v>
      </c>
      <c r="B749" s="715"/>
      <c r="C749" s="770" t="s">
        <v>162</v>
      </c>
      <c r="D749" s="812"/>
      <c r="E749" s="812"/>
      <c r="F749" s="813"/>
      <c r="G749" s="710" t="s">
        <v>1484</v>
      </c>
    </row>
    <row r="750" customFormat="false" ht="15" hidden="true" customHeight="true" outlineLevel="1" collapsed="false">
      <c r="A750" s="688" t="s">
        <v>460</v>
      </c>
      <c r="B750" s="715"/>
      <c r="C750" s="692" t="s">
        <v>162</v>
      </c>
      <c r="D750" s="797" t="s">
        <v>1257</v>
      </c>
      <c r="E750" s="690" t="s">
        <v>200</v>
      </c>
      <c r="F750" s="690"/>
      <c r="G750" s="690" t="s">
        <v>1526</v>
      </c>
    </row>
    <row r="751" customFormat="false" ht="15" hidden="true" customHeight="true" outlineLevel="1" collapsed="false">
      <c r="A751" s="747"/>
      <c r="B751" s="834" t="s">
        <v>1527</v>
      </c>
      <c r="C751" s="761" t="s">
        <v>48</v>
      </c>
      <c r="D751" s="835" t="n">
        <v>0</v>
      </c>
      <c r="E751" s="704" t="n">
        <v>0</v>
      </c>
      <c r="G751" s="704" t="n">
        <v>0</v>
      </c>
    </row>
    <row r="752" customFormat="false" ht="15" hidden="true" customHeight="true" outlineLevel="1" collapsed="false">
      <c r="A752" s="751"/>
      <c r="B752" s="836" t="s">
        <v>1528</v>
      </c>
      <c r="C752" s="761" t="s">
        <v>48</v>
      </c>
      <c r="D752" s="835" t="n">
        <v>76</v>
      </c>
      <c r="E752" s="704" t="n">
        <v>2.5</v>
      </c>
      <c r="G752" s="704" t="n">
        <v>1430</v>
      </c>
    </row>
    <row r="753" customFormat="false" ht="15" hidden="true" customHeight="true" outlineLevel="1" collapsed="false">
      <c r="A753" s="751"/>
      <c r="B753" s="836" t="s">
        <v>1529</v>
      </c>
      <c r="C753" s="761" t="s">
        <v>48</v>
      </c>
      <c r="D753" s="835" t="n">
        <v>76</v>
      </c>
      <c r="E753" s="704" t="n">
        <v>3</v>
      </c>
      <c r="G753" s="718" t="n">
        <v>1560</v>
      </c>
    </row>
    <row r="754" customFormat="false" ht="15" hidden="true" customHeight="true" outlineLevel="1" collapsed="false">
      <c r="A754" s="751"/>
      <c r="B754" s="836" t="s">
        <v>1530</v>
      </c>
      <c r="C754" s="761" t="s">
        <v>48</v>
      </c>
      <c r="D754" s="835" t="n">
        <v>76</v>
      </c>
      <c r="E754" s="704" t="n">
        <v>3.5</v>
      </c>
      <c r="G754" s="718" t="n">
        <v>1690</v>
      </c>
    </row>
    <row r="755" customFormat="false" ht="15" hidden="true" customHeight="true" outlineLevel="1" collapsed="false">
      <c r="A755" s="751"/>
      <c r="B755" s="836" t="s">
        <v>1531</v>
      </c>
      <c r="C755" s="761" t="s">
        <v>48</v>
      </c>
      <c r="D755" s="835" t="n">
        <v>76</v>
      </c>
      <c r="E755" s="704" t="n">
        <v>4</v>
      </c>
      <c r="G755" s="718" t="n">
        <v>1750</v>
      </c>
    </row>
    <row r="756" customFormat="false" ht="15" hidden="true" customHeight="true" outlineLevel="1" collapsed="false">
      <c r="A756" s="751"/>
      <c r="B756" s="836" t="s">
        <v>1532</v>
      </c>
      <c r="C756" s="761" t="s">
        <v>48</v>
      </c>
      <c r="D756" s="835" t="n">
        <v>76</v>
      </c>
      <c r="E756" s="704" t="n">
        <v>4.5</v>
      </c>
      <c r="G756" s="718" t="n">
        <v>1800</v>
      </c>
    </row>
    <row r="757" customFormat="false" ht="15" hidden="true" customHeight="true" outlineLevel="1" collapsed="false">
      <c r="A757" s="751"/>
      <c r="B757" s="836" t="s">
        <v>1533</v>
      </c>
      <c r="C757" s="761" t="s">
        <v>48</v>
      </c>
      <c r="D757" s="835" t="n">
        <v>76</v>
      </c>
      <c r="E757" s="704" t="n">
        <v>5</v>
      </c>
      <c r="G757" s="704" t="n">
        <v>1925</v>
      </c>
    </row>
    <row r="758" customFormat="false" ht="15" hidden="true" customHeight="true" outlineLevel="1" collapsed="false">
      <c r="A758" s="751"/>
      <c r="B758" s="836" t="s">
        <v>1534</v>
      </c>
      <c r="C758" s="761" t="s">
        <v>48</v>
      </c>
      <c r="D758" s="835" t="n">
        <v>76</v>
      </c>
      <c r="E758" s="704" t="n">
        <v>2.5</v>
      </c>
      <c r="G758" s="704" t="n">
        <v>1530</v>
      </c>
    </row>
    <row r="759" customFormat="false" ht="15" hidden="true" customHeight="true" outlineLevel="1" collapsed="false">
      <c r="A759" s="751"/>
      <c r="B759" s="836" t="s">
        <v>1535</v>
      </c>
      <c r="C759" s="761" t="s">
        <v>48</v>
      </c>
      <c r="D759" s="835" t="n">
        <v>76</v>
      </c>
      <c r="E759" s="704" t="n">
        <v>3</v>
      </c>
      <c r="G759" s="704" t="n">
        <v>1830</v>
      </c>
    </row>
    <row r="760" customFormat="false" ht="15" hidden="true" customHeight="true" outlineLevel="1" collapsed="false">
      <c r="A760" s="751"/>
      <c r="B760" s="836" t="s">
        <v>400</v>
      </c>
      <c r="C760" s="761" t="s">
        <v>48</v>
      </c>
      <c r="D760" s="835" t="n">
        <v>76</v>
      </c>
      <c r="E760" s="704" t="n">
        <v>3.5</v>
      </c>
      <c r="G760" s="704" t="n">
        <v>2130</v>
      </c>
    </row>
    <row r="761" customFormat="false" ht="15" hidden="true" customHeight="true" outlineLevel="1" collapsed="false">
      <c r="A761" s="751"/>
      <c r="B761" s="836" t="s">
        <v>1536</v>
      </c>
      <c r="C761" s="761" t="s">
        <v>48</v>
      </c>
      <c r="D761" s="835" t="n">
        <v>76</v>
      </c>
      <c r="E761" s="704" t="n">
        <v>4</v>
      </c>
      <c r="G761" s="704" t="n">
        <v>2430</v>
      </c>
    </row>
    <row r="762" customFormat="false" ht="15" hidden="true" customHeight="true" outlineLevel="1" collapsed="false">
      <c r="A762" s="751"/>
      <c r="B762" s="836" t="s">
        <v>1537</v>
      </c>
      <c r="C762" s="761" t="s">
        <v>48</v>
      </c>
      <c r="D762" s="835" t="n">
        <v>76</v>
      </c>
      <c r="E762" s="704" t="n">
        <v>4.5</v>
      </c>
      <c r="G762" s="704" t="n">
        <v>2730</v>
      </c>
    </row>
    <row r="763" customFormat="false" ht="15" hidden="true" customHeight="true" outlineLevel="1" collapsed="false">
      <c r="A763" s="751"/>
      <c r="B763" s="836" t="s">
        <v>1538</v>
      </c>
      <c r="C763" s="761" t="s">
        <v>48</v>
      </c>
      <c r="D763" s="835" t="n">
        <v>76</v>
      </c>
      <c r="E763" s="704" t="n">
        <v>5</v>
      </c>
      <c r="G763" s="704" t="n">
        <v>3030</v>
      </c>
    </row>
    <row r="764" customFormat="false" ht="15" hidden="true" customHeight="true" outlineLevel="1" collapsed="false">
      <c r="A764" s="751"/>
      <c r="B764" s="836" t="s">
        <v>1539</v>
      </c>
      <c r="C764" s="761" t="s">
        <v>48</v>
      </c>
      <c r="D764" s="835" t="n">
        <v>89</v>
      </c>
      <c r="E764" s="704" t="n">
        <v>2.5</v>
      </c>
      <c r="G764" s="704" t="n">
        <v>1760</v>
      </c>
    </row>
    <row r="765" customFormat="false" ht="15" hidden="true" customHeight="true" outlineLevel="1" collapsed="false">
      <c r="A765" s="751"/>
      <c r="B765" s="836" t="s">
        <v>452</v>
      </c>
      <c r="C765" s="761" t="s">
        <v>48</v>
      </c>
      <c r="D765" s="835" t="n">
        <v>89</v>
      </c>
      <c r="E765" s="704" t="n">
        <v>3</v>
      </c>
      <c r="G765" s="704" t="n">
        <v>1890</v>
      </c>
    </row>
    <row r="766" customFormat="false" ht="15" hidden="true" customHeight="true" outlineLevel="1" collapsed="false">
      <c r="A766" s="751"/>
      <c r="B766" s="836" t="s">
        <v>1540</v>
      </c>
      <c r="C766" s="761" t="s">
        <v>48</v>
      </c>
      <c r="D766" s="835" t="n">
        <v>89</v>
      </c>
      <c r="E766" s="704" t="n">
        <v>3.5</v>
      </c>
      <c r="G766" s="704" t="n">
        <v>2060</v>
      </c>
    </row>
    <row r="767" customFormat="false" ht="15" hidden="true" customHeight="true" outlineLevel="1" collapsed="false">
      <c r="A767" s="751"/>
      <c r="B767" s="836" t="s">
        <v>1541</v>
      </c>
      <c r="C767" s="761" t="s">
        <v>48</v>
      </c>
      <c r="D767" s="835" t="n">
        <v>89</v>
      </c>
      <c r="E767" s="704" t="n">
        <v>4</v>
      </c>
      <c r="G767" s="704" t="n">
        <v>2230</v>
      </c>
    </row>
    <row r="768" customFormat="false" ht="15" hidden="true" customHeight="true" outlineLevel="1" collapsed="false">
      <c r="A768" s="751"/>
      <c r="B768" s="836" t="s">
        <v>1542</v>
      </c>
      <c r="C768" s="761" t="s">
        <v>48</v>
      </c>
      <c r="D768" s="835" t="n">
        <v>89</v>
      </c>
      <c r="E768" s="704" t="n">
        <v>4.5</v>
      </c>
      <c r="G768" s="704" t="n">
        <v>2400</v>
      </c>
    </row>
    <row r="769" customFormat="false" ht="15" hidden="true" customHeight="true" outlineLevel="1" collapsed="false">
      <c r="A769" s="751"/>
      <c r="B769" s="836" t="s">
        <v>1543</v>
      </c>
      <c r="C769" s="761" t="s">
        <v>48</v>
      </c>
      <c r="D769" s="835" t="n">
        <v>89</v>
      </c>
      <c r="E769" s="704" t="n">
        <v>5</v>
      </c>
      <c r="G769" s="704" t="n">
        <v>2570</v>
      </c>
    </row>
    <row r="770" customFormat="false" ht="15" hidden="true" customHeight="true" outlineLevel="1" collapsed="false">
      <c r="A770" s="751"/>
      <c r="B770" s="836" t="s">
        <v>1544</v>
      </c>
      <c r="C770" s="761" t="s">
        <v>48</v>
      </c>
      <c r="D770" s="835" t="n">
        <v>89</v>
      </c>
      <c r="E770" s="704" t="n">
        <v>2.5</v>
      </c>
      <c r="G770" s="704" t="n">
        <v>1960</v>
      </c>
    </row>
    <row r="771" customFormat="false" ht="15" hidden="true" customHeight="true" outlineLevel="1" collapsed="false">
      <c r="A771" s="751"/>
      <c r="B771" s="836" t="s">
        <v>1545</v>
      </c>
      <c r="C771" s="761" t="s">
        <v>48</v>
      </c>
      <c r="D771" s="835" t="n">
        <v>89</v>
      </c>
      <c r="E771" s="704" t="n">
        <v>3</v>
      </c>
      <c r="G771" s="704" t="n">
        <v>2160</v>
      </c>
    </row>
    <row r="772" customFormat="false" ht="15" hidden="true" customHeight="true" outlineLevel="1" collapsed="false">
      <c r="A772" s="751"/>
      <c r="B772" s="836" t="s">
        <v>1546</v>
      </c>
      <c r="C772" s="761" t="s">
        <v>48</v>
      </c>
      <c r="D772" s="835" t="n">
        <v>89</v>
      </c>
      <c r="E772" s="704" t="n">
        <v>3.5</v>
      </c>
      <c r="G772" s="704" t="n">
        <v>2360</v>
      </c>
    </row>
    <row r="773" customFormat="false" ht="15" hidden="true" customHeight="true" outlineLevel="1" collapsed="false">
      <c r="A773" s="751"/>
      <c r="B773" s="836" t="s">
        <v>1547</v>
      </c>
      <c r="C773" s="761" t="s">
        <v>48</v>
      </c>
      <c r="D773" s="835" t="n">
        <v>89</v>
      </c>
      <c r="E773" s="704" t="n">
        <v>4</v>
      </c>
      <c r="G773" s="704" t="n">
        <v>2560</v>
      </c>
    </row>
    <row r="774" customFormat="false" ht="15" hidden="true" customHeight="true" outlineLevel="1" collapsed="false">
      <c r="A774" s="751"/>
      <c r="B774" s="836" t="s">
        <v>1548</v>
      </c>
      <c r="C774" s="761" t="s">
        <v>48</v>
      </c>
      <c r="D774" s="835" t="n">
        <v>89</v>
      </c>
      <c r="E774" s="704" t="n">
        <v>4.5</v>
      </c>
      <c r="G774" s="704" t="n">
        <v>2760</v>
      </c>
    </row>
    <row r="775" customFormat="false" ht="15" hidden="true" customHeight="true" outlineLevel="1" collapsed="false">
      <c r="A775" s="751"/>
      <c r="B775" s="836" t="s">
        <v>1549</v>
      </c>
      <c r="C775" s="761" t="s">
        <v>48</v>
      </c>
      <c r="D775" s="835" t="n">
        <v>89</v>
      </c>
      <c r="E775" s="704" t="n">
        <v>5</v>
      </c>
      <c r="G775" s="704" t="n">
        <v>2960</v>
      </c>
    </row>
    <row r="776" customFormat="false" ht="15" hidden="true" customHeight="true" outlineLevel="1" collapsed="false">
      <c r="A776" s="751"/>
      <c r="B776" s="836" t="s">
        <v>463</v>
      </c>
      <c r="C776" s="761" t="s">
        <v>48</v>
      </c>
      <c r="D776" s="835" t="n">
        <v>108</v>
      </c>
      <c r="E776" s="704" t="n">
        <v>2.5</v>
      </c>
      <c r="G776" s="718" t="n">
        <v>1950</v>
      </c>
    </row>
    <row r="777" customFormat="false" ht="15" hidden="true" customHeight="true" outlineLevel="1" collapsed="false">
      <c r="A777" s="751"/>
      <c r="B777" s="836" t="s">
        <v>1550</v>
      </c>
      <c r="C777" s="761" t="s">
        <v>48</v>
      </c>
      <c r="D777" s="835" t="n">
        <v>108</v>
      </c>
      <c r="E777" s="704" t="n">
        <v>3</v>
      </c>
      <c r="G777" s="718" t="n">
        <v>2240</v>
      </c>
    </row>
    <row r="778" customFormat="false" ht="15" hidden="true" customHeight="true" outlineLevel="1" collapsed="false">
      <c r="A778" s="751"/>
      <c r="B778" s="836" t="s">
        <v>1551</v>
      </c>
      <c r="C778" s="761" t="s">
        <v>48</v>
      </c>
      <c r="D778" s="835" t="n">
        <v>108</v>
      </c>
      <c r="E778" s="704" t="n">
        <v>3.5</v>
      </c>
      <c r="G778" s="718" t="n">
        <v>2420</v>
      </c>
    </row>
    <row r="779" customFormat="false" ht="15" hidden="true" customHeight="true" outlineLevel="1" collapsed="false">
      <c r="A779" s="751"/>
      <c r="B779" s="836" t="s">
        <v>1552</v>
      </c>
      <c r="C779" s="761" t="s">
        <v>48</v>
      </c>
      <c r="D779" s="835" t="n">
        <v>108</v>
      </c>
      <c r="E779" s="704" t="n">
        <v>4</v>
      </c>
      <c r="G779" s="718" t="n">
        <v>2700</v>
      </c>
    </row>
    <row r="780" customFormat="false" ht="15" hidden="true" customHeight="true" outlineLevel="1" collapsed="false">
      <c r="A780" s="751"/>
      <c r="B780" s="836" t="s">
        <v>1553</v>
      </c>
      <c r="C780" s="761" t="s">
        <v>48</v>
      </c>
      <c r="D780" s="835" t="n">
        <v>108</v>
      </c>
      <c r="E780" s="704" t="n">
        <v>4.5</v>
      </c>
      <c r="G780" s="718" t="n">
        <v>2880</v>
      </c>
    </row>
    <row r="781" customFormat="false" ht="15" hidden="true" customHeight="true" outlineLevel="1" collapsed="false">
      <c r="A781" s="751"/>
      <c r="B781" s="836" t="s">
        <v>1554</v>
      </c>
      <c r="C781" s="761" t="s">
        <v>48</v>
      </c>
      <c r="D781" s="835" t="n">
        <v>108</v>
      </c>
      <c r="E781" s="704" t="n">
        <v>5</v>
      </c>
      <c r="G781" s="718" t="n">
        <v>3000</v>
      </c>
    </row>
    <row r="782" customFormat="false" ht="15" hidden="true" customHeight="true" outlineLevel="1" collapsed="false">
      <c r="A782" s="751"/>
      <c r="B782" s="836" t="s">
        <v>1555</v>
      </c>
      <c r="C782" s="761" t="s">
        <v>48</v>
      </c>
      <c r="D782" s="835" t="n">
        <v>108</v>
      </c>
      <c r="E782" s="704" t="n">
        <v>2.5</v>
      </c>
      <c r="G782" s="704" t="n">
        <v>2150</v>
      </c>
    </row>
    <row r="783" customFormat="false" ht="15" hidden="true" customHeight="true" outlineLevel="1" collapsed="false">
      <c r="A783" s="751"/>
      <c r="B783" s="836" t="s">
        <v>1556</v>
      </c>
      <c r="C783" s="761" t="s">
        <v>48</v>
      </c>
      <c r="D783" s="835" t="n">
        <v>108</v>
      </c>
      <c r="E783" s="704" t="n">
        <v>3</v>
      </c>
      <c r="G783" s="704" t="n">
        <v>2350</v>
      </c>
    </row>
    <row r="784" customFormat="false" ht="15" hidden="true" customHeight="true" outlineLevel="1" collapsed="false">
      <c r="A784" s="751"/>
      <c r="B784" s="836" t="s">
        <v>1557</v>
      </c>
      <c r="C784" s="761" t="s">
        <v>48</v>
      </c>
      <c r="D784" s="835" t="n">
        <v>108</v>
      </c>
      <c r="E784" s="704" t="n">
        <v>3.5</v>
      </c>
      <c r="G784" s="704" t="n">
        <v>2550</v>
      </c>
    </row>
    <row r="785" customFormat="false" ht="15" hidden="true" customHeight="true" outlineLevel="1" collapsed="false">
      <c r="A785" s="751"/>
      <c r="B785" s="836" t="s">
        <v>1558</v>
      </c>
      <c r="C785" s="761" t="s">
        <v>48</v>
      </c>
      <c r="D785" s="835" t="n">
        <v>108</v>
      </c>
      <c r="E785" s="704" t="n">
        <v>4</v>
      </c>
      <c r="G785" s="704" t="n">
        <v>2750</v>
      </c>
    </row>
    <row r="786" customFormat="false" ht="15" hidden="true" customHeight="true" outlineLevel="1" collapsed="false">
      <c r="A786" s="751"/>
      <c r="B786" s="836" t="s">
        <v>1559</v>
      </c>
      <c r="C786" s="761" t="s">
        <v>48</v>
      </c>
      <c r="D786" s="835" t="n">
        <v>108</v>
      </c>
      <c r="E786" s="704" t="n">
        <v>4.5</v>
      </c>
      <c r="G786" s="704" t="n">
        <v>2950</v>
      </c>
    </row>
    <row r="787" customFormat="false" ht="15" hidden="true" customHeight="true" outlineLevel="1" collapsed="false">
      <c r="A787" s="751"/>
      <c r="B787" s="836" t="s">
        <v>1560</v>
      </c>
      <c r="C787" s="761" t="s">
        <v>48</v>
      </c>
      <c r="D787" s="835" t="n">
        <v>108</v>
      </c>
      <c r="E787" s="704" t="n">
        <v>5</v>
      </c>
      <c r="G787" s="704" t="n">
        <v>3150</v>
      </c>
    </row>
    <row r="788" customFormat="false" ht="15" hidden="true" customHeight="true" outlineLevel="1" collapsed="false">
      <c r="A788" s="751"/>
      <c r="B788" s="836" t="s">
        <v>1561</v>
      </c>
      <c r="C788" s="761" t="s">
        <v>48</v>
      </c>
      <c r="D788" s="835" t="n">
        <v>122</v>
      </c>
      <c r="E788" s="704" t="n">
        <v>2.5</v>
      </c>
      <c r="G788" s="704" t="n">
        <v>2150</v>
      </c>
    </row>
    <row r="789" customFormat="false" ht="15" hidden="true" customHeight="true" outlineLevel="1" collapsed="false">
      <c r="A789" s="751"/>
      <c r="B789" s="836" t="s">
        <v>1562</v>
      </c>
      <c r="C789" s="761" t="s">
        <v>48</v>
      </c>
      <c r="D789" s="835" t="n">
        <v>122</v>
      </c>
      <c r="E789" s="704" t="n">
        <v>3</v>
      </c>
      <c r="G789" s="704" t="n">
        <v>2340</v>
      </c>
    </row>
    <row r="790" customFormat="false" ht="15" hidden="true" customHeight="true" outlineLevel="1" collapsed="false">
      <c r="A790" s="751"/>
      <c r="B790" s="836" t="s">
        <v>1563</v>
      </c>
      <c r="C790" s="761" t="s">
        <v>48</v>
      </c>
      <c r="D790" s="835" t="n">
        <v>122</v>
      </c>
      <c r="E790" s="704" t="n">
        <v>3.5</v>
      </c>
      <c r="G790" s="704" t="n">
        <v>2530</v>
      </c>
    </row>
    <row r="791" customFormat="false" ht="15" hidden="true" customHeight="true" outlineLevel="1" collapsed="false">
      <c r="A791" s="751"/>
      <c r="B791" s="836" t="s">
        <v>1564</v>
      </c>
      <c r="C791" s="761" t="s">
        <v>48</v>
      </c>
      <c r="D791" s="835" t="n">
        <v>122</v>
      </c>
      <c r="E791" s="704" t="n">
        <v>4</v>
      </c>
      <c r="G791" s="704" t="n">
        <v>2720</v>
      </c>
    </row>
    <row r="792" customFormat="false" ht="15" hidden="true" customHeight="true" outlineLevel="1" collapsed="false">
      <c r="A792" s="751"/>
      <c r="B792" s="836" t="s">
        <v>1565</v>
      </c>
      <c r="C792" s="761" t="s">
        <v>48</v>
      </c>
      <c r="D792" s="835" t="n">
        <v>122</v>
      </c>
      <c r="E792" s="704" t="n">
        <v>4.5</v>
      </c>
      <c r="G792" s="704" t="n">
        <v>2910</v>
      </c>
    </row>
    <row r="793" customFormat="false" ht="15" hidden="true" customHeight="true" outlineLevel="1" collapsed="false">
      <c r="A793" s="751"/>
      <c r="B793" s="836" t="s">
        <v>1566</v>
      </c>
      <c r="C793" s="761" t="s">
        <v>48</v>
      </c>
      <c r="D793" s="835" t="n">
        <v>122</v>
      </c>
      <c r="E793" s="704" t="n">
        <v>5</v>
      </c>
      <c r="G793" s="704" t="n">
        <v>3100</v>
      </c>
    </row>
    <row r="794" customFormat="false" ht="15" hidden="true" customHeight="true" outlineLevel="1" collapsed="false">
      <c r="A794" s="751"/>
      <c r="B794" s="836" t="s">
        <v>1567</v>
      </c>
      <c r="C794" s="761" t="s">
        <v>48</v>
      </c>
      <c r="D794" s="835" t="n">
        <v>122</v>
      </c>
      <c r="E794" s="704" t="n">
        <v>2.5</v>
      </c>
      <c r="G794" s="704" t="n">
        <v>2350</v>
      </c>
    </row>
    <row r="795" customFormat="false" ht="15" hidden="true" customHeight="true" outlineLevel="1" collapsed="false">
      <c r="A795" s="751"/>
      <c r="B795" s="836" t="s">
        <v>1568</v>
      </c>
      <c r="C795" s="761" t="s">
        <v>48</v>
      </c>
      <c r="D795" s="835" t="n">
        <v>122</v>
      </c>
      <c r="E795" s="704" t="n">
        <v>3</v>
      </c>
      <c r="G795" s="704" t="n">
        <v>2550</v>
      </c>
    </row>
    <row r="796" customFormat="false" ht="15" hidden="true" customHeight="true" outlineLevel="1" collapsed="false">
      <c r="A796" s="751"/>
      <c r="B796" s="836" t="s">
        <v>1569</v>
      </c>
      <c r="C796" s="761" t="s">
        <v>48</v>
      </c>
      <c r="D796" s="835" t="n">
        <v>122</v>
      </c>
      <c r="E796" s="704" t="n">
        <v>3.5</v>
      </c>
      <c r="G796" s="704" t="n">
        <v>2750</v>
      </c>
    </row>
    <row r="797" customFormat="false" ht="15" hidden="true" customHeight="true" outlineLevel="1" collapsed="false">
      <c r="A797" s="751"/>
      <c r="B797" s="836" t="s">
        <v>1570</v>
      </c>
      <c r="C797" s="761" t="s">
        <v>48</v>
      </c>
      <c r="D797" s="835" t="n">
        <v>122</v>
      </c>
      <c r="E797" s="704" t="n">
        <v>4</v>
      </c>
      <c r="G797" s="704" t="n">
        <v>2950</v>
      </c>
    </row>
    <row r="798" customFormat="false" ht="15" hidden="true" customHeight="true" outlineLevel="1" collapsed="false">
      <c r="A798" s="751"/>
      <c r="B798" s="836" t="s">
        <v>1571</v>
      </c>
      <c r="C798" s="761" t="s">
        <v>48</v>
      </c>
      <c r="D798" s="835" t="n">
        <v>122</v>
      </c>
      <c r="E798" s="704" t="n">
        <v>4.5</v>
      </c>
      <c r="G798" s="704" t="n">
        <v>3150</v>
      </c>
    </row>
    <row r="799" customFormat="false" ht="15" hidden="true" customHeight="true" outlineLevel="1" collapsed="false">
      <c r="A799" s="751"/>
      <c r="B799" s="836" t="s">
        <v>1572</v>
      </c>
      <c r="C799" s="761" t="s">
        <v>48</v>
      </c>
      <c r="D799" s="835" t="n">
        <v>122</v>
      </c>
      <c r="E799" s="704" t="n">
        <v>5</v>
      </c>
      <c r="G799" s="704" t="n">
        <v>3350</v>
      </c>
    </row>
    <row r="800" customFormat="false" ht="15" hidden="true" customHeight="true" outlineLevel="1" collapsed="false">
      <c r="A800" s="751"/>
      <c r="B800" s="836" t="s">
        <v>1573</v>
      </c>
      <c r="C800" s="761" t="s">
        <v>48</v>
      </c>
      <c r="D800" s="835" t="n">
        <v>133</v>
      </c>
      <c r="E800" s="704" t="n">
        <v>2.5</v>
      </c>
      <c r="G800" s="704" t="n">
        <v>2450</v>
      </c>
    </row>
    <row r="801" customFormat="false" ht="15" hidden="true" customHeight="true" outlineLevel="1" collapsed="false">
      <c r="A801" s="751"/>
      <c r="B801" s="836" t="s">
        <v>1574</v>
      </c>
      <c r="C801" s="761" t="s">
        <v>48</v>
      </c>
      <c r="D801" s="835" t="n">
        <v>133</v>
      </c>
      <c r="E801" s="704" t="n">
        <v>3</v>
      </c>
      <c r="G801" s="704" t="n">
        <v>2650</v>
      </c>
    </row>
    <row r="802" customFormat="false" ht="15" hidden="true" customHeight="true" outlineLevel="1" collapsed="false">
      <c r="A802" s="751"/>
      <c r="B802" s="836" t="s">
        <v>1575</v>
      </c>
      <c r="C802" s="761" t="s">
        <v>48</v>
      </c>
      <c r="D802" s="835" t="n">
        <v>133</v>
      </c>
      <c r="E802" s="704" t="n">
        <v>3.5</v>
      </c>
      <c r="G802" s="704" t="n">
        <v>2850</v>
      </c>
    </row>
    <row r="803" customFormat="false" ht="15" hidden="true" customHeight="true" outlineLevel="1" collapsed="false">
      <c r="A803" s="751"/>
      <c r="B803" s="836" t="s">
        <v>1576</v>
      </c>
      <c r="C803" s="761" t="s">
        <v>48</v>
      </c>
      <c r="D803" s="835" t="n">
        <v>133</v>
      </c>
      <c r="E803" s="704" t="n">
        <v>4</v>
      </c>
      <c r="G803" s="704" t="n">
        <v>3050</v>
      </c>
    </row>
    <row r="804" customFormat="false" ht="15" hidden="true" customHeight="true" outlineLevel="1" collapsed="false">
      <c r="A804" s="751"/>
      <c r="B804" s="836" t="s">
        <v>1577</v>
      </c>
      <c r="C804" s="761" t="s">
        <v>48</v>
      </c>
      <c r="D804" s="835" t="n">
        <v>133</v>
      </c>
      <c r="E804" s="704" t="n">
        <v>4.5</v>
      </c>
      <c r="G804" s="704" t="n">
        <v>3250</v>
      </c>
    </row>
    <row r="805" customFormat="false" ht="15" hidden="true" customHeight="true" outlineLevel="1" collapsed="false">
      <c r="A805" s="751"/>
      <c r="B805" s="836" t="s">
        <v>1578</v>
      </c>
      <c r="C805" s="761" t="s">
        <v>48</v>
      </c>
      <c r="D805" s="835" t="n">
        <v>133</v>
      </c>
      <c r="E805" s="704" t="n">
        <v>5</v>
      </c>
      <c r="G805" s="704" t="n">
        <v>3450</v>
      </c>
    </row>
    <row r="806" customFormat="false" ht="15" hidden="true" customHeight="true" outlineLevel="1" collapsed="false">
      <c r="A806" s="751"/>
      <c r="B806" s="836" t="s">
        <v>1579</v>
      </c>
      <c r="C806" s="761" t="s">
        <v>48</v>
      </c>
      <c r="D806" s="835" t="n">
        <v>133</v>
      </c>
      <c r="E806" s="704" t="n">
        <v>2.5</v>
      </c>
      <c r="G806" s="704" t="n">
        <v>2650</v>
      </c>
    </row>
    <row r="807" customFormat="false" ht="15" hidden="true" customHeight="true" outlineLevel="1" collapsed="false">
      <c r="A807" s="751"/>
      <c r="B807" s="836" t="s">
        <v>1580</v>
      </c>
      <c r="C807" s="761" t="s">
        <v>48</v>
      </c>
      <c r="D807" s="835" t="n">
        <v>133</v>
      </c>
      <c r="E807" s="704" t="n">
        <v>3</v>
      </c>
      <c r="G807" s="704" t="n">
        <v>2850</v>
      </c>
    </row>
    <row r="808" customFormat="false" ht="15" hidden="true" customHeight="true" outlineLevel="1" collapsed="false">
      <c r="A808" s="751"/>
      <c r="B808" s="836" t="s">
        <v>1581</v>
      </c>
      <c r="C808" s="761" t="s">
        <v>48</v>
      </c>
      <c r="D808" s="835" t="n">
        <v>133</v>
      </c>
      <c r="E808" s="704" t="n">
        <v>3.5</v>
      </c>
      <c r="G808" s="704" t="n">
        <v>3050</v>
      </c>
    </row>
    <row r="809" customFormat="false" ht="15" hidden="true" customHeight="true" outlineLevel="1" collapsed="false">
      <c r="A809" s="751"/>
      <c r="B809" s="836" t="s">
        <v>1582</v>
      </c>
      <c r="C809" s="761" t="s">
        <v>48</v>
      </c>
      <c r="D809" s="835" t="n">
        <v>133</v>
      </c>
      <c r="E809" s="704" t="n">
        <v>4</v>
      </c>
      <c r="G809" s="704" t="n">
        <v>3250</v>
      </c>
    </row>
    <row r="810" customFormat="false" ht="15" hidden="true" customHeight="true" outlineLevel="1" collapsed="false">
      <c r="A810" s="751"/>
      <c r="B810" s="836" t="s">
        <v>1583</v>
      </c>
      <c r="C810" s="761" t="s">
        <v>48</v>
      </c>
      <c r="D810" s="835" t="n">
        <v>133</v>
      </c>
      <c r="E810" s="704" t="n">
        <v>4.5</v>
      </c>
      <c r="G810" s="704" t="n">
        <v>3450</v>
      </c>
    </row>
    <row r="811" customFormat="false" ht="15" hidden="true" customHeight="true" outlineLevel="1" collapsed="false">
      <c r="A811" s="751"/>
      <c r="B811" s="836" t="s">
        <v>1584</v>
      </c>
      <c r="C811" s="761" t="s">
        <v>48</v>
      </c>
      <c r="D811" s="835" t="n">
        <v>133</v>
      </c>
      <c r="E811" s="704" t="n">
        <v>5</v>
      </c>
      <c r="G811" s="704" t="n">
        <v>3650</v>
      </c>
    </row>
    <row r="812" customFormat="false" ht="15" hidden="true" customHeight="true" outlineLevel="1" collapsed="false">
      <c r="A812" s="751"/>
      <c r="B812" s="837" t="s">
        <v>1585</v>
      </c>
      <c r="C812" s="739" t="s">
        <v>48</v>
      </c>
      <c r="G812" s="740" t="n">
        <v>200</v>
      </c>
    </row>
    <row r="813" customFormat="false" ht="15" hidden="true" customHeight="true" outlineLevel="1" collapsed="false">
      <c r="A813" s="751"/>
      <c r="B813" s="837" t="s">
        <v>407</v>
      </c>
      <c r="C813" s="739" t="s">
        <v>48</v>
      </c>
      <c r="D813" s="647"/>
      <c r="E813" s="647"/>
      <c r="F813" s="807"/>
      <c r="G813" s="807" t="n">
        <v>250</v>
      </c>
    </row>
    <row r="814" customFormat="false" ht="15" hidden="true" customHeight="true" outlineLevel="1" collapsed="false">
      <c r="A814" s="751"/>
      <c r="B814" s="837" t="s">
        <v>1586</v>
      </c>
      <c r="C814" s="739" t="s">
        <v>48</v>
      </c>
      <c r="G814" s="740" t="n">
        <v>150</v>
      </c>
    </row>
    <row r="815" customFormat="false" ht="15" hidden="true" customHeight="true" outlineLevel="1" collapsed="false">
      <c r="A815" s="751"/>
      <c r="B815" s="837" t="s">
        <v>1587</v>
      </c>
      <c r="C815" s="739" t="s">
        <v>48</v>
      </c>
      <c r="G815" s="704" t="n">
        <v>300</v>
      </c>
    </row>
    <row r="816" customFormat="false" ht="15" hidden="true" customHeight="true" outlineLevel="1" collapsed="false">
      <c r="A816" s="751"/>
      <c r="B816" s="738"/>
      <c r="C816" s="739"/>
      <c r="G816" s="704"/>
    </row>
    <row r="817" customFormat="false" ht="15" hidden="true" customHeight="true" outlineLevel="1" collapsed="false">
      <c r="A817" s="751"/>
      <c r="B817" s="784"/>
      <c r="C817" s="761"/>
      <c r="G817" s="704"/>
    </row>
    <row r="818" customFormat="false" ht="15" hidden="true" customHeight="true" outlineLevel="1" collapsed="false">
      <c r="A818" s="838"/>
      <c r="B818" s="837" t="s">
        <v>1588</v>
      </c>
      <c r="C818" s="739" t="s">
        <v>15</v>
      </c>
      <c r="G818" s="740" t="n">
        <v>100</v>
      </c>
    </row>
    <row r="819" customFormat="false" ht="15" hidden="false" customHeight="true" outlineLevel="0" collapsed="false">
      <c r="A819" s="688" t="s">
        <v>460</v>
      </c>
      <c r="B819" s="715"/>
      <c r="C819" s="692" t="s">
        <v>162</v>
      </c>
      <c r="D819" s="797" t="s">
        <v>1257</v>
      </c>
      <c r="E819" s="690" t="s">
        <v>200</v>
      </c>
      <c r="F819" s="690"/>
      <c r="G819" s="690" t="s">
        <v>1526</v>
      </c>
    </row>
    <row r="820" customFormat="false" ht="15" hidden="true" customHeight="true" outlineLevel="1" collapsed="false">
      <c r="A820" s="680" t="s">
        <v>1589</v>
      </c>
      <c r="B820" s="839"/>
      <c r="C820" s="797" t="s">
        <v>1136</v>
      </c>
      <c r="D820" s="840" t="s">
        <v>1149</v>
      </c>
      <c r="E820" s="692" t="s">
        <v>1097</v>
      </c>
      <c r="F820" s="690" t="s">
        <v>1590</v>
      </c>
      <c r="G820" s="690" t="s">
        <v>1042</v>
      </c>
    </row>
    <row r="821" s="705" customFormat="true" ht="15" hidden="true" customHeight="true" outlineLevel="1" collapsed="false">
      <c r="A821" s="841"/>
      <c r="B821" s="836" t="s">
        <v>36</v>
      </c>
      <c r="C821" s="835"/>
      <c r="D821" s="842"/>
      <c r="E821" s="761"/>
      <c r="F821" s="704"/>
      <c r="G821" s="704" t="n">
        <v>0</v>
      </c>
      <c r="H821" s="651"/>
      <c r="I821" s="651"/>
      <c r="J821" s="651"/>
      <c r="K821" s="651"/>
      <c r="L821" s="651"/>
      <c r="M821" s="651"/>
      <c r="N821" s="651"/>
      <c r="O821" s="651"/>
      <c r="P821" s="651"/>
      <c r="Q821" s="651"/>
      <c r="R821" s="651"/>
      <c r="S821" s="651"/>
      <c r="T821" s="651"/>
      <c r="U821" s="651"/>
    </row>
    <row r="822" customFormat="false" ht="15" hidden="true" customHeight="true" outlineLevel="1" collapsed="false">
      <c r="A822" s="843"/>
      <c r="B822" s="844" t="s">
        <v>766</v>
      </c>
      <c r="C822" s="772" t="n">
        <v>65</v>
      </c>
      <c r="D822" s="845" t="n">
        <v>85</v>
      </c>
      <c r="E822" s="675" t="n">
        <v>250</v>
      </c>
      <c r="F822" s="671" t="n">
        <v>11.59</v>
      </c>
      <c r="G822" s="670" t="n">
        <f aca="false">F822*723</f>
        <v>8379.57</v>
      </c>
    </row>
    <row r="823" customFormat="false" ht="15" hidden="true" customHeight="true" outlineLevel="1" collapsed="false">
      <c r="A823" s="843"/>
      <c r="B823" s="844" t="s">
        <v>1591</v>
      </c>
      <c r="C823" s="772" t="n">
        <v>65</v>
      </c>
      <c r="D823" s="845" t="n">
        <v>85</v>
      </c>
      <c r="E823" s="675" t="n">
        <v>250</v>
      </c>
      <c r="F823" s="671" t="n">
        <v>17.08</v>
      </c>
      <c r="G823" s="670" t="n">
        <f aca="false">F823*723</f>
        <v>12348.84</v>
      </c>
    </row>
    <row r="824" customFormat="false" ht="15" hidden="true" customHeight="true" outlineLevel="1" collapsed="false">
      <c r="A824" s="843"/>
      <c r="B824" s="844" t="s">
        <v>1592</v>
      </c>
      <c r="C824" s="772" t="n">
        <v>65</v>
      </c>
      <c r="D824" s="845" t="n">
        <v>85</v>
      </c>
      <c r="E824" s="675" t="n">
        <v>250</v>
      </c>
      <c r="F824" s="671" t="n">
        <v>17.08</v>
      </c>
      <c r="G824" s="670" t="n">
        <f aca="false">F824*723</f>
        <v>12348.84</v>
      </c>
    </row>
    <row r="825" customFormat="false" ht="15" hidden="true" customHeight="true" outlineLevel="1" collapsed="false">
      <c r="A825" s="843"/>
      <c r="B825" s="844" t="s">
        <v>1593</v>
      </c>
      <c r="C825" s="772" t="n">
        <v>65</v>
      </c>
      <c r="D825" s="845" t="n">
        <v>85</v>
      </c>
      <c r="E825" s="675" t="n">
        <v>250</v>
      </c>
      <c r="F825" s="671" t="n">
        <v>17.08</v>
      </c>
      <c r="G825" s="670" t="n">
        <f aca="false">F825*723</f>
        <v>12348.84</v>
      </c>
    </row>
    <row r="826" customFormat="false" ht="15" hidden="true" customHeight="true" outlineLevel="1" collapsed="false">
      <c r="A826" s="843"/>
      <c r="B826" s="844" t="s">
        <v>1594</v>
      </c>
      <c r="C826" s="772" t="n">
        <v>65</v>
      </c>
      <c r="D826" s="845" t="n">
        <v>85</v>
      </c>
      <c r="E826" s="675" t="n">
        <v>250</v>
      </c>
      <c r="F826" s="671" t="n">
        <v>17.08</v>
      </c>
      <c r="G826" s="670" t="n">
        <f aca="false">F826*723</f>
        <v>12348.84</v>
      </c>
    </row>
    <row r="827" customFormat="false" ht="15" hidden="true" customHeight="true" outlineLevel="1" collapsed="false">
      <c r="A827" s="843"/>
      <c r="B827" s="844" t="s">
        <v>1595</v>
      </c>
      <c r="C827" s="772" t="n">
        <v>65</v>
      </c>
      <c r="D827" s="845" t="n">
        <v>85</v>
      </c>
      <c r="E827" s="675" t="n">
        <v>250</v>
      </c>
      <c r="F827" s="671" t="n">
        <v>17.08</v>
      </c>
      <c r="G827" s="670" t="n">
        <f aca="false">F827*723</f>
        <v>12348.84</v>
      </c>
    </row>
    <row r="828" customFormat="false" ht="15" hidden="true" customHeight="true" outlineLevel="1" collapsed="false">
      <c r="A828" s="843"/>
      <c r="B828" s="844" t="s">
        <v>1596</v>
      </c>
      <c r="C828" s="772" t="n">
        <v>65</v>
      </c>
      <c r="D828" s="845" t="n">
        <v>85</v>
      </c>
      <c r="E828" s="675" t="n">
        <v>250</v>
      </c>
      <c r="F828" s="671" t="n">
        <v>17.08</v>
      </c>
      <c r="G828" s="670" t="n">
        <f aca="false">F828*723</f>
        <v>12348.84</v>
      </c>
    </row>
    <row r="829" customFormat="false" ht="15" hidden="true" customHeight="true" outlineLevel="1" collapsed="false">
      <c r="A829" s="843"/>
      <c r="B829" s="844" t="s">
        <v>1597</v>
      </c>
      <c r="C829" s="772" t="n">
        <v>65</v>
      </c>
      <c r="D829" s="845" t="n">
        <v>85</v>
      </c>
      <c r="E829" s="675" t="n">
        <v>250</v>
      </c>
      <c r="F829" s="671" t="n">
        <v>20.77</v>
      </c>
      <c r="G829" s="670" t="n">
        <f aca="false">F829*723</f>
        <v>15016.71</v>
      </c>
    </row>
    <row r="830" customFormat="false" ht="15" hidden="true" customHeight="true" outlineLevel="1" collapsed="false">
      <c r="A830" s="843"/>
      <c r="B830" s="844" t="s">
        <v>1598</v>
      </c>
      <c r="C830" s="772" t="n">
        <v>65</v>
      </c>
      <c r="D830" s="845" t="n">
        <v>85</v>
      </c>
      <c r="E830" s="675" t="n">
        <v>250</v>
      </c>
      <c r="F830" s="671" t="n">
        <v>18.33</v>
      </c>
      <c r="G830" s="670" t="n">
        <f aca="false">F830*723</f>
        <v>13252.59</v>
      </c>
    </row>
    <row r="831" customFormat="false" ht="15" hidden="true" customHeight="true" outlineLevel="1" collapsed="false">
      <c r="A831" s="843"/>
      <c r="B831" s="844" t="s">
        <v>1599</v>
      </c>
      <c r="C831" s="772" t="n">
        <v>65</v>
      </c>
      <c r="D831" s="845" t="n">
        <v>85</v>
      </c>
      <c r="E831" s="675" t="n">
        <v>250</v>
      </c>
      <c r="F831" s="671" t="n">
        <v>20.76</v>
      </c>
      <c r="G831" s="670" t="n">
        <f aca="false">F831*723</f>
        <v>15009.48</v>
      </c>
    </row>
    <row r="832" customFormat="false" ht="15" hidden="true" customHeight="true" outlineLevel="1" collapsed="false">
      <c r="A832" s="843"/>
      <c r="B832" s="844" t="s">
        <v>1600</v>
      </c>
      <c r="C832" s="772" t="n">
        <v>65</v>
      </c>
      <c r="D832" s="845" t="n">
        <v>85</v>
      </c>
      <c r="E832" s="675" t="n">
        <v>250</v>
      </c>
      <c r="F832" s="671" t="n">
        <v>20.76</v>
      </c>
      <c r="G832" s="670" t="n">
        <f aca="false">F832*723</f>
        <v>15009.48</v>
      </c>
    </row>
    <row r="833" customFormat="false" ht="15" hidden="true" customHeight="true" outlineLevel="1" collapsed="false">
      <c r="A833" s="843"/>
      <c r="B833" s="844" t="s">
        <v>1601</v>
      </c>
      <c r="C833" s="772" t="n">
        <v>65</v>
      </c>
      <c r="D833" s="845" t="n">
        <v>85</v>
      </c>
      <c r="E833" s="675" t="n">
        <v>250</v>
      </c>
      <c r="F833" s="671" t="n">
        <v>20.76</v>
      </c>
      <c r="G833" s="670" t="n">
        <f aca="false">F833*723</f>
        <v>15009.48</v>
      </c>
    </row>
    <row r="834" customFormat="false" ht="15" hidden="true" customHeight="true" outlineLevel="1" collapsed="false">
      <c r="A834" s="843"/>
      <c r="B834" s="844" t="s">
        <v>1602</v>
      </c>
      <c r="C834" s="772" t="n">
        <v>65</v>
      </c>
      <c r="D834" s="845" t="n">
        <v>85</v>
      </c>
      <c r="E834" s="675" t="n">
        <v>250</v>
      </c>
      <c r="F834" s="671" t="n">
        <v>22.73</v>
      </c>
      <c r="G834" s="670" t="n">
        <f aca="false">F834*723</f>
        <v>16433.79</v>
      </c>
    </row>
    <row r="835" customFormat="false" ht="15" hidden="true" customHeight="true" outlineLevel="1" collapsed="false">
      <c r="A835" s="843"/>
      <c r="B835" s="844" t="s">
        <v>1603</v>
      </c>
      <c r="C835" s="772" t="n">
        <v>65</v>
      </c>
      <c r="D835" s="845" t="n">
        <v>85</v>
      </c>
      <c r="E835" s="675" t="n">
        <v>250</v>
      </c>
      <c r="F835" s="671" t="n">
        <v>20.76</v>
      </c>
      <c r="G835" s="670" t="n">
        <f aca="false">F835*723</f>
        <v>15009.48</v>
      </c>
    </row>
    <row r="836" customFormat="false" ht="15" hidden="true" customHeight="true" outlineLevel="1" collapsed="false">
      <c r="A836" s="843"/>
      <c r="B836" s="844" t="s">
        <v>1604</v>
      </c>
      <c r="C836" s="772" t="n">
        <v>65</v>
      </c>
      <c r="D836" s="845" t="n">
        <v>120</v>
      </c>
      <c r="E836" s="675" t="n">
        <v>250</v>
      </c>
      <c r="F836" s="671" t="n">
        <v>13.63</v>
      </c>
      <c r="G836" s="670" t="n">
        <f aca="false">F836*512</f>
        <v>6978.56</v>
      </c>
    </row>
    <row r="837" customFormat="false" ht="15" hidden="true" customHeight="true" outlineLevel="1" collapsed="false">
      <c r="A837" s="843"/>
      <c r="B837" s="844" t="s">
        <v>1605</v>
      </c>
      <c r="C837" s="772" t="n">
        <v>65</v>
      </c>
      <c r="D837" s="845" t="n">
        <v>120</v>
      </c>
      <c r="E837" s="675" t="n">
        <v>250</v>
      </c>
      <c r="F837" s="671" t="n">
        <v>20.09</v>
      </c>
      <c r="G837" s="670" t="n">
        <f aca="false">F837*512</f>
        <v>10286.08</v>
      </c>
    </row>
    <row r="838" customFormat="false" ht="15" hidden="true" customHeight="true" outlineLevel="1" collapsed="false">
      <c r="A838" s="843"/>
      <c r="B838" s="844" t="s">
        <v>1606</v>
      </c>
      <c r="C838" s="772" t="n">
        <v>65</v>
      </c>
      <c r="D838" s="845" t="n">
        <v>120</v>
      </c>
      <c r="E838" s="675" t="n">
        <v>250</v>
      </c>
      <c r="F838" s="671" t="n">
        <v>23.09</v>
      </c>
      <c r="G838" s="670" t="n">
        <f aca="false">F838*512</f>
        <v>11822.08</v>
      </c>
    </row>
    <row r="839" customFormat="false" ht="15" hidden="true" customHeight="true" outlineLevel="1" collapsed="false">
      <c r="A839" s="843"/>
      <c r="B839" s="844" t="s">
        <v>1607</v>
      </c>
      <c r="C839" s="772" t="n">
        <v>65</v>
      </c>
      <c r="D839" s="845" t="n">
        <v>120</v>
      </c>
      <c r="E839" s="675" t="n">
        <v>250</v>
      </c>
      <c r="F839" s="671" t="n">
        <v>23.09</v>
      </c>
      <c r="G839" s="670" t="n">
        <f aca="false">F839*512</f>
        <v>11822.08</v>
      </c>
    </row>
    <row r="840" customFormat="false" ht="15" hidden="true" customHeight="true" outlineLevel="1" collapsed="false">
      <c r="A840" s="843"/>
      <c r="B840" s="844" t="s">
        <v>1608</v>
      </c>
      <c r="C840" s="772" t="n">
        <v>65</v>
      </c>
      <c r="D840" s="845" t="n">
        <v>120</v>
      </c>
      <c r="E840" s="675" t="n">
        <v>250</v>
      </c>
      <c r="F840" s="671" t="n">
        <v>20.09</v>
      </c>
      <c r="G840" s="670" t="n">
        <f aca="false">F840*512</f>
        <v>10286.08</v>
      </c>
    </row>
    <row r="841" customFormat="false" ht="15" hidden="true" customHeight="true" outlineLevel="1" collapsed="false">
      <c r="A841" s="843"/>
      <c r="B841" s="844" t="s">
        <v>1609</v>
      </c>
      <c r="C841" s="772" t="n">
        <v>65</v>
      </c>
      <c r="D841" s="845" t="n">
        <v>120</v>
      </c>
      <c r="E841" s="675" t="n">
        <v>250</v>
      </c>
      <c r="F841" s="671" t="n">
        <v>20.09</v>
      </c>
      <c r="G841" s="670" t="n">
        <f aca="false">F841*512</f>
        <v>10286.08</v>
      </c>
    </row>
    <row r="842" customFormat="false" ht="15" hidden="true" customHeight="true" outlineLevel="1" collapsed="false">
      <c r="A842" s="843"/>
      <c r="B842" s="844" t="s">
        <v>1610</v>
      </c>
      <c r="C842" s="772" t="n">
        <v>65</v>
      </c>
      <c r="D842" s="845" t="n">
        <v>120</v>
      </c>
      <c r="E842" s="675" t="n">
        <v>250</v>
      </c>
      <c r="F842" s="671" t="n">
        <v>20.09</v>
      </c>
      <c r="G842" s="670" t="n">
        <f aca="false">F842*512</f>
        <v>10286.08</v>
      </c>
    </row>
    <row r="843" customFormat="false" ht="15" hidden="true" customHeight="true" outlineLevel="1" collapsed="false">
      <c r="A843" s="843"/>
      <c r="B843" s="844" t="s">
        <v>1611</v>
      </c>
      <c r="C843" s="772" t="n">
        <v>65</v>
      </c>
      <c r="D843" s="845" t="n">
        <v>120</v>
      </c>
      <c r="E843" s="675" t="n">
        <v>250</v>
      </c>
      <c r="F843" s="671" t="n">
        <v>20.09</v>
      </c>
      <c r="G843" s="670" t="n">
        <f aca="false">F843*512</f>
        <v>10286.08</v>
      </c>
    </row>
    <row r="844" customFormat="false" ht="15" hidden="true" customHeight="true" outlineLevel="1" collapsed="false">
      <c r="A844" s="843"/>
      <c r="B844" s="844" t="s">
        <v>1612</v>
      </c>
      <c r="C844" s="772" t="n">
        <v>65</v>
      </c>
      <c r="D844" s="845" t="n">
        <v>120</v>
      </c>
      <c r="E844" s="675" t="n">
        <v>250</v>
      </c>
      <c r="F844" s="671" t="n">
        <v>20.09</v>
      </c>
      <c r="G844" s="670" t="n">
        <f aca="false">F844*512</f>
        <v>10286.08</v>
      </c>
    </row>
    <row r="845" customFormat="false" ht="15" hidden="true" customHeight="true" outlineLevel="1" collapsed="false">
      <c r="A845" s="843"/>
      <c r="B845" s="844" t="s">
        <v>1613</v>
      </c>
      <c r="C845" s="772" t="n">
        <v>65</v>
      </c>
      <c r="D845" s="845" t="n">
        <v>120</v>
      </c>
      <c r="E845" s="675" t="n">
        <v>250</v>
      </c>
      <c r="F845" s="671" t="n">
        <v>24.43</v>
      </c>
      <c r="G845" s="670" t="n">
        <f aca="false">F845*512</f>
        <v>12508.16</v>
      </c>
    </row>
    <row r="846" customFormat="false" ht="15" hidden="true" customHeight="true" outlineLevel="1" collapsed="false">
      <c r="A846" s="843"/>
      <c r="B846" s="844" t="s">
        <v>1614</v>
      </c>
      <c r="C846" s="772" t="n">
        <v>65</v>
      </c>
      <c r="D846" s="845" t="n">
        <v>120</v>
      </c>
      <c r="E846" s="675" t="n">
        <v>250</v>
      </c>
      <c r="F846" s="671" t="n">
        <v>21.57</v>
      </c>
      <c r="G846" s="670" t="n">
        <f aca="false">F846*512</f>
        <v>11043.84</v>
      </c>
    </row>
    <row r="847" customFormat="false" ht="15" hidden="true" customHeight="true" outlineLevel="1" collapsed="false">
      <c r="A847" s="843"/>
      <c r="B847" s="844" t="s">
        <v>1615</v>
      </c>
      <c r="C847" s="772" t="n">
        <v>65</v>
      </c>
      <c r="D847" s="845" t="n">
        <v>120</v>
      </c>
      <c r="E847" s="675" t="n">
        <v>250</v>
      </c>
      <c r="F847" s="671" t="n">
        <v>24.43</v>
      </c>
      <c r="G847" s="670" t="n">
        <f aca="false">F847*512</f>
        <v>12508.16</v>
      </c>
    </row>
    <row r="848" customFormat="false" ht="15" hidden="true" customHeight="true" outlineLevel="1" collapsed="false">
      <c r="A848" s="843"/>
      <c r="B848" s="844" t="s">
        <v>1616</v>
      </c>
      <c r="C848" s="772" t="n">
        <v>65</v>
      </c>
      <c r="D848" s="845" t="n">
        <v>120</v>
      </c>
      <c r="E848" s="675" t="n">
        <v>250</v>
      </c>
      <c r="F848" s="671" t="n">
        <v>24.43</v>
      </c>
      <c r="G848" s="670" t="n">
        <f aca="false">F848*512</f>
        <v>12508.16</v>
      </c>
    </row>
    <row r="849" customFormat="false" ht="15" hidden="true" customHeight="true" outlineLevel="1" collapsed="false">
      <c r="A849" s="843"/>
      <c r="B849" s="844" t="s">
        <v>1617</v>
      </c>
      <c r="C849" s="772" t="n">
        <v>65</v>
      </c>
      <c r="D849" s="845" t="n">
        <v>120</v>
      </c>
      <c r="E849" s="675" t="n">
        <v>250</v>
      </c>
      <c r="F849" s="671" t="n">
        <v>24.43</v>
      </c>
      <c r="G849" s="670" t="n">
        <f aca="false">F849*512</f>
        <v>12508.16</v>
      </c>
    </row>
    <row r="850" customFormat="false" ht="15" hidden="true" customHeight="true" outlineLevel="1" collapsed="false">
      <c r="A850" s="843"/>
      <c r="B850" s="844" t="s">
        <v>1618</v>
      </c>
      <c r="C850" s="772" t="n">
        <v>65</v>
      </c>
      <c r="D850" s="845" t="n">
        <v>120</v>
      </c>
      <c r="E850" s="675" t="n">
        <v>250</v>
      </c>
      <c r="F850" s="671" t="n">
        <v>24.43</v>
      </c>
      <c r="G850" s="670" t="n">
        <f aca="false">F850*512</f>
        <v>12508.16</v>
      </c>
    </row>
    <row r="851" customFormat="false" ht="15" hidden="true" customHeight="true" outlineLevel="1" collapsed="false">
      <c r="A851" s="843"/>
      <c r="B851" s="844" t="s">
        <v>1619</v>
      </c>
      <c r="C851" s="772" t="n">
        <v>65</v>
      </c>
      <c r="D851" s="845" t="n">
        <v>120</v>
      </c>
      <c r="E851" s="675" t="n">
        <v>250</v>
      </c>
      <c r="F851" s="671" t="n">
        <v>26.87</v>
      </c>
      <c r="G851" s="670" t="n">
        <f aca="false">F851*512</f>
        <v>13757.44</v>
      </c>
    </row>
    <row r="852" customFormat="false" ht="15" hidden="true" customHeight="true" outlineLevel="1" collapsed="false">
      <c r="A852" s="843"/>
      <c r="B852" s="844" t="s">
        <v>1620</v>
      </c>
      <c r="C852" s="772" t="n">
        <v>88</v>
      </c>
      <c r="D852" s="845" t="n">
        <v>120</v>
      </c>
      <c r="E852" s="675" t="n">
        <v>250</v>
      </c>
      <c r="F852" s="671" t="n">
        <v>18.39</v>
      </c>
      <c r="G852" s="670" t="n">
        <f aca="false">378*F852</f>
        <v>6951.42</v>
      </c>
    </row>
    <row r="853" customFormat="false" ht="15" hidden="true" customHeight="true" outlineLevel="1" collapsed="false">
      <c r="A853" s="843"/>
      <c r="B853" s="844" t="s">
        <v>1621</v>
      </c>
      <c r="C853" s="772" t="n">
        <v>88</v>
      </c>
      <c r="D853" s="845" t="n">
        <v>120</v>
      </c>
      <c r="E853" s="675" t="n">
        <v>250</v>
      </c>
      <c r="F853" s="671" t="n">
        <v>27.12</v>
      </c>
      <c r="G853" s="670" t="n">
        <f aca="false">378*F853</f>
        <v>10251.36</v>
      </c>
    </row>
    <row r="854" customFormat="false" ht="15" hidden="true" customHeight="true" outlineLevel="1" collapsed="false">
      <c r="A854" s="843"/>
      <c r="B854" s="844" t="s">
        <v>1622</v>
      </c>
      <c r="C854" s="772" t="n">
        <v>88</v>
      </c>
      <c r="D854" s="845" t="n">
        <v>120</v>
      </c>
      <c r="E854" s="675" t="n">
        <v>250</v>
      </c>
      <c r="F854" s="671" t="n">
        <v>27.12</v>
      </c>
      <c r="G854" s="670" t="n">
        <f aca="false">378*F854</f>
        <v>10251.36</v>
      </c>
    </row>
    <row r="855" customFormat="false" ht="15" hidden="true" customHeight="true" outlineLevel="1" collapsed="false">
      <c r="A855" s="843"/>
      <c r="B855" s="844" t="s">
        <v>1623</v>
      </c>
      <c r="C855" s="772" t="n">
        <v>88</v>
      </c>
      <c r="D855" s="845" t="n">
        <v>120</v>
      </c>
      <c r="E855" s="675" t="n">
        <v>250</v>
      </c>
      <c r="F855" s="671" t="n">
        <v>27.12</v>
      </c>
      <c r="G855" s="670" t="n">
        <f aca="false">378*F855</f>
        <v>10251.36</v>
      </c>
    </row>
    <row r="856" customFormat="false" ht="15" hidden="true" customHeight="true" outlineLevel="1" collapsed="false">
      <c r="A856" s="843"/>
      <c r="B856" s="844" t="s">
        <v>1624</v>
      </c>
      <c r="C856" s="772" t="n">
        <v>88</v>
      </c>
      <c r="D856" s="845" t="n">
        <v>120</v>
      </c>
      <c r="E856" s="675" t="n">
        <v>250</v>
      </c>
      <c r="F856" s="671" t="n">
        <v>27.12</v>
      </c>
      <c r="G856" s="670" t="n">
        <f aca="false">378*F856</f>
        <v>10251.36</v>
      </c>
    </row>
    <row r="857" customFormat="false" ht="15" hidden="true" customHeight="true" outlineLevel="1" collapsed="false">
      <c r="A857" s="843"/>
      <c r="B857" s="844" t="s">
        <v>1625</v>
      </c>
      <c r="C857" s="772" t="n">
        <v>88</v>
      </c>
      <c r="D857" s="845" t="n">
        <v>120</v>
      </c>
      <c r="E857" s="675" t="n">
        <v>250</v>
      </c>
      <c r="F857" s="671" t="n">
        <v>27.12</v>
      </c>
      <c r="G857" s="670" t="n">
        <f aca="false">378*F857</f>
        <v>10251.36</v>
      </c>
    </row>
    <row r="858" customFormat="false" ht="15" hidden="true" customHeight="true" outlineLevel="1" collapsed="false">
      <c r="A858" s="843"/>
      <c r="B858" s="844" t="s">
        <v>1626</v>
      </c>
      <c r="C858" s="772" t="n">
        <v>88</v>
      </c>
      <c r="D858" s="845" t="n">
        <v>120</v>
      </c>
      <c r="E858" s="675" t="n">
        <v>250</v>
      </c>
      <c r="F858" s="671" t="n">
        <v>27.12</v>
      </c>
      <c r="G858" s="670" t="n">
        <f aca="false">378*F858</f>
        <v>10251.36</v>
      </c>
    </row>
    <row r="859" customFormat="false" ht="15" hidden="true" customHeight="true" outlineLevel="1" collapsed="false">
      <c r="A859" s="843"/>
      <c r="B859" s="844" t="s">
        <v>1627</v>
      </c>
      <c r="C859" s="772" t="n">
        <v>88</v>
      </c>
      <c r="D859" s="845" t="n">
        <v>120</v>
      </c>
      <c r="E859" s="675" t="n">
        <v>250</v>
      </c>
      <c r="F859" s="671" t="n">
        <v>32.99</v>
      </c>
      <c r="G859" s="670" t="n">
        <f aca="false">378*F859</f>
        <v>12470.22</v>
      </c>
    </row>
    <row r="860" customFormat="false" ht="15" hidden="true" customHeight="true" outlineLevel="1" collapsed="false">
      <c r="A860" s="843"/>
      <c r="B860" s="844" t="s">
        <v>1628</v>
      </c>
      <c r="C860" s="772" t="n">
        <v>88</v>
      </c>
      <c r="D860" s="845" t="n">
        <v>120</v>
      </c>
      <c r="E860" s="675" t="n">
        <v>250</v>
      </c>
      <c r="F860" s="671" t="n">
        <v>29.12</v>
      </c>
      <c r="G860" s="670" t="n">
        <f aca="false">378*F860</f>
        <v>11007.36</v>
      </c>
    </row>
    <row r="861" customFormat="false" ht="15" hidden="false" customHeight="true" outlineLevel="0" collapsed="false">
      <c r="A861" s="680" t="s">
        <v>1589</v>
      </c>
      <c r="B861" s="839"/>
      <c r="C861" s="797" t="s">
        <v>1136</v>
      </c>
      <c r="D861" s="840" t="s">
        <v>1149</v>
      </c>
      <c r="E861" s="692" t="s">
        <v>1097</v>
      </c>
      <c r="F861" s="690" t="s">
        <v>1590</v>
      </c>
      <c r="G861" s="690" t="s">
        <v>1042</v>
      </c>
    </row>
    <row r="862" customFormat="false" ht="15" hidden="true" customHeight="true" outlineLevel="1" collapsed="false">
      <c r="A862" s="846" t="s">
        <v>1629</v>
      </c>
      <c r="B862" s="846"/>
      <c r="C862" s="770" t="s">
        <v>162</v>
      </c>
      <c r="D862" s="847"/>
      <c r="E862" s="847"/>
      <c r="F862" s="686" t="s">
        <v>1386</v>
      </c>
      <c r="G862" s="686" t="s">
        <v>1630</v>
      </c>
      <c r="H862" s="48"/>
      <c r="I862" s="48"/>
    </row>
    <row r="863" s="705" customFormat="true" ht="15" hidden="true" customHeight="true" outlineLevel="1" collapsed="false">
      <c r="A863" s="848"/>
      <c r="B863" s="849" t="s">
        <v>101</v>
      </c>
      <c r="C863" s="828" t="s">
        <v>820</v>
      </c>
      <c r="D863" s="112"/>
      <c r="E863" s="112"/>
      <c r="F863" s="850"/>
      <c r="G863" s="850" t="n">
        <v>0</v>
      </c>
      <c r="H863" s="48"/>
      <c r="I863" s="48"/>
      <c r="J863" s="651"/>
      <c r="K863" s="651"/>
      <c r="L863" s="651"/>
      <c r="M863" s="651"/>
      <c r="N863" s="651"/>
      <c r="O863" s="651"/>
      <c r="P863" s="651"/>
      <c r="Q863" s="651"/>
      <c r="R863" s="651"/>
      <c r="S863" s="651"/>
      <c r="T863" s="651"/>
      <c r="U863" s="651"/>
    </row>
    <row r="864" customFormat="false" ht="15" hidden="true" customHeight="true" outlineLevel="1" collapsed="false">
      <c r="A864" s="848"/>
      <c r="B864" s="851" t="s">
        <v>1631</v>
      </c>
      <c r="C864" s="739" t="s">
        <v>820</v>
      </c>
      <c r="D864" s="852"/>
      <c r="E864" s="853" t="s">
        <v>1632</v>
      </c>
      <c r="F864" s="854" t="n">
        <v>555</v>
      </c>
      <c r="G864" s="854" t="n">
        <f aca="false">F864/3</f>
        <v>185</v>
      </c>
      <c r="H864" s="855"/>
      <c r="I864" s="855"/>
    </row>
    <row r="865" customFormat="false" ht="15" hidden="true" customHeight="true" outlineLevel="1" collapsed="false">
      <c r="A865" s="848"/>
      <c r="B865" s="851" t="s">
        <v>1633</v>
      </c>
      <c r="C865" s="739" t="s">
        <v>820</v>
      </c>
      <c r="D865" s="852"/>
      <c r="E865" s="853" t="s">
        <v>1632</v>
      </c>
      <c r="F865" s="854" t="n">
        <v>660</v>
      </c>
      <c r="G865" s="854" t="n">
        <f aca="false">F865/3</f>
        <v>220</v>
      </c>
      <c r="H865" s="855"/>
      <c r="I865" s="855"/>
    </row>
    <row r="866" customFormat="false" ht="15" hidden="true" customHeight="true" outlineLevel="1" collapsed="false">
      <c r="A866" s="848"/>
      <c r="B866" s="851" t="s">
        <v>1633</v>
      </c>
      <c r="C866" s="739" t="s">
        <v>820</v>
      </c>
      <c r="D866" s="852"/>
      <c r="E866" s="853" t="s">
        <v>1634</v>
      </c>
      <c r="F866" s="854" t="n">
        <v>710</v>
      </c>
      <c r="G866" s="854" t="n">
        <f aca="false">F866/3</f>
        <v>236.666666666667</v>
      </c>
      <c r="H866" s="855"/>
      <c r="I866" s="855"/>
    </row>
    <row r="867" customFormat="false" ht="15" hidden="true" customHeight="true" outlineLevel="1" collapsed="false">
      <c r="A867" s="848"/>
      <c r="B867" s="851" t="s">
        <v>1635</v>
      </c>
      <c r="C867" s="739" t="s">
        <v>820</v>
      </c>
      <c r="D867" s="852"/>
      <c r="E867" s="853" t="s">
        <v>1632</v>
      </c>
      <c r="F867" s="854" t="n">
        <v>735</v>
      </c>
      <c r="G867" s="854" t="n">
        <f aca="false">F867/3</f>
        <v>245</v>
      </c>
      <c r="H867" s="855"/>
      <c r="I867" s="855"/>
    </row>
    <row r="868" customFormat="false" ht="15" hidden="true" customHeight="true" outlineLevel="1" collapsed="false">
      <c r="A868" s="848"/>
      <c r="B868" s="851" t="s">
        <v>1636</v>
      </c>
      <c r="C868" s="739" t="s">
        <v>820</v>
      </c>
      <c r="D868" s="852"/>
      <c r="E868" s="853" t="s">
        <v>1632</v>
      </c>
      <c r="F868" s="854" t="n">
        <v>855</v>
      </c>
      <c r="G868" s="854" t="n">
        <f aca="false">F868/3</f>
        <v>285</v>
      </c>
      <c r="H868" s="855"/>
      <c r="I868" s="855"/>
    </row>
    <row r="869" customFormat="false" ht="15" hidden="true" customHeight="true" outlineLevel="1" collapsed="false">
      <c r="A869" s="848"/>
      <c r="B869" s="851" t="s">
        <v>1636</v>
      </c>
      <c r="C869" s="739" t="s">
        <v>820</v>
      </c>
      <c r="D869" s="852"/>
      <c r="E869" s="853" t="s">
        <v>1634</v>
      </c>
      <c r="F869" s="854" t="n">
        <v>1000</v>
      </c>
      <c r="G869" s="854" t="n">
        <f aca="false">F869/3</f>
        <v>333.333333333333</v>
      </c>
      <c r="H869" s="855"/>
      <c r="I869" s="855"/>
    </row>
    <row r="870" customFormat="false" ht="15" hidden="true" customHeight="true" outlineLevel="1" collapsed="false">
      <c r="A870" s="848"/>
      <c r="B870" s="851" t="s">
        <v>1637</v>
      </c>
      <c r="C870" s="739" t="s">
        <v>820</v>
      </c>
      <c r="D870" s="852"/>
      <c r="E870" s="853" t="s">
        <v>1632</v>
      </c>
      <c r="F870" s="854" t="n">
        <v>1070</v>
      </c>
      <c r="G870" s="854" t="n">
        <f aca="false">F870/3</f>
        <v>356.666666666667</v>
      </c>
      <c r="H870" s="855"/>
      <c r="I870" s="855"/>
    </row>
    <row r="871" customFormat="false" ht="15" hidden="true" customHeight="true" outlineLevel="1" collapsed="false">
      <c r="A871" s="848"/>
      <c r="B871" s="851" t="s">
        <v>1638</v>
      </c>
      <c r="C871" s="739" t="s">
        <v>820</v>
      </c>
      <c r="D871" s="852"/>
      <c r="E871" s="853" t="s">
        <v>1632</v>
      </c>
      <c r="F871" s="854" t="n">
        <v>1360</v>
      </c>
      <c r="G871" s="854" t="n">
        <f aca="false">F871/3</f>
        <v>453.333333333333</v>
      </c>
      <c r="H871" s="855"/>
      <c r="I871" s="855"/>
    </row>
    <row r="872" customFormat="false" ht="15" hidden="true" customHeight="true" outlineLevel="1" collapsed="false">
      <c r="A872" s="848"/>
      <c r="B872" s="851" t="s">
        <v>375</v>
      </c>
      <c r="C872" s="739" t="s">
        <v>820</v>
      </c>
      <c r="D872" s="852"/>
      <c r="E872" s="853" t="s">
        <v>1632</v>
      </c>
      <c r="F872" s="854" t="n">
        <v>1580</v>
      </c>
      <c r="G872" s="854" t="n">
        <f aca="false">F872/3</f>
        <v>526.666666666667</v>
      </c>
      <c r="H872" s="855"/>
      <c r="I872" s="855"/>
    </row>
    <row r="873" customFormat="false" ht="15" hidden="true" customHeight="true" outlineLevel="1" collapsed="false">
      <c r="A873" s="848"/>
      <c r="B873" s="851" t="s">
        <v>1639</v>
      </c>
      <c r="C873" s="739" t="s">
        <v>820</v>
      </c>
      <c r="D873" s="852"/>
      <c r="E873" s="853" t="s">
        <v>1634</v>
      </c>
      <c r="F873" s="854" t="n">
        <v>1100</v>
      </c>
      <c r="G873" s="854" t="n">
        <f aca="false">F873/3</f>
        <v>366.666666666667</v>
      </c>
      <c r="H873" s="855"/>
      <c r="I873" s="855"/>
    </row>
    <row r="874" customFormat="false" ht="15" hidden="true" customHeight="true" outlineLevel="1" collapsed="false">
      <c r="A874" s="848"/>
      <c r="B874" s="851" t="s">
        <v>1640</v>
      </c>
      <c r="C874" s="739" t="s">
        <v>820</v>
      </c>
      <c r="D874" s="852"/>
      <c r="E874" s="853" t="s">
        <v>1634</v>
      </c>
      <c r="F874" s="854" t="n">
        <v>1345</v>
      </c>
      <c r="G874" s="854" t="n">
        <f aca="false">F874/3</f>
        <v>448.333333333333</v>
      </c>
      <c r="H874" s="855"/>
      <c r="I874" s="855"/>
    </row>
    <row r="875" customFormat="false" ht="15" hidden="true" customHeight="true" outlineLevel="1" collapsed="false">
      <c r="A875" s="848"/>
      <c r="B875" s="851" t="s">
        <v>1641</v>
      </c>
      <c r="C875" s="739" t="s">
        <v>820</v>
      </c>
      <c r="D875" s="852"/>
      <c r="E875" s="853" t="s">
        <v>1634</v>
      </c>
      <c r="F875" s="854" t="n">
        <v>1600</v>
      </c>
      <c r="G875" s="854" t="n">
        <f aca="false">F875/3</f>
        <v>533.333333333333</v>
      </c>
      <c r="H875" s="855"/>
      <c r="I875" s="855"/>
    </row>
    <row r="876" customFormat="false" ht="15" hidden="true" customHeight="true" outlineLevel="1" collapsed="false">
      <c r="A876" s="848"/>
      <c r="B876" s="856" t="s">
        <v>1642</v>
      </c>
      <c r="C876" s="739" t="s">
        <v>820</v>
      </c>
      <c r="D876" s="852"/>
      <c r="E876" s="853" t="s">
        <v>1632</v>
      </c>
      <c r="F876" s="854" t="n">
        <v>790</v>
      </c>
      <c r="G876" s="854" t="n">
        <f aca="false">F876/3</f>
        <v>263.333333333333</v>
      </c>
      <c r="H876" s="855"/>
      <c r="I876" s="855"/>
    </row>
    <row r="877" customFormat="false" ht="15" hidden="true" customHeight="true" outlineLevel="1" collapsed="false">
      <c r="A877" s="848"/>
      <c r="B877" s="856" t="s">
        <v>1643</v>
      </c>
      <c r="C877" s="739" t="s">
        <v>820</v>
      </c>
      <c r="D877" s="852"/>
      <c r="E877" s="853" t="s">
        <v>1632</v>
      </c>
      <c r="F877" s="854" t="n">
        <v>630</v>
      </c>
      <c r="G877" s="854" t="n">
        <f aca="false">F877/3</f>
        <v>210</v>
      </c>
      <c r="H877" s="855"/>
      <c r="I877" s="855"/>
    </row>
    <row r="878" customFormat="false" ht="15" hidden="true" customHeight="true" outlineLevel="1" collapsed="false">
      <c r="A878" s="848"/>
      <c r="B878" s="856" t="s">
        <v>1642</v>
      </c>
      <c r="C878" s="739" t="s">
        <v>820</v>
      </c>
      <c r="D878" s="852"/>
      <c r="E878" s="853" t="s">
        <v>1632</v>
      </c>
      <c r="F878" s="854" t="n">
        <v>800</v>
      </c>
      <c r="G878" s="854" t="n">
        <f aca="false">F878/3</f>
        <v>266.666666666667</v>
      </c>
      <c r="H878" s="855"/>
      <c r="I878" s="855"/>
    </row>
    <row r="879" customFormat="false" ht="15" hidden="true" customHeight="true" outlineLevel="1" collapsed="false">
      <c r="A879" s="848"/>
      <c r="B879" s="856" t="s">
        <v>1644</v>
      </c>
      <c r="C879" s="739" t="s">
        <v>820</v>
      </c>
      <c r="D879" s="852"/>
      <c r="E879" s="853" t="s">
        <v>1632</v>
      </c>
      <c r="F879" s="854" t="n">
        <v>980</v>
      </c>
      <c r="G879" s="854" t="n">
        <f aca="false">F879/3</f>
        <v>326.666666666667</v>
      </c>
      <c r="H879" s="855"/>
      <c r="I879" s="855"/>
    </row>
    <row r="880" customFormat="false" ht="15" hidden="true" customHeight="true" outlineLevel="1" collapsed="false">
      <c r="A880" s="848"/>
      <c r="B880" s="856" t="s">
        <v>1645</v>
      </c>
      <c r="C880" s="739" t="s">
        <v>820</v>
      </c>
      <c r="D880" s="852"/>
      <c r="E880" s="853" t="s">
        <v>1632</v>
      </c>
      <c r="F880" s="854" t="n">
        <v>1210</v>
      </c>
      <c r="G880" s="854" t="n">
        <f aca="false">F880/3</f>
        <v>403.333333333333</v>
      </c>
      <c r="H880" s="855"/>
      <c r="I880" s="855"/>
    </row>
    <row r="881" customFormat="false" ht="15" hidden="true" customHeight="true" outlineLevel="1" collapsed="false">
      <c r="A881" s="848"/>
      <c r="B881" s="856" t="s">
        <v>1646</v>
      </c>
      <c r="C881" s="739" t="s">
        <v>820</v>
      </c>
      <c r="D881" s="852"/>
      <c r="E881" s="853" t="s">
        <v>1632</v>
      </c>
      <c r="F881" s="854" t="n">
        <v>1415</v>
      </c>
      <c r="G881" s="854" t="n">
        <f aca="false">F881/3</f>
        <v>471.666666666667</v>
      </c>
      <c r="H881" s="855"/>
      <c r="I881" s="855"/>
    </row>
    <row r="882" customFormat="false" ht="15" hidden="true" customHeight="true" outlineLevel="1" collapsed="false">
      <c r="A882" s="848"/>
      <c r="B882" s="856" t="s">
        <v>744</v>
      </c>
      <c r="C882" s="739" t="s">
        <v>820</v>
      </c>
      <c r="D882" s="852"/>
      <c r="E882" s="853" t="s">
        <v>1632</v>
      </c>
      <c r="F882" s="854" t="n">
        <v>1645</v>
      </c>
      <c r="G882" s="854" t="n">
        <f aca="false">F882/3</f>
        <v>548.333333333333</v>
      </c>
      <c r="H882" s="855"/>
      <c r="I882" s="855"/>
    </row>
    <row r="883" customFormat="false" ht="15" hidden="true" customHeight="true" outlineLevel="1" collapsed="false">
      <c r="A883" s="848"/>
      <c r="B883" s="856" t="s">
        <v>1647</v>
      </c>
      <c r="C883" s="739" t="s">
        <v>820</v>
      </c>
      <c r="D883" s="852"/>
      <c r="E883" s="853" t="s">
        <v>1632</v>
      </c>
      <c r="F883" s="854" t="n">
        <v>1965</v>
      </c>
      <c r="G883" s="854" t="n">
        <f aca="false">F883/3</f>
        <v>655</v>
      </c>
      <c r="H883" s="855"/>
      <c r="I883" s="855"/>
    </row>
    <row r="884" customFormat="false" ht="15" hidden="true" customHeight="true" outlineLevel="1" collapsed="false">
      <c r="A884" s="848"/>
      <c r="B884" s="856" t="s">
        <v>1648</v>
      </c>
      <c r="C884" s="739" t="s">
        <v>820</v>
      </c>
      <c r="D884" s="852"/>
      <c r="E884" s="853" t="s">
        <v>1632</v>
      </c>
      <c r="F884" s="854" t="n">
        <v>2430</v>
      </c>
      <c r="G884" s="854" t="n">
        <f aca="false">F884/3</f>
        <v>810</v>
      </c>
      <c r="H884" s="855"/>
      <c r="I884" s="855"/>
    </row>
    <row r="885" customFormat="false" ht="15" hidden="true" customHeight="true" outlineLevel="1" collapsed="false">
      <c r="A885" s="848"/>
      <c r="B885" s="856" t="s">
        <v>1649</v>
      </c>
      <c r="C885" s="739" t="s">
        <v>820</v>
      </c>
      <c r="D885" s="852"/>
      <c r="E885" s="853" t="s">
        <v>1632</v>
      </c>
      <c r="F885" s="854" t="n">
        <v>2650</v>
      </c>
      <c r="G885" s="854" t="n">
        <f aca="false">F885/3</f>
        <v>883.333333333333</v>
      </c>
      <c r="H885" s="855"/>
      <c r="I885" s="855"/>
    </row>
    <row r="886" customFormat="false" ht="15" hidden="true" customHeight="true" outlineLevel="1" collapsed="false">
      <c r="A886" s="848"/>
      <c r="B886" s="857" t="s">
        <v>1650</v>
      </c>
      <c r="C886" s="739" t="s">
        <v>820</v>
      </c>
      <c r="D886" s="858" t="s">
        <v>1651</v>
      </c>
      <c r="E886" s="853" t="s">
        <v>1632</v>
      </c>
      <c r="F886" s="854" t="n">
        <v>1560</v>
      </c>
      <c r="G886" s="854" t="n">
        <f aca="false">F886/3</f>
        <v>520</v>
      </c>
      <c r="H886" s="855"/>
      <c r="I886" s="855"/>
    </row>
    <row r="887" customFormat="false" ht="15" hidden="true" customHeight="true" outlineLevel="1" collapsed="false">
      <c r="A887" s="848"/>
      <c r="B887" s="857" t="s">
        <v>1652</v>
      </c>
      <c r="C887" s="739" t="s">
        <v>820</v>
      </c>
      <c r="D887" s="858" t="s">
        <v>1651</v>
      </c>
      <c r="E887" s="853" t="s">
        <v>1632</v>
      </c>
      <c r="F887" s="854" t="n">
        <v>2065</v>
      </c>
      <c r="G887" s="854" t="n">
        <f aca="false">F887/3</f>
        <v>688.333333333333</v>
      </c>
      <c r="H887" s="855"/>
      <c r="I887" s="855"/>
    </row>
    <row r="888" customFormat="false" ht="15" hidden="true" customHeight="true" outlineLevel="1" collapsed="false">
      <c r="A888" s="848"/>
      <c r="B888" s="857" t="s">
        <v>1653</v>
      </c>
      <c r="C888" s="739" t="s">
        <v>820</v>
      </c>
      <c r="D888" s="858" t="s">
        <v>1651</v>
      </c>
      <c r="E888" s="853" t="s">
        <v>1632</v>
      </c>
      <c r="F888" s="854" t="n">
        <v>2440</v>
      </c>
      <c r="G888" s="854" t="n">
        <f aca="false">F888/3</f>
        <v>813.333333333333</v>
      </c>
      <c r="H888" s="855"/>
      <c r="I888" s="855"/>
    </row>
    <row r="889" customFormat="false" ht="15" hidden="true" customHeight="true" outlineLevel="1" collapsed="false">
      <c r="A889" s="848"/>
      <c r="B889" s="857" t="s">
        <v>1654</v>
      </c>
      <c r="C889" s="739" t="s">
        <v>820</v>
      </c>
      <c r="D889" s="858" t="s">
        <v>1651</v>
      </c>
      <c r="E889" s="853" t="s">
        <v>1632</v>
      </c>
      <c r="F889" s="854" t="n">
        <v>2880</v>
      </c>
      <c r="G889" s="854" t="n">
        <f aca="false">F889/3</f>
        <v>960</v>
      </c>
      <c r="H889" s="855"/>
      <c r="I889" s="855"/>
    </row>
    <row r="890" customFormat="false" ht="15" hidden="true" customHeight="true" outlineLevel="1" collapsed="false">
      <c r="A890" s="848"/>
      <c r="B890" s="857" t="s">
        <v>1654</v>
      </c>
      <c r="C890" s="739" t="s">
        <v>820</v>
      </c>
      <c r="D890" s="858" t="s">
        <v>1651</v>
      </c>
      <c r="E890" s="853" t="s">
        <v>1632</v>
      </c>
      <c r="F890" s="854" t="n">
        <v>2530</v>
      </c>
      <c r="G890" s="854" t="n">
        <f aca="false">F890/3</f>
        <v>843.333333333333</v>
      </c>
      <c r="H890" s="855"/>
      <c r="I890" s="855"/>
    </row>
    <row r="891" customFormat="false" ht="15" hidden="true" customHeight="true" outlineLevel="1" collapsed="false">
      <c r="A891" s="848"/>
      <c r="B891" s="857" t="s">
        <v>1654</v>
      </c>
      <c r="C891" s="739" t="s">
        <v>820</v>
      </c>
      <c r="D891" s="858" t="s">
        <v>1651</v>
      </c>
      <c r="E891" s="853" t="s">
        <v>1632</v>
      </c>
      <c r="F891" s="854" t="n">
        <v>2170</v>
      </c>
      <c r="G891" s="854" t="n">
        <f aca="false">F891/3</f>
        <v>723.333333333333</v>
      </c>
      <c r="H891" s="855"/>
      <c r="I891" s="855"/>
    </row>
    <row r="892" customFormat="false" ht="15" hidden="true" customHeight="true" outlineLevel="1" collapsed="false">
      <c r="A892" s="848"/>
      <c r="B892" s="857" t="s">
        <v>1650</v>
      </c>
      <c r="C892" s="739" t="s">
        <v>820</v>
      </c>
      <c r="D892" s="858" t="s">
        <v>1655</v>
      </c>
      <c r="E892" s="853" t="s">
        <v>1632</v>
      </c>
      <c r="F892" s="854" t="n">
        <v>1280</v>
      </c>
      <c r="G892" s="854" t="n">
        <f aca="false">F892/3</f>
        <v>426.666666666667</v>
      </c>
      <c r="H892" s="855"/>
      <c r="I892" s="855"/>
    </row>
    <row r="893" customFormat="false" ht="15" hidden="true" customHeight="true" outlineLevel="1" collapsed="false">
      <c r="A893" s="848"/>
      <c r="B893" s="857" t="s">
        <v>1656</v>
      </c>
      <c r="C893" s="739" t="s">
        <v>820</v>
      </c>
      <c r="D893" s="858" t="s">
        <v>1655</v>
      </c>
      <c r="E893" s="853" t="s">
        <v>1632</v>
      </c>
      <c r="F893" s="854" t="n">
        <v>1300</v>
      </c>
      <c r="G893" s="854" t="n">
        <f aca="false">F893/3</f>
        <v>433.333333333333</v>
      </c>
      <c r="H893" s="855"/>
      <c r="I893" s="855"/>
    </row>
    <row r="894" customFormat="false" ht="15" hidden="true" customHeight="true" outlineLevel="1" collapsed="false">
      <c r="A894" s="848"/>
      <c r="B894" s="857" t="s">
        <v>1653</v>
      </c>
      <c r="C894" s="739" t="s">
        <v>820</v>
      </c>
      <c r="D894" s="858" t="s">
        <v>1655</v>
      </c>
      <c r="E894" s="853" t="s">
        <v>1632</v>
      </c>
      <c r="F894" s="854" t="n">
        <v>1480</v>
      </c>
      <c r="G894" s="854" t="n">
        <f aca="false">F894/3</f>
        <v>493.333333333333</v>
      </c>
      <c r="H894" s="855"/>
      <c r="I894" s="855"/>
    </row>
    <row r="895" customFormat="false" ht="15" hidden="true" customHeight="true" outlineLevel="1" collapsed="false">
      <c r="A895" s="848"/>
      <c r="B895" s="857" t="s">
        <v>1654</v>
      </c>
      <c r="C895" s="739" t="s">
        <v>820</v>
      </c>
      <c r="D895" s="858" t="s">
        <v>1657</v>
      </c>
      <c r="E895" s="853" t="s">
        <v>1632</v>
      </c>
      <c r="F895" s="854" t="n">
        <v>1490</v>
      </c>
      <c r="G895" s="854" t="n">
        <f aca="false">F895/3</f>
        <v>496.666666666667</v>
      </c>
      <c r="H895" s="855"/>
      <c r="I895" s="855"/>
    </row>
    <row r="896" customFormat="false" ht="15" hidden="true" customHeight="true" outlineLevel="1" collapsed="false">
      <c r="A896" s="848"/>
      <c r="B896" s="857" t="s">
        <v>1654</v>
      </c>
      <c r="C896" s="739" t="s">
        <v>820</v>
      </c>
      <c r="D896" s="858" t="s">
        <v>1655</v>
      </c>
      <c r="E896" s="853" t="s">
        <v>1632</v>
      </c>
      <c r="F896" s="854" t="n">
        <v>1490</v>
      </c>
      <c r="G896" s="854" t="n">
        <f aca="false">F896/3</f>
        <v>496.666666666667</v>
      </c>
      <c r="H896" s="855"/>
      <c r="I896" s="855"/>
    </row>
    <row r="897" customFormat="false" ht="15" hidden="true" customHeight="true" outlineLevel="1" collapsed="false">
      <c r="A897" s="848"/>
      <c r="B897" s="857" t="s">
        <v>1658</v>
      </c>
      <c r="C897" s="739" t="s">
        <v>820</v>
      </c>
      <c r="D897" s="858" t="s">
        <v>1655</v>
      </c>
      <c r="E897" s="853" t="s">
        <v>1632</v>
      </c>
      <c r="F897" s="854" t="n">
        <v>1990</v>
      </c>
      <c r="G897" s="854" t="n">
        <f aca="false">F897/3</f>
        <v>663.333333333333</v>
      </c>
      <c r="H897" s="855"/>
      <c r="I897" s="855"/>
    </row>
    <row r="898" customFormat="false" ht="15" hidden="true" customHeight="true" outlineLevel="1" collapsed="false">
      <c r="A898" s="848"/>
      <c r="B898" s="856" t="s">
        <v>1659</v>
      </c>
      <c r="C898" s="739" t="s">
        <v>820</v>
      </c>
      <c r="D898" s="858" t="s">
        <v>1660</v>
      </c>
      <c r="E898" s="853" t="s">
        <v>1632</v>
      </c>
      <c r="F898" s="854" t="n">
        <v>460</v>
      </c>
      <c r="G898" s="854" t="n">
        <f aca="false">F898/3</f>
        <v>153.333333333333</v>
      </c>
      <c r="H898" s="855"/>
      <c r="I898" s="855"/>
    </row>
    <row r="899" customFormat="false" ht="15" hidden="true" customHeight="true" outlineLevel="1" collapsed="false">
      <c r="A899" s="848"/>
      <c r="B899" s="856" t="s">
        <v>1661</v>
      </c>
      <c r="C899" s="739" t="s">
        <v>820</v>
      </c>
      <c r="D899" s="858" t="s">
        <v>1660</v>
      </c>
      <c r="E899" s="853" t="s">
        <v>1632</v>
      </c>
      <c r="F899" s="854" t="n">
        <v>700</v>
      </c>
      <c r="G899" s="854" t="n">
        <f aca="false">F899/3</f>
        <v>233.333333333333</v>
      </c>
      <c r="H899" s="855"/>
      <c r="I899" s="855"/>
    </row>
    <row r="900" customFormat="false" ht="15" hidden="true" customHeight="true" outlineLevel="1" collapsed="false">
      <c r="A900" s="848"/>
      <c r="B900" s="856" t="s">
        <v>1662</v>
      </c>
      <c r="C900" s="739" t="s">
        <v>820</v>
      </c>
      <c r="D900" s="858" t="s">
        <v>1660</v>
      </c>
      <c r="E900" s="853" t="s">
        <v>1632</v>
      </c>
      <c r="F900" s="854" t="n">
        <v>860</v>
      </c>
      <c r="G900" s="854" t="n">
        <f aca="false">F900/3</f>
        <v>286.666666666667</v>
      </c>
      <c r="H900" s="855"/>
      <c r="I900" s="855"/>
    </row>
    <row r="901" customFormat="false" ht="15" hidden="true" customHeight="true" outlineLevel="1" collapsed="false">
      <c r="A901" s="848"/>
      <c r="B901" s="856" t="s">
        <v>1663</v>
      </c>
      <c r="C901" s="739" t="s">
        <v>820</v>
      </c>
      <c r="D901" s="858" t="s">
        <v>1660</v>
      </c>
      <c r="E901" s="853" t="s">
        <v>1632</v>
      </c>
      <c r="F901" s="854" t="n">
        <v>940</v>
      </c>
      <c r="G901" s="854" t="n">
        <f aca="false">F901/3</f>
        <v>313.333333333333</v>
      </c>
      <c r="H901" s="855"/>
      <c r="I901" s="855"/>
    </row>
    <row r="902" customFormat="false" ht="15" hidden="true" customHeight="true" outlineLevel="1" collapsed="false">
      <c r="A902" s="848"/>
      <c r="B902" s="856" t="s">
        <v>1664</v>
      </c>
      <c r="C902" s="739" t="s">
        <v>820</v>
      </c>
      <c r="D902" s="858" t="s">
        <v>1660</v>
      </c>
      <c r="E902" s="853" t="s">
        <v>1632</v>
      </c>
      <c r="F902" s="854" t="n">
        <v>975</v>
      </c>
      <c r="G902" s="854" t="n">
        <f aca="false">F902/3</f>
        <v>325</v>
      </c>
      <c r="H902" s="855"/>
      <c r="I902" s="855"/>
    </row>
    <row r="903" customFormat="false" ht="15" hidden="true" customHeight="true" outlineLevel="1" collapsed="false">
      <c r="A903" s="848"/>
      <c r="B903" s="856" t="s">
        <v>1665</v>
      </c>
      <c r="C903" s="739" t="s">
        <v>820</v>
      </c>
      <c r="D903" s="858" t="s">
        <v>1660</v>
      </c>
      <c r="E903" s="853" t="s">
        <v>1632</v>
      </c>
      <c r="F903" s="854" t="n">
        <v>1215</v>
      </c>
      <c r="G903" s="854" t="n">
        <f aca="false">F903/3</f>
        <v>405</v>
      </c>
      <c r="H903" s="855"/>
      <c r="I903" s="855"/>
    </row>
    <row r="904" customFormat="false" ht="15" hidden="true" customHeight="true" outlineLevel="1" collapsed="false">
      <c r="A904" s="848"/>
      <c r="B904" s="856" t="s">
        <v>1666</v>
      </c>
      <c r="C904" s="739" t="s">
        <v>820</v>
      </c>
      <c r="D904" s="858" t="s">
        <v>1667</v>
      </c>
      <c r="E904" s="853" t="s">
        <v>1632</v>
      </c>
      <c r="F904" s="854" t="n">
        <v>1500</v>
      </c>
      <c r="G904" s="854" t="n">
        <f aca="false">F904/3</f>
        <v>500</v>
      </c>
      <c r="H904" s="855"/>
      <c r="I904" s="855"/>
    </row>
    <row r="905" customFormat="false" ht="15" hidden="true" customHeight="true" outlineLevel="1" collapsed="false">
      <c r="A905" s="848"/>
      <c r="B905" s="856" t="s">
        <v>285</v>
      </c>
      <c r="C905" s="739" t="s">
        <v>820</v>
      </c>
      <c r="D905" s="858" t="s">
        <v>1660</v>
      </c>
      <c r="E905" s="853" t="s">
        <v>1632</v>
      </c>
      <c r="F905" s="854" t="n">
        <v>1600</v>
      </c>
      <c r="G905" s="854" t="n">
        <f aca="false">F905/3</f>
        <v>533.333333333333</v>
      </c>
      <c r="H905" s="855"/>
      <c r="I905" s="855"/>
    </row>
    <row r="906" customFormat="false" ht="15" hidden="true" customHeight="true" outlineLevel="1" collapsed="false">
      <c r="A906" s="848"/>
      <c r="B906" s="856" t="s">
        <v>1668</v>
      </c>
      <c r="C906" s="739" t="s">
        <v>820</v>
      </c>
      <c r="D906" s="858" t="s">
        <v>1660</v>
      </c>
      <c r="E906" s="853" t="s">
        <v>1632</v>
      </c>
      <c r="F906" s="854" t="n">
        <v>1845</v>
      </c>
      <c r="G906" s="854" t="n">
        <f aca="false">F906/3</f>
        <v>615</v>
      </c>
      <c r="H906" s="855"/>
      <c r="I906" s="855"/>
    </row>
    <row r="907" customFormat="false" ht="15" hidden="true" customHeight="true" outlineLevel="1" collapsed="false">
      <c r="A907" s="848"/>
      <c r="B907" s="856" t="s">
        <v>1669</v>
      </c>
      <c r="C907" s="739" t="s">
        <v>820</v>
      </c>
      <c r="D907" s="858" t="s">
        <v>1660</v>
      </c>
      <c r="E907" s="853" t="s">
        <v>1632</v>
      </c>
      <c r="F907" s="854" t="n">
        <v>2990</v>
      </c>
      <c r="G907" s="854" t="n">
        <f aca="false">F907/3</f>
        <v>996.666666666667</v>
      </c>
      <c r="H907" s="855"/>
      <c r="I907" s="855"/>
    </row>
    <row r="908" customFormat="false" ht="15" hidden="false" customHeight="true" outlineLevel="0" collapsed="false">
      <c r="A908" s="846" t="s">
        <v>1629</v>
      </c>
      <c r="B908" s="846"/>
      <c r="C908" s="770" t="s">
        <v>162</v>
      </c>
      <c r="D908" s="847"/>
      <c r="E908" s="847"/>
      <c r="F908" s="686" t="s">
        <v>1386</v>
      </c>
      <c r="G908" s="686" t="s">
        <v>1630</v>
      </c>
      <c r="H908" s="691"/>
      <c r="I908" s="691"/>
    </row>
    <row r="909" customFormat="false" ht="15" hidden="true" customHeight="true" outlineLevel="1" collapsed="false">
      <c r="A909" s="753" t="s">
        <v>1670</v>
      </c>
      <c r="B909" s="733"/>
      <c r="C909" s="770" t="s">
        <v>162</v>
      </c>
      <c r="D909" s="847"/>
      <c r="E909" s="847"/>
      <c r="F909" s="686"/>
      <c r="G909" s="686" t="s">
        <v>1042</v>
      </c>
      <c r="H909" s="691"/>
      <c r="I909" s="691"/>
    </row>
    <row r="910" customFormat="false" ht="15" hidden="true" customHeight="true" outlineLevel="1" collapsed="false">
      <c r="A910" s="751"/>
      <c r="B910" s="748" t="s">
        <v>1671</v>
      </c>
      <c r="C910" s="749" t="s">
        <v>15</v>
      </c>
      <c r="D910" s="750"/>
      <c r="E910" s="750"/>
      <c r="F910" s="704"/>
      <c r="G910" s="678" t="n">
        <v>40</v>
      </c>
      <c r="H910" s="691"/>
      <c r="I910" s="691"/>
    </row>
    <row r="911" customFormat="false" ht="15" hidden="true" customHeight="true" outlineLevel="1" collapsed="false">
      <c r="A911" s="751"/>
      <c r="B911" s="748" t="s">
        <v>1672</v>
      </c>
      <c r="C911" s="749" t="s">
        <v>15</v>
      </c>
      <c r="D911" s="750"/>
      <c r="E911" s="750"/>
      <c r="F911" s="704"/>
      <c r="G911" s="678" t="n">
        <v>50</v>
      </c>
      <c r="H911" s="691"/>
      <c r="I911" s="691"/>
    </row>
    <row r="912" customFormat="false" ht="15" hidden="true" customHeight="true" outlineLevel="1" collapsed="false">
      <c r="A912" s="751"/>
      <c r="B912" s="748" t="s">
        <v>527</v>
      </c>
      <c r="C912" s="749" t="s">
        <v>15</v>
      </c>
      <c r="D912" s="750"/>
      <c r="E912" s="750"/>
      <c r="F912" s="704"/>
      <c r="G912" s="678" t="n">
        <v>60</v>
      </c>
      <c r="H912" s="691"/>
      <c r="I912" s="691"/>
    </row>
    <row r="913" customFormat="false" ht="15" hidden="true" customHeight="true" outlineLevel="1" collapsed="false">
      <c r="A913" s="751"/>
      <c r="B913" s="748" t="s">
        <v>1673</v>
      </c>
      <c r="C913" s="749" t="s">
        <v>15</v>
      </c>
      <c r="D913" s="750"/>
      <c r="E913" s="750"/>
      <c r="F913" s="704"/>
      <c r="G913" s="678" t="n">
        <v>70</v>
      </c>
      <c r="H913" s="691"/>
      <c r="I913" s="691"/>
    </row>
    <row r="914" customFormat="false" ht="15" hidden="true" customHeight="true" outlineLevel="1" collapsed="false">
      <c r="A914" s="751"/>
      <c r="B914" s="748" t="s">
        <v>1674</v>
      </c>
      <c r="C914" s="749" t="s">
        <v>15</v>
      </c>
      <c r="D914" s="750"/>
      <c r="E914" s="750"/>
      <c r="F914" s="704"/>
      <c r="G914" s="678" t="n">
        <v>80</v>
      </c>
      <c r="H914" s="691"/>
      <c r="I914" s="691"/>
    </row>
    <row r="915" customFormat="false" ht="15" hidden="true" customHeight="true" outlineLevel="1" collapsed="false">
      <c r="A915" s="751"/>
      <c r="B915" s="748" t="s">
        <v>1675</v>
      </c>
      <c r="C915" s="749" t="s">
        <v>15</v>
      </c>
      <c r="D915" s="750"/>
      <c r="E915" s="750"/>
      <c r="F915" s="704"/>
      <c r="G915" s="678" t="n">
        <v>90</v>
      </c>
      <c r="H915" s="691"/>
      <c r="I915" s="691"/>
    </row>
    <row r="916" customFormat="false" ht="15" hidden="true" customHeight="true" outlineLevel="1" collapsed="false">
      <c r="A916" s="751"/>
      <c r="B916" s="748" t="s">
        <v>1676</v>
      </c>
      <c r="C916" s="749" t="s">
        <v>15</v>
      </c>
      <c r="D916" s="750"/>
      <c r="E916" s="750"/>
      <c r="F916" s="704"/>
      <c r="G916" s="678" t="n">
        <v>100</v>
      </c>
      <c r="H916" s="691"/>
      <c r="I916" s="691"/>
    </row>
    <row r="917" customFormat="false" ht="15" hidden="true" customHeight="true" outlineLevel="1" collapsed="false">
      <c r="A917" s="751"/>
      <c r="B917" s="748" t="s">
        <v>1677</v>
      </c>
      <c r="C917" s="749" t="s">
        <v>15</v>
      </c>
      <c r="D917" s="750"/>
      <c r="E917" s="750"/>
      <c r="F917" s="704"/>
      <c r="G917" s="678" t="n">
        <v>110</v>
      </c>
      <c r="H917" s="691"/>
      <c r="I917" s="691"/>
    </row>
    <row r="918" customFormat="false" ht="15" hidden="true" customHeight="true" outlineLevel="1" collapsed="false">
      <c r="A918" s="751"/>
      <c r="B918" s="748" t="s">
        <v>1678</v>
      </c>
      <c r="C918" s="749" t="s">
        <v>15</v>
      </c>
      <c r="D918" s="750"/>
      <c r="E918" s="750"/>
      <c r="F918" s="704"/>
      <c r="G918" s="678" t="n">
        <v>120</v>
      </c>
      <c r="H918" s="691"/>
      <c r="I918" s="691"/>
    </row>
    <row r="919" customFormat="false" ht="15" hidden="true" customHeight="true" outlineLevel="1" collapsed="false">
      <c r="A919" s="751"/>
      <c r="B919" s="748" t="s">
        <v>529</v>
      </c>
      <c r="C919" s="749" t="s">
        <v>48</v>
      </c>
      <c r="D919" s="750"/>
      <c r="E919" s="750"/>
      <c r="F919" s="704"/>
      <c r="G919" s="678" t="n">
        <v>5000</v>
      </c>
      <c r="H919" s="691"/>
      <c r="I919" s="691"/>
    </row>
    <row r="920" customFormat="false" ht="15" hidden="true" customHeight="true" outlineLevel="1" collapsed="false">
      <c r="A920" s="751"/>
      <c r="B920" s="748" t="s">
        <v>1679</v>
      </c>
      <c r="C920" s="749" t="s">
        <v>48</v>
      </c>
      <c r="D920" s="750"/>
      <c r="E920" s="750"/>
      <c r="F920" s="704"/>
      <c r="G920" s="750" t="n">
        <v>7000</v>
      </c>
    </row>
    <row r="921" customFormat="false" ht="15" hidden="true" customHeight="true" outlineLevel="1" collapsed="false">
      <c r="A921" s="751"/>
      <c r="B921" s="748" t="s">
        <v>1680</v>
      </c>
      <c r="C921" s="749" t="s">
        <v>48</v>
      </c>
      <c r="D921" s="750"/>
      <c r="E921" s="750"/>
      <c r="F921" s="704"/>
      <c r="G921" s="678" t="n">
        <v>9000</v>
      </c>
    </row>
    <row r="922" customFormat="false" ht="15" hidden="true" customHeight="true" outlineLevel="1" collapsed="false">
      <c r="A922" s="751"/>
      <c r="B922" s="748" t="s">
        <v>1681</v>
      </c>
      <c r="C922" s="749" t="s">
        <v>48</v>
      </c>
      <c r="D922" s="750"/>
      <c r="E922" s="750"/>
      <c r="F922" s="704"/>
      <c r="G922" s="750" t="n">
        <v>11000</v>
      </c>
    </row>
    <row r="923" customFormat="false" ht="15" hidden="true" customHeight="true" outlineLevel="1" collapsed="false">
      <c r="A923" s="751"/>
      <c r="B923" s="748" t="s">
        <v>1682</v>
      </c>
      <c r="C923" s="749" t="s">
        <v>48</v>
      </c>
      <c r="D923" s="750"/>
      <c r="E923" s="750"/>
      <c r="F923" s="704"/>
      <c r="G923" s="678" t="n">
        <v>13000</v>
      </c>
    </row>
    <row r="924" customFormat="false" ht="15" hidden="true" customHeight="true" outlineLevel="1" collapsed="false">
      <c r="A924" s="751"/>
      <c r="B924" s="748" t="s">
        <v>576</v>
      </c>
      <c r="C924" s="749" t="s">
        <v>48</v>
      </c>
      <c r="D924" s="750"/>
      <c r="E924" s="750"/>
      <c r="F924" s="704"/>
      <c r="G924" s="750" t="n">
        <v>15000</v>
      </c>
    </row>
    <row r="925" customFormat="false" ht="15" hidden="true" customHeight="true" outlineLevel="1" collapsed="false">
      <c r="A925" s="751"/>
      <c r="B925" s="748" t="s">
        <v>1683</v>
      </c>
      <c r="C925" s="749" t="s">
        <v>48</v>
      </c>
      <c r="D925" s="750"/>
      <c r="E925" s="750"/>
      <c r="F925" s="704"/>
      <c r="G925" s="678" t="n">
        <v>17000</v>
      </c>
    </row>
    <row r="926" customFormat="false" ht="15" hidden="true" customHeight="true" outlineLevel="1" collapsed="false">
      <c r="A926" s="751"/>
      <c r="B926" s="748" t="s">
        <v>1684</v>
      </c>
      <c r="C926" s="749" t="s">
        <v>48</v>
      </c>
      <c r="D926" s="750"/>
      <c r="E926" s="750"/>
      <c r="F926" s="704"/>
      <c r="G926" s="750" t="n">
        <v>19000</v>
      </c>
    </row>
    <row r="927" customFormat="false" ht="15" hidden="false" customHeight="true" outlineLevel="0" collapsed="false">
      <c r="A927" s="753" t="s">
        <v>1670</v>
      </c>
      <c r="B927" s="733"/>
      <c r="C927" s="770" t="s">
        <v>162</v>
      </c>
      <c r="D927" s="847"/>
      <c r="E927" s="847"/>
      <c r="F927" s="686"/>
      <c r="G927" s="686" t="s">
        <v>1042</v>
      </c>
    </row>
    <row r="928" customFormat="false" ht="15" hidden="true" customHeight="true" outlineLevel="1" collapsed="false">
      <c r="A928" s="753" t="s">
        <v>1685</v>
      </c>
      <c r="B928" s="733"/>
      <c r="C928" s="770" t="s">
        <v>162</v>
      </c>
      <c r="D928" s="847"/>
      <c r="E928" s="847"/>
      <c r="F928" s="686"/>
      <c r="G928" s="686" t="s">
        <v>1042</v>
      </c>
    </row>
    <row r="929" customFormat="false" ht="15" hidden="true" customHeight="true" outlineLevel="1" collapsed="false">
      <c r="A929" s="751"/>
      <c r="B929" s="859" t="s">
        <v>1686</v>
      </c>
      <c r="C929" s="648" t="s">
        <v>15</v>
      </c>
      <c r="D929" s="750"/>
      <c r="E929" s="750"/>
      <c r="F929" s="704"/>
      <c r="G929" s="860" t="n">
        <v>56</v>
      </c>
    </row>
    <row r="930" customFormat="false" ht="15" hidden="true" customHeight="true" outlineLevel="1" collapsed="false">
      <c r="A930" s="751"/>
      <c r="B930" s="859" t="s">
        <v>1687</v>
      </c>
      <c r="C930" s="648" t="s">
        <v>15</v>
      </c>
      <c r="D930" s="750"/>
      <c r="E930" s="750"/>
      <c r="F930" s="704"/>
      <c r="G930" s="860" t="n">
        <v>73</v>
      </c>
    </row>
    <row r="931" customFormat="false" ht="15" hidden="true" customHeight="true" outlineLevel="1" collapsed="false">
      <c r="A931" s="751"/>
      <c r="B931" s="859" t="s">
        <v>531</v>
      </c>
      <c r="C931" s="648" t="s">
        <v>15</v>
      </c>
      <c r="D931" s="750"/>
      <c r="E931" s="750"/>
      <c r="F931" s="704"/>
      <c r="G931" s="860" t="n">
        <v>77</v>
      </c>
    </row>
    <row r="932" customFormat="false" ht="15" hidden="true" customHeight="true" outlineLevel="1" collapsed="false">
      <c r="A932" s="751"/>
      <c r="B932" s="859" t="s">
        <v>1688</v>
      </c>
      <c r="C932" s="648" t="s">
        <v>15</v>
      </c>
      <c r="D932" s="750"/>
      <c r="E932" s="750"/>
      <c r="F932" s="704"/>
      <c r="G932" s="860" t="n">
        <v>145</v>
      </c>
    </row>
    <row r="933" customFormat="false" ht="15" hidden="true" customHeight="true" outlineLevel="1" collapsed="false">
      <c r="A933" s="751"/>
      <c r="B933" s="859" t="s">
        <v>1689</v>
      </c>
      <c r="C933" s="648" t="s">
        <v>15</v>
      </c>
      <c r="D933" s="750"/>
      <c r="E933" s="750"/>
      <c r="F933" s="704"/>
      <c r="G933" s="860" t="n">
        <v>210</v>
      </c>
    </row>
    <row r="934" customFormat="false" ht="15" hidden="true" customHeight="true" outlineLevel="1" collapsed="false">
      <c r="A934" s="751"/>
      <c r="B934" s="859" t="s">
        <v>1690</v>
      </c>
      <c r="C934" s="648" t="s">
        <v>15</v>
      </c>
      <c r="D934" s="750"/>
      <c r="E934" s="750"/>
      <c r="F934" s="704"/>
      <c r="G934" s="860" t="n">
        <v>70</v>
      </c>
    </row>
    <row r="935" customFormat="false" ht="15" hidden="true" customHeight="true" outlineLevel="1" collapsed="false">
      <c r="A935" s="751"/>
      <c r="B935" s="859" t="s">
        <v>577</v>
      </c>
      <c r="C935" s="648" t="s">
        <v>15</v>
      </c>
      <c r="D935" s="750"/>
      <c r="E935" s="750"/>
      <c r="F935" s="704"/>
      <c r="G935" s="860" t="n">
        <v>95</v>
      </c>
    </row>
    <row r="936" customFormat="false" ht="15" hidden="true" customHeight="true" outlineLevel="1" collapsed="false">
      <c r="A936" s="751"/>
      <c r="B936" s="859" t="s">
        <v>1691</v>
      </c>
      <c r="C936" s="648" t="s">
        <v>15</v>
      </c>
      <c r="D936" s="750"/>
      <c r="E936" s="750"/>
      <c r="F936" s="704"/>
      <c r="G936" s="860" t="n">
        <v>105</v>
      </c>
    </row>
    <row r="937" customFormat="false" ht="15" hidden="true" customHeight="true" outlineLevel="1" collapsed="false">
      <c r="A937" s="751"/>
      <c r="B937" s="859" t="s">
        <v>1692</v>
      </c>
      <c r="C937" s="648" t="s">
        <v>15</v>
      </c>
      <c r="D937" s="750"/>
      <c r="E937" s="750"/>
      <c r="F937" s="704"/>
      <c r="G937" s="860" t="n">
        <v>170</v>
      </c>
    </row>
    <row r="938" customFormat="false" ht="15" hidden="true" customHeight="true" outlineLevel="1" collapsed="false">
      <c r="A938" s="751"/>
      <c r="B938" s="859" t="s">
        <v>1693</v>
      </c>
      <c r="C938" s="648" t="s">
        <v>15</v>
      </c>
      <c r="D938" s="750"/>
      <c r="E938" s="750"/>
      <c r="F938" s="704"/>
      <c r="G938" s="860" t="n">
        <v>270</v>
      </c>
    </row>
    <row r="939" customFormat="false" ht="15" hidden="true" customHeight="true" outlineLevel="1" collapsed="false">
      <c r="A939" s="751"/>
      <c r="B939" s="859" t="s">
        <v>1694</v>
      </c>
      <c r="C939" s="648" t="s">
        <v>15</v>
      </c>
      <c r="D939" s="750"/>
      <c r="E939" s="750"/>
      <c r="F939" s="704"/>
      <c r="G939" s="860" t="n">
        <v>103</v>
      </c>
    </row>
    <row r="940" customFormat="false" ht="15" hidden="true" customHeight="true" outlineLevel="1" collapsed="false">
      <c r="A940" s="751"/>
      <c r="B940" s="859" t="s">
        <v>1695</v>
      </c>
      <c r="C940" s="648" t="s">
        <v>15</v>
      </c>
      <c r="D940" s="750"/>
      <c r="E940" s="750"/>
      <c r="F940" s="704"/>
      <c r="G940" s="860" t="n">
        <v>115</v>
      </c>
    </row>
    <row r="941" customFormat="false" ht="15" hidden="true" customHeight="true" outlineLevel="1" collapsed="false">
      <c r="A941" s="751"/>
      <c r="B941" s="859" t="s">
        <v>1696</v>
      </c>
      <c r="C941" s="648" t="s">
        <v>15</v>
      </c>
      <c r="D941" s="750"/>
      <c r="E941" s="750"/>
      <c r="F941" s="704"/>
      <c r="G941" s="860" t="n">
        <v>187</v>
      </c>
    </row>
    <row r="942" customFormat="false" ht="15" hidden="true" customHeight="true" outlineLevel="1" collapsed="false">
      <c r="A942" s="751"/>
      <c r="B942" s="859" t="s">
        <v>1697</v>
      </c>
      <c r="C942" s="648" t="s">
        <v>15</v>
      </c>
      <c r="D942" s="750"/>
      <c r="E942" s="750"/>
      <c r="F942" s="704"/>
      <c r="G942" s="860" t="n">
        <v>205</v>
      </c>
    </row>
    <row r="943" customFormat="false" ht="15" hidden="true" customHeight="true" outlineLevel="1" collapsed="false">
      <c r="A943" s="751"/>
      <c r="B943" s="859" t="s">
        <v>1698</v>
      </c>
      <c r="C943" s="648" t="s">
        <v>15</v>
      </c>
      <c r="D943" s="750"/>
      <c r="E943" s="750"/>
      <c r="F943" s="704"/>
      <c r="G943" s="860" t="n">
        <v>262</v>
      </c>
    </row>
    <row r="944" customFormat="false" ht="15" hidden="true" customHeight="true" outlineLevel="1" collapsed="false">
      <c r="A944" s="751"/>
      <c r="B944" s="859" t="s">
        <v>1699</v>
      </c>
      <c r="C944" s="648" t="s">
        <v>15</v>
      </c>
      <c r="D944" s="750"/>
      <c r="E944" s="750"/>
      <c r="F944" s="704"/>
      <c r="G944" s="860" t="n">
        <v>300</v>
      </c>
    </row>
    <row r="945" customFormat="false" ht="15" hidden="true" customHeight="true" outlineLevel="1" collapsed="false">
      <c r="A945" s="751"/>
      <c r="B945" s="859" t="s">
        <v>1700</v>
      </c>
      <c r="C945" s="648" t="s">
        <v>15</v>
      </c>
      <c r="D945" s="750"/>
      <c r="E945" s="750"/>
      <c r="F945" s="704"/>
      <c r="G945" s="860" t="n">
        <v>70</v>
      </c>
    </row>
    <row r="946" customFormat="false" ht="15" hidden="true" customHeight="true" outlineLevel="1" collapsed="false">
      <c r="A946" s="751"/>
      <c r="B946" s="859"/>
      <c r="D946" s="750"/>
      <c r="E946" s="750"/>
      <c r="F946" s="704"/>
      <c r="G946" s="860"/>
    </row>
    <row r="947" customFormat="false" ht="15" hidden="true" customHeight="true" outlineLevel="1" collapsed="false">
      <c r="A947" s="751"/>
      <c r="B947" s="859"/>
      <c r="D947" s="750"/>
      <c r="E947" s="750"/>
      <c r="F947" s="704"/>
      <c r="G947" s="860"/>
    </row>
    <row r="948" customFormat="false" ht="15" hidden="false" customHeight="true" outlineLevel="0" collapsed="false">
      <c r="A948" s="753" t="s">
        <v>1685</v>
      </c>
      <c r="B948" s="733"/>
      <c r="C948" s="770" t="s">
        <v>162</v>
      </c>
      <c r="D948" s="847"/>
      <c r="E948" s="847"/>
      <c r="F948" s="686"/>
      <c r="G948" s="686" t="s">
        <v>1042</v>
      </c>
    </row>
    <row r="949" customFormat="false" ht="15" hidden="true" customHeight="true" outlineLevel="1" collapsed="false">
      <c r="A949" s="753" t="s">
        <v>1701</v>
      </c>
      <c r="B949" s="733"/>
      <c r="C949" s="770" t="s">
        <v>162</v>
      </c>
      <c r="D949" s="847"/>
      <c r="E949" s="847"/>
      <c r="F949" s="686"/>
      <c r="G949" s="686" t="s">
        <v>1042</v>
      </c>
    </row>
    <row r="950" customFormat="false" ht="15" hidden="true" customHeight="true" outlineLevel="1" collapsed="false">
      <c r="B950" s="748" t="s">
        <v>533</v>
      </c>
      <c r="C950" s="749" t="s">
        <v>15</v>
      </c>
      <c r="D950" s="750"/>
      <c r="E950" s="750"/>
      <c r="F950" s="704"/>
      <c r="G950" s="750" t="n">
        <v>1500</v>
      </c>
    </row>
    <row r="951" customFormat="false" ht="15" hidden="true" customHeight="true" outlineLevel="1" collapsed="false">
      <c r="B951" s="748" t="s">
        <v>578</v>
      </c>
      <c r="C951" s="749" t="s">
        <v>15</v>
      </c>
      <c r="D951" s="750"/>
      <c r="E951" s="750"/>
      <c r="F951" s="704"/>
      <c r="G951" s="750" t="n">
        <v>2500</v>
      </c>
    </row>
    <row r="952" customFormat="false" ht="15" hidden="true" customHeight="true" outlineLevel="1" collapsed="false">
      <c r="B952" s="748" t="s">
        <v>1702</v>
      </c>
      <c r="C952" s="749" t="s">
        <v>15</v>
      </c>
      <c r="D952" s="750"/>
      <c r="E952" s="750"/>
      <c r="F952" s="704"/>
      <c r="G952" s="750" t="n">
        <v>3500</v>
      </c>
    </row>
    <row r="953" customFormat="false" ht="15" hidden="true" customHeight="true" outlineLevel="1" collapsed="false">
      <c r="B953" s="748" t="s">
        <v>1703</v>
      </c>
      <c r="C953" s="749" t="s">
        <v>15</v>
      </c>
      <c r="D953" s="750"/>
      <c r="E953" s="750"/>
      <c r="F953" s="704"/>
      <c r="G953" s="750" t="n">
        <v>4500</v>
      </c>
    </row>
    <row r="954" customFormat="false" ht="15" hidden="false" customHeight="true" outlineLevel="0" collapsed="false">
      <c r="A954" s="753" t="s">
        <v>1701</v>
      </c>
      <c r="B954" s="733"/>
      <c r="C954" s="770" t="s">
        <v>162</v>
      </c>
      <c r="D954" s="847"/>
      <c r="E954" s="847"/>
      <c r="F954" s="686"/>
      <c r="G954" s="686" t="s">
        <v>1042</v>
      </c>
    </row>
    <row r="955" customFormat="false" ht="15" hidden="true" customHeight="true" outlineLevel="1" collapsed="false">
      <c r="A955" s="758" t="s">
        <v>1704</v>
      </c>
      <c r="B955" s="759"/>
      <c r="C955" s="770" t="s">
        <v>162</v>
      </c>
      <c r="D955" s="847"/>
      <c r="E955" s="847"/>
      <c r="F955" s="686"/>
      <c r="G955" s="686" t="s">
        <v>1042</v>
      </c>
    </row>
    <row r="956" customFormat="false" ht="15" hidden="true" customHeight="true" outlineLevel="1" collapsed="false">
      <c r="A956" s="667"/>
      <c r="B956" s="837" t="s">
        <v>1704</v>
      </c>
      <c r="C956" s="749" t="s">
        <v>820</v>
      </c>
      <c r="D956" s="750"/>
      <c r="E956" s="750"/>
      <c r="F956" s="704"/>
      <c r="G956" s="750" t="n">
        <v>250</v>
      </c>
    </row>
    <row r="957" customFormat="false" ht="15" hidden="true" customHeight="true" outlineLevel="1" collapsed="false">
      <c r="A957" s="672"/>
      <c r="B957" s="837" t="s">
        <v>1705</v>
      </c>
      <c r="C957" s="749" t="s">
        <v>15</v>
      </c>
      <c r="D957" s="750"/>
      <c r="E957" s="750"/>
      <c r="F957" s="704"/>
      <c r="G957" s="750" t="n">
        <v>200</v>
      </c>
    </row>
    <row r="958" customFormat="false" ht="15" hidden="true" customHeight="true" outlineLevel="1" collapsed="false">
      <c r="A958" s="672"/>
      <c r="B958" s="837" t="s">
        <v>1706</v>
      </c>
      <c r="C958" s="749" t="s">
        <v>15</v>
      </c>
      <c r="D958" s="750"/>
      <c r="E958" s="750"/>
      <c r="F958" s="704"/>
      <c r="G958" s="750" t="n">
        <v>200</v>
      </c>
    </row>
    <row r="959" customFormat="false" ht="15" hidden="true" customHeight="true" outlineLevel="1" collapsed="false">
      <c r="A959" s="672"/>
      <c r="B959" s="837" t="s">
        <v>1707</v>
      </c>
      <c r="C959" s="749" t="s">
        <v>15</v>
      </c>
      <c r="D959" s="750"/>
      <c r="E959" s="750"/>
      <c r="F959" s="704"/>
      <c r="G959" s="750" t="n">
        <v>230</v>
      </c>
    </row>
    <row r="960" customFormat="false" ht="15" hidden="true" customHeight="true" outlineLevel="1" collapsed="false">
      <c r="A960" s="672"/>
      <c r="B960" s="837" t="s">
        <v>1708</v>
      </c>
      <c r="C960" s="749" t="s">
        <v>15</v>
      </c>
      <c r="D960" s="750"/>
      <c r="E960" s="750"/>
      <c r="F960" s="704"/>
      <c r="G960" s="750" t="n">
        <v>160</v>
      </c>
    </row>
    <row r="961" customFormat="false" ht="15" hidden="true" customHeight="true" outlineLevel="1" collapsed="false">
      <c r="A961" s="672"/>
      <c r="B961" s="837" t="s">
        <v>1709</v>
      </c>
      <c r="C961" s="749" t="s">
        <v>15</v>
      </c>
      <c r="D961" s="750"/>
      <c r="E961" s="750"/>
      <c r="F961" s="704"/>
      <c r="G961" s="750" t="n">
        <v>190</v>
      </c>
    </row>
    <row r="962" customFormat="false" ht="15" hidden="true" customHeight="true" outlineLevel="1" collapsed="false">
      <c r="A962" s="672"/>
      <c r="B962" s="837" t="s">
        <v>1710</v>
      </c>
      <c r="C962" s="749" t="s">
        <v>15</v>
      </c>
      <c r="D962" s="750"/>
      <c r="E962" s="750"/>
      <c r="F962" s="704"/>
      <c r="G962" s="750" t="n">
        <v>190</v>
      </c>
    </row>
    <row r="963" customFormat="false" ht="15" hidden="true" customHeight="true" outlineLevel="1" collapsed="false">
      <c r="A963" s="672"/>
      <c r="B963" s="837" t="s">
        <v>1711</v>
      </c>
      <c r="C963" s="749" t="s">
        <v>48</v>
      </c>
      <c r="D963" s="750"/>
      <c r="E963" s="750"/>
      <c r="F963" s="704"/>
      <c r="G963" s="750" t="n">
        <v>2</v>
      </c>
    </row>
    <row r="964" customFormat="false" ht="15" hidden="true" customHeight="true" outlineLevel="1" collapsed="false">
      <c r="A964" s="672"/>
      <c r="B964" s="837"/>
      <c r="C964" s="749"/>
      <c r="D964" s="750"/>
      <c r="E964" s="750"/>
      <c r="F964" s="704"/>
      <c r="G964" s="750"/>
    </row>
    <row r="965" customFormat="false" ht="15" hidden="true" customHeight="true" outlineLevel="1" collapsed="false">
      <c r="A965" s="672"/>
      <c r="B965" s="837"/>
      <c r="C965" s="749"/>
      <c r="D965" s="750"/>
      <c r="E965" s="750"/>
      <c r="F965" s="704"/>
      <c r="G965" s="750"/>
    </row>
    <row r="966" customFormat="false" ht="15" hidden="false" customHeight="true" outlineLevel="0" collapsed="false">
      <c r="A966" s="758" t="s">
        <v>1704</v>
      </c>
      <c r="B966" s="759"/>
      <c r="C966" s="770" t="s">
        <v>162</v>
      </c>
      <c r="D966" s="847"/>
      <c r="E966" s="847"/>
      <c r="F966" s="686"/>
      <c r="G966" s="686" t="s">
        <v>1042</v>
      </c>
    </row>
    <row r="967" customFormat="false" ht="15" hidden="true" customHeight="true" outlineLevel="1" collapsed="false">
      <c r="A967" s="758" t="s">
        <v>1712</v>
      </c>
      <c r="B967" s="759"/>
      <c r="C967" s="770" t="s">
        <v>162</v>
      </c>
      <c r="D967" s="847"/>
      <c r="E967" s="847"/>
      <c r="F967" s="686"/>
      <c r="G967" s="686" t="s">
        <v>1042</v>
      </c>
    </row>
    <row r="968" customFormat="false" ht="15" hidden="true" customHeight="true" outlineLevel="1" collapsed="false">
      <c r="A968" s="667"/>
      <c r="B968" s="837" t="s">
        <v>1712</v>
      </c>
      <c r="C968" s="749" t="s">
        <v>820</v>
      </c>
      <c r="D968" s="750"/>
      <c r="E968" s="750"/>
      <c r="F968" s="704"/>
      <c r="G968" s="750" t="n">
        <v>180</v>
      </c>
    </row>
    <row r="969" customFormat="false" ht="15" hidden="true" customHeight="true" outlineLevel="1" collapsed="false">
      <c r="A969" s="672"/>
      <c r="B969" s="837" t="s">
        <v>1705</v>
      </c>
      <c r="C969" s="749" t="s">
        <v>15</v>
      </c>
      <c r="D969" s="750"/>
      <c r="E969" s="750"/>
      <c r="F969" s="704"/>
      <c r="G969" s="750" t="n">
        <v>190</v>
      </c>
    </row>
    <row r="970" customFormat="false" ht="15" hidden="true" customHeight="true" outlineLevel="1" collapsed="false">
      <c r="A970" s="672"/>
      <c r="B970" s="837" t="s">
        <v>1706</v>
      </c>
      <c r="C970" s="749" t="s">
        <v>15</v>
      </c>
      <c r="D970" s="750"/>
      <c r="E970" s="750"/>
      <c r="F970" s="704"/>
      <c r="G970" s="750" t="n">
        <v>190</v>
      </c>
    </row>
    <row r="971" customFormat="false" ht="15" hidden="true" customHeight="true" outlineLevel="1" collapsed="false">
      <c r="A971" s="672"/>
      <c r="B971" s="837" t="s">
        <v>1707</v>
      </c>
      <c r="C971" s="749" t="s">
        <v>15</v>
      </c>
      <c r="D971" s="750"/>
      <c r="E971" s="750"/>
      <c r="F971" s="704"/>
      <c r="G971" s="750" t="n">
        <v>200</v>
      </c>
    </row>
    <row r="972" customFormat="false" ht="15" hidden="true" customHeight="true" outlineLevel="1" collapsed="false">
      <c r="A972" s="672"/>
      <c r="B972" s="837" t="s">
        <v>1708</v>
      </c>
      <c r="C972" s="749" t="s">
        <v>15</v>
      </c>
      <c r="D972" s="750"/>
      <c r="E972" s="750"/>
      <c r="F972" s="704"/>
      <c r="G972" s="750" t="n">
        <v>160</v>
      </c>
    </row>
    <row r="973" customFormat="false" ht="15" hidden="true" customHeight="true" outlineLevel="1" collapsed="false">
      <c r="A973" s="672"/>
      <c r="B973" s="837" t="s">
        <v>1709</v>
      </c>
      <c r="C973" s="749" t="s">
        <v>15</v>
      </c>
      <c r="D973" s="750"/>
      <c r="E973" s="750"/>
      <c r="F973" s="704"/>
      <c r="G973" s="750" t="n">
        <v>190</v>
      </c>
    </row>
    <row r="974" customFormat="false" ht="15" hidden="true" customHeight="true" outlineLevel="1" collapsed="false">
      <c r="A974" s="672"/>
      <c r="B974" s="837" t="s">
        <v>1710</v>
      </c>
      <c r="C974" s="749" t="s">
        <v>15</v>
      </c>
      <c r="D974" s="750"/>
      <c r="E974" s="750"/>
      <c r="F974" s="704"/>
      <c r="G974" s="750" t="n">
        <v>190</v>
      </c>
    </row>
    <row r="975" customFormat="false" ht="15" hidden="true" customHeight="true" outlineLevel="1" collapsed="false">
      <c r="A975" s="672"/>
      <c r="B975" s="837" t="s">
        <v>1713</v>
      </c>
      <c r="C975" s="749" t="s">
        <v>48</v>
      </c>
      <c r="D975" s="750"/>
      <c r="E975" s="750"/>
      <c r="F975" s="704"/>
      <c r="G975" s="750" t="n">
        <v>4.5</v>
      </c>
    </row>
    <row r="976" customFormat="false" ht="15" hidden="true" customHeight="true" outlineLevel="1" collapsed="false">
      <c r="A976" s="672"/>
      <c r="B976" s="837"/>
      <c r="C976" s="749"/>
      <c r="D976" s="750"/>
      <c r="E976" s="750"/>
      <c r="F976" s="704"/>
      <c r="G976" s="750"/>
    </row>
    <row r="977" customFormat="false" ht="15" hidden="true" customHeight="true" outlineLevel="1" collapsed="false">
      <c r="A977" s="672"/>
      <c r="B977" s="837"/>
      <c r="C977" s="749"/>
      <c r="D977" s="750"/>
      <c r="E977" s="750"/>
      <c r="F977" s="704"/>
      <c r="G977" s="750"/>
    </row>
    <row r="978" customFormat="false" ht="15" hidden="false" customHeight="true" outlineLevel="0" collapsed="false">
      <c r="A978" s="758" t="s">
        <v>1712</v>
      </c>
      <c r="B978" s="759"/>
      <c r="C978" s="770" t="s">
        <v>162</v>
      </c>
      <c r="D978" s="847"/>
      <c r="E978" s="847"/>
      <c r="F978" s="686"/>
      <c r="G978" s="686" t="s">
        <v>1042</v>
      </c>
    </row>
    <row r="979" customFormat="false" ht="15" hidden="true" customHeight="true" outlineLevel="1" collapsed="false">
      <c r="A979" s="758" t="s">
        <v>1714</v>
      </c>
      <c r="B979" s="759"/>
      <c r="C979" s="770" t="s">
        <v>162</v>
      </c>
      <c r="D979" s="847"/>
      <c r="E979" s="847"/>
      <c r="F979" s="686"/>
      <c r="G979" s="686" t="s">
        <v>1042</v>
      </c>
    </row>
    <row r="980" customFormat="false" ht="15" hidden="true" customHeight="true" outlineLevel="1" collapsed="false">
      <c r="A980" s="667"/>
      <c r="B980" s="837" t="s">
        <v>1715</v>
      </c>
      <c r="C980" s="749" t="s">
        <v>820</v>
      </c>
      <c r="D980" s="750"/>
      <c r="E980" s="750"/>
      <c r="F980" s="704"/>
      <c r="G980" s="750" t="n">
        <v>360</v>
      </c>
    </row>
    <row r="981" customFormat="false" ht="15" hidden="true" customHeight="true" outlineLevel="1" collapsed="false">
      <c r="A981" s="672"/>
      <c r="B981" s="837" t="s">
        <v>1716</v>
      </c>
      <c r="C981" s="749" t="s">
        <v>15</v>
      </c>
      <c r="D981" s="750"/>
      <c r="E981" s="750"/>
      <c r="F981" s="704"/>
      <c r="G981" s="750" t="n">
        <v>200</v>
      </c>
    </row>
    <row r="982" customFormat="false" ht="15" hidden="true" customHeight="true" outlineLevel="1" collapsed="false">
      <c r="A982" s="672"/>
      <c r="B982" s="837" t="s">
        <v>1717</v>
      </c>
      <c r="C982" s="749" t="s">
        <v>15</v>
      </c>
      <c r="D982" s="750"/>
      <c r="E982" s="750"/>
      <c r="F982" s="704"/>
      <c r="G982" s="750" t="n">
        <v>220</v>
      </c>
    </row>
    <row r="983" customFormat="false" ht="15" hidden="true" customHeight="true" outlineLevel="1" collapsed="false">
      <c r="A983" s="672"/>
      <c r="B983" s="837" t="s">
        <v>1718</v>
      </c>
      <c r="C983" s="749" t="s">
        <v>15</v>
      </c>
      <c r="D983" s="750"/>
      <c r="E983" s="750"/>
      <c r="F983" s="704"/>
      <c r="G983" s="750" t="n">
        <v>220</v>
      </c>
    </row>
    <row r="984" customFormat="false" ht="15" hidden="true" customHeight="true" outlineLevel="1" collapsed="false">
      <c r="A984" s="672"/>
      <c r="B984" s="837" t="s">
        <v>1719</v>
      </c>
      <c r="C984" s="749" t="s">
        <v>15</v>
      </c>
      <c r="D984" s="750"/>
      <c r="E984" s="750"/>
      <c r="F984" s="704"/>
      <c r="G984" s="750" t="n">
        <v>200</v>
      </c>
    </row>
    <row r="985" customFormat="false" ht="15" hidden="true" customHeight="true" outlineLevel="1" collapsed="false">
      <c r="A985" s="672"/>
      <c r="B985" s="837" t="s">
        <v>1720</v>
      </c>
      <c r="C985" s="749" t="s">
        <v>15</v>
      </c>
      <c r="D985" s="750"/>
      <c r="E985" s="750"/>
      <c r="F985" s="704"/>
      <c r="G985" s="750" t="n">
        <v>250</v>
      </c>
    </row>
    <row r="986" customFormat="false" ht="15" hidden="true" customHeight="true" outlineLevel="1" collapsed="false">
      <c r="A986" s="672"/>
      <c r="B986" s="837" t="s">
        <v>1721</v>
      </c>
      <c r="C986" s="749" t="s">
        <v>15</v>
      </c>
      <c r="D986" s="750"/>
      <c r="E986" s="750"/>
      <c r="F986" s="704"/>
      <c r="G986" s="750" t="n">
        <v>200</v>
      </c>
    </row>
    <row r="987" customFormat="false" ht="15" hidden="true" customHeight="true" outlineLevel="1" collapsed="false">
      <c r="A987" s="672"/>
      <c r="B987" s="837" t="s">
        <v>1722</v>
      </c>
      <c r="C987" s="749" t="s">
        <v>48</v>
      </c>
      <c r="D987" s="750"/>
      <c r="E987" s="750"/>
      <c r="F987" s="704"/>
      <c r="G987" s="750" t="n">
        <v>0.012</v>
      </c>
    </row>
    <row r="988" customFormat="false" ht="15" hidden="true" customHeight="true" outlineLevel="1" collapsed="false">
      <c r="A988" s="672"/>
      <c r="B988" s="837" t="s">
        <v>1723</v>
      </c>
      <c r="C988" s="749" t="s">
        <v>48</v>
      </c>
      <c r="D988" s="750"/>
      <c r="E988" s="750"/>
      <c r="F988" s="704"/>
      <c r="G988" s="750" t="n">
        <v>0.25</v>
      </c>
    </row>
    <row r="989" customFormat="false" ht="15" hidden="true" customHeight="true" outlineLevel="1" collapsed="false">
      <c r="A989" s="672"/>
      <c r="B989" s="837" t="s">
        <v>1724</v>
      </c>
      <c r="C989" s="749" t="s">
        <v>434</v>
      </c>
      <c r="D989" s="750"/>
      <c r="E989" s="750"/>
      <c r="F989" s="704"/>
      <c r="G989" s="750" t="n">
        <v>250</v>
      </c>
    </row>
    <row r="990" customFormat="false" ht="15" hidden="true" customHeight="true" outlineLevel="1" collapsed="false">
      <c r="A990" s="672"/>
      <c r="B990" s="837"/>
      <c r="C990" s="749"/>
      <c r="D990" s="750"/>
      <c r="E990" s="750"/>
      <c r="F990" s="704"/>
      <c r="G990" s="750"/>
    </row>
    <row r="991" customFormat="false" ht="15" hidden="true" customHeight="true" outlineLevel="1" collapsed="false">
      <c r="A991" s="672"/>
      <c r="B991" s="837"/>
      <c r="C991" s="749"/>
      <c r="D991" s="750"/>
      <c r="E991" s="750"/>
      <c r="F991" s="704"/>
      <c r="G991" s="750"/>
    </row>
    <row r="992" customFormat="false" ht="15" hidden="false" customHeight="true" outlineLevel="0" collapsed="false">
      <c r="A992" s="758" t="s">
        <v>1714</v>
      </c>
      <c r="B992" s="759"/>
      <c r="C992" s="770" t="s">
        <v>162</v>
      </c>
      <c r="D992" s="847"/>
      <c r="E992" s="847"/>
      <c r="F992" s="686"/>
      <c r="G992" s="686" t="s">
        <v>1042</v>
      </c>
    </row>
    <row r="993" customFormat="false" ht="15" hidden="true" customHeight="true" outlineLevel="1" collapsed="false">
      <c r="A993" s="758" t="s">
        <v>1725</v>
      </c>
      <c r="B993" s="759"/>
      <c r="C993" s="770" t="s">
        <v>162</v>
      </c>
      <c r="D993" s="847"/>
      <c r="E993" s="847"/>
      <c r="F993" s="686"/>
      <c r="G993" s="686" t="s">
        <v>1042</v>
      </c>
    </row>
    <row r="994" customFormat="false" ht="15" hidden="true" customHeight="true" outlineLevel="1" collapsed="false">
      <c r="A994" s="667"/>
      <c r="B994" s="837" t="s">
        <v>1726</v>
      </c>
      <c r="C994" s="749" t="s">
        <v>15</v>
      </c>
      <c r="D994" s="750"/>
      <c r="E994" s="750"/>
      <c r="F994" s="704"/>
      <c r="G994" s="750" t="n">
        <v>300</v>
      </c>
    </row>
    <row r="995" customFormat="false" ht="15" hidden="true" customHeight="true" outlineLevel="1" collapsed="false">
      <c r="A995" s="672"/>
      <c r="B995" s="837" t="s">
        <v>1727</v>
      </c>
      <c r="C995" s="749" t="s">
        <v>48</v>
      </c>
      <c r="D995" s="750"/>
      <c r="E995" s="750"/>
      <c r="F995" s="704"/>
      <c r="G995" s="750" t="n">
        <v>250</v>
      </c>
    </row>
    <row r="996" customFormat="false" ht="15" hidden="true" customHeight="true" outlineLevel="1" collapsed="false">
      <c r="A996" s="672"/>
      <c r="B996" s="837" t="s">
        <v>1728</v>
      </c>
      <c r="C996" s="749" t="s">
        <v>15</v>
      </c>
      <c r="D996" s="750"/>
      <c r="E996" s="750"/>
      <c r="F996" s="704"/>
      <c r="G996" s="750" t="n">
        <v>300</v>
      </c>
    </row>
    <row r="997" customFormat="false" ht="15" hidden="true" customHeight="true" outlineLevel="1" collapsed="false">
      <c r="A997" s="672"/>
      <c r="B997" s="837" t="s">
        <v>1729</v>
      </c>
      <c r="C997" s="749" t="s">
        <v>48</v>
      </c>
      <c r="D997" s="750"/>
      <c r="E997" s="750"/>
      <c r="F997" s="704"/>
      <c r="G997" s="750" t="n">
        <v>190</v>
      </c>
    </row>
    <row r="998" customFormat="false" ht="15" hidden="true" customHeight="true" outlineLevel="1" collapsed="false">
      <c r="A998" s="672"/>
      <c r="B998" s="837" t="s">
        <v>1730</v>
      </c>
      <c r="C998" s="749" t="s">
        <v>48</v>
      </c>
      <c r="D998" s="750"/>
      <c r="E998" s="750"/>
      <c r="F998" s="704"/>
      <c r="G998" s="750" t="n">
        <v>180</v>
      </c>
    </row>
    <row r="999" customFormat="false" ht="15" hidden="true" customHeight="true" outlineLevel="1" collapsed="false">
      <c r="A999" s="672"/>
      <c r="B999" s="837" t="s">
        <v>1731</v>
      </c>
      <c r="C999" s="749" t="s">
        <v>48</v>
      </c>
      <c r="D999" s="750"/>
      <c r="E999" s="750"/>
      <c r="F999" s="704"/>
      <c r="G999" s="750" t="n">
        <v>130</v>
      </c>
    </row>
    <row r="1000" customFormat="false" ht="15" hidden="true" customHeight="true" outlineLevel="1" collapsed="false">
      <c r="A1000" s="672"/>
      <c r="B1000" s="837" t="s">
        <v>1732</v>
      </c>
      <c r="C1000" s="749" t="s">
        <v>48</v>
      </c>
      <c r="D1000" s="750"/>
      <c r="E1000" s="750"/>
      <c r="F1000" s="704"/>
      <c r="G1000" s="750" t="n">
        <v>350</v>
      </c>
    </row>
    <row r="1001" customFormat="false" ht="15" hidden="true" customHeight="true" outlineLevel="1" collapsed="false">
      <c r="A1001" s="672"/>
      <c r="B1001" s="837" t="s">
        <v>1733</v>
      </c>
      <c r="C1001" s="749" t="s">
        <v>48</v>
      </c>
      <c r="D1001" s="750"/>
      <c r="E1001" s="750"/>
      <c r="F1001" s="704"/>
      <c r="G1001" s="750" t="n">
        <v>1200</v>
      </c>
    </row>
    <row r="1002" customFormat="false" ht="15" hidden="true" customHeight="true" outlineLevel="1" collapsed="false">
      <c r="A1002" s="672"/>
      <c r="B1002" s="837" t="s">
        <v>1734</v>
      </c>
      <c r="C1002" s="749" t="s">
        <v>48</v>
      </c>
      <c r="D1002" s="750"/>
      <c r="E1002" s="750"/>
      <c r="F1002" s="704"/>
      <c r="G1002" s="750" t="n">
        <v>1100</v>
      </c>
    </row>
    <row r="1003" customFormat="false" ht="15" hidden="true" customHeight="true" outlineLevel="1" collapsed="false">
      <c r="A1003" s="672"/>
      <c r="B1003" s="861" t="s">
        <v>1735</v>
      </c>
      <c r="C1003" s="749" t="s">
        <v>48</v>
      </c>
      <c r="D1003" s="750"/>
      <c r="E1003" s="750"/>
      <c r="F1003" s="704"/>
      <c r="G1003" s="750" t="n">
        <v>3500</v>
      </c>
    </row>
    <row r="1004" customFormat="false" ht="15" hidden="true" customHeight="true" outlineLevel="1" collapsed="false">
      <c r="A1004" s="672"/>
      <c r="B1004" s="861" t="s">
        <v>1736</v>
      </c>
      <c r="C1004" s="749" t="s">
        <v>48</v>
      </c>
      <c r="D1004" s="750"/>
      <c r="E1004" s="750"/>
      <c r="F1004" s="704"/>
      <c r="G1004" s="750" t="n">
        <v>3500</v>
      </c>
    </row>
    <row r="1005" customFormat="false" ht="15" hidden="true" customHeight="true" outlineLevel="1" collapsed="false">
      <c r="A1005" s="672"/>
      <c r="B1005" s="861" t="s">
        <v>1737</v>
      </c>
      <c r="C1005" s="749" t="s">
        <v>48</v>
      </c>
      <c r="D1005" s="750"/>
      <c r="E1005" s="750"/>
      <c r="F1005" s="704"/>
      <c r="G1005" s="750" t="n">
        <v>4500</v>
      </c>
    </row>
    <row r="1006" customFormat="false" ht="15" hidden="true" customHeight="true" outlineLevel="1" collapsed="false">
      <c r="A1006" s="672"/>
      <c r="B1006" s="837"/>
      <c r="C1006" s="749"/>
      <c r="D1006" s="750"/>
      <c r="E1006" s="750"/>
      <c r="F1006" s="704"/>
      <c r="G1006" s="750"/>
    </row>
    <row r="1007" customFormat="false" ht="15" hidden="true" customHeight="true" outlineLevel="1" collapsed="false">
      <c r="A1007" s="672"/>
      <c r="B1007" s="837"/>
      <c r="C1007" s="749"/>
      <c r="D1007" s="750"/>
      <c r="E1007" s="750"/>
      <c r="F1007" s="704"/>
      <c r="G1007" s="750"/>
    </row>
    <row r="1008" customFormat="false" ht="15" hidden="false" customHeight="true" outlineLevel="0" collapsed="false">
      <c r="A1008" s="758" t="s">
        <v>1725</v>
      </c>
      <c r="B1008" s="759"/>
      <c r="C1008" s="770" t="s">
        <v>162</v>
      </c>
      <c r="D1008" s="847"/>
      <c r="E1008" s="847"/>
      <c r="F1008" s="686"/>
      <c r="G1008" s="686" t="s">
        <v>1042</v>
      </c>
    </row>
    <row r="1009" customFormat="false" ht="15" hidden="true" customHeight="true" outlineLevel="1" collapsed="false">
      <c r="A1009" s="768" t="s">
        <v>900</v>
      </c>
      <c r="B1009" s="768"/>
      <c r="C1009" s="770" t="s">
        <v>162</v>
      </c>
      <c r="D1009" s="847"/>
      <c r="E1009" s="847"/>
      <c r="F1009" s="686"/>
      <c r="G1009" s="686" t="s">
        <v>1042</v>
      </c>
    </row>
    <row r="1010" customFormat="false" ht="15" hidden="true" customHeight="true" outlineLevel="1" collapsed="false">
      <c r="A1010" s="667"/>
      <c r="B1010" s="862" t="s">
        <v>46</v>
      </c>
      <c r="C1010" s="862" t="s">
        <v>1738</v>
      </c>
      <c r="E1010" s="750"/>
      <c r="F1010" s="704"/>
      <c r="G1010" s="863" t="s">
        <v>1526</v>
      </c>
    </row>
    <row r="1011" customFormat="false" ht="15" hidden="true" customHeight="true" outlineLevel="1" collapsed="false">
      <c r="A1011" s="672"/>
      <c r="B1011" s="864" t="s">
        <v>1739</v>
      </c>
      <c r="C1011" s="739" t="s">
        <v>15</v>
      </c>
      <c r="E1011" s="750"/>
      <c r="F1011" s="704"/>
      <c r="G1011" s="865" t="n">
        <v>2000</v>
      </c>
    </row>
    <row r="1012" customFormat="false" ht="15" hidden="true" customHeight="true" outlineLevel="1" collapsed="false">
      <c r="A1012" s="672"/>
      <c r="B1012" s="864" t="s">
        <v>902</v>
      </c>
      <c r="C1012" s="739" t="s">
        <v>15</v>
      </c>
      <c r="E1012" s="750"/>
      <c r="F1012" s="704"/>
      <c r="G1012" s="865" t="n">
        <v>2000</v>
      </c>
    </row>
    <row r="1013" customFormat="false" ht="15" hidden="true" customHeight="true" outlineLevel="1" collapsed="false">
      <c r="A1013" s="672"/>
      <c r="B1013" s="864" t="s">
        <v>908</v>
      </c>
      <c r="C1013" s="739" t="s">
        <v>15</v>
      </c>
      <c r="E1013" s="750"/>
      <c r="F1013" s="704"/>
      <c r="G1013" s="865" t="n">
        <v>2000</v>
      </c>
    </row>
    <row r="1014" customFormat="false" ht="15" hidden="true" customHeight="true" outlineLevel="1" collapsed="false">
      <c r="A1014" s="672"/>
      <c r="B1014" s="864" t="s">
        <v>1740</v>
      </c>
      <c r="C1014" s="739" t="s">
        <v>15</v>
      </c>
      <c r="E1014" s="750"/>
      <c r="F1014" s="704"/>
      <c r="G1014" s="865" t="n">
        <v>2800</v>
      </c>
    </row>
    <row r="1015" customFormat="false" ht="15" hidden="true" customHeight="true" outlineLevel="1" collapsed="false">
      <c r="A1015" s="672"/>
      <c r="B1015" s="864" t="s">
        <v>1741</v>
      </c>
      <c r="C1015" s="739" t="s">
        <v>15</v>
      </c>
      <c r="E1015" s="750"/>
      <c r="F1015" s="704"/>
      <c r="G1015" s="865" t="n">
        <v>2800</v>
      </c>
    </row>
    <row r="1016" customFormat="false" ht="15" hidden="true" customHeight="true" outlineLevel="1" collapsed="false">
      <c r="A1016" s="672"/>
      <c r="B1016" s="864" t="s">
        <v>903</v>
      </c>
      <c r="C1016" s="739" t="s">
        <v>15</v>
      </c>
      <c r="E1016" s="750"/>
      <c r="F1016" s="704"/>
      <c r="G1016" s="865" t="n">
        <v>2800</v>
      </c>
    </row>
    <row r="1017" customFormat="false" ht="15" hidden="true" customHeight="true" outlineLevel="1" collapsed="false">
      <c r="A1017" s="672"/>
      <c r="B1017" s="864" t="s">
        <v>909</v>
      </c>
      <c r="C1017" s="739" t="s">
        <v>15</v>
      </c>
      <c r="E1017" s="750"/>
      <c r="F1017" s="704"/>
      <c r="G1017" s="865" t="n">
        <v>3300</v>
      </c>
    </row>
    <row r="1018" customFormat="false" ht="15" hidden="true" customHeight="true" outlineLevel="1" collapsed="false">
      <c r="A1018" s="672"/>
      <c r="B1018" s="864" t="s">
        <v>1742</v>
      </c>
      <c r="C1018" s="739" t="s">
        <v>15</v>
      </c>
      <c r="E1018" s="750"/>
      <c r="F1018" s="704"/>
      <c r="G1018" s="865" t="n">
        <v>3300</v>
      </c>
    </row>
    <row r="1019" customFormat="false" ht="15" hidden="true" customHeight="true" outlineLevel="1" collapsed="false">
      <c r="A1019" s="672"/>
      <c r="B1019" s="864" t="s">
        <v>1743</v>
      </c>
      <c r="C1019" s="739" t="s">
        <v>15</v>
      </c>
      <c r="E1019" s="750"/>
      <c r="F1019" s="704"/>
      <c r="G1019" s="865" t="n">
        <v>3300</v>
      </c>
    </row>
    <row r="1020" customFormat="false" ht="15" hidden="true" customHeight="true" outlineLevel="1" collapsed="false">
      <c r="A1020" s="672"/>
      <c r="B1020" s="864" t="s">
        <v>904</v>
      </c>
      <c r="C1020" s="739" t="s">
        <v>15</v>
      </c>
      <c r="E1020" s="750"/>
      <c r="F1020" s="704"/>
      <c r="G1020" s="865" t="n">
        <v>4000</v>
      </c>
    </row>
    <row r="1021" customFormat="false" ht="15" hidden="true" customHeight="true" outlineLevel="1" collapsed="false">
      <c r="A1021" s="672"/>
      <c r="B1021" s="864" t="s">
        <v>910</v>
      </c>
      <c r="C1021" s="739" t="s">
        <v>15</v>
      </c>
      <c r="E1021" s="750"/>
      <c r="F1021" s="704"/>
      <c r="G1021" s="865" t="n">
        <v>4000</v>
      </c>
    </row>
    <row r="1022" customFormat="false" ht="15" hidden="true" customHeight="true" outlineLevel="1" collapsed="false">
      <c r="A1022" s="672"/>
      <c r="B1022" s="864" t="s">
        <v>1744</v>
      </c>
      <c r="C1022" s="739" t="s">
        <v>15</v>
      </c>
      <c r="E1022" s="750"/>
      <c r="F1022" s="704"/>
      <c r="G1022" s="865" t="n">
        <v>4000</v>
      </c>
    </row>
    <row r="1023" customFormat="false" ht="15" hidden="true" customHeight="true" outlineLevel="1" collapsed="false">
      <c r="A1023" s="672"/>
      <c r="B1023" s="837" t="s">
        <v>1745</v>
      </c>
      <c r="C1023" s="739" t="s">
        <v>48</v>
      </c>
      <c r="E1023" s="750"/>
      <c r="F1023" s="704"/>
      <c r="G1023" s="740" t="n">
        <v>2000</v>
      </c>
    </row>
    <row r="1024" customFormat="false" ht="15" hidden="true" customHeight="true" outlineLevel="1" collapsed="false">
      <c r="A1024" s="672"/>
      <c r="B1024" s="864" t="s">
        <v>1746</v>
      </c>
      <c r="C1024" s="739" t="s">
        <v>48</v>
      </c>
      <c r="E1024" s="750"/>
      <c r="F1024" s="704"/>
      <c r="G1024" s="865" t="n">
        <v>3000</v>
      </c>
    </row>
    <row r="1025" customFormat="false" ht="15" hidden="true" customHeight="true" outlineLevel="1" collapsed="false">
      <c r="A1025" s="672"/>
      <c r="B1025" s="837" t="s">
        <v>1747</v>
      </c>
      <c r="C1025" s="739" t="s">
        <v>15</v>
      </c>
      <c r="E1025" s="750"/>
      <c r="F1025" s="704"/>
      <c r="G1025" s="740" t="n">
        <v>300</v>
      </c>
    </row>
    <row r="1026" customFormat="false" ht="15" hidden="true" customHeight="true" outlineLevel="1" collapsed="false">
      <c r="A1026" s="672"/>
      <c r="B1026" s="837" t="s">
        <v>1748</v>
      </c>
      <c r="C1026" s="739" t="s">
        <v>48</v>
      </c>
      <c r="E1026" s="750"/>
      <c r="F1026" s="704"/>
      <c r="G1026" s="740" t="n">
        <v>1000</v>
      </c>
    </row>
    <row r="1027" customFormat="false" ht="15" hidden="true" customHeight="true" outlineLevel="1" collapsed="false">
      <c r="A1027" s="672"/>
      <c r="B1027" s="837" t="s">
        <v>1749</v>
      </c>
      <c r="C1027" s="739" t="s">
        <v>48</v>
      </c>
      <c r="E1027" s="750"/>
      <c r="F1027" s="704"/>
      <c r="G1027" s="740" t="n">
        <v>100</v>
      </c>
    </row>
    <row r="1028" customFormat="false" ht="15" hidden="true" customHeight="true" outlineLevel="1" collapsed="false">
      <c r="A1028" s="672"/>
      <c r="B1028" s="837"/>
      <c r="C1028" s="739"/>
      <c r="E1028" s="750"/>
      <c r="F1028" s="704"/>
      <c r="G1028" s="740"/>
    </row>
    <row r="1029" customFormat="false" ht="15" hidden="true" customHeight="true" outlineLevel="1" collapsed="false">
      <c r="A1029" s="672"/>
      <c r="B1029" s="837"/>
      <c r="C1029" s="739"/>
      <c r="E1029" s="750"/>
      <c r="F1029" s="704"/>
      <c r="G1029" s="740"/>
    </row>
    <row r="1030" customFormat="false" ht="15" hidden="false" customHeight="true" outlineLevel="0" collapsed="false">
      <c r="A1030" s="768" t="s">
        <v>900</v>
      </c>
      <c r="B1030" s="768"/>
      <c r="C1030" s="770" t="s">
        <v>162</v>
      </c>
      <c r="D1030" s="847"/>
      <c r="E1030" s="847"/>
      <c r="F1030" s="686"/>
      <c r="G1030" s="686" t="s">
        <v>1042</v>
      </c>
    </row>
    <row r="1031" customFormat="false" ht="15" hidden="true" customHeight="true" outlineLevel="1" collapsed="false">
      <c r="A1031" s="768" t="s">
        <v>866</v>
      </c>
      <c r="B1031" s="768"/>
      <c r="C1031" s="770" t="s">
        <v>162</v>
      </c>
      <c r="D1031" s="847"/>
      <c r="E1031" s="847"/>
      <c r="F1031" s="686"/>
      <c r="G1031" s="686" t="s">
        <v>1042</v>
      </c>
    </row>
    <row r="1032" customFormat="false" ht="15" hidden="true" customHeight="true" outlineLevel="1" collapsed="false">
      <c r="A1032" s="747"/>
      <c r="B1032" s="837" t="s">
        <v>1750</v>
      </c>
      <c r="C1032" s="739" t="s">
        <v>15</v>
      </c>
      <c r="D1032" s="647"/>
      <c r="E1032" s="750"/>
      <c r="F1032" s="704"/>
      <c r="G1032" s="740" t="n">
        <v>0</v>
      </c>
    </row>
    <row r="1033" customFormat="false" ht="15" hidden="true" customHeight="true" outlineLevel="1" collapsed="false">
      <c r="A1033" s="751"/>
      <c r="B1033" s="866" t="s">
        <v>1751</v>
      </c>
      <c r="C1033" s="867" t="s">
        <v>15</v>
      </c>
      <c r="D1033" s="868"/>
      <c r="E1033" s="868"/>
      <c r="F1033" s="869"/>
      <c r="G1033" s="870" t="n">
        <v>32.92</v>
      </c>
    </row>
    <row r="1034" customFormat="false" ht="15" hidden="true" customHeight="true" outlineLevel="1" collapsed="false">
      <c r="A1034" s="751"/>
      <c r="B1034" s="866" t="s">
        <v>1752</v>
      </c>
      <c r="C1034" s="867" t="s">
        <v>15</v>
      </c>
      <c r="D1034" s="868"/>
      <c r="E1034" s="868"/>
      <c r="F1034" s="869"/>
      <c r="G1034" s="870" t="n">
        <v>21.49</v>
      </c>
    </row>
    <row r="1035" customFormat="false" ht="15" hidden="true" customHeight="true" outlineLevel="1" collapsed="false">
      <c r="A1035" s="751"/>
      <c r="B1035" s="866" t="s">
        <v>874</v>
      </c>
      <c r="C1035" s="867" t="s">
        <v>15</v>
      </c>
      <c r="D1035" s="868"/>
      <c r="E1035" s="868"/>
      <c r="F1035" s="869"/>
      <c r="G1035" s="870" t="n">
        <v>29.81</v>
      </c>
    </row>
    <row r="1036" customFormat="false" ht="15" hidden="true" customHeight="true" outlineLevel="1" collapsed="false">
      <c r="A1036" s="751"/>
      <c r="B1036" s="866" t="s">
        <v>870</v>
      </c>
      <c r="C1036" s="867" t="s">
        <v>15</v>
      </c>
      <c r="D1036" s="868"/>
      <c r="E1036" s="868"/>
      <c r="F1036" s="869"/>
      <c r="G1036" s="870" t="n">
        <v>47.36</v>
      </c>
    </row>
    <row r="1037" customFormat="false" ht="15" hidden="true" customHeight="true" outlineLevel="1" collapsed="false">
      <c r="A1037" s="751"/>
      <c r="B1037" s="866" t="s">
        <v>878</v>
      </c>
      <c r="C1037" s="867" t="s">
        <v>15</v>
      </c>
      <c r="D1037" s="647"/>
      <c r="E1037" s="750"/>
      <c r="F1037" s="704"/>
      <c r="G1037" s="740" t="n">
        <v>68</v>
      </c>
    </row>
    <row r="1038" customFormat="false" ht="15" hidden="true" customHeight="true" outlineLevel="1" collapsed="false">
      <c r="A1038" s="751"/>
      <c r="B1038" s="837" t="s">
        <v>1753</v>
      </c>
      <c r="C1038" s="739" t="s">
        <v>15</v>
      </c>
      <c r="D1038" s="647"/>
      <c r="E1038" s="750"/>
      <c r="F1038" s="704"/>
      <c r="G1038" s="740" t="n">
        <v>0</v>
      </c>
    </row>
    <row r="1039" s="705" customFormat="true" ht="15" hidden="true" customHeight="true" outlineLevel="1" collapsed="false">
      <c r="A1039" s="751"/>
      <c r="B1039" s="871" t="s">
        <v>1754</v>
      </c>
      <c r="C1039" s="739" t="s">
        <v>15</v>
      </c>
      <c r="D1039" s="872"/>
      <c r="E1039" s="873"/>
      <c r="F1039" s="874"/>
      <c r="G1039" s="872" t="n">
        <v>4.43</v>
      </c>
      <c r="H1039" s="111"/>
      <c r="I1039" s="875"/>
      <c r="J1039" s="651"/>
      <c r="K1039" s="651"/>
      <c r="L1039" s="651"/>
      <c r="M1039" s="651"/>
      <c r="N1039" s="651"/>
      <c r="O1039" s="651"/>
      <c r="P1039" s="651"/>
      <c r="Q1039" s="651"/>
      <c r="R1039" s="651"/>
      <c r="S1039" s="651"/>
      <c r="T1039" s="651"/>
      <c r="U1039" s="651"/>
    </row>
    <row r="1040" s="705" customFormat="true" ht="15" hidden="true" customHeight="true" outlineLevel="1" collapsed="false">
      <c r="A1040" s="751"/>
      <c r="B1040" s="871" t="s">
        <v>872</v>
      </c>
      <c r="C1040" s="739" t="s">
        <v>15</v>
      </c>
      <c r="D1040" s="872"/>
      <c r="E1040" s="873"/>
      <c r="F1040" s="874"/>
      <c r="G1040" s="872" t="n">
        <v>5.02</v>
      </c>
      <c r="H1040" s="111"/>
      <c r="I1040" s="875"/>
      <c r="J1040" s="651"/>
      <c r="K1040" s="651"/>
      <c r="L1040" s="651"/>
      <c r="M1040" s="651"/>
      <c r="N1040" s="651"/>
      <c r="O1040" s="651"/>
      <c r="P1040" s="651"/>
      <c r="Q1040" s="651"/>
      <c r="R1040" s="651"/>
      <c r="S1040" s="651"/>
      <c r="T1040" s="651"/>
      <c r="U1040" s="651"/>
    </row>
    <row r="1041" s="705" customFormat="true" ht="15" hidden="true" customHeight="true" outlineLevel="1" collapsed="false">
      <c r="A1041" s="751"/>
      <c r="B1041" s="871" t="s">
        <v>876</v>
      </c>
      <c r="C1041" s="739" t="s">
        <v>15</v>
      </c>
      <c r="D1041" s="872"/>
      <c r="E1041" s="873"/>
      <c r="F1041" s="874"/>
      <c r="G1041" s="872" t="n">
        <v>6.38</v>
      </c>
      <c r="H1041" s="111"/>
      <c r="I1041" s="875"/>
      <c r="J1041" s="651"/>
      <c r="K1041" s="651"/>
      <c r="L1041" s="651"/>
      <c r="M1041" s="651"/>
      <c r="N1041" s="651"/>
      <c r="O1041" s="651"/>
      <c r="P1041" s="651"/>
      <c r="Q1041" s="651"/>
      <c r="R1041" s="651"/>
      <c r="S1041" s="651"/>
      <c r="T1041" s="651"/>
      <c r="U1041" s="651"/>
    </row>
    <row r="1042" s="705" customFormat="true" ht="15" hidden="true" customHeight="true" outlineLevel="1" collapsed="false">
      <c r="A1042" s="751"/>
      <c r="B1042" s="871" t="s">
        <v>880</v>
      </c>
      <c r="C1042" s="739" t="s">
        <v>15</v>
      </c>
      <c r="D1042" s="872"/>
      <c r="E1042" s="873"/>
      <c r="F1042" s="874"/>
      <c r="G1042" s="872" t="n">
        <v>6.38</v>
      </c>
      <c r="H1042" s="111"/>
      <c r="I1042" s="875"/>
      <c r="J1042" s="651"/>
      <c r="K1042" s="651"/>
      <c r="L1042" s="651"/>
      <c r="M1042" s="651"/>
      <c r="N1042" s="651"/>
      <c r="O1042" s="651"/>
      <c r="P1042" s="651"/>
      <c r="Q1042" s="651"/>
      <c r="R1042" s="651"/>
      <c r="S1042" s="651"/>
      <c r="T1042" s="651"/>
      <c r="U1042" s="651"/>
    </row>
    <row r="1043" s="705" customFormat="true" ht="15" hidden="true" customHeight="true" outlineLevel="1" collapsed="false">
      <c r="A1043" s="751"/>
      <c r="B1043" s="871" t="s">
        <v>1755</v>
      </c>
      <c r="C1043" s="739" t="s">
        <v>15</v>
      </c>
      <c r="D1043" s="872"/>
      <c r="E1043" s="873"/>
      <c r="F1043" s="874"/>
      <c r="G1043" s="872" t="n">
        <v>9.29</v>
      </c>
      <c r="H1043" s="111"/>
      <c r="I1043" s="875"/>
      <c r="J1043" s="651"/>
      <c r="K1043" s="651"/>
      <c r="L1043" s="651"/>
      <c r="M1043" s="651"/>
      <c r="N1043" s="651"/>
      <c r="O1043" s="651"/>
      <c r="P1043" s="651"/>
      <c r="Q1043" s="651"/>
      <c r="R1043" s="651"/>
      <c r="S1043" s="651"/>
      <c r="T1043" s="651"/>
      <c r="U1043" s="651"/>
    </row>
    <row r="1044" s="705" customFormat="true" ht="15" hidden="true" customHeight="true" outlineLevel="1" collapsed="false">
      <c r="A1044" s="751"/>
      <c r="B1044" s="871" t="s">
        <v>1756</v>
      </c>
      <c r="C1044" s="739" t="s">
        <v>15</v>
      </c>
      <c r="D1044" s="872"/>
      <c r="E1044" s="873"/>
      <c r="F1044" s="874"/>
      <c r="G1044" s="872" t="n">
        <v>12.81</v>
      </c>
      <c r="H1044" s="111"/>
      <c r="I1044" s="875"/>
      <c r="J1044" s="651"/>
      <c r="K1044" s="651"/>
      <c r="L1044" s="651"/>
      <c r="M1044" s="651"/>
      <c r="N1044" s="651"/>
      <c r="O1044" s="651"/>
      <c r="P1044" s="651"/>
      <c r="Q1044" s="651"/>
      <c r="R1044" s="651"/>
      <c r="S1044" s="651"/>
      <c r="T1044" s="651"/>
      <c r="U1044" s="651"/>
    </row>
    <row r="1045" s="705" customFormat="true" ht="15" hidden="true" customHeight="true" outlineLevel="1" collapsed="false">
      <c r="A1045" s="751"/>
      <c r="B1045" s="871" t="s">
        <v>1757</v>
      </c>
      <c r="C1045" s="739" t="s">
        <v>15</v>
      </c>
      <c r="D1045" s="872"/>
      <c r="E1045" s="873"/>
      <c r="F1045" s="874"/>
      <c r="G1045" s="872" t="n">
        <v>13.92</v>
      </c>
      <c r="H1045" s="111"/>
      <c r="I1045" s="875"/>
      <c r="J1045" s="651"/>
      <c r="K1045" s="651"/>
      <c r="L1045" s="651"/>
      <c r="M1045" s="651"/>
      <c r="N1045" s="651"/>
      <c r="O1045" s="651"/>
      <c r="P1045" s="651"/>
      <c r="Q1045" s="651"/>
      <c r="R1045" s="651"/>
      <c r="S1045" s="651"/>
      <c r="T1045" s="651"/>
      <c r="U1045" s="651"/>
    </row>
    <row r="1046" s="705" customFormat="true" ht="15" hidden="true" customHeight="true" outlineLevel="1" collapsed="false">
      <c r="A1046" s="751"/>
      <c r="B1046" s="871" t="s">
        <v>1758</v>
      </c>
      <c r="C1046" s="739" t="s">
        <v>15</v>
      </c>
      <c r="D1046" s="872"/>
      <c r="E1046" s="873"/>
      <c r="F1046" s="874"/>
      <c r="G1046" s="872" t="n">
        <v>23.24</v>
      </c>
      <c r="H1046" s="111"/>
      <c r="I1046" s="875"/>
      <c r="J1046" s="651"/>
      <c r="K1046" s="651"/>
      <c r="L1046" s="651"/>
      <c r="M1046" s="651"/>
      <c r="N1046" s="651"/>
      <c r="O1046" s="651"/>
      <c r="P1046" s="651"/>
      <c r="Q1046" s="651"/>
      <c r="R1046" s="651"/>
      <c r="S1046" s="651"/>
      <c r="T1046" s="651"/>
      <c r="U1046" s="651"/>
    </row>
    <row r="1047" s="705" customFormat="true" ht="15" hidden="true" customHeight="true" outlineLevel="1" collapsed="false">
      <c r="A1047" s="751"/>
      <c r="B1047" s="871" t="s">
        <v>1759</v>
      </c>
      <c r="C1047" s="739" t="s">
        <v>15</v>
      </c>
      <c r="D1047" s="872"/>
      <c r="E1047" s="873"/>
      <c r="F1047" s="874"/>
      <c r="G1047" s="872" t="n">
        <v>35.28</v>
      </c>
      <c r="H1047" s="111"/>
      <c r="I1047" s="875"/>
      <c r="J1047" s="651"/>
      <c r="K1047" s="651"/>
      <c r="L1047" s="651"/>
      <c r="M1047" s="651"/>
      <c r="N1047" s="651"/>
      <c r="O1047" s="651"/>
      <c r="P1047" s="651"/>
      <c r="Q1047" s="651"/>
      <c r="R1047" s="651"/>
      <c r="S1047" s="651"/>
      <c r="T1047" s="651"/>
      <c r="U1047" s="651"/>
    </row>
    <row r="1048" s="705" customFormat="true" ht="15" hidden="true" customHeight="true" outlineLevel="1" collapsed="false">
      <c r="A1048" s="751"/>
      <c r="B1048" s="871" t="s">
        <v>1760</v>
      </c>
      <c r="C1048" s="739" t="s">
        <v>15</v>
      </c>
      <c r="D1048" s="872"/>
      <c r="E1048" s="873"/>
      <c r="F1048" s="874"/>
      <c r="G1048" s="872" t="n">
        <v>46.75</v>
      </c>
      <c r="H1048" s="111"/>
      <c r="I1048" s="875"/>
      <c r="J1048" s="651"/>
      <c r="K1048" s="651"/>
      <c r="L1048" s="651"/>
      <c r="M1048" s="651"/>
      <c r="N1048" s="651"/>
      <c r="O1048" s="651"/>
      <c r="P1048" s="651"/>
      <c r="Q1048" s="651"/>
      <c r="R1048" s="651"/>
      <c r="S1048" s="651"/>
      <c r="T1048" s="651"/>
      <c r="U1048" s="651"/>
    </row>
    <row r="1049" s="705" customFormat="true" ht="15" hidden="true" customHeight="true" outlineLevel="1" collapsed="false">
      <c r="A1049" s="751"/>
      <c r="B1049" s="871" t="s">
        <v>1761</v>
      </c>
      <c r="C1049" s="739" t="s">
        <v>15</v>
      </c>
      <c r="D1049" s="872"/>
      <c r="E1049" s="873"/>
      <c r="F1049" s="874"/>
      <c r="G1049" s="872" t="n">
        <v>52.2</v>
      </c>
      <c r="H1049" s="111"/>
      <c r="I1049" s="875"/>
      <c r="J1049" s="651"/>
      <c r="K1049" s="651"/>
      <c r="L1049" s="651"/>
      <c r="M1049" s="651"/>
      <c r="N1049" s="651"/>
      <c r="O1049" s="651"/>
      <c r="P1049" s="651"/>
      <c r="Q1049" s="651"/>
      <c r="R1049" s="651"/>
      <c r="S1049" s="651"/>
      <c r="T1049" s="651"/>
      <c r="U1049" s="651"/>
    </row>
    <row r="1050" s="705" customFormat="true" ht="15" hidden="true" customHeight="true" outlineLevel="1" collapsed="false">
      <c r="A1050" s="751"/>
      <c r="B1050" s="871" t="s">
        <v>1762</v>
      </c>
      <c r="C1050" s="739" t="s">
        <v>15</v>
      </c>
      <c r="D1050" s="872"/>
      <c r="E1050" s="873"/>
      <c r="F1050" s="874"/>
      <c r="G1050" s="872" t="n">
        <v>57.65</v>
      </c>
      <c r="H1050" s="111"/>
      <c r="I1050" s="875"/>
      <c r="J1050" s="651"/>
      <c r="K1050" s="651"/>
      <c r="L1050" s="651"/>
      <c r="M1050" s="651"/>
      <c r="N1050" s="651"/>
      <c r="O1050" s="651"/>
      <c r="P1050" s="651"/>
      <c r="Q1050" s="651"/>
      <c r="R1050" s="651"/>
      <c r="S1050" s="651"/>
      <c r="T1050" s="651"/>
      <c r="U1050" s="651"/>
    </row>
    <row r="1051" s="705" customFormat="true" ht="15" hidden="true" customHeight="true" outlineLevel="1" collapsed="false">
      <c r="A1051" s="751"/>
      <c r="B1051" s="871" t="s">
        <v>1763</v>
      </c>
      <c r="C1051" s="739" t="s">
        <v>15</v>
      </c>
      <c r="D1051" s="872"/>
      <c r="E1051" s="873"/>
      <c r="F1051" s="874"/>
      <c r="G1051" s="872" t="n">
        <v>59.76</v>
      </c>
      <c r="H1051" s="111"/>
      <c r="I1051" s="875"/>
      <c r="J1051" s="651"/>
      <c r="K1051" s="651"/>
      <c r="L1051" s="651"/>
      <c r="M1051" s="651"/>
      <c r="N1051" s="651"/>
      <c r="O1051" s="651"/>
      <c r="P1051" s="651"/>
      <c r="Q1051" s="651"/>
      <c r="R1051" s="651"/>
      <c r="S1051" s="651"/>
      <c r="T1051" s="651"/>
      <c r="U1051" s="651"/>
    </row>
    <row r="1052" s="705" customFormat="true" ht="15" hidden="true" customHeight="true" outlineLevel="1" collapsed="false">
      <c r="A1052" s="751"/>
      <c r="B1052" s="871" t="s">
        <v>1764</v>
      </c>
      <c r="C1052" s="739" t="s">
        <v>15</v>
      </c>
      <c r="D1052" s="872"/>
      <c r="E1052" s="873"/>
      <c r="F1052" s="874"/>
      <c r="G1052" s="872" t="n">
        <v>70.49</v>
      </c>
      <c r="H1052" s="111"/>
      <c r="I1052" s="875"/>
      <c r="J1052" s="651"/>
      <c r="K1052" s="651"/>
      <c r="L1052" s="651"/>
      <c r="M1052" s="651"/>
      <c r="N1052" s="651"/>
      <c r="O1052" s="651"/>
      <c r="P1052" s="651"/>
      <c r="Q1052" s="651"/>
      <c r="R1052" s="651"/>
      <c r="S1052" s="651"/>
      <c r="T1052" s="651"/>
      <c r="U1052" s="651"/>
    </row>
    <row r="1053" s="705" customFormat="true" ht="15" hidden="true" customHeight="true" outlineLevel="1" collapsed="false">
      <c r="A1053" s="751"/>
      <c r="B1053" s="871" t="s">
        <v>1765</v>
      </c>
      <c r="C1053" s="739" t="s">
        <v>15</v>
      </c>
      <c r="D1053" s="872"/>
      <c r="E1053" s="873"/>
      <c r="F1053" s="874"/>
      <c r="G1053" s="872" t="n">
        <v>7.48</v>
      </c>
      <c r="H1053" s="111"/>
      <c r="I1053" s="875"/>
      <c r="J1053" s="651"/>
      <c r="K1053" s="651"/>
      <c r="L1053" s="651"/>
      <c r="M1053" s="651"/>
      <c r="N1053" s="651"/>
      <c r="O1053" s="651"/>
      <c r="P1053" s="651"/>
      <c r="Q1053" s="651"/>
      <c r="R1053" s="651"/>
      <c r="S1053" s="651"/>
      <c r="T1053" s="651"/>
      <c r="U1053" s="651"/>
    </row>
    <row r="1054" s="705" customFormat="true" ht="15" hidden="true" customHeight="true" outlineLevel="1" collapsed="false">
      <c r="A1054" s="751"/>
      <c r="B1054" s="871" t="s">
        <v>1766</v>
      </c>
      <c r="C1054" s="739" t="s">
        <v>15</v>
      </c>
      <c r="D1054" s="872"/>
      <c r="E1054" s="873"/>
      <c r="F1054" s="874"/>
      <c r="G1054" s="872" t="n">
        <v>7.48</v>
      </c>
      <c r="H1054" s="111"/>
      <c r="I1054" s="875"/>
      <c r="J1054" s="651"/>
      <c r="K1054" s="651"/>
      <c r="L1054" s="651"/>
      <c r="M1054" s="651"/>
      <c r="N1054" s="651"/>
      <c r="O1054" s="651"/>
      <c r="P1054" s="651"/>
      <c r="Q1054" s="651"/>
      <c r="R1054" s="651"/>
      <c r="S1054" s="651"/>
      <c r="T1054" s="651"/>
      <c r="U1054" s="651"/>
    </row>
    <row r="1055" s="705" customFormat="true" ht="15" hidden="true" customHeight="true" outlineLevel="1" collapsed="false">
      <c r="A1055" s="751"/>
      <c r="B1055" s="871" t="s">
        <v>1767</v>
      </c>
      <c r="C1055" s="739" t="s">
        <v>15</v>
      </c>
      <c r="D1055" s="872"/>
      <c r="E1055" s="873"/>
      <c r="F1055" s="874"/>
      <c r="G1055" s="872" t="n">
        <v>9.61</v>
      </c>
      <c r="H1055" s="111"/>
      <c r="I1055" s="875"/>
      <c r="J1055" s="651"/>
      <c r="K1055" s="651"/>
      <c r="L1055" s="651"/>
      <c r="M1055" s="651"/>
      <c r="N1055" s="651"/>
      <c r="O1055" s="651"/>
      <c r="P1055" s="651"/>
      <c r="Q1055" s="651"/>
      <c r="R1055" s="651"/>
      <c r="S1055" s="651"/>
      <c r="T1055" s="651"/>
      <c r="U1055" s="651"/>
    </row>
    <row r="1056" s="705" customFormat="true" ht="15" hidden="true" customHeight="true" outlineLevel="1" collapsed="false">
      <c r="A1056" s="751"/>
      <c r="B1056" s="871" t="s">
        <v>1768</v>
      </c>
      <c r="C1056" s="739" t="s">
        <v>15</v>
      </c>
      <c r="D1056" s="872"/>
      <c r="E1056" s="873"/>
      <c r="F1056" s="874"/>
      <c r="G1056" s="872" t="n">
        <v>9.64</v>
      </c>
      <c r="H1056" s="111"/>
      <c r="I1056" s="875"/>
      <c r="J1056" s="651"/>
      <c r="K1056" s="651"/>
      <c r="L1056" s="651"/>
      <c r="M1056" s="651"/>
      <c r="N1056" s="651"/>
      <c r="O1056" s="651"/>
      <c r="P1056" s="651"/>
      <c r="Q1056" s="651"/>
      <c r="R1056" s="651"/>
      <c r="S1056" s="651"/>
      <c r="T1056" s="651"/>
      <c r="U1056" s="651"/>
    </row>
    <row r="1057" s="705" customFormat="true" ht="15" hidden="true" customHeight="true" outlineLevel="1" collapsed="false">
      <c r="A1057" s="751"/>
      <c r="B1057" s="871" t="s">
        <v>1769</v>
      </c>
      <c r="C1057" s="739" t="s">
        <v>15</v>
      </c>
      <c r="D1057" s="872"/>
      <c r="E1057" s="873"/>
      <c r="F1057" s="874"/>
      <c r="G1057" s="872" t="n">
        <v>15.42</v>
      </c>
      <c r="H1057" s="111"/>
      <c r="I1057" s="875"/>
      <c r="J1057" s="651"/>
      <c r="K1057" s="651"/>
      <c r="L1057" s="651"/>
      <c r="M1057" s="651"/>
      <c r="N1057" s="651"/>
      <c r="O1057" s="651"/>
      <c r="P1057" s="651"/>
      <c r="Q1057" s="651"/>
      <c r="R1057" s="651"/>
      <c r="S1057" s="651"/>
      <c r="T1057" s="651"/>
      <c r="U1057" s="651"/>
    </row>
    <row r="1058" s="705" customFormat="true" ht="15" hidden="true" customHeight="true" outlineLevel="1" collapsed="false">
      <c r="A1058" s="751"/>
      <c r="B1058" s="871" t="s">
        <v>1770</v>
      </c>
      <c r="C1058" s="739" t="s">
        <v>15</v>
      </c>
      <c r="D1058" s="872"/>
      <c r="E1058" s="873"/>
      <c r="F1058" s="874"/>
      <c r="G1058" s="872" t="n">
        <v>19.52</v>
      </c>
      <c r="H1058" s="111"/>
      <c r="I1058" s="875"/>
      <c r="J1058" s="651"/>
      <c r="K1058" s="651"/>
      <c r="L1058" s="651"/>
      <c r="M1058" s="651"/>
      <c r="N1058" s="651"/>
      <c r="O1058" s="651"/>
      <c r="P1058" s="651"/>
      <c r="Q1058" s="651"/>
      <c r="R1058" s="651"/>
      <c r="S1058" s="651"/>
      <c r="T1058" s="651"/>
      <c r="U1058" s="651"/>
    </row>
    <row r="1059" s="705" customFormat="true" ht="15" hidden="true" customHeight="true" outlineLevel="1" collapsed="false">
      <c r="A1059" s="751"/>
      <c r="B1059" s="871" t="s">
        <v>1771</v>
      </c>
      <c r="C1059" s="739" t="s">
        <v>15</v>
      </c>
      <c r="D1059" s="872"/>
      <c r="E1059" s="873"/>
      <c r="F1059" s="874"/>
      <c r="G1059" s="872" t="n">
        <v>22.38</v>
      </c>
      <c r="H1059" s="111"/>
      <c r="I1059" s="875"/>
      <c r="J1059" s="651"/>
      <c r="K1059" s="651"/>
      <c r="L1059" s="651"/>
      <c r="M1059" s="651"/>
      <c r="N1059" s="651"/>
      <c r="O1059" s="651"/>
      <c r="P1059" s="651"/>
      <c r="Q1059" s="651"/>
      <c r="R1059" s="651"/>
      <c r="S1059" s="651"/>
      <c r="T1059" s="651"/>
      <c r="U1059" s="651"/>
    </row>
    <row r="1060" s="705" customFormat="true" ht="15" hidden="true" customHeight="true" outlineLevel="1" collapsed="false">
      <c r="A1060" s="751"/>
      <c r="B1060" s="871" t="s">
        <v>1772</v>
      </c>
      <c r="C1060" s="739" t="s">
        <v>15</v>
      </c>
      <c r="D1060" s="872"/>
      <c r="E1060" s="873"/>
      <c r="F1060" s="874"/>
      <c r="G1060" s="872" t="n">
        <v>26.37</v>
      </c>
      <c r="H1060" s="111"/>
      <c r="I1060" s="875"/>
      <c r="J1060" s="651"/>
      <c r="K1060" s="651"/>
      <c r="L1060" s="651"/>
      <c r="M1060" s="651"/>
      <c r="N1060" s="651"/>
      <c r="O1060" s="651"/>
      <c r="P1060" s="651"/>
      <c r="Q1060" s="651"/>
      <c r="R1060" s="651"/>
      <c r="S1060" s="651"/>
      <c r="T1060" s="651"/>
      <c r="U1060" s="651"/>
    </row>
    <row r="1061" customFormat="false" ht="15" hidden="true" customHeight="true" outlineLevel="1" collapsed="false">
      <c r="A1061" s="751"/>
      <c r="B1061" s="837" t="s">
        <v>1773</v>
      </c>
      <c r="C1061" s="739" t="s">
        <v>48</v>
      </c>
      <c r="D1061" s="647"/>
      <c r="E1061" s="750"/>
      <c r="F1061" s="704"/>
      <c r="G1061" s="740" t="n">
        <v>1</v>
      </c>
    </row>
    <row r="1062" customFormat="false" ht="15" hidden="true" customHeight="true" outlineLevel="1" collapsed="false">
      <c r="A1062" s="751"/>
      <c r="B1062" s="837" t="s">
        <v>1774</v>
      </c>
      <c r="C1062" s="739" t="s">
        <v>48</v>
      </c>
      <c r="D1062" s="647"/>
      <c r="E1062" s="750"/>
      <c r="F1062" s="704"/>
      <c r="G1062" s="740" t="n">
        <v>0.25</v>
      </c>
    </row>
    <row r="1063" customFormat="false" ht="15" hidden="true" customHeight="true" outlineLevel="1" collapsed="false">
      <c r="A1063" s="751"/>
      <c r="B1063" s="837" t="s">
        <v>1775</v>
      </c>
      <c r="C1063" s="739" t="s">
        <v>48</v>
      </c>
      <c r="D1063" s="647"/>
      <c r="E1063" s="750"/>
      <c r="F1063" s="704"/>
      <c r="G1063" s="740" t="n">
        <v>20</v>
      </c>
    </row>
    <row r="1064" customFormat="false" ht="15" hidden="true" customHeight="true" outlineLevel="1" collapsed="false">
      <c r="A1064" s="751"/>
      <c r="B1064" s="837" t="s">
        <v>1776</v>
      </c>
      <c r="C1064" s="739" t="s">
        <v>48</v>
      </c>
      <c r="D1064" s="647"/>
      <c r="E1064" s="750"/>
      <c r="F1064" s="704"/>
      <c r="G1064" s="740" t="n">
        <v>10</v>
      </c>
    </row>
    <row r="1065" customFormat="false" ht="15" hidden="true" customHeight="true" outlineLevel="1" collapsed="false">
      <c r="A1065" s="751"/>
      <c r="B1065" s="837" t="s">
        <v>1777</v>
      </c>
      <c r="C1065" s="739" t="s">
        <v>48</v>
      </c>
      <c r="D1065" s="647"/>
      <c r="E1065" s="750"/>
      <c r="F1065" s="704"/>
      <c r="G1065" s="740" t="n">
        <v>1200</v>
      </c>
    </row>
    <row r="1066" customFormat="false" ht="15" hidden="true" customHeight="true" outlineLevel="1" collapsed="false">
      <c r="A1066" s="751"/>
      <c r="B1066" s="837" t="s">
        <v>1778</v>
      </c>
      <c r="C1066" s="739" t="s">
        <v>48</v>
      </c>
      <c r="D1066" s="647"/>
      <c r="E1066" s="750"/>
      <c r="F1066" s="704"/>
      <c r="G1066" s="740" t="n">
        <v>180</v>
      </c>
    </row>
    <row r="1067" customFormat="false" ht="15" hidden="true" customHeight="true" outlineLevel="1" collapsed="false">
      <c r="A1067" s="751"/>
      <c r="B1067" s="837" t="s">
        <v>1779</v>
      </c>
      <c r="C1067" s="739" t="s">
        <v>48</v>
      </c>
      <c r="D1067" s="647"/>
      <c r="E1067" s="750"/>
      <c r="F1067" s="704"/>
      <c r="G1067" s="740" t="n">
        <v>70</v>
      </c>
    </row>
    <row r="1068" customFormat="false" ht="15" hidden="true" customHeight="true" outlineLevel="1" collapsed="false">
      <c r="A1068" s="751"/>
      <c r="B1068" s="837" t="s">
        <v>1780</v>
      </c>
      <c r="C1068" s="739" t="s">
        <v>48</v>
      </c>
      <c r="D1068" s="647"/>
      <c r="E1068" s="750"/>
      <c r="F1068" s="704"/>
      <c r="G1068" s="740" t="n">
        <v>167</v>
      </c>
    </row>
    <row r="1069" customFormat="false" ht="15" hidden="true" customHeight="true" outlineLevel="1" collapsed="false">
      <c r="A1069" s="751"/>
      <c r="B1069" s="837" t="s">
        <v>1781</v>
      </c>
      <c r="C1069" s="739" t="s">
        <v>48</v>
      </c>
      <c r="D1069" s="647"/>
      <c r="E1069" s="750"/>
      <c r="F1069" s="704"/>
      <c r="G1069" s="740" t="n">
        <v>6</v>
      </c>
    </row>
    <row r="1070" customFormat="false" ht="15" hidden="true" customHeight="true" outlineLevel="1" collapsed="false">
      <c r="A1070" s="751"/>
      <c r="B1070" s="837" t="s">
        <v>1782</v>
      </c>
      <c r="C1070" s="739" t="s">
        <v>48</v>
      </c>
      <c r="D1070" s="647"/>
      <c r="E1070" s="750"/>
      <c r="F1070" s="704"/>
      <c r="G1070" s="740" t="n">
        <v>100</v>
      </c>
    </row>
    <row r="1071" customFormat="false" ht="15" hidden="true" customHeight="true" outlineLevel="1" collapsed="false">
      <c r="A1071" s="751"/>
      <c r="B1071" s="837" t="s">
        <v>883</v>
      </c>
      <c r="C1071" s="739" t="s">
        <v>48</v>
      </c>
      <c r="D1071" s="647"/>
      <c r="E1071" s="750"/>
      <c r="F1071" s="704"/>
      <c r="G1071" s="740" t="n">
        <v>90</v>
      </c>
    </row>
    <row r="1072" customFormat="false" ht="15" hidden="true" customHeight="true" outlineLevel="1" collapsed="false">
      <c r="A1072" s="751"/>
      <c r="B1072" s="837" t="s">
        <v>1783</v>
      </c>
      <c r="C1072" s="739" t="s">
        <v>48</v>
      </c>
      <c r="D1072" s="647"/>
      <c r="E1072" s="750"/>
      <c r="F1072" s="704"/>
      <c r="G1072" s="740" t="n">
        <v>80</v>
      </c>
    </row>
    <row r="1073" customFormat="false" ht="15" hidden="true" customHeight="true" outlineLevel="1" collapsed="false">
      <c r="A1073" s="751"/>
      <c r="B1073" s="837" t="s">
        <v>1784</v>
      </c>
      <c r="C1073" s="739" t="s">
        <v>48</v>
      </c>
      <c r="D1073" s="647"/>
      <c r="E1073" s="750"/>
      <c r="F1073" s="704"/>
      <c r="G1073" s="740" t="n">
        <v>70</v>
      </c>
    </row>
    <row r="1074" customFormat="false" ht="15" hidden="true" customHeight="true" outlineLevel="1" collapsed="false">
      <c r="A1074" s="751"/>
      <c r="B1074" s="837" t="s">
        <v>1785</v>
      </c>
      <c r="C1074" s="739" t="s">
        <v>48</v>
      </c>
      <c r="D1074" s="647"/>
      <c r="E1074" s="750"/>
      <c r="F1074" s="704"/>
      <c r="G1074" s="740" t="n">
        <v>60</v>
      </c>
    </row>
    <row r="1075" customFormat="false" ht="15" hidden="true" customHeight="true" outlineLevel="1" collapsed="false">
      <c r="A1075" s="751"/>
      <c r="B1075" s="837" t="s">
        <v>1786</v>
      </c>
      <c r="C1075" s="739" t="s">
        <v>48</v>
      </c>
      <c r="D1075" s="647"/>
      <c r="E1075" s="750"/>
      <c r="F1075" s="704"/>
      <c r="G1075" s="740" t="n">
        <v>100</v>
      </c>
    </row>
    <row r="1076" customFormat="false" ht="15" hidden="true" customHeight="true" outlineLevel="1" collapsed="false">
      <c r="A1076" s="751"/>
      <c r="B1076" s="837" t="s">
        <v>1787</v>
      </c>
      <c r="C1076" s="739" t="s">
        <v>48</v>
      </c>
      <c r="D1076" s="739"/>
      <c r="E1076" s="750"/>
      <c r="F1076" s="704"/>
      <c r="G1076" s="740" t="n">
        <v>90</v>
      </c>
    </row>
    <row r="1077" customFormat="false" ht="15" hidden="true" customHeight="true" outlineLevel="1" collapsed="false">
      <c r="A1077" s="751"/>
      <c r="B1077" s="837" t="s">
        <v>885</v>
      </c>
      <c r="C1077" s="739" t="s">
        <v>48</v>
      </c>
      <c r="D1077" s="739"/>
      <c r="E1077" s="750"/>
      <c r="F1077" s="704"/>
      <c r="G1077" s="740" t="n">
        <v>80</v>
      </c>
    </row>
    <row r="1078" customFormat="false" ht="15" hidden="true" customHeight="true" outlineLevel="1" collapsed="false">
      <c r="A1078" s="751"/>
      <c r="B1078" s="837" t="s">
        <v>1788</v>
      </c>
      <c r="C1078" s="739" t="s">
        <v>48</v>
      </c>
      <c r="D1078" s="761"/>
      <c r="E1078" s="750"/>
      <c r="F1078" s="704"/>
      <c r="G1078" s="740" t="n">
        <v>70</v>
      </c>
    </row>
    <row r="1079" customFormat="false" ht="15" hidden="true" customHeight="true" outlineLevel="1" collapsed="false">
      <c r="A1079" s="751"/>
      <c r="B1079" s="837" t="s">
        <v>1789</v>
      </c>
      <c r="C1079" s="739" t="s">
        <v>48</v>
      </c>
      <c r="D1079" s="761"/>
      <c r="E1079" s="750"/>
      <c r="F1079" s="704"/>
      <c r="G1079" s="740" t="n">
        <v>60</v>
      </c>
    </row>
    <row r="1080" customFormat="false" ht="15" hidden="true" customHeight="true" outlineLevel="1" collapsed="false">
      <c r="A1080" s="751"/>
      <c r="B1080" s="784"/>
      <c r="C1080" s="761"/>
      <c r="D1080" s="761"/>
      <c r="E1080" s="750"/>
      <c r="F1080" s="704"/>
      <c r="G1080" s="750"/>
    </row>
    <row r="1081" customFormat="false" ht="15" hidden="true" customHeight="true" outlineLevel="1" collapsed="false">
      <c r="A1081" s="751"/>
      <c r="B1081" s="784"/>
      <c r="C1081" s="761"/>
      <c r="D1081" s="761"/>
      <c r="E1081" s="750"/>
      <c r="F1081" s="704"/>
      <c r="G1081" s="750"/>
    </row>
    <row r="1082" customFormat="false" ht="15" hidden="true" customHeight="true" outlineLevel="1" collapsed="false">
      <c r="A1082" s="751"/>
      <c r="B1082" s="784"/>
      <c r="C1082" s="761"/>
      <c r="D1082" s="761"/>
      <c r="E1082" s="750"/>
      <c r="F1082" s="704"/>
      <c r="G1082" s="750"/>
    </row>
    <row r="1083" customFormat="false" ht="15" hidden="true" customHeight="true" outlineLevel="1" collapsed="false">
      <c r="A1083" s="751"/>
      <c r="B1083" s="784"/>
      <c r="C1083" s="761"/>
      <c r="D1083" s="761"/>
      <c r="E1083" s="750"/>
      <c r="F1083" s="704"/>
      <c r="G1083" s="750"/>
    </row>
    <row r="1084" customFormat="false" ht="15" hidden="false" customHeight="true" outlineLevel="0" collapsed="false">
      <c r="A1084" s="768" t="s">
        <v>866</v>
      </c>
      <c r="B1084" s="768"/>
      <c r="C1084" s="770" t="s">
        <v>162</v>
      </c>
      <c r="D1084" s="847"/>
      <c r="E1084" s="847"/>
      <c r="F1084" s="686"/>
      <c r="G1084" s="686" t="s">
        <v>1042</v>
      </c>
    </row>
    <row r="1085" customFormat="false" ht="15" hidden="true" customHeight="true" outlineLevel="1" collapsed="false">
      <c r="A1085" s="768" t="s">
        <v>1790</v>
      </c>
      <c r="B1085" s="768"/>
      <c r="C1085" s="770" t="s">
        <v>162</v>
      </c>
      <c r="D1085" s="847"/>
      <c r="E1085" s="847"/>
      <c r="F1085" s="686"/>
      <c r="G1085" s="686" t="s">
        <v>1042</v>
      </c>
    </row>
    <row r="1086" customFormat="false" ht="15" hidden="true" customHeight="true" outlineLevel="1" collapsed="false">
      <c r="A1086" s="667"/>
      <c r="B1086" s="738" t="s">
        <v>1791</v>
      </c>
      <c r="C1086" s="739" t="s">
        <v>15</v>
      </c>
      <c r="D1086" s="647"/>
      <c r="E1086" s="750"/>
      <c r="F1086" s="704"/>
      <c r="G1086" s="740" t="n">
        <v>40</v>
      </c>
    </row>
    <row r="1087" customFormat="false" ht="15" hidden="true" customHeight="true" outlineLevel="1" collapsed="false">
      <c r="A1087" s="672"/>
      <c r="B1087" s="738" t="s">
        <v>1792</v>
      </c>
      <c r="C1087" s="739" t="s">
        <v>48</v>
      </c>
      <c r="D1087" s="647"/>
      <c r="E1087" s="750"/>
      <c r="F1087" s="704"/>
      <c r="G1087" s="740" t="n">
        <v>10</v>
      </c>
    </row>
    <row r="1088" customFormat="false" ht="15" hidden="true" customHeight="true" outlineLevel="1" collapsed="false">
      <c r="A1088" s="672"/>
      <c r="B1088" s="738" t="s">
        <v>1793</v>
      </c>
      <c r="C1088" s="739" t="s">
        <v>48</v>
      </c>
      <c r="D1088" s="647"/>
      <c r="E1088" s="750"/>
      <c r="F1088" s="704"/>
      <c r="G1088" s="740" t="n">
        <v>10</v>
      </c>
    </row>
    <row r="1089" customFormat="false" ht="15" hidden="true" customHeight="true" outlineLevel="1" collapsed="false">
      <c r="A1089" s="672"/>
      <c r="B1089" s="738" t="s">
        <v>1794</v>
      </c>
      <c r="C1089" s="739" t="s">
        <v>48</v>
      </c>
      <c r="D1089" s="647"/>
      <c r="E1089" s="750"/>
      <c r="F1089" s="704"/>
      <c r="G1089" s="740" t="n">
        <v>300</v>
      </c>
    </row>
    <row r="1090" customFormat="false" ht="15" hidden="true" customHeight="true" outlineLevel="1" collapsed="false">
      <c r="A1090" s="672"/>
      <c r="B1090" s="738" t="s">
        <v>1795</v>
      </c>
      <c r="C1090" s="739" t="s">
        <v>48</v>
      </c>
      <c r="D1090" s="647"/>
      <c r="E1090" s="750"/>
      <c r="F1090" s="704"/>
      <c r="G1090" s="740" t="n">
        <v>250</v>
      </c>
    </row>
    <row r="1091" customFormat="false" ht="15" hidden="true" customHeight="true" outlineLevel="1" collapsed="false">
      <c r="A1091" s="672"/>
      <c r="B1091" s="738" t="s">
        <v>1796</v>
      </c>
      <c r="C1091" s="739" t="s">
        <v>48</v>
      </c>
      <c r="D1091" s="647"/>
      <c r="E1091" s="750"/>
      <c r="F1091" s="704"/>
      <c r="G1091" s="740" t="n">
        <v>300</v>
      </c>
    </row>
    <row r="1092" customFormat="false" ht="15" hidden="true" customHeight="true" outlineLevel="1" collapsed="false">
      <c r="A1092" s="672"/>
      <c r="B1092" s="738" t="s">
        <v>1797</v>
      </c>
      <c r="C1092" s="739" t="s">
        <v>48</v>
      </c>
      <c r="D1092" s="647"/>
      <c r="E1092" s="750"/>
      <c r="F1092" s="704"/>
      <c r="G1092" s="740" t="n">
        <v>200</v>
      </c>
    </row>
    <row r="1093" customFormat="false" ht="15" hidden="true" customHeight="true" outlineLevel="1" collapsed="false">
      <c r="A1093" s="672"/>
      <c r="B1093" s="738" t="s">
        <v>1798</v>
      </c>
      <c r="C1093" s="739" t="s">
        <v>15</v>
      </c>
      <c r="D1093" s="647"/>
      <c r="E1093" s="750"/>
      <c r="F1093" s="704"/>
      <c r="G1093" s="740" t="n">
        <v>36</v>
      </c>
    </row>
    <row r="1094" customFormat="false" ht="15" hidden="true" customHeight="true" outlineLevel="1" collapsed="false">
      <c r="A1094" s="672"/>
      <c r="B1094" s="738" t="s">
        <v>1799</v>
      </c>
      <c r="C1094" s="739" t="s">
        <v>48</v>
      </c>
      <c r="D1094" s="647"/>
      <c r="E1094" s="750"/>
      <c r="F1094" s="704"/>
      <c r="G1094" s="740" t="n">
        <v>100</v>
      </c>
    </row>
    <row r="1095" customFormat="false" ht="15" hidden="true" customHeight="true" outlineLevel="1" collapsed="false">
      <c r="A1095" s="672"/>
      <c r="B1095" s="738" t="s">
        <v>1792</v>
      </c>
      <c r="C1095" s="739" t="s">
        <v>48</v>
      </c>
      <c r="D1095" s="647"/>
      <c r="E1095" s="750"/>
      <c r="F1095" s="704"/>
      <c r="G1095" s="740" t="n">
        <v>10</v>
      </c>
    </row>
    <row r="1096" customFormat="false" ht="15" hidden="true" customHeight="true" outlineLevel="1" collapsed="false">
      <c r="A1096" s="672"/>
      <c r="B1096" s="738" t="s">
        <v>1793</v>
      </c>
      <c r="C1096" s="739" t="s">
        <v>48</v>
      </c>
      <c r="D1096" s="647"/>
      <c r="E1096" s="750"/>
      <c r="F1096" s="704"/>
      <c r="G1096" s="740" t="n">
        <v>10</v>
      </c>
    </row>
    <row r="1097" customFormat="false" ht="15" hidden="true" customHeight="true" outlineLevel="1" collapsed="false">
      <c r="A1097" s="672"/>
      <c r="B1097" s="738"/>
      <c r="C1097" s="739"/>
      <c r="D1097" s="647"/>
      <c r="E1097" s="750"/>
      <c r="F1097" s="704"/>
      <c r="G1097" s="740"/>
    </row>
    <row r="1098" customFormat="false" ht="15" hidden="true" customHeight="true" outlineLevel="1" collapsed="false">
      <c r="A1098" s="672"/>
      <c r="B1098" s="738"/>
      <c r="C1098" s="739"/>
      <c r="D1098" s="647"/>
      <c r="E1098" s="750"/>
      <c r="F1098" s="704"/>
      <c r="G1098" s="740"/>
    </row>
    <row r="1099" customFormat="false" ht="15" hidden="false" customHeight="true" outlineLevel="0" collapsed="false">
      <c r="A1099" s="768" t="s">
        <v>1790</v>
      </c>
      <c r="B1099" s="768"/>
      <c r="C1099" s="770" t="s">
        <v>162</v>
      </c>
      <c r="D1099" s="847"/>
      <c r="E1099" s="847"/>
      <c r="F1099" s="686"/>
      <c r="G1099" s="686" t="s">
        <v>1042</v>
      </c>
    </row>
    <row r="1100" customFormat="false" ht="15" hidden="true" customHeight="true" outlineLevel="1" collapsed="false">
      <c r="A1100" s="768" t="s">
        <v>894</v>
      </c>
      <c r="B1100" s="768"/>
      <c r="C1100" s="770" t="s">
        <v>162</v>
      </c>
      <c r="D1100" s="847"/>
      <c r="E1100" s="847"/>
      <c r="F1100" s="686"/>
      <c r="G1100" s="686" t="s">
        <v>1042</v>
      </c>
    </row>
    <row r="1101" customFormat="false" ht="15" hidden="true" customHeight="true" outlineLevel="1" collapsed="false">
      <c r="A1101" s="667"/>
      <c r="B1101" s="876" t="s">
        <v>566</v>
      </c>
      <c r="C1101" s="739" t="s">
        <v>502</v>
      </c>
      <c r="D1101" s="647"/>
      <c r="E1101" s="750"/>
      <c r="F1101" s="704"/>
      <c r="G1101" s="740" t="n">
        <v>2200</v>
      </c>
    </row>
    <row r="1102" customFormat="false" ht="15" hidden="true" customHeight="true" outlineLevel="1" collapsed="false">
      <c r="A1102" s="672"/>
      <c r="B1102" s="837" t="s">
        <v>1800</v>
      </c>
      <c r="C1102" s="739" t="s">
        <v>15</v>
      </c>
      <c r="D1102" s="647"/>
      <c r="E1102" s="750"/>
      <c r="F1102" s="704"/>
      <c r="G1102" s="740" t="n">
        <v>1800</v>
      </c>
    </row>
    <row r="1103" customFormat="false" ht="15" hidden="true" customHeight="true" outlineLevel="1" collapsed="false">
      <c r="A1103" s="672"/>
      <c r="B1103" s="837" t="s">
        <v>1801</v>
      </c>
      <c r="C1103" s="739" t="s">
        <v>48</v>
      </c>
      <c r="D1103" s="647"/>
      <c r="E1103" s="750"/>
      <c r="F1103" s="704"/>
      <c r="G1103" s="740" t="n">
        <v>2500</v>
      </c>
    </row>
    <row r="1104" customFormat="false" ht="15" hidden="true" customHeight="true" outlineLevel="1" collapsed="false">
      <c r="A1104" s="672"/>
      <c r="B1104" s="837" t="s">
        <v>1802</v>
      </c>
      <c r="C1104" s="739" t="s">
        <v>15</v>
      </c>
      <c r="D1104" s="647"/>
      <c r="E1104" s="750"/>
      <c r="F1104" s="704"/>
      <c r="G1104" s="740" t="n">
        <v>19</v>
      </c>
    </row>
    <row r="1105" customFormat="false" ht="15" hidden="true" customHeight="true" outlineLevel="1" collapsed="false">
      <c r="A1105" s="672"/>
      <c r="B1105" s="837" t="s">
        <v>1803</v>
      </c>
      <c r="C1105" s="739" t="s">
        <v>15</v>
      </c>
      <c r="D1105" s="647"/>
      <c r="E1105" s="750"/>
      <c r="F1105" s="704"/>
      <c r="G1105" s="740" t="n">
        <v>5</v>
      </c>
    </row>
    <row r="1106" customFormat="false" ht="15" hidden="true" customHeight="true" outlineLevel="1" collapsed="false">
      <c r="A1106" s="672"/>
      <c r="B1106" s="837" t="s">
        <v>1804</v>
      </c>
      <c r="C1106" s="739" t="s">
        <v>1805</v>
      </c>
      <c r="D1106" s="647"/>
      <c r="E1106" s="750"/>
      <c r="F1106" s="704"/>
      <c r="G1106" s="740" t="n">
        <v>100</v>
      </c>
    </row>
    <row r="1107" customFormat="false" ht="15" hidden="true" customHeight="true" outlineLevel="1" collapsed="false">
      <c r="A1107" s="672"/>
      <c r="B1107" s="837" t="s">
        <v>1806</v>
      </c>
      <c r="C1107" s="739" t="s">
        <v>48</v>
      </c>
      <c r="D1107" s="647"/>
      <c r="E1107" s="750"/>
      <c r="F1107" s="704"/>
      <c r="G1107" s="740" t="n">
        <v>8000</v>
      </c>
    </row>
    <row r="1108" customFormat="false" ht="15" hidden="true" customHeight="true" outlineLevel="1" collapsed="false">
      <c r="A1108" s="672"/>
      <c r="B1108" s="837" t="s">
        <v>1807</v>
      </c>
      <c r="C1108" s="739" t="s">
        <v>48</v>
      </c>
      <c r="D1108" s="647"/>
      <c r="E1108" s="750"/>
      <c r="F1108" s="704"/>
      <c r="G1108" s="740" t="n">
        <v>10000</v>
      </c>
    </row>
    <row r="1109" customFormat="false" ht="15" hidden="true" customHeight="true" outlineLevel="1" collapsed="false">
      <c r="A1109" s="672"/>
      <c r="B1109" s="837" t="s">
        <v>1808</v>
      </c>
      <c r="C1109" s="739" t="s">
        <v>15</v>
      </c>
      <c r="D1109" s="647"/>
      <c r="E1109" s="750"/>
      <c r="F1109" s="704"/>
      <c r="G1109" s="740" t="n">
        <v>35</v>
      </c>
    </row>
    <row r="1110" customFormat="false" ht="15" hidden="true" customHeight="true" outlineLevel="1" collapsed="false">
      <c r="A1110" s="672"/>
      <c r="B1110" s="837" t="s">
        <v>1809</v>
      </c>
      <c r="C1110" s="739" t="s">
        <v>15</v>
      </c>
      <c r="D1110" s="647"/>
      <c r="E1110" s="750"/>
      <c r="F1110" s="704"/>
      <c r="G1110" s="740" t="n">
        <v>500</v>
      </c>
    </row>
    <row r="1111" customFormat="false" ht="15" hidden="true" customHeight="true" outlineLevel="1" collapsed="false">
      <c r="A1111" s="672"/>
      <c r="B1111" s="837" t="s">
        <v>1810</v>
      </c>
      <c r="C1111" s="739" t="s">
        <v>48</v>
      </c>
      <c r="D1111" s="647"/>
      <c r="E1111" s="750"/>
      <c r="F1111" s="704"/>
      <c r="G1111" s="740" t="n">
        <v>3000</v>
      </c>
    </row>
    <row r="1112" customFormat="false" ht="15" hidden="true" customHeight="true" outlineLevel="1" collapsed="false">
      <c r="A1112" s="672"/>
      <c r="B1112" s="837"/>
      <c r="C1112" s="739"/>
      <c r="D1112" s="647"/>
      <c r="E1112" s="750"/>
      <c r="F1112" s="704"/>
      <c r="G1112" s="740"/>
    </row>
    <row r="1113" customFormat="false" ht="15" hidden="false" customHeight="true" outlineLevel="0" collapsed="false">
      <c r="A1113" s="768" t="s">
        <v>894</v>
      </c>
      <c r="B1113" s="768"/>
      <c r="C1113" s="770" t="s">
        <v>162</v>
      </c>
      <c r="D1113" s="847"/>
      <c r="E1113" s="847"/>
      <c r="F1113" s="686"/>
      <c r="G1113" s="686" t="s">
        <v>1042</v>
      </c>
    </row>
    <row r="1114" customFormat="false" ht="15" hidden="true" customHeight="true" outlineLevel="1" collapsed="false">
      <c r="A1114" s="768" t="s">
        <v>918</v>
      </c>
      <c r="B1114" s="768"/>
      <c r="C1114" s="770" t="s">
        <v>162</v>
      </c>
      <c r="D1114" s="847"/>
      <c r="E1114" s="847"/>
      <c r="F1114" s="686"/>
      <c r="G1114" s="686" t="s">
        <v>1042</v>
      </c>
    </row>
    <row r="1115" customFormat="false" ht="15" hidden="true" customHeight="true" outlineLevel="1" collapsed="false">
      <c r="A1115" s="667"/>
      <c r="B1115" s="837" t="s">
        <v>1811</v>
      </c>
      <c r="C1115" s="739" t="s">
        <v>48</v>
      </c>
      <c r="D1115" s="647"/>
      <c r="E1115" s="750"/>
      <c r="F1115" s="704"/>
      <c r="G1115" s="740" t="n">
        <v>30000</v>
      </c>
    </row>
    <row r="1116" customFormat="false" ht="15" hidden="true" customHeight="true" outlineLevel="1" collapsed="false">
      <c r="A1116" s="672"/>
      <c r="B1116" s="837" t="s">
        <v>922</v>
      </c>
      <c r="C1116" s="739" t="s">
        <v>48</v>
      </c>
      <c r="D1116" s="647"/>
      <c r="E1116" s="750"/>
      <c r="F1116" s="704"/>
      <c r="G1116" s="740" t="n">
        <v>10000</v>
      </c>
    </row>
    <row r="1117" customFormat="false" ht="15" hidden="true" customHeight="true" outlineLevel="1" collapsed="false">
      <c r="A1117" s="672"/>
      <c r="B1117" s="837" t="s">
        <v>923</v>
      </c>
      <c r="C1117" s="739" t="s">
        <v>48</v>
      </c>
      <c r="D1117" s="647"/>
      <c r="E1117" s="750"/>
      <c r="F1117" s="704"/>
      <c r="G1117" s="740" t="n">
        <v>5000</v>
      </c>
    </row>
    <row r="1118" customFormat="false" ht="15" hidden="true" customHeight="true" outlineLevel="1" collapsed="false">
      <c r="A1118" s="672"/>
      <c r="B1118" s="837" t="s">
        <v>919</v>
      </c>
      <c r="C1118" s="739" t="s">
        <v>48</v>
      </c>
      <c r="D1118" s="647"/>
      <c r="E1118" s="750"/>
      <c r="F1118" s="704"/>
      <c r="G1118" s="740" t="n">
        <v>3500</v>
      </c>
    </row>
    <row r="1119" customFormat="false" ht="15" hidden="true" customHeight="true" outlineLevel="1" collapsed="false">
      <c r="A1119" s="672"/>
      <c r="B1119" s="837" t="s">
        <v>920</v>
      </c>
      <c r="C1119" s="739" t="s">
        <v>48</v>
      </c>
      <c r="D1119" s="647"/>
      <c r="E1119" s="750"/>
      <c r="F1119" s="704"/>
      <c r="G1119" s="740" t="n">
        <v>2500</v>
      </c>
    </row>
    <row r="1120" customFormat="false" ht="15" hidden="true" customHeight="true" outlineLevel="1" collapsed="false">
      <c r="A1120" s="672"/>
      <c r="B1120" s="837" t="s">
        <v>1812</v>
      </c>
      <c r="C1120" s="739" t="s">
        <v>48</v>
      </c>
      <c r="D1120" s="647"/>
      <c r="E1120" s="750"/>
      <c r="F1120" s="704"/>
      <c r="G1120" s="740" t="n">
        <v>700</v>
      </c>
    </row>
    <row r="1121" customFormat="false" ht="15" hidden="true" customHeight="true" outlineLevel="1" collapsed="false">
      <c r="A1121" s="672"/>
      <c r="B1121" s="837" t="s">
        <v>1813</v>
      </c>
      <c r="C1121" s="739" t="s">
        <v>48</v>
      </c>
      <c r="D1121" s="647"/>
      <c r="E1121" s="750"/>
      <c r="F1121" s="704"/>
      <c r="G1121" s="740" t="n">
        <v>1500</v>
      </c>
    </row>
    <row r="1122" customFormat="false" ht="15" hidden="true" customHeight="true" outlineLevel="1" collapsed="false">
      <c r="A1122" s="672"/>
      <c r="B1122" s="837" t="s">
        <v>1814</v>
      </c>
      <c r="C1122" s="739" t="s">
        <v>15</v>
      </c>
      <c r="D1122" s="647"/>
      <c r="E1122" s="750"/>
      <c r="F1122" s="704"/>
      <c r="G1122" s="740" t="n">
        <v>100</v>
      </c>
    </row>
    <row r="1123" customFormat="false" ht="15" hidden="true" customHeight="true" outlineLevel="1" collapsed="false">
      <c r="A1123" s="672"/>
      <c r="B1123" s="837" t="s">
        <v>1815</v>
      </c>
      <c r="C1123" s="739" t="s">
        <v>48</v>
      </c>
      <c r="D1123" s="647"/>
      <c r="E1123" s="750"/>
      <c r="F1123" s="704"/>
      <c r="G1123" s="740" t="n">
        <v>12</v>
      </c>
    </row>
    <row r="1124" customFormat="false" ht="15" hidden="true" customHeight="true" outlineLevel="1" collapsed="false">
      <c r="A1124" s="672"/>
      <c r="B1124" s="837" t="s">
        <v>1816</v>
      </c>
      <c r="C1124" s="739" t="s">
        <v>48</v>
      </c>
      <c r="D1124" s="647"/>
      <c r="E1124" s="750"/>
      <c r="F1124" s="704"/>
      <c r="G1124" s="740" t="n">
        <v>16</v>
      </c>
    </row>
    <row r="1125" customFormat="false" ht="15" hidden="true" customHeight="true" outlineLevel="1" collapsed="false">
      <c r="A1125" s="672"/>
      <c r="B1125" s="837" t="s">
        <v>1817</v>
      </c>
      <c r="C1125" s="739" t="s">
        <v>48</v>
      </c>
      <c r="D1125" s="647"/>
      <c r="E1125" s="750"/>
      <c r="F1125" s="704"/>
      <c r="G1125" s="740" t="n">
        <v>12</v>
      </c>
    </row>
    <row r="1126" customFormat="false" ht="15" hidden="true" customHeight="true" outlineLevel="1" collapsed="false">
      <c r="A1126" s="672"/>
      <c r="B1126" s="837" t="s">
        <v>1818</v>
      </c>
      <c r="C1126" s="739" t="s">
        <v>48</v>
      </c>
      <c r="D1126" s="647"/>
      <c r="E1126" s="750"/>
      <c r="F1126" s="704"/>
      <c r="G1126" s="740" t="n">
        <v>16</v>
      </c>
    </row>
    <row r="1127" customFormat="false" ht="15" hidden="true" customHeight="true" outlineLevel="1" collapsed="false">
      <c r="A1127" s="672"/>
      <c r="B1127" s="837" t="s">
        <v>1819</v>
      </c>
      <c r="C1127" s="739" t="s">
        <v>48</v>
      </c>
      <c r="D1127" s="647"/>
      <c r="E1127" s="750"/>
      <c r="F1127" s="704"/>
      <c r="G1127" s="740" t="n">
        <v>800</v>
      </c>
    </row>
    <row r="1128" customFormat="false" ht="15" hidden="true" customHeight="true" outlineLevel="1" collapsed="false">
      <c r="A1128" s="672"/>
      <c r="B1128" s="837" t="s">
        <v>1820</v>
      </c>
      <c r="C1128" s="739" t="s">
        <v>1821</v>
      </c>
      <c r="D1128" s="647"/>
      <c r="E1128" s="750"/>
      <c r="F1128" s="704"/>
      <c r="G1128" s="740" t="n">
        <v>200</v>
      </c>
    </row>
    <row r="1129" customFormat="false" ht="15" hidden="true" customHeight="true" outlineLevel="1" collapsed="false">
      <c r="A1129" s="672"/>
      <c r="B1129" s="837"/>
      <c r="C1129" s="739"/>
      <c r="D1129" s="647"/>
      <c r="E1129" s="750"/>
      <c r="F1129" s="704"/>
      <c r="G1129" s="740"/>
    </row>
    <row r="1130" customFormat="false" ht="15" hidden="true" customHeight="true" outlineLevel="1" collapsed="false">
      <c r="A1130" s="672"/>
      <c r="B1130" s="837"/>
      <c r="C1130" s="739"/>
      <c r="D1130" s="647"/>
      <c r="E1130" s="750"/>
      <c r="F1130" s="704"/>
      <c r="G1130" s="740"/>
    </row>
    <row r="1131" customFormat="false" ht="15" hidden="true" customHeight="true" outlineLevel="1" collapsed="false">
      <c r="A1131" s="672"/>
      <c r="B1131" s="748"/>
      <c r="C1131" s="749"/>
      <c r="D1131" s="750"/>
      <c r="E1131" s="750"/>
      <c r="F1131" s="704"/>
      <c r="G1131" s="750"/>
    </row>
    <row r="1132" customFormat="false" ht="15" hidden="true" customHeight="true" outlineLevel="1" collapsed="false">
      <c r="A1132" s="672"/>
      <c r="B1132" s="748"/>
      <c r="C1132" s="749"/>
      <c r="D1132" s="750"/>
      <c r="E1132" s="750"/>
      <c r="F1132" s="704"/>
      <c r="G1132" s="750"/>
    </row>
    <row r="1133" customFormat="false" ht="15" hidden="true" customHeight="true" outlineLevel="1" collapsed="false">
      <c r="A1133" s="672"/>
      <c r="B1133" s="748"/>
      <c r="C1133" s="749"/>
      <c r="D1133" s="750"/>
      <c r="E1133" s="750"/>
      <c r="F1133" s="704"/>
      <c r="G1133" s="750"/>
    </row>
    <row r="1134" customFormat="false" ht="15" hidden="false" customHeight="true" outlineLevel="0" collapsed="false">
      <c r="A1134" s="768" t="s">
        <v>918</v>
      </c>
      <c r="B1134" s="768"/>
      <c r="C1134" s="770" t="s">
        <v>162</v>
      </c>
      <c r="D1134" s="847"/>
      <c r="E1134" s="847"/>
      <c r="F1134" s="686"/>
      <c r="G1134" s="686" t="s">
        <v>1042</v>
      </c>
    </row>
    <row r="1135" customFormat="false" ht="15" hidden="true" customHeight="true" outlineLevel="1" collapsed="false">
      <c r="A1135" s="768" t="s">
        <v>1822</v>
      </c>
      <c r="B1135" s="768"/>
      <c r="C1135" s="770" t="s">
        <v>162</v>
      </c>
      <c r="D1135" s="847"/>
      <c r="E1135" s="847"/>
      <c r="F1135" s="686"/>
      <c r="G1135" s="686" t="s">
        <v>1042</v>
      </c>
    </row>
    <row r="1136" customFormat="false" ht="15" hidden="true" customHeight="true" outlineLevel="1" collapsed="false">
      <c r="A1136" s="751"/>
      <c r="B1136" s="738" t="s">
        <v>1823</v>
      </c>
      <c r="C1136" s="739" t="s">
        <v>820</v>
      </c>
      <c r="D1136" s="647"/>
      <c r="E1136" s="750"/>
      <c r="F1136" s="704"/>
      <c r="G1136" s="740" t="n">
        <v>4900</v>
      </c>
    </row>
    <row r="1137" customFormat="false" ht="15" hidden="true" customHeight="true" outlineLevel="1" collapsed="false">
      <c r="A1137" s="751"/>
      <c r="B1137" s="837" t="s">
        <v>1824</v>
      </c>
      <c r="C1137" s="739" t="s">
        <v>820</v>
      </c>
      <c r="D1137" s="647"/>
      <c r="E1137" s="750"/>
      <c r="F1137" s="704"/>
      <c r="G1137" s="740" t="n">
        <v>3500</v>
      </c>
    </row>
    <row r="1138" customFormat="false" ht="15" hidden="true" customHeight="true" outlineLevel="1" collapsed="false">
      <c r="A1138" s="751"/>
      <c r="B1138" s="837" t="s">
        <v>1825</v>
      </c>
      <c r="C1138" s="739" t="s">
        <v>15</v>
      </c>
      <c r="D1138" s="647"/>
      <c r="E1138" s="750"/>
      <c r="F1138" s="704"/>
      <c r="G1138" s="740" t="n">
        <v>200</v>
      </c>
    </row>
    <row r="1139" customFormat="false" ht="15" hidden="true" customHeight="true" outlineLevel="1" collapsed="false">
      <c r="A1139" s="751"/>
      <c r="B1139" s="837" t="s">
        <v>1826</v>
      </c>
      <c r="C1139" s="739" t="s">
        <v>48</v>
      </c>
      <c r="D1139" s="647"/>
      <c r="E1139" s="750"/>
      <c r="F1139" s="704"/>
      <c r="G1139" s="740" t="n">
        <v>50</v>
      </c>
    </row>
    <row r="1140" customFormat="false" ht="15" hidden="true" customHeight="true" outlineLevel="1" collapsed="false">
      <c r="A1140" s="751"/>
      <c r="B1140" s="837" t="s">
        <v>1827</v>
      </c>
      <c r="C1140" s="739" t="s">
        <v>48</v>
      </c>
      <c r="D1140" s="647"/>
      <c r="E1140" s="750"/>
      <c r="F1140" s="704"/>
      <c r="G1140" s="740" t="n">
        <v>100</v>
      </c>
    </row>
    <row r="1141" customFormat="false" ht="15" hidden="true" customHeight="true" outlineLevel="1" collapsed="false">
      <c r="A1141" s="751"/>
      <c r="B1141" s="837" t="s">
        <v>1828</v>
      </c>
      <c r="C1141" s="739" t="s">
        <v>48</v>
      </c>
      <c r="D1141" s="647"/>
      <c r="E1141" s="750"/>
      <c r="F1141" s="704"/>
      <c r="G1141" s="740" t="n">
        <v>50</v>
      </c>
    </row>
    <row r="1142" customFormat="false" ht="15" hidden="true" customHeight="true" outlineLevel="1" collapsed="false">
      <c r="A1142" s="751"/>
      <c r="B1142" s="877" t="s">
        <v>1829</v>
      </c>
      <c r="C1142" s="739" t="s">
        <v>48</v>
      </c>
      <c r="D1142" s="647"/>
      <c r="E1142" s="750"/>
      <c r="F1142" s="704"/>
      <c r="G1142" s="740" t="n">
        <v>130</v>
      </c>
    </row>
    <row r="1143" customFormat="false" ht="15" hidden="true" customHeight="true" outlineLevel="1" collapsed="false">
      <c r="A1143" s="751"/>
      <c r="B1143" s="837" t="s">
        <v>1830</v>
      </c>
      <c r="C1143" s="739" t="s">
        <v>48</v>
      </c>
      <c r="D1143" s="647"/>
      <c r="E1143" s="750"/>
      <c r="F1143" s="704"/>
      <c r="G1143" s="740" t="n">
        <v>150</v>
      </c>
    </row>
    <row r="1144" customFormat="false" ht="15" hidden="true" customHeight="true" outlineLevel="1" collapsed="false">
      <c r="A1144" s="751"/>
      <c r="B1144" s="837" t="s">
        <v>1831</v>
      </c>
      <c r="C1144" s="739" t="s">
        <v>48</v>
      </c>
      <c r="D1144" s="647"/>
      <c r="E1144" s="750"/>
      <c r="F1144" s="704"/>
      <c r="G1144" s="740" t="n">
        <v>80</v>
      </c>
    </row>
    <row r="1145" customFormat="false" ht="15" hidden="true" customHeight="true" outlineLevel="1" collapsed="false">
      <c r="A1145" s="751"/>
      <c r="B1145" s="837" t="s">
        <v>1832</v>
      </c>
      <c r="C1145" s="739" t="s">
        <v>48</v>
      </c>
      <c r="D1145" s="647"/>
      <c r="E1145" s="750"/>
      <c r="F1145" s="704"/>
      <c r="G1145" s="740" t="n">
        <v>60</v>
      </c>
    </row>
    <row r="1146" customFormat="false" ht="15" hidden="true" customHeight="true" outlineLevel="1" collapsed="false">
      <c r="A1146" s="751"/>
      <c r="B1146" s="837" t="s">
        <v>1833</v>
      </c>
      <c r="C1146" s="739" t="s">
        <v>15</v>
      </c>
      <c r="D1146" s="647"/>
      <c r="E1146" s="750"/>
      <c r="F1146" s="704"/>
      <c r="G1146" s="740" t="n">
        <v>40</v>
      </c>
    </row>
    <row r="1147" customFormat="false" ht="15" hidden="true" customHeight="true" outlineLevel="1" collapsed="false">
      <c r="A1147" s="751"/>
      <c r="B1147" s="837" t="s">
        <v>1834</v>
      </c>
      <c r="C1147" s="739" t="s">
        <v>48</v>
      </c>
      <c r="D1147" s="647"/>
      <c r="E1147" s="750"/>
      <c r="F1147" s="704"/>
      <c r="G1147" s="740" t="n">
        <v>40</v>
      </c>
    </row>
    <row r="1148" customFormat="false" ht="15" hidden="true" customHeight="true" outlineLevel="1" collapsed="false">
      <c r="A1148" s="751"/>
      <c r="B1148" s="837" t="s">
        <v>1835</v>
      </c>
      <c r="C1148" s="739" t="s">
        <v>48</v>
      </c>
      <c r="D1148" s="647"/>
      <c r="E1148" s="750"/>
      <c r="F1148" s="704"/>
      <c r="G1148" s="740" t="n">
        <v>15</v>
      </c>
    </row>
    <row r="1149" customFormat="false" ht="15" hidden="true" customHeight="true" outlineLevel="1" collapsed="false">
      <c r="A1149" s="751"/>
      <c r="B1149" s="837" t="s">
        <v>1836</v>
      </c>
      <c r="C1149" s="739" t="s">
        <v>820</v>
      </c>
      <c r="D1149" s="647"/>
      <c r="E1149" s="750"/>
      <c r="F1149" s="704"/>
      <c r="G1149" s="740" t="n">
        <v>6000</v>
      </c>
    </row>
    <row r="1150" customFormat="false" ht="15" hidden="true" customHeight="true" outlineLevel="1" collapsed="false">
      <c r="A1150" s="751"/>
      <c r="B1150" s="837" t="s">
        <v>1837</v>
      </c>
      <c r="C1150" s="739" t="s">
        <v>48</v>
      </c>
      <c r="D1150" s="647"/>
      <c r="E1150" s="750"/>
      <c r="F1150" s="704"/>
      <c r="G1150" s="740" t="n">
        <v>20</v>
      </c>
    </row>
    <row r="1151" customFormat="false" ht="15" hidden="true" customHeight="true" outlineLevel="1" collapsed="false">
      <c r="A1151" s="751"/>
      <c r="B1151" s="837" t="s">
        <v>1838</v>
      </c>
      <c r="C1151" s="739" t="s">
        <v>48</v>
      </c>
      <c r="D1151" s="647"/>
      <c r="E1151" s="750"/>
      <c r="F1151" s="704"/>
      <c r="G1151" s="740" t="n">
        <v>25</v>
      </c>
    </row>
    <row r="1152" customFormat="false" ht="15" hidden="true" customHeight="true" outlineLevel="1" collapsed="false">
      <c r="A1152" s="751"/>
      <c r="B1152" s="837" t="s">
        <v>1839</v>
      </c>
      <c r="C1152" s="739" t="s">
        <v>48</v>
      </c>
      <c r="D1152" s="647"/>
      <c r="E1152" s="750"/>
      <c r="F1152" s="704"/>
      <c r="G1152" s="740" t="n">
        <v>12000</v>
      </c>
    </row>
    <row r="1153" customFormat="false" ht="15" hidden="true" customHeight="true" outlineLevel="1" collapsed="false">
      <c r="A1153" s="751"/>
      <c r="B1153" s="837" t="s">
        <v>795</v>
      </c>
      <c r="C1153" s="739" t="s">
        <v>48</v>
      </c>
      <c r="D1153" s="647"/>
      <c r="E1153" s="750"/>
      <c r="F1153" s="704"/>
      <c r="G1153" s="740" t="n">
        <v>10000</v>
      </c>
    </row>
    <row r="1154" customFormat="false" ht="15" hidden="true" customHeight="true" outlineLevel="1" collapsed="false">
      <c r="A1154" s="751"/>
      <c r="D1154" s="647"/>
      <c r="E1154" s="647"/>
      <c r="F1154" s="807"/>
      <c r="G1154" s="807"/>
    </row>
    <row r="1155" customFormat="false" ht="15" hidden="true" customHeight="true" outlineLevel="1" collapsed="false">
      <c r="A1155" s="751"/>
      <c r="D1155" s="647"/>
      <c r="E1155" s="647"/>
      <c r="F1155" s="807"/>
      <c r="G1155" s="807"/>
    </row>
    <row r="1156" customFormat="false" ht="15" hidden="true" customHeight="true" outlineLevel="1" collapsed="false">
      <c r="A1156" s="751"/>
      <c r="B1156" s="837"/>
      <c r="C1156" s="739"/>
      <c r="D1156" s="647"/>
      <c r="E1156" s="750"/>
      <c r="F1156" s="704"/>
      <c r="G1156" s="740"/>
    </row>
    <row r="1157" customFormat="false" ht="15" hidden="true" customHeight="true" outlineLevel="1" collapsed="false">
      <c r="A1157" s="751"/>
      <c r="B1157" s="837"/>
      <c r="C1157" s="739"/>
      <c r="D1157" s="647"/>
      <c r="E1157" s="750"/>
      <c r="F1157" s="704"/>
      <c r="G1157" s="740"/>
    </row>
    <row r="1158" customFormat="false" ht="15" hidden="true" customHeight="true" outlineLevel="1" collapsed="false">
      <c r="A1158" s="751"/>
      <c r="B1158" s="837"/>
      <c r="C1158" s="739"/>
      <c r="D1158" s="647"/>
      <c r="E1158" s="750"/>
      <c r="F1158" s="704"/>
      <c r="G1158" s="740"/>
    </row>
    <row r="1159" customFormat="false" ht="15" hidden="false" customHeight="true" outlineLevel="0" collapsed="false">
      <c r="A1159" s="768" t="s">
        <v>1822</v>
      </c>
      <c r="B1159" s="768"/>
      <c r="C1159" s="770" t="s">
        <v>162</v>
      </c>
      <c r="D1159" s="847"/>
      <c r="E1159" s="847"/>
      <c r="F1159" s="686"/>
      <c r="G1159" s="686" t="s">
        <v>1042</v>
      </c>
    </row>
    <row r="1160" customFormat="false" ht="15" hidden="true" customHeight="true" outlineLevel="1" collapsed="false">
      <c r="A1160" s="878" t="s">
        <v>1840</v>
      </c>
      <c r="B1160" s="878"/>
      <c r="C1160" s="770" t="s">
        <v>162</v>
      </c>
      <c r="D1160" s="847"/>
      <c r="E1160" s="847"/>
      <c r="F1160" s="686"/>
      <c r="G1160" s="686" t="s">
        <v>1042</v>
      </c>
    </row>
    <row r="1161" customFormat="false" ht="15" hidden="true" customHeight="true" outlineLevel="1" collapsed="false">
      <c r="A1161" s="667"/>
      <c r="B1161" s="879" t="s">
        <v>1841</v>
      </c>
      <c r="C1161" s="739" t="s">
        <v>48</v>
      </c>
      <c r="D1161" s="647"/>
      <c r="E1161" s="750"/>
      <c r="F1161" s="880" t="s">
        <v>1842</v>
      </c>
      <c r="G1161" s="785" t="s">
        <v>1843</v>
      </c>
    </row>
    <row r="1162" customFormat="false" ht="15" hidden="true" customHeight="true" outlineLevel="1" collapsed="false">
      <c r="A1162" s="672"/>
      <c r="B1162" s="881" t="s">
        <v>1844</v>
      </c>
      <c r="C1162" s="739" t="s">
        <v>48</v>
      </c>
      <c r="D1162" s="647"/>
      <c r="E1162" s="750"/>
      <c r="F1162" s="882" t="n">
        <v>9988</v>
      </c>
      <c r="G1162" s="883" t="n">
        <v>5278</v>
      </c>
    </row>
    <row r="1163" customFormat="false" ht="15" hidden="true" customHeight="true" outlineLevel="1" collapsed="false">
      <c r="A1163" s="672"/>
      <c r="B1163" s="881" t="s">
        <v>1845</v>
      </c>
      <c r="C1163" s="739" t="s">
        <v>48</v>
      </c>
      <c r="D1163" s="647"/>
      <c r="E1163" s="750"/>
      <c r="F1163" s="882" t="n">
        <v>11433</v>
      </c>
      <c r="G1163" s="883" t="n">
        <v>5355</v>
      </c>
    </row>
    <row r="1164" customFormat="false" ht="15" hidden="true" customHeight="true" outlineLevel="1" collapsed="false">
      <c r="A1164" s="672"/>
      <c r="B1164" s="881" t="s">
        <v>1846</v>
      </c>
      <c r="C1164" s="739" t="s">
        <v>48</v>
      </c>
      <c r="D1164" s="647"/>
      <c r="E1164" s="750"/>
      <c r="F1164" s="882" t="n">
        <v>12113</v>
      </c>
      <c r="G1164" s="883" t="n">
        <v>5525</v>
      </c>
    </row>
    <row r="1165" customFormat="false" ht="15" hidden="true" customHeight="true" outlineLevel="1" collapsed="false">
      <c r="A1165" s="672"/>
      <c r="B1165" s="881" t="s">
        <v>1847</v>
      </c>
      <c r="C1165" s="739" t="s">
        <v>48</v>
      </c>
      <c r="D1165" s="647"/>
      <c r="E1165" s="750"/>
      <c r="F1165" s="882" t="n">
        <v>12665</v>
      </c>
      <c r="G1165" s="883" t="n">
        <v>5993</v>
      </c>
    </row>
    <row r="1166" customFormat="false" ht="15" hidden="true" customHeight="true" outlineLevel="1" collapsed="false">
      <c r="A1166" s="672"/>
      <c r="B1166" s="881" t="s">
        <v>785</v>
      </c>
      <c r="C1166" s="739" t="s">
        <v>48</v>
      </c>
      <c r="D1166" s="647"/>
      <c r="E1166" s="750"/>
      <c r="F1166" s="882" t="n">
        <v>12665</v>
      </c>
      <c r="G1166" s="883" t="n">
        <v>5993</v>
      </c>
    </row>
    <row r="1167" customFormat="false" ht="15" hidden="true" customHeight="true" outlineLevel="1" collapsed="false">
      <c r="A1167" s="672"/>
      <c r="B1167" s="881" t="s">
        <v>1848</v>
      </c>
      <c r="C1167" s="739" t="s">
        <v>48</v>
      </c>
      <c r="D1167" s="647"/>
      <c r="E1167" s="750"/>
      <c r="F1167" s="882" t="n">
        <v>13473</v>
      </c>
      <c r="G1167" s="883" t="n">
        <v>6290</v>
      </c>
    </row>
    <row r="1168" customFormat="false" ht="15" hidden="true" customHeight="true" outlineLevel="1" collapsed="false">
      <c r="A1168" s="672"/>
      <c r="B1168" s="881" t="s">
        <v>784</v>
      </c>
      <c r="C1168" s="739" t="s">
        <v>48</v>
      </c>
      <c r="D1168" s="647"/>
      <c r="E1168" s="750"/>
      <c r="F1168" s="882" t="n">
        <v>14833</v>
      </c>
      <c r="G1168" s="883" t="n">
        <v>6673</v>
      </c>
    </row>
    <row r="1169" customFormat="false" ht="15" hidden="true" customHeight="true" outlineLevel="1" collapsed="false">
      <c r="A1169" s="672"/>
      <c r="B1169" s="881" t="s">
        <v>783</v>
      </c>
      <c r="C1169" s="739" t="s">
        <v>48</v>
      </c>
      <c r="D1169" s="647"/>
      <c r="E1169" s="750"/>
      <c r="F1169" s="882" t="n">
        <v>15000</v>
      </c>
      <c r="G1169" s="883" t="n">
        <v>7353</v>
      </c>
    </row>
    <row r="1170" customFormat="false" ht="15" hidden="true" customHeight="true" outlineLevel="1" collapsed="false">
      <c r="A1170" s="672"/>
      <c r="B1170" s="881" t="s">
        <v>1849</v>
      </c>
      <c r="C1170" s="739" t="s">
        <v>48</v>
      </c>
      <c r="D1170" s="647"/>
      <c r="E1170" s="750"/>
      <c r="F1170" s="882" t="n">
        <v>15768</v>
      </c>
      <c r="G1170" s="883" t="n">
        <v>7098</v>
      </c>
    </row>
    <row r="1171" customFormat="false" ht="15" hidden="true" customHeight="true" outlineLevel="1" collapsed="false">
      <c r="A1171" s="672"/>
      <c r="B1171" s="881" t="s">
        <v>1850</v>
      </c>
      <c r="C1171" s="739" t="s">
        <v>48</v>
      </c>
      <c r="D1171" s="647"/>
      <c r="E1171" s="750"/>
      <c r="F1171" s="882" t="n">
        <v>16000</v>
      </c>
      <c r="G1171" s="883" t="n">
        <v>7480</v>
      </c>
    </row>
    <row r="1172" customFormat="false" ht="15" hidden="true" customHeight="true" outlineLevel="1" collapsed="false">
      <c r="A1172" s="672"/>
      <c r="B1172" s="881" t="s">
        <v>1851</v>
      </c>
      <c r="C1172" s="739" t="s">
        <v>48</v>
      </c>
      <c r="D1172" s="647"/>
      <c r="E1172" s="750"/>
      <c r="F1172" s="882" t="n">
        <v>16575</v>
      </c>
      <c r="G1172" s="883" t="n">
        <v>7438</v>
      </c>
    </row>
    <row r="1173" customFormat="false" ht="15" hidden="true" customHeight="true" outlineLevel="1" collapsed="false">
      <c r="A1173" s="672"/>
      <c r="B1173" s="881" t="s">
        <v>1852</v>
      </c>
      <c r="C1173" s="739" t="s">
        <v>48</v>
      </c>
      <c r="D1173" s="647"/>
      <c r="E1173" s="750"/>
      <c r="F1173" s="882" t="n">
        <v>17300</v>
      </c>
      <c r="G1173" s="883" t="n">
        <v>7863</v>
      </c>
    </row>
    <row r="1174" customFormat="false" ht="15" hidden="true" customHeight="true" outlineLevel="1" collapsed="false">
      <c r="A1174" s="672"/>
      <c r="B1174" s="881"/>
      <c r="C1174" s="739"/>
      <c r="D1174" s="647"/>
      <c r="E1174" s="750"/>
      <c r="F1174" s="882"/>
      <c r="G1174" s="883"/>
    </row>
    <row r="1175" customFormat="false" ht="15" hidden="true" customHeight="true" outlineLevel="1" collapsed="false">
      <c r="A1175" s="672"/>
      <c r="B1175" s="881"/>
      <c r="C1175" s="739"/>
      <c r="D1175" s="647"/>
      <c r="E1175" s="750"/>
      <c r="F1175" s="882"/>
      <c r="G1175" s="883"/>
    </row>
    <row r="1176" customFormat="false" ht="15" hidden="true" customHeight="true" outlineLevel="1" collapsed="false">
      <c r="A1176" s="672"/>
      <c r="B1176" s="881"/>
      <c r="C1176" s="739"/>
      <c r="D1176" s="647"/>
      <c r="E1176" s="750"/>
      <c r="F1176" s="882"/>
      <c r="G1176" s="883"/>
    </row>
    <row r="1177" customFormat="false" ht="15" hidden="true" customHeight="true" outlineLevel="1" collapsed="false">
      <c r="A1177" s="672"/>
      <c r="B1177" s="881"/>
      <c r="C1177" s="739"/>
      <c r="D1177" s="647"/>
      <c r="E1177" s="750"/>
      <c r="F1177" s="882"/>
      <c r="G1177" s="883"/>
    </row>
    <row r="1178" customFormat="false" ht="15" hidden="true" customHeight="true" outlineLevel="1" collapsed="false">
      <c r="A1178" s="672"/>
      <c r="B1178" s="881"/>
      <c r="C1178" s="739"/>
      <c r="D1178" s="647"/>
      <c r="E1178" s="750"/>
      <c r="F1178" s="882"/>
      <c r="G1178" s="883"/>
    </row>
    <row r="1179" customFormat="false" ht="15" hidden="true" customHeight="true" outlineLevel="1" collapsed="false">
      <c r="A1179" s="672"/>
      <c r="B1179" s="881"/>
      <c r="C1179" s="739"/>
      <c r="D1179" s="647"/>
      <c r="E1179" s="750"/>
      <c r="F1179" s="882"/>
      <c r="G1179" s="883"/>
    </row>
    <row r="1180" customFormat="false" ht="15" hidden="true" customHeight="true" outlineLevel="1" collapsed="false">
      <c r="A1180" s="672"/>
      <c r="B1180" s="881"/>
      <c r="C1180" s="739"/>
      <c r="D1180" s="647"/>
      <c r="E1180" s="750"/>
      <c r="F1180" s="882"/>
      <c r="G1180" s="883"/>
    </row>
    <row r="1181" customFormat="false" ht="15" hidden="true" customHeight="true" outlineLevel="1" collapsed="false">
      <c r="A1181" s="672"/>
      <c r="B1181" s="881"/>
      <c r="C1181" s="739"/>
      <c r="D1181" s="647"/>
      <c r="E1181" s="750"/>
      <c r="F1181" s="882"/>
      <c r="G1181" s="883"/>
    </row>
    <row r="1182" customFormat="false" ht="15" hidden="true" customHeight="true" outlineLevel="1" collapsed="false">
      <c r="A1182" s="672"/>
      <c r="B1182" s="881"/>
      <c r="C1182" s="739"/>
      <c r="D1182" s="647"/>
      <c r="E1182" s="750"/>
      <c r="F1182" s="882"/>
      <c r="G1182" s="883"/>
    </row>
    <row r="1183" customFormat="false" ht="15" hidden="false" customHeight="true" outlineLevel="0" collapsed="false">
      <c r="A1183" s="878" t="s">
        <v>1840</v>
      </c>
      <c r="B1183" s="878"/>
      <c r="C1183" s="770" t="s">
        <v>162</v>
      </c>
      <c r="D1183" s="847"/>
      <c r="E1183" s="847"/>
      <c r="F1183" s="686"/>
      <c r="G1183" s="686" t="s">
        <v>1042</v>
      </c>
    </row>
    <row r="1184" customFormat="false" ht="15" hidden="true" customHeight="true" outlineLevel="1" collapsed="false">
      <c r="A1184" s="768" t="s">
        <v>798</v>
      </c>
      <c r="B1184" s="768"/>
      <c r="C1184" s="770" t="s">
        <v>162</v>
      </c>
      <c r="D1184" s="847"/>
      <c r="E1184" s="847"/>
      <c r="F1184" s="686"/>
      <c r="G1184" s="686" t="s">
        <v>1042</v>
      </c>
    </row>
    <row r="1185" customFormat="false" ht="15" hidden="true" customHeight="true" outlineLevel="1" collapsed="false">
      <c r="A1185" s="667"/>
      <c r="B1185" s="837" t="s">
        <v>161</v>
      </c>
      <c r="C1185" s="739" t="s">
        <v>1738</v>
      </c>
      <c r="D1185" s="647"/>
      <c r="E1185" s="750"/>
      <c r="F1185" s="704"/>
      <c r="G1185" s="740" t="s">
        <v>1526</v>
      </c>
    </row>
    <row r="1186" customFormat="false" ht="15" hidden="true" customHeight="true" outlineLevel="1" collapsed="false">
      <c r="A1186" s="672"/>
      <c r="B1186" s="837" t="s">
        <v>1853</v>
      </c>
      <c r="C1186" s="739" t="s">
        <v>48</v>
      </c>
      <c r="D1186" s="647"/>
      <c r="E1186" s="750"/>
      <c r="F1186" s="704"/>
      <c r="G1186" s="740" t="n">
        <v>400</v>
      </c>
    </row>
    <row r="1187" customFormat="false" ht="15" hidden="true" customHeight="true" outlineLevel="1" collapsed="false">
      <c r="A1187" s="672"/>
      <c r="B1187" s="837" t="s">
        <v>1854</v>
      </c>
      <c r="C1187" s="739" t="s">
        <v>48</v>
      </c>
      <c r="D1187" s="647"/>
      <c r="E1187" s="750"/>
      <c r="F1187" s="704"/>
      <c r="G1187" s="740" t="n">
        <v>2000</v>
      </c>
    </row>
    <row r="1188" customFormat="false" ht="15" hidden="true" customHeight="true" outlineLevel="1" collapsed="false">
      <c r="A1188" s="672"/>
      <c r="B1188" s="837" t="s">
        <v>1855</v>
      </c>
      <c r="C1188" s="739" t="s">
        <v>48</v>
      </c>
      <c r="D1188" s="647"/>
      <c r="E1188" s="750"/>
      <c r="F1188" s="704"/>
      <c r="G1188" s="740" t="n">
        <v>1000</v>
      </c>
    </row>
    <row r="1189" customFormat="false" ht="15" hidden="true" customHeight="true" outlineLevel="1" collapsed="false">
      <c r="A1189" s="672"/>
      <c r="B1189" s="837" t="s">
        <v>1856</v>
      </c>
      <c r="C1189" s="739" t="s">
        <v>48</v>
      </c>
      <c r="D1189" s="647"/>
      <c r="E1189" s="750"/>
      <c r="F1189" s="704"/>
      <c r="G1189" s="740" t="n">
        <v>900</v>
      </c>
    </row>
    <row r="1190" customFormat="false" ht="15" hidden="true" customHeight="true" outlineLevel="1" collapsed="false">
      <c r="A1190" s="672"/>
      <c r="B1190" s="837" t="s">
        <v>1857</v>
      </c>
      <c r="C1190" s="739" t="s">
        <v>48</v>
      </c>
      <c r="D1190" s="647"/>
      <c r="E1190" s="750"/>
      <c r="F1190" s="704"/>
      <c r="G1190" s="740" t="n">
        <v>500</v>
      </c>
    </row>
    <row r="1191" customFormat="false" ht="15" hidden="true" customHeight="true" outlineLevel="1" collapsed="false">
      <c r="A1191" s="672"/>
      <c r="B1191" s="837" t="s">
        <v>1858</v>
      </c>
      <c r="C1191" s="739" t="s">
        <v>48</v>
      </c>
      <c r="D1191" s="647"/>
      <c r="E1191" s="750"/>
      <c r="F1191" s="704"/>
      <c r="G1191" s="740" t="n">
        <v>1500</v>
      </c>
    </row>
    <row r="1192" customFormat="false" ht="15" hidden="true" customHeight="true" outlineLevel="1" collapsed="false">
      <c r="A1192" s="672"/>
      <c r="B1192" s="837" t="s">
        <v>1859</v>
      </c>
      <c r="C1192" s="739" t="s">
        <v>48</v>
      </c>
      <c r="D1192" s="647"/>
      <c r="E1192" s="750"/>
      <c r="F1192" s="704"/>
      <c r="G1192" s="740" t="n">
        <v>15</v>
      </c>
    </row>
    <row r="1193" customFormat="false" ht="15" hidden="true" customHeight="true" outlineLevel="1" collapsed="false">
      <c r="A1193" s="672"/>
      <c r="B1193" s="837" t="s">
        <v>1860</v>
      </c>
      <c r="C1193" s="739" t="s">
        <v>48</v>
      </c>
      <c r="D1193" s="647"/>
      <c r="E1193" s="750"/>
      <c r="F1193" s="704"/>
      <c r="G1193" s="740" t="n">
        <v>20</v>
      </c>
    </row>
    <row r="1194" customFormat="false" ht="15" hidden="true" customHeight="true" outlineLevel="1" collapsed="false">
      <c r="A1194" s="672"/>
      <c r="B1194" s="837" t="s">
        <v>1861</v>
      </c>
      <c r="C1194" s="739" t="s">
        <v>48</v>
      </c>
      <c r="D1194" s="647"/>
      <c r="E1194" s="750"/>
      <c r="F1194" s="704"/>
      <c r="G1194" s="740" t="n">
        <v>200</v>
      </c>
    </row>
    <row r="1195" customFormat="false" ht="15" hidden="true" customHeight="true" outlineLevel="1" collapsed="false">
      <c r="A1195" s="672"/>
      <c r="B1195" s="837" t="s">
        <v>1862</v>
      </c>
      <c r="C1195" s="739" t="s">
        <v>48</v>
      </c>
      <c r="D1195" s="647"/>
      <c r="E1195" s="750"/>
      <c r="F1195" s="704"/>
      <c r="G1195" s="740" t="n">
        <v>100</v>
      </c>
    </row>
    <row r="1196" customFormat="false" ht="15" hidden="true" customHeight="true" outlineLevel="1" collapsed="false">
      <c r="A1196" s="672"/>
      <c r="B1196" s="837"/>
      <c r="C1196" s="739"/>
      <c r="D1196" s="647"/>
      <c r="E1196" s="750"/>
      <c r="F1196" s="704"/>
      <c r="G1196" s="740"/>
    </row>
    <row r="1197" customFormat="false" ht="15" hidden="true" customHeight="true" outlineLevel="1" collapsed="false">
      <c r="A1197" s="672"/>
      <c r="B1197" s="837"/>
      <c r="C1197" s="739"/>
      <c r="D1197" s="647"/>
      <c r="E1197" s="750"/>
      <c r="F1197" s="704"/>
      <c r="G1197" s="740"/>
    </row>
    <row r="1198" customFormat="false" ht="15" hidden="false" customHeight="true" outlineLevel="0" collapsed="false">
      <c r="A1198" s="768" t="s">
        <v>798</v>
      </c>
      <c r="B1198" s="768"/>
      <c r="C1198" s="770" t="s">
        <v>162</v>
      </c>
      <c r="D1198" s="847"/>
      <c r="E1198" s="847"/>
      <c r="F1198" s="686"/>
      <c r="G1198" s="686" t="s">
        <v>1042</v>
      </c>
    </row>
    <row r="1199" customFormat="false" ht="15" hidden="true" customHeight="true" outlineLevel="1" collapsed="false">
      <c r="A1199" s="884" t="s">
        <v>802</v>
      </c>
      <c r="B1199" s="884"/>
      <c r="C1199" s="770" t="s">
        <v>162</v>
      </c>
      <c r="D1199" s="847"/>
      <c r="E1199" s="847"/>
      <c r="F1199" s="686"/>
      <c r="G1199" s="686" t="s">
        <v>1042</v>
      </c>
    </row>
    <row r="1200" customFormat="false" ht="15" hidden="true" customHeight="true" outlineLevel="1" collapsed="false">
      <c r="A1200" s="667"/>
      <c r="B1200" s="837" t="s">
        <v>1863</v>
      </c>
      <c r="C1200" s="739" t="s">
        <v>1043</v>
      </c>
      <c r="D1200" s="647"/>
      <c r="E1200" s="750"/>
      <c r="F1200" s="704"/>
      <c r="G1200" s="740" t="n">
        <v>4500</v>
      </c>
    </row>
    <row r="1201" customFormat="false" ht="15" hidden="true" customHeight="true" outlineLevel="1" collapsed="false">
      <c r="A1201" s="672"/>
      <c r="B1201" s="738" t="s">
        <v>1864</v>
      </c>
      <c r="C1201" s="739" t="s">
        <v>820</v>
      </c>
      <c r="D1201" s="647"/>
      <c r="E1201" s="750"/>
      <c r="F1201" s="704"/>
      <c r="G1201" s="740" t="n">
        <v>350</v>
      </c>
    </row>
    <row r="1202" customFormat="false" ht="15" hidden="true" customHeight="true" outlineLevel="1" collapsed="false">
      <c r="A1202" s="672"/>
      <c r="B1202" s="738" t="s">
        <v>1865</v>
      </c>
      <c r="C1202" s="739" t="s">
        <v>48</v>
      </c>
      <c r="D1202" s="647"/>
      <c r="E1202" s="750"/>
      <c r="F1202" s="704"/>
      <c r="G1202" s="740" t="n">
        <v>300</v>
      </c>
    </row>
    <row r="1203" customFormat="false" ht="15" hidden="true" customHeight="true" outlineLevel="1" collapsed="false">
      <c r="A1203" s="672"/>
      <c r="B1203" s="649" t="s">
        <v>1866</v>
      </c>
      <c r="C1203" s="739" t="s">
        <v>15</v>
      </c>
      <c r="D1203" s="647"/>
      <c r="E1203" s="750"/>
      <c r="F1203" s="704"/>
      <c r="G1203" s="740" t="n">
        <v>60</v>
      </c>
    </row>
    <row r="1204" customFormat="false" ht="15" hidden="true" customHeight="true" outlineLevel="1" collapsed="false">
      <c r="A1204" s="672"/>
      <c r="B1204" s="649" t="s">
        <v>1867</v>
      </c>
      <c r="C1204" s="739" t="s">
        <v>15</v>
      </c>
      <c r="D1204" s="647"/>
      <c r="E1204" s="750"/>
      <c r="F1204" s="704"/>
      <c r="G1204" s="740" t="n">
        <v>40</v>
      </c>
    </row>
    <row r="1205" customFormat="false" ht="15" hidden="true" customHeight="true" outlineLevel="1" collapsed="false">
      <c r="A1205" s="672"/>
      <c r="B1205" s="885" t="s">
        <v>1868</v>
      </c>
      <c r="C1205" s="739" t="s">
        <v>820</v>
      </c>
      <c r="D1205" s="647"/>
      <c r="E1205" s="750"/>
      <c r="F1205" s="704"/>
      <c r="G1205" s="740" t="n">
        <v>550</v>
      </c>
    </row>
    <row r="1206" customFormat="false" ht="15" hidden="true" customHeight="true" outlineLevel="1" collapsed="false">
      <c r="A1206" s="672"/>
      <c r="B1206" s="885" t="s">
        <v>1869</v>
      </c>
      <c r="C1206" s="739" t="s">
        <v>48</v>
      </c>
      <c r="D1206" s="647"/>
      <c r="E1206" s="750"/>
      <c r="F1206" s="704"/>
      <c r="G1206" s="740" t="n">
        <v>350</v>
      </c>
    </row>
    <row r="1207" customFormat="false" ht="15" hidden="true" customHeight="true" outlineLevel="1" collapsed="false">
      <c r="A1207" s="672"/>
      <c r="B1207" s="885" t="s">
        <v>843</v>
      </c>
      <c r="C1207" s="739" t="s">
        <v>820</v>
      </c>
      <c r="D1207" s="647"/>
      <c r="E1207" s="750"/>
      <c r="F1207" s="704"/>
      <c r="G1207" s="740" t="n">
        <v>450</v>
      </c>
    </row>
    <row r="1208" customFormat="false" ht="15" hidden="true" customHeight="true" outlineLevel="1" collapsed="false">
      <c r="A1208" s="672"/>
      <c r="B1208" s="738" t="s">
        <v>1870</v>
      </c>
      <c r="C1208" s="739" t="s">
        <v>820</v>
      </c>
      <c r="D1208" s="647"/>
      <c r="E1208" s="750"/>
      <c r="F1208" s="704"/>
      <c r="G1208" s="740" t="n">
        <v>450</v>
      </c>
    </row>
    <row r="1209" customFormat="false" ht="15" hidden="true" customHeight="true" outlineLevel="1" collapsed="false">
      <c r="A1209" s="672"/>
      <c r="B1209" s="837" t="s">
        <v>1871</v>
      </c>
      <c r="C1209" s="739" t="s">
        <v>48</v>
      </c>
      <c r="D1209" s="647"/>
      <c r="E1209" s="750"/>
      <c r="F1209" s="704"/>
      <c r="G1209" s="740" t="n">
        <v>15</v>
      </c>
    </row>
    <row r="1210" customFormat="false" ht="15" hidden="true" customHeight="true" outlineLevel="1" collapsed="false">
      <c r="A1210" s="672"/>
      <c r="B1210" s="886" t="s">
        <v>1872</v>
      </c>
      <c r="C1210" s="739" t="s">
        <v>820</v>
      </c>
      <c r="D1210" s="647"/>
      <c r="E1210" s="750"/>
      <c r="F1210" s="704"/>
      <c r="G1210" s="740" t="n">
        <v>1000</v>
      </c>
    </row>
    <row r="1211" customFormat="false" ht="15" hidden="true" customHeight="true" outlineLevel="1" collapsed="false">
      <c r="A1211" s="672"/>
      <c r="B1211" s="886" t="s">
        <v>1873</v>
      </c>
      <c r="C1211" s="739" t="s">
        <v>1036</v>
      </c>
      <c r="D1211" s="647"/>
      <c r="E1211" s="750"/>
      <c r="F1211" s="704"/>
      <c r="G1211" s="740" t="n">
        <v>250</v>
      </c>
    </row>
    <row r="1212" customFormat="false" ht="15" hidden="true" customHeight="true" outlineLevel="1" collapsed="false">
      <c r="A1212" s="672"/>
      <c r="B1212" s="887" t="s">
        <v>828</v>
      </c>
      <c r="C1212" s="739" t="s">
        <v>15</v>
      </c>
      <c r="D1212" s="647"/>
      <c r="E1212" s="750"/>
      <c r="F1212" s="704"/>
      <c r="G1212" s="740" t="n">
        <v>100</v>
      </c>
    </row>
    <row r="1213" customFormat="false" ht="15" hidden="true" customHeight="true" outlineLevel="1" collapsed="false">
      <c r="A1213" s="672"/>
      <c r="B1213" s="888" t="s">
        <v>823</v>
      </c>
      <c r="C1213" s="739" t="s">
        <v>820</v>
      </c>
      <c r="D1213" s="647"/>
      <c r="E1213" s="750"/>
      <c r="F1213" s="704"/>
      <c r="G1213" s="740" t="n">
        <v>600</v>
      </c>
    </row>
    <row r="1214" customFormat="false" ht="15" hidden="true" customHeight="true" outlineLevel="1" collapsed="false">
      <c r="A1214" s="672"/>
      <c r="B1214" s="647" t="s">
        <v>1874</v>
      </c>
      <c r="C1214" s="648" t="s">
        <v>434</v>
      </c>
      <c r="D1214" s="647"/>
      <c r="E1214" s="647"/>
      <c r="F1214" s="807"/>
      <c r="G1214" s="807" t="n">
        <v>0</v>
      </c>
    </row>
    <row r="1215" customFormat="false" ht="15" hidden="true" customHeight="true" outlineLevel="1" collapsed="false">
      <c r="A1215" s="672"/>
      <c r="B1215" s="647" t="s">
        <v>373</v>
      </c>
      <c r="C1215" s="648" t="s">
        <v>434</v>
      </c>
      <c r="D1215" s="647"/>
      <c r="E1215" s="647"/>
      <c r="F1215" s="807"/>
      <c r="G1215" s="807" t="n">
        <v>150</v>
      </c>
    </row>
    <row r="1216" customFormat="false" ht="15" hidden="true" customHeight="true" outlineLevel="1" collapsed="false">
      <c r="A1216" s="672"/>
      <c r="B1216" s="647" t="s">
        <v>1875</v>
      </c>
      <c r="C1216" s="648" t="s">
        <v>434</v>
      </c>
      <c r="D1216" s="647"/>
      <c r="E1216" s="750"/>
      <c r="F1216" s="704"/>
      <c r="G1216" s="785" t="n">
        <v>250</v>
      </c>
    </row>
    <row r="1217" customFormat="false" ht="15" hidden="true" customHeight="true" outlineLevel="1" collapsed="false">
      <c r="A1217" s="672"/>
      <c r="B1217" s="647" t="s">
        <v>1876</v>
      </c>
      <c r="C1217" s="648" t="s">
        <v>434</v>
      </c>
      <c r="D1217" s="647"/>
      <c r="E1217" s="750"/>
      <c r="F1217" s="704"/>
      <c r="G1217" s="785" t="n">
        <v>350</v>
      </c>
    </row>
    <row r="1218" customFormat="false" ht="15" hidden="true" customHeight="true" outlineLevel="1" collapsed="false">
      <c r="A1218" s="672"/>
      <c r="B1218" s="784"/>
      <c r="C1218" s="761"/>
      <c r="D1218" s="647"/>
      <c r="E1218" s="750"/>
      <c r="F1218" s="704"/>
      <c r="G1218" s="785"/>
    </row>
    <row r="1219" customFormat="false" ht="15" hidden="false" customHeight="true" outlineLevel="0" collapsed="false">
      <c r="A1219" s="884" t="s">
        <v>802</v>
      </c>
      <c r="B1219" s="884"/>
      <c r="C1219" s="770" t="s">
        <v>162</v>
      </c>
      <c r="D1219" s="847"/>
      <c r="E1219" s="847"/>
      <c r="F1219" s="686"/>
      <c r="G1219" s="686" t="s">
        <v>1042</v>
      </c>
    </row>
    <row r="1220" customFormat="false" ht="15" hidden="true" customHeight="true" outlineLevel="1" collapsed="false">
      <c r="A1220" s="824" t="s">
        <v>1877</v>
      </c>
      <c r="B1220" s="824"/>
      <c r="C1220" s="770" t="s">
        <v>162</v>
      </c>
      <c r="D1220" s="847"/>
      <c r="E1220" s="847"/>
      <c r="F1220" s="686"/>
      <c r="G1220" s="686" t="s">
        <v>1042</v>
      </c>
    </row>
    <row r="1221" customFormat="false" ht="15" hidden="true" customHeight="true" outlineLevel="1" collapsed="false">
      <c r="A1221" s="667"/>
      <c r="B1221" s="739" t="s">
        <v>1878</v>
      </c>
      <c r="C1221" s="739"/>
      <c r="D1221" s="647"/>
      <c r="E1221" s="750"/>
      <c r="F1221" s="704"/>
      <c r="G1221" s="740"/>
    </row>
    <row r="1222" customFormat="false" ht="15" hidden="true" customHeight="true" outlineLevel="1" collapsed="false">
      <c r="A1222" s="672"/>
      <c r="B1222" s="837" t="s">
        <v>1879</v>
      </c>
      <c r="C1222" s="739" t="s">
        <v>820</v>
      </c>
      <c r="D1222" s="647"/>
      <c r="E1222" s="750"/>
      <c r="F1222" s="704"/>
      <c r="G1222" s="740" t="n">
        <v>90</v>
      </c>
    </row>
    <row r="1223" customFormat="false" ht="15" hidden="true" customHeight="true" outlineLevel="1" collapsed="false">
      <c r="A1223" s="672"/>
      <c r="B1223" s="837" t="s">
        <v>1880</v>
      </c>
      <c r="C1223" s="739" t="s">
        <v>48</v>
      </c>
      <c r="D1223" s="647"/>
      <c r="E1223" s="750"/>
      <c r="F1223" s="704"/>
      <c r="G1223" s="740" t="n">
        <v>100</v>
      </c>
    </row>
    <row r="1224" customFormat="false" ht="15" hidden="true" customHeight="true" outlineLevel="1" collapsed="false">
      <c r="A1224" s="672"/>
      <c r="B1224" s="837" t="s">
        <v>1881</v>
      </c>
      <c r="C1224" s="739" t="s">
        <v>48</v>
      </c>
      <c r="D1224" s="647"/>
      <c r="E1224" s="750"/>
      <c r="F1224" s="704"/>
      <c r="G1224" s="740" t="n">
        <v>100</v>
      </c>
    </row>
    <row r="1225" customFormat="false" ht="15" hidden="true" customHeight="true" outlineLevel="1" collapsed="false">
      <c r="A1225" s="672"/>
      <c r="B1225" s="837" t="s">
        <v>1882</v>
      </c>
      <c r="C1225" s="739" t="s">
        <v>48</v>
      </c>
      <c r="D1225" s="647"/>
      <c r="E1225" s="750"/>
      <c r="F1225" s="704"/>
      <c r="G1225" s="740" t="n">
        <v>9</v>
      </c>
    </row>
    <row r="1226" customFormat="false" ht="15" hidden="true" customHeight="true" outlineLevel="1" collapsed="false">
      <c r="A1226" s="672"/>
      <c r="B1226" s="837" t="s">
        <v>1883</v>
      </c>
      <c r="C1226" s="739" t="s">
        <v>48</v>
      </c>
      <c r="D1226" s="647"/>
      <c r="E1226" s="750"/>
      <c r="F1226" s="704"/>
      <c r="G1226" s="740" t="n">
        <v>0.025</v>
      </c>
    </row>
    <row r="1227" customFormat="false" ht="15" hidden="true" customHeight="true" outlineLevel="1" collapsed="false">
      <c r="A1227" s="672"/>
      <c r="B1227" s="837" t="s">
        <v>1884</v>
      </c>
      <c r="C1227" s="739" t="s">
        <v>48</v>
      </c>
      <c r="D1227" s="647"/>
      <c r="E1227" s="750"/>
      <c r="F1227" s="704"/>
      <c r="G1227" s="740" t="n">
        <v>0.025</v>
      </c>
    </row>
    <row r="1228" customFormat="false" ht="15" hidden="true" customHeight="true" outlineLevel="1" collapsed="false">
      <c r="A1228" s="672"/>
      <c r="B1228" s="837" t="s">
        <v>1885</v>
      </c>
      <c r="C1228" s="739" t="s">
        <v>48</v>
      </c>
      <c r="D1228" s="647"/>
      <c r="E1228" s="750"/>
      <c r="F1228" s="704"/>
      <c r="G1228" s="740" t="n">
        <v>500</v>
      </c>
    </row>
    <row r="1229" customFormat="false" ht="15" hidden="true" customHeight="true" outlineLevel="1" collapsed="false">
      <c r="A1229" s="672"/>
      <c r="B1229" s="837" t="s">
        <v>1886</v>
      </c>
      <c r="C1229" s="739" t="s">
        <v>48</v>
      </c>
      <c r="D1229" s="647"/>
      <c r="E1229" s="750"/>
      <c r="F1229" s="704"/>
      <c r="G1229" s="740" t="n">
        <v>500</v>
      </c>
    </row>
    <row r="1230" customFormat="false" ht="15" hidden="true" customHeight="true" outlineLevel="1" collapsed="false">
      <c r="A1230" s="672"/>
      <c r="B1230" s="837" t="s">
        <v>1887</v>
      </c>
      <c r="C1230" s="739" t="s">
        <v>48</v>
      </c>
      <c r="D1230" s="647"/>
      <c r="E1230" s="750"/>
      <c r="F1230" s="704"/>
      <c r="G1230" s="740" t="n">
        <v>400</v>
      </c>
    </row>
    <row r="1231" customFormat="false" ht="15" hidden="true" customHeight="true" outlineLevel="1" collapsed="false">
      <c r="A1231" s="672"/>
      <c r="B1231" s="837" t="s">
        <v>1888</v>
      </c>
      <c r="C1231" s="739" t="s">
        <v>48</v>
      </c>
      <c r="D1231" s="647"/>
      <c r="E1231" s="750"/>
      <c r="F1231" s="704"/>
      <c r="G1231" s="740" t="n">
        <v>100</v>
      </c>
    </row>
    <row r="1232" customFormat="false" ht="15" hidden="true" customHeight="true" outlineLevel="1" collapsed="false">
      <c r="A1232" s="672"/>
      <c r="B1232" s="837" t="s">
        <v>841</v>
      </c>
      <c r="C1232" s="889" t="s">
        <v>820</v>
      </c>
      <c r="D1232" s="647"/>
      <c r="E1232" s="750"/>
      <c r="F1232" s="704"/>
      <c r="G1232" s="740" t="n">
        <v>30</v>
      </c>
    </row>
    <row r="1233" customFormat="false" ht="15" hidden="true" customHeight="true" outlineLevel="1" collapsed="false">
      <c r="A1233" s="672"/>
      <c r="B1233" s="837" t="s">
        <v>1889</v>
      </c>
      <c r="C1233" s="889" t="s">
        <v>48</v>
      </c>
      <c r="D1233" s="647"/>
      <c r="E1233" s="750"/>
      <c r="F1233" s="704"/>
      <c r="G1233" s="740" t="n">
        <v>120</v>
      </c>
    </row>
    <row r="1234" customFormat="false" ht="15" hidden="true" customHeight="true" outlineLevel="1" collapsed="false">
      <c r="A1234" s="672"/>
      <c r="B1234" s="837" t="s">
        <v>1890</v>
      </c>
      <c r="C1234" s="889" t="s">
        <v>48</v>
      </c>
      <c r="D1234" s="647"/>
      <c r="E1234" s="750"/>
      <c r="F1234" s="704"/>
      <c r="G1234" s="740" t="n">
        <v>900</v>
      </c>
    </row>
    <row r="1235" customFormat="false" ht="15" hidden="true" customHeight="true" outlineLevel="1" collapsed="false">
      <c r="A1235" s="672"/>
      <c r="B1235" s="861" t="s">
        <v>843</v>
      </c>
      <c r="C1235" s="889" t="s">
        <v>820</v>
      </c>
      <c r="D1235" s="647"/>
      <c r="E1235" s="750"/>
      <c r="F1235" s="704"/>
      <c r="G1235" s="740" t="n">
        <v>350</v>
      </c>
    </row>
    <row r="1236" customFormat="false" ht="15" hidden="true" customHeight="true" outlineLevel="1" collapsed="false">
      <c r="A1236" s="672"/>
      <c r="B1236" s="861" t="s">
        <v>1891</v>
      </c>
      <c r="C1236" s="889" t="s">
        <v>820</v>
      </c>
      <c r="D1236" s="647"/>
      <c r="E1236" s="750"/>
      <c r="F1236" s="704"/>
      <c r="G1236" s="740" t="n">
        <v>500</v>
      </c>
    </row>
    <row r="1237" customFormat="false" ht="15" hidden="true" customHeight="true" outlineLevel="1" collapsed="false">
      <c r="A1237" s="672"/>
      <c r="B1237" s="861" t="s">
        <v>847</v>
      </c>
      <c r="C1237" s="889" t="s">
        <v>820</v>
      </c>
      <c r="D1237" s="647"/>
      <c r="E1237" s="750"/>
      <c r="F1237" s="704"/>
      <c r="G1237" s="740" t="n">
        <v>250</v>
      </c>
    </row>
    <row r="1238" customFormat="false" ht="15" hidden="true" customHeight="true" outlineLevel="1" collapsed="false">
      <c r="A1238" s="672"/>
      <c r="B1238" s="861" t="s">
        <v>1892</v>
      </c>
      <c r="C1238" s="889" t="s">
        <v>15</v>
      </c>
      <c r="D1238" s="647"/>
      <c r="E1238" s="750"/>
      <c r="F1238" s="704"/>
      <c r="G1238" s="740" t="n">
        <v>6</v>
      </c>
    </row>
    <row r="1239" customFormat="false" ht="15" hidden="true" customHeight="true" outlineLevel="1" collapsed="false">
      <c r="A1239" s="672"/>
      <c r="B1239" s="861" t="s">
        <v>1893</v>
      </c>
      <c r="C1239" s="889" t="s">
        <v>48</v>
      </c>
      <c r="D1239" s="647"/>
      <c r="E1239" s="750"/>
      <c r="F1239" s="704"/>
      <c r="G1239" s="740" t="n">
        <v>8</v>
      </c>
    </row>
    <row r="1240" customFormat="false" ht="15" hidden="true" customHeight="true" outlineLevel="1" collapsed="false">
      <c r="A1240" s="672"/>
      <c r="B1240" s="861" t="s">
        <v>1894</v>
      </c>
      <c r="C1240" s="889" t="s">
        <v>48</v>
      </c>
      <c r="D1240" s="647"/>
      <c r="E1240" s="750"/>
      <c r="F1240" s="704"/>
      <c r="G1240" s="740" t="n">
        <v>0.02</v>
      </c>
    </row>
    <row r="1241" customFormat="false" ht="15" hidden="true" customHeight="true" outlineLevel="1" collapsed="false">
      <c r="A1241" s="672"/>
      <c r="B1241" s="837" t="s">
        <v>1895</v>
      </c>
      <c r="C1241" s="889" t="s">
        <v>48</v>
      </c>
      <c r="D1241" s="647"/>
      <c r="E1241" s="750"/>
      <c r="F1241" s="704"/>
      <c r="G1241" s="740" t="n">
        <v>0.02</v>
      </c>
    </row>
    <row r="1242" customFormat="false" ht="15" hidden="true" customHeight="true" outlineLevel="1" collapsed="false">
      <c r="A1242" s="672"/>
      <c r="B1242" s="739" t="s">
        <v>1896</v>
      </c>
      <c r="C1242" s="889"/>
      <c r="D1242" s="647"/>
      <c r="E1242" s="750"/>
      <c r="F1242" s="704"/>
      <c r="G1242" s="740"/>
    </row>
    <row r="1243" customFormat="false" ht="15" hidden="true" customHeight="true" outlineLevel="1" collapsed="false">
      <c r="A1243" s="672"/>
      <c r="B1243" s="837" t="s">
        <v>1897</v>
      </c>
      <c r="C1243" s="739" t="s">
        <v>820</v>
      </c>
      <c r="D1243" s="647"/>
      <c r="E1243" s="750"/>
      <c r="F1243" s="704"/>
      <c r="G1243" s="740" t="n">
        <v>80</v>
      </c>
    </row>
    <row r="1244" customFormat="false" ht="15" hidden="true" customHeight="true" outlineLevel="1" collapsed="false">
      <c r="A1244" s="672"/>
      <c r="B1244" s="837" t="s">
        <v>1880</v>
      </c>
      <c r="C1244" s="739" t="s">
        <v>48</v>
      </c>
      <c r="D1244" s="647"/>
      <c r="E1244" s="750"/>
      <c r="F1244" s="704"/>
      <c r="G1244" s="740" t="n">
        <v>100</v>
      </c>
    </row>
    <row r="1245" customFormat="false" ht="15" hidden="true" customHeight="true" outlineLevel="1" collapsed="false">
      <c r="A1245" s="672"/>
      <c r="B1245" s="837" t="s">
        <v>1881</v>
      </c>
      <c r="C1245" s="739" t="s">
        <v>48</v>
      </c>
      <c r="D1245" s="647"/>
      <c r="E1245" s="750"/>
      <c r="F1245" s="704"/>
      <c r="G1245" s="740" t="n">
        <v>100</v>
      </c>
    </row>
    <row r="1246" customFormat="false" ht="15" hidden="true" customHeight="true" outlineLevel="1" collapsed="false">
      <c r="A1246" s="672"/>
      <c r="B1246" s="837" t="s">
        <v>1882</v>
      </c>
      <c r="C1246" s="739" t="s">
        <v>48</v>
      </c>
      <c r="D1246" s="647"/>
      <c r="E1246" s="750"/>
      <c r="F1246" s="704"/>
      <c r="G1246" s="740" t="n">
        <v>9</v>
      </c>
    </row>
    <row r="1247" customFormat="false" ht="15" hidden="true" customHeight="true" outlineLevel="1" collapsed="false">
      <c r="A1247" s="672"/>
      <c r="B1247" s="837" t="s">
        <v>1883</v>
      </c>
      <c r="C1247" s="739" t="s">
        <v>48</v>
      </c>
      <c r="D1247" s="647"/>
      <c r="E1247" s="750"/>
      <c r="F1247" s="704"/>
      <c r="G1247" s="740" t="n">
        <v>0.025</v>
      </c>
    </row>
    <row r="1248" customFormat="false" ht="15" hidden="true" customHeight="true" outlineLevel="1" collapsed="false">
      <c r="A1248" s="672"/>
      <c r="B1248" s="837" t="s">
        <v>1884</v>
      </c>
      <c r="C1248" s="739" t="s">
        <v>48</v>
      </c>
      <c r="D1248" s="647"/>
      <c r="E1248" s="750"/>
      <c r="F1248" s="704"/>
      <c r="G1248" s="740" t="n">
        <v>0.025</v>
      </c>
    </row>
    <row r="1249" customFormat="false" ht="15" hidden="true" customHeight="true" outlineLevel="1" collapsed="false">
      <c r="A1249" s="672"/>
      <c r="B1249" s="837" t="s">
        <v>1885</v>
      </c>
      <c r="C1249" s="739" t="s">
        <v>48</v>
      </c>
      <c r="D1249" s="647"/>
      <c r="E1249" s="750"/>
      <c r="F1249" s="704"/>
      <c r="G1249" s="740" t="n">
        <v>500</v>
      </c>
    </row>
    <row r="1250" customFormat="false" ht="15" hidden="true" customHeight="true" outlineLevel="1" collapsed="false">
      <c r="A1250" s="672"/>
      <c r="B1250" s="837" t="s">
        <v>1886</v>
      </c>
      <c r="C1250" s="739" t="s">
        <v>48</v>
      </c>
      <c r="D1250" s="647"/>
      <c r="E1250" s="750"/>
      <c r="F1250" s="704"/>
      <c r="G1250" s="740" t="n">
        <v>500</v>
      </c>
    </row>
    <row r="1251" customFormat="false" ht="15" hidden="true" customHeight="true" outlineLevel="1" collapsed="false">
      <c r="A1251" s="672"/>
      <c r="B1251" s="837" t="s">
        <v>1887</v>
      </c>
      <c r="C1251" s="739" t="s">
        <v>48</v>
      </c>
      <c r="D1251" s="647"/>
      <c r="E1251" s="750"/>
      <c r="F1251" s="704"/>
      <c r="G1251" s="740" t="n">
        <v>400</v>
      </c>
    </row>
    <row r="1252" customFormat="false" ht="15" hidden="true" customHeight="true" outlineLevel="1" collapsed="false">
      <c r="A1252" s="672"/>
      <c r="B1252" s="837" t="s">
        <v>1888</v>
      </c>
      <c r="C1252" s="739" t="s">
        <v>48</v>
      </c>
      <c r="D1252" s="647"/>
      <c r="E1252" s="750"/>
      <c r="F1252" s="704"/>
      <c r="G1252" s="740" t="n">
        <v>100</v>
      </c>
    </row>
    <row r="1253" customFormat="false" ht="15" hidden="true" customHeight="true" outlineLevel="1" collapsed="false">
      <c r="A1253" s="672"/>
      <c r="B1253" s="837" t="s">
        <v>1898</v>
      </c>
      <c r="C1253" s="889" t="s">
        <v>48</v>
      </c>
      <c r="D1253" s="647"/>
      <c r="E1253" s="750"/>
      <c r="F1253" s="704"/>
      <c r="G1253" s="740" t="n">
        <v>1200</v>
      </c>
    </row>
    <row r="1254" customFormat="false" ht="15" hidden="true" customHeight="true" outlineLevel="1" collapsed="false">
      <c r="A1254" s="672"/>
      <c r="B1254" s="837" t="s">
        <v>1899</v>
      </c>
      <c r="C1254" s="889" t="s">
        <v>15</v>
      </c>
      <c r="D1254" s="647"/>
      <c r="E1254" s="750"/>
      <c r="F1254" s="704"/>
      <c r="G1254" s="740" t="n">
        <v>10</v>
      </c>
    </row>
    <row r="1255" customFormat="false" ht="15" hidden="true" customHeight="true" outlineLevel="1" collapsed="false">
      <c r="A1255" s="672"/>
      <c r="B1255" s="837" t="s">
        <v>1900</v>
      </c>
      <c r="C1255" s="889" t="s">
        <v>48</v>
      </c>
      <c r="D1255" s="647"/>
      <c r="E1255" s="750"/>
      <c r="F1255" s="704"/>
      <c r="G1255" s="740" t="n">
        <v>100</v>
      </c>
    </row>
    <row r="1256" customFormat="false" ht="15" hidden="true" customHeight="true" outlineLevel="1" collapsed="false">
      <c r="A1256" s="672"/>
      <c r="B1256" s="837" t="s">
        <v>1901</v>
      </c>
      <c r="C1256" s="889" t="s">
        <v>48</v>
      </c>
      <c r="D1256" s="647"/>
      <c r="E1256" s="750"/>
      <c r="F1256" s="704"/>
      <c r="G1256" s="740" t="n">
        <v>190</v>
      </c>
    </row>
    <row r="1257" customFormat="false" ht="15" hidden="true" customHeight="true" outlineLevel="1" collapsed="false">
      <c r="A1257" s="672"/>
      <c r="B1257" s="837" t="s">
        <v>1902</v>
      </c>
      <c r="C1257" s="889" t="s">
        <v>820</v>
      </c>
      <c r="D1257" s="647"/>
      <c r="E1257" s="750"/>
      <c r="F1257" s="704"/>
      <c r="G1257" s="740" t="n">
        <v>120</v>
      </c>
    </row>
    <row r="1258" customFormat="false" ht="15" hidden="true" customHeight="true" outlineLevel="1" collapsed="false">
      <c r="A1258" s="672"/>
      <c r="B1258" s="837" t="s">
        <v>1903</v>
      </c>
      <c r="C1258" s="889" t="s">
        <v>820</v>
      </c>
      <c r="D1258" s="647"/>
      <c r="E1258" s="750"/>
      <c r="F1258" s="704"/>
      <c r="G1258" s="740" t="n">
        <v>400</v>
      </c>
    </row>
    <row r="1259" customFormat="false" ht="15" hidden="true" customHeight="true" outlineLevel="1" collapsed="false">
      <c r="A1259" s="672"/>
      <c r="B1259" s="861" t="s">
        <v>843</v>
      </c>
      <c r="C1259" s="889" t="s">
        <v>820</v>
      </c>
      <c r="D1259" s="647"/>
      <c r="E1259" s="750"/>
      <c r="F1259" s="704"/>
      <c r="G1259" s="740" t="n">
        <v>350</v>
      </c>
    </row>
    <row r="1260" customFormat="false" ht="15" hidden="true" customHeight="true" outlineLevel="1" collapsed="false">
      <c r="A1260" s="672"/>
      <c r="B1260" s="861" t="s">
        <v>1891</v>
      </c>
      <c r="C1260" s="889" t="s">
        <v>820</v>
      </c>
      <c r="D1260" s="647"/>
      <c r="E1260" s="750"/>
      <c r="F1260" s="704"/>
      <c r="G1260" s="740" t="n">
        <v>500</v>
      </c>
    </row>
    <row r="1261" customFormat="false" ht="15" hidden="true" customHeight="true" outlineLevel="1" collapsed="false">
      <c r="A1261" s="672"/>
      <c r="B1261" s="861" t="s">
        <v>847</v>
      </c>
      <c r="C1261" s="889" t="s">
        <v>820</v>
      </c>
      <c r="D1261" s="647"/>
      <c r="E1261" s="750"/>
      <c r="F1261" s="704"/>
      <c r="G1261" s="740" t="n">
        <v>250</v>
      </c>
    </row>
    <row r="1262" customFormat="false" ht="15" hidden="true" customHeight="true" outlineLevel="1" collapsed="false">
      <c r="A1262" s="672"/>
      <c r="B1262" s="861" t="s">
        <v>1892</v>
      </c>
      <c r="C1262" s="889" t="s">
        <v>15</v>
      </c>
      <c r="D1262" s="647"/>
      <c r="E1262" s="750"/>
      <c r="F1262" s="704"/>
      <c r="G1262" s="740" t="n">
        <v>6</v>
      </c>
    </row>
    <row r="1263" customFormat="false" ht="15" hidden="true" customHeight="true" outlineLevel="1" collapsed="false">
      <c r="A1263" s="672"/>
      <c r="B1263" s="861" t="s">
        <v>1893</v>
      </c>
      <c r="C1263" s="889" t="s">
        <v>48</v>
      </c>
      <c r="D1263" s="647"/>
      <c r="E1263" s="750"/>
      <c r="F1263" s="704"/>
      <c r="G1263" s="740" t="n">
        <v>8</v>
      </c>
    </row>
    <row r="1264" customFormat="false" ht="15" hidden="true" customHeight="true" outlineLevel="1" collapsed="false">
      <c r="A1264" s="672"/>
      <c r="B1264" s="861" t="s">
        <v>1894</v>
      </c>
      <c r="C1264" s="889" t="s">
        <v>48</v>
      </c>
      <c r="D1264" s="647"/>
      <c r="E1264" s="750"/>
      <c r="F1264" s="704"/>
      <c r="G1264" s="740" t="n">
        <v>0.02</v>
      </c>
    </row>
    <row r="1265" customFormat="false" ht="15" hidden="true" customHeight="true" outlineLevel="1" collapsed="false">
      <c r="A1265" s="672"/>
      <c r="B1265" s="837" t="s">
        <v>1895</v>
      </c>
      <c r="C1265" s="889" t="s">
        <v>48</v>
      </c>
      <c r="D1265" s="647"/>
      <c r="E1265" s="750"/>
      <c r="F1265" s="704"/>
      <c r="G1265" s="740" t="n">
        <v>0.02</v>
      </c>
    </row>
    <row r="1266" customFormat="false" ht="15" hidden="true" customHeight="true" outlineLevel="1" collapsed="false">
      <c r="A1266" s="672"/>
      <c r="B1266" s="739" t="s">
        <v>1904</v>
      </c>
      <c r="C1266" s="889"/>
      <c r="D1266" s="647"/>
      <c r="E1266" s="750"/>
      <c r="F1266" s="704"/>
      <c r="G1266" s="740"/>
    </row>
    <row r="1267" customFormat="false" ht="15" hidden="true" customHeight="true" outlineLevel="1" collapsed="false">
      <c r="A1267" s="672"/>
      <c r="B1267" s="837" t="s">
        <v>1905</v>
      </c>
      <c r="C1267" s="889" t="s">
        <v>820</v>
      </c>
      <c r="D1267" s="647"/>
      <c r="E1267" s="750"/>
      <c r="F1267" s="704"/>
      <c r="G1267" s="740" t="n">
        <v>50</v>
      </c>
    </row>
    <row r="1268" customFormat="false" ht="15" hidden="true" customHeight="true" outlineLevel="1" collapsed="false">
      <c r="A1268" s="672"/>
      <c r="B1268" s="837" t="s">
        <v>1906</v>
      </c>
      <c r="C1268" s="889" t="s">
        <v>820</v>
      </c>
      <c r="D1268" s="647"/>
      <c r="E1268" s="750"/>
      <c r="F1268" s="704"/>
      <c r="G1268" s="740" t="n">
        <v>350</v>
      </c>
    </row>
    <row r="1269" customFormat="false" ht="15" hidden="true" customHeight="true" outlineLevel="1" collapsed="false">
      <c r="A1269" s="672"/>
      <c r="B1269" s="837" t="s">
        <v>1907</v>
      </c>
      <c r="C1269" s="889" t="s">
        <v>820</v>
      </c>
      <c r="D1269" s="647"/>
      <c r="E1269" s="750"/>
      <c r="F1269" s="704"/>
      <c r="G1269" s="740" t="n">
        <v>450</v>
      </c>
    </row>
    <row r="1270" customFormat="false" ht="15" hidden="true" customHeight="true" outlineLevel="1" collapsed="false">
      <c r="A1270" s="672"/>
      <c r="B1270" s="890" t="s">
        <v>1908</v>
      </c>
      <c r="C1270" s="889" t="s">
        <v>48</v>
      </c>
      <c r="D1270" s="647"/>
      <c r="E1270" s="750"/>
      <c r="F1270" s="704"/>
      <c r="G1270" s="740" t="n">
        <v>35</v>
      </c>
    </row>
    <row r="1271" customFormat="false" ht="15" hidden="true" customHeight="true" outlineLevel="1" collapsed="false">
      <c r="A1271" s="672"/>
      <c r="B1271" s="837" t="s">
        <v>1909</v>
      </c>
      <c r="C1271" s="889" t="s">
        <v>15</v>
      </c>
      <c r="D1271" s="647"/>
      <c r="E1271" s="750"/>
      <c r="F1271" s="704"/>
      <c r="G1271" s="740" t="n">
        <v>35</v>
      </c>
    </row>
    <row r="1272" customFormat="false" ht="15" hidden="true" customHeight="true" outlineLevel="1" collapsed="false">
      <c r="A1272" s="672"/>
      <c r="B1272" s="837" t="s">
        <v>1910</v>
      </c>
      <c r="C1272" s="889" t="s">
        <v>820</v>
      </c>
      <c r="D1272" s="647"/>
      <c r="E1272" s="750"/>
      <c r="F1272" s="704"/>
      <c r="G1272" s="740" t="n">
        <v>500</v>
      </c>
    </row>
    <row r="1273" customFormat="false" ht="15" hidden="true" customHeight="true" outlineLevel="1" collapsed="false">
      <c r="A1273" s="672"/>
      <c r="B1273" s="837" t="s">
        <v>1911</v>
      </c>
      <c r="C1273" s="889" t="s">
        <v>48</v>
      </c>
      <c r="D1273" s="647"/>
      <c r="E1273" s="750"/>
      <c r="F1273" s="704"/>
      <c r="G1273" s="740" t="n">
        <v>250</v>
      </c>
    </row>
    <row r="1274" customFormat="false" ht="15" hidden="true" customHeight="true" outlineLevel="1" collapsed="false">
      <c r="A1274" s="672"/>
      <c r="B1274" s="837" t="s">
        <v>1885</v>
      </c>
      <c r="C1274" s="889" t="s">
        <v>48</v>
      </c>
      <c r="D1274" s="647"/>
      <c r="E1274" s="750"/>
      <c r="F1274" s="704"/>
      <c r="G1274" s="740" t="n">
        <v>500</v>
      </c>
    </row>
    <row r="1275" customFormat="false" ht="15" hidden="true" customHeight="true" outlineLevel="1" collapsed="false">
      <c r="A1275" s="672"/>
      <c r="B1275" s="837" t="s">
        <v>1912</v>
      </c>
      <c r="C1275" s="889" t="s">
        <v>48</v>
      </c>
      <c r="D1275" s="647"/>
      <c r="E1275" s="750"/>
      <c r="F1275" s="704"/>
      <c r="G1275" s="740" t="n">
        <v>200</v>
      </c>
    </row>
    <row r="1276" customFormat="false" ht="15" hidden="true" customHeight="true" outlineLevel="1" collapsed="false">
      <c r="A1276" s="672"/>
      <c r="B1276" s="837" t="s">
        <v>1913</v>
      </c>
      <c r="C1276" s="889" t="s">
        <v>48</v>
      </c>
      <c r="D1276" s="647"/>
      <c r="E1276" s="750"/>
      <c r="F1276" s="704"/>
      <c r="G1276" s="740" t="n">
        <v>400</v>
      </c>
    </row>
    <row r="1277" customFormat="false" ht="15" hidden="true" customHeight="true" outlineLevel="1" collapsed="false">
      <c r="A1277" s="672"/>
      <c r="B1277" s="739" t="s">
        <v>852</v>
      </c>
      <c r="C1277" s="889"/>
      <c r="D1277" s="647"/>
      <c r="E1277" s="750"/>
      <c r="F1277" s="704"/>
      <c r="G1277" s="740"/>
    </row>
    <row r="1278" customFormat="false" ht="15" hidden="true" customHeight="true" outlineLevel="1" collapsed="false">
      <c r="A1278" s="672"/>
      <c r="B1278" s="837" t="s">
        <v>1914</v>
      </c>
      <c r="C1278" s="889" t="s">
        <v>820</v>
      </c>
      <c r="D1278" s="647"/>
      <c r="E1278" s="750"/>
      <c r="F1278" s="704"/>
      <c r="G1278" s="740" t="n">
        <v>500</v>
      </c>
    </row>
    <row r="1279" customFormat="false" ht="15" hidden="true" customHeight="true" outlineLevel="1" collapsed="false">
      <c r="A1279" s="672"/>
      <c r="B1279" s="837" t="s">
        <v>1915</v>
      </c>
      <c r="C1279" s="889" t="s">
        <v>820</v>
      </c>
      <c r="D1279" s="647"/>
      <c r="E1279" s="750"/>
      <c r="F1279" s="704"/>
      <c r="G1279" s="740" t="n">
        <v>500</v>
      </c>
    </row>
    <row r="1280" customFormat="false" ht="15" hidden="true" customHeight="true" outlineLevel="1" collapsed="false">
      <c r="A1280" s="672"/>
      <c r="B1280" s="837" t="s">
        <v>1916</v>
      </c>
      <c r="C1280" s="889" t="s">
        <v>820</v>
      </c>
      <c r="D1280" s="647"/>
      <c r="E1280" s="750"/>
      <c r="F1280" s="704"/>
      <c r="G1280" s="740" t="n">
        <v>500</v>
      </c>
    </row>
    <row r="1281" customFormat="false" ht="15" hidden="true" customHeight="true" outlineLevel="1" collapsed="false">
      <c r="A1281" s="672"/>
      <c r="B1281" s="837" t="s">
        <v>1911</v>
      </c>
      <c r="C1281" s="889" t="s">
        <v>48</v>
      </c>
      <c r="D1281" s="647"/>
      <c r="E1281" s="750"/>
      <c r="F1281" s="704"/>
      <c r="G1281" s="740" t="n">
        <v>250</v>
      </c>
    </row>
    <row r="1282" customFormat="false" ht="15" hidden="true" customHeight="true" outlineLevel="1" collapsed="false">
      <c r="A1282" s="672"/>
      <c r="B1282" s="837" t="s">
        <v>1885</v>
      </c>
      <c r="C1282" s="889" t="s">
        <v>48</v>
      </c>
      <c r="D1282" s="647"/>
      <c r="E1282" s="750"/>
      <c r="F1282" s="704"/>
      <c r="G1282" s="740" t="n">
        <v>500</v>
      </c>
    </row>
    <row r="1283" customFormat="false" ht="15" hidden="true" customHeight="true" outlineLevel="1" collapsed="false">
      <c r="A1283" s="672"/>
      <c r="B1283" s="837" t="s">
        <v>1917</v>
      </c>
      <c r="C1283" s="889" t="s">
        <v>48</v>
      </c>
      <c r="D1283" s="647"/>
      <c r="E1283" s="750"/>
      <c r="F1283" s="704"/>
      <c r="G1283" s="740" t="n">
        <v>200</v>
      </c>
    </row>
    <row r="1284" customFormat="false" ht="15" hidden="true" customHeight="true" outlineLevel="1" collapsed="false">
      <c r="A1284" s="672"/>
      <c r="B1284" s="837" t="s">
        <v>1913</v>
      </c>
      <c r="C1284" s="889" t="s">
        <v>48</v>
      </c>
      <c r="D1284" s="647"/>
      <c r="E1284" s="750"/>
      <c r="F1284" s="704"/>
      <c r="G1284" s="740" t="n">
        <v>400</v>
      </c>
    </row>
    <row r="1285" customFormat="false" ht="15" hidden="true" customHeight="true" outlineLevel="1" collapsed="false">
      <c r="A1285" s="672"/>
      <c r="B1285" s="837" t="s">
        <v>1918</v>
      </c>
      <c r="C1285" s="889" t="s">
        <v>820</v>
      </c>
      <c r="D1285" s="647"/>
      <c r="E1285" s="750"/>
      <c r="F1285" s="704"/>
      <c r="G1285" s="740" t="n">
        <v>250</v>
      </c>
    </row>
    <row r="1286" customFormat="false" ht="15" hidden="true" customHeight="true" outlineLevel="1" collapsed="false">
      <c r="A1286" s="672"/>
      <c r="B1286" s="837" t="s">
        <v>1919</v>
      </c>
      <c r="C1286" s="889" t="s">
        <v>820</v>
      </c>
      <c r="D1286" s="647"/>
      <c r="E1286" s="750"/>
      <c r="F1286" s="704"/>
      <c r="G1286" s="740" t="n">
        <v>250</v>
      </c>
    </row>
    <row r="1287" customFormat="false" ht="15" hidden="true" customHeight="true" outlineLevel="1" collapsed="false">
      <c r="A1287" s="672"/>
      <c r="B1287" s="837" t="s">
        <v>1920</v>
      </c>
      <c r="C1287" s="889" t="s">
        <v>48</v>
      </c>
      <c r="D1287" s="647"/>
      <c r="E1287" s="750"/>
      <c r="F1287" s="704"/>
      <c r="G1287" s="740" t="n">
        <v>120</v>
      </c>
    </row>
    <row r="1288" customFormat="false" ht="15" hidden="true" customHeight="true" outlineLevel="1" collapsed="false">
      <c r="A1288" s="672"/>
      <c r="B1288" s="837" t="s">
        <v>1903</v>
      </c>
      <c r="C1288" s="889" t="s">
        <v>820</v>
      </c>
      <c r="D1288" s="647"/>
      <c r="E1288" s="750"/>
      <c r="F1288" s="704"/>
      <c r="G1288" s="740" t="n">
        <v>400</v>
      </c>
    </row>
    <row r="1289" customFormat="false" ht="15" hidden="true" customHeight="true" outlineLevel="1" collapsed="false">
      <c r="A1289" s="672"/>
      <c r="B1289" s="891" t="s">
        <v>1921</v>
      </c>
      <c r="C1289" s="739" t="s">
        <v>15</v>
      </c>
      <c r="D1289" s="647"/>
      <c r="E1289" s="750"/>
      <c r="F1289" s="704"/>
      <c r="G1289" s="740"/>
    </row>
    <row r="1290" customFormat="false" ht="15" hidden="true" customHeight="true" outlineLevel="1" collapsed="false">
      <c r="A1290" s="672"/>
      <c r="B1290" s="887" t="s">
        <v>1922</v>
      </c>
      <c r="C1290" s="739" t="s">
        <v>48</v>
      </c>
      <c r="D1290" s="647"/>
      <c r="E1290" s="750"/>
      <c r="F1290" s="704"/>
      <c r="G1290" s="740" t="n">
        <v>1900</v>
      </c>
    </row>
    <row r="1291" customFormat="false" ht="15" hidden="true" customHeight="true" outlineLevel="1" collapsed="false">
      <c r="A1291" s="672"/>
      <c r="B1291" s="837" t="s">
        <v>1923</v>
      </c>
      <c r="C1291" s="739" t="s">
        <v>48</v>
      </c>
      <c r="D1291" s="647"/>
      <c r="E1291" s="750"/>
      <c r="F1291" s="704"/>
      <c r="G1291" s="740" t="n">
        <v>250</v>
      </c>
    </row>
    <row r="1292" customFormat="false" ht="15" hidden="true" customHeight="true" outlineLevel="1" collapsed="false">
      <c r="A1292" s="672"/>
      <c r="B1292" s="837" t="s">
        <v>1924</v>
      </c>
      <c r="C1292" s="739" t="s">
        <v>48</v>
      </c>
      <c r="D1292" s="647"/>
      <c r="E1292" s="750"/>
      <c r="F1292" s="704"/>
      <c r="G1292" s="740" t="n">
        <v>100</v>
      </c>
    </row>
    <row r="1293" customFormat="false" ht="15" hidden="true" customHeight="true" outlineLevel="1" collapsed="false">
      <c r="A1293" s="672"/>
      <c r="B1293" s="837" t="s">
        <v>1925</v>
      </c>
      <c r="C1293" s="739" t="s">
        <v>48</v>
      </c>
      <c r="D1293" s="647"/>
      <c r="E1293" s="750"/>
      <c r="F1293" s="704"/>
      <c r="G1293" s="740" t="n">
        <v>100</v>
      </c>
    </row>
    <row r="1294" customFormat="false" ht="15" hidden="true" customHeight="true" outlineLevel="1" collapsed="false">
      <c r="A1294" s="672"/>
      <c r="B1294" s="837" t="s">
        <v>1926</v>
      </c>
      <c r="C1294" s="739" t="s">
        <v>48</v>
      </c>
      <c r="D1294" s="647"/>
      <c r="E1294" s="750"/>
      <c r="F1294" s="704"/>
      <c r="G1294" s="740" t="n">
        <v>250</v>
      </c>
    </row>
    <row r="1295" customFormat="false" ht="15" hidden="true" customHeight="true" outlineLevel="1" collapsed="false">
      <c r="A1295" s="672"/>
      <c r="B1295" s="837" t="s">
        <v>1927</v>
      </c>
      <c r="C1295" s="739" t="s">
        <v>48</v>
      </c>
      <c r="D1295" s="647"/>
      <c r="E1295" s="750"/>
      <c r="F1295" s="704"/>
      <c r="G1295" s="740" t="n">
        <v>500</v>
      </c>
    </row>
    <row r="1296" customFormat="false" ht="15" hidden="true" customHeight="true" outlineLevel="1" collapsed="false">
      <c r="A1296" s="672"/>
      <c r="B1296" s="837"/>
      <c r="C1296" s="739"/>
      <c r="D1296" s="647"/>
      <c r="E1296" s="750"/>
      <c r="F1296" s="704"/>
      <c r="G1296" s="740"/>
    </row>
    <row r="1297" customFormat="false" ht="15" hidden="true" customHeight="true" outlineLevel="1" collapsed="false">
      <c r="A1297" s="672"/>
      <c r="B1297" s="837"/>
      <c r="C1297" s="739"/>
      <c r="D1297" s="647"/>
      <c r="E1297" s="750"/>
      <c r="F1297" s="704"/>
      <c r="G1297" s="740"/>
    </row>
    <row r="1298" customFormat="false" ht="15" hidden="true" customHeight="true" outlineLevel="1" collapsed="false">
      <c r="A1298" s="672"/>
      <c r="B1298" s="837"/>
      <c r="C1298" s="739"/>
      <c r="D1298" s="647"/>
      <c r="E1298" s="750"/>
      <c r="F1298" s="704"/>
      <c r="G1298" s="740"/>
    </row>
    <row r="1299" customFormat="false" ht="15" hidden="true" customHeight="true" outlineLevel="1" collapsed="false">
      <c r="A1299" s="672"/>
      <c r="B1299" s="837"/>
      <c r="C1299" s="739"/>
      <c r="D1299" s="647"/>
      <c r="E1299" s="750"/>
      <c r="F1299" s="704"/>
      <c r="G1299" s="740"/>
    </row>
    <row r="1300" customFormat="false" ht="15" hidden="true" customHeight="true" outlineLevel="1" collapsed="false">
      <c r="A1300" s="672"/>
      <c r="B1300" s="837"/>
      <c r="C1300" s="739"/>
      <c r="D1300" s="647"/>
      <c r="E1300" s="750"/>
      <c r="F1300" s="704"/>
      <c r="G1300" s="740"/>
    </row>
    <row r="1301" customFormat="false" ht="15" hidden="false" customHeight="true" outlineLevel="0" collapsed="false">
      <c r="A1301" s="824" t="s">
        <v>1877</v>
      </c>
      <c r="B1301" s="824"/>
      <c r="C1301" s="770" t="s">
        <v>162</v>
      </c>
      <c r="D1301" s="847"/>
      <c r="E1301" s="847"/>
      <c r="F1301" s="686"/>
      <c r="G1301" s="686" t="s">
        <v>1042</v>
      </c>
    </row>
    <row r="1302" customFormat="false" ht="15" hidden="true" customHeight="true" outlineLevel="1" collapsed="false">
      <c r="A1302" s="892" t="s">
        <v>1928</v>
      </c>
      <c r="B1302" s="892"/>
      <c r="C1302" s="770" t="s">
        <v>162</v>
      </c>
      <c r="D1302" s="847"/>
      <c r="E1302" s="847"/>
      <c r="F1302" s="686"/>
      <c r="G1302" s="686" t="s">
        <v>1042</v>
      </c>
    </row>
    <row r="1303" customFormat="false" ht="15" hidden="true" customHeight="true" outlineLevel="1" collapsed="false">
      <c r="A1303" s="667"/>
      <c r="B1303" s="767" t="s">
        <v>711</v>
      </c>
      <c r="C1303" s="893" t="s">
        <v>488</v>
      </c>
      <c r="D1303" s="647"/>
      <c r="E1303" s="750"/>
      <c r="F1303" s="704"/>
      <c r="G1303" s="894" t="n">
        <v>0</v>
      </c>
    </row>
    <row r="1304" customFormat="false" ht="15" hidden="true" customHeight="true" outlineLevel="1" collapsed="false">
      <c r="A1304" s="672"/>
      <c r="B1304" s="895" t="s">
        <v>1929</v>
      </c>
      <c r="C1304" s="648" t="s">
        <v>488</v>
      </c>
      <c r="D1304" s="647"/>
      <c r="E1304" s="750"/>
      <c r="F1304" s="704"/>
      <c r="G1304" s="896" t="n">
        <v>291</v>
      </c>
    </row>
    <row r="1305" customFormat="false" ht="15" hidden="true" customHeight="true" outlineLevel="1" collapsed="false">
      <c r="A1305" s="672"/>
      <c r="B1305" s="895" t="s">
        <v>1930</v>
      </c>
      <c r="C1305" s="648" t="s">
        <v>488</v>
      </c>
      <c r="D1305" s="647"/>
      <c r="E1305" s="750"/>
      <c r="F1305" s="704"/>
      <c r="G1305" s="896" t="n">
        <v>240</v>
      </c>
    </row>
    <row r="1306" customFormat="false" ht="15" hidden="true" customHeight="true" outlineLevel="1" collapsed="false">
      <c r="A1306" s="672"/>
      <c r="B1306" s="895" t="s">
        <v>1931</v>
      </c>
      <c r="C1306" s="648" t="s">
        <v>488</v>
      </c>
      <c r="D1306" s="647"/>
      <c r="E1306" s="750"/>
      <c r="F1306" s="704"/>
      <c r="G1306" s="896" t="n">
        <v>239</v>
      </c>
    </row>
    <row r="1307" customFormat="false" ht="15" hidden="true" customHeight="true" outlineLevel="1" collapsed="false">
      <c r="A1307" s="672"/>
      <c r="B1307" s="895" t="s">
        <v>1932</v>
      </c>
      <c r="C1307" s="648" t="s">
        <v>488</v>
      </c>
      <c r="D1307" s="647"/>
      <c r="E1307" s="750"/>
      <c r="F1307" s="704"/>
      <c r="G1307" s="896" t="n">
        <v>245</v>
      </c>
    </row>
    <row r="1308" customFormat="false" ht="15" hidden="true" customHeight="true" outlineLevel="1" collapsed="false">
      <c r="A1308" s="672"/>
      <c r="B1308" s="895" t="s">
        <v>1933</v>
      </c>
      <c r="C1308" s="648" t="s">
        <v>488</v>
      </c>
      <c r="D1308" s="647"/>
      <c r="E1308" s="750"/>
      <c r="F1308" s="704"/>
      <c r="G1308" s="896" t="n">
        <v>198</v>
      </c>
    </row>
    <row r="1309" customFormat="false" ht="15" hidden="true" customHeight="true" outlineLevel="1" collapsed="false">
      <c r="A1309" s="672"/>
      <c r="B1309" s="895" t="s">
        <v>1934</v>
      </c>
      <c r="C1309" s="648" t="s">
        <v>488</v>
      </c>
      <c r="D1309" s="647"/>
      <c r="E1309" s="750"/>
      <c r="F1309" s="704"/>
      <c r="G1309" s="896" t="n">
        <v>202</v>
      </c>
    </row>
    <row r="1310" customFormat="false" ht="15" hidden="true" customHeight="true" outlineLevel="1" collapsed="false">
      <c r="A1310" s="672"/>
      <c r="B1310" s="895" t="s">
        <v>1935</v>
      </c>
      <c r="C1310" s="648" t="s">
        <v>488</v>
      </c>
      <c r="D1310" s="647"/>
      <c r="E1310" s="750"/>
      <c r="F1310" s="704"/>
      <c r="G1310" s="896" t="n">
        <v>174</v>
      </c>
    </row>
    <row r="1311" customFormat="false" ht="15" hidden="true" customHeight="true" outlineLevel="1" collapsed="false">
      <c r="A1311" s="672"/>
      <c r="B1311" s="895" t="s">
        <v>1936</v>
      </c>
      <c r="C1311" s="648" t="s">
        <v>488</v>
      </c>
      <c r="D1311" s="647"/>
      <c r="E1311" s="750"/>
      <c r="F1311" s="704"/>
      <c r="G1311" s="896" t="n">
        <v>193</v>
      </c>
    </row>
    <row r="1312" customFormat="false" ht="15" hidden="true" customHeight="true" outlineLevel="1" collapsed="false">
      <c r="A1312" s="672"/>
      <c r="B1312" s="767"/>
      <c r="C1312" s="893"/>
      <c r="D1312" s="647"/>
      <c r="E1312" s="750"/>
      <c r="F1312" s="704"/>
      <c r="G1312" s="894"/>
    </row>
    <row r="1313" customFormat="false" ht="15" hidden="true" customHeight="true" outlineLevel="1" collapsed="false">
      <c r="A1313" s="672"/>
      <c r="B1313" s="767"/>
      <c r="C1313" s="893"/>
      <c r="D1313" s="647"/>
      <c r="E1313" s="750"/>
      <c r="F1313" s="704"/>
      <c r="G1313" s="894"/>
    </row>
    <row r="1314" customFormat="false" ht="15" hidden="true" customHeight="true" outlineLevel="1" collapsed="false">
      <c r="A1314" s="672"/>
      <c r="B1314" s="767"/>
      <c r="C1314" s="893"/>
      <c r="D1314" s="647"/>
      <c r="E1314" s="750"/>
      <c r="F1314" s="704"/>
      <c r="G1314" s="894"/>
    </row>
    <row r="1315" customFormat="false" ht="15" hidden="true" customHeight="true" outlineLevel="1" collapsed="false">
      <c r="A1315" s="672"/>
      <c r="B1315" s="767"/>
      <c r="C1315" s="893"/>
      <c r="D1315" s="647"/>
      <c r="E1315" s="750"/>
      <c r="F1315" s="704"/>
      <c r="G1315" s="894"/>
    </row>
    <row r="1316" customFormat="false" ht="15" hidden="true" customHeight="true" outlineLevel="1" collapsed="false">
      <c r="A1316" s="672"/>
      <c r="B1316" s="767"/>
      <c r="C1316" s="893"/>
      <c r="D1316" s="647"/>
      <c r="E1316" s="750"/>
      <c r="F1316" s="704"/>
      <c r="G1316" s="894"/>
    </row>
    <row r="1317" customFormat="false" ht="15" hidden="true" customHeight="true" outlineLevel="1" collapsed="false">
      <c r="A1317" s="672"/>
      <c r="B1317" s="767"/>
      <c r="C1317" s="893"/>
      <c r="D1317" s="647"/>
      <c r="E1317" s="750"/>
      <c r="F1317" s="704"/>
      <c r="G1317" s="894"/>
    </row>
    <row r="1318" customFormat="false" ht="15" hidden="true" customHeight="true" outlineLevel="1" collapsed="false">
      <c r="A1318" s="672"/>
      <c r="B1318" s="767"/>
      <c r="C1318" s="893"/>
      <c r="D1318" s="647"/>
      <c r="E1318" s="750"/>
      <c r="F1318" s="704"/>
      <c r="G1318" s="894"/>
    </row>
    <row r="1319" customFormat="false" ht="15" hidden="true" customHeight="true" outlineLevel="1" collapsed="false">
      <c r="A1319" s="672"/>
      <c r="B1319" s="767"/>
      <c r="C1319" s="893"/>
      <c r="D1319" s="647"/>
      <c r="E1319" s="750"/>
      <c r="F1319" s="704"/>
      <c r="G1319" s="894"/>
    </row>
    <row r="1320" customFormat="false" ht="15" hidden="false" customHeight="true" outlineLevel="0" collapsed="false">
      <c r="A1320" s="892" t="s">
        <v>1928</v>
      </c>
      <c r="B1320" s="892"/>
      <c r="C1320" s="770" t="s">
        <v>162</v>
      </c>
      <c r="D1320" s="847"/>
      <c r="E1320" s="847"/>
      <c r="F1320" s="686"/>
      <c r="G1320" s="686" t="s">
        <v>1042</v>
      </c>
    </row>
    <row r="1321" customFormat="false" ht="15" hidden="true" customHeight="true" outlineLevel="1" collapsed="false">
      <c r="A1321" s="753" t="s">
        <v>1937</v>
      </c>
      <c r="B1321" s="733"/>
      <c r="C1321" s="770" t="s">
        <v>162</v>
      </c>
      <c r="D1321" s="847"/>
      <c r="E1321" s="847"/>
      <c r="F1321" s="686"/>
      <c r="G1321" s="686" t="s">
        <v>1042</v>
      </c>
    </row>
    <row r="1322" customFormat="false" ht="15" hidden="true" customHeight="true" outlineLevel="1" collapsed="false">
      <c r="A1322" s="667"/>
      <c r="B1322" s="748" t="s">
        <v>1938</v>
      </c>
      <c r="C1322" s="749" t="s">
        <v>15</v>
      </c>
      <c r="D1322" s="750"/>
      <c r="E1322" s="750"/>
      <c r="F1322" s="704"/>
      <c r="G1322" s="750" t="n">
        <v>45</v>
      </c>
    </row>
    <row r="1323" customFormat="false" ht="15" hidden="true" customHeight="true" outlineLevel="1" collapsed="false">
      <c r="A1323" s="672"/>
      <c r="B1323" s="748" t="s">
        <v>1939</v>
      </c>
      <c r="C1323" s="749" t="s">
        <v>15</v>
      </c>
      <c r="D1323" s="750"/>
      <c r="E1323" s="750"/>
      <c r="F1323" s="704"/>
      <c r="G1323" s="750" t="n">
        <v>47</v>
      </c>
    </row>
    <row r="1324" customFormat="false" ht="15" hidden="true" customHeight="true" outlineLevel="1" collapsed="false">
      <c r="A1324" s="672"/>
      <c r="B1324" s="748" t="s">
        <v>1940</v>
      </c>
      <c r="C1324" s="749" t="s">
        <v>15</v>
      </c>
      <c r="D1324" s="750"/>
      <c r="E1324" s="750"/>
      <c r="F1324" s="704"/>
      <c r="G1324" s="750" t="n">
        <v>49</v>
      </c>
    </row>
    <row r="1325" customFormat="false" ht="15" hidden="true" customHeight="true" outlineLevel="1" collapsed="false">
      <c r="A1325" s="672"/>
      <c r="B1325" s="748" t="s">
        <v>1941</v>
      </c>
      <c r="C1325" s="749" t="s">
        <v>15</v>
      </c>
      <c r="D1325" s="750"/>
      <c r="E1325" s="750"/>
      <c r="F1325" s="704"/>
      <c r="G1325" s="750" t="n">
        <v>52</v>
      </c>
    </row>
    <row r="1326" customFormat="false" ht="15" hidden="true" customHeight="true" outlineLevel="1" collapsed="false">
      <c r="A1326" s="672"/>
      <c r="B1326" s="748" t="s">
        <v>1942</v>
      </c>
      <c r="C1326" s="749" t="s">
        <v>15</v>
      </c>
      <c r="D1326" s="750"/>
      <c r="E1326" s="750"/>
      <c r="F1326" s="704"/>
      <c r="G1326" s="750" t="n">
        <v>58</v>
      </c>
    </row>
    <row r="1327" customFormat="false" ht="15" hidden="true" customHeight="true" outlineLevel="1" collapsed="false">
      <c r="A1327" s="672"/>
      <c r="B1327" s="748" t="s">
        <v>1943</v>
      </c>
      <c r="C1327" s="749" t="s">
        <v>15</v>
      </c>
      <c r="D1327" s="750"/>
      <c r="E1327" s="750"/>
      <c r="F1327" s="704"/>
      <c r="G1327" s="750" t="n">
        <v>62</v>
      </c>
    </row>
    <row r="1328" customFormat="false" ht="15" hidden="true" customHeight="true" outlineLevel="1" collapsed="false">
      <c r="A1328" s="672"/>
      <c r="B1328" s="748" t="s">
        <v>1944</v>
      </c>
      <c r="C1328" s="749" t="s">
        <v>15</v>
      </c>
      <c r="D1328" s="750"/>
      <c r="E1328" s="750"/>
      <c r="F1328" s="704"/>
      <c r="G1328" s="750" t="n">
        <v>66</v>
      </c>
    </row>
    <row r="1329" customFormat="false" ht="15" hidden="true" customHeight="true" outlineLevel="1" collapsed="false">
      <c r="A1329" s="672"/>
      <c r="B1329" s="748" t="s">
        <v>1945</v>
      </c>
      <c r="C1329" s="749" t="s">
        <v>15</v>
      </c>
      <c r="D1329" s="750"/>
      <c r="E1329" s="750"/>
      <c r="F1329" s="704"/>
      <c r="G1329" s="750" t="n">
        <v>70</v>
      </c>
    </row>
    <row r="1330" customFormat="false" ht="15" hidden="true" customHeight="true" outlineLevel="1" collapsed="false">
      <c r="A1330" s="672"/>
      <c r="B1330" s="748" t="s">
        <v>808</v>
      </c>
      <c r="C1330" s="749" t="s">
        <v>48</v>
      </c>
      <c r="D1330" s="750"/>
      <c r="E1330" s="750"/>
      <c r="F1330" s="704"/>
      <c r="G1330" s="750" t="n">
        <v>0</v>
      </c>
    </row>
    <row r="1331" customFormat="false" ht="15" hidden="true" customHeight="true" outlineLevel="1" collapsed="false">
      <c r="A1331" s="672"/>
      <c r="B1331" s="748" t="s">
        <v>1946</v>
      </c>
      <c r="C1331" s="749" t="s">
        <v>48</v>
      </c>
      <c r="D1331" s="750"/>
      <c r="E1331" s="750"/>
      <c r="F1331" s="704"/>
      <c r="G1331" s="750" t="n">
        <v>10</v>
      </c>
    </row>
    <row r="1332" customFormat="false" ht="15" hidden="true" customHeight="true" outlineLevel="1" collapsed="false">
      <c r="A1332" s="672"/>
      <c r="B1332" s="748" t="s">
        <v>1947</v>
      </c>
      <c r="C1332" s="749" t="s">
        <v>48</v>
      </c>
      <c r="D1332" s="750"/>
      <c r="E1332" s="750"/>
      <c r="F1332" s="704"/>
      <c r="G1332" s="750" t="n">
        <v>12</v>
      </c>
    </row>
    <row r="1333" customFormat="false" ht="15" hidden="true" customHeight="true" outlineLevel="1" collapsed="false">
      <c r="A1333" s="672"/>
      <c r="B1333" s="748" t="s">
        <v>1948</v>
      </c>
      <c r="C1333" s="749" t="s">
        <v>48</v>
      </c>
      <c r="D1333" s="750"/>
      <c r="E1333" s="750"/>
      <c r="F1333" s="704"/>
      <c r="G1333" s="750" t="n">
        <v>15</v>
      </c>
    </row>
    <row r="1334" customFormat="false" ht="15" hidden="true" customHeight="true" outlineLevel="1" collapsed="false">
      <c r="A1334" s="672"/>
      <c r="B1334" s="748" t="s">
        <v>1949</v>
      </c>
      <c r="C1334" s="749" t="s">
        <v>48</v>
      </c>
      <c r="D1334" s="750"/>
      <c r="E1334" s="750"/>
      <c r="F1334" s="704"/>
      <c r="G1334" s="750" t="n">
        <v>17</v>
      </c>
    </row>
    <row r="1335" customFormat="false" ht="15" hidden="true" customHeight="true" outlineLevel="1" collapsed="false">
      <c r="A1335" s="672"/>
      <c r="B1335" s="748" t="s">
        <v>825</v>
      </c>
      <c r="C1335" s="749" t="s">
        <v>48</v>
      </c>
      <c r="D1335" s="750"/>
      <c r="E1335" s="750"/>
      <c r="F1335" s="704"/>
      <c r="G1335" s="750" t="n">
        <v>19</v>
      </c>
    </row>
    <row r="1336" customFormat="false" ht="15" hidden="true" customHeight="true" outlineLevel="1" collapsed="false">
      <c r="A1336" s="672"/>
      <c r="B1336" s="748" t="s">
        <v>1950</v>
      </c>
      <c r="C1336" s="749" t="s">
        <v>48</v>
      </c>
      <c r="D1336" s="750"/>
      <c r="E1336" s="750"/>
      <c r="F1336" s="704"/>
      <c r="G1336" s="750" t="n">
        <v>21</v>
      </c>
    </row>
    <row r="1337" customFormat="false" ht="15" hidden="true" customHeight="true" outlineLevel="1" collapsed="false">
      <c r="A1337" s="672"/>
      <c r="B1337" s="748" t="s">
        <v>1951</v>
      </c>
      <c r="C1337" s="749" t="s">
        <v>48</v>
      </c>
      <c r="D1337" s="750"/>
      <c r="E1337" s="750"/>
      <c r="F1337" s="704"/>
      <c r="G1337" s="750" t="n">
        <v>23</v>
      </c>
    </row>
    <row r="1338" customFormat="false" ht="15" hidden="true" customHeight="true" outlineLevel="1" collapsed="false">
      <c r="A1338" s="672"/>
      <c r="B1338" s="748" t="s">
        <v>1952</v>
      </c>
      <c r="C1338" s="749" t="s">
        <v>48</v>
      </c>
      <c r="D1338" s="750"/>
      <c r="E1338" s="750"/>
      <c r="F1338" s="704"/>
      <c r="G1338" s="750" t="n">
        <v>24</v>
      </c>
    </row>
    <row r="1339" customFormat="false" ht="15" hidden="true" customHeight="true" outlineLevel="1" collapsed="false">
      <c r="A1339" s="672"/>
      <c r="B1339" s="748" t="s">
        <v>1953</v>
      </c>
      <c r="C1339" s="749" t="s">
        <v>48</v>
      </c>
      <c r="D1339" s="750"/>
      <c r="E1339" s="750"/>
      <c r="F1339" s="704"/>
      <c r="G1339" s="750" t="n">
        <v>27</v>
      </c>
    </row>
    <row r="1340" customFormat="false" ht="15" hidden="true" customHeight="true" outlineLevel="1" collapsed="false">
      <c r="A1340" s="672"/>
      <c r="B1340" s="748" t="s">
        <v>1954</v>
      </c>
      <c r="C1340" s="749" t="s">
        <v>48</v>
      </c>
      <c r="D1340" s="750"/>
      <c r="E1340" s="750"/>
      <c r="F1340" s="704"/>
      <c r="G1340" s="750" t="n">
        <v>29</v>
      </c>
    </row>
    <row r="1341" customFormat="false" ht="15" hidden="true" customHeight="true" outlineLevel="1" collapsed="false">
      <c r="A1341" s="672"/>
      <c r="B1341" s="748" t="s">
        <v>1955</v>
      </c>
      <c r="C1341" s="749" t="s">
        <v>48</v>
      </c>
      <c r="D1341" s="750"/>
      <c r="E1341" s="750"/>
      <c r="F1341" s="704"/>
      <c r="G1341" s="750" t="n">
        <v>33</v>
      </c>
    </row>
    <row r="1342" customFormat="false" ht="15" hidden="true" customHeight="true" outlineLevel="1" collapsed="false">
      <c r="A1342" s="672"/>
      <c r="B1342" s="748"/>
      <c r="C1342" s="749"/>
      <c r="D1342" s="750"/>
      <c r="E1342" s="750"/>
      <c r="F1342" s="704"/>
      <c r="G1342" s="750"/>
    </row>
    <row r="1343" customFormat="false" ht="15" hidden="true" customHeight="true" outlineLevel="1" collapsed="false">
      <c r="A1343" s="672"/>
      <c r="B1343" s="748"/>
      <c r="C1343" s="749"/>
      <c r="D1343" s="750"/>
      <c r="E1343" s="750"/>
      <c r="F1343" s="704"/>
      <c r="G1343" s="750"/>
    </row>
    <row r="1344" customFormat="false" ht="15" hidden="false" customHeight="true" outlineLevel="0" collapsed="false">
      <c r="A1344" s="753" t="s">
        <v>1937</v>
      </c>
      <c r="B1344" s="733"/>
      <c r="C1344" s="770" t="s">
        <v>162</v>
      </c>
      <c r="D1344" s="847"/>
      <c r="E1344" s="847"/>
      <c r="F1344" s="686"/>
      <c r="G1344" s="686" t="s">
        <v>1042</v>
      </c>
    </row>
    <row r="1345" customFormat="false" ht="15" hidden="true" customHeight="true" outlineLevel="1" collapsed="false">
      <c r="A1345" s="753" t="s">
        <v>1956</v>
      </c>
      <c r="B1345" s="733"/>
      <c r="C1345" s="770" t="s">
        <v>162</v>
      </c>
      <c r="D1345" s="847"/>
      <c r="E1345" s="847"/>
      <c r="F1345" s="686"/>
      <c r="G1345" s="686" t="s">
        <v>1042</v>
      </c>
    </row>
    <row r="1346" s="705" customFormat="true" ht="15" hidden="true" customHeight="true" outlineLevel="1" collapsed="false">
      <c r="A1346" s="700"/>
      <c r="B1346" s="674" t="s">
        <v>812</v>
      </c>
      <c r="C1346" s="828" t="s">
        <v>820</v>
      </c>
      <c r="D1346" s="112"/>
      <c r="E1346" s="112"/>
      <c r="F1346" s="850"/>
      <c r="G1346" s="850" t="n">
        <v>0</v>
      </c>
      <c r="H1346" s="651"/>
      <c r="I1346" s="651"/>
      <c r="J1346" s="651"/>
      <c r="K1346" s="651"/>
      <c r="L1346" s="651"/>
      <c r="M1346" s="651"/>
      <c r="N1346" s="651"/>
      <c r="O1346" s="651"/>
      <c r="P1346" s="651"/>
      <c r="Q1346" s="651"/>
      <c r="R1346" s="651"/>
      <c r="S1346" s="651"/>
      <c r="T1346" s="651"/>
      <c r="U1346" s="651"/>
    </row>
    <row r="1347" customFormat="false" ht="15" hidden="true" customHeight="true" outlineLevel="1" collapsed="false">
      <c r="A1347" s="706"/>
      <c r="B1347" s="748" t="s">
        <v>1957</v>
      </c>
      <c r="C1347" s="749" t="s">
        <v>820</v>
      </c>
      <c r="D1347" s="750"/>
      <c r="E1347" s="750"/>
      <c r="F1347" s="704"/>
      <c r="G1347" s="750" t="n">
        <v>75</v>
      </c>
    </row>
    <row r="1348" customFormat="false" ht="15" hidden="true" customHeight="true" outlineLevel="1" collapsed="false">
      <c r="A1348" s="706"/>
      <c r="B1348" s="748" t="s">
        <v>826</v>
      </c>
      <c r="C1348" s="749" t="s">
        <v>820</v>
      </c>
      <c r="D1348" s="750"/>
      <c r="E1348" s="750"/>
      <c r="F1348" s="704"/>
      <c r="G1348" s="750" t="n">
        <v>85</v>
      </c>
    </row>
    <row r="1349" customFormat="false" ht="15" hidden="true" customHeight="true" outlineLevel="1" collapsed="false">
      <c r="A1349" s="706"/>
      <c r="B1349" s="748" t="s">
        <v>1958</v>
      </c>
      <c r="C1349" s="749" t="s">
        <v>820</v>
      </c>
      <c r="D1349" s="750"/>
      <c r="E1349" s="750"/>
      <c r="F1349" s="704"/>
      <c r="G1349" s="750" t="n">
        <v>100</v>
      </c>
    </row>
    <row r="1350" customFormat="false" ht="15" hidden="true" customHeight="true" outlineLevel="1" collapsed="false">
      <c r="A1350" s="706"/>
      <c r="B1350" s="748" t="s">
        <v>1959</v>
      </c>
      <c r="C1350" s="749" t="s">
        <v>820</v>
      </c>
      <c r="D1350" s="750"/>
      <c r="E1350" s="750"/>
      <c r="F1350" s="704"/>
      <c r="G1350" s="750" t="n">
        <v>110</v>
      </c>
    </row>
    <row r="1351" customFormat="false" ht="15" hidden="true" customHeight="true" outlineLevel="1" collapsed="false">
      <c r="A1351" s="706"/>
      <c r="B1351" s="748" t="s">
        <v>1960</v>
      </c>
      <c r="C1351" s="749" t="s">
        <v>820</v>
      </c>
      <c r="D1351" s="750"/>
      <c r="E1351" s="750"/>
      <c r="F1351" s="704"/>
      <c r="G1351" s="750" t="n">
        <v>130</v>
      </c>
    </row>
    <row r="1352" customFormat="false" ht="15" hidden="true" customHeight="true" outlineLevel="1" collapsed="false">
      <c r="A1352" s="706"/>
      <c r="B1352" s="748"/>
      <c r="C1352" s="749"/>
      <c r="D1352" s="750"/>
      <c r="E1352" s="750"/>
      <c r="F1352" s="704"/>
      <c r="G1352" s="750"/>
    </row>
    <row r="1353" customFormat="false" ht="15" hidden="true" customHeight="true" outlineLevel="1" collapsed="false">
      <c r="A1353" s="706"/>
      <c r="B1353" s="748"/>
      <c r="C1353" s="749"/>
      <c r="D1353" s="750"/>
      <c r="E1353" s="750"/>
      <c r="F1353" s="704"/>
      <c r="G1353" s="750"/>
    </row>
    <row r="1354" customFormat="false" ht="15" hidden="false" customHeight="true" outlineLevel="0" collapsed="false">
      <c r="A1354" s="753" t="s">
        <v>1956</v>
      </c>
      <c r="B1354" s="733"/>
      <c r="C1354" s="770" t="s">
        <v>162</v>
      </c>
      <c r="D1354" s="847"/>
      <c r="E1354" s="847"/>
      <c r="F1354" s="686"/>
      <c r="G1354" s="686" t="s">
        <v>1042</v>
      </c>
    </row>
    <row r="1355" customFormat="false" ht="15" hidden="true" customHeight="true" outlineLevel="1" collapsed="false">
      <c r="A1355" s="753" t="s">
        <v>1961</v>
      </c>
      <c r="B1355" s="733"/>
      <c r="C1355" s="770" t="s">
        <v>162</v>
      </c>
      <c r="D1355" s="847"/>
      <c r="E1355" s="847"/>
      <c r="F1355" s="686"/>
      <c r="G1355" s="686" t="s">
        <v>1042</v>
      </c>
    </row>
    <row r="1356" customFormat="false" ht="15" hidden="true" customHeight="true" outlineLevel="1" collapsed="false">
      <c r="A1356" s="751"/>
      <c r="B1356" s="748" t="s">
        <v>814</v>
      </c>
      <c r="C1356" s="749" t="s">
        <v>434</v>
      </c>
      <c r="D1356" s="750"/>
      <c r="E1356" s="750"/>
      <c r="F1356" s="704"/>
      <c r="G1356" s="750" t="n">
        <v>0</v>
      </c>
    </row>
    <row r="1357" customFormat="false" ht="15" hidden="true" customHeight="true" outlineLevel="1" collapsed="false">
      <c r="A1357" s="751"/>
      <c r="B1357" s="748" t="s">
        <v>1962</v>
      </c>
      <c r="C1357" s="749" t="s">
        <v>434</v>
      </c>
      <c r="D1357" s="750"/>
      <c r="E1357" s="750"/>
      <c r="F1357" s="704"/>
      <c r="G1357" s="750" t="n">
        <v>100</v>
      </c>
    </row>
    <row r="1358" customFormat="false" ht="15" hidden="true" customHeight="true" outlineLevel="1" collapsed="false">
      <c r="A1358" s="751"/>
      <c r="B1358" s="748" t="s">
        <v>1963</v>
      </c>
      <c r="C1358" s="749" t="s">
        <v>434</v>
      </c>
      <c r="D1358" s="750"/>
      <c r="E1358" s="750"/>
      <c r="F1358" s="704"/>
      <c r="G1358" s="750" t="n">
        <v>200</v>
      </c>
    </row>
    <row r="1359" customFormat="false" ht="15" hidden="true" customHeight="true" outlineLevel="1" collapsed="false">
      <c r="A1359" s="751"/>
      <c r="B1359" s="748" t="s">
        <v>702</v>
      </c>
      <c r="C1359" s="749" t="s">
        <v>434</v>
      </c>
      <c r="D1359" s="750"/>
      <c r="E1359" s="750"/>
      <c r="F1359" s="704"/>
      <c r="G1359" s="750" t="n">
        <v>0</v>
      </c>
    </row>
    <row r="1360" customFormat="false" ht="15" hidden="true" customHeight="true" outlineLevel="1" collapsed="false">
      <c r="A1360" s="751"/>
      <c r="B1360" s="793" t="s">
        <v>1964</v>
      </c>
      <c r="C1360" s="791" t="s">
        <v>1388</v>
      </c>
      <c r="D1360" s="703"/>
      <c r="E1360" s="772"/>
      <c r="F1360" s="703"/>
      <c r="G1360" s="792" t="n">
        <v>305</v>
      </c>
    </row>
    <row r="1361" customFormat="false" ht="15" hidden="true" customHeight="true" outlineLevel="1" collapsed="false">
      <c r="A1361" s="751"/>
      <c r="B1361" s="793" t="s">
        <v>1965</v>
      </c>
      <c r="C1361" s="791" t="s">
        <v>1388</v>
      </c>
      <c r="D1361" s="703"/>
      <c r="E1361" s="772"/>
      <c r="F1361" s="703"/>
      <c r="G1361" s="792" t="n">
        <v>305</v>
      </c>
    </row>
    <row r="1362" customFormat="false" ht="15" hidden="true" customHeight="true" outlineLevel="1" collapsed="false">
      <c r="A1362" s="751"/>
      <c r="B1362" s="793" t="s">
        <v>1966</v>
      </c>
      <c r="C1362" s="791" t="s">
        <v>1388</v>
      </c>
      <c r="D1362" s="703"/>
      <c r="E1362" s="772"/>
      <c r="F1362" s="703"/>
      <c r="G1362" s="792" t="n">
        <v>305</v>
      </c>
    </row>
    <row r="1363" customFormat="false" ht="15" hidden="true" customHeight="true" outlineLevel="1" collapsed="false">
      <c r="A1363" s="751"/>
      <c r="B1363" s="793" t="s">
        <v>1967</v>
      </c>
      <c r="C1363" s="791" t="s">
        <v>1388</v>
      </c>
      <c r="D1363" s="703"/>
      <c r="E1363" s="772"/>
      <c r="F1363" s="703"/>
      <c r="G1363" s="792" t="n">
        <v>305</v>
      </c>
    </row>
    <row r="1364" customFormat="false" ht="15" hidden="true" customHeight="true" outlineLevel="1" collapsed="false">
      <c r="A1364" s="751"/>
      <c r="B1364" s="793" t="s">
        <v>1968</v>
      </c>
      <c r="C1364" s="791" t="s">
        <v>1388</v>
      </c>
      <c r="D1364" s="703"/>
      <c r="E1364" s="772"/>
      <c r="F1364" s="703"/>
      <c r="G1364" s="792" t="n">
        <v>305</v>
      </c>
    </row>
    <row r="1365" customFormat="false" ht="15" hidden="true" customHeight="true" outlineLevel="1" collapsed="false">
      <c r="A1365" s="751"/>
      <c r="B1365" s="793" t="s">
        <v>1969</v>
      </c>
      <c r="C1365" s="791" t="s">
        <v>1388</v>
      </c>
      <c r="D1365" s="703"/>
      <c r="E1365" s="772"/>
      <c r="F1365" s="703"/>
      <c r="G1365" s="792" t="n">
        <v>305</v>
      </c>
    </row>
    <row r="1366" customFormat="false" ht="15" hidden="true" customHeight="true" outlineLevel="1" collapsed="false">
      <c r="A1366" s="751"/>
      <c r="B1366" s="793" t="s">
        <v>1970</v>
      </c>
      <c r="C1366" s="791" t="s">
        <v>1388</v>
      </c>
      <c r="D1366" s="703"/>
      <c r="E1366" s="772"/>
      <c r="F1366" s="703"/>
      <c r="G1366" s="792" t="n">
        <v>305</v>
      </c>
    </row>
    <row r="1367" customFormat="false" ht="15" hidden="true" customHeight="true" outlineLevel="1" collapsed="false">
      <c r="A1367" s="751"/>
      <c r="B1367" s="793" t="s">
        <v>1971</v>
      </c>
      <c r="C1367" s="791" t="s">
        <v>1388</v>
      </c>
      <c r="D1367" s="703"/>
      <c r="E1367" s="772"/>
      <c r="F1367" s="703"/>
      <c r="G1367" s="792" t="n">
        <v>305</v>
      </c>
    </row>
    <row r="1368" customFormat="false" ht="15" hidden="true" customHeight="true" outlineLevel="1" collapsed="false">
      <c r="A1368" s="751"/>
      <c r="B1368" s="793" t="s">
        <v>1972</v>
      </c>
      <c r="C1368" s="791" t="s">
        <v>1388</v>
      </c>
      <c r="D1368" s="703"/>
      <c r="E1368" s="772"/>
      <c r="F1368" s="703"/>
      <c r="G1368" s="792" t="n">
        <v>180</v>
      </c>
    </row>
    <row r="1369" customFormat="false" ht="15" hidden="true" customHeight="true" outlineLevel="1" collapsed="false">
      <c r="A1369" s="751"/>
      <c r="B1369" s="793" t="s">
        <v>1973</v>
      </c>
      <c r="C1369" s="791" t="s">
        <v>1388</v>
      </c>
      <c r="D1369" s="703"/>
      <c r="E1369" s="772"/>
      <c r="F1369" s="703"/>
      <c r="G1369" s="792" t="n">
        <v>180</v>
      </c>
    </row>
    <row r="1370" customFormat="false" ht="15" hidden="true" customHeight="true" outlineLevel="1" collapsed="false">
      <c r="A1370" s="751"/>
      <c r="B1370" s="793" t="s">
        <v>1974</v>
      </c>
      <c r="C1370" s="791" t="s">
        <v>1388</v>
      </c>
      <c r="D1370" s="703"/>
      <c r="E1370" s="772"/>
      <c r="F1370" s="703"/>
      <c r="G1370" s="792" t="n">
        <v>180</v>
      </c>
    </row>
    <row r="1371" customFormat="false" ht="15" hidden="true" customHeight="true" outlineLevel="1" collapsed="false">
      <c r="A1371" s="751"/>
      <c r="B1371" s="793" t="s">
        <v>1975</v>
      </c>
      <c r="C1371" s="791" t="s">
        <v>1388</v>
      </c>
      <c r="D1371" s="703"/>
      <c r="E1371" s="772"/>
      <c r="F1371" s="703"/>
      <c r="G1371" s="792" t="n">
        <v>180</v>
      </c>
    </row>
    <row r="1372" customFormat="false" ht="15" hidden="true" customHeight="true" outlineLevel="1" collapsed="false">
      <c r="A1372" s="751"/>
      <c r="B1372" s="793" t="s">
        <v>1976</v>
      </c>
      <c r="C1372" s="791" t="s">
        <v>1388</v>
      </c>
      <c r="D1372" s="703"/>
      <c r="E1372" s="772"/>
      <c r="F1372" s="703"/>
      <c r="G1372" s="792" t="n">
        <v>180</v>
      </c>
    </row>
    <row r="1373" customFormat="false" ht="15" hidden="true" customHeight="true" outlineLevel="1" collapsed="false">
      <c r="A1373" s="751"/>
      <c r="B1373" s="793" t="s">
        <v>1977</v>
      </c>
      <c r="C1373" s="791" t="s">
        <v>1388</v>
      </c>
      <c r="D1373" s="703"/>
      <c r="E1373" s="772"/>
      <c r="F1373" s="703"/>
      <c r="G1373" s="792" t="n">
        <v>180</v>
      </c>
    </row>
    <row r="1374" customFormat="false" ht="15" hidden="true" customHeight="true" outlineLevel="1" collapsed="false">
      <c r="A1374" s="751"/>
      <c r="B1374" s="793" t="s">
        <v>1978</v>
      </c>
      <c r="C1374" s="791" t="s">
        <v>1388</v>
      </c>
      <c r="D1374" s="703"/>
      <c r="E1374" s="772"/>
      <c r="F1374" s="703"/>
      <c r="G1374" s="792" t="n">
        <v>180</v>
      </c>
    </row>
    <row r="1375" customFormat="false" ht="15" hidden="true" customHeight="true" outlineLevel="1" collapsed="false">
      <c r="A1375" s="751"/>
      <c r="B1375" s="793" t="s">
        <v>1979</v>
      </c>
      <c r="C1375" s="791" t="s">
        <v>1388</v>
      </c>
      <c r="D1375" s="703"/>
      <c r="E1375" s="772"/>
      <c r="F1375" s="703"/>
      <c r="G1375" s="792" t="n">
        <v>180</v>
      </c>
    </row>
    <row r="1376" customFormat="false" ht="15" hidden="true" customHeight="true" outlineLevel="1" collapsed="false">
      <c r="A1376" s="751"/>
      <c r="B1376" s="793" t="s">
        <v>1980</v>
      </c>
      <c r="C1376" s="791" t="s">
        <v>1388</v>
      </c>
      <c r="D1376" s="703"/>
      <c r="E1376" s="772"/>
      <c r="F1376" s="703"/>
      <c r="G1376" s="792" t="n">
        <v>119</v>
      </c>
    </row>
    <row r="1377" customFormat="false" ht="15" hidden="true" customHeight="true" outlineLevel="1" collapsed="false">
      <c r="A1377" s="751"/>
      <c r="B1377" s="793" t="s">
        <v>1981</v>
      </c>
      <c r="C1377" s="791" t="s">
        <v>1388</v>
      </c>
      <c r="D1377" s="703"/>
      <c r="E1377" s="772"/>
      <c r="F1377" s="703"/>
      <c r="G1377" s="792" t="n">
        <v>119</v>
      </c>
    </row>
    <row r="1378" customFormat="false" ht="15" hidden="true" customHeight="true" outlineLevel="1" collapsed="false">
      <c r="A1378" s="751"/>
      <c r="B1378" s="793" t="s">
        <v>1982</v>
      </c>
      <c r="C1378" s="791" t="s">
        <v>1388</v>
      </c>
      <c r="D1378" s="703"/>
      <c r="E1378" s="772"/>
      <c r="F1378" s="703"/>
      <c r="G1378" s="792" t="n">
        <v>119</v>
      </c>
    </row>
    <row r="1379" customFormat="false" ht="15" hidden="true" customHeight="true" outlineLevel="1" collapsed="false">
      <c r="A1379" s="751"/>
      <c r="B1379" s="793" t="s">
        <v>1983</v>
      </c>
      <c r="C1379" s="791" t="s">
        <v>1388</v>
      </c>
      <c r="D1379" s="703"/>
      <c r="E1379" s="772"/>
      <c r="F1379" s="703"/>
      <c r="G1379" s="792" t="n">
        <v>119</v>
      </c>
    </row>
    <row r="1380" customFormat="false" ht="15" hidden="true" customHeight="true" outlineLevel="1" collapsed="false">
      <c r="A1380" s="751"/>
      <c r="B1380" s="793" t="s">
        <v>1984</v>
      </c>
      <c r="C1380" s="791" t="s">
        <v>1388</v>
      </c>
      <c r="D1380" s="703"/>
      <c r="E1380" s="772"/>
      <c r="F1380" s="703"/>
      <c r="G1380" s="792" t="n">
        <v>119</v>
      </c>
    </row>
    <row r="1381" customFormat="false" ht="15" hidden="true" customHeight="true" outlineLevel="1" collapsed="false">
      <c r="A1381" s="751"/>
      <c r="B1381" s="793" t="s">
        <v>1985</v>
      </c>
      <c r="C1381" s="791" t="s">
        <v>1388</v>
      </c>
      <c r="D1381" s="703"/>
      <c r="E1381" s="772"/>
      <c r="F1381" s="703"/>
      <c r="G1381" s="792" t="n">
        <v>119</v>
      </c>
    </row>
    <row r="1382" customFormat="false" ht="15" hidden="true" customHeight="true" outlineLevel="1" collapsed="false">
      <c r="A1382" s="751"/>
      <c r="B1382" s="793" t="s">
        <v>1986</v>
      </c>
      <c r="C1382" s="791" t="s">
        <v>1388</v>
      </c>
      <c r="D1382" s="703"/>
      <c r="E1382" s="772"/>
      <c r="F1382" s="703"/>
      <c r="G1382" s="792" t="n">
        <v>119</v>
      </c>
    </row>
    <row r="1383" customFormat="false" ht="15" hidden="true" customHeight="true" outlineLevel="1" collapsed="false">
      <c r="A1383" s="751"/>
      <c r="B1383" s="793" t="s">
        <v>1987</v>
      </c>
      <c r="C1383" s="791" t="s">
        <v>1388</v>
      </c>
      <c r="D1383" s="703"/>
      <c r="E1383" s="772"/>
      <c r="F1383" s="703"/>
      <c r="G1383" s="792" t="n">
        <v>119</v>
      </c>
    </row>
    <row r="1384" customFormat="false" ht="15" hidden="true" customHeight="true" outlineLevel="1" collapsed="false">
      <c r="A1384" s="751"/>
      <c r="B1384" s="793" t="s">
        <v>1988</v>
      </c>
      <c r="C1384" s="791" t="s">
        <v>1388</v>
      </c>
      <c r="D1384" s="703"/>
      <c r="E1384" s="772"/>
      <c r="F1384" s="703"/>
      <c r="G1384" s="792" t="n">
        <v>119</v>
      </c>
    </row>
    <row r="1385" customFormat="false" ht="15" hidden="true" customHeight="true" outlineLevel="1" collapsed="false">
      <c r="A1385" s="751"/>
      <c r="B1385" s="793" t="s">
        <v>1989</v>
      </c>
      <c r="C1385" s="791" t="s">
        <v>1388</v>
      </c>
      <c r="D1385" s="703"/>
      <c r="E1385" s="772"/>
      <c r="F1385" s="703"/>
      <c r="G1385" s="792" t="n">
        <v>119</v>
      </c>
    </row>
    <row r="1386" customFormat="false" ht="15" hidden="true" customHeight="true" outlineLevel="1" collapsed="false">
      <c r="A1386" s="751"/>
      <c r="B1386" s="793" t="s">
        <v>1990</v>
      </c>
      <c r="C1386" s="791" t="s">
        <v>1388</v>
      </c>
      <c r="D1386" s="703"/>
      <c r="E1386" s="772"/>
      <c r="F1386" s="703"/>
      <c r="G1386" s="792" t="n">
        <v>600</v>
      </c>
    </row>
    <row r="1387" customFormat="false" ht="15" hidden="true" customHeight="true" outlineLevel="1" collapsed="false">
      <c r="A1387" s="751"/>
      <c r="B1387" s="748" t="s">
        <v>818</v>
      </c>
      <c r="C1387" s="749" t="s">
        <v>434</v>
      </c>
      <c r="D1387" s="750"/>
      <c r="E1387" s="750"/>
      <c r="F1387" s="704"/>
      <c r="G1387" s="750" t="n">
        <v>0</v>
      </c>
    </row>
    <row r="1388" customFormat="false" ht="15" hidden="true" customHeight="true" outlineLevel="1" collapsed="false">
      <c r="A1388" s="751"/>
      <c r="B1388" s="748" t="s">
        <v>1991</v>
      </c>
      <c r="C1388" s="749" t="s">
        <v>434</v>
      </c>
      <c r="D1388" s="750"/>
      <c r="E1388" s="750"/>
      <c r="F1388" s="704"/>
      <c r="G1388" s="750" t="n">
        <v>120</v>
      </c>
    </row>
    <row r="1389" customFormat="false" ht="15" hidden="true" customHeight="true" outlineLevel="1" collapsed="false">
      <c r="A1389" s="751"/>
      <c r="B1389" s="748" t="s">
        <v>1992</v>
      </c>
      <c r="C1389" s="749" t="s">
        <v>434</v>
      </c>
      <c r="D1389" s="750"/>
      <c r="E1389" s="750"/>
      <c r="F1389" s="704"/>
      <c r="G1389" s="750" t="n">
        <v>150</v>
      </c>
    </row>
    <row r="1390" customFormat="false" ht="15" hidden="true" customHeight="true" outlineLevel="1" collapsed="false">
      <c r="A1390" s="751"/>
      <c r="B1390" s="748" t="s">
        <v>814</v>
      </c>
      <c r="C1390" s="749" t="s">
        <v>434</v>
      </c>
      <c r="D1390" s="750"/>
      <c r="E1390" s="750"/>
      <c r="F1390" s="704"/>
      <c r="G1390" s="750" t="n">
        <v>0</v>
      </c>
    </row>
    <row r="1391" customFormat="false" ht="15" hidden="true" customHeight="true" outlineLevel="1" collapsed="false">
      <c r="A1391" s="751"/>
      <c r="B1391" s="748" t="s">
        <v>1993</v>
      </c>
      <c r="C1391" s="749" t="s">
        <v>434</v>
      </c>
      <c r="D1391" s="750"/>
      <c r="E1391" s="750"/>
      <c r="F1391" s="704"/>
      <c r="G1391" s="750" t="n">
        <v>50</v>
      </c>
    </row>
    <row r="1392" customFormat="false" ht="15" hidden="true" customHeight="true" outlineLevel="1" collapsed="false">
      <c r="A1392" s="751"/>
      <c r="B1392" s="748" t="s">
        <v>1994</v>
      </c>
      <c r="C1392" s="749" t="s">
        <v>434</v>
      </c>
      <c r="D1392" s="750"/>
      <c r="E1392" s="750"/>
      <c r="F1392" s="704"/>
      <c r="G1392" s="750" t="n">
        <v>90</v>
      </c>
    </row>
    <row r="1393" customFormat="false" ht="15" hidden="true" customHeight="true" outlineLevel="1" collapsed="false">
      <c r="A1393" s="751"/>
      <c r="B1393" s="748" t="s">
        <v>1995</v>
      </c>
      <c r="C1393" s="749" t="s">
        <v>434</v>
      </c>
      <c r="D1393" s="750"/>
      <c r="E1393" s="750"/>
      <c r="F1393" s="704"/>
      <c r="G1393" s="750" t="n">
        <v>0</v>
      </c>
    </row>
    <row r="1394" customFormat="false" ht="15" hidden="true" customHeight="true" outlineLevel="1" collapsed="false">
      <c r="A1394" s="751"/>
      <c r="B1394" s="748" t="s">
        <v>1996</v>
      </c>
      <c r="C1394" s="749" t="s">
        <v>434</v>
      </c>
      <c r="D1394" s="750"/>
      <c r="E1394" s="750"/>
      <c r="F1394" s="704"/>
      <c r="G1394" s="750" t="n">
        <v>100</v>
      </c>
    </row>
    <row r="1395" customFormat="false" ht="15" hidden="true" customHeight="true" outlineLevel="1" collapsed="false">
      <c r="A1395" s="751"/>
      <c r="B1395" s="748" t="s">
        <v>1997</v>
      </c>
      <c r="C1395" s="749" t="s">
        <v>434</v>
      </c>
      <c r="D1395" s="750"/>
      <c r="E1395" s="750"/>
      <c r="F1395" s="704"/>
      <c r="G1395" s="750" t="n">
        <v>120</v>
      </c>
    </row>
    <row r="1396" customFormat="false" ht="15" hidden="true" customHeight="true" outlineLevel="1" collapsed="false">
      <c r="A1396" s="751"/>
      <c r="B1396" s="748" t="s">
        <v>1995</v>
      </c>
      <c r="C1396" s="749" t="s">
        <v>434</v>
      </c>
      <c r="D1396" s="750"/>
      <c r="E1396" s="750"/>
      <c r="F1396" s="704"/>
      <c r="G1396" s="750" t="n">
        <v>0</v>
      </c>
    </row>
    <row r="1397" customFormat="false" ht="15" hidden="true" customHeight="true" outlineLevel="1" collapsed="false">
      <c r="A1397" s="751"/>
      <c r="B1397" s="748" t="s">
        <v>1998</v>
      </c>
      <c r="C1397" s="749" t="s">
        <v>434</v>
      </c>
      <c r="D1397" s="750"/>
      <c r="E1397" s="750"/>
      <c r="F1397" s="704"/>
      <c r="G1397" s="750" t="n">
        <v>250</v>
      </c>
    </row>
    <row r="1398" customFormat="false" ht="15" hidden="true" customHeight="true" outlineLevel="1" collapsed="false">
      <c r="A1398" s="751"/>
      <c r="B1398" s="748" t="s">
        <v>1999</v>
      </c>
      <c r="C1398" s="749" t="s">
        <v>434</v>
      </c>
      <c r="D1398" s="750"/>
      <c r="E1398" s="750"/>
      <c r="F1398" s="704"/>
      <c r="G1398" s="750" t="n">
        <v>280</v>
      </c>
    </row>
    <row r="1399" customFormat="false" ht="15" hidden="true" customHeight="true" outlineLevel="1" collapsed="false">
      <c r="A1399" s="751"/>
      <c r="B1399" s="748"/>
      <c r="C1399" s="749"/>
      <c r="D1399" s="750"/>
      <c r="E1399" s="750"/>
      <c r="F1399" s="704"/>
      <c r="G1399" s="750"/>
    </row>
    <row r="1400" customFormat="false" ht="15" hidden="true" customHeight="true" outlineLevel="1" collapsed="false">
      <c r="A1400" s="751"/>
      <c r="B1400" s="748"/>
      <c r="C1400" s="749"/>
      <c r="D1400" s="750"/>
      <c r="E1400" s="750"/>
      <c r="F1400" s="704"/>
      <c r="G1400" s="750"/>
    </row>
    <row r="1401" customFormat="false" ht="15" hidden="true" customHeight="true" outlineLevel="1" collapsed="false">
      <c r="A1401" s="751"/>
      <c r="B1401" s="748"/>
      <c r="C1401" s="749"/>
      <c r="D1401" s="750"/>
      <c r="E1401" s="750"/>
      <c r="F1401" s="704"/>
      <c r="G1401" s="750"/>
    </row>
    <row r="1402" customFormat="false" ht="15" hidden="true" customHeight="true" outlineLevel="1" collapsed="false">
      <c r="A1402" s="751"/>
      <c r="B1402" s="748"/>
      <c r="C1402" s="749"/>
      <c r="D1402" s="750"/>
      <c r="E1402" s="750"/>
      <c r="F1402" s="704"/>
      <c r="G1402" s="750"/>
    </row>
    <row r="1403" customFormat="false" ht="15" hidden="true" customHeight="true" outlineLevel="1" collapsed="false">
      <c r="A1403" s="751"/>
      <c r="B1403" s="748"/>
      <c r="C1403" s="749"/>
      <c r="D1403" s="750"/>
      <c r="E1403" s="750"/>
      <c r="F1403" s="704"/>
      <c r="G1403" s="750"/>
    </row>
    <row r="1404" customFormat="false" ht="15" hidden="true" customHeight="true" outlineLevel="1" collapsed="false">
      <c r="A1404" s="751"/>
      <c r="B1404" s="748"/>
      <c r="C1404" s="749"/>
      <c r="D1404" s="750"/>
      <c r="E1404" s="750"/>
      <c r="F1404" s="704"/>
      <c r="G1404" s="750"/>
    </row>
    <row r="1405" customFormat="false" ht="15" hidden="false" customHeight="true" outlineLevel="0" collapsed="false">
      <c r="A1405" s="753" t="s">
        <v>1961</v>
      </c>
      <c r="B1405" s="733"/>
      <c r="C1405" s="770" t="s">
        <v>162</v>
      </c>
      <c r="D1405" s="847"/>
      <c r="E1405" s="847"/>
      <c r="F1405" s="686"/>
      <c r="G1405" s="686" t="s">
        <v>1042</v>
      </c>
    </row>
    <row r="1406" customFormat="false" ht="15" hidden="true" customHeight="true" outlineLevel="1" collapsed="false">
      <c r="A1406" s="753" t="s">
        <v>2000</v>
      </c>
      <c r="B1406" s="733"/>
      <c r="C1406" s="770" t="s">
        <v>162</v>
      </c>
      <c r="D1406" s="847"/>
      <c r="E1406" s="847"/>
      <c r="F1406" s="686"/>
      <c r="G1406" s="686" t="s">
        <v>1042</v>
      </c>
    </row>
    <row r="1407" s="705" customFormat="true" ht="15" hidden="true" customHeight="true" outlineLevel="1" collapsed="false">
      <c r="A1407" s="897"/>
      <c r="B1407" s="674" t="s">
        <v>2001</v>
      </c>
      <c r="C1407" s="749" t="s">
        <v>1058</v>
      </c>
      <c r="D1407" s="112"/>
      <c r="E1407" s="112"/>
      <c r="F1407" s="850"/>
      <c r="G1407" s="850" t="n">
        <v>0</v>
      </c>
      <c r="H1407" s="651"/>
      <c r="I1407" s="651"/>
      <c r="J1407" s="651"/>
      <c r="K1407" s="651"/>
      <c r="L1407" s="651"/>
      <c r="M1407" s="651"/>
      <c r="N1407" s="651"/>
      <c r="O1407" s="651"/>
      <c r="P1407" s="651"/>
      <c r="Q1407" s="651"/>
      <c r="R1407" s="651"/>
      <c r="S1407" s="651"/>
      <c r="T1407" s="651"/>
      <c r="U1407" s="651"/>
    </row>
    <row r="1408" customFormat="false" ht="15" hidden="true" customHeight="true" outlineLevel="1" collapsed="false">
      <c r="B1408" s="748" t="s">
        <v>804</v>
      </c>
      <c r="C1408" s="749" t="s">
        <v>1058</v>
      </c>
      <c r="D1408" s="750"/>
      <c r="E1408" s="750"/>
      <c r="F1408" s="704"/>
      <c r="G1408" s="750" t="n">
        <v>470</v>
      </c>
    </row>
    <row r="1409" customFormat="false" ht="15" hidden="true" customHeight="true" outlineLevel="1" collapsed="false">
      <c r="B1409" s="748" t="s">
        <v>2002</v>
      </c>
      <c r="C1409" s="749" t="s">
        <v>1058</v>
      </c>
      <c r="D1409" s="750"/>
      <c r="E1409" s="750"/>
      <c r="F1409" s="704"/>
      <c r="G1409" s="750" t="n">
        <v>470</v>
      </c>
    </row>
    <row r="1410" customFormat="false" ht="15" hidden="true" customHeight="true" outlineLevel="1" collapsed="false">
      <c r="B1410" s="748" t="s">
        <v>2003</v>
      </c>
      <c r="C1410" s="749" t="s">
        <v>1058</v>
      </c>
      <c r="D1410" s="750"/>
      <c r="E1410" s="750"/>
      <c r="F1410" s="704"/>
      <c r="G1410" s="750" t="n">
        <v>400</v>
      </c>
    </row>
    <row r="1411" customFormat="false" ht="15" hidden="true" customHeight="true" outlineLevel="1" collapsed="false">
      <c r="B1411" s="748" t="s">
        <v>2004</v>
      </c>
      <c r="C1411" s="749" t="s">
        <v>1058</v>
      </c>
      <c r="D1411" s="750"/>
      <c r="E1411" s="750"/>
      <c r="F1411" s="704"/>
      <c r="G1411" s="750" t="n">
        <v>470</v>
      </c>
    </row>
    <row r="1412" customFormat="false" ht="15" hidden="true" customHeight="true" outlineLevel="1" collapsed="false">
      <c r="B1412" s="748" t="s">
        <v>2005</v>
      </c>
      <c r="C1412" s="749" t="s">
        <v>820</v>
      </c>
      <c r="D1412" s="750"/>
      <c r="E1412" s="750"/>
      <c r="F1412" s="704"/>
      <c r="G1412" s="750" t="n">
        <v>15</v>
      </c>
    </row>
    <row r="1413" customFormat="false" ht="15" hidden="true" customHeight="true" outlineLevel="1" collapsed="false">
      <c r="B1413" s="748" t="s">
        <v>2006</v>
      </c>
      <c r="C1413" s="749" t="s">
        <v>1058</v>
      </c>
      <c r="D1413" s="750"/>
      <c r="E1413" s="750"/>
      <c r="F1413" s="704"/>
      <c r="G1413" s="750" t="n">
        <v>390</v>
      </c>
    </row>
    <row r="1414" customFormat="false" ht="15" hidden="true" customHeight="true" outlineLevel="1" collapsed="false">
      <c r="D1414" s="647"/>
      <c r="E1414" s="647"/>
      <c r="F1414" s="807"/>
      <c r="G1414" s="807"/>
    </row>
    <row r="1415" customFormat="false" ht="15" hidden="true" customHeight="true" outlineLevel="1" collapsed="false">
      <c r="B1415" s="748"/>
      <c r="C1415" s="749"/>
      <c r="D1415" s="750"/>
      <c r="E1415" s="750"/>
      <c r="F1415" s="704"/>
      <c r="G1415" s="750"/>
    </row>
    <row r="1416" customFormat="false" ht="15" hidden="true" customHeight="true" outlineLevel="1" collapsed="false">
      <c r="B1416" s="748"/>
      <c r="C1416" s="749"/>
      <c r="D1416" s="750"/>
      <c r="E1416" s="750"/>
      <c r="F1416" s="704"/>
      <c r="G1416" s="750"/>
    </row>
    <row r="1417" customFormat="false" ht="15" hidden="true" customHeight="true" outlineLevel="1" collapsed="false">
      <c r="B1417" s="748"/>
      <c r="C1417" s="749"/>
      <c r="D1417" s="750"/>
      <c r="E1417" s="750"/>
      <c r="F1417" s="704"/>
      <c r="G1417" s="750"/>
    </row>
    <row r="1418" customFormat="false" ht="15" hidden="true" customHeight="true" outlineLevel="1" collapsed="false">
      <c r="B1418" s="748"/>
      <c r="C1418" s="749"/>
      <c r="D1418" s="750"/>
      <c r="E1418" s="750"/>
      <c r="F1418" s="704"/>
      <c r="G1418" s="750"/>
    </row>
    <row r="1419" customFormat="false" ht="15" hidden="true" customHeight="true" outlineLevel="1" collapsed="false">
      <c r="B1419" s="748"/>
      <c r="C1419" s="749"/>
      <c r="D1419" s="750"/>
      <c r="E1419" s="750"/>
      <c r="F1419" s="704"/>
      <c r="G1419" s="750"/>
    </row>
    <row r="1420" customFormat="false" ht="15" hidden="false" customHeight="true" outlineLevel="0" collapsed="false">
      <c r="A1420" s="753" t="s">
        <v>2000</v>
      </c>
      <c r="B1420" s="733"/>
      <c r="C1420" s="770" t="s">
        <v>162</v>
      </c>
      <c r="D1420" s="847"/>
      <c r="E1420" s="847"/>
      <c r="F1420" s="686"/>
      <c r="G1420" s="686" t="s">
        <v>1042</v>
      </c>
    </row>
    <row r="1421" customFormat="false" ht="15" hidden="true" customHeight="true" outlineLevel="1" collapsed="false">
      <c r="A1421" s="898" t="s">
        <v>2007</v>
      </c>
      <c r="B1421" s="899"/>
      <c r="C1421" s="900" t="s">
        <v>162</v>
      </c>
      <c r="D1421" s="901"/>
      <c r="E1421" s="901"/>
      <c r="F1421" s="902"/>
      <c r="G1421" s="901" t="s">
        <v>1042</v>
      </c>
    </row>
    <row r="1422" customFormat="false" ht="15" hidden="true" customHeight="true" outlineLevel="1" collapsed="false">
      <c r="B1422" s="876" t="s">
        <v>2008</v>
      </c>
      <c r="C1422" s="891" t="s">
        <v>820</v>
      </c>
      <c r="D1422" s="750"/>
      <c r="E1422" s="750"/>
      <c r="F1422" s="704"/>
      <c r="G1422" s="750" t="n">
        <v>200</v>
      </c>
    </row>
    <row r="1423" customFormat="false" ht="15" hidden="true" customHeight="true" outlineLevel="1" collapsed="false">
      <c r="B1423" s="876" t="s">
        <v>2009</v>
      </c>
      <c r="C1423" s="891" t="s">
        <v>820</v>
      </c>
      <c r="D1423" s="750"/>
      <c r="E1423" s="750"/>
      <c r="F1423" s="704"/>
      <c r="G1423" s="750" t="n">
        <v>200</v>
      </c>
    </row>
    <row r="1424" customFormat="false" ht="15" hidden="true" customHeight="true" outlineLevel="1" collapsed="false">
      <c r="B1424" s="876" t="s">
        <v>2010</v>
      </c>
      <c r="C1424" s="891" t="s">
        <v>820</v>
      </c>
      <c r="D1424" s="750"/>
      <c r="E1424" s="750"/>
      <c r="F1424" s="704"/>
      <c r="G1424" s="750" t="n">
        <v>40</v>
      </c>
    </row>
    <row r="1425" customFormat="false" ht="15" hidden="true" customHeight="true" outlineLevel="1" collapsed="false">
      <c r="B1425" s="876" t="s">
        <v>2011</v>
      </c>
      <c r="C1425" s="891" t="s">
        <v>820</v>
      </c>
      <c r="D1425" s="750"/>
      <c r="E1425" s="750"/>
      <c r="F1425" s="704"/>
      <c r="G1425" s="750" t="n">
        <v>300</v>
      </c>
    </row>
    <row r="1426" customFormat="false" ht="15" hidden="true" customHeight="true" outlineLevel="1" collapsed="false">
      <c r="B1426" s="738" t="s">
        <v>2012</v>
      </c>
      <c r="C1426" s="739" t="s">
        <v>2013</v>
      </c>
      <c r="E1426" s="750"/>
      <c r="F1426" s="704"/>
      <c r="G1426" s="740" t="n">
        <v>30</v>
      </c>
    </row>
    <row r="1427" customFormat="false" ht="15" hidden="true" customHeight="true" outlineLevel="1" collapsed="false">
      <c r="B1427" s="738" t="s">
        <v>2014</v>
      </c>
      <c r="C1427" s="739" t="s">
        <v>2013</v>
      </c>
      <c r="E1427" s="750"/>
      <c r="F1427" s="704"/>
      <c r="G1427" s="740" t="n">
        <v>30</v>
      </c>
    </row>
    <row r="1428" customFormat="false" ht="15" hidden="true" customHeight="true" outlineLevel="1" collapsed="false">
      <c r="B1428" s="738" t="s">
        <v>2015</v>
      </c>
      <c r="C1428" s="739" t="s">
        <v>15</v>
      </c>
      <c r="E1428" s="750"/>
      <c r="F1428" s="704"/>
      <c r="G1428" s="740" t="n">
        <v>500</v>
      </c>
    </row>
    <row r="1429" customFormat="false" ht="15" hidden="true" customHeight="true" outlineLevel="1" collapsed="false">
      <c r="B1429" s="876" t="s">
        <v>2016</v>
      </c>
      <c r="C1429" s="891" t="s">
        <v>820</v>
      </c>
      <c r="D1429" s="750"/>
      <c r="E1429" s="750"/>
      <c r="F1429" s="704"/>
      <c r="G1429" s="750" t="n">
        <v>350</v>
      </c>
    </row>
    <row r="1430" customFormat="false" ht="15" hidden="true" customHeight="true" outlineLevel="1" collapsed="false">
      <c r="B1430" s="876" t="s">
        <v>2017</v>
      </c>
      <c r="C1430" s="891" t="s">
        <v>820</v>
      </c>
      <c r="D1430" s="750"/>
      <c r="E1430" s="750"/>
      <c r="F1430" s="704"/>
      <c r="G1430" s="750" t="n">
        <v>350</v>
      </c>
    </row>
    <row r="1431" customFormat="false" ht="15" hidden="true" customHeight="true" outlineLevel="1" collapsed="false">
      <c r="B1431" s="876" t="s">
        <v>2018</v>
      </c>
      <c r="C1431" s="891" t="s">
        <v>820</v>
      </c>
      <c r="D1431" s="750"/>
      <c r="E1431" s="750"/>
      <c r="F1431" s="704"/>
      <c r="G1431" s="750" t="n">
        <v>300</v>
      </c>
    </row>
    <row r="1432" customFormat="false" ht="15" hidden="true" customHeight="true" outlineLevel="1" collapsed="false">
      <c r="B1432" s="876" t="s">
        <v>2019</v>
      </c>
      <c r="C1432" s="891" t="s">
        <v>820</v>
      </c>
      <c r="D1432" s="750"/>
      <c r="E1432" s="750"/>
      <c r="F1432" s="704"/>
      <c r="G1432" s="750" t="n">
        <v>400</v>
      </c>
    </row>
    <row r="1433" customFormat="false" ht="15" hidden="true" customHeight="true" outlineLevel="1" collapsed="false">
      <c r="B1433" s="876" t="s">
        <v>2020</v>
      </c>
      <c r="C1433" s="891" t="s">
        <v>820</v>
      </c>
      <c r="D1433" s="750"/>
      <c r="E1433" s="750"/>
      <c r="F1433" s="704"/>
      <c r="G1433" s="750" t="n">
        <v>250</v>
      </c>
    </row>
    <row r="1434" customFormat="false" ht="15" hidden="true" customHeight="true" outlineLevel="1" collapsed="false">
      <c r="B1434" s="876" t="s">
        <v>2021</v>
      </c>
      <c r="C1434" s="891" t="s">
        <v>820</v>
      </c>
      <c r="D1434" s="750"/>
      <c r="E1434" s="750"/>
      <c r="F1434" s="704"/>
      <c r="G1434" s="750" t="n">
        <v>300</v>
      </c>
    </row>
    <row r="1435" customFormat="false" ht="15" hidden="true" customHeight="true" outlineLevel="1" collapsed="false">
      <c r="B1435" s="876" t="s">
        <v>2022</v>
      </c>
      <c r="C1435" s="891" t="s">
        <v>820</v>
      </c>
      <c r="D1435" s="750"/>
      <c r="E1435" s="750"/>
      <c r="F1435" s="704"/>
      <c r="G1435" s="750" t="n">
        <v>200</v>
      </c>
    </row>
    <row r="1436" customFormat="false" ht="15" hidden="true" customHeight="true" outlineLevel="1" collapsed="false">
      <c r="B1436" s="876" t="s">
        <v>2023</v>
      </c>
      <c r="C1436" s="891" t="s">
        <v>820</v>
      </c>
      <c r="D1436" s="750"/>
      <c r="E1436" s="750"/>
      <c r="F1436" s="704"/>
      <c r="G1436" s="750" t="n">
        <v>150</v>
      </c>
    </row>
    <row r="1437" customFormat="false" ht="15" hidden="true" customHeight="true" outlineLevel="1" collapsed="false">
      <c r="B1437" s="649" t="s">
        <v>2024</v>
      </c>
      <c r="C1437" s="891" t="s">
        <v>820</v>
      </c>
      <c r="D1437" s="750"/>
      <c r="E1437" s="750"/>
      <c r="F1437" s="704"/>
      <c r="G1437" s="750" t="n">
        <v>200</v>
      </c>
    </row>
    <row r="1438" customFormat="false" ht="15" hidden="true" customHeight="true" outlineLevel="1" collapsed="false">
      <c r="B1438" s="649" t="s">
        <v>2025</v>
      </c>
      <c r="C1438" s="891" t="s">
        <v>820</v>
      </c>
      <c r="D1438" s="750"/>
      <c r="E1438" s="750"/>
      <c r="F1438" s="704"/>
      <c r="G1438" s="750" t="n">
        <v>200</v>
      </c>
    </row>
    <row r="1439" customFormat="false" ht="15" hidden="true" customHeight="true" outlineLevel="1" collapsed="false">
      <c r="B1439" s="649" t="s">
        <v>2026</v>
      </c>
      <c r="C1439" s="891" t="s">
        <v>820</v>
      </c>
      <c r="D1439" s="750"/>
      <c r="E1439" s="750"/>
      <c r="F1439" s="704"/>
      <c r="G1439" s="750" t="n">
        <v>100</v>
      </c>
    </row>
    <row r="1440" customFormat="false" ht="15" hidden="true" customHeight="true" outlineLevel="1" collapsed="false">
      <c r="B1440" s="649" t="s">
        <v>2027</v>
      </c>
      <c r="C1440" s="891" t="s">
        <v>820</v>
      </c>
      <c r="D1440" s="750"/>
      <c r="E1440" s="750"/>
      <c r="F1440" s="704"/>
      <c r="G1440" s="750" t="n">
        <v>100</v>
      </c>
    </row>
    <row r="1441" customFormat="false" ht="15" hidden="true" customHeight="true" outlineLevel="1" collapsed="false">
      <c r="B1441" s="738" t="s">
        <v>2028</v>
      </c>
      <c r="C1441" s="739" t="s">
        <v>48</v>
      </c>
      <c r="E1441" s="750"/>
      <c r="F1441" s="704"/>
      <c r="G1441" s="740" t="n">
        <v>7000</v>
      </c>
    </row>
    <row r="1442" customFormat="false" ht="15" hidden="true" customHeight="true" outlineLevel="1" collapsed="false">
      <c r="B1442" s="738" t="s">
        <v>2029</v>
      </c>
      <c r="C1442" s="739" t="s">
        <v>820</v>
      </c>
      <c r="E1442" s="750"/>
      <c r="F1442" s="704"/>
      <c r="G1442" s="740" t="n">
        <v>300</v>
      </c>
    </row>
    <row r="1443" customFormat="false" ht="15" hidden="true" customHeight="true" outlineLevel="1" collapsed="false">
      <c r="B1443" s="738" t="s">
        <v>2030</v>
      </c>
      <c r="C1443" s="739" t="s">
        <v>820</v>
      </c>
      <c r="E1443" s="750"/>
      <c r="F1443" s="704"/>
      <c r="G1443" s="740" t="n">
        <v>100</v>
      </c>
    </row>
    <row r="1444" customFormat="false" ht="15" hidden="true" customHeight="true" outlineLevel="1" collapsed="false">
      <c r="B1444" s="738" t="s">
        <v>2031</v>
      </c>
      <c r="C1444" s="739" t="s">
        <v>820</v>
      </c>
      <c r="E1444" s="750"/>
      <c r="F1444" s="704"/>
      <c r="G1444" s="740" t="n">
        <v>10</v>
      </c>
    </row>
    <row r="1445" customFormat="false" ht="15" hidden="true" customHeight="true" outlineLevel="1" collapsed="false">
      <c r="B1445" s="738" t="s">
        <v>2031</v>
      </c>
      <c r="C1445" s="739" t="s">
        <v>820</v>
      </c>
      <c r="E1445" s="750"/>
      <c r="F1445" s="704"/>
      <c r="G1445" s="740" t="n">
        <v>10</v>
      </c>
    </row>
    <row r="1446" customFormat="false" ht="15" hidden="true" customHeight="true" outlineLevel="1" collapsed="false">
      <c r="B1446" s="876" t="s">
        <v>2032</v>
      </c>
      <c r="C1446" s="739" t="s">
        <v>820</v>
      </c>
      <c r="G1446" s="650" t="n">
        <v>200</v>
      </c>
    </row>
    <row r="1447" customFormat="false" ht="15" hidden="true" customHeight="true" outlineLevel="1" collapsed="false">
      <c r="B1447" s="876" t="s">
        <v>2033</v>
      </c>
      <c r="C1447" s="739" t="s">
        <v>820</v>
      </c>
      <c r="G1447" s="650" t="n">
        <v>200</v>
      </c>
    </row>
    <row r="1448" customFormat="false" ht="15" hidden="true" customHeight="true" outlineLevel="1" collapsed="false">
      <c r="B1448" s="876" t="s">
        <v>2034</v>
      </c>
      <c r="C1448" s="648" t="s">
        <v>48</v>
      </c>
      <c r="G1448" s="650" t="n">
        <v>200</v>
      </c>
    </row>
    <row r="1449" customFormat="false" ht="15" hidden="true" customHeight="true" outlineLevel="1" collapsed="false">
      <c r="B1449" s="876" t="s">
        <v>2035</v>
      </c>
      <c r="C1449" s="648" t="s">
        <v>48</v>
      </c>
      <c r="G1449" s="650" t="n">
        <v>250</v>
      </c>
    </row>
    <row r="1450" customFormat="false" ht="15" hidden="true" customHeight="true" outlineLevel="1" collapsed="false"/>
    <row r="1451" customFormat="false" ht="15" hidden="true" customHeight="true" outlineLevel="1" collapsed="false">
      <c r="B1451" s="738" t="s">
        <v>2036</v>
      </c>
      <c r="C1451" s="739" t="s">
        <v>820</v>
      </c>
      <c r="E1451" s="750"/>
      <c r="F1451" s="704"/>
      <c r="G1451" s="740" t="n">
        <v>100</v>
      </c>
    </row>
    <row r="1452" customFormat="false" ht="15" hidden="true" customHeight="true" outlineLevel="1" collapsed="false">
      <c r="B1452" s="738" t="s">
        <v>2037</v>
      </c>
      <c r="C1452" s="739" t="s">
        <v>1043</v>
      </c>
      <c r="E1452" s="750"/>
      <c r="F1452" s="704"/>
      <c r="G1452" s="740" t="n">
        <v>350</v>
      </c>
    </row>
    <row r="1453" customFormat="false" ht="15" hidden="true" customHeight="true" outlineLevel="1" collapsed="false">
      <c r="B1453" s="738" t="s">
        <v>2038</v>
      </c>
      <c r="C1453" s="739" t="s">
        <v>820</v>
      </c>
      <c r="E1453" s="750"/>
      <c r="F1453" s="704"/>
      <c r="G1453" s="740" t="n">
        <v>350</v>
      </c>
    </row>
    <row r="1454" customFormat="false" ht="15" hidden="true" customHeight="true" outlineLevel="1" collapsed="false">
      <c r="B1454" s="738" t="s">
        <v>2039</v>
      </c>
      <c r="C1454" s="739" t="s">
        <v>820</v>
      </c>
      <c r="E1454" s="750"/>
      <c r="F1454" s="704"/>
      <c r="G1454" s="740" t="n">
        <v>600</v>
      </c>
    </row>
    <row r="1455" customFormat="false" ht="15" hidden="true" customHeight="true" outlineLevel="1" collapsed="false">
      <c r="B1455" s="767" t="s">
        <v>2040</v>
      </c>
      <c r="C1455" s="893" t="s">
        <v>820</v>
      </c>
      <c r="E1455" s="750"/>
      <c r="F1455" s="704"/>
      <c r="G1455" s="740" t="n">
        <v>400</v>
      </c>
    </row>
    <row r="1456" customFormat="false" ht="15" hidden="true" customHeight="true" outlineLevel="1" collapsed="false">
      <c r="B1456" s="738" t="s">
        <v>2041</v>
      </c>
      <c r="C1456" s="739" t="s">
        <v>1043</v>
      </c>
      <c r="E1456" s="750"/>
      <c r="F1456" s="704"/>
      <c r="G1456" s="740" t="n">
        <v>1200</v>
      </c>
    </row>
    <row r="1457" customFormat="false" ht="15" hidden="true" customHeight="true" outlineLevel="1" collapsed="false">
      <c r="B1457" s="738" t="s">
        <v>2042</v>
      </c>
      <c r="C1457" s="739" t="s">
        <v>820</v>
      </c>
      <c r="E1457" s="750"/>
      <c r="F1457" s="704"/>
      <c r="G1457" s="740" t="n">
        <v>200</v>
      </c>
    </row>
    <row r="1458" customFormat="false" ht="15" hidden="true" customHeight="true" outlineLevel="1" collapsed="false">
      <c r="B1458" s="738" t="s">
        <v>2043</v>
      </c>
      <c r="C1458" s="739" t="s">
        <v>820</v>
      </c>
      <c r="E1458" s="750"/>
      <c r="F1458" s="704"/>
      <c r="G1458" s="740" t="n">
        <v>200</v>
      </c>
    </row>
    <row r="1459" customFormat="false" ht="15" hidden="true" customHeight="true" outlineLevel="1" collapsed="false"/>
    <row r="1460" customFormat="false" ht="15" hidden="true" customHeight="true" outlineLevel="1" collapsed="false">
      <c r="B1460" s="738" t="s">
        <v>2044</v>
      </c>
      <c r="C1460" s="739" t="s">
        <v>820</v>
      </c>
      <c r="E1460" s="750"/>
      <c r="F1460" s="704"/>
      <c r="G1460" s="740" t="n">
        <v>100</v>
      </c>
    </row>
    <row r="1461" customFormat="false" ht="15" hidden="true" customHeight="true" outlineLevel="1" collapsed="false">
      <c r="B1461" s="837" t="s">
        <v>404</v>
      </c>
      <c r="C1461" s="739" t="s">
        <v>48</v>
      </c>
      <c r="E1461" s="750"/>
      <c r="F1461" s="704"/>
      <c r="G1461" s="740" t="n">
        <v>5000</v>
      </c>
    </row>
    <row r="1462" customFormat="false" ht="15" hidden="true" customHeight="true" outlineLevel="1" collapsed="false">
      <c r="B1462" s="738" t="s">
        <v>2045</v>
      </c>
      <c r="C1462" s="739" t="s">
        <v>48</v>
      </c>
      <c r="E1462" s="750"/>
      <c r="F1462" s="704"/>
      <c r="G1462" s="740" t="n">
        <v>1000</v>
      </c>
    </row>
    <row r="1463" customFormat="false" ht="15" hidden="true" customHeight="true" outlineLevel="1" collapsed="false">
      <c r="B1463" s="738" t="s">
        <v>403</v>
      </c>
      <c r="C1463" s="739" t="s">
        <v>48</v>
      </c>
      <c r="E1463" s="750"/>
      <c r="F1463" s="704"/>
      <c r="G1463" s="740" t="n">
        <v>1000</v>
      </c>
    </row>
    <row r="1464" customFormat="false" ht="15" hidden="true" customHeight="true" outlineLevel="1" collapsed="false">
      <c r="B1464" s="738" t="s">
        <v>2046</v>
      </c>
      <c r="C1464" s="739" t="s">
        <v>48</v>
      </c>
      <c r="E1464" s="750"/>
      <c r="F1464" s="704"/>
      <c r="G1464" s="740" t="n">
        <v>100</v>
      </c>
    </row>
    <row r="1465" customFormat="false" ht="15" hidden="true" customHeight="true" outlineLevel="1" collapsed="false">
      <c r="B1465" s="738" t="s">
        <v>2047</v>
      </c>
      <c r="C1465" s="739" t="s">
        <v>15</v>
      </c>
      <c r="E1465" s="750"/>
      <c r="F1465" s="704"/>
      <c r="G1465" s="740" t="n">
        <v>100</v>
      </c>
    </row>
    <row r="1466" customFormat="false" ht="15" hidden="true" customHeight="true" outlineLevel="1" collapsed="false">
      <c r="B1466" s="738" t="s">
        <v>2048</v>
      </c>
      <c r="C1466" s="739" t="s">
        <v>48</v>
      </c>
      <c r="E1466" s="750"/>
      <c r="F1466" s="704"/>
      <c r="G1466" s="740" t="n">
        <v>200</v>
      </c>
    </row>
    <row r="1467" customFormat="false" ht="15" hidden="true" customHeight="true" outlineLevel="1" collapsed="false">
      <c r="B1467" s="738" t="s">
        <v>2049</v>
      </c>
      <c r="C1467" s="739" t="s">
        <v>820</v>
      </c>
      <c r="G1467" s="740" t="n">
        <v>500</v>
      </c>
      <c r="H1467" s="653"/>
    </row>
    <row r="1468" customFormat="false" ht="15" hidden="true" customHeight="true" outlineLevel="1" collapsed="false">
      <c r="B1468" s="767" t="s">
        <v>2050</v>
      </c>
      <c r="C1468" s="893" t="s">
        <v>820</v>
      </c>
      <c r="E1468" s="894"/>
      <c r="F1468" s="894"/>
      <c r="G1468" s="894" t="n">
        <v>600</v>
      </c>
      <c r="H1468" s="691"/>
    </row>
    <row r="1469" customFormat="false" ht="15" hidden="true" customHeight="true" outlineLevel="1" collapsed="false">
      <c r="B1469" s="767" t="s">
        <v>2051</v>
      </c>
      <c r="C1469" s="739" t="s">
        <v>15</v>
      </c>
      <c r="G1469" s="740" t="n">
        <v>200</v>
      </c>
      <c r="H1469" s="653"/>
    </row>
    <row r="1470" customFormat="false" ht="15" hidden="true" customHeight="true" outlineLevel="1" collapsed="false">
      <c r="B1470" s="767" t="s">
        <v>2052</v>
      </c>
      <c r="C1470" s="739" t="s">
        <v>15</v>
      </c>
      <c r="G1470" s="740" t="n">
        <v>200</v>
      </c>
      <c r="H1470" s="691"/>
    </row>
    <row r="1471" customFormat="false" ht="15" hidden="true" customHeight="true" outlineLevel="1" collapsed="false">
      <c r="B1471" s="767" t="s">
        <v>2053</v>
      </c>
      <c r="C1471" s="739" t="s">
        <v>15</v>
      </c>
      <c r="G1471" s="740" t="n">
        <v>200</v>
      </c>
      <c r="H1471" s="653"/>
    </row>
    <row r="1472" customFormat="false" ht="15" hidden="true" customHeight="true" outlineLevel="1" collapsed="false">
      <c r="B1472" s="767" t="s">
        <v>2054</v>
      </c>
      <c r="C1472" s="739" t="s">
        <v>48</v>
      </c>
      <c r="G1472" s="740" t="n">
        <v>300</v>
      </c>
      <c r="H1472" s="691"/>
    </row>
    <row r="1473" customFormat="false" ht="15" hidden="true" customHeight="true" outlineLevel="1" collapsed="false">
      <c r="B1473" s="767" t="s">
        <v>2055</v>
      </c>
      <c r="C1473" s="893" t="s">
        <v>48</v>
      </c>
      <c r="G1473" s="740" t="n">
        <v>1000</v>
      </c>
      <c r="H1473" s="653"/>
    </row>
    <row r="1474" customFormat="false" ht="15" hidden="true" customHeight="true" outlineLevel="1" collapsed="false">
      <c r="B1474" s="903" t="s">
        <v>2056</v>
      </c>
      <c r="C1474" s="739" t="s">
        <v>15</v>
      </c>
      <c r="G1474" s="740" t="n">
        <v>100</v>
      </c>
      <c r="H1474" s="691"/>
    </row>
    <row r="1475" customFormat="false" ht="15" hidden="true" customHeight="true" outlineLevel="1" collapsed="false">
      <c r="B1475" s="738" t="s">
        <v>2057</v>
      </c>
      <c r="C1475" s="893" t="s">
        <v>820</v>
      </c>
      <c r="G1475" s="740" t="n">
        <v>200</v>
      </c>
      <c r="H1475" s="691"/>
    </row>
    <row r="1476" customFormat="false" ht="15" hidden="true" customHeight="true" outlineLevel="1" collapsed="false">
      <c r="B1476" s="903" t="s">
        <v>2058</v>
      </c>
      <c r="C1476" s="893" t="s">
        <v>820</v>
      </c>
      <c r="G1476" s="740" t="n">
        <v>200</v>
      </c>
    </row>
    <row r="1477" customFormat="false" ht="15" hidden="true" customHeight="true" outlineLevel="1" collapsed="false">
      <c r="B1477" s="738" t="s">
        <v>2059</v>
      </c>
      <c r="C1477" s="739" t="s">
        <v>1043</v>
      </c>
      <c r="G1477" s="740" t="n">
        <v>1000</v>
      </c>
    </row>
    <row r="1478" customFormat="false" ht="15" hidden="true" customHeight="true" outlineLevel="1" collapsed="false">
      <c r="B1478" s="738"/>
      <c r="C1478" s="739"/>
      <c r="G1478" s="740"/>
      <c r="H1478" s="653"/>
    </row>
    <row r="1479" customFormat="false" ht="15" hidden="true" customHeight="true" outlineLevel="1" collapsed="false">
      <c r="B1479" s="738" t="s">
        <v>2060</v>
      </c>
      <c r="C1479" s="835" t="s">
        <v>15</v>
      </c>
      <c r="G1479" s="740" t="n">
        <v>200</v>
      </c>
      <c r="H1479" s="691"/>
    </row>
    <row r="1480" customFormat="false" ht="15" hidden="true" customHeight="true" outlineLevel="1" collapsed="false">
      <c r="B1480" s="738" t="s">
        <v>2061</v>
      </c>
      <c r="C1480" s="835" t="s">
        <v>15</v>
      </c>
      <c r="G1480" s="740" t="n">
        <v>200</v>
      </c>
      <c r="H1480" s="653"/>
    </row>
    <row r="1481" customFormat="false" ht="15" hidden="true" customHeight="true" outlineLevel="1" collapsed="false">
      <c r="B1481" s="738" t="s">
        <v>2062</v>
      </c>
      <c r="C1481" s="835" t="s">
        <v>820</v>
      </c>
      <c r="G1481" s="740" t="n">
        <v>400</v>
      </c>
      <c r="H1481" s="691"/>
    </row>
    <row r="1482" customFormat="false" ht="15" hidden="true" customHeight="true" outlineLevel="1" collapsed="false">
      <c r="B1482" s="738" t="s">
        <v>2063</v>
      </c>
      <c r="C1482" s="835" t="s">
        <v>820</v>
      </c>
      <c r="G1482" s="740" t="n">
        <v>400</v>
      </c>
      <c r="H1482" s="691"/>
    </row>
    <row r="1483" customFormat="false" ht="15" hidden="true" customHeight="true" outlineLevel="1" collapsed="false">
      <c r="B1483" s="738" t="s">
        <v>2064</v>
      </c>
      <c r="C1483" s="835" t="s">
        <v>820</v>
      </c>
      <c r="G1483" s="740" t="n">
        <v>300</v>
      </c>
      <c r="H1483" s="691"/>
    </row>
    <row r="1484" customFormat="false" ht="15" hidden="true" customHeight="true" outlineLevel="1" collapsed="false">
      <c r="B1484" s="738" t="s">
        <v>2065</v>
      </c>
      <c r="C1484" s="835" t="s">
        <v>820</v>
      </c>
      <c r="G1484" s="740" t="n">
        <v>400</v>
      </c>
      <c r="H1484" s="691"/>
    </row>
    <row r="1485" customFormat="false" ht="14.25" hidden="true" customHeight="true" outlineLevel="1" collapsed="false">
      <c r="B1485" s="738"/>
      <c r="C1485" s="835"/>
      <c r="D1485" s="837"/>
      <c r="G1485" s="704"/>
      <c r="H1485" s="691"/>
    </row>
    <row r="1486" customFormat="false" ht="15" hidden="true" customHeight="true" outlineLevel="1" collapsed="false">
      <c r="B1486" s="738"/>
      <c r="C1486" s="739"/>
      <c r="G1486" s="740"/>
      <c r="H1486" s="691"/>
    </row>
    <row r="1487" customFormat="false" ht="15" hidden="true" customHeight="true" outlineLevel="1" collapsed="false">
      <c r="B1487" s="738" t="s">
        <v>2066</v>
      </c>
      <c r="C1487" s="739" t="s">
        <v>820</v>
      </c>
      <c r="G1487" s="740" t="n">
        <v>400</v>
      </c>
      <c r="H1487" s="691"/>
    </row>
    <row r="1488" customFormat="false" ht="15" hidden="true" customHeight="true" outlineLevel="1" collapsed="false">
      <c r="B1488" s="738" t="s">
        <v>2067</v>
      </c>
      <c r="C1488" s="739" t="s">
        <v>820</v>
      </c>
      <c r="G1488" s="740" t="n">
        <v>400</v>
      </c>
      <c r="H1488" s="691"/>
    </row>
    <row r="1489" customFormat="false" ht="15" hidden="true" customHeight="true" outlineLevel="1" collapsed="false">
      <c r="B1489" s="738" t="s">
        <v>2068</v>
      </c>
      <c r="C1489" s="739" t="s">
        <v>820</v>
      </c>
      <c r="G1489" s="740" t="n">
        <v>400</v>
      </c>
      <c r="H1489" s="691"/>
    </row>
    <row r="1490" customFormat="false" ht="15" hidden="true" customHeight="true" outlineLevel="1" collapsed="false">
      <c r="B1490" s="738" t="s">
        <v>2069</v>
      </c>
      <c r="C1490" s="739" t="s">
        <v>820</v>
      </c>
      <c r="G1490" s="740" t="n">
        <v>200</v>
      </c>
      <c r="H1490" s="691"/>
    </row>
    <row r="1491" customFormat="false" ht="15" hidden="true" customHeight="true" outlineLevel="1" collapsed="false">
      <c r="B1491" s="738" t="s">
        <v>2070</v>
      </c>
      <c r="C1491" s="739" t="s">
        <v>820</v>
      </c>
      <c r="G1491" s="740" t="n">
        <v>200</v>
      </c>
      <c r="H1491" s="691"/>
    </row>
    <row r="1492" customFormat="false" ht="15" hidden="true" customHeight="true" outlineLevel="1" collapsed="false">
      <c r="B1492" s="738" t="s">
        <v>2071</v>
      </c>
      <c r="C1492" s="739" t="s">
        <v>820</v>
      </c>
      <c r="G1492" s="740" t="n">
        <v>200</v>
      </c>
      <c r="H1492" s="691"/>
    </row>
    <row r="1493" customFormat="false" ht="15" hidden="true" customHeight="true" outlineLevel="1" collapsed="false">
      <c r="B1493" s="738" t="s">
        <v>2072</v>
      </c>
      <c r="C1493" s="739" t="s">
        <v>820</v>
      </c>
      <c r="G1493" s="740" t="n">
        <v>200</v>
      </c>
      <c r="H1493" s="691"/>
    </row>
    <row r="1494" customFormat="false" ht="15" hidden="true" customHeight="true" outlineLevel="1" collapsed="false">
      <c r="B1494" s="738" t="s">
        <v>2073</v>
      </c>
      <c r="C1494" s="739" t="s">
        <v>820</v>
      </c>
      <c r="G1494" s="740" t="n">
        <v>80</v>
      </c>
      <c r="H1494" s="691"/>
    </row>
    <row r="1495" customFormat="false" ht="15" hidden="true" customHeight="true" outlineLevel="1" collapsed="false">
      <c r="B1495" s="738" t="s">
        <v>2074</v>
      </c>
      <c r="C1495" s="739" t="s">
        <v>820</v>
      </c>
      <c r="G1495" s="740" t="n">
        <v>80</v>
      </c>
      <c r="H1495" s="691"/>
    </row>
    <row r="1496" customFormat="false" ht="15" hidden="true" customHeight="true" outlineLevel="1" collapsed="false">
      <c r="B1496" s="738" t="s">
        <v>2075</v>
      </c>
      <c r="C1496" s="739" t="s">
        <v>820</v>
      </c>
      <c r="G1496" s="740" t="n">
        <v>200</v>
      </c>
      <c r="H1496" s="691"/>
    </row>
    <row r="1497" customFormat="false" ht="15" hidden="true" customHeight="true" outlineLevel="1" collapsed="false">
      <c r="B1497" s="876" t="s">
        <v>2076</v>
      </c>
      <c r="C1497" s="739" t="s">
        <v>820</v>
      </c>
      <c r="G1497" s="740" t="n">
        <v>200</v>
      </c>
      <c r="H1497" s="691"/>
    </row>
    <row r="1498" customFormat="false" ht="15" hidden="true" customHeight="true" outlineLevel="1" collapsed="false">
      <c r="B1498" s="876" t="s">
        <v>2077</v>
      </c>
      <c r="C1498" s="739" t="s">
        <v>820</v>
      </c>
      <c r="G1498" s="740" t="n">
        <v>100</v>
      </c>
      <c r="H1498" s="691"/>
    </row>
    <row r="1499" customFormat="false" ht="15" hidden="true" customHeight="true" outlineLevel="1" collapsed="false">
      <c r="B1499" s="876" t="s">
        <v>2078</v>
      </c>
      <c r="C1499" s="739" t="s">
        <v>820</v>
      </c>
      <c r="G1499" s="740" t="n">
        <v>100</v>
      </c>
      <c r="H1499" s="691"/>
    </row>
    <row r="1500" customFormat="false" ht="15" hidden="true" customHeight="true" outlineLevel="1" collapsed="false">
      <c r="G1500" s="704"/>
      <c r="H1500" s="691"/>
    </row>
    <row r="1501" customFormat="false" ht="15" hidden="true" customHeight="true" outlineLevel="1" collapsed="false">
      <c r="A1501" s="646" t="s">
        <v>2079</v>
      </c>
      <c r="B1501" s="904" t="s">
        <v>2080</v>
      </c>
      <c r="C1501" s="739" t="s">
        <v>1043</v>
      </c>
      <c r="G1501" s="740" t="n">
        <v>3500</v>
      </c>
      <c r="H1501" s="691"/>
    </row>
    <row r="1502" customFormat="false" ht="15" hidden="true" customHeight="true" outlineLevel="1" collapsed="false">
      <c r="B1502" s="905" t="s">
        <v>2081</v>
      </c>
      <c r="C1502" s="739" t="s">
        <v>1043</v>
      </c>
      <c r="G1502" s="740" t="n">
        <v>3500</v>
      </c>
    </row>
    <row r="1503" customFormat="false" ht="15" hidden="true" customHeight="true" outlineLevel="1" collapsed="false">
      <c r="B1503" s="888" t="s">
        <v>2082</v>
      </c>
      <c r="C1503" s="739" t="s">
        <v>820</v>
      </c>
      <c r="G1503" s="740" t="n">
        <v>500</v>
      </c>
    </row>
    <row r="1504" customFormat="false" ht="15" hidden="true" customHeight="true" outlineLevel="1" collapsed="false">
      <c r="B1504" s="904" t="s">
        <v>2083</v>
      </c>
      <c r="C1504" s="739"/>
      <c r="G1504" s="740" t="n">
        <v>3500</v>
      </c>
      <c r="H1504" s="906"/>
    </row>
    <row r="1505" customFormat="false" ht="15" hidden="true" customHeight="true" outlineLevel="1" collapsed="false">
      <c r="B1505" s="905" t="s">
        <v>2084</v>
      </c>
      <c r="C1505" s="739"/>
      <c r="G1505" s="740" t="n">
        <v>3500</v>
      </c>
      <c r="H1505" s="906"/>
    </row>
    <row r="1506" customFormat="false" ht="15" hidden="true" customHeight="true" outlineLevel="1" collapsed="false">
      <c r="B1506" s="888" t="s">
        <v>2085</v>
      </c>
      <c r="C1506" s="739"/>
      <c r="G1506" s="740" t="n">
        <v>450</v>
      </c>
      <c r="H1506" s="906"/>
    </row>
    <row r="1507" customFormat="false" ht="15" hidden="true" customHeight="true" outlineLevel="1" collapsed="false">
      <c r="B1507" s="738" t="s">
        <v>2086</v>
      </c>
      <c r="C1507" s="739" t="s">
        <v>1043</v>
      </c>
      <c r="G1507" s="740" t="n">
        <v>3500</v>
      </c>
      <c r="H1507" s="906"/>
    </row>
    <row r="1508" customFormat="false" ht="15" hidden="true" customHeight="true" outlineLevel="1" collapsed="false">
      <c r="B1508" s="738" t="s">
        <v>2087</v>
      </c>
      <c r="C1508" s="739" t="s">
        <v>820</v>
      </c>
      <c r="G1508" s="740" t="n">
        <v>550</v>
      </c>
      <c r="H1508" s="906"/>
    </row>
    <row r="1509" customFormat="false" ht="15" hidden="true" customHeight="true" outlineLevel="1" collapsed="false">
      <c r="B1509" s="888" t="s">
        <v>2088</v>
      </c>
      <c r="C1509" s="739" t="s">
        <v>15</v>
      </c>
      <c r="G1509" s="740" t="n">
        <v>500</v>
      </c>
    </row>
    <row r="1510" customFormat="false" ht="15" hidden="true" customHeight="true" outlineLevel="1" collapsed="false">
      <c r="B1510" s="888" t="s">
        <v>2089</v>
      </c>
      <c r="C1510" s="739" t="s">
        <v>1043</v>
      </c>
      <c r="G1510" s="740" t="n">
        <v>1500</v>
      </c>
      <c r="H1510" s="691"/>
    </row>
    <row r="1511" customFormat="false" ht="15" hidden="true" customHeight="true" outlineLevel="1" collapsed="false">
      <c r="B1511" s="888" t="s">
        <v>2090</v>
      </c>
      <c r="C1511" s="739" t="s">
        <v>15</v>
      </c>
      <c r="G1511" s="740" t="n">
        <v>70</v>
      </c>
      <c r="H1511" s="691"/>
    </row>
    <row r="1512" customFormat="false" ht="15" hidden="true" customHeight="true" outlineLevel="1" collapsed="false">
      <c r="B1512" s="888" t="s">
        <v>2091</v>
      </c>
      <c r="C1512" s="739" t="s">
        <v>15</v>
      </c>
      <c r="G1512" s="740" t="n">
        <v>300</v>
      </c>
      <c r="H1512" s="691"/>
    </row>
    <row r="1513" customFormat="false" ht="15" hidden="true" customHeight="true" outlineLevel="1" collapsed="false">
      <c r="B1513" s="888" t="s">
        <v>774</v>
      </c>
      <c r="C1513" s="739" t="s">
        <v>15</v>
      </c>
      <c r="G1513" s="740" t="n">
        <v>500</v>
      </c>
      <c r="H1513" s="691"/>
    </row>
    <row r="1514" customFormat="false" ht="15" hidden="true" customHeight="true" outlineLevel="1" collapsed="false">
      <c r="B1514" s="904" t="s">
        <v>2092</v>
      </c>
      <c r="C1514" s="739" t="s">
        <v>15</v>
      </c>
      <c r="G1514" s="740" t="n">
        <v>700</v>
      </c>
      <c r="H1514" s="691"/>
    </row>
    <row r="1515" customFormat="false" ht="15" hidden="true" customHeight="true" outlineLevel="1" collapsed="false">
      <c r="B1515" s="904" t="s">
        <v>2093</v>
      </c>
      <c r="C1515" s="739" t="s">
        <v>820</v>
      </c>
      <c r="G1515" s="740" t="n">
        <v>350</v>
      </c>
      <c r="H1515" s="691"/>
    </row>
    <row r="1516" customFormat="false" ht="15" hidden="true" customHeight="true" outlineLevel="1" collapsed="false">
      <c r="H1516" s="691"/>
    </row>
    <row r="1517" customFormat="false" ht="15" hidden="true" customHeight="true" outlineLevel="1" collapsed="false">
      <c r="H1517" s="691"/>
    </row>
    <row r="1518" customFormat="false" ht="15" hidden="true" customHeight="true" outlineLevel="1" collapsed="false">
      <c r="A1518" s="646" t="s">
        <v>2094</v>
      </c>
      <c r="B1518" s="738" t="s">
        <v>2095</v>
      </c>
      <c r="C1518" s="739" t="s">
        <v>1043</v>
      </c>
      <c r="G1518" s="740" t="n">
        <v>4000</v>
      </c>
      <c r="H1518" s="691"/>
    </row>
    <row r="1519" customFormat="false" ht="15" hidden="true" customHeight="true" outlineLevel="1" collapsed="false">
      <c r="B1519" s="738" t="s">
        <v>2096</v>
      </c>
      <c r="C1519" s="739" t="s">
        <v>820</v>
      </c>
      <c r="G1519" s="740" t="n">
        <v>200</v>
      </c>
      <c r="H1519" s="691"/>
    </row>
    <row r="1520" customFormat="false" ht="15" hidden="true" customHeight="true" outlineLevel="1" collapsed="false">
      <c r="B1520" s="738" t="s">
        <v>2097</v>
      </c>
      <c r="C1520" s="739" t="s">
        <v>15</v>
      </c>
      <c r="G1520" s="740" t="n">
        <v>150</v>
      </c>
      <c r="H1520" s="691"/>
    </row>
    <row r="1521" customFormat="false" ht="15" hidden="true" customHeight="true" outlineLevel="1" collapsed="false">
      <c r="B1521" s="738" t="s">
        <v>2098</v>
      </c>
      <c r="C1521" s="907" t="s">
        <v>1043</v>
      </c>
      <c r="G1521" s="740" t="n">
        <v>6000</v>
      </c>
      <c r="H1521" s="691"/>
    </row>
    <row r="1522" customFormat="false" ht="15" hidden="true" customHeight="true" outlineLevel="1" collapsed="false">
      <c r="B1522" s="738" t="s">
        <v>2099</v>
      </c>
      <c r="C1522" s="907" t="s">
        <v>1043</v>
      </c>
      <c r="G1522" s="740" t="n">
        <v>6000</v>
      </c>
      <c r="H1522" s="691"/>
    </row>
    <row r="1523" customFormat="false" ht="15" hidden="true" customHeight="true" outlineLevel="1" collapsed="false">
      <c r="B1523" s="738" t="s">
        <v>2100</v>
      </c>
      <c r="C1523" s="907" t="s">
        <v>1043</v>
      </c>
      <c r="G1523" s="740" t="n">
        <v>6000</v>
      </c>
      <c r="H1523" s="691"/>
    </row>
    <row r="1524" customFormat="false" ht="15" hidden="true" customHeight="true" outlineLevel="1" collapsed="false">
      <c r="B1524" s="738" t="s">
        <v>2101</v>
      </c>
      <c r="C1524" s="907" t="s">
        <v>1043</v>
      </c>
      <c r="G1524" s="740" t="n">
        <v>6000</v>
      </c>
      <c r="H1524" s="691"/>
    </row>
    <row r="1525" customFormat="false" ht="15" hidden="true" customHeight="true" outlineLevel="1" collapsed="false">
      <c r="B1525" s="738" t="s">
        <v>2102</v>
      </c>
      <c r="C1525" s="907" t="s">
        <v>15</v>
      </c>
      <c r="G1525" s="740" t="n">
        <v>250</v>
      </c>
      <c r="H1525" s="691"/>
    </row>
    <row r="1526" customFormat="false" ht="15" hidden="true" customHeight="true" outlineLevel="1" collapsed="false">
      <c r="B1526" s="738" t="s">
        <v>2103</v>
      </c>
      <c r="C1526" s="907" t="s">
        <v>15</v>
      </c>
      <c r="G1526" s="740" t="n">
        <v>300</v>
      </c>
      <c r="H1526" s="691"/>
    </row>
    <row r="1527" customFormat="false" ht="15" hidden="true" customHeight="true" outlineLevel="1" collapsed="false">
      <c r="B1527" s="738" t="s">
        <v>2104</v>
      </c>
      <c r="C1527" s="907" t="s">
        <v>1043</v>
      </c>
      <c r="G1527" s="740" t="n">
        <v>300</v>
      </c>
      <c r="H1527" s="691"/>
    </row>
    <row r="1528" customFormat="false" ht="15" hidden="true" customHeight="true" outlineLevel="1" collapsed="false">
      <c r="B1528" s="738" t="s">
        <v>2105</v>
      </c>
      <c r="C1528" s="907" t="s">
        <v>820</v>
      </c>
      <c r="G1528" s="740" t="n">
        <v>100</v>
      </c>
      <c r="H1528" s="691"/>
    </row>
    <row r="1529" customFormat="false" ht="15" hidden="true" customHeight="true" outlineLevel="1" collapsed="false">
      <c r="B1529" s="738" t="s">
        <v>2106</v>
      </c>
      <c r="C1529" s="907" t="s">
        <v>820</v>
      </c>
      <c r="G1529" s="740" t="n">
        <v>100</v>
      </c>
      <c r="H1529" s="691"/>
    </row>
    <row r="1530" customFormat="false" ht="15" hidden="true" customHeight="true" outlineLevel="1" collapsed="false">
      <c r="B1530" s="738" t="s">
        <v>2107</v>
      </c>
      <c r="C1530" s="907" t="s">
        <v>820</v>
      </c>
      <c r="G1530" s="740" t="n">
        <v>250</v>
      </c>
      <c r="H1530" s="691"/>
    </row>
    <row r="1531" customFormat="false" ht="15" hidden="true" customHeight="true" outlineLevel="1" collapsed="false">
      <c r="A1531" s="646" t="s">
        <v>2108</v>
      </c>
      <c r="B1531" s="738" t="s">
        <v>2109</v>
      </c>
      <c r="C1531" s="739" t="s">
        <v>48</v>
      </c>
      <c r="G1531" s="740" t="n">
        <v>1000</v>
      </c>
      <c r="H1531" s="691"/>
    </row>
    <row r="1532" customFormat="false" ht="15" hidden="true" customHeight="true" outlineLevel="1" collapsed="false">
      <c r="B1532" s="738" t="s">
        <v>2110</v>
      </c>
      <c r="C1532" s="739" t="s">
        <v>48</v>
      </c>
      <c r="G1532" s="740" t="n">
        <v>400</v>
      </c>
      <c r="H1532" s="691"/>
    </row>
    <row r="1533" customFormat="false" ht="15" hidden="true" customHeight="true" outlineLevel="1" collapsed="false">
      <c r="B1533" s="738" t="s">
        <v>2111</v>
      </c>
      <c r="C1533" s="739" t="s">
        <v>48</v>
      </c>
      <c r="G1533" s="740" t="n">
        <v>150</v>
      </c>
      <c r="H1533" s="691"/>
    </row>
    <row r="1534" customFormat="false" ht="15" hidden="true" customHeight="true" outlineLevel="1" collapsed="false">
      <c r="B1534" s="738" t="s">
        <v>2112</v>
      </c>
      <c r="C1534" s="739" t="s">
        <v>48</v>
      </c>
      <c r="G1534" s="740" t="n">
        <v>50</v>
      </c>
      <c r="H1534" s="691"/>
    </row>
    <row r="1535" customFormat="false" ht="15" hidden="true" customHeight="true" outlineLevel="1" collapsed="false">
      <c r="B1535" s="738" t="s">
        <v>2113</v>
      </c>
      <c r="C1535" s="739" t="s">
        <v>48</v>
      </c>
      <c r="G1535" s="740" t="n">
        <v>50</v>
      </c>
      <c r="H1535" s="691"/>
    </row>
    <row r="1536" customFormat="false" ht="15" hidden="true" customHeight="true" outlineLevel="1" collapsed="false">
      <c r="B1536" s="738" t="s">
        <v>2114</v>
      </c>
      <c r="C1536" s="739" t="s">
        <v>48</v>
      </c>
      <c r="G1536" s="740" t="n">
        <v>150</v>
      </c>
      <c r="H1536" s="691"/>
    </row>
    <row r="1537" customFormat="false" ht="15" hidden="true" customHeight="true" outlineLevel="1" collapsed="false">
      <c r="B1537" s="738" t="s">
        <v>2115</v>
      </c>
      <c r="C1537" s="739" t="s">
        <v>48</v>
      </c>
      <c r="G1537" s="740" t="n">
        <v>250</v>
      </c>
      <c r="H1537" s="691"/>
    </row>
    <row r="1538" customFormat="false" ht="15" hidden="true" customHeight="true" outlineLevel="1" collapsed="false">
      <c r="B1538" s="738" t="s">
        <v>2116</v>
      </c>
      <c r="C1538" s="739" t="s">
        <v>48</v>
      </c>
      <c r="G1538" s="740" t="n">
        <v>50</v>
      </c>
      <c r="H1538" s="691"/>
    </row>
    <row r="1539" customFormat="false" ht="15" hidden="true" customHeight="true" outlineLevel="1" collapsed="false">
      <c r="B1539" s="738" t="s">
        <v>2117</v>
      </c>
      <c r="C1539" s="739" t="s">
        <v>48</v>
      </c>
      <c r="G1539" s="740" t="n">
        <v>50</v>
      </c>
      <c r="H1539" s="691"/>
    </row>
    <row r="1540" customFormat="false" ht="15" hidden="true" customHeight="true" outlineLevel="1" collapsed="false">
      <c r="B1540" s="738" t="s">
        <v>2118</v>
      </c>
      <c r="C1540" s="739" t="s">
        <v>15</v>
      </c>
      <c r="G1540" s="740" t="n">
        <v>50</v>
      </c>
      <c r="H1540" s="691"/>
    </row>
    <row r="1541" customFormat="false" ht="15" hidden="true" customHeight="true" outlineLevel="1" collapsed="false">
      <c r="B1541" s="738" t="s">
        <v>2119</v>
      </c>
      <c r="C1541" s="739" t="s">
        <v>15</v>
      </c>
      <c r="G1541" s="740" t="n">
        <v>50</v>
      </c>
      <c r="H1541" s="691"/>
    </row>
    <row r="1542" customFormat="false" ht="15" hidden="true" customHeight="true" outlineLevel="1" collapsed="false">
      <c r="B1542" s="738" t="str">
        <f aca="false">B1152</f>
        <v>Двери входные</v>
      </c>
      <c r="C1542" s="739" t="s">
        <v>48</v>
      </c>
      <c r="G1542" s="740" t="n">
        <v>2000</v>
      </c>
      <c r="H1542" s="691"/>
    </row>
    <row r="1543" customFormat="false" ht="15" hidden="true" customHeight="true" outlineLevel="1" collapsed="false">
      <c r="B1543" s="738" t="str">
        <f aca="false">B1153</f>
        <v>двери в котельную</v>
      </c>
      <c r="C1543" s="739" t="s">
        <v>48</v>
      </c>
      <c r="G1543" s="740" t="n">
        <v>2000</v>
      </c>
      <c r="H1543" s="691"/>
    </row>
    <row r="1544" customFormat="false" ht="15" hidden="true" customHeight="true" outlineLevel="1" collapsed="false">
      <c r="B1544" s="738" t="s">
        <v>2120</v>
      </c>
      <c r="C1544" s="739" t="s">
        <v>48</v>
      </c>
      <c r="G1544" s="740" t="n">
        <v>4500</v>
      </c>
      <c r="H1544" s="691"/>
    </row>
    <row r="1545" customFormat="false" ht="15" hidden="true" customHeight="true" outlineLevel="1" collapsed="false">
      <c r="B1545" s="738" t="s">
        <v>2121</v>
      </c>
      <c r="C1545" s="739" t="s">
        <v>15</v>
      </c>
      <c r="G1545" s="740" t="n">
        <v>80</v>
      </c>
      <c r="H1545" s="691"/>
    </row>
    <row r="1546" customFormat="false" ht="15" hidden="true" customHeight="true" outlineLevel="1" collapsed="false">
      <c r="A1546" s="646" t="s">
        <v>2122</v>
      </c>
      <c r="B1546" s="784" t="s">
        <v>2123</v>
      </c>
      <c r="C1546" s="761" t="s">
        <v>162</v>
      </c>
      <c r="G1546" s="704"/>
      <c r="H1546" s="691"/>
    </row>
    <row r="1547" customFormat="false" ht="15" hidden="true" customHeight="true" outlineLevel="1" collapsed="false">
      <c r="B1547" s="881" t="s">
        <v>1844</v>
      </c>
      <c r="C1547" s="761" t="s">
        <v>48</v>
      </c>
      <c r="G1547" s="704" t="n">
        <v>3500</v>
      </c>
      <c r="H1547" s="691"/>
    </row>
    <row r="1548" customFormat="false" ht="15" hidden="true" customHeight="true" outlineLevel="1" collapsed="false">
      <c r="B1548" s="881" t="s">
        <v>1845</v>
      </c>
      <c r="C1548" s="761" t="s">
        <v>48</v>
      </c>
      <c r="G1548" s="704" t="n">
        <v>3500</v>
      </c>
      <c r="H1548" s="691"/>
    </row>
    <row r="1549" customFormat="false" ht="15" hidden="true" customHeight="true" outlineLevel="1" collapsed="false">
      <c r="B1549" s="881" t="s">
        <v>1846</v>
      </c>
      <c r="C1549" s="761" t="s">
        <v>48</v>
      </c>
      <c r="G1549" s="704" t="n">
        <v>3700</v>
      </c>
      <c r="H1549" s="691"/>
    </row>
    <row r="1550" customFormat="false" ht="15" hidden="true" customHeight="true" outlineLevel="1" collapsed="false">
      <c r="B1550" s="881" t="s">
        <v>1847</v>
      </c>
      <c r="C1550" s="761" t="s">
        <v>48</v>
      </c>
      <c r="G1550" s="704" t="n">
        <v>3800</v>
      </c>
      <c r="H1550" s="691"/>
    </row>
    <row r="1551" customFormat="false" ht="15" hidden="true" customHeight="true" outlineLevel="1" collapsed="false">
      <c r="B1551" s="881" t="s">
        <v>785</v>
      </c>
      <c r="C1551" s="761" t="s">
        <v>48</v>
      </c>
      <c r="G1551" s="704" t="n">
        <v>3700</v>
      </c>
      <c r="H1551" s="691"/>
    </row>
    <row r="1552" customFormat="false" ht="15" hidden="true" customHeight="true" outlineLevel="1" collapsed="false">
      <c r="B1552" s="881" t="s">
        <v>1848</v>
      </c>
      <c r="C1552" s="761" t="s">
        <v>48</v>
      </c>
      <c r="G1552" s="704" t="n">
        <v>3900</v>
      </c>
      <c r="H1552" s="691"/>
    </row>
    <row r="1553" customFormat="false" ht="15" hidden="true" customHeight="true" outlineLevel="1" collapsed="false">
      <c r="B1553" s="881" t="s">
        <v>784</v>
      </c>
      <c r="C1553" s="761" t="s">
        <v>48</v>
      </c>
      <c r="G1553" s="704" t="n">
        <v>4000</v>
      </c>
      <c r="H1553" s="691"/>
    </row>
    <row r="1554" customFormat="false" ht="15" hidden="true" customHeight="true" outlineLevel="1" collapsed="false">
      <c r="B1554" s="881" t="s">
        <v>783</v>
      </c>
      <c r="C1554" s="761" t="s">
        <v>48</v>
      </c>
      <c r="G1554" s="704" t="n">
        <v>4200</v>
      </c>
      <c r="H1554" s="691"/>
    </row>
    <row r="1555" customFormat="false" ht="15" hidden="true" customHeight="true" outlineLevel="1" collapsed="false">
      <c r="B1555" s="881" t="s">
        <v>1849</v>
      </c>
      <c r="C1555" s="761" t="s">
        <v>48</v>
      </c>
      <c r="G1555" s="704" t="n">
        <v>4000</v>
      </c>
      <c r="H1555" s="691"/>
    </row>
    <row r="1556" customFormat="false" ht="15" hidden="true" customHeight="true" outlineLevel="1" collapsed="false">
      <c r="B1556" s="881" t="s">
        <v>1850</v>
      </c>
      <c r="C1556" s="761" t="s">
        <v>48</v>
      </c>
      <c r="G1556" s="704" t="n">
        <v>4400</v>
      </c>
      <c r="H1556" s="691"/>
    </row>
    <row r="1557" customFormat="false" ht="15" hidden="true" customHeight="true" outlineLevel="1" collapsed="false">
      <c r="B1557" s="881" t="s">
        <v>1851</v>
      </c>
      <c r="C1557" s="761" t="s">
        <v>48</v>
      </c>
      <c r="G1557" s="704" t="n">
        <v>4700</v>
      </c>
      <c r="H1557" s="691"/>
    </row>
    <row r="1558" customFormat="false" ht="15" hidden="true" customHeight="true" outlineLevel="1" collapsed="false">
      <c r="B1558" s="881" t="s">
        <v>1852</v>
      </c>
      <c r="C1558" s="761" t="s">
        <v>48</v>
      </c>
      <c r="G1558" s="704" t="n">
        <v>5000</v>
      </c>
      <c r="H1558" s="691"/>
    </row>
    <row r="1559" customFormat="false" ht="15" hidden="true" customHeight="true" outlineLevel="1" collapsed="false">
      <c r="B1559" s="738"/>
      <c r="C1559" s="739"/>
      <c r="G1559" s="740"/>
      <c r="H1559" s="691"/>
    </row>
    <row r="1560" customFormat="false" ht="15" hidden="true" customHeight="true" outlineLevel="1" collapsed="false">
      <c r="A1560" s="646" t="s">
        <v>2124</v>
      </c>
      <c r="B1560" s="738" t="s">
        <v>2125</v>
      </c>
      <c r="C1560" s="739" t="s">
        <v>15</v>
      </c>
      <c r="G1560" s="740" t="n">
        <v>250</v>
      </c>
      <c r="H1560" s="691"/>
    </row>
    <row r="1561" customFormat="false" ht="15" hidden="true" customHeight="true" outlineLevel="1" collapsed="false">
      <c r="B1561" s="738" t="s">
        <v>2126</v>
      </c>
      <c r="C1561" s="739" t="s">
        <v>820</v>
      </c>
      <c r="G1561" s="740" t="n">
        <v>450</v>
      </c>
      <c r="H1561" s="691"/>
    </row>
    <row r="1562" customFormat="false" ht="15" hidden="true" customHeight="true" outlineLevel="1" collapsed="false">
      <c r="B1562" s="738" t="s">
        <v>2127</v>
      </c>
      <c r="C1562" s="739" t="s">
        <v>820</v>
      </c>
      <c r="G1562" s="740" t="n">
        <v>100</v>
      </c>
      <c r="H1562" s="691"/>
    </row>
    <row r="1563" customFormat="false" ht="15" hidden="true" customHeight="true" outlineLevel="1" collapsed="false">
      <c r="B1563" s="738" t="s">
        <v>2128</v>
      </c>
      <c r="C1563" s="739" t="s">
        <v>820</v>
      </c>
      <c r="G1563" s="740" t="n">
        <v>100</v>
      </c>
      <c r="H1563" s="691"/>
    </row>
    <row r="1564" customFormat="false" ht="15" hidden="true" customHeight="true" outlineLevel="1" collapsed="false">
      <c r="B1564" s="738" t="s">
        <v>2129</v>
      </c>
      <c r="C1564" s="739" t="s">
        <v>820</v>
      </c>
      <c r="G1564" s="740" t="n">
        <v>100</v>
      </c>
      <c r="H1564" s="691"/>
    </row>
    <row r="1565" customFormat="false" ht="15" hidden="true" customHeight="true" outlineLevel="1" collapsed="false">
      <c r="B1565" s="738" t="s">
        <v>2130</v>
      </c>
      <c r="C1565" s="739" t="s">
        <v>820</v>
      </c>
      <c r="G1565" s="740" t="n">
        <v>100</v>
      </c>
      <c r="H1565" s="691"/>
    </row>
    <row r="1566" customFormat="false" ht="15" hidden="true" customHeight="true" outlineLevel="1" collapsed="false">
      <c r="B1566" s="738" t="s">
        <v>2131</v>
      </c>
      <c r="C1566" s="739" t="s">
        <v>820</v>
      </c>
      <c r="G1566" s="740" t="n">
        <v>200</v>
      </c>
      <c r="H1566" s="691"/>
    </row>
    <row r="1567" customFormat="false" ht="15" hidden="true" customHeight="true" outlineLevel="1" collapsed="false">
      <c r="B1567" s="738" t="s">
        <v>2132</v>
      </c>
      <c r="C1567" s="739" t="s">
        <v>820</v>
      </c>
      <c r="G1567" s="740" t="n">
        <v>300</v>
      </c>
      <c r="H1567" s="691"/>
    </row>
    <row r="1568" customFormat="false" ht="15" hidden="true" customHeight="true" outlineLevel="1" collapsed="false">
      <c r="B1568" s="738" t="s">
        <v>2133</v>
      </c>
      <c r="C1568" s="739" t="s">
        <v>820</v>
      </c>
      <c r="G1568" s="740" t="n">
        <v>300</v>
      </c>
      <c r="H1568" s="691"/>
    </row>
    <row r="1569" customFormat="false" ht="15" hidden="true" customHeight="true" outlineLevel="1" collapsed="false">
      <c r="B1569" s="738" t="s">
        <v>2134</v>
      </c>
      <c r="C1569" s="739" t="s">
        <v>820</v>
      </c>
      <c r="G1569" s="740" t="n">
        <v>100</v>
      </c>
      <c r="H1569" s="691"/>
    </row>
    <row r="1570" customFormat="false" ht="15" hidden="true" customHeight="true" outlineLevel="1" collapsed="false">
      <c r="B1570" s="738" t="s">
        <v>2135</v>
      </c>
      <c r="C1570" s="739" t="s">
        <v>820</v>
      </c>
      <c r="G1570" s="740" t="n">
        <v>100</v>
      </c>
      <c r="H1570" s="691"/>
    </row>
    <row r="1571" customFormat="false" ht="15" hidden="true" customHeight="true" outlineLevel="1" collapsed="false">
      <c r="B1571" s="738" t="s">
        <v>2136</v>
      </c>
      <c r="C1571" s="739" t="s">
        <v>15</v>
      </c>
      <c r="G1571" s="740" t="n">
        <v>150</v>
      </c>
      <c r="H1571" s="691"/>
    </row>
    <row r="1572" customFormat="false" ht="15" hidden="true" customHeight="true" outlineLevel="1" collapsed="false">
      <c r="B1572" s="738" t="s">
        <v>2137</v>
      </c>
      <c r="C1572" s="739" t="s">
        <v>15</v>
      </c>
      <c r="G1572" s="740" t="n">
        <v>300</v>
      </c>
      <c r="H1572" s="691"/>
    </row>
    <row r="1573" customFormat="false" ht="15" hidden="true" customHeight="true" outlineLevel="1" collapsed="false">
      <c r="B1573" s="738" t="s">
        <v>1728</v>
      </c>
      <c r="C1573" s="739" t="s">
        <v>15</v>
      </c>
      <c r="G1573" s="740" t="n">
        <v>300</v>
      </c>
      <c r="H1573" s="691"/>
    </row>
    <row r="1574" customFormat="false" ht="15" hidden="true" customHeight="true" outlineLevel="1" collapsed="false">
      <c r="B1574" s="738" t="s">
        <v>2138</v>
      </c>
      <c r="C1574" s="739" t="s">
        <v>15</v>
      </c>
      <c r="G1574" s="740" t="n">
        <v>300</v>
      </c>
      <c r="H1574" s="691"/>
    </row>
    <row r="1575" customFormat="false" ht="15" hidden="true" customHeight="true" outlineLevel="1" collapsed="false">
      <c r="B1575" s="908" t="s">
        <v>249</v>
      </c>
      <c r="C1575" s="893" t="s">
        <v>15</v>
      </c>
      <c r="G1575" s="740" t="n">
        <v>300</v>
      </c>
      <c r="H1575" s="691"/>
    </row>
    <row r="1576" customFormat="false" ht="15" hidden="true" customHeight="true" outlineLevel="1" collapsed="false">
      <c r="B1576" s="738" t="s">
        <v>2139</v>
      </c>
      <c r="C1576" s="739" t="s">
        <v>820</v>
      </c>
      <c r="D1576" s="837"/>
      <c r="G1576" s="704" t="n">
        <v>200</v>
      </c>
      <c r="H1576" s="691"/>
    </row>
    <row r="1577" customFormat="false" ht="15" hidden="true" customHeight="true" outlineLevel="1" collapsed="false">
      <c r="B1577" s="738" t="s">
        <v>2140</v>
      </c>
      <c r="C1577" s="739" t="s">
        <v>820</v>
      </c>
      <c r="D1577" s="837"/>
      <c r="G1577" s="704" t="n">
        <v>150</v>
      </c>
      <c r="H1577" s="691"/>
    </row>
    <row r="1578" customFormat="false" ht="15" hidden="true" customHeight="true" outlineLevel="1" collapsed="false">
      <c r="B1578" s="738" t="s">
        <v>2141</v>
      </c>
      <c r="C1578" s="739" t="s">
        <v>820</v>
      </c>
      <c r="D1578" s="837"/>
      <c r="G1578" s="704" t="n">
        <v>350</v>
      </c>
      <c r="H1578" s="691"/>
    </row>
    <row r="1579" customFormat="false" ht="15" hidden="true" customHeight="true" outlineLevel="1" collapsed="false">
      <c r="B1579" s="738" t="s">
        <v>2142</v>
      </c>
      <c r="C1579" s="739" t="s">
        <v>15</v>
      </c>
      <c r="D1579" s="837"/>
      <c r="G1579" s="704" t="n">
        <v>200</v>
      </c>
      <c r="H1579" s="691"/>
    </row>
    <row r="1580" customFormat="false" ht="15" hidden="true" customHeight="true" outlineLevel="1" collapsed="false">
      <c r="B1580" s="738"/>
      <c r="C1580" s="739"/>
      <c r="D1580" s="837"/>
      <c r="G1580" s="704"/>
      <c r="H1580" s="691"/>
    </row>
    <row r="1581" customFormat="false" ht="15" hidden="true" customHeight="true" outlineLevel="1" collapsed="false">
      <c r="B1581" s="738"/>
      <c r="C1581" s="739"/>
      <c r="D1581" s="837"/>
      <c r="G1581" s="704"/>
      <c r="H1581" s="691"/>
    </row>
    <row r="1582" customFormat="false" ht="15" hidden="true" customHeight="true" outlineLevel="1" collapsed="false">
      <c r="B1582" s="738"/>
      <c r="C1582" s="739"/>
      <c r="D1582" s="837"/>
      <c r="G1582" s="704"/>
      <c r="H1582" s="691"/>
    </row>
    <row r="1583" customFormat="false" ht="15" hidden="true" customHeight="true" outlineLevel="1" collapsed="false">
      <c r="B1583" s="738"/>
      <c r="C1583" s="739"/>
      <c r="D1583" s="837"/>
      <c r="G1583" s="704"/>
      <c r="H1583" s="691"/>
    </row>
    <row r="1584" customFormat="false" ht="15" hidden="true" customHeight="true" outlineLevel="1" collapsed="false">
      <c r="A1584" s="646" t="s">
        <v>2143</v>
      </c>
      <c r="B1584" s="739" t="s">
        <v>837</v>
      </c>
      <c r="C1584" s="739"/>
      <c r="D1584" s="837"/>
      <c r="G1584" s="704"/>
      <c r="H1584" s="691"/>
    </row>
    <row r="1585" customFormat="false" ht="15" hidden="true" customHeight="true" outlineLevel="1" collapsed="false">
      <c r="B1585" s="876" t="s">
        <v>2144</v>
      </c>
      <c r="C1585" s="739" t="s">
        <v>820</v>
      </c>
      <c r="G1585" s="740" t="n">
        <v>500</v>
      </c>
      <c r="H1585" s="691"/>
    </row>
    <row r="1586" customFormat="false" ht="15" hidden="true" customHeight="true" outlineLevel="1" collapsed="false">
      <c r="B1586" s="832" t="s">
        <v>2145</v>
      </c>
      <c r="C1586" s="739" t="s">
        <v>820</v>
      </c>
      <c r="G1586" s="740" t="n">
        <v>200</v>
      </c>
      <c r="H1586" s="691"/>
    </row>
    <row r="1587" customFormat="false" ht="15" hidden="true" customHeight="true" outlineLevel="1" collapsed="false">
      <c r="B1587" s="876" t="s">
        <v>1864</v>
      </c>
      <c r="C1587" s="739" t="s">
        <v>820</v>
      </c>
      <c r="G1587" s="740" t="n">
        <v>300</v>
      </c>
      <c r="H1587" s="691"/>
    </row>
    <row r="1588" customFormat="false" ht="15" hidden="true" customHeight="true" outlineLevel="1" collapsed="false">
      <c r="B1588" s="876" t="s">
        <v>2146</v>
      </c>
      <c r="C1588" s="739" t="s">
        <v>820</v>
      </c>
      <c r="G1588" s="740" t="n">
        <v>350</v>
      </c>
      <c r="H1588" s="691"/>
    </row>
    <row r="1589" customFormat="false" ht="15" hidden="true" customHeight="true" outlineLevel="1" collapsed="false">
      <c r="B1589" s="876" t="s">
        <v>1870</v>
      </c>
      <c r="C1589" s="739" t="s">
        <v>820</v>
      </c>
      <c r="G1589" s="740" t="n">
        <v>500</v>
      </c>
      <c r="H1589" s="691"/>
    </row>
    <row r="1590" customFormat="false" ht="15" hidden="true" customHeight="true" outlineLevel="1" collapsed="false">
      <c r="B1590" s="876" t="s">
        <v>2147</v>
      </c>
      <c r="C1590" s="739" t="s">
        <v>820</v>
      </c>
      <c r="G1590" s="740" t="n">
        <v>600</v>
      </c>
      <c r="H1590" s="691"/>
    </row>
    <row r="1591" customFormat="false" ht="15" hidden="true" customHeight="true" outlineLevel="1" collapsed="false">
      <c r="B1591" s="876" t="s">
        <v>2148</v>
      </c>
      <c r="C1591" s="739" t="s">
        <v>820</v>
      </c>
      <c r="G1591" s="740" t="n">
        <v>200</v>
      </c>
      <c r="H1591" s="691"/>
    </row>
    <row r="1592" customFormat="false" ht="15" hidden="true" customHeight="true" outlineLevel="1" collapsed="false">
      <c r="B1592" s="876" t="s">
        <v>2149</v>
      </c>
      <c r="C1592" s="739" t="s">
        <v>820</v>
      </c>
      <c r="G1592" s="740" t="n">
        <v>300</v>
      </c>
      <c r="H1592" s="691"/>
    </row>
    <row r="1593" customFormat="false" ht="15" hidden="true" customHeight="true" outlineLevel="1" collapsed="false">
      <c r="B1593" s="876" t="s">
        <v>2150</v>
      </c>
      <c r="C1593" s="739" t="s">
        <v>820</v>
      </c>
      <c r="G1593" s="740" t="n">
        <v>120</v>
      </c>
      <c r="H1593" s="691"/>
    </row>
    <row r="1594" customFormat="false" ht="15" hidden="true" customHeight="true" outlineLevel="1" collapsed="false">
      <c r="B1594" s="876" t="s">
        <v>843</v>
      </c>
      <c r="C1594" s="739" t="s">
        <v>820</v>
      </c>
      <c r="G1594" s="704" t="n">
        <v>400</v>
      </c>
      <c r="H1594" s="691"/>
    </row>
    <row r="1595" customFormat="false" ht="15" hidden="true" customHeight="true" outlineLevel="1" collapsed="false">
      <c r="B1595" s="876" t="s">
        <v>2151</v>
      </c>
      <c r="C1595" s="739" t="s">
        <v>820</v>
      </c>
      <c r="G1595" s="704" t="n">
        <v>400</v>
      </c>
      <c r="H1595" s="691"/>
    </row>
    <row r="1596" customFormat="false" ht="15" hidden="true" customHeight="true" outlineLevel="1" collapsed="false">
      <c r="B1596" s="876" t="s">
        <v>2152</v>
      </c>
      <c r="C1596" s="739" t="s">
        <v>820</v>
      </c>
      <c r="G1596" s="704" t="n">
        <v>400</v>
      </c>
      <c r="H1596" s="691"/>
    </row>
    <row r="1597" customFormat="false" ht="15" hidden="true" customHeight="true" outlineLevel="1" collapsed="false">
      <c r="B1597" s="876" t="s">
        <v>2153</v>
      </c>
      <c r="C1597" s="739" t="s">
        <v>820</v>
      </c>
      <c r="G1597" s="704" t="n">
        <v>400</v>
      </c>
      <c r="H1597" s="691"/>
    </row>
    <row r="1598" customFormat="false" ht="15" hidden="true" customHeight="true" outlineLevel="1" collapsed="false">
      <c r="B1598" s="876" t="s">
        <v>2154</v>
      </c>
      <c r="C1598" s="739" t="s">
        <v>820</v>
      </c>
      <c r="G1598" s="704" t="n">
        <v>400</v>
      </c>
      <c r="H1598" s="691"/>
    </row>
    <row r="1599" customFormat="false" ht="15" hidden="true" customHeight="true" outlineLevel="1" collapsed="false">
      <c r="B1599" s="876" t="s">
        <v>2155</v>
      </c>
      <c r="C1599" s="739" t="s">
        <v>820</v>
      </c>
      <c r="G1599" s="704" t="n">
        <v>400</v>
      </c>
      <c r="H1599" s="691"/>
    </row>
    <row r="1600" customFormat="false" ht="15" hidden="true" customHeight="true" outlineLevel="1" collapsed="false">
      <c r="B1600" s="876" t="s">
        <v>2156</v>
      </c>
      <c r="C1600" s="739" t="s">
        <v>820</v>
      </c>
      <c r="G1600" s="704" t="n">
        <v>200</v>
      </c>
      <c r="H1600" s="691"/>
    </row>
    <row r="1601" customFormat="false" ht="15" hidden="true" customHeight="true" outlineLevel="1" collapsed="false">
      <c r="B1601" s="876" t="s">
        <v>2157</v>
      </c>
      <c r="C1601" s="739" t="s">
        <v>820</v>
      </c>
      <c r="G1601" s="704" t="n">
        <v>600</v>
      </c>
      <c r="H1601" s="691"/>
    </row>
    <row r="1602" customFormat="false" ht="15" hidden="true" customHeight="true" outlineLevel="1" collapsed="false">
      <c r="B1602" s="876" t="s">
        <v>2158</v>
      </c>
      <c r="C1602" s="739" t="s">
        <v>820</v>
      </c>
      <c r="G1602" s="704" t="n">
        <v>250</v>
      </c>
      <c r="H1602" s="691"/>
    </row>
    <row r="1603" customFormat="false" ht="15" hidden="true" customHeight="true" outlineLevel="1" collapsed="false">
      <c r="B1603" s="876"/>
      <c r="C1603" s="739"/>
      <c r="G1603" s="704"/>
      <c r="H1603" s="691"/>
    </row>
    <row r="1604" customFormat="false" ht="15" hidden="true" customHeight="true" outlineLevel="1" collapsed="false">
      <c r="B1604" s="739" t="s">
        <v>2159</v>
      </c>
      <c r="C1604" s="739"/>
      <c r="G1604" s="740"/>
      <c r="H1604" s="691"/>
    </row>
    <row r="1605" customFormat="false" ht="15" hidden="true" customHeight="true" outlineLevel="1" collapsed="false">
      <c r="B1605" s="832" t="s">
        <v>2145</v>
      </c>
      <c r="C1605" s="739" t="s">
        <v>820</v>
      </c>
      <c r="G1605" s="740" t="n">
        <v>200</v>
      </c>
      <c r="H1605" s="691"/>
    </row>
    <row r="1606" customFormat="false" ht="15" hidden="true" customHeight="true" outlineLevel="1" collapsed="false">
      <c r="B1606" s="876" t="s">
        <v>2160</v>
      </c>
      <c r="C1606" s="739" t="s">
        <v>15</v>
      </c>
      <c r="G1606" s="740" t="n">
        <v>120</v>
      </c>
      <c r="H1606" s="691"/>
    </row>
    <row r="1607" customFormat="false" ht="15" hidden="true" customHeight="true" outlineLevel="1" collapsed="false">
      <c r="B1607" s="876" t="s">
        <v>2150</v>
      </c>
      <c r="C1607" s="739" t="s">
        <v>820</v>
      </c>
      <c r="G1607" s="740" t="n">
        <v>120</v>
      </c>
      <c r="H1607" s="691"/>
    </row>
    <row r="1608" customFormat="false" ht="15" hidden="true" customHeight="true" outlineLevel="1" collapsed="false">
      <c r="B1608" s="876" t="s">
        <v>2161</v>
      </c>
      <c r="C1608" s="739" t="s">
        <v>820</v>
      </c>
      <c r="G1608" s="740" t="n">
        <v>350</v>
      </c>
      <c r="H1608" s="691"/>
    </row>
    <row r="1609" customFormat="false" ht="15" hidden="true" customHeight="true" outlineLevel="1" collapsed="false">
      <c r="B1609" s="876" t="s">
        <v>2162</v>
      </c>
      <c r="C1609" s="739" t="s">
        <v>820</v>
      </c>
      <c r="G1609" s="740" t="n">
        <v>900</v>
      </c>
      <c r="H1609" s="691"/>
    </row>
    <row r="1610" customFormat="false" ht="15" hidden="true" customHeight="true" outlineLevel="1" collapsed="false">
      <c r="B1610" s="876" t="s">
        <v>2163</v>
      </c>
      <c r="C1610" s="739" t="s">
        <v>820</v>
      </c>
      <c r="G1610" s="740" t="n">
        <v>800</v>
      </c>
      <c r="H1610" s="691"/>
    </row>
    <row r="1611" customFormat="false" ht="15" hidden="true" customHeight="true" outlineLevel="1" collapsed="false">
      <c r="B1611" s="739" t="s">
        <v>2164</v>
      </c>
      <c r="C1611" s="739"/>
      <c r="G1611" s="740"/>
      <c r="H1611" s="691"/>
    </row>
    <row r="1612" customFormat="false" ht="15" hidden="true" customHeight="true" outlineLevel="1" collapsed="false">
      <c r="B1612" s="876" t="s">
        <v>1870</v>
      </c>
      <c r="C1612" s="739" t="s">
        <v>820</v>
      </c>
      <c r="G1612" s="740" t="n">
        <v>600</v>
      </c>
      <c r="H1612" s="691"/>
    </row>
    <row r="1613" customFormat="false" ht="15" hidden="true" customHeight="true" outlineLevel="1" collapsed="false">
      <c r="B1613" s="876" t="s">
        <v>2165</v>
      </c>
      <c r="C1613" s="739" t="s">
        <v>820</v>
      </c>
      <c r="G1613" s="740" t="n">
        <v>500</v>
      </c>
      <c r="H1613" s="691"/>
    </row>
    <row r="1614" customFormat="false" ht="15" hidden="true" customHeight="true" outlineLevel="1" collapsed="false">
      <c r="B1614" s="876" t="s">
        <v>2166</v>
      </c>
      <c r="C1614" s="739" t="s">
        <v>820</v>
      </c>
      <c r="G1614" s="740" t="n">
        <v>100</v>
      </c>
      <c r="H1614" s="691"/>
    </row>
    <row r="1615" customFormat="false" ht="15" hidden="true" customHeight="true" outlineLevel="1" collapsed="false">
      <c r="B1615" s="739"/>
      <c r="C1615" s="739"/>
      <c r="D1615" s="837"/>
      <c r="G1615" s="704"/>
      <c r="H1615" s="691"/>
    </row>
    <row r="1616" customFormat="false" ht="15" hidden="true" customHeight="true" outlineLevel="1" collapsed="false">
      <c r="A1616" s="646" t="s">
        <v>2167</v>
      </c>
      <c r="B1616" s="739" t="s">
        <v>837</v>
      </c>
      <c r="C1616" s="739"/>
      <c r="D1616" s="837"/>
      <c r="G1616" s="704"/>
      <c r="H1616" s="691"/>
    </row>
    <row r="1617" customFormat="false" ht="15" hidden="true" customHeight="true" outlineLevel="1" collapsed="false">
      <c r="B1617" s="738" t="s">
        <v>2168</v>
      </c>
      <c r="C1617" s="739" t="s">
        <v>820</v>
      </c>
      <c r="G1617" s="740" t="n">
        <v>100</v>
      </c>
      <c r="H1617" s="691"/>
    </row>
    <row r="1618" customFormat="false" ht="15" hidden="true" customHeight="true" outlineLevel="1" collapsed="false">
      <c r="B1618" s="738" t="s">
        <v>2145</v>
      </c>
      <c r="C1618" s="739" t="s">
        <v>820</v>
      </c>
      <c r="G1618" s="740" t="n">
        <v>90</v>
      </c>
      <c r="H1618" s="691"/>
    </row>
    <row r="1619" customFormat="false" ht="15" hidden="true" customHeight="true" outlineLevel="1" collapsed="false">
      <c r="B1619" s="738" t="s">
        <v>2169</v>
      </c>
      <c r="C1619" s="739" t="s">
        <v>820</v>
      </c>
      <c r="G1619" s="740" t="n">
        <v>50</v>
      </c>
      <c r="H1619" s="691"/>
    </row>
    <row r="1620" customFormat="false" ht="15" hidden="true" customHeight="true" outlineLevel="1" collapsed="false">
      <c r="B1620" s="738" t="s">
        <v>2170</v>
      </c>
      <c r="C1620" s="739" t="s">
        <v>820</v>
      </c>
      <c r="G1620" s="740" t="n">
        <v>100</v>
      </c>
      <c r="H1620" s="691"/>
    </row>
    <row r="1621" customFormat="false" ht="15" hidden="true" customHeight="true" outlineLevel="1" collapsed="false">
      <c r="B1621" s="738" t="s">
        <v>2171</v>
      </c>
      <c r="C1621" s="739" t="s">
        <v>820</v>
      </c>
      <c r="G1621" s="740" t="n">
        <v>120</v>
      </c>
      <c r="H1621" s="691"/>
    </row>
    <row r="1622" customFormat="false" ht="15" hidden="true" customHeight="true" outlineLevel="1" collapsed="false">
      <c r="B1622" s="738" t="s">
        <v>2172</v>
      </c>
      <c r="C1622" s="739" t="s">
        <v>820</v>
      </c>
      <c r="G1622" s="740" t="n">
        <v>100</v>
      </c>
      <c r="H1622" s="691"/>
    </row>
    <row r="1623" customFormat="false" ht="15" hidden="true" customHeight="true" outlineLevel="1" collapsed="false">
      <c r="B1623" s="861" t="s">
        <v>843</v>
      </c>
      <c r="C1623" s="739" t="s">
        <v>820</v>
      </c>
      <c r="G1623" s="740" t="n">
        <v>400</v>
      </c>
      <c r="H1623" s="691"/>
    </row>
    <row r="1624" customFormat="false" ht="15" hidden="true" customHeight="true" outlineLevel="1" collapsed="false">
      <c r="B1624" s="861" t="s">
        <v>1891</v>
      </c>
      <c r="C1624" s="739" t="s">
        <v>820</v>
      </c>
      <c r="G1624" s="740" t="n">
        <v>400</v>
      </c>
      <c r="H1624" s="691"/>
    </row>
    <row r="1625" customFormat="false" ht="15" hidden="true" customHeight="true" outlineLevel="1" collapsed="false">
      <c r="B1625" s="861" t="s">
        <v>847</v>
      </c>
      <c r="C1625" s="739" t="s">
        <v>820</v>
      </c>
      <c r="G1625" s="740" t="n">
        <v>400</v>
      </c>
      <c r="H1625" s="691"/>
    </row>
    <row r="1626" customFormat="false" ht="15" hidden="true" customHeight="true" outlineLevel="1" collapsed="false">
      <c r="B1626" s="861" t="s">
        <v>1892</v>
      </c>
      <c r="C1626" s="739" t="s">
        <v>820</v>
      </c>
      <c r="G1626" s="740" t="n">
        <v>100</v>
      </c>
      <c r="H1626" s="691"/>
    </row>
    <row r="1627" customFormat="false" ht="15" hidden="true" customHeight="true" outlineLevel="1" collapsed="false">
      <c r="B1627" s="739" t="s">
        <v>844</v>
      </c>
      <c r="C1627" s="739"/>
      <c r="G1627" s="740"/>
      <c r="H1627" s="691"/>
    </row>
    <row r="1628" customFormat="false" ht="15" hidden="true" customHeight="true" outlineLevel="1" collapsed="false">
      <c r="B1628" s="738" t="s">
        <v>2173</v>
      </c>
      <c r="C1628" s="739" t="s">
        <v>820</v>
      </c>
      <c r="G1628" s="740" t="n">
        <v>150</v>
      </c>
      <c r="H1628" s="691"/>
    </row>
    <row r="1629" customFormat="false" ht="15" hidden="true" customHeight="true" outlineLevel="1" collapsed="false">
      <c r="B1629" s="738" t="s">
        <v>2145</v>
      </c>
      <c r="C1629" s="739" t="s">
        <v>820</v>
      </c>
      <c r="G1629" s="740" t="n">
        <v>120</v>
      </c>
      <c r="H1629" s="691"/>
    </row>
    <row r="1630" customFormat="false" ht="15" hidden="true" customHeight="true" outlineLevel="1" collapsed="false">
      <c r="B1630" s="738" t="s">
        <v>2174</v>
      </c>
      <c r="C1630" s="739" t="s">
        <v>820</v>
      </c>
      <c r="G1630" s="740" t="n">
        <v>80</v>
      </c>
      <c r="H1630" s="691"/>
    </row>
    <row r="1631" customFormat="false" ht="15" hidden="true" customHeight="true" outlineLevel="1" collapsed="false">
      <c r="B1631" s="738" t="s">
        <v>2175</v>
      </c>
      <c r="C1631" s="739" t="s">
        <v>820</v>
      </c>
      <c r="G1631" s="740" t="n">
        <v>100</v>
      </c>
      <c r="H1631" s="691"/>
    </row>
    <row r="1632" customFormat="false" ht="15" hidden="true" customHeight="true" outlineLevel="1" collapsed="false">
      <c r="B1632" s="738" t="s">
        <v>2176</v>
      </c>
      <c r="C1632" s="739" t="s">
        <v>820</v>
      </c>
      <c r="G1632" s="740" t="n">
        <v>150</v>
      </c>
      <c r="H1632" s="691"/>
    </row>
    <row r="1633" customFormat="false" ht="15" hidden="true" customHeight="true" outlineLevel="1" collapsed="false">
      <c r="B1633" s="738" t="s">
        <v>1903</v>
      </c>
      <c r="C1633" s="739" t="s">
        <v>820</v>
      </c>
      <c r="G1633" s="740" t="n">
        <v>300</v>
      </c>
      <c r="H1633" s="691"/>
    </row>
    <row r="1634" customFormat="false" ht="15" hidden="true" customHeight="true" outlineLevel="1" collapsed="false">
      <c r="B1634" s="738" t="s">
        <v>2177</v>
      </c>
      <c r="C1634" s="739" t="s">
        <v>15</v>
      </c>
      <c r="G1634" s="740" t="n">
        <v>50</v>
      </c>
      <c r="H1634" s="691"/>
    </row>
    <row r="1635" customFormat="false" ht="15" hidden="true" customHeight="true" outlineLevel="1" collapsed="false">
      <c r="B1635" s="738" t="s">
        <v>2178</v>
      </c>
      <c r="C1635" s="739" t="s">
        <v>15</v>
      </c>
      <c r="G1635" s="740" t="n">
        <v>50</v>
      </c>
      <c r="H1635" s="691"/>
    </row>
    <row r="1636" customFormat="false" ht="15" hidden="true" customHeight="true" outlineLevel="1" collapsed="false">
      <c r="B1636" s="738" t="s">
        <v>2179</v>
      </c>
      <c r="C1636" s="739" t="s">
        <v>15</v>
      </c>
      <c r="G1636" s="740" t="n">
        <v>50</v>
      </c>
      <c r="H1636" s="691"/>
    </row>
    <row r="1637" customFormat="false" ht="15" hidden="true" customHeight="true" outlineLevel="1" collapsed="false">
      <c r="B1637" s="861" t="s">
        <v>843</v>
      </c>
      <c r="C1637" s="739" t="s">
        <v>820</v>
      </c>
      <c r="G1637" s="740" t="n">
        <v>400</v>
      </c>
      <c r="H1637" s="691"/>
    </row>
    <row r="1638" customFormat="false" ht="15" hidden="true" customHeight="true" outlineLevel="1" collapsed="false">
      <c r="B1638" s="861" t="s">
        <v>1891</v>
      </c>
      <c r="C1638" s="739" t="s">
        <v>820</v>
      </c>
      <c r="G1638" s="740" t="n">
        <v>400</v>
      </c>
      <c r="H1638" s="691"/>
    </row>
    <row r="1639" customFormat="false" ht="15" hidden="true" customHeight="true" outlineLevel="1" collapsed="false">
      <c r="B1639" s="861" t="s">
        <v>847</v>
      </c>
      <c r="C1639" s="739" t="s">
        <v>820</v>
      </c>
      <c r="G1639" s="740" t="n">
        <v>400</v>
      </c>
      <c r="H1639" s="691"/>
    </row>
    <row r="1640" customFormat="false" ht="15" hidden="true" customHeight="true" outlineLevel="1" collapsed="false">
      <c r="B1640" s="861" t="s">
        <v>1892</v>
      </c>
      <c r="C1640" s="739" t="s">
        <v>820</v>
      </c>
      <c r="G1640" s="740" t="n">
        <v>100</v>
      </c>
      <c r="H1640" s="691"/>
    </row>
    <row r="1641" customFormat="false" ht="15" hidden="true" customHeight="true" outlineLevel="1" collapsed="false">
      <c r="B1641" s="739" t="s">
        <v>848</v>
      </c>
      <c r="C1641" s="739"/>
      <c r="G1641" s="740"/>
      <c r="H1641" s="691"/>
    </row>
    <row r="1642" customFormat="false" ht="15" hidden="true" customHeight="true" outlineLevel="1" collapsed="false">
      <c r="B1642" s="738" t="s">
        <v>2180</v>
      </c>
      <c r="C1642" s="739" t="s">
        <v>820</v>
      </c>
      <c r="G1642" s="740" t="n">
        <v>30</v>
      </c>
      <c r="H1642" s="691"/>
    </row>
    <row r="1643" customFormat="false" ht="15" hidden="true" customHeight="true" outlineLevel="1" collapsed="false">
      <c r="B1643" s="738" t="s">
        <v>1906</v>
      </c>
      <c r="C1643" s="739" t="s">
        <v>820</v>
      </c>
      <c r="G1643" s="740" t="n">
        <v>150</v>
      </c>
      <c r="H1643" s="691"/>
    </row>
    <row r="1644" customFormat="false" ht="15" hidden="true" customHeight="true" outlineLevel="1" collapsed="false">
      <c r="B1644" s="738" t="s">
        <v>1907</v>
      </c>
      <c r="C1644" s="739" t="s">
        <v>820</v>
      </c>
      <c r="G1644" s="740" t="n">
        <v>150</v>
      </c>
      <c r="H1644" s="691"/>
    </row>
    <row r="1645" customFormat="false" ht="15" hidden="true" customHeight="true" outlineLevel="1" collapsed="false">
      <c r="B1645" s="738" t="s">
        <v>1909</v>
      </c>
      <c r="C1645" s="739" t="s">
        <v>15</v>
      </c>
      <c r="G1645" s="740" t="n">
        <v>150</v>
      </c>
      <c r="H1645" s="691"/>
    </row>
    <row r="1646" customFormat="false" ht="15" hidden="true" customHeight="true" outlineLevel="1" collapsed="false">
      <c r="B1646" s="738" t="s">
        <v>1910</v>
      </c>
      <c r="C1646" s="739" t="s">
        <v>820</v>
      </c>
      <c r="G1646" s="740" t="n">
        <v>600</v>
      </c>
      <c r="H1646" s="691"/>
    </row>
    <row r="1647" customFormat="false" ht="15" hidden="true" customHeight="true" outlineLevel="1" collapsed="false">
      <c r="B1647" s="739" t="s">
        <v>852</v>
      </c>
      <c r="C1647" s="893"/>
      <c r="G1647" s="740"/>
      <c r="H1647" s="691"/>
    </row>
    <row r="1648" customFormat="false" ht="15" hidden="true" customHeight="true" outlineLevel="1" collapsed="false">
      <c r="B1648" s="738" t="s">
        <v>1914</v>
      </c>
      <c r="C1648" s="739" t="s">
        <v>820</v>
      </c>
      <c r="G1648" s="740" t="n">
        <v>600</v>
      </c>
      <c r="H1648" s="691"/>
    </row>
    <row r="1649" customFormat="false" ht="15" hidden="true" customHeight="true" outlineLevel="1" collapsed="false">
      <c r="B1649" s="738" t="s">
        <v>1915</v>
      </c>
      <c r="C1649" s="739" t="s">
        <v>820</v>
      </c>
      <c r="G1649" s="740" t="n">
        <v>600</v>
      </c>
      <c r="H1649" s="691"/>
    </row>
    <row r="1650" customFormat="false" ht="15" hidden="true" customHeight="true" outlineLevel="1" collapsed="false">
      <c r="B1650" s="738" t="s">
        <v>1916</v>
      </c>
      <c r="C1650" s="739" t="s">
        <v>820</v>
      </c>
      <c r="G1650" s="740" t="n">
        <v>600</v>
      </c>
      <c r="H1650" s="691"/>
    </row>
    <row r="1651" customFormat="false" ht="15" hidden="true" customHeight="true" outlineLevel="1" collapsed="false">
      <c r="B1651" s="738" t="s">
        <v>2181</v>
      </c>
      <c r="C1651" s="739" t="s">
        <v>820</v>
      </c>
      <c r="G1651" s="740" t="n">
        <v>150</v>
      </c>
      <c r="H1651" s="691"/>
    </row>
    <row r="1652" customFormat="false" ht="15" hidden="true" customHeight="true" outlineLevel="1" collapsed="false">
      <c r="B1652" s="738" t="s">
        <v>2182</v>
      </c>
      <c r="C1652" s="739" t="s">
        <v>820</v>
      </c>
      <c r="G1652" s="740" t="n">
        <v>150</v>
      </c>
      <c r="H1652" s="691"/>
    </row>
    <row r="1653" customFormat="false" ht="15" hidden="true" customHeight="true" outlineLevel="1" collapsed="false">
      <c r="B1653" s="738" t="s">
        <v>1903</v>
      </c>
      <c r="C1653" s="739" t="s">
        <v>820</v>
      </c>
      <c r="G1653" s="740" t="n">
        <v>300</v>
      </c>
      <c r="H1653" s="691"/>
    </row>
    <row r="1654" customFormat="false" ht="15" hidden="true" customHeight="true" outlineLevel="1" collapsed="false">
      <c r="B1654" s="739" t="s">
        <v>2183</v>
      </c>
      <c r="C1654" s="739"/>
      <c r="G1654" s="740"/>
      <c r="H1654" s="691"/>
    </row>
    <row r="1655" customFormat="false" ht="15" hidden="true" customHeight="true" outlineLevel="1" collapsed="false">
      <c r="B1655" s="738" t="s">
        <v>2184</v>
      </c>
      <c r="C1655" s="739" t="s">
        <v>48</v>
      </c>
      <c r="G1655" s="740" t="n">
        <v>1200</v>
      </c>
      <c r="H1655" s="691"/>
    </row>
    <row r="1656" customFormat="false" ht="15" hidden="true" customHeight="true" outlineLevel="1" collapsed="false">
      <c r="B1656" s="738" t="s">
        <v>2185</v>
      </c>
      <c r="C1656" s="739" t="s">
        <v>48</v>
      </c>
      <c r="G1656" s="740" t="n">
        <v>250</v>
      </c>
      <c r="H1656" s="691"/>
    </row>
    <row r="1657" customFormat="false" ht="15" hidden="true" customHeight="true" outlineLevel="1" collapsed="false">
      <c r="B1657" s="738" t="s">
        <v>2186</v>
      </c>
      <c r="C1657" s="739" t="s">
        <v>48</v>
      </c>
      <c r="G1657" s="740" t="n">
        <v>250</v>
      </c>
      <c r="H1657" s="691"/>
    </row>
    <row r="1658" customFormat="false" ht="15" hidden="true" customHeight="true" outlineLevel="1" collapsed="false">
      <c r="B1658" s="738" t="s">
        <v>2187</v>
      </c>
      <c r="C1658" s="739" t="s">
        <v>48</v>
      </c>
      <c r="G1658" s="740" t="n">
        <v>100</v>
      </c>
      <c r="H1658" s="691"/>
    </row>
    <row r="1659" customFormat="false" ht="15" hidden="true" customHeight="true" outlineLevel="1" collapsed="false">
      <c r="B1659" s="738" t="s">
        <v>2188</v>
      </c>
      <c r="C1659" s="739" t="s">
        <v>48</v>
      </c>
      <c r="G1659" s="740" t="n">
        <v>80</v>
      </c>
      <c r="H1659" s="691"/>
    </row>
    <row r="1660" customFormat="false" ht="15" hidden="true" customHeight="true" outlineLevel="1" collapsed="false">
      <c r="B1660" s="738" t="s">
        <v>2189</v>
      </c>
      <c r="C1660" s="739" t="s">
        <v>48</v>
      </c>
      <c r="D1660" s="837"/>
      <c r="G1660" s="704" t="n">
        <v>20000</v>
      </c>
      <c r="H1660" s="691"/>
    </row>
    <row r="1661" customFormat="false" ht="15" hidden="true" customHeight="true" outlineLevel="1" collapsed="false">
      <c r="B1661" s="739"/>
      <c r="C1661" s="739"/>
      <c r="D1661" s="837"/>
      <c r="G1661" s="704"/>
      <c r="H1661" s="691"/>
    </row>
    <row r="1662" customFormat="false" ht="15" hidden="true" customHeight="true" outlineLevel="1" collapsed="false">
      <c r="B1662" s="739"/>
      <c r="C1662" s="739"/>
      <c r="D1662" s="837"/>
      <c r="G1662" s="704"/>
      <c r="H1662" s="691"/>
    </row>
    <row r="1663" customFormat="false" ht="15" hidden="true" customHeight="true" outlineLevel="1" collapsed="false">
      <c r="A1663" s="646" t="s">
        <v>866</v>
      </c>
      <c r="B1663" s="738" t="s">
        <v>2007</v>
      </c>
      <c r="C1663" s="739" t="s">
        <v>12</v>
      </c>
      <c r="D1663" s="837" t="s">
        <v>2190</v>
      </c>
      <c r="G1663" s="704"/>
      <c r="H1663" s="691"/>
    </row>
    <row r="1664" customFormat="false" ht="15" hidden="true" customHeight="true" outlineLevel="1" collapsed="false">
      <c r="B1664" s="738" t="s">
        <v>2191</v>
      </c>
      <c r="C1664" s="739" t="s">
        <v>15</v>
      </c>
      <c r="G1664" s="740" t="n">
        <v>100</v>
      </c>
      <c r="H1664" s="691"/>
    </row>
    <row r="1665" customFormat="false" ht="15" hidden="true" customHeight="true" outlineLevel="1" collapsed="false">
      <c r="B1665" s="738" t="s">
        <v>2192</v>
      </c>
      <c r="C1665" s="739" t="s">
        <v>15</v>
      </c>
      <c r="G1665" s="740" t="n">
        <v>50</v>
      </c>
      <c r="H1665" s="691"/>
    </row>
    <row r="1666" customFormat="false" ht="15" hidden="true" customHeight="true" outlineLevel="1" collapsed="false">
      <c r="B1666" s="738" t="s">
        <v>2193</v>
      </c>
      <c r="C1666" s="739" t="s">
        <v>48</v>
      </c>
      <c r="G1666" s="740" t="n">
        <v>500</v>
      </c>
      <c r="H1666" s="691"/>
    </row>
    <row r="1667" customFormat="false" ht="15" hidden="true" customHeight="true" outlineLevel="1" collapsed="false">
      <c r="B1667" s="738" t="s">
        <v>2194</v>
      </c>
      <c r="C1667" s="739" t="s">
        <v>48</v>
      </c>
      <c r="G1667" s="740" t="n">
        <v>200</v>
      </c>
      <c r="H1667" s="691"/>
    </row>
    <row r="1668" customFormat="false" ht="15" hidden="true" customHeight="true" outlineLevel="1" collapsed="false">
      <c r="B1668" s="738" t="s">
        <v>2195</v>
      </c>
      <c r="C1668" s="739" t="s">
        <v>48</v>
      </c>
      <c r="G1668" s="740" t="n">
        <v>200</v>
      </c>
      <c r="H1668" s="691"/>
    </row>
    <row r="1669" customFormat="false" ht="15" hidden="true" customHeight="true" outlineLevel="1" collapsed="false">
      <c r="B1669" s="738" t="s">
        <v>2196</v>
      </c>
      <c r="C1669" s="739" t="s">
        <v>48</v>
      </c>
      <c r="G1669" s="740" t="n">
        <v>6000</v>
      </c>
      <c r="H1669" s="691"/>
    </row>
    <row r="1670" customFormat="false" ht="15" hidden="true" customHeight="true" outlineLevel="1" collapsed="false">
      <c r="B1670" s="738" t="s">
        <v>2197</v>
      </c>
      <c r="C1670" s="739" t="s">
        <v>48</v>
      </c>
      <c r="G1670" s="740" t="n">
        <v>250</v>
      </c>
      <c r="H1670" s="691"/>
    </row>
    <row r="1671" customFormat="false" ht="15" hidden="true" customHeight="true" outlineLevel="1" collapsed="false">
      <c r="B1671" s="738" t="s">
        <v>2198</v>
      </c>
      <c r="C1671" s="739" t="s">
        <v>48</v>
      </c>
      <c r="G1671" s="740" t="n">
        <v>250</v>
      </c>
      <c r="H1671" s="691"/>
    </row>
    <row r="1672" customFormat="false" ht="15" hidden="true" customHeight="true" outlineLevel="1" collapsed="false">
      <c r="B1672" s="738" t="s">
        <v>2199</v>
      </c>
      <c r="C1672" s="739" t="s">
        <v>15</v>
      </c>
      <c r="D1672" s="837"/>
      <c r="G1672" s="704" t="n">
        <v>300</v>
      </c>
      <c r="H1672" s="691"/>
    </row>
    <row r="1673" customFormat="false" ht="15" hidden="true" customHeight="true" outlineLevel="1" collapsed="false">
      <c r="B1673" s="738"/>
      <c r="C1673" s="739"/>
      <c r="D1673" s="837"/>
      <c r="G1673" s="704"/>
      <c r="H1673" s="691"/>
    </row>
    <row r="1674" customFormat="false" ht="15" hidden="true" customHeight="true" outlineLevel="1" collapsed="false">
      <c r="A1674" s="646" t="s">
        <v>2200</v>
      </c>
      <c r="B1674" s="738" t="s">
        <v>2201</v>
      </c>
      <c r="C1674" s="761" t="s">
        <v>15</v>
      </c>
      <c r="G1674" s="740" t="n">
        <v>200</v>
      </c>
      <c r="H1674" s="691"/>
    </row>
    <row r="1675" customFormat="false" ht="15" hidden="true" customHeight="true" outlineLevel="1" collapsed="false">
      <c r="B1675" s="738" t="s">
        <v>2202</v>
      </c>
      <c r="C1675" s="761" t="s">
        <v>48</v>
      </c>
      <c r="G1675" s="740" t="n">
        <v>1000</v>
      </c>
      <c r="H1675" s="691"/>
    </row>
    <row r="1676" customFormat="false" ht="15" hidden="true" customHeight="true" outlineLevel="1" collapsed="false">
      <c r="B1676" s="738" t="s">
        <v>2201</v>
      </c>
      <c r="C1676" s="761" t="s">
        <v>15</v>
      </c>
      <c r="G1676" s="740" t="n">
        <v>200</v>
      </c>
      <c r="H1676" s="691"/>
    </row>
    <row r="1677" customFormat="false" ht="15" hidden="true" customHeight="true" outlineLevel="1" collapsed="false">
      <c r="B1677" s="738"/>
      <c r="C1677" s="739"/>
      <c r="D1677" s="837"/>
      <c r="G1677" s="704"/>
      <c r="H1677" s="691"/>
    </row>
    <row r="1678" customFormat="false" ht="15" hidden="true" customHeight="true" outlineLevel="1" collapsed="false">
      <c r="A1678" s="646" t="s">
        <v>894</v>
      </c>
      <c r="B1678" s="837" t="s">
        <v>2203</v>
      </c>
      <c r="C1678" s="739"/>
      <c r="D1678" s="837"/>
      <c r="G1678" s="704"/>
      <c r="H1678" s="691"/>
    </row>
    <row r="1679" customFormat="false" ht="15" hidden="true" customHeight="true" outlineLevel="1" collapsed="false">
      <c r="B1679" s="837" t="s">
        <v>2204</v>
      </c>
      <c r="C1679" s="739" t="s">
        <v>48</v>
      </c>
      <c r="G1679" s="740" t="n">
        <v>1500</v>
      </c>
      <c r="H1679" s="691"/>
    </row>
    <row r="1680" customFormat="false" ht="15" hidden="true" customHeight="true" outlineLevel="1" collapsed="false">
      <c r="B1680" s="738" t="s">
        <v>2205</v>
      </c>
      <c r="C1680" s="739" t="s">
        <v>48</v>
      </c>
      <c r="G1680" s="740" t="n">
        <v>1500</v>
      </c>
      <c r="H1680" s="691"/>
    </row>
    <row r="1681" customFormat="false" ht="15" hidden="true" customHeight="true" outlineLevel="1" collapsed="false">
      <c r="B1681" s="738" t="s">
        <v>2206</v>
      </c>
      <c r="C1681" s="739" t="s">
        <v>48</v>
      </c>
      <c r="G1681" s="740" t="n">
        <v>3000</v>
      </c>
      <c r="H1681" s="691"/>
    </row>
    <row r="1682" customFormat="false" ht="15" hidden="true" customHeight="true" outlineLevel="1" collapsed="false">
      <c r="B1682" s="738" t="s">
        <v>2207</v>
      </c>
      <c r="C1682" s="739" t="s">
        <v>48</v>
      </c>
      <c r="G1682" s="740" t="n">
        <v>2500</v>
      </c>
      <c r="H1682" s="691"/>
    </row>
    <row r="1683" customFormat="false" ht="15" hidden="true" customHeight="true" outlineLevel="1" collapsed="false">
      <c r="B1683" s="738" t="s">
        <v>2208</v>
      </c>
      <c r="C1683" s="739" t="s">
        <v>48</v>
      </c>
      <c r="G1683" s="740" t="n">
        <v>4000</v>
      </c>
      <c r="H1683" s="691"/>
    </row>
    <row r="1684" customFormat="false" ht="15" hidden="true" customHeight="true" outlineLevel="1" collapsed="false">
      <c r="B1684" s="738" t="s">
        <v>2209</v>
      </c>
      <c r="C1684" s="739" t="s">
        <v>15</v>
      </c>
      <c r="G1684" s="740" t="n">
        <v>500</v>
      </c>
      <c r="H1684" s="691"/>
    </row>
    <row r="1685" customFormat="false" ht="15" hidden="true" customHeight="true" outlineLevel="1" collapsed="false">
      <c r="B1685" s="887" t="s">
        <v>2210</v>
      </c>
      <c r="C1685" s="739" t="s">
        <v>48</v>
      </c>
      <c r="G1685" s="740" t="n">
        <v>7000</v>
      </c>
      <c r="H1685" s="691"/>
    </row>
    <row r="1686" customFormat="false" ht="15" hidden="true" customHeight="true" outlineLevel="1" collapsed="false">
      <c r="B1686" s="738"/>
      <c r="C1686" s="739"/>
      <c r="D1686" s="837"/>
      <c r="G1686" s="704"/>
      <c r="H1686" s="691"/>
    </row>
    <row r="1687" customFormat="false" ht="15" hidden="true" customHeight="true" outlineLevel="1" collapsed="false">
      <c r="A1687" s="646" t="s">
        <v>2211</v>
      </c>
      <c r="B1687" s="738" t="s">
        <v>2212</v>
      </c>
      <c r="C1687" s="739" t="s">
        <v>48</v>
      </c>
      <c r="G1687" s="740" t="n">
        <v>1000</v>
      </c>
      <c r="H1687" s="691"/>
    </row>
    <row r="1688" customFormat="false" ht="15" hidden="true" customHeight="true" outlineLevel="1" collapsed="false">
      <c r="B1688" s="738" t="s">
        <v>2213</v>
      </c>
      <c r="C1688" s="739" t="s">
        <v>48</v>
      </c>
      <c r="G1688" s="740" t="n">
        <v>1000</v>
      </c>
      <c r="H1688" s="691"/>
    </row>
    <row r="1689" customFormat="false" ht="15" hidden="true" customHeight="true" outlineLevel="1" collapsed="false">
      <c r="B1689" s="738" t="s">
        <v>2214</v>
      </c>
      <c r="C1689" s="739" t="s">
        <v>48</v>
      </c>
      <c r="G1689" s="740" t="n">
        <v>1000</v>
      </c>
      <c r="H1689" s="691"/>
    </row>
    <row r="1690" customFormat="false" ht="15" hidden="true" customHeight="true" outlineLevel="1" collapsed="false">
      <c r="B1690" s="738" t="s">
        <v>2215</v>
      </c>
      <c r="C1690" s="739" t="s">
        <v>48</v>
      </c>
      <c r="G1690" s="740" t="n">
        <v>1000</v>
      </c>
      <c r="H1690" s="691"/>
    </row>
    <row r="1691" customFormat="false" ht="15" hidden="true" customHeight="true" outlineLevel="1" collapsed="false">
      <c r="B1691" s="738" t="s">
        <v>2216</v>
      </c>
      <c r="C1691" s="739" t="s">
        <v>15</v>
      </c>
      <c r="G1691" s="740" t="n">
        <v>500</v>
      </c>
      <c r="H1691" s="691"/>
    </row>
    <row r="1692" customFormat="false" ht="15" hidden="true" customHeight="true" outlineLevel="1" collapsed="false">
      <c r="B1692" s="738" t="s">
        <v>2217</v>
      </c>
      <c r="C1692" s="739" t="s">
        <v>48</v>
      </c>
      <c r="G1692" s="740" t="n">
        <v>2500</v>
      </c>
      <c r="H1692" s="691"/>
    </row>
    <row r="1693" customFormat="false" ht="15" hidden="true" customHeight="true" outlineLevel="1" collapsed="false">
      <c r="B1693" s="738" t="s">
        <v>2218</v>
      </c>
      <c r="C1693" s="739" t="s">
        <v>48</v>
      </c>
      <c r="G1693" s="740" t="n">
        <v>800</v>
      </c>
      <c r="H1693" s="691"/>
    </row>
    <row r="1694" customFormat="false" ht="15" hidden="true" customHeight="true" outlineLevel="1" collapsed="false">
      <c r="B1694" s="738"/>
      <c r="C1694" s="739"/>
      <c r="D1694" s="837"/>
      <c r="G1694" s="704"/>
      <c r="H1694" s="691"/>
    </row>
    <row r="1695" customFormat="false" ht="15" hidden="true" customHeight="true" outlineLevel="1" collapsed="false">
      <c r="A1695" s="646" t="s">
        <v>918</v>
      </c>
      <c r="B1695" s="738" t="s">
        <v>2219</v>
      </c>
      <c r="C1695" s="761" t="s">
        <v>48</v>
      </c>
      <c r="G1695" s="740" t="n">
        <v>3500</v>
      </c>
      <c r="H1695" s="691"/>
    </row>
    <row r="1696" customFormat="false" ht="15" hidden="true" customHeight="true" outlineLevel="1" collapsed="false">
      <c r="B1696" s="738" t="s">
        <v>2220</v>
      </c>
      <c r="C1696" s="761" t="s">
        <v>48</v>
      </c>
      <c r="G1696" s="740" t="n">
        <v>2500</v>
      </c>
      <c r="H1696" s="691"/>
    </row>
    <row r="1697" customFormat="false" ht="15" hidden="true" customHeight="true" outlineLevel="1" collapsed="false">
      <c r="B1697" s="738" t="s">
        <v>2221</v>
      </c>
      <c r="C1697" s="761" t="s">
        <v>48</v>
      </c>
      <c r="G1697" s="740" t="n">
        <v>2000</v>
      </c>
      <c r="H1697" s="691"/>
    </row>
    <row r="1698" customFormat="false" ht="13.5" hidden="true" customHeight="true" outlineLevel="1" collapsed="false">
      <c r="B1698" s="738" t="s">
        <v>2222</v>
      </c>
      <c r="C1698" s="761" t="s">
        <v>48</v>
      </c>
      <c r="G1698" s="740" t="n">
        <v>1000</v>
      </c>
      <c r="H1698" s="691"/>
    </row>
    <row r="1699" customFormat="false" ht="15" hidden="true" customHeight="true" outlineLevel="1" collapsed="false">
      <c r="B1699" s="738" t="s">
        <v>2223</v>
      </c>
      <c r="C1699" s="761" t="s">
        <v>48</v>
      </c>
      <c r="G1699" s="740" t="n">
        <v>1000</v>
      </c>
      <c r="H1699" s="691"/>
    </row>
    <row r="1700" customFormat="false" ht="15" hidden="true" customHeight="true" outlineLevel="1" collapsed="false">
      <c r="B1700" s="738" t="s">
        <v>2224</v>
      </c>
      <c r="C1700" s="761" t="s">
        <v>48</v>
      </c>
      <c r="G1700" s="740" t="n">
        <v>900</v>
      </c>
      <c r="H1700" s="691"/>
    </row>
    <row r="1701" customFormat="false" ht="15" hidden="true" customHeight="true" outlineLevel="1" collapsed="false">
      <c r="B1701" s="738" t="s">
        <v>2225</v>
      </c>
      <c r="C1701" s="761" t="s">
        <v>48</v>
      </c>
      <c r="G1701" s="740" t="n">
        <v>700</v>
      </c>
      <c r="H1701" s="691"/>
    </row>
    <row r="1702" customFormat="false" ht="15" hidden="true" customHeight="true" outlineLevel="1" collapsed="false">
      <c r="B1702" s="738" t="s">
        <v>2226</v>
      </c>
      <c r="C1702" s="761" t="s">
        <v>15</v>
      </c>
      <c r="G1702" s="740" t="n">
        <v>500</v>
      </c>
      <c r="H1702" s="691"/>
    </row>
    <row r="1703" customFormat="false" ht="15" hidden="true" customHeight="true" outlineLevel="1" collapsed="false">
      <c r="B1703" s="739"/>
      <c r="C1703" s="761"/>
      <c r="D1703" s="837"/>
      <c r="G1703" s="704"/>
      <c r="H1703" s="691"/>
    </row>
    <row r="1704" customFormat="false" ht="15" hidden="true" customHeight="true" outlineLevel="1" collapsed="false">
      <c r="B1704" s="876" t="s">
        <v>2227</v>
      </c>
      <c r="C1704" s="739" t="s">
        <v>820</v>
      </c>
      <c r="G1704" s="704" t="n">
        <v>1500</v>
      </c>
      <c r="H1704" s="691"/>
    </row>
    <row r="1705" customFormat="false" ht="15" hidden="true" customHeight="true" outlineLevel="1" collapsed="false">
      <c r="B1705" s="876" t="s">
        <v>2228</v>
      </c>
      <c r="C1705" s="739" t="s">
        <v>820</v>
      </c>
      <c r="G1705" s="704" t="n">
        <v>300</v>
      </c>
      <c r="H1705" s="691"/>
    </row>
    <row r="1706" customFormat="false" ht="15" hidden="true" customHeight="true" outlineLevel="1" collapsed="false">
      <c r="B1706" s="876" t="s">
        <v>2229</v>
      </c>
      <c r="C1706" s="739" t="s">
        <v>820</v>
      </c>
      <c r="G1706" s="704" t="n">
        <v>250</v>
      </c>
      <c r="H1706" s="691"/>
    </row>
    <row r="1707" customFormat="false" ht="15" hidden="true" customHeight="true" outlineLevel="1" collapsed="false">
      <c r="B1707" s="767" t="s">
        <v>2230</v>
      </c>
      <c r="C1707" s="893" t="s">
        <v>15</v>
      </c>
      <c r="G1707" s="894" t="n">
        <v>500</v>
      </c>
      <c r="H1707" s="691"/>
    </row>
    <row r="1708" customFormat="false" ht="15" hidden="true" customHeight="true" outlineLevel="1" collapsed="false">
      <c r="B1708" s="767"/>
      <c r="C1708" s="893"/>
      <c r="G1708" s="894"/>
      <c r="H1708" s="691"/>
    </row>
    <row r="1709" customFormat="false" ht="15" hidden="false" customHeight="true" outlineLevel="0" collapsed="false">
      <c r="A1709" s="898" t="s">
        <v>2007</v>
      </c>
      <c r="B1709" s="899"/>
      <c r="C1709" s="909" t="s">
        <v>162</v>
      </c>
      <c r="D1709" s="910"/>
      <c r="E1709" s="910"/>
      <c r="F1709" s="911"/>
      <c r="G1709" s="910" t="s">
        <v>1042</v>
      </c>
      <c r="H1709" s="691"/>
    </row>
    <row r="1710" s="917" customFormat="true" ht="15" hidden="false" customHeight="true" outlineLevel="0" collapsed="false">
      <c r="A1710" s="752"/>
      <c r="B1710" s="912"/>
      <c r="C1710" s="913"/>
      <c r="D1710" s="914"/>
      <c r="E1710" s="914"/>
      <c r="F1710" s="915"/>
      <c r="G1710" s="916"/>
      <c r="H1710" s="691"/>
      <c r="I1710" s="691"/>
      <c r="J1710" s="691"/>
      <c r="K1710" s="691"/>
      <c r="L1710" s="691"/>
      <c r="M1710" s="691"/>
      <c r="N1710" s="691"/>
      <c r="O1710" s="691"/>
      <c r="P1710" s="691"/>
      <c r="Q1710" s="691"/>
      <c r="R1710" s="691"/>
      <c r="S1710" s="691"/>
      <c r="T1710" s="691"/>
      <c r="U1710" s="691"/>
    </row>
    <row r="1711" s="917" customFormat="true" ht="15" hidden="false" customHeight="true" outlineLevel="0" collapsed="false">
      <c r="A1711" s="752"/>
      <c r="B1711" s="912"/>
      <c r="C1711" s="913"/>
      <c r="D1711" s="914"/>
      <c r="E1711" s="914"/>
      <c r="F1711" s="915"/>
      <c r="G1711" s="916"/>
      <c r="H1711" s="691"/>
      <c r="I1711" s="691"/>
      <c r="J1711" s="691"/>
      <c r="K1711" s="691"/>
      <c r="L1711" s="691"/>
      <c r="M1711" s="691"/>
      <c r="N1711" s="691"/>
      <c r="O1711" s="691"/>
      <c r="P1711" s="691"/>
      <c r="Q1711" s="691"/>
      <c r="R1711" s="691"/>
      <c r="S1711" s="691"/>
      <c r="T1711" s="691"/>
      <c r="U1711" s="691"/>
    </row>
    <row r="1712" s="917" customFormat="true" ht="15" hidden="false" customHeight="true" outlineLevel="0" collapsed="false">
      <c r="A1712" s="752"/>
      <c r="B1712" s="912"/>
      <c r="C1712" s="913"/>
      <c r="D1712" s="914"/>
      <c r="E1712" s="914"/>
      <c r="F1712" s="915"/>
      <c r="G1712" s="916"/>
      <c r="H1712" s="691"/>
      <c r="I1712" s="691"/>
      <c r="J1712" s="691"/>
      <c r="K1712" s="691"/>
      <c r="L1712" s="691"/>
      <c r="M1712" s="691"/>
      <c r="N1712" s="691"/>
      <c r="O1712" s="691"/>
      <c r="P1712" s="691"/>
      <c r="Q1712" s="691"/>
      <c r="R1712" s="691"/>
      <c r="S1712" s="691"/>
      <c r="T1712" s="691"/>
      <c r="U1712" s="691"/>
    </row>
    <row r="1713" s="917" customFormat="true" ht="15" hidden="false" customHeight="true" outlineLevel="0" collapsed="false">
      <c r="A1713" s="752"/>
      <c r="B1713" s="912"/>
      <c r="C1713" s="913"/>
      <c r="D1713" s="914"/>
      <c r="E1713" s="914"/>
      <c r="F1713" s="915"/>
      <c r="G1713" s="916"/>
      <c r="H1713" s="691"/>
      <c r="I1713" s="691"/>
      <c r="J1713" s="691"/>
      <c r="K1713" s="691"/>
      <c r="L1713" s="691"/>
      <c r="M1713" s="691"/>
      <c r="N1713" s="691"/>
      <c r="O1713" s="691"/>
      <c r="P1713" s="691"/>
      <c r="Q1713" s="691"/>
      <c r="R1713" s="691"/>
      <c r="S1713" s="691"/>
      <c r="T1713" s="691"/>
      <c r="U1713" s="691"/>
    </row>
    <row r="1714" s="917" customFormat="true" ht="15" hidden="false" customHeight="true" outlineLevel="0" collapsed="false">
      <c r="A1714" s="752"/>
      <c r="B1714" s="912"/>
      <c r="C1714" s="913"/>
      <c r="D1714" s="914"/>
      <c r="E1714" s="914"/>
      <c r="F1714" s="915"/>
      <c r="G1714" s="916"/>
      <c r="H1714" s="691"/>
      <c r="I1714" s="691"/>
      <c r="J1714" s="691"/>
      <c r="K1714" s="691"/>
      <c r="L1714" s="691"/>
      <c r="M1714" s="691"/>
      <c r="N1714" s="691"/>
      <c r="O1714" s="691"/>
      <c r="P1714" s="691"/>
      <c r="Q1714" s="691"/>
      <c r="R1714" s="691"/>
      <c r="S1714" s="691"/>
      <c r="T1714" s="691"/>
      <c r="U1714" s="691"/>
    </row>
    <row r="1715" s="917" customFormat="true" ht="15" hidden="false" customHeight="true" outlineLevel="0" collapsed="false">
      <c r="A1715" s="752"/>
      <c r="B1715" s="912"/>
      <c r="C1715" s="913"/>
      <c r="D1715" s="914"/>
      <c r="E1715" s="914"/>
      <c r="F1715" s="915"/>
      <c r="G1715" s="916"/>
      <c r="H1715" s="691"/>
      <c r="I1715" s="691"/>
      <c r="J1715" s="691"/>
      <c r="K1715" s="691"/>
      <c r="L1715" s="691"/>
      <c r="M1715" s="691"/>
      <c r="N1715" s="691"/>
      <c r="O1715" s="691"/>
      <c r="P1715" s="691"/>
      <c r="Q1715" s="691"/>
      <c r="R1715" s="691"/>
      <c r="S1715" s="691"/>
      <c r="T1715" s="691"/>
      <c r="U1715" s="691"/>
    </row>
    <row r="1716" s="917" customFormat="true" ht="15" hidden="false" customHeight="true" outlineLevel="0" collapsed="false">
      <c r="A1716" s="752"/>
      <c r="B1716" s="918"/>
      <c r="C1716" s="919"/>
      <c r="D1716" s="920"/>
      <c r="E1716" s="914"/>
      <c r="F1716" s="915"/>
      <c r="G1716" s="921"/>
      <c r="H1716" s="691"/>
      <c r="I1716" s="691"/>
      <c r="J1716" s="691"/>
      <c r="K1716" s="691"/>
      <c r="L1716" s="691"/>
      <c r="M1716" s="691"/>
      <c r="N1716" s="691"/>
      <c r="O1716" s="691"/>
      <c r="P1716" s="691"/>
      <c r="Q1716" s="691"/>
      <c r="R1716" s="691"/>
      <c r="S1716" s="691"/>
      <c r="T1716" s="691"/>
      <c r="U1716" s="691"/>
    </row>
    <row r="1717" s="917" customFormat="true" ht="15" hidden="false" customHeight="true" outlineLevel="0" collapsed="false">
      <c r="A1717" s="922"/>
      <c r="B1717" s="923"/>
      <c r="C1717" s="924"/>
      <c r="D1717" s="920"/>
      <c r="E1717" s="920"/>
      <c r="F1717" s="921"/>
      <c r="G1717" s="921"/>
      <c r="H1717" s="691"/>
      <c r="I1717" s="691"/>
      <c r="J1717" s="691"/>
      <c r="K1717" s="691"/>
      <c r="L1717" s="691"/>
      <c r="M1717" s="691"/>
      <c r="N1717" s="691"/>
      <c r="O1717" s="691"/>
      <c r="P1717" s="691"/>
      <c r="Q1717" s="691"/>
      <c r="R1717" s="691"/>
      <c r="S1717" s="691"/>
      <c r="T1717" s="691"/>
      <c r="U1717" s="691"/>
    </row>
    <row r="1718" s="917" customFormat="true" ht="15" hidden="false" customHeight="true" outlineLevel="0" collapsed="false">
      <c r="A1718" s="752"/>
      <c r="C1718" s="925"/>
      <c r="D1718" s="914"/>
      <c r="E1718" s="914"/>
      <c r="F1718" s="915"/>
      <c r="G1718" s="915"/>
      <c r="H1718" s="691"/>
      <c r="I1718" s="691"/>
      <c r="J1718" s="691"/>
      <c r="K1718" s="691"/>
      <c r="L1718" s="691"/>
      <c r="M1718" s="691"/>
      <c r="N1718" s="691"/>
      <c r="O1718" s="691"/>
      <c r="P1718" s="691"/>
      <c r="Q1718" s="691"/>
      <c r="R1718" s="691"/>
      <c r="S1718" s="691"/>
      <c r="T1718" s="691"/>
      <c r="U1718" s="691"/>
    </row>
    <row r="1719" s="917" customFormat="true" ht="15" hidden="false" customHeight="true" outlineLevel="0" collapsed="false">
      <c r="A1719" s="752"/>
      <c r="C1719" s="925"/>
      <c r="D1719" s="914"/>
      <c r="E1719" s="914"/>
      <c r="F1719" s="915"/>
      <c r="G1719" s="915"/>
      <c r="H1719" s="691"/>
      <c r="I1719" s="691"/>
      <c r="J1719" s="691"/>
      <c r="K1719" s="691"/>
      <c r="L1719" s="691"/>
      <c r="M1719" s="691"/>
      <c r="N1719" s="691"/>
      <c r="O1719" s="691"/>
      <c r="P1719" s="691"/>
      <c r="Q1719" s="691"/>
      <c r="R1719" s="691"/>
      <c r="S1719" s="691"/>
      <c r="T1719" s="691"/>
      <c r="U1719" s="691"/>
    </row>
    <row r="1720" s="917" customFormat="true" ht="15" hidden="false" customHeight="true" outlineLevel="0" collapsed="false">
      <c r="A1720" s="752"/>
      <c r="C1720" s="925"/>
      <c r="D1720" s="914"/>
      <c r="E1720" s="914"/>
      <c r="F1720" s="915"/>
      <c r="G1720" s="915"/>
      <c r="H1720" s="691"/>
      <c r="I1720" s="691"/>
      <c r="J1720" s="691"/>
      <c r="K1720" s="691"/>
      <c r="L1720" s="691"/>
      <c r="M1720" s="691"/>
      <c r="N1720" s="691"/>
      <c r="O1720" s="691"/>
      <c r="P1720" s="691"/>
      <c r="Q1720" s="691"/>
      <c r="R1720" s="691"/>
      <c r="S1720" s="691"/>
      <c r="T1720" s="691"/>
      <c r="U1720" s="691"/>
    </row>
    <row r="1721" s="917" customFormat="true" ht="15" hidden="false" customHeight="true" outlineLevel="0" collapsed="false">
      <c r="A1721" s="752"/>
      <c r="C1721" s="925"/>
      <c r="D1721" s="914"/>
      <c r="E1721" s="914"/>
      <c r="F1721" s="915"/>
      <c r="G1721" s="915"/>
      <c r="H1721" s="691"/>
      <c r="I1721" s="691"/>
      <c r="J1721" s="691"/>
      <c r="K1721" s="691"/>
      <c r="L1721" s="691"/>
      <c r="M1721" s="691"/>
      <c r="N1721" s="691"/>
      <c r="O1721" s="691"/>
      <c r="P1721" s="691"/>
      <c r="Q1721" s="691"/>
      <c r="R1721" s="691"/>
      <c r="S1721" s="691"/>
      <c r="T1721" s="691"/>
      <c r="U1721" s="691"/>
    </row>
    <row r="1722" s="917" customFormat="true" ht="15" hidden="false" customHeight="true" outlineLevel="0" collapsed="false">
      <c r="A1722" s="752"/>
      <c r="C1722" s="925"/>
      <c r="D1722" s="914"/>
      <c r="E1722" s="914"/>
      <c r="F1722" s="915"/>
      <c r="G1722" s="915"/>
      <c r="H1722" s="691"/>
      <c r="I1722" s="691"/>
      <c r="J1722" s="691"/>
      <c r="K1722" s="691"/>
      <c r="L1722" s="691"/>
      <c r="M1722" s="691"/>
      <c r="N1722" s="691"/>
      <c r="O1722" s="691"/>
      <c r="P1722" s="691"/>
      <c r="Q1722" s="691"/>
      <c r="R1722" s="691"/>
      <c r="S1722" s="691"/>
      <c r="T1722" s="691"/>
      <c r="U1722" s="691"/>
    </row>
    <row r="1723" s="917" customFormat="true" ht="15" hidden="false" customHeight="true" outlineLevel="0" collapsed="false">
      <c r="A1723" s="752"/>
      <c r="C1723" s="925"/>
      <c r="D1723" s="914"/>
      <c r="E1723" s="914"/>
      <c r="F1723" s="915"/>
      <c r="G1723" s="915"/>
      <c r="H1723" s="691"/>
      <c r="I1723" s="691"/>
      <c r="J1723" s="691"/>
      <c r="K1723" s="691"/>
      <c r="L1723" s="691"/>
      <c r="M1723" s="691"/>
      <c r="N1723" s="691"/>
      <c r="O1723" s="691"/>
      <c r="P1723" s="691"/>
      <c r="Q1723" s="691"/>
      <c r="R1723" s="691"/>
      <c r="S1723" s="691"/>
      <c r="T1723" s="691"/>
      <c r="U1723" s="691"/>
    </row>
    <row r="1724" s="917" customFormat="true" ht="15" hidden="false" customHeight="true" outlineLevel="0" collapsed="false">
      <c r="A1724" s="752"/>
      <c r="C1724" s="925"/>
      <c r="D1724" s="914"/>
      <c r="E1724" s="914"/>
      <c r="F1724" s="915"/>
      <c r="G1724" s="915"/>
      <c r="H1724" s="691"/>
      <c r="I1724" s="691"/>
      <c r="J1724" s="691"/>
      <c r="K1724" s="691"/>
      <c r="L1724" s="691"/>
      <c r="M1724" s="691"/>
      <c r="N1724" s="691"/>
      <c r="O1724" s="691"/>
      <c r="P1724" s="691"/>
      <c r="Q1724" s="691"/>
      <c r="R1724" s="691"/>
      <c r="S1724" s="691"/>
      <c r="T1724" s="691"/>
      <c r="U1724" s="691"/>
    </row>
    <row r="1725" s="917" customFormat="true" ht="15" hidden="false" customHeight="true" outlineLevel="0" collapsed="false">
      <c r="A1725" s="752"/>
      <c r="C1725" s="925"/>
      <c r="D1725" s="914"/>
      <c r="E1725" s="914"/>
      <c r="F1725" s="915"/>
      <c r="G1725" s="915"/>
      <c r="H1725" s="691"/>
      <c r="I1725" s="691"/>
      <c r="J1725" s="691"/>
      <c r="K1725" s="691"/>
      <c r="L1725" s="691"/>
      <c r="M1725" s="691"/>
      <c r="N1725" s="691"/>
      <c r="O1725" s="691"/>
      <c r="P1725" s="691"/>
      <c r="Q1725" s="691"/>
      <c r="R1725" s="691"/>
      <c r="S1725" s="691"/>
      <c r="T1725" s="691"/>
      <c r="U1725" s="691"/>
    </row>
    <row r="1726" s="917" customFormat="true" ht="15" hidden="false" customHeight="true" outlineLevel="0" collapsed="false">
      <c r="A1726" s="752"/>
      <c r="C1726" s="925"/>
      <c r="D1726" s="914"/>
      <c r="E1726" s="914"/>
      <c r="F1726" s="915"/>
      <c r="G1726" s="915"/>
      <c r="H1726" s="691"/>
      <c r="I1726" s="691"/>
      <c r="J1726" s="691"/>
      <c r="K1726" s="691"/>
      <c r="L1726" s="691"/>
      <c r="M1726" s="691"/>
      <c r="N1726" s="691"/>
      <c r="O1726" s="691"/>
      <c r="P1726" s="691"/>
      <c r="Q1726" s="691"/>
      <c r="R1726" s="691"/>
      <c r="S1726" s="691"/>
      <c r="T1726" s="691"/>
      <c r="U1726" s="691"/>
    </row>
    <row r="1727" s="917" customFormat="true" ht="15" hidden="false" customHeight="true" outlineLevel="0" collapsed="false">
      <c r="A1727" s="752"/>
      <c r="C1727" s="925"/>
      <c r="D1727" s="914"/>
      <c r="E1727" s="914"/>
      <c r="F1727" s="915"/>
      <c r="G1727" s="915"/>
      <c r="H1727" s="691"/>
      <c r="I1727" s="691"/>
      <c r="J1727" s="691"/>
      <c r="K1727" s="691"/>
      <c r="L1727" s="691"/>
      <c r="M1727" s="691"/>
      <c r="N1727" s="691"/>
      <c r="O1727" s="691"/>
      <c r="P1727" s="691"/>
      <c r="Q1727" s="691"/>
      <c r="R1727" s="691"/>
      <c r="S1727" s="691"/>
      <c r="T1727" s="691"/>
      <c r="U1727" s="691"/>
    </row>
    <row r="1728" s="917" customFormat="true" ht="15" hidden="false" customHeight="true" outlineLevel="0" collapsed="false">
      <c r="A1728" s="752"/>
      <c r="C1728" s="925"/>
      <c r="D1728" s="914"/>
      <c r="E1728" s="914"/>
      <c r="F1728" s="915"/>
      <c r="G1728" s="915"/>
      <c r="H1728" s="691"/>
      <c r="I1728" s="691"/>
      <c r="J1728" s="691"/>
      <c r="K1728" s="691"/>
      <c r="L1728" s="691"/>
      <c r="M1728" s="691"/>
      <c r="N1728" s="691"/>
      <c r="O1728" s="691"/>
      <c r="P1728" s="691"/>
      <c r="Q1728" s="691"/>
      <c r="R1728" s="691"/>
      <c r="S1728" s="691"/>
      <c r="T1728" s="691"/>
      <c r="U1728" s="691"/>
    </row>
    <row r="1729" s="917" customFormat="true" ht="15" hidden="false" customHeight="true" outlineLevel="0" collapsed="false">
      <c r="A1729" s="752"/>
      <c r="C1729" s="925"/>
      <c r="D1729" s="914"/>
      <c r="E1729" s="914"/>
      <c r="F1729" s="915"/>
      <c r="G1729" s="915"/>
      <c r="H1729" s="691"/>
      <c r="I1729" s="691"/>
      <c r="J1729" s="691"/>
      <c r="K1729" s="691"/>
      <c r="L1729" s="691"/>
      <c r="M1729" s="691"/>
      <c r="N1729" s="691"/>
      <c r="O1729" s="691"/>
      <c r="P1729" s="691"/>
      <c r="Q1729" s="691"/>
      <c r="R1729" s="691"/>
      <c r="S1729" s="691"/>
      <c r="T1729" s="691"/>
      <c r="U1729" s="691"/>
    </row>
    <row r="1730" s="917" customFormat="true" ht="15" hidden="false" customHeight="true" outlineLevel="0" collapsed="false">
      <c r="A1730" s="752"/>
      <c r="C1730" s="925"/>
      <c r="D1730" s="914"/>
      <c r="E1730" s="914"/>
      <c r="F1730" s="915"/>
      <c r="G1730" s="915"/>
      <c r="H1730" s="691"/>
      <c r="I1730" s="691"/>
      <c r="J1730" s="691"/>
      <c r="K1730" s="691"/>
      <c r="L1730" s="691"/>
      <c r="M1730" s="691"/>
      <c r="N1730" s="691"/>
      <c r="O1730" s="691"/>
      <c r="P1730" s="691"/>
      <c r="Q1730" s="691"/>
      <c r="R1730" s="691"/>
      <c r="S1730" s="691"/>
      <c r="T1730" s="691"/>
      <c r="U1730" s="691"/>
    </row>
    <row r="1731" s="917" customFormat="true" ht="15" hidden="false" customHeight="true" outlineLevel="0" collapsed="false">
      <c r="A1731" s="752"/>
      <c r="C1731" s="925"/>
      <c r="D1731" s="914"/>
      <c r="E1731" s="914"/>
      <c r="F1731" s="915"/>
      <c r="G1731" s="915"/>
      <c r="H1731" s="691"/>
      <c r="I1731" s="691"/>
      <c r="J1731" s="691"/>
      <c r="K1731" s="691"/>
      <c r="L1731" s="691"/>
      <c r="M1731" s="691"/>
      <c r="N1731" s="691"/>
      <c r="O1731" s="691"/>
      <c r="P1731" s="691"/>
      <c r="Q1731" s="691"/>
      <c r="R1731" s="691"/>
      <c r="S1731" s="691"/>
      <c r="T1731" s="691"/>
      <c r="U1731" s="691"/>
    </row>
    <row r="1732" s="917" customFormat="true" ht="15" hidden="false" customHeight="true" outlineLevel="0" collapsed="false">
      <c r="A1732" s="752"/>
      <c r="C1732" s="925"/>
      <c r="D1732" s="914"/>
      <c r="E1732" s="914"/>
      <c r="F1732" s="915"/>
      <c r="G1732" s="915"/>
      <c r="H1732" s="691"/>
      <c r="I1732" s="691"/>
      <c r="J1732" s="691"/>
      <c r="K1732" s="691"/>
      <c r="L1732" s="691"/>
      <c r="M1732" s="691"/>
      <c r="N1732" s="691"/>
      <c r="O1732" s="691"/>
      <c r="P1732" s="691"/>
      <c r="Q1732" s="691"/>
      <c r="R1732" s="691"/>
      <c r="S1732" s="691"/>
      <c r="T1732" s="691"/>
      <c r="U1732" s="691"/>
    </row>
    <row r="1733" s="917" customFormat="true" ht="15" hidden="false" customHeight="true" outlineLevel="0" collapsed="false">
      <c r="A1733" s="752"/>
      <c r="C1733" s="925"/>
      <c r="D1733" s="914"/>
      <c r="E1733" s="914"/>
      <c r="F1733" s="915"/>
      <c r="G1733" s="915"/>
      <c r="H1733" s="691"/>
      <c r="I1733" s="691"/>
      <c r="J1733" s="691"/>
      <c r="K1733" s="691"/>
      <c r="L1733" s="691"/>
      <c r="M1733" s="691"/>
      <c r="N1733" s="691"/>
      <c r="O1733" s="691"/>
      <c r="P1733" s="691"/>
      <c r="Q1733" s="691"/>
      <c r="R1733" s="691"/>
      <c r="S1733" s="691"/>
      <c r="T1733" s="691"/>
      <c r="U1733" s="691"/>
    </row>
    <row r="1734" s="917" customFormat="true" ht="15" hidden="false" customHeight="true" outlineLevel="0" collapsed="false">
      <c r="A1734" s="752"/>
      <c r="C1734" s="925"/>
      <c r="D1734" s="914"/>
      <c r="E1734" s="914"/>
      <c r="F1734" s="915"/>
      <c r="G1734" s="915"/>
      <c r="H1734" s="691"/>
      <c r="I1734" s="691"/>
      <c r="J1734" s="691"/>
      <c r="K1734" s="691"/>
      <c r="L1734" s="691"/>
      <c r="M1734" s="691"/>
      <c r="N1734" s="691"/>
      <c r="O1734" s="691"/>
      <c r="P1734" s="691"/>
      <c r="Q1734" s="691"/>
      <c r="R1734" s="691"/>
      <c r="S1734" s="691"/>
      <c r="T1734" s="691"/>
      <c r="U1734" s="691"/>
    </row>
    <row r="1735" s="917" customFormat="true" ht="15" hidden="false" customHeight="true" outlineLevel="0" collapsed="false">
      <c r="A1735" s="752"/>
      <c r="C1735" s="925"/>
      <c r="D1735" s="914"/>
      <c r="E1735" s="914"/>
      <c r="F1735" s="915"/>
      <c r="G1735" s="915"/>
      <c r="H1735" s="691"/>
      <c r="I1735" s="691"/>
      <c r="J1735" s="691"/>
      <c r="K1735" s="691"/>
      <c r="L1735" s="691"/>
      <c r="M1735" s="691"/>
      <c r="N1735" s="691"/>
      <c r="O1735" s="691"/>
      <c r="P1735" s="691"/>
      <c r="Q1735" s="691"/>
      <c r="R1735" s="691"/>
      <c r="S1735" s="691"/>
      <c r="T1735" s="691"/>
      <c r="U1735" s="691"/>
    </row>
    <row r="1736" s="917" customFormat="true" ht="15" hidden="false" customHeight="true" outlineLevel="0" collapsed="false">
      <c r="A1736" s="752"/>
      <c r="C1736" s="925"/>
      <c r="D1736" s="914"/>
      <c r="E1736" s="914"/>
      <c r="F1736" s="915"/>
      <c r="G1736" s="915"/>
      <c r="H1736" s="691"/>
      <c r="I1736" s="691"/>
      <c r="J1736" s="691"/>
      <c r="K1736" s="691"/>
      <c r="L1736" s="691"/>
      <c r="M1736" s="691"/>
      <c r="N1736" s="691"/>
      <c r="O1736" s="691"/>
      <c r="P1736" s="691"/>
      <c r="Q1736" s="691"/>
      <c r="R1736" s="691"/>
      <c r="S1736" s="691"/>
      <c r="T1736" s="691"/>
      <c r="U1736" s="691"/>
    </row>
    <row r="1737" s="917" customFormat="true" ht="15" hidden="false" customHeight="true" outlineLevel="0" collapsed="false">
      <c r="A1737" s="752"/>
      <c r="C1737" s="925"/>
      <c r="D1737" s="914"/>
      <c r="E1737" s="914"/>
      <c r="F1737" s="915"/>
      <c r="G1737" s="915"/>
      <c r="H1737" s="691"/>
      <c r="I1737" s="691"/>
      <c r="J1737" s="691"/>
      <c r="K1737" s="691"/>
      <c r="L1737" s="691"/>
      <c r="M1737" s="691"/>
      <c r="N1737" s="691"/>
      <c r="O1737" s="691"/>
      <c r="P1737" s="691"/>
      <c r="Q1737" s="691"/>
      <c r="R1737" s="691"/>
      <c r="S1737" s="691"/>
      <c r="T1737" s="691"/>
      <c r="U1737" s="691"/>
    </row>
    <row r="1738" s="917" customFormat="true" ht="15" hidden="false" customHeight="true" outlineLevel="0" collapsed="false">
      <c r="A1738" s="752"/>
      <c r="C1738" s="925"/>
      <c r="D1738" s="914"/>
      <c r="E1738" s="914"/>
      <c r="F1738" s="915"/>
      <c r="G1738" s="915"/>
      <c r="H1738" s="691"/>
      <c r="I1738" s="691"/>
      <c r="J1738" s="691"/>
      <c r="K1738" s="691"/>
      <c r="L1738" s="691"/>
      <c r="M1738" s="691"/>
      <c r="N1738" s="691"/>
      <c r="O1738" s="691"/>
      <c r="P1738" s="691"/>
      <c r="Q1738" s="691"/>
      <c r="R1738" s="691"/>
      <c r="S1738" s="691"/>
      <c r="T1738" s="691"/>
      <c r="U1738" s="691"/>
    </row>
    <row r="1739" s="917" customFormat="true" ht="15" hidden="false" customHeight="true" outlineLevel="0" collapsed="false">
      <c r="A1739" s="752"/>
      <c r="C1739" s="925"/>
      <c r="D1739" s="914"/>
      <c r="E1739" s="914"/>
      <c r="F1739" s="915"/>
      <c r="G1739" s="915"/>
      <c r="H1739" s="691"/>
      <c r="I1739" s="691"/>
      <c r="J1739" s="691"/>
      <c r="K1739" s="691"/>
      <c r="L1739" s="691"/>
      <c r="M1739" s="691"/>
      <c r="N1739" s="691"/>
      <c r="O1739" s="691"/>
      <c r="P1739" s="691"/>
      <c r="Q1739" s="691"/>
      <c r="R1739" s="691"/>
      <c r="S1739" s="691"/>
      <c r="T1739" s="691"/>
      <c r="U1739" s="691"/>
    </row>
    <row r="1740" s="917" customFormat="true" ht="15" hidden="false" customHeight="true" outlineLevel="0" collapsed="false">
      <c r="A1740" s="752"/>
      <c r="C1740" s="925"/>
      <c r="D1740" s="914"/>
      <c r="E1740" s="914"/>
      <c r="F1740" s="915"/>
      <c r="G1740" s="915"/>
      <c r="H1740" s="691"/>
      <c r="I1740" s="691"/>
      <c r="J1740" s="691"/>
      <c r="K1740" s="691"/>
      <c r="L1740" s="691"/>
      <c r="M1740" s="691"/>
      <c r="N1740" s="691"/>
      <c r="O1740" s="691"/>
      <c r="P1740" s="691"/>
      <c r="Q1740" s="691"/>
      <c r="R1740" s="691"/>
      <c r="S1740" s="691"/>
      <c r="T1740" s="691"/>
      <c r="U1740" s="691"/>
    </row>
    <row r="1741" s="917" customFormat="true" ht="15" hidden="false" customHeight="true" outlineLevel="0" collapsed="false">
      <c r="A1741" s="752"/>
      <c r="C1741" s="925"/>
      <c r="D1741" s="914"/>
      <c r="E1741" s="914"/>
      <c r="F1741" s="915"/>
      <c r="G1741" s="915"/>
      <c r="H1741" s="691"/>
      <c r="I1741" s="691"/>
      <c r="J1741" s="691"/>
      <c r="K1741" s="691"/>
      <c r="L1741" s="691"/>
      <c r="M1741" s="691"/>
      <c r="N1741" s="691"/>
      <c r="O1741" s="691"/>
      <c r="P1741" s="691"/>
      <c r="Q1741" s="691"/>
      <c r="R1741" s="691"/>
      <c r="S1741" s="691"/>
      <c r="T1741" s="691"/>
      <c r="U1741" s="691"/>
    </row>
    <row r="1742" s="917" customFormat="true" ht="15" hidden="false" customHeight="true" outlineLevel="0" collapsed="false">
      <c r="A1742" s="752"/>
      <c r="C1742" s="925"/>
      <c r="D1742" s="914"/>
      <c r="E1742" s="914"/>
      <c r="F1742" s="915"/>
      <c r="G1742" s="915"/>
      <c r="H1742" s="691"/>
      <c r="I1742" s="691"/>
      <c r="J1742" s="691"/>
      <c r="K1742" s="691"/>
      <c r="L1742" s="691"/>
      <c r="M1742" s="691"/>
      <c r="N1742" s="691"/>
      <c r="O1742" s="691"/>
      <c r="P1742" s="691"/>
      <c r="Q1742" s="691"/>
      <c r="R1742" s="691"/>
      <c r="S1742" s="691"/>
      <c r="T1742" s="691"/>
      <c r="U1742" s="691"/>
    </row>
    <row r="1743" s="917" customFormat="true" ht="15" hidden="false" customHeight="true" outlineLevel="0" collapsed="false">
      <c r="A1743" s="752"/>
      <c r="C1743" s="925"/>
      <c r="D1743" s="914"/>
      <c r="E1743" s="914"/>
      <c r="F1743" s="915"/>
      <c r="G1743" s="915"/>
      <c r="H1743" s="691"/>
      <c r="I1743" s="691"/>
      <c r="J1743" s="691"/>
      <c r="K1743" s="691"/>
      <c r="L1743" s="691"/>
      <c r="M1743" s="691"/>
      <c r="N1743" s="691"/>
      <c r="O1743" s="691"/>
      <c r="P1743" s="691"/>
      <c r="Q1743" s="691"/>
      <c r="R1743" s="691"/>
      <c r="S1743" s="691"/>
      <c r="T1743" s="691"/>
      <c r="U1743" s="691"/>
    </row>
    <row r="1744" s="917" customFormat="true" ht="15" hidden="false" customHeight="true" outlineLevel="0" collapsed="false">
      <c r="A1744" s="752"/>
      <c r="C1744" s="925"/>
      <c r="D1744" s="914"/>
      <c r="E1744" s="914"/>
      <c r="F1744" s="915"/>
      <c r="G1744" s="915"/>
      <c r="H1744" s="691"/>
      <c r="I1744" s="691"/>
      <c r="J1744" s="691"/>
      <c r="K1744" s="691"/>
      <c r="L1744" s="691"/>
      <c r="M1744" s="691"/>
      <c r="N1744" s="691"/>
      <c r="O1744" s="691"/>
      <c r="P1744" s="691"/>
      <c r="Q1744" s="691"/>
      <c r="R1744" s="691"/>
      <c r="S1744" s="691"/>
      <c r="T1744" s="691"/>
      <c r="U1744" s="691"/>
    </row>
    <row r="1745" s="917" customFormat="true" ht="15" hidden="false" customHeight="true" outlineLevel="0" collapsed="false">
      <c r="A1745" s="752"/>
      <c r="C1745" s="925"/>
      <c r="D1745" s="914"/>
      <c r="E1745" s="914"/>
      <c r="F1745" s="915"/>
      <c r="G1745" s="915"/>
      <c r="H1745" s="691"/>
      <c r="I1745" s="691"/>
      <c r="J1745" s="691"/>
      <c r="K1745" s="691"/>
      <c r="L1745" s="691"/>
      <c r="M1745" s="691"/>
      <c r="N1745" s="691"/>
      <c r="O1745" s="691"/>
      <c r="P1745" s="691"/>
      <c r="Q1745" s="691"/>
      <c r="R1745" s="691"/>
      <c r="S1745" s="691"/>
      <c r="T1745" s="691"/>
      <c r="U1745" s="691"/>
    </row>
    <row r="1746" s="917" customFormat="true" ht="15" hidden="false" customHeight="true" outlineLevel="0" collapsed="false">
      <c r="A1746" s="752"/>
      <c r="C1746" s="925"/>
      <c r="D1746" s="914"/>
      <c r="E1746" s="914"/>
      <c r="F1746" s="915"/>
      <c r="G1746" s="915"/>
      <c r="H1746" s="691"/>
      <c r="I1746" s="691"/>
      <c r="J1746" s="691"/>
      <c r="K1746" s="691"/>
      <c r="L1746" s="691"/>
      <c r="M1746" s="691"/>
      <c r="N1746" s="691"/>
      <c r="O1746" s="691"/>
      <c r="P1746" s="691"/>
      <c r="Q1746" s="691"/>
      <c r="R1746" s="691"/>
      <c r="S1746" s="691"/>
      <c r="T1746" s="691"/>
      <c r="U1746" s="691"/>
    </row>
    <row r="1747" s="917" customFormat="true" ht="15" hidden="false" customHeight="true" outlineLevel="0" collapsed="false">
      <c r="A1747" s="752"/>
      <c r="C1747" s="925"/>
      <c r="D1747" s="914"/>
      <c r="E1747" s="914"/>
      <c r="F1747" s="915"/>
      <c r="G1747" s="915"/>
      <c r="H1747" s="691"/>
      <c r="I1747" s="691"/>
      <c r="J1747" s="691"/>
      <c r="K1747" s="691"/>
      <c r="L1747" s="691"/>
      <c r="M1747" s="691"/>
      <c r="N1747" s="691"/>
      <c r="O1747" s="691"/>
      <c r="P1747" s="691"/>
      <c r="Q1747" s="691"/>
      <c r="R1747" s="691"/>
      <c r="S1747" s="691"/>
      <c r="T1747" s="691"/>
      <c r="U1747" s="691"/>
    </row>
    <row r="1748" s="917" customFormat="true" ht="15" hidden="false" customHeight="true" outlineLevel="0" collapsed="false">
      <c r="A1748" s="752"/>
      <c r="C1748" s="925"/>
      <c r="D1748" s="914"/>
      <c r="E1748" s="914"/>
      <c r="F1748" s="915"/>
      <c r="G1748" s="915"/>
      <c r="H1748" s="691"/>
      <c r="I1748" s="691"/>
      <c r="J1748" s="691"/>
      <c r="K1748" s="691"/>
      <c r="L1748" s="691"/>
      <c r="M1748" s="691"/>
      <c r="N1748" s="691"/>
      <c r="O1748" s="691"/>
      <c r="P1748" s="691"/>
      <c r="Q1748" s="691"/>
      <c r="R1748" s="691"/>
      <c r="S1748" s="691"/>
      <c r="T1748" s="691"/>
      <c r="U1748" s="691"/>
    </row>
    <row r="1749" s="917" customFormat="true" ht="15" hidden="false" customHeight="true" outlineLevel="0" collapsed="false">
      <c r="A1749" s="752"/>
      <c r="C1749" s="925"/>
      <c r="D1749" s="914"/>
      <c r="E1749" s="914"/>
      <c r="F1749" s="915"/>
      <c r="G1749" s="915"/>
      <c r="H1749" s="691"/>
      <c r="I1749" s="691"/>
      <c r="J1749" s="691"/>
      <c r="K1749" s="691"/>
      <c r="L1749" s="691"/>
      <c r="M1749" s="691"/>
      <c r="N1749" s="691"/>
      <c r="O1749" s="691"/>
      <c r="P1749" s="691"/>
      <c r="Q1749" s="691"/>
      <c r="R1749" s="691"/>
      <c r="S1749" s="691"/>
      <c r="T1749" s="691"/>
      <c r="U1749" s="691"/>
    </row>
    <row r="1750" s="917" customFormat="true" ht="15" hidden="false" customHeight="true" outlineLevel="0" collapsed="false">
      <c r="A1750" s="752"/>
      <c r="C1750" s="925"/>
      <c r="D1750" s="914"/>
      <c r="E1750" s="914"/>
      <c r="F1750" s="915"/>
      <c r="G1750" s="915"/>
      <c r="H1750" s="691"/>
      <c r="I1750" s="691"/>
      <c r="J1750" s="691"/>
      <c r="K1750" s="691"/>
      <c r="L1750" s="691"/>
      <c r="M1750" s="691"/>
      <c r="N1750" s="691"/>
      <c r="O1750" s="691"/>
      <c r="P1750" s="691"/>
      <c r="Q1750" s="691"/>
      <c r="R1750" s="691"/>
      <c r="S1750" s="691"/>
      <c r="T1750" s="691"/>
      <c r="U1750" s="691"/>
    </row>
    <row r="1751" s="917" customFormat="true" ht="15" hidden="false" customHeight="true" outlineLevel="0" collapsed="false">
      <c r="A1751" s="752"/>
      <c r="C1751" s="925"/>
      <c r="D1751" s="914"/>
      <c r="E1751" s="914"/>
      <c r="F1751" s="915"/>
      <c r="G1751" s="915"/>
      <c r="H1751" s="691"/>
      <c r="I1751" s="691"/>
      <c r="J1751" s="691"/>
      <c r="K1751" s="691"/>
      <c r="L1751" s="691"/>
      <c r="M1751" s="691"/>
      <c r="N1751" s="691"/>
      <c r="O1751" s="691"/>
      <c r="P1751" s="691"/>
      <c r="Q1751" s="691"/>
      <c r="R1751" s="691"/>
      <c r="S1751" s="691"/>
      <c r="T1751" s="691"/>
      <c r="U1751" s="691"/>
    </row>
    <row r="1752" s="917" customFormat="true" ht="15" hidden="false" customHeight="true" outlineLevel="0" collapsed="false">
      <c r="A1752" s="752"/>
      <c r="C1752" s="925"/>
      <c r="D1752" s="914"/>
      <c r="E1752" s="914"/>
      <c r="F1752" s="915"/>
      <c r="G1752" s="915"/>
      <c r="H1752" s="691"/>
      <c r="I1752" s="691"/>
      <c r="J1752" s="691"/>
      <c r="K1752" s="691"/>
      <c r="L1752" s="691"/>
      <c r="M1752" s="691"/>
      <c r="N1752" s="691"/>
      <c r="O1752" s="691"/>
      <c r="P1752" s="691"/>
      <c r="Q1752" s="691"/>
      <c r="R1752" s="691"/>
      <c r="S1752" s="691"/>
      <c r="T1752" s="691"/>
      <c r="U1752" s="691"/>
    </row>
    <row r="1753" s="917" customFormat="true" ht="15" hidden="false" customHeight="true" outlineLevel="0" collapsed="false">
      <c r="A1753" s="752"/>
      <c r="C1753" s="925"/>
      <c r="D1753" s="914"/>
      <c r="E1753" s="914"/>
      <c r="F1753" s="915"/>
      <c r="G1753" s="915"/>
      <c r="H1753" s="691"/>
      <c r="I1753" s="691"/>
      <c r="J1753" s="691"/>
      <c r="K1753" s="691"/>
      <c r="L1753" s="691"/>
      <c r="M1753" s="691"/>
      <c r="N1753" s="691"/>
      <c r="O1753" s="691"/>
      <c r="P1753" s="691"/>
      <c r="Q1753" s="691"/>
      <c r="R1753" s="691"/>
      <c r="S1753" s="691"/>
      <c r="T1753" s="691"/>
      <c r="U1753" s="691"/>
    </row>
    <row r="1754" s="917" customFormat="true" ht="15" hidden="false" customHeight="true" outlineLevel="0" collapsed="false">
      <c r="A1754" s="752"/>
      <c r="C1754" s="925"/>
      <c r="D1754" s="914"/>
      <c r="E1754" s="914"/>
      <c r="F1754" s="915"/>
      <c r="G1754" s="915"/>
      <c r="H1754" s="691"/>
      <c r="I1754" s="691"/>
      <c r="J1754" s="691"/>
      <c r="K1754" s="691"/>
      <c r="L1754" s="691"/>
      <c r="M1754" s="691"/>
      <c r="N1754" s="691"/>
      <c r="O1754" s="691"/>
      <c r="P1754" s="691"/>
      <c r="Q1754" s="691"/>
      <c r="R1754" s="691"/>
      <c r="S1754" s="691"/>
      <c r="T1754" s="691"/>
      <c r="U1754" s="691"/>
    </row>
    <row r="1755" s="917" customFormat="true" ht="15" hidden="false" customHeight="true" outlineLevel="0" collapsed="false">
      <c r="A1755" s="752"/>
      <c r="C1755" s="925"/>
      <c r="D1755" s="914"/>
      <c r="E1755" s="914"/>
      <c r="F1755" s="915"/>
      <c r="G1755" s="915"/>
      <c r="H1755" s="691"/>
      <c r="I1755" s="691"/>
      <c r="J1755" s="691"/>
      <c r="K1755" s="691"/>
      <c r="L1755" s="691"/>
      <c r="M1755" s="691"/>
      <c r="N1755" s="691"/>
      <c r="O1755" s="691"/>
      <c r="P1755" s="691"/>
      <c r="Q1755" s="691"/>
      <c r="R1755" s="691"/>
      <c r="S1755" s="691"/>
      <c r="T1755" s="691"/>
      <c r="U1755" s="691"/>
    </row>
    <row r="1756" s="917" customFormat="true" ht="15" hidden="false" customHeight="true" outlineLevel="0" collapsed="false">
      <c r="A1756" s="752"/>
      <c r="C1756" s="925"/>
      <c r="D1756" s="914"/>
      <c r="E1756" s="914"/>
      <c r="F1756" s="915"/>
      <c r="G1756" s="915"/>
      <c r="H1756" s="691"/>
      <c r="I1756" s="691"/>
      <c r="J1756" s="691"/>
      <c r="K1756" s="691"/>
      <c r="L1756" s="691"/>
      <c r="M1756" s="691"/>
      <c r="N1756" s="691"/>
      <c r="O1756" s="691"/>
      <c r="P1756" s="691"/>
      <c r="Q1756" s="691"/>
      <c r="R1756" s="691"/>
      <c r="S1756" s="691"/>
      <c r="T1756" s="691"/>
      <c r="U1756" s="691"/>
    </row>
    <row r="1757" s="917" customFormat="true" ht="15" hidden="false" customHeight="true" outlineLevel="0" collapsed="false">
      <c r="A1757" s="752"/>
      <c r="C1757" s="925"/>
      <c r="D1757" s="914"/>
      <c r="E1757" s="914"/>
      <c r="F1757" s="915"/>
      <c r="G1757" s="915"/>
      <c r="H1757" s="691"/>
      <c r="I1757" s="691"/>
      <c r="J1757" s="691"/>
      <c r="K1757" s="691"/>
      <c r="L1757" s="691"/>
      <c r="M1757" s="691"/>
      <c r="N1757" s="691"/>
      <c r="O1757" s="691"/>
      <c r="P1757" s="691"/>
      <c r="Q1757" s="691"/>
      <c r="R1757" s="691"/>
      <c r="S1757" s="691"/>
      <c r="T1757" s="691"/>
      <c r="U1757" s="691"/>
    </row>
    <row r="1758" s="917" customFormat="true" ht="15" hidden="false" customHeight="true" outlineLevel="0" collapsed="false">
      <c r="A1758" s="752"/>
      <c r="C1758" s="925"/>
      <c r="D1758" s="914"/>
      <c r="E1758" s="914"/>
      <c r="F1758" s="915"/>
      <c r="G1758" s="915"/>
      <c r="H1758" s="691"/>
      <c r="I1758" s="691"/>
      <c r="J1758" s="691"/>
      <c r="K1758" s="691"/>
      <c r="L1758" s="691"/>
      <c r="M1758" s="691"/>
      <c r="N1758" s="691"/>
      <c r="O1758" s="691"/>
      <c r="P1758" s="691"/>
      <c r="Q1758" s="691"/>
      <c r="R1758" s="691"/>
      <c r="S1758" s="691"/>
      <c r="T1758" s="691"/>
      <c r="U1758" s="691"/>
    </row>
    <row r="1759" s="917" customFormat="true" ht="15" hidden="false" customHeight="true" outlineLevel="0" collapsed="false">
      <c r="A1759" s="752"/>
      <c r="C1759" s="925"/>
      <c r="D1759" s="914"/>
      <c r="E1759" s="914"/>
      <c r="F1759" s="915"/>
      <c r="G1759" s="915"/>
      <c r="H1759" s="691"/>
      <c r="I1759" s="691"/>
      <c r="J1759" s="691"/>
      <c r="K1759" s="691"/>
      <c r="L1759" s="691"/>
      <c r="M1759" s="691"/>
      <c r="N1759" s="691"/>
      <c r="O1759" s="691"/>
      <c r="P1759" s="691"/>
      <c r="Q1759" s="691"/>
      <c r="R1759" s="691"/>
      <c r="S1759" s="691"/>
      <c r="T1759" s="691"/>
      <c r="U1759" s="691"/>
    </row>
    <row r="1760" s="917" customFormat="true" ht="15" hidden="false" customHeight="true" outlineLevel="0" collapsed="false">
      <c r="A1760" s="752"/>
      <c r="C1760" s="925"/>
      <c r="D1760" s="914"/>
      <c r="E1760" s="914"/>
      <c r="F1760" s="915"/>
      <c r="G1760" s="915"/>
      <c r="H1760" s="691"/>
      <c r="I1760" s="691"/>
      <c r="J1760" s="691"/>
      <c r="K1760" s="691"/>
      <c r="L1760" s="691"/>
      <c r="M1760" s="691"/>
      <c r="N1760" s="691"/>
      <c r="O1760" s="691"/>
      <c r="P1760" s="691"/>
      <c r="Q1760" s="691"/>
      <c r="R1760" s="691"/>
      <c r="S1760" s="691"/>
      <c r="T1760" s="691"/>
      <c r="U1760" s="691"/>
    </row>
    <row r="1761" s="917" customFormat="true" ht="15" hidden="false" customHeight="true" outlineLevel="0" collapsed="false">
      <c r="A1761" s="752"/>
      <c r="C1761" s="925"/>
      <c r="D1761" s="914"/>
      <c r="E1761" s="914"/>
      <c r="F1761" s="915"/>
      <c r="G1761" s="915"/>
      <c r="H1761" s="691"/>
      <c r="I1761" s="691"/>
      <c r="J1761" s="691"/>
      <c r="K1761" s="691"/>
      <c r="L1761" s="691"/>
      <c r="M1761" s="691"/>
      <c r="N1761" s="691"/>
      <c r="O1761" s="691"/>
      <c r="P1761" s="691"/>
      <c r="Q1761" s="691"/>
      <c r="R1761" s="691"/>
      <c r="S1761" s="691"/>
      <c r="T1761" s="691"/>
      <c r="U1761" s="691"/>
    </row>
    <row r="1762" s="917" customFormat="true" ht="15" hidden="false" customHeight="true" outlineLevel="0" collapsed="false">
      <c r="A1762" s="752"/>
      <c r="C1762" s="925"/>
      <c r="D1762" s="914"/>
      <c r="E1762" s="914"/>
      <c r="F1762" s="915"/>
      <c r="G1762" s="915"/>
      <c r="H1762" s="691"/>
      <c r="I1762" s="691"/>
      <c r="J1762" s="691"/>
      <c r="K1762" s="691"/>
      <c r="L1762" s="691"/>
      <c r="M1762" s="691"/>
      <c r="N1762" s="691"/>
      <c r="O1762" s="691"/>
      <c r="P1762" s="691"/>
      <c r="Q1762" s="691"/>
      <c r="R1762" s="691"/>
      <c r="S1762" s="691"/>
      <c r="T1762" s="691"/>
      <c r="U1762" s="691"/>
    </row>
    <row r="1763" s="917" customFormat="true" ht="15" hidden="false" customHeight="true" outlineLevel="0" collapsed="false">
      <c r="A1763" s="752"/>
      <c r="C1763" s="925"/>
      <c r="D1763" s="914"/>
      <c r="E1763" s="914"/>
      <c r="F1763" s="915"/>
      <c r="G1763" s="915"/>
      <c r="H1763" s="691"/>
      <c r="I1763" s="691"/>
      <c r="J1763" s="691"/>
      <c r="K1763" s="691"/>
      <c r="L1763" s="691"/>
      <c r="M1763" s="691"/>
      <c r="N1763" s="691"/>
      <c r="O1763" s="691"/>
      <c r="P1763" s="691"/>
      <c r="Q1763" s="691"/>
      <c r="R1763" s="691"/>
      <c r="S1763" s="691"/>
      <c r="T1763" s="691"/>
      <c r="U1763" s="691"/>
    </row>
    <row r="1764" s="917" customFormat="true" ht="15" hidden="false" customHeight="true" outlineLevel="0" collapsed="false">
      <c r="A1764" s="752"/>
      <c r="C1764" s="925"/>
      <c r="D1764" s="914"/>
      <c r="E1764" s="914"/>
      <c r="F1764" s="915"/>
      <c r="G1764" s="915"/>
      <c r="H1764" s="691"/>
      <c r="I1764" s="691"/>
      <c r="J1764" s="691"/>
      <c r="K1764" s="691"/>
      <c r="L1764" s="691"/>
      <c r="M1764" s="691"/>
      <c r="N1764" s="691"/>
      <c r="O1764" s="691"/>
      <c r="P1764" s="691"/>
      <c r="Q1764" s="691"/>
      <c r="R1764" s="691"/>
      <c r="S1764" s="691"/>
      <c r="T1764" s="691"/>
      <c r="U1764" s="691"/>
    </row>
    <row r="1765" s="917" customFormat="true" ht="15" hidden="false" customHeight="true" outlineLevel="0" collapsed="false">
      <c r="A1765" s="752"/>
      <c r="C1765" s="925"/>
      <c r="D1765" s="914"/>
      <c r="E1765" s="914"/>
      <c r="F1765" s="915"/>
      <c r="G1765" s="915"/>
      <c r="H1765" s="691"/>
      <c r="I1765" s="691"/>
      <c r="J1765" s="691"/>
      <c r="K1765" s="691"/>
      <c r="L1765" s="691"/>
      <c r="M1765" s="691"/>
      <c r="N1765" s="691"/>
      <c r="O1765" s="691"/>
      <c r="P1765" s="691"/>
      <c r="Q1765" s="691"/>
      <c r="R1765" s="691"/>
      <c r="S1765" s="691"/>
      <c r="T1765" s="691"/>
      <c r="U1765" s="691"/>
    </row>
    <row r="1766" s="917" customFormat="true" ht="15" hidden="false" customHeight="true" outlineLevel="0" collapsed="false">
      <c r="A1766" s="752"/>
      <c r="C1766" s="925"/>
      <c r="D1766" s="914"/>
      <c r="E1766" s="914"/>
      <c r="F1766" s="915"/>
      <c r="G1766" s="915"/>
      <c r="H1766" s="691"/>
      <c r="I1766" s="691"/>
      <c r="J1766" s="691"/>
      <c r="K1766" s="691"/>
      <c r="L1766" s="691"/>
      <c r="M1766" s="691"/>
      <c r="N1766" s="691"/>
      <c r="O1766" s="691"/>
      <c r="P1766" s="691"/>
      <c r="Q1766" s="691"/>
      <c r="R1766" s="691"/>
      <c r="S1766" s="691"/>
      <c r="T1766" s="691"/>
      <c r="U1766" s="691"/>
    </row>
    <row r="1767" s="917" customFormat="true" ht="15" hidden="false" customHeight="true" outlineLevel="0" collapsed="false">
      <c r="A1767" s="752"/>
      <c r="C1767" s="925"/>
      <c r="D1767" s="914"/>
      <c r="E1767" s="914"/>
      <c r="F1767" s="915"/>
      <c r="G1767" s="915"/>
      <c r="H1767" s="691"/>
      <c r="I1767" s="691"/>
      <c r="J1767" s="691"/>
      <c r="K1767" s="691"/>
      <c r="L1767" s="691"/>
      <c r="M1767" s="691"/>
      <c r="N1767" s="691"/>
      <c r="O1767" s="691"/>
      <c r="P1767" s="691"/>
      <c r="Q1767" s="691"/>
      <c r="R1767" s="691"/>
      <c r="S1767" s="691"/>
      <c r="T1767" s="691"/>
      <c r="U1767" s="691"/>
    </row>
    <row r="1768" s="917" customFormat="true" ht="15" hidden="false" customHeight="true" outlineLevel="0" collapsed="false">
      <c r="A1768" s="752"/>
      <c r="C1768" s="925"/>
      <c r="D1768" s="914"/>
      <c r="E1768" s="914"/>
      <c r="F1768" s="915"/>
      <c r="G1768" s="915"/>
      <c r="H1768" s="691"/>
      <c r="I1768" s="691"/>
      <c r="J1768" s="691"/>
      <c r="K1768" s="691"/>
      <c r="L1768" s="691"/>
      <c r="M1768" s="691"/>
      <c r="N1768" s="691"/>
      <c r="O1768" s="691"/>
      <c r="P1768" s="691"/>
      <c r="Q1768" s="691"/>
      <c r="R1768" s="691"/>
      <c r="S1768" s="691"/>
      <c r="T1768" s="691"/>
      <c r="U1768" s="691"/>
    </row>
    <row r="1769" s="917" customFormat="true" ht="15" hidden="false" customHeight="true" outlineLevel="0" collapsed="false">
      <c r="A1769" s="752"/>
      <c r="C1769" s="925"/>
      <c r="D1769" s="914"/>
      <c r="E1769" s="914"/>
      <c r="F1769" s="915"/>
      <c r="G1769" s="915"/>
      <c r="H1769" s="691"/>
      <c r="I1769" s="691"/>
      <c r="J1769" s="691"/>
      <c r="K1769" s="691"/>
      <c r="L1769" s="691"/>
      <c r="M1769" s="691"/>
      <c r="N1769" s="691"/>
      <c r="O1769" s="691"/>
      <c r="P1769" s="691"/>
      <c r="Q1769" s="691"/>
      <c r="R1769" s="691"/>
      <c r="S1769" s="691"/>
      <c r="T1769" s="691"/>
      <c r="U1769" s="691"/>
    </row>
    <row r="1770" s="917" customFormat="true" ht="15" hidden="false" customHeight="true" outlineLevel="0" collapsed="false">
      <c r="A1770" s="752"/>
      <c r="C1770" s="925"/>
      <c r="D1770" s="914"/>
      <c r="E1770" s="914"/>
      <c r="F1770" s="915"/>
      <c r="G1770" s="915"/>
      <c r="H1770" s="691"/>
      <c r="I1770" s="691"/>
      <c r="J1770" s="691"/>
      <c r="K1770" s="691"/>
      <c r="L1770" s="691"/>
      <c r="M1770" s="691"/>
      <c r="N1770" s="691"/>
      <c r="O1770" s="691"/>
      <c r="P1770" s="691"/>
      <c r="Q1770" s="691"/>
      <c r="R1770" s="691"/>
      <c r="S1770" s="691"/>
      <c r="T1770" s="691"/>
      <c r="U1770" s="691"/>
    </row>
    <row r="1771" s="917" customFormat="true" ht="15" hidden="false" customHeight="true" outlineLevel="0" collapsed="false">
      <c r="A1771" s="752"/>
      <c r="C1771" s="925"/>
      <c r="D1771" s="914"/>
      <c r="E1771" s="914"/>
      <c r="F1771" s="915"/>
      <c r="G1771" s="915"/>
      <c r="H1771" s="691"/>
      <c r="I1771" s="691"/>
      <c r="J1771" s="691"/>
      <c r="K1771" s="691"/>
      <c r="L1771" s="691"/>
      <c r="M1771" s="691"/>
      <c r="N1771" s="691"/>
      <c r="O1771" s="691"/>
      <c r="P1771" s="691"/>
      <c r="Q1771" s="691"/>
      <c r="R1771" s="691"/>
      <c r="S1771" s="691"/>
      <c r="T1771" s="691"/>
      <c r="U1771" s="691"/>
    </row>
    <row r="1772" s="917" customFormat="true" ht="15" hidden="false" customHeight="true" outlineLevel="0" collapsed="false">
      <c r="A1772" s="752"/>
      <c r="C1772" s="925"/>
      <c r="D1772" s="914"/>
      <c r="E1772" s="914"/>
      <c r="F1772" s="915"/>
      <c r="G1772" s="915"/>
      <c r="H1772" s="691"/>
      <c r="I1772" s="691"/>
      <c r="J1772" s="691"/>
      <c r="K1772" s="691"/>
      <c r="L1772" s="691"/>
      <c r="M1772" s="691"/>
      <c r="N1772" s="691"/>
      <c r="O1772" s="691"/>
      <c r="P1772" s="691"/>
      <c r="Q1772" s="691"/>
      <c r="R1772" s="691"/>
      <c r="S1772" s="691"/>
      <c r="T1772" s="691"/>
      <c r="U1772" s="691"/>
    </row>
    <row r="1773" s="917" customFormat="true" ht="15" hidden="false" customHeight="true" outlineLevel="0" collapsed="false">
      <c r="A1773" s="752"/>
      <c r="C1773" s="925"/>
      <c r="D1773" s="914"/>
      <c r="E1773" s="914"/>
      <c r="F1773" s="915"/>
      <c r="G1773" s="915"/>
      <c r="H1773" s="691"/>
      <c r="I1773" s="691"/>
      <c r="J1773" s="691"/>
      <c r="K1773" s="691"/>
      <c r="L1773" s="691"/>
      <c r="M1773" s="691"/>
      <c r="N1773" s="691"/>
      <c r="O1773" s="691"/>
      <c r="P1773" s="691"/>
      <c r="Q1773" s="691"/>
      <c r="R1773" s="691"/>
      <c r="S1773" s="691"/>
      <c r="T1773" s="691"/>
      <c r="U1773" s="691"/>
    </row>
    <row r="1774" s="917" customFormat="true" ht="15" hidden="false" customHeight="true" outlineLevel="0" collapsed="false">
      <c r="A1774" s="752"/>
      <c r="C1774" s="925"/>
      <c r="D1774" s="914"/>
      <c r="E1774" s="914"/>
      <c r="F1774" s="915"/>
      <c r="G1774" s="915"/>
      <c r="H1774" s="691"/>
      <c r="I1774" s="691"/>
      <c r="J1774" s="691"/>
      <c r="K1774" s="691"/>
      <c r="L1774" s="691"/>
      <c r="M1774" s="691"/>
      <c r="N1774" s="691"/>
      <c r="O1774" s="691"/>
      <c r="P1774" s="691"/>
      <c r="Q1774" s="691"/>
      <c r="R1774" s="691"/>
      <c r="S1774" s="691"/>
      <c r="T1774" s="691"/>
      <c r="U1774" s="691"/>
    </row>
    <row r="1775" s="917" customFormat="true" ht="15" hidden="false" customHeight="true" outlineLevel="0" collapsed="false">
      <c r="A1775" s="752"/>
      <c r="C1775" s="925"/>
      <c r="D1775" s="914"/>
      <c r="E1775" s="914"/>
      <c r="F1775" s="915"/>
      <c r="G1775" s="915"/>
      <c r="H1775" s="691"/>
      <c r="I1775" s="691"/>
      <c r="J1775" s="691"/>
      <c r="K1775" s="691"/>
      <c r="L1775" s="691"/>
      <c r="M1775" s="691"/>
      <c r="N1775" s="691"/>
      <c r="O1775" s="691"/>
      <c r="P1775" s="691"/>
      <c r="Q1775" s="691"/>
      <c r="R1775" s="691"/>
      <c r="S1775" s="691"/>
      <c r="T1775" s="691"/>
      <c r="U1775" s="691"/>
    </row>
    <row r="1776" s="917" customFormat="true" ht="15" hidden="false" customHeight="true" outlineLevel="0" collapsed="false">
      <c r="A1776" s="752"/>
      <c r="C1776" s="925"/>
      <c r="D1776" s="914"/>
      <c r="E1776" s="914"/>
      <c r="F1776" s="915"/>
      <c r="G1776" s="915"/>
      <c r="H1776" s="691"/>
      <c r="I1776" s="691"/>
      <c r="J1776" s="691"/>
      <c r="K1776" s="691"/>
      <c r="L1776" s="691"/>
      <c r="M1776" s="691"/>
      <c r="N1776" s="691"/>
      <c r="O1776" s="691"/>
      <c r="P1776" s="691"/>
      <c r="Q1776" s="691"/>
      <c r="R1776" s="691"/>
      <c r="S1776" s="691"/>
      <c r="T1776" s="691"/>
      <c r="U1776" s="691"/>
    </row>
    <row r="1777" s="917" customFormat="true" ht="15" hidden="false" customHeight="true" outlineLevel="0" collapsed="false">
      <c r="A1777" s="752"/>
      <c r="C1777" s="925"/>
      <c r="D1777" s="914"/>
      <c r="E1777" s="914"/>
      <c r="F1777" s="915"/>
      <c r="G1777" s="915"/>
      <c r="H1777" s="691"/>
      <c r="I1777" s="691"/>
      <c r="J1777" s="691"/>
      <c r="K1777" s="691"/>
      <c r="L1777" s="691"/>
      <c r="M1777" s="691"/>
      <c r="N1777" s="691"/>
      <c r="O1777" s="691"/>
      <c r="P1777" s="691"/>
      <c r="Q1777" s="691"/>
      <c r="R1777" s="691"/>
      <c r="S1777" s="691"/>
      <c r="T1777" s="691"/>
      <c r="U1777" s="691"/>
    </row>
    <row r="1778" s="917" customFormat="true" ht="15" hidden="false" customHeight="true" outlineLevel="0" collapsed="false">
      <c r="A1778" s="752"/>
      <c r="C1778" s="925"/>
      <c r="D1778" s="914"/>
      <c r="E1778" s="914"/>
      <c r="F1778" s="915"/>
      <c r="G1778" s="915"/>
      <c r="H1778" s="691"/>
      <c r="I1778" s="691"/>
      <c r="J1778" s="691"/>
      <c r="K1778" s="691"/>
      <c r="L1778" s="691"/>
      <c r="M1778" s="691"/>
      <c r="N1778" s="691"/>
      <c r="O1778" s="691"/>
      <c r="P1778" s="691"/>
      <c r="Q1778" s="691"/>
      <c r="R1778" s="691"/>
      <c r="S1778" s="691"/>
      <c r="T1778" s="691"/>
      <c r="U1778" s="691"/>
    </row>
    <row r="1779" s="917" customFormat="true" ht="15" hidden="false" customHeight="true" outlineLevel="0" collapsed="false">
      <c r="A1779" s="752"/>
      <c r="C1779" s="925"/>
      <c r="D1779" s="914"/>
      <c r="E1779" s="914"/>
      <c r="F1779" s="915"/>
      <c r="G1779" s="915"/>
      <c r="H1779" s="691"/>
      <c r="I1779" s="691"/>
      <c r="J1779" s="691"/>
      <c r="K1779" s="691"/>
      <c r="L1779" s="691"/>
      <c r="M1779" s="691"/>
      <c r="N1779" s="691"/>
      <c r="O1779" s="691"/>
      <c r="P1779" s="691"/>
      <c r="Q1779" s="691"/>
      <c r="R1779" s="691"/>
      <c r="S1779" s="691"/>
      <c r="T1779" s="691"/>
      <c r="U1779" s="691"/>
    </row>
    <row r="1780" s="917" customFormat="true" ht="15" hidden="false" customHeight="true" outlineLevel="0" collapsed="false">
      <c r="A1780" s="752"/>
      <c r="C1780" s="925"/>
      <c r="D1780" s="914"/>
      <c r="E1780" s="914"/>
      <c r="F1780" s="915"/>
      <c r="G1780" s="915"/>
      <c r="H1780" s="691"/>
      <c r="I1780" s="691"/>
      <c r="J1780" s="691"/>
      <c r="K1780" s="691"/>
      <c r="L1780" s="691"/>
      <c r="M1780" s="691"/>
      <c r="N1780" s="691"/>
      <c r="O1780" s="691"/>
      <c r="P1780" s="691"/>
      <c r="Q1780" s="691"/>
      <c r="R1780" s="691"/>
      <c r="S1780" s="691"/>
      <c r="T1780" s="691"/>
      <c r="U1780" s="691"/>
    </row>
    <row r="1781" s="917" customFormat="true" ht="15" hidden="false" customHeight="true" outlineLevel="0" collapsed="false">
      <c r="A1781" s="752"/>
      <c r="C1781" s="925"/>
      <c r="D1781" s="914"/>
      <c r="E1781" s="914"/>
      <c r="F1781" s="915"/>
      <c r="G1781" s="915"/>
      <c r="H1781" s="691"/>
      <c r="I1781" s="691"/>
      <c r="J1781" s="691"/>
      <c r="K1781" s="691"/>
      <c r="L1781" s="691"/>
      <c r="M1781" s="691"/>
      <c r="N1781" s="691"/>
      <c r="O1781" s="691"/>
      <c r="P1781" s="691"/>
      <c r="Q1781" s="691"/>
      <c r="R1781" s="691"/>
      <c r="S1781" s="691"/>
      <c r="T1781" s="691"/>
      <c r="U1781" s="691"/>
    </row>
    <row r="1782" s="917" customFormat="true" ht="15" hidden="false" customHeight="true" outlineLevel="0" collapsed="false">
      <c r="A1782" s="752"/>
      <c r="C1782" s="925"/>
      <c r="D1782" s="914"/>
      <c r="E1782" s="914"/>
      <c r="F1782" s="915"/>
      <c r="G1782" s="915"/>
      <c r="H1782" s="691"/>
      <c r="I1782" s="691"/>
      <c r="J1782" s="691"/>
      <c r="K1782" s="691"/>
      <c r="L1782" s="691"/>
      <c r="M1782" s="691"/>
      <c r="N1782" s="691"/>
      <c r="O1782" s="691"/>
      <c r="P1782" s="691"/>
      <c r="Q1782" s="691"/>
      <c r="R1782" s="691"/>
      <c r="S1782" s="691"/>
      <c r="T1782" s="691"/>
      <c r="U1782" s="691"/>
    </row>
    <row r="1783" s="917" customFormat="true" ht="15" hidden="false" customHeight="true" outlineLevel="0" collapsed="false">
      <c r="A1783" s="752"/>
      <c r="C1783" s="925"/>
      <c r="D1783" s="914"/>
      <c r="E1783" s="914"/>
      <c r="F1783" s="915"/>
      <c r="G1783" s="915"/>
      <c r="H1783" s="691"/>
      <c r="I1783" s="691"/>
      <c r="J1783" s="691"/>
      <c r="K1783" s="691"/>
      <c r="L1783" s="691"/>
      <c r="M1783" s="691"/>
      <c r="N1783" s="691"/>
      <c r="O1783" s="691"/>
      <c r="P1783" s="691"/>
      <c r="Q1783" s="691"/>
      <c r="R1783" s="691"/>
      <c r="S1783" s="691"/>
      <c r="T1783" s="691"/>
      <c r="U1783" s="691"/>
    </row>
    <row r="1784" s="917" customFormat="true" ht="15" hidden="false" customHeight="true" outlineLevel="0" collapsed="false">
      <c r="A1784" s="752"/>
      <c r="C1784" s="925"/>
      <c r="D1784" s="914"/>
      <c r="E1784" s="914"/>
      <c r="F1784" s="915"/>
      <c r="G1784" s="915"/>
      <c r="H1784" s="691"/>
      <c r="I1784" s="691"/>
      <c r="J1784" s="691"/>
      <c r="K1784" s="691"/>
      <c r="L1784" s="691"/>
      <c r="M1784" s="691"/>
      <c r="N1784" s="691"/>
      <c r="O1784" s="691"/>
      <c r="P1784" s="691"/>
      <c r="Q1784" s="691"/>
      <c r="R1784" s="691"/>
      <c r="S1784" s="691"/>
      <c r="T1784" s="691"/>
      <c r="U1784" s="691"/>
    </row>
    <row r="1785" s="917" customFormat="true" ht="15" hidden="false" customHeight="true" outlineLevel="0" collapsed="false">
      <c r="A1785" s="752"/>
      <c r="C1785" s="925"/>
      <c r="D1785" s="914"/>
      <c r="E1785" s="914"/>
      <c r="F1785" s="915"/>
      <c r="G1785" s="915"/>
      <c r="H1785" s="691"/>
      <c r="I1785" s="691"/>
      <c r="J1785" s="691"/>
      <c r="K1785" s="691"/>
      <c r="L1785" s="691"/>
      <c r="M1785" s="691"/>
      <c r="N1785" s="691"/>
      <c r="O1785" s="691"/>
      <c r="P1785" s="691"/>
      <c r="Q1785" s="691"/>
      <c r="R1785" s="691"/>
      <c r="S1785" s="691"/>
      <c r="T1785" s="691"/>
      <c r="U1785" s="691"/>
    </row>
    <row r="1786" s="917" customFormat="true" ht="15" hidden="false" customHeight="true" outlineLevel="0" collapsed="false">
      <c r="A1786" s="752"/>
      <c r="C1786" s="925"/>
      <c r="D1786" s="914"/>
      <c r="E1786" s="914"/>
      <c r="F1786" s="915"/>
      <c r="G1786" s="915"/>
      <c r="H1786" s="691"/>
      <c r="I1786" s="691"/>
      <c r="J1786" s="691"/>
      <c r="K1786" s="691"/>
      <c r="L1786" s="691"/>
      <c r="M1786" s="691"/>
      <c r="N1786" s="691"/>
      <c r="O1786" s="691"/>
      <c r="P1786" s="691"/>
      <c r="Q1786" s="691"/>
      <c r="R1786" s="691"/>
      <c r="S1786" s="691"/>
      <c r="T1786" s="691"/>
      <c r="U1786" s="691"/>
    </row>
    <row r="1787" s="917" customFormat="true" ht="15" hidden="false" customHeight="true" outlineLevel="0" collapsed="false">
      <c r="A1787" s="752"/>
      <c r="C1787" s="925"/>
      <c r="D1787" s="914"/>
      <c r="E1787" s="914"/>
      <c r="F1787" s="915"/>
      <c r="G1787" s="915"/>
      <c r="H1787" s="691"/>
      <c r="I1787" s="691"/>
      <c r="J1787" s="691"/>
      <c r="K1787" s="691"/>
      <c r="L1787" s="691"/>
      <c r="M1787" s="691"/>
      <c r="N1787" s="691"/>
      <c r="O1787" s="691"/>
      <c r="P1787" s="691"/>
      <c r="Q1787" s="691"/>
      <c r="R1787" s="691"/>
      <c r="S1787" s="691"/>
      <c r="T1787" s="691"/>
      <c r="U1787" s="691"/>
    </row>
    <row r="1788" s="917" customFormat="true" ht="15" hidden="false" customHeight="true" outlineLevel="0" collapsed="false">
      <c r="A1788" s="752"/>
      <c r="C1788" s="925"/>
      <c r="D1788" s="914"/>
      <c r="E1788" s="914"/>
      <c r="F1788" s="915"/>
      <c r="G1788" s="915"/>
      <c r="H1788" s="691"/>
      <c r="I1788" s="691"/>
      <c r="J1788" s="691"/>
      <c r="K1788" s="691"/>
      <c r="L1788" s="691"/>
      <c r="M1788" s="691"/>
      <c r="N1788" s="691"/>
      <c r="O1788" s="691"/>
      <c r="P1788" s="691"/>
      <c r="Q1788" s="691"/>
      <c r="R1788" s="691"/>
      <c r="S1788" s="691"/>
      <c r="T1788" s="691"/>
      <c r="U1788" s="691"/>
    </row>
    <row r="1789" s="917" customFormat="true" ht="15" hidden="false" customHeight="true" outlineLevel="0" collapsed="false">
      <c r="A1789" s="752"/>
      <c r="C1789" s="925"/>
      <c r="D1789" s="914"/>
      <c r="E1789" s="914"/>
      <c r="F1789" s="915"/>
      <c r="G1789" s="915"/>
      <c r="H1789" s="691"/>
      <c r="I1789" s="691"/>
      <c r="J1789" s="691"/>
      <c r="K1789" s="691"/>
      <c r="L1789" s="691"/>
      <c r="M1789" s="691"/>
      <c r="N1789" s="691"/>
      <c r="O1789" s="691"/>
      <c r="P1789" s="691"/>
      <c r="Q1789" s="691"/>
      <c r="R1789" s="691"/>
      <c r="S1789" s="691"/>
      <c r="T1789" s="691"/>
      <c r="U1789" s="691"/>
    </row>
    <row r="1790" s="917" customFormat="true" ht="15" hidden="false" customHeight="true" outlineLevel="0" collapsed="false">
      <c r="A1790" s="752"/>
      <c r="C1790" s="925"/>
      <c r="D1790" s="914"/>
      <c r="E1790" s="914"/>
      <c r="F1790" s="915"/>
      <c r="G1790" s="915"/>
      <c r="H1790" s="691"/>
      <c r="I1790" s="691"/>
      <c r="J1790" s="691"/>
      <c r="K1790" s="691"/>
      <c r="L1790" s="691"/>
      <c r="M1790" s="691"/>
      <c r="N1790" s="691"/>
      <c r="O1790" s="691"/>
      <c r="P1790" s="691"/>
      <c r="Q1790" s="691"/>
      <c r="R1790" s="691"/>
      <c r="S1790" s="691"/>
      <c r="T1790" s="691"/>
      <c r="U1790" s="691"/>
    </row>
    <row r="1791" s="917" customFormat="true" ht="15" hidden="false" customHeight="true" outlineLevel="0" collapsed="false">
      <c r="A1791" s="752"/>
      <c r="C1791" s="925"/>
      <c r="D1791" s="914"/>
      <c r="E1791" s="914"/>
      <c r="F1791" s="915"/>
      <c r="G1791" s="915"/>
      <c r="H1791" s="691"/>
      <c r="I1791" s="691"/>
      <c r="J1791" s="691"/>
      <c r="K1791" s="691"/>
      <c r="L1791" s="691"/>
      <c r="M1791" s="691"/>
      <c r="N1791" s="691"/>
      <c r="O1791" s="691"/>
      <c r="P1791" s="691"/>
      <c r="Q1791" s="691"/>
      <c r="R1791" s="691"/>
      <c r="S1791" s="691"/>
      <c r="T1791" s="691"/>
      <c r="U1791" s="691"/>
    </row>
    <row r="1792" s="917" customFormat="true" ht="15" hidden="false" customHeight="true" outlineLevel="0" collapsed="false">
      <c r="A1792" s="752"/>
      <c r="C1792" s="925"/>
      <c r="D1792" s="914"/>
      <c r="E1792" s="914"/>
      <c r="F1792" s="915"/>
      <c r="G1792" s="915"/>
      <c r="H1792" s="691"/>
      <c r="I1792" s="691"/>
      <c r="J1792" s="691"/>
      <c r="K1792" s="691"/>
      <c r="L1792" s="691"/>
      <c r="M1792" s="691"/>
      <c r="N1792" s="691"/>
      <c r="O1792" s="691"/>
      <c r="P1792" s="691"/>
      <c r="Q1792" s="691"/>
      <c r="R1792" s="691"/>
      <c r="S1792" s="691"/>
      <c r="T1792" s="691"/>
      <c r="U1792" s="691"/>
    </row>
    <row r="1793" s="917" customFormat="true" ht="15" hidden="false" customHeight="true" outlineLevel="0" collapsed="false">
      <c r="A1793" s="752"/>
      <c r="C1793" s="925"/>
      <c r="D1793" s="914"/>
      <c r="E1793" s="914"/>
      <c r="F1793" s="915"/>
      <c r="G1793" s="915"/>
      <c r="H1793" s="691"/>
      <c r="I1793" s="691"/>
      <c r="J1793" s="691"/>
      <c r="K1793" s="691"/>
      <c r="L1793" s="691"/>
      <c r="M1793" s="691"/>
      <c r="N1793" s="691"/>
      <c r="O1793" s="691"/>
      <c r="P1793" s="691"/>
      <c r="Q1793" s="691"/>
      <c r="R1793" s="691"/>
      <c r="S1793" s="691"/>
      <c r="T1793" s="691"/>
      <c r="U1793" s="691"/>
    </row>
    <row r="1794" s="917" customFormat="true" ht="15" hidden="false" customHeight="true" outlineLevel="0" collapsed="false">
      <c r="A1794" s="752"/>
      <c r="C1794" s="925"/>
      <c r="D1794" s="914"/>
      <c r="E1794" s="914"/>
      <c r="F1794" s="915"/>
      <c r="G1794" s="915"/>
      <c r="H1794" s="691"/>
      <c r="I1794" s="691"/>
      <c r="J1794" s="691"/>
      <c r="K1794" s="691"/>
      <c r="L1794" s="691"/>
      <c r="M1794" s="691"/>
      <c r="N1794" s="691"/>
      <c r="O1794" s="691"/>
      <c r="P1794" s="691"/>
      <c r="Q1794" s="691"/>
      <c r="R1794" s="691"/>
      <c r="S1794" s="691"/>
      <c r="T1794" s="691"/>
      <c r="U1794" s="691"/>
    </row>
    <row r="1795" s="917" customFormat="true" ht="15" hidden="false" customHeight="true" outlineLevel="0" collapsed="false">
      <c r="A1795" s="752"/>
      <c r="C1795" s="925"/>
      <c r="D1795" s="914"/>
      <c r="E1795" s="914"/>
      <c r="F1795" s="915"/>
      <c r="G1795" s="915"/>
      <c r="H1795" s="691"/>
      <c r="I1795" s="691"/>
      <c r="J1795" s="691"/>
      <c r="K1795" s="691"/>
      <c r="L1795" s="691"/>
      <c r="M1795" s="691"/>
      <c r="N1795" s="691"/>
      <c r="O1795" s="691"/>
      <c r="P1795" s="691"/>
      <c r="Q1795" s="691"/>
      <c r="R1795" s="691"/>
      <c r="S1795" s="691"/>
      <c r="T1795" s="691"/>
      <c r="U1795" s="691"/>
    </row>
    <row r="1796" s="917" customFormat="true" ht="15" hidden="false" customHeight="true" outlineLevel="0" collapsed="false">
      <c r="A1796" s="752"/>
      <c r="C1796" s="925"/>
      <c r="D1796" s="914"/>
      <c r="E1796" s="914"/>
      <c r="F1796" s="915"/>
      <c r="G1796" s="915"/>
      <c r="H1796" s="691"/>
      <c r="I1796" s="691"/>
      <c r="J1796" s="691"/>
      <c r="K1796" s="691"/>
      <c r="L1796" s="691"/>
      <c r="M1796" s="691"/>
      <c r="N1796" s="691"/>
      <c r="O1796" s="691"/>
      <c r="P1796" s="691"/>
      <c r="Q1796" s="691"/>
      <c r="R1796" s="691"/>
      <c r="S1796" s="691"/>
      <c r="T1796" s="691"/>
      <c r="U1796" s="691"/>
    </row>
    <row r="1797" s="917" customFormat="true" ht="15" hidden="false" customHeight="true" outlineLevel="0" collapsed="false">
      <c r="A1797" s="752"/>
      <c r="C1797" s="925"/>
      <c r="D1797" s="914"/>
      <c r="E1797" s="914"/>
      <c r="F1797" s="915"/>
      <c r="G1797" s="915"/>
      <c r="H1797" s="691"/>
      <c r="I1797" s="691"/>
      <c r="J1797" s="691"/>
      <c r="K1797" s="691"/>
      <c r="L1797" s="691"/>
      <c r="M1797" s="691"/>
      <c r="N1797" s="691"/>
      <c r="O1797" s="691"/>
      <c r="P1797" s="691"/>
      <c r="Q1797" s="691"/>
      <c r="R1797" s="691"/>
      <c r="S1797" s="691"/>
      <c r="T1797" s="691"/>
      <c r="U1797" s="691"/>
    </row>
    <row r="1798" s="917" customFormat="true" ht="15" hidden="false" customHeight="true" outlineLevel="0" collapsed="false">
      <c r="A1798" s="752"/>
      <c r="C1798" s="925"/>
      <c r="D1798" s="914"/>
      <c r="E1798" s="914"/>
      <c r="F1798" s="915"/>
      <c r="G1798" s="915"/>
      <c r="H1798" s="691"/>
      <c r="I1798" s="691"/>
      <c r="J1798" s="691"/>
      <c r="K1798" s="691"/>
      <c r="L1798" s="691"/>
      <c r="M1798" s="691"/>
      <c r="N1798" s="691"/>
      <c r="O1798" s="691"/>
      <c r="P1798" s="691"/>
      <c r="Q1798" s="691"/>
      <c r="R1798" s="691"/>
      <c r="S1798" s="691"/>
      <c r="T1798" s="691"/>
      <c r="U1798" s="691"/>
    </row>
    <row r="1799" s="917" customFormat="true" ht="15" hidden="false" customHeight="true" outlineLevel="0" collapsed="false">
      <c r="A1799" s="752"/>
      <c r="C1799" s="925"/>
      <c r="D1799" s="914"/>
      <c r="E1799" s="914"/>
      <c r="F1799" s="915"/>
      <c r="G1799" s="915"/>
      <c r="H1799" s="691"/>
      <c r="I1799" s="691"/>
      <c r="J1799" s="691"/>
      <c r="K1799" s="691"/>
      <c r="L1799" s="691"/>
      <c r="M1799" s="691"/>
      <c r="N1799" s="691"/>
      <c r="O1799" s="691"/>
      <c r="P1799" s="691"/>
      <c r="Q1799" s="691"/>
      <c r="R1799" s="691"/>
      <c r="S1799" s="691"/>
      <c r="T1799" s="691"/>
      <c r="U1799" s="691"/>
    </row>
    <row r="1800" s="917" customFormat="true" ht="15" hidden="false" customHeight="true" outlineLevel="0" collapsed="false">
      <c r="A1800" s="752"/>
      <c r="C1800" s="925"/>
      <c r="D1800" s="914"/>
      <c r="E1800" s="914"/>
      <c r="F1800" s="915"/>
      <c r="G1800" s="915"/>
      <c r="H1800" s="691"/>
      <c r="I1800" s="691"/>
      <c r="J1800" s="691"/>
      <c r="K1800" s="691"/>
      <c r="L1800" s="691"/>
      <c r="M1800" s="691"/>
      <c r="N1800" s="691"/>
      <c r="O1800" s="691"/>
      <c r="P1800" s="691"/>
      <c r="Q1800" s="691"/>
      <c r="R1800" s="691"/>
      <c r="S1800" s="691"/>
      <c r="T1800" s="691"/>
      <c r="U1800" s="691"/>
    </row>
    <row r="1801" s="917" customFormat="true" ht="15" hidden="false" customHeight="true" outlineLevel="0" collapsed="false">
      <c r="A1801" s="752"/>
      <c r="C1801" s="925"/>
      <c r="D1801" s="914"/>
      <c r="E1801" s="914"/>
      <c r="F1801" s="915"/>
      <c r="G1801" s="915"/>
      <c r="H1801" s="691"/>
      <c r="I1801" s="691"/>
      <c r="J1801" s="691"/>
      <c r="K1801" s="691"/>
      <c r="L1801" s="691"/>
      <c r="M1801" s="691"/>
      <c r="N1801" s="691"/>
      <c r="O1801" s="691"/>
      <c r="P1801" s="691"/>
      <c r="Q1801" s="691"/>
      <c r="R1801" s="691"/>
      <c r="S1801" s="691"/>
      <c r="T1801" s="691"/>
      <c r="U1801" s="691"/>
    </row>
    <row r="1802" s="917" customFormat="true" ht="15" hidden="false" customHeight="true" outlineLevel="0" collapsed="false">
      <c r="A1802" s="752"/>
      <c r="C1802" s="925"/>
      <c r="D1802" s="914"/>
      <c r="E1802" s="914"/>
      <c r="F1802" s="915"/>
      <c r="G1802" s="915"/>
      <c r="H1802" s="691"/>
      <c r="I1802" s="691"/>
      <c r="J1802" s="691"/>
      <c r="K1802" s="691"/>
      <c r="L1802" s="691"/>
      <c r="M1802" s="691"/>
      <c r="N1802" s="691"/>
      <c r="O1802" s="691"/>
      <c r="P1802" s="691"/>
      <c r="Q1802" s="691"/>
      <c r="R1802" s="691"/>
      <c r="S1802" s="691"/>
      <c r="T1802" s="691"/>
      <c r="U1802" s="691"/>
    </row>
    <row r="1803" s="917" customFormat="true" ht="15" hidden="false" customHeight="true" outlineLevel="0" collapsed="false">
      <c r="A1803" s="752"/>
      <c r="C1803" s="925"/>
      <c r="D1803" s="914"/>
      <c r="E1803" s="914"/>
      <c r="F1803" s="915"/>
      <c r="G1803" s="915"/>
      <c r="H1803" s="691"/>
      <c r="I1803" s="691"/>
      <c r="J1803" s="691"/>
      <c r="K1803" s="691"/>
      <c r="L1803" s="691"/>
      <c r="M1803" s="691"/>
      <c r="N1803" s="691"/>
      <c r="O1803" s="691"/>
      <c r="P1803" s="691"/>
      <c r="Q1803" s="691"/>
      <c r="R1803" s="691"/>
      <c r="S1803" s="691"/>
      <c r="T1803" s="691"/>
      <c r="U1803" s="691"/>
    </row>
    <row r="1804" s="917" customFormat="true" ht="15" hidden="false" customHeight="true" outlineLevel="0" collapsed="false">
      <c r="A1804" s="752"/>
      <c r="C1804" s="925"/>
      <c r="D1804" s="914"/>
      <c r="E1804" s="914"/>
      <c r="F1804" s="915"/>
      <c r="G1804" s="915"/>
      <c r="H1804" s="691"/>
      <c r="I1804" s="691"/>
      <c r="J1804" s="691"/>
      <c r="K1804" s="691"/>
      <c r="L1804" s="691"/>
      <c r="M1804" s="691"/>
      <c r="N1804" s="691"/>
      <c r="O1804" s="691"/>
      <c r="P1804" s="691"/>
      <c r="Q1804" s="691"/>
      <c r="R1804" s="691"/>
      <c r="S1804" s="691"/>
      <c r="T1804" s="691"/>
      <c r="U1804" s="691"/>
    </row>
    <row r="1805" s="917" customFormat="true" ht="15" hidden="false" customHeight="true" outlineLevel="0" collapsed="false">
      <c r="A1805" s="752"/>
      <c r="C1805" s="925"/>
      <c r="D1805" s="914"/>
      <c r="E1805" s="914"/>
      <c r="F1805" s="915"/>
      <c r="G1805" s="915"/>
      <c r="H1805" s="691"/>
      <c r="I1805" s="691"/>
      <c r="J1805" s="691"/>
      <c r="K1805" s="691"/>
      <c r="L1805" s="691"/>
      <c r="M1805" s="691"/>
      <c r="N1805" s="691"/>
      <c r="O1805" s="691"/>
      <c r="P1805" s="691"/>
      <c r="Q1805" s="691"/>
      <c r="R1805" s="691"/>
      <c r="S1805" s="691"/>
      <c r="T1805" s="691"/>
      <c r="U1805" s="691"/>
    </row>
    <row r="1806" s="917" customFormat="true" ht="15" hidden="false" customHeight="true" outlineLevel="0" collapsed="false">
      <c r="A1806" s="752"/>
      <c r="C1806" s="925"/>
      <c r="D1806" s="914"/>
      <c r="E1806" s="914"/>
      <c r="F1806" s="915"/>
      <c r="G1806" s="915"/>
      <c r="H1806" s="691"/>
      <c r="I1806" s="691"/>
      <c r="J1806" s="691"/>
      <c r="K1806" s="691"/>
      <c r="L1806" s="691"/>
      <c r="M1806" s="691"/>
      <c r="N1806" s="691"/>
      <c r="O1806" s="691"/>
      <c r="P1806" s="691"/>
      <c r="Q1806" s="691"/>
      <c r="R1806" s="691"/>
      <c r="S1806" s="691"/>
      <c r="T1806" s="691"/>
      <c r="U1806" s="691"/>
    </row>
    <row r="1807" s="917" customFormat="true" ht="15" hidden="false" customHeight="true" outlineLevel="0" collapsed="false">
      <c r="A1807" s="752"/>
      <c r="C1807" s="925"/>
      <c r="D1807" s="914"/>
      <c r="E1807" s="914"/>
      <c r="F1807" s="915"/>
      <c r="G1807" s="915"/>
      <c r="H1807" s="691"/>
      <c r="I1807" s="691"/>
      <c r="J1807" s="691"/>
      <c r="K1807" s="691"/>
      <c r="L1807" s="691"/>
      <c r="M1807" s="691"/>
      <c r="N1807" s="691"/>
      <c r="O1807" s="691"/>
      <c r="P1807" s="691"/>
      <c r="Q1807" s="691"/>
      <c r="R1807" s="691"/>
      <c r="S1807" s="691"/>
      <c r="T1807" s="691"/>
      <c r="U1807" s="691"/>
    </row>
    <row r="1808" s="917" customFormat="true" ht="15" hidden="false" customHeight="true" outlineLevel="0" collapsed="false">
      <c r="A1808" s="752"/>
      <c r="C1808" s="925"/>
      <c r="D1808" s="914"/>
      <c r="E1808" s="914"/>
      <c r="F1808" s="915"/>
      <c r="G1808" s="915"/>
      <c r="H1808" s="691"/>
      <c r="I1808" s="691"/>
      <c r="J1808" s="691"/>
      <c r="K1808" s="691"/>
      <c r="L1808" s="691"/>
      <c r="M1808" s="691"/>
      <c r="N1808" s="691"/>
      <c r="O1808" s="691"/>
      <c r="P1808" s="691"/>
      <c r="Q1808" s="691"/>
      <c r="R1808" s="691"/>
      <c r="S1808" s="691"/>
      <c r="T1808" s="691"/>
      <c r="U1808" s="691"/>
    </row>
    <row r="1809" s="917" customFormat="true" ht="15" hidden="false" customHeight="true" outlineLevel="0" collapsed="false">
      <c r="A1809" s="752"/>
      <c r="C1809" s="925"/>
      <c r="D1809" s="914"/>
      <c r="E1809" s="914"/>
      <c r="F1809" s="915"/>
      <c r="G1809" s="915"/>
      <c r="H1809" s="691"/>
      <c r="I1809" s="691"/>
      <c r="J1809" s="691"/>
      <c r="K1809" s="691"/>
      <c r="L1809" s="691"/>
      <c r="M1809" s="691"/>
      <c r="N1809" s="691"/>
      <c r="O1809" s="691"/>
      <c r="P1809" s="691"/>
      <c r="Q1809" s="691"/>
      <c r="R1809" s="691"/>
      <c r="S1809" s="691"/>
      <c r="T1809" s="691"/>
      <c r="U1809" s="691"/>
    </row>
    <row r="1810" s="917" customFormat="true" ht="15" hidden="false" customHeight="true" outlineLevel="0" collapsed="false">
      <c r="A1810" s="752"/>
      <c r="C1810" s="925"/>
      <c r="D1810" s="914"/>
      <c r="E1810" s="914"/>
      <c r="F1810" s="915"/>
      <c r="G1810" s="915"/>
      <c r="H1810" s="691"/>
      <c r="I1810" s="691"/>
      <c r="J1810" s="691"/>
      <c r="K1810" s="691"/>
      <c r="L1810" s="691"/>
      <c r="M1810" s="691"/>
      <c r="N1810" s="691"/>
      <c r="O1810" s="691"/>
      <c r="P1810" s="691"/>
      <c r="Q1810" s="691"/>
      <c r="R1810" s="691"/>
      <c r="S1810" s="691"/>
      <c r="T1810" s="691"/>
      <c r="U1810" s="691"/>
    </row>
    <row r="1811" s="917" customFormat="true" ht="15" hidden="false" customHeight="true" outlineLevel="0" collapsed="false">
      <c r="A1811" s="752"/>
      <c r="C1811" s="925"/>
      <c r="D1811" s="914"/>
      <c r="E1811" s="914"/>
      <c r="F1811" s="915"/>
      <c r="G1811" s="915"/>
      <c r="H1811" s="691"/>
      <c r="I1811" s="691"/>
      <c r="J1811" s="691"/>
      <c r="K1811" s="691"/>
      <c r="L1811" s="691"/>
      <c r="M1811" s="691"/>
      <c r="N1811" s="691"/>
      <c r="O1811" s="691"/>
      <c r="P1811" s="691"/>
      <c r="Q1811" s="691"/>
      <c r="R1811" s="691"/>
      <c r="S1811" s="691"/>
      <c r="T1811" s="691"/>
      <c r="U1811" s="691"/>
    </row>
    <row r="1812" s="917" customFormat="true" ht="15" hidden="false" customHeight="true" outlineLevel="0" collapsed="false">
      <c r="A1812" s="752"/>
      <c r="C1812" s="925"/>
      <c r="D1812" s="914"/>
      <c r="E1812" s="914"/>
      <c r="F1812" s="915"/>
      <c r="G1812" s="915"/>
      <c r="H1812" s="691"/>
      <c r="I1812" s="691"/>
      <c r="J1812" s="691"/>
      <c r="K1812" s="691"/>
      <c r="L1812" s="691"/>
      <c r="M1812" s="691"/>
      <c r="N1812" s="691"/>
      <c r="O1812" s="691"/>
      <c r="P1812" s="691"/>
      <c r="Q1812" s="691"/>
      <c r="R1812" s="691"/>
      <c r="S1812" s="691"/>
      <c r="T1812" s="691"/>
      <c r="U1812" s="691"/>
    </row>
    <row r="1813" s="917" customFormat="true" ht="15" hidden="false" customHeight="true" outlineLevel="0" collapsed="false">
      <c r="A1813" s="752"/>
      <c r="C1813" s="925"/>
      <c r="D1813" s="914"/>
      <c r="E1813" s="914"/>
      <c r="F1813" s="915"/>
      <c r="G1813" s="915"/>
      <c r="H1813" s="691"/>
      <c r="I1813" s="691"/>
      <c r="J1813" s="691"/>
      <c r="K1813" s="691"/>
      <c r="L1813" s="691"/>
      <c r="M1813" s="691"/>
      <c r="N1813" s="691"/>
      <c r="O1813" s="691"/>
      <c r="P1813" s="691"/>
      <c r="Q1813" s="691"/>
      <c r="R1813" s="691"/>
      <c r="S1813" s="691"/>
      <c r="T1813" s="691"/>
      <c r="U1813" s="691"/>
    </row>
    <row r="1814" s="917" customFormat="true" ht="15" hidden="false" customHeight="true" outlineLevel="0" collapsed="false">
      <c r="A1814" s="752"/>
      <c r="C1814" s="925"/>
      <c r="D1814" s="914"/>
      <c r="E1814" s="914"/>
      <c r="F1814" s="915"/>
      <c r="G1814" s="915"/>
      <c r="H1814" s="691"/>
      <c r="I1814" s="691"/>
      <c r="J1814" s="691"/>
      <c r="K1814" s="691"/>
      <c r="L1814" s="691"/>
      <c r="M1814" s="691"/>
      <c r="N1814" s="691"/>
      <c r="O1814" s="691"/>
      <c r="P1814" s="691"/>
      <c r="Q1814" s="691"/>
      <c r="R1814" s="691"/>
      <c r="S1814" s="691"/>
      <c r="T1814" s="691"/>
      <c r="U1814" s="691"/>
    </row>
    <row r="1815" s="917" customFormat="true" ht="15" hidden="false" customHeight="true" outlineLevel="0" collapsed="false">
      <c r="A1815" s="752"/>
      <c r="C1815" s="925"/>
      <c r="D1815" s="914"/>
      <c r="E1815" s="914"/>
      <c r="F1815" s="915"/>
      <c r="G1815" s="915"/>
      <c r="H1815" s="691"/>
      <c r="I1815" s="691"/>
      <c r="J1815" s="691"/>
      <c r="K1815" s="691"/>
      <c r="L1815" s="691"/>
      <c r="M1815" s="691"/>
      <c r="N1815" s="691"/>
      <c r="O1815" s="691"/>
      <c r="P1815" s="691"/>
      <c r="Q1815" s="691"/>
      <c r="R1815" s="691"/>
      <c r="S1815" s="691"/>
      <c r="T1815" s="691"/>
      <c r="U1815" s="691"/>
    </row>
    <row r="1816" s="917" customFormat="true" ht="15" hidden="false" customHeight="true" outlineLevel="0" collapsed="false">
      <c r="A1816" s="752"/>
      <c r="C1816" s="925"/>
      <c r="D1816" s="914"/>
      <c r="E1816" s="914"/>
      <c r="F1816" s="915"/>
      <c r="G1816" s="915"/>
      <c r="H1816" s="691"/>
      <c r="I1816" s="691"/>
      <c r="J1816" s="691"/>
      <c r="K1816" s="691"/>
      <c r="L1816" s="691"/>
      <c r="M1816" s="691"/>
      <c r="N1816" s="691"/>
      <c r="O1816" s="691"/>
      <c r="P1816" s="691"/>
      <c r="Q1816" s="691"/>
      <c r="R1816" s="691"/>
      <c r="S1816" s="691"/>
      <c r="T1816" s="691"/>
      <c r="U1816" s="691"/>
    </row>
    <row r="1817" s="917" customFormat="true" ht="15" hidden="false" customHeight="true" outlineLevel="0" collapsed="false">
      <c r="A1817" s="752"/>
      <c r="C1817" s="925"/>
      <c r="D1817" s="914"/>
      <c r="E1817" s="914"/>
      <c r="F1817" s="915"/>
      <c r="G1817" s="915"/>
      <c r="H1817" s="691"/>
      <c r="I1817" s="691"/>
      <c r="J1817" s="691"/>
      <c r="K1817" s="691"/>
      <c r="L1817" s="691"/>
      <c r="M1817" s="691"/>
      <c r="N1817" s="691"/>
      <c r="O1817" s="691"/>
      <c r="P1817" s="691"/>
      <c r="Q1817" s="691"/>
      <c r="R1817" s="691"/>
      <c r="S1817" s="691"/>
      <c r="T1817" s="691"/>
      <c r="U1817" s="691"/>
    </row>
    <row r="1818" s="917" customFormat="true" ht="15" hidden="false" customHeight="true" outlineLevel="0" collapsed="false">
      <c r="A1818" s="752"/>
      <c r="C1818" s="925"/>
      <c r="D1818" s="914"/>
      <c r="E1818" s="914"/>
      <c r="F1818" s="915"/>
      <c r="G1818" s="915"/>
      <c r="H1818" s="691"/>
      <c r="I1818" s="691"/>
      <c r="J1818" s="691"/>
      <c r="K1818" s="691"/>
      <c r="L1818" s="691"/>
      <c r="M1818" s="691"/>
      <c r="N1818" s="691"/>
      <c r="O1818" s="691"/>
      <c r="P1818" s="691"/>
      <c r="Q1818" s="691"/>
      <c r="R1818" s="691"/>
      <c r="S1818" s="691"/>
      <c r="T1818" s="691"/>
      <c r="U1818" s="691"/>
    </row>
    <row r="1819" s="917" customFormat="true" ht="15" hidden="false" customHeight="true" outlineLevel="0" collapsed="false">
      <c r="A1819" s="752"/>
      <c r="C1819" s="925"/>
      <c r="D1819" s="914"/>
      <c r="E1819" s="914"/>
      <c r="F1819" s="915"/>
      <c r="G1819" s="915"/>
      <c r="H1819" s="691"/>
      <c r="I1819" s="691"/>
      <c r="J1819" s="691"/>
      <c r="K1819" s="691"/>
      <c r="L1819" s="691"/>
      <c r="M1819" s="691"/>
      <c r="N1819" s="691"/>
      <c r="O1819" s="691"/>
      <c r="P1819" s="691"/>
      <c r="Q1819" s="691"/>
      <c r="R1819" s="691"/>
      <c r="S1819" s="691"/>
      <c r="T1819" s="691"/>
      <c r="U1819" s="691"/>
    </row>
    <row r="1820" s="917" customFormat="true" ht="15" hidden="false" customHeight="true" outlineLevel="0" collapsed="false">
      <c r="A1820" s="752"/>
      <c r="C1820" s="925"/>
      <c r="D1820" s="914"/>
      <c r="E1820" s="914"/>
      <c r="F1820" s="915"/>
      <c r="G1820" s="915"/>
      <c r="H1820" s="691"/>
      <c r="I1820" s="691"/>
      <c r="J1820" s="691"/>
      <c r="K1820" s="691"/>
      <c r="L1820" s="691"/>
      <c r="M1820" s="691"/>
      <c r="N1820" s="691"/>
      <c r="O1820" s="691"/>
      <c r="P1820" s="691"/>
      <c r="Q1820" s="691"/>
      <c r="R1820" s="691"/>
      <c r="S1820" s="691"/>
      <c r="T1820" s="691"/>
      <c r="U1820" s="691"/>
    </row>
    <row r="1821" s="917" customFormat="true" ht="15" hidden="false" customHeight="true" outlineLevel="0" collapsed="false">
      <c r="A1821" s="752"/>
      <c r="C1821" s="925"/>
      <c r="D1821" s="914"/>
      <c r="E1821" s="914"/>
      <c r="F1821" s="915"/>
      <c r="G1821" s="915"/>
      <c r="H1821" s="691"/>
      <c r="I1821" s="691"/>
      <c r="J1821" s="691"/>
      <c r="K1821" s="691"/>
      <c r="L1821" s="691"/>
      <c r="M1821" s="691"/>
      <c r="N1821" s="691"/>
      <c r="O1821" s="691"/>
      <c r="P1821" s="691"/>
      <c r="Q1821" s="691"/>
      <c r="R1821" s="691"/>
      <c r="S1821" s="691"/>
      <c r="T1821" s="691"/>
      <c r="U1821" s="691"/>
    </row>
    <row r="1822" s="917" customFormat="true" ht="15" hidden="false" customHeight="true" outlineLevel="0" collapsed="false">
      <c r="A1822" s="752"/>
      <c r="C1822" s="925"/>
      <c r="D1822" s="914"/>
      <c r="E1822" s="914"/>
      <c r="F1822" s="915"/>
      <c r="G1822" s="915"/>
      <c r="H1822" s="691"/>
      <c r="I1822" s="691"/>
      <c r="J1822" s="691"/>
      <c r="K1822" s="691"/>
      <c r="L1822" s="691"/>
      <c r="M1822" s="691"/>
      <c r="N1822" s="691"/>
      <c r="O1822" s="691"/>
      <c r="P1822" s="691"/>
      <c r="Q1822" s="691"/>
      <c r="R1822" s="691"/>
      <c r="S1822" s="691"/>
      <c r="T1822" s="691"/>
      <c r="U1822" s="691"/>
    </row>
    <row r="1823" s="917" customFormat="true" ht="15" hidden="false" customHeight="true" outlineLevel="0" collapsed="false">
      <c r="A1823" s="752"/>
      <c r="C1823" s="925"/>
      <c r="D1823" s="914"/>
      <c r="E1823" s="914"/>
      <c r="F1823" s="915"/>
      <c r="G1823" s="915"/>
      <c r="H1823" s="691"/>
      <c r="I1823" s="691"/>
      <c r="J1823" s="691"/>
      <c r="K1823" s="691"/>
      <c r="L1823" s="691"/>
      <c r="M1823" s="691"/>
      <c r="N1823" s="691"/>
      <c r="O1823" s="691"/>
      <c r="P1823" s="691"/>
      <c r="Q1823" s="691"/>
      <c r="R1823" s="691"/>
      <c r="S1823" s="691"/>
      <c r="T1823" s="691"/>
      <c r="U1823" s="691"/>
    </row>
    <row r="1824" s="917" customFormat="true" ht="15" hidden="false" customHeight="true" outlineLevel="0" collapsed="false">
      <c r="A1824" s="752"/>
      <c r="C1824" s="925"/>
      <c r="D1824" s="914"/>
      <c r="E1824" s="914"/>
      <c r="F1824" s="915"/>
      <c r="G1824" s="915"/>
      <c r="H1824" s="691"/>
      <c r="I1824" s="691"/>
      <c r="J1824" s="691"/>
      <c r="K1824" s="691"/>
      <c r="L1824" s="691"/>
      <c r="M1824" s="691"/>
      <c r="N1824" s="691"/>
      <c r="O1824" s="691"/>
      <c r="P1824" s="691"/>
      <c r="Q1824" s="691"/>
      <c r="R1824" s="691"/>
      <c r="S1824" s="691"/>
      <c r="T1824" s="691"/>
      <c r="U1824" s="691"/>
    </row>
    <row r="1825" s="917" customFormat="true" ht="15" hidden="false" customHeight="true" outlineLevel="0" collapsed="false">
      <c r="A1825" s="752"/>
      <c r="C1825" s="925"/>
      <c r="D1825" s="914"/>
      <c r="E1825" s="914"/>
      <c r="F1825" s="915"/>
      <c r="G1825" s="915"/>
      <c r="H1825" s="691"/>
      <c r="I1825" s="691"/>
      <c r="J1825" s="691"/>
      <c r="K1825" s="691"/>
      <c r="L1825" s="691"/>
      <c r="M1825" s="691"/>
      <c r="N1825" s="691"/>
      <c r="O1825" s="691"/>
      <c r="P1825" s="691"/>
      <c r="Q1825" s="691"/>
      <c r="R1825" s="691"/>
      <c r="S1825" s="691"/>
      <c r="T1825" s="691"/>
      <c r="U1825" s="691"/>
    </row>
    <row r="1826" s="917" customFormat="true" ht="15" hidden="false" customHeight="true" outlineLevel="0" collapsed="false">
      <c r="A1826" s="752"/>
      <c r="C1826" s="925"/>
      <c r="D1826" s="914"/>
      <c r="E1826" s="914"/>
      <c r="F1826" s="915"/>
      <c r="G1826" s="915"/>
      <c r="H1826" s="691"/>
      <c r="I1826" s="691"/>
      <c r="J1826" s="691"/>
      <c r="K1826" s="691"/>
      <c r="L1826" s="691"/>
      <c r="M1826" s="691"/>
      <c r="N1826" s="691"/>
      <c r="O1826" s="691"/>
      <c r="P1826" s="691"/>
      <c r="Q1826" s="691"/>
      <c r="R1826" s="691"/>
      <c r="S1826" s="691"/>
      <c r="T1826" s="691"/>
      <c r="U1826" s="691"/>
    </row>
    <row r="1827" s="917" customFormat="true" ht="15" hidden="false" customHeight="true" outlineLevel="0" collapsed="false">
      <c r="A1827" s="752"/>
      <c r="C1827" s="925"/>
      <c r="D1827" s="914"/>
      <c r="E1827" s="914"/>
      <c r="F1827" s="915"/>
      <c r="G1827" s="915"/>
      <c r="H1827" s="691"/>
      <c r="I1827" s="691"/>
      <c r="J1827" s="691"/>
      <c r="K1827" s="691"/>
      <c r="L1827" s="691"/>
      <c r="M1827" s="691"/>
      <c r="N1827" s="691"/>
      <c r="O1827" s="691"/>
      <c r="P1827" s="691"/>
      <c r="Q1827" s="691"/>
      <c r="R1827" s="691"/>
      <c r="S1827" s="691"/>
      <c r="T1827" s="691"/>
      <c r="U1827" s="691"/>
    </row>
    <row r="1828" s="917" customFormat="true" ht="15" hidden="false" customHeight="true" outlineLevel="0" collapsed="false">
      <c r="A1828" s="752"/>
      <c r="C1828" s="925"/>
      <c r="D1828" s="914"/>
      <c r="E1828" s="914"/>
      <c r="F1828" s="915"/>
      <c r="G1828" s="915"/>
      <c r="H1828" s="691"/>
      <c r="I1828" s="691"/>
      <c r="J1828" s="691"/>
      <c r="K1828" s="691"/>
      <c r="L1828" s="691"/>
      <c r="M1828" s="691"/>
      <c r="N1828" s="691"/>
      <c r="O1828" s="691"/>
      <c r="P1828" s="691"/>
      <c r="Q1828" s="691"/>
      <c r="R1828" s="691"/>
      <c r="S1828" s="691"/>
      <c r="T1828" s="691"/>
      <c r="U1828" s="691"/>
    </row>
    <row r="1829" s="917" customFormat="true" ht="15" hidden="false" customHeight="true" outlineLevel="0" collapsed="false">
      <c r="A1829" s="752"/>
      <c r="C1829" s="925"/>
      <c r="D1829" s="914"/>
      <c r="E1829" s="914"/>
      <c r="F1829" s="915"/>
      <c r="G1829" s="915"/>
      <c r="H1829" s="691"/>
      <c r="I1829" s="691"/>
      <c r="J1829" s="691"/>
      <c r="K1829" s="691"/>
      <c r="L1829" s="691"/>
      <c r="M1829" s="691"/>
      <c r="N1829" s="691"/>
      <c r="O1829" s="691"/>
      <c r="P1829" s="691"/>
      <c r="Q1829" s="691"/>
      <c r="R1829" s="691"/>
      <c r="S1829" s="691"/>
      <c r="T1829" s="691"/>
      <c r="U1829" s="691"/>
    </row>
    <row r="1830" s="917" customFormat="true" ht="15" hidden="false" customHeight="true" outlineLevel="0" collapsed="false">
      <c r="A1830" s="752"/>
      <c r="C1830" s="925"/>
      <c r="D1830" s="914"/>
      <c r="E1830" s="914"/>
      <c r="F1830" s="915"/>
      <c r="G1830" s="915"/>
      <c r="H1830" s="691"/>
      <c r="I1830" s="691"/>
      <c r="J1830" s="691"/>
      <c r="K1830" s="691"/>
      <c r="L1830" s="691"/>
      <c r="M1830" s="691"/>
      <c r="N1830" s="691"/>
      <c r="O1830" s="691"/>
      <c r="P1830" s="691"/>
      <c r="Q1830" s="691"/>
      <c r="R1830" s="691"/>
      <c r="S1830" s="691"/>
      <c r="T1830" s="691"/>
      <c r="U1830" s="691"/>
    </row>
    <row r="1831" s="917" customFormat="true" ht="15" hidden="false" customHeight="true" outlineLevel="0" collapsed="false">
      <c r="A1831" s="752"/>
      <c r="C1831" s="925"/>
      <c r="D1831" s="914"/>
      <c r="E1831" s="914"/>
      <c r="F1831" s="915"/>
      <c r="G1831" s="915"/>
      <c r="H1831" s="691"/>
      <c r="I1831" s="691"/>
      <c r="J1831" s="691"/>
      <c r="K1831" s="691"/>
      <c r="L1831" s="691"/>
      <c r="M1831" s="691"/>
      <c r="N1831" s="691"/>
      <c r="O1831" s="691"/>
      <c r="P1831" s="691"/>
      <c r="Q1831" s="691"/>
      <c r="R1831" s="691"/>
      <c r="S1831" s="691"/>
      <c r="T1831" s="691"/>
      <c r="U1831" s="691"/>
    </row>
    <row r="1832" s="917" customFormat="true" ht="15" hidden="false" customHeight="true" outlineLevel="0" collapsed="false">
      <c r="A1832" s="752"/>
      <c r="C1832" s="925"/>
      <c r="D1832" s="914"/>
      <c r="E1832" s="914"/>
      <c r="F1832" s="915"/>
      <c r="G1832" s="915"/>
      <c r="H1832" s="691"/>
      <c r="I1832" s="691"/>
      <c r="J1832" s="691"/>
      <c r="K1832" s="691"/>
      <c r="L1832" s="691"/>
      <c r="M1832" s="691"/>
      <c r="N1832" s="691"/>
      <c r="O1832" s="691"/>
      <c r="P1832" s="691"/>
      <c r="Q1832" s="691"/>
      <c r="R1832" s="691"/>
      <c r="S1832" s="691"/>
      <c r="T1832" s="691"/>
      <c r="U1832" s="691"/>
    </row>
    <row r="1833" s="917" customFormat="true" ht="15" hidden="false" customHeight="true" outlineLevel="0" collapsed="false">
      <c r="A1833" s="752"/>
      <c r="C1833" s="925"/>
      <c r="D1833" s="914"/>
      <c r="E1833" s="914"/>
      <c r="F1833" s="915"/>
      <c r="G1833" s="915"/>
      <c r="H1833" s="691"/>
      <c r="I1833" s="691"/>
      <c r="J1833" s="691"/>
      <c r="K1833" s="691"/>
      <c r="L1833" s="691"/>
      <c r="M1833" s="691"/>
      <c r="N1833" s="691"/>
      <c r="O1833" s="691"/>
      <c r="P1833" s="691"/>
      <c r="Q1833" s="691"/>
      <c r="R1833" s="691"/>
      <c r="S1833" s="691"/>
      <c r="T1833" s="691"/>
      <c r="U1833" s="691"/>
    </row>
    <row r="1834" s="917" customFormat="true" ht="15" hidden="false" customHeight="true" outlineLevel="0" collapsed="false">
      <c r="A1834" s="752"/>
      <c r="C1834" s="925"/>
      <c r="D1834" s="914"/>
      <c r="E1834" s="914"/>
      <c r="F1834" s="915"/>
      <c r="G1834" s="915"/>
      <c r="H1834" s="691"/>
      <c r="I1834" s="691"/>
      <c r="J1834" s="691"/>
      <c r="K1834" s="691"/>
      <c r="L1834" s="691"/>
      <c r="M1834" s="691"/>
      <c r="N1834" s="691"/>
      <c r="O1834" s="691"/>
      <c r="P1834" s="691"/>
      <c r="Q1834" s="691"/>
      <c r="R1834" s="691"/>
      <c r="S1834" s="691"/>
      <c r="T1834" s="691"/>
      <c r="U1834" s="691"/>
    </row>
    <row r="1835" s="917" customFormat="true" ht="15" hidden="false" customHeight="true" outlineLevel="0" collapsed="false">
      <c r="A1835" s="752"/>
      <c r="C1835" s="925"/>
      <c r="D1835" s="914"/>
      <c r="E1835" s="914"/>
      <c r="F1835" s="915"/>
      <c r="G1835" s="915"/>
      <c r="H1835" s="691"/>
      <c r="I1835" s="691"/>
      <c r="J1835" s="691"/>
      <c r="K1835" s="691"/>
      <c r="L1835" s="691"/>
      <c r="M1835" s="691"/>
      <c r="N1835" s="691"/>
      <c r="O1835" s="691"/>
      <c r="P1835" s="691"/>
      <c r="Q1835" s="691"/>
      <c r="R1835" s="691"/>
      <c r="S1835" s="691"/>
      <c r="T1835" s="691"/>
      <c r="U1835" s="691"/>
    </row>
    <row r="1836" s="917" customFormat="true" ht="15" hidden="false" customHeight="true" outlineLevel="0" collapsed="false">
      <c r="A1836" s="752"/>
      <c r="C1836" s="925"/>
      <c r="D1836" s="914"/>
      <c r="E1836" s="914"/>
      <c r="F1836" s="915"/>
      <c r="G1836" s="915"/>
      <c r="H1836" s="691"/>
      <c r="I1836" s="691"/>
      <c r="J1836" s="691"/>
      <c r="K1836" s="691"/>
      <c r="L1836" s="691"/>
      <c r="M1836" s="691"/>
      <c r="N1836" s="691"/>
      <c r="O1836" s="691"/>
      <c r="P1836" s="691"/>
      <c r="Q1836" s="691"/>
      <c r="R1836" s="691"/>
      <c r="S1836" s="691"/>
      <c r="T1836" s="691"/>
      <c r="U1836" s="691"/>
    </row>
    <row r="1837" s="917" customFormat="true" ht="15" hidden="false" customHeight="true" outlineLevel="0" collapsed="false">
      <c r="A1837" s="752"/>
      <c r="C1837" s="925"/>
      <c r="D1837" s="914"/>
      <c r="E1837" s="914"/>
      <c r="F1837" s="915"/>
      <c r="G1837" s="915"/>
      <c r="H1837" s="691"/>
      <c r="I1837" s="691"/>
      <c r="J1837" s="691"/>
      <c r="K1837" s="691"/>
      <c r="L1837" s="691"/>
      <c r="M1837" s="691"/>
      <c r="N1837" s="691"/>
      <c r="O1837" s="691"/>
      <c r="P1837" s="691"/>
      <c r="Q1837" s="691"/>
      <c r="R1837" s="691"/>
      <c r="S1837" s="691"/>
      <c r="T1837" s="691"/>
      <c r="U1837" s="691"/>
    </row>
    <row r="1838" s="917" customFormat="true" ht="15" hidden="false" customHeight="true" outlineLevel="0" collapsed="false">
      <c r="A1838" s="752"/>
      <c r="C1838" s="925"/>
      <c r="D1838" s="914"/>
      <c r="E1838" s="914"/>
      <c r="F1838" s="915"/>
      <c r="G1838" s="915"/>
      <c r="H1838" s="691"/>
      <c r="I1838" s="691"/>
      <c r="J1838" s="691"/>
      <c r="K1838" s="691"/>
      <c r="L1838" s="691"/>
      <c r="M1838" s="691"/>
      <c r="N1838" s="691"/>
      <c r="O1838" s="691"/>
      <c r="P1838" s="691"/>
      <c r="Q1838" s="691"/>
      <c r="R1838" s="691"/>
      <c r="S1838" s="691"/>
      <c r="T1838" s="691"/>
      <c r="U1838" s="691"/>
    </row>
    <row r="1839" s="917" customFormat="true" ht="15" hidden="false" customHeight="true" outlineLevel="0" collapsed="false">
      <c r="A1839" s="752"/>
      <c r="C1839" s="925"/>
      <c r="D1839" s="914"/>
      <c r="E1839" s="914"/>
      <c r="F1839" s="915"/>
      <c r="G1839" s="915"/>
      <c r="H1839" s="691"/>
      <c r="I1839" s="691"/>
      <c r="J1839" s="691"/>
      <c r="K1839" s="691"/>
      <c r="L1839" s="691"/>
      <c r="M1839" s="691"/>
      <c r="N1839" s="691"/>
      <c r="O1839" s="691"/>
      <c r="P1839" s="691"/>
      <c r="Q1839" s="691"/>
      <c r="R1839" s="691"/>
      <c r="S1839" s="691"/>
      <c r="T1839" s="691"/>
      <c r="U1839" s="691"/>
    </row>
    <row r="1840" s="917" customFormat="true" ht="15" hidden="false" customHeight="true" outlineLevel="0" collapsed="false">
      <c r="A1840" s="752"/>
      <c r="C1840" s="925"/>
      <c r="D1840" s="914"/>
      <c r="E1840" s="914"/>
      <c r="F1840" s="915"/>
      <c r="G1840" s="915"/>
      <c r="H1840" s="691"/>
      <c r="I1840" s="691"/>
      <c r="J1840" s="691"/>
      <c r="K1840" s="691"/>
      <c r="L1840" s="691"/>
      <c r="M1840" s="691"/>
      <c r="N1840" s="691"/>
      <c r="O1840" s="691"/>
      <c r="P1840" s="691"/>
      <c r="Q1840" s="691"/>
      <c r="R1840" s="691"/>
      <c r="S1840" s="691"/>
      <c r="T1840" s="691"/>
      <c r="U1840" s="691"/>
    </row>
    <row r="1841" s="917" customFormat="true" ht="15" hidden="false" customHeight="true" outlineLevel="0" collapsed="false">
      <c r="A1841" s="752"/>
      <c r="C1841" s="925"/>
      <c r="D1841" s="914"/>
      <c r="E1841" s="914"/>
      <c r="F1841" s="915"/>
      <c r="G1841" s="915"/>
      <c r="H1841" s="691"/>
      <c r="I1841" s="691"/>
      <c r="J1841" s="691"/>
      <c r="K1841" s="691"/>
      <c r="L1841" s="691"/>
      <c r="M1841" s="691"/>
      <c r="N1841" s="691"/>
      <c r="O1841" s="691"/>
      <c r="P1841" s="691"/>
      <c r="Q1841" s="691"/>
      <c r="R1841" s="691"/>
      <c r="S1841" s="691"/>
      <c r="T1841" s="691"/>
      <c r="U1841" s="691"/>
    </row>
    <row r="1842" s="917" customFormat="true" ht="15" hidden="false" customHeight="true" outlineLevel="0" collapsed="false">
      <c r="A1842" s="752"/>
      <c r="C1842" s="925"/>
      <c r="D1842" s="914"/>
      <c r="E1842" s="914"/>
      <c r="F1842" s="915"/>
      <c r="G1842" s="915"/>
      <c r="H1842" s="691"/>
      <c r="I1842" s="691"/>
      <c r="J1842" s="691"/>
      <c r="K1842" s="691"/>
      <c r="L1842" s="691"/>
      <c r="M1842" s="691"/>
      <c r="N1842" s="691"/>
      <c r="O1842" s="691"/>
      <c r="P1842" s="691"/>
      <c r="Q1842" s="691"/>
      <c r="R1842" s="691"/>
      <c r="S1842" s="691"/>
      <c r="T1842" s="691"/>
      <c r="U1842" s="691"/>
    </row>
    <row r="1843" s="917" customFormat="true" ht="15" hidden="false" customHeight="true" outlineLevel="0" collapsed="false">
      <c r="A1843" s="752"/>
      <c r="C1843" s="925"/>
      <c r="D1843" s="914"/>
      <c r="E1843" s="914"/>
      <c r="F1843" s="915"/>
      <c r="G1843" s="915"/>
      <c r="H1843" s="691"/>
      <c r="I1843" s="691"/>
      <c r="J1843" s="691"/>
      <c r="K1843" s="691"/>
      <c r="L1843" s="691"/>
      <c r="M1843" s="691"/>
      <c r="N1843" s="691"/>
      <c r="O1843" s="691"/>
      <c r="P1843" s="691"/>
      <c r="Q1843" s="691"/>
      <c r="R1843" s="691"/>
      <c r="S1843" s="691"/>
      <c r="T1843" s="691"/>
      <c r="U1843" s="691"/>
    </row>
    <row r="1844" s="917" customFormat="true" ht="15" hidden="false" customHeight="true" outlineLevel="0" collapsed="false">
      <c r="A1844" s="752"/>
      <c r="C1844" s="925"/>
      <c r="D1844" s="914"/>
      <c r="E1844" s="914"/>
      <c r="F1844" s="915"/>
      <c r="G1844" s="915"/>
      <c r="H1844" s="691"/>
      <c r="I1844" s="691"/>
      <c r="J1844" s="691"/>
      <c r="K1844" s="691"/>
      <c r="L1844" s="691"/>
      <c r="M1844" s="691"/>
      <c r="N1844" s="691"/>
      <c r="O1844" s="691"/>
      <c r="P1844" s="691"/>
      <c r="Q1844" s="691"/>
      <c r="R1844" s="691"/>
      <c r="S1844" s="691"/>
      <c r="T1844" s="691"/>
      <c r="U1844" s="691"/>
    </row>
    <row r="1845" s="917" customFormat="true" ht="15" hidden="false" customHeight="true" outlineLevel="0" collapsed="false">
      <c r="A1845" s="752"/>
      <c r="C1845" s="925"/>
      <c r="D1845" s="914"/>
      <c r="E1845" s="914"/>
      <c r="F1845" s="915"/>
      <c r="G1845" s="915"/>
      <c r="H1845" s="691"/>
      <c r="I1845" s="691"/>
      <c r="J1845" s="691"/>
      <c r="K1845" s="691"/>
      <c r="L1845" s="691"/>
      <c r="M1845" s="691"/>
      <c r="N1845" s="691"/>
      <c r="O1845" s="691"/>
      <c r="P1845" s="691"/>
      <c r="Q1845" s="691"/>
      <c r="R1845" s="691"/>
      <c r="S1845" s="691"/>
      <c r="T1845" s="691"/>
      <c r="U1845" s="691"/>
    </row>
    <row r="1846" s="917" customFormat="true" ht="15" hidden="false" customHeight="true" outlineLevel="0" collapsed="false">
      <c r="A1846" s="752"/>
      <c r="C1846" s="925"/>
      <c r="D1846" s="914"/>
      <c r="E1846" s="914"/>
      <c r="F1846" s="915"/>
      <c r="G1846" s="915"/>
      <c r="H1846" s="691"/>
      <c r="I1846" s="691"/>
      <c r="J1846" s="691"/>
      <c r="K1846" s="691"/>
      <c r="L1846" s="691"/>
      <c r="M1846" s="691"/>
      <c r="N1846" s="691"/>
      <c r="O1846" s="691"/>
      <c r="P1846" s="691"/>
      <c r="Q1846" s="691"/>
      <c r="R1846" s="691"/>
      <c r="S1846" s="691"/>
      <c r="T1846" s="691"/>
      <c r="U1846" s="691"/>
    </row>
    <row r="1847" s="917" customFormat="true" ht="15" hidden="false" customHeight="true" outlineLevel="0" collapsed="false">
      <c r="A1847" s="752"/>
      <c r="C1847" s="925"/>
      <c r="D1847" s="914"/>
      <c r="E1847" s="914"/>
      <c r="F1847" s="915"/>
      <c r="G1847" s="915"/>
      <c r="H1847" s="691"/>
      <c r="I1847" s="691"/>
      <c r="J1847" s="691"/>
      <c r="K1847" s="691"/>
      <c r="L1847" s="691"/>
      <c r="M1847" s="691"/>
      <c r="N1847" s="691"/>
      <c r="O1847" s="691"/>
      <c r="P1847" s="691"/>
      <c r="Q1847" s="691"/>
      <c r="R1847" s="691"/>
      <c r="S1847" s="691"/>
      <c r="T1847" s="691"/>
      <c r="U1847" s="691"/>
    </row>
    <row r="1848" s="917" customFormat="true" ht="15" hidden="false" customHeight="true" outlineLevel="0" collapsed="false">
      <c r="A1848" s="752"/>
      <c r="C1848" s="925"/>
      <c r="D1848" s="914"/>
      <c r="E1848" s="914"/>
      <c r="F1848" s="915"/>
      <c r="G1848" s="915"/>
      <c r="H1848" s="691"/>
      <c r="I1848" s="691"/>
      <c r="J1848" s="691"/>
      <c r="K1848" s="691"/>
      <c r="L1848" s="691"/>
      <c r="M1848" s="691"/>
      <c r="N1848" s="691"/>
      <c r="O1848" s="691"/>
      <c r="P1848" s="691"/>
      <c r="Q1848" s="691"/>
      <c r="R1848" s="691"/>
      <c r="S1848" s="691"/>
      <c r="T1848" s="691"/>
      <c r="U1848" s="691"/>
    </row>
    <row r="1849" s="917" customFormat="true" ht="15" hidden="false" customHeight="true" outlineLevel="0" collapsed="false">
      <c r="A1849" s="752"/>
      <c r="C1849" s="925"/>
      <c r="D1849" s="914"/>
      <c r="E1849" s="914"/>
      <c r="F1849" s="915"/>
      <c r="G1849" s="915"/>
      <c r="H1849" s="691"/>
      <c r="I1849" s="691"/>
      <c r="J1849" s="691"/>
      <c r="K1849" s="691"/>
      <c r="L1849" s="691"/>
      <c r="M1849" s="691"/>
      <c r="N1849" s="691"/>
      <c r="O1849" s="691"/>
      <c r="P1849" s="691"/>
      <c r="Q1849" s="691"/>
      <c r="R1849" s="691"/>
      <c r="S1849" s="691"/>
      <c r="T1849" s="691"/>
      <c r="U1849" s="691"/>
    </row>
    <row r="1850" s="917" customFormat="true" ht="15" hidden="false" customHeight="true" outlineLevel="0" collapsed="false">
      <c r="A1850" s="752"/>
      <c r="C1850" s="925"/>
      <c r="D1850" s="914"/>
      <c r="E1850" s="914"/>
      <c r="F1850" s="915"/>
      <c r="G1850" s="915"/>
      <c r="H1850" s="691"/>
      <c r="I1850" s="691"/>
      <c r="J1850" s="691"/>
      <c r="K1850" s="691"/>
      <c r="L1850" s="691"/>
      <c r="M1850" s="691"/>
      <c r="N1850" s="691"/>
      <c r="O1850" s="691"/>
      <c r="P1850" s="691"/>
      <c r="Q1850" s="691"/>
      <c r="R1850" s="691"/>
      <c r="S1850" s="691"/>
      <c r="T1850" s="691"/>
      <c r="U1850" s="691"/>
    </row>
    <row r="1851" s="917" customFormat="true" ht="15" hidden="false" customHeight="true" outlineLevel="0" collapsed="false">
      <c r="A1851" s="752"/>
      <c r="C1851" s="925"/>
      <c r="D1851" s="914"/>
      <c r="E1851" s="914"/>
      <c r="F1851" s="915"/>
      <c r="G1851" s="915"/>
      <c r="H1851" s="691"/>
      <c r="I1851" s="691"/>
      <c r="J1851" s="691"/>
      <c r="K1851" s="691"/>
      <c r="L1851" s="691"/>
      <c r="M1851" s="691"/>
      <c r="N1851" s="691"/>
      <c r="O1851" s="691"/>
      <c r="P1851" s="691"/>
      <c r="Q1851" s="691"/>
      <c r="R1851" s="691"/>
      <c r="S1851" s="691"/>
      <c r="T1851" s="691"/>
      <c r="U1851" s="691"/>
    </row>
    <row r="1852" s="917" customFormat="true" ht="15" hidden="false" customHeight="true" outlineLevel="0" collapsed="false">
      <c r="A1852" s="752"/>
      <c r="C1852" s="925"/>
      <c r="D1852" s="914"/>
      <c r="E1852" s="914"/>
      <c r="F1852" s="915"/>
      <c r="G1852" s="915"/>
      <c r="H1852" s="691"/>
      <c r="I1852" s="691"/>
      <c r="J1852" s="691"/>
      <c r="K1852" s="691"/>
      <c r="L1852" s="691"/>
      <c r="M1852" s="691"/>
      <c r="N1852" s="691"/>
      <c r="O1852" s="691"/>
      <c r="P1852" s="691"/>
      <c r="Q1852" s="691"/>
      <c r="R1852" s="691"/>
      <c r="S1852" s="691"/>
      <c r="T1852" s="691"/>
      <c r="U1852" s="691"/>
    </row>
    <row r="1853" s="917" customFormat="true" ht="15" hidden="false" customHeight="true" outlineLevel="0" collapsed="false">
      <c r="A1853" s="752"/>
      <c r="C1853" s="925"/>
      <c r="D1853" s="914"/>
      <c r="E1853" s="914"/>
      <c r="F1853" s="915"/>
      <c r="G1853" s="915"/>
      <c r="H1853" s="691"/>
      <c r="I1853" s="691"/>
      <c r="J1853" s="691"/>
      <c r="K1853" s="691"/>
      <c r="L1853" s="691"/>
      <c r="M1853" s="691"/>
      <c r="N1853" s="691"/>
      <c r="O1853" s="691"/>
      <c r="P1853" s="691"/>
      <c r="Q1853" s="691"/>
      <c r="R1853" s="691"/>
      <c r="S1853" s="691"/>
      <c r="T1853" s="691"/>
      <c r="U1853" s="691"/>
    </row>
    <row r="1854" s="917" customFormat="true" ht="15" hidden="false" customHeight="true" outlineLevel="0" collapsed="false">
      <c r="A1854" s="752"/>
      <c r="C1854" s="925"/>
      <c r="D1854" s="914"/>
      <c r="E1854" s="914"/>
      <c r="F1854" s="915"/>
      <c r="G1854" s="915"/>
      <c r="H1854" s="691"/>
      <c r="I1854" s="691"/>
      <c r="J1854" s="691"/>
      <c r="K1854" s="691"/>
      <c r="L1854" s="691"/>
      <c r="M1854" s="691"/>
      <c r="N1854" s="691"/>
      <c r="O1854" s="691"/>
      <c r="P1854" s="691"/>
      <c r="Q1854" s="691"/>
      <c r="R1854" s="691"/>
      <c r="S1854" s="691"/>
      <c r="T1854" s="691"/>
      <c r="U1854" s="691"/>
    </row>
    <row r="1855" s="917" customFormat="true" ht="15" hidden="false" customHeight="true" outlineLevel="0" collapsed="false">
      <c r="A1855" s="752"/>
      <c r="C1855" s="925"/>
      <c r="D1855" s="914"/>
      <c r="E1855" s="914"/>
      <c r="F1855" s="915"/>
      <c r="G1855" s="915"/>
      <c r="H1855" s="691"/>
      <c r="I1855" s="691"/>
      <c r="J1855" s="691"/>
      <c r="K1855" s="691"/>
      <c r="L1855" s="691"/>
      <c r="M1855" s="691"/>
      <c r="N1855" s="691"/>
      <c r="O1855" s="691"/>
      <c r="P1855" s="691"/>
      <c r="Q1855" s="691"/>
      <c r="R1855" s="691"/>
      <c r="S1855" s="691"/>
      <c r="T1855" s="691"/>
      <c r="U1855" s="691"/>
    </row>
    <row r="1856" s="917" customFormat="true" ht="15" hidden="false" customHeight="true" outlineLevel="0" collapsed="false">
      <c r="A1856" s="752"/>
      <c r="C1856" s="925"/>
      <c r="D1856" s="914"/>
      <c r="E1856" s="914"/>
      <c r="F1856" s="915"/>
      <c r="G1856" s="915"/>
      <c r="H1856" s="691"/>
      <c r="I1856" s="691"/>
      <c r="J1856" s="691"/>
      <c r="K1856" s="691"/>
      <c r="L1856" s="691"/>
      <c r="M1856" s="691"/>
      <c r="N1856" s="691"/>
      <c r="O1856" s="691"/>
      <c r="P1856" s="691"/>
      <c r="Q1856" s="691"/>
      <c r="R1856" s="691"/>
      <c r="S1856" s="691"/>
      <c r="T1856" s="691"/>
      <c r="U1856" s="691"/>
    </row>
    <row r="1857" s="917" customFormat="true" ht="15" hidden="false" customHeight="true" outlineLevel="0" collapsed="false">
      <c r="A1857" s="752"/>
      <c r="C1857" s="925"/>
      <c r="D1857" s="914"/>
      <c r="E1857" s="914"/>
      <c r="F1857" s="915"/>
      <c r="G1857" s="915"/>
      <c r="H1857" s="691"/>
      <c r="I1857" s="691"/>
      <c r="J1857" s="691"/>
      <c r="K1857" s="691"/>
      <c r="L1857" s="691"/>
      <c r="M1857" s="691"/>
      <c r="N1857" s="691"/>
      <c r="O1857" s="691"/>
      <c r="P1857" s="691"/>
      <c r="Q1857" s="691"/>
      <c r="R1857" s="691"/>
      <c r="S1857" s="691"/>
      <c r="T1857" s="691"/>
      <c r="U1857" s="691"/>
    </row>
    <row r="1858" s="917" customFormat="true" ht="15" hidden="false" customHeight="true" outlineLevel="0" collapsed="false">
      <c r="A1858" s="752"/>
      <c r="C1858" s="925"/>
      <c r="D1858" s="914"/>
      <c r="E1858" s="914"/>
      <c r="F1858" s="915"/>
      <c r="G1858" s="915"/>
      <c r="H1858" s="691"/>
      <c r="I1858" s="691"/>
      <c r="J1858" s="691"/>
      <c r="K1858" s="691"/>
      <c r="L1858" s="691"/>
      <c r="M1858" s="691"/>
      <c r="N1858" s="691"/>
      <c r="O1858" s="691"/>
      <c r="P1858" s="691"/>
      <c r="Q1858" s="691"/>
      <c r="R1858" s="691"/>
      <c r="S1858" s="691"/>
      <c r="T1858" s="691"/>
      <c r="U1858" s="691"/>
    </row>
    <row r="1859" s="917" customFormat="true" ht="15" hidden="false" customHeight="true" outlineLevel="0" collapsed="false">
      <c r="A1859" s="752"/>
      <c r="C1859" s="925"/>
      <c r="D1859" s="914"/>
      <c r="E1859" s="914"/>
      <c r="F1859" s="915"/>
      <c r="G1859" s="915"/>
      <c r="H1859" s="691"/>
      <c r="I1859" s="691"/>
      <c r="J1859" s="691"/>
      <c r="K1859" s="691"/>
      <c r="L1859" s="691"/>
      <c r="M1859" s="691"/>
      <c r="N1859" s="691"/>
      <c r="O1859" s="691"/>
      <c r="P1859" s="691"/>
      <c r="Q1859" s="691"/>
      <c r="R1859" s="691"/>
      <c r="S1859" s="691"/>
      <c r="T1859" s="691"/>
      <c r="U1859" s="691"/>
    </row>
    <row r="1860" s="917" customFormat="true" ht="15" hidden="false" customHeight="true" outlineLevel="0" collapsed="false">
      <c r="A1860" s="752"/>
      <c r="C1860" s="925"/>
      <c r="D1860" s="914"/>
      <c r="E1860" s="914"/>
      <c r="F1860" s="915"/>
      <c r="G1860" s="915"/>
      <c r="H1860" s="691"/>
      <c r="I1860" s="691"/>
      <c r="J1860" s="691"/>
      <c r="K1860" s="691"/>
      <c r="L1860" s="691"/>
      <c r="M1860" s="691"/>
      <c r="N1860" s="691"/>
      <c r="O1860" s="691"/>
      <c r="P1860" s="691"/>
      <c r="Q1860" s="691"/>
      <c r="R1860" s="691"/>
      <c r="S1860" s="691"/>
      <c r="T1860" s="691"/>
      <c r="U1860" s="691"/>
    </row>
    <row r="1861" s="917" customFormat="true" ht="15" hidden="false" customHeight="true" outlineLevel="0" collapsed="false">
      <c r="A1861" s="752"/>
      <c r="C1861" s="925"/>
      <c r="D1861" s="914"/>
      <c r="E1861" s="914"/>
      <c r="F1861" s="915"/>
      <c r="G1861" s="915"/>
      <c r="H1861" s="691"/>
      <c r="I1861" s="691"/>
      <c r="J1861" s="691"/>
      <c r="K1861" s="691"/>
      <c r="L1861" s="691"/>
      <c r="M1861" s="691"/>
      <c r="N1861" s="691"/>
      <c r="O1861" s="691"/>
      <c r="P1861" s="691"/>
      <c r="Q1861" s="691"/>
      <c r="R1861" s="691"/>
      <c r="S1861" s="691"/>
      <c r="T1861" s="691"/>
      <c r="U1861" s="691"/>
    </row>
    <row r="1862" s="917" customFormat="true" ht="15" hidden="false" customHeight="true" outlineLevel="0" collapsed="false">
      <c r="A1862" s="752"/>
      <c r="C1862" s="925"/>
      <c r="D1862" s="914"/>
      <c r="E1862" s="914"/>
      <c r="F1862" s="915"/>
      <c r="G1862" s="915"/>
      <c r="H1862" s="691"/>
      <c r="I1862" s="691"/>
      <c r="J1862" s="691"/>
      <c r="K1862" s="691"/>
      <c r="L1862" s="691"/>
      <c r="M1862" s="691"/>
      <c r="N1862" s="691"/>
      <c r="O1862" s="691"/>
      <c r="P1862" s="691"/>
      <c r="Q1862" s="691"/>
      <c r="R1862" s="691"/>
      <c r="S1862" s="691"/>
      <c r="T1862" s="691"/>
      <c r="U1862" s="691"/>
    </row>
    <row r="1863" s="917" customFormat="true" ht="15" hidden="false" customHeight="true" outlineLevel="0" collapsed="false">
      <c r="A1863" s="752"/>
      <c r="C1863" s="925"/>
      <c r="D1863" s="914"/>
      <c r="E1863" s="914"/>
      <c r="F1863" s="915"/>
      <c r="G1863" s="915"/>
      <c r="H1863" s="691"/>
      <c r="I1863" s="691"/>
      <c r="J1863" s="691"/>
      <c r="K1863" s="691"/>
      <c r="L1863" s="691"/>
      <c r="M1863" s="691"/>
      <c r="N1863" s="691"/>
      <c r="O1863" s="691"/>
      <c r="P1863" s="691"/>
      <c r="Q1863" s="691"/>
      <c r="R1863" s="691"/>
      <c r="S1863" s="691"/>
      <c r="T1863" s="691"/>
      <c r="U1863" s="691"/>
    </row>
    <row r="1864" s="917" customFormat="true" ht="15" hidden="false" customHeight="true" outlineLevel="0" collapsed="false">
      <c r="A1864" s="752"/>
      <c r="C1864" s="925"/>
      <c r="D1864" s="914"/>
      <c r="E1864" s="914"/>
      <c r="F1864" s="915"/>
      <c r="G1864" s="915"/>
      <c r="H1864" s="691"/>
      <c r="I1864" s="691"/>
      <c r="J1864" s="691"/>
      <c r="K1864" s="691"/>
      <c r="L1864" s="691"/>
      <c r="M1864" s="691"/>
      <c r="N1864" s="691"/>
      <c r="O1864" s="691"/>
      <c r="P1864" s="691"/>
      <c r="Q1864" s="691"/>
      <c r="R1864" s="691"/>
      <c r="S1864" s="691"/>
      <c r="T1864" s="691"/>
      <c r="U1864" s="691"/>
    </row>
    <row r="1865" s="917" customFormat="true" ht="15" hidden="false" customHeight="true" outlineLevel="0" collapsed="false">
      <c r="A1865" s="752"/>
      <c r="C1865" s="925"/>
      <c r="D1865" s="914"/>
      <c r="E1865" s="914"/>
      <c r="F1865" s="915"/>
      <c r="G1865" s="915"/>
      <c r="H1865" s="691"/>
      <c r="I1865" s="691"/>
      <c r="J1865" s="691"/>
      <c r="K1865" s="691"/>
      <c r="L1865" s="691"/>
      <c r="M1865" s="691"/>
      <c r="N1865" s="691"/>
      <c r="O1865" s="691"/>
      <c r="P1865" s="691"/>
      <c r="Q1865" s="691"/>
      <c r="R1865" s="691"/>
      <c r="S1865" s="691"/>
      <c r="T1865" s="691"/>
      <c r="U1865" s="691"/>
    </row>
    <row r="1866" s="917" customFormat="true" ht="15" hidden="false" customHeight="true" outlineLevel="0" collapsed="false">
      <c r="A1866" s="752"/>
      <c r="C1866" s="925"/>
      <c r="D1866" s="914"/>
      <c r="E1866" s="914"/>
      <c r="F1866" s="915"/>
      <c r="G1866" s="915"/>
      <c r="H1866" s="691"/>
      <c r="I1866" s="691"/>
      <c r="J1866" s="691"/>
      <c r="K1866" s="691"/>
      <c r="L1866" s="691"/>
      <c r="M1866" s="691"/>
      <c r="N1866" s="691"/>
      <c r="O1866" s="691"/>
      <c r="P1866" s="691"/>
      <c r="Q1866" s="691"/>
      <c r="R1866" s="691"/>
      <c r="S1866" s="691"/>
      <c r="T1866" s="691"/>
      <c r="U1866" s="691"/>
    </row>
    <row r="1867" s="917" customFormat="true" ht="15" hidden="false" customHeight="true" outlineLevel="0" collapsed="false">
      <c r="A1867" s="752"/>
      <c r="C1867" s="925"/>
      <c r="D1867" s="914"/>
      <c r="E1867" s="914"/>
      <c r="F1867" s="915"/>
      <c r="G1867" s="915"/>
      <c r="H1867" s="691"/>
      <c r="I1867" s="691"/>
      <c r="J1867" s="691"/>
      <c r="K1867" s="691"/>
      <c r="L1867" s="691"/>
      <c r="M1867" s="691"/>
      <c r="N1867" s="691"/>
      <c r="O1867" s="691"/>
      <c r="P1867" s="691"/>
      <c r="Q1867" s="691"/>
      <c r="R1867" s="691"/>
      <c r="S1867" s="691"/>
      <c r="T1867" s="691"/>
      <c r="U1867" s="691"/>
    </row>
    <row r="1868" s="917" customFormat="true" ht="15" hidden="false" customHeight="true" outlineLevel="0" collapsed="false">
      <c r="A1868" s="752"/>
      <c r="C1868" s="925"/>
      <c r="D1868" s="914"/>
      <c r="E1868" s="914"/>
      <c r="F1868" s="915"/>
      <c r="G1868" s="915"/>
      <c r="H1868" s="691"/>
      <c r="I1868" s="691"/>
      <c r="J1868" s="691"/>
      <c r="K1868" s="691"/>
      <c r="L1868" s="691"/>
      <c r="M1868" s="691"/>
      <c r="N1868" s="691"/>
      <c r="O1868" s="691"/>
      <c r="P1868" s="691"/>
      <c r="Q1868" s="691"/>
      <c r="R1868" s="691"/>
      <c r="S1868" s="691"/>
      <c r="T1868" s="691"/>
      <c r="U1868" s="691"/>
    </row>
    <row r="1869" s="917" customFormat="true" ht="15" hidden="false" customHeight="true" outlineLevel="0" collapsed="false">
      <c r="A1869" s="752"/>
      <c r="C1869" s="925"/>
      <c r="D1869" s="914"/>
      <c r="E1869" s="914"/>
      <c r="F1869" s="915"/>
      <c r="G1869" s="915"/>
      <c r="H1869" s="691"/>
      <c r="I1869" s="691"/>
      <c r="J1869" s="691"/>
      <c r="K1869" s="691"/>
      <c r="L1869" s="691"/>
      <c r="M1869" s="691"/>
      <c r="N1869" s="691"/>
      <c r="O1869" s="691"/>
      <c r="P1869" s="691"/>
      <c r="Q1869" s="691"/>
      <c r="R1869" s="691"/>
      <c r="S1869" s="691"/>
      <c r="T1869" s="691"/>
      <c r="U1869" s="691"/>
    </row>
    <row r="1870" s="917" customFormat="true" ht="15" hidden="false" customHeight="true" outlineLevel="0" collapsed="false">
      <c r="A1870" s="752"/>
      <c r="C1870" s="925"/>
      <c r="D1870" s="914"/>
      <c r="E1870" s="914"/>
      <c r="F1870" s="915"/>
      <c r="G1870" s="915"/>
      <c r="H1870" s="691"/>
      <c r="I1870" s="691"/>
      <c r="J1870" s="691"/>
      <c r="K1870" s="691"/>
      <c r="L1870" s="691"/>
      <c r="M1870" s="691"/>
      <c r="N1870" s="691"/>
      <c r="O1870" s="691"/>
      <c r="P1870" s="691"/>
      <c r="Q1870" s="691"/>
      <c r="R1870" s="691"/>
      <c r="S1870" s="691"/>
      <c r="T1870" s="691"/>
      <c r="U1870" s="691"/>
    </row>
    <row r="1871" s="917" customFormat="true" ht="15" hidden="false" customHeight="true" outlineLevel="0" collapsed="false">
      <c r="A1871" s="752"/>
      <c r="C1871" s="925"/>
      <c r="D1871" s="914"/>
      <c r="E1871" s="914"/>
      <c r="F1871" s="915"/>
      <c r="G1871" s="915"/>
      <c r="H1871" s="691"/>
      <c r="I1871" s="691"/>
      <c r="J1871" s="691"/>
      <c r="K1871" s="691"/>
      <c r="L1871" s="691"/>
      <c r="M1871" s="691"/>
      <c r="N1871" s="691"/>
      <c r="O1871" s="691"/>
      <c r="P1871" s="691"/>
      <c r="Q1871" s="691"/>
      <c r="R1871" s="691"/>
      <c r="S1871" s="691"/>
      <c r="T1871" s="691"/>
      <c r="U1871" s="691"/>
    </row>
    <row r="1872" s="917" customFormat="true" ht="15" hidden="false" customHeight="true" outlineLevel="0" collapsed="false">
      <c r="A1872" s="752"/>
      <c r="C1872" s="925"/>
      <c r="D1872" s="914"/>
      <c r="E1872" s="914"/>
      <c r="F1872" s="915"/>
      <c r="G1872" s="915"/>
      <c r="H1872" s="691"/>
      <c r="I1872" s="691"/>
      <c r="J1872" s="691"/>
      <c r="K1872" s="691"/>
      <c r="L1872" s="691"/>
      <c r="M1872" s="691"/>
      <c r="N1872" s="691"/>
      <c r="O1872" s="691"/>
      <c r="P1872" s="691"/>
      <c r="Q1872" s="691"/>
      <c r="R1872" s="691"/>
      <c r="S1872" s="691"/>
      <c r="T1872" s="691"/>
      <c r="U1872" s="691"/>
    </row>
    <row r="1873" s="917" customFormat="true" ht="15" hidden="false" customHeight="true" outlineLevel="0" collapsed="false">
      <c r="A1873" s="752"/>
      <c r="C1873" s="925"/>
      <c r="D1873" s="914"/>
      <c r="E1873" s="914"/>
      <c r="F1873" s="915"/>
      <c r="G1873" s="915"/>
      <c r="H1873" s="691"/>
      <c r="I1873" s="691"/>
      <c r="J1873" s="691"/>
      <c r="K1873" s="691"/>
      <c r="L1873" s="691"/>
      <c r="M1873" s="691"/>
      <c r="N1873" s="691"/>
      <c r="O1873" s="691"/>
      <c r="P1873" s="691"/>
      <c r="Q1873" s="691"/>
      <c r="R1873" s="691"/>
      <c r="S1873" s="691"/>
      <c r="T1873" s="691"/>
      <c r="U1873" s="691"/>
    </row>
    <row r="1874" s="917" customFormat="true" ht="15" hidden="false" customHeight="true" outlineLevel="0" collapsed="false">
      <c r="A1874" s="752"/>
      <c r="C1874" s="925"/>
      <c r="D1874" s="914"/>
      <c r="E1874" s="914"/>
      <c r="F1874" s="915"/>
      <c r="G1874" s="915"/>
      <c r="H1874" s="691"/>
      <c r="I1874" s="691"/>
      <c r="J1874" s="691"/>
      <c r="K1874" s="691"/>
      <c r="L1874" s="691"/>
      <c r="M1874" s="691"/>
      <c r="N1874" s="691"/>
      <c r="O1874" s="691"/>
      <c r="P1874" s="691"/>
      <c r="Q1874" s="691"/>
      <c r="R1874" s="691"/>
      <c r="S1874" s="691"/>
      <c r="T1874" s="691"/>
      <c r="U1874" s="691"/>
    </row>
    <row r="1875" s="917" customFormat="true" ht="15" hidden="false" customHeight="true" outlineLevel="0" collapsed="false">
      <c r="A1875" s="752"/>
      <c r="C1875" s="925"/>
      <c r="D1875" s="914"/>
      <c r="E1875" s="914"/>
      <c r="F1875" s="915"/>
      <c r="G1875" s="915"/>
      <c r="H1875" s="691"/>
      <c r="I1875" s="691"/>
      <c r="J1875" s="691"/>
      <c r="K1875" s="691"/>
      <c r="L1875" s="691"/>
      <c r="M1875" s="691"/>
      <c r="N1875" s="691"/>
      <c r="O1875" s="691"/>
      <c r="P1875" s="691"/>
      <c r="Q1875" s="691"/>
      <c r="R1875" s="691"/>
      <c r="S1875" s="691"/>
      <c r="T1875" s="691"/>
      <c r="U1875" s="691"/>
    </row>
    <row r="1876" s="917" customFormat="true" ht="15" hidden="false" customHeight="true" outlineLevel="0" collapsed="false">
      <c r="A1876" s="752"/>
      <c r="C1876" s="925"/>
      <c r="D1876" s="914"/>
      <c r="E1876" s="914"/>
      <c r="F1876" s="915"/>
      <c r="G1876" s="915"/>
      <c r="H1876" s="691"/>
      <c r="I1876" s="691"/>
      <c r="J1876" s="691"/>
      <c r="K1876" s="691"/>
      <c r="L1876" s="691"/>
      <c r="M1876" s="691"/>
      <c r="N1876" s="691"/>
      <c r="O1876" s="691"/>
      <c r="P1876" s="691"/>
      <c r="Q1876" s="691"/>
      <c r="R1876" s="691"/>
      <c r="S1876" s="691"/>
      <c r="T1876" s="691"/>
      <c r="U1876" s="691"/>
    </row>
    <row r="1877" s="917" customFormat="true" ht="15" hidden="false" customHeight="true" outlineLevel="0" collapsed="false">
      <c r="A1877" s="752"/>
      <c r="C1877" s="925"/>
      <c r="D1877" s="914"/>
      <c r="E1877" s="914"/>
      <c r="F1877" s="915"/>
      <c r="G1877" s="915"/>
      <c r="H1877" s="691"/>
      <c r="I1877" s="691"/>
      <c r="J1877" s="691"/>
      <c r="K1877" s="691"/>
      <c r="L1877" s="691"/>
      <c r="M1877" s="691"/>
      <c r="N1877" s="691"/>
      <c r="O1877" s="691"/>
      <c r="P1877" s="691"/>
      <c r="Q1877" s="691"/>
      <c r="R1877" s="691"/>
      <c r="S1877" s="691"/>
      <c r="T1877" s="691"/>
      <c r="U1877" s="691"/>
    </row>
    <row r="1878" s="917" customFormat="true" ht="15" hidden="false" customHeight="true" outlineLevel="0" collapsed="false">
      <c r="A1878" s="752"/>
      <c r="C1878" s="925"/>
      <c r="D1878" s="914"/>
      <c r="E1878" s="914"/>
      <c r="F1878" s="915"/>
      <c r="G1878" s="915"/>
      <c r="H1878" s="691"/>
      <c r="I1878" s="691"/>
      <c r="J1878" s="691"/>
      <c r="K1878" s="691"/>
      <c r="L1878" s="691"/>
      <c r="M1878" s="691"/>
      <c r="N1878" s="691"/>
      <c r="O1878" s="691"/>
      <c r="P1878" s="691"/>
      <c r="Q1878" s="691"/>
      <c r="R1878" s="691"/>
      <c r="S1878" s="691"/>
      <c r="T1878" s="691"/>
      <c r="U1878" s="691"/>
    </row>
    <row r="1879" s="917" customFormat="true" ht="15" hidden="false" customHeight="true" outlineLevel="0" collapsed="false">
      <c r="A1879" s="752"/>
      <c r="C1879" s="925"/>
      <c r="D1879" s="914"/>
      <c r="E1879" s="914"/>
      <c r="F1879" s="915"/>
      <c r="G1879" s="915"/>
      <c r="H1879" s="691"/>
      <c r="I1879" s="691"/>
      <c r="J1879" s="691"/>
      <c r="K1879" s="691"/>
      <c r="L1879" s="691"/>
      <c r="M1879" s="691"/>
      <c r="N1879" s="691"/>
      <c r="O1879" s="691"/>
      <c r="P1879" s="691"/>
      <c r="Q1879" s="691"/>
      <c r="R1879" s="691"/>
      <c r="S1879" s="691"/>
      <c r="T1879" s="691"/>
      <c r="U1879" s="691"/>
    </row>
    <row r="1880" s="917" customFormat="true" ht="15" hidden="false" customHeight="true" outlineLevel="0" collapsed="false">
      <c r="A1880" s="752"/>
      <c r="C1880" s="925"/>
      <c r="D1880" s="914"/>
      <c r="E1880" s="914"/>
      <c r="F1880" s="915"/>
      <c r="G1880" s="915"/>
      <c r="H1880" s="691"/>
      <c r="I1880" s="691"/>
      <c r="J1880" s="691"/>
      <c r="K1880" s="691"/>
      <c r="L1880" s="691"/>
      <c r="M1880" s="691"/>
      <c r="N1880" s="691"/>
      <c r="O1880" s="691"/>
      <c r="P1880" s="691"/>
      <c r="Q1880" s="691"/>
      <c r="R1880" s="691"/>
      <c r="S1880" s="691"/>
      <c r="T1880" s="691"/>
      <c r="U1880" s="691"/>
    </row>
    <row r="1881" s="917" customFormat="true" ht="15" hidden="false" customHeight="true" outlineLevel="0" collapsed="false">
      <c r="A1881" s="752"/>
      <c r="C1881" s="925"/>
      <c r="D1881" s="914"/>
      <c r="E1881" s="914"/>
      <c r="F1881" s="915"/>
      <c r="G1881" s="915"/>
      <c r="H1881" s="691"/>
      <c r="I1881" s="691"/>
      <c r="J1881" s="691"/>
      <c r="K1881" s="691"/>
      <c r="L1881" s="691"/>
      <c r="M1881" s="691"/>
      <c r="N1881" s="691"/>
      <c r="O1881" s="691"/>
      <c r="P1881" s="691"/>
      <c r="Q1881" s="691"/>
      <c r="R1881" s="691"/>
      <c r="S1881" s="691"/>
      <c r="T1881" s="691"/>
      <c r="U1881" s="691"/>
    </row>
    <row r="1882" s="917" customFormat="true" ht="15" hidden="false" customHeight="true" outlineLevel="0" collapsed="false">
      <c r="A1882" s="752"/>
      <c r="C1882" s="925"/>
      <c r="D1882" s="914"/>
      <c r="E1882" s="914"/>
      <c r="F1882" s="915"/>
      <c r="G1882" s="915"/>
      <c r="H1882" s="691"/>
      <c r="I1882" s="691"/>
      <c r="J1882" s="691"/>
      <c r="K1882" s="691"/>
      <c r="L1882" s="691"/>
      <c r="M1882" s="691"/>
      <c r="N1882" s="691"/>
      <c r="O1882" s="691"/>
      <c r="P1882" s="691"/>
      <c r="Q1882" s="691"/>
      <c r="R1882" s="691"/>
      <c r="S1882" s="691"/>
      <c r="T1882" s="691"/>
      <c r="U1882" s="691"/>
    </row>
    <row r="1883" s="917" customFormat="true" ht="15" hidden="false" customHeight="true" outlineLevel="0" collapsed="false">
      <c r="A1883" s="752"/>
      <c r="C1883" s="925"/>
      <c r="D1883" s="914"/>
      <c r="E1883" s="914"/>
      <c r="F1883" s="915"/>
      <c r="G1883" s="915"/>
      <c r="H1883" s="691"/>
      <c r="I1883" s="691"/>
      <c r="J1883" s="691"/>
      <c r="K1883" s="691"/>
      <c r="L1883" s="691"/>
      <c r="M1883" s="691"/>
      <c r="N1883" s="691"/>
      <c r="O1883" s="691"/>
      <c r="P1883" s="691"/>
      <c r="Q1883" s="691"/>
      <c r="R1883" s="691"/>
      <c r="S1883" s="691"/>
      <c r="T1883" s="691"/>
      <c r="U1883" s="691"/>
    </row>
    <row r="1884" s="917" customFormat="true" ht="15" hidden="false" customHeight="true" outlineLevel="0" collapsed="false">
      <c r="A1884" s="752"/>
      <c r="C1884" s="925"/>
      <c r="D1884" s="914"/>
      <c r="E1884" s="914"/>
      <c r="F1884" s="915"/>
      <c r="G1884" s="915"/>
      <c r="H1884" s="691"/>
      <c r="I1884" s="691"/>
      <c r="J1884" s="691"/>
      <c r="K1884" s="691"/>
      <c r="L1884" s="691"/>
      <c r="M1884" s="691"/>
      <c r="N1884" s="691"/>
      <c r="O1884" s="691"/>
      <c r="P1884" s="691"/>
      <c r="Q1884" s="691"/>
      <c r="R1884" s="691"/>
      <c r="S1884" s="691"/>
      <c r="T1884" s="691"/>
      <c r="U1884" s="691"/>
    </row>
    <row r="1885" s="917" customFormat="true" ht="15" hidden="false" customHeight="true" outlineLevel="0" collapsed="false">
      <c r="A1885" s="752"/>
      <c r="C1885" s="925"/>
      <c r="D1885" s="914"/>
      <c r="E1885" s="914"/>
      <c r="F1885" s="915"/>
      <c r="G1885" s="915"/>
      <c r="H1885" s="691"/>
      <c r="I1885" s="691"/>
      <c r="J1885" s="691"/>
      <c r="K1885" s="691"/>
      <c r="L1885" s="691"/>
      <c r="M1885" s="691"/>
      <c r="N1885" s="691"/>
      <c r="O1885" s="691"/>
      <c r="P1885" s="691"/>
      <c r="Q1885" s="691"/>
      <c r="R1885" s="691"/>
      <c r="S1885" s="691"/>
      <c r="T1885" s="691"/>
      <c r="U1885" s="691"/>
    </row>
    <row r="1886" s="917" customFormat="true" ht="15" hidden="false" customHeight="true" outlineLevel="0" collapsed="false">
      <c r="A1886" s="752"/>
      <c r="C1886" s="925"/>
      <c r="D1886" s="914"/>
      <c r="E1886" s="914"/>
      <c r="F1886" s="915"/>
      <c r="G1886" s="915"/>
      <c r="H1886" s="691"/>
      <c r="I1886" s="691"/>
      <c r="J1886" s="691"/>
      <c r="K1886" s="691"/>
      <c r="L1886" s="691"/>
      <c r="M1886" s="691"/>
      <c r="N1886" s="691"/>
      <c r="O1886" s="691"/>
      <c r="P1886" s="691"/>
      <c r="Q1886" s="691"/>
      <c r="R1886" s="691"/>
      <c r="S1886" s="691"/>
      <c r="T1886" s="691"/>
      <c r="U1886" s="691"/>
    </row>
    <row r="1887" s="917" customFormat="true" ht="15" hidden="false" customHeight="true" outlineLevel="0" collapsed="false">
      <c r="A1887" s="752"/>
      <c r="C1887" s="925"/>
      <c r="D1887" s="914"/>
      <c r="E1887" s="914"/>
      <c r="F1887" s="915"/>
      <c r="G1887" s="915"/>
      <c r="H1887" s="691"/>
      <c r="I1887" s="691"/>
      <c r="J1887" s="691"/>
      <c r="K1887" s="691"/>
      <c r="L1887" s="691"/>
      <c r="M1887" s="691"/>
      <c r="N1887" s="691"/>
      <c r="O1887" s="691"/>
      <c r="P1887" s="691"/>
      <c r="Q1887" s="691"/>
      <c r="R1887" s="691"/>
      <c r="S1887" s="691"/>
      <c r="T1887" s="691"/>
      <c r="U1887" s="691"/>
    </row>
    <row r="1888" s="917" customFormat="true" ht="15" hidden="false" customHeight="true" outlineLevel="0" collapsed="false">
      <c r="A1888" s="752"/>
      <c r="C1888" s="925"/>
      <c r="D1888" s="914"/>
      <c r="E1888" s="914"/>
      <c r="F1888" s="915"/>
      <c r="G1888" s="915"/>
      <c r="H1888" s="691"/>
      <c r="I1888" s="691"/>
      <c r="J1888" s="691"/>
      <c r="K1888" s="691"/>
      <c r="L1888" s="691"/>
      <c r="M1888" s="691"/>
      <c r="N1888" s="691"/>
      <c r="O1888" s="691"/>
      <c r="P1888" s="691"/>
      <c r="Q1888" s="691"/>
      <c r="R1888" s="691"/>
      <c r="S1888" s="691"/>
      <c r="T1888" s="691"/>
      <c r="U1888" s="691"/>
    </row>
    <row r="1889" s="917" customFormat="true" ht="15" hidden="false" customHeight="true" outlineLevel="0" collapsed="false">
      <c r="A1889" s="752"/>
      <c r="C1889" s="925"/>
      <c r="D1889" s="914"/>
      <c r="E1889" s="914"/>
      <c r="F1889" s="915"/>
      <c r="G1889" s="915"/>
      <c r="H1889" s="691"/>
      <c r="I1889" s="691"/>
      <c r="J1889" s="691"/>
      <c r="K1889" s="691"/>
      <c r="L1889" s="691"/>
      <c r="M1889" s="691"/>
      <c r="N1889" s="691"/>
      <c r="O1889" s="691"/>
      <c r="P1889" s="691"/>
      <c r="Q1889" s="691"/>
      <c r="R1889" s="691"/>
      <c r="S1889" s="691"/>
      <c r="T1889" s="691"/>
      <c r="U1889" s="691"/>
    </row>
    <row r="1890" s="917" customFormat="true" ht="15" hidden="false" customHeight="true" outlineLevel="0" collapsed="false">
      <c r="A1890" s="752"/>
      <c r="C1890" s="925"/>
      <c r="D1890" s="914"/>
      <c r="E1890" s="914"/>
      <c r="F1890" s="915"/>
      <c r="G1890" s="915"/>
      <c r="H1890" s="691"/>
      <c r="I1890" s="691"/>
      <c r="J1890" s="691"/>
      <c r="K1890" s="691"/>
      <c r="L1890" s="691"/>
      <c r="M1890" s="691"/>
      <c r="N1890" s="691"/>
      <c r="O1890" s="691"/>
      <c r="P1890" s="691"/>
      <c r="Q1890" s="691"/>
      <c r="R1890" s="691"/>
      <c r="S1890" s="691"/>
      <c r="T1890" s="691"/>
      <c r="U1890" s="691"/>
    </row>
    <row r="1891" s="917" customFormat="true" ht="15" hidden="false" customHeight="true" outlineLevel="0" collapsed="false">
      <c r="A1891" s="752"/>
      <c r="C1891" s="925"/>
      <c r="D1891" s="914"/>
      <c r="E1891" s="914"/>
      <c r="F1891" s="915"/>
      <c r="G1891" s="915"/>
      <c r="H1891" s="691"/>
      <c r="I1891" s="691"/>
      <c r="J1891" s="691"/>
      <c r="K1891" s="691"/>
      <c r="L1891" s="691"/>
      <c r="M1891" s="691"/>
      <c r="N1891" s="691"/>
      <c r="O1891" s="691"/>
      <c r="P1891" s="691"/>
      <c r="Q1891" s="691"/>
      <c r="R1891" s="691"/>
      <c r="S1891" s="691"/>
      <c r="T1891" s="691"/>
      <c r="U1891" s="691"/>
    </row>
    <row r="1892" s="917" customFormat="true" ht="15" hidden="false" customHeight="true" outlineLevel="0" collapsed="false">
      <c r="A1892" s="752"/>
      <c r="C1892" s="925"/>
      <c r="D1892" s="914"/>
      <c r="E1892" s="914"/>
      <c r="F1892" s="915"/>
      <c r="G1892" s="915"/>
      <c r="H1892" s="691"/>
      <c r="I1892" s="691"/>
      <c r="J1892" s="691"/>
      <c r="K1892" s="691"/>
      <c r="L1892" s="691"/>
      <c r="M1892" s="691"/>
      <c r="N1892" s="691"/>
      <c r="O1892" s="691"/>
      <c r="P1892" s="691"/>
      <c r="Q1892" s="691"/>
      <c r="R1892" s="691"/>
      <c r="S1892" s="691"/>
      <c r="T1892" s="691"/>
      <c r="U1892" s="691"/>
    </row>
    <row r="1893" s="917" customFormat="true" ht="15" hidden="false" customHeight="true" outlineLevel="0" collapsed="false">
      <c r="A1893" s="752"/>
      <c r="C1893" s="925"/>
      <c r="D1893" s="914"/>
      <c r="E1893" s="914"/>
      <c r="F1893" s="915"/>
      <c r="G1893" s="915"/>
      <c r="H1893" s="691"/>
      <c r="I1893" s="691"/>
      <c r="J1893" s="691"/>
      <c r="K1893" s="691"/>
      <c r="L1893" s="691"/>
      <c r="M1893" s="691"/>
      <c r="N1893" s="691"/>
      <c r="O1893" s="691"/>
      <c r="P1893" s="691"/>
      <c r="Q1893" s="691"/>
      <c r="R1893" s="691"/>
      <c r="S1893" s="691"/>
      <c r="T1893" s="691"/>
      <c r="U1893" s="691"/>
    </row>
    <row r="1894" s="917" customFormat="true" ht="15" hidden="false" customHeight="true" outlineLevel="0" collapsed="false">
      <c r="A1894" s="752"/>
      <c r="C1894" s="925"/>
      <c r="D1894" s="914"/>
      <c r="E1894" s="914"/>
      <c r="F1894" s="915"/>
      <c r="G1894" s="915"/>
      <c r="H1894" s="691"/>
      <c r="I1894" s="691"/>
      <c r="J1894" s="691"/>
      <c r="K1894" s="691"/>
      <c r="L1894" s="691"/>
      <c r="M1894" s="691"/>
      <c r="N1894" s="691"/>
      <c r="O1894" s="691"/>
      <c r="P1894" s="691"/>
      <c r="Q1894" s="691"/>
      <c r="R1894" s="691"/>
      <c r="S1894" s="691"/>
      <c r="T1894" s="691"/>
      <c r="U1894" s="691"/>
    </row>
    <row r="1895" s="917" customFormat="true" ht="15" hidden="false" customHeight="true" outlineLevel="0" collapsed="false">
      <c r="A1895" s="752"/>
      <c r="C1895" s="925"/>
      <c r="D1895" s="914"/>
      <c r="E1895" s="914"/>
      <c r="F1895" s="915"/>
      <c r="G1895" s="915"/>
      <c r="H1895" s="691"/>
      <c r="I1895" s="691"/>
      <c r="J1895" s="691"/>
      <c r="K1895" s="691"/>
      <c r="L1895" s="691"/>
      <c r="M1895" s="691"/>
      <c r="N1895" s="691"/>
      <c r="O1895" s="691"/>
      <c r="P1895" s="691"/>
      <c r="Q1895" s="691"/>
      <c r="R1895" s="691"/>
      <c r="S1895" s="691"/>
      <c r="T1895" s="691"/>
      <c r="U1895" s="691"/>
    </row>
    <row r="1896" s="917" customFormat="true" ht="15" hidden="false" customHeight="true" outlineLevel="0" collapsed="false">
      <c r="A1896" s="752"/>
      <c r="C1896" s="925"/>
      <c r="D1896" s="914"/>
      <c r="E1896" s="914"/>
      <c r="F1896" s="915"/>
      <c r="G1896" s="915"/>
      <c r="H1896" s="691"/>
      <c r="I1896" s="691"/>
      <c r="J1896" s="691"/>
      <c r="K1896" s="691"/>
      <c r="L1896" s="691"/>
      <c r="M1896" s="691"/>
      <c r="N1896" s="691"/>
      <c r="O1896" s="691"/>
      <c r="P1896" s="691"/>
      <c r="Q1896" s="691"/>
      <c r="R1896" s="691"/>
      <c r="S1896" s="691"/>
      <c r="T1896" s="691"/>
      <c r="U1896" s="691"/>
    </row>
    <row r="1897" s="917" customFormat="true" ht="15" hidden="false" customHeight="true" outlineLevel="0" collapsed="false">
      <c r="A1897" s="752"/>
      <c r="C1897" s="925"/>
      <c r="D1897" s="914"/>
      <c r="E1897" s="914"/>
      <c r="F1897" s="915"/>
      <c r="G1897" s="915"/>
      <c r="H1897" s="691"/>
      <c r="I1897" s="691"/>
      <c r="J1897" s="691"/>
      <c r="K1897" s="691"/>
      <c r="L1897" s="691"/>
      <c r="M1897" s="691"/>
      <c r="N1897" s="691"/>
      <c r="O1897" s="691"/>
      <c r="P1897" s="691"/>
      <c r="Q1897" s="691"/>
      <c r="R1897" s="691"/>
      <c r="S1897" s="691"/>
      <c r="T1897" s="691"/>
      <c r="U1897" s="691"/>
    </row>
    <row r="1898" s="917" customFormat="true" ht="15" hidden="false" customHeight="true" outlineLevel="0" collapsed="false">
      <c r="A1898" s="752"/>
      <c r="C1898" s="925"/>
      <c r="D1898" s="914"/>
      <c r="E1898" s="914"/>
      <c r="F1898" s="915"/>
      <c r="G1898" s="915"/>
      <c r="H1898" s="691"/>
      <c r="I1898" s="691"/>
      <c r="J1898" s="691"/>
      <c r="K1898" s="691"/>
      <c r="L1898" s="691"/>
      <c r="M1898" s="691"/>
      <c r="N1898" s="691"/>
      <c r="O1898" s="691"/>
      <c r="P1898" s="691"/>
      <c r="Q1898" s="691"/>
      <c r="R1898" s="691"/>
      <c r="S1898" s="691"/>
      <c r="T1898" s="691"/>
      <c r="U1898" s="691"/>
    </row>
    <row r="1899" s="917" customFormat="true" ht="15" hidden="false" customHeight="true" outlineLevel="0" collapsed="false">
      <c r="A1899" s="752"/>
      <c r="C1899" s="925"/>
      <c r="D1899" s="914"/>
      <c r="E1899" s="914"/>
      <c r="F1899" s="915"/>
      <c r="G1899" s="915"/>
      <c r="H1899" s="691"/>
      <c r="I1899" s="691"/>
      <c r="J1899" s="691"/>
      <c r="K1899" s="691"/>
      <c r="L1899" s="691"/>
      <c r="M1899" s="691"/>
      <c r="N1899" s="691"/>
      <c r="O1899" s="691"/>
      <c r="P1899" s="691"/>
      <c r="Q1899" s="691"/>
      <c r="R1899" s="691"/>
      <c r="S1899" s="691"/>
      <c r="T1899" s="691"/>
      <c r="U1899" s="691"/>
    </row>
    <row r="1900" s="917" customFormat="true" ht="15" hidden="false" customHeight="true" outlineLevel="0" collapsed="false">
      <c r="A1900" s="752"/>
      <c r="C1900" s="925"/>
      <c r="D1900" s="914"/>
      <c r="E1900" s="914"/>
      <c r="F1900" s="915"/>
      <c r="G1900" s="915"/>
      <c r="H1900" s="691"/>
      <c r="I1900" s="691"/>
      <c r="J1900" s="691"/>
      <c r="K1900" s="691"/>
      <c r="L1900" s="691"/>
      <c r="M1900" s="691"/>
      <c r="N1900" s="691"/>
      <c r="O1900" s="691"/>
      <c r="P1900" s="691"/>
      <c r="Q1900" s="691"/>
      <c r="R1900" s="691"/>
      <c r="S1900" s="691"/>
      <c r="T1900" s="691"/>
      <c r="U1900" s="691"/>
    </row>
    <row r="1901" s="917" customFormat="true" ht="15" hidden="false" customHeight="true" outlineLevel="0" collapsed="false">
      <c r="A1901" s="752"/>
      <c r="C1901" s="925"/>
      <c r="D1901" s="914"/>
      <c r="E1901" s="914"/>
      <c r="F1901" s="915"/>
      <c r="G1901" s="915"/>
      <c r="H1901" s="691"/>
      <c r="I1901" s="691"/>
      <c r="J1901" s="691"/>
      <c r="K1901" s="691"/>
      <c r="L1901" s="691"/>
      <c r="M1901" s="691"/>
      <c r="N1901" s="691"/>
      <c r="O1901" s="691"/>
      <c r="P1901" s="691"/>
      <c r="Q1901" s="691"/>
      <c r="R1901" s="691"/>
      <c r="S1901" s="691"/>
      <c r="T1901" s="691"/>
      <c r="U1901" s="691"/>
    </row>
    <row r="1902" s="917" customFormat="true" ht="15" hidden="false" customHeight="true" outlineLevel="0" collapsed="false">
      <c r="A1902" s="752"/>
      <c r="C1902" s="925"/>
      <c r="D1902" s="914"/>
      <c r="E1902" s="914"/>
      <c r="F1902" s="915"/>
      <c r="G1902" s="915"/>
      <c r="H1902" s="691"/>
      <c r="I1902" s="691"/>
      <c r="J1902" s="691"/>
      <c r="K1902" s="691"/>
      <c r="L1902" s="691"/>
      <c r="M1902" s="691"/>
      <c r="N1902" s="691"/>
      <c r="O1902" s="691"/>
      <c r="P1902" s="691"/>
      <c r="Q1902" s="691"/>
      <c r="R1902" s="691"/>
      <c r="S1902" s="691"/>
      <c r="T1902" s="691"/>
      <c r="U1902" s="691"/>
    </row>
    <row r="1903" s="917" customFormat="true" ht="15" hidden="false" customHeight="true" outlineLevel="0" collapsed="false">
      <c r="A1903" s="752"/>
      <c r="C1903" s="925"/>
      <c r="D1903" s="914"/>
      <c r="E1903" s="914"/>
      <c r="F1903" s="915"/>
      <c r="G1903" s="915"/>
      <c r="H1903" s="691"/>
      <c r="I1903" s="691"/>
      <c r="J1903" s="691"/>
      <c r="K1903" s="691"/>
      <c r="L1903" s="691"/>
      <c r="M1903" s="691"/>
      <c r="N1903" s="691"/>
      <c r="O1903" s="691"/>
      <c r="P1903" s="691"/>
      <c r="Q1903" s="691"/>
      <c r="R1903" s="691"/>
      <c r="S1903" s="691"/>
      <c r="T1903" s="691"/>
      <c r="U1903" s="691"/>
    </row>
    <row r="1904" s="917" customFormat="true" ht="15" hidden="false" customHeight="true" outlineLevel="0" collapsed="false">
      <c r="A1904" s="752"/>
      <c r="C1904" s="925"/>
      <c r="D1904" s="914"/>
      <c r="E1904" s="914"/>
      <c r="F1904" s="915"/>
      <c r="G1904" s="915"/>
      <c r="H1904" s="691"/>
      <c r="I1904" s="691"/>
      <c r="J1904" s="691"/>
      <c r="K1904" s="691"/>
      <c r="L1904" s="691"/>
      <c r="M1904" s="691"/>
      <c r="N1904" s="691"/>
      <c r="O1904" s="691"/>
      <c r="P1904" s="691"/>
      <c r="Q1904" s="691"/>
      <c r="R1904" s="691"/>
      <c r="S1904" s="691"/>
      <c r="T1904" s="691"/>
      <c r="U1904" s="691"/>
    </row>
    <row r="1905" s="917" customFormat="true" ht="15" hidden="false" customHeight="true" outlineLevel="0" collapsed="false">
      <c r="A1905" s="752"/>
      <c r="C1905" s="925"/>
      <c r="D1905" s="914"/>
      <c r="E1905" s="914"/>
      <c r="F1905" s="915"/>
      <c r="G1905" s="915"/>
      <c r="H1905" s="691"/>
      <c r="I1905" s="691"/>
      <c r="J1905" s="691"/>
      <c r="K1905" s="691"/>
      <c r="L1905" s="691"/>
      <c r="M1905" s="691"/>
      <c r="N1905" s="691"/>
      <c r="O1905" s="691"/>
      <c r="P1905" s="691"/>
      <c r="Q1905" s="691"/>
      <c r="R1905" s="691"/>
      <c r="S1905" s="691"/>
      <c r="T1905" s="691"/>
      <c r="U1905" s="691"/>
    </row>
    <row r="1906" s="917" customFormat="true" ht="15" hidden="false" customHeight="true" outlineLevel="0" collapsed="false">
      <c r="A1906" s="752"/>
      <c r="C1906" s="925"/>
      <c r="D1906" s="914"/>
      <c r="E1906" s="914"/>
      <c r="F1906" s="915"/>
      <c r="G1906" s="915"/>
      <c r="H1906" s="691"/>
      <c r="I1906" s="691"/>
      <c r="J1906" s="691"/>
      <c r="K1906" s="691"/>
      <c r="L1906" s="691"/>
      <c r="M1906" s="691"/>
      <c r="N1906" s="691"/>
      <c r="O1906" s="691"/>
      <c r="P1906" s="691"/>
      <c r="Q1906" s="691"/>
      <c r="R1906" s="691"/>
      <c r="S1906" s="691"/>
      <c r="T1906" s="691"/>
      <c r="U1906" s="691"/>
    </row>
    <row r="1907" s="917" customFormat="true" ht="15" hidden="false" customHeight="true" outlineLevel="0" collapsed="false">
      <c r="A1907" s="752"/>
      <c r="C1907" s="925"/>
      <c r="D1907" s="914"/>
      <c r="E1907" s="914"/>
      <c r="F1907" s="915"/>
      <c r="G1907" s="915"/>
      <c r="H1907" s="691"/>
      <c r="I1907" s="691"/>
      <c r="J1907" s="691"/>
      <c r="K1907" s="691"/>
      <c r="L1907" s="691"/>
      <c r="M1907" s="691"/>
      <c r="N1907" s="691"/>
      <c r="O1907" s="691"/>
      <c r="P1907" s="691"/>
      <c r="Q1907" s="691"/>
      <c r="R1907" s="691"/>
      <c r="S1907" s="691"/>
      <c r="T1907" s="691"/>
      <c r="U1907" s="691"/>
    </row>
    <row r="1908" s="917" customFormat="true" ht="15" hidden="false" customHeight="true" outlineLevel="0" collapsed="false">
      <c r="A1908" s="752"/>
      <c r="C1908" s="925"/>
      <c r="D1908" s="914"/>
      <c r="E1908" s="914"/>
      <c r="F1908" s="915"/>
      <c r="G1908" s="915"/>
      <c r="H1908" s="691"/>
      <c r="I1908" s="691"/>
      <c r="J1908" s="691"/>
      <c r="K1908" s="691"/>
      <c r="L1908" s="691"/>
      <c r="M1908" s="691"/>
      <c r="N1908" s="691"/>
      <c r="O1908" s="691"/>
      <c r="P1908" s="691"/>
      <c r="Q1908" s="691"/>
      <c r="R1908" s="691"/>
      <c r="S1908" s="691"/>
      <c r="T1908" s="691"/>
      <c r="U1908" s="691"/>
    </row>
    <row r="1909" s="917" customFormat="true" ht="15" hidden="false" customHeight="true" outlineLevel="0" collapsed="false">
      <c r="A1909" s="752"/>
      <c r="C1909" s="925"/>
      <c r="D1909" s="914"/>
      <c r="E1909" s="914"/>
      <c r="F1909" s="915"/>
      <c r="G1909" s="915"/>
      <c r="H1909" s="691"/>
      <c r="I1909" s="691"/>
      <c r="J1909" s="691"/>
      <c r="K1909" s="691"/>
      <c r="L1909" s="691"/>
      <c r="M1909" s="691"/>
      <c r="N1909" s="691"/>
      <c r="O1909" s="691"/>
      <c r="P1909" s="691"/>
      <c r="Q1909" s="691"/>
      <c r="R1909" s="691"/>
      <c r="S1909" s="691"/>
      <c r="T1909" s="691"/>
      <c r="U1909" s="691"/>
    </row>
    <row r="1910" s="917" customFormat="true" ht="15" hidden="false" customHeight="true" outlineLevel="0" collapsed="false">
      <c r="A1910" s="752"/>
      <c r="C1910" s="925"/>
      <c r="D1910" s="914"/>
      <c r="E1910" s="914"/>
      <c r="F1910" s="915"/>
      <c r="G1910" s="915"/>
      <c r="H1910" s="691"/>
      <c r="I1910" s="691"/>
      <c r="J1910" s="691"/>
      <c r="K1910" s="691"/>
      <c r="L1910" s="691"/>
      <c r="M1910" s="691"/>
      <c r="N1910" s="691"/>
      <c r="O1910" s="691"/>
      <c r="P1910" s="691"/>
      <c r="Q1910" s="691"/>
      <c r="R1910" s="691"/>
      <c r="S1910" s="691"/>
      <c r="T1910" s="691"/>
      <c r="U1910" s="691"/>
    </row>
    <row r="1911" s="917" customFormat="true" ht="15" hidden="false" customHeight="true" outlineLevel="0" collapsed="false">
      <c r="A1911" s="752"/>
      <c r="C1911" s="925"/>
      <c r="D1911" s="914"/>
      <c r="E1911" s="914"/>
      <c r="F1911" s="915"/>
      <c r="G1911" s="915"/>
      <c r="H1911" s="691"/>
      <c r="I1911" s="691"/>
      <c r="J1911" s="691"/>
      <c r="K1911" s="691"/>
      <c r="L1911" s="691"/>
      <c r="M1911" s="691"/>
      <c r="N1911" s="691"/>
      <c r="O1911" s="691"/>
      <c r="P1911" s="691"/>
      <c r="Q1911" s="691"/>
      <c r="R1911" s="691"/>
      <c r="S1911" s="691"/>
      <c r="T1911" s="691"/>
      <c r="U1911" s="691"/>
    </row>
    <row r="1912" s="917" customFormat="true" ht="15" hidden="false" customHeight="true" outlineLevel="0" collapsed="false">
      <c r="A1912" s="752"/>
      <c r="C1912" s="925"/>
      <c r="D1912" s="914"/>
      <c r="E1912" s="914"/>
      <c r="F1912" s="915"/>
      <c r="G1912" s="915"/>
      <c r="H1912" s="691"/>
      <c r="I1912" s="691"/>
      <c r="J1912" s="691"/>
      <c r="K1912" s="691"/>
      <c r="L1912" s="691"/>
      <c r="M1912" s="691"/>
      <c r="N1912" s="691"/>
      <c r="O1912" s="691"/>
      <c r="P1912" s="691"/>
      <c r="Q1912" s="691"/>
      <c r="R1912" s="691"/>
      <c r="S1912" s="691"/>
      <c r="T1912" s="691"/>
      <c r="U1912" s="691"/>
    </row>
    <row r="1913" s="917" customFormat="true" ht="15" hidden="false" customHeight="true" outlineLevel="0" collapsed="false">
      <c r="A1913" s="752"/>
      <c r="C1913" s="925"/>
      <c r="D1913" s="914"/>
      <c r="E1913" s="914"/>
      <c r="F1913" s="915"/>
      <c r="G1913" s="915"/>
      <c r="H1913" s="691"/>
      <c r="I1913" s="691"/>
      <c r="J1913" s="691"/>
      <c r="K1913" s="691"/>
      <c r="L1913" s="691"/>
      <c r="M1913" s="691"/>
      <c r="N1913" s="691"/>
      <c r="O1913" s="691"/>
      <c r="P1913" s="691"/>
      <c r="Q1913" s="691"/>
      <c r="R1913" s="691"/>
      <c r="S1913" s="691"/>
      <c r="T1913" s="691"/>
      <c r="U1913" s="691"/>
    </row>
    <row r="1914" s="917" customFormat="true" ht="15" hidden="false" customHeight="true" outlineLevel="0" collapsed="false">
      <c r="A1914" s="752"/>
      <c r="C1914" s="925"/>
      <c r="D1914" s="914"/>
      <c r="E1914" s="914"/>
      <c r="F1914" s="915"/>
      <c r="G1914" s="915"/>
      <c r="H1914" s="691"/>
      <c r="I1914" s="691"/>
      <c r="J1914" s="691"/>
      <c r="K1914" s="691"/>
      <c r="L1914" s="691"/>
      <c r="M1914" s="691"/>
      <c r="N1914" s="691"/>
      <c r="O1914" s="691"/>
      <c r="P1914" s="691"/>
      <c r="Q1914" s="691"/>
      <c r="R1914" s="691"/>
      <c r="S1914" s="691"/>
      <c r="T1914" s="691"/>
      <c r="U1914" s="691"/>
    </row>
    <row r="1915" s="917" customFormat="true" ht="15" hidden="false" customHeight="true" outlineLevel="0" collapsed="false">
      <c r="A1915" s="752"/>
      <c r="C1915" s="925"/>
      <c r="D1915" s="914"/>
      <c r="E1915" s="914"/>
      <c r="F1915" s="915"/>
      <c r="G1915" s="915"/>
      <c r="H1915" s="691"/>
      <c r="I1915" s="691"/>
      <c r="J1915" s="691"/>
      <c r="K1915" s="691"/>
      <c r="L1915" s="691"/>
      <c r="M1915" s="691"/>
      <c r="N1915" s="691"/>
      <c r="O1915" s="691"/>
      <c r="P1915" s="691"/>
      <c r="Q1915" s="691"/>
      <c r="R1915" s="691"/>
      <c r="S1915" s="691"/>
      <c r="T1915" s="691"/>
      <c r="U1915" s="691"/>
    </row>
    <row r="1916" s="917" customFormat="true" ht="15" hidden="false" customHeight="true" outlineLevel="0" collapsed="false">
      <c r="A1916" s="752"/>
      <c r="C1916" s="925"/>
      <c r="D1916" s="914"/>
      <c r="E1916" s="914"/>
      <c r="F1916" s="915"/>
      <c r="G1916" s="915"/>
      <c r="H1916" s="691"/>
      <c r="I1916" s="691"/>
      <c r="J1916" s="691"/>
      <c r="K1916" s="691"/>
      <c r="L1916" s="691"/>
      <c r="M1916" s="691"/>
      <c r="N1916" s="691"/>
      <c r="O1916" s="691"/>
      <c r="P1916" s="691"/>
      <c r="Q1916" s="691"/>
      <c r="R1916" s="691"/>
      <c r="S1916" s="691"/>
      <c r="T1916" s="691"/>
      <c r="U1916" s="691"/>
    </row>
    <row r="1917" s="917" customFormat="true" ht="15" hidden="false" customHeight="true" outlineLevel="0" collapsed="false">
      <c r="A1917" s="752"/>
      <c r="C1917" s="925"/>
      <c r="D1917" s="914"/>
      <c r="E1917" s="914"/>
      <c r="F1917" s="915"/>
      <c r="G1917" s="915"/>
      <c r="H1917" s="691"/>
      <c r="I1917" s="691"/>
      <c r="J1917" s="691"/>
      <c r="K1917" s="691"/>
      <c r="L1917" s="691"/>
      <c r="M1917" s="691"/>
      <c r="N1917" s="691"/>
      <c r="O1917" s="691"/>
      <c r="P1917" s="691"/>
      <c r="Q1917" s="691"/>
      <c r="R1917" s="691"/>
      <c r="S1917" s="691"/>
      <c r="T1917" s="691"/>
      <c r="U1917" s="691"/>
    </row>
    <row r="1918" s="917" customFormat="true" ht="15" hidden="false" customHeight="true" outlineLevel="0" collapsed="false">
      <c r="A1918" s="752"/>
      <c r="C1918" s="925"/>
      <c r="D1918" s="914"/>
      <c r="E1918" s="914"/>
      <c r="F1918" s="915"/>
      <c r="G1918" s="915"/>
      <c r="H1918" s="691"/>
      <c r="I1918" s="691"/>
      <c r="J1918" s="691"/>
      <c r="K1918" s="691"/>
      <c r="L1918" s="691"/>
      <c r="M1918" s="691"/>
      <c r="N1918" s="691"/>
      <c r="O1918" s="691"/>
      <c r="P1918" s="691"/>
      <c r="Q1918" s="691"/>
      <c r="R1918" s="691"/>
      <c r="S1918" s="691"/>
      <c r="T1918" s="691"/>
      <c r="U1918" s="691"/>
    </row>
    <row r="1919" s="917" customFormat="true" ht="15" hidden="false" customHeight="true" outlineLevel="0" collapsed="false">
      <c r="A1919" s="752"/>
      <c r="C1919" s="925"/>
      <c r="D1919" s="914"/>
      <c r="E1919" s="914"/>
      <c r="F1919" s="915"/>
      <c r="G1919" s="915"/>
      <c r="H1919" s="691"/>
      <c r="I1919" s="691"/>
      <c r="J1919" s="691"/>
      <c r="K1919" s="691"/>
      <c r="L1919" s="691"/>
      <c r="M1919" s="691"/>
      <c r="N1919" s="691"/>
      <c r="O1919" s="691"/>
      <c r="P1919" s="691"/>
      <c r="Q1919" s="691"/>
      <c r="R1919" s="691"/>
      <c r="S1919" s="691"/>
      <c r="T1919" s="691"/>
      <c r="U1919" s="691"/>
    </row>
    <row r="1920" s="917" customFormat="true" ht="15" hidden="false" customHeight="true" outlineLevel="0" collapsed="false">
      <c r="A1920" s="752"/>
      <c r="C1920" s="925"/>
      <c r="D1920" s="914"/>
      <c r="E1920" s="914"/>
      <c r="F1920" s="915"/>
      <c r="G1920" s="915"/>
      <c r="H1920" s="691"/>
      <c r="I1920" s="691"/>
      <c r="J1920" s="691"/>
      <c r="K1920" s="691"/>
      <c r="L1920" s="691"/>
      <c r="M1920" s="691"/>
      <c r="N1920" s="691"/>
      <c r="O1920" s="691"/>
      <c r="P1920" s="691"/>
      <c r="Q1920" s="691"/>
      <c r="R1920" s="691"/>
      <c r="S1920" s="691"/>
      <c r="T1920" s="691"/>
      <c r="U1920" s="691"/>
    </row>
    <row r="1921" s="917" customFormat="true" ht="15" hidden="false" customHeight="true" outlineLevel="0" collapsed="false">
      <c r="A1921" s="752"/>
      <c r="C1921" s="925"/>
      <c r="D1921" s="914"/>
      <c r="E1921" s="914"/>
      <c r="F1921" s="915"/>
      <c r="G1921" s="915"/>
      <c r="H1921" s="691"/>
      <c r="I1921" s="691"/>
      <c r="J1921" s="691"/>
      <c r="K1921" s="691"/>
      <c r="L1921" s="691"/>
      <c r="M1921" s="691"/>
      <c r="N1921" s="691"/>
      <c r="O1921" s="691"/>
      <c r="P1921" s="691"/>
      <c r="Q1921" s="691"/>
      <c r="R1921" s="691"/>
      <c r="S1921" s="691"/>
      <c r="T1921" s="691"/>
      <c r="U1921" s="691"/>
    </row>
    <row r="1922" s="917" customFormat="true" ht="15" hidden="false" customHeight="true" outlineLevel="0" collapsed="false">
      <c r="A1922" s="752"/>
      <c r="C1922" s="925"/>
      <c r="D1922" s="914"/>
      <c r="E1922" s="914"/>
      <c r="F1922" s="915"/>
      <c r="G1922" s="915"/>
      <c r="H1922" s="691"/>
      <c r="I1922" s="691"/>
      <c r="J1922" s="691"/>
      <c r="K1922" s="691"/>
      <c r="L1922" s="691"/>
      <c r="M1922" s="691"/>
      <c r="N1922" s="691"/>
      <c r="O1922" s="691"/>
      <c r="P1922" s="691"/>
      <c r="Q1922" s="691"/>
      <c r="R1922" s="691"/>
      <c r="S1922" s="691"/>
      <c r="T1922" s="691"/>
      <c r="U1922" s="691"/>
    </row>
    <row r="1923" s="917" customFormat="true" ht="15" hidden="false" customHeight="true" outlineLevel="0" collapsed="false">
      <c r="A1923" s="752"/>
      <c r="C1923" s="925"/>
      <c r="D1923" s="914"/>
      <c r="E1923" s="914"/>
      <c r="F1923" s="915"/>
      <c r="G1923" s="915"/>
      <c r="H1923" s="691"/>
      <c r="I1923" s="691"/>
      <c r="J1923" s="691"/>
      <c r="K1923" s="691"/>
      <c r="L1923" s="691"/>
      <c r="M1923" s="691"/>
      <c r="N1923" s="691"/>
      <c r="O1923" s="691"/>
      <c r="P1923" s="691"/>
      <c r="Q1923" s="691"/>
      <c r="R1923" s="691"/>
      <c r="S1923" s="691"/>
      <c r="T1923" s="691"/>
      <c r="U1923" s="691"/>
    </row>
    <row r="1924" s="917" customFormat="true" ht="15" hidden="false" customHeight="true" outlineLevel="0" collapsed="false">
      <c r="A1924" s="752"/>
      <c r="C1924" s="925"/>
      <c r="D1924" s="914"/>
      <c r="E1924" s="914"/>
      <c r="F1924" s="915"/>
      <c r="G1924" s="915"/>
      <c r="H1924" s="691"/>
      <c r="I1924" s="691"/>
      <c r="J1924" s="691"/>
      <c r="K1924" s="691"/>
      <c r="L1924" s="691"/>
      <c r="M1924" s="691"/>
      <c r="N1924" s="691"/>
      <c r="O1924" s="691"/>
      <c r="P1924" s="691"/>
      <c r="Q1924" s="691"/>
      <c r="R1924" s="691"/>
      <c r="S1924" s="691"/>
      <c r="T1924" s="691"/>
      <c r="U1924" s="691"/>
    </row>
    <row r="1925" s="917" customFormat="true" ht="15" hidden="false" customHeight="true" outlineLevel="0" collapsed="false">
      <c r="A1925" s="752"/>
      <c r="C1925" s="925"/>
      <c r="D1925" s="914"/>
      <c r="E1925" s="914"/>
      <c r="F1925" s="915"/>
      <c r="G1925" s="915"/>
      <c r="H1925" s="691"/>
      <c r="I1925" s="691"/>
      <c r="J1925" s="691"/>
      <c r="K1925" s="691"/>
      <c r="L1925" s="691"/>
      <c r="M1925" s="691"/>
      <c r="N1925" s="691"/>
      <c r="O1925" s="691"/>
      <c r="P1925" s="691"/>
      <c r="Q1925" s="691"/>
      <c r="R1925" s="691"/>
      <c r="S1925" s="691"/>
      <c r="T1925" s="691"/>
      <c r="U1925" s="691"/>
    </row>
    <row r="1926" s="917" customFormat="true" ht="15" hidden="false" customHeight="true" outlineLevel="0" collapsed="false">
      <c r="A1926" s="752"/>
      <c r="C1926" s="925"/>
      <c r="D1926" s="914"/>
      <c r="E1926" s="914"/>
      <c r="F1926" s="915"/>
      <c r="G1926" s="915"/>
      <c r="H1926" s="691"/>
      <c r="I1926" s="691"/>
      <c r="J1926" s="691"/>
      <c r="K1926" s="691"/>
      <c r="L1926" s="691"/>
      <c r="M1926" s="691"/>
      <c r="N1926" s="691"/>
      <c r="O1926" s="691"/>
      <c r="P1926" s="691"/>
      <c r="Q1926" s="691"/>
      <c r="R1926" s="691"/>
      <c r="S1926" s="691"/>
      <c r="T1926" s="691"/>
      <c r="U1926" s="691"/>
    </row>
    <row r="1927" s="917" customFormat="true" ht="15" hidden="false" customHeight="true" outlineLevel="0" collapsed="false">
      <c r="A1927" s="752"/>
      <c r="C1927" s="925"/>
      <c r="D1927" s="914"/>
      <c r="E1927" s="914"/>
      <c r="F1927" s="915"/>
      <c r="G1927" s="915"/>
      <c r="H1927" s="691"/>
      <c r="I1927" s="691"/>
      <c r="J1927" s="691"/>
      <c r="K1927" s="691"/>
      <c r="L1927" s="691"/>
      <c r="M1927" s="691"/>
      <c r="N1927" s="691"/>
      <c r="O1927" s="691"/>
      <c r="P1927" s="691"/>
      <c r="Q1927" s="691"/>
      <c r="R1927" s="691"/>
      <c r="S1927" s="691"/>
      <c r="T1927" s="691"/>
      <c r="U1927" s="691"/>
    </row>
    <row r="1928" s="917" customFormat="true" ht="15" hidden="false" customHeight="true" outlineLevel="0" collapsed="false">
      <c r="A1928" s="752"/>
      <c r="C1928" s="925"/>
      <c r="D1928" s="914"/>
      <c r="E1928" s="914"/>
      <c r="F1928" s="915"/>
      <c r="G1928" s="915"/>
      <c r="H1928" s="691"/>
      <c r="I1928" s="691"/>
      <c r="J1928" s="691"/>
      <c r="K1928" s="691"/>
      <c r="L1928" s="691"/>
      <c r="M1928" s="691"/>
      <c r="N1928" s="691"/>
      <c r="O1928" s="691"/>
      <c r="P1928" s="691"/>
      <c r="Q1928" s="691"/>
      <c r="R1928" s="691"/>
      <c r="S1928" s="691"/>
      <c r="T1928" s="691"/>
      <c r="U1928" s="691"/>
    </row>
    <row r="1929" s="917" customFormat="true" ht="15" hidden="false" customHeight="true" outlineLevel="0" collapsed="false">
      <c r="A1929" s="752"/>
      <c r="C1929" s="925"/>
      <c r="D1929" s="914"/>
      <c r="E1929" s="914"/>
      <c r="F1929" s="915"/>
      <c r="G1929" s="915"/>
      <c r="H1929" s="691"/>
      <c r="I1929" s="691"/>
      <c r="J1929" s="691"/>
      <c r="K1929" s="691"/>
      <c r="L1929" s="691"/>
      <c r="M1929" s="691"/>
      <c r="N1929" s="691"/>
      <c r="O1929" s="691"/>
      <c r="P1929" s="691"/>
      <c r="Q1929" s="691"/>
      <c r="R1929" s="691"/>
      <c r="S1929" s="691"/>
      <c r="T1929" s="691"/>
      <c r="U1929" s="691"/>
    </row>
    <row r="1930" s="917" customFormat="true" ht="15" hidden="false" customHeight="true" outlineLevel="0" collapsed="false">
      <c r="A1930" s="752"/>
      <c r="C1930" s="925"/>
      <c r="D1930" s="914"/>
      <c r="E1930" s="914"/>
      <c r="F1930" s="915"/>
      <c r="G1930" s="915"/>
      <c r="H1930" s="691"/>
      <c r="I1930" s="691"/>
      <c r="J1930" s="691"/>
      <c r="K1930" s="691"/>
      <c r="L1930" s="691"/>
      <c r="M1930" s="691"/>
      <c r="N1930" s="691"/>
      <c r="O1930" s="691"/>
      <c r="P1930" s="691"/>
      <c r="Q1930" s="691"/>
      <c r="R1930" s="691"/>
      <c r="S1930" s="691"/>
      <c r="T1930" s="691"/>
      <c r="U1930" s="691"/>
    </row>
    <row r="1931" s="917" customFormat="true" ht="15" hidden="false" customHeight="true" outlineLevel="0" collapsed="false">
      <c r="A1931" s="752"/>
      <c r="C1931" s="925"/>
      <c r="D1931" s="914"/>
      <c r="E1931" s="914"/>
      <c r="F1931" s="915"/>
      <c r="G1931" s="915"/>
      <c r="H1931" s="691"/>
      <c r="I1931" s="691"/>
      <c r="J1931" s="691"/>
      <c r="K1931" s="691"/>
      <c r="L1931" s="691"/>
      <c r="M1931" s="691"/>
      <c r="N1931" s="691"/>
      <c r="O1931" s="691"/>
      <c r="P1931" s="691"/>
      <c r="Q1931" s="691"/>
      <c r="R1931" s="691"/>
      <c r="S1931" s="691"/>
      <c r="T1931" s="691"/>
      <c r="U1931" s="691"/>
    </row>
    <row r="1932" s="917" customFormat="true" ht="15" hidden="false" customHeight="true" outlineLevel="0" collapsed="false">
      <c r="A1932" s="752"/>
      <c r="C1932" s="925"/>
      <c r="D1932" s="914"/>
      <c r="E1932" s="914"/>
      <c r="F1932" s="915"/>
      <c r="G1932" s="915"/>
      <c r="H1932" s="691"/>
      <c r="I1932" s="691"/>
      <c r="J1932" s="691"/>
      <c r="K1932" s="691"/>
      <c r="L1932" s="691"/>
      <c r="M1932" s="691"/>
      <c r="N1932" s="691"/>
      <c r="O1932" s="691"/>
      <c r="P1932" s="691"/>
      <c r="Q1932" s="691"/>
      <c r="R1932" s="691"/>
      <c r="S1932" s="691"/>
      <c r="T1932" s="691"/>
      <c r="U1932" s="691"/>
    </row>
    <row r="1933" s="917" customFormat="true" ht="15" hidden="false" customHeight="true" outlineLevel="0" collapsed="false">
      <c r="A1933" s="752"/>
      <c r="C1933" s="925"/>
      <c r="D1933" s="914"/>
      <c r="E1933" s="914"/>
      <c r="F1933" s="915"/>
      <c r="G1933" s="915"/>
      <c r="H1933" s="691"/>
      <c r="I1933" s="691"/>
      <c r="J1933" s="691"/>
      <c r="K1933" s="691"/>
      <c r="L1933" s="691"/>
      <c r="M1933" s="691"/>
      <c r="N1933" s="691"/>
      <c r="O1933" s="691"/>
      <c r="P1933" s="691"/>
      <c r="Q1933" s="691"/>
      <c r="R1933" s="691"/>
      <c r="S1933" s="691"/>
      <c r="T1933" s="691"/>
      <c r="U1933" s="691"/>
    </row>
    <row r="1934" s="917" customFormat="true" ht="15" hidden="false" customHeight="true" outlineLevel="0" collapsed="false">
      <c r="A1934" s="752"/>
      <c r="C1934" s="925"/>
      <c r="D1934" s="914"/>
      <c r="E1934" s="914"/>
      <c r="F1934" s="915"/>
      <c r="G1934" s="915"/>
      <c r="H1934" s="691"/>
      <c r="I1934" s="691"/>
      <c r="J1934" s="691"/>
      <c r="K1934" s="691"/>
      <c r="L1934" s="691"/>
      <c r="M1934" s="691"/>
      <c r="N1934" s="691"/>
      <c r="O1934" s="691"/>
      <c r="P1934" s="691"/>
      <c r="Q1934" s="691"/>
      <c r="R1934" s="691"/>
      <c r="S1934" s="691"/>
      <c r="T1934" s="691"/>
      <c r="U1934" s="691"/>
    </row>
    <row r="1935" s="917" customFormat="true" ht="15" hidden="false" customHeight="true" outlineLevel="0" collapsed="false">
      <c r="A1935" s="752"/>
      <c r="C1935" s="925"/>
      <c r="D1935" s="914"/>
      <c r="E1935" s="914"/>
      <c r="F1935" s="915"/>
      <c r="G1935" s="915"/>
      <c r="H1935" s="691"/>
      <c r="I1935" s="691"/>
      <c r="J1935" s="691"/>
      <c r="K1935" s="691"/>
      <c r="L1935" s="691"/>
      <c r="M1935" s="691"/>
      <c r="N1935" s="691"/>
      <c r="O1935" s="691"/>
      <c r="P1935" s="691"/>
      <c r="Q1935" s="691"/>
      <c r="R1935" s="691"/>
      <c r="S1935" s="691"/>
      <c r="T1935" s="691"/>
      <c r="U1935" s="691"/>
    </row>
    <row r="1936" s="917" customFormat="true" ht="15" hidden="false" customHeight="true" outlineLevel="0" collapsed="false">
      <c r="A1936" s="752"/>
      <c r="C1936" s="925"/>
      <c r="D1936" s="914"/>
      <c r="E1936" s="914"/>
      <c r="F1936" s="915"/>
      <c r="G1936" s="915"/>
      <c r="H1936" s="691"/>
      <c r="I1936" s="691"/>
      <c r="J1936" s="691"/>
      <c r="K1936" s="691"/>
      <c r="L1936" s="691"/>
      <c r="M1936" s="691"/>
      <c r="N1936" s="691"/>
      <c r="O1936" s="691"/>
      <c r="P1936" s="691"/>
      <c r="Q1936" s="691"/>
      <c r="R1936" s="691"/>
      <c r="S1936" s="691"/>
      <c r="T1936" s="691"/>
      <c r="U1936" s="691"/>
    </row>
    <row r="1937" s="917" customFormat="true" ht="15" hidden="false" customHeight="true" outlineLevel="0" collapsed="false">
      <c r="A1937" s="752"/>
      <c r="C1937" s="925"/>
      <c r="D1937" s="914"/>
      <c r="E1937" s="914"/>
      <c r="F1937" s="915"/>
      <c r="G1937" s="915"/>
      <c r="H1937" s="691"/>
      <c r="I1937" s="691"/>
      <c r="J1937" s="691"/>
      <c r="K1937" s="691"/>
      <c r="L1937" s="691"/>
      <c r="M1937" s="691"/>
      <c r="N1937" s="691"/>
      <c r="O1937" s="691"/>
      <c r="P1937" s="691"/>
      <c r="Q1937" s="691"/>
      <c r="R1937" s="691"/>
      <c r="S1937" s="691"/>
      <c r="T1937" s="691"/>
      <c r="U1937" s="691"/>
    </row>
    <row r="1938" s="917" customFormat="true" ht="15" hidden="false" customHeight="true" outlineLevel="0" collapsed="false">
      <c r="A1938" s="752"/>
      <c r="C1938" s="925"/>
      <c r="D1938" s="914"/>
      <c r="E1938" s="914"/>
      <c r="F1938" s="915"/>
      <c r="G1938" s="915"/>
      <c r="H1938" s="691"/>
      <c r="I1938" s="691"/>
      <c r="J1938" s="691"/>
      <c r="K1938" s="691"/>
      <c r="L1938" s="691"/>
      <c r="M1938" s="691"/>
      <c r="N1938" s="691"/>
      <c r="O1938" s="691"/>
      <c r="P1938" s="691"/>
      <c r="Q1938" s="691"/>
      <c r="R1938" s="691"/>
      <c r="S1938" s="691"/>
      <c r="T1938" s="691"/>
      <c r="U1938" s="691"/>
    </row>
    <row r="1939" s="917" customFormat="true" ht="15" hidden="false" customHeight="true" outlineLevel="0" collapsed="false">
      <c r="A1939" s="752"/>
      <c r="C1939" s="925"/>
      <c r="D1939" s="914"/>
      <c r="E1939" s="914"/>
      <c r="F1939" s="915"/>
      <c r="G1939" s="915"/>
      <c r="H1939" s="691"/>
      <c r="I1939" s="691"/>
      <c r="J1939" s="691"/>
      <c r="K1939" s="691"/>
      <c r="L1939" s="691"/>
      <c r="M1939" s="691"/>
      <c r="N1939" s="691"/>
      <c r="O1939" s="691"/>
      <c r="P1939" s="691"/>
      <c r="Q1939" s="691"/>
      <c r="R1939" s="691"/>
      <c r="S1939" s="691"/>
      <c r="T1939" s="691"/>
      <c r="U1939" s="691"/>
    </row>
    <row r="1940" s="917" customFormat="true" ht="15" hidden="false" customHeight="true" outlineLevel="0" collapsed="false">
      <c r="A1940" s="752"/>
      <c r="C1940" s="925"/>
      <c r="D1940" s="914"/>
      <c r="E1940" s="914"/>
      <c r="F1940" s="915"/>
      <c r="G1940" s="915"/>
      <c r="H1940" s="691"/>
      <c r="I1940" s="691"/>
      <c r="J1940" s="691"/>
      <c r="K1940" s="691"/>
      <c r="L1940" s="691"/>
      <c r="M1940" s="691"/>
      <c r="N1940" s="691"/>
      <c r="O1940" s="691"/>
      <c r="P1940" s="691"/>
      <c r="Q1940" s="691"/>
      <c r="R1940" s="691"/>
      <c r="S1940" s="691"/>
      <c r="T1940" s="691"/>
      <c r="U1940" s="691"/>
    </row>
    <row r="1941" s="917" customFormat="true" ht="15" hidden="false" customHeight="true" outlineLevel="0" collapsed="false">
      <c r="A1941" s="752"/>
      <c r="C1941" s="925"/>
      <c r="D1941" s="914"/>
      <c r="E1941" s="914"/>
      <c r="F1941" s="915"/>
      <c r="G1941" s="915"/>
      <c r="H1941" s="691"/>
      <c r="I1941" s="691"/>
      <c r="J1941" s="691"/>
      <c r="K1941" s="691"/>
      <c r="L1941" s="691"/>
      <c r="M1941" s="691"/>
      <c r="N1941" s="691"/>
      <c r="O1941" s="691"/>
      <c r="P1941" s="691"/>
      <c r="Q1941" s="691"/>
      <c r="R1941" s="691"/>
      <c r="S1941" s="691"/>
      <c r="T1941" s="691"/>
      <c r="U1941" s="691"/>
    </row>
    <row r="1942" s="917" customFormat="true" ht="15" hidden="false" customHeight="true" outlineLevel="0" collapsed="false">
      <c r="A1942" s="752"/>
      <c r="C1942" s="925"/>
      <c r="D1942" s="914"/>
      <c r="E1942" s="914"/>
      <c r="F1942" s="915"/>
      <c r="G1942" s="915"/>
      <c r="H1942" s="691"/>
      <c r="I1942" s="691"/>
      <c r="J1942" s="691"/>
      <c r="K1942" s="691"/>
      <c r="L1942" s="691"/>
      <c r="M1942" s="691"/>
      <c r="N1942" s="691"/>
      <c r="O1942" s="691"/>
      <c r="P1942" s="691"/>
      <c r="Q1942" s="691"/>
      <c r="R1942" s="691"/>
      <c r="S1942" s="691"/>
      <c r="T1942" s="691"/>
      <c r="U1942" s="691"/>
    </row>
    <row r="1943" s="917" customFormat="true" ht="15" hidden="false" customHeight="true" outlineLevel="0" collapsed="false">
      <c r="A1943" s="752"/>
      <c r="C1943" s="925"/>
      <c r="D1943" s="914"/>
      <c r="E1943" s="914"/>
      <c r="F1943" s="915"/>
      <c r="G1943" s="915"/>
      <c r="H1943" s="691"/>
      <c r="I1943" s="691"/>
      <c r="J1943" s="691"/>
      <c r="K1943" s="691"/>
      <c r="L1943" s="691"/>
      <c r="M1943" s="691"/>
      <c r="N1943" s="691"/>
      <c r="O1943" s="691"/>
      <c r="P1943" s="691"/>
      <c r="Q1943" s="691"/>
      <c r="R1943" s="691"/>
      <c r="S1943" s="691"/>
      <c r="T1943" s="691"/>
      <c r="U1943" s="691"/>
    </row>
    <row r="1944" s="917" customFormat="true" ht="15" hidden="false" customHeight="true" outlineLevel="0" collapsed="false">
      <c r="A1944" s="752"/>
      <c r="C1944" s="925"/>
      <c r="D1944" s="914"/>
      <c r="E1944" s="914"/>
      <c r="F1944" s="915"/>
      <c r="G1944" s="915"/>
      <c r="H1944" s="691"/>
      <c r="I1944" s="691"/>
      <c r="J1944" s="691"/>
      <c r="K1944" s="691"/>
      <c r="L1944" s="691"/>
      <c r="M1944" s="691"/>
      <c r="N1944" s="691"/>
      <c r="O1944" s="691"/>
      <c r="P1944" s="691"/>
      <c r="Q1944" s="691"/>
      <c r="R1944" s="691"/>
      <c r="S1944" s="691"/>
      <c r="T1944" s="691"/>
      <c r="U1944" s="691"/>
    </row>
    <row r="1945" s="917" customFormat="true" ht="15" hidden="false" customHeight="true" outlineLevel="0" collapsed="false">
      <c r="A1945" s="752"/>
      <c r="C1945" s="925"/>
      <c r="D1945" s="914"/>
      <c r="E1945" s="914"/>
      <c r="F1945" s="915"/>
      <c r="G1945" s="915"/>
      <c r="H1945" s="691"/>
      <c r="I1945" s="691"/>
      <c r="J1945" s="691"/>
      <c r="K1945" s="691"/>
      <c r="L1945" s="691"/>
      <c r="M1945" s="691"/>
      <c r="N1945" s="691"/>
      <c r="O1945" s="691"/>
      <c r="P1945" s="691"/>
      <c r="Q1945" s="691"/>
      <c r="R1945" s="691"/>
      <c r="S1945" s="691"/>
      <c r="T1945" s="691"/>
      <c r="U1945" s="691"/>
    </row>
    <row r="1946" s="917" customFormat="true" ht="15" hidden="false" customHeight="true" outlineLevel="0" collapsed="false">
      <c r="A1946" s="752"/>
      <c r="C1946" s="925"/>
      <c r="D1946" s="914"/>
      <c r="E1946" s="914"/>
      <c r="F1946" s="915"/>
      <c r="G1946" s="915"/>
      <c r="H1946" s="691"/>
      <c r="I1946" s="691"/>
      <c r="J1946" s="691"/>
      <c r="K1946" s="691"/>
      <c r="L1946" s="691"/>
      <c r="M1946" s="691"/>
      <c r="N1946" s="691"/>
      <c r="O1946" s="691"/>
      <c r="P1946" s="691"/>
      <c r="Q1946" s="691"/>
      <c r="R1946" s="691"/>
      <c r="S1946" s="691"/>
      <c r="T1946" s="691"/>
      <c r="U1946" s="691"/>
    </row>
    <row r="1947" s="917" customFormat="true" ht="15" hidden="false" customHeight="true" outlineLevel="0" collapsed="false">
      <c r="A1947" s="752"/>
      <c r="C1947" s="925"/>
      <c r="D1947" s="914"/>
      <c r="E1947" s="914"/>
      <c r="F1947" s="915"/>
      <c r="G1947" s="915"/>
      <c r="H1947" s="691"/>
      <c r="I1947" s="691"/>
      <c r="J1947" s="691"/>
      <c r="K1947" s="691"/>
      <c r="L1947" s="691"/>
      <c r="M1947" s="691"/>
      <c r="N1947" s="691"/>
      <c r="O1947" s="691"/>
      <c r="P1947" s="691"/>
      <c r="Q1947" s="691"/>
      <c r="R1947" s="691"/>
      <c r="S1947" s="691"/>
      <c r="T1947" s="691"/>
      <c r="U1947" s="691"/>
    </row>
    <row r="1948" s="917" customFormat="true" ht="15" hidden="false" customHeight="true" outlineLevel="0" collapsed="false">
      <c r="A1948" s="752"/>
      <c r="C1948" s="925"/>
      <c r="D1948" s="914"/>
      <c r="E1948" s="914"/>
      <c r="F1948" s="915"/>
      <c r="G1948" s="915"/>
      <c r="H1948" s="691"/>
      <c r="I1948" s="691"/>
      <c r="J1948" s="691"/>
      <c r="K1948" s="691"/>
      <c r="L1948" s="691"/>
      <c r="M1948" s="691"/>
      <c r="N1948" s="691"/>
      <c r="O1948" s="691"/>
      <c r="P1948" s="691"/>
      <c r="Q1948" s="691"/>
      <c r="R1948" s="691"/>
      <c r="S1948" s="691"/>
      <c r="T1948" s="691"/>
      <c r="U1948" s="691"/>
    </row>
    <row r="1949" s="917" customFormat="true" ht="15" hidden="false" customHeight="true" outlineLevel="0" collapsed="false">
      <c r="A1949" s="752"/>
      <c r="C1949" s="925"/>
      <c r="D1949" s="914"/>
      <c r="E1949" s="914"/>
      <c r="F1949" s="915"/>
      <c r="G1949" s="915"/>
      <c r="H1949" s="691"/>
      <c r="I1949" s="691"/>
      <c r="J1949" s="691"/>
      <c r="K1949" s="691"/>
      <c r="L1949" s="691"/>
      <c r="M1949" s="691"/>
      <c r="N1949" s="691"/>
      <c r="O1949" s="691"/>
      <c r="P1949" s="691"/>
      <c r="Q1949" s="691"/>
      <c r="R1949" s="691"/>
      <c r="S1949" s="691"/>
      <c r="T1949" s="691"/>
      <c r="U1949" s="691"/>
    </row>
    <row r="1950" s="917" customFormat="true" ht="15" hidden="false" customHeight="true" outlineLevel="0" collapsed="false">
      <c r="A1950" s="752"/>
      <c r="C1950" s="925"/>
      <c r="D1950" s="914"/>
      <c r="E1950" s="914"/>
      <c r="F1950" s="915"/>
      <c r="G1950" s="915"/>
      <c r="H1950" s="691"/>
      <c r="I1950" s="691"/>
      <c r="J1950" s="691"/>
      <c r="K1950" s="691"/>
      <c r="L1950" s="691"/>
      <c r="M1950" s="691"/>
      <c r="N1950" s="691"/>
      <c r="O1950" s="691"/>
      <c r="P1950" s="691"/>
      <c r="Q1950" s="691"/>
      <c r="R1950" s="691"/>
      <c r="S1950" s="691"/>
      <c r="T1950" s="691"/>
      <c r="U1950" s="691"/>
    </row>
    <row r="1951" s="917" customFormat="true" ht="15" hidden="false" customHeight="true" outlineLevel="0" collapsed="false">
      <c r="A1951" s="752"/>
      <c r="C1951" s="925"/>
      <c r="D1951" s="914"/>
      <c r="E1951" s="914"/>
      <c r="F1951" s="915"/>
      <c r="G1951" s="915"/>
      <c r="H1951" s="691"/>
      <c r="I1951" s="691"/>
      <c r="J1951" s="691"/>
      <c r="K1951" s="691"/>
      <c r="L1951" s="691"/>
      <c r="M1951" s="691"/>
      <c r="N1951" s="691"/>
      <c r="O1951" s="691"/>
      <c r="P1951" s="691"/>
      <c r="Q1951" s="691"/>
      <c r="R1951" s="691"/>
      <c r="S1951" s="691"/>
      <c r="T1951" s="691"/>
      <c r="U1951" s="691"/>
    </row>
    <row r="1952" s="917" customFormat="true" ht="15" hidden="false" customHeight="true" outlineLevel="0" collapsed="false">
      <c r="A1952" s="752"/>
      <c r="C1952" s="925"/>
      <c r="D1952" s="914"/>
      <c r="E1952" s="914"/>
      <c r="F1952" s="915"/>
      <c r="G1952" s="915"/>
      <c r="H1952" s="691"/>
      <c r="I1952" s="691"/>
      <c r="J1952" s="691"/>
      <c r="K1952" s="691"/>
      <c r="L1952" s="691"/>
      <c r="M1952" s="691"/>
      <c r="N1952" s="691"/>
      <c r="O1952" s="691"/>
      <c r="P1952" s="691"/>
      <c r="Q1952" s="691"/>
      <c r="R1952" s="691"/>
      <c r="S1952" s="691"/>
      <c r="T1952" s="691"/>
      <c r="U1952" s="691"/>
    </row>
    <row r="1953" s="917" customFormat="true" ht="15" hidden="false" customHeight="true" outlineLevel="0" collapsed="false">
      <c r="A1953" s="752"/>
      <c r="C1953" s="925"/>
      <c r="D1953" s="914"/>
      <c r="E1953" s="914"/>
      <c r="F1953" s="915"/>
      <c r="G1953" s="915"/>
      <c r="H1953" s="691"/>
      <c r="I1953" s="691"/>
      <c r="J1953" s="691"/>
      <c r="K1953" s="691"/>
      <c r="L1953" s="691"/>
      <c r="M1953" s="691"/>
      <c r="N1953" s="691"/>
      <c r="O1953" s="691"/>
      <c r="P1953" s="691"/>
      <c r="Q1953" s="691"/>
      <c r="R1953" s="691"/>
      <c r="S1953" s="691"/>
      <c r="T1953" s="691"/>
      <c r="U1953" s="691"/>
    </row>
    <row r="1954" s="917" customFormat="true" ht="15" hidden="false" customHeight="true" outlineLevel="0" collapsed="false">
      <c r="A1954" s="752"/>
      <c r="C1954" s="925"/>
      <c r="D1954" s="914"/>
      <c r="E1954" s="914"/>
      <c r="F1954" s="915"/>
      <c r="G1954" s="915"/>
      <c r="H1954" s="691"/>
      <c r="I1954" s="691"/>
      <c r="J1954" s="691"/>
      <c r="K1954" s="691"/>
      <c r="L1954" s="691"/>
      <c r="M1954" s="691"/>
      <c r="N1954" s="691"/>
      <c r="O1954" s="691"/>
      <c r="P1954" s="691"/>
      <c r="Q1954" s="691"/>
      <c r="R1954" s="691"/>
      <c r="S1954" s="691"/>
      <c r="T1954" s="691"/>
      <c r="U1954" s="691"/>
    </row>
    <row r="1955" s="917" customFormat="true" ht="15" hidden="false" customHeight="true" outlineLevel="0" collapsed="false">
      <c r="A1955" s="752"/>
      <c r="C1955" s="925"/>
      <c r="D1955" s="914"/>
      <c r="E1955" s="914"/>
      <c r="F1955" s="915"/>
      <c r="G1955" s="915"/>
      <c r="H1955" s="691"/>
      <c r="I1955" s="691"/>
      <c r="J1955" s="691"/>
      <c r="K1955" s="691"/>
      <c r="L1955" s="691"/>
      <c r="M1955" s="691"/>
      <c r="N1955" s="691"/>
      <c r="O1955" s="691"/>
      <c r="P1955" s="691"/>
      <c r="Q1955" s="691"/>
      <c r="R1955" s="691"/>
      <c r="S1955" s="691"/>
      <c r="T1955" s="691"/>
      <c r="U1955" s="691"/>
    </row>
    <row r="1956" s="917" customFormat="true" ht="15" hidden="false" customHeight="true" outlineLevel="0" collapsed="false">
      <c r="A1956" s="752"/>
      <c r="C1956" s="925"/>
      <c r="D1956" s="914"/>
      <c r="E1956" s="914"/>
      <c r="F1956" s="915"/>
      <c r="G1956" s="915"/>
      <c r="H1956" s="691"/>
      <c r="I1956" s="691"/>
      <c r="J1956" s="691"/>
      <c r="K1956" s="691"/>
      <c r="L1956" s="691"/>
      <c r="M1956" s="691"/>
      <c r="N1956" s="691"/>
      <c r="O1956" s="691"/>
      <c r="P1956" s="691"/>
      <c r="Q1956" s="691"/>
      <c r="R1956" s="691"/>
      <c r="S1956" s="691"/>
      <c r="T1956" s="691"/>
      <c r="U1956" s="691"/>
    </row>
    <row r="1957" s="917" customFormat="true" ht="15" hidden="false" customHeight="true" outlineLevel="0" collapsed="false">
      <c r="A1957" s="752"/>
      <c r="C1957" s="925"/>
      <c r="D1957" s="914"/>
      <c r="E1957" s="914"/>
      <c r="F1957" s="915"/>
      <c r="G1957" s="915"/>
      <c r="H1957" s="691"/>
      <c r="I1957" s="691"/>
      <c r="J1957" s="691"/>
      <c r="K1957" s="691"/>
      <c r="L1957" s="691"/>
      <c r="M1957" s="691"/>
      <c r="N1957" s="691"/>
      <c r="O1957" s="691"/>
      <c r="P1957" s="691"/>
      <c r="Q1957" s="691"/>
      <c r="R1957" s="691"/>
      <c r="S1957" s="691"/>
      <c r="T1957" s="691"/>
      <c r="U1957" s="691"/>
    </row>
    <row r="1958" s="917" customFormat="true" ht="15" hidden="false" customHeight="true" outlineLevel="0" collapsed="false">
      <c r="A1958" s="752"/>
      <c r="C1958" s="925"/>
      <c r="D1958" s="914"/>
      <c r="E1958" s="914"/>
      <c r="F1958" s="915"/>
      <c r="G1958" s="915"/>
      <c r="H1958" s="691"/>
      <c r="I1958" s="691"/>
      <c r="J1958" s="691"/>
      <c r="K1958" s="691"/>
      <c r="L1958" s="691"/>
      <c r="M1958" s="691"/>
      <c r="N1958" s="691"/>
      <c r="O1958" s="691"/>
      <c r="P1958" s="691"/>
      <c r="Q1958" s="691"/>
      <c r="R1958" s="691"/>
      <c r="S1958" s="691"/>
      <c r="T1958" s="691"/>
      <c r="U1958" s="691"/>
    </row>
    <row r="1959" s="917" customFormat="true" ht="15" hidden="false" customHeight="true" outlineLevel="0" collapsed="false">
      <c r="A1959" s="752"/>
      <c r="C1959" s="925"/>
      <c r="D1959" s="914"/>
      <c r="E1959" s="914"/>
      <c r="F1959" s="915"/>
      <c r="G1959" s="915"/>
      <c r="H1959" s="691"/>
      <c r="I1959" s="691"/>
      <c r="J1959" s="691"/>
      <c r="K1959" s="691"/>
      <c r="L1959" s="691"/>
      <c r="M1959" s="691"/>
      <c r="N1959" s="691"/>
      <c r="O1959" s="691"/>
      <c r="P1959" s="691"/>
      <c r="Q1959" s="691"/>
      <c r="R1959" s="691"/>
      <c r="S1959" s="691"/>
      <c r="T1959" s="691"/>
      <c r="U1959" s="691"/>
    </row>
    <row r="1960" s="917" customFormat="true" ht="15" hidden="false" customHeight="true" outlineLevel="0" collapsed="false">
      <c r="A1960" s="752"/>
      <c r="C1960" s="925"/>
      <c r="D1960" s="914"/>
      <c r="E1960" s="914"/>
      <c r="F1960" s="915"/>
      <c r="G1960" s="915"/>
      <c r="H1960" s="691"/>
      <c r="I1960" s="691"/>
      <c r="J1960" s="691"/>
      <c r="K1960" s="691"/>
      <c r="L1960" s="691"/>
      <c r="M1960" s="691"/>
      <c r="N1960" s="691"/>
      <c r="O1960" s="691"/>
      <c r="P1960" s="691"/>
      <c r="Q1960" s="691"/>
      <c r="R1960" s="691"/>
      <c r="S1960" s="691"/>
      <c r="T1960" s="691"/>
      <c r="U1960" s="691"/>
    </row>
    <row r="1961" s="917" customFormat="true" ht="15" hidden="false" customHeight="true" outlineLevel="0" collapsed="false">
      <c r="A1961" s="752"/>
      <c r="C1961" s="925"/>
      <c r="D1961" s="914"/>
      <c r="E1961" s="914"/>
      <c r="F1961" s="915"/>
      <c r="G1961" s="915"/>
      <c r="H1961" s="691"/>
      <c r="I1961" s="691"/>
      <c r="J1961" s="691"/>
      <c r="K1961" s="691"/>
      <c r="L1961" s="691"/>
      <c r="M1961" s="691"/>
      <c r="N1961" s="691"/>
      <c r="O1961" s="691"/>
      <c r="P1961" s="691"/>
      <c r="Q1961" s="691"/>
      <c r="R1961" s="691"/>
      <c r="S1961" s="691"/>
      <c r="T1961" s="691"/>
      <c r="U1961" s="691"/>
    </row>
    <row r="1962" s="917" customFormat="true" ht="15" hidden="false" customHeight="true" outlineLevel="0" collapsed="false">
      <c r="A1962" s="752"/>
      <c r="C1962" s="925"/>
      <c r="D1962" s="914"/>
      <c r="E1962" s="914"/>
      <c r="F1962" s="915"/>
      <c r="G1962" s="915"/>
      <c r="H1962" s="691"/>
      <c r="I1962" s="691"/>
      <c r="J1962" s="691"/>
      <c r="K1962" s="691"/>
      <c r="L1962" s="691"/>
      <c r="M1962" s="691"/>
      <c r="N1962" s="691"/>
      <c r="O1962" s="691"/>
      <c r="P1962" s="691"/>
      <c r="Q1962" s="691"/>
      <c r="R1962" s="691"/>
      <c r="S1962" s="691"/>
      <c r="T1962" s="691"/>
      <c r="U1962" s="691"/>
    </row>
    <row r="1963" s="917" customFormat="true" ht="15" hidden="false" customHeight="true" outlineLevel="0" collapsed="false">
      <c r="A1963" s="752"/>
      <c r="C1963" s="925"/>
      <c r="D1963" s="914"/>
      <c r="E1963" s="914"/>
      <c r="F1963" s="915"/>
      <c r="G1963" s="915"/>
      <c r="H1963" s="691"/>
      <c r="I1963" s="691"/>
      <c r="J1963" s="691"/>
      <c r="K1963" s="691"/>
      <c r="L1963" s="691"/>
      <c r="M1963" s="691"/>
      <c r="N1963" s="691"/>
      <c r="O1963" s="691"/>
      <c r="P1963" s="691"/>
      <c r="Q1963" s="691"/>
      <c r="R1963" s="691"/>
      <c r="S1963" s="691"/>
      <c r="T1963" s="691"/>
      <c r="U1963" s="691"/>
    </row>
    <row r="1964" s="917" customFormat="true" ht="15" hidden="false" customHeight="true" outlineLevel="0" collapsed="false">
      <c r="A1964" s="752"/>
      <c r="C1964" s="925"/>
      <c r="D1964" s="914"/>
      <c r="E1964" s="914"/>
      <c r="F1964" s="915"/>
      <c r="G1964" s="915"/>
      <c r="H1964" s="691"/>
      <c r="I1964" s="691"/>
      <c r="J1964" s="691"/>
      <c r="K1964" s="691"/>
      <c r="L1964" s="691"/>
      <c r="M1964" s="691"/>
      <c r="N1964" s="691"/>
      <c r="O1964" s="691"/>
      <c r="P1964" s="691"/>
      <c r="Q1964" s="691"/>
      <c r="R1964" s="691"/>
      <c r="S1964" s="691"/>
      <c r="T1964" s="691"/>
      <c r="U1964" s="691"/>
    </row>
    <row r="1965" s="917" customFormat="true" ht="15" hidden="false" customHeight="true" outlineLevel="0" collapsed="false">
      <c r="A1965" s="752"/>
      <c r="C1965" s="925"/>
      <c r="D1965" s="914"/>
      <c r="E1965" s="914"/>
      <c r="F1965" s="915"/>
      <c r="G1965" s="915"/>
      <c r="H1965" s="691"/>
      <c r="I1965" s="691"/>
      <c r="J1965" s="691"/>
      <c r="K1965" s="691"/>
      <c r="L1965" s="691"/>
      <c r="M1965" s="691"/>
      <c r="N1965" s="691"/>
      <c r="O1965" s="691"/>
      <c r="P1965" s="691"/>
      <c r="Q1965" s="691"/>
      <c r="R1965" s="691"/>
      <c r="S1965" s="691"/>
      <c r="T1965" s="691"/>
      <c r="U1965" s="691"/>
    </row>
    <row r="1966" s="917" customFormat="true" ht="15" hidden="false" customHeight="true" outlineLevel="0" collapsed="false">
      <c r="A1966" s="752"/>
      <c r="C1966" s="925"/>
      <c r="D1966" s="914"/>
      <c r="E1966" s="914"/>
      <c r="F1966" s="915"/>
      <c r="G1966" s="915"/>
      <c r="H1966" s="691"/>
      <c r="I1966" s="691"/>
      <c r="J1966" s="691"/>
      <c r="K1966" s="691"/>
      <c r="L1966" s="691"/>
      <c r="M1966" s="691"/>
      <c r="N1966" s="691"/>
      <c r="O1966" s="691"/>
      <c r="P1966" s="691"/>
      <c r="Q1966" s="691"/>
      <c r="R1966" s="691"/>
      <c r="S1966" s="691"/>
      <c r="T1966" s="691"/>
      <c r="U1966" s="691"/>
    </row>
    <row r="1967" s="917" customFormat="true" ht="15" hidden="false" customHeight="true" outlineLevel="0" collapsed="false">
      <c r="A1967" s="752"/>
      <c r="C1967" s="925"/>
      <c r="D1967" s="914"/>
      <c r="E1967" s="914"/>
      <c r="F1967" s="915"/>
      <c r="G1967" s="915"/>
      <c r="H1967" s="691"/>
      <c r="I1967" s="691"/>
      <c r="J1967" s="691"/>
      <c r="K1967" s="691"/>
      <c r="L1967" s="691"/>
      <c r="M1967" s="691"/>
      <c r="N1967" s="691"/>
      <c r="O1967" s="691"/>
      <c r="P1967" s="691"/>
      <c r="Q1967" s="691"/>
      <c r="R1967" s="691"/>
      <c r="S1967" s="691"/>
      <c r="T1967" s="691"/>
      <c r="U1967" s="691"/>
    </row>
    <row r="1968" s="917" customFormat="true" ht="15" hidden="false" customHeight="true" outlineLevel="0" collapsed="false">
      <c r="A1968" s="752"/>
      <c r="C1968" s="925"/>
      <c r="D1968" s="914"/>
      <c r="E1968" s="914"/>
      <c r="F1968" s="915"/>
      <c r="G1968" s="915"/>
      <c r="H1968" s="691"/>
      <c r="I1968" s="691"/>
      <c r="J1968" s="691"/>
      <c r="K1968" s="691"/>
      <c r="L1968" s="691"/>
      <c r="M1968" s="691"/>
      <c r="N1968" s="691"/>
      <c r="O1968" s="691"/>
      <c r="P1968" s="691"/>
      <c r="Q1968" s="691"/>
      <c r="R1968" s="691"/>
      <c r="S1968" s="691"/>
      <c r="T1968" s="691"/>
      <c r="U1968" s="691"/>
    </row>
    <row r="1969" s="917" customFormat="true" ht="15" hidden="false" customHeight="true" outlineLevel="0" collapsed="false">
      <c r="A1969" s="752"/>
      <c r="C1969" s="925"/>
      <c r="D1969" s="914"/>
      <c r="E1969" s="914"/>
      <c r="F1969" s="915"/>
      <c r="G1969" s="915"/>
      <c r="H1969" s="691"/>
      <c r="I1969" s="691"/>
      <c r="J1969" s="691"/>
      <c r="K1969" s="691"/>
      <c r="L1969" s="691"/>
      <c r="M1969" s="691"/>
      <c r="N1969" s="691"/>
      <c r="O1969" s="691"/>
      <c r="P1969" s="691"/>
      <c r="Q1969" s="691"/>
      <c r="R1969" s="691"/>
      <c r="S1969" s="691"/>
      <c r="T1969" s="691"/>
      <c r="U1969" s="691"/>
    </row>
    <row r="1970" s="917" customFormat="true" ht="15" hidden="false" customHeight="true" outlineLevel="0" collapsed="false">
      <c r="A1970" s="752"/>
      <c r="C1970" s="925"/>
      <c r="D1970" s="914"/>
      <c r="E1970" s="914"/>
      <c r="F1970" s="915"/>
      <c r="G1970" s="915"/>
      <c r="H1970" s="691"/>
      <c r="I1970" s="691"/>
      <c r="J1970" s="691"/>
      <c r="K1970" s="691"/>
      <c r="L1970" s="691"/>
      <c r="M1970" s="691"/>
      <c r="N1970" s="691"/>
      <c r="O1970" s="691"/>
      <c r="P1970" s="691"/>
      <c r="Q1970" s="691"/>
      <c r="R1970" s="691"/>
      <c r="S1970" s="691"/>
      <c r="T1970" s="691"/>
      <c r="U1970" s="691"/>
    </row>
    <row r="1971" s="917" customFormat="true" ht="15" hidden="false" customHeight="true" outlineLevel="0" collapsed="false">
      <c r="A1971" s="752"/>
      <c r="C1971" s="925"/>
      <c r="D1971" s="914"/>
      <c r="E1971" s="914"/>
      <c r="F1971" s="915"/>
      <c r="G1971" s="915"/>
      <c r="H1971" s="691"/>
      <c r="I1971" s="691"/>
      <c r="J1971" s="691"/>
      <c r="K1971" s="691"/>
      <c r="L1971" s="691"/>
      <c r="M1971" s="691"/>
      <c r="N1971" s="691"/>
      <c r="O1971" s="691"/>
      <c r="P1971" s="691"/>
      <c r="Q1971" s="691"/>
      <c r="R1971" s="691"/>
      <c r="S1971" s="691"/>
      <c r="T1971" s="691"/>
      <c r="U1971" s="691"/>
    </row>
    <row r="1972" s="917" customFormat="true" ht="15" hidden="false" customHeight="true" outlineLevel="0" collapsed="false">
      <c r="A1972" s="752"/>
      <c r="C1972" s="925"/>
      <c r="D1972" s="914"/>
      <c r="E1972" s="914"/>
      <c r="F1972" s="915"/>
      <c r="G1972" s="915"/>
      <c r="H1972" s="691"/>
      <c r="I1972" s="691"/>
      <c r="J1972" s="691"/>
      <c r="K1972" s="691"/>
      <c r="L1972" s="691"/>
      <c r="M1972" s="691"/>
      <c r="N1972" s="691"/>
      <c r="O1972" s="691"/>
      <c r="P1972" s="691"/>
      <c r="Q1972" s="691"/>
      <c r="R1972" s="691"/>
      <c r="S1972" s="691"/>
      <c r="T1972" s="691"/>
      <c r="U1972" s="691"/>
    </row>
    <row r="1973" s="917" customFormat="true" ht="15" hidden="false" customHeight="true" outlineLevel="0" collapsed="false">
      <c r="A1973" s="752"/>
      <c r="C1973" s="925"/>
      <c r="D1973" s="914"/>
      <c r="E1973" s="914"/>
      <c r="F1973" s="915"/>
      <c r="G1973" s="915"/>
      <c r="H1973" s="691"/>
      <c r="I1973" s="691"/>
      <c r="J1973" s="691"/>
      <c r="K1973" s="691"/>
      <c r="L1973" s="691"/>
      <c r="M1973" s="691"/>
      <c r="N1973" s="691"/>
      <c r="O1973" s="691"/>
      <c r="P1973" s="691"/>
      <c r="Q1973" s="691"/>
      <c r="R1973" s="691"/>
      <c r="S1973" s="691"/>
      <c r="T1973" s="691"/>
      <c r="U1973" s="691"/>
    </row>
    <row r="1974" s="917" customFormat="true" ht="15" hidden="false" customHeight="true" outlineLevel="0" collapsed="false">
      <c r="A1974" s="752"/>
      <c r="C1974" s="925"/>
      <c r="D1974" s="914"/>
      <c r="E1974" s="914"/>
      <c r="F1974" s="915"/>
      <c r="G1974" s="915"/>
      <c r="H1974" s="691"/>
      <c r="I1974" s="691"/>
      <c r="J1974" s="691"/>
      <c r="K1974" s="691"/>
      <c r="L1974" s="691"/>
      <c r="M1974" s="691"/>
      <c r="N1974" s="691"/>
      <c r="O1974" s="691"/>
      <c r="P1974" s="691"/>
      <c r="Q1974" s="691"/>
      <c r="R1974" s="691"/>
      <c r="S1974" s="691"/>
      <c r="T1974" s="691"/>
      <c r="U1974" s="691"/>
    </row>
    <row r="1975" s="917" customFormat="true" ht="15" hidden="false" customHeight="true" outlineLevel="0" collapsed="false">
      <c r="A1975" s="752"/>
      <c r="C1975" s="925"/>
      <c r="D1975" s="914"/>
      <c r="E1975" s="914"/>
      <c r="F1975" s="915"/>
      <c r="G1975" s="915"/>
      <c r="H1975" s="691"/>
      <c r="I1975" s="691"/>
      <c r="J1975" s="691"/>
      <c r="K1975" s="691"/>
      <c r="L1975" s="691"/>
      <c r="M1975" s="691"/>
      <c r="N1975" s="691"/>
      <c r="O1975" s="691"/>
      <c r="P1975" s="691"/>
      <c r="Q1975" s="691"/>
      <c r="R1975" s="691"/>
      <c r="S1975" s="691"/>
      <c r="T1975" s="691"/>
      <c r="U1975" s="691"/>
    </row>
    <row r="1976" s="917" customFormat="true" ht="15" hidden="false" customHeight="true" outlineLevel="0" collapsed="false">
      <c r="A1976" s="752"/>
      <c r="C1976" s="925"/>
      <c r="D1976" s="914"/>
      <c r="E1976" s="914"/>
      <c r="F1976" s="915"/>
      <c r="G1976" s="915"/>
      <c r="H1976" s="691"/>
      <c r="I1976" s="691"/>
      <c r="J1976" s="691"/>
      <c r="K1976" s="691"/>
      <c r="L1976" s="691"/>
      <c r="M1976" s="691"/>
      <c r="N1976" s="691"/>
      <c r="O1976" s="691"/>
      <c r="P1976" s="691"/>
      <c r="Q1976" s="691"/>
      <c r="R1976" s="691"/>
      <c r="S1976" s="691"/>
      <c r="T1976" s="691"/>
      <c r="U1976" s="691"/>
    </row>
    <row r="1977" s="917" customFormat="true" ht="15" hidden="false" customHeight="true" outlineLevel="0" collapsed="false">
      <c r="A1977" s="752"/>
      <c r="C1977" s="925"/>
      <c r="D1977" s="914"/>
      <c r="E1977" s="914"/>
      <c r="F1977" s="915"/>
      <c r="G1977" s="915"/>
      <c r="H1977" s="691"/>
      <c r="I1977" s="691"/>
      <c r="J1977" s="691"/>
      <c r="K1977" s="691"/>
      <c r="L1977" s="691"/>
      <c r="M1977" s="691"/>
      <c r="N1977" s="691"/>
      <c r="O1977" s="691"/>
      <c r="P1977" s="691"/>
      <c r="Q1977" s="691"/>
      <c r="R1977" s="691"/>
      <c r="S1977" s="691"/>
      <c r="T1977" s="691"/>
      <c r="U1977" s="691"/>
    </row>
    <row r="1978" s="917" customFormat="true" ht="15" hidden="false" customHeight="true" outlineLevel="0" collapsed="false">
      <c r="A1978" s="752"/>
      <c r="C1978" s="925"/>
      <c r="D1978" s="914"/>
      <c r="E1978" s="914"/>
      <c r="F1978" s="915"/>
      <c r="G1978" s="915"/>
      <c r="H1978" s="691"/>
      <c r="I1978" s="691"/>
      <c r="J1978" s="691"/>
      <c r="K1978" s="691"/>
      <c r="L1978" s="691"/>
      <c r="M1978" s="691"/>
      <c r="N1978" s="691"/>
      <c r="O1978" s="691"/>
      <c r="P1978" s="691"/>
      <c r="Q1978" s="691"/>
      <c r="R1978" s="691"/>
      <c r="S1978" s="691"/>
      <c r="T1978" s="691"/>
      <c r="U1978" s="691"/>
    </row>
    <row r="1979" s="917" customFormat="true" ht="15" hidden="false" customHeight="true" outlineLevel="0" collapsed="false">
      <c r="A1979" s="752"/>
      <c r="C1979" s="925"/>
      <c r="D1979" s="914"/>
      <c r="E1979" s="914"/>
      <c r="F1979" s="915"/>
      <c r="G1979" s="915"/>
      <c r="H1979" s="691"/>
      <c r="I1979" s="691"/>
      <c r="J1979" s="691"/>
      <c r="K1979" s="691"/>
      <c r="L1979" s="691"/>
      <c r="M1979" s="691"/>
      <c r="N1979" s="691"/>
      <c r="O1979" s="691"/>
      <c r="P1979" s="691"/>
      <c r="Q1979" s="691"/>
      <c r="R1979" s="691"/>
      <c r="S1979" s="691"/>
      <c r="T1979" s="691"/>
      <c r="U1979" s="691"/>
    </row>
    <row r="1980" s="917" customFormat="true" ht="15" hidden="false" customHeight="true" outlineLevel="0" collapsed="false">
      <c r="A1980" s="752"/>
      <c r="C1980" s="925"/>
      <c r="D1980" s="914"/>
      <c r="E1980" s="914"/>
      <c r="F1980" s="915"/>
      <c r="G1980" s="915"/>
      <c r="H1980" s="691"/>
      <c r="I1980" s="691"/>
      <c r="J1980" s="691"/>
      <c r="K1980" s="691"/>
      <c r="L1980" s="691"/>
      <c r="M1980" s="691"/>
      <c r="N1980" s="691"/>
      <c r="O1980" s="691"/>
      <c r="P1980" s="691"/>
      <c r="Q1980" s="691"/>
      <c r="R1980" s="691"/>
      <c r="S1980" s="691"/>
      <c r="T1980" s="691"/>
      <c r="U1980" s="691"/>
    </row>
    <row r="1981" s="917" customFormat="true" ht="15" hidden="false" customHeight="true" outlineLevel="0" collapsed="false">
      <c r="A1981" s="752"/>
      <c r="C1981" s="925"/>
      <c r="D1981" s="914"/>
      <c r="E1981" s="914"/>
      <c r="F1981" s="915"/>
      <c r="G1981" s="915"/>
      <c r="H1981" s="691"/>
      <c r="I1981" s="691"/>
      <c r="J1981" s="691"/>
      <c r="K1981" s="691"/>
      <c r="L1981" s="691"/>
      <c r="M1981" s="691"/>
      <c r="N1981" s="691"/>
      <c r="O1981" s="691"/>
      <c r="P1981" s="691"/>
      <c r="Q1981" s="691"/>
      <c r="R1981" s="691"/>
      <c r="S1981" s="691"/>
      <c r="T1981" s="691"/>
      <c r="U1981" s="691"/>
    </row>
    <row r="1982" s="917" customFormat="true" ht="15" hidden="false" customHeight="true" outlineLevel="0" collapsed="false">
      <c r="A1982" s="752"/>
      <c r="C1982" s="925"/>
      <c r="D1982" s="914"/>
      <c r="E1982" s="914"/>
      <c r="F1982" s="915"/>
      <c r="G1982" s="915"/>
      <c r="H1982" s="691"/>
      <c r="I1982" s="691"/>
      <c r="J1982" s="691"/>
      <c r="K1982" s="691"/>
      <c r="L1982" s="691"/>
      <c r="M1982" s="691"/>
      <c r="N1982" s="691"/>
      <c r="O1982" s="691"/>
      <c r="P1982" s="691"/>
      <c r="Q1982" s="691"/>
      <c r="R1982" s="691"/>
      <c r="S1982" s="691"/>
      <c r="T1982" s="691"/>
      <c r="U1982" s="691"/>
    </row>
    <row r="1983" s="917" customFormat="true" ht="15" hidden="false" customHeight="true" outlineLevel="0" collapsed="false">
      <c r="A1983" s="752"/>
      <c r="C1983" s="925"/>
      <c r="D1983" s="914"/>
      <c r="E1983" s="914"/>
      <c r="F1983" s="915"/>
      <c r="G1983" s="915"/>
      <c r="H1983" s="691"/>
      <c r="I1983" s="691"/>
      <c r="J1983" s="691"/>
      <c r="K1983" s="691"/>
      <c r="L1983" s="691"/>
      <c r="M1983" s="691"/>
      <c r="N1983" s="691"/>
      <c r="O1983" s="691"/>
      <c r="P1983" s="691"/>
      <c r="Q1983" s="691"/>
      <c r="R1983" s="691"/>
      <c r="S1983" s="691"/>
      <c r="T1983" s="691"/>
      <c r="U1983" s="691"/>
    </row>
    <row r="1984" s="917" customFormat="true" ht="15" hidden="false" customHeight="true" outlineLevel="0" collapsed="false">
      <c r="A1984" s="752"/>
      <c r="C1984" s="925"/>
      <c r="D1984" s="914"/>
      <c r="E1984" s="914"/>
      <c r="F1984" s="915"/>
      <c r="G1984" s="915"/>
      <c r="H1984" s="691"/>
      <c r="I1984" s="691"/>
      <c r="J1984" s="691"/>
      <c r="K1984" s="691"/>
      <c r="L1984" s="691"/>
      <c r="M1984" s="691"/>
      <c r="N1984" s="691"/>
      <c r="O1984" s="691"/>
      <c r="P1984" s="691"/>
      <c r="Q1984" s="691"/>
      <c r="R1984" s="691"/>
      <c r="S1984" s="691"/>
      <c r="T1984" s="691"/>
      <c r="U1984" s="691"/>
    </row>
    <row r="1985" s="917" customFormat="true" ht="15" hidden="false" customHeight="true" outlineLevel="0" collapsed="false">
      <c r="A1985" s="752"/>
      <c r="C1985" s="925"/>
      <c r="D1985" s="914"/>
      <c r="E1985" s="914"/>
      <c r="F1985" s="915"/>
      <c r="G1985" s="915"/>
      <c r="H1985" s="691"/>
      <c r="I1985" s="691"/>
      <c r="J1985" s="691"/>
      <c r="K1985" s="691"/>
      <c r="L1985" s="691"/>
      <c r="M1985" s="691"/>
      <c r="N1985" s="691"/>
      <c r="O1985" s="691"/>
      <c r="P1985" s="691"/>
      <c r="Q1985" s="691"/>
      <c r="R1985" s="691"/>
      <c r="S1985" s="691"/>
      <c r="T1985" s="691"/>
      <c r="U1985" s="691"/>
    </row>
    <row r="1986" s="917" customFormat="true" ht="15" hidden="false" customHeight="true" outlineLevel="0" collapsed="false">
      <c r="A1986" s="752"/>
      <c r="C1986" s="925"/>
      <c r="D1986" s="914"/>
      <c r="E1986" s="914"/>
      <c r="F1986" s="915"/>
      <c r="G1986" s="915"/>
      <c r="H1986" s="691"/>
      <c r="I1986" s="691"/>
      <c r="J1986" s="691"/>
      <c r="K1986" s="691"/>
      <c r="L1986" s="691"/>
      <c r="M1986" s="691"/>
      <c r="N1986" s="691"/>
      <c r="O1986" s="691"/>
      <c r="P1986" s="691"/>
      <c r="Q1986" s="691"/>
      <c r="R1986" s="691"/>
      <c r="S1986" s="691"/>
      <c r="T1986" s="691"/>
      <c r="U1986" s="691"/>
    </row>
    <row r="1987" s="917" customFormat="true" ht="15" hidden="false" customHeight="true" outlineLevel="0" collapsed="false">
      <c r="A1987" s="752"/>
      <c r="C1987" s="925"/>
      <c r="D1987" s="914"/>
      <c r="E1987" s="914"/>
      <c r="F1987" s="915"/>
      <c r="G1987" s="915"/>
      <c r="H1987" s="691"/>
      <c r="I1987" s="691"/>
      <c r="J1987" s="691"/>
      <c r="K1987" s="691"/>
      <c r="L1987" s="691"/>
      <c r="M1987" s="691"/>
      <c r="N1987" s="691"/>
      <c r="O1987" s="691"/>
      <c r="P1987" s="691"/>
      <c r="Q1987" s="691"/>
      <c r="R1987" s="691"/>
      <c r="S1987" s="691"/>
      <c r="T1987" s="691"/>
      <c r="U1987" s="691"/>
    </row>
    <row r="1988" s="917" customFormat="true" ht="15" hidden="false" customHeight="true" outlineLevel="0" collapsed="false">
      <c r="A1988" s="752"/>
      <c r="C1988" s="925"/>
      <c r="D1988" s="914"/>
      <c r="E1988" s="914"/>
      <c r="F1988" s="915"/>
      <c r="G1988" s="915"/>
      <c r="H1988" s="691"/>
      <c r="I1988" s="691"/>
      <c r="J1988" s="691"/>
      <c r="K1988" s="691"/>
      <c r="L1988" s="691"/>
      <c r="M1988" s="691"/>
      <c r="N1988" s="691"/>
      <c r="O1988" s="691"/>
      <c r="P1988" s="691"/>
      <c r="Q1988" s="691"/>
      <c r="R1988" s="691"/>
      <c r="S1988" s="691"/>
      <c r="T1988" s="691"/>
      <c r="U1988" s="691"/>
    </row>
    <row r="1989" s="917" customFormat="true" ht="15" hidden="false" customHeight="true" outlineLevel="0" collapsed="false">
      <c r="A1989" s="752"/>
      <c r="C1989" s="925"/>
      <c r="D1989" s="914"/>
      <c r="E1989" s="914"/>
      <c r="F1989" s="915"/>
      <c r="G1989" s="915"/>
      <c r="H1989" s="691"/>
      <c r="I1989" s="691"/>
      <c r="J1989" s="691"/>
      <c r="K1989" s="691"/>
      <c r="L1989" s="691"/>
      <c r="M1989" s="691"/>
      <c r="N1989" s="691"/>
      <c r="O1989" s="691"/>
      <c r="P1989" s="691"/>
      <c r="Q1989" s="691"/>
      <c r="R1989" s="691"/>
      <c r="S1989" s="691"/>
      <c r="T1989" s="691"/>
      <c r="U1989" s="691"/>
    </row>
    <row r="1990" s="917" customFormat="true" ht="15" hidden="false" customHeight="true" outlineLevel="0" collapsed="false">
      <c r="A1990" s="752"/>
      <c r="C1990" s="925"/>
      <c r="D1990" s="914"/>
      <c r="E1990" s="914"/>
      <c r="F1990" s="915"/>
      <c r="G1990" s="915"/>
      <c r="H1990" s="691"/>
      <c r="I1990" s="691"/>
      <c r="J1990" s="691"/>
      <c r="K1990" s="691"/>
      <c r="L1990" s="691"/>
      <c r="M1990" s="691"/>
      <c r="N1990" s="691"/>
      <c r="O1990" s="691"/>
      <c r="P1990" s="691"/>
      <c r="Q1990" s="691"/>
      <c r="R1990" s="691"/>
      <c r="S1990" s="691"/>
      <c r="T1990" s="691"/>
      <c r="U1990" s="691"/>
    </row>
    <row r="1991" s="917" customFormat="true" ht="15" hidden="false" customHeight="true" outlineLevel="0" collapsed="false">
      <c r="A1991" s="752"/>
      <c r="C1991" s="925"/>
      <c r="D1991" s="914"/>
      <c r="E1991" s="914"/>
      <c r="F1991" s="915"/>
      <c r="G1991" s="915"/>
      <c r="H1991" s="691"/>
      <c r="I1991" s="691"/>
      <c r="J1991" s="691"/>
      <c r="K1991" s="691"/>
      <c r="L1991" s="691"/>
      <c r="M1991" s="691"/>
      <c r="N1991" s="691"/>
      <c r="O1991" s="691"/>
      <c r="P1991" s="691"/>
      <c r="Q1991" s="691"/>
      <c r="R1991" s="691"/>
      <c r="S1991" s="691"/>
      <c r="T1991" s="691"/>
      <c r="U1991" s="691"/>
    </row>
    <row r="1992" s="917" customFormat="true" ht="15" hidden="false" customHeight="true" outlineLevel="0" collapsed="false">
      <c r="A1992" s="752"/>
      <c r="C1992" s="925"/>
      <c r="D1992" s="914"/>
      <c r="E1992" s="914"/>
      <c r="F1992" s="915"/>
      <c r="G1992" s="915"/>
      <c r="H1992" s="691"/>
      <c r="I1992" s="691"/>
      <c r="J1992" s="691"/>
      <c r="K1992" s="691"/>
      <c r="L1992" s="691"/>
      <c r="M1992" s="691"/>
      <c r="N1992" s="691"/>
      <c r="O1992" s="691"/>
      <c r="P1992" s="691"/>
      <c r="Q1992" s="691"/>
      <c r="R1992" s="691"/>
      <c r="S1992" s="691"/>
      <c r="T1992" s="691"/>
      <c r="U1992" s="691"/>
    </row>
    <row r="1993" s="917" customFormat="true" ht="15" hidden="false" customHeight="true" outlineLevel="0" collapsed="false">
      <c r="A1993" s="752"/>
      <c r="C1993" s="925"/>
      <c r="D1993" s="914"/>
      <c r="E1993" s="914"/>
      <c r="F1993" s="915"/>
      <c r="G1993" s="915"/>
      <c r="H1993" s="691"/>
      <c r="I1993" s="691"/>
      <c r="J1993" s="691"/>
      <c r="K1993" s="691"/>
      <c r="L1993" s="691"/>
      <c r="M1993" s="691"/>
      <c r="N1993" s="691"/>
      <c r="O1993" s="691"/>
      <c r="P1993" s="691"/>
      <c r="Q1993" s="691"/>
      <c r="R1993" s="691"/>
      <c r="S1993" s="691"/>
      <c r="T1993" s="691"/>
      <c r="U1993" s="691"/>
    </row>
    <row r="1994" s="917" customFormat="true" ht="15" hidden="false" customHeight="true" outlineLevel="0" collapsed="false">
      <c r="A1994" s="752"/>
      <c r="C1994" s="925"/>
      <c r="D1994" s="914"/>
      <c r="E1994" s="914"/>
      <c r="F1994" s="915"/>
      <c r="G1994" s="915"/>
      <c r="H1994" s="691"/>
      <c r="I1994" s="691"/>
      <c r="J1994" s="691"/>
      <c r="K1994" s="691"/>
      <c r="L1994" s="691"/>
      <c r="M1994" s="691"/>
      <c r="N1994" s="691"/>
      <c r="O1994" s="691"/>
      <c r="P1994" s="691"/>
      <c r="Q1994" s="691"/>
      <c r="R1994" s="691"/>
      <c r="S1994" s="691"/>
      <c r="T1994" s="691"/>
      <c r="U1994" s="691"/>
    </row>
    <row r="1995" s="917" customFormat="true" ht="15" hidden="false" customHeight="true" outlineLevel="0" collapsed="false">
      <c r="A1995" s="752"/>
      <c r="C1995" s="925"/>
      <c r="D1995" s="914"/>
      <c r="E1995" s="914"/>
      <c r="F1995" s="915"/>
      <c r="G1995" s="915"/>
      <c r="H1995" s="691"/>
      <c r="I1995" s="691"/>
      <c r="J1995" s="691"/>
      <c r="K1995" s="691"/>
      <c r="L1995" s="691"/>
      <c r="M1995" s="691"/>
      <c r="N1995" s="691"/>
      <c r="O1995" s="691"/>
      <c r="P1995" s="691"/>
      <c r="Q1995" s="691"/>
      <c r="R1995" s="691"/>
      <c r="S1995" s="691"/>
      <c r="T1995" s="691"/>
      <c r="U1995" s="691"/>
    </row>
    <row r="1996" s="917" customFormat="true" ht="15" hidden="false" customHeight="true" outlineLevel="0" collapsed="false">
      <c r="A1996" s="752"/>
      <c r="C1996" s="925"/>
      <c r="D1996" s="914"/>
      <c r="E1996" s="914"/>
      <c r="F1996" s="915"/>
      <c r="G1996" s="915"/>
      <c r="H1996" s="691"/>
      <c r="I1996" s="691"/>
      <c r="J1996" s="691"/>
      <c r="K1996" s="691"/>
      <c r="L1996" s="691"/>
      <c r="M1996" s="691"/>
      <c r="N1996" s="691"/>
      <c r="O1996" s="691"/>
      <c r="P1996" s="691"/>
      <c r="Q1996" s="691"/>
      <c r="R1996" s="691"/>
      <c r="S1996" s="691"/>
      <c r="T1996" s="691"/>
      <c r="U1996" s="691"/>
    </row>
    <row r="1997" s="917" customFormat="true" ht="15" hidden="false" customHeight="true" outlineLevel="0" collapsed="false">
      <c r="A1997" s="752"/>
      <c r="C1997" s="925"/>
      <c r="D1997" s="914"/>
      <c r="E1997" s="914"/>
      <c r="F1997" s="915"/>
      <c r="G1997" s="915"/>
      <c r="H1997" s="691"/>
      <c r="I1997" s="691"/>
      <c r="J1997" s="691"/>
      <c r="K1997" s="691"/>
      <c r="L1997" s="691"/>
      <c r="M1997" s="691"/>
      <c r="N1997" s="691"/>
      <c r="O1997" s="691"/>
      <c r="P1997" s="691"/>
      <c r="Q1997" s="691"/>
      <c r="R1997" s="691"/>
      <c r="S1997" s="691"/>
      <c r="T1997" s="691"/>
      <c r="U1997" s="691"/>
    </row>
    <row r="1998" s="917" customFormat="true" ht="15" hidden="false" customHeight="true" outlineLevel="0" collapsed="false">
      <c r="A1998" s="752"/>
      <c r="C1998" s="925"/>
      <c r="D1998" s="914"/>
      <c r="E1998" s="914"/>
      <c r="F1998" s="915"/>
      <c r="G1998" s="915"/>
      <c r="H1998" s="691"/>
      <c r="I1998" s="691"/>
      <c r="J1998" s="691"/>
      <c r="K1998" s="691"/>
      <c r="L1998" s="691"/>
      <c r="M1998" s="691"/>
      <c r="N1998" s="691"/>
      <c r="O1998" s="691"/>
      <c r="P1998" s="691"/>
      <c r="Q1998" s="691"/>
      <c r="R1998" s="691"/>
      <c r="S1998" s="691"/>
      <c r="T1998" s="691"/>
      <c r="U1998" s="691"/>
    </row>
    <row r="1999" s="917" customFormat="true" ht="15" hidden="false" customHeight="true" outlineLevel="0" collapsed="false">
      <c r="A1999" s="752"/>
      <c r="C1999" s="925"/>
      <c r="D1999" s="914"/>
      <c r="E1999" s="914"/>
      <c r="F1999" s="915"/>
      <c r="G1999" s="915"/>
      <c r="H1999" s="691"/>
      <c r="I1999" s="691"/>
      <c r="J1999" s="691"/>
      <c r="K1999" s="691"/>
      <c r="L1999" s="691"/>
      <c r="M1999" s="691"/>
      <c r="N1999" s="691"/>
      <c r="O1999" s="691"/>
      <c r="P1999" s="691"/>
      <c r="Q1999" s="691"/>
      <c r="R1999" s="691"/>
      <c r="S1999" s="691"/>
      <c r="T1999" s="691"/>
      <c r="U1999" s="691"/>
    </row>
    <row r="2000" s="917" customFormat="true" ht="15" hidden="false" customHeight="true" outlineLevel="0" collapsed="false">
      <c r="A2000" s="752"/>
      <c r="C2000" s="925"/>
      <c r="D2000" s="914"/>
      <c r="E2000" s="914"/>
      <c r="F2000" s="915"/>
      <c r="G2000" s="915"/>
      <c r="H2000" s="691"/>
      <c r="I2000" s="691"/>
      <c r="J2000" s="691"/>
      <c r="K2000" s="691"/>
      <c r="L2000" s="691"/>
      <c r="M2000" s="691"/>
      <c r="N2000" s="691"/>
      <c r="O2000" s="691"/>
      <c r="P2000" s="691"/>
      <c r="Q2000" s="691"/>
      <c r="R2000" s="691"/>
      <c r="S2000" s="691"/>
      <c r="T2000" s="691"/>
      <c r="U2000" s="691"/>
    </row>
    <row r="2001" s="917" customFormat="true" ht="15" hidden="false" customHeight="true" outlineLevel="0" collapsed="false">
      <c r="A2001" s="752"/>
      <c r="C2001" s="925"/>
      <c r="D2001" s="914"/>
      <c r="E2001" s="914"/>
      <c r="F2001" s="915"/>
      <c r="G2001" s="915"/>
      <c r="H2001" s="691"/>
      <c r="I2001" s="691"/>
      <c r="J2001" s="691"/>
      <c r="K2001" s="691"/>
      <c r="L2001" s="691"/>
      <c r="M2001" s="691"/>
      <c r="N2001" s="691"/>
      <c r="O2001" s="691"/>
      <c r="P2001" s="691"/>
      <c r="Q2001" s="691"/>
      <c r="R2001" s="691"/>
      <c r="S2001" s="691"/>
      <c r="T2001" s="691"/>
      <c r="U2001" s="691"/>
    </row>
    <row r="2002" s="917" customFormat="true" ht="15" hidden="false" customHeight="true" outlineLevel="0" collapsed="false">
      <c r="A2002" s="752"/>
      <c r="C2002" s="925"/>
      <c r="D2002" s="914"/>
      <c r="E2002" s="914"/>
      <c r="F2002" s="915"/>
      <c r="G2002" s="915"/>
      <c r="H2002" s="691"/>
      <c r="I2002" s="691"/>
      <c r="J2002" s="691"/>
      <c r="K2002" s="691"/>
      <c r="L2002" s="691"/>
      <c r="M2002" s="691"/>
      <c r="N2002" s="691"/>
      <c r="O2002" s="691"/>
      <c r="P2002" s="691"/>
      <c r="Q2002" s="691"/>
      <c r="R2002" s="691"/>
      <c r="S2002" s="691"/>
      <c r="T2002" s="691"/>
      <c r="U2002" s="691"/>
    </row>
    <row r="2003" s="917" customFormat="true" ht="15" hidden="false" customHeight="true" outlineLevel="0" collapsed="false">
      <c r="A2003" s="752"/>
      <c r="C2003" s="925"/>
      <c r="D2003" s="914"/>
      <c r="E2003" s="914"/>
      <c r="F2003" s="915"/>
      <c r="G2003" s="915"/>
      <c r="H2003" s="691"/>
      <c r="I2003" s="691"/>
      <c r="J2003" s="691"/>
      <c r="K2003" s="691"/>
      <c r="L2003" s="691"/>
      <c r="M2003" s="691"/>
      <c r="N2003" s="691"/>
      <c r="O2003" s="691"/>
      <c r="P2003" s="691"/>
      <c r="Q2003" s="691"/>
      <c r="R2003" s="691"/>
      <c r="S2003" s="691"/>
      <c r="T2003" s="691"/>
      <c r="U2003" s="691"/>
    </row>
    <row r="2004" s="917" customFormat="true" ht="15" hidden="false" customHeight="true" outlineLevel="0" collapsed="false">
      <c r="A2004" s="752"/>
      <c r="C2004" s="925"/>
      <c r="D2004" s="914"/>
      <c r="E2004" s="914"/>
      <c r="F2004" s="915"/>
      <c r="G2004" s="915"/>
      <c r="H2004" s="691"/>
      <c r="I2004" s="691"/>
      <c r="J2004" s="691"/>
      <c r="K2004" s="691"/>
      <c r="L2004" s="691"/>
      <c r="M2004" s="691"/>
      <c r="N2004" s="691"/>
      <c r="O2004" s="691"/>
      <c r="P2004" s="691"/>
      <c r="Q2004" s="691"/>
      <c r="R2004" s="691"/>
      <c r="S2004" s="691"/>
      <c r="T2004" s="691"/>
      <c r="U2004" s="691"/>
    </row>
    <row r="2005" s="917" customFormat="true" ht="15" hidden="false" customHeight="true" outlineLevel="0" collapsed="false">
      <c r="A2005" s="752"/>
      <c r="C2005" s="925"/>
      <c r="D2005" s="914"/>
      <c r="E2005" s="914"/>
      <c r="F2005" s="915"/>
      <c r="G2005" s="915"/>
      <c r="H2005" s="691"/>
      <c r="I2005" s="691"/>
      <c r="J2005" s="691"/>
      <c r="K2005" s="691"/>
      <c r="L2005" s="691"/>
      <c r="M2005" s="691"/>
      <c r="N2005" s="691"/>
      <c r="O2005" s="691"/>
      <c r="P2005" s="691"/>
      <c r="Q2005" s="691"/>
      <c r="R2005" s="691"/>
      <c r="S2005" s="691"/>
      <c r="T2005" s="691"/>
      <c r="U2005" s="691"/>
    </row>
    <row r="2006" s="917" customFormat="true" ht="15" hidden="false" customHeight="true" outlineLevel="0" collapsed="false">
      <c r="A2006" s="752"/>
      <c r="C2006" s="925"/>
      <c r="D2006" s="914"/>
      <c r="E2006" s="914"/>
      <c r="F2006" s="915"/>
      <c r="G2006" s="915"/>
      <c r="H2006" s="691"/>
      <c r="I2006" s="691"/>
      <c r="J2006" s="691"/>
      <c r="K2006" s="691"/>
      <c r="L2006" s="691"/>
      <c r="M2006" s="691"/>
      <c r="N2006" s="691"/>
      <c r="O2006" s="691"/>
      <c r="P2006" s="691"/>
      <c r="Q2006" s="691"/>
      <c r="R2006" s="691"/>
      <c r="S2006" s="691"/>
      <c r="T2006" s="691"/>
      <c r="U2006" s="691"/>
    </row>
    <row r="2007" s="917" customFormat="true" ht="15" hidden="false" customHeight="true" outlineLevel="0" collapsed="false">
      <c r="A2007" s="752"/>
      <c r="C2007" s="925"/>
      <c r="D2007" s="914"/>
      <c r="E2007" s="914"/>
      <c r="F2007" s="915"/>
      <c r="G2007" s="915"/>
      <c r="H2007" s="691"/>
      <c r="I2007" s="691"/>
      <c r="J2007" s="691"/>
      <c r="K2007" s="691"/>
      <c r="L2007" s="691"/>
      <c r="M2007" s="691"/>
      <c r="N2007" s="691"/>
      <c r="O2007" s="691"/>
      <c r="P2007" s="691"/>
      <c r="Q2007" s="691"/>
      <c r="R2007" s="691"/>
      <c r="S2007" s="691"/>
      <c r="T2007" s="691"/>
      <c r="U2007" s="691"/>
    </row>
    <row r="2008" s="917" customFormat="true" ht="15" hidden="false" customHeight="true" outlineLevel="0" collapsed="false">
      <c r="A2008" s="752"/>
      <c r="C2008" s="925"/>
      <c r="D2008" s="914"/>
      <c r="E2008" s="914"/>
      <c r="F2008" s="915"/>
      <c r="G2008" s="915"/>
      <c r="H2008" s="691"/>
      <c r="I2008" s="691"/>
      <c r="J2008" s="691"/>
      <c r="K2008" s="691"/>
      <c r="L2008" s="691"/>
      <c r="M2008" s="691"/>
      <c r="N2008" s="691"/>
      <c r="O2008" s="691"/>
      <c r="P2008" s="691"/>
      <c r="Q2008" s="691"/>
      <c r="R2008" s="691"/>
      <c r="S2008" s="691"/>
      <c r="T2008" s="691"/>
      <c r="U2008" s="691"/>
    </row>
    <row r="2009" s="917" customFormat="true" ht="15" hidden="false" customHeight="true" outlineLevel="0" collapsed="false">
      <c r="A2009" s="752"/>
      <c r="C2009" s="925"/>
      <c r="D2009" s="914"/>
      <c r="E2009" s="914"/>
      <c r="F2009" s="915"/>
      <c r="G2009" s="915"/>
      <c r="H2009" s="691"/>
      <c r="I2009" s="691"/>
      <c r="J2009" s="691"/>
      <c r="K2009" s="691"/>
      <c r="L2009" s="691"/>
      <c r="M2009" s="691"/>
      <c r="N2009" s="691"/>
      <c r="O2009" s="691"/>
      <c r="P2009" s="691"/>
      <c r="Q2009" s="691"/>
      <c r="R2009" s="691"/>
      <c r="S2009" s="691"/>
      <c r="T2009" s="691"/>
      <c r="U2009" s="691"/>
    </row>
    <row r="2010" s="917" customFormat="true" ht="15" hidden="false" customHeight="true" outlineLevel="0" collapsed="false">
      <c r="A2010" s="752"/>
      <c r="C2010" s="925"/>
      <c r="D2010" s="914"/>
      <c r="E2010" s="914"/>
      <c r="F2010" s="915"/>
      <c r="G2010" s="915"/>
      <c r="H2010" s="691"/>
      <c r="I2010" s="691"/>
      <c r="J2010" s="691"/>
      <c r="K2010" s="691"/>
      <c r="L2010" s="691"/>
      <c r="M2010" s="691"/>
      <c r="N2010" s="691"/>
      <c r="O2010" s="691"/>
      <c r="P2010" s="691"/>
      <c r="Q2010" s="691"/>
      <c r="R2010" s="691"/>
      <c r="S2010" s="691"/>
      <c r="T2010" s="691"/>
      <c r="U2010" s="691"/>
    </row>
    <row r="2011" s="917" customFormat="true" ht="15" hidden="false" customHeight="true" outlineLevel="0" collapsed="false">
      <c r="A2011" s="752"/>
      <c r="C2011" s="925"/>
      <c r="D2011" s="914"/>
      <c r="E2011" s="914"/>
      <c r="F2011" s="915"/>
      <c r="G2011" s="915"/>
      <c r="H2011" s="691"/>
      <c r="I2011" s="691"/>
      <c r="J2011" s="691"/>
      <c r="K2011" s="691"/>
      <c r="L2011" s="691"/>
      <c r="M2011" s="691"/>
      <c r="N2011" s="691"/>
      <c r="O2011" s="691"/>
      <c r="P2011" s="691"/>
      <c r="Q2011" s="691"/>
      <c r="R2011" s="691"/>
      <c r="S2011" s="691"/>
      <c r="T2011" s="691"/>
      <c r="U2011" s="691"/>
    </row>
    <row r="2012" s="917" customFormat="true" ht="15" hidden="false" customHeight="true" outlineLevel="0" collapsed="false">
      <c r="A2012" s="752"/>
      <c r="C2012" s="925"/>
      <c r="D2012" s="914"/>
      <c r="E2012" s="914"/>
      <c r="F2012" s="915"/>
      <c r="G2012" s="915"/>
      <c r="H2012" s="691"/>
      <c r="I2012" s="691"/>
      <c r="J2012" s="691"/>
      <c r="K2012" s="691"/>
      <c r="L2012" s="691"/>
      <c r="M2012" s="691"/>
      <c r="N2012" s="691"/>
      <c r="O2012" s="691"/>
      <c r="P2012" s="691"/>
      <c r="Q2012" s="691"/>
      <c r="R2012" s="691"/>
      <c r="S2012" s="691"/>
      <c r="T2012" s="691"/>
      <c r="U2012" s="691"/>
    </row>
    <row r="2013" s="917" customFormat="true" ht="15" hidden="false" customHeight="true" outlineLevel="0" collapsed="false">
      <c r="A2013" s="752"/>
      <c r="C2013" s="925"/>
      <c r="D2013" s="914"/>
      <c r="E2013" s="914"/>
      <c r="F2013" s="915"/>
      <c r="G2013" s="915"/>
      <c r="H2013" s="691"/>
      <c r="I2013" s="691"/>
      <c r="J2013" s="691"/>
      <c r="K2013" s="691"/>
      <c r="L2013" s="691"/>
      <c r="M2013" s="691"/>
      <c r="N2013" s="691"/>
      <c r="O2013" s="691"/>
      <c r="P2013" s="691"/>
      <c r="Q2013" s="691"/>
      <c r="R2013" s="691"/>
      <c r="S2013" s="691"/>
      <c r="T2013" s="691"/>
      <c r="U2013" s="691"/>
    </row>
    <row r="2014" s="917" customFormat="true" ht="15" hidden="false" customHeight="true" outlineLevel="0" collapsed="false">
      <c r="A2014" s="752"/>
      <c r="C2014" s="925"/>
      <c r="D2014" s="914"/>
      <c r="E2014" s="914"/>
      <c r="F2014" s="915"/>
      <c r="G2014" s="915"/>
      <c r="H2014" s="691"/>
      <c r="I2014" s="691"/>
      <c r="J2014" s="691"/>
      <c r="K2014" s="691"/>
      <c r="L2014" s="691"/>
      <c r="M2014" s="691"/>
      <c r="N2014" s="691"/>
      <c r="O2014" s="691"/>
      <c r="P2014" s="691"/>
      <c r="Q2014" s="691"/>
      <c r="R2014" s="691"/>
      <c r="S2014" s="691"/>
      <c r="T2014" s="691"/>
      <c r="U2014" s="691"/>
    </row>
    <row r="2015" s="917" customFormat="true" ht="15" hidden="false" customHeight="true" outlineLevel="0" collapsed="false">
      <c r="A2015" s="752"/>
      <c r="C2015" s="925"/>
      <c r="D2015" s="914"/>
      <c r="E2015" s="914"/>
      <c r="F2015" s="915"/>
      <c r="G2015" s="915"/>
      <c r="H2015" s="691"/>
      <c r="I2015" s="691"/>
      <c r="J2015" s="691"/>
      <c r="K2015" s="691"/>
      <c r="L2015" s="691"/>
      <c r="M2015" s="691"/>
      <c r="N2015" s="691"/>
      <c r="O2015" s="691"/>
      <c r="P2015" s="691"/>
      <c r="Q2015" s="691"/>
      <c r="R2015" s="691"/>
      <c r="S2015" s="691"/>
      <c r="T2015" s="691"/>
      <c r="U2015" s="691"/>
    </row>
    <row r="2016" s="917" customFormat="true" ht="15" hidden="false" customHeight="true" outlineLevel="0" collapsed="false">
      <c r="A2016" s="752"/>
      <c r="C2016" s="925"/>
      <c r="D2016" s="914"/>
      <c r="E2016" s="914"/>
      <c r="F2016" s="915"/>
      <c r="G2016" s="915"/>
      <c r="H2016" s="691"/>
      <c r="I2016" s="691"/>
      <c r="J2016" s="691"/>
      <c r="K2016" s="691"/>
      <c r="L2016" s="691"/>
      <c r="M2016" s="691"/>
      <c r="N2016" s="691"/>
      <c r="O2016" s="691"/>
      <c r="P2016" s="691"/>
      <c r="Q2016" s="691"/>
      <c r="R2016" s="691"/>
      <c r="S2016" s="691"/>
      <c r="T2016" s="691"/>
      <c r="U2016" s="691"/>
    </row>
    <row r="2017" s="917" customFormat="true" ht="15" hidden="false" customHeight="true" outlineLevel="0" collapsed="false">
      <c r="A2017" s="752"/>
      <c r="C2017" s="925"/>
      <c r="D2017" s="914"/>
      <c r="E2017" s="914"/>
      <c r="F2017" s="915"/>
      <c r="G2017" s="915"/>
      <c r="H2017" s="691"/>
      <c r="I2017" s="691"/>
      <c r="J2017" s="691"/>
      <c r="K2017" s="691"/>
      <c r="L2017" s="691"/>
      <c r="M2017" s="691"/>
      <c r="N2017" s="691"/>
      <c r="O2017" s="691"/>
      <c r="P2017" s="691"/>
      <c r="Q2017" s="691"/>
      <c r="R2017" s="691"/>
      <c r="S2017" s="691"/>
      <c r="T2017" s="691"/>
      <c r="U2017" s="691"/>
    </row>
    <row r="2018" s="917" customFormat="true" ht="15" hidden="false" customHeight="true" outlineLevel="0" collapsed="false">
      <c r="A2018" s="752"/>
      <c r="C2018" s="925"/>
      <c r="D2018" s="914"/>
      <c r="E2018" s="914"/>
      <c r="F2018" s="915"/>
      <c r="G2018" s="915"/>
      <c r="H2018" s="691"/>
      <c r="I2018" s="691"/>
      <c r="J2018" s="691"/>
      <c r="K2018" s="691"/>
      <c r="L2018" s="691"/>
      <c r="M2018" s="691"/>
      <c r="N2018" s="691"/>
      <c r="O2018" s="691"/>
      <c r="P2018" s="691"/>
      <c r="Q2018" s="691"/>
      <c r="R2018" s="691"/>
      <c r="S2018" s="691"/>
      <c r="T2018" s="691"/>
      <c r="U2018" s="691"/>
    </row>
    <row r="2019" s="917" customFormat="true" ht="15" hidden="false" customHeight="true" outlineLevel="0" collapsed="false">
      <c r="A2019" s="752"/>
      <c r="C2019" s="925"/>
      <c r="D2019" s="914"/>
      <c r="E2019" s="914"/>
      <c r="F2019" s="915"/>
      <c r="G2019" s="915"/>
      <c r="H2019" s="691"/>
      <c r="I2019" s="691"/>
      <c r="J2019" s="691"/>
      <c r="K2019" s="691"/>
      <c r="L2019" s="691"/>
      <c r="M2019" s="691"/>
      <c r="N2019" s="691"/>
      <c r="O2019" s="691"/>
      <c r="P2019" s="691"/>
      <c r="Q2019" s="691"/>
      <c r="R2019" s="691"/>
      <c r="S2019" s="691"/>
      <c r="T2019" s="691"/>
      <c r="U2019" s="691"/>
    </row>
    <row r="2020" s="917" customFormat="true" ht="15" hidden="false" customHeight="true" outlineLevel="0" collapsed="false">
      <c r="A2020" s="752"/>
      <c r="C2020" s="925"/>
      <c r="D2020" s="914"/>
      <c r="E2020" s="914"/>
      <c r="F2020" s="915"/>
      <c r="G2020" s="915"/>
      <c r="H2020" s="691"/>
      <c r="I2020" s="691"/>
      <c r="J2020" s="691"/>
      <c r="K2020" s="691"/>
      <c r="L2020" s="691"/>
      <c r="M2020" s="691"/>
      <c r="N2020" s="691"/>
      <c r="O2020" s="691"/>
      <c r="P2020" s="691"/>
      <c r="Q2020" s="691"/>
      <c r="R2020" s="691"/>
      <c r="S2020" s="691"/>
      <c r="T2020" s="691"/>
      <c r="U2020" s="691"/>
    </row>
    <row r="2021" s="917" customFormat="true" ht="15" hidden="false" customHeight="true" outlineLevel="0" collapsed="false">
      <c r="A2021" s="752"/>
      <c r="C2021" s="925"/>
      <c r="D2021" s="914"/>
      <c r="E2021" s="914"/>
      <c r="F2021" s="915"/>
      <c r="G2021" s="915"/>
      <c r="H2021" s="691"/>
      <c r="I2021" s="691"/>
      <c r="J2021" s="691"/>
      <c r="K2021" s="691"/>
      <c r="L2021" s="691"/>
      <c r="M2021" s="691"/>
      <c r="N2021" s="691"/>
      <c r="O2021" s="691"/>
      <c r="P2021" s="691"/>
      <c r="Q2021" s="691"/>
      <c r="R2021" s="691"/>
      <c r="S2021" s="691"/>
      <c r="T2021" s="691"/>
      <c r="U2021" s="691"/>
    </row>
    <row r="2022" s="917" customFormat="true" ht="15" hidden="false" customHeight="true" outlineLevel="0" collapsed="false">
      <c r="A2022" s="752"/>
      <c r="C2022" s="925"/>
      <c r="D2022" s="914"/>
      <c r="E2022" s="914"/>
      <c r="F2022" s="915"/>
      <c r="G2022" s="915"/>
      <c r="H2022" s="691"/>
      <c r="I2022" s="691"/>
      <c r="J2022" s="691"/>
      <c r="K2022" s="691"/>
      <c r="L2022" s="691"/>
      <c r="M2022" s="691"/>
      <c r="N2022" s="691"/>
      <c r="O2022" s="691"/>
      <c r="P2022" s="691"/>
      <c r="Q2022" s="691"/>
      <c r="R2022" s="691"/>
      <c r="S2022" s="691"/>
      <c r="T2022" s="691"/>
      <c r="U2022" s="691"/>
    </row>
    <row r="2023" s="917" customFormat="true" ht="15" hidden="false" customHeight="true" outlineLevel="0" collapsed="false">
      <c r="A2023" s="752"/>
      <c r="C2023" s="925"/>
      <c r="D2023" s="914"/>
      <c r="E2023" s="914"/>
      <c r="F2023" s="915"/>
      <c r="G2023" s="915"/>
      <c r="H2023" s="691"/>
      <c r="I2023" s="691"/>
      <c r="J2023" s="691"/>
      <c r="K2023" s="691"/>
      <c r="L2023" s="691"/>
      <c r="M2023" s="691"/>
      <c r="N2023" s="691"/>
      <c r="O2023" s="691"/>
      <c r="P2023" s="691"/>
      <c r="Q2023" s="691"/>
      <c r="R2023" s="691"/>
      <c r="S2023" s="691"/>
      <c r="T2023" s="691"/>
      <c r="U2023" s="691"/>
    </row>
    <row r="2024" s="917" customFormat="true" ht="15" hidden="false" customHeight="true" outlineLevel="0" collapsed="false">
      <c r="A2024" s="752"/>
      <c r="C2024" s="925"/>
      <c r="D2024" s="914"/>
      <c r="E2024" s="914"/>
      <c r="F2024" s="915"/>
      <c r="G2024" s="915"/>
      <c r="H2024" s="691"/>
      <c r="I2024" s="691"/>
      <c r="J2024" s="691"/>
      <c r="K2024" s="691"/>
      <c r="L2024" s="691"/>
      <c r="M2024" s="691"/>
      <c r="N2024" s="691"/>
      <c r="O2024" s="691"/>
      <c r="P2024" s="691"/>
      <c r="Q2024" s="691"/>
      <c r="R2024" s="691"/>
      <c r="S2024" s="691"/>
      <c r="T2024" s="691"/>
      <c r="U2024" s="691"/>
    </row>
    <row r="2025" s="917" customFormat="true" ht="15" hidden="false" customHeight="true" outlineLevel="0" collapsed="false">
      <c r="A2025" s="752"/>
      <c r="C2025" s="925"/>
      <c r="D2025" s="914"/>
      <c r="E2025" s="914"/>
      <c r="F2025" s="915"/>
      <c r="G2025" s="915"/>
      <c r="H2025" s="691"/>
      <c r="I2025" s="691"/>
      <c r="J2025" s="691"/>
      <c r="K2025" s="691"/>
      <c r="L2025" s="691"/>
      <c r="M2025" s="691"/>
      <c r="N2025" s="691"/>
      <c r="O2025" s="691"/>
      <c r="P2025" s="691"/>
      <c r="Q2025" s="691"/>
      <c r="R2025" s="691"/>
      <c r="S2025" s="691"/>
      <c r="T2025" s="691"/>
      <c r="U2025" s="691"/>
    </row>
    <row r="2026" s="917" customFormat="true" ht="15" hidden="false" customHeight="true" outlineLevel="0" collapsed="false">
      <c r="A2026" s="752"/>
      <c r="C2026" s="925"/>
      <c r="D2026" s="914"/>
      <c r="E2026" s="914"/>
      <c r="F2026" s="915"/>
      <c r="G2026" s="915"/>
      <c r="H2026" s="691"/>
      <c r="I2026" s="691"/>
      <c r="J2026" s="691"/>
      <c r="K2026" s="691"/>
      <c r="L2026" s="691"/>
      <c r="M2026" s="691"/>
      <c r="N2026" s="691"/>
      <c r="O2026" s="691"/>
      <c r="P2026" s="691"/>
      <c r="Q2026" s="691"/>
      <c r="R2026" s="691"/>
      <c r="S2026" s="691"/>
      <c r="T2026" s="691"/>
      <c r="U2026" s="691"/>
    </row>
    <row r="2027" s="917" customFormat="true" ht="15" hidden="false" customHeight="true" outlineLevel="0" collapsed="false">
      <c r="A2027" s="752"/>
      <c r="C2027" s="925"/>
      <c r="D2027" s="914"/>
      <c r="E2027" s="914"/>
      <c r="F2027" s="915"/>
      <c r="G2027" s="915"/>
      <c r="H2027" s="691"/>
      <c r="I2027" s="691"/>
      <c r="J2027" s="691"/>
      <c r="K2027" s="691"/>
      <c r="L2027" s="691"/>
      <c r="M2027" s="691"/>
      <c r="N2027" s="691"/>
      <c r="O2027" s="691"/>
      <c r="P2027" s="691"/>
      <c r="Q2027" s="691"/>
      <c r="R2027" s="691"/>
      <c r="S2027" s="691"/>
      <c r="T2027" s="691"/>
      <c r="U2027" s="691"/>
    </row>
    <row r="2028" s="917" customFormat="true" ht="15" hidden="false" customHeight="true" outlineLevel="0" collapsed="false">
      <c r="A2028" s="752"/>
      <c r="C2028" s="925"/>
      <c r="D2028" s="914"/>
      <c r="E2028" s="914"/>
      <c r="F2028" s="915"/>
      <c r="G2028" s="915"/>
      <c r="H2028" s="691"/>
      <c r="I2028" s="691"/>
      <c r="J2028" s="691"/>
      <c r="K2028" s="691"/>
      <c r="L2028" s="691"/>
      <c r="M2028" s="691"/>
      <c r="N2028" s="691"/>
      <c r="O2028" s="691"/>
      <c r="P2028" s="691"/>
      <c r="Q2028" s="691"/>
      <c r="R2028" s="691"/>
      <c r="S2028" s="691"/>
      <c r="T2028" s="691"/>
      <c r="U2028" s="691"/>
    </row>
    <row r="2029" s="917" customFormat="true" ht="15" hidden="false" customHeight="true" outlineLevel="0" collapsed="false">
      <c r="A2029" s="752"/>
      <c r="C2029" s="925"/>
      <c r="D2029" s="914"/>
      <c r="E2029" s="914"/>
      <c r="F2029" s="915"/>
      <c r="G2029" s="915"/>
      <c r="H2029" s="691"/>
      <c r="I2029" s="691"/>
      <c r="J2029" s="691"/>
      <c r="K2029" s="691"/>
      <c r="L2029" s="691"/>
      <c r="M2029" s="691"/>
      <c r="N2029" s="691"/>
      <c r="O2029" s="691"/>
      <c r="P2029" s="691"/>
      <c r="Q2029" s="691"/>
      <c r="R2029" s="691"/>
      <c r="S2029" s="691"/>
      <c r="T2029" s="691"/>
      <c r="U2029" s="691"/>
    </row>
    <row r="2030" s="917" customFormat="true" ht="15" hidden="false" customHeight="true" outlineLevel="0" collapsed="false">
      <c r="A2030" s="752"/>
      <c r="C2030" s="925"/>
      <c r="D2030" s="914"/>
      <c r="E2030" s="914"/>
      <c r="F2030" s="915"/>
      <c r="G2030" s="915"/>
      <c r="H2030" s="691"/>
      <c r="I2030" s="691"/>
      <c r="J2030" s="691"/>
      <c r="K2030" s="691"/>
      <c r="L2030" s="691"/>
      <c r="M2030" s="691"/>
      <c r="N2030" s="691"/>
      <c r="O2030" s="691"/>
      <c r="P2030" s="691"/>
      <c r="Q2030" s="691"/>
      <c r="R2030" s="691"/>
      <c r="S2030" s="691"/>
      <c r="T2030" s="691"/>
      <c r="U2030" s="691"/>
    </row>
    <row r="2031" s="917" customFormat="true" ht="15" hidden="false" customHeight="true" outlineLevel="0" collapsed="false">
      <c r="A2031" s="752"/>
      <c r="C2031" s="925"/>
      <c r="D2031" s="914"/>
      <c r="E2031" s="914"/>
      <c r="F2031" s="915"/>
      <c r="G2031" s="915"/>
      <c r="H2031" s="691"/>
      <c r="I2031" s="691"/>
      <c r="J2031" s="691"/>
      <c r="K2031" s="691"/>
      <c r="L2031" s="691"/>
      <c r="M2031" s="691"/>
      <c r="N2031" s="691"/>
      <c r="O2031" s="691"/>
      <c r="P2031" s="691"/>
      <c r="Q2031" s="691"/>
      <c r="R2031" s="691"/>
      <c r="S2031" s="691"/>
      <c r="T2031" s="691"/>
      <c r="U2031" s="691"/>
    </row>
    <row r="2032" s="917" customFormat="true" ht="15" hidden="false" customHeight="true" outlineLevel="0" collapsed="false">
      <c r="A2032" s="752"/>
      <c r="C2032" s="925"/>
      <c r="D2032" s="914"/>
      <c r="E2032" s="914"/>
      <c r="F2032" s="915"/>
      <c r="G2032" s="915"/>
      <c r="H2032" s="691"/>
      <c r="I2032" s="691"/>
      <c r="J2032" s="691"/>
      <c r="K2032" s="691"/>
      <c r="L2032" s="691"/>
      <c r="M2032" s="691"/>
      <c r="N2032" s="691"/>
      <c r="O2032" s="691"/>
      <c r="P2032" s="691"/>
      <c r="Q2032" s="691"/>
      <c r="R2032" s="691"/>
      <c r="S2032" s="691"/>
      <c r="T2032" s="691"/>
      <c r="U2032" s="691"/>
    </row>
    <row r="2033" s="917" customFormat="true" ht="15" hidden="false" customHeight="true" outlineLevel="0" collapsed="false">
      <c r="A2033" s="752"/>
      <c r="C2033" s="925"/>
      <c r="D2033" s="914"/>
      <c r="E2033" s="914"/>
      <c r="F2033" s="915"/>
      <c r="G2033" s="915"/>
      <c r="H2033" s="691"/>
      <c r="I2033" s="691"/>
      <c r="J2033" s="691"/>
      <c r="K2033" s="691"/>
      <c r="L2033" s="691"/>
      <c r="M2033" s="691"/>
      <c r="N2033" s="691"/>
      <c r="O2033" s="691"/>
      <c r="P2033" s="691"/>
      <c r="Q2033" s="691"/>
      <c r="R2033" s="691"/>
      <c r="S2033" s="691"/>
      <c r="T2033" s="691"/>
      <c r="U2033" s="691"/>
    </row>
    <row r="2034" s="917" customFormat="true" ht="15" hidden="false" customHeight="true" outlineLevel="0" collapsed="false">
      <c r="A2034" s="752"/>
      <c r="C2034" s="925"/>
      <c r="D2034" s="914"/>
      <c r="E2034" s="914"/>
      <c r="F2034" s="915"/>
      <c r="G2034" s="915"/>
      <c r="H2034" s="691"/>
      <c r="I2034" s="691"/>
      <c r="J2034" s="691"/>
      <c r="K2034" s="691"/>
      <c r="L2034" s="691"/>
      <c r="M2034" s="691"/>
      <c r="N2034" s="691"/>
      <c r="O2034" s="691"/>
      <c r="P2034" s="691"/>
      <c r="Q2034" s="691"/>
      <c r="R2034" s="691"/>
      <c r="S2034" s="691"/>
      <c r="T2034" s="691"/>
      <c r="U2034" s="691"/>
    </row>
    <row r="2035" s="917" customFormat="true" ht="15" hidden="false" customHeight="true" outlineLevel="0" collapsed="false">
      <c r="A2035" s="752"/>
      <c r="C2035" s="925"/>
      <c r="D2035" s="914"/>
      <c r="E2035" s="914"/>
      <c r="F2035" s="915"/>
      <c r="G2035" s="915"/>
      <c r="H2035" s="691"/>
      <c r="I2035" s="691"/>
      <c r="J2035" s="691"/>
      <c r="K2035" s="691"/>
      <c r="L2035" s="691"/>
      <c r="M2035" s="691"/>
      <c r="N2035" s="691"/>
      <c r="O2035" s="691"/>
      <c r="P2035" s="691"/>
      <c r="Q2035" s="691"/>
      <c r="R2035" s="691"/>
      <c r="S2035" s="691"/>
      <c r="T2035" s="691"/>
      <c r="U2035" s="691"/>
    </row>
    <row r="2036" s="917" customFormat="true" ht="15" hidden="false" customHeight="true" outlineLevel="0" collapsed="false">
      <c r="A2036" s="752"/>
      <c r="C2036" s="925"/>
      <c r="D2036" s="914"/>
      <c r="E2036" s="914"/>
      <c r="F2036" s="915"/>
      <c r="G2036" s="915"/>
      <c r="H2036" s="691"/>
      <c r="I2036" s="691"/>
      <c r="J2036" s="691"/>
      <c r="K2036" s="691"/>
      <c r="L2036" s="691"/>
      <c r="M2036" s="691"/>
      <c r="N2036" s="691"/>
      <c r="O2036" s="691"/>
      <c r="P2036" s="691"/>
      <c r="Q2036" s="691"/>
      <c r="R2036" s="691"/>
      <c r="S2036" s="691"/>
      <c r="T2036" s="691"/>
      <c r="U2036" s="691"/>
    </row>
    <row r="2037" s="917" customFormat="true" ht="15" hidden="false" customHeight="true" outlineLevel="0" collapsed="false">
      <c r="A2037" s="752"/>
      <c r="C2037" s="925"/>
      <c r="D2037" s="914"/>
      <c r="E2037" s="914"/>
      <c r="F2037" s="915"/>
      <c r="G2037" s="915"/>
      <c r="H2037" s="691"/>
      <c r="I2037" s="691"/>
      <c r="J2037" s="691"/>
      <c r="K2037" s="691"/>
      <c r="L2037" s="691"/>
      <c r="M2037" s="691"/>
      <c r="N2037" s="691"/>
      <c r="O2037" s="691"/>
      <c r="P2037" s="691"/>
      <c r="Q2037" s="691"/>
      <c r="R2037" s="691"/>
      <c r="S2037" s="691"/>
      <c r="T2037" s="691"/>
      <c r="U2037" s="691"/>
    </row>
    <row r="2038" s="917" customFormat="true" ht="15" hidden="false" customHeight="true" outlineLevel="0" collapsed="false">
      <c r="A2038" s="752"/>
      <c r="C2038" s="925"/>
      <c r="D2038" s="914"/>
      <c r="E2038" s="914"/>
      <c r="F2038" s="915"/>
      <c r="G2038" s="915"/>
      <c r="H2038" s="691"/>
      <c r="I2038" s="691"/>
      <c r="J2038" s="691"/>
      <c r="K2038" s="691"/>
      <c r="L2038" s="691"/>
      <c r="M2038" s="691"/>
      <c r="N2038" s="691"/>
      <c r="O2038" s="691"/>
      <c r="P2038" s="691"/>
      <c r="Q2038" s="691"/>
      <c r="R2038" s="691"/>
      <c r="S2038" s="691"/>
      <c r="T2038" s="691"/>
      <c r="U2038" s="691"/>
    </row>
    <row r="2039" s="917" customFormat="true" ht="15" hidden="false" customHeight="true" outlineLevel="0" collapsed="false">
      <c r="A2039" s="752"/>
      <c r="C2039" s="925"/>
      <c r="D2039" s="914"/>
      <c r="E2039" s="914"/>
      <c r="F2039" s="915"/>
      <c r="G2039" s="915"/>
      <c r="H2039" s="691"/>
      <c r="I2039" s="691"/>
      <c r="J2039" s="691"/>
      <c r="K2039" s="691"/>
      <c r="L2039" s="691"/>
      <c r="M2039" s="691"/>
      <c r="N2039" s="691"/>
      <c r="O2039" s="691"/>
      <c r="P2039" s="691"/>
      <c r="Q2039" s="691"/>
      <c r="R2039" s="691"/>
      <c r="S2039" s="691"/>
      <c r="T2039" s="691"/>
      <c r="U2039" s="691"/>
    </row>
    <row r="2040" s="917" customFormat="true" ht="15" hidden="false" customHeight="true" outlineLevel="0" collapsed="false">
      <c r="A2040" s="752"/>
      <c r="C2040" s="925"/>
      <c r="D2040" s="914"/>
      <c r="E2040" s="914"/>
      <c r="F2040" s="915"/>
      <c r="G2040" s="915"/>
      <c r="H2040" s="691"/>
      <c r="I2040" s="691"/>
      <c r="J2040" s="691"/>
      <c r="K2040" s="691"/>
      <c r="L2040" s="691"/>
      <c r="M2040" s="691"/>
      <c r="N2040" s="691"/>
      <c r="O2040" s="691"/>
      <c r="P2040" s="691"/>
      <c r="Q2040" s="691"/>
      <c r="R2040" s="691"/>
      <c r="S2040" s="691"/>
      <c r="T2040" s="691"/>
      <c r="U2040" s="691"/>
    </row>
    <row r="2041" s="917" customFormat="true" ht="15" hidden="false" customHeight="true" outlineLevel="0" collapsed="false">
      <c r="A2041" s="752"/>
      <c r="C2041" s="925"/>
      <c r="D2041" s="914"/>
      <c r="E2041" s="914"/>
      <c r="F2041" s="915"/>
      <c r="G2041" s="915"/>
      <c r="H2041" s="691"/>
      <c r="I2041" s="691"/>
      <c r="J2041" s="691"/>
      <c r="K2041" s="691"/>
      <c r="L2041" s="691"/>
      <c r="M2041" s="691"/>
      <c r="N2041" s="691"/>
      <c r="O2041" s="691"/>
      <c r="P2041" s="691"/>
      <c r="Q2041" s="691"/>
      <c r="R2041" s="691"/>
      <c r="S2041" s="691"/>
      <c r="T2041" s="691"/>
      <c r="U2041" s="691"/>
    </row>
    <row r="2042" s="917" customFormat="true" ht="15" hidden="false" customHeight="true" outlineLevel="0" collapsed="false">
      <c r="A2042" s="752"/>
      <c r="C2042" s="925"/>
      <c r="D2042" s="914"/>
      <c r="E2042" s="914"/>
      <c r="F2042" s="915"/>
      <c r="G2042" s="915"/>
      <c r="H2042" s="691"/>
      <c r="I2042" s="691"/>
      <c r="J2042" s="691"/>
      <c r="K2042" s="691"/>
      <c r="L2042" s="691"/>
      <c r="M2042" s="691"/>
      <c r="N2042" s="691"/>
      <c r="O2042" s="691"/>
      <c r="P2042" s="691"/>
      <c r="Q2042" s="691"/>
      <c r="R2042" s="691"/>
      <c r="S2042" s="691"/>
      <c r="T2042" s="691"/>
      <c r="U2042" s="691"/>
    </row>
    <row r="2043" s="917" customFormat="true" ht="15" hidden="false" customHeight="true" outlineLevel="0" collapsed="false">
      <c r="A2043" s="752"/>
      <c r="C2043" s="925"/>
      <c r="D2043" s="914"/>
      <c r="E2043" s="914"/>
      <c r="F2043" s="915"/>
      <c r="G2043" s="915"/>
      <c r="H2043" s="691"/>
      <c r="I2043" s="691"/>
      <c r="J2043" s="691"/>
      <c r="K2043" s="691"/>
      <c r="L2043" s="691"/>
      <c r="M2043" s="691"/>
      <c r="N2043" s="691"/>
      <c r="O2043" s="691"/>
      <c r="P2043" s="691"/>
      <c r="Q2043" s="691"/>
      <c r="R2043" s="691"/>
      <c r="S2043" s="691"/>
      <c r="T2043" s="691"/>
      <c r="U2043" s="691"/>
    </row>
    <row r="2044" s="917" customFormat="true" ht="15" hidden="false" customHeight="true" outlineLevel="0" collapsed="false">
      <c r="A2044" s="752"/>
      <c r="C2044" s="925"/>
      <c r="D2044" s="914"/>
      <c r="E2044" s="914"/>
      <c r="F2044" s="915"/>
      <c r="G2044" s="915"/>
      <c r="H2044" s="691"/>
      <c r="I2044" s="691"/>
      <c r="J2044" s="691"/>
      <c r="K2044" s="691"/>
      <c r="L2044" s="691"/>
      <c r="M2044" s="691"/>
      <c r="N2044" s="691"/>
      <c r="O2044" s="691"/>
      <c r="P2044" s="691"/>
      <c r="Q2044" s="691"/>
      <c r="R2044" s="691"/>
      <c r="S2044" s="691"/>
      <c r="T2044" s="691"/>
      <c r="U2044" s="691"/>
    </row>
    <row r="2045" s="917" customFormat="true" ht="15" hidden="false" customHeight="true" outlineLevel="0" collapsed="false">
      <c r="A2045" s="752"/>
      <c r="C2045" s="925"/>
      <c r="D2045" s="914"/>
      <c r="E2045" s="914"/>
      <c r="F2045" s="915"/>
      <c r="G2045" s="915"/>
      <c r="H2045" s="691"/>
      <c r="I2045" s="691"/>
      <c r="J2045" s="691"/>
      <c r="K2045" s="691"/>
      <c r="L2045" s="691"/>
      <c r="M2045" s="691"/>
      <c r="N2045" s="691"/>
      <c r="O2045" s="691"/>
      <c r="P2045" s="691"/>
      <c r="Q2045" s="691"/>
      <c r="R2045" s="691"/>
      <c r="S2045" s="691"/>
      <c r="T2045" s="691"/>
      <c r="U2045" s="691"/>
    </row>
    <row r="2046" s="917" customFormat="true" ht="15" hidden="false" customHeight="true" outlineLevel="0" collapsed="false">
      <c r="A2046" s="752"/>
      <c r="C2046" s="925"/>
      <c r="D2046" s="914"/>
      <c r="E2046" s="914"/>
      <c r="F2046" s="915"/>
      <c r="G2046" s="915"/>
      <c r="H2046" s="691"/>
      <c r="I2046" s="691"/>
      <c r="J2046" s="691"/>
      <c r="K2046" s="691"/>
      <c r="L2046" s="691"/>
      <c r="M2046" s="691"/>
      <c r="N2046" s="691"/>
      <c r="O2046" s="691"/>
      <c r="P2046" s="691"/>
      <c r="Q2046" s="691"/>
      <c r="R2046" s="691"/>
      <c r="S2046" s="691"/>
      <c r="T2046" s="691"/>
      <c r="U2046" s="691"/>
    </row>
    <row r="2047" s="917" customFormat="true" ht="15" hidden="false" customHeight="true" outlineLevel="0" collapsed="false">
      <c r="A2047" s="752"/>
      <c r="C2047" s="925"/>
      <c r="D2047" s="914"/>
      <c r="E2047" s="914"/>
      <c r="F2047" s="915"/>
      <c r="G2047" s="915"/>
      <c r="H2047" s="691"/>
      <c r="I2047" s="691"/>
      <c r="J2047" s="691"/>
      <c r="K2047" s="691"/>
      <c r="L2047" s="691"/>
      <c r="M2047" s="691"/>
      <c r="N2047" s="691"/>
      <c r="O2047" s="691"/>
      <c r="P2047" s="691"/>
      <c r="Q2047" s="691"/>
      <c r="R2047" s="691"/>
      <c r="S2047" s="691"/>
      <c r="T2047" s="691"/>
      <c r="U2047" s="691"/>
    </row>
    <row r="2048" s="917" customFormat="true" ht="15" hidden="false" customHeight="true" outlineLevel="0" collapsed="false">
      <c r="A2048" s="752"/>
      <c r="C2048" s="925"/>
      <c r="D2048" s="914"/>
      <c r="E2048" s="914"/>
      <c r="F2048" s="915"/>
      <c r="G2048" s="915"/>
      <c r="H2048" s="691"/>
      <c r="I2048" s="691"/>
      <c r="J2048" s="691"/>
      <c r="K2048" s="691"/>
      <c r="L2048" s="691"/>
      <c r="M2048" s="691"/>
      <c r="N2048" s="691"/>
      <c r="O2048" s="691"/>
      <c r="P2048" s="691"/>
      <c r="Q2048" s="691"/>
      <c r="R2048" s="691"/>
      <c r="S2048" s="691"/>
      <c r="T2048" s="691"/>
      <c r="U2048" s="691"/>
    </row>
    <row r="2049" s="917" customFormat="true" ht="15" hidden="false" customHeight="true" outlineLevel="0" collapsed="false">
      <c r="A2049" s="752"/>
      <c r="C2049" s="925"/>
      <c r="D2049" s="914"/>
      <c r="E2049" s="914"/>
      <c r="F2049" s="915"/>
      <c r="G2049" s="915"/>
      <c r="H2049" s="691"/>
      <c r="I2049" s="691"/>
      <c r="J2049" s="691"/>
      <c r="K2049" s="691"/>
      <c r="L2049" s="691"/>
      <c r="M2049" s="691"/>
      <c r="N2049" s="691"/>
      <c r="O2049" s="691"/>
      <c r="P2049" s="691"/>
      <c r="Q2049" s="691"/>
      <c r="R2049" s="691"/>
      <c r="S2049" s="691"/>
      <c r="T2049" s="691"/>
      <c r="U2049" s="691"/>
    </row>
    <row r="2050" s="917" customFormat="true" ht="15" hidden="false" customHeight="true" outlineLevel="0" collapsed="false">
      <c r="A2050" s="752"/>
      <c r="C2050" s="925"/>
      <c r="D2050" s="914"/>
      <c r="E2050" s="914"/>
      <c r="F2050" s="915"/>
      <c r="G2050" s="915"/>
      <c r="H2050" s="691"/>
      <c r="I2050" s="691"/>
      <c r="J2050" s="691"/>
      <c r="K2050" s="691"/>
      <c r="L2050" s="691"/>
      <c r="M2050" s="691"/>
      <c r="N2050" s="691"/>
      <c r="O2050" s="691"/>
      <c r="P2050" s="691"/>
      <c r="Q2050" s="691"/>
      <c r="R2050" s="691"/>
      <c r="S2050" s="691"/>
      <c r="T2050" s="691"/>
      <c r="U2050" s="691"/>
    </row>
    <row r="2051" s="917" customFormat="true" ht="15" hidden="false" customHeight="true" outlineLevel="0" collapsed="false">
      <c r="A2051" s="752"/>
      <c r="C2051" s="925"/>
      <c r="D2051" s="914"/>
      <c r="E2051" s="914"/>
      <c r="F2051" s="915"/>
      <c r="G2051" s="915"/>
      <c r="H2051" s="691"/>
      <c r="I2051" s="691"/>
      <c r="J2051" s="691"/>
      <c r="K2051" s="691"/>
      <c r="L2051" s="691"/>
      <c r="M2051" s="691"/>
      <c r="N2051" s="691"/>
      <c r="O2051" s="691"/>
      <c r="P2051" s="691"/>
      <c r="Q2051" s="691"/>
      <c r="R2051" s="691"/>
      <c r="S2051" s="691"/>
      <c r="T2051" s="691"/>
      <c r="U2051" s="691"/>
    </row>
    <row r="2052" s="917" customFormat="true" ht="15" hidden="false" customHeight="true" outlineLevel="0" collapsed="false">
      <c r="A2052" s="752"/>
      <c r="C2052" s="925"/>
      <c r="D2052" s="914"/>
      <c r="E2052" s="914"/>
      <c r="F2052" s="915"/>
      <c r="G2052" s="915"/>
      <c r="H2052" s="691"/>
      <c r="I2052" s="691"/>
      <c r="J2052" s="691"/>
      <c r="K2052" s="691"/>
      <c r="L2052" s="691"/>
      <c r="M2052" s="691"/>
      <c r="N2052" s="691"/>
      <c r="O2052" s="691"/>
      <c r="P2052" s="691"/>
      <c r="Q2052" s="691"/>
      <c r="R2052" s="691"/>
      <c r="S2052" s="691"/>
      <c r="T2052" s="691"/>
      <c r="U2052" s="691"/>
    </row>
    <row r="2053" s="917" customFormat="true" ht="15" hidden="false" customHeight="true" outlineLevel="0" collapsed="false">
      <c r="A2053" s="752"/>
      <c r="C2053" s="925"/>
      <c r="D2053" s="914"/>
      <c r="E2053" s="914"/>
      <c r="F2053" s="915"/>
      <c r="G2053" s="915"/>
      <c r="H2053" s="691"/>
      <c r="I2053" s="691"/>
      <c r="J2053" s="691"/>
      <c r="K2053" s="691"/>
      <c r="L2053" s="691"/>
      <c r="M2053" s="691"/>
      <c r="N2053" s="691"/>
      <c r="O2053" s="691"/>
      <c r="P2053" s="691"/>
      <c r="Q2053" s="691"/>
      <c r="R2053" s="691"/>
      <c r="S2053" s="691"/>
      <c r="T2053" s="691"/>
      <c r="U2053" s="691"/>
    </row>
    <row r="2054" s="917" customFormat="true" ht="15" hidden="false" customHeight="true" outlineLevel="0" collapsed="false">
      <c r="A2054" s="752"/>
      <c r="C2054" s="925"/>
      <c r="D2054" s="914"/>
      <c r="E2054" s="914"/>
      <c r="F2054" s="915"/>
      <c r="G2054" s="915"/>
      <c r="H2054" s="691"/>
      <c r="I2054" s="691"/>
      <c r="J2054" s="691"/>
      <c r="K2054" s="691"/>
      <c r="L2054" s="691"/>
      <c r="M2054" s="691"/>
      <c r="N2054" s="691"/>
      <c r="O2054" s="691"/>
      <c r="P2054" s="691"/>
      <c r="Q2054" s="691"/>
      <c r="R2054" s="691"/>
      <c r="S2054" s="691"/>
      <c r="T2054" s="691"/>
      <c r="U2054" s="691"/>
    </row>
    <row r="2055" s="917" customFormat="true" ht="15" hidden="false" customHeight="true" outlineLevel="0" collapsed="false">
      <c r="A2055" s="752"/>
      <c r="C2055" s="925"/>
      <c r="D2055" s="914"/>
      <c r="E2055" s="914"/>
      <c r="F2055" s="915"/>
      <c r="G2055" s="915"/>
      <c r="H2055" s="691"/>
      <c r="I2055" s="691"/>
      <c r="J2055" s="691"/>
      <c r="K2055" s="691"/>
      <c r="L2055" s="691"/>
      <c r="M2055" s="691"/>
      <c r="N2055" s="691"/>
      <c r="O2055" s="691"/>
      <c r="P2055" s="691"/>
      <c r="Q2055" s="691"/>
      <c r="R2055" s="691"/>
      <c r="S2055" s="691"/>
      <c r="T2055" s="691"/>
      <c r="U2055" s="691"/>
    </row>
    <row r="2056" s="917" customFormat="true" ht="15" hidden="false" customHeight="true" outlineLevel="0" collapsed="false">
      <c r="A2056" s="752"/>
      <c r="C2056" s="925"/>
      <c r="D2056" s="914"/>
      <c r="E2056" s="914"/>
      <c r="F2056" s="915"/>
      <c r="G2056" s="915"/>
      <c r="H2056" s="691"/>
      <c r="I2056" s="691"/>
      <c r="J2056" s="691"/>
      <c r="K2056" s="691"/>
      <c r="L2056" s="691"/>
      <c r="M2056" s="691"/>
      <c r="N2056" s="691"/>
      <c r="O2056" s="691"/>
      <c r="P2056" s="691"/>
      <c r="Q2056" s="691"/>
      <c r="R2056" s="691"/>
      <c r="S2056" s="691"/>
      <c r="T2056" s="691"/>
      <c r="U2056" s="691"/>
    </row>
    <row r="2057" s="917" customFormat="true" ht="15" hidden="false" customHeight="true" outlineLevel="0" collapsed="false">
      <c r="A2057" s="752"/>
      <c r="C2057" s="925"/>
      <c r="D2057" s="914"/>
      <c r="E2057" s="914"/>
      <c r="F2057" s="915"/>
      <c r="G2057" s="915"/>
      <c r="H2057" s="691"/>
      <c r="I2057" s="691"/>
      <c r="J2057" s="691"/>
      <c r="K2057" s="691"/>
      <c r="L2057" s="691"/>
      <c r="M2057" s="691"/>
      <c r="N2057" s="691"/>
      <c r="O2057" s="691"/>
      <c r="P2057" s="691"/>
      <c r="Q2057" s="691"/>
      <c r="R2057" s="691"/>
      <c r="S2057" s="691"/>
      <c r="T2057" s="691"/>
      <c r="U2057" s="691"/>
    </row>
    <row r="2058" s="917" customFormat="true" ht="15" hidden="false" customHeight="true" outlineLevel="0" collapsed="false">
      <c r="A2058" s="752"/>
      <c r="C2058" s="925"/>
      <c r="D2058" s="914"/>
      <c r="E2058" s="914"/>
      <c r="F2058" s="915"/>
      <c r="G2058" s="915"/>
      <c r="H2058" s="691"/>
      <c r="I2058" s="691"/>
      <c r="J2058" s="691"/>
      <c r="K2058" s="691"/>
      <c r="L2058" s="691"/>
      <c r="M2058" s="691"/>
      <c r="N2058" s="691"/>
      <c r="O2058" s="691"/>
      <c r="P2058" s="691"/>
      <c r="Q2058" s="691"/>
      <c r="R2058" s="691"/>
      <c r="S2058" s="691"/>
      <c r="T2058" s="691"/>
      <c r="U2058" s="691"/>
    </row>
    <row r="2059" s="917" customFormat="true" ht="15" hidden="false" customHeight="true" outlineLevel="0" collapsed="false">
      <c r="A2059" s="752"/>
      <c r="C2059" s="925"/>
      <c r="D2059" s="914"/>
      <c r="E2059" s="914"/>
      <c r="F2059" s="915"/>
      <c r="G2059" s="915"/>
      <c r="H2059" s="691"/>
      <c r="I2059" s="691"/>
      <c r="J2059" s="691"/>
      <c r="K2059" s="691"/>
      <c r="L2059" s="691"/>
      <c r="M2059" s="691"/>
      <c r="N2059" s="691"/>
      <c r="O2059" s="691"/>
      <c r="P2059" s="691"/>
      <c r="Q2059" s="691"/>
      <c r="R2059" s="691"/>
      <c r="S2059" s="691"/>
      <c r="T2059" s="691"/>
      <c r="U2059" s="691"/>
    </row>
    <row r="2060" s="917" customFormat="true" ht="15" hidden="false" customHeight="true" outlineLevel="0" collapsed="false">
      <c r="A2060" s="752"/>
      <c r="C2060" s="925"/>
      <c r="D2060" s="914"/>
      <c r="E2060" s="914"/>
      <c r="F2060" s="915"/>
      <c r="G2060" s="915"/>
      <c r="H2060" s="691"/>
      <c r="I2060" s="691"/>
      <c r="J2060" s="691"/>
      <c r="K2060" s="691"/>
      <c r="L2060" s="691"/>
      <c r="M2060" s="691"/>
      <c r="N2060" s="691"/>
      <c r="O2060" s="691"/>
      <c r="P2060" s="691"/>
      <c r="Q2060" s="691"/>
      <c r="R2060" s="691"/>
      <c r="S2060" s="691"/>
      <c r="T2060" s="691"/>
      <c r="U2060" s="691"/>
    </row>
    <row r="2061" s="917" customFormat="true" ht="15" hidden="false" customHeight="true" outlineLevel="0" collapsed="false">
      <c r="A2061" s="752"/>
      <c r="C2061" s="925"/>
      <c r="D2061" s="914"/>
      <c r="E2061" s="914"/>
      <c r="F2061" s="915"/>
      <c r="G2061" s="915"/>
      <c r="H2061" s="691"/>
      <c r="I2061" s="691"/>
      <c r="J2061" s="691"/>
      <c r="K2061" s="691"/>
      <c r="L2061" s="691"/>
      <c r="M2061" s="691"/>
      <c r="N2061" s="691"/>
      <c r="O2061" s="691"/>
      <c r="P2061" s="691"/>
      <c r="Q2061" s="691"/>
      <c r="R2061" s="691"/>
      <c r="S2061" s="691"/>
      <c r="T2061" s="691"/>
      <c r="U2061" s="691"/>
    </row>
    <row r="2062" s="917" customFormat="true" ht="15" hidden="false" customHeight="true" outlineLevel="0" collapsed="false">
      <c r="A2062" s="752"/>
      <c r="C2062" s="925"/>
      <c r="D2062" s="914"/>
      <c r="E2062" s="914"/>
      <c r="F2062" s="915"/>
      <c r="G2062" s="915"/>
      <c r="H2062" s="691"/>
      <c r="I2062" s="691"/>
      <c r="J2062" s="691"/>
      <c r="K2062" s="691"/>
      <c r="L2062" s="691"/>
      <c r="M2062" s="691"/>
      <c r="N2062" s="691"/>
      <c r="O2062" s="691"/>
      <c r="P2062" s="691"/>
      <c r="Q2062" s="691"/>
      <c r="R2062" s="691"/>
      <c r="S2062" s="691"/>
      <c r="T2062" s="691"/>
      <c r="U2062" s="691"/>
    </row>
    <row r="2063" s="917" customFormat="true" ht="15" hidden="false" customHeight="true" outlineLevel="0" collapsed="false">
      <c r="A2063" s="752"/>
      <c r="C2063" s="925"/>
      <c r="D2063" s="914"/>
      <c r="E2063" s="914"/>
      <c r="F2063" s="915"/>
      <c r="G2063" s="915"/>
      <c r="H2063" s="691"/>
      <c r="I2063" s="691"/>
      <c r="J2063" s="691"/>
      <c r="K2063" s="691"/>
      <c r="L2063" s="691"/>
      <c r="M2063" s="691"/>
      <c r="N2063" s="691"/>
      <c r="O2063" s="691"/>
      <c r="P2063" s="691"/>
      <c r="Q2063" s="691"/>
      <c r="R2063" s="691"/>
      <c r="S2063" s="691"/>
      <c r="T2063" s="691"/>
      <c r="U2063" s="691"/>
    </row>
    <row r="2064" s="917" customFormat="true" ht="15" hidden="false" customHeight="true" outlineLevel="0" collapsed="false">
      <c r="A2064" s="752"/>
      <c r="C2064" s="925"/>
      <c r="D2064" s="914"/>
      <c r="E2064" s="914"/>
      <c r="F2064" s="915"/>
      <c r="G2064" s="915"/>
      <c r="H2064" s="691"/>
      <c r="I2064" s="691"/>
      <c r="J2064" s="691"/>
      <c r="K2064" s="691"/>
      <c r="L2064" s="691"/>
      <c r="M2064" s="691"/>
      <c r="N2064" s="691"/>
      <c r="O2064" s="691"/>
      <c r="P2064" s="691"/>
      <c r="Q2064" s="691"/>
      <c r="R2064" s="691"/>
      <c r="S2064" s="691"/>
      <c r="T2064" s="691"/>
      <c r="U2064" s="691"/>
    </row>
    <row r="2065" s="917" customFormat="true" ht="15" hidden="false" customHeight="true" outlineLevel="0" collapsed="false">
      <c r="A2065" s="752"/>
      <c r="C2065" s="925"/>
      <c r="D2065" s="914"/>
      <c r="E2065" s="914"/>
      <c r="F2065" s="915"/>
      <c r="G2065" s="915"/>
      <c r="H2065" s="691"/>
      <c r="I2065" s="691"/>
      <c r="J2065" s="691"/>
      <c r="K2065" s="691"/>
      <c r="L2065" s="691"/>
      <c r="M2065" s="691"/>
      <c r="N2065" s="691"/>
      <c r="O2065" s="691"/>
      <c r="P2065" s="691"/>
      <c r="Q2065" s="691"/>
      <c r="R2065" s="691"/>
      <c r="S2065" s="691"/>
      <c r="T2065" s="691"/>
      <c r="U2065" s="691"/>
    </row>
    <row r="2066" s="917" customFormat="true" ht="15" hidden="false" customHeight="true" outlineLevel="0" collapsed="false">
      <c r="A2066" s="752"/>
      <c r="C2066" s="925"/>
      <c r="D2066" s="914"/>
      <c r="E2066" s="914"/>
      <c r="F2066" s="915"/>
      <c r="G2066" s="915"/>
      <c r="H2066" s="691"/>
      <c r="I2066" s="691"/>
      <c r="J2066" s="691"/>
      <c r="K2066" s="691"/>
      <c r="L2066" s="691"/>
      <c r="M2066" s="691"/>
      <c r="N2066" s="691"/>
      <c r="O2066" s="691"/>
      <c r="P2066" s="691"/>
      <c r="Q2066" s="691"/>
      <c r="R2066" s="691"/>
      <c r="S2066" s="691"/>
      <c r="T2066" s="691"/>
      <c r="U2066" s="691"/>
    </row>
    <row r="2067" s="917" customFormat="true" ht="15" hidden="false" customHeight="true" outlineLevel="0" collapsed="false">
      <c r="A2067" s="752"/>
      <c r="C2067" s="925"/>
      <c r="D2067" s="914"/>
      <c r="E2067" s="914"/>
      <c r="F2067" s="915"/>
      <c r="G2067" s="915"/>
      <c r="H2067" s="691"/>
      <c r="I2067" s="691"/>
      <c r="J2067" s="691"/>
      <c r="K2067" s="691"/>
      <c r="L2067" s="691"/>
      <c r="M2067" s="691"/>
      <c r="N2067" s="691"/>
      <c r="O2067" s="691"/>
      <c r="P2067" s="691"/>
      <c r="Q2067" s="691"/>
      <c r="R2067" s="691"/>
      <c r="S2067" s="691"/>
      <c r="T2067" s="691"/>
      <c r="U2067" s="691"/>
    </row>
    <row r="2068" s="917" customFormat="true" ht="15" hidden="false" customHeight="true" outlineLevel="0" collapsed="false">
      <c r="A2068" s="752"/>
      <c r="C2068" s="925"/>
      <c r="D2068" s="914"/>
      <c r="E2068" s="914"/>
      <c r="F2068" s="915"/>
      <c r="G2068" s="915"/>
      <c r="H2068" s="691"/>
      <c r="I2068" s="691"/>
      <c r="J2068" s="691"/>
      <c r="K2068" s="691"/>
      <c r="L2068" s="691"/>
      <c r="M2068" s="691"/>
      <c r="N2068" s="691"/>
      <c r="O2068" s="691"/>
      <c r="P2068" s="691"/>
      <c r="Q2068" s="691"/>
      <c r="R2068" s="691"/>
      <c r="S2068" s="691"/>
      <c r="T2068" s="691"/>
      <c r="U2068" s="691"/>
    </row>
    <row r="2069" s="917" customFormat="true" ht="15" hidden="false" customHeight="true" outlineLevel="0" collapsed="false">
      <c r="A2069" s="752"/>
      <c r="C2069" s="925"/>
      <c r="D2069" s="914"/>
      <c r="E2069" s="914"/>
      <c r="F2069" s="915"/>
      <c r="G2069" s="915"/>
      <c r="H2069" s="691"/>
      <c r="I2069" s="691"/>
      <c r="J2069" s="691"/>
      <c r="K2069" s="691"/>
      <c r="L2069" s="691"/>
      <c r="M2069" s="691"/>
      <c r="N2069" s="691"/>
      <c r="O2069" s="691"/>
      <c r="P2069" s="691"/>
      <c r="Q2069" s="691"/>
      <c r="R2069" s="691"/>
      <c r="S2069" s="691"/>
      <c r="T2069" s="691"/>
      <c r="U2069" s="691"/>
    </row>
    <row r="2070" s="917" customFormat="true" ht="15" hidden="false" customHeight="true" outlineLevel="0" collapsed="false">
      <c r="A2070" s="752"/>
      <c r="C2070" s="925"/>
      <c r="D2070" s="914"/>
      <c r="E2070" s="914"/>
      <c r="F2070" s="915"/>
      <c r="G2070" s="915"/>
      <c r="H2070" s="691"/>
      <c r="I2070" s="691"/>
      <c r="J2070" s="691"/>
      <c r="K2070" s="691"/>
      <c r="L2070" s="691"/>
      <c r="M2070" s="691"/>
      <c r="N2070" s="691"/>
      <c r="O2070" s="691"/>
      <c r="P2070" s="691"/>
      <c r="Q2070" s="691"/>
      <c r="R2070" s="691"/>
      <c r="S2070" s="691"/>
      <c r="T2070" s="691"/>
      <c r="U2070" s="691"/>
    </row>
    <row r="2071" s="917" customFormat="true" ht="15" hidden="false" customHeight="true" outlineLevel="0" collapsed="false">
      <c r="A2071" s="752"/>
      <c r="C2071" s="925"/>
      <c r="D2071" s="914"/>
      <c r="E2071" s="914"/>
      <c r="F2071" s="915"/>
      <c r="G2071" s="915"/>
      <c r="H2071" s="691"/>
      <c r="I2071" s="691"/>
      <c r="J2071" s="691"/>
      <c r="K2071" s="691"/>
      <c r="L2071" s="691"/>
      <c r="M2071" s="691"/>
      <c r="N2071" s="691"/>
      <c r="O2071" s="691"/>
      <c r="P2071" s="691"/>
      <c r="Q2071" s="691"/>
      <c r="R2071" s="691"/>
      <c r="S2071" s="691"/>
      <c r="T2071" s="691"/>
      <c r="U2071" s="691"/>
    </row>
    <row r="2072" s="917" customFormat="true" ht="15" hidden="false" customHeight="true" outlineLevel="0" collapsed="false">
      <c r="A2072" s="752"/>
      <c r="C2072" s="925"/>
      <c r="D2072" s="914"/>
      <c r="E2072" s="914"/>
      <c r="F2072" s="915"/>
      <c r="G2072" s="915"/>
      <c r="H2072" s="691"/>
      <c r="I2072" s="691"/>
      <c r="J2072" s="691"/>
      <c r="K2072" s="691"/>
      <c r="L2072" s="691"/>
      <c r="M2072" s="691"/>
      <c r="N2072" s="691"/>
      <c r="O2072" s="691"/>
      <c r="P2072" s="691"/>
      <c r="Q2072" s="691"/>
      <c r="R2072" s="691"/>
      <c r="S2072" s="691"/>
      <c r="T2072" s="691"/>
      <c r="U2072" s="691"/>
    </row>
    <row r="2073" s="917" customFormat="true" ht="15" hidden="false" customHeight="true" outlineLevel="0" collapsed="false">
      <c r="A2073" s="752"/>
      <c r="C2073" s="925"/>
      <c r="D2073" s="914"/>
      <c r="E2073" s="914"/>
      <c r="F2073" s="915"/>
      <c r="G2073" s="915"/>
      <c r="H2073" s="691"/>
      <c r="I2073" s="691"/>
      <c r="J2073" s="691"/>
      <c r="K2073" s="691"/>
      <c r="L2073" s="691"/>
      <c r="M2073" s="691"/>
      <c r="N2073" s="691"/>
      <c r="O2073" s="691"/>
      <c r="P2073" s="691"/>
      <c r="Q2073" s="691"/>
      <c r="R2073" s="691"/>
      <c r="S2073" s="691"/>
      <c r="T2073" s="691"/>
      <c r="U2073" s="691"/>
    </row>
    <row r="2074" s="917" customFormat="true" ht="15" hidden="false" customHeight="true" outlineLevel="0" collapsed="false">
      <c r="A2074" s="752"/>
      <c r="C2074" s="925"/>
      <c r="D2074" s="914"/>
      <c r="E2074" s="914"/>
      <c r="F2074" s="915"/>
      <c r="G2074" s="915"/>
      <c r="H2074" s="691"/>
      <c r="I2074" s="691"/>
      <c r="J2074" s="691"/>
      <c r="K2074" s="691"/>
      <c r="L2074" s="691"/>
      <c r="M2074" s="691"/>
      <c r="N2074" s="691"/>
      <c r="O2074" s="691"/>
      <c r="P2074" s="691"/>
      <c r="Q2074" s="691"/>
      <c r="R2074" s="691"/>
      <c r="S2074" s="691"/>
      <c r="T2074" s="691"/>
      <c r="U2074" s="691"/>
    </row>
    <row r="2075" s="917" customFormat="true" ht="15" hidden="false" customHeight="true" outlineLevel="0" collapsed="false">
      <c r="A2075" s="752"/>
      <c r="C2075" s="925"/>
      <c r="D2075" s="914"/>
      <c r="E2075" s="914"/>
      <c r="F2075" s="915"/>
      <c r="G2075" s="915"/>
      <c r="H2075" s="691"/>
      <c r="I2075" s="691"/>
      <c r="J2075" s="691"/>
      <c r="K2075" s="691"/>
      <c r="L2075" s="691"/>
      <c r="M2075" s="691"/>
      <c r="N2075" s="691"/>
      <c r="O2075" s="691"/>
      <c r="P2075" s="691"/>
      <c r="Q2075" s="691"/>
      <c r="R2075" s="691"/>
      <c r="S2075" s="691"/>
      <c r="T2075" s="691"/>
      <c r="U2075" s="691"/>
    </row>
    <row r="2076" s="917" customFormat="true" ht="15" hidden="false" customHeight="true" outlineLevel="0" collapsed="false">
      <c r="A2076" s="752"/>
      <c r="C2076" s="925"/>
      <c r="D2076" s="914"/>
      <c r="E2076" s="914"/>
      <c r="F2076" s="915"/>
      <c r="G2076" s="915"/>
      <c r="H2076" s="691"/>
      <c r="I2076" s="691"/>
      <c r="J2076" s="691"/>
      <c r="K2076" s="691"/>
      <c r="L2076" s="691"/>
      <c r="M2076" s="691"/>
      <c r="N2076" s="691"/>
      <c r="O2076" s="691"/>
      <c r="P2076" s="691"/>
      <c r="Q2076" s="691"/>
      <c r="R2076" s="691"/>
      <c r="S2076" s="691"/>
      <c r="T2076" s="691"/>
      <c r="U2076" s="691"/>
    </row>
    <row r="2077" s="917" customFormat="true" ht="15" hidden="false" customHeight="true" outlineLevel="0" collapsed="false">
      <c r="A2077" s="752"/>
      <c r="C2077" s="925"/>
      <c r="D2077" s="914"/>
      <c r="E2077" s="914"/>
      <c r="F2077" s="915"/>
      <c r="G2077" s="915"/>
      <c r="H2077" s="691"/>
      <c r="I2077" s="691"/>
      <c r="J2077" s="691"/>
      <c r="K2077" s="691"/>
      <c r="L2077" s="691"/>
      <c r="M2077" s="691"/>
      <c r="N2077" s="691"/>
      <c r="O2077" s="691"/>
      <c r="P2077" s="691"/>
      <c r="Q2077" s="691"/>
      <c r="R2077" s="691"/>
      <c r="S2077" s="691"/>
      <c r="T2077" s="691"/>
      <c r="U2077" s="691"/>
    </row>
    <row r="2078" s="917" customFormat="true" ht="15" hidden="false" customHeight="true" outlineLevel="0" collapsed="false">
      <c r="A2078" s="752"/>
      <c r="C2078" s="925"/>
      <c r="D2078" s="914"/>
      <c r="E2078" s="914"/>
      <c r="F2078" s="915"/>
      <c r="G2078" s="915"/>
      <c r="H2078" s="691"/>
      <c r="I2078" s="691"/>
      <c r="J2078" s="691"/>
      <c r="K2078" s="691"/>
      <c r="L2078" s="691"/>
      <c r="M2078" s="691"/>
      <c r="N2078" s="691"/>
      <c r="O2078" s="691"/>
      <c r="P2078" s="691"/>
      <c r="Q2078" s="691"/>
      <c r="R2078" s="691"/>
      <c r="S2078" s="691"/>
      <c r="T2078" s="691"/>
      <c r="U2078" s="691"/>
    </row>
    <row r="2079" s="917" customFormat="true" ht="15" hidden="false" customHeight="true" outlineLevel="0" collapsed="false">
      <c r="A2079" s="752"/>
      <c r="C2079" s="925"/>
      <c r="D2079" s="914"/>
      <c r="E2079" s="914"/>
      <c r="F2079" s="915"/>
      <c r="G2079" s="915"/>
      <c r="H2079" s="691"/>
      <c r="I2079" s="691"/>
      <c r="J2079" s="691"/>
      <c r="K2079" s="691"/>
      <c r="L2079" s="691"/>
      <c r="M2079" s="691"/>
      <c r="N2079" s="691"/>
      <c r="O2079" s="691"/>
      <c r="P2079" s="691"/>
      <c r="Q2079" s="691"/>
      <c r="R2079" s="691"/>
      <c r="S2079" s="691"/>
      <c r="T2079" s="691"/>
      <c r="U2079" s="691"/>
    </row>
    <row r="2080" s="917" customFormat="true" ht="15" hidden="false" customHeight="true" outlineLevel="0" collapsed="false">
      <c r="A2080" s="752"/>
      <c r="C2080" s="925"/>
      <c r="D2080" s="914"/>
      <c r="E2080" s="914"/>
      <c r="F2080" s="915"/>
      <c r="G2080" s="915"/>
      <c r="H2080" s="691"/>
      <c r="I2080" s="691"/>
      <c r="J2080" s="691"/>
      <c r="K2080" s="691"/>
      <c r="L2080" s="691"/>
      <c r="M2080" s="691"/>
      <c r="N2080" s="691"/>
      <c r="O2080" s="691"/>
      <c r="P2080" s="691"/>
      <c r="Q2080" s="691"/>
      <c r="R2080" s="691"/>
      <c r="S2080" s="691"/>
      <c r="T2080" s="691"/>
      <c r="U2080" s="691"/>
    </row>
    <row r="2081" s="917" customFormat="true" ht="15" hidden="false" customHeight="true" outlineLevel="0" collapsed="false">
      <c r="A2081" s="752"/>
      <c r="C2081" s="925"/>
      <c r="D2081" s="914"/>
      <c r="E2081" s="914"/>
      <c r="F2081" s="915"/>
      <c r="G2081" s="915"/>
      <c r="H2081" s="691"/>
      <c r="I2081" s="691"/>
      <c r="J2081" s="691"/>
      <c r="K2081" s="691"/>
      <c r="L2081" s="691"/>
      <c r="M2081" s="691"/>
      <c r="N2081" s="691"/>
      <c r="O2081" s="691"/>
      <c r="P2081" s="691"/>
      <c r="Q2081" s="691"/>
      <c r="R2081" s="691"/>
      <c r="S2081" s="691"/>
      <c r="T2081" s="691"/>
      <c r="U2081" s="691"/>
    </row>
    <row r="2082" s="917" customFormat="true" ht="15" hidden="false" customHeight="true" outlineLevel="0" collapsed="false">
      <c r="A2082" s="752"/>
      <c r="C2082" s="925"/>
      <c r="D2082" s="914"/>
      <c r="E2082" s="914"/>
      <c r="F2082" s="915"/>
      <c r="G2082" s="915"/>
      <c r="H2082" s="691"/>
      <c r="I2082" s="691"/>
      <c r="J2082" s="691"/>
      <c r="K2082" s="691"/>
      <c r="L2082" s="691"/>
      <c r="M2082" s="691"/>
      <c r="N2082" s="691"/>
      <c r="O2082" s="691"/>
      <c r="P2082" s="691"/>
      <c r="Q2082" s="691"/>
      <c r="R2082" s="691"/>
      <c r="S2082" s="691"/>
      <c r="T2082" s="691"/>
      <c r="U2082" s="691"/>
    </row>
    <row r="2083" s="917" customFormat="true" ht="15" hidden="false" customHeight="true" outlineLevel="0" collapsed="false">
      <c r="A2083" s="752"/>
      <c r="C2083" s="925"/>
      <c r="D2083" s="914"/>
      <c r="E2083" s="914"/>
      <c r="F2083" s="915"/>
      <c r="G2083" s="915"/>
      <c r="H2083" s="691"/>
      <c r="I2083" s="691"/>
      <c r="J2083" s="691"/>
      <c r="K2083" s="691"/>
      <c r="L2083" s="691"/>
      <c r="M2083" s="691"/>
      <c r="N2083" s="691"/>
      <c r="O2083" s="691"/>
      <c r="P2083" s="691"/>
      <c r="Q2083" s="691"/>
      <c r="R2083" s="691"/>
      <c r="S2083" s="691"/>
      <c r="T2083" s="691"/>
      <c r="U2083" s="691"/>
    </row>
    <row r="2084" s="917" customFormat="true" ht="15" hidden="false" customHeight="true" outlineLevel="0" collapsed="false">
      <c r="A2084" s="752"/>
      <c r="C2084" s="925"/>
      <c r="D2084" s="914"/>
      <c r="E2084" s="914"/>
      <c r="F2084" s="915"/>
      <c r="G2084" s="915"/>
      <c r="H2084" s="691"/>
      <c r="I2084" s="691"/>
      <c r="J2084" s="691"/>
      <c r="K2084" s="691"/>
      <c r="L2084" s="691"/>
      <c r="M2084" s="691"/>
      <c r="N2084" s="691"/>
      <c r="O2084" s="691"/>
      <c r="P2084" s="691"/>
      <c r="Q2084" s="691"/>
      <c r="R2084" s="691"/>
      <c r="S2084" s="691"/>
      <c r="T2084" s="691"/>
      <c r="U2084" s="691"/>
    </row>
    <row r="2085" s="917" customFormat="true" ht="15" hidden="false" customHeight="true" outlineLevel="0" collapsed="false">
      <c r="A2085" s="752"/>
      <c r="C2085" s="925"/>
      <c r="D2085" s="914"/>
      <c r="E2085" s="914"/>
      <c r="F2085" s="915"/>
      <c r="G2085" s="915"/>
      <c r="H2085" s="691"/>
      <c r="I2085" s="691"/>
      <c r="J2085" s="691"/>
      <c r="K2085" s="691"/>
      <c r="L2085" s="691"/>
      <c r="M2085" s="691"/>
      <c r="N2085" s="691"/>
      <c r="O2085" s="691"/>
      <c r="P2085" s="691"/>
      <c r="Q2085" s="691"/>
      <c r="R2085" s="691"/>
      <c r="S2085" s="691"/>
      <c r="T2085" s="691"/>
      <c r="U2085" s="691"/>
    </row>
    <row r="2086" s="917" customFormat="true" ht="15" hidden="false" customHeight="true" outlineLevel="0" collapsed="false">
      <c r="A2086" s="752"/>
      <c r="C2086" s="925"/>
      <c r="D2086" s="914"/>
      <c r="E2086" s="914"/>
      <c r="F2086" s="915"/>
      <c r="G2086" s="915"/>
      <c r="H2086" s="691"/>
      <c r="I2086" s="691"/>
      <c r="J2086" s="691"/>
      <c r="K2086" s="691"/>
      <c r="L2086" s="691"/>
      <c r="M2086" s="691"/>
      <c r="N2086" s="691"/>
      <c r="O2086" s="691"/>
      <c r="P2086" s="691"/>
      <c r="Q2086" s="691"/>
      <c r="R2086" s="691"/>
      <c r="S2086" s="691"/>
      <c r="T2086" s="691"/>
      <c r="U2086" s="691"/>
    </row>
    <row r="2087" s="917" customFormat="true" ht="15" hidden="false" customHeight="true" outlineLevel="0" collapsed="false">
      <c r="A2087" s="752"/>
      <c r="C2087" s="925"/>
      <c r="D2087" s="914"/>
      <c r="E2087" s="914"/>
      <c r="F2087" s="915"/>
      <c r="G2087" s="915"/>
      <c r="H2087" s="691"/>
      <c r="I2087" s="691"/>
      <c r="J2087" s="691"/>
      <c r="K2087" s="691"/>
      <c r="L2087" s="691"/>
      <c r="M2087" s="691"/>
      <c r="N2087" s="691"/>
      <c r="O2087" s="691"/>
      <c r="P2087" s="691"/>
      <c r="Q2087" s="691"/>
      <c r="R2087" s="691"/>
      <c r="S2087" s="691"/>
      <c r="T2087" s="691"/>
      <c r="U2087" s="691"/>
    </row>
    <row r="2088" s="917" customFormat="true" ht="15" hidden="false" customHeight="true" outlineLevel="0" collapsed="false">
      <c r="A2088" s="752"/>
      <c r="C2088" s="925"/>
      <c r="D2088" s="914"/>
      <c r="E2088" s="914"/>
      <c r="F2088" s="915"/>
      <c r="G2088" s="915"/>
      <c r="H2088" s="691"/>
      <c r="I2088" s="691"/>
      <c r="J2088" s="691"/>
      <c r="K2088" s="691"/>
      <c r="L2088" s="691"/>
      <c r="M2088" s="691"/>
      <c r="N2088" s="691"/>
      <c r="O2088" s="691"/>
      <c r="P2088" s="691"/>
      <c r="Q2088" s="691"/>
      <c r="R2088" s="691"/>
      <c r="S2088" s="691"/>
      <c r="T2088" s="691"/>
      <c r="U2088" s="691"/>
    </row>
    <row r="2089" s="917" customFormat="true" ht="15" hidden="false" customHeight="true" outlineLevel="0" collapsed="false">
      <c r="A2089" s="752"/>
      <c r="C2089" s="925"/>
      <c r="D2089" s="914"/>
      <c r="E2089" s="914"/>
      <c r="F2089" s="915"/>
      <c r="G2089" s="915"/>
      <c r="H2089" s="691"/>
      <c r="I2089" s="691"/>
      <c r="J2089" s="691"/>
      <c r="K2089" s="691"/>
      <c r="L2089" s="691"/>
      <c r="M2089" s="691"/>
      <c r="N2089" s="691"/>
      <c r="O2089" s="691"/>
      <c r="P2089" s="691"/>
      <c r="Q2089" s="691"/>
      <c r="R2089" s="691"/>
      <c r="S2089" s="691"/>
      <c r="T2089" s="691"/>
      <c r="U2089" s="691"/>
    </row>
    <row r="2090" s="917" customFormat="true" ht="15" hidden="false" customHeight="true" outlineLevel="0" collapsed="false">
      <c r="A2090" s="752"/>
      <c r="C2090" s="925"/>
      <c r="D2090" s="914"/>
      <c r="E2090" s="914"/>
      <c r="F2090" s="915"/>
      <c r="G2090" s="915"/>
      <c r="H2090" s="691"/>
      <c r="I2090" s="691"/>
      <c r="J2090" s="691"/>
      <c r="K2090" s="691"/>
      <c r="L2090" s="691"/>
      <c r="M2090" s="691"/>
      <c r="N2090" s="691"/>
      <c r="O2090" s="691"/>
      <c r="P2090" s="691"/>
      <c r="Q2090" s="691"/>
      <c r="R2090" s="691"/>
      <c r="S2090" s="691"/>
      <c r="T2090" s="691"/>
      <c r="U2090" s="691"/>
    </row>
    <row r="2091" s="917" customFormat="true" ht="15" hidden="false" customHeight="true" outlineLevel="0" collapsed="false">
      <c r="A2091" s="752"/>
      <c r="C2091" s="925"/>
      <c r="D2091" s="914"/>
      <c r="E2091" s="914"/>
      <c r="F2091" s="915"/>
      <c r="G2091" s="915"/>
      <c r="H2091" s="691"/>
      <c r="I2091" s="691"/>
      <c r="J2091" s="691"/>
      <c r="K2091" s="691"/>
      <c r="L2091" s="691"/>
      <c r="M2091" s="691"/>
      <c r="N2091" s="691"/>
      <c r="O2091" s="691"/>
      <c r="P2091" s="691"/>
      <c r="Q2091" s="691"/>
      <c r="R2091" s="691"/>
      <c r="S2091" s="691"/>
      <c r="T2091" s="691"/>
      <c r="U2091" s="691"/>
    </row>
    <row r="2092" s="917" customFormat="true" ht="15" hidden="false" customHeight="true" outlineLevel="0" collapsed="false">
      <c r="A2092" s="752"/>
      <c r="C2092" s="925"/>
      <c r="D2092" s="914"/>
      <c r="E2092" s="914"/>
      <c r="F2092" s="915"/>
      <c r="G2092" s="915"/>
      <c r="H2092" s="691"/>
      <c r="I2092" s="691"/>
      <c r="J2092" s="691"/>
      <c r="K2092" s="691"/>
      <c r="L2092" s="691"/>
      <c r="M2092" s="691"/>
      <c r="N2092" s="691"/>
      <c r="O2092" s="691"/>
      <c r="P2092" s="691"/>
      <c r="Q2092" s="691"/>
      <c r="R2092" s="691"/>
      <c r="S2092" s="691"/>
      <c r="T2092" s="691"/>
      <c r="U2092" s="691"/>
    </row>
    <row r="2093" s="917" customFormat="true" ht="15" hidden="false" customHeight="true" outlineLevel="0" collapsed="false">
      <c r="A2093" s="752"/>
      <c r="C2093" s="925"/>
      <c r="D2093" s="914"/>
      <c r="E2093" s="914"/>
      <c r="F2093" s="915"/>
      <c r="G2093" s="915"/>
      <c r="H2093" s="691"/>
      <c r="I2093" s="691"/>
      <c r="J2093" s="691"/>
      <c r="K2093" s="691"/>
      <c r="L2093" s="691"/>
      <c r="M2093" s="691"/>
      <c r="N2093" s="691"/>
      <c r="O2093" s="691"/>
      <c r="P2093" s="691"/>
      <c r="Q2093" s="691"/>
      <c r="R2093" s="691"/>
      <c r="S2093" s="691"/>
      <c r="T2093" s="691"/>
      <c r="U2093" s="691"/>
    </row>
    <row r="2094" s="917" customFormat="true" ht="15" hidden="false" customHeight="true" outlineLevel="0" collapsed="false">
      <c r="A2094" s="752"/>
      <c r="C2094" s="925"/>
      <c r="D2094" s="914"/>
      <c r="E2094" s="914"/>
      <c r="F2094" s="915"/>
      <c r="G2094" s="915"/>
      <c r="H2094" s="691"/>
      <c r="I2094" s="691"/>
      <c r="J2094" s="691"/>
      <c r="K2094" s="691"/>
      <c r="L2094" s="691"/>
      <c r="M2094" s="691"/>
      <c r="N2094" s="691"/>
      <c r="O2094" s="691"/>
      <c r="P2094" s="691"/>
      <c r="Q2094" s="691"/>
      <c r="R2094" s="691"/>
      <c r="S2094" s="691"/>
      <c r="T2094" s="691"/>
      <c r="U2094" s="691"/>
    </row>
    <row r="2095" s="917" customFormat="true" ht="15" hidden="false" customHeight="true" outlineLevel="0" collapsed="false">
      <c r="A2095" s="752"/>
      <c r="C2095" s="925"/>
      <c r="D2095" s="914"/>
      <c r="E2095" s="914"/>
      <c r="F2095" s="915"/>
      <c r="G2095" s="915"/>
      <c r="H2095" s="691"/>
      <c r="I2095" s="691"/>
      <c r="J2095" s="691"/>
      <c r="K2095" s="691"/>
      <c r="L2095" s="691"/>
      <c r="M2095" s="691"/>
      <c r="N2095" s="691"/>
      <c r="O2095" s="691"/>
      <c r="P2095" s="691"/>
      <c r="Q2095" s="691"/>
      <c r="R2095" s="691"/>
      <c r="S2095" s="691"/>
      <c r="T2095" s="691"/>
      <c r="U2095" s="691"/>
    </row>
    <row r="2096" s="917" customFormat="true" ht="15" hidden="false" customHeight="true" outlineLevel="0" collapsed="false">
      <c r="A2096" s="752"/>
      <c r="C2096" s="925"/>
      <c r="D2096" s="914"/>
      <c r="E2096" s="914"/>
      <c r="F2096" s="915"/>
      <c r="G2096" s="915"/>
      <c r="H2096" s="691"/>
      <c r="I2096" s="691"/>
      <c r="J2096" s="691"/>
      <c r="K2096" s="691"/>
      <c r="L2096" s="691"/>
      <c r="M2096" s="691"/>
      <c r="N2096" s="691"/>
      <c r="O2096" s="691"/>
      <c r="P2096" s="691"/>
      <c r="Q2096" s="691"/>
      <c r="R2096" s="691"/>
      <c r="S2096" s="691"/>
      <c r="T2096" s="691"/>
      <c r="U2096" s="691"/>
    </row>
    <row r="2097" s="917" customFormat="true" ht="15" hidden="false" customHeight="true" outlineLevel="0" collapsed="false">
      <c r="A2097" s="752"/>
      <c r="C2097" s="925"/>
      <c r="D2097" s="914"/>
      <c r="E2097" s="914"/>
      <c r="F2097" s="915"/>
      <c r="G2097" s="915"/>
      <c r="H2097" s="691"/>
      <c r="I2097" s="691"/>
      <c r="J2097" s="691"/>
      <c r="K2097" s="691"/>
      <c r="L2097" s="691"/>
      <c r="M2097" s="691"/>
      <c r="N2097" s="691"/>
      <c r="O2097" s="691"/>
      <c r="P2097" s="691"/>
      <c r="Q2097" s="691"/>
      <c r="R2097" s="691"/>
      <c r="S2097" s="691"/>
      <c r="T2097" s="691"/>
      <c r="U2097" s="691"/>
    </row>
    <row r="2098" s="917" customFormat="true" ht="15" hidden="false" customHeight="true" outlineLevel="0" collapsed="false">
      <c r="A2098" s="752"/>
      <c r="C2098" s="925"/>
      <c r="D2098" s="914"/>
      <c r="E2098" s="914"/>
      <c r="F2098" s="915"/>
      <c r="G2098" s="915"/>
      <c r="H2098" s="691"/>
      <c r="I2098" s="691"/>
      <c r="J2098" s="691"/>
      <c r="K2098" s="691"/>
      <c r="L2098" s="691"/>
      <c r="M2098" s="691"/>
      <c r="N2098" s="691"/>
      <c r="O2098" s="691"/>
      <c r="P2098" s="691"/>
      <c r="Q2098" s="691"/>
      <c r="R2098" s="691"/>
      <c r="S2098" s="691"/>
      <c r="T2098" s="691"/>
      <c r="U2098" s="691"/>
    </row>
    <row r="2099" s="917" customFormat="true" ht="15" hidden="false" customHeight="true" outlineLevel="0" collapsed="false">
      <c r="A2099" s="752"/>
      <c r="C2099" s="925"/>
      <c r="D2099" s="914"/>
      <c r="E2099" s="914"/>
      <c r="F2099" s="915"/>
      <c r="G2099" s="915"/>
      <c r="H2099" s="691"/>
      <c r="I2099" s="691"/>
      <c r="J2099" s="691"/>
      <c r="K2099" s="691"/>
      <c r="L2099" s="691"/>
      <c r="M2099" s="691"/>
      <c r="N2099" s="691"/>
      <c r="O2099" s="691"/>
      <c r="P2099" s="691"/>
      <c r="Q2099" s="691"/>
      <c r="R2099" s="691"/>
      <c r="S2099" s="691"/>
      <c r="T2099" s="691"/>
      <c r="U2099" s="691"/>
    </row>
    <row r="2100" s="917" customFormat="true" ht="15" hidden="false" customHeight="true" outlineLevel="0" collapsed="false">
      <c r="A2100" s="752"/>
      <c r="C2100" s="925"/>
      <c r="D2100" s="914"/>
      <c r="E2100" s="914"/>
      <c r="F2100" s="915"/>
      <c r="G2100" s="915"/>
      <c r="H2100" s="691"/>
      <c r="I2100" s="691"/>
      <c r="J2100" s="691"/>
      <c r="K2100" s="691"/>
      <c r="L2100" s="691"/>
      <c r="M2100" s="691"/>
      <c r="N2100" s="691"/>
      <c r="O2100" s="691"/>
      <c r="P2100" s="691"/>
      <c r="Q2100" s="691"/>
      <c r="R2100" s="691"/>
      <c r="S2100" s="691"/>
      <c r="T2100" s="691"/>
      <c r="U2100" s="691"/>
    </row>
    <row r="2101" s="917" customFormat="true" ht="15" hidden="false" customHeight="true" outlineLevel="0" collapsed="false">
      <c r="A2101" s="752"/>
      <c r="C2101" s="925"/>
      <c r="D2101" s="914"/>
      <c r="E2101" s="914"/>
      <c r="F2101" s="915"/>
      <c r="G2101" s="915"/>
      <c r="H2101" s="691"/>
      <c r="I2101" s="691"/>
      <c r="J2101" s="691"/>
      <c r="K2101" s="691"/>
      <c r="L2101" s="691"/>
      <c r="M2101" s="691"/>
      <c r="N2101" s="691"/>
      <c r="O2101" s="691"/>
      <c r="P2101" s="691"/>
      <c r="Q2101" s="691"/>
      <c r="R2101" s="691"/>
      <c r="S2101" s="691"/>
      <c r="T2101" s="691"/>
      <c r="U2101" s="691"/>
    </row>
    <row r="2102" s="917" customFormat="true" ht="15" hidden="false" customHeight="true" outlineLevel="0" collapsed="false">
      <c r="A2102" s="752"/>
      <c r="C2102" s="925"/>
      <c r="D2102" s="914"/>
      <c r="E2102" s="914"/>
      <c r="F2102" s="915"/>
      <c r="G2102" s="915"/>
      <c r="H2102" s="691"/>
      <c r="I2102" s="691"/>
      <c r="J2102" s="691"/>
      <c r="K2102" s="691"/>
      <c r="L2102" s="691"/>
      <c r="M2102" s="691"/>
      <c r="N2102" s="691"/>
      <c r="O2102" s="691"/>
      <c r="P2102" s="691"/>
      <c r="Q2102" s="691"/>
      <c r="R2102" s="691"/>
      <c r="S2102" s="691"/>
      <c r="T2102" s="691"/>
      <c r="U2102" s="691"/>
    </row>
    <row r="2103" s="917" customFormat="true" ht="15" hidden="false" customHeight="true" outlineLevel="0" collapsed="false">
      <c r="A2103" s="752"/>
      <c r="C2103" s="925"/>
      <c r="D2103" s="914"/>
      <c r="E2103" s="914"/>
      <c r="F2103" s="915"/>
      <c r="G2103" s="915"/>
      <c r="H2103" s="691"/>
      <c r="I2103" s="691"/>
      <c r="J2103" s="691"/>
      <c r="K2103" s="691"/>
      <c r="L2103" s="691"/>
      <c r="M2103" s="691"/>
      <c r="N2103" s="691"/>
      <c r="O2103" s="691"/>
      <c r="P2103" s="691"/>
      <c r="Q2103" s="691"/>
      <c r="R2103" s="691"/>
      <c r="S2103" s="691"/>
      <c r="T2103" s="691"/>
      <c r="U2103" s="691"/>
    </row>
    <row r="2104" s="917" customFormat="true" ht="15" hidden="false" customHeight="true" outlineLevel="0" collapsed="false">
      <c r="A2104" s="752"/>
      <c r="C2104" s="925"/>
      <c r="D2104" s="914"/>
      <c r="E2104" s="914"/>
      <c r="F2104" s="915"/>
      <c r="G2104" s="915"/>
      <c r="H2104" s="691"/>
      <c r="I2104" s="691"/>
      <c r="J2104" s="691"/>
      <c r="K2104" s="691"/>
      <c r="L2104" s="691"/>
      <c r="M2104" s="691"/>
      <c r="N2104" s="691"/>
      <c r="O2104" s="691"/>
      <c r="P2104" s="691"/>
      <c r="Q2104" s="691"/>
      <c r="R2104" s="691"/>
      <c r="S2104" s="691"/>
      <c r="T2104" s="691"/>
      <c r="U2104" s="691"/>
    </row>
    <row r="2105" s="917" customFormat="true" ht="15" hidden="false" customHeight="true" outlineLevel="0" collapsed="false">
      <c r="A2105" s="752"/>
      <c r="C2105" s="925"/>
      <c r="D2105" s="914"/>
      <c r="E2105" s="914"/>
      <c r="F2105" s="915"/>
      <c r="G2105" s="915"/>
      <c r="H2105" s="691"/>
      <c r="I2105" s="691"/>
      <c r="J2105" s="691"/>
      <c r="K2105" s="691"/>
      <c r="L2105" s="691"/>
      <c r="M2105" s="691"/>
      <c r="N2105" s="691"/>
      <c r="O2105" s="691"/>
      <c r="P2105" s="691"/>
      <c r="Q2105" s="691"/>
      <c r="R2105" s="691"/>
      <c r="S2105" s="691"/>
      <c r="T2105" s="691"/>
      <c r="U2105" s="691"/>
    </row>
    <row r="2106" s="917" customFormat="true" ht="15" hidden="false" customHeight="true" outlineLevel="0" collapsed="false">
      <c r="A2106" s="752"/>
      <c r="C2106" s="925"/>
      <c r="D2106" s="914"/>
      <c r="E2106" s="914"/>
      <c r="F2106" s="915"/>
      <c r="G2106" s="915"/>
      <c r="H2106" s="691"/>
      <c r="I2106" s="691"/>
      <c r="J2106" s="691"/>
      <c r="K2106" s="691"/>
      <c r="L2106" s="691"/>
      <c r="M2106" s="691"/>
      <c r="N2106" s="691"/>
      <c r="O2106" s="691"/>
      <c r="P2106" s="691"/>
      <c r="Q2106" s="691"/>
      <c r="R2106" s="691"/>
      <c r="S2106" s="691"/>
      <c r="T2106" s="691"/>
      <c r="U2106" s="691"/>
    </row>
    <row r="2107" s="917" customFormat="true" ht="15" hidden="false" customHeight="true" outlineLevel="0" collapsed="false">
      <c r="A2107" s="752"/>
      <c r="C2107" s="925"/>
      <c r="D2107" s="914"/>
      <c r="E2107" s="914"/>
      <c r="F2107" s="915"/>
      <c r="G2107" s="915"/>
      <c r="H2107" s="691"/>
      <c r="I2107" s="691"/>
      <c r="J2107" s="691"/>
      <c r="K2107" s="691"/>
      <c r="L2107" s="691"/>
      <c r="M2107" s="691"/>
      <c r="N2107" s="691"/>
      <c r="O2107" s="691"/>
      <c r="P2107" s="691"/>
      <c r="Q2107" s="691"/>
      <c r="R2107" s="691"/>
      <c r="S2107" s="691"/>
      <c r="T2107" s="691"/>
      <c r="U2107" s="691"/>
    </row>
    <row r="2108" s="917" customFormat="true" ht="15" hidden="false" customHeight="true" outlineLevel="0" collapsed="false">
      <c r="A2108" s="752"/>
      <c r="C2108" s="925"/>
      <c r="D2108" s="914"/>
      <c r="E2108" s="914"/>
      <c r="F2108" s="915"/>
      <c r="G2108" s="915"/>
      <c r="H2108" s="691"/>
      <c r="I2108" s="691"/>
      <c r="J2108" s="691"/>
      <c r="K2108" s="691"/>
      <c r="L2108" s="691"/>
      <c r="M2108" s="691"/>
      <c r="N2108" s="691"/>
      <c r="O2108" s="691"/>
      <c r="P2108" s="691"/>
      <c r="Q2108" s="691"/>
      <c r="R2108" s="691"/>
      <c r="S2108" s="691"/>
      <c r="T2108" s="691"/>
      <c r="U2108" s="691"/>
    </row>
    <row r="2109" s="917" customFormat="true" ht="15" hidden="false" customHeight="true" outlineLevel="0" collapsed="false">
      <c r="A2109" s="752"/>
      <c r="C2109" s="925"/>
      <c r="D2109" s="914"/>
      <c r="E2109" s="914"/>
      <c r="F2109" s="915"/>
      <c r="G2109" s="915"/>
      <c r="H2109" s="691"/>
      <c r="I2109" s="691"/>
      <c r="J2109" s="691"/>
      <c r="K2109" s="691"/>
      <c r="L2109" s="691"/>
      <c r="M2109" s="691"/>
      <c r="N2109" s="691"/>
      <c r="O2109" s="691"/>
      <c r="P2109" s="691"/>
      <c r="Q2109" s="691"/>
      <c r="R2109" s="691"/>
      <c r="S2109" s="691"/>
      <c r="T2109" s="691"/>
      <c r="U2109" s="691"/>
    </row>
    <row r="2110" s="917" customFormat="true" ht="15" hidden="false" customHeight="true" outlineLevel="0" collapsed="false">
      <c r="A2110" s="752"/>
      <c r="C2110" s="925"/>
      <c r="D2110" s="914"/>
      <c r="E2110" s="914"/>
      <c r="F2110" s="915"/>
      <c r="G2110" s="915"/>
      <c r="H2110" s="691"/>
      <c r="I2110" s="691"/>
      <c r="J2110" s="691"/>
      <c r="K2110" s="691"/>
      <c r="L2110" s="691"/>
      <c r="M2110" s="691"/>
      <c r="N2110" s="691"/>
      <c r="O2110" s="691"/>
      <c r="P2110" s="691"/>
      <c r="Q2110" s="691"/>
      <c r="R2110" s="691"/>
      <c r="S2110" s="691"/>
      <c r="T2110" s="691"/>
      <c r="U2110" s="691"/>
    </row>
    <row r="2111" s="917" customFormat="true" ht="15" hidden="false" customHeight="true" outlineLevel="0" collapsed="false">
      <c r="A2111" s="752"/>
      <c r="C2111" s="925"/>
      <c r="D2111" s="914"/>
      <c r="E2111" s="914"/>
      <c r="F2111" s="915"/>
      <c r="G2111" s="915"/>
      <c r="H2111" s="691"/>
      <c r="I2111" s="691"/>
      <c r="J2111" s="691"/>
      <c r="K2111" s="691"/>
      <c r="L2111" s="691"/>
      <c r="M2111" s="691"/>
      <c r="N2111" s="691"/>
      <c r="O2111" s="691"/>
      <c r="P2111" s="691"/>
      <c r="Q2111" s="691"/>
      <c r="R2111" s="691"/>
      <c r="S2111" s="691"/>
      <c r="T2111" s="691"/>
      <c r="U2111" s="691"/>
    </row>
    <row r="2112" s="917" customFormat="true" ht="15" hidden="false" customHeight="true" outlineLevel="0" collapsed="false">
      <c r="A2112" s="752"/>
      <c r="C2112" s="925"/>
      <c r="D2112" s="914"/>
      <c r="E2112" s="914"/>
      <c r="F2112" s="915"/>
      <c r="G2112" s="915"/>
      <c r="H2112" s="691"/>
      <c r="I2112" s="691"/>
      <c r="J2112" s="691"/>
      <c r="K2112" s="691"/>
      <c r="L2112" s="691"/>
      <c r="M2112" s="691"/>
      <c r="N2112" s="691"/>
      <c r="O2112" s="691"/>
      <c r="P2112" s="691"/>
      <c r="Q2112" s="691"/>
      <c r="R2112" s="691"/>
      <c r="S2112" s="691"/>
      <c r="T2112" s="691"/>
      <c r="U2112" s="691"/>
    </row>
    <row r="2113" s="917" customFormat="true" ht="15" hidden="false" customHeight="true" outlineLevel="0" collapsed="false">
      <c r="A2113" s="752"/>
      <c r="C2113" s="925"/>
      <c r="D2113" s="914"/>
      <c r="E2113" s="914"/>
      <c r="F2113" s="915"/>
      <c r="G2113" s="915"/>
      <c r="H2113" s="691"/>
      <c r="I2113" s="691"/>
      <c r="J2113" s="691"/>
      <c r="K2113" s="691"/>
      <c r="L2113" s="691"/>
      <c r="M2113" s="691"/>
      <c r="N2113" s="691"/>
      <c r="O2113" s="691"/>
      <c r="P2113" s="691"/>
      <c r="Q2113" s="691"/>
      <c r="R2113" s="691"/>
      <c r="S2113" s="691"/>
      <c r="T2113" s="691"/>
      <c r="U2113" s="691"/>
    </row>
    <row r="2114" s="917" customFormat="true" ht="15" hidden="false" customHeight="true" outlineLevel="0" collapsed="false">
      <c r="A2114" s="752"/>
      <c r="C2114" s="925"/>
      <c r="D2114" s="914"/>
      <c r="E2114" s="914"/>
      <c r="F2114" s="915"/>
      <c r="G2114" s="915"/>
      <c r="H2114" s="691"/>
      <c r="I2114" s="691"/>
      <c r="J2114" s="691"/>
      <c r="K2114" s="691"/>
      <c r="L2114" s="691"/>
      <c r="M2114" s="691"/>
      <c r="N2114" s="691"/>
      <c r="O2114" s="691"/>
      <c r="P2114" s="691"/>
      <c r="Q2114" s="691"/>
      <c r="R2114" s="691"/>
      <c r="S2114" s="691"/>
      <c r="T2114" s="691"/>
      <c r="U2114" s="691"/>
    </row>
    <row r="2115" s="917" customFormat="true" ht="15" hidden="false" customHeight="true" outlineLevel="0" collapsed="false">
      <c r="A2115" s="752"/>
      <c r="C2115" s="925"/>
      <c r="D2115" s="914"/>
      <c r="E2115" s="914"/>
      <c r="F2115" s="915"/>
      <c r="G2115" s="915"/>
      <c r="H2115" s="691"/>
      <c r="I2115" s="691"/>
      <c r="J2115" s="691"/>
      <c r="K2115" s="691"/>
      <c r="L2115" s="691"/>
      <c r="M2115" s="691"/>
      <c r="N2115" s="691"/>
      <c r="O2115" s="691"/>
      <c r="P2115" s="691"/>
      <c r="Q2115" s="691"/>
      <c r="R2115" s="691"/>
      <c r="S2115" s="691"/>
      <c r="T2115" s="691"/>
      <c r="U2115" s="691"/>
    </row>
    <row r="2116" s="917" customFormat="true" ht="15" hidden="false" customHeight="true" outlineLevel="0" collapsed="false">
      <c r="A2116" s="752"/>
      <c r="C2116" s="925"/>
      <c r="D2116" s="914"/>
      <c r="E2116" s="914"/>
      <c r="F2116" s="915"/>
      <c r="G2116" s="915"/>
      <c r="H2116" s="691"/>
      <c r="I2116" s="691"/>
      <c r="J2116" s="691"/>
      <c r="K2116" s="691"/>
      <c r="L2116" s="691"/>
      <c r="M2116" s="691"/>
      <c r="N2116" s="691"/>
      <c r="O2116" s="691"/>
      <c r="P2116" s="691"/>
      <c r="Q2116" s="691"/>
      <c r="R2116" s="691"/>
      <c r="S2116" s="691"/>
      <c r="T2116" s="691"/>
      <c r="U2116" s="691"/>
    </row>
    <row r="2117" s="917" customFormat="true" ht="15" hidden="false" customHeight="true" outlineLevel="0" collapsed="false">
      <c r="A2117" s="752"/>
      <c r="C2117" s="925"/>
      <c r="D2117" s="914"/>
      <c r="E2117" s="914"/>
      <c r="F2117" s="915"/>
      <c r="G2117" s="915"/>
      <c r="H2117" s="691"/>
      <c r="I2117" s="691"/>
      <c r="J2117" s="691"/>
      <c r="K2117" s="691"/>
      <c r="L2117" s="691"/>
      <c r="M2117" s="691"/>
      <c r="N2117" s="691"/>
      <c r="O2117" s="691"/>
      <c r="P2117" s="691"/>
      <c r="Q2117" s="691"/>
      <c r="R2117" s="691"/>
      <c r="S2117" s="691"/>
      <c r="T2117" s="691"/>
      <c r="U2117" s="691"/>
    </row>
    <row r="2118" s="917" customFormat="true" ht="15" hidden="false" customHeight="true" outlineLevel="0" collapsed="false">
      <c r="A2118" s="752"/>
      <c r="C2118" s="925"/>
      <c r="D2118" s="914"/>
      <c r="E2118" s="914"/>
      <c r="F2118" s="915"/>
      <c r="G2118" s="915"/>
      <c r="H2118" s="691"/>
      <c r="I2118" s="691"/>
      <c r="J2118" s="691"/>
      <c r="K2118" s="691"/>
      <c r="L2118" s="691"/>
      <c r="M2118" s="691"/>
      <c r="N2118" s="691"/>
      <c r="O2118" s="691"/>
      <c r="P2118" s="691"/>
      <c r="Q2118" s="691"/>
      <c r="R2118" s="691"/>
      <c r="S2118" s="691"/>
      <c r="T2118" s="691"/>
      <c r="U2118" s="691"/>
    </row>
    <row r="2119" s="917" customFormat="true" ht="15" hidden="false" customHeight="true" outlineLevel="0" collapsed="false">
      <c r="A2119" s="752"/>
      <c r="C2119" s="925"/>
      <c r="D2119" s="914"/>
      <c r="E2119" s="914"/>
      <c r="F2119" s="915"/>
      <c r="G2119" s="915"/>
      <c r="H2119" s="691"/>
      <c r="I2119" s="691"/>
      <c r="J2119" s="691"/>
      <c r="K2119" s="691"/>
      <c r="L2119" s="691"/>
      <c r="M2119" s="691"/>
      <c r="N2119" s="691"/>
      <c r="O2119" s="691"/>
      <c r="P2119" s="691"/>
      <c r="Q2119" s="691"/>
      <c r="R2119" s="691"/>
      <c r="S2119" s="691"/>
      <c r="T2119" s="691"/>
      <c r="U2119" s="691"/>
    </row>
    <row r="2120" s="917" customFormat="true" ht="15" hidden="false" customHeight="true" outlineLevel="0" collapsed="false">
      <c r="A2120" s="752"/>
      <c r="C2120" s="925"/>
      <c r="D2120" s="914"/>
      <c r="E2120" s="914"/>
      <c r="F2120" s="915"/>
      <c r="G2120" s="915"/>
      <c r="H2120" s="691"/>
      <c r="I2120" s="691"/>
      <c r="J2120" s="691"/>
      <c r="K2120" s="691"/>
      <c r="L2120" s="691"/>
      <c r="M2120" s="691"/>
      <c r="N2120" s="691"/>
      <c r="O2120" s="691"/>
      <c r="P2120" s="691"/>
      <c r="Q2120" s="691"/>
      <c r="R2120" s="691"/>
      <c r="S2120" s="691"/>
      <c r="T2120" s="691"/>
      <c r="U2120" s="691"/>
    </row>
    <row r="2121" s="917" customFormat="true" ht="15" hidden="false" customHeight="true" outlineLevel="0" collapsed="false">
      <c r="A2121" s="752"/>
      <c r="C2121" s="925"/>
      <c r="D2121" s="914"/>
      <c r="E2121" s="914"/>
      <c r="F2121" s="915"/>
      <c r="G2121" s="915"/>
      <c r="H2121" s="691"/>
      <c r="I2121" s="691"/>
      <c r="J2121" s="691"/>
      <c r="K2121" s="691"/>
      <c r="L2121" s="691"/>
      <c r="M2121" s="691"/>
      <c r="N2121" s="691"/>
      <c r="O2121" s="691"/>
      <c r="P2121" s="691"/>
      <c r="Q2121" s="691"/>
      <c r="R2121" s="691"/>
      <c r="S2121" s="691"/>
      <c r="T2121" s="691"/>
      <c r="U2121" s="691"/>
    </row>
    <row r="2122" s="917" customFormat="true" ht="15" hidden="false" customHeight="true" outlineLevel="0" collapsed="false">
      <c r="A2122" s="752"/>
      <c r="C2122" s="925"/>
      <c r="D2122" s="914"/>
      <c r="E2122" s="914"/>
      <c r="F2122" s="915"/>
      <c r="G2122" s="915"/>
      <c r="H2122" s="691"/>
      <c r="I2122" s="691"/>
      <c r="J2122" s="691"/>
      <c r="K2122" s="691"/>
      <c r="L2122" s="691"/>
      <c r="M2122" s="691"/>
      <c r="N2122" s="691"/>
      <c r="O2122" s="691"/>
      <c r="P2122" s="691"/>
      <c r="Q2122" s="691"/>
      <c r="R2122" s="691"/>
      <c r="S2122" s="691"/>
      <c r="T2122" s="691"/>
      <c r="U2122" s="691"/>
    </row>
    <row r="2123" s="917" customFormat="true" ht="15" hidden="false" customHeight="true" outlineLevel="0" collapsed="false">
      <c r="A2123" s="752"/>
      <c r="C2123" s="925"/>
      <c r="D2123" s="914"/>
      <c r="E2123" s="914"/>
      <c r="F2123" s="915"/>
      <c r="G2123" s="915"/>
      <c r="H2123" s="691"/>
      <c r="I2123" s="691"/>
      <c r="J2123" s="691"/>
      <c r="K2123" s="691"/>
      <c r="L2123" s="691"/>
      <c r="M2123" s="691"/>
      <c r="N2123" s="691"/>
      <c r="O2123" s="691"/>
      <c r="P2123" s="691"/>
      <c r="Q2123" s="691"/>
      <c r="R2123" s="691"/>
      <c r="S2123" s="691"/>
      <c r="T2123" s="691"/>
      <c r="U2123" s="691"/>
    </row>
    <row r="2124" s="917" customFormat="true" ht="15" hidden="false" customHeight="true" outlineLevel="0" collapsed="false">
      <c r="A2124" s="752"/>
      <c r="C2124" s="925"/>
      <c r="D2124" s="914"/>
      <c r="E2124" s="914"/>
      <c r="F2124" s="915"/>
      <c r="G2124" s="915"/>
      <c r="H2124" s="691"/>
      <c r="I2124" s="691"/>
      <c r="J2124" s="691"/>
      <c r="K2124" s="691"/>
      <c r="L2124" s="691"/>
      <c r="M2124" s="691"/>
      <c r="N2124" s="691"/>
      <c r="O2124" s="691"/>
      <c r="P2124" s="691"/>
      <c r="Q2124" s="691"/>
      <c r="R2124" s="691"/>
      <c r="S2124" s="691"/>
      <c r="T2124" s="691"/>
      <c r="U2124" s="691"/>
    </row>
    <row r="2125" s="917" customFormat="true" ht="15" hidden="false" customHeight="true" outlineLevel="0" collapsed="false">
      <c r="A2125" s="752"/>
      <c r="C2125" s="925"/>
      <c r="D2125" s="914"/>
      <c r="E2125" s="914"/>
      <c r="F2125" s="915"/>
      <c r="G2125" s="915"/>
      <c r="H2125" s="691"/>
      <c r="I2125" s="691"/>
      <c r="J2125" s="691"/>
      <c r="K2125" s="691"/>
      <c r="L2125" s="691"/>
      <c r="M2125" s="691"/>
      <c r="N2125" s="691"/>
      <c r="O2125" s="691"/>
      <c r="P2125" s="691"/>
      <c r="Q2125" s="691"/>
      <c r="R2125" s="691"/>
      <c r="S2125" s="691"/>
      <c r="T2125" s="691"/>
      <c r="U2125" s="691"/>
    </row>
    <row r="2126" s="917" customFormat="true" ht="15" hidden="false" customHeight="true" outlineLevel="0" collapsed="false">
      <c r="A2126" s="752"/>
      <c r="C2126" s="925"/>
      <c r="D2126" s="914"/>
      <c r="E2126" s="914"/>
      <c r="F2126" s="915"/>
      <c r="G2126" s="915"/>
      <c r="H2126" s="691"/>
      <c r="I2126" s="691"/>
      <c r="J2126" s="691"/>
      <c r="K2126" s="691"/>
      <c r="L2126" s="691"/>
      <c r="M2126" s="691"/>
      <c r="N2126" s="691"/>
      <c r="O2126" s="691"/>
      <c r="P2126" s="691"/>
      <c r="Q2126" s="691"/>
      <c r="R2126" s="691"/>
      <c r="S2126" s="691"/>
      <c r="T2126" s="691"/>
      <c r="U2126" s="691"/>
    </row>
    <row r="2127" s="917" customFormat="true" ht="15" hidden="false" customHeight="true" outlineLevel="0" collapsed="false">
      <c r="A2127" s="752"/>
      <c r="C2127" s="925"/>
      <c r="D2127" s="914"/>
      <c r="E2127" s="914"/>
      <c r="F2127" s="915"/>
      <c r="G2127" s="915"/>
      <c r="H2127" s="691"/>
      <c r="I2127" s="691"/>
      <c r="J2127" s="691"/>
      <c r="K2127" s="691"/>
      <c r="L2127" s="691"/>
      <c r="M2127" s="691"/>
      <c r="N2127" s="691"/>
      <c r="O2127" s="691"/>
      <c r="P2127" s="691"/>
      <c r="Q2127" s="691"/>
      <c r="R2127" s="691"/>
      <c r="S2127" s="691"/>
      <c r="T2127" s="691"/>
      <c r="U2127" s="691"/>
    </row>
    <row r="2128" s="917" customFormat="true" ht="15" hidden="false" customHeight="true" outlineLevel="0" collapsed="false">
      <c r="A2128" s="752"/>
      <c r="C2128" s="925"/>
      <c r="D2128" s="914"/>
      <c r="E2128" s="914"/>
      <c r="F2128" s="915"/>
      <c r="G2128" s="915"/>
      <c r="H2128" s="691"/>
      <c r="I2128" s="691"/>
      <c r="J2128" s="691"/>
      <c r="K2128" s="691"/>
      <c r="L2128" s="691"/>
      <c r="M2128" s="691"/>
      <c r="N2128" s="691"/>
      <c r="O2128" s="691"/>
      <c r="P2128" s="691"/>
      <c r="Q2128" s="691"/>
      <c r="R2128" s="691"/>
      <c r="S2128" s="691"/>
      <c r="T2128" s="691"/>
      <c r="U2128" s="691"/>
    </row>
    <row r="2129" s="917" customFormat="true" ht="15" hidden="false" customHeight="true" outlineLevel="0" collapsed="false">
      <c r="A2129" s="752"/>
      <c r="C2129" s="925"/>
      <c r="D2129" s="914"/>
      <c r="E2129" s="914"/>
      <c r="F2129" s="915"/>
      <c r="G2129" s="915"/>
      <c r="H2129" s="691"/>
      <c r="I2129" s="691"/>
      <c r="J2129" s="691"/>
      <c r="K2129" s="691"/>
      <c r="L2129" s="691"/>
      <c r="M2129" s="691"/>
      <c r="N2129" s="691"/>
      <c r="O2129" s="691"/>
      <c r="P2129" s="691"/>
      <c r="Q2129" s="691"/>
      <c r="R2129" s="691"/>
      <c r="S2129" s="691"/>
      <c r="T2129" s="691"/>
      <c r="U2129" s="691"/>
    </row>
    <row r="2130" s="917" customFormat="true" ht="15" hidden="false" customHeight="true" outlineLevel="0" collapsed="false">
      <c r="A2130" s="752"/>
      <c r="C2130" s="925"/>
      <c r="D2130" s="914"/>
      <c r="E2130" s="914"/>
      <c r="F2130" s="915"/>
      <c r="G2130" s="915"/>
      <c r="H2130" s="691"/>
      <c r="I2130" s="691"/>
      <c r="J2130" s="691"/>
      <c r="K2130" s="691"/>
      <c r="L2130" s="691"/>
      <c r="M2130" s="691"/>
      <c r="N2130" s="691"/>
      <c r="O2130" s="691"/>
      <c r="P2130" s="691"/>
      <c r="Q2130" s="691"/>
      <c r="R2130" s="691"/>
      <c r="S2130" s="691"/>
      <c r="T2130" s="691"/>
      <c r="U2130" s="691"/>
    </row>
    <row r="2131" s="917" customFormat="true" ht="15" hidden="false" customHeight="true" outlineLevel="0" collapsed="false">
      <c r="A2131" s="752"/>
      <c r="C2131" s="925"/>
      <c r="D2131" s="914"/>
      <c r="E2131" s="914"/>
      <c r="F2131" s="915"/>
      <c r="G2131" s="915"/>
      <c r="H2131" s="691"/>
      <c r="I2131" s="691"/>
      <c r="J2131" s="691"/>
      <c r="K2131" s="691"/>
      <c r="L2131" s="691"/>
      <c r="M2131" s="691"/>
      <c r="N2131" s="691"/>
      <c r="O2131" s="691"/>
      <c r="P2131" s="691"/>
      <c r="Q2131" s="691"/>
      <c r="R2131" s="691"/>
      <c r="S2131" s="691"/>
      <c r="T2131" s="691"/>
      <c r="U2131" s="691"/>
    </row>
    <row r="2132" s="917" customFormat="true" ht="15" hidden="false" customHeight="true" outlineLevel="0" collapsed="false">
      <c r="A2132" s="752"/>
      <c r="C2132" s="925"/>
      <c r="D2132" s="914"/>
      <c r="E2132" s="914"/>
      <c r="F2132" s="915"/>
      <c r="G2132" s="915"/>
      <c r="H2132" s="691"/>
      <c r="I2132" s="691"/>
      <c r="J2132" s="691"/>
      <c r="K2132" s="691"/>
      <c r="L2132" s="691"/>
      <c r="M2132" s="691"/>
      <c r="N2132" s="691"/>
      <c r="O2132" s="691"/>
      <c r="P2132" s="691"/>
      <c r="Q2132" s="691"/>
      <c r="R2132" s="691"/>
      <c r="S2132" s="691"/>
      <c r="T2132" s="691"/>
      <c r="U2132" s="691"/>
    </row>
    <row r="2133" s="917" customFormat="true" ht="15" hidden="false" customHeight="true" outlineLevel="0" collapsed="false">
      <c r="A2133" s="752"/>
      <c r="C2133" s="925"/>
      <c r="D2133" s="914"/>
      <c r="E2133" s="914"/>
      <c r="F2133" s="915"/>
      <c r="G2133" s="915"/>
      <c r="H2133" s="691"/>
      <c r="I2133" s="691"/>
      <c r="J2133" s="691"/>
      <c r="K2133" s="691"/>
      <c r="L2133" s="691"/>
      <c r="M2133" s="691"/>
      <c r="N2133" s="691"/>
      <c r="O2133" s="691"/>
      <c r="P2133" s="691"/>
      <c r="Q2133" s="691"/>
      <c r="R2133" s="691"/>
      <c r="S2133" s="691"/>
      <c r="T2133" s="691"/>
      <c r="U2133" s="691"/>
    </row>
    <row r="2134" s="917" customFormat="true" ht="15" hidden="false" customHeight="true" outlineLevel="0" collapsed="false">
      <c r="A2134" s="752"/>
      <c r="C2134" s="925"/>
      <c r="D2134" s="914"/>
      <c r="E2134" s="914"/>
      <c r="F2134" s="915"/>
      <c r="G2134" s="915"/>
      <c r="H2134" s="691"/>
      <c r="I2134" s="691"/>
      <c r="J2134" s="691"/>
      <c r="K2134" s="691"/>
      <c r="L2134" s="691"/>
      <c r="M2134" s="691"/>
      <c r="N2134" s="691"/>
      <c r="O2134" s="691"/>
      <c r="P2134" s="691"/>
      <c r="Q2134" s="691"/>
      <c r="R2134" s="691"/>
      <c r="S2134" s="691"/>
      <c r="T2134" s="691"/>
      <c r="U2134" s="691"/>
    </row>
    <row r="2135" s="917" customFormat="true" ht="15" hidden="false" customHeight="true" outlineLevel="0" collapsed="false">
      <c r="A2135" s="752"/>
      <c r="C2135" s="925"/>
      <c r="D2135" s="914"/>
      <c r="E2135" s="914"/>
      <c r="F2135" s="915"/>
      <c r="G2135" s="915"/>
      <c r="H2135" s="691"/>
      <c r="I2135" s="691"/>
      <c r="J2135" s="691"/>
      <c r="K2135" s="691"/>
      <c r="L2135" s="691"/>
      <c r="M2135" s="691"/>
      <c r="N2135" s="691"/>
      <c r="O2135" s="691"/>
      <c r="P2135" s="691"/>
      <c r="Q2135" s="691"/>
      <c r="R2135" s="691"/>
      <c r="S2135" s="691"/>
      <c r="T2135" s="691"/>
      <c r="U2135" s="691"/>
    </row>
    <row r="2136" s="917" customFormat="true" ht="15" hidden="false" customHeight="true" outlineLevel="0" collapsed="false">
      <c r="A2136" s="752"/>
      <c r="C2136" s="925"/>
      <c r="D2136" s="914"/>
      <c r="E2136" s="914"/>
      <c r="F2136" s="915"/>
      <c r="G2136" s="915"/>
      <c r="H2136" s="691"/>
      <c r="I2136" s="691"/>
      <c r="J2136" s="691"/>
      <c r="K2136" s="691"/>
      <c r="L2136" s="691"/>
      <c r="M2136" s="691"/>
      <c r="N2136" s="691"/>
      <c r="O2136" s="691"/>
      <c r="P2136" s="691"/>
      <c r="Q2136" s="691"/>
      <c r="R2136" s="691"/>
      <c r="S2136" s="691"/>
      <c r="T2136" s="691"/>
      <c r="U2136" s="691"/>
    </row>
    <row r="2137" s="917" customFormat="true" ht="15" hidden="false" customHeight="true" outlineLevel="0" collapsed="false">
      <c r="A2137" s="752"/>
      <c r="C2137" s="925"/>
      <c r="D2137" s="914"/>
      <c r="E2137" s="914"/>
      <c r="F2137" s="915"/>
      <c r="G2137" s="915"/>
      <c r="H2137" s="691"/>
      <c r="I2137" s="691"/>
      <c r="J2137" s="691"/>
      <c r="K2137" s="691"/>
      <c r="L2137" s="691"/>
      <c r="M2137" s="691"/>
      <c r="N2137" s="691"/>
      <c r="O2137" s="691"/>
      <c r="P2137" s="691"/>
      <c r="Q2137" s="691"/>
      <c r="R2137" s="691"/>
      <c r="S2137" s="691"/>
      <c r="T2137" s="691"/>
      <c r="U2137" s="691"/>
    </row>
    <row r="2138" s="917" customFormat="true" ht="15" hidden="false" customHeight="true" outlineLevel="0" collapsed="false">
      <c r="A2138" s="752"/>
      <c r="C2138" s="925"/>
      <c r="D2138" s="914"/>
      <c r="E2138" s="914"/>
      <c r="F2138" s="915"/>
      <c r="G2138" s="915"/>
      <c r="H2138" s="691"/>
      <c r="I2138" s="691"/>
      <c r="J2138" s="691"/>
      <c r="K2138" s="691"/>
      <c r="L2138" s="691"/>
      <c r="M2138" s="691"/>
      <c r="N2138" s="691"/>
      <c r="O2138" s="691"/>
      <c r="P2138" s="691"/>
      <c r="Q2138" s="691"/>
      <c r="R2138" s="691"/>
      <c r="S2138" s="691"/>
      <c r="T2138" s="691"/>
      <c r="U2138" s="691"/>
    </row>
    <row r="2139" s="917" customFormat="true" ht="15" hidden="false" customHeight="true" outlineLevel="0" collapsed="false">
      <c r="A2139" s="752"/>
      <c r="C2139" s="925"/>
      <c r="D2139" s="914"/>
      <c r="E2139" s="914"/>
      <c r="F2139" s="915"/>
      <c r="G2139" s="915"/>
      <c r="H2139" s="691"/>
      <c r="I2139" s="691"/>
      <c r="J2139" s="691"/>
      <c r="K2139" s="691"/>
      <c r="L2139" s="691"/>
      <c r="M2139" s="691"/>
      <c r="N2139" s="691"/>
      <c r="O2139" s="691"/>
      <c r="P2139" s="691"/>
      <c r="Q2139" s="691"/>
      <c r="R2139" s="691"/>
      <c r="S2139" s="691"/>
      <c r="T2139" s="691"/>
      <c r="U2139" s="691"/>
    </row>
    <row r="2140" s="917" customFormat="true" ht="15" hidden="false" customHeight="true" outlineLevel="0" collapsed="false">
      <c r="A2140" s="752"/>
      <c r="C2140" s="925"/>
      <c r="D2140" s="914"/>
      <c r="E2140" s="914"/>
      <c r="F2140" s="915"/>
      <c r="G2140" s="915"/>
      <c r="H2140" s="691"/>
      <c r="I2140" s="691"/>
      <c r="J2140" s="691"/>
      <c r="K2140" s="691"/>
      <c r="L2140" s="691"/>
      <c r="M2140" s="691"/>
      <c r="N2140" s="691"/>
      <c r="O2140" s="691"/>
      <c r="P2140" s="691"/>
      <c r="Q2140" s="691"/>
      <c r="R2140" s="691"/>
      <c r="S2140" s="691"/>
      <c r="T2140" s="691"/>
      <c r="U2140" s="691"/>
    </row>
    <row r="2141" s="917" customFormat="true" ht="15" hidden="false" customHeight="true" outlineLevel="0" collapsed="false">
      <c r="A2141" s="752"/>
      <c r="C2141" s="925"/>
      <c r="D2141" s="914"/>
      <c r="E2141" s="914"/>
      <c r="F2141" s="915"/>
      <c r="G2141" s="915"/>
      <c r="H2141" s="691"/>
      <c r="I2141" s="691"/>
      <c r="J2141" s="691"/>
      <c r="K2141" s="691"/>
      <c r="L2141" s="691"/>
      <c r="M2141" s="691"/>
      <c r="N2141" s="691"/>
      <c r="O2141" s="691"/>
      <c r="P2141" s="691"/>
      <c r="Q2141" s="691"/>
      <c r="R2141" s="691"/>
      <c r="S2141" s="691"/>
      <c r="T2141" s="691"/>
      <c r="U2141" s="691"/>
    </row>
    <row r="2142" s="917" customFormat="true" ht="15" hidden="false" customHeight="true" outlineLevel="0" collapsed="false">
      <c r="A2142" s="752"/>
      <c r="C2142" s="925"/>
      <c r="D2142" s="914"/>
      <c r="E2142" s="914"/>
      <c r="F2142" s="915"/>
      <c r="G2142" s="915"/>
      <c r="H2142" s="691"/>
      <c r="I2142" s="691"/>
      <c r="J2142" s="691"/>
      <c r="K2142" s="691"/>
      <c r="L2142" s="691"/>
      <c r="M2142" s="691"/>
      <c r="N2142" s="691"/>
      <c r="O2142" s="691"/>
      <c r="P2142" s="691"/>
      <c r="Q2142" s="691"/>
      <c r="R2142" s="691"/>
      <c r="S2142" s="691"/>
      <c r="T2142" s="691"/>
      <c r="U2142" s="691"/>
    </row>
    <row r="2143" s="917" customFormat="true" ht="15" hidden="false" customHeight="true" outlineLevel="0" collapsed="false">
      <c r="A2143" s="752"/>
      <c r="C2143" s="925"/>
      <c r="D2143" s="914"/>
      <c r="E2143" s="914"/>
      <c r="F2143" s="915"/>
      <c r="G2143" s="915"/>
      <c r="H2143" s="691"/>
      <c r="I2143" s="691"/>
      <c r="J2143" s="691"/>
      <c r="K2143" s="691"/>
      <c r="L2143" s="691"/>
      <c r="M2143" s="691"/>
      <c r="N2143" s="691"/>
      <c r="O2143" s="691"/>
      <c r="P2143" s="691"/>
      <c r="Q2143" s="691"/>
      <c r="R2143" s="691"/>
      <c r="S2143" s="691"/>
      <c r="T2143" s="691"/>
      <c r="U2143" s="691"/>
    </row>
    <row r="2144" s="917" customFormat="true" ht="15" hidden="false" customHeight="true" outlineLevel="0" collapsed="false">
      <c r="A2144" s="752"/>
      <c r="C2144" s="925"/>
      <c r="D2144" s="914"/>
      <c r="E2144" s="914"/>
      <c r="F2144" s="915"/>
      <c r="G2144" s="915"/>
      <c r="H2144" s="691"/>
      <c r="I2144" s="691"/>
      <c r="J2144" s="691"/>
      <c r="K2144" s="691"/>
      <c r="L2144" s="691"/>
      <c r="M2144" s="691"/>
      <c r="N2144" s="691"/>
      <c r="O2144" s="691"/>
      <c r="P2144" s="691"/>
      <c r="Q2144" s="691"/>
      <c r="R2144" s="691"/>
      <c r="S2144" s="691"/>
      <c r="T2144" s="691"/>
      <c r="U2144" s="691"/>
    </row>
    <row r="2145" s="917" customFormat="true" ht="15" hidden="false" customHeight="true" outlineLevel="0" collapsed="false">
      <c r="A2145" s="752"/>
      <c r="C2145" s="925"/>
      <c r="D2145" s="914"/>
      <c r="E2145" s="914"/>
      <c r="F2145" s="915"/>
      <c r="G2145" s="915"/>
      <c r="H2145" s="691"/>
      <c r="I2145" s="691"/>
      <c r="J2145" s="691"/>
      <c r="K2145" s="691"/>
      <c r="L2145" s="691"/>
      <c r="M2145" s="691"/>
      <c r="N2145" s="691"/>
      <c r="O2145" s="691"/>
      <c r="P2145" s="691"/>
      <c r="Q2145" s="691"/>
      <c r="R2145" s="691"/>
      <c r="S2145" s="691"/>
      <c r="T2145" s="691"/>
      <c r="U2145" s="691"/>
    </row>
    <row r="2146" s="917" customFormat="true" ht="15" hidden="false" customHeight="true" outlineLevel="0" collapsed="false">
      <c r="A2146" s="752"/>
      <c r="C2146" s="925"/>
      <c r="D2146" s="914"/>
      <c r="E2146" s="914"/>
      <c r="F2146" s="915"/>
      <c r="G2146" s="915"/>
      <c r="H2146" s="691"/>
      <c r="I2146" s="691"/>
      <c r="J2146" s="691"/>
      <c r="K2146" s="691"/>
      <c r="L2146" s="691"/>
      <c r="M2146" s="691"/>
      <c r="N2146" s="691"/>
      <c r="O2146" s="691"/>
      <c r="P2146" s="691"/>
      <c r="Q2146" s="691"/>
      <c r="R2146" s="691"/>
      <c r="S2146" s="691"/>
      <c r="T2146" s="691"/>
      <c r="U2146" s="691"/>
    </row>
    <row r="2147" s="917" customFormat="true" ht="15" hidden="false" customHeight="true" outlineLevel="0" collapsed="false">
      <c r="A2147" s="752"/>
      <c r="C2147" s="925"/>
      <c r="D2147" s="914"/>
      <c r="E2147" s="914"/>
      <c r="F2147" s="915"/>
      <c r="G2147" s="915"/>
      <c r="H2147" s="691"/>
      <c r="I2147" s="691"/>
      <c r="J2147" s="691"/>
      <c r="K2147" s="691"/>
      <c r="L2147" s="691"/>
      <c r="M2147" s="691"/>
      <c r="N2147" s="691"/>
      <c r="O2147" s="691"/>
      <c r="P2147" s="691"/>
      <c r="Q2147" s="691"/>
      <c r="R2147" s="691"/>
      <c r="S2147" s="691"/>
      <c r="T2147" s="691"/>
      <c r="U2147" s="691"/>
    </row>
    <row r="2148" s="917" customFormat="true" ht="15" hidden="false" customHeight="true" outlineLevel="0" collapsed="false">
      <c r="A2148" s="752"/>
      <c r="C2148" s="925"/>
      <c r="D2148" s="914"/>
      <c r="E2148" s="914"/>
      <c r="F2148" s="915"/>
      <c r="G2148" s="915"/>
      <c r="H2148" s="691"/>
      <c r="I2148" s="691"/>
      <c r="J2148" s="691"/>
      <c r="K2148" s="691"/>
      <c r="L2148" s="691"/>
      <c r="M2148" s="691"/>
      <c r="N2148" s="691"/>
      <c r="O2148" s="691"/>
      <c r="P2148" s="691"/>
      <c r="Q2148" s="691"/>
      <c r="R2148" s="691"/>
      <c r="S2148" s="691"/>
      <c r="T2148" s="691"/>
      <c r="U2148" s="691"/>
    </row>
    <row r="2149" s="917" customFormat="true" ht="15" hidden="false" customHeight="true" outlineLevel="0" collapsed="false">
      <c r="A2149" s="752"/>
      <c r="C2149" s="925"/>
      <c r="D2149" s="914"/>
      <c r="E2149" s="914"/>
      <c r="F2149" s="915"/>
      <c r="G2149" s="915"/>
      <c r="H2149" s="691"/>
      <c r="I2149" s="691"/>
      <c r="J2149" s="691"/>
      <c r="K2149" s="691"/>
      <c r="L2149" s="691"/>
      <c r="M2149" s="691"/>
      <c r="N2149" s="691"/>
      <c r="O2149" s="691"/>
      <c r="P2149" s="691"/>
      <c r="Q2149" s="691"/>
      <c r="R2149" s="691"/>
      <c r="S2149" s="691"/>
      <c r="T2149" s="691"/>
      <c r="U2149" s="691"/>
    </row>
    <row r="2150" s="917" customFormat="true" ht="15" hidden="false" customHeight="true" outlineLevel="0" collapsed="false">
      <c r="A2150" s="752"/>
      <c r="C2150" s="925"/>
      <c r="D2150" s="914"/>
      <c r="E2150" s="914"/>
      <c r="F2150" s="915"/>
      <c r="G2150" s="915"/>
      <c r="H2150" s="691"/>
      <c r="I2150" s="691"/>
      <c r="J2150" s="691"/>
      <c r="K2150" s="691"/>
      <c r="L2150" s="691"/>
      <c r="M2150" s="691"/>
      <c r="N2150" s="691"/>
      <c r="O2150" s="691"/>
      <c r="P2150" s="691"/>
      <c r="Q2150" s="691"/>
      <c r="R2150" s="691"/>
      <c r="S2150" s="691"/>
      <c r="T2150" s="691"/>
      <c r="U2150" s="691"/>
    </row>
    <row r="2151" s="917" customFormat="true" ht="15" hidden="false" customHeight="true" outlineLevel="0" collapsed="false">
      <c r="A2151" s="752"/>
      <c r="C2151" s="925"/>
      <c r="D2151" s="914"/>
      <c r="E2151" s="914"/>
      <c r="F2151" s="915"/>
      <c r="G2151" s="915"/>
      <c r="H2151" s="691"/>
      <c r="I2151" s="691"/>
      <c r="J2151" s="691"/>
      <c r="K2151" s="691"/>
      <c r="L2151" s="691"/>
      <c r="M2151" s="691"/>
      <c r="N2151" s="691"/>
      <c r="O2151" s="691"/>
      <c r="P2151" s="691"/>
      <c r="Q2151" s="691"/>
      <c r="R2151" s="691"/>
      <c r="S2151" s="691"/>
      <c r="T2151" s="691"/>
      <c r="U2151" s="691"/>
    </row>
    <row r="2152" s="917" customFormat="true" ht="15" hidden="false" customHeight="true" outlineLevel="0" collapsed="false">
      <c r="A2152" s="752"/>
      <c r="C2152" s="925"/>
      <c r="D2152" s="914"/>
      <c r="E2152" s="914"/>
      <c r="F2152" s="915"/>
      <c r="G2152" s="915"/>
      <c r="H2152" s="691"/>
      <c r="I2152" s="691"/>
      <c r="J2152" s="691"/>
      <c r="K2152" s="691"/>
      <c r="L2152" s="691"/>
      <c r="M2152" s="691"/>
      <c r="N2152" s="691"/>
      <c r="O2152" s="691"/>
      <c r="P2152" s="691"/>
      <c r="Q2152" s="691"/>
      <c r="R2152" s="691"/>
      <c r="S2152" s="691"/>
      <c r="T2152" s="691"/>
      <c r="U2152" s="691"/>
    </row>
    <row r="2153" s="917" customFormat="true" ht="15" hidden="false" customHeight="true" outlineLevel="0" collapsed="false">
      <c r="A2153" s="752"/>
      <c r="C2153" s="925"/>
      <c r="D2153" s="914"/>
      <c r="E2153" s="914"/>
      <c r="F2153" s="915"/>
      <c r="G2153" s="915"/>
      <c r="H2153" s="691"/>
      <c r="I2153" s="691"/>
      <c r="J2153" s="691"/>
      <c r="K2153" s="691"/>
      <c r="L2153" s="691"/>
      <c r="M2153" s="691"/>
      <c r="N2153" s="691"/>
      <c r="O2153" s="691"/>
      <c r="P2153" s="691"/>
      <c r="Q2153" s="691"/>
      <c r="R2153" s="691"/>
      <c r="S2153" s="691"/>
      <c r="T2153" s="691"/>
      <c r="U2153" s="691"/>
    </row>
    <row r="2154" s="917" customFormat="true" ht="15" hidden="false" customHeight="true" outlineLevel="0" collapsed="false">
      <c r="A2154" s="752"/>
      <c r="C2154" s="925"/>
      <c r="D2154" s="914"/>
      <c r="E2154" s="914"/>
      <c r="F2154" s="915"/>
      <c r="G2154" s="915"/>
      <c r="H2154" s="691"/>
      <c r="I2154" s="691"/>
      <c r="J2154" s="691"/>
      <c r="K2154" s="691"/>
      <c r="L2154" s="691"/>
      <c r="M2154" s="691"/>
      <c r="N2154" s="691"/>
      <c r="O2154" s="691"/>
      <c r="P2154" s="691"/>
      <c r="Q2154" s="691"/>
      <c r="R2154" s="691"/>
      <c r="S2154" s="691"/>
      <c r="T2154" s="691"/>
      <c r="U2154" s="691"/>
    </row>
    <row r="2155" s="917" customFormat="true" ht="15" hidden="false" customHeight="true" outlineLevel="0" collapsed="false">
      <c r="A2155" s="752"/>
      <c r="C2155" s="925"/>
      <c r="D2155" s="914"/>
      <c r="E2155" s="914"/>
      <c r="F2155" s="915"/>
      <c r="G2155" s="915"/>
      <c r="H2155" s="691"/>
      <c r="I2155" s="691"/>
      <c r="J2155" s="691"/>
      <c r="K2155" s="691"/>
      <c r="L2155" s="691"/>
      <c r="M2155" s="691"/>
      <c r="N2155" s="691"/>
      <c r="O2155" s="691"/>
      <c r="P2155" s="691"/>
      <c r="Q2155" s="691"/>
      <c r="R2155" s="691"/>
      <c r="S2155" s="691"/>
      <c r="T2155" s="691"/>
      <c r="U2155" s="691"/>
    </row>
    <row r="2156" s="917" customFormat="true" ht="15" hidden="false" customHeight="true" outlineLevel="0" collapsed="false">
      <c r="A2156" s="752"/>
      <c r="C2156" s="925"/>
      <c r="D2156" s="914"/>
      <c r="E2156" s="914"/>
      <c r="F2156" s="915"/>
      <c r="G2156" s="915"/>
      <c r="H2156" s="691"/>
      <c r="I2156" s="691"/>
      <c r="J2156" s="691"/>
      <c r="K2156" s="691"/>
      <c r="L2156" s="691"/>
      <c r="M2156" s="691"/>
      <c r="N2156" s="691"/>
      <c r="O2156" s="691"/>
      <c r="P2156" s="691"/>
      <c r="Q2156" s="691"/>
      <c r="R2156" s="691"/>
      <c r="S2156" s="691"/>
      <c r="T2156" s="691"/>
      <c r="U2156" s="691"/>
    </row>
    <row r="2157" s="917" customFormat="true" ht="15" hidden="false" customHeight="true" outlineLevel="0" collapsed="false">
      <c r="A2157" s="752"/>
      <c r="C2157" s="925"/>
      <c r="D2157" s="914"/>
      <c r="E2157" s="914"/>
      <c r="F2157" s="915"/>
      <c r="G2157" s="915"/>
      <c r="H2157" s="691"/>
      <c r="I2157" s="691"/>
      <c r="J2157" s="691"/>
      <c r="K2157" s="691"/>
      <c r="L2157" s="691"/>
      <c r="M2157" s="691"/>
      <c r="N2157" s="691"/>
      <c r="O2157" s="691"/>
      <c r="P2157" s="691"/>
      <c r="Q2157" s="691"/>
      <c r="R2157" s="691"/>
      <c r="S2157" s="691"/>
      <c r="T2157" s="691"/>
      <c r="U2157" s="691"/>
    </row>
    <row r="2158" s="917" customFormat="true" ht="15" hidden="false" customHeight="true" outlineLevel="0" collapsed="false">
      <c r="A2158" s="752"/>
      <c r="C2158" s="925"/>
      <c r="D2158" s="914"/>
      <c r="E2158" s="914"/>
      <c r="F2158" s="915"/>
      <c r="G2158" s="915"/>
      <c r="H2158" s="691"/>
      <c r="I2158" s="691"/>
      <c r="J2158" s="691"/>
      <c r="K2158" s="691"/>
      <c r="L2158" s="691"/>
      <c r="M2158" s="691"/>
      <c r="N2158" s="691"/>
      <c r="O2158" s="691"/>
      <c r="P2158" s="691"/>
      <c r="Q2158" s="691"/>
      <c r="R2158" s="691"/>
      <c r="S2158" s="691"/>
      <c r="T2158" s="691"/>
      <c r="U2158" s="691"/>
    </row>
    <row r="2159" s="917" customFormat="true" ht="15" hidden="false" customHeight="true" outlineLevel="0" collapsed="false">
      <c r="A2159" s="752"/>
      <c r="C2159" s="925"/>
      <c r="D2159" s="914"/>
      <c r="E2159" s="914"/>
      <c r="F2159" s="915"/>
      <c r="G2159" s="915"/>
      <c r="H2159" s="691"/>
      <c r="I2159" s="691"/>
      <c r="J2159" s="691"/>
      <c r="K2159" s="691"/>
      <c r="L2159" s="691"/>
      <c r="M2159" s="691"/>
      <c r="N2159" s="691"/>
      <c r="O2159" s="691"/>
      <c r="P2159" s="691"/>
      <c r="Q2159" s="691"/>
      <c r="R2159" s="691"/>
      <c r="S2159" s="691"/>
      <c r="T2159" s="691"/>
      <c r="U2159" s="691"/>
    </row>
    <row r="2160" s="917" customFormat="true" ht="15" hidden="false" customHeight="true" outlineLevel="0" collapsed="false">
      <c r="A2160" s="752"/>
      <c r="C2160" s="925"/>
      <c r="D2160" s="914"/>
      <c r="E2160" s="914"/>
      <c r="F2160" s="915"/>
      <c r="G2160" s="915"/>
      <c r="H2160" s="691"/>
      <c r="I2160" s="691"/>
      <c r="J2160" s="691"/>
      <c r="K2160" s="691"/>
      <c r="L2160" s="691"/>
      <c r="M2160" s="691"/>
      <c r="N2160" s="691"/>
      <c r="O2160" s="691"/>
      <c r="P2160" s="691"/>
      <c r="Q2160" s="691"/>
      <c r="R2160" s="691"/>
      <c r="S2160" s="691"/>
      <c r="T2160" s="691"/>
      <c r="U2160" s="691"/>
    </row>
    <row r="2161" s="917" customFormat="true" ht="15" hidden="false" customHeight="true" outlineLevel="0" collapsed="false">
      <c r="A2161" s="752"/>
      <c r="C2161" s="925"/>
      <c r="D2161" s="914"/>
      <c r="E2161" s="914"/>
      <c r="F2161" s="915"/>
      <c r="G2161" s="915"/>
      <c r="H2161" s="691"/>
      <c r="I2161" s="691"/>
      <c r="J2161" s="691"/>
      <c r="K2161" s="691"/>
      <c r="L2161" s="691"/>
      <c r="M2161" s="691"/>
      <c r="N2161" s="691"/>
      <c r="O2161" s="691"/>
      <c r="P2161" s="691"/>
      <c r="Q2161" s="691"/>
      <c r="R2161" s="691"/>
      <c r="S2161" s="691"/>
      <c r="T2161" s="691"/>
      <c r="U2161" s="691"/>
    </row>
    <row r="2162" s="917" customFormat="true" ht="15" hidden="false" customHeight="true" outlineLevel="0" collapsed="false">
      <c r="A2162" s="752"/>
      <c r="C2162" s="925"/>
      <c r="D2162" s="914"/>
      <c r="E2162" s="914"/>
      <c r="F2162" s="915"/>
      <c r="G2162" s="915"/>
      <c r="H2162" s="691"/>
      <c r="I2162" s="691"/>
      <c r="J2162" s="691"/>
      <c r="K2162" s="691"/>
      <c r="L2162" s="691"/>
      <c r="M2162" s="691"/>
      <c r="N2162" s="691"/>
      <c r="O2162" s="691"/>
      <c r="P2162" s="691"/>
      <c r="Q2162" s="691"/>
      <c r="R2162" s="691"/>
      <c r="S2162" s="691"/>
      <c r="T2162" s="691"/>
      <c r="U2162" s="691"/>
    </row>
    <row r="2163" s="917" customFormat="true" ht="15" hidden="false" customHeight="true" outlineLevel="0" collapsed="false">
      <c r="A2163" s="752"/>
      <c r="C2163" s="925"/>
      <c r="D2163" s="914"/>
      <c r="E2163" s="914"/>
      <c r="F2163" s="915"/>
      <c r="G2163" s="915"/>
      <c r="H2163" s="691"/>
      <c r="I2163" s="691"/>
      <c r="J2163" s="691"/>
      <c r="K2163" s="691"/>
      <c r="L2163" s="691"/>
      <c r="M2163" s="691"/>
      <c r="N2163" s="691"/>
      <c r="O2163" s="691"/>
      <c r="P2163" s="691"/>
      <c r="Q2163" s="691"/>
      <c r="R2163" s="691"/>
      <c r="S2163" s="691"/>
      <c r="T2163" s="691"/>
      <c r="U2163" s="691"/>
    </row>
    <row r="2164" s="917" customFormat="true" ht="15" hidden="false" customHeight="true" outlineLevel="0" collapsed="false">
      <c r="A2164" s="752"/>
      <c r="C2164" s="925"/>
      <c r="D2164" s="914"/>
      <c r="E2164" s="914"/>
      <c r="F2164" s="915"/>
      <c r="G2164" s="915"/>
      <c r="H2164" s="691"/>
      <c r="I2164" s="691"/>
      <c r="J2164" s="691"/>
      <c r="K2164" s="691"/>
      <c r="L2164" s="691"/>
      <c r="M2164" s="691"/>
      <c r="N2164" s="691"/>
      <c r="O2164" s="691"/>
      <c r="P2164" s="691"/>
      <c r="Q2164" s="691"/>
      <c r="R2164" s="691"/>
      <c r="S2164" s="691"/>
      <c r="T2164" s="691"/>
      <c r="U2164" s="691"/>
    </row>
    <row r="2165" s="917" customFormat="true" ht="15" hidden="false" customHeight="true" outlineLevel="0" collapsed="false">
      <c r="A2165" s="752"/>
      <c r="C2165" s="925"/>
      <c r="D2165" s="914"/>
      <c r="E2165" s="914"/>
      <c r="F2165" s="915"/>
      <c r="G2165" s="915"/>
      <c r="H2165" s="691"/>
      <c r="I2165" s="691"/>
      <c r="J2165" s="691"/>
      <c r="K2165" s="691"/>
      <c r="L2165" s="691"/>
      <c r="M2165" s="691"/>
      <c r="N2165" s="691"/>
      <c r="O2165" s="691"/>
      <c r="P2165" s="691"/>
      <c r="Q2165" s="691"/>
      <c r="R2165" s="691"/>
      <c r="S2165" s="691"/>
      <c r="T2165" s="691"/>
      <c r="U2165" s="691"/>
    </row>
    <row r="2166" s="917" customFormat="true" ht="15" hidden="false" customHeight="true" outlineLevel="0" collapsed="false">
      <c r="A2166" s="752"/>
      <c r="C2166" s="925"/>
      <c r="D2166" s="914"/>
      <c r="E2166" s="914"/>
      <c r="F2166" s="915"/>
      <c r="G2166" s="915"/>
      <c r="H2166" s="691"/>
      <c r="I2166" s="691"/>
      <c r="J2166" s="691"/>
      <c r="K2166" s="691"/>
      <c r="L2166" s="691"/>
      <c r="M2166" s="691"/>
      <c r="N2166" s="691"/>
      <c r="O2166" s="691"/>
      <c r="P2166" s="691"/>
      <c r="Q2166" s="691"/>
      <c r="R2166" s="691"/>
      <c r="S2166" s="691"/>
      <c r="T2166" s="691"/>
      <c r="U2166" s="691"/>
    </row>
    <row r="2167" s="917" customFormat="true" ht="15" hidden="false" customHeight="true" outlineLevel="0" collapsed="false">
      <c r="A2167" s="752"/>
      <c r="C2167" s="925"/>
      <c r="D2167" s="914"/>
      <c r="E2167" s="914"/>
      <c r="F2167" s="915"/>
      <c r="G2167" s="915"/>
      <c r="H2167" s="691"/>
      <c r="I2167" s="691"/>
      <c r="J2167" s="691"/>
      <c r="K2167" s="691"/>
      <c r="L2167" s="691"/>
      <c r="M2167" s="691"/>
      <c r="N2167" s="691"/>
      <c r="O2167" s="691"/>
      <c r="P2167" s="691"/>
      <c r="Q2167" s="691"/>
      <c r="R2167" s="691"/>
      <c r="S2167" s="691"/>
      <c r="T2167" s="691"/>
      <c r="U2167" s="691"/>
    </row>
    <row r="2168" s="917" customFormat="true" ht="15" hidden="false" customHeight="true" outlineLevel="0" collapsed="false">
      <c r="A2168" s="752"/>
      <c r="C2168" s="925"/>
      <c r="D2168" s="914"/>
      <c r="E2168" s="914"/>
      <c r="F2168" s="915"/>
      <c r="G2168" s="915"/>
      <c r="H2168" s="691"/>
      <c r="I2168" s="691"/>
      <c r="J2168" s="691"/>
      <c r="K2168" s="691"/>
      <c r="L2168" s="691"/>
      <c r="M2168" s="691"/>
      <c r="N2168" s="691"/>
      <c r="O2168" s="691"/>
      <c r="P2168" s="691"/>
      <c r="Q2168" s="691"/>
      <c r="R2168" s="691"/>
      <c r="S2168" s="691"/>
      <c r="T2168" s="691"/>
      <c r="U2168" s="691"/>
    </row>
    <row r="2169" s="917" customFormat="true" ht="15" hidden="false" customHeight="true" outlineLevel="0" collapsed="false">
      <c r="A2169" s="752"/>
      <c r="C2169" s="925"/>
      <c r="D2169" s="914"/>
      <c r="E2169" s="914"/>
      <c r="F2169" s="915"/>
      <c r="G2169" s="915"/>
      <c r="H2169" s="691"/>
      <c r="I2169" s="691"/>
      <c r="J2169" s="691"/>
      <c r="K2169" s="691"/>
      <c r="L2169" s="691"/>
      <c r="M2169" s="691"/>
      <c r="N2169" s="691"/>
      <c r="O2169" s="691"/>
      <c r="P2169" s="691"/>
      <c r="Q2169" s="691"/>
      <c r="R2169" s="691"/>
      <c r="S2169" s="691"/>
      <c r="T2169" s="691"/>
      <c r="U2169" s="691"/>
    </row>
    <row r="2170" s="917" customFormat="true" ht="15" hidden="false" customHeight="true" outlineLevel="0" collapsed="false">
      <c r="A2170" s="752"/>
      <c r="C2170" s="925"/>
      <c r="D2170" s="914"/>
      <c r="E2170" s="914"/>
      <c r="F2170" s="915"/>
      <c r="G2170" s="915"/>
      <c r="H2170" s="691"/>
      <c r="I2170" s="691"/>
      <c r="J2170" s="691"/>
      <c r="K2170" s="691"/>
      <c r="L2170" s="691"/>
      <c r="M2170" s="691"/>
      <c r="N2170" s="691"/>
      <c r="O2170" s="691"/>
      <c r="P2170" s="691"/>
      <c r="Q2170" s="691"/>
      <c r="R2170" s="691"/>
      <c r="S2170" s="691"/>
      <c r="T2170" s="691"/>
      <c r="U2170" s="691"/>
    </row>
    <row r="2171" s="917" customFormat="true" ht="15" hidden="false" customHeight="true" outlineLevel="0" collapsed="false">
      <c r="A2171" s="752"/>
      <c r="C2171" s="925"/>
      <c r="D2171" s="914"/>
      <c r="E2171" s="914"/>
      <c r="F2171" s="915"/>
      <c r="G2171" s="915"/>
      <c r="H2171" s="691"/>
      <c r="I2171" s="691"/>
      <c r="J2171" s="691"/>
      <c r="K2171" s="691"/>
      <c r="L2171" s="691"/>
      <c r="M2171" s="691"/>
      <c r="N2171" s="691"/>
      <c r="O2171" s="691"/>
      <c r="P2171" s="691"/>
      <c r="Q2171" s="691"/>
      <c r="R2171" s="691"/>
      <c r="S2171" s="691"/>
      <c r="T2171" s="691"/>
      <c r="U2171" s="691"/>
    </row>
    <row r="2172" s="917" customFormat="true" ht="15" hidden="false" customHeight="true" outlineLevel="0" collapsed="false">
      <c r="A2172" s="752"/>
      <c r="C2172" s="925"/>
      <c r="D2172" s="914"/>
      <c r="E2172" s="914"/>
      <c r="F2172" s="915"/>
      <c r="G2172" s="915"/>
      <c r="H2172" s="691"/>
      <c r="I2172" s="691"/>
      <c r="J2172" s="691"/>
      <c r="K2172" s="691"/>
      <c r="L2172" s="691"/>
      <c r="M2172" s="691"/>
      <c r="N2172" s="691"/>
      <c r="O2172" s="691"/>
      <c r="P2172" s="691"/>
      <c r="Q2172" s="691"/>
      <c r="R2172" s="691"/>
      <c r="S2172" s="691"/>
      <c r="T2172" s="691"/>
      <c r="U2172" s="691"/>
    </row>
    <row r="2173" s="917" customFormat="true" ht="15" hidden="false" customHeight="true" outlineLevel="0" collapsed="false">
      <c r="A2173" s="752"/>
      <c r="C2173" s="925"/>
      <c r="D2173" s="914"/>
      <c r="E2173" s="914"/>
      <c r="F2173" s="915"/>
      <c r="G2173" s="915"/>
      <c r="H2173" s="691"/>
      <c r="I2173" s="691"/>
      <c r="J2173" s="691"/>
      <c r="K2173" s="691"/>
      <c r="L2173" s="691"/>
      <c r="M2173" s="691"/>
      <c r="N2173" s="691"/>
      <c r="O2173" s="691"/>
      <c r="P2173" s="691"/>
      <c r="Q2173" s="691"/>
      <c r="R2173" s="691"/>
      <c r="S2173" s="691"/>
      <c r="T2173" s="691"/>
      <c r="U2173" s="691"/>
    </row>
    <row r="2174" s="917" customFormat="true" ht="15" hidden="false" customHeight="true" outlineLevel="0" collapsed="false">
      <c r="A2174" s="752"/>
      <c r="C2174" s="925"/>
      <c r="D2174" s="914"/>
      <c r="E2174" s="914"/>
      <c r="F2174" s="915"/>
      <c r="G2174" s="915"/>
      <c r="H2174" s="691"/>
      <c r="I2174" s="691"/>
      <c r="J2174" s="691"/>
      <c r="K2174" s="691"/>
      <c r="L2174" s="691"/>
      <c r="M2174" s="691"/>
      <c r="N2174" s="691"/>
      <c r="O2174" s="691"/>
      <c r="P2174" s="691"/>
      <c r="Q2174" s="691"/>
      <c r="R2174" s="691"/>
      <c r="S2174" s="691"/>
      <c r="T2174" s="691"/>
      <c r="U2174" s="691"/>
    </row>
    <row r="2175" s="917" customFormat="true" ht="15" hidden="false" customHeight="true" outlineLevel="0" collapsed="false">
      <c r="A2175" s="752"/>
      <c r="C2175" s="925"/>
      <c r="D2175" s="914"/>
      <c r="E2175" s="914"/>
      <c r="F2175" s="915"/>
      <c r="G2175" s="915"/>
      <c r="H2175" s="691"/>
      <c r="I2175" s="691"/>
      <c r="J2175" s="691"/>
      <c r="K2175" s="691"/>
      <c r="L2175" s="691"/>
      <c r="M2175" s="691"/>
      <c r="N2175" s="691"/>
      <c r="O2175" s="691"/>
      <c r="P2175" s="691"/>
      <c r="Q2175" s="691"/>
      <c r="R2175" s="691"/>
      <c r="S2175" s="691"/>
      <c r="T2175" s="691"/>
      <c r="U2175" s="691"/>
    </row>
    <row r="2176" s="917" customFormat="true" ht="15" hidden="false" customHeight="true" outlineLevel="0" collapsed="false">
      <c r="A2176" s="752"/>
      <c r="C2176" s="925"/>
      <c r="D2176" s="914"/>
      <c r="E2176" s="914"/>
      <c r="F2176" s="915"/>
      <c r="G2176" s="915"/>
      <c r="H2176" s="691"/>
      <c r="I2176" s="691"/>
      <c r="J2176" s="691"/>
      <c r="K2176" s="691"/>
      <c r="L2176" s="691"/>
      <c r="M2176" s="691"/>
      <c r="N2176" s="691"/>
      <c r="O2176" s="691"/>
      <c r="P2176" s="691"/>
      <c r="Q2176" s="691"/>
      <c r="R2176" s="691"/>
      <c r="S2176" s="691"/>
      <c r="T2176" s="691"/>
      <c r="U2176" s="691"/>
    </row>
    <row r="2177" s="917" customFormat="true" ht="15" hidden="false" customHeight="true" outlineLevel="0" collapsed="false">
      <c r="A2177" s="752"/>
      <c r="C2177" s="925"/>
      <c r="D2177" s="914"/>
      <c r="E2177" s="914"/>
      <c r="F2177" s="915"/>
      <c r="G2177" s="915"/>
      <c r="H2177" s="691"/>
      <c r="I2177" s="691"/>
      <c r="J2177" s="691"/>
      <c r="K2177" s="691"/>
      <c r="L2177" s="691"/>
      <c r="M2177" s="691"/>
      <c r="N2177" s="691"/>
      <c r="O2177" s="691"/>
      <c r="P2177" s="691"/>
      <c r="Q2177" s="691"/>
      <c r="R2177" s="691"/>
      <c r="S2177" s="691"/>
      <c r="T2177" s="691"/>
      <c r="U2177" s="691"/>
    </row>
    <row r="2178" s="917" customFormat="true" ht="15" hidden="false" customHeight="true" outlineLevel="0" collapsed="false">
      <c r="A2178" s="752"/>
      <c r="C2178" s="925"/>
      <c r="D2178" s="914"/>
      <c r="E2178" s="914"/>
      <c r="F2178" s="915"/>
      <c r="G2178" s="915"/>
      <c r="H2178" s="691"/>
      <c r="I2178" s="691"/>
      <c r="J2178" s="691"/>
      <c r="K2178" s="691"/>
      <c r="L2178" s="691"/>
      <c r="M2178" s="691"/>
      <c r="N2178" s="691"/>
      <c r="O2178" s="691"/>
      <c r="P2178" s="691"/>
      <c r="Q2178" s="691"/>
      <c r="R2178" s="691"/>
      <c r="S2178" s="691"/>
      <c r="T2178" s="691"/>
      <c r="U2178" s="691"/>
    </row>
    <row r="2179" s="917" customFormat="true" ht="15" hidden="false" customHeight="true" outlineLevel="0" collapsed="false">
      <c r="A2179" s="752"/>
      <c r="C2179" s="925"/>
      <c r="D2179" s="914"/>
      <c r="E2179" s="914"/>
      <c r="F2179" s="915"/>
      <c r="G2179" s="915"/>
      <c r="H2179" s="691"/>
      <c r="I2179" s="691"/>
      <c r="J2179" s="691"/>
      <c r="K2179" s="691"/>
      <c r="L2179" s="691"/>
      <c r="M2179" s="691"/>
      <c r="N2179" s="691"/>
      <c r="O2179" s="691"/>
      <c r="P2179" s="691"/>
      <c r="Q2179" s="691"/>
      <c r="R2179" s="691"/>
      <c r="S2179" s="691"/>
      <c r="T2179" s="691"/>
      <c r="U2179" s="691"/>
    </row>
    <row r="2180" s="917" customFormat="true" ht="15" hidden="false" customHeight="true" outlineLevel="0" collapsed="false">
      <c r="A2180" s="752"/>
      <c r="C2180" s="925"/>
      <c r="D2180" s="914"/>
      <c r="E2180" s="914"/>
      <c r="F2180" s="915"/>
      <c r="G2180" s="915"/>
      <c r="H2180" s="691"/>
      <c r="I2180" s="691"/>
      <c r="J2180" s="691"/>
      <c r="K2180" s="691"/>
      <c r="L2180" s="691"/>
      <c r="M2180" s="691"/>
      <c r="N2180" s="691"/>
      <c r="O2180" s="691"/>
      <c r="P2180" s="691"/>
      <c r="Q2180" s="691"/>
      <c r="R2180" s="691"/>
      <c r="S2180" s="691"/>
      <c r="T2180" s="691"/>
      <c r="U2180" s="691"/>
    </row>
    <row r="2181" s="917" customFormat="true" ht="15" hidden="false" customHeight="true" outlineLevel="0" collapsed="false">
      <c r="A2181" s="752"/>
      <c r="C2181" s="925"/>
      <c r="D2181" s="914"/>
      <c r="E2181" s="914"/>
      <c r="F2181" s="915"/>
      <c r="G2181" s="915"/>
      <c r="H2181" s="691"/>
      <c r="I2181" s="691"/>
      <c r="J2181" s="691"/>
      <c r="K2181" s="691"/>
      <c r="L2181" s="691"/>
      <c r="M2181" s="691"/>
      <c r="N2181" s="691"/>
      <c r="O2181" s="691"/>
      <c r="P2181" s="691"/>
      <c r="Q2181" s="691"/>
      <c r="R2181" s="691"/>
      <c r="S2181" s="691"/>
      <c r="T2181" s="691"/>
      <c r="U2181" s="691"/>
    </row>
    <row r="2182" s="917" customFormat="true" ht="15" hidden="false" customHeight="true" outlineLevel="0" collapsed="false">
      <c r="A2182" s="752"/>
      <c r="C2182" s="925"/>
      <c r="D2182" s="914"/>
      <c r="E2182" s="914"/>
      <c r="F2182" s="915"/>
      <c r="G2182" s="915"/>
      <c r="H2182" s="691"/>
      <c r="I2182" s="691"/>
      <c r="J2182" s="691"/>
      <c r="K2182" s="691"/>
      <c r="L2182" s="691"/>
      <c r="M2182" s="691"/>
      <c r="N2182" s="691"/>
      <c r="O2182" s="691"/>
      <c r="P2182" s="691"/>
      <c r="Q2182" s="691"/>
      <c r="R2182" s="691"/>
      <c r="S2182" s="691"/>
      <c r="T2182" s="691"/>
      <c r="U2182" s="691"/>
    </row>
    <row r="2183" s="917" customFormat="true" ht="15" hidden="false" customHeight="true" outlineLevel="0" collapsed="false">
      <c r="A2183" s="752"/>
      <c r="C2183" s="925"/>
      <c r="D2183" s="914"/>
      <c r="E2183" s="914"/>
      <c r="F2183" s="915"/>
      <c r="G2183" s="915"/>
      <c r="H2183" s="691"/>
      <c r="I2183" s="691"/>
      <c r="J2183" s="691"/>
      <c r="K2183" s="691"/>
      <c r="L2183" s="691"/>
      <c r="M2183" s="691"/>
      <c r="N2183" s="691"/>
      <c r="O2183" s="691"/>
      <c r="P2183" s="691"/>
      <c r="Q2183" s="691"/>
      <c r="R2183" s="691"/>
      <c r="S2183" s="691"/>
      <c r="T2183" s="691"/>
      <c r="U2183" s="691"/>
    </row>
    <row r="2184" s="917" customFormat="true" ht="15" hidden="false" customHeight="true" outlineLevel="0" collapsed="false">
      <c r="A2184" s="752"/>
      <c r="C2184" s="925"/>
      <c r="D2184" s="914"/>
      <c r="E2184" s="914"/>
      <c r="F2184" s="915"/>
      <c r="G2184" s="915"/>
      <c r="H2184" s="691"/>
      <c r="I2184" s="691"/>
      <c r="J2184" s="691"/>
      <c r="K2184" s="691"/>
      <c r="L2184" s="691"/>
      <c r="M2184" s="691"/>
      <c r="N2184" s="691"/>
      <c r="O2184" s="691"/>
      <c r="P2184" s="691"/>
      <c r="Q2184" s="691"/>
      <c r="R2184" s="691"/>
      <c r="S2184" s="691"/>
      <c r="T2184" s="691"/>
      <c r="U2184" s="691"/>
    </row>
    <row r="2185" s="917" customFormat="true" ht="15" hidden="false" customHeight="true" outlineLevel="0" collapsed="false">
      <c r="A2185" s="752"/>
      <c r="C2185" s="925"/>
      <c r="D2185" s="914"/>
      <c r="E2185" s="914"/>
      <c r="F2185" s="915"/>
      <c r="G2185" s="915"/>
      <c r="H2185" s="691"/>
      <c r="I2185" s="691"/>
      <c r="J2185" s="691"/>
      <c r="K2185" s="691"/>
      <c r="L2185" s="691"/>
      <c r="M2185" s="691"/>
      <c r="N2185" s="691"/>
      <c r="O2185" s="691"/>
      <c r="P2185" s="691"/>
      <c r="Q2185" s="691"/>
      <c r="R2185" s="691"/>
      <c r="S2185" s="691"/>
      <c r="T2185" s="691"/>
      <c r="U2185" s="691"/>
    </row>
    <row r="2186" s="917" customFormat="true" ht="15" hidden="false" customHeight="true" outlineLevel="0" collapsed="false">
      <c r="A2186" s="752"/>
      <c r="C2186" s="925"/>
      <c r="D2186" s="914"/>
      <c r="E2186" s="914"/>
      <c r="F2186" s="915"/>
      <c r="G2186" s="915"/>
      <c r="H2186" s="691"/>
      <c r="I2186" s="691"/>
      <c r="J2186" s="691"/>
      <c r="K2186" s="691"/>
      <c r="L2186" s="691"/>
      <c r="M2186" s="691"/>
      <c r="N2186" s="691"/>
      <c r="O2186" s="691"/>
      <c r="P2186" s="691"/>
      <c r="Q2186" s="691"/>
      <c r="R2186" s="691"/>
      <c r="S2186" s="691"/>
      <c r="T2186" s="691"/>
      <c r="U2186" s="691"/>
    </row>
    <row r="2187" s="917" customFormat="true" ht="15" hidden="false" customHeight="true" outlineLevel="0" collapsed="false">
      <c r="A2187" s="752"/>
      <c r="C2187" s="925"/>
      <c r="D2187" s="914"/>
      <c r="E2187" s="914"/>
      <c r="F2187" s="915"/>
      <c r="G2187" s="915"/>
      <c r="H2187" s="691"/>
      <c r="I2187" s="691"/>
      <c r="J2187" s="691"/>
      <c r="K2187" s="691"/>
      <c r="L2187" s="691"/>
      <c r="M2187" s="691"/>
      <c r="N2187" s="691"/>
      <c r="O2187" s="691"/>
      <c r="P2187" s="691"/>
      <c r="Q2187" s="691"/>
      <c r="R2187" s="691"/>
      <c r="S2187" s="691"/>
      <c r="T2187" s="691"/>
      <c r="U2187" s="691"/>
    </row>
    <row r="2188" s="917" customFormat="true" ht="15" hidden="false" customHeight="true" outlineLevel="0" collapsed="false">
      <c r="A2188" s="752"/>
      <c r="C2188" s="925"/>
      <c r="D2188" s="914"/>
      <c r="E2188" s="914"/>
      <c r="F2188" s="915"/>
      <c r="G2188" s="915"/>
      <c r="H2188" s="691"/>
      <c r="I2188" s="691"/>
      <c r="J2188" s="691"/>
      <c r="K2188" s="691"/>
      <c r="L2188" s="691"/>
      <c r="M2188" s="691"/>
      <c r="N2188" s="691"/>
      <c r="O2188" s="691"/>
      <c r="P2188" s="691"/>
      <c r="Q2188" s="691"/>
      <c r="R2188" s="691"/>
      <c r="S2188" s="691"/>
      <c r="T2188" s="691"/>
      <c r="U2188" s="691"/>
    </row>
    <row r="2189" s="917" customFormat="true" ht="15" hidden="false" customHeight="true" outlineLevel="0" collapsed="false">
      <c r="A2189" s="752"/>
      <c r="C2189" s="925"/>
      <c r="D2189" s="914"/>
      <c r="E2189" s="914"/>
      <c r="F2189" s="915"/>
      <c r="G2189" s="915"/>
      <c r="H2189" s="691"/>
      <c r="I2189" s="691"/>
      <c r="J2189" s="691"/>
      <c r="K2189" s="691"/>
      <c r="L2189" s="691"/>
      <c r="M2189" s="691"/>
      <c r="N2189" s="691"/>
      <c r="O2189" s="691"/>
      <c r="P2189" s="691"/>
      <c r="Q2189" s="691"/>
      <c r="R2189" s="691"/>
      <c r="S2189" s="691"/>
      <c r="T2189" s="691"/>
      <c r="U2189" s="691"/>
    </row>
    <row r="2190" s="917" customFormat="true" ht="15" hidden="false" customHeight="true" outlineLevel="0" collapsed="false">
      <c r="A2190" s="752"/>
      <c r="C2190" s="925"/>
      <c r="D2190" s="914"/>
      <c r="E2190" s="914"/>
      <c r="F2190" s="915"/>
      <c r="G2190" s="915"/>
      <c r="H2190" s="691"/>
      <c r="I2190" s="691"/>
      <c r="J2190" s="691"/>
      <c r="K2190" s="691"/>
      <c r="L2190" s="691"/>
      <c r="M2190" s="691"/>
      <c r="N2190" s="691"/>
      <c r="O2190" s="691"/>
      <c r="P2190" s="691"/>
      <c r="Q2190" s="691"/>
      <c r="R2190" s="691"/>
      <c r="S2190" s="691"/>
      <c r="T2190" s="691"/>
      <c r="U2190" s="691"/>
    </row>
    <row r="2191" s="917" customFormat="true" ht="15" hidden="false" customHeight="true" outlineLevel="0" collapsed="false">
      <c r="A2191" s="752"/>
      <c r="C2191" s="925"/>
      <c r="D2191" s="914"/>
      <c r="E2191" s="914"/>
      <c r="F2191" s="915"/>
      <c r="G2191" s="915"/>
      <c r="H2191" s="691"/>
      <c r="I2191" s="691"/>
      <c r="J2191" s="691"/>
      <c r="K2191" s="691"/>
      <c r="L2191" s="691"/>
      <c r="M2191" s="691"/>
      <c r="N2191" s="691"/>
      <c r="O2191" s="691"/>
      <c r="P2191" s="691"/>
      <c r="Q2191" s="691"/>
      <c r="R2191" s="691"/>
      <c r="S2191" s="691"/>
      <c r="T2191" s="691"/>
      <c r="U2191" s="691"/>
    </row>
    <row r="2192" s="917" customFormat="true" ht="15" hidden="false" customHeight="true" outlineLevel="0" collapsed="false">
      <c r="A2192" s="752"/>
      <c r="C2192" s="925"/>
      <c r="D2192" s="914"/>
      <c r="E2192" s="914"/>
      <c r="F2192" s="915"/>
      <c r="G2192" s="915"/>
      <c r="H2192" s="691"/>
      <c r="I2192" s="691"/>
      <c r="J2192" s="691"/>
      <c r="K2192" s="691"/>
      <c r="L2192" s="691"/>
      <c r="M2192" s="691"/>
      <c r="N2192" s="691"/>
      <c r="O2192" s="691"/>
      <c r="P2192" s="691"/>
      <c r="Q2192" s="691"/>
      <c r="R2192" s="691"/>
      <c r="S2192" s="691"/>
      <c r="T2192" s="691"/>
      <c r="U2192" s="691"/>
    </row>
    <row r="2193" s="917" customFormat="true" ht="15" hidden="false" customHeight="true" outlineLevel="0" collapsed="false">
      <c r="A2193" s="752"/>
      <c r="C2193" s="925"/>
      <c r="D2193" s="914"/>
      <c r="E2193" s="914"/>
      <c r="F2193" s="915"/>
      <c r="G2193" s="915"/>
      <c r="H2193" s="691"/>
      <c r="I2193" s="691"/>
      <c r="J2193" s="691"/>
      <c r="K2193" s="691"/>
      <c r="L2193" s="691"/>
      <c r="M2193" s="691"/>
      <c r="N2193" s="691"/>
      <c r="O2193" s="691"/>
      <c r="P2193" s="691"/>
      <c r="Q2193" s="691"/>
      <c r="R2193" s="691"/>
      <c r="S2193" s="691"/>
      <c r="T2193" s="691"/>
      <c r="U2193" s="691"/>
    </row>
    <row r="2194" s="917" customFormat="true" ht="15" hidden="false" customHeight="true" outlineLevel="0" collapsed="false">
      <c r="A2194" s="752"/>
      <c r="C2194" s="925"/>
      <c r="D2194" s="914"/>
      <c r="E2194" s="914"/>
      <c r="F2194" s="915"/>
      <c r="G2194" s="915"/>
      <c r="H2194" s="691"/>
      <c r="I2194" s="691"/>
      <c r="J2194" s="691"/>
      <c r="K2194" s="691"/>
      <c r="L2194" s="691"/>
      <c r="M2194" s="691"/>
      <c r="N2194" s="691"/>
      <c r="O2194" s="691"/>
      <c r="P2194" s="691"/>
      <c r="Q2194" s="691"/>
      <c r="R2194" s="691"/>
      <c r="S2194" s="691"/>
      <c r="T2194" s="691"/>
      <c r="U2194" s="691"/>
    </row>
    <row r="2195" s="917" customFormat="true" ht="15" hidden="false" customHeight="true" outlineLevel="0" collapsed="false">
      <c r="A2195" s="752"/>
      <c r="C2195" s="925"/>
      <c r="D2195" s="914"/>
      <c r="E2195" s="914"/>
      <c r="F2195" s="915"/>
      <c r="G2195" s="915"/>
      <c r="H2195" s="691"/>
      <c r="I2195" s="691"/>
      <c r="J2195" s="691"/>
      <c r="K2195" s="691"/>
      <c r="L2195" s="691"/>
      <c r="M2195" s="691"/>
      <c r="N2195" s="691"/>
      <c r="O2195" s="691"/>
      <c r="P2195" s="691"/>
      <c r="Q2195" s="691"/>
      <c r="R2195" s="691"/>
      <c r="S2195" s="691"/>
      <c r="T2195" s="691"/>
      <c r="U2195" s="691"/>
    </row>
    <row r="2196" s="917" customFormat="true" ht="15" hidden="false" customHeight="true" outlineLevel="0" collapsed="false">
      <c r="A2196" s="752"/>
      <c r="C2196" s="925"/>
      <c r="D2196" s="914"/>
      <c r="E2196" s="914"/>
      <c r="F2196" s="915"/>
      <c r="G2196" s="915"/>
      <c r="H2196" s="691"/>
      <c r="I2196" s="691"/>
      <c r="J2196" s="691"/>
      <c r="K2196" s="691"/>
      <c r="L2196" s="691"/>
      <c r="M2196" s="691"/>
      <c r="N2196" s="691"/>
      <c r="O2196" s="691"/>
      <c r="P2196" s="691"/>
      <c r="Q2196" s="691"/>
      <c r="R2196" s="691"/>
      <c r="S2196" s="691"/>
      <c r="T2196" s="691"/>
      <c r="U2196" s="691"/>
    </row>
    <row r="2197" s="917" customFormat="true" ht="15" hidden="false" customHeight="true" outlineLevel="0" collapsed="false">
      <c r="A2197" s="752"/>
      <c r="C2197" s="925"/>
      <c r="D2197" s="914"/>
      <c r="E2197" s="914"/>
      <c r="F2197" s="915"/>
      <c r="G2197" s="915"/>
      <c r="H2197" s="691"/>
      <c r="I2197" s="691"/>
      <c r="J2197" s="691"/>
      <c r="K2197" s="691"/>
      <c r="L2197" s="691"/>
      <c r="M2197" s="691"/>
      <c r="N2197" s="691"/>
      <c r="O2197" s="691"/>
      <c r="P2197" s="691"/>
      <c r="Q2197" s="691"/>
      <c r="R2197" s="691"/>
      <c r="S2197" s="691"/>
      <c r="T2197" s="691"/>
      <c r="U2197" s="691"/>
    </row>
    <row r="2198" s="917" customFormat="true" ht="15" hidden="false" customHeight="true" outlineLevel="0" collapsed="false">
      <c r="A2198" s="752"/>
      <c r="C2198" s="925"/>
      <c r="D2198" s="914"/>
      <c r="E2198" s="914"/>
      <c r="F2198" s="915"/>
      <c r="G2198" s="915"/>
      <c r="H2198" s="691"/>
      <c r="I2198" s="691"/>
      <c r="J2198" s="691"/>
      <c r="K2198" s="691"/>
      <c r="L2198" s="691"/>
      <c r="M2198" s="691"/>
      <c r="N2198" s="691"/>
      <c r="O2198" s="691"/>
      <c r="P2198" s="691"/>
      <c r="Q2198" s="691"/>
      <c r="R2198" s="691"/>
      <c r="S2198" s="691"/>
      <c r="T2198" s="691"/>
      <c r="U2198" s="691"/>
    </row>
    <row r="2199" s="917" customFormat="true" ht="15" hidden="false" customHeight="true" outlineLevel="0" collapsed="false">
      <c r="A2199" s="752"/>
      <c r="C2199" s="925"/>
      <c r="D2199" s="914"/>
      <c r="E2199" s="914"/>
      <c r="F2199" s="915"/>
      <c r="G2199" s="915"/>
      <c r="H2199" s="691"/>
      <c r="I2199" s="691"/>
      <c r="J2199" s="691"/>
      <c r="K2199" s="691"/>
      <c r="L2199" s="691"/>
      <c r="M2199" s="691"/>
      <c r="N2199" s="691"/>
      <c r="O2199" s="691"/>
      <c r="P2199" s="691"/>
      <c r="Q2199" s="691"/>
      <c r="R2199" s="691"/>
      <c r="S2199" s="691"/>
      <c r="T2199" s="691"/>
      <c r="U2199" s="691"/>
    </row>
    <row r="2200" s="917" customFormat="true" ht="15" hidden="false" customHeight="true" outlineLevel="0" collapsed="false">
      <c r="A2200" s="752"/>
      <c r="C2200" s="925"/>
      <c r="D2200" s="914"/>
      <c r="E2200" s="914"/>
      <c r="F2200" s="915"/>
      <c r="G2200" s="915"/>
      <c r="H2200" s="691"/>
      <c r="I2200" s="691"/>
      <c r="J2200" s="691"/>
      <c r="K2200" s="691"/>
      <c r="L2200" s="691"/>
      <c r="M2200" s="691"/>
      <c r="N2200" s="691"/>
      <c r="O2200" s="691"/>
      <c r="P2200" s="691"/>
      <c r="Q2200" s="691"/>
      <c r="R2200" s="691"/>
      <c r="S2200" s="691"/>
      <c r="T2200" s="691"/>
      <c r="U2200" s="691"/>
    </row>
    <row r="2201" s="917" customFormat="true" ht="15" hidden="false" customHeight="true" outlineLevel="0" collapsed="false">
      <c r="A2201" s="752"/>
      <c r="C2201" s="925"/>
      <c r="D2201" s="914"/>
      <c r="E2201" s="914"/>
      <c r="F2201" s="915"/>
      <c r="G2201" s="915"/>
      <c r="H2201" s="691"/>
      <c r="I2201" s="691"/>
      <c r="J2201" s="691"/>
      <c r="K2201" s="691"/>
      <c r="L2201" s="691"/>
      <c r="M2201" s="691"/>
      <c r="N2201" s="691"/>
      <c r="O2201" s="691"/>
      <c r="P2201" s="691"/>
      <c r="Q2201" s="691"/>
      <c r="R2201" s="691"/>
      <c r="S2201" s="691"/>
      <c r="T2201" s="691"/>
      <c r="U2201" s="691"/>
    </row>
    <row r="2202" s="917" customFormat="true" ht="15" hidden="false" customHeight="true" outlineLevel="0" collapsed="false">
      <c r="A2202" s="752"/>
      <c r="C2202" s="925"/>
      <c r="D2202" s="914"/>
      <c r="E2202" s="914"/>
      <c r="F2202" s="915"/>
      <c r="G2202" s="915"/>
      <c r="H2202" s="691"/>
      <c r="I2202" s="691"/>
      <c r="J2202" s="691"/>
      <c r="K2202" s="691"/>
      <c r="L2202" s="691"/>
      <c r="M2202" s="691"/>
      <c r="N2202" s="691"/>
      <c r="O2202" s="691"/>
      <c r="P2202" s="691"/>
      <c r="Q2202" s="691"/>
      <c r="R2202" s="691"/>
      <c r="S2202" s="691"/>
      <c r="T2202" s="691"/>
      <c r="U2202" s="691"/>
    </row>
    <row r="2203" s="917" customFormat="true" ht="15" hidden="false" customHeight="true" outlineLevel="0" collapsed="false">
      <c r="A2203" s="752"/>
      <c r="C2203" s="925"/>
      <c r="D2203" s="914"/>
      <c r="E2203" s="914"/>
      <c r="F2203" s="915"/>
      <c r="G2203" s="915"/>
      <c r="H2203" s="691"/>
      <c r="I2203" s="691"/>
      <c r="J2203" s="691"/>
      <c r="K2203" s="691"/>
      <c r="L2203" s="691"/>
      <c r="M2203" s="691"/>
      <c r="N2203" s="691"/>
      <c r="O2203" s="691"/>
      <c r="P2203" s="691"/>
      <c r="Q2203" s="691"/>
      <c r="R2203" s="691"/>
      <c r="S2203" s="691"/>
      <c r="T2203" s="691"/>
      <c r="U2203" s="691"/>
    </row>
    <row r="2204" s="917" customFormat="true" ht="15" hidden="false" customHeight="true" outlineLevel="0" collapsed="false">
      <c r="A2204" s="752"/>
      <c r="C2204" s="925"/>
      <c r="D2204" s="914"/>
      <c r="E2204" s="914"/>
      <c r="F2204" s="915"/>
      <c r="G2204" s="915"/>
      <c r="H2204" s="691"/>
      <c r="I2204" s="691"/>
      <c r="J2204" s="691"/>
      <c r="K2204" s="691"/>
      <c r="L2204" s="691"/>
      <c r="M2204" s="691"/>
      <c r="N2204" s="691"/>
      <c r="O2204" s="691"/>
      <c r="P2204" s="691"/>
      <c r="Q2204" s="691"/>
      <c r="R2204" s="691"/>
      <c r="S2204" s="691"/>
      <c r="T2204" s="691"/>
      <c r="U2204" s="691"/>
    </row>
    <row r="2205" s="917" customFormat="true" ht="15" hidden="false" customHeight="true" outlineLevel="0" collapsed="false">
      <c r="A2205" s="752"/>
      <c r="C2205" s="925"/>
      <c r="D2205" s="914"/>
      <c r="E2205" s="914"/>
      <c r="F2205" s="915"/>
      <c r="G2205" s="915"/>
      <c r="H2205" s="691"/>
      <c r="I2205" s="691"/>
      <c r="J2205" s="691"/>
      <c r="K2205" s="691"/>
      <c r="L2205" s="691"/>
      <c r="M2205" s="691"/>
      <c r="N2205" s="691"/>
      <c r="O2205" s="691"/>
      <c r="P2205" s="691"/>
      <c r="Q2205" s="691"/>
      <c r="R2205" s="691"/>
      <c r="S2205" s="691"/>
      <c r="T2205" s="691"/>
      <c r="U2205" s="691"/>
    </row>
    <row r="2206" s="917" customFormat="true" ht="15" hidden="false" customHeight="true" outlineLevel="0" collapsed="false">
      <c r="A2206" s="752"/>
      <c r="C2206" s="925"/>
      <c r="D2206" s="914"/>
      <c r="E2206" s="914"/>
      <c r="F2206" s="915"/>
      <c r="G2206" s="915"/>
      <c r="H2206" s="691"/>
      <c r="I2206" s="691"/>
      <c r="J2206" s="691"/>
      <c r="K2206" s="691"/>
      <c r="L2206" s="691"/>
      <c r="M2206" s="691"/>
      <c r="N2206" s="691"/>
      <c r="O2206" s="691"/>
      <c r="P2206" s="691"/>
      <c r="Q2206" s="691"/>
      <c r="R2206" s="691"/>
      <c r="S2206" s="691"/>
      <c r="T2206" s="691"/>
      <c r="U2206" s="691"/>
    </row>
    <row r="2207" s="917" customFormat="true" ht="15" hidden="false" customHeight="true" outlineLevel="0" collapsed="false">
      <c r="A2207" s="752"/>
      <c r="C2207" s="925"/>
      <c r="D2207" s="914"/>
      <c r="E2207" s="914"/>
      <c r="F2207" s="915"/>
      <c r="G2207" s="915"/>
      <c r="H2207" s="691"/>
      <c r="I2207" s="691"/>
      <c r="J2207" s="691"/>
      <c r="K2207" s="691"/>
      <c r="L2207" s="691"/>
      <c r="M2207" s="691"/>
      <c r="N2207" s="691"/>
      <c r="O2207" s="691"/>
      <c r="P2207" s="691"/>
      <c r="Q2207" s="691"/>
      <c r="R2207" s="691"/>
      <c r="S2207" s="691"/>
      <c r="T2207" s="691"/>
      <c r="U2207" s="691"/>
    </row>
    <row r="2208" s="917" customFormat="true" ht="15" hidden="false" customHeight="true" outlineLevel="0" collapsed="false">
      <c r="A2208" s="752"/>
      <c r="C2208" s="925"/>
      <c r="D2208" s="914"/>
      <c r="E2208" s="914"/>
      <c r="F2208" s="915"/>
      <c r="G2208" s="915"/>
      <c r="H2208" s="691"/>
      <c r="I2208" s="691"/>
      <c r="J2208" s="691"/>
      <c r="K2208" s="691"/>
      <c r="L2208" s="691"/>
      <c r="M2208" s="691"/>
      <c r="N2208" s="691"/>
      <c r="O2208" s="691"/>
      <c r="P2208" s="691"/>
      <c r="Q2208" s="691"/>
      <c r="R2208" s="691"/>
      <c r="S2208" s="691"/>
      <c r="T2208" s="691"/>
      <c r="U2208" s="691"/>
    </row>
    <row r="2209" s="917" customFormat="true" ht="15" hidden="false" customHeight="true" outlineLevel="0" collapsed="false">
      <c r="A2209" s="752"/>
      <c r="C2209" s="925"/>
      <c r="D2209" s="914"/>
      <c r="E2209" s="914"/>
      <c r="F2209" s="915"/>
      <c r="G2209" s="915"/>
      <c r="H2209" s="691"/>
      <c r="I2209" s="691"/>
      <c r="J2209" s="691"/>
      <c r="K2209" s="691"/>
      <c r="L2209" s="691"/>
      <c r="M2209" s="691"/>
      <c r="N2209" s="691"/>
      <c r="O2209" s="691"/>
      <c r="P2209" s="691"/>
      <c r="Q2209" s="691"/>
      <c r="R2209" s="691"/>
      <c r="S2209" s="691"/>
      <c r="T2209" s="691"/>
      <c r="U2209" s="691"/>
    </row>
    <row r="2210" s="917" customFormat="true" ht="15" hidden="false" customHeight="true" outlineLevel="0" collapsed="false">
      <c r="A2210" s="752"/>
      <c r="C2210" s="925"/>
      <c r="D2210" s="914"/>
      <c r="E2210" s="914"/>
      <c r="F2210" s="915"/>
      <c r="G2210" s="915"/>
      <c r="H2210" s="691"/>
      <c r="I2210" s="691"/>
      <c r="J2210" s="691"/>
      <c r="K2210" s="691"/>
      <c r="L2210" s="691"/>
      <c r="M2210" s="691"/>
      <c r="N2210" s="691"/>
      <c r="O2210" s="691"/>
      <c r="P2210" s="691"/>
      <c r="Q2210" s="691"/>
      <c r="R2210" s="691"/>
      <c r="S2210" s="691"/>
      <c r="T2210" s="691"/>
      <c r="U2210" s="691"/>
    </row>
    <row r="2211" s="917" customFormat="true" ht="15" hidden="false" customHeight="true" outlineLevel="0" collapsed="false">
      <c r="A2211" s="752"/>
      <c r="C2211" s="925"/>
      <c r="D2211" s="914"/>
      <c r="E2211" s="914"/>
      <c r="F2211" s="915"/>
      <c r="G2211" s="915"/>
      <c r="H2211" s="691"/>
      <c r="I2211" s="691"/>
      <c r="J2211" s="691"/>
      <c r="K2211" s="691"/>
      <c r="L2211" s="691"/>
      <c r="M2211" s="691"/>
      <c r="N2211" s="691"/>
      <c r="O2211" s="691"/>
      <c r="P2211" s="691"/>
      <c r="Q2211" s="691"/>
      <c r="R2211" s="691"/>
      <c r="S2211" s="691"/>
      <c r="T2211" s="691"/>
      <c r="U2211" s="691"/>
    </row>
    <row r="2212" s="917" customFormat="true" ht="15" hidden="false" customHeight="true" outlineLevel="0" collapsed="false">
      <c r="A2212" s="752"/>
      <c r="C2212" s="925"/>
      <c r="D2212" s="914"/>
      <c r="E2212" s="914"/>
      <c r="F2212" s="915"/>
      <c r="G2212" s="915"/>
      <c r="H2212" s="691"/>
      <c r="I2212" s="691"/>
      <c r="J2212" s="691"/>
      <c r="K2212" s="691"/>
      <c r="L2212" s="691"/>
      <c r="M2212" s="691"/>
      <c r="N2212" s="691"/>
      <c r="O2212" s="691"/>
      <c r="P2212" s="691"/>
      <c r="Q2212" s="691"/>
      <c r="R2212" s="691"/>
      <c r="S2212" s="691"/>
      <c r="T2212" s="691"/>
      <c r="U2212" s="691"/>
    </row>
    <row r="2213" s="917" customFormat="true" ht="15" hidden="false" customHeight="true" outlineLevel="0" collapsed="false">
      <c r="A2213" s="752"/>
      <c r="C2213" s="925"/>
      <c r="D2213" s="914"/>
      <c r="E2213" s="914"/>
      <c r="F2213" s="915"/>
      <c r="G2213" s="915"/>
      <c r="H2213" s="691"/>
      <c r="I2213" s="691"/>
      <c r="J2213" s="691"/>
      <c r="K2213" s="691"/>
      <c r="L2213" s="691"/>
      <c r="M2213" s="691"/>
      <c r="N2213" s="691"/>
      <c r="O2213" s="691"/>
      <c r="P2213" s="691"/>
      <c r="Q2213" s="691"/>
      <c r="R2213" s="691"/>
      <c r="S2213" s="691"/>
      <c r="T2213" s="691"/>
      <c r="U2213" s="691"/>
    </row>
    <row r="2214" s="917" customFormat="true" ht="15" hidden="false" customHeight="true" outlineLevel="0" collapsed="false">
      <c r="A2214" s="752"/>
      <c r="C2214" s="925"/>
      <c r="D2214" s="914"/>
      <c r="E2214" s="914"/>
      <c r="F2214" s="915"/>
      <c r="G2214" s="915"/>
      <c r="H2214" s="691"/>
      <c r="I2214" s="691"/>
      <c r="J2214" s="691"/>
      <c r="K2214" s="691"/>
      <c r="L2214" s="691"/>
      <c r="M2214" s="691"/>
      <c r="N2214" s="691"/>
      <c r="O2214" s="691"/>
      <c r="P2214" s="691"/>
      <c r="Q2214" s="691"/>
      <c r="R2214" s="691"/>
      <c r="S2214" s="691"/>
      <c r="T2214" s="691"/>
      <c r="U2214" s="691"/>
    </row>
    <row r="2215" s="917" customFormat="true" ht="15" hidden="false" customHeight="true" outlineLevel="0" collapsed="false">
      <c r="A2215" s="752"/>
      <c r="C2215" s="925"/>
      <c r="D2215" s="914"/>
      <c r="E2215" s="914"/>
      <c r="F2215" s="915"/>
      <c r="G2215" s="915"/>
      <c r="H2215" s="691"/>
      <c r="I2215" s="691"/>
      <c r="J2215" s="691"/>
      <c r="K2215" s="691"/>
      <c r="L2215" s="691"/>
      <c r="M2215" s="691"/>
      <c r="N2215" s="691"/>
      <c r="O2215" s="691"/>
      <c r="P2215" s="691"/>
      <c r="Q2215" s="691"/>
      <c r="R2215" s="691"/>
      <c r="S2215" s="691"/>
      <c r="T2215" s="691"/>
      <c r="U2215" s="691"/>
    </row>
    <row r="2216" s="917" customFormat="true" ht="15" hidden="false" customHeight="true" outlineLevel="0" collapsed="false">
      <c r="A2216" s="752"/>
      <c r="C2216" s="925"/>
      <c r="D2216" s="914"/>
      <c r="E2216" s="914"/>
      <c r="F2216" s="915"/>
      <c r="G2216" s="915"/>
      <c r="H2216" s="691"/>
      <c r="I2216" s="691"/>
      <c r="J2216" s="691"/>
      <c r="K2216" s="691"/>
      <c r="L2216" s="691"/>
      <c r="M2216" s="691"/>
      <c r="N2216" s="691"/>
      <c r="O2216" s="691"/>
      <c r="P2216" s="691"/>
      <c r="Q2216" s="691"/>
      <c r="R2216" s="691"/>
      <c r="S2216" s="691"/>
      <c r="T2216" s="691"/>
      <c r="U2216" s="691"/>
    </row>
    <row r="2217" s="917" customFormat="true" ht="15" hidden="false" customHeight="true" outlineLevel="0" collapsed="false">
      <c r="A2217" s="752"/>
      <c r="C2217" s="925"/>
      <c r="D2217" s="914"/>
      <c r="E2217" s="914"/>
      <c r="F2217" s="915"/>
      <c r="G2217" s="915"/>
      <c r="H2217" s="691"/>
      <c r="I2217" s="691"/>
      <c r="J2217" s="691"/>
      <c r="K2217" s="691"/>
      <c r="L2217" s="691"/>
      <c r="M2217" s="691"/>
      <c r="N2217" s="691"/>
      <c r="O2217" s="691"/>
      <c r="P2217" s="691"/>
      <c r="Q2217" s="691"/>
      <c r="R2217" s="691"/>
      <c r="S2217" s="691"/>
      <c r="T2217" s="691"/>
      <c r="U2217" s="691"/>
    </row>
    <row r="2218" s="917" customFormat="true" ht="15" hidden="false" customHeight="true" outlineLevel="0" collapsed="false">
      <c r="A2218" s="752"/>
      <c r="C2218" s="925"/>
      <c r="D2218" s="914"/>
      <c r="E2218" s="914"/>
      <c r="F2218" s="915"/>
      <c r="G2218" s="915"/>
      <c r="H2218" s="691"/>
      <c r="I2218" s="691"/>
      <c r="J2218" s="691"/>
      <c r="K2218" s="691"/>
      <c r="L2218" s="691"/>
      <c r="M2218" s="691"/>
      <c r="N2218" s="691"/>
      <c r="O2218" s="691"/>
      <c r="P2218" s="691"/>
      <c r="Q2218" s="691"/>
      <c r="R2218" s="691"/>
      <c r="S2218" s="691"/>
      <c r="T2218" s="691"/>
      <c r="U2218" s="691"/>
    </row>
    <row r="2219" s="917" customFormat="true" ht="15" hidden="false" customHeight="true" outlineLevel="0" collapsed="false">
      <c r="A2219" s="752"/>
      <c r="C2219" s="925"/>
      <c r="D2219" s="914"/>
      <c r="E2219" s="914"/>
      <c r="F2219" s="915"/>
      <c r="G2219" s="915"/>
      <c r="H2219" s="691"/>
      <c r="I2219" s="691"/>
      <c r="J2219" s="691"/>
      <c r="K2219" s="691"/>
      <c r="L2219" s="691"/>
      <c r="M2219" s="691"/>
      <c r="N2219" s="691"/>
      <c r="O2219" s="691"/>
      <c r="P2219" s="691"/>
      <c r="Q2219" s="691"/>
      <c r="R2219" s="691"/>
      <c r="S2219" s="691"/>
      <c r="T2219" s="691"/>
      <c r="U2219" s="691"/>
    </row>
    <row r="2220" s="917" customFormat="true" ht="15" hidden="false" customHeight="true" outlineLevel="0" collapsed="false">
      <c r="A2220" s="752"/>
      <c r="C2220" s="925"/>
      <c r="D2220" s="914"/>
      <c r="E2220" s="914"/>
      <c r="F2220" s="915"/>
      <c r="G2220" s="915"/>
      <c r="H2220" s="691"/>
      <c r="I2220" s="691"/>
      <c r="J2220" s="691"/>
      <c r="K2220" s="691"/>
      <c r="L2220" s="691"/>
      <c r="M2220" s="691"/>
      <c r="N2220" s="691"/>
      <c r="O2220" s="691"/>
      <c r="P2220" s="691"/>
      <c r="Q2220" s="691"/>
      <c r="R2220" s="691"/>
      <c r="S2220" s="691"/>
      <c r="T2220" s="691"/>
      <c r="U2220" s="691"/>
    </row>
    <row r="2221" s="917" customFormat="true" ht="15" hidden="false" customHeight="true" outlineLevel="0" collapsed="false">
      <c r="A2221" s="752"/>
      <c r="C2221" s="925"/>
      <c r="D2221" s="914"/>
      <c r="E2221" s="914"/>
      <c r="F2221" s="915"/>
      <c r="G2221" s="915"/>
      <c r="H2221" s="691"/>
      <c r="I2221" s="691"/>
      <c r="J2221" s="691"/>
      <c r="K2221" s="691"/>
      <c r="L2221" s="691"/>
      <c r="M2221" s="691"/>
      <c r="N2221" s="691"/>
      <c r="O2221" s="691"/>
      <c r="P2221" s="691"/>
      <c r="Q2221" s="691"/>
      <c r="R2221" s="691"/>
      <c r="S2221" s="691"/>
      <c r="T2221" s="691"/>
      <c r="U2221" s="691"/>
    </row>
    <row r="2222" s="917" customFormat="true" ht="15" hidden="false" customHeight="true" outlineLevel="0" collapsed="false">
      <c r="A2222" s="752"/>
      <c r="C2222" s="925"/>
      <c r="D2222" s="914"/>
      <c r="E2222" s="914"/>
      <c r="F2222" s="915"/>
      <c r="G2222" s="915"/>
      <c r="H2222" s="691"/>
      <c r="I2222" s="691"/>
      <c r="J2222" s="691"/>
      <c r="K2222" s="691"/>
      <c r="L2222" s="691"/>
      <c r="M2222" s="691"/>
      <c r="N2222" s="691"/>
      <c r="O2222" s="691"/>
      <c r="P2222" s="691"/>
      <c r="Q2222" s="691"/>
      <c r="R2222" s="691"/>
      <c r="S2222" s="691"/>
      <c r="T2222" s="691"/>
      <c r="U2222" s="691"/>
    </row>
    <row r="2223" s="917" customFormat="true" ht="15" hidden="false" customHeight="true" outlineLevel="0" collapsed="false">
      <c r="A2223" s="752"/>
      <c r="C2223" s="925"/>
      <c r="D2223" s="914"/>
      <c r="E2223" s="914"/>
      <c r="F2223" s="915"/>
      <c r="G2223" s="915"/>
      <c r="H2223" s="691"/>
      <c r="I2223" s="691"/>
      <c r="J2223" s="691"/>
      <c r="K2223" s="691"/>
      <c r="L2223" s="691"/>
      <c r="M2223" s="691"/>
      <c r="N2223" s="691"/>
      <c r="O2223" s="691"/>
      <c r="P2223" s="691"/>
      <c r="Q2223" s="691"/>
      <c r="R2223" s="691"/>
      <c r="S2223" s="691"/>
      <c r="T2223" s="691"/>
      <c r="U2223" s="691"/>
    </row>
    <row r="2224" s="917" customFormat="true" ht="15" hidden="false" customHeight="true" outlineLevel="0" collapsed="false">
      <c r="A2224" s="752"/>
      <c r="C2224" s="925"/>
      <c r="D2224" s="914"/>
      <c r="E2224" s="914"/>
      <c r="F2224" s="915"/>
      <c r="G2224" s="915"/>
      <c r="H2224" s="691"/>
      <c r="I2224" s="691"/>
      <c r="J2224" s="691"/>
      <c r="K2224" s="691"/>
      <c r="L2224" s="691"/>
      <c r="M2224" s="691"/>
      <c r="N2224" s="691"/>
      <c r="O2224" s="691"/>
      <c r="P2224" s="691"/>
      <c r="Q2224" s="691"/>
      <c r="R2224" s="691"/>
      <c r="S2224" s="691"/>
      <c r="T2224" s="691"/>
      <c r="U2224" s="691"/>
    </row>
    <row r="2225" s="917" customFormat="true" ht="15" hidden="false" customHeight="true" outlineLevel="0" collapsed="false">
      <c r="A2225" s="752"/>
      <c r="C2225" s="925"/>
      <c r="D2225" s="914"/>
      <c r="E2225" s="914"/>
      <c r="F2225" s="915"/>
      <c r="G2225" s="915"/>
      <c r="H2225" s="691"/>
      <c r="I2225" s="691"/>
      <c r="J2225" s="691"/>
      <c r="K2225" s="691"/>
      <c r="L2225" s="691"/>
      <c r="M2225" s="691"/>
      <c r="N2225" s="691"/>
      <c r="O2225" s="691"/>
      <c r="P2225" s="691"/>
      <c r="Q2225" s="691"/>
      <c r="R2225" s="691"/>
      <c r="S2225" s="691"/>
      <c r="T2225" s="691"/>
      <c r="U2225" s="691"/>
    </row>
    <row r="2226" s="917" customFormat="true" ht="15" hidden="false" customHeight="true" outlineLevel="0" collapsed="false">
      <c r="A2226" s="752"/>
      <c r="C2226" s="925"/>
      <c r="D2226" s="914"/>
      <c r="E2226" s="914"/>
      <c r="F2226" s="915"/>
      <c r="G2226" s="915"/>
      <c r="H2226" s="691"/>
      <c r="I2226" s="691"/>
      <c r="J2226" s="691"/>
      <c r="K2226" s="691"/>
      <c r="L2226" s="691"/>
      <c r="M2226" s="691"/>
      <c r="N2226" s="691"/>
      <c r="O2226" s="691"/>
      <c r="P2226" s="691"/>
      <c r="Q2226" s="691"/>
      <c r="R2226" s="691"/>
      <c r="S2226" s="691"/>
      <c r="T2226" s="691"/>
      <c r="U2226" s="691"/>
    </row>
    <row r="2227" s="917" customFormat="true" ht="15" hidden="false" customHeight="true" outlineLevel="0" collapsed="false">
      <c r="A2227" s="752"/>
      <c r="C2227" s="925"/>
      <c r="D2227" s="914"/>
      <c r="E2227" s="914"/>
      <c r="F2227" s="915"/>
      <c r="G2227" s="915"/>
      <c r="H2227" s="691"/>
      <c r="I2227" s="691"/>
      <c r="J2227" s="691"/>
      <c r="K2227" s="691"/>
      <c r="L2227" s="691"/>
      <c r="M2227" s="691"/>
      <c r="N2227" s="691"/>
      <c r="O2227" s="691"/>
      <c r="P2227" s="691"/>
      <c r="Q2227" s="691"/>
      <c r="R2227" s="691"/>
      <c r="S2227" s="691"/>
      <c r="T2227" s="691"/>
      <c r="U2227" s="691"/>
    </row>
    <row r="2228" s="917" customFormat="true" ht="15" hidden="false" customHeight="true" outlineLevel="0" collapsed="false">
      <c r="A2228" s="752"/>
      <c r="C2228" s="925"/>
      <c r="D2228" s="914"/>
      <c r="E2228" s="914"/>
      <c r="F2228" s="915"/>
      <c r="G2228" s="915"/>
      <c r="H2228" s="691"/>
      <c r="I2228" s="691"/>
      <c r="J2228" s="691"/>
      <c r="K2228" s="691"/>
      <c r="L2228" s="691"/>
      <c r="M2228" s="691"/>
      <c r="N2228" s="691"/>
      <c r="O2228" s="691"/>
      <c r="P2228" s="691"/>
      <c r="Q2228" s="691"/>
      <c r="R2228" s="691"/>
      <c r="S2228" s="691"/>
      <c r="T2228" s="691"/>
      <c r="U2228" s="691"/>
    </row>
    <row r="2229" s="917" customFormat="true" ht="15" hidden="false" customHeight="true" outlineLevel="0" collapsed="false">
      <c r="A2229" s="752"/>
      <c r="C2229" s="925"/>
      <c r="D2229" s="914"/>
      <c r="E2229" s="914"/>
      <c r="F2229" s="915"/>
      <c r="G2229" s="915"/>
      <c r="H2229" s="691"/>
      <c r="I2229" s="691"/>
      <c r="J2229" s="691"/>
      <c r="K2229" s="691"/>
      <c r="L2229" s="691"/>
      <c r="M2229" s="691"/>
      <c r="N2229" s="691"/>
      <c r="O2229" s="691"/>
      <c r="P2229" s="691"/>
      <c r="Q2229" s="691"/>
      <c r="R2229" s="691"/>
      <c r="S2229" s="691"/>
      <c r="T2229" s="691"/>
      <c r="U2229" s="691"/>
    </row>
    <row r="2230" s="917" customFormat="true" ht="15" hidden="false" customHeight="true" outlineLevel="0" collapsed="false">
      <c r="A2230" s="752"/>
      <c r="C2230" s="925"/>
      <c r="D2230" s="914"/>
      <c r="E2230" s="914"/>
      <c r="F2230" s="915"/>
      <c r="G2230" s="915"/>
      <c r="H2230" s="691"/>
      <c r="I2230" s="691"/>
      <c r="J2230" s="691"/>
      <c r="K2230" s="691"/>
      <c r="L2230" s="691"/>
      <c r="M2230" s="691"/>
      <c r="N2230" s="691"/>
      <c r="O2230" s="691"/>
      <c r="P2230" s="691"/>
      <c r="Q2230" s="691"/>
      <c r="R2230" s="691"/>
      <c r="S2230" s="691"/>
      <c r="T2230" s="691"/>
      <c r="U2230" s="691"/>
    </row>
    <row r="2231" s="917" customFormat="true" ht="15" hidden="false" customHeight="true" outlineLevel="0" collapsed="false">
      <c r="A2231" s="752"/>
      <c r="C2231" s="925"/>
      <c r="D2231" s="914"/>
      <c r="E2231" s="914"/>
      <c r="F2231" s="915"/>
      <c r="G2231" s="915"/>
      <c r="H2231" s="691"/>
      <c r="I2231" s="691"/>
      <c r="J2231" s="691"/>
      <c r="K2231" s="691"/>
      <c r="L2231" s="691"/>
      <c r="M2231" s="691"/>
      <c r="N2231" s="691"/>
      <c r="O2231" s="691"/>
      <c r="P2231" s="691"/>
      <c r="Q2231" s="691"/>
      <c r="R2231" s="691"/>
      <c r="S2231" s="691"/>
      <c r="T2231" s="691"/>
      <c r="U2231" s="691"/>
    </row>
    <row r="2232" s="917" customFormat="true" ht="15" hidden="false" customHeight="true" outlineLevel="0" collapsed="false">
      <c r="A2232" s="752"/>
      <c r="C2232" s="925"/>
      <c r="D2232" s="914"/>
      <c r="E2232" s="914"/>
      <c r="F2232" s="915"/>
      <c r="G2232" s="915"/>
      <c r="H2232" s="691"/>
      <c r="I2232" s="691"/>
      <c r="J2232" s="691"/>
      <c r="K2232" s="691"/>
      <c r="L2232" s="691"/>
      <c r="M2232" s="691"/>
      <c r="N2232" s="691"/>
      <c r="O2232" s="691"/>
      <c r="P2232" s="691"/>
      <c r="Q2232" s="691"/>
      <c r="R2232" s="691"/>
      <c r="S2232" s="691"/>
      <c r="T2232" s="691"/>
      <c r="U2232" s="691"/>
    </row>
    <row r="2233" s="917" customFormat="true" ht="15" hidden="false" customHeight="true" outlineLevel="0" collapsed="false">
      <c r="A2233" s="752"/>
      <c r="C2233" s="925"/>
      <c r="D2233" s="914"/>
      <c r="E2233" s="914"/>
      <c r="F2233" s="915"/>
      <c r="G2233" s="915"/>
      <c r="H2233" s="691"/>
      <c r="I2233" s="691"/>
      <c r="J2233" s="691"/>
      <c r="K2233" s="691"/>
      <c r="L2233" s="691"/>
      <c r="M2233" s="691"/>
      <c r="N2233" s="691"/>
      <c r="O2233" s="691"/>
      <c r="P2233" s="691"/>
      <c r="Q2233" s="691"/>
      <c r="R2233" s="691"/>
      <c r="S2233" s="691"/>
      <c r="T2233" s="691"/>
      <c r="U2233" s="691"/>
    </row>
    <row r="2234" s="917" customFormat="true" ht="15" hidden="false" customHeight="true" outlineLevel="0" collapsed="false">
      <c r="A2234" s="752"/>
      <c r="C2234" s="925"/>
      <c r="D2234" s="914"/>
      <c r="E2234" s="914"/>
      <c r="F2234" s="915"/>
      <c r="G2234" s="915"/>
      <c r="H2234" s="691"/>
      <c r="I2234" s="691"/>
      <c r="J2234" s="691"/>
      <c r="K2234" s="691"/>
      <c r="L2234" s="691"/>
      <c r="M2234" s="691"/>
      <c r="N2234" s="691"/>
      <c r="O2234" s="691"/>
      <c r="P2234" s="691"/>
      <c r="Q2234" s="691"/>
      <c r="R2234" s="691"/>
      <c r="S2234" s="691"/>
      <c r="T2234" s="691"/>
      <c r="U2234" s="691"/>
    </row>
    <row r="2235" s="917" customFormat="true" ht="15" hidden="false" customHeight="true" outlineLevel="0" collapsed="false">
      <c r="A2235" s="752"/>
      <c r="C2235" s="925"/>
      <c r="D2235" s="914"/>
      <c r="E2235" s="914"/>
      <c r="F2235" s="915"/>
      <c r="G2235" s="915"/>
      <c r="H2235" s="691"/>
      <c r="I2235" s="691"/>
      <c r="J2235" s="691"/>
      <c r="K2235" s="691"/>
      <c r="L2235" s="691"/>
      <c r="M2235" s="691"/>
      <c r="N2235" s="691"/>
      <c r="O2235" s="691"/>
      <c r="P2235" s="691"/>
      <c r="Q2235" s="691"/>
      <c r="R2235" s="691"/>
      <c r="S2235" s="691"/>
      <c r="T2235" s="691"/>
      <c r="U2235" s="691"/>
    </row>
    <row r="2236" s="917" customFormat="true" ht="15" hidden="false" customHeight="true" outlineLevel="0" collapsed="false">
      <c r="A2236" s="752"/>
      <c r="C2236" s="925"/>
      <c r="D2236" s="914"/>
      <c r="E2236" s="914"/>
      <c r="F2236" s="915"/>
      <c r="G2236" s="915"/>
      <c r="H2236" s="691"/>
      <c r="I2236" s="691"/>
      <c r="J2236" s="691"/>
      <c r="K2236" s="691"/>
      <c r="L2236" s="691"/>
      <c r="M2236" s="691"/>
      <c r="N2236" s="691"/>
      <c r="O2236" s="691"/>
      <c r="P2236" s="691"/>
      <c r="Q2236" s="691"/>
      <c r="R2236" s="691"/>
      <c r="S2236" s="691"/>
      <c r="T2236" s="691"/>
      <c r="U2236" s="691"/>
    </row>
    <row r="2237" s="917" customFormat="true" ht="15" hidden="false" customHeight="true" outlineLevel="0" collapsed="false">
      <c r="A2237" s="752"/>
      <c r="C2237" s="925"/>
      <c r="D2237" s="914"/>
      <c r="E2237" s="914"/>
      <c r="F2237" s="915"/>
      <c r="G2237" s="915"/>
      <c r="H2237" s="691"/>
      <c r="I2237" s="691"/>
      <c r="J2237" s="691"/>
      <c r="K2237" s="691"/>
      <c r="L2237" s="691"/>
      <c r="M2237" s="691"/>
      <c r="N2237" s="691"/>
      <c r="O2237" s="691"/>
      <c r="P2237" s="691"/>
      <c r="Q2237" s="691"/>
      <c r="R2237" s="691"/>
      <c r="S2237" s="691"/>
      <c r="T2237" s="691"/>
      <c r="U2237" s="691"/>
    </row>
    <row r="2238" s="917" customFormat="true" ht="15" hidden="false" customHeight="true" outlineLevel="0" collapsed="false">
      <c r="A2238" s="752"/>
      <c r="C2238" s="925"/>
      <c r="D2238" s="914"/>
      <c r="E2238" s="914"/>
      <c r="F2238" s="915"/>
      <c r="G2238" s="915"/>
      <c r="H2238" s="691"/>
      <c r="I2238" s="691"/>
      <c r="J2238" s="691"/>
      <c r="K2238" s="691"/>
      <c r="L2238" s="691"/>
      <c r="M2238" s="691"/>
      <c r="N2238" s="691"/>
      <c r="O2238" s="691"/>
      <c r="P2238" s="691"/>
      <c r="Q2238" s="691"/>
      <c r="R2238" s="691"/>
      <c r="S2238" s="691"/>
      <c r="T2238" s="691"/>
      <c r="U2238" s="691"/>
    </row>
    <row r="2239" s="917" customFormat="true" ht="15" hidden="false" customHeight="true" outlineLevel="0" collapsed="false">
      <c r="A2239" s="752"/>
      <c r="C2239" s="925"/>
      <c r="D2239" s="914"/>
      <c r="E2239" s="914"/>
      <c r="F2239" s="915"/>
      <c r="G2239" s="915"/>
      <c r="H2239" s="691"/>
      <c r="I2239" s="691"/>
      <c r="J2239" s="691"/>
      <c r="K2239" s="691"/>
      <c r="L2239" s="691"/>
      <c r="M2239" s="691"/>
      <c r="N2239" s="691"/>
      <c r="O2239" s="691"/>
      <c r="P2239" s="691"/>
      <c r="Q2239" s="691"/>
      <c r="R2239" s="691"/>
      <c r="S2239" s="691"/>
      <c r="T2239" s="691"/>
      <c r="U2239" s="691"/>
    </row>
    <row r="2240" s="917" customFormat="true" ht="15" hidden="false" customHeight="true" outlineLevel="0" collapsed="false">
      <c r="A2240" s="752"/>
      <c r="C2240" s="925"/>
      <c r="D2240" s="914"/>
      <c r="E2240" s="914"/>
      <c r="F2240" s="915"/>
      <c r="G2240" s="915"/>
      <c r="H2240" s="691"/>
      <c r="I2240" s="691"/>
      <c r="J2240" s="691"/>
      <c r="K2240" s="691"/>
      <c r="L2240" s="691"/>
      <c r="M2240" s="691"/>
      <c r="N2240" s="691"/>
      <c r="O2240" s="691"/>
      <c r="P2240" s="691"/>
      <c r="Q2240" s="691"/>
      <c r="R2240" s="691"/>
      <c r="S2240" s="691"/>
      <c r="T2240" s="691"/>
      <c r="U2240" s="691"/>
    </row>
    <row r="2241" s="917" customFormat="true" ht="15" hidden="false" customHeight="true" outlineLevel="0" collapsed="false">
      <c r="A2241" s="752"/>
      <c r="C2241" s="925"/>
      <c r="D2241" s="914"/>
      <c r="E2241" s="914"/>
      <c r="F2241" s="915"/>
      <c r="G2241" s="915"/>
      <c r="H2241" s="691"/>
      <c r="I2241" s="691"/>
      <c r="J2241" s="691"/>
      <c r="K2241" s="691"/>
      <c r="L2241" s="691"/>
      <c r="M2241" s="691"/>
      <c r="N2241" s="691"/>
      <c r="O2241" s="691"/>
      <c r="P2241" s="691"/>
      <c r="Q2241" s="691"/>
      <c r="R2241" s="691"/>
      <c r="S2241" s="691"/>
      <c r="T2241" s="691"/>
      <c r="U2241" s="691"/>
    </row>
    <row r="2242" s="917" customFormat="true" ht="15" hidden="false" customHeight="true" outlineLevel="0" collapsed="false">
      <c r="A2242" s="752"/>
      <c r="C2242" s="925"/>
      <c r="D2242" s="914"/>
      <c r="E2242" s="914"/>
      <c r="F2242" s="915"/>
      <c r="G2242" s="915"/>
      <c r="H2242" s="691"/>
      <c r="I2242" s="691"/>
      <c r="J2242" s="691"/>
      <c r="K2242" s="691"/>
      <c r="L2242" s="691"/>
      <c r="M2242" s="691"/>
      <c r="N2242" s="691"/>
      <c r="O2242" s="691"/>
      <c r="P2242" s="691"/>
      <c r="Q2242" s="691"/>
      <c r="R2242" s="691"/>
      <c r="S2242" s="691"/>
      <c r="T2242" s="691"/>
      <c r="U2242" s="691"/>
    </row>
    <row r="2243" s="917" customFormat="true" ht="15" hidden="false" customHeight="true" outlineLevel="0" collapsed="false">
      <c r="A2243" s="752"/>
      <c r="C2243" s="925"/>
      <c r="D2243" s="914"/>
      <c r="E2243" s="914"/>
      <c r="F2243" s="915"/>
      <c r="G2243" s="915"/>
      <c r="H2243" s="691"/>
      <c r="I2243" s="691"/>
      <c r="J2243" s="691"/>
      <c r="K2243" s="691"/>
      <c r="L2243" s="691"/>
      <c r="M2243" s="691"/>
      <c r="N2243" s="691"/>
      <c r="O2243" s="691"/>
      <c r="P2243" s="691"/>
      <c r="Q2243" s="691"/>
      <c r="R2243" s="691"/>
      <c r="S2243" s="691"/>
      <c r="T2243" s="691"/>
      <c r="U2243" s="691"/>
    </row>
    <row r="2244" s="917" customFormat="true" ht="15" hidden="false" customHeight="true" outlineLevel="0" collapsed="false">
      <c r="A2244" s="752"/>
      <c r="C2244" s="925"/>
      <c r="D2244" s="914"/>
      <c r="E2244" s="914"/>
      <c r="F2244" s="915"/>
      <c r="G2244" s="915"/>
      <c r="H2244" s="691"/>
      <c r="I2244" s="691"/>
      <c r="J2244" s="691"/>
      <c r="K2244" s="691"/>
      <c r="L2244" s="691"/>
      <c r="M2244" s="691"/>
      <c r="N2244" s="691"/>
      <c r="O2244" s="691"/>
      <c r="P2244" s="691"/>
      <c r="Q2244" s="691"/>
      <c r="R2244" s="691"/>
      <c r="S2244" s="691"/>
      <c r="T2244" s="691"/>
      <c r="U2244" s="691"/>
    </row>
    <row r="2245" s="917" customFormat="true" ht="15" hidden="false" customHeight="true" outlineLevel="0" collapsed="false">
      <c r="A2245" s="752"/>
      <c r="C2245" s="925"/>
      <c r="D2245" s="914"/>
      <c r="E2245" s="914"/>
      <c r="F2245" s="915"/>
      <c r="G2245" s="915"/>
      <c r="H2245" s="691"/>
      <c r="I2245" s="691"/>
      <c r="J2245" s="691"/>
      <c r="K2245" s="691"/>
      <c r="L2245" s="691"/>
      <c r="M2245" s="691"/>
      <c r="N2245" s="691"/>
      <c r="O2245" s="691"/>
      <c r="P2245" s="691"/>
      <c r="Q2245" s="691"/>
      <c r="R2245" s="691"/>
      <c r="S2245" s="691"/>
      <c r="T2245" s="691"/>
      <c r="U2245" s="691"/>
    </row>
    <row r="2246" s="917" customFormat="true" ht="15" hidden="false" customHeight="true" outlineLevel="0" collapsed="false">
      <c r="A2246" s="752"/>
      <c r="C2246" s="925"/>
      <c r="D2246" s="914"/>
      <c r="E2246" s="914"/>
      <c r="F2246" s="915"/>
      <c r="G2246" s="915"/>
      <c r="H2246" s="691"/>
      <c r="I2246" s="691"/>
      <c r="J2246" s="691"/>
      <c r="K2246" s="691"/>
      <c r="L2246" s="691"/>
      <c r="M2246" s="691"/>
      <c r="N2246" s="691"/>
      <c r="O2246" s="691"/>
      <c r="P2246" s="691"/>
      <c r="Q2246" s="691"/>
      <c r="R2246" s="691"/>
      <c r="S2246" s="691"/>
      <c r="T2246" s="691"/>
      <c r="U2246" s="691"/>
    </row>
    <row r="2247" s="917" customFormat="true" ht="15" hidden="false" customHeight="true" outlineLevel="0" collapsed="false">
      <c r="A2247" s="752"/>
      <c r="C2247" s="925"/>
      <c r="D2247" s="914"/>
      <c r="E2247" s="914"/>
      <c r="F2247" s="915"/>
      <c r="G2247" s="915"/>
      <c r="H2247" s="691"/>
      <c r="I2247" s="691"/>
      <c r="J2247" s="691"/>
      <c r="K2247" s="691"/>
      <c r="L2247" s="691"/>
      <c r="M2247" s="691"/>
      <c r="N2247" s="691"/>
      <c r="O2247" s="691"/>
      <c r="P2247" s="691"/>
      <c r="Q2247" s="691"/>
      <c r="R2247" s="691"/>
      <c r="S2247" s="691"/>
      <c r="T2247" s="691"/>
      <c r="U2247" s="691"/>
    </row>
    <row r="2248" s="917" customFormat="true" ht="15" hidden="false" customHeight="true" outlineLevel="0" collapsed="false">
      <c r="A2248" s="752"/>
      <c r="C2248" s="925"/>
      <c r="D2248" s="914"/>
      <c r="E2248" s="914"/>
      <c r="F2248" s="915"/>
      <c r="G2248" s="915"/>
      <c r="H2248" s="691"/>
      <c r="I2248" s="691"/>
      <c r="J2248" s="691"/>
      <c r="K2248" s="691"/>
      <c r="L2248" s="691"/>
      <c r="M2248" s="691"/>
      <c r="N2248" s="691"/>
      <c r="O2248" s="691"/>
      <c r="P2248" s="691"/>
      <c r="Q2248" s="691"/>
      <c r="R2248" s="691"/>
      <c r="S2248" s="691"/>
      <c r="T2248" s="691"/>
      <c r="U2248" s="691"/>
    </row>
    <row r="2249" s="917" customFormat="true" ht="15" hidden="false" customHeight="true" outlineLevel="0" collapsed="false">
      <c r="A2249" s="752"/>
      <c r="C2249" s="925"/>
      <c r="D2249" s="914"/>
      <c r="E2249" s="914"/>
      <c r="F2249" s="915"/>
      <c r="G2249" s="915"/>
      <c r="H2249" s="691"/>
      <c r="I2249" s="691"/>
      <c r="J2249" s="691"/>
      <c r="K2249" s="691"/>
      <c r="L2249" s="691"/>
      <c r="M2249" s="691"/>
      <c r="N2249" s="691"/>
      <c r="O2249" s="691"/>
      <c r="P2249" s="691"/>
      <c r="Q2249" s="691"/>
      <c r="R2249" s="691"/>
      <c r="S2249" s="691"/>
      <c r="T2249" s="691"/>
      <c r="U2249" s="691"/>
    </row>
    <row r="2250" s="917" customFormat="true" ht="15" hidden="false" customHeight="true" outlineLevel="0" collapsed="false">
      <c r="A2250" s="752"/>
      <c r="C2250" s="925"/>
      <c r="D2250" s="914"/>
      <c r="E2250" s="914"/>
      <c r="F2250" s="915"/>
      <c r="G2250" s="915"/>
      <c r="H2250" s="691"/>
      <c r="I2250" s="691"/>
      <c r="J2250" s="691"/>
      <c r="K2250" s="691"/>
      <c r="L2250" s="691"/>
      <c r="M2250" s="691"/>
      <c r="N2250" s="691"/>
      <c r="O2250" s="691"/>
      <c r="P2250" s="691"/>
      <c r="Q2250" s="691"/>
      <c r="R2250" s="691"/>
      <c r="S2250" s="691"/>
      <c r="T2250" s="691"/>
      <c r="U2250" s="691"/>
    </row>
    <row r="2251" s="917" customFormat="true" ht="15" hidden="false" customHeight="true" outlineLevel="0" collapsed="false">
      <c r="A2251" s="752"/>
      <c r="C2251" s="925"/>
      <c r="D2251" s="914"/>
      <c r="E2251" s="914"/>
      <c r="F2251" s="915"/>
      <c r="G2251" s="915"/>
      <c r="H2251" s="691"/>
      <c r="I2251" s="691"/>
      <c r="J2251" s="691"/>
      <c r="K2251" s="691"/>
      <c r="L2251" s="691"/>
      <c r="M2251" s="691"/>
      <c r="N2251" s="691"/>
      <c r="O2251" s="691"/>
      <c r="P2251" s="691"/>
      <c r="Q2251" s="691"/>
      <c r="R2251" s="691"/>
      <c r="S2251" s="691"/>
      <c r="T2251" s="691"/>
      <c r="U2251" s="691"/>
    </row>
    <row r="2252" s="917" customFormat="true" ht="15" hidden="false" customHeight="true" outlineLevel="0" collapsed="false">
      <c r="A2252" s="752"/>
      <c r="C2252" s="925"/>
      <c r="D2252" s="914"/>
      <c r="E2252" s="914"/>
      <c r="F2252" s="915"/>
      <c r="G2252" s="915"/>
      <c r="H2252" s="691"/>
      <c r="I2252" s="691"/>
      <c r="J2252" s="691"/>
      <c r="K2252" s="691"/>
      <c r="L2252" s="691"/>
      <c r="M2252" s="691"/>
      <c r="N2252" s="691"/>
      <c r="O2252" s="691"/>
      <c r="P2252" s="691"/>
      <c r="Q2252" s="691"/>
      <c r="R2252" s="691"/>
      <c r="S2252" s="691"/>
      <c r="T2252" s="691"/>
      <c r="U2252" s="691"/>
    </row>
    <row r="2253" s="917" customFormat="true" ht="15" hidden="false" customHeight="true" outlineLevel="0" collapsed="false">
      <c r="A2253" s="752"/>
      <c r="C2253" s="925"/>
      <c r="D2253" s="914"/>
      <c r="E2253" s="914"/>
      <c r="F2253" s="915"/>
      <c r="G2253" s="915"/>
      <c r="H2253" s="691"/>
      <c r="I2253" s="691"/>
      <c r="J2253" s="691"/>
      <c r="K2253" s="691"/>
      <c r="L2253" s="691"/>
      <c r="M2253" s="691"/>
      <c r="N2253" s="691"/>
      <c r="O2253" s="691"/>
      <c r="P2253" s="691"/>
      <c r="Q2253" s="691"/>
      <c r="R2253" s="691"/>
      <c r="S2253" s="691"/>
      <c r="T2253" s="691"/>
      <c r="U2253" s="691"/>
    </row>
    <row r="2254" s="917" customFormat="true" ht="15" hidden="false" customHeight="true" outlineLevel="0" collapsed="false">
      <c r="A2254" s="752"/>
      <c r="C2254" s="925"/>
      <c r="D2254" s="914"/>
      <c r="E2254" s="914"/>
      <c r="F2254" s="915"/>
      <c r="G2254" s="915"/>
      <c r="H2254" s="691"/>
      <c r="I2254" s="691"/>
      <c r="J2254" s="691"/>
      <c r="K2254" s="691"/>
      <c r="L2254" s="691"/>
      <c r="M2254" s="691"/>
      <c r="N2254" s="691"/>
      <c r="O2254" s="691"/>
      <c r="P2254" s="691"/>
      <c r="Q2254" s="691"/>
      <c r="R2254" s="691"/>
      <c r="S2254" s="691"/>
      <c r="T2254" s="691"/>
      <c r="U2254" s="691"/>
    </row>
    <row r="2255" s="917" customFormat="true" ht="15" hidden="false" customHeight="true" outlineLevel="0" collapsed="false">
      <c r="A2255" s="752"/>
      <c r="C2255" s="925"/>
      <c r="D2255" s="914"/>
      <c r="E2255" s="914"/>
      <c r="F2255" s="915"/>
      <c r="G2255" s="915"/>
      <c r="H2255" s="691"/>
      <c r="I2255" s="691"/>
      <c r="J2255" s="691"/>
      <c r="K2255" s="691"/>
      <c r="L2255" s="691"/>
      <c r="M2255" s="691"/>
      <c r="N2255" s="691"/>
      <c r="O2255" s="691"/>
      <c r="P2255" s="691"/>
      <c r="Q2255" s="691"/>
      <c r="R2255" s="691"/>
      <c r="S2255" s="691"/>
      <c r="T2255" s="691"/>
      <c r="U2255" s="691"/>
    </row>
    <row r="2256" s="917" customFormat="true" ht="15" hidden="false" customHeight="true" outlineLevel="0" collapsed="false">
      <c r="A2256" s="752"/>
      <c r="C2256" s="925"/>
      <c r="D2256" s="914"/>
      <c r="E2256" s="914"/>
      <c r="F2256" s="915"/>
      <c r="G2256" s="915"/>
      <c r="H2256" s="691"/>
      <c r="I2256" s="691"/>
      <c r="J2256" s="691"/>
      <c r="K2256" s="691"/>
      <c r="L2256" s="691"/>
      <c r="M2256" s="691"/>
      <c r="N2256" s="691"/>
      <c r="O2256" s="691"/>
      <c r="P2256" s="691"/>
      <c r="Q2256" s="691"/>
      <c r="R2256" s="691"/>
      <c r="S2256" s="691"/>
      <c r="T2256" s="691"/>
      <c r="U2256" s="691"/>
    </row>
    <row r="2257" s="917" customFormat="true" ht="15" hidden="false" customHeight="true" outlineLevel="0" collapsed="false">
      <c r="A2257" s="752"/>
      <c r="C2257" s="925"/>
      <c r="D2257" s="914"/>
      <c r="E2257" s="914"/>
      <c r="F2257" s="915"/>
      <c r="G2257" s="915"/>
      <c r="H2257" s="691"/>
      <c r="I2257" s="691"/>
      <c r="J2257" s="691"/>
      <c r="K2257" s="691"/>
      <c r="L2257" s="691"/>
      <c r="M2257" s="691"/>
      <c r="N2257" s="691"/>
      <c r="O2257" s="691"/>
      <c r="P2257" s="691"/>
      <c r="Q2257" s="691"/>
      <c r="R2257" s="691"/>
      <c r="S2257" s="691"/>
      <c r="T2257" s="691"/>
      <c r="U2257" s="691"/>
    </row>
    <row r="2258" s="917" customFormat="true" ht="15" hidden="false" customHeight="true" outlineLevel="0" collapsed="false">
      <c r="A2258" s="752"/>
      <c r="C2258" s="925"/>
      <c r="D2258" s="914"/>
      <c r="E2258" s="914"/>
      <c r="F2258" s="915"/>
      <c r="G2258" s="915"/>
      <c r="H2258" s="691"/>
      <c r="I2258" s="691"/>
      <c r="J2258" s="691"/>
      <c r="K2258" s="691"/>
      <c r="L2258" s="691"/>
      <c r="M2258" s="691"/>
      <c r="N2258" s="691"/>
      <c r="O2258" s="691"/>
      <c r="P2258" s="691"/>
      <c r="Q2258" s="691"/>
      <c r="R2258" s="691"/>
      <c r="S2258" s="691"/>
      <c r="T2258" s="691"/>
      <c r="U2258" s="691"/>
    </row>
    <row r="2259" s="917" customFormat="true" ht="15" hidden="false" customHeight="true" outlineLevel="0" collapsed="false">
      <c r="A2259" s="752"/>
      <c r="C2259" s="925"/>
      <c r="D2259" s="914"/>
      <c r="E2259" s="914"/>
      <c r="F2259" s="915"/>
      <c r="G2259" s="915"/>
      <c r="H2259" s="691"/>
      <c r="I2259" s="691"/>
      <c r="J2259" s="691"/>
      <c r="K2259" s="691"/>
      <c r="L2259" s="691"/>
      <c r="M2259" s="691"/>
      <c r="N2259" s="691"/>
      <c r="O2259" s="691"/>
      <c r="P2259" s="691"/>
      <c r="Q2259" s="691"/>
      <c r="R2259" s="691"/>
      <c r="S2259" s="691"/>
      <c r="T2259" s="691"/>
      <c r="U2259" s="691"/>
    </row>
    <row r="2260" s="917" customFormat="true" ht="15" hidden="false" customHeight="true" outlineLevel="0" collapsed="false">
      <c r="A2260" s="752"/>
      <c r="C2260" s="925"/>
      <c r="D2260" s="914"/>
      <c r="E2260" s="914"/>
      <c r="F2260" s="915"/>
      <c r="G2260" s="915"/>
      <c r="H2260" s="691"/>
      <c r="I2260" s="691"/>
      <c r="J2260" s="691"/>
      <c r="K2260" s="691"/>
      <c r="L2260" s="691"/>
      <c r="M2260" s="691"/>
      <c r="N2260" s="691"/>
      <c r="O2260" s="691"/>
      <c r="P2260" s="691"/>
      <c r="Q2260" s="691"/>
      <c r="R2260" s="691"/>
      <c r="S2260" s="691"/>
      <c r="T2260" s="691"/>
      <c r="U2260" s="691"/>
    </row>
    <row r="2261" s="917" customFormat="true" ht="15" hidden="false" customHeight="true" outlineLevel="0" collapsed="false">
      <c r="A2261" s="752"/>
      <c r="C2261" s="925"/>
      <c r="D2261" s="914"/>
      <c r="E2261" s="914"/>
      <c r="F2261" s="915"/>
      <c r="G2261" s="915"/>
      <c r="H2261" s="691"/>
      <c r="I2261" s="691"/>
      <c r="J2261" s="691"/>
      <c r="K2261" s="691"/>
      <c r="L2261" s="691"/>
      <c r="M2261" s="691"/>
      <c r="N2261" s="691"/>
      <c r="O2261" s="691"/>
      <c r="P2261" s="691"/>
      <c r="Q2261" s="691"/>
      <c r="R2261" s="691"/>
      <c r="S2261" s="691"/>
      <c r="T2261" s="691"/>
      <c r="U2261" s="691"/>
    </row>
    <row r="2262" s="917" customFormat="true" ht="15" hidden="false" customHeight="true" outlineLevel="0" collapsed="false">
      <c r="A2262" s="752"/>
      <c r="C2262" s="925"/>
      <c r="D2262" s="914"/>
      <c r="E2262" s="914"/>
      <c r="F2262" s="915"/>
      <c r="G2262" s="915"/>
      <c r="H2262" s="691"/>
      <c r="I2262" s="691"/>
      <c r="J2262" s="691"/>
      <c r="K2262" s="691"/>
      <c r="L2262" s="691"/>
      <c r="M2262" s="691"/>
      <c r="N2262" s="691"/>
      <c r="O2262" s="691"/>
      <c r="P2262" s="691"/>
      <c r="Q2262" s="691"/>
      <c r="R2262" s="691"/>
      <c r="S2262" s="691"/>
      <c r="T2262" s="691"/>
      <c r="U2262" s="691"/>
    </row>
    <row r="2263" s="917" customFormat="true" ht="15" hidden="false" customHeight="true" outlineLevel="0" collapsed="false">
      <c r="A2263" s="752"/>
      <c r="C2263" s="925"/>
      <c r="D2263" s="914"/>
      <c r="E2263" s="914"/>
      <c r="F2263" s="915"/>
      <c r="G2263" s="915"/>
      <c r="H2263" s="691"/>
      <c r="I2263" s="691"/>
      <c r="J2263" s="691"/>
      <c r="K2263" s="691"/>
      <c r="L2263" s="691"/>
      <c r="M2263" s="691"/>
      <c r="N2263" s="691"/>
      <c r="O2263" s="691"/>
      <c r="P2263" s="691"/>
      <c r="Q2263" s="691"/>
      <c r="R2263" s="691"/>
      <c r="S2263" s="691"/>
      <c r="T2263" s="691"/>
      <c r="U2263" s="691"/>
    </row>
    <row r="2264" s="917" customFormat="true" ht="15" hidden="false" customHeight="true" outlineLevel="0" collapsed="false">
      <c r="A2264" s="752"/>
      <c r="C2264" s="925"/>
      <c r="D2264" s="914"/>
      <c r="E2264" s="914"/>
      <c r="F2264" s="915"/>
      <c r="G2264" s="915"/>
      <c r="H2264" s="691"/>
      <c r="I2264" s="691"/>
      <c r="J2264" s="691"/>
      <c r="K2264" s="691"/>
      <c r="L2264" s="691"/>
      <c r="M2264" s="691"/>
      <c r="N2264" s="691"/>
      <c r="O2264" s="691"/>
      <c r="P2264" s="691"/>
      <c r="Q2264" s="691"/>
      <c r="R2264" s="691"/>
      <c r="S2264" s="691"/>
      <c r="T2264" s="691"/>
      <c r="U2264" s="691"/>
    </row>
    <row r="2265" s="917" customFormat="true" ht="15" hidden="false" customHeight="true" outlineLevel="0" collapsed="false">
      <c r="A2265" s="752"/>
      <c r="C2265" s="925"/>
      <c r="D2265" s="914"/>
      <c r="E2265" s="914"/>
      <c r="F2265" s="915"/>
      <c r="G2265" s="915"/>
      <c r="H2265" s="691"/>
      <c r="I2265" s="691"/>
      <c r="J2265" s="691"/>
      <c r="K2265" s="691"/>
      <c r="L2265" s="691"/>
      <c r="M2265" s="691"/>
      <c r="N2265" s="691"/>
      <c r="O2265" s="691"/>
      <c r="P2265" s="691"/>
      <c r="Q2265" s="691"/>
      <c r="R2265" s="691"/>
      <c r="S2265" s="691"/>
      <c r="T2265" s="691"/>
      <c r="U2265" s="691"/>
    </row>
    <row r="2266" s="917" customFormat="true" ht="15" hidden="false" customHeight="true" outlineLevel="0" collapsed="false">
      <c r="A2266" s="752"/>
      <c r="C2266" s="925"/>
      <c r="D2266" s="914"/>
      <c r="E2266" s="914"/>
      <c r="F2266" s="915"/>
      <c r="G2266" s="915"/>
      <c r="H2266" s="691"/>
      <c r="I2266" s="691"/>
      <c r="J2266" s="691"/>
      <c r="K2266" s="691"/>
      <c r="L2266" s="691"/>
      <c r="M2266" s="691"/>
      <c r="N2266" s="691"/>
      <c r="O2266" s="691"/>
      <c r="P2266" s="691"/>
      <c r="Q2266" s="691"/>
      <c r="R2266" s="691"/>
      <c r="S2266" s="691"/>
      <c r="T2266" s="691"/>
      <c r="U2266" s="691"/>
    </row>
    <row r="2267" s="917" customFormat="true" ht="15" hidden="false" customHeight="true" outlineLevel="0" collapsed="false">
      <c r="A2267" s="752"/>
      <c r="C2267" s="925"/>
      <c r="D2267" s="914"/>
      <c r="E2267" s="914"/>
      <c r="F2267" s="915"/>
      <c r="G2267" s="915"/>
      <c r="H2267" s="691"/>
      <c r="I2267" s="691"/>
      <c r="J2267" s="691"/>
      <c r="K2267" s="691"/>
      <c r="L2267" s="691"/>
      <c r="M2267" s="691"/>
      <c r="N2267" s="691"/>
      <c r="O2267" s="691"/>
      <c r="P2267" s="691"/>
      <c r="Q2267" s="691"/>
      <c r="R2267" s="691"/>
      <c r="S2267" s="691"/>
      <c r="T2267" s="691"/>
      <c r="U2267" s="691"/>
    </row>
    <row r="2268" s="917" customFormat="true" ht="15" hidden="false" customHeight="true" outlineLevel="0" collapsed="false">
      <c r="A2268" s="752"/>
      <c r="C2268" s="925"/>
      <c r="D2268" s="914"/>
      <c r="E2268" s="914"/>
      <c r="F2268" s="915"/>
      <c r="G2268" s="915"/>
      <c r="H2268" s="691"/>
      <c r="I2268" s="691"/>
      <c r="J2268" s="691"/>
      <c r="K2268" s="691"/>
      <c r="L2268" s="691"/>
      <c r="M2268" s="691"/>
      <c r="N2268" s="691"/>
      <c r="O2268" s="691"/>
      <c r="P2268" s="691"/>
      <c r="Q2268" s="691"/>
      <c r="R2268" s="691"/>
      <c r="S2268" s="691"/>
      <c r="T2268" s="691"/>
      <c r="U2268" s="691"/>
    </row>
    <row r="2269" s="917" customFormat="true" ht="15" hidden="false" customHeight="true" outlineLevel="0" collapsed="false">
      <c r="A2269" s="752"/>
      <c r="C2269" s="925"/>
      <c r="D2269" s="914"/>
      <c r="E2269" s="914"/>
      <c r="F2269" s="915"/>
      <c r="G2269" s="915"/>
      <c r="H2269" s="691"/>
      <c r="I2269" s="691"/>
      <c r="J2269" s="691"/>
      <c r="K2269" s="691"/>
      <c r="L2269" s="691"/>
      <c r="M2269" s="691"/>
      <c r="N2269" s="691"/>
      <c r="O2269" s="691"/>
      <c r="P2269" s="691"/>
      <c r="Q2269" s="691"/>
      <c r="R2269" s="691"/>
      <c r="S2269" s="691"/>
      <c r="T2269" s="691"/>
      <c r="U2269" s="691"/>
    </row>
    <row r="2270" s="917" customFormat="true" ht="15" hidden="false" customHeight="true" outlineLevel="0" collapsed="false">
      <c r="A2270" s="752"/>
      <c r="C2270" s="925"/>
      <c r="D2270" s="914"/>
      <c r="E2270" s="914"/>
      <c r="F2270" s="915"/>
      <c r="G2270" s="915"/>
      <c r="H2270" s="691"/>
      <c r="I2270" s="691"/>
      <c r="J2270" s="691"/>
      <c r="K2270" s="691"/>
      <c r="L2270" s="691"/>
      <c r="M2270" s="691"/>
      <c r="N2270" s="691"/>
      <c r="O2270" s="691"/>
      <c r="P2270" s="691"/>
      <c r="Q2270" s="691"/>
      <c r="R2270" s="691"/>
      <c r="S2270" s="691"/>
      <c r="T2270" s="691"/>
      <c r="U2270" s="691"/>
    </row>
    <row r="2271" s="917" customFormat="true" ht="15" hidden="false" customHeight="true" outlineLevel="0" collapsed="false">
      <c r="A2271" s="752"/>
      <c r="C2271" s="925"/>
      <c r="D2271" s="914"/>
      <c r="E2271" s="914"/>
      <c r="F2271" s="915"/>
      <c r="G2271" s="915"/>
      <c r="H2271" s="691"/>
      <c r="I2271" s="691"/>
      <c r="J2271" s="691"/>
      <c r="K2271" s="691"/>
      <c r="L2271" s="691"/>
      <c r="M2271" s="691"/>
      <c r="N2271" s="691"/>
      <c r="O2271" s="691"/>
      <c r="P2271" s="691"/>
      <c r="Q2271" s="691"/>
      <c r="R2271" s="691"/>
      <c r="S2271" s="691"/>
      <c r="T2271" s="691"/>
      <c r="U2271" s="691"/>
    </row>
    <row r="2272" s="917" customFormat="true" ht="15" hidden="false" customHeight="true" outlineLevel="0" collapsed="false">
      <c r="A2272" s="752"/>
      <c r="C2272" s="925"/>
      <c r="D2272" s="914"/>
      <c r="E2272" s="914"/>
      <c r="F2272" s="915"/>
      <c r="G2272" s="915"/>
      <c r="H2272" s="691"/>
      <c r="I2272" s="691"/>
      <c r="J2272" s="691"/>
      <c r="K2272" s="691"/>
      <c r="L2272" s="691"/>
      <c r="M2272" s="691"/>
      <c r="N2272" s="691"/>
      <c r="O2272" s="691"/>
      <c r="P2272" s="691"/>
      <c r="Q2272" s="691"/>
      <c r="R2272" s="691"/>
      <c r="S2272" s="691"/>
      <c r="T2272" s="691"/>
      <c r="U2272" s="691"/>
    </row>
    <row r="2273" s="917" customFormat="true" ht="15" hidden="false" customHeight="true" outlineLevel="0" collapsed="false">
      <c r="A2273" s="752"/>
      <c r="C2273" s="925"/>
      <c r="D2273" s="914"/>
      <c r="E2273" s="914"/>
      <c r="F2273" s="915"/>
      <c r="G2273" s="915"/>
      <c r="H2273" s="691"/>
      <c r="I2273" s="691"/>
      <c r="J2273" s="691"/>
      <c r="K2273" s="691"/>
      <c r="L2273" s="691"/>
      <c r="M2273" s="691"/>
      <c r="N2273" s="691"/>
      <c r="O2273" s="691"/>
      <c r="P2273" s="691"/>
      <c r="Q2273" s="691"/>
      <c r="R2273" s="691"/>
      <c r="S2273" s="691"/>
      <c r="T2273" s="691"/>
      <c r="U2273" s="691"/>
    </row>
    <row r="2274" s="917" customFormat="true" ht="15" hidden="false" customHeight="true" outlineLevel="0" collapsed="false">
      <c r="A2274" s="752"/>
      <c r="C2274" s="925"/>
      <c r="D2274" s="914"/>
      <c r="E2274" s="914"/>
      <c r="F2274" s="915"/>
      <c r="G2274" s="915"/>
      <c r="H2274" s="691"/>
      <c r="I2274" s="691"/>
      <c r="J2274" s="691"/>
      <c r="K2274" s="691"/>
      <c r="L2274" s="691"/>
      <c r="M2274" s="691"/>
      <c r="N2274" s="691"/>
      <c r="O2274" s="691"/>
      <c r="P2274" s="691"/>
      <c r="Q2274" s="691"/>
      <c r="R2274" s="691"/>
      <c r="S2274" s="691"/>
      <c r="T2274" s="691"/>
      <c r="U2274" s="691"/>
    </row>
    <row r="2275" s="917" customFormat="true" ht="15" hidden="false" customHeight="true" outlineLevel="0" collapsed="false">
      <c r="A2275" s="752"/>
      <c r="C2275" s="925"/>
      <c r="D2275" s="914"/>
      <c r="E2275" s="914"/>
      <c r="F2275" s="915"/>
      <c r="G2275" s="915"/>
      <c r="H2275" s="691"/>
      <c r="I2275" s="691"/>
      <c r="J2275" s="691"/>
      <c r="K2275" s="691"/>
      <c r="L2275" s="691"/>
      <c r="M2275" s="691"/>
      <c r="N2275" s="691"/>
      <c r="O2275" s="691"/>
      <c r="P2275" s="691"/>
      <c r="Q2275" s="691"/>
      <c r="R2275" s="691"/>
      <c r="S2275" s="691"/>
      <c r="T2275" s="691"/>
      <c r="U2275" s="691"/>
    </row>
    <row r="2276" s="917" customFormat="true" ht="15" hidden="false" customHeight="true" outlineLevel="0" collapsed="false">
      <c r="A2276" s="752"/>
      <c r="C2276" s="925"/>
      <c r="D2276" s="914"/>
      <c r="E2276" s="914"/>
      <c r="F2276" s="915"/>
      <c r="G2276" s="915"/>
      <c r="H2276" s="691"/>
      <c r="I2276" s="691"/>
      <c r="J2276" s="691"/>
      <c r="K2276" s="691"/>
      <c r="L2276" s="691"/>
      <c r="M2276" s="691"/>
      <c r="N2276" s="691"/>
      <c r="O2276" s="691"/>
      <c r="P2276" s="691"/>
      <c r="Q2276" s="691"/>
      <c r="R2276" s="691"/>
      <c r="S2276" s="691"/>
      <c r="T2276" s="691"/>
      <c r="U2276" s="691"/>
    </row>
    <row r="2277" s="917" customFormat="true" ht="15" hidden="false" customHeight="true" outlineLevel="0" collapsed="false">
      <c r="A2277" s="752"/>
      <c r="C2277" s="925"/>
      <c r="D2277" s="914"/>
      <c r="E2277" s="914"/>
      <c r="F2277" s="915"/>
      <c r="G2277" s="915"/>
      <c r="H2277" s="691"/>
      <c r="I2277" s="691"/>
      <c r="J2277" s="691"/>
      <c r="K2277" s="691"/>
      <c r="L2277" s="691"/>
      <c r="M2277" s="691"/>
      <c r="N2277" s="691"/>
      <c r="O2277" s="691"/>
      <c r="P2277" s="691"/>
      <c r="Q2277" s="691"/>
      <c r="R2277" s="691"/>
      <c r="S2277" s="691"/>
      <c r="T2277" s="691"/>
      <c r="U2277" s="691"/>
    </row>
    <row r="2278" s="917" customFormat="true" ht="15" hidden="false" customHeight="true" outlineLevel="0" collapsed="false">
      <c r="A2278" s="752"/>
      <c r="C2278" s="925"/>
      <c r="D2278" s="914"/>
      <c r="E2278" s="914"/>
      <c r="F2278" s="915"/>
      <c r="G2278" s="915"/>
      <c r="H2278" s="691"/>
      <c r="I2278" s="691"/>
      <c r="J2278" s="691"/>
      <c r="K2278" s="691"/>
      <c r="L2278" s="691"/>
      <c r="M2278" s="691"/>
      <c r="N2278" s="691"/>
      <c r="O2278" s="691"/>
      <c r="P2278" s="691"/>
      <c r="Q2278" s="691"/>
      <c r="R2278" s="691"/>
      <c r="S2278" s="691"/>
      <c r="T2278" s="691"/>
      <c r="U2278" s="691"/>
    </row>
    <row r="2279" s="917" customFormat="true" ht="15" hidden="false" customHeight="true" outlineLevel="0" collapsed="false">
      <c r="A2279" s="752"/>
      <c r="C2279" s="925"/>
      <c r="D2279" s="914"/>
      <c r="E2279" s="914"/>
      <c r="F2279" s="915"/>
      <c r="G2279" s="915"/>
      <c r="H2279" s="691"/>
      <c r="I2279" s="691"/>
      <c r="J2279" s="691"/>
      <c r="K2279" s="691"/>
      <c r="L2279" s="691"/>
      <c r="M2279" s="691"/>
      <c r="N2279" s="691"/>
      <c r="O2279" s="691"/>
      <c r="P2279" s="691"/>
      <c r="Q2279" s="691"/>
      <c r="R2279" s="691"/>
      <c r="S2279" s="691"/>
      <c r="T2279" s="691"/>
      <c r="U2279" s="691"/>
    </row>
    <row r="2280" s="917" customFormat="true" ht="15" hidden="false" customHeight="true" outlineLevel="0" collapsed="false">
      <c r="A2280" s="752"/>
      <c r="C2280" s="925"/>
      <c r="D2280" s="914"/>
      <c r="E2280" s="914"/>
      <c r="F2280" s="915"/>
      <c r="G2280" s="915"/>
      <c r="H2280" s="691"/>
      <c r="I2280" s="691"/>
      <c r="J2280" s="691"/>
      <c r="K2280" s="691"/>
      <c r="L2280" s="691"/>
      <c r="M2280" s="691"/>
      <c r="N2280" s="691"/>
      <c r="O2280" s="691"/>
      <c r="P2280" s="691"/>
      <c r="Q2280" s="691"/>
      <c r="R2280" s="691"/>
      <c r="S2280" s="691"/>
      <c r="T2280" s="691"/>
      <c r="U2280" s="691"/>
    </row>
    <row r="2281" s="917" customFormat="true" ht="15" hidden="false" customHeight="true" outlineLevel="0" collapsed="false">
      <c r="A2281" s="752"/>
      <c r="C2281" s="925"/>
      <c r="D2281" s="914"/>
      <c r="E2281" s="914"/>
      <c r="F2281" s="915"/>
      <c r="G2281" s="915"/>
      <c r="H2281" s="691"/>
      <c r="I2281" s="691"/>
      <c r="J2281" s="691"/>
      <c r="K2281" s="691"/>
      <c r="L2281" s="691"/>
      <c r="M2281" s="691"/>
      <c r="N2281" s="691"/>
      <c r="O2281" s="691"/>
      <c r="P2281" s="691"/>
      <c r="Q2281" s="691"/>
      <c r="R2281" s="691"/>
      <c r="S2281" s="691"/>
      <c r="T2281" s="691"/>
      <c r="U2281" s="691"/>
    </row>
    <row r="2282" s="917" customFormat="true" ht="15" hidden="false" customHeight="true" outlineLevel="0" collapsed="false">
      <c r="A2282" s="752"/>
      <c r="C2282" s="925"/>
      <c r="D2282" s="914"/>
      <c r="E2282" s="914"/>
      <c r="F2282" s="915"/>
      <c r="G2282" s="915"/>
      <c r="H2282" s="691"/>
      <c r="I2282" s="691"/>
      <c r="J2282" s="691"/>
      <c r="K2282" s="691"/>
      <c r="L2282" s="691"/>
      <c r="M2282" s="691"/>
      <c r="N2282" s="691"/>
      <c r="O2282" s="691"/>
      <c r="P2282" s="691"/>
      <c r="Q2282" s="691"/>
      <c r="R2282" s="691"/>
      <c r="S2282" s="691"/>
      <c r="T2282" s="691"/>
      <c r="U2282" s="691"/>
    </row>
    <row r="2283" s="917" customFormat="true" ht="15" hidden="false" customHeight="true" outlineLevel="0" collapsed="false">
      <c r="A2283" s="752"/>
      <c r="C2283" s="925"/>
      <c r="D2283" s="914"/>
      <c r="E2283" s="914"/>
      <c r="F2283" s="915"/>
      <c r="G2283" s="915"/>
      <c r="H2283" s="691"/>
      <c r="I2283" s="691"/>
      <c r="J2283" s="691"/>
      <c r="K2283" s="691"/>
      <c r="L2283" s="691"/>
      <c r="M2283" s="691"/>
      <c r="N2283" s="691"/>
      <c r="O2283" s="691"/>
      <c r="P2283" s="691"/>
      <c r="Q2283" s="691"/>
      <c r="R2283" s="691"/>
      <c r="S2283" s="691"/>
      <c r="T2283" s="691"/>
      <c r="U2283" s="691"/>
    </row>
    <row r="2284" s="917" customFormat="true" ht="15" hidden="false" customHeight="true" outlineLevel="0" collapsed="false">
      <c r="A2284" s="752"/>
      <c r="C2284" s="925"/>
      <c r="D2284" s="914"/>
      <c r="E2284" s="914"/>
      <c r="F2284" s="915"/>
      <c r="G2284" s="915"/>
      <c r="H2284" s="691"/>
      <c r="I2284" s="691"/>
      <c r="J2284" s="691"/>
      <c r="K2284" s="691"/>
      <c r="L2284" s="691"/>
      <c r="M2284" s="691"/>
      <c r="N2284" s="691"/>
      <c r="O2284" s="691"/>
      <c r="P2284" s="691"/>
      <c r="Q2284" s="691"/>
      <c r="R2284" s="691"/>
      <c r="S2284" s="691"/>
      <c r="T2284" s="691"/>
      <c r="U2284" s="691"/>
    </row>
    <row r="2285" s="917" customFormat="true" ht="15" hidden="false" customHeight="true" outlineLevel="0" collapsed="false">
      <c r="A2285" s="752"/>
      <c r="C2285" s="925"/>
      <c r="D2285" s="914"/>
      <c r="E2285" s="914"/>
      <c r="F2285" s="915"/>
      <c r="G2285" s="915"/>
      <c r="H2285" s="691"/>
      <c r="I2285" s="691"/>
      <c r="J2285" s="691"/>
      <c r="K2285" s="691"/>
      <c r="L2285" s="691"/>
      <c r="M2285" s="691"/>
      <c r="N2285" s="691"/>
      <c r="O2285" s="691"/>
      <c r="P2285" s="691"/>
      <c r="Q2285" s="691"/>
      <c r="R2285" s="691"/>
      <c r="S2285" s="691"/>
      <c r="T2285" s="691"/>
      <c r="U2285" s="691"/>
    </row>
    <row r="2286" s="917" customFormat="true" ht="15" hidden="false" customHeight="true" outlineLevel="0" collapsed="false">
      <c r="A2286" s="752"/>
      <c r="C2286" s="925"/>
      <c r="D2286" s="914"/>
      <c r="E2286" s="914"/>
      <c r="F2286" s="915"/>
      <c r="G2286" s="915"/>
      <c r="H2286" s="691"/>
      <c r="I2286" s="691"/>
      <c r="J2286" s="691"/>
      <c r="K2286" s="691"/>
      <c r="L2286" s="691"/>
      <c r="M2286" s="691"/>
      <c r="N2286" s="691"/>
      <c r="O2286" s="691"/>
      <c r="P2286" s="691"/>
      <c r="Q2286" s="691"/>
      <c r="R2286" s="691"/>
      <c r="S2286" s="691"/>
      <c r="T2286" s="691"/>
      <c r="U2286" s="691"/>
    </row>
    <row r="2287" s="917" customFormat="true" ht="15" hidden="false" customHeight="true" outlineLevel="0" collapsed="false">
      <c r="A2287" s="752"/>
      <c r="C2287" s="925"/>
      <c r="D2287" s="914"/>
      <c r="E2287" s="914"/>
      <c r="F2287" s="915"/>
      <c r="G2287" s="915"/>
      <c r="H2287" s="691"/>
      <c r="I2287" s="691"/>
      <c r="J2287" s="691"/>
      <c r="K2287" s="691"/>
      <c r="L2287" s="691"/>
      <c r="M2287" s="691"/>
      <c r="N2287" s="691"/>
      <c r="O2287" s="691"/>
      <c r="P2287" s="691"/>
      <c r="Q2287" s="691"/>
      <c r="R2287" s="691"/>
      <c r="S2287" s="691"/>
      <c r="T2287" s="691"/>
      <c r="U2287" s="691"/>
    </row>
    <row r="2288" s="917" customFormat="true" ht="15" hidden="false" customHeight="true" outlineLevel="0" collapsed="false">
      <c r="A2288" s="752"/>
      <c r="C2288" s="925"/>
      <c r="D2288" s="914"/>
      <c r="E2288" s="914"/>
      <c r="F2288" s="915"/>
      <c r="G2288" s="915"/>
      <c r="H2288" s="691"/>
      <c r="I2288" s="691"/>
      <c r="J2288" s="691"/>
      <c r="K2288" s="691"/>
      <c r="L2288" s="691"/>
      <c r="M2288" s="691"/>
      <c r="N2288" s="691"/>
      <c r="O2288" s="691"/>
      <c r="P2288" s="691"/>
      <c r="Q2288" s="691"/>
      <c r="R2288" s="691"/>
      <c r="S2288" s="691"/>
      <c r="T2288" s="691"/>
      <c r="U2288" s="691"/>
    </row>
    <row r="2289" s="917" customFormat="true" ht="15" hidden="false" customHeight="true" outlineLevel="0" collapsed="false">
      <c r="A2289" s="752"/>
      <c r="C2289" s="925"/>
      <c r="D2289" s="914"/>
      <c r="E2289" s="914"/>
      <c r="F2289" s="915"/>
      <c r="G2289" s="915"/>
      <c r="H2289" s="691"/>
      <c r="I2289" s="691"/>
      <c r="J2289" s="691"/>
      <c r="K2289" s="691"/>
      <c r="L2289" s="691"/>
      <c r="M2289" s="691"/>
      <c r="N2289" s="691"/>
      <c r="O2289" s="691"/>
      <c r="P2289" s="691"/>
      <c r="Q2289" s="691"/>
      <c r="R2289" s="691"/>
      <c r="S2289" s="691"/>
      <c r="T2289" s="691"/>
      <c r="U2289" s="691"/>
    </row>
    <row r="2290" s="917" customFormat="true" ht="15" hidden="false" customHeight="true" outlineLevel="0" collapsed="false">
      <c r="A2290" s="752"/>
      <c r="C2290" s="925"/>
      <c r="D2290" s="914"/>
      <c r="E2290" s="914"/>
      <c r="F2290" s="915"/>
      <c r="G2290" s="915"/>
      <c r="H2290" s="691"/>
      <c r="I2290" s="691"/>
      <c r="J2290" s="691"/>
      <c r="K2290" s="691"/>
      <c r="L2290" s="691"/>
      <c r="M2290" s="691"/>
      <c r="N2290" s="691"/>
      <c r="O2290" s="691"/>
      <c r="P2290" s="691"/>
      <c r="Q2290" s="691"/>
      <c r="R2290" s="691"/>
      <c r="S2290" s="691"/>
      <c r="T2290" s="691"/>
      <c r="U2290" s="691"/>
    </row>
    <row r="2291" s="917" customFormat="true" ht="15" hidden="false" customHeight="true" outlineLevel="0" collapsed="false">
      <c r="A2291" s="752"/>
      <c r="C2291" s="925"/>
      <c r="D2291" s="914"/>
      <c r="E2291" s="914"/>
      <c r="F2291" s="915"/>
      <c r="G2291" s="915"/>
      <c r="H2291" s="691"/>
      <c r="I2291" s="691"/>
      <c r="J2291" s="691"/>
      <c r="K2291" s="691"/>
      <c r="L2291" s="691"/>
      <c r="M2291" s="691"/>
      <c r="N2291" s="691"/>
      <c r="O2291" s="691"/>
      <c r="P2291" s="691"/>
      <c r="Q2291" s="691"/>
      <c r="R2291" s="691"/>
      <c r="S2291" s="691"/>
      <c r="T2291" s="691"/>
      <c r="U2291" s="691"/>
    </row>
    <row r="2292" s="917" customFormat="true" ht="15" hidden="false" customHeight="true" outlineLevel="0" collapsed="false">
      <c r="A2292" s="752"/>
      <c r="C2292" s="925"/>
      <c r="D2292" s="914"/>
      <c r="E2292" s="914"/>
      <c r="F2292" s="915"/>
      <c r="G2292" s="915"/>
      <c r="H2292" s="691"/>
      <c r="I2292" s="691"/>
      <c r="J2292" s="691"/>
      <c r="K2292" s="691"/>
      <c r="L2292" s="691"/>
      <c r="M2292" s="691"/>
      <c r="N2292" s="691"/>
      <c r="O2292" s="691"/>
      <c r="P2292" s="691"/>
      <c r="Q2292" s="691"/>
      <c r="R2292" s="691"/>
      <c r="S2292" s="691"/>
      <c r="T2292" s="691"/>
      <c r="U2292" s="691"/>
    </row>
    <row r="2293" s="917" customFormat="true" ht="15" hidden="false" customHeight="true" outlineLevel="0" collapsed="false">
      <c r="A2293" s="752"/>
      <c r="C2293" s="925"/>
      <c r="D2293" s="914"/>
      <c r="E2293" s="914"/>
      <c r="F2293" s="915"/>
      <c r="G2293" s="915"/>
      <c r="H2293" s="691"/>
      <c r="I2293" s="691"/>
      <c r="J2293" s="691"/>
      <c r="K2293" s="691"/>
      <c r="L2293" s="691"/>
      <c r="M2293" s="691"/>
      <c r="N2293" s="691"/>
      <c r="O2293" s="691"/>
      <c r="P2293" s="691"/>
      <c r="Q2293" s="691"/>
      <c r="R2293" s="691"/>
      <c r="S2293" s="691"/>
      <c r="T2293" s="691"/>
      <c r="U2293" s="691"/>
    </row>
    <row r="2294" s="917" customFormat="true" ht="15" hidden="false" customHeight="true" outlineLevel="0" collapsed="false">
      <c r="A2294" s="752"/>
      <c r="C2294" s="925"/>
      <c r="D2294" s="914"/>
      <c r="E2294" s="914"/>
      <c r="F2294" s="915"/>
      <c r="G2294" s="915"/>
      <c r="H2294" s="691"/>
      <c r="I2294" s="691"/>
      <c r="J2294" s="691"/>
      <c r="K2294" s="691"/>
      <c r="L2294" s="691"/>
      <c r="M2294" s="691"/>
      <c r="N2294" s="691"/>
      <c r="O2294" s="691"/>
      <c r="P2294" s="691"/>
      <c r="Q2294" s="691"/>
      <c r="R2294" s="691"/>
      <c r="S2294" s="691"/>
      <c r="T2294" s="691"/>
      <c r="U2294" s="691"/>
    </row>
    <row r="2295" s="917" customFormat="true" ht="15" hidden="false" customHeight="true" outlineLevel="0" collapsed="false">
      <c r="A2295" s="752"/>
      <c r="C2295" s="925"/>
      <c r="D2295" s="914"/>
      <c r="E2295" s="914"/>
      <c r="F2295" s="915"/>
      <c r="G2295" s="915"/>
      <c r="H2295" s="691"/>
      <c r="I2295" s="691"/>
      <c r="J2295" s="691"/>
      <c r="K2295" s="691"/>
      <c r="L2295" s="691"/>
      <c r="M2295" s="691"/>
      <c r="N2295" s="691"/>
      <c r="O2295" s="691"/>
      <c r="P2295" s="691"/>
      <c r="Q2295" s="691"/>
      <c r="R2295" s="691"/>
      <c r="S2295" s="691"/>
      <c r="T2295" s="691"/>
      <c r="U2295" s="691"/>
    </row>
    <row r="2296" s="917" customFormat="true" ht="15" hidden="false" customHeight="true" outlineLevel="0" collapsed="false">
      <c r="A2296" s="752"/>
      <c r="C2296" s="925"/>
      <c r="D2296" s="914"/>
      <c r="E2296" s="914"/>
      <c r="F2296" s="915"/>
      <c r="G2296" s="915"/>
      <c r="H2296" s="691"/>
      <c r="I2296" s="691"/>
      <c r="J2296" s="691"/>
      <c r="K2296" s="691"/>
      <c r="L2296" s="691"/>
      <c r="M2296" s="691"/>
      <c r="N2296" s="691"/>
      <c r="O2296" s="691"/>
      <c r="P2296" s="691"/>
      <c r="Q2296" s="691"/>
      <c r="R2296" s="691"/>
      <c r="S2296" s="691"/>
      <c r="T2296" s="691"/>
      <c r="U2296" s="691"/>
    </row>
    <row r="2297" s="917" customFormat="true" ht="15" hidden="false" customHeight="true" outlineLevel="0" collapsed="false">
      <c r="A2297" s="752"/>
      <c r="C2297" s="925"/>
      <c r="D2297" s="914"/>
      <c r="E2297" s="914"/>
      <c r="F2297" s="915"/>
      <c r="G2297" s="915"/>
      <c r="H2297" s="691"/>
      <c r="I2297" s="691"/>
      <c r="J2297" s="691"/>
      <c r="K2297" s="691"/>
      <c r="L2297" s="691"/>
      <c r="M2297" s="691"/>
      <c r="N2297" s="691"/>
      <c r="O2297" s="691"/>
      <c r="P2297" s="691"/>
      <c r="Q2297" s="691"/>
      <c r="R2297" s="691"/>
      <c r="S2297" s="691"/>
      <c r="T2297" s="691"/>
      <c r="U2297" s="691"/>
    </row>
    <row r="2298" s="917" customFormat="true" ht="15" hidden="false" customHeight="true" outlineLevel="0" collapsed="false">
      <c r="A2298" s="752"/>
      <c r="C2298" s="925"/>
      <c r="D2298" s="914"/>
      <c r="E2298" s="914"/>
      <c r="F2298" s="915"/>
      <c r="G2298" s="915"/>
      <c r="H2298" s="691"/>
      <c r="I2298" s="691"/>
      <c r="J2298" s="691"/>
      <c r="K2298" s="691"/>
      <c r="L2298" s="691"/>
      <c r="M2298" s="691"/>
      <c r="N2298" s="691"/>
      <c r="O2298" s="691"/>
      <c r="P2298" s="691"/>
      <c r="Q2298" s="691"/>
      <c r="R2298" s="691"/>
      <c r="S2298" s="691"/>
      <c r="T2298" s="691"/>
      <c r="U2298" s="691"/>
    </row>
    <row r="2299" s="917" customFormat="true" ht="15" hidden="false" customHeight="true" outlineLevel="0" collapsed="false">
      <c r="A2299" s="752"/>
      <c r="C2299" s="925"/>
      <c r="D2299" s="914"/>
      <c r="E2299" s="914"/>
      <c r="F2299" s="915"/>
      <c r="G2299" s="915"/>
      <c r="H2299" s="691"/>
      <c r="I2299" s="691"/>
      <c r="J2299" s="691"/>
      <c r="K2299" s="691"/>
      <c r="L2299" s="691"/>
      <c r="M2299" s="691"/>
      <c r="N2299" s="691"/>
      <c r="O2299" s="691"/>
      <c r="P2299" s="691"/>
      <c r="Q2299" s="691"/>
      <c r="R2299" s="691"/>
      <c r="S2299" s="691"/>
      <c r="T2299" s="691"/>
      <c r="U2299" s="691"/>
    </row>
    <row r="2300" s="917" customFormat="true" ht="15" hidden="false" customHeight="true" outlineLevel="0" collapsed="false">
      <c r="A2300" s="752"/>
      <c r="C2300" s="925"/>
      <c r="D2300" s="914"/>
      <c r="E2300" s="914"/>
      <c r="F2300" s="915"/>
      <c r="G2300" s="915"/>
      <c r="H2300" s="691"/>
      <c r="I2300" s="691"/>
      <c r="J2300" s="691"/>
      <c r="K2300" s="691"/>
      <c r="L2300" s="691"/>
      <c r="M2300" s="691"/>
      <c r="N2300" s="691"/>
      <c r="O2300" s="691"/>
      <c r="P2300" s="691"/>
      <c r="Q2300" s="691"/>
      <c r="R2300" s="691"/>
      <c r="S2300" s="691"/>
      <c r="T2300" s="691"/>
      <c r="U2300" s="691"/>
    </row>
    <row r="2301" s="917" customFormat="true" ht="15" hidden="false" customHeight="true" outlineLevel="0" collapsed="false">
      <c r="A2301" s="752"/>
      <c r="C2301" s="925"/>
      <c r="D2301" s="914"/>
      <c r="E2301" s="914"/>
      <c r="F2301" s="915"/>
      <c r="G2301" s="915"/>
      <c r="H2301" s="691"/>
      <c r="I2301" s="691"/>
      <c r="J2301" s="691"/>
      <c r="K2301" s="691"/>
      <c r="L2301" s="691"/>
      <c r="M2301" s="691"/>
      <c r="N2301" s="691"/>
      <c r="O2301" s="691"/>
      <c r="P2301" s="691"/>
      <c r="Q2301" s="691"/>
      <c r="R2301" s="691"/>
      <c r="S2301" s="691"/>
      <c r="T2301" s="691"/>
      <c r="U2301" s="691"/>
    </row>
    <row r="2302" s="917" customFormat="true" ht="15" hidden="false" customHeight="true" outlineLevel="0" collapsed="false">
      <c r="A2302" s="752"/>
      <c r="C2302" s="925"/>
      <c r="D2302" s="914"/>
      <c r="E2302" s="914"/>
      <c r="F2302" s="915"/>
      <c r="G2302" s="915"/>
      <c r="H2302" s="691"/>
      <c r="I2302" s="691"/>
      <c r="J2302" s="691"/>
      <c r="K2302" s="691"/>
      <c r="L2302" s="691"/>
      <c r="M2302" s="691"/>
      <c r="N2302" s="691"/>
      <c r="O2302" s="691"/>
      <c r="P2302" s="691"/>
      <c r="Q2302" s="691"/>
      <c r="R2302" s="691"/>
      <c r="S2302" s="691"/>
      <c r="T2302" s="691"/>
      <c r="U2302" s="691"/>
    </row>
    <row r="2303" s="917" customFormat="true" ht="15" hidden="false" customHeight="true" outlineLevel="0" collapsed="false">
      <c r="A2303" s="752"/>
      <c r="C2303" s="925"/>
      <c r="D2303" s="914"/>
      <c r="E2303" s="914"/>
      <c r="F2303" s="915"/>
      <c r="G2303" s="915"/>
      <c r="H2303" s="691"/>
      <c r="I2303" s="691"/>
      <c r="J2303" s="691"/>
      <c r="K2303" s="691"/>
      <c r="L2303" s="691"/>
      <c r="M2303" s="691"/>
      <c r="N2303" s="691"/>
      <c r="O2303" s="691"/>
      <c r="P2303" s="691"/>
      <c r="Q2303" s="691"/>
      <c r="R2303" s="691"/>
      <c r="S2303" s="691"/>
      <c r="T2303" s="691"/>
      <c r="U2303" s="691"/>
    </row>
    <row r="2304" s="917" customFormat="true" ht="15" hidden="false" customHeight="true" outlineLevel="0" collapsed="false">
      <c r="A2304" s="752"/>
      <c r="C2304" s="925"/>
      <c r="D2304" s="914"/>
      <c r="E2304" s="914"/>
      <c r="F2304" s="915"/>
      <c r="G2304" s="915"/>
      <c r="H2304" s="691"/>
      <c r="I2304" s="691"/>
      <c r="J2304" s="691"/>
      <c r="K2304" s="691"/>
      <c r="L2304" s="691"/>
      <c r="M2304" s="691"/>
      <c r="N2304" s="691"/>
      <c r="O2304" s="691"/>
      <c r="P2304" s="691"/>
      <c r="Q2304" s="691"/>
      <c r="R2304" s="691"/>
      <c r="S2304" s="691"/>
      <c r="T2304" s="691"/>
      <c r="U2304" s="691"/>
    </row>
    <row r="2305" s="917" customFormat="true" ht="15" hidden="false" customHeight="true" outlineLevel="0" collapsed="false">
      <c r="A2305" s="752"/>
      <c r="C2305" s="925"/>
      <c r="D2305" s="914"/>
      <c r="E2305" s="914"/>
      <c r="F2305" s="915"/>
      <c r="G2305" s="915"/>
      <c r="H2305" s="691"/>
      <c r="I2305" s="691"/>
      <c r="J2305" s="691"/>
      <c r="K2305" s="691"/>
      <c r="L2305" s="691"/>
      <c r="M2305" s="691"/>
      <c r="N2305" s="691"/>
      <c r="O2305" s="691"/>
      <c r="P2305" s="691"/>
      <c r="Q2305" s="691"/>
      <c r="R2305" s="691"/>
      <c r="S2305" s="691"/>
      <c r="T2305" s="691"/>
      <c r="U2305" s="691"/>
    </row>
    <row r="2306" s="917" customFormat="true" ht="15" hidden="false" customHeight="true" outlineLevel="0" collapsed="false">
      <c r="A2306" s="752"/>
      <c r="C2306" s="925"/>
      <c r="D2306" s="914"/>
      <c r="E2306" s="914"/>
      <c r="F2306" s="915"/>
      <c r="G2306" s="915"/>
      <c r="H2306" s="691"/>
      <c r="I2306" s="691"/>
      <c r="J2306" s="691"/>
      <c r="K2306" s="691"/>
      <c r="L2306" s="691"/>
      <c r="M2306" s="691"/>
      <c r="N2306" s="691"/>
      <c r="O2306" s="691"/>
      <c r="P2306" s="691"/>
      <c r="Q2306" s="691"/>
      <c r="R2306" s="691"/>
      <c r="S2306" s="691"/>
      <c r="T2306" s="691"/>
      <c r="U2306" s="691"/>
    </row>
    <row r="2307" s="917" customFormat="true" ht="15" hidden="false" customHeight="true" outlineLevel="0" collapsed="false">
      <c r="A2307" s="752"/>
      <c r="C2307" s="925"/>
      <c r="D2307" s="914"/>
      <c r="E2307" s="914"/>
      <c r="F2307" s="915"/>
      <c r="G2307" s="915"/>
      <c r="H2307" s="691"/>
      <c r="I2307" s="691"/>
      <c r="J2307" s="691"/>
      <c r="K2307" s="691"/>
      <c r="L2307" s="691"/>
      <c r="M2307" s="691"/>
      <c r="N2307" s="691"/>
      <c r="O2307" s="691"/>
      <c r="P2307" s="691"/>
      <c r="Q2307" s="691"/>
      <c r="R2307" s="691"/>
      <c r="S2307" s="691"/>
      <c r="T2307" s="691"/>
      <c r="U2307" s="691"/>
    </row>
    <row r="2308" s="917" customFormat="true" ht="15" hidden="false" customHeight="true" outlineLevel="0" collapsed="false">
      <c r="A2308" s="752"/>
      <c r="C2308" s="925"/>
      <c r="D2308" s="914"/>
      <c r="E2308" s="914"/>
      <c r="F2308" s="915"/>
      <c r="G2308" s="915"/>
      <c r="H2308" s="691"/>
      <c r="I2308" s="691"/>
      <c r="J2308" s="691"/>
      <c r="K2308" s="691"/>
      <c r="L2308" s="691"/>
      <c r="M2308" s="691"/>
      <c r="N2308" s="691"/>
      <c r="O2308" s="691"/>
      <c r="P2308" s="691"/>
      <c r="Q2308" s="691"/>
      <c r="R2308" s="691"/>
      <c r="S2308" s="691"/>
      <c r="T2308" s="691"/>
      <c r="U2308" s="691"/>
    </row>
    <row r="2309" s="917" customFormat="true" ht="15" hidden="false" customHeight="true" outlineLevel="0" collapsed="false">
      <c r="A2309" s="752"/>
      <c r="C2309" s="925"/>
      <c r="D2309" s="914"/>
      <c r="E2309" s="914"/>
      <c r="F2309" s="915"/>
      <c r="G2309" s="915"/>
      <c r="H2309" s="691"/>
      <c r="I2309" s="691"/>
      <c r="J2309" s="691"/>
      <c r="K2309" s="691"/>
      <c r="L2309" s="691"/>
      <c r="M2309" s="691"/>
      <c r="N2309" s="691"/>
      <c r="O2309" s="691"/>
      <c r="P2309" s="691"/>
      <c r="Q2309" s="691"/>
      <c r="R2309" s="691"/>
      <c r="S2309" s="691"/>
      <c r="T2309" s="691"/>
      <c r="U2309" s="691"/>
    </row>
    <row r="2310" s="917" customFormat="true" ht="15" hidden="false" customHeight="true" outlineLevel="0" collapsed="false">
      <c r="A2310" s="752"/>
      <c r="C2310" s="925"/>
      <c r="D2310" s="914"/>
      <c r="E2310" s="914"/>
      <c r="F2310" s="915"/>
      <c r="G2310" s="915"/>
      <c r="H2310" s="691"/>
      <c r="I2310" s="691"/>
      <c r="J2310" s="691"/>
      <c r="K2310" s="691"/>
      <c r="L2310" s="691"/>
      <c r="M2310" s="691"/>
      <c r="N2310" s="691"/>
      <c r="O2310" s="691"/>
      <c r="P2310" s="691"/>
      <c r="Q2310" s="691"/>
      <c r="R2310" s="691"/>
      <c r="S2310" s="691"/>
      <c r="T2310" s="691"/>
      <c r="U2310" s="691"/>
    </row>
    <row r="2311" s="917" customFormat="true" ht="15" hidden="false" customHeight="true" outlineLevel="0" collapsed="false">
      <c r="A2311" s="752"/>
      <c r="C2311" s="925"/>
      <c r="D2311" s="914"/>
      <c r="E2311" s="914"/>
      <c r="F2311" s="915"/>
      <c r="G2311" s="915"/>
      <c r="H2311" s="691"/>
      <c r="I2311" s="691"/>
      <c r="J2311" s="691"/>
      <c r="K2311" s="691"/>
      <c r="L2311" s="691"/>
      <c r="M2311" s="691"/>
      <c r="N2311" s="691"/>
      <c r="O2311" s="691"/>
      <c r="P2311" s="691"/>
      <c r="Q2311" s="691"/>
      <c r="R2311" s="691"/>
      <c r="S2311" s="691"/>
      <c r="T2311" s="691"/>
      <c r="U2311" s="691"/>
    </row>
    <row r="2312" s="917" customFormat="true" ht="15" hidden="false" customHeight="true" outlineLevel="0" collapsed="false">
      <c r="A2312" s="752"/>
      <c r="C2312" s="925"/>
      <c r="D2312" s="914"/>
      <c r="E2312" s="914"/>
      <c r="F2312" s="915"/>
      <c r="G2312" s="915"/>
      <c r="H2312" s="691"/>
      <c r="I2312" s="691"/>
      <c r="J2312" s="691"/>
      <c r="K2312" s="691"/>
      <c r="L2312" s="691"/>
      <c r="M2312" s="691"/>
      <c r="N2312" s="691"/>
      <c r="O2312" s="691"/>
      <c r="P2312" s="691"/>
      <c r="Q2312" s="691"/>
      <c r="R2312" s="691"/>
      <c r="S2312" s="691"/>
      <c r="T2312" s="691"/>
      <c r="U2312" s="691"/>
    </row>
    <row r="2313" s="917" customFormat="true" ht="15" hidden="false" customHeight="true" outlineLevel="0" collapsed="false">
      <c r="A2313" s="752"/>
      <c r="C2313" s="925"/>
      <c r="D2313" s="914"/>
      <c r="E2313" s="914"/>
      <c r="F2313" s="915"/>
      <c r="G2313" s="915"/>
      <c r="H2313" s="691"/>
      <c r="I2313" s="691"/>
      <c r="J2313" s="691"/>
      <c r="K2313" s="691"/>
      <c r="L2313" s="691"/>
      <c r="M2313" s="691"/>
      <c r="N2313" s="691"/>
      <c r="O2313" s="691"/>
      <c r="P2313" s="691"/>
      <c r="Q2313" s="691"/>
      <c r="R2313" s="691"/>
      <c r="S2313" s="691"/>
      <c r="T2313" s="691"/>
      <c r="U2313" s="691"/>
    </row>
    <row r="2314" s="917" customFormat="true" ht="15" hidden="false" customHeight="true" outlineLevel="0" collapsed="false">
      <c r="A2314" s="752"/>
      <c r="C2314" s="925"/>
      <c r="D2314" s="914"/>
      <c r="E2314" s="914"/>
      <c r="F2314" s="915"/>
      <c r="G2314" s="915"/>
      <c r="H2314" s="691"/>
      <c r="I2314" s="691"/>
      <c r="J2314" s="691"/>
      <c r="K2314" s="691"/>
      <c r="L2314" s="691"/>
      <c r="M2314" s="691"/>
      <c r="N2314" s="691"/>
      <c r="O2314" s="691"/>
      <c r="P2314" s="691"/>
      <c r="Q2314" s="691"/>
      <c r="R2314" s="691"/>
      <c r="S2314" s="691"/>
      <c r="T2314" s="691"/>
      <c r="U2314" s="691"/>
    </row>
    <row r="2315" s="917" customFormat="true" ht="15" hidden="false" customHeight="true" outlineLevel="0" collapsed="false">
      <c r="A2315" s="752"/>
      <c r="C2315" s="925"/>
      <c r="D2315" s="914"/>
      <c r="E2315" s="914"/>
      <c r="F2315" s="915"/>
      <c r="G2315" s="915"/>
      <c r="H2315" s="691"/>
      <c r="I2315" s="691"/>
      <c r="J2315" s="691"/>
      <c r="K2315" s="691"/>
      <c r="L2315" s="691"/>
      <c r="M2315" s="691"/>
      <c r="N2315" s="691"/>
      <c r="O2315" s="691"/>
      <c r="P2315" s="691"/>
      <c r="Q2315" s="691"/>
      <c r="R2315" s="691"/>
      <c r="S2315" s="691"/>
      <c r="T2315" s="691"/>
      <c r="U2315" s="691"/>
    </row>
    <row r="2316" s="917" customFormat="true" ht="15" hidden="false" customHeight="true" outlineLevel="0" collapsed="false">
      <c r="A2316" s="752"/>
      <c r="C2316" s="925"/>
      <c r="D2316" s="914"/>
      <c r="E2316" s="914"/>
      <c r="F2316" s="915"/>
      <c r="G2316" s="915"/>
      <c r="H2316" s="691"/>
      <c r="I2316" s="691"/>
      <c r="J2316" s="691"/>
      <c r="K2316" s="691"/>
      <c r="L2316" s="691"/>
      <c r="M2316" s="691"/>
      <c r="N2316" s="691"/>
      <c r="O2316" s="691"/>
      <c r="P2316" s="691"/>
      <c r="Q2316" s="691"/>
      <c r="R2316" s="691"/>
      <c r="S2316" s="691"/>
      <c r="T2316" s="691"/>
      <c r="U2316" s="691"/>
    </row>
    <row r="2317" s="917" customFormat="true" ht="15" hidden="false" customHeight="true" outlineLevel="0" collapsed="false">
      <c r="A2317" s="752"/>
      <c r="C2317" s="925"/>
      <c r="D2317" s="914"/>
      <c r="E2317" s="914"/>
      <c r="F2317" s="915"/>
      <c r="G2317" s="915"/>
      <c r="H2317" s="691"/>
      <c r="I2317" s="691"/>
      <c r="J2317" s="691"/>
      <c r="K2317" s="691"/>
      <c r="L2317" s="691"/>
      <c r="M2317" s="691"/>
      <c r="N2317" s="691"/>
      <c r="O2317" s="691"/>
      <c r="P2317" s="691"/>
      <c r="Q2317" s="691"/>
      <c r="R2317" s="691"/>
      <c r="S2317" s="691"/>
      <c r="T2317" s="691"/>
      <c r="U2317" s="691"/>
    </row>
    <row r="2318" s="917" customFormat="true" ht="15" hidden="false" customHeight="true" outlineLevel="0" collapsed="false">
      <c r="A2318" s="752"/>
      <c r="C2318" s="925"/>
      <c r="D2318" s="914"/>
      <c r="E2318" s="914"/>
      <c r="F2318" s="915"/>
      <c r="G2318" s="915"/>
      <c r="H2318" s="691"/>
      <c r="I2318" s="691"/>
      <c r="J2318" s="691"/>
      <c r="K2318" s="691"/>
      <c r="L2318" s="691"/>
      <c r="M2318" s="691"/>
      <c r="N2318" s="691"/>
      <c r="O2318" s="691"/>
      <c r="P2318" s="691"/>
      <c r="Q2318" s="691"/>
      <c r="R2318" s="691"/>
      <c r="S2318" s="691"/>
      <c r="T2318" s="691"/>
      <c r="U2318" s="691"/>
    </row>
    <row r="2319" s="917" customFormat="true" ht="15" hidden="false" customHeight="true" outlineLevel="0" collapsed="false">
      <c r="A2319" s="752"/>
      <c r="C2319" s="925"/>
      <c r="D2319" s="914"/>
      <c r="E2319" s="914"/>
      <c r="F2319" s="915"/>
      <c r="G2319" s="915"/>
      <c r="H2319" s="691"/>
      <c r="I2319" s="691"/>
      <c r="J2319" s="691"/>
      <c r="K2319" s="691"/>
      <c r="L2319" s="691"/>
      <c r="M2319" s="691"/>
      <c r="N2319" s="691"/>
      <c r="O2319" s="691"/>
      <c r="P2319" s="691"/>
      <c r="Q2319" s="691"/>
      <c r="R2319" s="691"/>
      <c r="S2319" s="691"/>
      <c r="T2319" s="691"/>
      <c r="U2319" s="691"/>
    </row>
    <row r="2320" s="917" customFormat="true" ht="15" hidden="false" customHeight="true" outlineLevel="0" collapsed="false">
      <c r="A2320" s="752"/>
      <c r="C2320" s="925"/>
      <c r="D2320" s="914"/>
      <c r="E2320" s="914"/>
      <c r="F2320" s="915"/>
      <c r="G2320" s="915"/>
      <c r="H2320" s="691"/>
      <c r="I2320" s="691"/>
      <c r="J2320" s="691"/>
      <c r="K2320" s="691"/>
      <c r="L2320" s="691"/>
      <c r="M2320" s="691"/>
      <c r="N2320" s="691"/>
      <c r="O2320" s="691"/>
      <c r="P2320" s="691"/>
      <c r="Q2320" s="691"/>
      <c r="R2320" s="691"/>
      <c r="S2320" s="691"/>
      <c r="T2320" s="691"/>
      <c r="U2320" s="691"/>
    </row>
    <row r="2321" s="917" customFormat="true" ht="15" hidden="false" customHeight="true" outlineLevel="0" collapsed="false">
      <c r="A2321" s="752"/>
      <c r="C2321" s="925"/>
      <c r="D2321" s="914"/>
      <c r="E2321" s="914"/>
      <c r="F2321" s="915"/>
      <c r="G2321" s="915"/>
      <c r="H2321" s="691"/>
      <c r="I2321" s="691"/>
      <c r="J2321" s="691"/>
      <c r="K2321" s="691"/>
      <c r="L2321" s="691"/>
      <c r="M2321" s="691"/>
      <c r="N2321" s="691"/>
      <c r="O2321" s="691"/>
      <c r="P2321" s="691"/>
      <c r="Q2321" s="691"/>
      <c r="R2321" s="691"/>
      <c r="S2321" s="691"/>
      <c r="T2321" s="691"/>
      <c r="U2321" s="691"/>
    </row>
    <row r="2322" s="917" customFormat="true" ht="15" hidden="false" customHeight="true" outlineLevel="0" collapsed="false">
      <c r="A2322" s="752"/>
      <c r="C2322" s="925"/>
      <c r="D2322" s="914"/>
      <c r="E2322" s="914"/>
      <c r="F2322" s="915"/>
      <c r="G2322" s="915"/>
      <c r="H2322" s="691"/>
      <c r="I2322" s="691"/>
      <c r="J2322" s="691"/>
      <c r="K2322" s="691"/>
      <c r="L2322" s="691"/>
      <c r="M2322" s="691"/>
      <c r="N2322" s="691"/>
      <c r="O2322" s="691"/>
      <c r="P2322" s="691"/>
      <c r="Q2322" s="691"/>
      <c r="R2322" s="691"/>
      <c r="S2322" s="691"/>
      <c r="T2322" s="691"/>
      <c r="U2322" s="691"/>
    </row>
    <row r="2323" s="917" customFormat="true" ht="15" hidden="false" customHeight="true" outlineLevel="0" collapsed="false">
      <c r="A2323" s="752"/>
      <c r="C2323" s="925"/>
      <c r="D2323" s="914"/>
      <c r="E2323" s="914"/>
      <c r="F2323" s="915"/>
      <c r="G2323" s="915"/>
      <c r="H2323" s="691"/>
      <c r="I2323" s="691"/>
      <c r="J2323" s="691"/>
      <c r="K2323" s="691"/>
      <c r="L2323" s="691"/>
      <c r="M2323" s="691"/>
      <c r="N2323" s="691"/>
      <c r="O2323" s="691"/>
      <c r="P2323" s="691"/>
      <c r="Q2323" s="691"/>
      <c r="R2323" s="691"/>
      <c r="S2323" s="691"/>
      <c r="T2323" s="691"/>
      <c r="U2323" s="691"/>
    </row>
    <row r="2324" s="917" customFormat="true" ht="15" hidden="false" customHeight="true" outlineLevel="0" collapsed="false">
      <c r="A2324" s="752"/>
      <c r="C2324" s="925"/>
      <c r="D2324" s="914"/>
      <c r="E2324" s="914"/>
      <c r="F2324" s="915"/>
      <c r="G2324" s="915"/>
      <c r="H2324" s="691"/>
      <c r="I2324" s="691"/>
      <c r="J2324" s="691"/>
      <c r="K2324" s="691"/>
      <c r="L2324" s="691"/>
      <c r="M2324" s="691"/>
      <c r="N2324" s="691"/>
      <c r="O2324" s="691"/>
      <c r="P2324" s="691"/>
      <c r="Q2324" s="691"/>
      <c r="R2324" s="691"/>
      <c r="S2324" s="691"/>
      <c r="T2324" s="691"/>
      <c r="U2324" s="691"/>
    </row>
    <row r="2325" s="917" customFormat="true" ht="15" hidden="false" customHeight="true" outlineLevel="0" collapsed="false">
      <c r="A2325" s="752"/>
      <c r="C2325" s="925"/>
      <c r="D2325" s="914"/>
      <c r="E2325" s="914"/>
      <c r="F2325" s="915"/>
      <c r="G2325" s="915"/>
      <c r="H2325" s="691"/>
      <c r="I2325" s="691"/>
      <c r="J2325" s="691"/>
      <c r="K2325" s="691"/>
      <c r="L2325" s="691"/>
      <c r="M2325" s="691"/>
      <c r="N2325" s="691"/>
      <c r="O2325" s="691"/>
      <c r="P2325" s="691"/>
      <c r="Q2325" s="691"/>
      <c r="R2325" s="691"/>
      <c r="S2325" s="691"/>
      <c r="T2325" s="691"/>
      <c r="U2325" s="691"/>
    </row>
    <row r="2326" s="917" customFormat="true" ht="15" hidden="false" customHeight="true" outlineLevel="0" collapsed="false">
      <c r="A2326" s="752"/>
      <c r="C2326" s="925"/>
      <c r="D2326" s="914"/>
      <c r="E2326" s="914"/>
      <c r="F2326" s="915"/>
      <c r="G2326" s="915"/>
      <c r="H2326" s="691"/>
      <c r="I2326" s="691"/>
      <c r="J2326" s="691"/>
      <c r="K2326" s="691"/>
      <c r="L2326" s="691"/>
      <c r="M2326" s="691"/>
      <c r="N2326" s="691"/>
      <c r="O2326" s="691"/>
      <c r="P2326" s="691"/>
      <c r="Q2326" s="691"/>
      <c r="R2326" s="691"/>
      <c r="S2326" s="691"/>
      <c r="T2326" s="691"/>
      <c r="U2326" s="691"/>
    </row>
    <row r="2327" s="917" customFormat="true" ht="15" hidden="false" customHeight="true" outlineLevel="0" collapsed="false">
      <c r="A2327" s="752"/>
      <c r="C2327" s="925"/>
      <c r="D2327" s="914"/>
      <c r="E2327" s="914"/>
      <c r="F2327" s="915"/>
      <c r="G2327" s="915"/>
      <c r="H2327" s="691"/>
      <c r="I2327" s="691"/>
      <c r="J2327" s="691"/>
      <c r="K2327" s="691"/>
      <c r="L2327" s="691"/>
      <c r="M2327" s="691"/>
      <c r="N2327" s="691"/>
      <c r="O2327" s="691"/>
      <c r="P2327" s="691"/>
      <c r="Q2327" s="691"/>
      <c r="R2327" s="691"/>
      <c r="S2327" s="691"/>
      <c r="T2327" s="691"/>
      <c r="U2327" s="691"/>
    </row>
    <row r="2328" s="917" customFormat="true" ht="15" hidden="false" customHeight="true" outlineLevel="0" collapsed="false">
      <c r="A2328" s="752"/>
      <c r="C2328" s="925"/>
      <c r="D2328" s="914"/>
      <c r="E2328" s="914"/>
      <c r="F2328" s="915"/>
      <c r="G2328" s="915"/>
      <c r="H2328" s="691"/>
      <c r="I2328" s="691"/>
      <c r="J2328" s="691"/>
      <c r="K2328" s="691"/>
      <c r="L2328" s="691"/>
      <c r="M2328" s="691"/>
      <c r="N2328" s="691"/>
      <c r="O2328" s="691"/>
      <c r="P2328" s="691"/>
      <c r="Q2328" s="691"/>
      <c r="R2328" s="691"/>
      <c r="S2328" s="691"/>
      <c r="T2328" s="691"/>
      <c r="U2328" s="691"/>
    </row>
    <row r="2329" s="917" customFormat="true" ht="15" hidden="false" customHeight="true" outlineLevel="0" collapsed="false">
      <c r="A2329" s="752"/>
      <c r="C2329" s="925"/>
      <c r="D2329" s="914"/>
      <c r="E2329" s="914"/>
      <c r="F2329" s="915"/>
      <c r="G2329" s="915"/>
      <c r="H2329" s="691"/>
      <c r="I2329" s="691"/>
      <c r="J2329" s="691"/>
      <c r="K2329" s="691"/>
      <c r="L2329" s="691"/>
      <c r="M2329" s="691"/>
      <c r="N2329" s="691"/>
      <c r="O2329" s="691"/>
      <c r="P2329" s="691"/>
      <c r="Q2329" s="691"/>
      <c r="R2329" s="691"/>
      <c r="S2329" s="691"/>
      <c r="T2329" s="691"/>
      <c r="U2329" s="691"/>
    </row>
    <row r="2330" s="917" customFormat="true" ht="15" hidden="false" customHeight="true" outlineLevel="0" collapsed="false">
      <c r="A2330" s="752"/>
      <c r="C2330" s="925"/>
      <c r="D2330" s="914"/>
      <c r="E2330" s="914"/>
      <c r="F2330" s="915"/>
      <c r="G2330" s="915"/>
      <c r="H2330" s="691"/>
      <c r="I2330" s="691"/>
      <c r="J2330" s="691"/>
      <c r="K2330" s="691"/>
      <c r="L2330" s="691"/>
      <c r="M2330" s="691"/>
      <c r="N2330" s="691"/>
      <c r="O2330" s="691"/>
      <c r="P2330" s="691"/>
      <c r="Q2330" s="691"/>
      <c r="R2330" s="691"/>
      <c r="S2330" s="691"/>
      <c r="T2330" s="691"/>
      <c r="U2330" s="691"/>
    </row>
    <row r="2331" s="917" customFormat="true" ht="15" hidden="false" customHeight="true" outlineLevel="0" collapsed="false">
      <c r="A2331" s="752"/>
      <c r="C2331" s="925"/>
      <c r="D2331" s="914"/>
      <c r="E2331" s="914"/>
      <c r="F2331" s="915"/>
      <c r="G2331" s="915"/>
      <c r="H2331" s="691"/>
      <c r="I2331" s="691"/>
      <c r="J2331" s="691"/>
      <c r="K2331" s="691"/>
      <c r="L2331" s="691"/>
      <c r="M2331" s="691"/>
      <c r="N2331" s="691"/>
      <c r="O2331" s="691"/>
      <c r="P2331" s="691"/>
      <c r="Q2331" s="691"/>
      <c r="R2331" s="691"/>
      <c r="S2331" s="691"/>
      <c r="T2331" s="691"/>
      <c r="U2331" s="691"/>
    </row>
    <row r="2332" s="917" customFormat="true" ht="15" hidden="false" customHeight="true" outlineLevel="0" collapsed="false">
      <c r="A2332" s="752"/>
      <c r="C2332" s="925"/>
      <c r="D2332" s="914"/>
      <c r="E2332" s="914"/>
      <c r="F2332" s="915"/>
      <c r="G2332" s="915"/>
      <c r="H2332" s="691"/>
      <c r="I2332" s="691"/>
      <c r="J2332" s="691"/>
      <c r="K2332" s="691"/>
      <c r="L2332" s="691"/>
      <c r="M2332" s="691"/>
      <c r="N2332" s="691"/>
      <c r="O2332" s="691"/>
      <c r="P2332" s="691"/>
      <c r="Q2332" s="691"/>
      <c r="R2332" s="691"/>
      <c r="S2332" s="691"/>
      <c r="T2332" s="691"/>
      <c r="U2332" s="691"/>
    </row>
    <row r="2333" s="917" customFormat="true" ht="15" hidden="false" customHeight="true" outlineLevel="0" collapsed="false">
      <c r="A2333" s="752"/>
      <c r="C2333" s="925"/>
      <c r="D2333" s="914"/>
      <c r="E2333" s="914"/>
      <c r="F2333" s="915"/>
      <c r="G2333" s="915"/>
      <c r="H2333" s="691"/>
      <c r="I2333" s="691"/>
      <c r="J2333" s="691"/>
      <c r="K2333" s="691"/>
      <c r="L2333" s="691"/>
      <c r="M2333" s="691"/>
      <c r="N2333" s="691"/>
      <c r="O2333" s="691"/>
      <c r="P2333" s="691"/>
      <c r="Q2333" s="691"/>
      <c r="R2333" s="691"/>
      <c r="S2333" s="691"/>
      <c r="T2333" s="691"/>
      <c r="U2333" s="691"/>
    </row>
    <row r="2334" s="917" customFormat="true" ht="15" hidden="false" customHeight="true" outlineLevel="0" collapsed="false">
      <c r="A2334" s="752"/>
      <c r="C2334" s="925"/>
      <c r="D2334" s="914"/>
      <c r="E2334" s="914"/>
      <c r="F2334" s="915"/>
      <c r="G2334" s="915"/>
      <c r="H2334" s="691"/>
      <c r="I2334" s="691"/>
      <c r="J2334" s="691"/>
      <c r="K2334" s="691"/>
      <c r="L2334" s="691"/>
      <c r="M2334" s="691"/>
      <c r="N2334" s="691"/>
      <c r="O2334" s="691"/>
      <c r="P2334" s="691"/>
      <c r="Q2334" s="691"/>
      <c r="R2334" s="691"/>
      <c r="S2334" s="691"/>
      <c r="T2334" s="691"/>
      <c r="U2334" s="691"/>
    </row>
    <row r="2335" s="917" customFormat="true" ht="15" hidden="false" customHeight="true" outlineLevel="0" collapsed="false">
      <c r="A2335" s="752"/>
      <c r="C2335" s="925"/>
      <c r="D2335" s="914"/>
      <c r="E2335" s="914"/>
      <c r="F2335" s="915"/>
      <c r="G2335" s="915"/>
      <c r="H2335" s="691"/>
      <c r="I2335" s="691"/>
      <c r="J2335" s="691"/>
      <c r="K2335" s="691"/>
      <c r="L2335" s="691"/>
      <c r="M2335" s="691"/>
      <c r="N2335" s="691"/>
      <c r="O2335" s="691"/>
      <c r="P2335" s="691"/>
      <c r="Q2335" s="691"/>
      <c r="R2335" s="691"/>
      <c r="S2335" s="691"/>
      <c r="T2335" s="691"/>
      <c r="U2335" s="691"/>
    </row>
    <row r="2336" s="917" customFormat="true" ht="15" hidden="false" customHeight="true" outlineLevel="0" collapsed="false">
      <c r="A2336" s="752"/>
      <c r="C2336" s="925"/>
      <c r="D2336" s="914"/>
      <c r="E2336" s="914"/>
      <c r="F2336" s="915"/>
      <c r="G2336" s="915"/>
      <c r="H2336" s="691"/>
      <c r="I2336" s="691"/>
      <c r="J2336" s="691"/>
      <c r="K2336" s="691"/>
      <c r="L2336" s="691"/>
      <c r="M2336" s="691"/>
      <c r="N2336" s="691"/>
      <c r="O2336" s="691"/>
      <c r="P2336" s="691"/>
      <c r="Q2336" s="691"/>
      <c r="R2336" s="691"/>
      <c r="S2336" s="691"/>
      <c r="T2336" s="691"/>
      <c r="U2336" s="691"/>
    </row>
    <row r="2337" s="917" customFormat="true" ht="15" hidden="false" customHeight="true" outlineLevel="0" collapsed="false">
      <c r="A2337" s="752"/>
      <c r="C2337" s="925"/>
      <c r="D2337" s="914"/>
      <c r="E2337" s="914"/>
      <c r="F2337" s="915"/>
      <c r="G2337" s="915"/>
      <c r="H2337" s="691"/>
      <c r="I2337" s="691"/>
      <c r="J2337" s="691"/>
      <c r="K2337" s="691"/>
      <c r="L2337" s="691"/>
      <c r="M2337" s="691"/>
      <c r="N2337" s="691"/>
      <c r="O2337" s="691"/>
      <c r="P2337" s="691"/>
      <c r="Q2337" s="691"/>
      <c r="R2337" s="691"/>
      <c r="S2337" s="691"/>
      <c r="T2337" s="691"/>
      <c r="U2337" s="691"/>
    </row>
    <row r="2338" s="917" customFormat="true" ht="15" hidden="false" customHeight="true" outlineLevel="0" collapsed="false">
      <c r="A2338" s="752"/>
      <c r="C2338" s="925"/>
      <c r="D2338" s="914"/>
      <c r="E2338" s="914"/>
      <c r="F2338" s="915"/>
      <c r="G2338" s="915"/>
      <c r="H2338" s="691"/>
      <c r="I2338" s="691"/>
      <c r="J2338" s="691"/>
      <c r="K2338" s="691"/>
      <c r="L2338" s="691"/>
      <c r="M2338" s="691"/>
      <c r="N2338" s="691"/>
      <c r="O2338" s="691"/>
      <c r="P2338" s="691"/>
      <c r="Q2338" s="691"/>
      <c r="R2338" s="691"/>
      <c r="S2338" s="691"/>
      <c r="T2338" s="691"/>
      <c r="U2338" s="691"/>
    </row>
    <row r="2339" s="917" customFormat="true" ht="15" hidden="false" customHeight="true" outlineLevel="0" collapsed="false">
      <c r="A2339" s="752"/>
      <c r="C2339" s="925"/>
      <c r="D2339" s="914"/>
      <c r="E2339" s="914"/>
      <c r="F2339" s="915"/>
      <c r="G2339" s="915"/>
      <c r="H2339" s="691"/>
      <c r="I2339" s="691"/>
      <c r="J2339" s="691"/>
      <c r="K2339" s="691"/>
      <c r="L2339" s="691"/>
      <c r="M2339" s="691"/>
      <c r="N2339" s="691"/>
      <c r="O2339" s="691"/>
      <c r="P2339" s="691"/>
      <c r="Q2339" s="691"/>
      <c r="R2339" s="691"/>
      <c r="S2339" s="691"/>
      <c r="T2339" s="691"/>
      <c r="U2339" s="691"/>
    </row>
    <row r="2340" s="917" customFormat="true" ht="15" hidden="false" customHeight="true" outlineLevel="0" collapsed="false">
      <c r="A2340" s="752"/>
      <c r="C2340" s="925"/>
      <c r="D2340" s="914"/>
      <c r="E2340" s="914"/>
      <c r="F2340" s="915"/>
      <c r="G2340" s="915"/>
      <c r="H2340" s="691"/>
      <c r="I2340" s="691"/>
      <c r="J2340" s="691"/>
      <c r="K2340" s="691"/>
      <c r="L2340" s="691"/>
      <c r="M2340" s="691"/>
      <c r="N2340" s="691"/>
      <c r="O2340" s="691"/>
      <c r="P2340" s="691"/>
      <c r="Q2340" s="691"/>
      <c r="R2340" s="691"/>
      <c r="S2340" s="691"/>
      <c r="T2340" s="691"/>
      <c r="U2340" s="691"/>
    </row>
    <row r="2341" s="917" customFormat="true" ht="15" hidden="false" customHeight="true" outlineLevel="0" collapsed="false">
      <c r="A2341" s="752"/>
      <c r="C2341" s="925"/>
      <c r="D2341" s="914"/>
      <c r="E2341" s="914"/>
      <c r="F2341" s="915"/>
      <c r="G2341" s="915"/>
      <c r="H2341" s="691"/>
      <c r="I2341" s="691"/>
      <c r="J2341" s="691"/>
      <c r="K2341" s="691"/>
      <c r="L2341" s="691"/>
      <c r="M2341" s="691"/>
      <c r="N2341" s="691"/>
      <c r="O2341" s="691"/>
      <c r="P2341" s="691"/>
      <c r="Q2341" s="691"/>
      <c r="R2341" s="691"/>
      <c r="S2341" s="691"/>
      <c r="T2341" s="691"/>
      <c r="U2341" s="691"/>
    </row>
    <row r="2342" s="917" customFormat="true" ht="15" hidden="false" customHeight="true" outlineLevel="0" collapsed="false">
      <c r="A2342" s="752"/>
      <c r="C2342" s="925"/>
      <c r="D2342" s="914"/>
      <c r="E2342" s="914"/>
      <c r="F2342" s="915"/>
      <c r="G2342" s="915"/>
      <c r="H2342" s="691"/>
      <c r="I2342" s="691"/>
      <c r="J2342" s="691"/>
      <c r="K2342" s="691"/>
      <c r="L2342" s="691"/>
      <c r="M2342" s="691"/>
      <c r="N2342" s="691"/>
      <c r="O2342" s="691"/>
      <c r="P2342" s="691"/>
      <c r="Q2342" s="691"/>
      <c r="R2342" s="691"/>
      <c r="S2342" s="691"/>
      <c r="T2342" s="691"/>
      <c r="U2342" s="691"/>
    </row>
    <row r="2343" s="917" customFormat="true" ht="15" hidden="false" customHeight="true" outlineLevel="0" collapsed="false">
      <c r="A2343" s="752"/>
      <c r="C2343" s="925"/>
      <c r="D2343" s="914"/>
      <c r="E2343" s="914"/>
      <c r="F2343" s="915"/>
      <c r="G2343" s="915"/>
      <c r="H2343" s="691"/>
      <c r="I2343" s="691"/>
      <c r="J2343" s="691"/>
      <c r="K2343" s="691"/>
      <c r="L2343" s="691"/>
      <c r="M2343" s="691"/>
      <c r="N2343" s="691"/>
      <c r="O2343" s="691"/>
      <c r="P2343" s="691"/>
      <c r="Q2343" s="691"/>
      <c r="R2343" s="691"/>
      <c r="S2343" s="691"/>
      <c r="T2343" s="691"/>
      <c r="U2343" s="691"/>
    </row>
    <row r="2344" s="917" customFormat="true" ht="15" hidden="false" customHeight="true" outlineLevel="0" collapsed="false">
      <c r="A2344" s="752"/>
      <c r="C2344" s="925"/>
      <c r="D2344" s="914"/>
      <c r="E2344" s="914"/>
      <c r="F2344" s="915"/>
      <c r="G2344" s="915"/>
      <c r="H2344" s="691"/>
      <c r="I2344" s="691"/>
      <c r="J2344" s="691"/>
      <c r="K2344" s="691"/>
      <c r="L2344" s="691"/>
      <c r="M2344" s="691"/>
      <c r="N2344" s="691"/>
      <c r="O2344" s="691"/>
      <c r="P2344" s="691"/>
      <c r="Q2344" s="691"/>
      <c r="R2344" s="691"/>
      <c r="S2344" s="691"/>
      <c r="T2344" s="691"/>
      <c r="U2344" s="691"/>
    </row>
    <row r="2345" s="917" customFormat="true" ht="15" hidden="false" customHeight="true" outlineLevel="0" collapsed="false">
      <c r="A2345" s="752"/>
      <c r="C2345" s="925"/>
      <c r="D2345" s="914"/>
      <c r="E2345" s="914"/>
      <c r="F2345" s="915"/>
      <c r="G2345" s="915"/>
      <c r="H2345" s="691"/>
      <c r="I2345" s="691"/>
      <c r="J2345" s="691"/>
      <c r="K2345" s="691"/>
      <c r="L2345" s="691"/>
      <c r="M2345" s="691"/>
      <c r="N2345" s="691"/>
      <c r="O2345" s="691"/>
      <c r="P2345" s="691"/>
      <c r="Q2345" s="691"/>
      <c r="R2345" s="691"/>
      <c r="S2345" s="691"/>
      <c r="T2345" s="691"/>
      <c r="U2345" s="691"/>
    </row>
    <row r="2346" s="917" customFormat="true" ht="15" hidden="false" customHeight="true" outlineLevel="0" collapsed="false">
      <c r="A2346" s="752"/>
      <c r="C2346" s="925"/>
      <c r="D2346" s="914"/>
      <c r="E2346" s="914"/>
      <c r="F2346" s="915"/>
      <c r="G2346" s="915"/>
      <c r="H2346" s="691"/>
      <c r="I2346" s="691"/>
      <c r="J2346" s="691"/>
      <c r="K2346" s="691"/>
      <c r="L2346" s="691"/>
      <c r="M2346" s="691"/>
      <c r="N2346" s="691"/>
      <c r="O2346" s="691"/>
      <c r="P2346" s="691"/>
      <c r="Q2346" s="691"/>
      <c r="R2346" s="691"/>
      <c r="S2346" s="691"/>
      <c r="T2346" s="691"/>
      <c r="U2346" s="691"/>
    </row>
    <row r="2347" s="917" customFormat="true" ht="15" hidden="false" customHeight="true" outlineLevel="0" collapsed="false">
      <c r="A2347" s="752"/>
      <c r="C2347" s="925"/>
      <c r="D2347" s="914"/>
      <c r="E2347" s="914"/>
      <c r="F2347" s="915"/>
      <c r="G2347" s="915"/>
      <c r="H2347" s="691"/>
      <c r="I2347" s="691"/>
      <c r="J2347" s="691"/>
      <c r="K2347" s="691"/>
      <c r="L2347" s="691"/>
      <c r="M2347" s="691"/>
      <c r="N2347" s="691"/>
      <c r="O2347" s="691"/>
      <c r="P2347" s="691"/>
      <c r="Q2347" s="691"/>
      <c r="R2347" s="691"/>
      <c r="S2347" s="691"/>
      <c r="T2347" s="691"/>
      <c r="U2347" s="691"/>
    </row>
    <row r="2348" s="917" customFormat="true" ht="15" hidden="false" customHeight="true" outlineLevel="0" collapsed="false">
      <c r="A2348" s="752"/>
      <c r="C2348" s="925"/>
      <c r="D2348" s="914"/>
      <c r="E2348" s="914"/>
      <c r="F2348" s="915"/>
      <c r="G2348" s="915"/>
      <c r="H2348" s="691"/>
      <c r="I2348" s="691"/>
      <c r="J2348" s="691"/>
      <c r="K2348" s="691"/>
      <c r="L2348" s="691"/>
      <c r="M2348" s="691"/>
      <c r="N2348" s="691"/>
      <c r="O2348" s="691"/>
      <c r="P2348" s="691"/>
      <c r="Q2348" s="691"/>
      <c r="R2348" s="691"/>
      <c r="S2348" s="691"/>
      <c r="T2348" s="691"/>
      <c r="U2348" s="691"/>
    </row>
    <row r="2349" s="917" customFormat="true" ht="15" hidden="false" customHeight="true" outlineLevel="0" collapsed="false">
      <c r="A2349" s="752"/>
      <c r="C2349" s="925"/>
      <c r="D2349" s="914"/>
      <c r="E2349" s="914"/>
      <c r="F2349" s="915"/>
      <c r="G2349" s="915"/>
      <c r="H2349" s="691"/>
      <c r="I2349" s="691"/>
      <c r="J2349" s="691"/>
      <c r="K2349" s="691"/>
      <c r="L2349" s="691"/>
      <c r="M2349" s="691"/>
      <c r="N2349" s="691"/>
      <c r="O2349" s="691"/>
      <c r="P2349" s="691"/>
      <c r="Q2349" s="691"/>
      <c r="R2349" s="691"/>
      <c r="S2349" s="691"/>
      <c r="T2349" s="691"/>
      <c r="U2349" s="691"/>
    </row>
    <row r="2350" s="917" customFormat="true" ht="15" hidden="false" customHeight="true" outlineLevel="0" collapsed="false">
      <c r="A2350" s="752"/>
      <c r="C2350" s="925"/>
      <c r="D2350" s="914"/>
      <c r="E2350" s="914"/>
      <c r="F2350" s="915"/>
      <c r="G2350" s="915"/>
      <c r="H2350" s="691"/>
      <c r="I2350" s="691"/>
      <c r="J2350" s="691"/>
      <c r="K2350" s="691"/>
      <c r="L2350" s="691"/>
      <c r="M2350" s="691"/>
      <c r="N2350" s="691"/>
      <c r="O2350" s="691"/>
      <c r="P2350" s="691"/>
      <c r="Q2350" s="691"/>
      <c r="R2350" s="691"/>
      <c r="S2350" s="691"/>
      <c r="T2350" s="691"/>
      <c r="U2350" s="691"/>
    </row>
    <row r="2351" s="917" customFormat="true" ht="15" hidden="false" customHeight="true" outlineLevel="0" collapsed="false">
      <c r="A2351" s="752"/>
      <c r="C2351" s="925"/>
      <c r="D2351" s="914"/>
      <c r="E2351" s="914"/>
      <c r="F2351" s="915"/>
      <c r="G2351" s="915"/>
      <c r="H2351" s="691"/>
      <c r="I2351" s="691"/>
      <c r="J2351" s="691"/>
      <c r="K2351" s="691"/>
      <c r="L2351" s="691"/>
      <c r="M2351" s="691"/>
      <c r="N2351" s="691"/>
      <c r="O2351" s="691"/>
      <c r="P2351" s="691"/>
      <c r="Q2351" s="691"/>
      <c r="R2351" s="691"/>
      <c r="S2351" s="691"/>
      <c r="T2351" s="691"/>
      <c r="U2351" s="691"/>
    </row>
    <row r="2352" s="917" customFormat="true" ht="15" hidden="false" customHeight="true" outlineLevel="0" collapsed="false">
      <c r="A2352" s="752"/>
      <c r="C2352" s="925"/>
      <c r="D2352" s="914"/>
      <c r="E2352" s="914"/>
      <c r="F2352" s="915"/>
      <c r="G2352" s="915"/>
      <c r="H2352" s="691"/>
      <c r="I2352" s="691"/>
      <c r="J2352" s="691"/>
      <c r="K2352" s="691"/>
      <c r="L2352" s="691"/>
      <c r="M2352" s="691"/>
      <c r="N2352" s="691"/>
      <c r="O2352" s="691"/>
      <c r="P2352" s="691"/>
      <c r="Q2352" s="691"/>
      <c r="R2352" s="691"/>
      <c r="S2352" s="691"/>
      <c r="T2352" s="691"/>
      <c r="U2352" s="691"/>
    </row>
    <row r="2353" s="917" customFormat="true" ht="15" hidden="false" customHeight="true" outlineLevel="0" collapsed="false">
      <c r="A2353" s="752"/>
      <c r="C2353" s="925"/>
      <c r="D2353" s="914"/>
      <c r="E2353" s="914"/>
      <c r="F2353" s="915"/>
      <c r="G2353" s="915"/>
      <c r="H2353" s="691"/>
      <c r="I2353" s="691"/>
      <c r="J2353" s="691"/>
      <c r="K2353" s="691"/>
      <c r="L2353" s="691"/>
      <c r="M2353" s="691"/>
      <c r="N2353" s="691"/>
      <c r="O2353" s="691"/>
      <c r="P2353" s="691"/>
      <c r="Q2353" s="691"/>
      <c r="R2353" s="691"/>
      <c r="S2353" s="691"/>
      <c r="T2353" s="691"/>
      <c r="U2353" s="691"/>
    </row>
    <row r="2354" s="917" customFormat="true" ht="15" hidden="false" customHeight="true" outlineLevel="0" collapsed="false">
      <c r="A2354" s="752"/>
      <c r="C2354" s="925"/>
      <c r="D2354" s="914"/>
      <c r="E2354" s="914"/>
      <c r="F2354" s="915"/>
      <c r="G2354" s="915"/>
      <c r="H2354" s="691"/>
      <c r="I2354" s="691"/>
      <c r="J2354" s="691"/>
      <c r="K2354" s="691"/>
      <c r="L2354" s="691"/>
      <c r="M2354" s="691"/>
      <c r="N2354" s="691"/>
      <c r="O2354" s="691"/>
      <c r="P2354" s="691"/>
      <c r="Q2354" s="691"/>
      <c r="R2354" s="691"/>
      <c r="S2354" s="691"/>
      <c r="T2354" s="691"/>
      <c r="U2354" s="691"/>
    </row>
    <row r="2355" s="917" customFormat="true" ht="15" hidden="false" customHeight="true" outlineLevel="0" collapsed="false">
      <c r="A2355" s="752"/>
      <c r="C2355" s="925"/>
      <c r="D2355" s="914"/>
      <c r="E2355" s="914"/>
      <c r="F2355" s="915"/>
      <c r="G2355" s="915"/>
      <c r="H2355" s="691"/>
      <c r="I2355" s="691"/>
      <c r="J2355" s="691"/>
      <c r="K2355" s="691"/>
      <c r="L2355" s="691"/>
      <c r="M2355" s="691"/>
      <c r="N2355" s="691"/>
      <c r="O2355" s="691"/>
      <c r="P2355" s="691"/>
      <c r="Q2355" s="691"/>
      <c r="R2355" s="691"/>
      <c r="S2355" s="691"/>
      <c r="T2355" s="691"/>
      <c r="U2355" s="691"/>
    </row>
    <row r="2356" s="917" customFormat="true" ht="15" hidden="false" customHeight="true" outlineLevel="0" collapsed="false">
      <c r="A2356" s="752"/>
      <c r="C2356" s="925"/>
      <c r="D2356" s="914"/>
      <c r="E2356" s="914"/>
      <c r="F2356" s="915"/>
      <c r="G2356" s="915"/>
      <c r="H2356" s="691"/>
      <c r="I2356" s="691"/>
      <c r="J2356" s="691"/>
      <c r="K2356" s="691"/>
      <c r="L2356" s="691"/>
      <c r="M2356" s="691"/>
      <c r="N2356" s="691"/>
      <c r="O2356" s="691"/>
      <c r="P2356" s="691"/>
      <c r="Q2356" s="691"/>
      <c r="R2356" s="691"/>
      <c r="S2356" s="691"/>
      <c r="T2356" s="691"/>
      <c r="U2356" s="691"/>
    </row>
    <row r="2357" s="917" customFormat="true" ht="15" hidden="false" customHeight="true" outlineLevel="0" collapsed="false">
      <c r="A2357" s="752"/>
      <c r="C2357" s="925"/>
      <c r="D2357" s="914"/>
      <c r="E2357" s="914"/>
      <c r="F2357" s="915"/>
      <c r="G2357" s="915"/>
      <c r="H2357" s="691"/>
      <c r="I2357" s="691"/>
      <c r="J2357" s="691"/>
      <c r="K2357" s="691"/>
      <c r="L2357" s="691"/>
      <c r="M2357" s="691"/>
      <c r="N2357" s="691"/>
      <c r="O2357" s="691"/>
      <c r="P2357" s="691"/>
      <c r="Q2357" s="691"/>
      <c r="R2357" s="691"/>
      <c r="S2357" s="691"/>
      <c r="T2357" s="691"/>
      <c r="U2357" s="691"/>
    </row>
    <row r="2358" s="917" customFormat="true" ht="15" hidden="false" customHeight="true" outlineLevel="0" collapsed="false">
      <c r="A2358" s="752"/>
      <c r="C2358" s="925"/>
      <c r="D2358" s="914"/>
      <c r="E2358" s="914"/>
      <c r="F2358" s="915"/>
      <c r="G2358" s="915"/>
      <c r="H2358" s="691"/>
      <c r="I2358" s="691"/>
      <c r="J2358" s="691"/>
      <c r="K2358" s="691"/>
      <c r="L2358" s="691"/>
      <c r="M2358" s="691"/>
      <c r="N2358" s="691"/>
      <c r="O2358" s="691"/>
      <c r="P2358" s="691"/>
      <c r="Q2358" s="691"/>
      <c r="R2358" s="691"/>
      <c r="S2358" s="691"/>
      <c r="T2358" s="691"/>
      <c r="U2358" s="691"/>
    </row>
    <row r="2359" s="917" customFormat="true" ht="15" hidden="false" customHeight="true" outlineLevel="0" collapsed="false">
      <c r="A2359" s="752"/>
      <c r="C2359" s="925"/>
      <c r="D2359" s="914"/>
      <c r="E2359" s="914"/>
      <c r="F2359" s="915"/>
      <c r="G2359" s="915"/>
      <c r="H2359" s="691"/>
      <c r="I2359" s="691"/>
      <c r="J2359" s="691"/>
      <c r="K2359" s="691"/>
      <c r="L2359" s="691"/>
      <c r="M2359" s="691"/>
      <c r="N2359" s="691"/>
      <c r="O2359" s="691"/>
      <c r="P2359" s="691"/>
      <c r="Q2359" s="691"/>
      <c r="R2359" s="691"/>
      <c r="S2359" s="691"/>
      <c r="T2359" s="691"/>
      <c r="U2359" s="691"/>
    </row>
    <row r="2360" s="917" customFormat="true" ht="15" hidden="false" customHeight="true" outlineLevel="0" collapsed="false">
      <c r="A2360" s="752"/>
      <c r="C2360" s="925"/>
      <c r="D2360" s="914"/>
      <c r="E2360" s="914"/>
      <c r="F2360" s="915"/>
      <c r="G2360" s="915"/>
      <c r="H2360" s="691"/>
      <c r="I2360" s="691"/>
      <c r="J2360" s="691"/>
      <c r="K2360" s="691"/>
      <c r="L2360" s="691"/>
      <c r="M2360" s="691"/>
      <c r="N2360" s="691"/>
      <c r="O2360" s="691"/>
      <c r="P2360" s="691"/>
      <c r="Q2360" s="691"/>
      <c r="R2360" s="691"/>
      <c r="S2360" s="691"/>
      <c r="T2360" s="691"/>
      <c r="U2360" s="691"/>
    </row>
    <row r="2361" s="917" customFormat="true" ht="15" hidden="false" customHeight="true" outlineLevel="0" collapsed="false">
      <c r="A2361" s="752"/>
      <c r="C2361" s="925"/>
      <c r="D2361" s="914"/>
      <c r="E2361" s="914"/>
      <c r="F2361" s="915"/>
      <c r="G2361" s="915"/>
      <c r="H2361" s="691"/>
      <c r="I2361" s="691"/>
      <c r="J2361" s="691"/>
      <c r="K2361" s="691"/>
      <c r="L2361" s="691"/>
      <c r="M2361" s="691"/>
      <c r="N2361" s="691"/>
      <c r="O2361" s="691"/>
      <c r="P2361" s="691"/>
      <c r="Q2361" s="691"/>
      <c r="R2361" s="691"/>
      <c r="S2361" s="691"/>
      <c r="T2361" s="691"/>
      <c r="U2361" s="691"/>
    </row>
    <row r="2362" s="917" customFormat="true" ht="15" hidden="false" customHeight="true" outlineLevel="0" collapsed="false">
      <c r="A2362" s="752"/>
      <c r="C2362" s="925"/>
      <c r="D2362" s="914"/>
      <c r="E2362" s="914"/>
      <c r="F2362" s="915"/>
      <c r="G2362" s="915"/>
      <c r="H2362" s="691"/>
      <c r="I2362" s="691"/>
      <c r="J2362" s="691"/>
      <c r="K2362" s="691"/>
      <c r="L2362" s="691"/>
      <c r="M2362" s="691"/>
      <c r="N2362" s="691"/>
      <c r="O2362" s="691"/>
      <c r="P2362" s="691"/>
      <c r="Q2362" s="691"/>
      <c r="R2362" s="691"/>
      <c r="S2362" s="691"/>
      <c r="T2362" s="691"/>
      <c r="U2362" s="691"/>
    </row>
    <row r="2363" s="917" customFormat="true" ht="15" hidden="false" customHeight="true" outlineLevel="0" collapsed="false">
      <c r="A2363" s="752"/>
      <c r="C2363" s="925"/>
      <c r="D2363" s="914"/>
      <c r="E2363" s="914"/>
      <c r="F2363" s="915"/>
      <c r="G2363" s="915"/>
      <c r="H2363" s="691"/>
      <c r="I2363" s="691"/>
      <c r="J2363" s="691"/>
      <c r="K2363" s="691"/>
      <c r="L2363" s="691"/>
      <c r="M2363" s="691"/>
      <c r="N2363" s="691"/>
      <c r="O2363" s="691"/>
      <c r="P2363" s="691"/>
      <c r="Q2363" s="691"/>
      <c r="R2363" s="691"/>
      <c r="S2363" s="691"/>
      <c r="T2363" s="691"/>
      <c r="U2363" s="691"/>
    </row>
    <row r="2364" s="917" customFormat="true" ht="15" hidden="false" customHeight="true" outlineLevel="0" collapsed="false">
      <c r="A2364" s="752"/>
      <c r="C2364" s="925"/>
      <c r="D2364" s="914"/>
      <c r="E2364" s="914"/>
      <c r="F2364" s="915"/>
      <c r="G2364" s="915"/>
      <c r="H2364" s="691"/>
      <c r="I2364" s="691"/>
      <c r="J2364" s="691"/>
      <c r="K2364" s="691"/>
      <c r="L2364" s="691"/>
      <c r="M2364" s="691"/>
      <c r="N2364" s="691"/>
      <c r="O2364" s="691"/>
      <c r="P2364" s="691"/>
      <c r="Q2364" s="691"/>
      <c r="R2364" s="691"/>
      <c r="S2364" s="691"/>
      <c r="T2364" s="691"/>
      <c r="U2364" s="691"/>
    </row>
    <row r="2365" s="917" customFormat="true" ht="15" hidden="false" customHeight="true" outlineLevel="0" collapsed="false">
      <c r="A2365" s="752"/>
      <c r="C2365" s="925"/>
      <c r="D2365" s="914"/>
      <c r="E2365" s="914"/>
      <c r="F2365" s="915"/>
      <c r="G2365" s="915"/>
      <c r="H2365" s="691"/>
      <c r="I2365" s="691"/>
      <c r="J2365" s="691"/>
      <c r="K2365" s="691"/>
      <c r="L2365" s="691"/>
      <c r="M2365" s="691"/>
      <c r="N2365" s="691"/>
      <c r="O2365" s="691"/>
      <c r="P2365" s="691"/>
      <c r="Q2365" s="691"/>
      <c r="R2365" s="691"/>
      <c r="S2365" s="691"/>
      <c r="T2365" s="691"/>
      <c r="U2365" s="691"/>
    </row>
    <row r="2366" s="917" customFormat="true" ht="15" hidden="false" customHeight="true" outlineLevel="0" collapsed="false">
      <c r="A2366" s="752"/>
      <c r="C2366" s="925"/>
      <c r="D2366" s="914"/>
      <c r="E2366" s="914"/>
      <c r="F2366" s="915"/>
      <c r="G2366" s="915"/>
      <c r="H2366" s="691"/>
      <c r="I2366" s="691"/>
      <c r="J2366" s="691"/>
      <c r="K2366" s="691"/>
      <c r="L2366" s="691"/>
      <c r="M2366" s="691"/>
      <c r="N2366" s="691"/>
      <c r="O2366" s="691"/>
      <c r="P2366" s="691"/>
      <c r="Q2366" s="691"/>
      <c r="R2366" s="691"/>
      <c r="S2366" s="691"/>
      <c r="T2366" s="691"/>
      <c r="U2366" s="691"/>
    </row>
    <row r="2367" s="917" customFormat="true" ht="15" hidden="false" customHeight="true" outlineLevel="0" collapsed="false">
      <c r="A2367" s="752"/>
      <c r="C2367" s="925"/>
      <c r="D2367" s="914"/>
      <c r="E2367" s="914"/>
      <c r="F2367" s="915"/>
      <c r="G2367" s="915"/>
      <c r="H2367" s="691"/>
      <c r="I2367" s="691"/>
      <c r="J2367" s="691"/>
      <c r="K2367" s="691"/>
      <c r="L2367" s="691"/>
      <c r="M2367" s="691"/>
      <c r="N2367" s="691"/>
      <c r="O2367" s="691"/>
      <c r="P2367" s="691"/>
      <c r="Q2367" s="691"/>
      <c r="R2367" s="691"/>
      <c r="S2367" s="691"/>
      <c r="T2367" s="691"/>
      <c r="U2367" s="691"/>
    </row>
    <row r="2368" s="917" customFormat="true" ht="15" hidden="false" customHeight="true" outlineLevel="0" collapsed="false">
      <c r="A2368" s="752"/>
      <c r="C2368" s="925"/>
      <c r="D2368" s="914"/>
      <c r="E2368" s="914"/>
      <c r="F2368" s="915"/>
      <c r="G2368" s="915"/>
      <c r="H2368" s="691"/>
      <c r="I2368" s="691"/>
      <c r="J2368" s="691"/>
      <c r="K2368" s="691"/>
      <c r="L2368" s="691"/>
      <c r="M2368" s="691"/>
      <c r="N2368" s="691"/>
      <c r="O2368" s="691"/>
      <c r="P2368" s="691"/>
      <c r="Q2368" s="691"/>
      <c r="R2368" s="691"/>
      <c r="S2368" s="691"/>
      <c r="T2368" s="691"/>
      <c r="U2368" s="691"/>
    </row>
    <row r="2369" s="917" customFormat="true" ht="15" hidden="false" customHeight="true" outlineLevel="0" collapsed="false">
      <c r="A2369" s="752"/>
      <c r="C2369" s="925"/>
      <c r="D2369" s="914"/>
      <c r="E2369" s="914"/>
      <c r="F2369" s="915"/>
      <c r="G2369" s="915"/>
      <c r="H2369" s="691"/>
      <c r="I2369" s="691"/>
      <c r="J2369" s="691"/>
      <c r="K2369" s="691"/>
      <c r="L2369" s="691"/>
      <c r="M2369" s="691"/>
      <c r="N2369" s="691"/>
      <c r="O2369" s="691"/>
      <c r="P2369" s="691"/>
      <c r="Q2369" s="691"/>
      <c r="R2369" s="691"/>
      <c r="S2369" s="691"/>
      <c r="T2369" s="691"/>
      <c r="U2369" s="691"/>
    </row>
    <row r="2370" s="917" customFormat="true" ht="15" hidden="false" customHeight="true" outlineLevel="0" collapsed="false">
      <c r="A2370" s="752"/>
      <c r="C2370" s="925"/>
      <c r="D2370" s="914"/>
      <c r="E2370" s="914"/>
      <c r="F2370" s="915"/>
      <c r="G2370" s="915"/>
      <c r="H2370" s="691"/>
      <c r="I2370" s="691"/>
      <c r="J2370" s="691"/>
      <c r="K2370" s="691"/>
      <c r="L2370" s="691"/>
      <c r="M2370" s="691"/>
      <c r="N2370" s="691"/>
      <c r="O2370" s="691"/>
      <c r="P2370" s="691"/>
      <c r="Q2370" s="691"/>
      <c r="R2370" s="691"/>
      <c r="S2370" s="691"/>
      <c r="T2370" s="691"/>
      <c r="U2370" s="691"/>
    </row>
    <row r="2371" s="917" customFormat="true" ht="15" hidden="false" customHeight="true" outlineLevel="0" collapsed="false">
      <c r="A2371" s="752"/>
      <c r="C2371" s="925"/>
      <c r="D2371" s="914"/>
      <c r="E2371" s="914"/>
      <c r="F2371" s="915"/>
      <c r="G2371" s="915"/>
      <c r="H2371" s="691"/>
      <c r="I2371" s="691"/>
      <c r="J2371" s="691"/>
      <c r="K2371" s="691"/>
      <c r="L2371" s="691"/>
      <c r="M2371" s="691"/>
      <c r="N2371" s="691"/>
      <c r="O2371" s="691"/>
      <c r="P2371" s="691"/>
      <c r="Q2371" s="691"/>
      <c r="R2371" s="691"/>
      <c r="S2371" s="691"/>
      <c r="T2371" s="691"/>
      <c r="U2371" s="691"/>
    </row>
    <row r="2372" s="917" customFormat="true" ht="15" hidden="false" customHeight="true" outlineLevel="0" collapsed="false">
      <c r="A2372" s="752"/>
      <c r="C2372" s="925"/>
      <c r="D2372" s="914"/>
      <c r="E2372" s="914"/>
      <c r="F2372" s="915"/>
      <c r="G2372" s="915"/>
      <c r="H2372" s="691"/>
      <c r="I2372" s="691"/>
      <c r="J2372" s="691"/>
      <c r="K2372" s="691"/>
      <c r="L2372" s="691"/>
      <c r="M2372" s="691"/>
      <c r="N2372" s="691"/>
      <c r="O2372" s="691"/>
      <c r="P2372" s="691"/>
      <c r="Q2372" s="691"/>
      <c r="R2372" s="691"/>
      <c r="S2372" s="691"/>
      <c r="T2372" s="691"/>
      <c r="U2372" s="691"/>
    </row>
    <row r="2373" s="917" customFormat="true" ht="15" hidden="false" customHeight="true" outlineLevel="0" collapsed="false">
      <c r="A2373" s="752"/>
      <c r="C2373" s="925"/>
      <c r="D2373" s="914"/>
      <c r="E2373" s="914"/>
      <c r="F2373" s="915"/>
      <c r="G2373" s="915"/>
      <c r="H2373" s="691"/>
      <c r="I2373" s="691"/>
      <c r="J2373" s="691"/>
      <c r="K2373" s="691"/>
      <c r="L2373" s="691"/>
      <c r="M2373" s="691"/>
      <c r="N2373" s="691"/>
      <c r="O2373" s="691"/>
      <c r="P2373" s="691"/>
      <c r="Q2373" s="691"/>
      <c r="R2373" s="691"/>
      <c r="S2373" s="691"/>
      <c r="T2373" s="691"/>
      <c r="U2373" s="691"/>
    </row>
    <row r="2374" s="917" customFormat="true" ht="15" hidden="false" customHeight="true" outlineLevel="0" collapsed="false">
      <c r="A2374" s="752"/>
      <c r="C2374" s="925"/>
      <c r="D2374" s="914"/>
      <c r="E2374" s="914"/>
      <c r="F2374" s="915"/>
      <c r="G2374" s="915"/>
      <c r="H2374" s="691"/>
      <c r="I2374" s="691"/>
      <c r="J2374" s="691"/>
      <c r="K2374" s="691"/>
      <c r="L2374" s="691"/>
      <c r="M2374" s="691"/>
      <c r="N2374" s="691"/>
      <c r="O2374" s="691"/>
      <c r="P2374" s="691"/>
      <c r="Q2374" s="691"/>
      <c r="R2374" s="691"/>
      <c r="S2374" s="691"/>
      <c r="T2374" s="691"/>
      <c r="U2374" s="691"/>
    </row>
    <row r="2375" s="917" customFormat="true" ht="15" hidden="false" customHeight="true" outlineLevel="0" collapsed="false">
      <c r="A2375" s="752"/>
      <c r="C2375" s="925"/>
      <c r="D2375" s="914"/>
      <c r="E2375" s="914"/>
      <c r="F2375" s="915"/>
      <c r="G2375" s="915"/>
      <c r="H2375" s="691"/>
      <c r="I2375" s="691"/>
      <c r="J2375" s="691"/>
      <c r="K2375" s="691"/>
      <c r="L2375" s="691"/>
      <c r="M2375" s="691"/>
      <c r="N2375" s="691"/>
      <c r="O2375" s="691"/>
      <c r="P2375" s="691"/>
      <c r="Q2375" s="691"/>
      <c r="R2375" s="691"/>
      <c r="S2375" s="691"/>
      <c r="T2375" s="691"/>
      <c r="U2375" s="691"/>
    </row>
    <row r="2376" s="917" customFormat="true" ht="15" hidden="false" customHeight="true" outlineLevel="0" collapsed="false">
      <c r="A2376" s="752"/>
      <c r="C2376" s="925"/>
      <c r="D2376" s="914"/>
      <c r="E2376" s="914"/>
      <c r="F2376" s="915"/>
      <c r="G2376" s="915"/>
      <c r="H2376" s="691"/>
      <c r="I2376" s="691"/>
      <c r="J2376" s="691"/>
      <c r="K2376" s="691"/>
      <c r="L2376" s="691"/>
      <c r="M2376" s="691"/>
      <c r="N2376" s="691"/>
      <c r="O2376" s="691"/>
      <c r="P2376" s="691"/>
      <c r="Q2376" s="691"/>
      <c r="R2376" s="691"/>
      <c r="S2376" s="691"/>
      <c r="T2376" s="691"/>
      <c r="U2376" s="691"/>
    </row>
    <row r="2377" s="917" customFormat="true" ht="15" hidden="false" customHeight="true" outlineLevel="0" collapsed="false">
      <c r="A2377" s="752"/>
      <c r="C2377" s="925"/>
      <c r="D2377" s="914"/>
      <c r="E2377" s="914"/>
      <c r="F2377" s="915"/>
      <c r="G2377" s="915"/>
      <c r="H2377" s="691"/>
      <c r="I2377" s="691"/>
      <c r="J2377" s="691"/>
      <c r="K2377" s="691"/>
      <c r="L2377" s="691"/>
      <c r="M2377" s="691"/>
      <c r="N2377" s="691"/>
      <c r="O2377" s="691"/>
      <c r="P2377" s="691"/>
      <c r="Q2377" s="691"/>
      <c r="R2377" s="691"/>
      <c r="S2377" s="691"/>
      <c r="T2377" s="691"/>
      <c r="U2377" s="691"/>
    </row>
    <row r="2378" s="917" customFormat="true" ht="15" hidden="false" customHeight="true" outlineLevel="0" collapsed="false">
      <c r="A2378" s="752"/>
      <c r="C2378" s="925"/>
      <c r="D2378" s="914"/>
      <c r="E2378" s="914"/>
      <c r="F2378" s="915"/>
      <c r="G2378" s="915"/>
      <c r="H2378" s="691"/>
      <c r="I2378" s="691"/>
      <c r="J2378" s="691"/>
      <c r="K2378" s="691"/>
      <c r="L2378" s="691"/>
      <c r="M2378" s="691"/>
      <c r="N2378" s="691"/>
      <c r="O2378" s="691"/>
      <c r="P2378" s="691"/>
      <c r="Q2378" s="691"/>
      <c r="R2378" s="691"/>
      <c r="S2378" s="691"/>
      <c r="T2378" s="691"/>
      <c r="U2378" s="691"/>
    </row>
    <row r="2379" s="917" customFormat="true" ht="15" hidden="false" customHeight="true" outlineLevel="0" collapsed="false">
      <c r="A2379" s="752"/>
      <c r="C2379" s="925"/>
      <c r="D2379" s="914"/>
      <c r="E2379" s="914"/>
      <c r="F2379" s="915"/>
      <c r="G2379" s="915"/>
      <c r="H2379" s="691"/>
      <c r="I2379" s="691"/>
      <c r="J2379" s="691"/>
      <c r="K2379" s="691"/>
      <c r="L2379" s="691"/>
      <c r="M2379" s="691"/>
      <c r="N2379" s="691"/>
      <c r="O2379" s="691"/>
      <c r="P2379" s="691"/>
      <c r="Q2379" s="691"/>
      <c r="R2379" s="691"/>
      <c r="S2379" s="691"/>
      <c r="T2379" s="691"/>
      <c r="U2379" s="691"/>
    </row>
    <row r="2380" s="917" customFormat="true" ht="15" hidden="false" customHeight="true" outlineLevel="0" collapsed="false">
      <c r="A2380" s="752"/>
      <c r="C2380" s="925"/>
      <c r="D2380" s="914"/>
      <c r="E2380" s="914"/>
      <c r="F2380" s="915"/>
      <c r="G2380" s="915"/>
      <c r="H2380" s="691"/>
      <c r="I2380" s="691"/>
      <c r="J2380" s="691"/>
      <c r="K2380" s="691"/>
      <c r="L2380" s="691"/>
      <c r="M2380" s="691"/>
      <c r="N2380" s="691"/>
      <c r="O2380" s="691"/>
      <c r="P2380" s="691"/>
      <c r="Q2380" s="691"/>
      <c r="R2380" s="691"/>
      <c r="S2380" s="691"/>
      <c r="T2380" s="691"/>
      <c r="U2380" s="691"/>
    </row>
    <row r="2381" s="917" customFormat="true" ht="15" hidden="false" customHeight="true" outlineLevel="0" collapsed="false">
      <c r="A2381" s="752"/>
      <c r="C2381" s="925"/>
      <c r="D2381" s="914"/>
      <c r="E2381" s="914"/>
      <c r="F2381" s="915"/>
      <c r="G2381" s="915"/>
      <c r="H2381" s="691"/>
      <c r="I2381" s="691"/>
      <c r="J2381" s="691"/>
      <c r="K2381" s="691"/>
      <c r="L2381" s="691"/>
      <c r="M2381" s="691"/>
      <c r="N2381" s="691"/>
      <c r="O2381" s="691"/>
      <c r="P2381" s="691"/>
      <c r="Q2381" s="691"/>
      <c r="R2381" s="691"/>
      <c r="S2381" s="691"/>
      <c r="T2381" s="691"/>
      <c r="U2381" s="691"/>
    </row>
    <row r="2382" s="917" customFormat="true" ht="15" hidden="false" customHeight="true" outlineLevel="0" collapsed="false">
      <c r="A2382" s="752"/>
      <c r="C2382" s="925"/>
      <c r="D2382" s="914"/>
      <c r="E2382" s="914"/>
      <c r="F2382" s="915"/>
      <c r="G2382" s="915"/>
      <c r="H2382" s="691"/>
      <c r="I2382" s="691"/>
      <c r="J2382" s="691"/>
      <c r="K2382" s="691"/>
      <c r="L2382" s="691"/>
      <c r="M2382" s="691"/>
      <c r="N2382" s="691"/>
      <c r="O2382" s="691"/>
      <c r="P2382" s="691"/>
      <c r="Q2382" s="691"/>
      <c r="R2382" s="691"/>
      <c r="S2382" s="691"/>
      <c r="T2382" s="691"/>
      <c r="U2382" s="691"/>
    </row>
    <row r="2383" s="917" customFormat="true" ht="15" hidden="false" customHeight="true" outlineLevel="0" collapsed="false">
      <c r="A2383" s="752"/>
      <c r="C2383" s="925"/>
      <c r="D2383" s="914"/>
      <c r="E2383" s="914"/>
      <c r="F2383" s="915"/>
      <c r="G2383" s="915"/>
      <c r="H2383" s="691"/>
      <c r="I2383" s="691"/>
      <c r="J2383" s="691"/>
      <c r="K2383" s="691"/>
      <c r="L2383" s="691"/>
      <c r="M2383" s="691"/>
      <c r="N2383" s="691"/>
      <c r="O2383" s="691"/>
      <c r="P2383" s="691"/>
      <c r="Q2383" s="691"/>
      <c r="R2383" s="691"/>
      <c r="S2383" s="691"/>
      <c r="T2383" s="691"/>
      <c r="U2383" s="691"/>
    </row>
    <row r="2384" s="917" customFormat="true" ht="15" hidden="false" customHeight="true" outlineLevel="0" collapsed="false">
      <c r="A2384" s="752"/>
      <c r="C2384" s="925"/>
      <c r="D2384" s="914"/>
      <c r="E2384" s="914"/>
      <c r="F2384" s="915"/>
      <c r="G2384" s="915"/>
      <c r="H2384" s="691"/>
      <c r="I2384" s="691"/>
      <c r="J2384" s="691"/>
      <c r="K2384" s="691"/>
      <c r="L2384" s="691"/>
      <c r="M2384" s="691"/>
      <c r="N2384" s="691"/>
      <c r="O2384" s="691"/>
      <c r="P2384" s="691"/>
      <c r="Q2384" s="691"/>
      <c r="R2384" s="691"/>
      <c r="S2384" s="691"/>
      <c r="T2384" s="691"/>
      <c r="U2384" s="691"/>
    </row>
    <row r="2385" s="917" customFormat="true" ht="15" hidden="false" customHeight="true" outlineLevel="0" collapsed="false">
      <c r="A2385" s="752"/>
      <c r="C2385" s="925"/>
      <c r="D2385" s="914"/>
      <c r="E2385" s="914"/>
      <c r="F2385" s="915"/>
      <c r="G2385" s="915"/>
      <c r="H2385" s="691"/>
      <c r="I2385" s="691"/>
      <c r="J2385" s="691"/>
      <c r="K2385" s="691"/>
      <c r="L2385" s="691"/>
      <c r="M2385" s="691"/>
      <c r="N2385" s="691"/>
      <c r="O2385" s="691"/>
      <c r="P2385" s="691"/>
      <c r="Q2385" s="691"/>
      <c r="R2385" s="691"/>
      <c r="S2385" s="691"/>
      <c r="T2385" s="691"/>
      <c r="U2385" s="691"/>
    </row>
    <row r="2386" s="917" customFormat="true" ht="15" hidden="false" customHeight="true" outlineLevel="0" collapsed="false">
      <c r="A2386" s="752"/>
      <c r="C2386" s="925"/>
      <c r="D2386" s="914"/>
      <c r="E2386" s="914"/>
      <c r="F2386" s="915"/>
      <c r="G2386" s="915"/>
      <c r="H2386" s="691"/>
      <c r="I2386" s="691"/>
      <c r="J2386" s="691"/>
      <c r="K2386" s="691"/>
      <c r="L2386" s="691"/>
      <c r="M2386" s="691"/>
      <c r="N2386" s="691"/>
      <c r="O2386" s="691"/>
      <c r="P2386" s="691"/>
      <c r="Q2386" s="691"/>
      <c r="R2386" s="691"/>
      <c r="S2386" s="691"/>
      <c r="T2386" s="691"/>
      <c r="U2386" s="691"/>
    </row>
    <row r="2387" s="917" customFormat="true" ht="15" hidden="false" customHeight="true" outlineLevel="0" collapsed="false">
      <c r="A2387" s="752"/>
      <c r="C2387" s="925"/>
      <c r="D2387" s="914"/>
      <c r="E2387" s="914"/>
      <c r="F2387" s="915"/>
      <c r="G2387" s="915"/>
      <c r="H2387" s="691"/>
      <c r="I2387" s="691"/>
      <c r="J2387" s="691"/>
      <c r="K2387" s="691"/>
      <c r="L2387" s="691"/>
      <c r="M2387" s="691"/>
      <c r="N2387" s="691"/>
      <c r="O2387" s="691"/>
      <c r="P2387" s="691"/>
      <c r="Q2387" s="691"/>
      <c r="R2387" s="691"/>
      <c r="S2387" s="691"/>
      <c r="T2387" s="691"/>
      <c r="U2387" s="691"/>
    </row>
    <row r="2388" s="917" customFormat="true" ht="15" hidden="false" customHeight="true" outlineLevel="0" collapsed="false">
      <c r="A2388" s="752"/>
      <c r="C2388" s="925"/>
      <c r="D2388" s="914"/>
      <c r="E2388" s="914"/>
      <c r="F2388" s="915"/>
      <c r="G2388" s="915"/>
      <c r="H2388" s="691"/>
      <c r="I2388" s="691"/>
      <c r="J2388" s="691"/>
      <c r="K2388" s="691"/>
      <c r="L2388" s="691"/>
      <c r="M2388" s="691"/>
      <c r="N2388" s="691"/>
      <c r="O2388" s="691"/>
      <c r="P2388" s="691"/>
      <c r="Q2388" s="691"/>
      <c r="R2388" s="691"/>
      <c r="S2388" s="691"/>
      <c r="T2388" s="691"/>
      <c r="U2388" s="691"/>
    </row>
    <row r="2389" s="917" customFormat="true" ht="15" hidden="false" customHeight="true" outlineLevel="0" collapsed="false">
      <c r="A2389" s="752"/>
      <c r="C2389" s="925"/>
      <c r="D2389" s="914"/>
      <c r="E2389" s="914"/>
      <c r="F2389" s="915"/>
      <c r="G2389" s="915"/>
      <c r="H2389" s="691"/>
      <c r="I2389" s="691"/>
      <c r="J2389" s="691"/>
      <c r="K2389" s="691"/>
      <c r="L2389" s="691"/>
      <c r="M2389" s="691"/>
      <c r="N2389" s="691"/>
      <c r="O2389" s="691"/>
      <c r="P2389" s="691"/>
      <c r="Q2389" s="691"/>
      <c r="R2389" s="691"/>
      <c r="S2389" s="691"/>
      <c r="T2389" s="691"/>
      <c r="U2389" s="691"/>
    </row>
    <row r="2390" s="917" customFormat="true" ht="15" hidden="false" customHeight="true" outlineLevel="0" collapsed="false">
      <c r="A2390" s="752"/>
      <c r="C2390" s="925"/>
      <c r="D2390" s="914"/>
      <c r="E2390" s="914"/>
      <c r="F2390" s="915"/>
      <c r="G2390" s="915"/>
      <c r="H2390" s="691"/>
      <c r="I2390" s="691"/>
      <c r="J2390" s="691"/>
      <c r="K2390" s="691"/>
      <c r="L2390" s="691"/>
      <c r="M2390" s="691"/>
      <c r="N2390" s="691"/>
      <c r="O2390" s="691"/>
      <c r="P2390" s="691"/>
      <c r="Q2390" s="691"/>
      <c r="R2390" s="691"/>
      <c r="S2390" s="691"/>
      <c r="T2390" s="691"/>
      <c r="U2390" s="691"/>
    </row>
    <row r="2391" s="917" customFormat="true" ht="15" hidden="false" customHeight="true" outlineLevel="0" collapsed="false">
      <c r="A2391" s="752"/>
      <c r="C2391" s="925"/>
      <c r="D2391" s="914"/>
      <c r="E2391" s="914"/>
      <c r="F2391" s="915"/>
      <c r="G2391" s="915"/>
      <c r="H2391" s="691"/>
      <c r="I2391" s="691"/>
      <c r="J2391" s="691"/>
      <c r="K2391" s="691"/>
      <c r="L2391" s="691"/>
      <c r="M2391" s="691"/>
      <c r="N2391" s="691"/>
      <c r="O2391" s="691"/>
      <c r="P2391" s="691"/>
      <c r="Q2391" s="691"/>
      <c r="R2391" s="691"/>
      <c r="S2391" s="691"/>
      <c r="T2391" s="691"/>
      <c r="U2391" s="691"/>
    </row>
    <row r="2392" s="917" customFormat="true" ht="15" hidden="false" customHeight="true" outlineLevel="0" collapsed="false">
      <c r="A2392" s="752"/>
      <c r="C2392" s="925"/>
      <c r="D2392" s="914"/>
      <c r="E2392" s="914"/>
      <c r="F2392" s="915"/>
      <c r="G2392" s="915"/>
      <c r="H2392" s="691"/>
      <c r="I2392" s="691"/>
      <c r="J2392" s="691"/>
      <c r="K2392" s="691"/>
      <c r="L2392" s="691"/>
      <c r="M2392" s="691"/>
      <c r="N2392" s="691"/>
      <c r="O2392" s="691"/>
      <c r="P2392" s="691"/>
      <c r="Q2392" s="691"/>
      <c r="R2392" s="691"/>
      <c r="S2392" s="691"/>
      <c r="T2392" s="691"/>
      <c r="U2392" s="691"/>
    </row>
    <row r="2393" s="917" customFormat="true" ht="15" hidden="false" customHeight="true" outlineLevel="0" collapsed="false">
      <c r="A2393" s="752"/>
      <c r="C2393" s="925"/>
      <c r="D2393" s="914"/>
      <c r="E2393" s="914"/>
      <c r="F2393" s="915"/>
      <c r="G2393" s="915"/>
      <c r="H2393" s="691"/>
      <c r="I2393" s="691"/>
      <c r="J2393" s="691"/>
      <c r="K2393" s="691"/>
      <c r="L2393" s="691"/>
      <c r="M2393" s="691"/>
      <c r="N2393" s="691"/>
      <c r="O2393" s="691"/>
      <c r="P2393" s="691"/>
      <c r="Q2393" s="691"/>
      <c r="R2393" s="691"/>
      <c r="S2393" s="691"/>
      <c r="T2393" s="691"/>
      <c r="U2393" s="691"/>
    </row>
    <row r="2394" s="917" customFormat="true" ht="15" hidden="false" customHeight="true" outlineLevel="0" collapsed="false">
      <c r="A2394" s="752"/>
      <c r="C2394" s="925"/>
      <c r="D2394" s="914"/>
      <c r="E2394" s="914"/>
      <c r="F2394" s="915"/>
      <c r="G2394" s="915"/>
      <c r="H2394" s="691"/>
      <c r="I2394" s="691"/>
      <c r="J2394" s="691"/>
      <c r="K2394" s="691"/>
      <c r="L2394" s="691"/>
      <c r="M2394" s="691"/>
      <c r="N2394" s="691"/>
      <c r="O2394" s="691"/>
      <c r="P2394" s="691"/>
      <c r="Q2394" s="691"/>
      <c r="R2394" s="691"/>
      <c r="S2394" s="691"/>
      <c r="T2394" s="691"/>
      <c r="U2394" s="691"/>
    </row>
    <row r="2395" s="917" customFormat="true" ht="15" hidden="false" customHeight="true" outlineLevel="0" collapsed="false">
      <c r="A2395" s="752"/>
      <c r="C2395" s="925"/>
      <c r="D2395" s="914"/>
      <c r="E2395" s="914"/>
      <c r="F2395" s="915"/>
      <c r="G2395" s="915"/>
      <c r="H2395" s="691"/>
      <c r="I2395" s="691"/>
      <c r="J2395" s="691"/>
      <c r="K2395" s="691"/>
      <c r="L2395" s="691"/>
      <c r="M2395" s="691"/>
      <c r="N2395" s="691"/>
      <c r="O2395" s="691"/>
      <c r="P2395" s="691"/>
      <c r="Q2395" s="691"/>
      <c r="R2395" s="691"/>
      <c r="S2395" s="691"/>
      <c r="T2395" s="691"/>
      <c r="U2395" s="691"/>
    </row>
    <row r="2396" s="917" customFormat="true" ht="15" hidden="false" customHeight="true" outlineLevel="0" collapsed="false">
      <c r="A2396" s="752"/>
      <c r="C2396" s="925"/>
      <c r="D2396" s="914"/>
      <c r="E2396" s="914"/>
      <c r="F2396" s="915"/>
      <c r="G2396" s="915"/>
      <c r="H2396" s="691"/>
      <c r="I2396" s="691"/>
      <c r="J2396" s="691"/>
      <c r="K2396" s="691"/>
      <c r="L2396" s="691"/>
      <c r="M2396" s="691"/>
      <c r="N2396" s="691"/>
      <c r="O2396" s="691"/>
      <c r="P2396" s="691"/>
      <c r="Q2396" s="691"/>
      <c r="R2396" s="691"/>
      <c r="S2396" s="691"/>
      <c r="T2396" s="691"/>
      <c r="U2396" s="691"/>
    </row>
    <row r="2397" s="917" customFormat="true" ht="15" hidden="false" customHeight="true" outlineLevel="0" collapsed="false">
      <c r="A2397" s="752"/>
      <c r="C2397" s="925"/>
      <c r="D2397" s="914"/>
      <c r="E2397" s="914"/>
      <c r="F2397" s="915"/>
      <c r="G2397" s="915"/>
      <c r="H2397" s="691"/>
      <c r="I2397" s="691"/>
      <c r="J2397" s="691"/>
      <c r="K2397" s="691"/>
      <c r="L2397" s="691"/>
      <c r="M2397" s="691"/>
      <c r="N2397" s="691"/>
      <c r="O2397" s="691"/>
      <c r="P2397" s="691"/>
      <c r="Q2397" s="691"/>
      <c r="R2397" s="691"/>
      <c r="S2397" s="691"/>
      <c r="T2397" s="691"/>
      <c r="U2397" s="691"/>
    </row>
    <row r="2398" s="917" customFormat="true" ht="15" hidden="false" customHeight="true" outlineLevel="0" collapsed="false">
      <c r="A2398" s="752"/>
      <c r="C2398" s="925"/>
      <c r="D2398" s="914"/>
      <c r="E2398" s="914"/>
      <c r="F2398" s="915"/>
      <c r="G2398" s="915"/>
      <c r="H2398" s="691"/>
      <c r="I2398" s="691"/>
      <c r="J2398" s="691"/>
      <c r="K2398" s="691"/>
      <c r="L2398" s="691"/>
      <c r="M2398" s="691"/>
      <c r="N2398" s="691"/>
      <c r="O2398" s="691"/>
      <c r="P2398" s="691"/>
      <c r="Q2398" s="691"/>
      <c r="R2398" s="691"/>
      <c r="S2398" s="691"/>
      <c r="T2398" s="691"/>
      <c r="U2398" s="691"/>
    </row>
    <row r="2399" s="917" customFormat="true" ht="15" hidden="false" customHeight="true" outlineLevel="0" collapsed="false">
      <c r="A2399" s="752"/>
      <c r="C2399" s="925"/>
      <c r="D2399" s="914"/>
      <c r="E2399" s="914"/>
      <c r="F2399" s="915"/>
      <c r="G2399" s="915"/>
      <c r="H2399" s="691"/>
      <c r="I2399" s="691"/>
      <c r="J2399" s="691"/>
      <c r="K2399" s="691"/>
      <c r="L2399" s="691"/>
      <c r="M2399" s="691"/>
      <c r="N2399" s="691"/>
      <c r="O2399" s="691"/>
      <c r="P2399" s="691"/>
      <c r="Q2399" s="691"/>
      <c r="R2399" s="691"/>
      <c r="S2399" s="691"/>
      <c r="T2399" s="691"/>
      <c r="U2399" s="691"/>
    </row>
    <row r="2400" s="917" customFormat="true" ht="15" hidden="false" customHeight="true" outlineLevel="0" collapsed="false">
      <c r="A2400" s="752"/>
      <c r="C2400" s="925"/>
      <c r="D2400" s="914"/>
      <c r="E2400" s="914"/>
      <c r="F2400" s="915"/>
      <c r="G2400" s="915"/>
      <c r="H2400" s="691"/>
      <c r="I2400" s="691"/>
      <c r="J2400" s="691"/>
      <c r="K2400" s="691"/>
      <c r="L2400" s="691"/>
      <c r="M2400" s="691"/>
      <c r="N2400" s="691"/>
      <c r="O2400" s="691"/>
      <c r="P2400" s="691"/>
      <c r="Q2400" s="691"/>
      <c r="R2400" s="691"/>
      <c r="S2400" s="691"/>
      <c r="T2400" s="691"/>
      <c r="U2400" s="691"/>
    </row>
    <row r="2401" s="917" customFormat="true" ht="15" hidden="false" customHeight="true" outlineLevel="0" collapsed="false">
      <c r="A2401" s="752"/>
      <c r="C2401" s="925"/>
      <c r="D2401" s="914"/>
      <c r="E2401" s="914"/>
      <c r="F2401" s="915"/>
      <c r="G2401" s="915"/>
      <c r="H2401" s="691"/>
      <c r="I2401" s="691"/>
      <c r="J2401" s="691"/>
      <c r="K2401" s="691"/>
      <c r="L2401" s="691"/>
      <c r="M2401" s="691"/>
      <c r="N2401" s="691"/>
      <c r="O2401" s="691"/>
      <c r="P2401" s="691"/>
      <c r="Q2401" s="691"/>
      <c r="R2401" s="691"/>
      <c r="S2401" s="691"/>
      <c r="T2401" s="691"/>
      <c r="U2401" s="691"/>
    </row>
    <row r="2402" s="917" customFormat="true" ht="15" hidden="false" customHeight="true" outlineLevel="0" collapsed="false">
      <c r="A2402" s="752"/>
      <c r="C2402" s="925"/>
      <c r="D2402" s="914"/>
      <c r="E2402" s="914"/>
      <c r="F2402" s="915"/>
      <c r="G2402" s="915"/>
      <c r="H2402" s="691"/>
      <c r="I2402" s="691"/>
      <c r="J2402" s="691"/>
      <c r="K2402" s="691"/>
      <c r="L2402" s="691"/>
      <c r="M2402" s="691"/>
      <c r="N2402" s="691"/>
      <c r="O2402" s="691"/>
      <c r="P2402" s="691"/>
      <c r="Q2402" s="691"/>
      <c r="R2402" s="691"/>
      <c r="S2402" s="691"/>
      <c r="T2402" s="691"/>
      <c r="U2402" s="691"/>
    </row>
    <row r="2403" s="917" customFormat="true" ht="15" hidden="false" customHeight="true" outlineLevel="0" collapsed="false">
      <c r="A2403" s="752"/>
      <c r="C2403" s="925"/>
      <c r="D2403" s="914"/>
      <c r="E2403" s="914"/>
      <c r="F2403" s="915"/>
      <c r="G2403" s="915"/>
      <c r="H2403" s="691"/>
      <c r="I2403" s="691"/>
      <c r="J2403" s="691"/>
      <c r="K2403" s="691"/>
      <c r="L2403" s="691"/>
      <c r="M2403" s="691"/>
      <c r="N2403" s="691"/>
      <c r="O2403" s="691"/>
      <c r="P2403" s="691"/>
      <c r="Q2403" s="691"/>
      <c r="R2403" s="691"/>
      <c r="S2403" s="691"/>
      <c r="T2403" s="691"/>
      <c r="U2403" s="691"/>
    </row>
    <row r="2404" s="917" customFormat="true" ht="15" hidden="false" customHeight="true" outlineLevel="0" collapsed="false">
      <c r="A2404" s="752"/>
      <c r="C2404" s="925"/>
      <c r="D2404" s="914"/>
      <c r="E2404" s="914"/>
      <c r="F2404" s="915"/>
      <c r="G2404" s="915"/>
      <c r="H2404" s="691"/>
      <c r="I2404" s="691"/>
      <c r="J2404" s="691"/>
      <c r="K2404" s="691"/>
      <c r="L2404" s="691"/>
      <c r="M2404" s="691"/>
      <c r="N2404" s="691"/>
      <c r="O2404" s="691"/>
      <c r="P2404" s="691"/>
      <c r="Q2404" s="691"/>
      <c r="R2404" s="691"/>
      <c r="S2404" s="691"/>
      <c r="T2404" s="691"/>
      <c r="U2404" s="691"/>
    </row>
    <row r="2405" s="917" customFormat="true" ht="15" hidden="false" customHeight="true" outlineLevel="0" collapsed="false">
      <c r="A2405" s="752"/>
      <c r="C2405" s="925"/>
      <c r="D2405" s="914"/>
      <c r="E2405" s="914"/>
      <c r="F2405" s="915"/>
      <c r="G2405" s="915"/>
      <c r="H2405" s="691"/>
      <c r="I2405" s="691"/>
      <c r="J2405" s="691"/>
      <c r="K2405" s="691"/>
      <c r="L2405" s="691"/>
      <c r="M2405" s="691"/>
      <c r="N2405" s="691"/>
      <c r="O2405" s="691"/>
      <c r="P2405" s="691"/>
      <c r="Q2405" s="691"/>
      <c r="R2405" s="691"/>
      <c r="S2405" s="691"/>
      <c r="T2405" s="691"/>
      <c r="U2405" s="691"/>
    </row>
    <row r="2406" s="917" customFormat="true" ht="15" hidden="false" customHeight="true" outlineLevel="0" collapsed="false">
      <c r="A2406" s="752"/>
      <c r="C2406" s="925"/>
      <c r="D2406" s="914"/>
      <c r="E2406" s="914"/>
      <c r="F2406" s="915"/>
      <c r="G2406" s="915"/>
      <c r="H2406" s="691"/>
      <c r="I2406" s="691"/>
      <c r="J2406" s="691"/>
      <c r="K2406" s="691"/>
      <c r="L2406" s="691"/>
      <c r="M2406" s="691"/>
      <c r="N2406" s="691"/>
      <c r="O2406" s="691"/>
      <c r="P2406" s="691"/>
      <c r="Q2406" s="691"/>
      <c r="R2406" s="691"/>
      <c r="S2406" s="691"/>
      <c r="T2406" s="691"/>
      <c r="U2406" s="691"/>
    </row>
    <row r="2407" s="917" customFormat="true" ht="15" hidden="false" customHeight="true" outlineLevel="0" collapsed="false">
      <c r="A2407" s="752"/>
      <c r="C2407" s="925"/>
      <c r="D2407" s="914"/>
      <c r="E2407" s="914"/>
      <c r="F2407" s="915"/>
      <c r="G2407" s="915"/>
      <c r="H2407" s="691"/>
      <c r="I2407" s="691"/>
      <c r="J2407" s="691"/>
      <c r="K2407" s="691"/>
      <c r="L2407" s="691"/>
      <c r="M2407" s="691"/>
      <c r="N2407" s="691"/>
      <c r="O2407" s="691"/>
      <c r="P2407" s="691"/>
      <c r="Q2407" s="691"/>
      <c r="R2407" s="691"/>
      <c r="S2407" s="691"/>
      <c r="T2407" s="691"/>
      <c r="U2407" s="691"/>
    </row>
    <row r="2408" s="917" customFormat="true" ht="15" hidden="false" customHeight="true" outlineLevel="0" collapsed="false">
      <c r="A2408" s="752"/>
      <c r="C2408" s="925"/>
      <c r="D2408" s="914"/>
      <c r="E2408" s="914"/>
      <c r="F2408" s="915"/>
      <c r="G2408" s="915"/>
      <c r="H2408" s="691"/>
      <c r="I2408" s="691"/>
      <c r="J2408" s="691"/>
      <c r="K2408" s="691"/>
      <c r="L2408" s="691"/>
      <c r="M2408" s="691"/>
      <c r="N2408" s="691"/>
      <c r="O2408" s="691"/>
      <c r="P2408" s="691"/>
      <c r="Q2408" s="691"/>
      <c r="R2408" s="691"/>
      <c r="S2408" s="691"/>
      <c r="T2408" s="691"/>
      <c r="U2408" s="691"/>
    </row>
    <row r="2409" s="917" customFormat="true" ht="15" hidden="false" customHeight="true" outlineLevel="0" collapsed="false">
      <c r="A2409" s="752"/>
      <c r="C2409" s="925"/>
      <c r="D2409" s="914"/>
      <c r="E2409" s="914"/>
      <c r="F2409" s="915"/>
      <c r="G2409" s="915"/>
      <c r="H2409" s="691"/>
      <c r="I2409" s="691"/>
      <c r="J2409" s="691"/>
      <c r="K2409" s="691"/>
      <c r="L2409" s="691"/>
      <c r="M2409" s="691"/>
      <c r="N2409" s="691"/>
      <c r="O2409" s="691"/>
      <c r="P2409" s="691"/>
      <c r="Q2409" s="691"/>
      <c r="R2409" s="691"/>
      <c r="S2409" s="691"/>
      <c r="T2409" s="691"/>
      <c r="U2409" s="691"/>
    </row>
    <row r="2410" s="917" customFormat="true" ht="15" hidden="false" customHeight="true" outlineLevel="0" collapsed="false">
      <c r="A2410" s="752"/>
      <c r="C2410" s="925"/>
      <c r="D2410" s="914"/>
      <c r="E2410" s="914"/>
      <c r="F2410" s="915"/>
      <c r="G2410" s="915"/>
      <c r="H2410" s="691"/>
      <c r="I2410" s="691"/>
      <c r="J2410" s="691"/>
      <c r="K2410" s="691"/>
      <c r="L2410" s="691"/>
      <c r="M2410" s="691"/>
      <c r="N2410" s="691"/>
      <c r="O2410" s="691"/>
      <c r="P2410" s="691"/>
      <c r="Q2410" s="691"/>
      <c r="R2410" s="691"/>
      <c r="S2410" s="691"/>
      <c r="T2410" s="691"/>
      <c r="U2410" s="691"/>
    </row>
    <row r="2411" s="917" customFormat="true" ht="15" hidden="false" customHeight="true" outlineLevel="0" collapsed="false">
      <c r="A2411" s="752"/>
      <c r="C2411" s="925"/>
      <c r="D2411" s="914"/>
      <c r="E2411" s="914"/>
      <c r="F2411" s="915"/>
      <c r="G2411" s="915"/>
      <c r="H2411" s="691"/>
      <c r="I2411" s="691"/>
      <c r="J2411" s="691"/>
      <c r="K2411" s="691"/>
      <c r="L2411" s="691"/>
      <c r="M2411" s="691"/>
      <c r="N2411" s="691"/>
      <c r="O2411" s="691"/>
      <c r="P2411" s="691"/>
      <c r="Q2411" s="691"/>
      <c r="R2411" s="691"/>
      <c r="S2411" s="691"/>
      <c r="T2411" s="691"/>
      <c r="U2411" s="691"/>
    </row>
    <row r="2412" s="917" customFormat="true" ht="15" hidden="false" customHeight="true" outlineLevel="0" collapsed="false">
      <c r="A2412" s="752"/>
      <c r="C2412" s="925"/>
      <c r="D2412" s="914"/>
      <c r="E2412" s="914"/>
      <c r="F2412" s="915"/>
      <c r="G2412" s="915"/>
      <c r="H2412" s="691"/>
      <c r="I2412" s="691"/>
      <c r="J2412" s="691"/>
      <c r="K2412" s="691"/>
      <c r="L2412" s="691"/>
      <c r="M2412" s="691"/>
      <c r="N2412" s="691"/>
      <c r="O2412" s="691"/>
      <c r="P2412" s="691"/>
      <c r="Q2412" s="691"/>
      <c r="R2412" s="691"/>
      <c r="S2412" s="691"/>
      <c r="T2412" s="691"/>
      <c r="U2412" s="691"/>
    </row>
    <row r="2413" s="917" customFormat="true" ht="15" hidden="false" customHeight="true" outlineLevel="0" collapsed="false">
      <c r="A2413" s="752"/>
      <c r="C2413" s="925"/>
      <c r="D2413" s="914"/>
      <c r="E2413" s="914"/>
      <c r="F2413" s="915"/>
      <c r="G2413" s="915"/>
      <c r="H2413" s="691"/>
      <c r="I2413" s="691"/>
      <c r="J2413" s="691"/>
      <c r="K2413" s="691"/>
      <c r="L2413" s="691"/>
      <c r="M2413" s="691"/>
      <c r="N2413" s="691"/>
      <c r="O2413" s="691"/>
      <c r="P2413" s="691"/>
      <c r="Q2413" s="691"/>
      <c r="R2413" s="691"/>
      <c r="S2413" s="691"/>
      <c r="T2413" s="691"/>
      <c r="U2413" s="691"/>
    </row>
    <row r="2414" s="917" customFormat="true" ht="15" hidden="false" customHeight="true" outlineLevel="0" collapsed="false">
      <c r="A2414" s="752"/>
      <c r="C2414" s="925"/>
      <c r="D2414" s="914"/>
      <c r="E2414" s="914"/>
      <c r="F2414" s="915"/>
      <c r="G2414" s="915"/>
      <c r="H2414" s="691"/>
      <c r="I2414" s="691"/>
      <c r="J2414" s="691"/>
      <c r="K2414" s="691"/>
      <c r="L2414" s="691"/>
      <c r="M2414" s="691"/>
      <c r="N2414" s="691"/>
      <c r="O2414" s="691"/>
      <c r="P2414" s="691"/>
      <c r="Q2414" s="691"/>
      <c r="R2414" s="691"/>
      <c r="S2414" s="691"/>
      <c r="T2414" s="691"/>
      <c r="U2414" s="691"/>
    </row>
    <row r="2415" s="917" customFormat="true" ht="15" hidden="false" customHeight="true" outlineLevel="0" collapsed="false">
      <c r="A2415" s="752"/>
      <c r="C2415" s="925"/>
      <c r="D2415" s="914"/>
      <c r="E2415" s="914"/>
      <c r="F2415" s="915"/>
      <c r="G2415" s="915"/>
      <c r="H2415" s="691"/>
      <c r="I2415" s="691"/>
      <c r="J2415" s="691"/>
      <c r="K2415" s="691"/>
      <c r="L2415" s="691"/>
      <c r="M2415" s="691"/>
      <c r="N2415" s="691"/>
      <c r="O2415" s="691"/>
      <c r="P2415" s="691"/>
      <c r="Q2415" s="691"/>
      <c r="R2415" s="691"/>
      <c r="S2415" s="691"/>
      <c r="T2415" s="691"/>
      <c r="U2415" s="691"/>
    </row>
    <row r="2416" s="917" customFormat="true" ht="15" hidden="false" customHeight="true" outlineLevel="0" collapsed="false">
      <c r="A2416" s="752"/>
      <c r="C2416" s="925"/>
      <c r="D2416" s="914"/>
      <c r="E2416" s="914"/>
      <c r="F2416" s="915"/>
      <c r="G2416" s="915"/>
      <c r="H2416" s="691"/>
      <c r="I2416" s="691"/>
      <c r="J2416" s="691"/>
      <c r="K2416" s="691"/>
      <c r="L2416" s="691"/>
      <c r="M2416" s="691"/>
      <c r="N2416" s="691"/>
      <c r="O2416" s="691"/>
      <c r="P2416" s="691"/>
      <c r="Q2416" s="691"/>
      <c r="R2416" s="691"/>
      <c r="S2416" s="691"/>
      <c r="T2416" s="691"/>
      <c r="U2416" s="691"/>
    </row>
    <row r="2417" s="917" customFormat="true" ht="15" hidden="false" customHeight="true" outlineLevel="0" collapsed="false">
      <c r="A2417" s="752"/>
      <c r="C2417" s="925"/>
      <c r="D2417" s="914"/>
      <c r="E2417" s="914"/>
      <c r="F2417" s="915"/>
      <c r="G2417" s="915"/>
      <c r="H2417" s="691"/>
      <c r="I2417" s="691"/>
      <c r="J2417" s="691"/>
      <c r="K2417" s="691"/>
      <c r="L2417" s="691"/>
      <c r="M2417" s="691"/>
      <c r="N2417" s="691"/>
      <c r="O2417" s="691"/>
      <c r="P2417" s="691"/>
      <c r="Q2417" s="691"/>
      <c r="R2417" s="691"/>
      <c r="S2417" s="691"/>
      <c r="T2417" s="691"/>
      <c r="U2417" s="691"/>
    </row>
    <row r="2418" s="917" customFormat="true" ht="15" hidden="false" customHeight="true" outlineLevel="0" collapsed="false">
      <c r="A2418" s="752"/>
      <c r="C2418" s="925"/>
      <c r="D2418" s="914"/>
      <c r="E2418" s="914"/>
      <c r="F2418" s="915"/>
      <c r="G2418" s="915"/>
      <c r="H2418" s="691"/>
      <c r="I2418" s="691"/>
      <c r="J2418" s="691"/>
      <c r="K2418" s="691"/>
      <c r="L2418" s="691"/>
      <c r="M2418" s="691"/>
      <c r="N2418" s="691"/>
      <c r="O2418" s="691"/>
      <c r="P2418" s="691"/>
      <c r="Q2418" s="691"/>
      <c r="R2418" s="691"/>
      <c r="S2418" s="691"/>
      <c r="T2418" s="691"/>
      <c r="U2418" s="691"/>
    </row>
    <row r="2419" s="917" customFormat="true" ht="15" hidden="false" customHeight="true" outlineLevel="0" collapsed="false">
      <c r="A2419" s="752"/>
      <c r="C2419" s="925"/>
      <c r="D2419" s="914"/>
      <c r="E2419" s="914"/>
      <c r="F2419" s="915"/>
      <c r="G2419" s="915"/>
      <c r="H2419" s="691"/>
      <c r="I2419" s="691"/>
      <c r="J2419" s="691"/>
      <c r="K2419" s="691"/>
      <c r="L2419" s="691"/>
      <c r="M2419" s="691"/>
      <c r="N2419" s="691"/>
      <c r="O2419" s="691"/>
      <c r="P2419" s="691"/>
      <c r="Q2419" s="691"/>
      <c r="R2419" s="691"/>
      <c r="S2419" s="691"/>
      <c r="T2419" s="691"/>
      <c r="U2419" s="691"/>
    </row>
    <row r="2420" s="917" customFormat="true" ht="15" hidden="false" customHeight="true" outlineLevel="0" collapsed="false">
      <c r="A2420" s="752"/>
      <c r="C2420" s="925"/>
      <c r="D2420" s="914"/>
      <c r="E2420" s="914"/>
      <c r="F2420" s="915"/>
      <c r="G2420" s="915"/>
      <c r="H2420" s="691"/>
      <c r="I2420" s="691"/>
      <c r="J2420" s="691"/>
      <c r="K2420" s="691"/>
      <c r="L2420" s="691"/>
      <c r="M2420" s="691"/>
      <c r="N2420" s="691"/>
      <c r="O2420" s="691"/>
      <c r="P2420" s="691"/>
      <c r="Q2420" s="691"/>
      <c r="R2420" s="691"/>
      <c r="S2420" s="691"/>
      <c r="T2420" s="691"/>
      <c r="U2420" s="691"/>
    </row>
    <row r="2421" s="917" customFormat="true" ht="15" hidden="false" customHeight="true" outlineLevel="0" collapsed="false">
      <c r="A2421" s="752"/>
      <c r="C2421" s="925"/>
      <c r="D2421" s="914"/>
      <c r="E2421" s="914"/>
      <c r="F2421" s="915"/>
      <c r="G2421" s="915"/>
      <c r="H2421" s="691"/>
      <c r="I2421" s="691"/>
      <c r="J2421" s="691"/>
      <c r="K2421" s="691"/>
      <c r="L2421" s="691"/>
      <c r="M2421" s="691"/>
      <c r="N2421" s="691"/>
      <c r="O2421" s="691"/>
      <c r="P2421" s="691"/>
      <c r="Q2421" s="691"/>
      <c r="R2421" s="691"/>
      <c r="S2421" s="691"/>
      <c r="T2421" s="691"/>
      <c r="U2421" s="691"/>
    </row>
    <row r="2422" s="917" customFormat="true" ht="15" hidden="false" customHeight="true" outlineLevel="0" collapsed="false">
      <c r="A2422" s="752"/>
      <c r="C2422" s="925"/>
      <c r="D2422" s="914"/>
      <c r="E2422" s="914"/>
      <c r="F2422" s="915"/>
      <c r="G2422" s="915"/>
      <c r="H2422" s="691"/>
      <c r="I2422" s="691"/>
      <c r="J2422" s="691"/>
      <c r="K2422" s="691"/>
      <c r="L2422" s="691"/>
      <c r="M2422" s="691"/>
      <c r="N2422" s="691"/>
      <c r="O2422" s="691"/>
      <c r="P2422" s="691"/>
      <c r="Q2422" s="691"/>
      <c r="R2422" s="691"/>
      <c r="S2422" s="691"/>
      <c r="T2422" s="691"/>
      <c r="U2422" s="691"/>
    </row>
    <row r="2423" s="917" customFormat="true" ht="15" hidden="false" customHeight="true" outlineLevel="0" collapsed="false">
      <c r="A2423" s="752"/>
      <c r="C2423" s="925"/>
      <c r="D2423" s="914"/>
      <c r="E2423" s="914"/>
      <c r="F2423" s="915"/>
      <c r="G2423" s="915"/>
      <c r="H2423" s="691"/>
      <c r="I2423" s="691"/>
      <c r="J2423" s="691"/>
      <c r="K2423" s="691"/>
      <c r="L2423" s="691"/>
      <c r="M2423" s="691"/>
      <c r="N2423" s="691"/>
      <c r="O2423" s="691"/>
      <c r="P2423" s="691"/>
      <c r="Q2423" s="691"/>
      <c r="R2423" s="691"/>
      <c r="S2423" s="691"/>
      <c r="T2423" s="691"/>
      <c r="U2423" s="691"/>
    </row>
    <row r="2424" s="917" customFormat="true" ht="15" hidden="false" customHeight="true" outlineLevel="0" collapsed="false">
      <c r="A2424" s="752"/>
      <c r="C2424" s="925"/>
      <c r="D2424" s="914"/>
      <c r="E2424" s="914"/>
      <c r="F2424" s="915"/>
      <c r="G2424" s="915"/>
      <c r="H2424" s="691"/>
      <c r="I2424" s="691"/>
      <c r="J2424" s="691"/>
      <c r="K2424" s="691"/>
      <c r="L2424" s="691"/>
      <c r="M2424" s="691"/>
      <c r="N2424" s="691"/>
      <c r="O2424" s="691"/>
      <c r="P2424" s="691"/>
      <c r="Q2424" s="691"/>
      <c r="R2424" s="691"/>
      <c r="S2424" s="691"/>
      <c r="T2424" s="691"/>
      <c r="U2424" s="691"/>
    </row>
    <row r="2425" s="917" customFormat="true" ht="15" hidden="false" customHeight="true" outlineLevel="0" collapsed="false">
      <c r="A2425" s="752"/>
      <c r="C2425" s="925"/>
      <c r="D2425" s="914"/>
      <c r="E2425" s="914"/>
      <c r="F2425" s="915"/>
      <c r="G2425" s="915"/>
      <c r="H2425" s="691"/>
      <c r="I2425" s="691"/>
      <c r="J2425" s="691"/>
      <c r="K2425" s="691"/>
      <c r="L2425" s="691"/>
      <c r="M2425" s="691"/>
      <c r="N2425" s="691"/>
      <c r="O2425" s="691"/>
      <c r="P2425" s="691"/>
      <c r="Q2425" s="691"/>
      <c r="R2425" s="691"/>
      <c r="S2425" s="691"/>
      <c r="T2425" s="691"/>
      <c r="U2425" s="691"/>
    </row>
    <row r="2426" s="917" customFormat="true" ht="15" hidden="false" customHeight="true" outlineLevel="0" collapsed="false">
      <c r="A2426" s="752"/>
      <c r="C2426" s="925"/>
      <c r="D2426" s="914"/>
      <c r="E2426" s="914"/>
      <c r="F2426" s="915"/>
      <c r="G2426" s="915"/>
      <c r="H2426" s="691"/>
      <c r="I2426" s="691"/>
      <c r="J2426" s="691"/>
      <c r="K2426" s="691"/>
      <c r="L2426" s="691"/>
      <c r="M2426" s="691"/>
      <c r="N2426" s="691"/>
      <c r="O2426" s="691"/>
      <c r="P2426" s="691"/>
      <c r="Q2426" s="691"/>
      <c r="R2426" s="691"/>
      <c r="S2426" s="691"/>
      <c r="T2426" s="691"/>
      <c r="U2426" s="691"/>
    </row>
    <row r="2427" s="917" customFormat="true" ht="15" hidden="false" customHeight="true" outlineLevel="0" collapsed="false">
      <c r="A2427" s="752"/>
      <c r="C2427" s="925"/>
      <c r="D2427" s="914"/>
      <c r="E2427" s="914"/>
      <c r="F2427" s="915"/>
      <c r="G2427" s="915"/>
      <c r="H2427" s="691"/>
      <c r="I2427" s="691"/>
      <c r="J2427" s="691"/>
      <c r="K2427" s="691"/>
      <c r="L2427" s="691"/>
      <c r="M2427" s="691"/>
      <c r="N2427" s="691"/>
      <c r="O2427" s="691"/>
      <c r="P2427" s="691"/>
      <c r="Q2427" s="691"/>
      <c r="R2427" s="691"/>
      <c r="S2427" s="691"/>
      <c r="T2427" s="691"/>
      <c r="U2427" s="691"/>
    </row>
    <row r="2428" s="917" customFormat="true" ht="15" hidden="false" customHeight="true" outlineLevel="0" collapsed="false">
      <c r="A2428" s="752"/>
      <c r="C2428" s="925"/>
      <c r="D2428" s="914"/>
      <c r="E2428" s="914"/>
      <c r="F2428" s="915"/>
      <c r="G2428" s="915"/>
      <c r="H2428" s="691"/>
      <c r="I2428" s="691"/>
      <c r="J2428" s="691"/>
      <c r="K2428" s="691"/>
      <c r="L2428" s="691"/>
      <c r="M2428" s="691"/>
      <c r="N2428" s="691"/>
      <c r="O2428" s="691"/>
      <c r="P2428" s="691"/>
      <c r="Q2428" s="691"/>
      <c r="R2428" s="691"/>
      <c r="S2428" s="691"/>
      <c r="T2428" s="691"/>
      <c r="U2428" s="691"/>
    </row>
    <row r="2429" s="917" customFormat="true" ht="15" hidden="false" customHeight="true" outlineLevel="0" collapsed="false">
      <c r="A2429" s="752"/>
      <c r="C2429" s="925"/>
      <c r="D2429" s="914"/>
      <c r="E2429" s="914"/>
      <c r="F2429" s="915"/>
      <c r="G2429" s="915"/>
      <c r="H2429" s="691"/>
      <c r="I2429" s="691"/>
      <c r="J2429" s="691"/>
      <c r="K2429" s="691"/>
      <c r="L2429" s="691"/>
      <c r="M2429" s="691"/>
      <c r="N2429" s="691"/>
      <c r="O2429" s="691"/>
      <c r="P2429" s="691"/>
      <c r="Q2429" s="691"/>
      <c r="R2429" s="691"/>
      <c r="S2429" s="691"/>
      <c r="T2429" s="691"/>
      <c r="U2429" s="691"/>
    </row>
    <row r="2430" s="917" customFormat="true" ht="15" hidden="false" customHeight="true" outlineLevel="0" collapsed="false">
      <c r="A2430" s="752"/>
      <c r="C2430" s="925"/>
      <c r="D2430" s="914"/>
      <c r="E2430" s="914"/>
      <c r="F2430" s="915"/>
      <c r="G2430" s="915"/>
      <c r="H2430" s="691"/>
      <c r="I2430" s="691"/>
      <c r="J2430" s="691"/>
      <c r="K2430" s="691"/>
      <c r="L2430" s="691"/>
      <c r="M2430" s="691"/>
      <c r="N2430" s="691"/>
      <c r="O2430" s="691"/>
      <c r="P2430" s="691"/>
      <c r="Q2430" s="691"/>
      <c r="R2430" s="691"/>
      <c r="S2430" s="691"/>
      <c r="T2430" s="691"/>
      <c r="U2430" s="691"/>
    </row>
    <row r="2431" s="917" customFormat="true" ht="15" hidden="false" customHeight="true" outlineLevel="0" collapsed="false">
      <c r="A2431" s="752"/>
      <c r="C2431" s="925"/>
      <c r="D2431" s="914"/>
      <c r="E2431" s="914"/>
      <c r="F2431" s="915"/>
      <c r="G2431" s="915"/>
      <c r="H2431" s="691"/>
      <c r="I2431" s="691"/>
      <c r="J2431" s="691"/>
      <c r="K2431" s="691"/>
      <c r="L2431" s="691"/>
      <c r="M2431" s="691"/>
      <c r="N2431" s="691"/>
      <c r="O2431" s="691"/>
      <c r="P2431" s="691"/>
      <c r="Q2431" s="691"/>
      <c r="R2431" s="691"/>
      <c r="S2431" s="691"/>
      <c r="T2431" s="691"/>
      <c r="U2431" s="691"/>
    </row>
    <row r="2432" s="917" customFormat="true" ht="15" hidden="false" customHeight="true" outlineLevel="0" collapsed="false">
      <c r="A2432" s="752"/>
      <c r="C2432" s="925"/>
      <c r="D2432" s="914"/>
      <c r="E2432" s="914"/>
      <c r="F2432" s="915"/>
      <c r="G2432" s="915"/>
      <c r="H2432" s="691"/>
      <c r="I2432" s="691"/>
      <c r="J2432" s="691"/>
      <c r="K2432" s="691"/>
      <c r="L2432" s="691"/>
      <c r="M2432" s="691"/>
      <c r="N2432" s="691"/>
      <c r="O2432" s="691"/>
      <c r="P2432" s="691"/>
      <c r="Q2432" s="691"/>
      <c r="R2432" s="691"/>
      <c r="S2432" s="691"/>
      <c r="T2432" s="691"/>
      <c r="U2432" s="691"/>
    </row>
    <row r="2433" s="917" customFormat="true" ht="15" hidden="false" customHeight="true" outlineLevel="0" collapsed="false">
      <c r="A2433" s="752"/>
      <c r="C2433" s="925"/>
      <c r="D2433" s="914"/>
      <c r="E2433" s="914"/>
      <c r="F2433" s="915"/>
      <c r="G2433" s="915"/>
      <c r="H2433" s="691"/>
      <c r="I2433" s="691"/>
      <c r="J2433" s="691"/>
      <c r="K2433" s="691"/>
      <c r="L2433" s="691"/>
      <c r="M2433" s="691"/>
      <c r="N2433" s="691"/>
      <c r="O2433" s="691"/>
      <c r="P2433" s="691"/>
      <c r="Q2433" s="691"/>
      <c r="R2433" s="691"/>
      <c r="S2433" s="691"/>
      <c r="T2433" s="691"/>
      <c r="U2433" s="691"/>
    </row>
    <row r="2434" s="917" customFormat="true" ht="15" hidden="false" customHeight="true" outlineLevel="0" collapsed="false">
      <c r="A2434" s="752"/>
      <c r="C2434" s="925"/>
      <c r="D2434" s="914"/>
      <c r="E2434" s="914"/>
      <c r="F2434" s="915"/>
      <c r="G2434" s="915"/>
      <c r="H2434" s="691"/>
      <c r="I2434" s="691"/>
      <c r="J2434" s="691"/>
      <c r="K2434" s="691"/>
      <c r="L2434" s="691"/>
      <c r="M2434" s="691"/>
      <c r="N2434" s="691"/>
      <c r="O2434" s="691"/>
      <c r="P2434" s="691"/>
      <c r="Q2434" s="691"/>
      <c r="R2434" s="691"/>
      <c r="S2434" s="691"/>
      <c r="T2434" s="691"/>
      <c r="U2434" s="691"/>
    </row>
    <row r="2435" s="917" customFormat="true" ht="15" hidden="false" customHeight="true" outlineLevel="0" collapsed="false">
      <c r="A2435" s="752"/>
      <c r="C2435" s="925"/>
      <c r="D2435" s="914"/>
      <c r="E2435" s="914"/>
      <c r="F2435" s="915"/>
      <c r="G2435" s="915"/>
      <c r="H2435" s="691"/>
      <c r="I2435" s="691"/>
      <c r="J2435" s="691"/>
      <c r="K2435" s="691"/>
      <c r="L2435" s="691"/>
      <c r="M2435" s="691"/>
      <c r="N2435" s="691"/>
      <c r="O2435" s="691"/>
      <c r="P2435" s="691"/>
      <c r="Q2435" s="691"/>
      <c r="R2435" s="691"/>
      <c r="S2435" s="691"/>
      <c r="T2435" s="691"/>
      <c r="U2435" s="691"/>
    </row>
    <row r="2436" s="917" customFormat="true" ht="15" hidden="false" customHeight="true" outlineLevel="0" collapsed="false">
      <c r="A2436" s="752"/>
      <c r="C2436" s="925"/>
      <c r="D2436" s="914"/>
      <c r="E2436" s="914"/>
      <c r="F2436" s="915"/>
      <c r="G2436" s="915"/>
      <c r="H2436" s="691"/>
      <c r="I2436" s="691"/>
      <c r="J2436" s="691"/>
      <c r="K2436" s="691"/>
      <c r="L2436" s="691"/>
      <c r="M2436" s="691"/>
      <c r="N2436" s="691"/>
      <c r="O2436" s="691"/>
      <c r="P2436" s="691"/>
      <c r="Q2436" s="691"/>
      <c r="R2436" s="691"/>
      <c r="S2436" s="691"/>
      <c r="T2436" s="691"/>
      <c r="U2436" s="691"/>
    </row>
    <row r="2437" s="917" customFormat="true" ht="15" hidden="false" customHeight="true" outlineLevel="0" collapsed="false">
      <c r="A2437" s="752"/>
      <c r="C2437" s="925"/>
      <c r="D2437" s="914"/>
      <c r="E2437" s="914"/>
      <c r="F2437" s="915"/>
      <c r="G2437" s="915"/>
      <c r="H2437" s="691"/>
      <c r="I2437" s="691"/>
      <c r="J2437" s="691"/>
      <c r="K2437" s="691"/>
      <c r="L2437" s="691"/>
      <c r="M2437" s="691"/>
      <c r="N2437" s="691"/>
      <c r="O2437" s="691"/>
      <c r="P2437" s="691"/>
      <c r="Q2437" s="691"/>
      <c r="R2437" s="691"/>
      <c r="S2437" s="691"/>
      <c r="T2437" s="691"/>
      <c r="U2437" s="691"/>
    </row>
    <row r="2438" s="917" customFormat="true" ht="15" hidden="false" customHeight="true" outlineLevel="0" collapsed="false">
      <c r="A2438" s="752"/>
      <c r="C2438" s="925"/>
      <c r="D2438" s="914"/>
      <c r="E2438" s="914"/>
      <c r="F2438" s="915"/>
      <c r="G2438" s="915"/>
      <c r="H2438" s="691"/>
      <c r="I2438" s="691"/>
      <c r="J2438" s="691"/>
      <c r="K2438" s="691"/>
      <c r="L2438" s="691"/>
      <c r="M2438" s="691"/>
      <c r="N2438" s="691"/>
      <c r="O2438" s="691"/>
      <c r="P2438" s="691"/>
      <c r="Q2438" s="691"/>
      <c r="R2438" s="691"/>
      <c r="S2438" s="691"/>
      <c r="T2438" s="691"/>
      <c r="U2438" s="691"/>
    </row>
    <row r="2439" s="917" customFormat="true" ht="15" hidden="false" customHeight="true" outlineLevel="0" collapsed="false">
      <c r="A2439" s="752"/>
      <c r="C2439" s="925"/>
      <c r="D2439" s="914"/>
      <c r="E2439" s="914"/>
      <c r="F2439" s="915"/>
      <c r="G2439" s="915"/>
      <c r="H2439" s="691"/>
      <c r="I2439" s="691"/>
      <c r="J2439" s="691"/>
      <c r="K2439" s="691"/>
      <c r="L2439" s="691"/>
      <c r="M2439" s="691"/>
      <c r="N2439" s="691"/>
      <c r="O2439" s="691"/>
      <c r="P2439" s="691"/>
      <c r="Q2439" s="691"/>
      <c r="R2439" s="691"/>
      <c r="S2439" s="691"/>
      <c r="T2439" s="691"/>
      <c r="U2439" s="691"/>
    </row>
    <row r="2440" s="917" customFormat="true" ht="15" hidden="false" customHeight="true" outlineLevel="0" collapsed="false">
      <c r="A2440" s="752"/>
      <c r="C2440" s="925"/>
      <c r="D2440" s="914"/>
      <c r="E2440" s="914"/>
      <c r="F2440" s="915"/>
      <c r="G2440" s="915"/>
      <c r="H2440" s="691"/>
      <c r="I2440" s="691"/>
      <c r="J2440" s="691"/>
      <c r="K2440" s="691"/>
      <c r="L2440" s="691"/>
      <c r="M2440" s="691"/>
      <c r="N2440" s="691"/>
      <c r="O2440" s="691"/>
      <c r="P2440" s="691"/>
      <c r="Q2440" s="691"/>
      <c r="R2440" s="691"/>
      <c r="S2440" s="691"/>
      <c r="T2440" s="691"/>
      <c r="U2440" s="691"/>
    </row>
    <row r="2441" s="917" customFormat="true" ht="15" hidden="false" customHeight="true" outlineLevel="0" collapsed="false">
      <c r="A2441" s="752"/>
      <c r="C2441" s="925"/>
      <c r="D2441" s="914"/>
      <c r="E2441" s="914"/>
      <c r="F2441" s="915"/>
      <c r="G2441" s="915"/>
      <c r="H2441" s="691"/>
      <c r="I2441" s="691"/>
      <c r="J2441" s="691"/>
      <c r="K2441" s="691"/>
      <c r="L2441" s="691"/>
      <c r="M2441" s="691"/>
      <c r="N2441" s="691"/>
      <c r="O2441" s="691"/>
      <c r="P2441" s="691"/>
      <c r="Q2441" s="691"/>
      <c r="R2441" s="691"/>
      <c r="S2441" s="691"/>
      <c r="T2441" s="691"/>
      <c r="U2441" s="691"/>
    </row>
    <row r="2442" s="917" customFormat="true" ht="15" hidden="false" customHeight="true" outlineLevel="0" collapsed="false">
      <c r="A2442" s="752"/>
      <c r="C2442" s="925"/>
      <c r="D2442" s="914"/>
      <c r="E2442" s="914"/>
      <c r="F2442" s="915"/>
      <c r="G2442" s="915"/>
      <c r="H2442" s="691"/>
      <c r="I2442" s="691"/>
      <c r="J2442" s="691"/>
      <c r="K2442" s="691"/>
      <c r="L2442" s="691"/>
      <c r="M2442" s="691"/>
      <c r="N2442" s="691"/>
      <c r="O2442" s="691"/>
      <c r="P2442" s="691"/>
      <c r="Q2442" s="691"/>
      <c r="R2442" s="691"/>
      <c r="S2442" s="691"/>
      <c r="T2442" s="691"/>
      <c r="U2442" s="691"/>
    </row>
    <row r="2443" s="917" customFormat="true" ht="15" hidden="false" customHeight="true" outlineLevel="0" collapsed="false">
      <c r="A2443" s="752"/>
      <c r="C2443" s="925"/>
      <c r="D2443" s="914"/>
      <c r="E2443" s="914"/>
      <c r="F2443" s="915"/>
      <c r="G2443" s="915"/>
      <c r="H2443" s="691"/>
      <c r="I2443" s="691"/>
      <c r="J2443" s="691"/>
      <c r="K2443" s="691"/>
      <c r="L2443" s="691"/>
      <c r="M2443" s="691"/>
      <c r="N2443" s="691"/>
      <c r="O2443" s="691"/>
      <c r="P2443" s="691"/>
      <c r="Q2443" s="691"/>
      <c r="R2443" s="691"/>
      <c r="S2443" s="691"/>
      <c r="T2443" s="691"/>
      <c r="U2443" s="691"/>
    </row>
    <row r="2444" s="917" customFormat="true" ht="15" hidden="false" customHeight="true" outlineLevel="0" collapsed="false">
      <c r="A2444" s="752"/>
      <c r="C2444" s="925"/>
      <c r="D2444" s="914"/>
      <c r="E2444" s="914"/>
      <c r="F2444" s="915"/>
      <c r="G2444" s="915"/>
      <c r="H2444" s="691"/>
      <c r="I2444" s="691"/>
      <c r="J2444" s="691"/>
      <c r="K2444" s="691"/>
      <c r="L2444" s="691"/>
      <c r="M2444" s="691"/>
      <c r="N2444" s="691"/>
      <c r="O2444" s="691"/>
      <c r="P2444" s="691"/>
      <c r="Q2444" s="691"/>
      <c r="R2444" s="691"/>
      <c r="S2444" s="691"/>
      <c r="T2444" s="691"/>
      <c r="U2444" s="691"/>
    </row>
    <row r="2445" s="917" customFormat="true" ht="15" hidden="false" customHeight="true" outlineLevel="0" collapsed="false">
      <c r="A2445" s="752"/>
      <c r="C2445" s="925"/>
      <c r="D2445" s="914"/>
      <c r="E2445" s="914"/>
      <c r="F2445" s="915"/>
      <c r="G2445" s="915"/>
      <c r="H2445" s="691"/>
      <c r="I2445" s="691"/>
      <c r="J2445" s="691"/>
      <c r="K2445" s="691"/>
      <c r="L2445" s="691"/>
      <c r="M2445" s="691"/>
      <c r="N2445" s="691"/>
      <c r="O2445" s="691"/>
      <c r="P2445" s="691"/>
      <c r="Q2445" s="691"/>
      <c r="R2445" s="691"/>
      <c r="S2445" s="691"/>
      <c r="T2445" s="691"/>
      <c r="U2445" s="691"/>
    </row>
    <row r="2446" s="917" customFormat="true" ht="15" hidden="false" customHeight="true" outlineLevel="0" collapsed="false">
      <c r="A2446" s="752"/>
      <c r="C2446" s="925"/>
      <c r="D2446" s="914"/>
      <c r="E2446" s="914"/>
      <c r="F2446" s="915"/>
      <c r="G2446" s="915"/>
      <c r="H2446" s="691"/>
      <c r="I2446" s="691"/>
      <c r="J2446" s="691"/>
      <c r="K2446" s="691"/>
      <c r="L2446" s="691"/>
      <c r="M2446" s="691"/>
      <c r="N2446" s="691"/>
      <c r="O2446" s="691"/>
      <c r="P2446" s="691"/>
      <c r="Q2446" s="691"/>
      <c r="R2446" s="691"/>
      <c r="S2446" s="691"/>
      <c r="T2446" s="691"/>
      <c r="U2446" s="691"/>
    </row>
    <row r="2447" s="917" customFormat="true" ht="15" hidden="false" customHeight="true" outlineLevel="0" collapsed="false">
      <c r="A2447" s="752"/>
      <c r="C2447" s="925"/>
      <c r="D2447" s="914"/>
      <c r="E2447" s="914"/>
      <c r="F2447" s="915"/>
      <c r="G2447" s="915"/>
      <c r="H2447" s="691"/>
      <c r="I2447" s="691"/>
      <c r="J2447" s="691"/>
      <c r="K2447" s="691"/>
      <c r="L2447" s="691"/>
      <c r="M2447" s="691"/>
      <c r="N2447" s="691"/>
      <c r="O2447" s="691"/>
      <c r="P2447" s="691"/>
      <c r="Q2447" s="691"/>
      <c r="R2447" s="691"/>
      <c r="S2447" s="691"/>
      <c r="T2447" s="691"/>
      <c r="U2447" s="691"/>
    </row>
    <row r="2448" s="917" customFormat="true" ht="15" hidden="false" customHeight="true" outlineLevel="0" collapsed="false">
      <c r="A2448" s="752"/>
      <c r="C2448" s="925"/>
      <c r="D2448" s="914"/>
      <c r="E2448" s="914"/>
      <c r="F2448" s="915"/>
      <c r="G2448" s="915"/>
      <c r="H2448" s="691"/>
      <c r="I2448" s="691"/>
      <c r="J2448" s="691"/>
      <c r="K2448" s="691"/>
      <c r="L2448" s="691"/>
      <c r="M2448" s="691"/>
      <c r="N2448" s="691"/>
      <c r="O2448" s="691"/>
      <c r="P2448" s="691"/>
      <c r="Q2448" s="691"/>
      <c r="R2448" s="691"/>
      <c r="S2448" s="691"/>
      <c r="T2448" s="691"/>
      <c r="U2448" s="691"/>
    </row>
    <row r="2449" s="917" customFormat="true" ht="15" hidden="false" customHeight="true" outlineLevel="0" collapsed="false">
      <c r="A2449" s="752"/>
      <c r="C2449" s="925"/>
      <c r="D2449" s="914"/>
      <c r="E2449" s="914"/>
      <c r="F2449" s="915"/>
      <c r="G2449" s="915"/>
      <c r="H2449" s="691"/>
      <c r="I2449" s="691"/>
      <c r="J2449" s="691"/>
      <c r="K2449" s="691"/>
      <c r="L2449" s="691"/>
      <c r="M2449" s="691"/>
      <c r="N2449" s="691"/>
      <c r="O2449" s="691"/>
      <c r="P2449" s="691"/>
      <c r="Q2449" s="691"/>
      <c r="R2449" s="691"/>
      <c r="S2449" s="691"/>
      <c r="T2449" s="691"/>
      <c r="U2449" s="691"/>
    </row>
    <row r="2450" s="917" customFormat="true" ht="15" hidden="false" customHeight="true" outlineLevel="0" collapsed="false">
      <c r="A2450" s="752"/>
      <c r="C2450" s="925"/>
      <c r="D2450" s="914"/>
      <c r="E2450" s="914"/>
      <c r="F2450" s="915"/>
      <c r="G2450" s="915"/>
      <c r="H2450" s="691"/>
      <c r="I2450" s="691"/>
      <c r="J2450" s="691"/>
      <c r="K2450" s="691"/>
      <c r="L2450" s="691"/>
      <c r="M2450" s="691"/>
      <c r="N2450" s="691"/>
      <c r="O2450" s="691"/>
      <c r="P2450" s="691"/>
      <c r="Q2450" s="691"/>
      <c r="R2450" s="691"/>
      <c r="S2450" s="691"/>
      <c r="T2450" s="691"/>
      <c r="U2450" s="691"/>
    </row>
    <row r="2451" s="917" customFormat="true" ht="15" hidden="false" customHeight="true" outlineLevel="0" collapsed="false">
      <c r="A2451" s="752"/>
      <c r="C2451" s="925"/>
      <c r="D2451" s="914"/>
      <c r="E2451" s="914"/>
      <c r="F2451" s="915"/>
      <c r="G2451" s="915"/>
      <c r="H2451" s="691"/>
      <c r="I2451" s="691"/>
      <c r="J2451" s="691"/>
      <c r="K2451" s="691"/>
      <c r="L2451" s="691"/>
      <c r="M2451" s="691"/>
      <c r="N2451" s="691"/>
      <c r="O2451" s="691"/>
      <c r="P2451" s="691"/>
      <c r="Q2451" s="691"/>
      <c r="R2451" s="691"/>
      <c r="S2451" s="691"/>
      <c r="T2451" s="691"/>
      <c r="U2451" s="691"/>
    </row>
    <row r="2452" s="917" customFormat="true" ht="15" hidden="false" customHeight="true" outlineLevel="0" collapsed="false">
      <c r="A2452" s="752"/>
      <c r="C2452" s="925"/>
      <c r="D2452" s="914"/>
      <c r="E2452" s="914"/>
      <c r="F2452" s="915"/>
      <c r="G2452" s="915"/>
      <c r="H2452" s="691"/>
      <c r="I2452" s="691"/>
      <c r="J2452" s="691"/>
      <c r="K2452" s="691"/>
      <c r="L2452" s="691"/>
      <c r="M2452" s="691"/>
      <c r="N2452" s="691"/>
      <c r="O2452" s="691"/>
      <c r="P2452" s="691"/>
      <c r="Q2452" s="691"/>
      <c r="R2452" s="691"/>
      <c r="S2452" s="691"/>
      <c r="T2452" s="691"/>
      <c r="U2452" s="691"/>
    </row>
    <row r="2453" s="917" customFormat="true" ht="15" hidden="false" customHeight="true" outlineLevel="0" collapsed="false">
      <c r="A2453" s="752"/>
      <c r="C2453" s="925"/>
      <c r="D2453" s="914"/>
      <c r="E2453" s="914"/>
      <c r="F2453" s="915"/>
      <c r="G2453" s="915"/>
      <c r="H2453" s="691"/>
      <c r="I2453" s="691"/>
      <c r="J2453" s="691"/>
      <c r="K2453" s="691"/>
      <c r="L2453" s="691"/>
      <c r="M2453" s="691"/>
      <c r="N2453" s="691"/>
      <c r="O2453" s="691"/>
      <c r="P2453" s="691"/>
      <c r="Q2453" s="691"/>
      <c r="R2453" s="691"/>
      <c r="S2453" s="691"/>
      <c r="T2453" s="691"/>
      <c r="U2453" s="691"/>
    </row>
    <row r="2454" s="917" customFormat="true" ht="15" hidden="false" customHeight="true" outlineLevel="0" collapsed="false">
      <c r="A2454" s="752"/>
      <c r="C2454" s="925"/>
      <c r="D2454" s="914"/>
      <c r="E2454" s="914"/>
      <c r="F2454" s="915"/>
      <c r="G2454" s="915"/>
      <c r="H2454" s="691"/>
      <c r="I2454" s="691"/>
      <c r="J2454" s="691"/>
      <c r="K2454" s="691"/>
      <c r="L2454" s="691"/>
      <c r="M2454" s="691"/>
      <c r="N2454" s="691"/>
      <c r="O2454" s="691"/>
      <c r="P2454" s="691"/>
      <c r="Q2454" s="691"/>
      <c r="R2454" s="691"/>
      <c r="S2454" s="691"/>
      <c r="T2454" s="691"/>
      <c r="U2454" s="691"/>
    </row>
    <row r="2455" s="917" customFormat="true" ht="15" hidden="false" customHeight="true" outlineLevel="0" collapsed="false">
      <c r="A2455" s="752"/>
      <c r="C2455" s="925"/>
      <c r="D2455" s="914"/>
      <c r="E2455" s="914"/>
      <c r="F2455" s="915"/>
      <c r="G2455" s="915"/>
      <c r="H2455" s="691"/>
      <c r="I2455" s="691"/>
      <c r="J2455" s="691"/>
      <c r="K2455" s="691"/>
      <c r="L2455" s="691"/>
      <c r="M2455" s="691"/>
      <c r="N2455" s="691"/>
      <c r="O2455" s="691"/>
      <c r="P2455" s="691"/>
      <c r="Q2455" s="691"/>
      <c r="R2455" s="691"/>
      <c r="S2455" s="691"/>
      <c r="T2455" s="691"/>
      <c r="U2455" s="691"/>
    </row>
    <row r="2456" s="917" customFormat="true" ht="15" hidden="false" customHeight="true" outlineLevel="0" collapsed="false">
      <c r="A2456" s="752"/>
      <c r="C2456" s="925"/>
      <c r="D2456" s="914"/>
      <c r="E2456" s="914"/>
      <c r="F2456" s="915"/>
      <c r="G2456" s="915"/>
      <c r="H2456" s="691"/>
      <c r="I2456" s="691"/>
      <c r="J2456" s="691"/>
      <c r="K2456" s="691"/>
      <c r="L2456" s="691"/>
      <c r="M2456" s="691"/>
      <c r="N2456" s="691"/>
      <c r="O2456" s="691"/>
      <c r="P2456" s="691"/>
      <c r="Q2456" s="691"/>
      <c r="R2456" s="691"/>
      <c r="S2456" s="691"/>
      <c r="T2456" s="691"/>
      <c r="U2456" s="691"/>
    </row>
    <row r="2457" s="917" customFormat="true" ht="15" hidden="false" customHeight="true" outlineLevel="0" collapsed="false">
      <c r="A2457" s="752"/>
      <c r="C2457" s="925"/>
      <c r="D2457" s="914"/>
      <c r="E2457" s="914"/>
      <c r="F2457" s="915"/>
      <c r="G2457" s="915"/>
      <c r="H2457" s="691"/>
      <c r="I2457" s="691"/>
      <c r="J2457" s="691"/>
      <c r="K2457" s="691"/>
      <c r="L2457" s="691"/>
      <c r="M2457" s="691"/>
      <c r="N2457" s="691"/>
      <c r="O2457" s="691"/>
      <c r="P2457" s="691"/>
      <c r="Q2457" s="691"/>
      <c r="R2457" s="691"/>
      <c r="S2457" s="691"/>
      <c r="T2457" s="691"/>
      <c r="U2457" s="691"/>
    </row>
    <row r="2458" s="917" customFormat="true" ht="15" hidden="false" customHeight="true" outlineLevel="0" collapsed="false">
      <c r="A2458" s="752"/>
      <c r="C2458" s="925"/>
      <c r="D2458" s="914"/>
      <c r="E2458" s="914"/>
      <c r="F2458" s="915"/>
      <c r="G2458" s="915"/>
      <c r="H2458" s="691"/>
      <c r="I2458" s="691"/>
      <c r="J2458" s="691"/>
      <c r="K2458" s="691"/>
      <c r="L2458" s="691"/>
      <c r="M2458" s="691"/>
      <c r="N2458" s="691"/>
      <c r="O2458" s="691"/>
      <c r="P2458" s="691"/>
      <c r="Q2458" s="691"/>
      <c r="R2458" s="691"/>
      <c r="S2458" s="691"/>
      <c r="T2458" s="691"/>
      <c r="U2458" s="691"/>
    </row>
    <row r="2459" s="917" customFormat="true" ht="15" hidden="false" customHeight="true" outlineLevel="0" collapsed="false">
      <c r="A2459" s="752"/>
      <c r="C2459" s="925"/>
      <c r="D2459" s="914"/>
      <c r="E2459" s="914"/>
      <c r="F2459" s="915"/>
      <c r="G2459" s="915"/>
      <c r="H2459" s="691"/>
      <c r="I2459" s="691"/>
      <c r="J2459" s="691"/>
      <c r="K2459" s="691"/>
      <c r="L2459" s="691"/>
      <c r="M2459" s="691"/>
      <c r="N2459" s="691"/>
      <c r="O2459" s="691"/>
      <c r="P2459" s="691"/>
      <c r="Q2459" s="691"/>
      <c r="R2459" s="691"/>
      <c r="S2459" s="691"/>
      <c r="T2459" s="691"/>
      <c r="U2459" s="691"/>
    </row>
    <row r="2460" s="917" customFormat="true" ht="15" hidden="false" customHeight="true" outlineLevel="0" collapsed="false">
      <c r="A2460" s="752"/>
      <c r="C2460" s="925"/>
      <c r="D2460" s="914"/>
      <c r="E2460" s="914"/>
      <c r="F2460" s="915"/>
      <c r="G2460" s="915"/>
      <c r="H2460" s="691"/>
      <c r="I2460" s="691"/>
      <c r="J2460" s="691"/>
      <c r="K2460" s="691"/>
      <c r="L2460" s="691"/>
      <c r="M2460" s="691"/>
      <c r="N2460" s="691"/>
      <c r="O2460" s="691"/>
      <c r="P2460" s="691"/>
      <c r="Q2460" s="691"/>
      <c r="R2460" s="691"/>
      <c r="S2460" s="691"/>
      <c r="T2460" s="691"/>
      <c r="U2460" s="691"/>
    </row>
    <row r="2461" s="917" customFormat="true" ht="15" hidden="false" customHeight="true" outlineLevel="0" collapsed="false">
      <c r="A2461" s="752"/>
      <c r="C2461" s="925"/>
      <c r="D2461" s="914"/>
      <c r="E2461" s="914"/>
      <c r="F2461" s="915"/>
      <c r="G2461" s="915"/>
      <c r="H2461" s="691"/>
      <c r="I2461" s="691"/>
      <c r="J2461" s="691"/>
      <c r="K2461" s="691"/>
      <c r="L2461" s="691"/>
      <c r="M2461" s="691"/>
      <c r="N2461" s="691"/>
      <c r="O2461" s="691"/>
      <c r="P2461" s="691"/>
      <c r="Q2461" s="691"/>
      <c r="R2461" s="691"/>
      <c r="S2461" s="691"/>
      <c r="T2461" s="691"/>
      <c r="U2461" s="691"/>
    </row>
    <row r="2462" s="917" customFormat="true" ht="15" hidden="false" customHeight="true" outlineLevel="0" collapsed="false">
      <c r="A2462" s="752"/>
      <c r="C2462" s="925"/>
      <c r="D2462" s="914"/>
      <c r="E2462" s="914"/>
      <c r="F2462" s="915"/>
      <c r="G2462" s="915"/>
      <c r="H2462" s="691"/>
      <c r="I2462" s="691"/>
      <c r="J2462" s="691"/>
      <c r="K2462" s="691"/>
      <c r="L2462" s="691"/>
      <c r="M2462" s="691"/>
      <c r="N2462" s="691"/>
      <c r="O2462" s="691"/>
      <c r="P2462" s="691"/>
      <c r="Q2462" s="691"/>
      <c r="R2462" s="691"/>
      <c r="S2462" s="691"/>
      <c r="T2462" s="691"/>
      <c r="U2462" s="691"/>
    </row>
    <row r="2463" s="917" customFormat="true" ht="15" hidden="false" customHeight="true" outlineLevel="0" collapsed="false">
      <c r="A2463" s="752"/>
      <c r="C2463" s="925"/>
      <c r="D2463" s="914"/>
      <c r="E2463" s="914"/>
      <c r="F2463" s="915"/>
      <c r="G2463" s="915"/>
      <c r="H2463" s="691"/>
      <c r="I2463" s="691"/>
      <c r="J2463" s="691"/>
      <c r="K2463" s="691"/>
      <c r="L2463" s="691"/>
      <c r="M2463" s="691"/>
      <c r="N2463" s="691"/>
      <c r="O2463" s="691"/>
      <c r="P2463" s="691"/>
      <c r="Q2463" s="691"/>
      <c r="R2463" s="691"/>
      <c r="S2463" s="691"/>
      <c r="T2463" s="691"/>
      <c r="U2463" s="691"/>
    </row>
    <row r="2464" s="917" customFormat="true" ht="15" hidden="false" customHeight="true" outlineLevel="0" collapsed="false">
      <c r="A2464" s="752"/>
      <c r="C2464" s="925"/>
      <c r="D2464" s="914"/>
      <c r="E2464" s="914"/>
      <c r="F2464" s="915"/>
      <c r="G2464" s="915"/>
      <c r="H2464" s="691"/>
      <c r="I2464" s="691"/>
      <c r="J2464" s="691"/>
      <c r="K2464" s="691"/>
      <c r="L2464" s="691"/>
      <c r="M2464" s="691"/>
      <c r="N2464" s="691"/>
      <c r="O2464" s="691"/>
      <c r="P2464" s="691"/>
      <c r="Q2464" s="691"/>
      <c r="R2464" s="691"/>
      <c r="S2464" s="691"/>
      <c r="T2464" s="691"/>
      <c r="U2464" s="691"/>
    </row>
    <row r="2465" s="917" customFormat="true" ht="15" hidden="false" customHeight="true" outlineLevel="0" collapsed="false">
      <c r="A2465" s="752"/>
      <c r="C2465" s="925"/>
      <c r="D2465" s="914"/>
      <c r="E2465" s="914"/>
      <c r="F2465" s="915"/>
      <c r="G2465" s="915"/>
      <c r="H2465" s="691"/>
      <c r="I2465" s="691"/>
      <c r="J2465" s="691"/>
      <c r="K2465" s="691"/>
      <c r="L2465" s="691"/>
      <c r="M2465" s="691"/>
      <c r="N2465" s="691"/>
      <c r="O2465" s="691"/>
      <c r="P2465" s="691"/>
      <c r="Q2465" s="691"/>
      <c r="R2465" s="691"/>
      <c r="S2465" s="691"/>
      <c r="T2465" s="691"/>
      <c r="U2465" s="691"/>
    </row>
    <row r="2466" s="917" customFormat="true" ht="15" hidden="false" customHeight="true" outlineLevel="0" collapsed="false">
      <c r="A2466" s="752"/>
      <c r="C2466" s="925"/>
      <c r="D2466" s="914"/>
      <c r="E2466" s="914"/>
      <c r="F2466" s="915"/>
      <c r="G2466" s="915"/>
      <c r="H2466" s="691"/>
      <c r="I2466" s="691"/>
      <c r="J2466" s="691"/>
      <c r="K2466" s="691"/>
      <c r="L2466" s="691"/>
      <c r="M2466" s="691"/>
      <c r="N2466" s="691"/>
      <c r="O2466" s="691"/>
      <c r="P2466" s="691"/>
      <c r="Q2466" s="691"/>
      <c r="R2466" s="691"/>
      <c r="S2466" s="691"/>
      <c r="T2466" s="691"/>
      <c r="U2466" s="691"/>
    </row>
    <row r="2467" s="917" customFormat="true" ht="15" hidden="false" customHeight="true" outlineLevel="0" collapsed="false">
      <c r="A2467" s="752"/>
      <c r="C2467" s="925"/>
      <c r="D2467" s="914"/>
      <c r="E2467" s="914"/>
      <c r="F2467" s="915"/>
      <c r="G2467" s="915"/>
      <c r="H2467" s="691"/>
      <c r="I2467" s="691"/>
      <c r="J2467" s="691"/>
      <c r="K2467" s="691"/>
      <c r="L2467" s="691"/>
      <c r="M2467" s="691"/>
      <c r="N2467" s="691"/>
      <c r="O2467" s="691"/>
      <c r="P2467" s="691"/>
      <c r="Q2467" s="691"/>
      <c r="R2467" s="691"/>
      <c r="S2467" s="691"/>
      <c r="T2467" s="691"/>
      <c r="U2467" s="691"/>
    </row>
    <row r="2468" s="917" customFormat="true" ht="15" hidden="false" customHeight="true" outlineLevel="0" collapsed="false">
      <c r="A2468" s="752"/>
      <c r="C2468" s="925"/>
      <c r="D2468" s="914"/>
      <c r="E2468" s="914"/>
      <c r="F2468" s="915"/>
      <c r="G2468" s="915"/>
      <c r="H2468" s="691"/>
      <c r="I2468" s="691"/>
      <c r="J2468" s="691"/>
      <c r="K2468" s="691"/>
      <c r="L2468" s="691"/>
      <c r="M2468" s="691"/>
      <c r="N2468" s="691"/>
      <c r="O2468" s="691"/>
      <c r="P2468" s="691"/>
      <c r="Q2468" s="691"/>
      <c r="R2468" s="691"/>
      <c r="S2468" s="691"/>
      <c r="T2468" s="691"/>
      <c r="U2468" s="691"/>
    </row>
    <row r="2469" s="917" customFormat="true" ht="15" hidden="false" customHeight="true" outlineLevel="0" collapsed="false">
      <c r="A2469" s="752"/>
      <c r="C2469" s="925"/>
      <c r="D2469" s="914"/>
      <c r="E2469" s="914"/>
      <c r="F2469" s="915"/>
      <c r="G2469" s="915"/>
      <c r="H2469" s="691"/>
      <c r="I2469" s="691"/>
      <c r="J2469" s="691"/>
      <c r="K2469" s="691"/>
      <c r="L2469" s="691"/>
      <c r="M2469" s="691"/>
      <c r="N2469" s="691"/>
      <c r="O2469" s="691"/>
      <c r="P2469" s="691"/>
      <c r="Q2469" s="691"/>
      <c r="R2469" s="691"/>
      <c r="S2469" s="691"/>
      <c r="T2469" s="691"/>
      <c r="U2469" s="691"/>
    </row>
    <row r="2470" s="917" customFormat="true" ht="15" hidden="false" customHeight="true" outlineLevel="0" collapsed="false">
      <c r="A2470" s="752"/>
      <c r="C2470" s="925"/>
      <c r="D2470" s="914"/>
      <c r="E2470" s="914"/>
      <c r="F2470" s="915"/>
      <c r="G2470" s="915"/>
      <c r="H2470" s="691"/>
      <c r="I2470" s="691"/>
      <c r="J2470" s="691"/>
      <c r="K2470" s="691"/>
      <c r="L2470" s="691"/>
      <c r="M2470" s="691"/>
      <c r="N2470" s="691"/>
      <c r="O2470" s="691"/>
      <c r="P2470" s="691"/>
      <c r="Q2470" s="691"/>
      <c r="R2470" s="691"/>
      <c r="S2470" s="691"/>
      <c r="T2470" s="691"/>
      <c r="U2470" s="691"/>
    </row>
    <row r="2471" s="917" customFormat="true" ht="15" hidden="false" customHeight="true" outlineLevel="0" collapsed="false">
      <c r="A2471" s="752"/>
      <c r="C2471" s="925"/>
      <c r="D2471" s="914"/>
      <c r="E2471" s="914"/>
      <c r="F2471" s="915"/>
      <c r="G2471" s="915"/>
      <c r="H2471" s="691"/>
      <c r="I2471" s="691"/>
      <c r="J2471" s="691"/>
      <c r="K2471" s="691"/>
      <c r="L2471" s="691"/>
      <c r="M2471" s="691"/>
      <c r="N2471" s="691"/>
      <c r="O2471" s="691"/>
      <c r="P2471" s="691"/>
      <c r="Q2471" s="691"/>
      <c r="R2471" s="691"/>
      <c r="S2471" s="691"/>
      <c r="T2471" s="691"/>
      <c r="U2471" s="691"/>
    </row>
    <row r="2472" s="917" customFormat="true" ht="15" hidden="false" customHeight="true" outlineLevel="0" collapsed="false">
      <c r="A2472" s="752"/>
      <c r="C2472" s="925"/>
      <c r="D2472" s="914"/>
      <c r="E2472" s="914"/>
      <c r="F2472" s="915"/>
      <c r="G2472" s="915"/>
      <c r="H2472" s="691"/>
      <c r="I2472" s="691"/>
      <c r="J2472" s="691"/>
      <c r="K2472" s="691"/>
      <c r="L2472" s="691"/>
      <c r="M2472" s="691"/>
      <c r="N2472" s="691"/>
      <c r="O2472" s="691"/>
      <c r="P2472" s="691"/>
      <c r="Q2472" s="691"/>
      <c r="R2472" s="691"/>
      <c r="S2472" s="691"/>
      <c r="T2472" s="691"/>
      <c r="U2472" s="691"/>
    </row>
    <row r="2473" s="917" customFormat="true" ht="15" hidden="false" customHeight="true" outlineLevel="0" collapsed="false">
      <c r="A2473" s="752"/>
      <c r="C2473" s="925"/>
      <c r="D2473" s="914"/>
      <c r="E2473" s="914"/>
      <c r="F2473" s="915"/>
      <c r="G2473" s="915"/>
      <c r="H2473" s="691"/>
      <c r="I2473" s="691"/>
      <c r="J2473" s="691"/>
      <c r="K2473" s="691"/>
      <c r="L2473" s="691"/>
      <c r="M2473" s="691"/>
      <c r="N2473" s="691"/>
      <c r="O2473" s="691"/>
      <c r="P2473" s="691"/>
      <c r="Q2473" s="691"/>
      <c r="R2473" s="691"/>
      <c r="S2473" s="691"/>
      <c r="T2473" s="691"/>
      <c r="U2473" s="691"/>
    </row>
    <row r="2474" s="917" customFormat="true" ht="15" hidden="false" customHeight="true" outlineLevel="0" collapsed="false">
      <c r="A2474" s="752"/>
      <c r="C2474" s="925"/>
      <c r="D2474" s="914"/>
      <c r="E2474" s="914"/>
      <c r="F2474" s="915"/>
      <c r="G2474" s="915"/>
      <c r="H2474" s="691"/>
      <c r="I2474" s="691"/>
      <c r="J2474" s="691"/>
      <c r="K2474" s="691"/>
      <c r="L2474" s="691"/>
      <c r="M2474" s="691"/>
      <c r="N2474" s="691"/>
      <c r="O2474" s="691"/>
      <c r="P2474" s="691"/>
      <c r="Q2474" s="691"/>
      <c r="R2474" s="691"/>
      <c r="S2474" s="691"/>
      <c r="T2474" s="691"/>
      <c r="U2474" s="691"/>
    </row>
    <row r="2475" s="917" customFormat="true" ht="15" hidden="false" customHeight="true" outlineLevel="0" collapsed="false">
      <c r="A2475" s="752"/>
      <c r="C2475" s="925"/>
      <c r="D2475" s="914"/>
      <c r="E2475" s="914"/>
      <c r="F2475" s="915"/>
      <c r="G2475" s="915"/>
      <c r="H2475" s="691"/>
      <c r="I2475" s="691"/>
      <c r="J2475" s="691"/>
      <c r="K2475" s="691"/>
      <c r="L2475" s="691"/>
      <c r="M2475" s="691"/>
      <c r="N2475" s="691"/>
      <c r="O2475" s="691"/>
      <c r="P2475" s="691"/>
      <c r="Q2475" s="691"/>
      <c r="R2475" s="691"/>
      <c r="S2475" s="691"/>
      <c r="T2475" s="691"/>
      <c r="U2475" s="691"/>
    </row>
    <row r="2476" s="917" customFormat="true" ht="15" hidden="false" customHeight="true" outlineLevel="0" collapsed="false">
      <c r="A2476" s="752"/>
      <c r="C2476" s="925"/>
      <c r="D2476" s="914"/>
      <c r="E2476" s="914"/>
      <c r="F2476" s="915"/>
      <c r="G2476" s="915"/>
      <c r="H2476" s="691"/>
      <c r="I2476" s="691"/>
      <c r="J2476" s="691"/>
      <c r="K2476" s="691"/>
      <c r="L2476" s="691"/>
      <c r="M2476" s="691"/>
      <c r="N2476" s="691"/>
      <c r="O2476" s="691"/>
      <c r="P2476" s="691"/>
      <c r="Q2476" s="691"/>
      <c r="R2476" s="691"/>
      <c r="S2476" s="691"/>
      <c r="T2476" s="691"/>
      <c r="U2476" s="691"/>
    </row>
    <row r="2477" s="917" customFormat="true" ht="15" hidden="false" customHeight="true" outlineLevel="0" collapsed="false">
      <c r="A2477" s="752"/>
      <c r="C2477" s="925"/>
      <c r="D2477" s="914"/>
      <c r="E2477" s="914"/>
      <c r="F2477" s="915"/>
      <c r="G2477" s="915"/>
      <c r="H2477" s="691"/>
      <c r="I2477" s="691"/>
      <c r="J2477" s="691"/>
      <c r="K2477" s="691"/>
      <c r="L2477" s="691"/>
      <c r="M2477" s="691"/>
      <c r="N2477" s="691"/>
      <c r="O2477" s="691"/>
      <c r="P2477" s="691"/>
      <c r="Q2477" s="691"/>
      <c r="R2477" s="691"/>
      <c r="S2477" s="691"/>
      <c r="T2477" s="691"/>
      <c r="U2477" s="691"/>
    </row>
    <row r="2478" s="917" customFormat="true" ht="15" hidden="false" customHeight="true" outlineLevel="0" collapsed="false">
      <c r="A2478" s="752"/>
      <c r="C2478" s="925"/>
      <c r="D2478" s="914"/>
      <c r="E2478" s="914"/>
      <c r="F2478" s="915"/>
      <c r="G2478" s="915"/>
      <c r="H2478" s="691"/>
      <c r="I2478" s="691"/>
      <c r="J2478" s="691"/>
      <c r="K2478" s="691"/>
      <c r="L2478" s="691"/>
      <c r="M2478" s="691"/>
      <c r="N2478" s="691"/>
      <c r="O2478" s="691"/>
      <c r="P2478" s="691"/>
      <c r="Q2478" s="691"/>
      <c r="R2478" s="691"/>
      <c r="S2478" s="691"/>
      <c r="T2478" s="691"/>
      <c r="U2478" s="691"/>
    </row>
    <row r="2479" s="917" customFormat="true" ht="15" hidden="false" customHeight="true" outlineLevel="0" collapsed="false">
      <c r="A2479" s="752"/>
      <c r="C2479" s="925"/>
      <c r="D2479" s="914"/>
      <c r="E2479" s="914"/>
      <c r="F2479" s="915"/>
      <c r="G2479" s="915"/>
      <c r="H2479" s="691"/>
      <c r="I2479" s="691"/>
      <c r="J2479" s="691"/>
      <c r="K2479" s="691"/>
      <c r="L2479" s="691"/>
      <c r="M2479" s="691"/>
      <c r="N2479" s="691"/>
      <c r="O2479" s="691"/>
      <c r="P2479" s="691"/>
      <c r="Q2479" s="691"/>
      <c r="R2479" s="691"/>
      <c r="S2479" s="691"/>
      <c r="T2479" s="691"/>
      <c r="U2479" s="691"/>
    </row>
    <row r="2480" s="917" customFormat="true" ht="15" hidden="false" customHeight="true" outlineLevel="0" collapsed="false">
      <c r="A2480" s="752"/>
      <c r="C2480" s="925"/>
      <c r="D2480" s="914"/>
      <c r="E2480" s="914"/>
      <c r="F2480" s="915"/>
      <c r="G2480" s="915"/>
      <c r="H2480" s="691"/>
      <c r="I2480" s="691"/>
      <c r="J2480" s="691"/>
      <c r="K2480" s="691"/>
      <c r="L2480" s="691"/>
      <c r="M2480" s="691"/>
      <c r="N2480" s="691"/>
      <c r="O2480" s="691"/>
      <c r="P2480" s="691"/>
      <c r="Q2480" s="691"/>
      <c r="R2480" s="691"/>
      <c r="S2480" s="691"/>
      <c r="T2480" s="691"/>
      <c r="U2480" s="691"/>
    </row>
    <row r="2481" s="917" customFormat="true" ht="15" hidden="false" customHeight="true" outlineLevel="0" collapsed="false">
      <c r="A2481" s="752"/>
      <c r="C2481" s="925"/>
      <c r="D2481" s="914"/>
      <c r="E2481" s="914"/>
      <c r="F2481" s="915"/>
      <c r="G2481" s="915"/>
      <c r="H2481" s="691"/>
      <c r="I2481" s="691"/>
      <c r="J2481" s="691"/>
      <c r="K2481" s="691"/>
      <c r="L2481" s="691"/>
      <c r="M2481" s="691"/>
      <c r="N2481" s="691"/>
      <c r="O2481" s="691"/>
      <c r="P2481" s="691"/>
      <c r="Q2481" s="691"/>
      <c r="R2481" s="691"/>
      <c r="S2481" s="691"/>
      <c r="T2481" s="691"/>
      <c r="U2481" s="691"/>
    </row>
    <row r="2482" s="917" customFormat="true" ht="15" hidden="false" customHeight="true" outlineLevel="0" collapsed="false">
      <c r="A2482" s="752"/>
      <c r="C2482" s="925"/>
      <c r="D2482" s="914"/>
      <c r="E2482" s="914"/>
      <c r="F2482" s="915"/>
      <c r="G2482" s="915"/>
      <c r="H2482" s="691"/>
      <c r="I2482" s="691"/>
      <c r="J2482" s="691"/>
      <c r="K2482" s="691"/>
      <c r="L2482" s="691"/>
      <c r="M2482" s="691"/>
      <c r="N2482" s="691"/>
      <c r="O2482" s="691"/>
      <c r="P2482" s="691"/>
      <c r="Q2482" s="691"/>
      <c r="R2482" s="691"/>
      <c r="S2482" s="691"/>
      <c r="T2482" s="691"/>
      <c r="U2482" s="691"/>
    </row>
    <row r="2483" s="917" customFormat="true" ht="15" hidden="false" customHeight="true" outlineLevel="0" collapsed="false">
      <c r="A2483" s="752"/>
      <c r="C2483" s="925"/>
      <c r="D2483" s="914"/>
      <c r="E2483" s="914"/>
      <c r="F2483" s="915"/>
      <c r="G2483" s="915"/>
      <c r="H2483" s="691"/>
      <c r="I2483" s="691"/>
      <c r="J2483" s="691"/>
      <c r="K2483" s="691"/>
      <c r="L2483" s="691"/>
      <c r="M2483" s="691"/>
      <c r="N2483" s="691"/>
      <c r="O2483" s="691"/>
      <c r="P2483" s="691"/>
      <c r="Q2483" s="691"/>
      <c r="R2483" s="691"/>
      <c r="S2483" s="691"/>
      <c r="T2483" s="691"/>
      <c r="U2483" s="691"/>
    </row>
    <row r="2484" s="917" customFormat="true" ht="15" hidden="false" customHeight="true" outlineLevel="0" collapsed="false">
      <c r="A2484" s="752"/>
      <c r="C2484" s="925"/>
      <c r="D2484" s="914"/>
      <c r="E2484" s="914"/>
      <c r="F2484" s="915"/>
      <c r="G2484" s="915"/>
      <c r="H2484" s="691"/>
      <c r="I2484" s="691"/>
      <c r="J2484" s="691"/>
      <c r="K2484" s="691"/>
      <c r="L2484" s="691"/>
      <c r="M2484" s="691"/>
      <c r="N2484" s="691"/>
      <c r="O2484" s="691"/>
      <c r="P2484" s="691"/>
      <c r="Q2484" s="691"/>
      <c r="R2484" s="691"/>
      <c r="S2484" s="691"/>
      <c r="T2484" s="691"/>
      <c r="U2484" s="691"/>
    </row>
    <row r="2485" s="917" customFormat="true" ht="15" hidden="false" customHeight="true" outlineLevel="0" collapsed="false">
      <c r="A2485" s="752"/>
      <c r="C2485" s="925"/>
      <c r="D2485" s="914"/>
      <c r="E2485" s="914"/>
      <c r="F2485" s="915"/>
      <c r="G2485" s="915"/>
      <c r="H2485" s="691"/>
      <c r="I2485" s="691"/>
      <c r="J2485" s="691"/>
      <c r="K2485" s="691"/>
      <c r="L2485" s="691"/>
      <c r="M2485" s="691"/>
      <c r="N2485" s="691"/>
      <c r="O2485" s="691"/>
      <c r="P2485" s="691"/>
      <c r="Q2485" s="691"/>
      <c r="R2485" s="691"/>
      <c r="S2485" s="691"/>
      <c r="T2485" s="691"/>
      <c r="U2485" s="691"/>
    </row>
    <row r="2486" s="917" customFormat="true" ht="15" hidden="false" customHeight="true" outlineLevel="0" collapsed="false">
      <c r="A2486" s="752"/>
      <c r="C2486" s="925"/>
      <c r="D2486" s="914"/>
      <c r="E2486" s="914"/>
      <c r="F2486" s="915"/>
      <c r="G2486" s="915"/>
      <c r="H2486" s="691"/>
      <c r="I2486" s="691"/>
      <c r="J2486" s="691"/>
      <c r="K2486" s="691"/>
      <c r="L2486" s="691"/>
      <c r="M2486" s="691"/>
      <c r="N2486" s="691"/>
      <c r="O2486" s="691"/>
      <c r="P2486" s="691"/>
      <c r="Q2486" s="691"/>
      <c r="R2486" s="691"/>
      <c r="S2486" s="691"/>
      <c r="T2486" s="691"/>
      <c r="U2486" s="691"/>
    </row>
    <row r="2487" s="917" customFormat="true" ht="15" hidden="false" customHeight="true" outlineLevel="0" collapsed="false">
      <c r="A2487" s="752"/>
      <c r="C2487" s="925"/>
      <c r="D2487" s="914"/>
      <c r="E2487" s="914"/>
      <c r="F2487" s="915"/>
      <c r="G2487" s="915"/>
      <c r="H2487" s="691"/>
      <c r="I2487" s="691"/>
      <c r="J2487" s="691"/>
      <c r="K2487" s="691"/>
      <c r="L2487" s="691"/>
      <c r="M2487" s="691"/>
      <c r="N2487" s="691"/>
      <c r="O2487" s="691"/>
      <c r="P2487" s="691"/>
      <c r="Q2487" s="691"/>
      <c r="R2487" s="691"/>
      <c r="S2487" s="691"/>
      <c r="T2487" s="691"/>
      <c r="U2487" s="691"/>
    </row>
    <row r="2488" s="917" customFormat="true" ht="15" hidden="false" customHeight="true" outlineLevel="0" collapsed="false">
      <c r="A2488" s="752"/>
      <c r="C2488" s="925"/>
      <c r="D2488" s="914"/>
      <c r="E2488" s="914"/>
      <c r="F2488" s="915"/>
      <c r="G2488" s="915"/>
      <c r="H2488" s="691"/>
      <c r="I2488" s="691"/>
      <c r="J2488" s="691"/>
      <c r="K2488" s="691"/>
      <c r="L2488" s="691"/>
      <c r="M2488" s="691"/>
      <c r="N2488" s="691"/>
      <c r="O2488" s="691"/>
      <c r="P2488" s="691"/>
      <c r="Q2488" s="691"/>
      <c r="R2488" s="691"/>
      <c r="S2488" s="691"/>
      <c r="T2488" s="691"/>
      <c r="U2488" s="691"/>
    </row>
    <row r="2489" s="917" customFormat="true" ht="15" hidden="false" customHeight="true" outlineLevel="0" collapsed="false">
      <c r="A2489" s="752"/>
      <c r="C2489" s="925"/>
      <c r="D2489" s="914"/>
      <c r="E2489" s="914"/>
      <c r="F2489" s="915"/>
      <c r="G2489" s="915"/>
      <c r="H2489" s="691"/>
      <c r="I2489" s="691"/>
      <c r="J2489" s="691"/>
      <c r="K2489" s="691"/>
      <c r="L2489" s="691"/>
      <c r="M2489" s="691"/>
      <c r="N2489" s="691"/>
      <c r="O2489" s="691"/>
      <c r="P2489" s="691"/>
      <c r="Q2489" s="691"/>
      <c r="R2489" s="691"/>
      <c r="S2489" s="691"/>
      <c r="T2489" s="691"/>
      <c r="U2489" s="691"/>
    </row>
    <row r="2490" s="917" customFormat="true" ht="15" hidden="false" customHeight="true" outlineLevel="0" collapsed="false">
      <c r="A2490" s="752"/>
      <c r="C2490" s="925"/>
      <c r="D2490" s="914"/>
      <c r="E2490" s="914"/>
      <c r="F2490" s="915"/>
      <c r="G2490" s="915"/>
      <c r="H2490" s="691"/>
      <c r="I2490" s="691"/>
      <c r="J2490" s="691"/>
      <c r="K2490" s="691"/>
      <c r="L2490" s="691"/>
      <c r="M2490" s="691"/>
      <c r="N2490" s="691"/>
      <c r="O2490" s="691"/>
      <c r="P2490" s="691"/>
      <c r="Q2490" s="691"/>
      <c r="R2490" s="691"/>
      <c r="S2490" s="691"/>
      <c r="T2490" s="691"/>
      <c r="U2490" s="691"/>
    </row>
    <row r="2491" s="917" customFormat="true" ht="15" hidden="false" customHeight="true" outlineLevel="0" collapsed="false">
      <c r="A2491" s="752"/>
      <c r="C2491" s="925"/>
      <c r="D2491" s="914"/>
      <c r="E2491" s="914"/>
      <c r="F2491" s="915"/>
      <c r="G2491" s="915"/>
      <c r="H2491" s="691"/>
      <c r="I2491" s="691"/>
      <c r="J2491" s="691"/>
      <c r="K2491" s="691"/>
      <c r="L2491" s="691"/>
      <c r="M2491" s="691"/>
      <c r="N2491" s="691"/>
      <c r="O2491" s="691"/>
      <c r="P2491" s="691"/>
      <c r="Q2491" s="691"/>
      <c r="R2491" s="691"/>
      <c r="S2491" s="691"/>
      <c r="T2491" s="691"/>
      <c r="U2491" s="691"/>
    </row>
    <row r="2492" s="917" customFormat="true" ht="15" hidden="false" customHeight="true" outlineLevel="0" collapsed="false">
      <c r="A2492" s="752"/>
      <c r="C2492" s="925"/>
      <c r="D2492" s="914"/>
      <c r="E2492" s="914"/>
      <c r="F2492" s="915"/>
      <c r="G2492" s="915"/>
      <c r="H2492" s="691"/>
      <c r="I2492" s="691"/>
      <c r="J2492" s="691"/>
      <c r="K2492" s="691"/>
      <c r="L2492" s="691"/>
      <c r="M2492" s="691"/>
      <c r="N2492" s="691"/>
      <c r="O2492" s="691"/>
      <c r="P2492" s="691"/>
      <c r="Q2492" s="691"/>
      <c r="R2492" s="691"/>
      <c r="S2492" s="691"/>
      <c r="T2492" s="691"/>
      <c r="U2492" s="691"/>
    </row>
    <row r="2493" s="917" customFormat="true" ht="15" hidden="false" customHeight="true" outlineLevel="0" collapsed="false">
      <c r="A2493" s="752"/>
      <c r="C2493" s="925"/>
      <c r="D2493" s="914"/>
      <c r="E2493" s="914"/>
      <c r="F2493" s="915"/>
      <c r="G2493" s="915"/>
      <c r="H2493" s="691"/>
      <c r="I2493" s="691"/>
      <c r="J2493" s="691"/>
      <c r="K2493" s="691"/>
      <c r="L2493" s="691"/>
      <c r="M2493" s="691"/>
      <c r="N2493" s="691"/>
      <c r="O2493" s="691"/>
      <c r="P2493" s="691"/>
      <c r="Q2493" s="691"/>
      <c r="R2493" s="691"/>
      <c r="S2493" s="691"/>
      <c r="T2493" s="691"/>
      <c r="U2493" s="691"/>
    </row>
    <row r="2494" s="917" customFormat="true" ht="15" hidden="false" customHeight="true" outlineLevel="0" collapsed="false">
      <c r="A2494" s="752"/>
      <c r="C2494" s="925"/>
      <c r="D2494" s="914"/>
      <c r="E2494" s="914"/>
      <c r="F2494" s="915"/>
      <c r="G2494" s="915"/>
      <c r="H2494" s="691"/>
      <c r="I2494" s="691"/>
      <c r="J2494" s="691"/>
      <c r="K2494" s="691"/>
      <c r="L2494" s="691"/>
      <c r="M2494" s="691"/>
      <c r="N2494" s="691"/>
      <c r="O2494" s="691"/>
      <c r="P2494" s="691"/>
      <c r="Q2494" s="691"/>
      <c r="R2494" s="691"/>
      <c r="S2494" s="691"/>
      <c r="T2494" s="691"/>
      <c r="U2494" s="691"/>
    </row>
    <row r="2495" s="917" customFormat="true" ht="15" hidden="false" customHeight="true" outlineLevel="0" collapsed="false">
      <c r="A2495" s="752"/>
      <c r="C2495" s="925"/>
      <c r="D2495" s="914"/>
      <c r="E2495" s="914"/>
      <c r="F2495" s="915"/>
      <c r="G2495" s="915"/>
      <c r="H2495" s="691"/>
      <c r="I2495" s="691"/>
      <c r="J2495" s="691"/>
      <c r="K2495" s="691"/>
      <c r="L2495" s="691"/>
      <c r="M2495" s="691"/>
      <c r="N2495" s="691"/>
      <c r="O2495" s="691"/>
      <c r="P2495" s="691"/>
      <c r="Q2495" s="691"/>
      <c r="R2495" s="691"/>
      <c r="S2495" s="691"/>
      <c r="T2495" s="691"/>
      <c r="U2495" s="691"/>
    </row>
    <row r="2496" s="917" customFormat="true" ht="15" hidden="false" customHeight="true" outlineLevel="0" collapsed="false">
      <c r="A2496" s="752"/>
      <c r="C2496" s="925"/>
      <c r="D2496" s="914"/>
      <c r="E2496" s="914"/>
      <c r="F2496" s="915"/>
      <c r="G2496" s="915"/>
      <c r="H2496" s="691"/>
      <c r="I2496" s="691"/>
      <c r="J2496" s="691"/>
      <c r="K2496" s="691"/>
      <c r="L2496" s="691"/>
      <c r="M2496" s="691"/>
      <c r="N2496" s="691"/>
      <c r="O2496" s="691"/>
      <c r="P2496" s="691"/>
      <c r="Q2496" s="691"/>
      <c r="R2496" s="691"/>
      <c r="S2496" s="691"/>
      <c r="T2496" s="691"/>
      <c r="U2496" s="691"/>
    </row>
    <row r="2497" s="917" customFormat="true" ht="15" hidden="false" customHeight="true" outlineLevel="0" collapsed="false">
      <c r="A2497" s="752"/>
      <c r="C2497" s="925"/>
      <c r="D2497" s="914"/>
      <c r="E2497" s="914"/>
      <c r="F2497" s="915"/>
      <c r="G2497" s="915"/>
      <c r="H2497" s="691"/>
      <c r="I2497" s="691"/>
      <c r="J2497" s="691"/>
      <c r="K2497" s="691"/>
      <c r="L2497" s="691"/>
      <c r="M2497" s="691"/>
      <c r="N2497" s="691"/>
      <c r="O2497" s="691"/>
      <c r="P2497" s="691"/>
      <c r="Q2497" s="691"/>
      <c r="R2497" s="691"/>
      <c r="S2497" s="691"/>
      <c r="T2497" s="691"/>
      <c r="U2497" s="691"/>
    </row>
    <row r="2498" s="917" customFormat="true" ht="15" hidden="false" customHeight="true" outlineLevel="0" collapsed="false">
      <c r="A2498" s="752"/>
      <c r="C2498" s="925"/>
      <c r="D2498" s="914"/>
      <c r="E2498" s="914"/>
      <c r="F2498" s="915"/>
      <c r="G2498" s="915"/>
      <c r="H2498" s="691"/>
      <c r="I2498" s="691"/>
      <c r="J2498" s="691"/>
      <c r="K2498" s="691"/>
      <c r="L2498" s="691"/>
      <c r="M2498" s="691"/>
      <c r="N2498" s="691"/>
      <c r="O2498" s="691"/>
      <c r="P2498" s="691"/>
      <c r="Q2498" s="691"/>
      <c r="R2498" s="691"/>
      <c r="S2498" s="691"/>
      <c r="T2498" s="691"/>
      <c r="U2498" s="691"/>
    </row>
    <row r="2499" s="917" customFormat="true" ht="15" hidden="false" customHeight="true" outlineLevel="0" collapsed="false">
      <c r="A2499" s="752"/>
      <c r="C2499" s="925"/>
      <c r="D2499" s="914"/>
      <c r="E2499" s="914"/>
      <c r="F2499" s="915"/>
      <c r="G2499" s="915"/>
      <c r="H2499" s="691"/>
      <c r="I2499" s="691"/>
      <c r="J2499" s="691"/>
      <c r="K2499" s="691"/>
      <c r="L2499" s="691"/>
      <c r="M2499" s="691"/>
      <c r="N2499" s="691"/>
      <c r="O2499" s="691"/>
      <c r="P2499" s="691"/>
      <c r="Q2499" s="691"/>
      <c r="R2499" s="691"/>
      <c r="S2499" s="691"/>
      <c r="T2499" s="691"/>
      <c r="U2499" s="691"/>
    </row>
    <row r="2500" s="917" customFormat="true" ht="15" hidden="false" customHeight="true" outlineLevel="0" collapsed="false">
      <c r="A2500" s="752"/>
      <c r="C2500" s="925"/>
      <c r="D2500" s="914"/>
      <c r="E2500" s="914"/>
      <c r="F2500" s="915"/>
      <c r="G2500" s="915"/>
      <c r="H2500" s="691"/>
      <c r="I2500" s="691"/>
      <c r="J2500" s="691"/>
      <c r="K2500" s="691"/>
      <c r="L2500" s="691"/>
      <c r="M2500" s="691"/>
      <c r="N2500" s="691"/>
      <c r="O2500" s="691"/>
      <c r="P2500" s="691"/>
      <c r="Q2500" s="691"/>
      <c r="R2500" s="691"/>
      <c r="S2500" s="691"/>
      <c r="T2500" s="691"/>
      <c r="U2500" s="691"/>
    </row>
    <row r="2501" s="917" customFormat="true" ht="15" hidden="false" customHeight="true" outlineLevel="0" collapsed="false">
      <c r="A2501" s="752"/>
      <c r="C2501" s="925"/>
      <c r="D2501" s="914"/>
      <c r="E2501" s="914"/>
      <c r="F2501" s="915"/>
      <c r="G2501" s="915"/>
      <c r="H2501" s="691"/>
      <c r="I2501" s="691"/>
      <c r="J2501" s="691"/>
      <c r="K2501" s="691"/>
      <c r="L2501" s="691"/>
      <c r="M2501" s="691"/>
      <c r="N2501" s="691"/>
      <c r="O2501" s="691"/>
      <c r="P2501" s="691"/>
      <c r="Q2501" s="691"/>
      <c r="R2501" s="691"/>
      <c r="S2501" s="691"/>
      <c r="T2501" s="691"/>
      <c r="U2501" s="691"/>
    </row>
    <row r="2502" s="917" customFormat="true" ht="15" hidden="false" customHeight="true" outlineLevel="0" collapsed="false">
      <c r="A2502" s="752"/>
      <c r="C2502" s="925"/>
      <c r="D2502" s="914"/>
      <c r="E2502" s="914"/>
      <c r="F2502" s="915"/>
      <c r="G2502" s="915"/>
      <c r="H2502" s="691"/>
      <c r="I2502" s="691"/>
      <c r="J2502" s="691"/>
      <c r="K2502" s="691"/>
      <c r="L2502" s="691"/>
      <c r="M2502" s="691"/>
      <c r="N2502" s="691"/>
      <c r="O2502" s="691"/>
      <c r="P2502" s="691"/>
      <c r="Q2502" s="691"/>
      <c r="R2502" s="691"/>
      <c r="S2502" s="691"/>
      <c r="T2502" s="691"/>
      <c r="U2502" s="691"/>
    </row>
    <row r="2503" s="917" customFormat="true" ht="15" hidden="false" customHeight="true" outlineLevel="0" collapsed="false">
      <c r="A2503" s="752"/>
      <c r="C2503" s="925"/>
      <c r="D2503" s="914"/>
      <c r="E2503" s="914"/>
      <c r="F2503" s="915"/>
      <c r="G2503" s="915"/>
      <c r="H2503" s="691"/>
      <c r="I2503" s="691"/>
      <c r="J2503" s="691"/>
      <c r="K2503" s="691"/>
      <c r="L2503" s="691"/>
      <c r="M2503" s="691"/>
      <c r="N2503" s="691"/>
      <c r="O2503" s="691"/>
      <c r="P2503" s="691"/>
      <c r="Q2503" s="691"/>
      <c r="R2503" s="691"/>
      <c r="S2503" s="691"/>
      <c r="T2503" s="691"/>
      <c r="U2503" s="691"/>
    </row>
    <row r="2504" s="917" customFormat="true" ht="15" hidden="false" customHeight="true" outlineLevel="0" collapsed="false">
      <c r="A2504" s="752"/>
      <c r="C2504" s="925"/>
      <c r="D2504" s="914"/>
      <c r="E2504" s="914"/>
      <c r="F2504" s="915"/>
      <c r="G2504" s="915"/>
      <c r="H2504" s="691"/>
      <c r="I2504" s="691"/>
      <c r="J2504" s="691"/>
      <c r="K2504" s="691"/>
      <c r="L2504" s="691"/>
      <c r="M2504" s="691"/>
      <c r="N2504" s="691"/>
      <c r="O2504" s="691"/>
      <c r="P2504" s="691"/>
      <c r="Q2504" s="691"/>
      <c r="R2504" s="691"/>
      <c r="S2504" s="691"/>
      <c r="T2504" s="691"/>
      <c r="U2504" s="691"/>
    </row>
    <row r="2505" s="917" customFormat="true" ht="15" hidden="false" customHeight="true" outlineLevel="0" collapsed="false">
      <c r="A2505" s="752"/>
      <c r="C2505" s="925"/>
      <c r="D2505" s="914"/>
      <c r="E2505" s="914"/>
      <c r="F2505" s="915"/>
      <c r="G2505" s="915"/>
      <c r="H2505" s="691"/>
      <c r="I2505" s="691"/>
      <c r="J2505" s="691"/>
      <c r="K2505" s="691"/>
      <c r="L2505" s="691"/>
      <c r="M2505" s="691"/>
      <c r="N2505" s="691"/>
      <c r="O2505" s="691"/>
      <c r="P2505" s="691"/>
      <c r="Q2505" s="691"/>
      <c r="R2505" s="691"/>
      <c r="S2505" s="691"/>
      <c r="T2505" s="691"/>
      <c r="U2505" s="691"/>
    </row>
    <row r="2506" s="917" customFormat="true" ht="15" hidden="false" customHeight="true" outlineLevel="0" collapsed="false">
      <c r="A2506" s="752"/>
      <c r="C2506" s="925"/>
      <c r="D2506" s="914"/>
      <c r="E2506" s="914"/>
      <c r="F2506" s="915"/>
      <c r="G2506" s="915"/>
      <c r="H2506" s="691"/>
      <c r="I2506" s="691"/>
      <c r="J2506" s="691"/>
      <c r="K2506" s="691"/>
      <c r="L2506" s="691"/>
      <c r="M2506" s="691"/>
      <c r="N2506" s="691"/>
      <c r="O2506" s="691"/>
      <c r="P2506" s="691"/>
      <c r="Q2506" s="691"/>
      <c r="R2506" s="691"/>
      <c r="S2506" s="691"/>
      <c r="T2506" s="691"/>
      <c r="U2506" s="691"/>
    </row>
    <row r="2507" s="917" customFormat="true" ht="15" hidden="false" customHeight="true" outlineLevel="0" collapsed="false">
      <c r="A2507" s="752"/>
      <c r="C2507" s="925"/>
      <c r="D2507" s="914"/>
      <c r="E2507" s="914"/>
      <c r="F2507" s="915"/>
      <c r="G2507" s="915"/>
      <c r="H2507" s="691"/>
      <c r="I2507" s="691"/>
      <c r="J2507" s="691"/>
      <c r="K2507" s="691"/>
      <c r="L2507" s="691"/>
      <c r="M2507" s="691"/>
      <c r="N2507" s="691"/>
      <c r="O2507" s="691"/>
      <c r="P2507" s="691"/>
      <c r="Q2507" s="691"/>
      <c r="R2507" s="691"/>
      <c r="S2507" s="691"/>
      <c r="T2507" s="691"/>
      <c r="U2507" s="691"/>
    </row>
    <row r="2508" s="917" customFormat="true" ht="15" hidden="false" customHeight="true" outlineLevel="0" collapsed="false">
      <c r="A2508" s="752"/>
      <c r="C2508" s="925"/>
      <c r="D2508" s="914"/>
      <c r="E2508" s="914"/>
      <c r="F2508" s="915"/>
      <c r="G2508" s="915"/>
      <c r="H2508" s="691"/>
      <c r="I2508" s="691"/>
      <c r="J2508" s="691"/>
      <c r="K2508" s="691"/>
      <c r="L2508" s="691"/>
      <c r="M2508" s="691"/>
      <c r="N2508" s="691"/>
      <c r="O2508" s="691"/>
      <c r="P2508" s="691"/>
      <c r="Q2508" s="691"/>
      <c r="R2508" s="691"/>
      <c r="S2508" s="691"/>
      <c r="T2508" s="691"/>
      <c r="U2508" s="691"/>
    </row>
    <row r="2509" s="917" customFormat="true" ht="15" hidden="false" customHeight="true" outlineLevel="0" collapsed="false">
      <c r="A2509" s="752"/>
      <c r="C2509" s="925"/>
      <c r="D2509" s="914"/>
      <c r="E2509" s="914"/>
      <c r="F2509" s="915"/>
      <c r="G2509" s="915"/>
      <c r="H2509" s="691"/>
      <c r="I2509" s="691"/>
      <c r="J2509" s="691"/>
      <c r="K2509" s="691"/>
      <c r="L2509" s="691"/>
      <c r="M2509" s="691"/>
      <c r="N2509" s="691"/>
      <c r="O2509" s="691"/>
      <c r="P2509" s="691"/>
      <c r="Q2509" s="691"/>
      <c r="R2509" s="691"/>
      <c r="S2509" s="691"/>
      <c r="T2509" s="691"/>
      <c r="U2509" s="691"/>
    </row>
    <row r="2510" s="917" customFormat="true" ht="15" hidden="false" customHeight="true" outlineLevel="0" collapsed="false">
      <c r="A2510" s="752"/>
      <c r="C2510" s="925"/>
      <c r="D2510" s="914"/>
      <c r="E2510" s="914"/>
      <c r="F2510" s="915"/>
      <c r="G2510" s="915"/>
      <c r="H2510" s="691"/>
      <c r="I2510" s="691"/>
      <c r="J2510" s="691"/>
      <c r="K2510" s="691"/>
      <c r="L2510" s="691"/>
      <c r="M2510" s="691"/>
      <c r="N2510" s="691"/>
      <c r="O2510" s="691"/>
      <c r="P2510" s="691"/>
      <c r="Q2510" s="691"/>
      <c r="R2510" s="691"/>
      <c r="S2510" s="691"/>
      <c r="T2510" s="691"/>
      <c r="U2510" s="691"/>
    </row>
    <row r="2511" s="917" customFormat="true" ht="15" hidden="false" customHeight="true" outlineLevel="0" collapsed="false">
      <c r="A2511" s="752"/>
      <c r="C2511" s="925"/>
      <c r="D2511" s="914"/>
      <c r="E2511" s="914"/>
      <c r="F2511" s="915"/>
      <c r="G2511" s="915"/>
      <c r="H2511" s="691"/>
      <c r="I2511" s="691"/>
      <c r="J2511" s="691"/>
      <c r="K2511" s="691"/>
      <c r="L2511" s="691"/>
      <c r="M2511" s="691"/>
      <c r="N2511" s="691"/>
      <c r="O2511" s="691"/>
      <c r="P2511" s="691"/>
      <c r="Q2511" s="691"/>
      <c r="R2511" s="691"/>
      <c r="S2511" s="691"/>
      <c r="T2511" s="691"/>
      <c r="U2511" s="691"/>
    </row>
    <row r="2512" s="917" customFormat="true" ht="15" hidden="false" customHeight="true" outlineLevel="0" collapsed="false">
      <c r="A2512" s="752"/>
      <c r="C2512" s="925"/>
      <c r="D2512" s="914"/>
      <c r="E2512" s="914"/>
      <c r="F2512" s="915"/>
      <c r="G2512" s="915"/>
      <c r="H2512" s="691"/>
      <c r="I2512" s="691"/>
      <c r="J2512" s="691"/>
      <c r="K2512" s="691"/>
      <c r="L2512" s="691"/>
      <c r="M2512" s="691"/>
      <c r="N2512" s="691"/>
      <c r="O2512" s="691"/>
      <c r="P2512" s="691"/>
      <c r="Q2512" s="691"/>
      <c r="R2512" s="691"/>
      <c r="S2512" s="691"/>
      <c r="T2512" s="691"/>
      <c r="U2512" s="691"/>
    </row>
    <row r="2513" s="917" customFormat="true" ht="15" hidden="false" customHeight="true" outlineLevel="0" collapsed="false">
      <c r="A2513" s="752"/>
      <c r="C2513" s="925"/>
      <c r="D2513" s="914"/>
      <c r="E2513" s="914"/>
      <c r="F2513" s="915"/>
      <c r="G2513" s="915"/>
      <c r="H2513" s="691"/>
      <c r="I2513" s="691"/>
      <c r="J2513" s="691"/>
      <c r="K2513" s="691"/>
      <c r="L2513" s="691"/>
      <c r="M2513" s="691"/>
      <c r="N2513" s="691"/>
      <c r="O2513" s="691"/>
      <c r="P2513" s="691"/>
      <c r="Q2513" s="691"/>
      <c r="R2513" s="691"/>
      <c r="S2513" s="691"/>
      <c r="T2513" s="691"/>
      <c r="U2513" s="691"/>
    </row>
    <row r="2514" s="917" customFormat="true" ht="15" hidden="false" customHeight="true" outlineLevel="0" collapsed="false">
      <c r="A2514" s="752"/>
      <c r="C2514" s="925"/>
      <c r="D2514" s="914"/>
      <c r="E2514" s="914"/>
      <c r="F2514" s="915"/>
      <c r="G2514" s="915"/>
      <c r="H2514" s="691"/>
      <c r="I2514" s="691"/>
      <c r="J2514" s="691"/>
      <c r="K2514" s="691"/>
      <c r="L2514" s="691"/>
      <c r="M2514" s="691"/>
      <c r="N2514" s="691"/>
      <c r="O2514" s="691"/>
      <c r="P2514" s="691"/>
      <c r="Q2514" s="691"/>
      <c r="R2514" s="691"/>
      <c r="S2514" s="691"/>
      <c r="T2514" s="691"/>
      <c r="U2514" s="691"/>
    </row>
    <row r="2515" s="917" customFormat="true" ht="15" hidden="false" customHeight="true" outlineLevel="0" collapsed="false">
      <c r="A2515" s="752"/>
      <c r="C2515" s="925"/>
      <c r="D2515" s="914"/>
      <c r="E2515" s="914"/>
      <c r="F2515" s="915"/>
      <c r="G2515" s="915"/>
      <c r="H2515" s="691"/>
      <c r="I2515" s="691"/>
      <c r="J2515" s="691"/>
      <c r="K2515" s="691"/>
      <c r="L2515" s="691"/>
      <c r="M2515" s="691"/>
      <c r="N2515" s="691"/>
      <c r="O2515" s="691"/>
      <c r="P2515" s="691"/>
      <c r="Q2515" s="691"/>
      <c r="R2515" s="691"/>
      <c r="S2515" s="691"/>
      <c r="T2515" s="691"/>
      <c r="U2515" s="691"/>
    </row>
    <row r="2516" s="917" customFormat="true" ht="15" hidden="false" customHeight="true" outlineLevel="0" collapsed="false">
      <c r="A2516" s="752"/>
      <c r="C2516" s="925"/>
      <c r="D2516" s="914"/>
      <c r="E2516" s="914"/>
      <c r="F2516" s="915"/>
      <c r="G2516" s="915"/>
      <c r="H2516" s="691"/>
      <c r="I2516" s="691"/>
      <c r="J2516" s="691"/>
      <c r="K2516" s="691"/>
      <c r="L2516" s="691"/>
      <c r="M2516" s="691"/>
      <c r="N2516" s="691"/>
      <c r="O2516" s="691"/>
      <c r="P2516" s="691"/>
      <c r="Q2516" s="691"/>
      <c r="R2516" s="691"/>
      <c r="S2516" s="691"/>
      <c r="T2516" s="691"/>
      <c r="U2516" s="691"/>
    </row>
    <row r="2517" s="917" customFormat="true" ht="15" hidden="false" customHeight="true" outlineLevel="0" collapsed="false">
      <c r="A2517" s="752"/>
      <c r="C2517" s="925"/>
      <c r="D2517" s="914"/>
      <c r="E2517" s="914"/>
      <c r="F2517" s="915"/>
      <c r="G2517" s="915"/>
      <c r="H2517" s="691"/>
      <c r="I2517" s="691"/>
      <c r="J2517" s="691"/>
      <c r="K2517" s="691"/>
      <c r="L2517" s="691"/>
      <c r="M2517" s="691"/>
      <c r="N2517" s="691"/>
      <c r="O2517" s="691"/>
      <c r="P2517" s="691"/>
      <c r="Q2517" s="691"/>
      <c r="R2517" s="691"/>
      <c r="S2517" s="691"/>
      <c r="T2517" s="691"/>
      <c r="U2517" s="691"/>
    </row>
    <row r="2518" s="917" customFormat="true" ht="15" hidden="false" customHeight="true" outlineLevel="0" collapsed="false">
      <c r="A2518" s="752"/>
      <c r="C2518" s="925"/>
      <c r="D2518" s="914"/>
      <c r="E2518" s="914"/>
      <c r="F2518" s="915"/>
      <c r="G2518" s="915"/>
      <c r="H2518" s="691"/>
      <c r="I2518" s="691"/>
      <c r="J2518" s="691"/>
      <c r="K2518" s="691"/>
      <c r="L2518" s="691"/>
      <c r="M2518" s="691"/>
      <c r="N2518" s="691"/>
      <c r="O2518" s="691"/>
      <c r="P2518" s="691"/>
      <c r="Q2518" s="691"/>
      <c r="R2518" s="691"/>
      <c r="S2518" s="691"/>
      <c r="T2518" s="691"/>
      <c r="U2518" s="691"/>
    </row>
    <row r="2519" s="917" customFormat="true" ht="15" hidden="false" customHeight="true" outlineLevel="0" collapsed="false">
      <c r="A2519" s="752"/>
      <c r="C2519" s="925"/>
      <c r="D2519" s="914"/>
      <c r="E2519" s="914"/>
      <c r="F2519" s="915"/>
      <c r="G2519" s="915"/>
      <c r="H2519" s="691"/>
      <c r="I2519" s="691"/>
      <c r="J2519" s="691"/>
      <c r="K2519" s="691"/>
      <c r="L2519" s="691"/>
      <c r="M2519" s="691"/>
      <c r="N2519" s="691"/>
      <c r="O2519" s="691"/>
      <c r="P2519" s="691"/>
      <c r="Q2519" s="691"/>
      <c r="R2519" s="691"/>
      <c r="S2519" s="691"/>
      <c r="T2519" s="691"/>
      <c r="U2519" s="691"/>
    </row>
    <row r="2520" s="917" customFormat="true" ht="15" hidden="false" customHeight="true" outlineLevel="0" collapsed="false">
      <c r="A2520" s="752"/>
      <c r="C2520" s="925"/>
      <c r="D2520" s="914"/>
      <c r="E2520" s="914"/>
      <c r="F2520" s="915"/>
      <c r="G2520" s="915"/>
      <c r="H2520" s="691"/>
      <c r="I2520" s="691"/>
      <c r="J2520" s="691"/>
      <c r="K2520" s="691"/>
      <c r="L2520" s="691"/>
      <c r="M2520" s="691"/>
      <c r="N2520" s="691"/>
      <c r="O2520" s="691"/>
      <c r="P2520" s="691"/>
      <c r="Q2520" s="691"/>
      <c r="R2520" s="691"/>
      <c r="S2520" s="691"/>
      <c r="T2520" s="691"/>
      <c r="U2520" s="691"/>
    </row>
    <row r="2521" s="917" customFormat="true" ht="15" hidden="false" customHeight="true" outlineLevel="0" collapsed="false">
      <c r="A2521" s="752"/>
      <c r="C2521" s="925"/>
      <c r="D2521" s="914"/>
      <c r="E2521" s="914"/>
      <c r="F2521" s="915"/>
      <c r="G2521" s="915"/>
      <c r="H2521" s="691"/>
      <c r="I2521" s="691"/>
      <c r="J2521" s="691"/>
      <c r="K2521" s="691"/>
      <c r="L2521" s="691"/>
      <c r="M2521" s="691"/>
      <c r="N2521" s="691"/>
      <c r="O2521" s="691"/>
      <c r="P2521" s="691"/>
      <c r="Q2521" s="691"/>
      <c r="R2521" s="691"/>
      <c r="S2521" s="691"/>
      <c r="T2521" s="691"/>
      <c r="U2521" s="691"/>
    </row>
    <row r="2522" s="917" customFormat="true" ht="15" hidden="false" customHeight="true" outlineLevel="0" collapsed="false">
      <c r="A2522" s="752"/>
      <c r="C2522" s="925"/>
      <c r="D2522" s="914"/>
      <c r="E2522" s="914"/>
      <c r="F2522" s="915"/>
      <c r="G2522" s="915"/>
      <c r="H2522" s="691"/>
      <c r="I2522" s="691"/>
      <c r="J2522" s="691"/>
      <c r="K2522" s="691"/>
      <c r="L2522" s="691"/>
      <c r="M2522" s="691"/>
      <c r="N2522" s="691"/>
      <c r="O2522" s="691"/>
      <c r="P2522" s="691"/>
      <c r="Q2522" s="691"/>
      <c r="R2522" s="691"/>
      <c r="S2522" s="691"/>
      <c r="T2522" s="691"/>
      <c r="U2522" s="691"/>
    </row>
    <row r="2523" s="917" customFormat="true" ht="15" hidden="false" customHeight="true" outlineLevel="0" collapsed="false">
      <c r="A2523" s="752"/>
      <c r="C2523" s="925"/>
      <c r="D2523" s="914"/>
      <c r="E2523" s="914"/>
      <c r="F2523" s="915"/>
      <c r="G2523" s="915"/>
      <c r="H2523" s="691"/>
      <c r="I2523" s="691"/>
      <c r="J2523" s="691"/>
      <c r="K2523" s="691"/>
      <c r="L2523" s="691"/>
      <c r="M2523" s="691"/>
      <c r="N2523" s="691"/>
      <c r="O2523" s="691"/>
      <c r="P2523" s="691"/>
      <c r="Q2523" s="691"/>
      <c r="R2523" s="691"/>
      <c r="S2523" s="691"/>
      <c r="T2523" s="691"/>
      <c r="U2523" s="691"/>
    </row>
    <row r="2524" s="917" customFormat="true" ht="15" hidden="false" customHeight="true" outlineLevel="0" collapsed="false">
      <c r="A2524" s="752"/>
      <c r="C2524" s="925"/>
      <c r="D2524" s="914"/>
      <c r="E2524" s="914"/>
      <c r="F2524" s="915"/>
      <c r="G2524" s="915"/>
      <c r="H2524" s="691"/>
      <c r="I2524" s="691"/>
      <c r="J2524" s="691"/>
      <c r="K2524" s="691"/>
      <c r="L2524" s="691"/>
      <c r="M2524" s="691"/>
      <c r="N2524" s="691"/>
      <c r="O2524" s="691"/>
      <c r="P2524" s="691"/>
      <c r="Q2524" s="691"/>
      <c r="R2524" s="691"/>
      <c r="S2524" s="691"/>
      <c r="T2524" s="691"/>
      <c r="U2524" s="691"/>
    </row>
    <row r="2525" s="917" customFormat="true" ht="15" hidden="false" customHeight="true" outlineLevel="0" collapsed="false">
      <c r="A2525" s="752"/>
      <c r="C2525" s="925"/>
      <c r="D2525" s="914"/>
      <c r="E2525" s="914"/>
      <c r="F2525" s="915"/>
      <c r="G2525" s="915"/>
      <c r="H2525" s="691"/>
      <c r="I2525" s="691"/>
      <c r="J2525" s="691"/>
      <c r="K2525" s="691"/>
      <c r="L2525" s="691"/>
      <c r="M2525" s="691"/>
      <c r="N2525" s="691"/>
      <c r="O2525" s="691"/>
      <c r="P2525" s="691"/>
      <c r="Q2525" s="691"/>
      <c r="R2525" s="691"/>
      <c r="S2525" s="691"/>
      <c r="T2525" s="691"/>
      <c r="U2525" s="691"/>
    </row>
    <row r="2526" s="917" customFormat="true" ht="15" hidden="false" customHeight="true" outlineLevel="0" collapsed="false">
      <c r="A2526" s="752"/>
      <c r="C2526" s="925"/>
      <c r="D2526" s="914"/>
      <c r="E2526" s="914"/>
      <c r="F2526" s="915"/>
      <c r="G2526" s="915"/>
      <c r="H2526" s="691"/>
      <c r="I2526" s="691"/>
      <c r="J2526" s="691"/>
      <c r="K2526" s="691"/>
      <c r="L2526" s="691"/>
      <c r="M2526" s="691"/>
      <c r="N2526" s="691"/>
      <c r="O2526" s="691"/>
      <c r="P2526" s="691"/>
      <c r="Q2526" s="691"/>
      <c r="R2526" s="691"/>
      <c r="S2526" s="691"/>
      <c r="T2526" s="691"/>
      <c r="U2526" s="691"/>
    </row>
    <row r="2527" s="917" customFormat="true" ht="15" hidden="false" customHeight="true" outlineLevel="0" collapsed="false">
      <c r="A2527" s="752"/>
      <c r="C2527" s="925"/>
      <c r="D2527" s="914"/>
      <c r="E2527" s="914"/>
      <c r="F2527" s="915"/>
      <c r="G2527" s="915"/>
      <c r="H2527" s="691"/>
      <c r="I2527" s="691"/>
      <c r="J2527" s="691"/>
      <c r="K2527" s="691"/>
      <c r="L2527" s="691"/>
      <c r="M2527" s="691"/>
      <c r="N2527" s="691"/>
      <c r="O2527" s="691"/>
      <c r="P2527" s="691"/>
      <c r="Q2527" s="691"/>
      <c r="R2527" s="691"/>
      <c r="S2527" s="691"/>
      <c r="T2527" s="691"/>
      <c r="U2527" s="691"/>
    </row>
    <row r="2528" s="917" customFormat="true" ht="15" hidden="false" customHeight="true" outlineLevel="0" collapsed="false">
      <c r="A2528" s="752"/>
      <c r="C2528" s="925"/>
      <c r="D2528" s="914"/>
      <c r="E2528" s="914"/>
      <c r="F2528" s="915"/>
      <c r="G2528" s="915"/>
      <c r="H2528" s="691"/>
      <c r="I2528" s="691"/>
      <c r="J2528" s="691"/>
      <c r="K2528" s="691"/>
      <c r="L2528" s="691"/>
      <c r="M2528" s="691"/>
      <c r="N2528" s="691"/>
      <c r="O2528" s="691"/>
      <c r="P2528" s="691"/>
      <c r="Q2528" s="691"/>
      <c r="R2528" s="691"/>
      <c r="S2528" s="691"/>
      <c r="T2528" s="691"/>
      <c r="U2528" s="691"/>
    </row>
    <row r="2529" s="917" customFormat="true" ht="15" hidden="false" customHeight="true" outlineLevel="0" collapsed="false">
      <c r="A2529" s="752"/>
      <c r="C2529" s="925"/>
      <c r="D2529" s="914"/>
      <c r="E2529" s="914"/>
      <c r="F2529" s="915"/>
      <c r="G2529" s="915"/>
      <c r="H2529" s="691"/>
      <c r="I2529" s="691"/>
      <c r="J2529" s="691"/>
      <c r="K2529" s="691"/>
      <c r="L2529" s="691"/>
      <c r="M2529" s="691"/>
      <c r="N2529" s="691"/>
      <c r="O2529" s="691"/>
      <c r="P2529" s="691"/>
      <c r="Q2529" s="691"/>
      <c r="R2529" s="691"/>
      <c r="S2529" s="691"/>
      <c r="T2529" s="691"/>
      <c r="U2529" s="691"/>
    </row>
    <row r="2530" s="917" customFormat="true" ht="15" hidden="false" customHeight="true" outlineLevel="0" collapsed="false">
      <c r="A2530" s="752"/>
      <c r="C2530" s="925"/>
      <c r="D2530" s="914"/>
      <c r="E2530" s="914"/>
      <c r="F2530" s="915"/>
      <c r="G2530" s="915"/>
      <c r="H2530" s="691"/>
      <c r="I2530" s="691"/>
      <c r="J2530" s="691"/>
      <c r="K2530" s="691"/>
      <c r="L2530" s="691"/>
      <c r="M2530" s="691"/>
      <c r="N2530" s="691"/>
      <c r="O2530" s="691"/>
      <c r="P2530" s="691"/>
      <c r="Q2530" s="691"/>
      <c r="R2530" s="691"/>
      <c r="S2530" s="691"/>
      <c r="T2530" s="691"/>
      <c r="U2530" s="691"/>
    </row>
    <row r="2531" s="917" customFormat="true" ht="15" hidden="false" customHeight="true" outlineLevel="0" collapsed="false">
      <c r="A2531" s="752"/>
      <c r="C2531" s="925"/>
      <c r="D2531" s="914"/>
      <c r="E2531" s="914"/>
      <c r="F2531" s="915"/>
      <c r="G2531" s="915"/>
      <c r="H2531" s="691"/>
      <c r="I2531" s="691"/>
      <c r="J2531" s="691"/>
      <c r="K2531" s="691"/>
      <c r="L2531" s="691"/>
      <c r="M2531" s="691"/>
      <c r="N2531" s="691"/>
      <c r="O2531" s="691"/>
      <c r="P2531" s="691"/>
      <c r="Q2531" s="691"/>
      <c r="R2531" s="691"/>
      <c r="S2531" s="691"/>
      <c r="T2531" s="691"/>
      <c r="U2531" s="691"/>
    </row>
    <row r="2532" s="917" customFormat="true" ht="15" hidden="false" customHeight="true" outlineLevel="0" collapsed="false">
      <c r="A2532" s="752"/>
      <c r="C2532" s="925"/>
      <c r="D2532" s="914"/>
      <c r="E2532" s="914"/>
      <c r="F2532" s="915"/>
      <c r="G2532" s="915"/>
      <c r="H2532" s="691"/>
      <c r="I2532" s="691"/>
      <c r="J2532" s="691"/>
      <c r="K2532" s="691"/>
      <c r="L2532" s="691"/>
      <c r="M2532" s="691"/>
      <c r="N2532" s="691"/>
      <c r="O2532" s="691"/>
      <c r="P2532" s="691"/>
      <c r="Q2532" s="691"/>
      <c r="R2532" s="691"/>
      <c r="S2532" s="691"/>
      <c r="T2532" s="691"/>
      <c r="U2532" s="691"/>
    </row>
    <row r="2533" s="917" customFormat="true" ht="15" hidden="false" customHeight="true" outlineLevel="0" collapsed="false">
      <c r="A2533" s="752"/>
      <c r="C2533" s="925"/>
      <c r="D2533" s="914"/>
      <c r="E2533" s="914"/>
      <c r="F2533" s="915"/>
      <c r="G2533" s="915"/>
      <c r="H2533" s="691"/>
      <c r="I2533" s="691"/>
      <c r="J2533" s="691"/>
      <c r="K2533" s="691"/>
      <c r="L2533" s="691"/>
      <c r="M2533" s="691"/>
      <c r="N2533" s="691"/>
      <c r="O2533" s="691"/>
      <c r="P2533" s="691"/>
      <c r="Q2533" s="691"/>
      <c r="R2533" s="691"/>
      <c r="S2533" s="691"/>
      <c r="T2533" s="691"/>
      <c r="U2533" s="691"/>
    </row>
    <row r="2534" s="917" customFormat="true" ht="15" hidden="false" customHeight="true" outlineLevel="0" collapsed="false">
      <c r="A2534" s="752"/>
      <c r="C2534" s="925"/>
      <c r="D2534" s="914"/>
      <c r="E2534" s="914"/>
      <c r="F2534" s="915"/>
      <c r="G2534" s="915"/>
      <c r="H2534" s="691"/>
      <c r="I2534" s="691"/>
      <c r="J2534" s="691"/>
      <c r="K2534" s="691"/>
      <c r="L2534" s="691"/>
      <c r="M2534" s="691"/>
      <c r="N2534" s="691"/>
      <c r="O2534" s="691"/>
      <c r="P2534" s="691"/>
      <c r="Q2534" s="691"/>
      <c r="R2534" s="691"/>
      <c r="S2534" s="691"/>
      <c r="T2534" s="691"/>
      <c r="U2534" s="691"/>
    </row>
    <row r="2535" s="917" customFormat="true" ht="15" hidden="false" customHeight="true" outlineLevel="0" collapsed="false">
      <c r="A2535" s="752"/>
      <c r="C2535" s="925"/>
      <c r="D2535" s="914"/>
      <c r="E2535" s="914"/>
      <c r="F2535" s="915"/>
      <c r="G2535" s="915"/>
      <c r="H2535" s="691"/>
      <c r="I2535" s="691"/>
      <c r="J2535" s="691"/>
      <c r="K2535" s="691"/>
      <c r="L2535" s="691"/>
      <c r="M2535" s="691"/>
      <c r="N2535" s="691"/>
      <c r="O2535" s="691"/>
      <c r="P2535" s="691"/>
      <c r="Q2535" s="691"/>
      <c r="R2535" s="691"/>
      <c r="S2535" s="691"/>
      <c r="T2535" s="691"/>
      <c r="U2535" s="691"/>
    </row>
    <row r="2536" s="917" customFormat="true" ht="15" hidden="false" customHeight="true" outlineLevel="0" collapsed="false">
      <c r="A2536" s="752"/>
      <c r="C2536" s="925"/>
      <c r="D2536" s="914"/>
      <c r="E2536" s="914"/>
      <c r="F2536" s="915"/>
      <c r="G2536" s="915"/>
      <c r="H2536" s="691"/>
      <c r="I2536" s="691"/>
      <c r="J2536" s="691"/>
      <c r="K2536" s="691"/>
      <c r="L2536" s="691"/>
      <c r="M2536" s="691"/>
      <c r="N2536" s="691"/>
      <c r="O2536" s="691"/>
      <c r="P2536" s="691"/>
      <c r="Q2536" s="691"/>
      <c r="R2536" s="691"/>
      <c r="S2536" s="691"/>
      <c r="T2536" s="691"/>
      <c r="U2536" s="691"/>
    </row>
    <row r="2537" s="917" customFormat="true" ht="15" hidden="false" customHeight="true" outlineLevel="0" collapsed="false">
      <c r="A2537" s="752"/>
      <c r="C2537" s="925"/>
      <c r="D2537" s="914"/>
      <c r="E2537" s="914"/>
      <c r="F2537" s="915"/>
      <c r="G2537" s="915"/>
      <c r="H2537" s="691"/>
      <c r="I2537" s="691"/>
      <c r="J2537" s="691"/>
      <c r="K2537" s="691"/>
      <c r="L2537" s="691"/>
      <c r="M2537" s="691"/>
      <c r="N2537" s="691"/>
      <c r="O2537" s="691"/>
      <c r="P2537" s="691"/>
      <c r="Q2537" s="691"/>
      <c r="R2537" s="691"/>
      <c r="S2537" s="691"/>
      <c r="T2537" s="691"/>
      <c r="U2537" s="691"/>
    </row>
    <row r="2538" s="917" customFormat="true" ht="15" hidden="false" customHeight="true" outlineLevel="0" collapsed="false">
      <c r="A2538" s="752"/>
      <c r="C2538" s="925"/>
      <c r="D2538" s="914"/>
      <c r="E2538" s="914"/>
      <c r="F2538" s="915"/>
      <c r="G2538" s="915"/>
      <c r="H2538" s="691"/>
      <c r="I2538" s="691"/>
      <c r="J2538" s="691"/>
      <c r="K2538" s="691"/>
      <c r="L2538" s="691"/>
      <c r="M2538" s="691"/>
      <c r="N2538" s="691"/>
      <c r="O2538" s="691"/>
      <c r="P2538" s="691"/>
      <c r="Q2538" s="691"/>
      <c r="R2538" s="691"/>
      <c r="S2538" s="691"/>
      <c r="T2538" s="691"/>
      <c r="U2538" s="691"/>
    </row>
    <row r="2539" s="917" customFormat="true" ht="15" hidden="false" customHeight="true" outlineLevel="0" collapsed="false">
      <c r="A2539" s="752"/>
      <c r="C2539" s="925"/>
      <c r="D2539" s="914"/>
      <c r="E2539" s="914"/>
      <c r="F2539" s="915"/>
      <c r="G2539" s="915"/>
      <c r="H2539" s="691"/>
      <c r="I2539" s="691"/>
      <c r="J2539" s="691"/>
      <c r="K2539" s="691"/>
      <c r="L2539" s="691"/>
      <c r="M2539" s="691"/>
      <c r="N2539" s="691"/>
      <c r="O2539" s="691"/>
      <c r="P2539" s="691"/>
      <c r="Q2539" s="691"/>
      <c r="R2539" s="691"/>
      <c r="S2539" s="691"/>
      <c r="T2539" s="691"/>
      <c r="U2539" s="691"/>
    </row>
    <row r="2540" s="917" customFormat="true" ht="15" hidden="false" customHeight="true" outlineLevel="0" collapsed="false">
      <c r="A2540" s="752"/>
      <c r="C2540" s="925"/>
      <c r="D2540" s="914"/>
      <c r="E2540" s="914"/>
      <c r="F2540" s="915"/>
      <c r="G2540" s="915"/>
      <c r="H2540" s="691"/>
      <c r="I2540" s="691"/>
      <c r="J2540" s="691"/>
      <c r="K2540" s="691"/>
      <c r="L2540" s="691"/>
      <c r="M2540" s="691"/>
      <c r="N2540" s="691"/>
      <c r="O2540" s="691"/>
      <c r="P2540" s="691"/>
      <c r="Q2540" s="691"/>
      <c r="R2540" s="691"/>
      <c r="S2540" s="691"/>
      <c r="T2540" s="691"/>
      <c r="U2540" s="691"/>
    </row>
    <row r="2541" s="917" customFormat="true" ht="15" hidden="false" customHeight="true" outlineLevel="0" collapsed="false">
      <c r="A2541" s="752"/>
      <c r="C2541" s="925"/>
      <c r="D2541" s="914"/>
      <c r="E2541" s="914"/>
      <c r="F2541" s="915"/>
      <c r="G2541" s="915"/>
      <c r="H2541" s="691"/>
      <c r="I2541" s="691"/>
      <c r="J2541" s="691"/>
      <c r="K2541" s="691"/>
      <c r="L2541" s="691"/>
      <c r="M2541" s="691"/>
      <c r="N2541" s="691"/>
      <c r="O2541" s="691"/>
      <c r="P2541" s="691"/>
      <c r="Q2541" s="691"/>
      <c r="R2541" s="691"/>
      <c r="S2541" s="691"/>
      <c r="T2541" s="691"/>
      <c r="U2541" s="691"/>
    </row>
    <row r="2542" s="917" customFormat="true" ht="15" hidden="false" customHeight="true" outlineLevel="0" collapsed="false">
      <c r="A2542" s="752"/>
      <c r="C2542" s="925"/>
      <c r="D2542" s="914"/>
      <c r="E2542" s="914"/>
      <c r="F2542" s="915"/>
      <c r="G2542" s="915"/>
      <c r="H2542" s="691"/>
      <c r="I2542" s="691"/>
      <c r="J2542" s="691"/>
      <c r="K2542" s="691"/>
      <c r="L2542" s="691"/>
      <c r="M2542" s="691"/>
      <c r="N2542" s="691"/>
      <c r="O2542" s="691"/>
      <c r="P2542" s="691"/>
      <c r="Q2542" s="691"/>
      <c r="R2542" s="691"/>
      <c r="S2542" s="691"/>
      <c r="T2542" s="691"/>
      <c r="U2542" s="691"/>
    </row>
    <row r="2543" s="917" customFormat="true" ht="15" hidden="false" customHeight="true" outlineLevel="0" collapsed="false">
      <c r="A2543" s="752"/>
      <c r="C2543" s="925"/>
      <c r="D2543" s="914"/>
      <c r="E2543" s="914"/>
      <c r="F2543" s="915"/>
      <c r="G2543" s="915"/>
      <c r="H2543" s="691"/>
      <c r="I2543" s="691"/>
      <c r="J2543" s="691"/>
      <c r="K2543" s="691"/>
      <c r="L2543" s="691"/>
      <c r="M2543" s="691"/>
      <c r="N2543" s="691"/>
      <c r="O2543" s="691"/>
      <c r="P2543" s="691"/>
      <c r="Q2543" s="691"/>
      <c r="R2543" s="691"/>
      <c r="S2543" s="691"/>
      <c r="T2543" s="691"/>
      <c r="U2543" s="691"/>
    </row>
    <row r="2544" s="917" customFormat="true" ht="15" hidden="false" customHeight="true" outlineLevel="0" collapsed="false">
      <c r="A2544" s="752"/>
      <c r="C2544" s="925"/>
      <c r="D2544" s="914"/>
      <c r="E2544" s="914"/>
      <c r="F2544" s="915"/>
      <c r="G2544" s="915"/>
      <c r="H2544" s="691"/>
      <c r="I2544" s="691"/>
      <c r="J2544" s="691"/>
      <c r="K2544" s="691"/>
      <c r="L2544" s="691"/>
      <c r="M2544" s="691"/>
      <c r="N2544" s="691"/>
      <c r="O2544" s="691"/>
      <c r="P2544" s="691"/>
      <c r="Q2544" s="691"/>
      <c r="R2544" s="691"/>
      <c r="S2544" s="691"/>
      <c r="T2544" s="691"/>
      <c r="U2544" s="691"/>
    </row>
    <row r="2545" s="917" customFormat="true" ht="15" hidden="false" customHeight="true" outlineLevel="0" collapsed="false">
      <c r="A2545" s="752"/>
      <c r="C2545" s="925"/>
      <c r="D2545" s="914"/>
      <c r="E2545" s="914"/>
      <c r="F2545" s="915"/>
      <c r="G2545" s="915"/>
      <c r="H2545" s="691"/>
      <c r="I2545" s="691"/>
      <c r="J2545" s="691"/>
      <c r="K2545" s="691"/>
      <c r="L2545" s="691"/>
      <c r="M2545" s="691"/>
      <c r="N2545" s="691"/>
      <c r="O2545" s="691"/>
      <c r="P2545" s="691"/>
      <c r="Q2545" s="691"/>
      <c r="R2545" s="691"/>
      <c r="S2545" s="691"/>
      <c r="T2545" s="691"/>
      <c r="U2545" s="691"/>
    </row>
    <row r="2546" s="917" customFormat="true" ht="15" hidden="false" customHeight="true" outlineLevel="0" collapsed="false">
      <c r="A2546" s="752"/>
      <c r="C2546" s="925"/>
      <c r="D2546" s="914"/>
      <c r="E2546" s="914"/>
      <c r="F2546" s="915"/>
      <c r="G2546" s="915"/>
      <c r="H2546" s="691"/>
      <c r="I2546" s="691"/>
      <c r="J2546" s="691"/>
      <c r="K2546" s="691"/>
      <c r="L2546" s="691"/>
      <c r="M2546" s="691"/>
      <c r="N2546" s="691"/>
      <c r="O2546" s="691"/>
      <c r="P2546" s="691"/>
      <c r="Q2546" s="691"/>
      <c r="R2546" s="691"/>
      <c r="S2546" s="691"/>
      <c r="T2546" s="691"/>
      <c r="U2546" s="691"/>
    </row>
    <row r="2547" s="917" customFormat="true" ht="15" hidden="false" customHeight="true" outlineLevel="0" collapsed="false">
      <c r="A2547" s="752"/>
      <c r="C2547" s="925"/>
      <c r="D2547" s="914"/>
      <c r="E2547" s="914"/>
      <c r="F2547" s="915"/>
      <c r="G2547" s="915"/>
      <c r="H2547" s="691"/>
      <c r="I2547" s="691"/>
      <c r="J2547" s="691"/>
      <c r="K2547" s="691"/>
      <c r="L2547" s="691"/>
      <c r="M2547" s="691"/>
      <c r="N2547" s="691"/>
      <c r="O2547" s="691"/>
      <c r="P2547" s="691"/>
      <c r="Q2547" s="691"/>
      <c r="R2547" s="691"/>
      <c r="S2547" s="691"/>
      <c r="T2547" s="691"/>
      <c r="U2547" s="691"/>
    </row>
    <row r="2548" s="917" customFormat="true" ht="15" hidden="false" customHeight="true" outlineLevel="0" collapsed="false">
      <c r="A2548" s="752"/>
      <c r="C2548" s="925"/>
      <c r="D2548" s="914"/>
      <c r="E2548" s="914"/>
      <c r="F2548" s="915"/>
      <c r="G2548" s="915"/>
      <c r="H2548" s="691"/>
      <c r="I2548" s="691"/>
      <c r="J2548" s="691"/>
      <c r="K2548" s="691"/>
      <c r="L2548" s="691"/>
      <c r="M2548" s="691"/>
      <c r="N2548" s="691"/>
      <c r="O2548" s="691"/>
      <c r="P2548" s="691"/>
      <c r="Q2548" s="691"/>
      <c r="R2548" s="691"/>
      <c r="S2548" s="691"/>
      <c r="T2548" s="691"/>
      <c r="U2548" s="691"/>
    </row>
    <row r="2549" s="917" customFormat="true" ht="15" hidden="false" customHeight="true" outlineLevel="0" collapsed="false">
      <c r="A2549" s="752"/>
      <c r="C2549" s="925"/>
      <c r="D2549" s="914"/>
      <c r="E2549" s="914"/>
      <c r="F2549" s="915"/>
      <c r="G2549" s="915"/>
      <c r="H2549" s="691"/>
      <c r="I2549" s="691"/>
      <c r="J2549" s="691"/>
      <c r="K2549" s="691"/>
      <c r="L2549" s="691"/>
      <c r="M2549" s="691"/>
      <c r="N2549" s="691"/>
      <c r="O2549" s="691"/>
      <c r="P2549" s="691"/>
      <c r="Q2549" s="691"/>
      <c r="R2549" s="691"/>
      <c r="S2549" s="691"/>
      <c r="T2549" s="691"/>
      <c r="U2549" s="691"/>
    </row>
    <row r="2550" s="917" customFormat="true" ht="15" hidden="false" customHeight="true" outlineLevel="0" collapsed="false">
      <c r="A2550" s="752"/>
      <c r="C2550" s="925"/>
      <c r="D2550" s="914"/>
      <c r="E2550" s="914"/>
      <c r="F2550" s="915"/>
      <c r="G2550" s="915"/>
      <c r="H2550" s="691"/>
      <c r="I2550" s="691"/>
      <c r="J2550" s="691"/>
      <c r="K2550" s="691"/>
      <c r="L2550" s="691"/>
      <c r="M2550" s="691"/>
      <c r="N2550" s="691"/>
      <c r="O2550" s="691"/>
      <c r="P2550" s="691"/>
      <c r="Q2550" s="691"/>
      <c r="R2550" s="691"/>
      <c r="S2550" s="691"/>
      <c r="T2550" s="691"/>
      <c r="U2550" s="691"/>
    </row>
    <row r="2551" s="917" customFormat="true" ht="15" hidden="false" customHeight="true" outlineLevel="0" collapsed="false">
      <c r="A2551" s="752"/>
      <c r="C2551" s="925"/>
      <c r="D2551" s="914"/>
      <c r="E2551" s="914"/>
      <c r="F2551" s="915"/>
      <c r="G2551" s="915"/>
      <c r="H2551" s="691"/>
      <c r="I2551" s="691"/>
      <c r="J2551" s="691"/>
      <c r="K2551" s="691"/>
      <c r="L2551" s="691"/>
      <c r="M2551" s="691"/>
      <c r="N2551" s="691"/>
      <c r="O2551" s="691"/>
      <c r="P2551" s="691"/>
      <c r="Q2551" s="691"/>
      <c r="R2551" s="691"/>
      <c r="S2551" s="691"/>
      <c r="T2551" s="691"/>
      <c r="U2551" s="691"/>
    </row>
    <row r="2552" s="917" customFormat="true" ht="15" hidden="false" customHeight="true" outlineLevel="0" collapsed="false">
      <c r="A2552" s="752"/>
      <c r="C2552" s="925"/>
      <c r="D2552" s="914"/>
      <c r="E2552" s="914"/>
      <c r="F2552" s="915"/>
      <c r="G2552" s="915"/>
      <c r="H2552" s="691"/>
      <c r="I2552" s="691"/>
      <c r="J2552" s="691"/>
      <c r="K2552" s="691"/>
      <c r="L2552" s="691"/>
      <c r="M2552" s="691"/>
      <c r="N2552" s="691"/>
      <c r="O2552" s="691"/>
      <c r="P2552" s="691"/>
      <c r="Q2552" s="691"/>
      <c r="R2552" s="691"/>
      <c r="S2552" s="691"/>
      <c r="T2552" s="691"/>
      <c r="U2552" s="691"/>
    </row>
    <row r="2553" s="917" customFormat="true" ht="15" hidden="false" customHeight="true" outlineLevel="0" collapsed="false">
      <c r="A2553" s="752"/>
      <c r="C2553" s="925"/>
      <c r="D2553" s="914"/>
      <c r="E2553" s="914"/>
      <c r="F2553" s="915"/>
      <c r="G2553" s="915"/>
      <c r="H2553" s="691"/>
      <c r="I2553" s="691"/>
      <c r="J2553" s="691"/>
      <c r="K2553" s="691"/>
      <c r="L2553" s="691"/>
      <c r="M2553" s="691"/>
      <c r="N2553" s="691"/>
      <c r="O2553" s="691"/>
      <c r="P2553" s="691"/>
      <c r="Q2553" s="691"/>
      <c r="R2553" s="691"/>
      <c r="S2553" s="691"/>
      <c r="T2553" s="691"/>
      <c r="U2553" s="691"/>
    </row>
    <row r="2554" s="917" customFormat="true" ht="15" hidden="false" customHeight="true" outlineLevel="0" collapsed="false">
      <c r="A2554" s="752"/>
      <c r="C2554" s="925"/>
      <c r="D2554" s="914"/>
      <c r="E2554" s="914"/>
      <c r="F2554" s="915"/>
      <c r="G2554" s="915"/>
      <c r="H2554" s="691"/>
      <c r="I2554" s="691"/>
      <c r="J2554" s="691"/>
      <c r="K2554" s="691"/>
      <c r="L2554" s="691"/>
      <c r="M2554" s="691"/>
      <c r="N2554" s="691"/>
      <c r="O2554" s="691"/>
      <c r="P2554" s="691"/>
      <c r="Q2554" s="691"/>
      <c r="R2554" s="691"/>
      <c r="S2554" s="691"/>
      <c r="T2554" s="691"/>
      <c r="U2554" s="691"/>
    </row>
    <row r="2555" s="917" customFormat="true" ht="15" hidden="false" customHeight="true" outlineLevel="0" collapsed="false">
      <c r="A2555" s="752"/>
      <c r="C2555" s="925"/>
      <c r="D2555" s="914"/>
      <c r="E2555" s="914"/>
      <c r="F2555" s="915"/>
      <c r="G2555" s="915"/>
      <c r="H2555" s="691"/>
      <c r="I2555" s="691"/>
      <c r="J2555" s="691"/>
      <c r="K2555" s="691"/>
      <c r="L2555" s="691"/>
      <c r="M2555" s="691"/>
      <c r="N2555" s="691"/>
      <c r="O2555" s="691"/>
      <c r="P2555" s="691"/>
      <c r="Q2555" s="691"/>
      <c r="R2555" s="691"/>
      <c r="S2555" s="691"/>
      <c r="T2555" s="691"/>
      <c r="U2555" s="691"/>
    </row>
    <row r="2556" s="917" customFormat="true" ht="15" hidden="false" customHeight="true" outlineLevel="0" collapsed="false">
      <c r="A2556" s="752"/>
      <c r="C2556" s="925"/>
      <c r="D2556" s="914"/>
      <c r="E2556" s="914"/>
      <c r="F2556" s="915"/>
      <c r="G2556" s="915"/>
      <c r="H2556" s="691"/>
      <c r="I2556" s="691"/>
      <c r="J2556" s="691"/>
      <c r="K2556" s="691"/>
      <c r="L2556" s="691"/>
      <c r="M2556" s="691"/>
      <c r="N2556" s="691"/>
      <c r="O2556" s="691"/>
      <c r="P2556" s="691"/>
      <c r="Q2556" s="691"/>
      <c r="R2556" s="691"/>
      <c r="S2556" s="691"/>
      <c r="T2556" s="691"/>
      <c r="U2556" s="691"/>
    </row>
    <row r="2557" s="917" customFormat="true" ht="15" hidden="false" customHeight="true" outlineLevel="0" collapsed="false">
      <c r="A2557" s="752"/>
      <c r="C2557" s="925"/>
      <c r="D2557" s="914"/>
      <c r="E2557" s="914"/>
      <c r="F2557" s="915"/>
      <c r="G2557" s="915"/>
      <c r="H2557" s="691"/>
      <c r="I2557" s="691"/>
      <c r="J2557" s="691"/>
      <c r="K2557" s="691"/>
      <c r="L2557" s="691"/>
      <c r="M2557" s="691"/>
      <c r="N2557" s="691"/>
      <c r="O2557" s="691"/>
      <c r="P2557" s="691"/>
      <c r="Q2557" s="691"/>
      <c r="R2557" s="691"/>
      <c r="S2557" s="691"/>
      <c r="T2557" s="691"/>
      <c r="U2557" s="691"/>
    </row>
    <row r="2558" s="917" customFormat="true" ht="15" hidden="false" customHeight="true" outlineLevel="0" collapsed="false">
      <c r="A2558" s="752"/>
      <c r="C2558" s="925"/>
      <c r="D2558" s="914"/>
      <c r="E2558" s="914"/>
      <c r="F2558" s="915"/>
      <c r="G2558" s="915"/>
      <c r="H2558" s="691"/>
      <c r="I2558" s="691"/>
      <c r="J2558" s="691"/>
      <c r="K2558" s="691"/>
      <c r="L2558" s="691"/>
      <c r="M2558" s="691"/>
      <c r="N2558" s="691"/>
      <c r="O2558" s="691"/>
      <c r="P2558" s="691"/>
      <c r="Q2558" s="691"/>
      <c r="R2558" s="691"/>
      <c r="S2558" s="691"/>
      <c r="T2558" s="691"/>
      <c r="U2558" s="691"/>
    </row>
    <row r="2559" s="917" customFormat="true" ht="15" hidden="false" customHeight="true" outlineLevel="0" collapsed="false">
      <c r="A2559" s="752"/>
      <c r="C2559" s="925"/>
      <c r="D2559" s="914"/>
      <c r="E2559" s="914"/>
      <c r="F2559" s="915"/>
      <c r="G2559" s="915"/>
      <c r="H2559" s="691"/>
      <c r="I2559" s="691"/>
      <c r="J2559" s="691"/>
      <c r="K2559" s="691"/>
      <c r="L2559" s="691"/>
      <c r="M2559" s="691"/>
      <c r="N2559" s="691"/>
      <c r="O2559" s="691"/>
      <c r="P2559" s="691"/>
      <c r="Q2559" s="691"/>
      <c r="R2559" s="691"/>
      <c r="S2559" s="691"/>
      <c r="T2559" s="691"/>
      <c r="U2559" s="691"/>
    </row>
    <row r="2560" s="917" customFormat="true" ht="15" hidden="false" customHeight="true" outlineLevel="0" collapsed="false">
      <c r="A2560" s="752"/>
      <c r="C2560" s="925"/>
      <c r="D2560" s="914"/>
      <c r="E2560" s="914"/>
      <c r="F2560" s="915"/>
      <c r="G2560" s="915"/>
      <c r="H2560" s="691"/>
      <c r="I2560" s="691"/>
      <c r="J2560" s="691"/>
      <c r="K2560" s="691"/>
      <c r="L2560" s="691"/>
      <c r="M2560" s="691"/>
      <c r="N2560" s="691"/>
      <c r="O2560" s="691"/>
      <c r="P2560" s="691"/>
      <c r="Q2560" s="691"/>
      <c r="R2560" s="691"/>
      <c r="S2560" s="691"/>
      <c r="T2560" s="691"/>
      <c r="U2560" s="691"/>
    </row>
    <row r="2561" s="917" customFormat="true" ht="15" hidden="false" customHeight="true" outlineLevel="0" collapsed="false">
      <c r="A2561" s="752"/>
      <c r="C2561" s="925"/>
      <c r="D2561" s="914"/>
      <c r="E2561" s="914"/>
      <c r="F2561" s="915"/>
      <c r="G2561" s="915"/>
      <c r="H2561" s="691"/>
      <c r="I2561" s="691"/>
      <c r="J2561" s="691"/>
      <c r="K2561" s="691"/>
      <c r="L2561" s="691"/>
      <c r="M2561" s="691"/>
      <c r="N2561" s="691"/>
      <c r="O2561" s="691"/>
      <c r="P2561" s="691"/>
      <c r="Q2561" s="691"/>
      <c r="R2561" s="691"/>
      <c r="S2561" s="691"/>
      <c r="T2561" s="691"/>
      <c r="U2561" s="691"/>
    </row>
    <row r="2562" s="917" customFormat="true" ht="15" hidden="false" customHeight="true" outlineLevel="0" collapsed="false">
      <c r="A2562" s="752"/>
      <c r="C2562" s="925"/>
      <c r="D2562" s="914"/>
      <c r="E2562" s="914"/>
      <c r="F2562" s="915"/>
      <c r="G2562" s="915"/>
      <c r="H2562" s="691"/>
      <c r="I2562" s="691"/>
      <c r="J2562" s="691"/>
      <c r="K2562" s="691"/>
      <c r="L2562" s="691"/>
      <c r="M2562" s="691"/>
      <c r="N2562" s="691"/>
      <c r="O2562" s="691"/>
      <c r="P2562" s="691"/>
      <c r="Q2562" s="691"/>
      <c r="R2562" s="691"/>
      <c r="S2562" s="691"/>
      <c r="T2562" s="691"/>
      <c r="U2562" s="691"/>
    </row>
    <row r="2563" s="917" customFormat="true" ht="15" hidden="false" customHeight="true" outlineLevel="0" collapsed="false">
      <c r="A2563" s="752"/>
      <c r="C2563" s="925"/>
      <c r="D2563" s="914"/>
      <c r="E2563" s="914"/>
      <c r="F2563" s="915"/>
      <c r="G2563" s="915"/>
      <c r="H2563" s="691"/>
      <c r="I2563" s="691"/>
      <c r="J2563" s="691"/>
      <c r="K2563" s="691"/>
      <c r="L2563" s="691"/>
      <c r="M2563" s="691"/>
      <c r="N2563" s="691"/>
      <c r="O2563" s="691"/>
      <c r="P2563" s="691"/>
      <c r="Q2563" s="691"/>
      <c r="R2563" s="691"/>
      <c r="S2563" s="691"/>
      <c r="T2563" s="691"/>
      <c r="U2563" s="691"/>
    </row>
    <row r="2564" s="917" customFormat="true" ht="15" hidden="false" customHeight="true" outlineLevel="0" collapsed="false">
      <c r="A2564" s="752"/>
      <c r="C2564" s="925"/>
      <c r="D2564" s="914"/>
      <c r="E2564" s="914"/>
      <c r="F2564" s="915"/>
      <c r="G2564" s="915"/>
      <c r="H2564" s="691"/>
      <c r="I2564" s="691"/>
      <c r="J2564" s="691"/>
      <c r="K2564" s="691"/>
      <c r="L2564" s="691"/>
      <c r="M2564" s="691"/>
      <c r="N2564" s="691"/>
      <c r="O2564" s="691"/>
      <c r="P2564" s="691"/>
      <c r="Q2564" s="691"/>
      <c r="R2564" s="691"/>
      <c r="S2564" s="691"/>
      <c r="T2564" s="691"/>
      <c r="U2564" s="691"/>
    </row>
    <row r="2565" s="917" customFormat="true" ht="15" hidden="false" customHeight="true" outlineLevel="0" collapsed="false">
      <c r="A2565" s="752"/>
      <c r="C2565" s="925"/>
      <c r="D2565" s="914"/>
      <c r="E2565" s="914"/>
      <c r="F2565" s="915"/>
      <c r="G2565" s="915"/>
      <c r="H2565" s="691"/>
      <c r="I2565" s="691"/>
      <c r="J2565" s="691"/>
      <c r="K2565" s="691"/>
      <c r="L2565" s="691"/>
      <c r="M2565" s="691"/>
      <c r="N2565" s="691"/>
      <c r="O2565" s="691"/>
      <c r="P2565" s="691"/>
      <c r="Q2565" s="691"/>
      <c r="R2565" s="691"/>
      <c r="S2565" s="691"/>
      <c r="T2565" s="691"/>
      <c r="U2565" s="691"/>
    </row>
    <row r="2566" s="917" customFormat="true" ht="15" hidden="false" customHeight="true" outlineLevel="0" collapsed="false">
      <c r="A2566" s="752"/>
      <c r="C2566" s="925"/>
      <c r="D2566" s="914"/>
      <c r="E2566" s="914"/>
      <c r="F2566" s="915"/>
      <c r="G2566" s="915"/>
      <c r="H2566" s="691"/>
      <c r="I2566" s="691"/>
      <c r="J2566" s="691"/>
      <c r="K2566" s="691"/>
      <c r="L2566" s="691"/>
      <c r="M2566" s="691"/>
      <c r="N2566" s="691"/>
      <c r="O2566" s="691"/>
      <c r="P2566" s="691"/>
      <c r="Q2566" s="691"/>
      <c r="R2566" s="691"/>
      <c r="S2566" s="691"/>
      <c r="T2566" s="691"/>
      <c r="U2566" s="691"/>
    </row>
    <row r="2567" s="917" customFormat="true" ht="15" hidden="false" customHeight="true" outlineLevel="0" collapsed="false">
      <c r="A2567" s="752"/>
      <c r="C2567" s="925"/>
      <c r="D2567" s="914"/>
      <c r="E2567" s="914"/>
      <c r="F2567" s="915"/>
      <c r="G2567" s="915"/>
      <c r="H2567" s="691"/>
      <c r="I2567" s="691"/>
      <c r="J2567" s="691"/>
      <c r="K2567" s="691"/>
      <c r="L2567" s="691"/>
      <c r="M2567" s="691"/>
      <c r="N2567" s="691"/>
      <c r="O2567" s="691"/>
      <c r="P2567" s="691"/>
      <c r="Q2567" s="691"/>
      <c r="R2567" s="691"/>
      <c r="S2567" s="691"/>
      <c r="T2567" s="691"/>
      <c r="U2567" s="691"/>
    </row>
    <row r="2568" s="917" customFormat="true" ht="15" hidden="false" customHeight="true" outlineLevel="0" collapsed="false">
      <c r="A2568" s="752"/>
      <c r="C2568" s="925"/>
      <c r="D2568" s="914"/>
      <c r="E2568" s="914"/>
      <c r="F2568" s="915"/>
      <c r="G2568" s="915"/>
      <c r="H2568" s="691"/>
      <c r="I2568" s="691"/>
      <c r="J2568" s="691"/>
      <c r="K2568" s="691"/>
      <c r="L2568" s="691"/>
      <c r="M2568" s="691"/>
      <c r="N2568" s="691"/>
      <c r="O2568" s="691"/>
      <c r="P2568" s="691"/>
      <c r="Q2568" s="691"/>
      <c r="R2568" s="691"/>
      <c r="S2568" s="691"/>
      <c r="T2568" s="691"/>
      <c r="U2568" s="691"/>
    </row>
    <row r="2569" s="917" customFormat="true" ht="15" hidden="false" customHeight="true" outlineLevel="0" collapsed="false">
      <c r="A2569" s="752"/>
      <c r="C2569" s="925"/>
      <c r="D2569" s="914"/>
      <c r="E2569" s="914"/>
      <c r="F2569" s="915"/>
      <c r="G2569" s="915"/>
      <c r="H2569" s="691"/>
      <c r="I2569" s="691"/>
      <c r="J2569" s="691"/>
      <c r="K2569" s="691"/>
      <c r="L2569" s="691"/>
      <c r="M2569" s="691"/>
      <c r="N2569" s="691"/>
      <c r="O2569" s="691"/>
      <c r="P2569" s="691"/>
      <c r="Q2569" s="691"/>
      <c r="R2569" s="691"/>
      <c r="S2569" s="691"/>
      <c r="T2569" s="691"/>
      <c r="U2569" s="691"/>
    </row>
    <row r="2570" s="917" customFormat="true" ht="15" hidden="false" customHeight="true" outlineLevel="0" collapsed="false">
      <c r="A2570" s="752"/>
      <c r="C2570" s="925"/>
      <c r="D2570" s="914"/>
      <c r="E2570" s="914"/>
      <c r="F2570" s="915"/>
      <c r="G2570" s="915"/>
      <c r="H2570" s="691"/>
      <c r="I2570" s="691"/>
      <c r="J2570" s="691"/>
      <c r="K2570" s="691"/>
      <c r="L2570" s="691"/>
      <c r="M2570" s="691"/>
      <c r="N2570" s="691"/>
      <c r="O2570" s="691"/>
      <c r="P2570" s="691"/>
      <c r="Q2570" s="691"/>
      <c r="R2570" s="691"/>
      <c r="S2570" s="691"/>
      <c r="T2570" s="691"/>
      <c r="U2570" s="691"/>
    </row>
    <row r="2571" s="917" customFormat="true" ht="15" hidden="false" customHeight="true" outlineLevel="0" collapsed="false">
      <c r="A2571" s="752"/>
      <c r="C2571" s="925"/>
      <c r="D2571" s="914"/>
      <c r="E2571" s="914"/>
      <c r="F2571" s="915"/>
      <c r="G2571" s="915"/>
      <c r="H2571" s="691"/>
      <c r="I2571" s="691"/>
      <c r="J2571" s="691"/>
      <c r="K2571" s="691"/>
      <c r="L2571" s="691"/>
      <c r="M2571" s="691"/>
      <c r="N2571" s="691"/>
      <c r="O2571" s="691"/>
      <c r="P2571" s="691"/>
      <c r="Q2571" s="691"/>
      <c r="R2571" s="691"/>
      <c r="S2571" s="691"/>
      <c r="T2571" s="691"/>
      <c r="U2571" s="691"/>
    </row>
    <row r="2572" s="917" customFormat="true" ht="15" hidden="false" customHeight="true" outlineLevel="0" collapsed="false">
      <c r="A2572" s="752"/>
      <c r="C2572" s="925"/>
      <c r="D2572" s="914"/>
      <c r="E2572" s="914"/>
      <c r="F2572" s="915"/>
      <c r="G2572" s="915"/>
      <c r="H2572" s="691"/>
      <c r="I2572" s="691"/>
      <c r="J2572" s="691"/>
      <c r="K2572" s="691"/>
      <c r="L2572" s="691"/>
      <c r="M2572" s="691"/>
      <c r="N2572" s="691"/>
      <c r="O2572" s="691"/>
      <c r="P2572" s="691"/>
      <c r="Q2572" s="691"/>
      <c r="R2572" s="691"/>
      <c r="S2572" s="691"/>
      <c r="T2572" s="691"/>
      <c r="U2572" s="691"/>
    </row>
    <row r="2573" s="917" customFormat="true" ht="15" hidden="false" customHeight="true" outlineLevel="0" collapsed="false">
      <c r="A2573" s="752"/>
      <c r="C2573" s="925"/>
      <c r="D2573" s="914"/>
      <c r="E2573" s="914"/>
      <c r="F2573" s="915"/>
      <c r="G2573" s="915"/>
      <c r="H2573" s="691"/>
      <c r="I2573" s="691"/>
      <c r="J2573" s="691"/>
      <c r="K2573" s="691"/>
      <c r="L2573" s="691"/>
      <c r="M2573" s="691"/>
      <c r="N2573" s="691"/>
      <c r="O2573" s="691"/>
      <c r="P2573" s="691"/>
      <c r="Q2573" s="691"/>
      <c r="R2573" s="691"/>
      <c r="S2573" s="691"/>
      <c r="T2573" s="691"/>
      <c r="U2573" s="691"/>
    </row>
    <row r="2574" s="917" customFormat="true" ht="15" hidden="false" customHeight="true" outlineLevel="0" collapsed="false">
      <c r="A2574" s="752"/>
      <c r="C2574" s="925"/>
      <c r="D2574" s="914"/>
      <c r="E2574" s="914"/>
      <c r="F2574" s="915"/>
      <c r="G2574" s="915"/>
      <c r="H2574" s="691"/>
      <c r="I2574" s="691"/>
      <c r="J2574" s="691"/>
      <c r="K2574" s="691"/>
      <c r="L2574" s="691"/>
      <c r="M2574" s="691"/>
      <c r="N2574" s="691"/>
      <c r="O2574" s="691"/>
      <c r="P2574" s="691"/>
      <c r="Q2574" s="691"/>
      <c r="R2574" s="691"/>
      <c r="S2574" s="691"/>
      <c r="T2574" s="691"/>
      <c r="U2574" s="691"/>
    </row>
    <row r="2575" s="917" customFormat="true" ht="15" hidden="false" customHeight="true" outlineLevel="0" collapsed="false">
      <c r="A2575" s="752"/>
      <c r="C2575" s="925"/>
      <c r="D2575" s="914"/>
      <c r="E2575" s="914"/>
      <c r="F2575" s="915"/>
      <c r="G2575" s="915"/>
      <c r="H2575" s="691"/>
      <c r="I2575" s="691"/>
      <c r="J2575" s="691"/>
      <c r="K2575" s="691"/>
      <c r="L2575" s="691"/>
      <c r="M2575" s="691"/>
      <c r="N2575" s="691"/>
      <c r="O2575" s="691"/>
      <c r="P2575" s="691"/>
      <c r="Q2575" s="691"/>
      <c r="R2575" s="691"/>
      <c r="S2575" s="691"/>
      <c r="T2575" s="691"/>
      <c r="U2575" s="691"/>
    </row>
    <row r="2576" s="917" customFormat="true" ht="15" hidden="false" customHeight="true" outlineLevel="0" collapsed="false">
      <c r="A2576" s="752"/>
      <c r="C2576" s="925"/>
      <c r="D2576" s="914"/>
      <c r="E2576" s="914"/>
      <c r="F2576" s="915"/>
      <c r="G2576" s="915"/>
      <c r="H2576" s="691"/>
      <c r="I2576" s="691"/>
      <c r="J2576" s="691"/>
      <c r="K2576" s="691"/>
      <c r="L2576" s="691"/>
      <c r="M2576" s="691"/>
      <c r="N2576" s="691"/>
      <c r="O2576" s="691"/>
      <c r="P2576" s="691"/>
      <c r="Q2576" s="691"/>
      <c r="R2576" s="691"/>
      <c r="S2576" s="691"/>
      <c r="T2576" s="691"/>
      <c r="U2576" s="691"/>
    </row>
    <row r="2577" s="917" customFormat="true" ht="15" hidden="false" customHeight="true" outlineLevel="0" collapsed="false">
      <c r="A2577" s="752"/>
      <c r="C2577" s="925"/>
      <c r="D2577" s="914"/>
      <c r="E2577" s="914"/>
      <c r="F2577" s="915"/>
      <c r="G2577" s="915"/>
      <c r="H2577" s="691"/>
      <c r="I2577" s="691"/>
      <c r="J2577" s="691"/>
      <c r="K2577" s="691"/>
      <c r="L2577" s="691"/>
      <c r="M2577" s="691"/>
      <c r="N2577" s="691"/>
      <c r="O2577" s="691"/>
      <c r="P2577" s="691"/>
      <c r="Q2577" s="691"/>
      <c r="R2577" s="691"/>
      <c r="S2577" s="691"/>
      <c r="T2577" s="691"/>
      <c r="U2577" s="691"/>
    </row>
    <row r="2578" s="917" customFormat="true" ht="15" hidden="false" customHeight="true" outlineLevel="0" collapsed="false">
      <c r="A2578" s="752"/>
      <c r="C2578" s="925"/>
      <c r="D2578" s="914"/>
      <c r="E2578" s="914"/>
      <c r="F2578" s="915"/>
      <c r="G2578" s="915"/>
      <c r="H2578" s="691"/>
      <c r="I2578" s="691"/>
      <c r="J2578" s="691"/>
      <c r="K2578" s="691"/>
      <c r="L2578" s="691"/>
      <c r="M2578" s="691"/>
      <c r="N2578" s="691"/>
      <c r="O2578" s="691"/>
      <c r="P2578" s="691"/>
      <c r="Q2578" s="691"/>
      <c r="R2578" s="691"/>
      <c r="S2578" s="691"/>
      <c r="T2578" s="691"/>
      <c r="U2578" s="691"/>
    </row>
    <row r="2579" s="917" customFormat="true" ht="15" hidden="false" customHeight="true" outlineLevel="0" collapsed="false">
      <c r="A2579" s="752"/>
      <c r="C2579" s="925"/>
      <c r="D2579" s="914"/>
      <c r="E2579" s="914"/>
      <c r="F2579" s="915"/>
      <c r="G2579" s="915"/>
      <c r="H2579" s="691"/>
      <c r="I2579" s="691"/>
      <c r="J2579" s="691"/>
      <c r="K2579" s="691"/>
      <c r="L2579" s="691"/>
      <c r="M2579" s="691"/>
      <c r="N2579" s="691"/>
      <c r="O2579" s="691"/>
      <c r="P2579" s="691"/>
      <c r="Q2579" s="691"/>
      <c r="R2579" s="691"/>
      <c r="S2579" s="691"/>
      <c r="T2579" s="691"/>
      <c r="U2579" s="691"/>
    </row>
    <row r="2580" s="917" customFormat="true" ht="15" hidden="false" customHeight="true" outlineLevel="0" collapsed="false">
      <c r="A2580" s="752"/>
      <c r="C2580" s="925"/>
      <c r="D2580" s="914"/>
      <c r="E2580" s="914"/>
      <c r="F2580" s="915"/>
      <c r="G2580" s="915"/>
      <c r="H2580" s="691"/>
      <c r="I2580" s="691"/>
      <c r="J2580" s="691"/>
      <c r="K2580" s="691"/>
      <c r="L2580" s="691"/>
      <c r="M2580" s="691"/>
      <c r="N2580" s="691"/>
      <c r="O2580" s="691"/>
      <c r="P2580" s="691"/>
      <c r="Q2580" s="691"/>
      <c r="R2580" s="691"/>
      <c r="S2580" s="691"/>
      <c r="T2580" s="691"/>
      <c r="U2580" s="691"/>
    </row>
    <row r="2581" s="917" customFormat="true" ht="15" hidden="false" customHeight="true" outlineLevel="0" collapsed="false">
      <c r="A2581" s="752"/>
      <c r="C2581" s="925"/>
      <c r="D2581" s="914"/>
      <c r="E2581" s="914"/>
      <c r="F2581" s="915"/>
      <c r="G2581" s="915"/>
      <c r="H2581" s="691"/>
      <c r="I2581" s="691"/>
      <c r="J2581" s="691"/>
      <c r="K2581" s="691"/>
      <c r="L2581" s="691"/>
      <c r="M2581" s="691"/>
      <c r="N2581" s="691"/>
      <c r="O2581" s="691"/>
      <c r="P2581" s="691"/>
      <c r="Q2581" s="691"/>
      <c r="R2581" s="691"/>
      <c r="S2581" s="691"/>
      <c r="T2581" s="691"/>
      <c r="U2581" s="691"/>
    </row>
    <row r="2582" s="917" customFormat="true" ht="15" hidden="false" customHeight="true" outlineLevel="0" collapsed="false">
      <c r="A2582" s="752"/>
      <c r="C2582" s="925"/>
      <c r="D2582" s="914"/>
      <c r="E2582" s="914"/>
      <c r="F2582" s="915"/>
      <c r="G2582" s="915"/>
      <c r="H2582" s="691"/>
      <c r="I2582" s="691"/>
      <c r="J2582" s="691"/>
      <c r="K2582" s="691"/>
      <c r="L2582" s="691"/>
      <c r="M2582" s="691"/>
      <c r="N2582" s="691"/>
      <c r="O2582" s="691"/>
      <c r="P2582" s="691"/>
      <c r="Q2582" s="691"/>
      <c r="R2582" s="691"/>
      <c r="S2582" s="691"/>
      <c r="T2582" s="691"/>
      <c r="U2582" s="691"/>
    </row>
    <row r="2583" s="917" customFormat="true" ht="15" hidden="false" customHeight="true" outlineLevel="0" collapsed="false">
      <c r="A2583" s="752"/>
      <c r="C2583" s="925"/>
      <c r="D2583" s="914"/>
      <c r="E2583" s="914"/>
      <c r="F2583" s="915"/>
      <c r="G2583" s="915"/>
      <c r="H2583" s="691"/>
      <c r="I2583" s="691"/>
      <c r="J2583" s="691"/>
      <c r="K2583" s="691"/>
      <c r="L2583" s="691"/>
      <c r="M2583" s="691"/>
      <c r="N2583" s="691"/>
      <c r="O2583" s="691"/>
      <c r="P2583" s="691"/>
      <c r="Q2583" s="691"/>
      <c r="R2583" s="691"/>
      <c r="S2583" s="691"/>
      <c r="T2583" s="691"/>
      <c r="U2583" s="691"/>
    </row>
    <row r="2584" s="917" customFormat="true" ht="15" hidden="false" customHeight="true" outlineLevel="0" collapsed="false">
      <c r="A2584" s="752"/>
      <c r="C2584" s="925"/>
      <c r="D2584" s="914"/>
      <c r="E2584" s="914"/>
      <c r="F2584" s="915"/>
      <c r="G2584" s="915"/>
      <c r="H2584" s="691"/>
      <c r="I2584" s="691"/>
      <c r="J2584" s="691"/>
      <c r="K2584" s="691"/>
      <c r="L2584" s="691"/>
      <c r="M2584" s="691"/>
      <c r="N2584" s="691"/>
      <c r="O2584" s="691"/>
      <c r="P2584" s="691"/>
      <c r="Q2584" s="691"/>
      <c r="R2584" s="691"/>
      <c r="S2584" s="691"/>
      <c r="T2584" s="691"/>
      <c r="U2584" s="691"/>
    </row>
    <row r="2585" s="917" customFormat="true" ht="15" hidden="false" customHeight="true" outlineLevel="0" collapsed="false">
      <c r="A2585" s="752"/>
      <c r="C2585" s="925"/>
      <c r="D2585" s="914"/>
      <c r="E2585" s="914"/>
      <c r="F2585" s="915"/>
      <c r="G2585" s="915"/>
      <c r="H2585" s="691"/>
      <c r="I2585" s="691"/>
      <c r="J2585" s="691"/>
      <c r="K2585" s="691"/>
      <c r="L2585" s="691"/>
      <c r="M2585" s="691"/>
      <c r="N2585" s="691"/>
      <c r="O2585" s="691"/>
      <c r="P2585" s="691"/>
      <c r="Q2585" s="691"/>
      <c r="R2585" s="691"/>
      <c r="S2585" s="691"/>
      <c r="T2585" s="691"/>
      <c r="U2585" s="691"/>
    </row>
    <row r="2586" s="917" customFormat="true" ht="15" hidden="false" customHeight="true" outlineLevel="0" collapsed="false">
      <c r="A2586" s="752"/>
      <c r="C2586" s="925"/>
      <c r="D2586" s="914"/>
      <c r="E2586" s="914"/>
      <c r="F2586" s="915"/>
      <c r="G2586" s="915"/>
      <c r="H2586" s="691"/>
      <c r="I2586" s="691"/>
      <c r="J2586" s="691"/>
      <c r="K2586" s="691"/>
      <c r="L2586" s="691"/>
      <c r="M2586" s="691"/>
      <c r="N2586" s="691"/>
      <c r="O2586" s="691"/>
      <c r="P2586" s="691"/>
      <c r="Q2586" s="691"/>
      <c r="R2586" s="691"/>
      <c r="S2586" s="691"/>
      <c r="T2586" s="691"/>
      <c r="U2586" s="691"/>
    </row>
    <row r="2587" s="917" customFormat="true" ht="15" hidden="false" customHeight="true" outlineLevel="0" collapsed="false">
      <c r="A2587" s="752"/>
      <c r="C2587" s="925"/>
      <c r="D2587" s="914"/>
      <c r="E2587" s="914"/>
      <c r="F2587" s="915"/>
      <c r="G2587" s="915"/>
      <c r="H2587" s="691"/>
      <c r="I2587" s="691"/>
      <c r="J2587" s="691"/>
      <c r="K2587" s="691"/>
      <c r="L2587" s="691"/>
      <c r="M2587" s="691"/>
      <c r="N2587" s="691"/>
      <c r="O2587" s="691"/>
      <c r="P2587" s="691"/>
      <c r="Q2587" s="691"/>
      <c r="R2587" s="691"/>
      <c r="S2587" s="691"/>
      <c r="T2587" s="691"/>
      <c r="U2587" s="691"/>
    </row>
    <row r="2588" s="917" customFormat="true" ht="15" hidden="false" customHeight="true" outlineLevel="0" collapsed="false">
      <c r="A2588" s="752"/>
      <c r="C2588" s="925"/>
      <c r="D2588" s="914"/>
      <c r="E2588" s="914"/>
      <c r="F2588" s="915"/>
      <c r="G2588" s="915"/>
      <c r="H2588" s="691"/>
      <c r="I2588" s="691"/>
      <c r="J2588" s="691"/>
      <c r="K2588" s="691"/>
      <c r="L2588" s="691"/>
      <c r="M2588" s="691"/>
      <c r="N2588" s="691"/>
      <c r="O2588" s="691"/>
      <c r="P2588" s="691"/>
      <c r="Q2588" s="691"/>
      <c r="R2588" s="691"/>
      <c r="S2588" s="691"/>
      <c r="T2588" s="691"/>
      <c r="U2588" s="691"/>
    </row>
    <row r="2589" s="917" customFormat="true" ht="15" hidden="false" customHeight="true" outlineLevel="0" collapsed="false">
      <c r="A2589" s="752"/>
      <c r="C2589" s="925"/>
      <c r="D2589" s="914"/>
      <c r="E2589" s="914"/>
      <c r="F2589" s="915"/>
      <c r="G2589" s="915"/>
      <c r="H2589" s="691"/>
      <c r="I2589" s="691"/>
      <c r="J2589" s="691"/>
      <c r="K2589" s="691"/>
      <c r="L2589" s="691"/>
      <c r="M2589" s="691"/>
      <c r="N2589" s="691"/>
      <c r="O2589" s="691"/>
      <c r="P2589" s="691"/>
      <c r="Q2589" s="691"/>
      <c r="R2589" s="691"/>
      <c r="S2589" s="691"/>
      <c r="T2589" s="691"/>
      <c r="U2589" s="691"/>
    </row>
    <row r="2590" s="917" customFormat="true" ht="15" hidden="false" customHeight="true" outlineLevel="0" collapsed="false">
      <c r="A2590" s="752"/>
      <c r="C2590" s="925"/>
      <c r="D2590" s="914"/>
      <c r="E2590" s="914"/>
      <c r="F2590" s="915"/>
      <c r="G2590" s="915"/>
      <c r="H2590" s="691"/>
      <c r="I2590" s="691"/>
      <c r="J2590" s="691"/>
      <c r="K2590" s="691"/>
      <c r="L2590" s="691"/>
      <c r="M2590" s="691"/>
      <c r="N2590" s="691"/>
      <c r="O2590" s="691"/>
      <c r="P2590" s="691"/>
      <c r="Q2590" s="691"/>
      <c r="R2590" s="691"/>
      <c r="S2590" s="691"/>
      <c r="T2590" s="691"/>
      <c r="U2590" s="691"/>
    </row>
    <row r="2591" s="917" customFormat="true" ht="15" hidden="false" customHeight="true" outlineLevel="0" collapsed="false">
      <c r="A2591" s="752"/>
      <c r="C2591" s="925"/>
      <c r="D2591" s="914"/>
      <c r="E2591" s="914"/>
      <c r="F2591" s="915"/>
      <c r="G2591" s="915"/>
      <c r="H2591" s="691"/>
      <c r="I2591" s="691"/>
      <c r="J2591" s="691"/>
      <c r="K2591" s="691"/>
      <c r="L2591" s="691"/>
      <c r="M2591" s="691"/>
      <c r="N2591" s="691"/>
      <c r="O2591" s="691"/>
      <c r="P2591" s="691"/>
      <c r="Q2591" s="691"/>
      <c r="R2591" s="691"/>
      <c r="S2591" s="691"/>
      <c r="T2591" s="691"/>
      <c r="U2591" s="691"/>
    </row>
    <row r="2592" s="917" customFormat="true" ht="15" hidden="false" customHeight="true" outlineLevel="0" collapsed="false">
      <c r="A2592" s="752"/>
      <c r="C2592" s="925"/>
      <c r="D2592" s="914"/>
      <c r="E2592" s="914"/>
      <c r="F2592" s="915"/>
      <c r="G2592" s="915"/>
      <c r="H2592" s="691"/>
      <c r="I2592" s="691"/>
      <c r="J2592" s="691"/>
      <c r="K2592" s="691"/>
      <c r="L2592" s="691"/>
      <c r="M2592" s="691"/>
      <c r="N2592" s="691"/>
      <c r="O2592" s="691"/>
      <c r="P2592" s="691"/>
      <c r="Q2592" s="691"/>
      <c r="R2592" s="691"/>
      <c r="S2592" s="691"/>
      <c r="T2592" s="691"/>
      <c r="U2592" s="691"/>
    </row>
    <row r="2593" s="917" customFormat="true" ht="15" hidden="false" customHeight="true" outlineLevel="0" collapsed="false">
      <c r="A2593" s="752"/>
      <c r="C2593" s="925"/>
      <c r="D2593" s="914"/>
      <c r="E2593" s="914"/>
      <c r="F2593" s="915"/>
      <c r="G2593" s="915"/>
      <c r="H2593" s="691"/>
      <c r="I2593" s="691"/>
      <c r="J2593" s="691"/>
      <c r="K2593" s="691"/>
      <c r="L2593" s="691"/>
      <c r="M2593" s="691"/>
      <c r="N2593" s="691"/>
      <c r="O2593" s="691"/>
      <c r="P2593" s="691"/>
      <c r="Q2593" s="691"/>
      <c r="R2593" s="691"/>
      <c r="S2593" s="691"/>
      <c r="T2593" s="691"/>
      <c r="U2593" s="691"/>
    </row>
    <row r="2594" s="917" customFormat="true" ht="15" hidden="false" customHeight="true" outlineLevel="0" collapsed="false">
      <c r="A2594" s="752"/>
      <c r="C2594" s="925"/>
      <c r="D2594" s="914"/>
      <c r="E2594" s="914"/>
      <c r="F2594" s="915"/>
      <c r="G2594" s="915"/>
      <c r="H2594" s="691"/>
      <c r="I2594" s="691"/>
      <c r="J2594" s="691"/>
      <c r="K2594" s="691"/>
      <c r="L2594" s="691"/>
      <c r="M2594" s="691"/>
      <c r="N2594" s="691"/>
      <c r="O2594" s="691"/>
      <c r="P2594" s="691"/>
      <c r="Q2594" s="691"/>
      <c r="R2594" s="691"/>
      <c r="S2594" s="691"/>
      <c r="T2594" s="691"/>
      <c r="U2594" s="691"/>
    </row>
    <row r="2595" s="917" customFormat="true" ht="15" hidden="false" customHeight="true" outlineLevel="0" collapsed="false">
      <c r="A2595" s="752"/>
      <c r="C2595" s="925"/>
      <c r="D2595" s="914"/>
      <c r="E2595" s="914"/>
      <c r="F2595" s="915"/>
      <c r="G2595" s="915"/>
      <c r="H2595" s="691"/>
      <c r="I2595" s="691"/>
      <c r="J2595" s="691"/>
      <c r="K2595" s="691"/>
      <c r="L2595" s="691"/>
      <c r="M2595" s="691"/>
      <c r="N2595" s="691"/>
      <c r="O2595" s="691"/>
      <c r="P2595" s="691"/>
      <c r="Q2595" s="691"/>
      <c r="R2595" s="691"/>
      <c r="S2595" s="691"/>
      <c r="T2595" s="691"/>
      <c r="U2595" s="691"/>
    </row>
    <row r="2596" s="917" customFormat="true" ht="15" hidden="false" customHeight="true" outlineLevel="0" collapsed="false">
      <c r="A2596" s="752"/>
      <c r="C2596" s="925"/>
      <c r="D2596" s="914"/>
      <c r="E2596" s="914"/>
      <c r="F2596" s="915"/>
      <c r="G2596" s="915"/>
      <c r="H2596" s="691"/>
      <c r="I2596" s="691"/>
      <c r="J2596" s="691"/>
      <c r="K2596" s="691"/>
      <c r="L2596" s="691"/>
      <c r="M2596" s="691"/>
      <c r="N2596" s="691"/>
      <c r="O2596" s="691"/>
      <c r="P2596" s="691"/>
      <c r="Q2596" s="691"/>
      <c r="R2596" s="691"/>
      <c r="S2596" s="691"/>
      <c r="T2596" s="691"/>
      <c r="U2596" s="691"/>
    </row>
    <row r="2597" s="917" customFormat="true" ht="15" hidden="false" customHeight="true" outlineLevel="0" collapsed="false">
      <c r="A2597" s="752"/>
      <c r="C2597" s="925"/>
      <c r="D2597" s="914"/>
      <c r="E2597" s="914"/>
      <c r="F2597" s="915"/>
      <c r="G2597" s="915"/>
      <c r="H2597" s="691"/>
      <c r="I2597" s="691"/>
      <c r="J2597" s="691"/>
      <c r="K2597" s="691"/>
      <c r="L2597" s="691"/>
      <c r="M2597" s="691"/>
      <c r="N2597" s="691"/>
      <c r="O2597" s="691"/>
      <c r="P2597" s="691"/>
      <c r="Q2597" s="691"/>
      <c r="R2597" s="691"/>
      <c r="S2597" s="691"/>
      <c r="T2597" s="691"/>
      <c r="U2597" s="691"/>
    </row>
    <row r="2598" s="917" customFormat="true" ht="15" hidden="false" customHeight="true" outlineLevel="0" collapsed="false">
      <c r="A2598" s="752"/>
      <c r="C2598" s="925"/>
      <c r="D2598" s="914"/>
      <c r="E2598" s="914"/>
      <c r="F2598" s="915"/>
      <c r="G2598" s="915"/>
      <c r="H2598" s="691"/>
      <c r="I2598" s="691"/>
      <c r="J2598" s="691"/>
      <c r="K2598" s="691"/>
      <c r="L2598" s="691"/>
      <c r="M2598" s="691"/>
      <c r="N2598" s="691"/>
      <c r="O2598" s="691"/>
      <c r="P2598" s="691"/>
      <c r="Q2598" s="691"/>
      <c r="R2598" s="691"/>
      <c r="S2598" s="691"/>
      <c r="T2598" s="691"/>
      <c r="U2598" s="691"/>
    </row>
    <row r="2599" s="917" customFormat="true" ht="15" hidden="false" customHeight="true" outlineLevel="0" collapsed="false">
      <c r="A2599" s="752"/>
      <c r="C2599" s="925"/>
      <c r="D2599" s="914"/>
      <c r="E2599" s="914"/>
      <c r="F2599" s="915"/>
      <c r="G2599" s="915"/>
      <c r="H2599" s="691"/>
      <c r="I2599" s="691"/>
      <c r="J2599" s="691"/>
      <c r="K2599" s="691"/>
      <c r="L2599" s="691"/>
      <c r="M2599" s="691"/>
      <c r="N2599" s="691"/>
      <c r="O2599" s="691"/>
      <c r="P2599" s="691"/>
      <c r="Q2599" s="691"/>
      <c r="R2599" s="691"/>
      <c r="S2599" s="691"/>
      <c r="T2599" s="691"/>
      <c r="U2599" s="691"/>
    </row>
    <row r="2600" s="917" customFormat="true" ht="15" hidden="false" customHeight="true" outlineLevel="0" collapsed="false">
      <c r="A2600" s="752"/>
      <c r="C2600" s="925"/>
      <c r="D2600" s="914"/>
      <c r="E2600" s="914"/>
      <c r="F2600" s="915"/>
      <c r="G2600" s="915"/>
      <c r="H2600" s="691"/>
      <c r="I2600" s="691"/>
      <c r="J2600" s="691"/>
      <c r="K2600" s="691"/>
      <c r="L2600" s="691"/>
      <c r="M2600" s="691"/>
      <c r="N2600" s="691"/>
      <c r="O2600" s="691"/>
      <c r="P2600" s="691"/>
      <c r="Q2600" s="691"/>
      <c r="R2600" s="691"/>
      <c r="S2600" s="691"/>
      <c r="T2600" s="691"/>
      <c r="U2600" s="691"/>
    </row>
    <row r="2601" s="917" customFormat="true" ht="15" hidden="false" customHeight="true" outlineLevel="0" collapsed="false">
      <c r="A2601" s="752"/>
      <c r="C2601" s="925"/>
      <c r="D2601" s="914"/>
      <c r="E2601" s="914"/>
      <c r="F2601" s="915"/>
      <c r="G2601" s="915"/>
      <c r="H2601" s="691"/>
      <c r="I2601" s="691"/>
      <c r="J2601" s="691"/>
      <c r="K2601" s="691"/>
      <c r="L2601" s="691"/>
      <c r="M2601" s="691"/>
      <c r="N2601" s="691"/>
      <c r="O2601" s="691"/>
      <c r="P2601" s="691"/>
      <c r="Q2601" s="691"/>
      <c r="R2601" s="691"/>
      <c r="S2601" s="691"/>
      <c r="T2601" s="691"/>
      <c r="U2601" s="691"/>
    </row>
    <row r="2602" s="917" customFormat="true" ht="15" hidden="false" customHeight="true" outlineLevel="0" collapsed="false">
      <c r="A2602" s="752"/>
      <c r="C2602" s="925"/>
      <c r="D2602" s="914"/>
      <c r="E2602" s="914"/>
      <c r="F2602" s="915"/>
      <c r="G2602" s="915"/>
      <c r="H2602" s="691"/>
      <c r="I2602" s="691"/>
      <c r="J2602" s="691"/>
      <c r="K2602" s="691"/>
      <c r="L2602" s="691"/>
      <c r="M2602" s="691"/>
      <c r="N2602" s="691"/>
      <c r="O2602" s="691"/>
      <c r="P2602" s="691"/>
      <c r="Q2602" s="691"/>
      <c r="R2602" s="691"/>
      <c r="S2602" s="691"/>
      <c r="T2602" s="691"/>
      <c r="U2602" s="691"/>
    </row>
    <row r="2603" s="917" customFormat="true" ht="15" hidden="false" customHeight="true" outlineLevel="0" collapsed="false">
      <c r="A2603" s="752"/>
      <c r="C2603" s="925"/>
      <c r="D2603" s="914"/>
      <c r="E2603" s="914"/>
      <c r="F2603" s="915"/>
      <c r="G2603" s="915"/>
      <c r="H2603" s="691"/>
      <c r="I2603" s="691"/>
      <c r="J2603" s="691"/>
      <c r="K2603" s="691"/>
      <c r="L2603" s="691"/>
      <c r="M2603" s="691"/>
      <c r="N2603" s="691"/>
      <c r="O2603" s="691"/>
      <c r="P2603" s="691"/>
      <c r="Q2603" s="691"/>
      <c r="R2603" s="691"/>
      <c r="S2603" s="691"/>
      <c r="T2603" s="691"/>
      <c r="U2603" s="691"/>
    </row>
    <row r="2604" s="917" customFormat="true" ht="15" hidden="false" customHeight="true" outlineLevel="0" collapsed="false">
      <c r="A2604" s="752"/>
      <c r="C2604" s="925"/>
      <c r="D2604" s="914"/>
      <c r="E2604" s="914"/>
      <c r="F2604" s="915"/>
      <c r="G2604" s="915"/>
      <c r="H2604" s="691"/>
      <c r="I2604" s="691"/>
      <c r="J2604" s="691"/>
      <c r="K2604" s="691"/>
      <c r="L2604" s="691"/>
      <c r="M2604" s="691"/>
      <c r="N2604" s="691"/>
      <c r="O2604" s="691"/>
      <c r="P2604" s="691"/>
      <c r="Q2604" s="691"/>
      <c r="R2604" s="691"/>
      <c r="S2604" s="691"/>
      <c r="T2604" s="691"/>
      <c r="U2604" s="691"/>
    </row>
    <row r="2605" s="917" customFormat="true" ht="15" hidden="false" customHeight="true" outlineLevel="0" collapsed="false">
      <c r="A2605" s="752"/>
      <c r="C2605" s="925"/>
      <c r="D2605" s="914"/>
      <c r="E2605" s="914"/>
      <c r="F2605" s="915"/>
      <c r="G2605" s="915"/>
      <c r="H2605" s="691"/>
      <c r="I2605" s="691"/>
      <c r="J2605" s="691"/>
      <c r="K2605" s="691"/>
      <c r="L2605" s="691"/>
      <c r="M2605" s="691"/>
      <c r="N2605" s="691"/>
      <c r="O2605" s="691"/>
      <c r="P2605" s="691"/>
      <c r="Q2605" s="691"/>
      <c r="R2605" s="691"/>
      <c r="S2605" s="691"/>
      <c r="T2605" s="691"/>
      <c r="U2605" s="691"/>
    </row>
    <row r="2606" s="917" customFormat="true" ht="15" hidden="false" customHeight="true" outlineLevel="0" collapsed="false">
      <c r="A2606" s="752"/>
      <c r="C2606" s="925"/>
      <c r="D2606" s="914"/>
      <c r="E2606" s="914"/>
      <c r="F2606" s="915"/>
      <c r="G2606" s="915"/>
      <c r="H2606" s="691"/>
      <c r="I2606" s="691"/>
      <c r="J2606" s="691"/>
      <c r="K2606" s="691"/>
      <c r="L2606" s="691"/>
      <c r="M2606" s="691"/>
      <c r="N2606" s="691"/>
      <c r="O2606" s="691"/>
      <c r="P2606" s="691"/>
      <c r="Q2606" s="691"/>
      <c r="R2606" s="691"/>
      <c r="S2606" s="691"/>
      <c r="T2606" s="691"/>
      <c r="U2606" s="691"/>
    </row>
    <row r="2607" s="917" customFormat="true" ht="15" hidden="false" customHeight="true" outlineLevel="0" collapsed="false">
      <c r="A2607" s="752"/>
      <c r="C2607" s="925"/>
      <c r="D2607" s="914"/>
      <c r="E2607" s="914"/>
      <c r="F2607" s="915"/>
      <c r="G2607" s="915"/>
      <c r="H2607" s="691"/>
      <c r="I2607" s="691"/>
      <c r="J2607" s="691"/>
      <c r="K2607" s="691"/>
      <c r="L2607" s="691"/>
      <c r="M2607" s="691"/>
      <c r="N2607" s="691"/>
      <c r="O2607" s="691"/>
      <c r="P2607" s="691"/>
      <c r="Q2607" s="691"/>
      <c r="R2607" s="691"/>
      <c r="S2607" s="691"/>
      <c r="T2607" s="691"/>
      <c r="U2607" s="691"/>
    </row>
    <row r="2608" s="917" customFormat="true" ht="15" hidden="false" customHeight="true" outlineLevel="0" collapsed="false">
      <c r="A2608" s="752"/>
      <c r="C2608" s="925"/>
      <c r="D2608" s="914"/>
      <c r="E2608" s="914"/>
      <c r="F2608" s="915"/>
      <c r="G2608" s="915"/>
      <c r="H2608" s="691"/>
      <c r="I2608" s="691"/>
      <c r="J2608" s="691"/>
      <c r="K2608" s="691"/>
      <c r="L2608" s="691"/>
      <c r="M2608" s="691"/>
      <c r="N2608" s="691"/>
      <c r="O2608" s="691"/>
      <c r="P2608" s="691"/>
      <c r="Q2608" s="691"/>
      <c r="R2608" s="691"/>
      <c r="S2608" s="691"/>
      <c r="T2608" s="691"/>
      <c r="U2608" s="691"/>
    </row>
    <row r="2609" s="917" customFormat="true" ht="15" hidden="false" customHeight="true" outlineLevel="0" collapsed="false">
      <c r="A2609" s="752"/>
      <c r="C2609" s="925"/>
      <c r="D2609" s="914"/>
      <c r="E2609" s="914"/>
      <c r="F2609" s="915"/>
      <c r="G2609" s="915"/>
      <c r="H2609" s="691"/>
      <c r="I2609" s="691"/>
      <c r="J2609" s="691"/>
      <c r="K2609" s="691"/>
      <c r="L2609" s="691"/>
      <c r="M2609" s="691"/>
      <c r="N2609" s="691"/>
      <c r="O2609" s="691"/>
      <c r="P2609" s="691"/>
      <c r="Q2609" s="691"/>
      <c r="R2609" s="691"/>
      <c r="S2609" s="691"/>
      <c r="T2609" s="691"/>
      <c r="U2609" s="691"/>
    </row>
    <row r="2610" s="917" customFormat="true" ht="15" hidden="false" customHeight="true" outlineLevel="0" collapsed="false">
      <c r="A2610" s="752"/>
      <c r="C2610" s="925"/>
      <c r="D2610" s="914"/>
      <c r="E2610" s="914"/>
      <c r="F2610" s="915"/>
      <c r="G2610" s="915"/>
      <c r="H2610" s="691"/>
      <c r="I2610" s="691"/>
      <c r="J2610" s="691"/>
      <c r="K2610" s="691"/>
      <c r="L2610" s="691"/>
      <c r="M2610" s="691"/>
      <c r="N2610" s="691"/>
      <c r="O2610" s="691"/>
      <c r="P2610" s="691"/>
      <c r="Q2610" s="691"/>
      <c r="R2610" s="691"/>
      <c r="S2610" s="691"/>
      <c r="T2610" s="691"/>
      <c r="U2610" s="691"/>
    </row>
    <row r="2611" s="917" customFormat="true" ht="15" hidden="false" customHeight="true" outlineLevel="0" collapsed="false">
      <c r="A2611" s="752"/>
      <c r="C2611" s="925"/>
      <c r="D2611" s="914"/>
      <c r="E2611" s="914"/>
      <c r="F2611" s="915"/>
      <c r="G2611" s="915"/>
      <c r="H2611" s="691"/>
      <c r="I2611" s="691"/>
      <c r="J2611" s="691"/>
      <c r="K2611" s="691"/>
      <c r="L2611" s="691"/>
      <c r="M2611" s="691"/>
      <c r="N2611" s="691"/>
      <c r="O2611" s="691"/>
      <c r="P2611" s="691"/>
      <c r="Q2611" s="691"/>
      <c r="R2611" s="691"/>
      <c r="S2611" s="691"/>
      <c r="T2611" s="691"/>
      <c r="U2611" s="691"/>
    </row>
    <row r="2612" s="917" customFormat="true" ht="15" hidden="false" customHeight="true" outlineLevel="0" collapsed="false">
      <c r="A2612" s="752"/>
      <c r="C2612" s="925"/>
      <c r="D2612" s="914"/>
      <c r="E2612" s="914"/>
      <c r="F2612" s="915"/>
      <c r="G2612" s="915"/>
      <c r="H2612" s="691"/>
      <c r="I2612" s="691"/>
      <c r="J2612" s="691"/>
      <c r="K2612" s="691"/>
      <c r="L2612" s="691"/>
      <c r="M2612" s="691"/>
      <c r="N2612" s="691"/>
      <c r="O2612" s="691"/>
      <c r="P2612" s="691"/>
      <c r="Q2612" s="691"/>
      <c r="R2612" s="691"/>
      <c r="S2612" s="691"/>
      <c r="T2612" s="691"/>
      <c r="U2612" s="691"/>
    </row>
    <row r="2613" s="917" customFormat="true" ht="15" hidden="false" customHeight="true" outlineLevel="0" collapsed="false">
      <c r="A2613" s="752"/>
      <c r="C2613" s="925"/>
      <c r="D2613" s="914"/>
      <c r="E2613" s="914"/>
      <c r="F2613" s="915"/>
      <c r="G2613" s="915"/>
      <c r="H2613" s="691"/>
      <c r="I2613" s="691"/>
      <c r="J2613" s="691"/>
      <c r="K2613" s="691"/>
      <c r="L2613" s="691"/>
      <c r="M2613" s="691"/>
      <c r="N2613" s="691"/>
      <c r="O2613" s="691"/>
      <c r="P2613" s="691"/>
      <c r="Q2613" s="691"/>
      <c r="R2613" s="691"/>
      <c r="S2613" s="691"/>
      <c r="T2613" s="691"/>
      <c r="U2613" s="691"/>
    </row>
    <row r="2614" s="917" customFormat="true" ht="15" hidden="false" customHeight="true" outlineLevel="0" collapsed="false">
      <c r="A2614" s="752"/>
      <c r="C2614" s="925"/>
      <c r="D2614" s="914"/>
      <c r="E2614" s="914"/>
      <c r="F2614" s="915"/>
      <c r="G2614" s="915"/>
      <c r="H2614" s="691"/>
      <c r="I2614" s="691"/>
      <c r="J2614" s="691"/>
      <c r="K2614" s="691"/>
      <c r="L2614" s="691"/>
      <c r="M2614" s="691"/>
      <c r="N2614" s="691"/>
      <c r="O2614" s="691"/>
      <c r="P2614" s="691"/>
      <c r="Q2614" s="691"/>
      <c r="R2614" s="691"/>
      <c r="S2614" s="691"/>
      <c r="T2614" s="691"/>
      <c r="U2614" s="691"/>
    </row>
    <row r="2615" s="917" customFormat="true" ht="15" hidden="false" customHeight="true" outlineLevel="0" collapsed="false">
      <c r="A2615" s="752"/>
      <c r="C2615" s="925"/>
      <c r="D2615" s="914"/>
      <c r="E2615" s="914"/>
      <c r="F2615" s="915"/>
      <c r="G2615" s="915"/>
      <c r="H2615" s="691"/>
      <c r="I2615" s="691"/>
      <c r="J2615" s="691"/>
      <c r="K2615" s="691"/>
      <c r="L2615" s="691"/>
      <c r="M2615" s="691"/>
      <c r="N2615" s="691"/>
      <c r="O2615" s="691"/>
      <c r="P2615" s="691"/>
      <c r="Q2615" s="691"/>
      <c r="R2615" s="691"/>
      <c r="S2615" s="691"/>
      <c r="T2615" s="691"/>
      <c r="U2615" s="691"/>
    </row>
    <row r="2616" s="917" customFormat="true" ht="15" hidden="false" customHeight="true" outlineLevel="0" collapsed="false">
      <c r="A2616" s="752"/>
      <c r="C2616" s="925"/>
      <c r="D2616" s="914"/>
      <c r="E2616" s="914"/>
      <c r="F2616" s="915"/>
      <c r="G2616" s="915"/>
      <c r="H2616" s="691"/>
      <c r="I2616" s="691"/>
      <c r="J2616" s="691"/>
      <c r="K2616" s="691"/>
      <c r="L2616" s="691"/>
      <c r="M2616" s="691"/>
      <c r="N2616" s="691"/>
      <c r="O2616" s="691"/>
      <c r="P2616" s="691"/>
      <c r="Q2616" s="691"/>
      <c r="R2616" s="691"/>
      <c r="S2616" s="691"/>
      <c r="T2616" s="691"/>
      <c r="U2616" s="691"/>
    </row>
    <row r="2617" s="917" customFormat="true" ht="15" hidden="false" customHeight="true" outlineLevel="0" collapsed="false">
      <c r="A2617" s="752"/>
      <c r="C2617" s="925"/>
      <c r="D2617" s="914"/>
      <c r="E2617" s="914"/>
      <c r="F2617" s="915"/>
      <c r="G2617" s="915"/>
      <c r="H2617" s="691"/>
      <c r="I2617" s="691"/>
      <c r="J2617" s="691"/>
      <c r="K2617" s="691"/>
      <c r="L2617" s="691"/>
      <c r="M2617" s="691"/>
      <c r="N2617" s="691"/>
      <c r="O2617" s="691"/>
      <c r="P2617" s="691"/>
      <c r="Q2617" s="691"/>
      <c r="R2617" s="691"/>
      <c r="S2617" s="691"/>
      <c r="T2617" s="691"/>
      <c r="U2617" s="691"/>
    </row>
    <row r="2618" s="917" customFormat="true" ht="15" hidden="false" customHeight="true" outlineLevel="0" collapsed="false">
      <c r="A2618" s="752"/>
      <c r="C2618" s="925"/>
      <c r="D2618" s="914"/>
      <c r="E2618" s="914"/>
      <c r="F2618" s="915"/>
      <c r="G2618" s="915"/>
      <c r="H2618" s="691"/>
      <c r="I2618" s="691"/>
      <c r="J2618" s="691"/>
      <c r="K2618" s="691"/>
      <c r="L2618" s="691"/>
      <c r="M2618" s="691"/>
      <c r="N2618" s="691"/>
      <c r="O2618" s="691"/>
      <c r="P2618" s="691"/>
      <c r="Q2618" s="691"/>
      <c r="R2618" s="691"/>
      <c r="S2618" s="691"/>
      <c r="T2618" s="691"/>
      <c r="U2618" s="691"/>
    </row>
    <row r="2619" s="917" customFormat="true" ht="15" hidden="false" customHeight="true" outlineLevel="0" collapsed="false">
      <c r="A2619" s="752"/>
      <c r="C2619" s="925"/>
      <c r="D2619" s="914"/>
      <c r="E2619" s="914"/>
      <c r="F2619" s="915"/>
      <c r="G2619" s="915"/>
      <c r="H2619" s="691"/>
      <c r="I2619" s="691"/>
      <c r="J2619" s="691"/>
      <c r="K2619" s="691"/>
      <c r="L2619" s="691"/>
      <c r="M2619" s="691"/>
      <c r="N2619" s="691"/>
      <c r="O2619" s="691"/>
      <c r="P2619" s="691"/>
      <c r="Q2619" s="691"/>
      <c r="R2619" s="691"/>
      <c r="S2619" s="691"/>
      <c r="T2619" s="691"/>
      <c r="U2619" s="691"/>
    </row>
    <row r="2620" s="917" customFormat="true" ht="15" hidden="false" customHeight="true" outlineLevel="0" collapsed="false">
      <c r="A2620" s="752"/>
      <c r="C2620" s="925"/>
      <c r="D2620" s="914"/>
      <c r="E2620" s="914"/>
      <c r="F2620" s="915"/>
      <c r="G2620" s="915"/>
      <c r="H2620" s="691"/>
      <c r="I2620" s="691"/>
      <c r="J2620" s="691"/>
      <c r="K2620" s="691"/>
      <c r="L2620" s="691"/>
      <c r="M2620" s="691"/>
      <c r="N2620" s="691"/>
      <c r="O2620" s="691"/>
      <c r="P2620" s="691"/>
      <c r="Q2620" s="691"/>
      <c r="R2620" s="691"/>
      <c r="S2620" s="691"/>
      <c r="T2620" s="691"/>
      <c r="U2620" s="691"/>
    </row>
    <row r="2621" s="917" customFormat="true" ht="15" hidden="false" customHeight="true" outlineLevel="0" collapsed="false">
      <c r="A2621" s="752"/>
      <c r="C2621" s="925"/>
      <c r="D2621" s="914"/>
      <c r="E2621" s="914"/>
      <c r="F2621" s="915"/>
      <c r="G2621" s="915"/>
      <c r="H2621" s="691"/>
      <c r="I2621" s="691"/>
      <c r="J2621" s="691"/>
      <c r="K2621" s="691"/>
      <c r="L2621" s="691"/>
      <c r="M2621" s="691"/>
      <c r="N2621" s="691"/>
      <c r="O2621" s="691"/>
      <c r="P2621" s="691"/>
      <c r="Q2621" s="691"/>
      <c r="R2621" s="691"/>
      <c r="S2621" s="691"/>
      <c r="T2621" s="691"/>
      <c r="U2621" s="691"/>
    </row>
    <row r="2622" s="917" customFormat="true" ht="15" hidden="false" customHeight="true" outlineLevel="0" collapsed="false">
      <c r="A2622" s="752"/>
      <c r="C2622" s="925"/>
      <c r="D2622" s="914"/>
      <c r="E2622" s="914"/>
      <c r="F2622" s="915"/>
      <c r="G2622" s="915"/>
      <c r="H2622" s="691"/>
      <c r="I2622" s="691"/>
      <c r="J2622" s="691"/>
      <c r="K2622" s="691"/>
      <c r="L2622" s="691"/>
      <c r="M2622" s="691"/>
      <c r="N2622" s="691"/>
      <c r="O2622" s="691"/>
      <c r="P2622" s="691"/>
      <c r="Q2622" s="691"/>
      <c r="R2622" s="691"/>
      <c r="S2622" s="691"/>
      <c r="T2622" s="691"/>
      <c r="U2622" s="691"/>
    </row>
    <row r="2623" s="917" customFormat="true" ht="15" hidden="false" customHeight="true" outlineLevel="0" collapsed="false">
      <c r="A2623" s="752"/>
      <c r="C2623" s="925"/>
      <c r="D2623" s="914"/>
      <c r="E2623" s="914"/>
      <c r="F2623" s="915"/>
      <c r="G2623" s="915"/>
      <c r="H2623" s="691"/>
      <c r="I2623" s="691"/>
      <c r="J2623" s="691"/>
      <c r="K2623" s="691"/>
      <c r="L2623" s="691"/>
      <c r="M2623" s="691"/>
      <c r="N2623" s="691"/>
      <c r="O2623" s="691"/>
      <c r="P2623" s="691"/>
      <c r="Q2623" s="691"/>
      <c r="R2623" s="691"/>
      <c r="S2623" s="691"/>
      <c r="T2623" s="691"/>
      <c r="U2623" s="691"/>
    </row>
    <row r="2624" s="917" customFormat="true" ht="15" hidden="false" customHeight="true" outlineLevel="0" collapsed="false">
      <c r="A2624" s="752"/>
      <c r="C2624" s="925"/>
      <c r="D2624" s="914"/>
      <c r="E2624" s="914"/>
      <c r="F2624" s="915"/>
      <c r="G2624" s="915"/>
      <c r="H2624" s="691"/>
      <c r="I2624" s="691"/>
      <c r="J2624" s="691"/>
      <c r="K2624" s="691"/>
      <c r="L2624" s="691"/>
      <c r="M2624" s="691"/>
      <c r="N2624" s="691"/>
      <c r="O2624" s="691"/>
      <c r="P2624" s="691"/>
      <c r="Q2624" s="691"/>
      <c r="R2624" s="691"/>
      <c r="S2624" s="691"/>
      <c r="T2624" s="691"/>
      <c r="U2624" s="691"/>
    </row>
    <row r="2625" s="917" customFormat="true" ht="15" hidden="false" customHeight="true" outlineLevel="0" collapsed="false">
      <c r="A2625" s="752"/>
      <c r="C2625" s="925"/>
      <c r="D2625" s="914"/>
      <c r="E2625" s="914"/>
      <c r="F2625" s="915"/>
      <c r="G2625" s="915"/>
      <c r="H2625" s="691"/>
      <c r="I2625" s="691"/>
      <c r="J2625" s="691"/>
      <c r="K2625" s="691"/>
      <c r="L2625" s="691"/>
      <c r="M2625" s="691"/>
      <c r="N2625" s="691"/>
      <c r="O2625" s="691"/>
      <c r="P2625" s="691"/>
      <c r="Q2625" s="691"/>
      <c r="R2625" s="691"/>
      <c r="S2625" s="691"/>
      <c r="T2625" s="691"/>
      <c r="U2625" s="691"/>
    </row>
    <row r="2626" s="917" customFormat="true" ht="15" hidden="false" customHeight="true" outlineLevel="0" collapsed="false">
      <c r="A2626" s="752"/>
      <c r="C2626" s="925"/>
      <c r="D2626" s="914"/>
      <c r="E2626" s="914"/>
      <c r="F2626" s="915"/>
      <c r="G2626" s="915"/>
      <c r="H2626" s="691"/>
      <c r="I2626" s="691"/>
      <c r="J2626" s="691"/>
      <c r="K2626" s="691"/>
      <c r="L2626" s="691"/>
      <c r="M2626" s="691"/>
      <c r="N2626" s="691"/>
      <c r="O2626" s="691"/>
      <c r="P2626" s="691"/>
      <c r="Q2626" s="691"/>
      <c r="R2626" s="691"/>
      <c r="S2626" s="691"/>
      <c r="T2626" s="691"/>
      <c r="U2626" s="691"/>
    </row>
    <row r="2627" s="917" customFormat="true" ht="15" hidden="false" customHeight="true" outlineLevel="0" collapsed="false">
      <c r="A2627" s="752"/>
      <c r="C2627" s="925"/>
      <c r="D2627" s="914"/>
      <c r="E2627" s="914"/>
      <c r="F2627" s="915"/>
      <c r="G2627" s="915"/>
      <c r="H2627" s="691"/>
      <c r="I2627" s="691"/>
      <c r="J2627" s="691"/>
      <c r="K2627" s="691"/>
      <c r="L2627" s="691"/>
      <c r="M2627" s="691"/>
      <c r="N2627" s="691"/>
      <c r="O2627" s="691"/>
      <c r="P2627" s="691"/>
      <c r="Q2627" s="691"/>
      <c r="R2627" s="691"/>
      <c r="S2627" s="691"/>
      <c r="T2627" s="691"/>
      <c r="U2627" s="691"/>
    </row>
    <row r="2628" s="917" customFormat="true" ht="15" hidden="false" customHeight="true" outlineLevel="0" collapsed="false">
      <c r="A2628" s="752"/>
      <c r="C2628" s="925"/>
      <c r="D2628" s="914"/>
      <c r="E2628" s="914"/>
      <c r="F2628" s="915"/>
      <c r="G2628" s="915"/>
      <c r="H2628" s="691"/>
      <c r="I2628" s="691"/>
      <c r="J2628" s="691"/>
      <c r="K2628" s="691"/>
      <c r="L2628" s="691"/>
      <c r="M2628" s="691"/>
      <c r="N2628" s="691"/>
      <c r="O2628" s="691"/>
      <c r="P2628" s="691"/>
      <c r="Q2628" s="691"/>
      <c r="R2628" s="691"/>
      <c r="S2628" s="691"/>
      <c r="T2628" s="691"/>
      <c r="U2628" s="691"/>
    </row>
    <row r="2629" s="917" customFormat="true" ht="15" hidden="false" customHeight="true" outlineLevel="0" collapsed="false">
      <c r="A2629" s="752"/>
      <c r="C2629" s="925"/>
      <c r="D2629" s="914"/>
      <c r="E2629" s="914"/>
      <c r="F2629" s="915"/>
      <c r="G2629" s="915"/>
      <c r="H2629" s="691"/>
      <c r="I2629" s="691"/>
      <c r="J2629" s="691"/>
      <c r="K2629" s="691"/>
      <c r="L2629" s="691"/>
      <c r="M2629" s="691"/>
      <c r="N2629" s="691"/>
      <c r="O2629" s="691"/>
      <c r="P2629" s="691"/>
      <c r="Q2629" s="691"/>
      <c r="R2629" s="691"/>
      <c r="S2629" s="691"/>
      <c r="T2629" s="691"/>
      <c r="U2629" s="691"/>
    </row>
    <row r="2630" s="917" customFormat="true" ht="15" hidden="false" customHeight="true" outlineLevel="0" collapsed="false">
      <c r="A2630" s="752"/>
      <c r="C2630" s="925"/>
      <c r="D2630" s="914"/>
      <c r="E2630" s="914"/>
      <c r="F2630" s="915"/>
      <c r="G2630" s="915"/>
      <c r="H2630" s="691"/>
      <c r="I2630" s="691"/>
      <c r="J2630" s="691"/>
      <c r="K2630" s="691"/>
      <c r="L2630" s="691"/>
      <c r="M2630" s="691"/>
      <c r="N2630" s="691"/>
      <c r="O2630" s="691"/>
      <c r="P2630" s="691"/>
      <c r="Q2630" s="691"/>
      <c r="R2630" s="691"/>
      <c r="S2630" s="691"/>
      <c r="T2630" s="691"/>
      <c r="U2630" s="691"/>
    </row>
    <row r="2631" s="917" customFormat="true" ht="15" hidden="false" customHeight="true" outlineLevel="0" collapsed="false">
      <c r="A2631" s="752"/>
      <c r="C2631" s="925"/>
      <c r="D2631" s="914"/>
      <c r="E2631" s="914"/>
      <c r="F2631" s="915"/>
      <c r="G2631" s="915"/>
      <c r="H2631" s="691"/>
      <c r="I2631" s="691"/>
      <c r="J2631" s="691"/>
      <c r="K2631" s="691"/>
      <c r="L2631" s="691"/>
      <c r="M2631" s="691"/>
      <c r="N2631" s="691"/>
      <c r="O2631" s="691"/>
      <c r="P2631" s="691"/>
      <c r="Q2631" s="691"/>
      <c r="R2631" s="691"/>
      <c r="S2631" s="691"/>
      <c r="T2631" s="691"/>
      <c r="U2631" s="691"/>
    </row>
    <row r="2632" s="917" customFormat="true" ht="15" hidden="false" customHeight="true" outlineLevel="0" collapsed="false">
      <c r="A2632" s="752"/>
      <c r="C2632" s="925"/>
      <c r="D2632" s="914"/>
      <c r="E2632" s="914"/>
      <c r="F2632" s="915"/>
      <c r="G2632" s="915"/>
      <c r="H2632" s="691"/>
      <c r="I2632" s="691"/>
      <c r="J2632" s="691"/>
      <c r="K2632" s="691"/>
      <c r="L2632" s="691"/>
      <c r="M2632" s="691"/>
      <c r="N2632" s="691"/>
      <c r="O2632" s="691"/>
      <c r="P2632" s="691"/>
      <c r="Q2632" s="691"/>
      <c r="R2632" s="691"/>
      <c r="S2632" s="691"/>
      <c r="T2632" s="691"/>
      <c r="U2632" s="691"/>
    </row>
    <row r="2633" s="917" customFormat="true" ht="15" hidden="false" customHeight="true" outlineLevel="0" collapsed="false">
      <c r="A2633" s="752"/>
      <c r="C2633" s="925"/>
      <c r="D2633" s="914"/>
      <c r="E2633" s="914"/>
      <c r="F2633" s="915"/>
      <c r="G2633" s="915"/>
      <c r="H2633" s="691"/>
      <c r="I2633" s="691"/>
      <c r="J2633" s="691"/>
      <c r="K2633" s="691"/>
      <c r="L2633" s="691"/>
      <c r="M2633" s="691"/>
      <c r="N2633" s="691"/>
      <c r="O2633" s="691"/>
      <c r="P2633" s="691"/>
      <c r="Q2633" s="691"/>
      <c r="R2633" s="691"/>
      <c r="S2633" s="691"/>
      <c r="T2633" s="691"/>
      <c r="U2633" s="691"/>
    </row>
    <row r="2634" s="917" customFormat="true" ht="15" hidden="false" customHeight="true" outlineLevel="0" collapsed="false">
      <c r="A2634" s="752"/>
      <c r="C2634" s="925"/>
      <c r="D2634" s="914"/>
      <c r="E2634" s="914"/>
      <c r="F2634" s="915"/>
      <c r="G2634" s="915"/>
      <c r="H2634" s="691"/>
      <c r="I2634" s="691"/>
      <c r="J2634" s="691"/>
      <c r="K2634" s="691"/>
      <c r="L2634" s="691"/>
      <c r="M2634" s="691"/>
      <c r="N2634" s="691"/>
      <c r="O2634" s="691"/>
      <c r="P2634" s="691"/>
      <c r="Q2634" s="691"/>
      <c r="R2634" s="691"/>
      <c r="S2634" s="691"/>
      <c r="T2634" s="691"/>
      <c r="U2634" s="691"/>
    </row>
    <row r="2635" s="917" customFormat="true" ht="15" hidden="false" customHeight="true" outlineLevel="0" collapsed="false">
      <c r="A2635" s="752"/>
      <c r="C2635" s="925"/>
      <c r="D2635" s="914"/>
      <c r="E2635" s="914"/>
      <c r="F2635" s="915"/>
      <c r="G2635" s="915"/>
      <c r="H2635" s="691"/>
      <c r="I2635" s="691"/>
      <c r="J2635" s="691"/>
      <c r="K2635" s="691"/>
      <c r="L2635" s="691"/>
      <c r="M2635" s="691"/>
      <c r="N2635" s="691"/>
      <c r="O2635" s="691"/>
      <c r="P2635" s="691"/>
      <c r="Q2635" s="691"/>
      <c r="R2635" s="691"/>
      <c r="S2635" s="691"/>
      <c r="T2635" s="691"/>
      <c r="U2635" s="691"/>
    </row>
    <row r="2636" s="917" customFormat="true" ht="15" hidden="false" customHeight="true" outlineLevel="0" collapsed="false">
      <c r="A2636" s="752"/>
      <c r="C2636" s="925"/>
      <c r="D2636" s="914"/>
      <c r="E2636" s="914"/>
      <c r="F2636" s="915"/>
      <c r="G2636" s="915"/>
      <c r="H2636" s="691"/>
      <c r="I2636" s="691"/>
      <c r="J2636" s="691"/>
      <c r="K2636" s="691"/>
      <c r="L2636" s="691"/>
      <c r="M2636" s="691"/>
      <c r="N2636" s="691"/>
      <c r="O2636" s="691"/>
      <c r="P2636" s="691"/>
      <c r="Q2636" s="691"/>
      <c r="R2636" s="691"/>
      <c r="S2636" s="691"/>
      <c r="T2636" s="691"/>
      <c r="U2636" s="691"/>
    </row>
    <row r="2637" s="917" customFormat="true" ht="15" hidden="false" customHeight="true" outlineLevel="0" collapsed="false">
      <c r="A2637" s="752"/>
      <c r="C2637" s="925"/>
      <c r="D2637" s="914"/>
      <c r="E2637" s="914"/>
      <c r="F2637" s="915"/>
      <c r="G2637" s="915"/>
      <c r="H2637" s="691"/>
      <c r="I2637" s="691"/>
      <c r="J2637" s="691"/>
      <c r="K2637" s="691"/>
      <c r="L2637" s="691"/>
      <c r="M2637" s="691"/>
      <c r="N2637" s="691"/>
      <c r="O2637" s="691"/>
      <c r="P2637" s="691"/>
      <c r="Q2637" s="691"/>
      <c r="R2637" s="691"/>
      <c r="S2637" s="691"/>
      <c r="T2637" s="691"/>
      <c r="U2637" s="691"/>
    </row>
    <row r="2638" s="917" customFormat="true" ht="15" hidden="false" customHeight="true" outlineLevel="0" collapsed="false">
      <c r="A2638" s="752"/>
      <c r="C2638" s="925"/>
      <c r="D2638" s="914"/>
      <c r="E2638" s="914"/>
      <c r="F2638" s="915"/>
      <c r="G2638" s="915"/>
      <c r="H2638" s="691"/>
      <c r="I2638" s="691"/>
      <c r="J2638" s="691"/>
      <c r="K2638" s="691"/>
      <c r="L2638" s="691"/>
      <c r="M2638" s="691"/>
      <c r="N2638" s="691"/>
      <c r="O2638" s="691"/>
      <c r="P2638" s="691"/>
      <c r="Q2638" s="691"/>
      <c r="R2638" s="691"/>
      <c r="S2638" s="691"/>
      <c r="T2638" s="691"/>
      <c r="U2638" s="691"/>
    </row>
    <row r="2639" s="917" customFormat="true" ht="15" hidden="false" customHeight="true" outlineLevel="0" collapsed="false">
      <c r="A2639" s="752"/>
      <c r="C2639" s="925"/>
      <c r="D2639" s="914"/>
      <c r="E2639" s="914"/>
      <c r="F2639" s="915"/>
      <c r="G2639" s="915"/>
      <c r="H2639" s="691"/>
      <c r="I2639" s="691"/>
      <c r="J2639" s="691"/>
      <c r="K2639" s="691"/>
      <c r="L2639" s="691"/>
      <c r="M2639" s="691"/>
      <c r="N2639" s="691"/>
      <c r="O2639" s="691"/>
      <c r="P2639" s="691"/>
      <c r="Q2639" s="691"/>
      <c r="R2639" s="691"/>
      <c r="S2639" s="691"/>
      <c r="T2639" s="691"/>
      <c r="U2639" s="691"/>
    </row>
    <row r="2640" s="917" customFormat="true" ht="15" hidden="false" customHeight="true" outlineLevel="0" collapsed="false">
      <c r="A2640" s="752"/>
      <c r="C2640" s="925"/>
      <c r="D2640" s="914"/>
      <c r="E2640" s="914"/>
      <c r="F2640" s="915"/>
      <c r="G2640" s="915"/>
      <c r="H2640" s="691"/>
      <c r="I2640" s="691"/>
      <c r="J2640" s="691"/>
      <c r="K2640" s="691"/>
      <c r="L2640" s="691"/>
      <c r="M2640" s="691"/>
      <c r="N2640" s="691"/>
      <c r="O2640" s="691"/>
      <c r="P2640" s="691"/>
      <c r="Q2640" s="691"/>
      <c r="R2640" s="691"/>
      <c r="S2640" s="691"/>
      <c r="T2640" s="691"/>
      <c r="U2640" s="691"/>
    </row>
    <row r="2641" s="917" customFormat="true" ht="15" hidden="false" customHeight="true" outlineLevel="0" collapsed="false">
      <c r="A2641" s="752"/>
      <c r="C2641" s="925"/>
      <c r="D2641" s="914"/>
      <c r="E2641" s="914"/>
      <c r="F2641" s="915"/>
      <c r="G2641" s="915"/>
      <c r="H2641" s="691"/>
      <c r="I2641" s="691"/>
      <c r="J2641" s="691"/>
      <c r="K2641" s="691"/>
      <c r="L2641" s="691"/>
      <c r="M2641" s="691"/>
      <c r="N2641" s="691"/>
      <c r="O2641" s="691"/>
      <c r="P2641" s="691"/>
      <c r="Q2641" s="691"/>
      <c r="R2641" s="691"/>
      <c r="S2641" s="691"/>
      <c r="T2641" s="691"/>
      <c r="U2641" s="691"/>
    </row>
    <row r="2642" s="917" customFormat="true" ht="15" hidden="false" customHeight="true" outlineLevel="0" collapsed="false">
      <c r="A2642" s="752"/>
      <c r="C2642" s="925"/>
      <c r="D2642" s="914"/>
      <c r="E2642" s="914"/>
      <c r="F2642" s="915"/>
      <c r="G2642" s="915"/>
      <c r="H2642" s="691"/>
      <c r="I2642" s="691"/>
      <c r="J2642" s="691"/>
      <c r="K2642" s="691"/>
      <c r="L2642" s="691"/>
      <c r="M2642" s="691"/>
      <c r="N2642" s="691"/>
      <c r="O2642" s="691"/>
      <c r="P2642" s="691"/>
      <c r="Q2642" s="691"/>
      <c r="R2642" s="691"/>
      <c r="S2642" s="691"/>
      <c r="T2642" s="691"/>
      <c r="U2642" s="691"/>
    </row>
    <row r="2643" s="917" customFormat="true" ht="15" hidden="false" customHeight="true" outlineLevel="0" collapsed="false">
      <c r="A2643" s="752"/>
      <c r="C2643" s="925"/>
      <c r="D2643" s="914"/>
      <c r="E2643" s="914"/>
      <c r="F2643" s="915"/>
      <c r="G2643" s="915"/>
      <c r="H2643" s="691"/>
      <c r="I2643" s="691"/>
      <c r="J2643" s="691"/>
      <c r="K2643" s="691"/>
      <c r="L2643" s="691"/>
      <c r="M2643" s="691"/>
      <c r="N2643" s="691"/>
      <c r="O2643" s="691"/>
      <c r="P2643" s="691"/>
      <c r="Q2643" s="691"/>
      <c r="R2643" s="691"/>
      <c r="S2643" s="691"/>
      <c r="T2643" s="691"/>
      <c r="U2643" s="691"/>
    </row>
    <row r="2644" s="917" customFormat="true" ht="15" hidden="false" customHeight="true" outlineLevel="0" collapsed="false">
      <c r="A2644" s="752"/>
      <c r="C2644" s="925"/>
      <c r="D2644" s="914"/>
      <c r="E2644" s="914"/>
      <c r="F2644" s="915"/>
      <c r="G2644" s="915"/>
      <c r="H2644" s="691"/>
      <c r="I2644" s="691"/>
      <c r="J2644" s="691"/>
      <c r="K2644" s="691"/>
      <c r="L2644" s="691"/>
      <c r="M2644" s="691"/>
      <c r="N2644" s="691"/>
      <c r="O2644" s="691"/>
      <c r="P2644" s="691"/>
      <c r="Q2644" s="691"/>
      <c r="R2644" s="691"/>
      <c r="S2644" s="691"/>
      <c r="T2644" s="691"/>
      <c r="U2644" s="691"/>
    </row>
    <row r="2645" s="917" customFormat="true" ht="15" hidden="false" customHeight="true" outlineLevel="0" collapsed="false">
      <c r="A2645" s="752"/>
      <c r="C2645" s="925"/>
      <c r="D2645" s="914"/>
      <c r="E2645" s="914"/>
      <c r="F2645" s="915"/>
      <c r="G2645" s="915"/>
      <c r="H2645" s="691"/>
      <c r="I2645" s="691"/>
      <c r="J2645" s="691"/>
      <c r="K2645" s="691"/>
      <c r="L2645" s="691"/>
      <c r="M2645" s="691"/>
      <c r="N2645" s="691"/>
      <c r="O2645" s="691"/>
      <c r="P2645" s="691"/>
      <c r="Q2645" s="691"/>
      <c r="R2645" s="691"/>
      <c r="S2645" s="691"/>
      <c r="T2645" s="691"/>
      <c r="U2645" s="691"/>
    </row>
    <row r="2646" s="917" customFormat="true" ht="15" hidden="false" customHeight="true" outlineLevel="0" collapsed="false">
      <c r="A2646" s="752"/>
      <c r="C2646" s="925"/>
      <c r="D2646" s="914"/>
      <c r="E2646" s="914"/>
      <c r="F2646" s="915"/>
      <c r="G2646" s="915"/>
      <c r="H2646" s="691"/>
      <c r="I2646" s="691"/>
      <c r="J2646" s="691"/>
      <c r="K2646" s="691"/>
      <c r="L2646" s="691"/>
      <c r="M2646" s="691"/>
      <c r="N2646" s="691"/>
      <c r="O2646" s="691"/>
      <c r="P2646" s="691"/>
      <c r="Q2646" s="691"/>
      <c r="R2646" s="691"/>
      <c r="S2646" s="691"/>
      <c r="T2646" s="691"/>
      <c r="U2646" s="691"/>
    </row>
    <row r="2647" s="917" customFormat="true" ht="15" hidden="false" customHeight="true" outlineLevel="0" collapsed="false">
      <c r="A2647" s="752"/>
      <c r="C2647" s="925"/>
      <c r="D2647" s="914"/>
      <c r="E2647" s="914"/>
      <c r="F2647" s="915"/>
      <c r="G2647" s="915"/>
      <c r="H2647" s="691"/>
      <c r="I2647" s="691"/>
      <c r="J2647" s="691"/>
      <c r="K2647" s="691"/>
      <c r="L2647" s="691"/>
      <c r="M2647" s="691"/>
      <c r="N2647" s="691"/>
      <c r="O2647" s="691"/>
      <c r="P2647" s="691"/>
      <c r="Q2647" s="691"/>
      <c r="R2647" s="691"/>
      <c r="S2647" s="691"/>
      <c r="T2647" s="691"/>
      <c r="U2647" s="691"/>
    </row>
    <row r="2648" s="917" customFormat="true" ht="15" hidden="false" customHeight="true" outlineLevel="0" collapsed="false">
      <c r="A2648" s="752"/>
      <c r="C2648" s="925"/>
      <c r="D2648" s="914"/>
      <c r="E2648" s="914"/>
      <c r="F2648" s="915"/>
      <c r="G2648" s="915"/>
      <c r="H2648" s="691"/>
      <c r="I2648" s="691"/>
      <c r="J2648" s="691"/>
      <c r="K2648" s="691"/>
      <c r="L2648" s="691"/>
      <c r="M2648" s="691"/>
      <c r="N2648" s="691"/>
      <c r="O2648" s="691"/>
      <c r="P2648" s="691"/>
      <c r="Q2648" s="691"/>
      <c r="R2648" s="691"/>
      <c r="S2648" s="691"/>
      <c r="T2648" s="691"/>
      <c r="U2648" s="691"/>
    </row>
    <row r="2649" s="917" customFormat="true" ht="15" hidden="false" customHeight="true" outlineLevel="0" collapsed="false">
      <c r="A2649" s="752"/>
      <c r="C2649" s="925"/>
      <c r="D2649" s="914"/>
      <c r="E2649" s="914"/>
      <c r="F2649" s="915"/>
      <c r="G2649" s="915"/>
      <c r="H2649" s="691"/>
      <c r="I2649" s="691"/>
      <c r="J2649" s="691"/>
      <c r="K2649" s="691"/>
      <c r="L2649" s="691"/>
      <c r="M2649" s="691"/>
      <c r="N2649" s="691"/>
      <c r="O2649" s="691"/>
      <c r="P2649" s="691"/>
      <c r="Q2649" s="691"/>
      <c r="R2649" s="691"/>
      <c r="S2649" s="691"/>
      <c r="T2649" s="691"/>
      <c r="U2649" s="691"/>
    </row>
    <row r="2650" s="917" customFormat="true" ht="15" hidden="false" customHeight="true" outlineLevel="0" collapsed="false">
      <c r="A2650" s="752"/>
      <c r="C2650" s="925"/>
      <c r="D2650" s="914"/>
      <c r="E2650" s="914"/>
      <c r="F2650" s="915"/>
      <c r="G2650" s="915"/>
      <c r="H2650" s="691"/>
      <c r="I2650" s="691"/>
      <c r="J2650" s="691"/>
      <c r="K2650" s="691"/>
      <c r="L2650" s="691"/>
      <c r="M2650" s="691"/>
      <c r="N2650" s="691"/>
      <c r="O2650" s="691"/>
      <c r="P2650" s="691"/>
      <c r="Q2650" s="691"/>
      <c r="R2650" s="691"/>
      <c r="S2650" s="691"/>
      <c r="T2650" s="691"/>
      <c r="U2650" s="691"/>
    </row>
    <row r="2651" s="917" customFormat="true" ht="15" hidden="false" customHeight="true" outlineLevel="0" collapsed="false">
      <c r="A2651" s="752"/>
      <c r="C2651" s="925"/>
      <c r="D2651" s="914"/>
      <c r="E2651" s="914"/>
      <c r="F2651" s="915"/>
      <c r="G2651" s="915"/>
      <c r="H2651" s="691"/>
      <c r="I2651" s="691"/>
      <c r="J2651" s="691"/>
      <c r="K2651" s="691"/>
      <c r="L2651" s="691"/>
      <c r="M2651" s="691"/>
      <c r="N2651" s="691"/>
      <c r="O2651" s="691"/>
      <c r="P2651" s="691"/>
      <c r="Q2651" s="691"/>
      <c r="R2651" s="691"/>
      <c r="S2651" s="691"/>
      <c r="T2651" s="691"/>
      <c r="U2651" s="691"/>
    </row>
    <row r="2652" s="917" customFormat="true" ht="15" hidden="false" customHeight="true" outlineLevel="0" collapsed="false">
      <c r="A2652" s="752"/>
      <c r="C2652" s="925"/>
      <c r="D2652" s="914"/>
      <c r="E2652" s="914"/>
      <c r="F2652" s="915"/>
      <c r="G2652" s="915"/>
      <c r="H2652" s="691"/>
      <c r="I2652" s="691"/>
      <c r="J2652" s="691"/>
      <c r="K2652" s="691"/>
      <c r="L2652" s="691"/>
      <c r="M2652" s="691"/>
      <c r="N2652" s="691"/>
      <c r="O2652" s="691"/>
      <c r="P2652" s="691"/>
      <c r="Q2652" s="691"/>
      <c r="R2652" s="691"/>
      <c r="S2652" s="691"/>
      <c r="T2652" s="691"/>
      <c r="U2652" s="691"/>
    </row>
    <row r="2653" s="917" customFormat="true" ht="15" hidden="false" customHeight="true" outlineLevel="0" collapsed="false">
      <c r="A2653" s="752"/>
      <c r="C2653" s="925"/>
      <c r="D2653" s="914"/>
      <c r="E2653" s="914"/>
      <c r="F2653" s="915"/>
      <c r="G2653" s="915"/>
      <c r="H2653" s="691"/>
      <c r="I2653" s="691"/>
      <c r="J2653" s="691"/>
      <c r="K2653" s="691"/>
      <c r="L2653" s="691"/>
      <c r="M2653" s="691"/>
      <c r="N2653" s="691"/>
      <c r="O2653" s="691"/>
      <c r="P2653" s="691"/>
      <c r="Q2653" s="691"/>
      <c r="R2653" s="691"/>
      <c r="S2653" s="691"/>
      <c r="T2653" s="691"/>
      <c r="U2653" s="691"/>
    </row>
    <row r="2654" s="917" customFormat="true" ht="15" hidden="false" customHeight="true" outlineLevel="0" collapsed="false">
      <c r="A2654" s="752"/>
      <c r="C2654" s="925"/>
      <c r="D2654" s="914"/>
      <c r="E2654" s="914"/>
      <c r="F2654" s="915"/>
      <c r="G2654" s="915"/>
      <c r="H2654" s="691"/>
      <c r="I2654" s="691"/>
      <c r="J2654" s="691"/>
      <c r="K2654" s="691"/>
      <c r="L2654" s="691"/>
      <c r="M2654" s="691"/>
      <c r="N2654" s="691"/>
      <c r="O2654" s="691"/>
      <c r="P2654" s="691"/>
      <c r="Q2654" s="691"/>
      <c r="R2654" s="691"/>
      <c r="S2654" s="691"/>
      <c r="T2654" s="691"/>
      <c r="U2654" s="691"/>
    </row>
    <row r="2655" s="917" customFormat="true" ht="15" hidden="false" customHeight="true" outlineLevel="0" collapsed="false">
      <c r="A2655" s="752"/>
      <c r="C2655" s="925"/>
      <c r="D2655" s="914"/>
      <c r="E2655" s="914"/>
      <c r="F2655" s="915"/>
      <c r="G2655" s="915"/>
      <c r="H2655" s="691"/>
      <c r="I2655" s="691"/>
      <c r="J2655" s="691"/>
      <c r="K2655" s="691"/>
      <c r="L2655" s="691"/>
      <c r="M2655" s="691"/>
      <c r="N2655" s="691"/>
      <c r="O2655" s="691"/>
      <c r="P2655" s="691"/>
      <c r="Q2655" s="691"/>
      <c r="R2655" s="691"/>
      <c r="S2655" s="691"/>
      <c r="T2655" s="691"/>
      <c r="U2655" s="691"/>
    </row>
    <row r="2656" s="917" customFormat="true" ht="15" hidden="false" customHeight="true" outlineLevel="0" collapsed="false">
      <c r="A2656" s="752"/>
      <c r="C2656" s="925"/>
      <c r="D2656" s="914"/>
      <c r="E2656" s="914"/>
      <c r="F2656" s="915"/>
      <c r="G2656" s="915"/>
      <c r="H2656" s="691"/>
      <c r="I2656" s="691"/>
      <c r="J2656" s="691"/>
      <c r="K2656" s="691"/>
      <c r="L2656" s="691"/>
      <c r="M2656" s="691"/>
      <c r="N2656" s="691"/>
      <c r="O2656" s="691"/>
      <c r="P2656" s="691"/>
      <c r="Q2656" s="691"/>
      <c r="R2656" s="691"/>
      <c r="S2656" s="691"/>
      <c r="T2656" s="691"/>
      <c r="U2656" s="691"/>
    </row>
    <row r="2657" s="917" customFormat="true" ht="15" hidden="false" customHeight="true" outlineLevel="0" collapsed="false">
      <c r="A2657" s="752"/>
      <c r="C2657" s="925"/>
      <c r="D2657" s="914"/>
      <c r="E2657" s="914"/>
      <c r="F2657" s="915"/>
      <c r="G2657" s="915"/>
      <c r="H2657" s="691"/>
      <c r="I2657" s="691"/>
      <c r="J2657" s="691"/>
      <c r="K2657" s="691"/>
      <c r="L2657" s="691"/>
      <c r="M2657" s="691"/>
      <c r="N2657" s="691"/>
      <c r="O2657" s="691"/>
      <c r="P2657" s="691"/>
      <c r="Q2657" s="691"/>
      <c r="R2657" s="691"/>
      <c r="S2657" s="691"/>
      <c r="T2657" s="691"/>
      <c r="U2657" s="691"/>
    </row>
    <row r="2658" s="917" customFormat="true" ht="15" hidden="false" customHeight="true" outlineLevel="0" collapsed="false">
      <c r="A2658" s="752"/>
      <c r="C2658" s="925"/>
      <c r="D2658" s="914"/>
      <c r="E2658" s="914"/>
      <c r="F2658" s="915"/>
      <c r="G2658" s="915"/>
      <c r="H2658" s="691"/>
      <c r="I2658" s="691"/>
      <c r="J2658" s="691"/>
      <c r="K2658" s="691"/>
      <c r="L2658" s="691"/>
      <c r="M2658" s="691"/>
      <c r="N2658" s="691"/>
      <c r="O2658" s="691"/>
      <c r="P2658" s="691"/>
      <c r="Q2658" s="691"/>
      <c r="R2658" s="691"/>
      <c r="S2658" s="691"/>
      <c r="T2658" s="691"/>
      <c r="U2658" s="691"/>
    </row>
    <row r="2659" s="917" customFormat="true" ht="15" hidden="false" customHeight="true" outlineLevel="0" collapsed="false">
      <c r="A2659" s="752"/>
      <c r="C2659" s="925"/>
      <c r="D2659" s="914"/>
      <c r="E2659" s="914"/>
      <c r="F2659" s="915"/>
      <c r="G2659" s="915"/>
      <c r="H2659" s="691"/>
      <c r="I2659" s="691"/>
      <c r="J2659" s="691"/>
      <c r="K2659" s="691"/>
      <c r="L2659" s="691"/>
      <c r="M2659" s="691"/>
      <c r="N2659" s="691"/>
      <c r="O2659" s="691"/>
      <c r="P2659" s="691"/>
      <c r="Q2659" s="691"/>
      <c r="R2659" s="691"/>
      <c r="S2659" s="691"/>
      <c r="T2659" s="691"/>
      <c r="U2659" s="691"/>
    </row>
    <row r="2660" s="917" customFormat="true" ht="15" hidden="false" customHeight="true" outlineLevel="0" collapsed="false">
      <c r="A2660" s="752"/>
      <c r="C2660" s="925"/>
      <c r="D2660" s="914"/>
      <c r="E2660" s="914"/>
      <c r="F2660" s="915"/>
      <c r="G2660" s="915"/>
      <c r="H2660" s="691"/>
      <c r="I2660" s="691"/>
      <c r="J2660" s="691"/>
      <c r="K2660" s="691"/>
      <c r="L2660" s="691"/>
      <c r="M2660" s="691"/>
      <c r="N2660" s="691"/>
      <c r="O2660" s="691"/>
      <c r="P2660" s="691"/>
      <c r="Q2660" s="691"/>
      <c r="R2660" s="691"/>
      <c r="S2660" s="691"/>
      <c r="T2660" s="691"/>
      <c r="U2660" s="691"/>
    </row>
    <row r="2661" s="917" customFormat="true" ht="15" hidden="false" customHeight="true" outlineLevel="0" collapsed="false">
      <c r="A2661" s="752"/>
      <c r="C2661" s="925"/>
      <c r="D2661" s="914"/>
      <c r="E2661" s="914"/>
      <c r="F2661" s="915"/>
      <c r="G2661" s="915"/>
      <c r="H2661" s="691"/>
      <c r="I2661" s="691"/>
      <c r="J2661" s="691"/>
      <c r="K2661" s="691"/>
      <c r="L2661" s="691"/>
      <c r="M2661" s="691"/>
      <c r="N2661" s="691"/>
      <c r="O2661" s="691"/>
      <c r="P2661" s="691"/>
      <c r="Q2661" s="691"/>
      <c r="R2661" s="691"/>
      <c r="S2661" s="691"/>
      <c r="T2661" s="691"/>
      <c r="U2661" s="691"/>
    </row>
    <row r="2662" s="917" customFormat="true" ht="15" hidden="false" customHeight="true" outlineLevel="0" collapsed="false">
      <c r="A2662" s="752"/>
      <c r="C2662" s="925"/>
      <c r="D2662" s="914"/>
      <c r="E2662" s="914"/>
      <c r="F2662" s="915"/>
      <c r="G2662" s="915"/>
      <c r="H2662" s="691"/>
      <c r="I2662" s="691"/>
      <c r="J2662" s="691"/>
      <c r="K2662" s="691"/>
      <c r="L2662" s="691"/>
      <c r="M2662" s="691"/>
      <c r="N2662" s="691"/>
      <c r="O2662" s="691"/>
      <c r="P2662" s="691"/>
      <c r="Q2662" s="691"/>
      <c r="R2662" s="691"/>
      <c r="S2662" s="691"/>
      <c r="T2662" s="691"/>
      <c r="U2662" s="691"/>
    </row>
    <row r="2663" s="917" customFormat="true" ht="15" hidden="false" customHeight="true" outlineLevel="0" collapsed="false">
      <c r="A2663" s="752"/>
      <c r="C2663" s="925"/>
      <c r="D2663" s="914"/>
      <c r="E2663" s="914"/>
      <c r="F2663" s="915"/>
      <c r="G2663" s="915"/>
      <c r="H2663" s="691"/>
      <c r="I2663" s="691"/>
      <c r="J2663" s="691"/>
      <c r="K2663" s="691"/>
      <c r="L2663" s="691"/>
      <c r="M2663" s="691"/>
      <c r="N2663" s="691"/>
      <c r="O2663" s="691"/>
      <c r="P2663" s="691"/>
      <c r="Q2663" s="691"/>
      <c r="R2663" s="691"/>
      <c r="S2663" s="691"/>
      <c r="T2663" s="691"/>
      <c r="U2663" s="691"/>
    </row>
    <row r="2664" s="917" customFormat="true" ht="15" hidden="false" customHeight="true" outlineLevel="0" collapsed="false">
      <c r="A2664" s="752"/>
      <c r="C2664" s="925"/>
      <c r="D2664" s="914"/>
      <c r="E2664" s="914"/>
      <c r="F2664" s="915"/>
      <c r="G2664" s="915"/>
      <c r="H2664" s="691"/>
      <c r="I2664" s="691"/>
      <c r="J2664" s="691"/>
      <c r="K2664" s="691"/>
      <c r="L2664" s="691"/>
      <c r="M2664" s="691"/>
      <c r="N2664" s="691"/>
      <c r="O2664" s="691"/>
      <c r="P2664" s="691"/>
      <c r="Q2664" s="691"/>
      <c r="R2664" s="691"/>
      <c r="S2664" s="691"/>
      <c r="T2664" s="691"/>
      <c r="U2664" s="691"/>
    </row>
    <row r="2665" s="917" customFormat="true" ht="15" hidden="false" customHeight="true" outlineLevel="0" collapsed="false">
      <c r="A2665" s="752"/>
      <c r="C2665" s="925"/>
      <c r="D2665" s="914"/>
      <c r="E2665" s="914"/>
      <c r="F2665" s="915"/>
      <c r="G2665" s="915"/>
      <c r="H2665" s="691"/>
      <c r="I2665" s="691"/>
      <c r="J2665" s="691"/>
      <c r="K2665" s="691"/>
      <c r="L2665" s="691"/>
      <c r="M2665" s="691"/>
      <c r="N2665" s="691"/>
      <c r="O2665" s="691"/>
      <c r="P2665" s="691"/>
      <c r="Q2665" s="691"/>
      <c r="R2665" s="691"/>
      <c r="S2665" s="691"/>
      <c r="T2665" s="691"/>
      <c r="U2665" s="691"/>
    </row>
    <row r="2666" s="917" customFormat="true" ht="15" hidden="false" customHeight="true" outlineLevel="0" collapsed="false">
      <c r="A2666" s="752"/>
      <c r="C2666" s="925"/>
      <c r="D2666" s="914"/>
      <c r="E2666" s="914"/>
      <c r="F2666" s="915"/>
      <c r="G2666" s="915"/>
      <c r="H2666" s="691"/>
      <c r="I2666" s="691"/>
      <c r="J2666" s="691"/>
      <c r="K2666" s="691"/>
      <c r="L2666" s="691"/>
      <c r="M2666" s="691"/>
      <c r="N2666" s="691"/>
      <c r="O2666" s="691"/>
      <c r="P2666" s="691"/>
      <c r="Q2666" s="691"/>
      <c r="R2666" s="691"/>
      <c r="S2666" s="691"/>
      <c r="T2666" s="691"/>
      <c r="U2666" s="691"/>
    </row>
    <row r="2667" s="917" customFormat="true" ht="15" hidden="false" customHeight="true" outlineLevel="0" collapsed="false">
      <c r="A2667" s="752"/>
      <c r="C2667" s="925"/>
      <c r="D2667" s="914"/>
      <c r="E2667" s="914"/>
      <c r="F2667" s="915"/>
      <c r="G2667" s="915"/>
      <c r="H2667" s="691"/>
      <c r="I2667" s="691"/>
      <c r="J2667" s="691"/>
      <c r="K2667" s="691"/>
      <c r="L2667" s="691"/>
      <c r="M2667" s="691"/>
      <c r="N2667" s="691"/>
      <c r="O2667" s="691"/>
      <c r="P2667" s="691"/>
      <c r="Q2667" s="691"/>
      <c r="R2667" s="691"/>
      <c r="S2667" s="691"/>
      <c r="T2667" s="691"/>
      <c r="U2667" s="691"/>
    </row>
    <row r="2668" s="917" customFormat="true" ht="15" hidden="false" customHeight="true" outlineLevel="0" collapsed="false">
      <c r="A2668" s="752"/>
      <c r="C2668" s="925"/>
      <c r="D2668" s="914"/>
      <c r="E2668" s="914"/>
      <c r="F2668" s="915"/>
      <c r="G2668" s="915"/>
      <c r="H2668" s="691"/>
      <c r="I2668" s="691"/>
      <c r="J2668" s="691"/>
      <c r="K2668" s="691"/>
      <c r="L2668" s="691"/>
      <c r="M2668" s="691"/>
      <c r="N2668" s="691"/>
      <c r="O2668" s="691"/>
      <c r="P2668" s="691"/>
      <c r="Q2668" s="691"/>
      <c r="R2668" s="691"/>
      <c r="S2668" s="691"/>
      <c r="T2668" s="691"/>
      <c r="U2668" s="691"/>
    </row>
    <row r="2669" s="917" customFormat="true" ht="15" hidden="false" customHeight="true" outlineLevel="0" collapsed="false">
      <c r="A2669" s="752"/>
      <c r="C2669" s="925"/>
      <c r="D2669" s="914"/>
      <c r="E2669" s="914"/>
      <c r="F2669" s="915"/>
      <c r="G2669" s="915"/>
      <c r="H2669" s="691"/>
      <c r="I2669" s="691"/>
      <c r="J2669" s="691"/>
      <c r="K2669" s="691"/>
      <c r="L2669" s="691"/>
      <c r="M2669" s="691"/>
      <c r="N2669" s="691"/>
      <c r="O2669" s="691"/>
      <c r="P2669" s="691"/>
      <c r="Q2669" s="691"/>
      <c r="R2669" s="691"/>
      <c r="S2669" s="691"/>
      <c r="T2669" s="691"/>
      <c r="U2669" s="691"/>
    </row>
    <row r="2670" s="917" customFormat="true" ht="15" hidden="false" customHeight="true" outlineLevel="0" collapsed="false">
      <c r="A2670" s="752"/>
      <c r="C2670" s="925"/>
      <c r="D2670" s="914"/>
      <c r="E2670" s="914"/>
      <c r="F2670" s="915"/>
      <c r="G2670" s="915"/>
      <c r="H2670" s="691"/>
      <c r="I2670" s="691"/>
      <c r="J2670" s="691"/>
      <c r="K2670" s="691"/>
      <c r="L2670" s="691"/>
      <c r="M2670" s="691"/>
      <c r="N2670" s="691"/>
      <c r="O2670" s="691"/>
      <c r="P2670" s="691"/>
      <c r="Q2670" s="691"/>
      <c r="R2670" s="691"/>
      <c r="S2670" s="691"/>
      <c r="T2670" s="691"/>
      <c r="U2670" s="691"/>
    </row>
    <row r="2671" s="917" customFormat="true" ht="15" hidden="false" customHeight="true" outlineLevel="0" collapsed="false">
      <c r="A2671" s="752"/>
      <c r="C2671" s="925"/>
      <c r="D2671" s="914"/>
      <c r="E2671" s="914"/>
      <c r="F2671" s="915"/>
      <c r="G2671" s="915"/>
      <c r="H2671" s="691"/>
      <c r="I2671" s="691"/>
      <c r="J2671" s="691"/>
      <c r="K2671" s="691"/>
      <c r="L2671" s="691"/>
      <c r="M2671" s="691"/>
      <c r="N2671" s="691"/>
      <c r="O2671" s="691"/>
      <c r="P2671" s="691"/>
      <c r="Q2671" s="691"/>
      <c r="R2671" s="691"/>
      <c r="S2671" s="691"/>
      <c r="T2671" s="691"/>
      <c r="U2671" s="691"/>
    </row>
    <row r="2672" s="917" customFormat="true" ht="15" hidden="false" customHeight="true" outlineLevel="0" collapsed="false">
      <c r="A2672" s="752"/>
      <c r="C2672" s="925"/>
      <c r="D2672" s="914"/>
      <c r="E2672" s="914"/>
      <c r="F2672" s="915"/>
      <c r="G2672" s="915"/>
      <c r="H2672" s="691"/>
      <c r="I2672" s="691"/>
      <c r="J2672" s="691"/>
      <c r="K2672" s="691"/>
      <c r="L2672" s="691"/>
      <c r="M2672" s="691"/>
      <c r="N2672" s="691"/>
      <c r="O2672" s="691"/>
      <c r="P2672" s="691"/>
      <c r="Q2672" s="691"/>
      <c r="R2672" s="691"/>
      <c r="S2672" s="691"/>
      <c r="T2672" s="691"/>
      <c r="U2672" s="691"/>
    </row>
    <row r="2673" s="917" customFormat="true" ht="15" hidden="false" customHeight="true" outlineLevel="0" collapsed="false">
      <c r="A2673" s="752"/>
      <c r="C2673" s="925"/>
      <c r="D2673" s="914"/>
      <c r="E2673" s="914"/>
      <c r="F2673" s="915"/>
      <c r="G2673" s="915"/>
      <c r="H2673" s="691"/>
      <c r="I2673" s="691"/>
      <c r="J2673" s="691"/>
      <c r="K2673" s="691"/>
      <c r="L2673" s="691"/>
      <c r="M2673" s="691"/>
      <c r="N2673" s="691"/>
      <c r="O2673" s="691"/>
      <c r="P2673" s="691"/>
      <c r="Q2673" s="691"/>
      <c r="R2673" s="691"/>
      <c r="S2673" s="691"/>
      <c r="T2673" s="691"/>
      <c r="U2673" s="691"/>
    </row>
    <row r="2674" s="917" customFormat="true" ht="15" hidden="false" customHeight="true" outlineLevel="0" collapsed="false">
      <c r="A2674" s="752"/>
      <c r="C2674" s="925"/>
      <c r="D2674" s="914"/>
      <c r="E2674" s="914"/>
      <c r="F2674" s="915"/>
      <c r="G2674" s="915"/>
      <c r="H2674" s="691"/>
      <c r="I2674" s="691"/>
      <c r="J2674" s="691"/>
      <c r="K2674" s="691"/>
      <c r="L2674" s="691"/>
      <c r="M2674" s="691"/>
      <c r="N2674" s="691"/>
      <c r="O2674" s="691"/>
      <c r="P2674" s="691"/>
      <c r="Q2674" s="691"/>
      <c r="R2674" s="691"/>
      <c r="S2674" s="691"/>
      <c r="T2674" s="691"/>
      <c r="U2674" s="691"/>
    </row>
    <row r="2675" s="917" customFormat="true" ht="15" hidden="false" customHeight="true" outlineLevel="0" collapsed="false">
      <c r="A2675" s="752"/>
      <c r="C2675" s="925"/>
      <c r="D2675" s="914"/>
      <c r="E2675" s="914"/>
      <c r="F2675" s="915"/>
      <c r="G2675" s="915"/>
      <c r="H2675" s="691"/>
      <c r="I2675" s="691"/>
      <c r="J2675" s="691"/>
      <c r="K2675" s="691"/>
      <c r="L2675" s="691"/>
      <c r="M2675" s="691"/>
      <c r="N2675" s="691"/>
      <c r="O2675" s="691"/>
      <c r="P2675" s="691"/>
      <c r="Q2675" s="691"/>
      <c r="R2675" s="691"/>
      <c r="S2675" s="691"/>
      <c r="T2675" s="691"/>
      <c r="U2675" s="691"/>
    </row>
    <row r="2676" s="917" customFormat="true" ht="15" hidden="false" customHeight="true" outlineLevel="0" collapsed="false">
      <c r="A2676" s="752"/>
      <c r="C2676" s="925"/>
      <c r="D2676" s="914"/>
      <c r="E2676" s="914"/>
      <c r="F2676" s="915"/>
      <c r="G2676" s="915"/>
      <c r="H2676" s="691"/>
      <c r="I2676" s="691"/>
      <c r="J2676" s="691"/>
      <c r="K2676" s="691"/>
      <c r="L2676" s="691"/>
      <c r="M2676" s="691"/>
      <c r="N2676" s="691"/>
      <c r="O2676" s="691"/>
      <c r="P2676" s="691"/>
      <c r="Q2676" s="691"/>
      <c r="R2676" s="691"/>
      <c r="S2676" s="691"/>
      <c r="T2676" s="691"/>
      <c r="U2676" s="691"/>
    </row>
    <row r="2677" s="917" customFormat="true" ht="15" hidden="false" customHeight="true" outlineLevel="0" collapsed="false">
      <c r="A2677" s="752"/>
      <c r="C2677" s="925"/>
      <c r="D2677" s="914"/>
      <c r="E2677" s="914"/>
      <c r="F2677" s="915"/>
      <c r="G2677" s="915"/>
      <c r="H2677" s="691"/>
      <c r="I2677" s="691"/>
      <c r="J2677" s="691"/>
      <c r="K2677" s="691"/>
      <c r="L2677" s="691"/>
      <c r="M2677" s="691"/>
      <c r="N2677" s="691"/>
      <c r="O2677" s="691"/>
      <c r="P2677" s="691"/>
      <c r="Q2677" s="691"/>
      <c r="R2677" s="691"/>
      <c r="S2677" s="691"/>
      <c r="T2677" s="691"/>
      <c r="U2677" s="691"/>
    </row>
    <row r="2678" s="917" customFormat="true" ht="15" hidden="false" customHeight="true" outlineLevel="0" collapsed="false">
      <c r="A2678" s="752"/>
      <c r="C2678" s="925"/>
      <c r="D2678" s="914"/>
      <c r="E2678" s="914"/>
      <c r="F2678" s="915"/>
      <c r="G2678" s="915"/>
      <c r="H2678" s="691"/>
      <c r="I2678" s="691"/>
      <c r="J2678" s="691"/>
      <c r="K2678" s="691"/>
      <c r="L2678" s="691"/>
      <c r="M2678" s="691"/>
      <c r="N2678" s="691"/>
      <c r="O2678" s="691"/>
      <c r="P2678" s="691"/>
      <c r="Q2678" s="691"/>
      <c r="R2678" s="691"/>
      <c r="S2678" s="691"/>
      <c r="T2678" s="691"/>
      <c r="U2678" s="691"/>
    </row>
    <row r="2679" s="917" customFormat="true" ht="15" hidden="false" customHeight="true" outlineLevel="0" collapsed="false">
      <c r="A2679" s="752"/>
      <c r="C2679" s="925"/>
      <c r="D2679" s="914"/>
      <c r="E2679" s="914"/>
      <c r="F2679" s="915"/>
      <c r="G2679" s="915"/>
      <c r="H2679" s="691"/>
      <c r="I2679" s="691"/>
      <c r="J2679" s="691"/>
      <c r="K2679" s="691"/>
      <c r="L2679" s="691"/>
      <c r="M2679" s="691"/>
      <c r="N2679" s="691"/>
      <c r="O2679" s="691"/>
      <c r="P2679" s="691"/>
      <c r="Q2679" s="691"/>
      <c r="R2679" s="691"/>
      <c r="S2679" s="691"/>
      <c r="T2679" s="691"/>
      <c r="U2679" s="691"/>
    </row>
    <row r="2680" s="917" customFormat="true" ht="15" hidden="false" customHeight="true" outlineLevel="0" collapsed="false">
      <c r="A2680" s="752"/>
      <c r="C2680" s="925"/>
      <c r="D2680" s="914"/>
      <c r="E2680" s="914"/>
      <c r="F2680" s="915"/>
      <c r="G2680" s="915"/>
      <c r="H2680" s="691"/>
      <c r="I2680" s="691"/>
      <c r="J2680" s="691"/>
      <c r="K2680" s="691"/>
      <c r="L2680" s="691"/>
      <c r="M2680" s="691"/>
      <c r="N2680" s="691"/>
      <c r="O2680" s="691"/>
      <c r="P2680" s="691"/>
      <c r="Q2680" s="691"/>
      <c r="R2680" s="691"/>
      <c r="S2680" s="691"/>
      <c r="T2680" s="691"/>
      <c r="U2680" s="691"/>
    </row>
    <row r="2681" s="917" customFormat="true" ht="15" hidden="false" customHeight="true" outlineLevel="0" collapsed="false">
      <c r="A2681" s="752"/>
      <c r="C2681" s="925"/>
      <c r="D2681" s="914"/>
      <c r="E2681" s="914"/>
      <c r="F2681" s="915"/>
      <c r="G2681" s="915"/>
      <c r="H2681" s="691"/>
      <c r="I2681" s="691"/>
      <c r="J2681" s="691"/>
      <c r="K2681" s="691"/>
      <c r="L2681" s="691"/>
      <c r="M2681" s="691"/>
      <c r="N2681" s="691"/>
      <c r="O2681" s="691"/>
      <c r="P2681" s="691"/>
      <c r="Q2681" s="691"/>
      <c r="R2681" s="691"/>
      <c r="S2681" s="691"/>
      <c r="T2681" s="691"/>
      <c r="U2681" s="691"/>
    </row>
    <row r="2682" s="917" customFormat="true" ht="15" hidden="false" customHeight="true" outlineLevel="0" collapsed="false">
      <c r="A2682" s="752"/>
      <c r="C2682" s="925"/>
      <c r="D2682" s="914"/>
      <c r="E2682" s="914"/>
      <c r="F2682" s="915"/>
      <c r="G2682" s="915"/>
      <c r="H2682" s="691"/>
      <c r="I2682" s="691"/>
      <c r="J2682" s="691"/>
      <c r="K2682" s="691"/>
      <c r="L2682" s="691"/>
      <c r="M2682" s="691"/>
      <c r="N2682" s="691"/>
      <c r="O2682" s="691"/>
      <c r="P2682" s="691"/>
      <c r="Q2682" s="691"/>
      <c r="R2682" s="691"/>
      <c r="S2682" s="691"/>
      <c r="T2682" s="691"/>
      <c r="U2682" s="691"/>
    </row>
    <row r="2683" s="917" customFormat="true" ht="15" hidden="false" customHeight="true" outlineLevel="0" collapsed="false">
      <c r="A2683" s="752"/>
      <c r="C2683" s="925"/>
      <c r="D2683" s="914"/>
      <c r="E2683" s="914"/>
      <c r="F2683" s="915"/>
      <c r="G2683" s="915"/>
      <c r="H2683" s="691"/>
      <c r="I2683" s="691"/>
      <c r="J2683" s="691"/>
      <c r="K2683" s="691"/>
      <c r="L2683" s="691"/>
      <c r="M2683" s="691"/>
      <c r="N2683" s="691"/>
      <c r="O2683" s="691"/>
      <c r="P2683" s="691"/>
      <c r="Q2683" s="691"/>
      <c r="R2683" s="691"/>
      <c r="S2683" s="691"/>
      <c r="T2683" s="691"/>
      <c r="U2683" s="691"/>
    </row>
    <row r="2684" s="917" customFormat="true" ht="15" hidden="false" customHeight="true" outlineLevel="0" collapsed="false">
      <c r="A2684" s="752"/>
      <c r="C2684" s="925"/>
      <c r="D2684" s="914"/>
      <c r="E2684" s="914"/>
      <c r="F2684" s="915"/>
      <c r="G2684" s="915"/>
      <c r="H2684" s="691"/>
      <c r="I2684" s="691"/>
      <c r="J2684" s="691"/>
      <c r="K2684" s="691"/>
      <c r="L2684" s="691"/>
      <c r="M2684" s="691"/>
      <c r="N2684" s="691"/>
      <c r="O2684" s="691"/>
      <c r="P2684" s="691"/>
      <c r="Q2684" s="691"/>
      <c r="R2684" s="691"/>
      <c r="S2684" s="691"/>
      <c r="T2684" s="691"/>
      <c r="U2684" s="691"/>
    </row>
    <row r="2685" s="917" customFormat="true" ht="15" hidden="false" customHeight="true" outlineLevel="0" collapsed="false">
      <c r="A2685" s="752"/>
      <c r="C2685" s="925"/>
      <c r="D2685" s="914"/>
      <c r="E2685" s="914"/>
      <c r="F2685" s="915"/>
      <c r="G2685" s="915"/>
      <c r="H2685" s="691"/>
      <c r="I2685" s="691"/>
      <c r="J2685" s="691"/>
      <c r="K2685" s="691"/>
      <c r="L2685" s="691"/>
      <c r="M2685" s="691"/>
      <c r="N2685" s="691"/>
      <c r="O2685" s="691"/>
      <c r="P2685" s="691"/>
      <c r="Q2685" s="691"/>
      <c r="R2685" s="691"/>
      <c r="S2685" s="691"/>
      <c r="T2685" s="691"/>
      <c r="U2685" s="691"/>
    </row>
    <row r="2686" s="917" customFormat="true" ht="15" hidden="false" customHeight="true" outlineLevel="0" collapsed="false">
      <c r="A2686" s="752"/>
      <c r="C2686" s="925"/>
      <c r="D2686" s="914"/>
      <c r="E2686" s="914"/>
      <c r="F2686" s="915"/>
      <c r="G2686" s="915"/>
      <c r="H2686" s="691"/>
      <c r="I2686" s="691"/>
      <c r="J2686" s="691"/>
      <c r="K2686" s="691"/>
      <c r="L2686" s="691"/>
      <c r="M2686" s="691"/>
      <c r="N2686" s="691"/>
      <c r="O2686" s="691"/>
      <c r="P2686" s="691"/>
      <c r="Q2686" s="691"/>
      <c r="R2686" s="691"/>
      <c r="S2686" s="691"/>
      <c r="T2686" s="691"/>
      <c r="U2686" s="691"/>
    </row>
    <row r="2687" s="917" customFormat="true" ht="15" hidden="false" customHeight="true" outlineLevel="0" collapsed="false">
      <c r="A2687" s="752"/>
      <c r="C2687" s="925"/>
      <c r="D2687" s="914"/>
      <c r="E2687" s="914"/>
      <c r="F2687" s="915"/>
      <c r="G2687" s="915"/>
      <c r="H2687" s="691"/>
      <c r="I2687" s="691"/>
      <c r="J2687" s="691"/>
      <c r="K2687" s="691"/>
      <c r="L2687" s="691"/>
      <c r="M2687" s="691"/>
      <c r="N2687" s="691"/>
      <c r="O2687" s="691"/>
      <c r="P2687" s="691"/>
      <c r="Q2687" s="691"/>
      <c r="R2687" s="691"/>
      <c r="S2687" s="691"/>
      <c r="T2687" s="691"/>
      <c r="U2687" s="691"/>
    </row>
    <row r="2688" s="917" customFormat="true" ht="15" hidden="false" customHeight="true" outlineLevel="0" collapsed="false">
      <c r="A2688" s="752"/>
      <c r="C2688" s="925"/>
      <c r="D2688" s="914"/>
      <c r="E2688" s="914"/>
      <c r="F2688" s="915"/>
      <c r="G2688" s="915"/>
      <c r="H2688" s="691"/>
      <c r="I2688" s="691"/>
      <c r="J2688" s="691"/>
      <c r="K2688" s="691"/>
      <c r="L2688" s="691"/>
      <c r="M2688" s="691"/>
      <c r="N2688" s="691"/>
      <c r="O2688" s="691"/>
      <c r="P2688" s="691"/>
      <c r="Q2688" s="691"/>
      <c r="R2688" s="691"/>
      <c r="S2688" s="691"/>
      <c r="T2688" s="691"/>
      <c r="U2688" s="691"/>
    </row>
    <row r="2689" s="917" customFormat="true" ht="15" hidden="false" customHeight="true" outlineLevel="0" collapsed="false">
      <c r="A2689" s="752"/>
      <c r="C2689" s="925"/>
      <c r="D2689" s="914"/>
      <c r="E2689" s="914"/>
      <c r="F2689" s="915"/>
      <c r="G2689" s="915"/>
      <c r="H2689" s="691"/>
      <c r="I2689" s="691"/>
      <c r="J2689" s="691"/>
      <c r="K2689" s="691"/>
      <c r="L2689" s="691"/>
      <c r="M2689" s="691"/>
      <c r="N2689" s="691"/>
      <c r="O2689" s="691"/>
      <c r="P2689" s="691"/>
      <c r="Q2689" s="691"/>
      <c r="R2689" s="691"/>
      <c r="S2689" s="691"/>
      <c r="T2689" s="691"/>
      <c r="U2689" s="691"/>
    </row>
    <row r="2690" s="917" customFormat="true" ht="15" hidden="false" customHeight="true" outlineLevel="0" collapsed="false">
      <c r="A2690" s="752"/>
      <c r="C2690" s="925"/>
      <c r="D2690" s="914"/>
      <c r="E2690" s="914"/>
      <c r="F2690" s="915"/>
      <c r="G2690" s="915"/>
      <c r="H2690" s="691"/>
      <c r="I2690" s="691"/>
      <c r="J2690" s="691"/>
      <c r="K2690" s="691"/>
      <c r="L2690" s="691"/>
      <c r="M2690" s="691"/>
      <c r="N2690" s="691"/>
      <c r="O2690" s="691"/>
      <c r="P2690" s="691"/>
      <c r="Q2690" s="691"/>
      <c r="R2690" s="691"/>
      <c r="S2690" s="691"/>
      <c r="T2690" s="691"/>
      <c r="U2690" s="691"/>
    </row>
    <row r="2691" s="917" customFormat="true" ht="15" hidden="false" customHeight="true" outlineLevel="0" collapsed="false">
      <c r="A2691" s="752"/>
      <c r="C2691" s="925"/>
      <c r="D2691" s="914"/>
      <c r="E2691" s="914"/>
      <c r="F2691" s="915"/>
      <c r="G2691" s="915"/>
      <c r="H2691" s="691"/>
      <c r="I2691" s="691"/>
      <c r="J2691" s="691"/>
      <c r="K2691" s="691"/>
      <c r="L2691" s="691"/>
      <c r="M2691" s="691"/>
      <c r="N2691" s="691"/>
      <c r="O2691" s="691"/>
      <c r="P2691" s="691"/>
      <c r="Q2691" s="691"/>
      <c r="R2691" s="691"/>
      <c r="S2691" s="691"/>
      <c r="T2691" s="691"/>
      <c r="U2691" s="691"/>
    </row>
    <row r="2692" s="917" customFormat="true" ht="15" hidden="false" customHeight="true" outlineLevel="0" collapsed="false">
      <c r="A2692" s="752"/>
      <c r="C2692" s="925"/>
      <c r="D2692" s="914"/>
      <c r="E2692" s="914"/>
      <c r="F2692" s="915"/>
      <c r="G2692" s="915"/>
      <c r="H2692" s="691"/>
      <c r="I2692" s="691"/>
      <c r="J2692" s="691"/>
      <c r="K2692" s="691"/>
      <c r="L2692" s="691"/>
      <c r="M2692" s="691"/>
      <c r="N2692" s="691"/>
      <c r="O2692" s="691"/>
      <c r="P2692" s="691"/>
      <c r="Q2692" s="691"/>
      <c r="R2692" s="691"/>
      <c r="S2692" s="691"/>
      <c r="T2692" s="691"/>
      <c r="U2692" s="691"/>
    </row>
    <row r="2693" s="917" customFormat="true" ht="15" hidden="false" customHeight="true" outlineLevel="0" collapsed="false">
      <c r="A2693" s="752"/>
      <c r="C2693" s="925"/>
      <c r="D2693" s="914"/>
      <c r="E2693" s="914"/>
      <c r="F2693" s="915"/>
      <c r="G2693" s="915"/>
      <c r="H2693" s="691"/>
      <c r="I2693" s="691"/>
      <c r="J2693" s="691"/>
      <c r="K2693" s="691"/>
      <c r="L2693" s="691"/>
      <c r="M2693" s="691"/>
      <c r="N2693" s="691"/>
      <c r="O2693" s="691"/>
      <c r="P2693" s="691"/>
      <c r="Q2693" s="691"/>
      <c r="R2693" s="691"/>
      <c r="S2693" s="691"/>
      <c r="T2693" s="691"/>
      <c r="U2693" s="691"/>
    </row>
    <row r="2694" s="917" customFormat="true" ht="15" hidden="false" customHeight="true" outlineLevel="0" collapsed="false">
      <c r="A2694" s="752"/>
      <c r="C2694" s="925"/>
      <c r="D2694" s="914"/>
      <c r="E2694" s="914"/>
      <c r="F2694" s="915"/>
      <c r="G2694" s="915"/>
      <c r="H2694" s="691"/>
      <c r="I2694" s="691"/>
      <c r="J2694" s="691"/>
      <c r="K2694" s="691"/>
      <c r="L2694" s="691"/>
      <c r="M2694" s="691"/>
      <c r="N2694" s="691"/>
      <c r="O2694" s="691"/>
      <c r="P2694" s="691"/>
      <c r="Q2694" s="691"/>
      <c r="R2694" s="691"/>
      <c r="S2694" s="691"/>
      <c r="T2694" s="691"/>
      <c r="U2694" s="691"/>
    </row>
    <row r="2695" s="917" customFormat="true" ht="15" hidden="false" customHeight="true" outlineLevel="0" collapsed="false">
      <c r="A2695" s="752"/>
      <c r="C2695" s="925"/>
      <c r="D2695" s="914"/>
      <c r="E2695" s="914"/>
      <c r="F2695" s="915"/>
      <c r="G2695" s="915"/>
      <c r="H2695" s="691"/>
      <c r="I2695" s="691"/>
      <c r="J2695" s="691"/>
      <c r="K2695" s="691"/>
      <c r="L2695" s="691"/>
      <c r="M2695" s="691"/>
      <c r="N2695" s="691"/>
      <c r="O2695" s="691"/>
      <c r="P2695" s="691"/>
      <c r="Q2695" s="691"/>
      <c r="R2695" s="691"/>
      <c r="S2695" s="691"/>
      <c r="T2695" s="691"/>
      <c r="U2695" s="691"/>
    </row>
    <row r="2696" s="917" customFormat="true" ht="15" hidden="false" customHeight="true" outlineLevel="0" collapsed="false">
      <c r="A2696" s="752"/>
      <c r="C2696" s="925"/>
      <c r="D2696" s="914"/>
      <c r="E2696" s="914"/>
      <c r="F2696" s="915"/>
      <c r="G2696" s="915"/>
      <c r="H2696" s="691"/>
      <c r="I2696" s="691"/>
      <c r="J2696" s="691"/>
      <c r="K2696" s="691"/>
      <c r="L2696" s="691"/>
      <c r="M2696" s="691"/>
      <c r="N2696" s="691"/>
      <c r="O2696" s="691"/>
      <c r="P2696" s="691"/>
      <c r="Q2696" s="691"/>
      <c r="R2696" s="691"/>
      <c r="S2696" s="691"/>
      <c r="T2696" s="691"/>
      <c r="U2696" s="691"/>
    </row>
    <row r="2697" s="917" customFormat="true" ht="15" hidden="false" customHeight="true" outlineLevel="0" collapsed="false">
      <c r="A2697" s="752"/>
      <c r="C2697" s="925"/>
      <c r="D2697" s="914"/>
      <c r="E2697" s="914"/>
      <c r="F2697" s="915"/>
      <c r="G2697" s="915"/>
      <c r="H2697" s="691"/>
      <c r="I2697" s="691"/>
      <c r="J2697" s="691"/>
      <c r="K2697" s="691"/>
      <c r="L2697" s="691"/>
      <c r="M2697" s="691"/>
      <c r="N2697" s="691"/>
      <c r="O2697" s="691"/>
      <c r="P2697" s="691"/>
      <c r="Q2697" s="691"/>
      <c r="R2697" s="691"/>
      <c r="S2697" s="691"/>
      <c r="T2697" s="691"/>
      <c r="U2697" s="691"/>
    </row>
    <row r="2698" s="917" customFormat="true" ht="15" hidden="false" customHeight="true" outlineLevel="0" collapsed="false">
      <c r="A2698" s="752"/>
      <c r="C2698" s="925"/>
      <c r="D2698" s="914"/>
      <c r="E2698" s="914"/>
      <c r="F2698" s="915"/>
      <c r="G2698" s="915"/>
      <c r="H2698" s="691"/>
      <c r="I2698" s="691"/>
      <c r="J2698" s="691"/>
      <c r="K2698" s="691"/>
      <c r="L2698" s="691"/>
      <c r="M2698" s="691"/>
      <c r="N2698" s="691"/>
      <c r="O2698" s="691"/>
      <c r="P2698" s="691"/>
      <c r="Q2698" s="691"/>
      <c r="R2698" s="691"/>
      <c r="S2698" s="691"/>
      <c r="T2698" s="691"/>
      <c r="U2698" s="691"/>
    </row>
    <row r="2699" s="917" customFormat="true" ht="15" hidden="false" customHeight="true" outlineLevel="0" collapsed="false">
      <c r="A2699" s="752"/>
      <c r="C2699" s="925"/>
      <c r="D2699" s="914"/>
      <c r="E2699" s="914"/>
      <c r="F2699" s="915"/>
      <c r="G2699" s="915"/>
      <c r="H2699" s="691"/>
      <c r="I2699" s="691"/>
      <c r="J2699" s="691"/>
      <c r="K2699" s="691"/>
      <c r="L2699" s="691"/>
      <c r="M2699" s="691"/>
      <c r="N2699" s="691"/>
      <c r="O2699" s="691"/>
      <c r="P2699" s="691"/>
      <c r="Q2699" s="691"/>
      <c r="R2699" s="691"/>
      <c r="S2699" s="691"/>
      <c r="T2699" s="691"/>
      <c r="U2699" s="691"/>
    </row>
    <row r="2700" s="917" customFormat="true" ht="15" hidden="false" customHeight="true" outlineLevel="0" collapsed="false">
      <c r="A2700" s="752"/>
      <c r="C2700" s="925"/>
      <c r="D2700" s="914"/>
      <c r="E2700" s="914"/>
      <c r="F2700" s="915"/>
      <c r="G2700" s="915"/>
      <c r="H2700" s="691"/>
      <c r="I2700" s="691"/>
      <c r="J2700" s="691"/>
      <c r="K2700" s="691"/>
      <c r="L2700" s="691"/>
      <c r="M2700" s="691"/>
      <c r="N2700" s="691"/>
      <c r="O2700" s="691"/>
      <c r="P2700" s="691"/>
      <c r="Q2700" s="691"/>
      <c r="R2700" s="691"/>
      <c r="S2700" s="691"/>
      <c r="T2700" s="691"/>
      <c r="U2700" s="691"/>
    </row>
    <row r="2701" s="917" customFormat="true" ht="15" hidden="false" customHeight="true" outlineLevel="0" collapsed="false">
      <c r="A2701" s="752"/>
      <c r="C2701" s="925"/>
      <c r="D2701" s="914"/>
      <c r="E2701" s="914"/>
      <c r="F2701" s="915"/>
      <c r="G2701" s="915"/>
      <c r="H2701" s="691"/>
      <c r="I2701" s="691"/>
      <c r="J2701" s="691"/>
      <c r="K2701" s="691"/>
      <c r="L2701" s="691"/>
      <c r="M2701" s="691"/>
      <c r="N2701" s="691"/>
      <c r="O2701" s="691"/>
      <c r="P2701" s="691"/>
      <c r="Q2701" s="691"/>
      <c r="R2701" s="691"/>
      <c r="S2701" s="691"/>
      <c r="T2701" s="691"/>
      <c r="U2701" s="691"/>
    </row>
    <row r="2702" s="917" customFormat="true" ht="15" hidden="false" customHeight="true" outlineLevel="0" collapsed="false">
      <c r="A2702" s="752"/>
      <c r="C2702" s="925"/>
      <c r="D2702" s="914"/>
      <c r="E2702" s="914"/>
      <c r="F2702" s="915"/>
      <c r="G2702" s="915"/>
      <c r="H2702" s="691"/>
      <c r="I2702" s="691"/>
      <c r="J2702" s="691"/>
      <c r="K2702" s="691"/>
      <c r="L2702" s="691"/>
      <c r="M2702" s="691"/>
      <c r="N2702" s="691"/>
      <c r="O2702" s="691"/>
      <c r="P2702" s="691"/>
      <c r="Q2702" s="691"/>
      <c r="R2702" s="691"/>
      <c r="S2702" s="691"/>
      <c r="T2702" s="691"/>
      <c r="U2702" s="691"/>
    </row>
    <row r="2703" s="917" customFormat="true" ht="15" hidden="false" customHeight="true" outlineLevel="0" collapsed="false">
      <c r="A2703" s="752"/>
      <c r="C2703" s="925"/>
      <c r="D2703" s="914"/>
      <c r="E2703" s="914"/>
      <c r="F2703" s="915"/>
      <c r="G2703" s="915"/>
      <c r="H2703" s="691"/>
      <c r="I2703" s="691"/>
      <c r="J2703" s="691"/>
      <c r="K2703" s="691"/>
      <c r="L2703" s="691"/>
      <c r="M2703" s="691"/>
      <c r="N2703" s="691"/>
      <c r="O2703" s="691"/>
      <c r="P2703" s="691"/>
      <c r="Q2703" s="691"/>
      <c r="R2703" s="691"/>
      <c r="S2703" s="691"/>
      <c r="T2703" s="691"/>
      <c r="U2703" s="691"/>
    </row>
    <row r="2704" s="917" customFormat="true" ht="15" hidden="false" customHeight="true" outlineLevel="0" collapsed="false">
      <c r="A2704" s="752"/>
      <c r="C2704" s="925"/>
      <c r="D2704" s="914"/>
      <c r="E2704" s="914"/>
      <c r="F2704" s="915"/>
      <c r="G2704" s="915"/>
      <c r="H2704" s="691"/>
      <c r="I2704" s="691"/>
      <c r="J2704" s="691"/>
      <c r="K2704" s="691"/>
      <c r="L2704" s="691"/>
      <c r="M2704" s="691"/>
      <c r="N2704" s="691"/>
      <c r="O2704" s="691"/>
      <c r="P2704" s="691"/>
      <c r="Q2704" s="691"/>
      <c r="R2704" s="691"/>
      <c r="S2704" s="691"/>
      <c r="T2704" s="691"/>
      <c r="U2704" s="691"/>
    </row>
    <row r="2705" s="917" customFormat="true" ht="15" hidden="false" customHeight="true" outlineLevel="0" collapsed="false">
      <c r="A2705" s="752"/>
      <c r="C2705" s="925"/>
      <c r="D2705" s="914"/>
      <c r="E2705" s="914"/>
      <c r="F2705" s="915"/>
      <c r="G2705" s="915"/>
      <c r="H2705" s="691"/>
      <c r="I2705" s="691"/>
      <c r="J2705" s="691"/>
      <c r="K2705" s="691"/>
      <c r="L2705" s="691"/>
      <c r="M2705" s="691"/>
      <c r="N2705" s="691"/>
      <c r="O2705" s="691"/>
      <c r="P2705" s="691"/>
      <c r="Q2705" s="691"/>
      <c r="R2705" s="691"/>
      <c r="S2705" s="691"/>
      <c r="T2705" s="691"/>
      <c r="U2705" s="691"/>
    </row>
    <row r="2706" s="917" customFormat="true" ht="15" hidden="false" customHeight="true" outlineLevel="0" collapsed="false">
      <c r="A2706" s="752"/>
      <c r="C2706" s="925"/>
      <c r="D2706" s="914"/>
      <c r="E2706" s="914"/>
      <c r="F2706" s="915"/>
      <c r="G2706" s="915"/>
      <c r="H2706" s="691"/>
      <c r="I2706" s="691"/>
      <c r="J2706" s="691"/>
      <c r="K2706" s="691"/>
      <c r="L2706" s="691"/>
      <c r="M2706" s="691"/>
      <c r="N2706" s="691"/>
      <c r="O2706" s="691"/>
      <c r="P2706" s="691"/>
      <c r="Q2706" s="691"/>
      <c r="R2706" s="691"/>
      <c r="S2706" s="691"/>
      <c r="T2706" s="691"/>
      <c r="U2706" s="691"/>
    </row>
    <row r="2707" s="917" customFormat="true" ht="15" hidden="false" customHeight="true" outlineLevel="0" collapsed="false">
      <c r="A2707" s="752"/>
      <c r="C2707" s="925"/>
      <c r="D2707" s="914"/>
      <c r="E2707" s="914"/>
      <c r="F2707" s="915"/>
      <c r="G2707" s="915"/>
      <c r="H2707" s="691"/>
      <c r="I2707" s="691"/>
      <c r="J2707" s="691"/>
      <c r="K2707" s="691"/>
      <c r="L2707" s="691"/>
      <c r="M2707" s="691"/>
      <c r="N2707" s="691"/>
      <c r="O2707" s="691"/>
      <c r="P2707" s="691"/>
      <c r="Q2707" s="691"/>
      <c r="R2707" s="691"/>
      <c r="S2707" s="691"/>
      <c r="T2707" s="691"/>
      <c r="U2707" s="691"/>
    </row>
    <row r="2708" s="917" customFormat="true" ht="15" hidden="false" customHeight="true" outlineLevel="0" collapsed="false">
      <c r="A2708" s="752"/>
      <c r="C2708" s="925"/>
      <c r="D2708" s="914"/>
      <c r="E2708" s="914"/>
      <c r="F2708" s="915"/>
      <c r="G2708" s="915"/>
      <c r="H2708" s="691"/>
      <c r="I2708" s="691"/>
      <c r="J2708" s="691"/>
      <c r="K2708" s="691"/>
      <c r="L2708" s="691"/>
      <c r="M2708" s="691"/>
      <c r="N2708" s="691"/>
      <c r="O2708" s="691"/>
      <c r="P2708" s="691"/>
      <c r="Q2708" s="691"/>
      <c r="R2708" s="691"/>
      <c r="S2708" s="691"/>
      <c r="T2708" s="691"/>
      <c r="U2708" s="691"/>
    </row>
    <row r="2709" s="917" customFormat="true" ht="15" hidden="false" customHeight="true" outlineLevel="0" collapsed="false">
      <c r="A2709" s="752"/>
      <c r="C2709" s="925"/>
      <c r="D2709" s="914"/>
      <c r="E2709" s="914"/>
      <c r="F2709" s="915"/>
      <c r="G2709" s="915"/>
      <c r="H2709" s="691"/>
      <c r="I2709" s="691"/>
      <c r="J2709" s="691"/>
      <c r="K2709" s="691"/>
      <c r="L2709" s="691"/>
      <c r="M2709" s="691"/>
      <c r="N2709" s="691"/>
      <c r="O2709" s="691"/>
      <c r="P2709" s="691"/>
      <c r="Q2709" s="691"/>
      <c r="R2709" s="691"/>
      <c r="S2709" s="691"/>
      <c r="T2709" s="691"/>
      <c r="U2709" s="691"/>
    </row>
  </sheetData>
  <mergeCells count="17">
    <mergeCell ref="B2:D6"/>
    <mergeCell ref="A9:B9"/>
    <mergeCell ref="A154:B154"/>
    <mergeCell ref="A166:B166"/>
    <mergeCell ref="D212:D222"/>
    <mergeCell ref="A247:B247"/>
    <mergeCell ref="A263:B263"/>
    <mergeCell ref="F447:G447"/>
    <mergeCell ref="F540:G540"/>
    <mergeCell ref="D650:D656"/>
    <mergeCell ref="D657:D666"/>
    <mergeCell ref="D667:D675"/>
    <mergeCell ref="D676:D687"/>
    <mergeCell ref="A707:B707"/>
    <mergeCell ref="A722:B722"/>
    <mergeCell ref="A1302:B1302"/>
    <mergeCell ref="A1320:B1320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00B0F0"/>
    <pageSetUpPr fitToPage="false"/>
  </sheetPr>
  <dimension ref="A1:AH2210"/>
  <sheetViews>
    <sheetView showFormulas="false" showGridLines="fals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B9" activeCellId="0" sqref="B9"/>
    </sheetView>
  </sheetViews>
  <sheetFormatPr defaultColWidth="9.15625" defaultRowHeight="15.75" zeroHeight="false" outlineLevelRow="0" outlineLevelCol="0"/>
  <cols>
    <col collapsed="false" customWidth="true" hidden="false" outlineLevel="0" max="1" min="1" style="926" width="0.71"/>
    <col collapsed="false" customWidth="true" hidden="false" outlineLevel="0" max="2" min="2" style="926" width="48.42"/>
    <col collapsed="false" customWidth="true" hidden="false" outlineLevel="0" max="3" min="3" style="927" width="9.29"/>
    <col collapsed="false" customWidth="true" hidden="false" outlineLevel="0" max="4" min="4" style="928" width="9.29"/>
    <col collapsed="false" customWidth="true" hidden="false" outlineLevel="0" max="5" min="5" style="929" width="14.01"/>
    <col collapsed="false" customWidth="true" hidden="false" outlineLevel="0" max="6" min="6" style="929" width="17.29"/>
    <col collapsed="false" customWidth="true" hidden="false" outlineLevel="0" max="7" min="7" style="929" width="13.14"/>
    <col collapsed="false" customWidth="true" hidden="false" outlineLevel="0" max="8" min="8" style="930" width="15.42"/>
    <col collapsed="false" customWidth="false" hidden="true" outlineLevel="0" max="9" min="9" style="926" width="9.14"/>
    <col collapsed="false" customWidth="false" hidden="false" outlineLevel="0" max="11" min="10" style="926" width="9.14"/>
    <col collapsed="false" customWidth="false" hidden="false" outlineLevel="0" max="34" min="12" style="931" width="9.14"/>
    <col collapsed="false" customWidth="false" hidden="false" outlineLevel="0" max="1024" min="35" style="926" width="9.14"/>
  </cols>
  <sheetData>
    <row r="1" customFormat="false" ht="15.75" hidden="false" customHeight="false" outlineLevel="0" collapsed="false">
      <c r="H1" s="932" t="s">
        <v>2231</v>
      </c>
    </row>
    <row r="2" customFormat="false" ht="15.75" hidden="false" customHeight="false" outlineLevel="0" collapsed="false">
      <c r="A2" s="931"/>
      <c r="C2" s="933"/>
      <c r="D2" s="934"/>
      <c r="E2" s="935"/>
      <c r="F2" s="935"/>
      <c r="G2" s="935"/>
      <c r="H2" s="926"/>
      <c r="I2" s="936"/>
      <c r="J2" s="931"/>
      <c r="K2" s="937"/>
    </row>
    <row r="3" customFormat="false" ht="15.75" hidden="false" customHeight="false" outlineLevel="0" collapsed="false">
      <c r="A3" s="931"/>
      <c r="B3" s="656" t="s">
        <v>927</v>
      </c>
      <c r="C3" s="933"/>
      <c r="D3" s="938" t="s">
        <v>2232</v>
      </c>
      <c r="E3" s="938"/>
      <c r="F3" s="938"/>
      <c r="G3" s="938"/>
      <c r="H3" s="939" t="n">
        <f aca="false">'Ввод данных'!C10</f>
        <v>8</v>
      </c>
      <c r="I3" s="936"/>
      <c r="J3" s="931"/>
      <c r="K3" s="937"/>
    </row>
    <row r="4" customFormat="false" ht="15.75" hidden="false" customHeight="false" outlineLevel="0" collapsed="false">
      <c r="A4" s="931"/>
      <c r="B4" s="656" t="s">
        <v>7</v>
      </c>
      <c r="C4" s="933"/>
      <c r="D4" s="938" t="s">
        <v>2233</v>
      </c>
      <c r="E4" s="938"/>
      <c r="F4" s="938"/>
      <c r="G4" s="938"/>
      <c r="H4" s="939" t="n">
        <f aca="false">'Ввод данных'!C9</f>
        <v>8</v>
      </c>
      <c r="I4" s="936"/>
      <c r="J4" s="931"/>
      <c r="K4" s="937"/>
    </row>
    <row r="5" customFormat="false" ht="15.75" hidden="false" customHeight="false" outlineLevel="0" collapsed="false">
      <c r="A5" s="931"/>
      <c r="B5" s="656" t="s">
        <v>8</v>
      </c>
      <c r="C5" s="933"/>
      <c r="D5" s="938" t="s">
        <v>2234</v>
      </c>
      <c r="E5" s="938"/>
      <c r="F5" s="938"/>
      <c r="G5" s="938"/>
      <c r="H5" s="939" t="n">
        <f aca="false">дома!C15</f>
        <v>2</v>
      </c>
      <c r="I5" s="936"/>
      <c r="J5" s="931"/>
      <c r="K5" s="937"/>
    </row>
    <row r="6" customFormat="false" ht="15.75" hidden="false" customHeight="false" outlineLevel="0" collapsed="false">
      <c r="A6" s="931"/>
      <c r="B6" s="656" t="s">
        <v>928</v>
      </c>
      <c r="C6" s="933"/>
      <c r="D6" s="938" t="s">
        <v>2235</v>
      </c>
      <c r="E6" s="938"/>
      <c r="F6" s="938"/>
      <c r="G6" s="938"/>
      <c r="H6" s="939" t="n">
        <f aca="false">дома!J108</f>
        <v>128</v>
      </c>
      <c r="I6" s="936"/>
      <c r="J6" s="931"/>
      <c r="K6" s="937"/>
    </row>
    <row r="7" customFormat="false" ht="15.75" hidden="false" customHeight="false" outlineLevel="0" collapsed="false">
      <c r="A7" s="931"/>
      <c r="B7" s="656" t="s">
        <v>929</v>
      </c>
      <c r="C7" s="933"/>
      <c r="D7" s="938" t="s">
        <v>2236</v>
      </c>
      <c r="E7" s="938"/>
      <c r="F7" s="938"/>
      <c r="G7" s="938"/>
      <c r="H7" s="939" t="n">
        <f aca="false">дома!K108</f>
        <v>94.7321893085902</v>
      </c>
      <c r="I7" s="936"/>
      <c r="J7" s="931"/>
      <c r="K7" s="937"/>
    </row>
    <row r="8" customFormat="false" ht="15.75" hidden="false" customHeight="false" outlineLevel="0" collapsed="false">
      <c r="A8" s="931"/>
      <c r="B8" s="940"/>
      <c r="C8" s="933"/>
      <c r="D8" s="941"/>
      <c r="E8" s="942"/>
      <c r="F8" s="942"/>
      <c r="G8" s="943"/>
      <c r="H8" s="939"/>
      <c r="I8" s="936"/>
      <c r="J8" s="931"/>
      <c r="K8" s="937"/>
    </row>
    <row r="9" customFormat="false" ht="15.75" hidden="false" customHeight="false" outlineLevel="0" collapsed="false">
      <c r="A9" s="931"/>
      <c r="B9" s="944" t="s">
        <v>2237</v>
      </c>
      <c r="C9" s="944"/>
      <c r="D9" s="944"/>
      <c r="E9" s="944"/>
      <c r="F9" s="944"/>
      <c r="G9" s="944"/>
      <c r="H9" s="944"/>
      <c r="I9" s="931"/>
      <c r="J9" s="931"/>
      <c r="K9" s="937"/>
    </row>
    <row r="10" customFormat="false" ht="15.75" hidden="false" customHeight="false" outlineLevel="0" collapsed="false">
      <c r="A10" s="944"/>
      <c r="B10" s="944" t="s">
        <v>2238</v>
      </c>
      <c r="C10" s="944"/>
      <c r="D10" s="944"/>
      <c r="E10" s="944"/>
      <c r="F10" s="944"/>
      <c r="G10" s="944"/>
      <c r="H10" s="944"/>
      <c r="I10" s="931"/>
      <c r="J10" s="931"/>
      <c r="K10" s="937"/>
    </row>
    <row r="11" customFormat="false" ht="15.75" hidden="false" customHeight="false" outlineLevel="0" collapsed="false">
      <c r="A11" s="944"/>
      <c r="B11" s="945"/>
      <c r="C11" s="945"/>
      <c r="D11" s="946"/>
      <c r="E11" s="947"/>
      <c r="F11" s="947"/>
      <c r="G11" s="947"/>
      <c r="H11" s="948"/>
      <c r="I11" s="931"/>
      <c r="J11" s="931"/>
      <c r="K11" s="937"/>
    </row>
    <row r="12" customFormat="false" ht="15.75" hidden="false" customHeight="false" outlineLevel="0" collapsed="false">
      <c r="A12" s="949"/>
      <c r="B12" s="950" t="s">
        <v>2239</v>
      </c>
      <c r="C12" s="950" t="s">
        <v>2240</v>
      </c>
      <c r="D12" s="951" t="s">
        <v>118</v>
      </c>
      <c r="E12" s="952" t="s">
        <v>2241</v>
      </c>
      <c r="F12" s="952" t="s">
        <v>2242</v>
      </c>
      <c r="G12" s="952" t="s">
        <v>2243</v>
      </c>
      <c r="H12" s="953" t="s">
        <v>2244</v>
      </c>
      <c r="I12" s="954"/>
      <c r="J12" s="955"/>
      <c r="K12" s="956"/>
    </row>
    <row r="13" customFormat="false" ht="21" hidden="true" customHeight="false" outlineLevel="0" collapsed="false">
      <c r="A13" s="931"/>
      <c r="B13" s="957" t="s">
        <v>2245</v>
      </c>
      <c r="C13" s="957"/>
      <c r="D13" s="957"/>
      <c r="E13" s="957"/>
      <c r="F13" s="957"/>
      <c r="G13" s="957"/>
      <c r="H13" s="958" t="n">
        <f aca="false">VLOOKUP('Ввод данных'!F974,связи1!A2:B3,2,0)*фундамент!D562</f>
        <v>0</v>
      </c>
      <c r="I13" s="959" t="n">
        <f aca="false">H13</f>
        <v>0</v>
      </c>
      <c r="J13" s="931"/>
      <c r="K13" s="937"/>
    </row>
    <row r="14" customFormat="false" ht="15.75" hidden="true" customHeight="false" outlineLevel="0" collapsed="false">
      <c r="A14" s="960"/>
      <c r="B14" s="961" t="s">
        <v>2246</v>
      </c>
      <c r="C14" s="961"/>
      <c r="D14" s="961"/>
      <c r="E14" s="961"/>
      <c r="F14" s="961"/>
      <c r="G14" s="961"/>
      <c r="H14" s="962" t="n">
        <f aca="false">H13</f>
        <v>0</v>
      </c>
      <c r="I14" s="963" t="n">
        <f aca="false">H14</f>
        <v>0</v>
      </c>
      <c r="J14" s="964"/>
      <c r="K14" s="965"/>
    </row>
    <row r="15" customFormat="false" ht="15.75" hidden="true" customHeight="false" outlineLevel="0" collapsed="false">
      <c r="A15" s="966"/>
      <c r="B15" s="967" t="str">
        <f aca="false">фундамент!A597</f>
        <v>Сосна влаж,150*40мм</v>
      </c>
      <c r="C15" s="968" t="str">
        <f aca="false">фундамент!B597</f>
        <v>м3</v>
      </c>
      <c r="D15" s="967" t="n">
        <f aca="false">фундамент!C597</f>
        <v>0</v>
      </c>
      <c r="E15" s="967" t="n">
        <f aca="false">фундамент!D597</f>
        <v>6500</v>
      </c>
      <c r="F15" s="969" t="n">
        <v>8000</v>
      </c>
      <c r="G15" s="967" t="n">
        <f aca="false">IF(F15&gt;0,D15*F15,E15*D15)</f>
        <v>0</v>
      </c>
      <c r="H15" s="970" t="n">
        <f aca="false">D15*E15*H13</f>
        <v>0</v>
      </c>
      <c r="I15" s="971" t="n">
        <f aca="false">IF(G15&gt;H15,G15,H15)*$H$13</f>
        <v>0</v>
      </c>
      <c r="J15" s="936"/>
      <c r="K15" s="937"/>
    </row>
    <row r="16" customFormat="false" ht="15.75" hidden="true" customHeight="false" outlineLevel="0" collapsed="false">
      <c r="A16" s="966"/>
      <c r="B16" s="967" t="str">
        <f aca="false">фундамент!A598</f>
        <v>Пленка гидроизоляционная </v>
      </c>
      <c r="C16" s="968" t="str">
        <f aca="false">фундамент!B598</f>
        <v>м2</v>
      </c>
      <c r="D16" s="967" t="n">
        <f aca="false">фундамент!C598</f>
        <v>0</v>
      </c>
      <c r="E16" s="967" t="n">
        <f aca="false">фундамент!D598</f>
        <v>15</v>
      </c>
      <c r="F16" s="969"/>
      <c r="G16" s="967" t="n">
        <f aca="false">IF(F16&gt;0,D16*F16,E16*D16)</f>
        <v>0</v>
      </c>
      <c r="H16" s="970" t="n">
        <f aca="false">D16*E16*H13</f>
        <v>0</v>
      </c>
      <c r="I16" s="971" t="n">
        <f aca="false">IF(G16&gt;H16,G16,H16)*$H$13</f>
        <v>0</v>
      </c>
      <c r="J16" s="936"/>
      <c r="K16" s="937"/>
    </row>
    <row r="17" customFormat="false" ht="15.75" hidden="true" customHeight="false" outlineLevel="0" collapsed="false">
      <c r="A17" s="966"/>
      <c r="B17" s="967" t="str">
        <f aca="false">фундамент!A599</f>
        <v>Гидроизол</v>
      </c>
      <c r="C17" s="968" t="str">
        <f aca="false">фундамент!B599</f>
        <v>м2</v>
      </c>
      <c r="D17" s="967" t="n">
        <f aca="false">фундамент!C599</f>
        <v>0</v>
      </c>
      <c r="E17" s="967" t="n">
        <f aca="false">фундамент!D599</f>
        <v>70</v>
      </c>
      <c r="F17" s="969"/>
      <c r="G17" s="967" t="n">
        <f aca="false">IF(F17&gt;0,D17*F17,E17*D17)</f>
        <v>0</v>
      </c>
      <c r="H17" s="970" t="n">
        <f aca="false">D17*E17*H13</f>
        <v>0</v>
      </c>
      <c r="I17" s="971" t="n">
        <f aca="false">IF(G17&gt;H17,G17,H17)*$H$13</f>
        <v>0</v>
      </c>
      <c r="J17" s="936"/>
      <c r="K17" s="937"/>
    </row>
    <row r="18" customFormat="false" ht="15.75" hidden="true" customHeight="false" outlineLevel="0" collapsed="false">
      <c r="A18" s="966"/>
      <c r="B18" s="967" t="str">
        <f aca="false">фундамент!A600</f>
        <v>Арматура стальная Ø 12</v>
      </c>
      <c r="C18" s="968" t="str">
        <f aca="false">фундамент!B600</f>
        <v>м.п</v>
      </c>
      <c r="D18" s="967" t="n">
        <f aca="false">фундамент!C600</f>
        <v>0</v>
      </c>
      <c r="E18" s="967" t="n">
        <f aca="false">фундамент!D600</f>
        <v>29.2152</v>
      </c>
      <c r="F18" s="969"/>
      <c r="G18" s="967" t="n">
        <f aca="false">IF(F18&gt;0,D18*F18,E18*D18)</f>
        <v>0</v>
      </c>
      <c r="H18" s="972" t="n">
        <f aca="false">D18*E18*H13</f>
        <v>0</v>
      </c>
      <c r="I18" s="971" t="n">
        <f aca="false">IF(G18&gt;H18,G18,H18)*$H$13</f>
        <v>0</v>
      </c>
      <c r="J18" s="936"/>
      <c r="K18" s="937"/>
    </row>
    <row r="19" customFormat="false" ht="15.75" hidden="true" customHeight="false" outlineLevel="0" collapsed="false">
      <c r="A19" s="966"/>
      <c r="B19" s="967" t="str">
        <f aca="false">фундамент!A601</f>
        <v>Нет арматуры</v>
      </c>
      <c r="C19" s="968" t="str">
        <f aca="false">фундамент!B601</f>
        <v>м.п</v>
      </c>
      <c r="D19" s="967" t="n">
        <f aca="false">фундамент!C601</f>
        <v>0</v>
      </c>
      <c r="E19" s="967" t="n">
        <f aca="false">фундамент!D601</f>
        <v>0</v>
      </c>
      <c r="F19" s="969"/>
      <c r="G19" s="967" t="n">
        <f aca="false">IF(F19&gt;0,D19*F19,E19*D19)</f>
        <v>0</v>
      </c>
      <c r="H19" s="970" t="n">
        <f aca="false">D19*E19*H13</f>
        <v>0</v>
      </c>
      <c r="I19" s="971" t="n">
        <f aca="false">IF(G19&gt;H19,G19,H19)*$H$13</f>
        <v>0</v>
      </c>
      <c r="J19" s="936"/>
      <c r="K19" s="937"/>
    </row>
    <row r="20" customFormat="false" ht="15.75" hidden="true" customHeight="false" outlineLevel="0" collapsed="false">
      <c r="A20" s="966"/>
      <c r="B20" s="967" t="str">
        <f aca="false">фундамент!A602</f>
        <v>Вязальная проволока</v>
      </c>
      <c r="C20" s="968" t="str">
        <f aca="false">фундамент!B602</f>
        <v>кг</v>
      </c>
      <c r="D20" s="967" t="n">
        <f aca="false">фундамент!C602</f>
        <v>0</v>
      </c>
      <c r="E20" s="967" t="n">
        <f aca="false">фундамент!D602</f>
        <v>80</v>
      </c>
      <c r="F20" s="969"/>
      <c r="G20" s="967" t="n">
        <f aca="false">IF(F20&gt;0,D20*F20,E20*D20)</f>
        <v>0</v>
      </c>
      <c r="H20" s="970" t="n">
        <f aca="false">D20*E20*H13</f>
        <v>0</v>
      </c>
      <c r="I20" s="971" t="n">
        <f aca="false">IF(G20&gt;H20,G20,H20)*$H$13</f>
        <v>0</v>
      </c>
      <c r="J20" s="936"/>
      <c r="K20" s="937"/>
    </row>
    <row r="21" customFormat="false" ht="15.75" hidden="true" customHeight="false" outlineLevel="0" collapsed="false">
      <c r="A21" s="966"/>
      <c r="B21" s="967" t="str">
        <f aca="false">фундамент!A603</f>
        <v>Гвозди строительные 3,5 x 90            </v>
      </c>
      <c r="C21" s="968" t="str">
        <f aca="false">фундамент!B603</f>
        <v>кг</v>
      </c>
      <c r="D21" s="967" t="n">
        <f aca="false">фундамент!C603</f>
        <v>0</v>
      </c>
      <c r="E21" s="967" t="n">
        <f aca="false">фундамент!D603</f>
        <v>70</v>
      </c>
      <c r="F21" s="969"/>
      <c r="G21" s="967" t="n">
        <f aca="false">IF(F21&gt;0,D21*F21,E21*D21)</f>
        <v>0</v>
      </c>
      <c r="H21" s="970" t="n">
        <f aca="false">D21*E21*H13</f>
        <v>0</v>
      </c>
      <c r="I21" s="971" t="n">
        <f aca="false">IF(G21&gt;H21,G21,H21)*$H$13</f>
        <v>0</v>
      </c>
      <c r="J21" s="936"/>
      <c r="K21" s="937"/>
    </row>
    <row r="22" customFormat="false" ht="15.75" hidden="true" customHeight="false" outlineLevel="0" collapsed="false">
      <c r="A22" s="966"/>
      <c r="B22" s="967" t="str">
        <f aca="false">фундамент!A604</f>
        <v>ПГС, машина 13м3</v>
      </c>
      <c r="C22" s="968" t="str">
        <f aca="false">фундамент!B604</f>
        <v>маш</v>
      </c>
      <c r="D22" s="967" t="n">
        <f aca="false">фундамент!C604</f>
        <v>0</v>
      </c>
      <c r="E22" s="967" t="n">
        <f aca="false">фундамент!D604</f>
        <v>10000</v>
      </c>
      <c r="F22" s="969"/>
      <c r="G22" s="967" t="n">
        <f aca="false">IF(F22&gt;0,D22*F22,E22*D22)</f>
        <v>0</v>
      </c>
      <c r="H22" s="970" t="n">
        <f aca="false">D22*E22*H13</f>
        <v>0</v>
      </c>
      <c r="I22" s="971" t="n">
        <f aca="false">IF(G22&gt;H22,G22,H22)*$H$13</f>
        <v>0</v>
      </c>
      <c r="J22" s="936"/>
      <c r="K22" s="937"/>
    </row>
    <row r="23" customFormat="false" ht="15.75" hidden="true" customHeight="false" outlineLevel="0" collapsed="false">
      <c r="A23" s="966"/>
      <c r="B23" s="967" t="str">
        <f aca="false">фундамент!A605</f>
        <v>Бетон, м200</v>
      </c>
      <c r="C23" s="968" t="str">
        <f aca="false">фундамент!B605</f>
        <v>м3</v>
      </c>
      <c r="D23" s="967" t="n">
        <f aca="false">фундамент!C605</f>
        <v>0</v>
      </c>
      <c r="E23" s="967" t="n">
        <f aca="false">фундамент!D605</f>
        <v>2500</v>
      </c>
      <c r="F23" s="969"/>
      <c r="G23" s="967" t="n">
        <f aca="false">IF(F23&gt;0,D23*F23,E23*D23)</f>
        <v>0</v>
      </c>
      <c r="H23" s="970" t="n">
        <f aca="false">D23*E23*H13</f>
        <v>0</v>
      </c>
      <c r="I23" s="971" t="n">
        <f aca="false">IF(G23&gt;H23,G23,H23)*$H$13</f>
        <v>0</v>
      </c>
      <c r="J23" s="936"/>
      <c r="K23" s="937"/>
    </row>
    <row r="24" customFormat="false" ht="15.75" hidden="true" customHeight="false" outlineLevel="0" collapsed="false">
      <c r="A24" s="966"/>
      <c r="B24" s="973" t="s">
        <v>2247</v>
      </c>
      <c r="C24" s="973"/>
      <c r="D24" s="973"/>
      <c r="E24" s="973"/>
      <c r="F24" s="974"/>
      <c r="G24" s="975" t="n">
        <f aca="false">SUM(G15:G23)*H13</f>
        <v>0</v>
      </c>
      <c r="H24" s="975" t="n">
        <f aca="false">SUM(H15:H23)</f>
        <v>0</v>
      </c>
      <c r="I24" s="971" t="n">
        <f aca="false">IF(G24&gt;H24,G24,H24)*$H$13</f>
        <v>0</v>
      </c>
      <c r="J24" s="936"/>
      <c r="K24" s="937"/>
    </row>
    <row r="25" customFormat="false" ht="15.75" hidden="true" customHeight="false" outlineLevel="0" collapsed="false">
      <c r="A25" s="966"/>
      <c r="B25" s="976" t="s">
        <v>2007</v>
      </c>
      <c r="C25" s="976"/>
      <c r="D25" s="976"/>
      <c r="E25" s="976"/>
      <c r="F25" s="976"/>
      <c r="G25" s="977"/>
      <c r="H25" s="962" t="n">
        <f aca="false">H13</f>
        <v>0</v>
      </c>
      <c r="I25" s="978" t="n">
        <f aca="false">H25</f>
        <v>0</v>
      </c>
      <c r="J25" s="931"/>
      <c r="K25" s="937"/>
    </row>
    <row r="26" customFormat="false" ht="15.75" hidden="true" customHeight="false" outlineLevel="0" collapsed="false">
      <c r="A26" s="979"/>
      <c r="B26" s="980" t="str">
        <f aca="false">фундамент!G597</f>
        <v>сборка опалубки</v>
      </c>
      <c r="C26" s="968" t="str">
        <f aca="false">фундамент!I597</f>
        <v>м2</v>
      </c>
      <c r="D26" s="967" t="n">
        <f aca="false">фундамент!J597</f>
        <v>0</v>
      </c>
      <c r="E26" s="968" t="n">
        <f aca="false">фундамент!K597</f>
        <v>300</v>
      </c>
      <c r="F26" s="968"/>
      <c r="G26" s="967" t="n">
        <f aca="false">IF(F26&gt;0,D26*F26,E26*D26)</f>
        <v>0</v>
      </c>
      <c r="H26" s="970" t="n">
        <f aca="false">D26*E26*H13</f>
        <v>0</v>
      </c>
      <c r="I26" s="971" t="n">
        <f aca="false">IF(G26&gt;H26,G26,H26)*$H$25</f>
        <v>0</v>
      </c>
      <c r="J26" s="936"/>
      <c r="K26" s="937"/>
    </row>
    <row r="27" customFormat="false" ht="15.75" hidden="true" customHeight="false" outlineLevel="0" collapsed="false">
      <c r="A27" s="966"/>
      <c r="B27" s="980" t="str">
        <f aca="false">фундамент!G598</f>
        <v>разборка опалубки</v>
      </c>
      <c r="C27" s="968" t="str">
        <f aca="false">фундамент!I598</f>
        <v>м2</v>
      </c>
      <c r="D27" s="967" t="n">
        <f aca="false">фундамент!J598</f>
        <v>0</v>
      </c>
      <c r="E27" s="968" t="n">
        <f aca="false">фундамент!K598</f>
        <v>100</v>
      </c>
      <c r="F27" s="968"/>
      <c r="G27" s="967" t="n">
        <f aca="false">IF(F27&gt;0,D27*F27,E27*D27)</f>
        <v>0</v>
      </c>
      <c r="H27" s="970" t="n">
        <f aca="false">D27*E27*H13</f>
        <v>0</v>
      </c>
      <c r="I27" s="971" t="n">
        <f aca="false">IF(G27&gt;H27,G27,H27)*$H$25</f>
        <v>0</v>
      </c>
      <c r="J27" s="936"/>
      <c r="K27" s="937"/>
    </row>
    <row r="28" customFormat="false" ht="15.75" hidden="true" customHeight="false" outlineLevel="0" collapsed="false">
      <c r="A28" s="966"/>
      <c r="B28" s="980" t="str">
        <f aca="false">фундамент!G599</f>
        <v>трамбовка</v>
      </c>
      <c r="C28" s="968" t="str">
        <f aca="false">фундамент!I599</f>
        <v>м2</v>
      </c>
      <c r="D28" s="967" t="n">
        <f aca="false">фундамент!J599</f>
        <v>0</v>
      </c>
      <c r="E28" s="968" t="n">
        <f aca="false">фундамент!K599</f>
        <v>600</v>
      </c>
      <c r="F28" s="968"/>
      <c r="G28" s="967" t="n">
        <f aca="false">IF(F28&gt;0,D28*F28,E28*D28)</f>
        <v>0</v>
      </c>
      <c r="H28" s="970" t="n">
        <f aca="false">D28*E28*H13</f>
        <v>0</v>
      </c>
      <c r="I28" s="971" t="n">
        <f aca="false">IF(G28&gt;H28,G28,H28)*$H$25</f>
        <v>0</v>
      </c>
      <c r="J28" s="936"/>
      <c r="K28" s="937"/>
    </row>
    <row r="29" customFormat="false" ht="15.75" hidden="true" customHeight="false" outlineLevel="0" collapsed="false">
      <c r="A29" s="966"/>
      <c r="B29" s="980" t="str">
        <f aca="false">фундамент!G600</f>
        <v>настил пленки</v>
      </c>
      <c r="C29" s="968" t="str">
        <f aca="false">фундамент!I600</f>
        <v>м2</v>
      </c>
      <c r="D29" s="967" t="n">
        <f aca="false">фундамент!J600</f>
        <v>0</v>
      </c>
      <c r="E29" s="968" t="n">
        <f aca="false">фундамент!K600</f>
        <v>10</v>
      </c>
      <c r="F29" s="968"/>
      <c r="G29" s="967" t="n">
        <f aca="false">IF(F29&gt;0,D29*F29,E29*D29)</f>
        <v>0</v>
      </c>
      <c r="H29" s="970" t="n">
        <f aca="false">D29*E29*H13</f>
        <v>0</v>
      </c>
      <c r="I29" s="971" t="n">
        <f aca="false">IF(G29&gt;H29,G29,H29)*$H$25</f>
        <v>0</v>
      </c>
      <c r="J29" s="936"/>
      <c r="K29" s="937"/>
    </row>
    <row r="30" customFormat="false" ht="15.75" hidden="true" customHeight="false" outlineLevel="0" collapsed="false">
      <c r="A30" s="966"/>
      <c r="B30" s="980" t="str">
        <f aca="false">фундамент!G601</f>
        <v>армирование</v>
      </c>
      <c r="C30" s="968" t="str">
        <f aca="false">фундамент!I601</f>
        <v>м.п</v>
      </c>
      <c r="D30" s="967" t="n">
        <f aca="false">фундамент!J601</f>
        <v>0</v>
      </c>
      <c r="E30" s="968" t="n">
        <f aca="false">фундамент!K601</f>
        <v>30</v>
      </c>
      <c r="F30" s="968"/>
      <c r="G30" s="967" t="n">
        <f aca="false">IF(F30&gt;0,D30*F30,E30*D30)</f>
        <v>0</v>
      </c>
      <c r="H30" s="970" t="n">
        <f aca="false">D30*E30*H13</f>
        <v>0</v>
      </c>
      <c r="I30" s="971" t="n">
        <f aca="false">IF(G30&gt;H30,G30,H30)*$H$25</f>
        <v>0</v>
      </c>
      <c r="J30" s="936"/>
      <c r="K30" s="937"/>
    </row>
    <row r="31" customFormat="false" ht="15.75" hidden="true" customHeight="false" outlineLevel="0" collapsed="false">
      <c r="A31" s="966"/>
      <c r="B31" s="980" t="str">
        <f aca="false">фундамент!G602</f>
        <v>армирование</v>
      </c>
      <c r="C31" s="968" t="str">
        <f aca="false">фундамент!I602</f>
        <v>м.п.</v>
      </c>
      <c r="D31" s="967" t="n">
        <f aca="false">фундамент!J602</f>
        <v>0</v>
      </c>
      <c r="E31" s="968" t="n">
        <f aca="false">фундамент!K602</f>
        <v>30</v>
      </c>
      <c r="F31" s="968"/>
      <c r="G31" s="967" t="n">
        <f aca="false">IF(F31&gt;0,D31*F31,E31*D31)</f>
        <v>0</v>
      </c>
      <c r="H31" s="970" t="n">
        <f aca="false">D31*E31*H13</f>
        <v>0</v>
      </c>
      <c r="I31" s="971" t="n">
        <f aca="false">IF(G31&gt;H31,G31,H31)*$H$25</f>
        <v>0</v>
      </c>
      <c r="J31" s="936"/>
      <c r="K31" s="937"/>
    </row>
    <row r="32" customFormat="false" ht="15.75" hidden="true" customHeight="false" outlineLevel="0" collapsed="false">
      <c r="A32" s="966"/>
      <c r="B32" s="980" t="str">
        <f aca="false">фундамент!G603</f>
        <v>настил гидроизола</v>
      </c>
      <c r="C32" s="968" t="str">
        <f aca="false">фундамент!I603</f>
        <v>м2</v>
      </c>
      <c r="D32" s="967" t="n">
        <f aca="false">фундамент!J603</f>
        <v>0</v>
      </c>
      <c r="E32" s="968" t="n">
        <f aca="false">фундамент!K603</f>
        <v>100</v>
      </c>
      <c r="F32" s="968"/>
      <c r="G32" s="967" t="n">
        <f aca="false">IF(F32&gt;0,D32*F32,E32*D32)</f>
        <v>0</v>
      </c>
      <c r="H32" s="970" t="n">
        <f aca="false">D32*E32*H13</f>
        <v>0</v>
      </c>
      <c r="I32" s="971" t="n">
        <f aca="false">IF(G32&gt;H32,G32,H32)*$H$25</f>
        <v>0</v>
      </c>
      <c r="J32" s="936"/>
      <c r="K32" s="937"/>
    </row>
    <row r="33" customFormat="false" ht="15.75" hidden="true" customHeight="false" outlineLevel="0" collapsed="false">
      <c r="A33" s="966"/>
      <c r="B33" s="980" t="str">
        <f aca="false">фундамент!G604</f>
        <v>приемка бетона</v>
      </c>
      <c r="C33" s="968" t="str">
        <f aca="false">фундамент!I604</f>
        <v>м3</v>
      </c>
      <c r="D33" s="967" t="n">
        <f aca="false">фундамент!J604</f>
        <v>0</v>
      </c>
      <c r="E33" s="968" t="n">
        <f aca="false">фундамент!K604</f>
        <v>1200</v>
      </c>
      <c r="F33" s="968"/>
      <c r="G33" s="967" t="n">
        <f aca="false">IF(F33&gt;0,D33*F33,E33*D33)</f>
        <v>0</v>
      </c>
      <c r="H33" s="970" t="n">
        <f aca="false">D33*E33*H13</f>
        <v>0</v>
      </c>
      <c r="I33" s="971" t="n">
        <f aca="false">IF(G33&gt;H33,G33,H33)*$H$25</f>
        <v>0</v>
      </c>
      <c r="J33" s="936"/>
      <c r="K33" s="937"/>
    </row>
    <row r="34" customFormat="false" ht="15.75" hidden="true" customHeight="false" outlineLevel="0" collapsed="false">
      <c r="A34" s="966"/>
      <c r="B34" s="973" t="s">
        <v>2248</v>
      </c>
      <c r="C34" s="973"/>
      <c r="D34" s="973"/>
      <c r="E34" s="973"/>
      <c r="F34" s="973"/>
      <c r="G34" s="970" t="n">
        <f aca="false">SUM(G26:G33)*H25</f>
        <v>0</v>
      </c>
      <c r="H34" s="970" t="n">
        <f aca="false">SUM(H26:H33)</f>
        <v>0</v>
      </c>
      <c r="I34" s="971" t="n">
        <f aca="false">IF(G34&gt;H34,G34,H34)*$H$25</f>
        <v>0</v>
      </c>
      <c r="J34" s="936"/>
      <c r="K34" s="937"/>
    </row>
    <row r="35" customFormat="false" ht="21" hidden="true" customHeight="false" outlineLevel="0" collapsed="false">
      <c r="A35" s="966"/>
      <c r="B35" s="981" t="s">
        <v>2249</v>
      </c>
      <c r="C35" s="981"/>
      <c r="D35" s="981"/>
      <c r="E35" s="981"/>
      <c r="F35" s="981"/>
      <c r="G35" s="977"/>
      <c r="H35" s="982" t="n">
        <f aca="false">фундамент!F514*фундамент!E537</f>
        <v>0</v>
      </c>
      <c r="I35" s="983" t="n">
        <f aca="false">H35</f>
        <v>0</v>
      </c>
      <c r="J35" s="931"/>
      <c r="K35" s="937"/>
    </row>
    <row r="36" customFormat="false" ht="15.75" hidden="true" customHeight="false" outlineLevel="0" collapsed="false">
      <c r="A36" s="979"/>
      <c r="B36" s="984" t="s">
        <v>2246</v>
      </c>
      <c r="C36" s="984"/>
      <c r="D36" s="984"/>
      <c r="E36" s="984"/>
      <c r="F36" s="984"/>
      <c r="G36" s="977"/>
      <c r="H36" s="985" t="n">
        <f aca="false">H35</f>
        <v>0</v>
      </c>
      <c r="I36" s="983" t="n">
        <f aca="false">H36</f>
        <v>0</v>
      </c>
      <c r="J36" s="931"/>
      <c r="K36" s="937"/>
    </row>
    <row r="37" customFormat="false" ht="15.75" hidden="true" customHeight="false" outlineLevel="0" collapsed="false">
      <c r="A37" s="979"/>
      <c r="B37" s="967" t="str">
        <f aca="false">фундамент!A613</f>
        <v>Скальник, 1 маш 13м3</v>
      </c>
      <c r="C37" s="968" t="str">
        <f aca="false">фундамент!B613</f>
        <v>маш</v>
      </c>
      <c r="D37" s="967" t="n">
        <f aca="false">фундамент!C613</f>
        <v>0</v>
      </c>
      <c r="E37" s="967" t="n">
        <f aca="false">фундамент!D613</f>
        <v>15000</v>
      </c>
      <c r="F37" s="967"/>
      <c r="G37" s="967" t="n">
        <f aca="false">IF(F37&gt;0,D37*F37,E37*D37)</f>
        <v>0</v>
      </c>
      <c r="H37" s="970" t="n">
        <f aca="false">D37*E37*$H$35</f>
        <v>0</v>
      </c>
      <c r="I37" s="971" t="n">
        <f aca="false">IF(G37&gt;H37,G37,H37)*$H$35</f>
        <v>0</v>
      </c>
      <c r="J37" s="936"/>
      <c r="K37" s="937"/>
    </row>
    <row r="38" customFormat="false" ht="15.75" hidden="true" customHeight="false" outlineLevel="0" collapsed="false">
      <c r="A38" s="966"/>
      <c r="B38" s="967" t="str">
        <f aca="false">фундамент!A614</f>
        <v>ПГС, машина 13м3</v>
      </c>
      <c r="C38" s="968" t="str">
        <f aca="false">фундамент!B614</f>
        <v>маш</v>
      </c>
      <c r="D38" s="967" t="n">
        <f aca="false">фундамент!C614</f>
        <v>0</v>
      </c>
      <c r="E38" s="967" t="n">
        <f aca="false">фундамент!D614</f>
        <v>10000</v>
      </c>
      <c r="F38" s="967"/>
      <c r="G38" s="967" t="n">
        <f aca="false">IF(F38&gt;0,D38*F38,E38*D38)</f>
        <v>0</v>
      </c>
      <c r="H38" s="970" t="n">
        <f aca="false">D38*E38*$H$35</f>
        <v>0</v>
      </c>
      <c r="I38" s="971" t="n">
        <f aca="false">IF(G38&gt;H38,G38,H38)*$H$35</f>
        <v>0</v>
      </c>
      <c r="J38" s="936"/>
      <c r="K38" s="937"/>
    </row>
    <row r="39" customFormat="false" ht="15.75" hidden="true" customHeight="false" outlineLevel="0" collapsed="false">
      <c r="A39" s="966"/>
      <c r="B39" s="967" t="str">
        <f aca="false">фундамент!A615</f>
        <v>Песок, машина 13м3</v>
      </c>
      <c r="C39" s="968" t="str">
        <f aca="false">фундамент!B615</f>
        <v>маш</v>
      </c>
      <c r="D39" s="967" t="n">
        <f aca="false">фундамент!C615</f>
        <v>0</v>
      </c>
      <c r="E39" s="967" t="n">
        <f aca="false">фундамент!D615</f>
        <v>12000</v>
      </c>
      <c r="F39" s="967"/>
      <c r="G39" s="967" t="n">
        <f aca="false">IF(F39&gt;0,D39*F39,E39*D39)</f>
        <v>0</v>
      </c>
      <c r="H39" s="970" t="n">
        <f aca="false">D39*E39*$H$35</f>
        <v>0</v>
      </c>
      <c r="I39" s="971" t="n">
        <f aca="false">IF(G39&gt;H39,G39,H39)*$H$35</f>
        <v>0</v>
      </c>
      <c r="J39" s="936"/>
      <c r="K39" s="937"/>
    </row>
    <row r="40" customFormat="false" ht="15.75" hidden="true" customHeight="false" outlineLevel="0" collapsed="false">
      <c r="A40" s="966"/>
      <c r="B40" s="967" t="str">
        <f aca="false">фундамент!A616</f>
        <v>Геотекстиль</v>
      </c>
      <c r="C40" s="968" t="str">
        <f aca="false">фундамент!B616</f>
        <v>м2</v>
      </c>
      <c r="D40" s="967" t="n">
        <f aca="false">фундамент!C616</f>
        <v>0</v>
      </c>
      <c r="E40" s="967" t="n">
        <f aca="false">фундамент!D616</f>
        <v>100</v>
      </c>
      <c r="F40" s="967"/>
      <c r="G40" s="967" t="n">
        <f aca="false">IF(F40&gt;0,D40*F40,E40*D40)</f>
        <v>0</v>
      </c>
      <c r="H40" s="970" t="n">
        <f aca="false">D40*E40*$H$35</f>
        <v>0</v>
      </c>
      <c r="I40" s="971" t="n">
        <f aca="false">IF(G40&gt;H40,G40,H40)*$H$35</f>
        <v>0</v>
      </c>
      <c r="J40" s="936"/>
      <c r="K40" s="937"/>
    </row>
    <row r="41" customFormat="false" ht="15.75" hidden="true" customHeight="false" outlineLevel="0" collapsed="false">
      <c r="A41" s="966"/>
      <c r="B41" s="967" t="str">
        <f aca="false">фундамент!A617</f>
        <v>Плитный,28кг/м3, технониколь, 100мм</v>
      </c>
      <c r="C41" s="968" t="str">
        <f aca="false">фундамент!B617</f>
        <v>м3</v>
      </c>
      <c r="D41" s="967" t="n">
        <f aca="false">фундамент!C617</f>
        <v>0</v>
      </c>
      <c r="E41" s="967" t="n">
        <f aca="false">фундамент!D617</f>
        <v>1700</v>
      </c>
      <c r="F41" s="967"/>
      <c r="G41" s="967" t="n">
        <f aca="false">IF(F41&gt;0,D41*F41,E41*D41)</f>
        <v>0</v>
      </c>
      <c r="H41" s="970" t="n">
        <f aca="false">D41*E41*$H$35</f>
        <v>0</v>
      </c>
      <c r="I41" s="971" t="n">
        <f aca="false">IF(G41&gt;H41,G41,H41)*$H$35</f>
        <v>0</v>
      </c>
      <c r="J41" s="936"/>
      <c r="K41" s="937"/>
    </row>
    <row r="42" customFormat="false" ht="15.75" hidden="true" customHeight="false" outlineLevel="0" collapsed="false">
      <c r="A42" s="966"/>
      <c r="B42" s="967" t="str">
        <f aca="false">фундамент!A618</f>
        <v>Пленка гидроизоляционная </v>
      </c>
      <c r="C42" s="968" t="str">
        <f aca="false">фундамент!B618</f>
        <v>м2</v>
      </c>
      <c r="D42" s="967" t="n">
        <f aca="false">фундамент!C618</f>
        <v>0</v>
      </c>
      <c r="E42" s="967" t="n">
        <f aca="false">фундамент!D618</f>
        <v>15</v>
      </c>
      <c r="F42" s="967"/>
      <c r="G42" s="967" t="n">
        <f aca="false">IF(F42&gt;0,D42*F42,E42*D42)</f>
        <v>0</v>
      </c>
      <c r="H42" s="970" t="n">
        <f aca="false">D42*E42*$H$35</f>
        <v>0</v>
      </c>
      <c r="I42" s="971" t="n">
        <f aca="false">IF(G42&gt;H42,G42,H42)*$H$35</f>
        <v>0</v>
      </c>
      <c r="J42" s="936"/>
      <c r="K42" s="937"/>
    </row>
    <row r="43" customFormat="false" ht="15.75" hidden="true" customHeight="false" outlineLevel="0" collapsed="false">
      <c r="A43" s="966"/>
      <c r="B43" s="967" t="str">
        <f aca="false">фундамент!A619</f>
        <v>Кладочная сетка, 100*100/150*150/200*200мм</v>
      </c>
      <c r="C43" s="968" t="str">
        <f aca="false">фундамент!B619</f>
        <v>м2</v>
      </c>
      <c r="D43" s="967" t="n">
        <f aca="false">фундамент!C619</f>
        <v>0</v>
      </c>
      <c r="E43" s="967" t="n">
        <f aca="false">фундамент!D619</f>
        <v>70</v>
      </c>
      <c r="F43" s="967"/>
      <c r="G43" s="967" t="n">
        <f aca="false">IF(F43&gt;0,D43*F43,E43*D43)</f>
        <v>0</v>
      </c>
      <c r="H43" s="970" t="n">
        <f aca="false">D43*E43*$H$35</f>
        <v>0</v>
      </c>
      <c r="I43" s="971" t="n">
        <f aca="false">IF(G43&gt;H43,G43,H43)*$H$35</f>
        <v>0</v>
      </c>
      <c r="J43" s="936"/>
      <c r="K43" s="937"/>
    </row>
    <row r="44" customFormat="false" ht="15.75" hidden="true" customHeight="false" outlineLevel="0" collapsed="false">
      <c r="A44" s="966"/>
      <c r="B44" s="967" t="str">
        <f aca="false">фундамент!A620</f>
        <v>Стяжки пластиковые</v>
      </c>
      <c r="C44" s="968" t="str">
        <f aca="false">фундамент!B620</f>
        <v>шт</v>
      </c>
      <c r="D44" s="967" t="n">
        <f aca="false">фундамент!C620</f>
        <v>0</v>
      </c>
      <c r="E44" s="967" t="n">
        <f aca="false">фундамент!D620</f>
        <v>2</v>
      </c>
      <c r="F44" s="967"/>
      <c r="G44" s="967" t="n">
        <f aca="false">IF(F44&gt;0,D44*F44,E44*D44)</f>
        <v>0</v>
      </c>
      <c r="H44" s="970" t="n">
        <f aca="false">D44*E44*$H$35</f>
        <v>0</v>
      </c>
      <c r="I44" s="971" t="n">
        <f aca="false">IF(G44&gt;H44,G44,H44)*$H$35</f>
        <v>0</v>
      </c>
      <c r="J44" s="936"/>
      <c r="K44" s="937"/>
    </row>
    <row r="45" customFormat="false" ht="15.75" hidden="true" customHeight="false" outlineLevel="0" collapsed="false">
      <c r="A45" s="966"/>
      <c r="B45" s="967" t="str">
        <f aca="false">фундамент!A621</f>
        <v>Стяжки пластиковые</v>
      </c>
      <c r="C45" s="968" t="str">
        <f aca="false">фундамент!B621</f>
        <v>шт</v>
      </c>
      <c r="D45" s="967" t="n">
        <f aca="false">фундамент!C621</f>
        <v>0</v>
      </c>
      <c r="E45" s="967" t="n">
        <f aca="false">фундамент!D621</f>
        <v>2</v>
      </c>
      <c r="F45" s="967"/>
      <c r="G45" s="967" t="n">
        <f aca="false">IF(F45&gt;0,D45*F45,E45*D45)</f>
        <v>0</v>
      </c>
      <c r="H45" s="970" t="n">
        <f aca="false">D45*E45*$H$35</f>
        <v>0</v>
      </c>
      <c r="I45" s="971" t="n">
        <f aca="false">IF(G45&gt;H45,G45,H45)*$H$35</f>
        <v>0</v>
      </c>
      <c r="J45" s="936"/>
      <c r="K45" s="937"/>
    </row>
    <row r="46" customFormat="false" ht="15.75" hidden="true" customHeight="false" outlineLevel="0" collapsed="false">
      <c r="A46" s="966"/>
      <c r="B46" s="967" t="str">
        <f aca="false">фундамент!A622</f>
        <v>Труба теплого пола 3</v>
      </c>
      <c r="C46" s="968" t="str">
        <f aca="false">фундамент!B622</f>
        <v>м.п</v>
      </c>
      <c r="D46" s="967" t="n">
        <f aca="false">фундамент!C622</f>
        <v>0</v>
      </c>
      <c r="E46" s="967" t="n">
        <f aca="false">фундамент!D622</f>
        <v>60</v>
      </c>
      <c r="F46" s="967"/>
      <c r="G46" s="967" t="n">
        <f aca="false">IF(F46&gt;0,D46*F46,E46*D46)</f>
        <v>0</v>
      </c>
      <c r="H46" s="970" t="n">
        <f aca="false">D46*E46*$H$35</f>
        <v>0</v>
      </c>
      <c r="I46" s="971" t="n">
        <f aca="false">IF(G46&gt;H46,G46,H46)*$H$35</f>
        <v>0</v>
      </c>
      <c r="J46" s="936"/>
      <c r="K46" s="937"/>
    </row>
    <row r="47" customFormat="false" ht="15.75" hidden="true" customHeight="false" outlineLevel="0" collapsed="false">
      <c r="A47" s="966"/>
      <c r="B47" s="967" t="str">
        <f aca="false">фундамент!A623</f>
        <v>Коллектор 6</v>
      </c>
      <c r="C47" s="968" t="str">
        <f aca="false">фундамент!B623</f>
        <v>шт</v>
      </c>
      <c r="D47" s="967" t="n">
        <f aca="false">фундамент!C623</f>
        <v>0</v>
      </c>
      <c r="E47" s="967" t="n">
        <f aca="false">фундамент!D623</f>
        <v>15000</v>
      </c>
      <c r="F47" s="967"/>
      <c r="G47" s="967" t="n">
        <f aca="false">IF(F47&gt;0,D47*F47,E47*D47)</f>
        <v>0</v>
      </c>
      <c r="H47" s="970" t="n">
        <f aca="false">D47*E47*$H$35</f>
        <v>0</v>
      </c>
      <c r="I47" s="971" t="n">
        <f aca="false">IF(G47&gt;H47,G47,H47)*$H$35</f>
        <v>0</v>
      </c>
      <c r="J47" s="936"/>
      <c r="K47" s="937"/>
    </row>
    <row r="48" customFormat="false" ht="15.75" hidden="true" customHeight="false" outlineLevel="0" collapsed="false">
      <c r="A48" s="966"/>
      <c r="B48" s="967" t="str">
        <f aca="false">фундамент!A624</f>
        <v>Арматура стальная Ø 10 </v>
      </c>
      <c r="C48" s="968" t="str">
        <f aca="false">фундамент!B624</f>
        <v>м.п.</v>
      </c>
      <c r="D48" s="967" t="n">
        <f aca="false">фундамент!C624</f>
        <v>0</v>
      </c>
      <c r="E48" s="967" t="n">
        <f aca="false">фундамент!D624</f>
        <v>21.0397</v>
      </c>
      <c r="F48" s="967"/>
      <c r="G48" s="967" t="n">
        <f aca="false">IF(F48&gt;0,D48*F48,E48*D48)</f>
        <v>0</v>
      </c>
      <c r="H48" s="970" t="n">
        <f aca="false">D48*E48*$H$35</f>
        <v>0</v>
      </c>
      <c r="I48" s="971" t="n">
        <f aca="false">IF(G48&gt;H48,G48,H48)*$H$35</f>
        <v>0</v>
      </c>
      <c r="J48" s="936"/>
      <c r="K48" s="937"/>
    </row>
    <row r="49" customFormat="false" ht="15.75" hidden="true" customHeight="false" outlineLevel="0" collapsed="false">
      <c r="A49" s="966"/>
      <c r="B49" s="967" t="str">
        <f aca="false">фундамент!A625</f>
        <v>Вязальная проволока</v>
      </c>
      <c r="C49" s="968" t="str">
        <f aca="false">фундамент!B625</f>
        <v>кг</v>
      </c>
      <c r="D49" s="967" t="n">
        <f aca="false">фундамент!C625</f>
        <v>0</v>
      </c>
      <c r="E49" s="967" t="n">
        <f aca="false">фундамент!D625</f>
        <v>80</v>
      </c>
      <c r="F49" s="967"/>
      <c r="G49" s="967" t="n">
        <f aca="false">IF(F49&gt;0,D49*F49,E49*D49)</f>
        <v>0</v>
      </c>
      <c r="H49" s="970" t="n">
        <f aca="false">D49*E49*$H$35</f>
        <v>0</v>
      </c>
      <c r="I49" s="971" t="n">
        <f aca="false">IF(G49&gt;H49,G49,H49)*$H$35</f>
        <v>0</v>
      </c>
      <c r="J49" s="936"/>
      <c r="K49" s="937"/>
    </row>
    <row r="50" customFormat="false" ht="15.75" hidden="true" customHeight="false" outlineLevel="0" collapsed="false">
      <c r="A50" s="966"/>
      <c r="B50" s="967" t="str">
        <f aca="false">фундамент!A626</f>
        <v>Подставка под арматурный каркас</v>
      </c>
      <c r="C50" s="968" t="str">
        <f aca="false">фундамент!B626</f>
        <v>шт</v>
      </c>
      <c r="D50" s="967" t="n">
        <f aca="false">фундамент!C626</f>
        <v>0</v>
      </c>
      <c r="E50" s="967" t="n">
        <f aca="false">фундамент!D626</f>
        <v>5</v>
      </c>
      <c r="F50" s="967"/>
      <c r="G50" s="967" t="n">
        <f aca="false">IF(F50&gt;0,D50*F50,E50*D50)</f>
        <v>0</v>
      </c>
      <c r="H50" s="970" t="n">
        <f aca="false">D50*E50*$H$35</f>
        <v>0</v>
      </c>
      <c r="I50" s="971" t="n">
        <f aca="false">IF(G50&gt;H50,G50,H50)*$H$35</f>
        <v>0</v>
      </c>
      <c r="J50" s="936"/>
      <c r="K50" s="937"/>
    </row>
    <row r="51" customFormat="false" ht="15.75" hidden="true" customHeight="false" outlineLevel="0" collapsed="false">
      <c r="A51" s="966"/>
      <c r="B51" s="967" t="str">
        <f aca="false">фундамент!A627</f>
        <v>труба дренажная d90 с перфорацией, в фильтре</v>
      </c>
      <c r="C51" s="968" t="str">
        <f aca="false">фундамент!B627</f>
        <v>шт</v>
      </c>
      <c r="D51" s="967" t="n">
        <f aca="false">фундамент!C627</f>
        <v>0</v>
      </c>
      <c r="E51" s="967" t="n">
        <f aca="false">фундамент!D627</f>
        <v>95</v>
      </c>
      <c r="F51" s="967"/>
      <c r="G51" s="967" t="n">
        <f aca="false">IF(F51&gt;0,D51*F51,E51*D51)</f>
        <v>0</v>
      </c>
      <c r="H51" s="970" t="n">
        <f aca="false">D51*E51*$H$35</f>
        <v>0</v>
      </c>
      <c r="I51" s="971" t="n">
        <f aca="false">IF(G51&gt;H51,G51,H51)*$H$35</f>
        <v>0</v>
      </c>
      <c r="J51" s="936"/>
      <c r="K51" s="937"/>
    </row>
    <row r="52" customFormat="false" ht="15.75" hidden="true" customHeight="false" outlineLevel="0" collapsed="false">
      <c r="A52" s="966"/>
      <c r="B52" s="967" t="str">
        <f aca="false">фундамент!A628</f>
        <v>Дренажный колодец D400</v>
      </c>
      <c r="C52" s="968" t="str">
        <f aca="false">фундамент!B628</f>
        <v>шт</v>
      </c>
      <c r="D52" s="967" t="n">
        <f aca="false">фундамент!C628</f>
        <v>0</v>
      </c>
      <c r="E52" s="967" t="n">
        <f aca="false">фундамент!D628</f>
        <v>2500</v>
      </c>
      <c r="F52" s="967"/>
      <c r="G52" s="967" t="n">
        <f aca="false">IF(F52&gt;0,D52*F52,E52*D52)</f>
        <v>0</v>
      </c>
      <c r="H52" s="970" t="n">
        <f aca="false">D52*E52*$H$35</f>
        <v>0</v>
      </c>
      <c r="I52" s="971" t="n">
        <f aca="false">IF(G52&gt;H52,G52,H52)*$H$35</f>
        <v>0</v>
      </c>
      <c r="J52" s="936"/>
      <c r="K52" s="937"/>
    </row>
    <row r="53" customFormat="false" ht="15.75" hidden="true" customHeight="false" outlineLevel="0" collapsed="false">
      <c r="A53" s="966"/>
      <c r="B53" s="967" t="str">
        <f aca="false">фундамент!A629</f>
        <v>Демпферная лента</v>
      </c>
      <c r="C53" s="968" t="str">
        <f aca="false">фундамент!B629</f>
        <v>м.п.</v>
      </c>
      <c r="D53" s="967" t="n">
        <f aca="false">фундамент!C629</f>
        <v>0</v>
      </c>
      <c r="E53" s="967" t="n">
        <f aca="false">фундамент!D629</f>
        <v>50</v>
      </c>
      <c r="F53" s="967"/>
      <c r="G53" s="967" t="n">
        <f aca="false">IF(F53&gt;0,D53*F53,E53*D53)</f>
        <v>0</v>
      </c>
      <c r="H53" s="970" t="n">
        <f aca="false">D53*E53*$H$35</f>
        <v>0</v>
      </c>
      <c r="I53" s="971" t="n">
        <f aca="false">IF(G53&gt;H53,G53,H53)*$H$35</f>
        <v>0</v>
      </c>
      <c r="J53" s="936"/>
      <c r="K53" s="937"/>
    </row>
    <row r="54" customFormat="false" ht="15.75" hidden="true" customHeight="false" outlineLevel="0" collapsed="false">
      <c r="A54" s="966"/>
      <c r="B54" s="967" t="str">
        <f aca="false">фундамент!A630</f>
        <v>Бетон, м350</v>
      </c>
      <c r="C54" s="968" t="str">
        <f aca="false">фундамент!B630</f>
        <v>м3</v>
      </c>
      <c r="D54" s="967" t="n">
        <f aca="false">фундамент!C630</f>
        <v>0</v>
      </c>
      <c r="E54" s="967" t="n">
        <f aca="false">фундамент!D630</f>
        <v>3500</v>
      </c>
      <c r="F54" s="967"/>
      <c r="G54" s="967" t="n">
        <f aca="false">IF(F54&gt;0,D54*F54,E54*D54)</f>
        <v>0</v>
      </c>
      <c r="H54" s="970" t="n">
        <f aca="false">D54*E54*$H$35</f>
        <v>0</v>
      </c>
      <c r="I54" s="971" t="n">
        <f aca="false">IF(G54&gt;H54,G54,H54)*$H$35</f>
        <v>0</v>
      </c>
      <c r="J54" s="936"/>
      <c r="K54" s="937"/>
    </row>
    <row r="55" customFormat="false" ht="15.75" hidden="true" customHeight="false" outlineLevel="0" collapsed="false">
      <c r="A55" s="966"/>
      <c r="B55" s="973" t="s">
        <v>2247</v>
      </c>
      <c r="C55" s="973"/>
      <c r="D55" s="973"/>
      <c r="E55" s="973"/>
      <c r="F55" s="973"/>
      <c r="G55" s="975" t="n">
        <f aca="false">SUM(G37:G54)*H35</f>
        <v>0</v>
      </c>
      <c r="H55" s="975" t="n">
        <f aca="false">SUM(H37:H54)</f>
        <v>0</v>
      </c>
      <c r="I55" s="971" t="n">
        <f aca="false">IF(G55&gt;H55,G55,H55)*$H$35</f>
        <v>0</v>
      </c>
      <c r="J55" s="936"/>
      <c r="K55" s="937"/>
    </row>
    <row r="56" customFormat="false" ht="15.75" hidden="true" customHeight="false" outlineLevel="0" collapsed="false">
      <c r="A56" s="966"/>
      <c r="B56" s="976" t="s">
        <v>2007</v>
      </c>
      <c r="C56" s="976"/>
      <c r="D56" s="976"/>
      <c r="E56" s="976"/>
      <c r="F56" s="976"/>
      <c r="G56" s="977"/>
      <c r="H56" s="962" t="n">
        <f aca="false">H35</f>
        <v>0</v>
      </c>
      <c r="I56" s="983" t="n">
        <f aca="false">H56</f>
        <v>0</v>
      </c>
      <c r="J56" s="931"/>
      <c r="K56" s="937"/>
    </row>
    <row r="57" customFormat="false" ht="15.75" hidden="true" customHeight="false" outlineLevel="0" collapsed="false">
      <c r="A57" s="979"/>
      <c r="B57" s="980" t="str">
        <f aca="false">фундамент!G613</f>
        <v>трамбовка скальник</v>
      </c>
      <c r="C57" s="968" t="str">
        <f aca="false">фундамент!I613</f>
        <v>м2</v>
      </c>
      <c r="D57" s="967" t="n">
        <f aca="false">фундамент!J613</f>
        <v>0</v>
      </c>
      <c r="E57" s="986" t="n">
        <f aca="false">фундамент!K613</f>
        <v>400</v>
      </c>
      <c r="F57" s="986"/>
      <c r="G57" s="967" t="n">
        <f aca="false">IF(F57&gt;0,D57*F57,E57*D57)</f>
        <v>0</v>
      </c>
      <c r="H57" s="970" t="n">
        <f aca="false">D57*E57*$H$35</f>
        <v>0</v>
      </c>
      <c r="I57" s="971" t="n">
        <f aca="false">IF(G57&gt;H57,G57,H57)*$H$56</f>
        <v>0</v>
      </c>
      <c r="J57" s="936"/>
      <c r="K57" s="937"/>
    </row>
    <row r="58" customFormat="false" ht="15.75" hidden="true" customHeight="false" outlineLevel="0" collapsed="false">
      <c r="A58" s="966"/>
      <c r="B58" s="980" t="str">
        <f aca="false">фундамент!G614</f>
        <v>трамбовка пгс</v>
      </c>
      <c r="C58" s="968" t="str">
        <f aca="false">фундамент!I614</f>
        <v>м2</v>
      </c>
      <c r="D58" s="967" t="n">
        <f aca="false">фундамент!J614</f>
        <v>0</v>
      </c>
      <c r="E58" s="986" t="n">
        <f aca="false">фундамент!K614</f>
        <v>600</v>
      </c>
      <c r="F58" s="986"/>
      <c r="G58" s="967" t="n">
        <f aca="false">IF(F58&gt;0,D58*F58,E58*D58)</f>
        <v>0</v>
      </c>
      <c r="H58" s="970" t="n">
        <f aca="false">D58*E58*$H$35</f>
        <v>0</v>
      </c>
      <c r="I58" s="971" t="n">
        <f aca="false">IF(G58&gt;H58,G58,H58)*$H$56</f>
        <v>0</v>
      </c>
      <c r="J58" s="936"/>
      <c r="K58" s="937"/>
    </row>
    <row r="59" customFormat="false" ht="15.75" hidden="true" customHeight="false" outlineLevel="0" collapsed="false">
      <c r="A59" s="966"/>
      <c r="B59" s="980" t="str">
        <f aca="false">фундамент!G615</f>
        <v>трамбовка песок</v>
      </c>
      <c r="C59" s="968" t="str">
        <f aca="false">фундамент!I615</f>
        <v>м2</v>
      </c>
      <c r="D59" s="967" t="n">
        <f aca="false">фундамент!J615</f>
        <v>0</v>
      </c>
      <c r="E59" s="986" t="n">
        <f aca="false">фундамент!K615</f>
        <v>350</v>
      </c>
      <c r="F59" s="986"/>
      <c r="G59" s="967" t="n">
        <f aca="false">IF(F59&gt;0,D59*F59,E59*D59)</f>
        <v>0</v>
      </c>
      <c r="H59" s="970" t="n">
        <f aca="false">D59*E59*$H$35</f>
        <v>0</v>
      </c>
      <c r="I59" s="971" t="n">
        <f aca="false">IF(G59&gt;H59,G59,H59)*$H$56</f>
        <v>0</v>
      </c>
      <c r="J59" s="936"/>
      <c r="K59" s="937"/>
    </row>
    <row r="60" customFormat="false" ht="15.75" hidden="true" customHeight="false" outlineLevel="0" collapsed="false">
      <c r="A60" s="966"/>
      <c r="B60" s="980" t="str">
        <f aca="false">фундамент!G616</f>
        <v>укладка геотекстиля</v>
      </c>
      <c r="C60" s="968" t="str">
        <f aca="false">фундамент!I616</f>
        <v>м2</v>
      </c>
      <c r="D60" s="967" t="n">
        <f aca="false">фундамент!J616</f>
        <v>0</v>
      </c>
      <c r="E60" s="986" t="n">
        <f aca="false">фундамент!K616</f>
        <v>200</v>
      </c>
      <c r="F60" s="986"/>
      <c r="G60" s="967" t="n">
        <f aca="false">IF(F60&gt;0,D60*F60,E60*D60)</f>
        <v>0</v>
      </c>
      <c r="H60" s="970" t="n">
        <f aca="false">D60*E60*$H$35</f>
        <v>0</v>
      </c>
      <c r="I60" s="971" t="n">
        <f aca="false">IF(G60&gt;H60,G60,H60)*$H$56</f>
        <v>0</v>
      </c>
      <c r="J60" s="936"/>
      <c r="K60" s="937"/>
    </row>
    <row r="61" customFormat="false" ht="15.75" hidden="true" customHeight="false" outlineLevel="0" collapsed="false">
      <c r="A61" s="966"/>
      <c r="B61" s="980" t="str">
        <f aca="false">фундамент!G617</f>
        <v>укладка карбона</v>
      </c>
      <c r="C61" s="968" t="str">
        <f aca="false">фундамент!I617</f>
        <v>м2</v>
      </c>
      <c r="D61" s="967" t="n">
        <f aca="false">фундамент!J617</f>
        <v>0</v>
      </c>
      <c r="E61" s="986" t="n">
        <f aca="false">фундамент!K617</f>
        <v>200</v>
      </c>
      <c r="F61" s="986"/>
      <c r="G61" s="967" t="n">
        <f aca="false">IF(F61&gt;0,D61*F61,E61*D61)</f>
        <v>0</v>
      </c>
      <c r="H61" s="970" t="n">
        <f aca="false">D61*E61*$H$35</f>
        <v>0</v>
      </c>
      <c r="I61" s="971" t="n">
        <f aca="false">IF(G61&gt;H61,G61,H61)*$H$56</f>
        <v>0</v>
      </c>
      <c r="J61" s="936"/>
      <c r="K61" s="937"/>
    </row>
    <row r="62" customFormat="false" ht="15.75" hidden="true" customHeight="false" outlineLevel="0" collapsed="false">
      <c r="A62" s="966"/>
      <c r="B62" s="980" t="str">
        <f aca="false">фундамент!G618</f>
        <v>укладка пленки</v>
      </c>
      <c r="C62" s="968" t="str">
        <f aca="false">фундамент!I618</f>
        <v>м2</v>
      </c>
      <c r="D62" s="967" t="n">
        <f aca="false">фундамент!J618</f>
        <v>0</v>
      </c>
      <c r="E62" s="986" t="n">
        <f aca="false">фундамент!K618</f>
        <v>10</v>
      </c>
      <c r="F62" s="986"/>
      <c r="G62" s="967" t="n">
        <f aca="false">IF(F62&gt;0,D62*F62,E62*D62)</f>
        <v>0</v>
      </c>
      <c r="H62" s="970" t="n">
        <f aca="false">D62*E62*$H$35</f>
        <v>0</v>
      </c>
      <c r="I62" s="971" t="n">
        <f aca="false">IF(G62&gt;H62,G62,H62)*$H$56</f>
        <v>0</v>
      </c>
      <c r="J62" s="936"/>
      <c r="K62" s="937"/>
    </row>
    <row r="63" customFormat="false" ht="15.75" hidden="true" customHeight="false" outlineLevel="0" collapsed="false">
      <c r="A63" s="966"/>
      <c r="B63" s="980" t="str">
        <f aca="false">фундамент!G619</f>
        <v>укладка сетки</v>
      </c>
      <c r="C63" s="968" t="str">
        <f aca="false">фундамент!I619</f>
        <v>м2</v>
      </c>
      <c r="D63" s="967" t="n">
        <f aca="false">фундамент!J619</f>
        <v>0</v>
      </c>
      <c r="E63" s="986" t="n">
        <f aca="false">фундамент!K619</f>
        <v>100</v>
      </c>
      <c r="F63" s="986"/>
      <c r="G63" s="967" t="n">
        <f aca="false">IF(F63&gt;0,D63*F63,E63*D63)</f>
        <v>0</v>
      </c>
      <c r="H63" s="970" t="n">
        <f aca="false">D63*E63*$H$35</f>
        <v>0</v>
      </c>
      <c r="I63" s="971" t="n">
        <f aca="false">IF(G63&gt;H63,G63,H63)*$H$56</f>
        <v>0</v>
      </c>
      <c r="J63" s="936"/>
      <c r="K63" s="937"/>
    </row>
    <row r="64" customFormat="false" ht="15.75" hidden="true" customHeight="false" outlineLevel="0" collapsed="false">
      <c r="A64" s="966"/>
      <c r="B64" s="980" t="str">
        <f aca="false">фундамент!G620</f>
        <v>укладка теп. Пола</v>
      </c>
      <c r="C64" s="968" t="str">
        <f aca="false">фундамент!I620</f>
        <v>м2</v>
      </c>
      <c r="D64" s="967" t="n">
        <f aca="false">фундамент!J620</f>
        <v>0</v>
      </c>
      <c r="E64" s="986" t="n">
        <f aca="false">фундамент!K620</f>
        <v>600</v>
      </c>
      <c r="F64" s="986"/>
      <c r="G64" s="967" t="n">
        <f aca="false">IF(F64&gt;0,D64*F64,E64*D64)</f>
        <v>0</v>
      </c>
      <c r="H64" s="970" t="n">
        <f aca="false">D64*E64*$H$35</f>
        <v>0</v>
      </c>
      <c r="I64" s="971" t="n">
        <f aca="false">IF(G64&gt;H64,G64,H64)*$H$56</f>
        <v>0</v>
      </c>
      <c r="J64" s="936"/>
      <c r="K64" s="937"/>
    </row>
    <row r="65" customFormat="false" ht="15.75" hidden="true" customHeight="false" outlineLevel="0" collapsed="false">
      <c r="A65" s="966"/>
      <c r="B65" s="980" t="str">
        <f aca="false">фундамент!G621</f>
        <v>монтаж коллектора</v>
      </c>
      <c r="C65" s="968" t="str">
        <f aca="false">фундамент!I621</f>
        <v>шт</v>
      </c>
      <c r="D65" s="967" t="n">
        <f aca="false">фундамент!J621</f>
        <v>0</v>
      </c>
      <c r="E65" s="986" t="n">
        <f aca="false">фундамент!K621</f>
        <v>1000</v>
      </c>
      <c r="F65" s="986"/>
      <c r="G65" s="967" t="n">
        <f aca="false">IF(F65&gt;0,D65*F65,E65*D65)</f>
        <v>0</v>
      </c>
      <c r="H65" s="970" t="n">
        <f aca="false">D65*E65*$H$35</f>
        <v>0</v>
      </c>
      <c r="I65" s="971" t="n">
        <f aca="false">IF(G65&gt;H65,G65,H65)*$H$56</f>
        <v>0</v>
      </c>
      <c r="J65" s="936"/>
      <c r="K65" s="937"/>
    </row>
    <row r="66" customFormat="false" ht="15.75" hidden="true" customHeight="false" outlineLevel="0" collapsed="false">
      <c r="A66" s="966"/>
      <c r="B66" s="980" t="str">
        <f aca="false">фундамент!G622</f>
        <v>армирование </v>
      </c>
      <c r="C66" s="968" t="str">
        <f aca="false">фундамент!I622</f>
        <v>м2</v>
      </c>
      <c r="D66" s="967" t="n">
        <f aca="false">фундамент!J622</f>
        <v>0</v>
      </c>
      <c r="E66" s="986" t="n">
        <f aca="false">фундамент!K622</f>
        <v>300</v>
      </c>
      <c r="F66" s="986"/>
      <c r="G66" s="967" t="n">
        <f aca="false">IF(F66&gt;0,D66*F66,E66*D66)</f>
        <v>0</v>
      </c>
      <c r="H66" s="970" t="n">
        <f aca="false">D66*E66*$H$35</f>
        <v>0</v>
      </c>
      <c r="I66" s="971" t="n">
        <f aca="false">IF(G66&gt;H66,G66,H66)*$H$56</f>
        <v>0</v>
      </c>
      <c r="J66" s="936"/>
      <c r="K66" s="937"/>
    </row>
    <row r="67" customFormat="false" ht="15.75" hidden="true" customHeight="false" outlineLevel="0" collapsed="false">
      <c r="A67" s="966"/>
      <c r="B67" s="980" t="str">
        <f aca="false">фундамент!G623</f>
        <v>монтаж дренажн труб</v>
      </c>
      <c r="C67" s="968" t="str">
        <f aca="false">фундамент!I623</f>
        <v>м.п.</v>
      </c>
      <c r="D67" s="967" t="n">
        <f aca="false">фундамент!J623</f>
        <v>0</v>
      </c>
      <c r="E67" s="986" t="n">
        <f aca="false">фундамент!K623</f>
        <v>200</v>
      </c>
      <c r="F67" s="986"/>
      <c r="G67" s="967" t="n">
        <f aca="false">IF(F67&gt;0,D67*F67,E67*D67)</f>
        <v>0</v>
      </c>
      <c r="H67" s="970" t="n">
        <f aca="false">D67*E67*$H$35</f>
        <v>0</v>
      </c>
      <c r="I67" s="971" t="n">
        <f aca="false">IF(G67&gt;H67,G67,H67)*$H$56</f>
        <v>0</v>
      </c>
      <c r="J67" s="936"/>
      <c r="K67" s="937"/>
    </row>
    <row r="68" customFormat="false" ht="15.75" hidden="true" customHeight="false" outlineLevel="0" collapsed="false">
      <c r="A68" s="966"/>
      <c r="B68" s="980" t="str">
        <f aca="false">фундамент!G624</f>
        <v>монтаж дренаж колодец</v>
      </c>
      <c r="C68" s="968" t="str">
        <f aca="false">фундамент!I624</f>
        <v>шт</v>
      </c>
      <c r="D68" s="967" t="n">
        <f aca="false">фундамент!J624</f>
        <v>0</v>
      </c>
      <c r="E68" s="986" t="n">
        <f aca="false">фундамент!K624</f>
        <v>300</v>
      </c>
      <c r="F68" s="986"/>
      <c r="G68" s="967" t="n">
        <f aca="false">IF(F68&gt;0,D68*F68,E68*D68)</f>
        <v>0</v>
      </c>
      <c r="H68" s="970" t="n">
        <f aca="false">D68*E68*$H$35</f>
        <v>0</v>
      </c>
      <c r="I68" s="971" t="n">
        <f aca="false">IF(G68&gt;H68,G68,H68)*$H$56</f>
        <v>0</v>
      </c>
      <c r="J68" s="936"/>
      <c r="K68" s="937"/>
    </row>
    <row r="69" customFormat="false" ht="15.75" hidden="true" customHeight="false" outlineLevel="0" collapsed="false">
      <c r="A69" s="966"/>
      <c r="B69" s="980" t="str">
        <f aca="false">фундамент!G625</f>
        <v>приемка бетона на пол</v>
      </c>
      <c r="C69" s="968" t="str">
        <f aca="false">фундамент!I625</f>
        <v>м2</v>
      </c>
      <c r="D69" s="967" t="n">
        <f aca="false">фундамент!J625</f>
        <v>0</v>
      </c>
      <c r="E69" s="986" t="n">
        <f aca="false">фундамент!K625</f>
        <v>350</v>
      </c>
      <c r="F69" s="986"/>
      <c r="G69" s="967" t="n">
        <f aca="false">IF(F69&gt;0,D69*F69,E69*D69)</f>
        <v>0</v>
      </c>
      <c r="H69" s="970" t="n">
        <f aca="false">D69*E69*$H$35</f>
        <v>0</v>
      </c>
      <c r="I69" s="971" t="n">
        <f aca="false">IF(G69&gt;H69,G69,H69)*$H$56</f>
        <v>0</v>
      </c>
      <c r="J69" s="936"/>
      <c r="K69" s="937"/>
    </row>
    <row r="70" customFormat="false" ht="15.75" hidden="true" customHeight="false" outlineLevel="0" collapsed="false">
      <c r="A70" s="966"/>
      <c r="B70" s="980" t="str">
        <f aca="false">фундамент!G626</f>
        <v>демпферная лента</v>
      </c>
      <c r="C70" s="968" t="str">
        <f aca="false">фундамент!I626</f>
        <v>м.п.</v>
      </c>
      <c r="D70" s="967" t="n">
        <f aca="false">фундамент!J626</f>
        <v>0</v>
      </c>
      <c r="E70" s="986" t="n">
        <f aca="false">фундамент!K626</f>
        <v>100</v>
      </c>
      <c r="F70" s="986"/>
      <c r="G70" s="967" t="n">
        <f aca="false">IF(F70&gt;0,D70*F70,E70*D70)</f>
        <v>0</v>
      </c>
      <c r="H70" s="970" t="n">
        <f aca="false">D70*E70*$H$35</f>
        <v>0</v>
      </c>
      <c r="I70" s="971" t="n">
        <f aca="false">IF(G70&gt;H70,G70,H70)*$H$56</f>
        <v>0</v>
      </c>
      <c r="J70" s="936"/>
      <c r="K70" s="937"/>
    </row>
    <row r="71" customFormat="false" ht="15.75" hidden="true" customHeight="false" outlineLevel="0" collapsed="false">
      <c r="A71" s="966"/>
      <c r="B71" s="973" t="s">
        <v>2248</v>
      </c>
      <c r="C71" s="973"/>
      <c r="D71" s="973"/>
      <c r="E71" s="973"/>
      <c r="F71" s="973"/>
      <c r="G71" s="970" t="n">
        <f aca="false">SUM(G57:G70)*H56</f>
        <v>0</v>
      </c>
      <c r="H71" s="970" t="n">
        <f aca="false">SUM(H57:H70)</f>
        <v>0</v>
      </c>
      <c r="I71" s="971" t="n">
        <f aca="false">IF(G71&gt;H71,G71,H71)*$H$56</f>
        <v>0</v>
      </c>
      <c r="J71" s="936"/>
      <c r="K71" s="937"/>
    </row>
    <row r="72" customFormat="false" ht="21" hidden="true" customHeight="false" outlineLevel="0" collapsed="false">
      <c r="A72" s="966"/>
      <c r="B72" s="981" t="s">
        <v>2250</v>
      </c>
      <c r="C72" s="981"/>
      <c r="D72" s="981"/>
      <c r="E72" s="981"/>
      <c r="F72" s="981"/>
      <c r="G72" s="977"/>
      <c r="H72" s="982" t="n">
        <f aca="false">фундамент!F514*фундамент!E517</f>
        <v>0</v>
      </c>
      <c r="I72" s="983" t="n">
        <f aca="false">H72</f>
        <v>0</v>
      </c>
      <c r="J72" s="931"/>
      <c r="K72" s="937"/>
    </row>
    <row r="73" customFormat="false" ht="15.75" hidden="true" customHeight="false" outlineLevel="0" collapsed="false">
      <c r="A73" s="979"/>
      <c r="B73" s="987" t="s">
        <v>2246</v>
      </c>
      <c r="C73" s="987"/>
      <c r="D73" s="987"/>
      <c r="E73" s="987"/>
      <c r="F73" s="987"/>
      <c r="G73" s="977"/>
      <c r="H73" s="985" t="n">
        <f aca="false">H72</f>
        <v>0</v>
      </c>
      <c r="I73" s="983" t="n">
        <f aca="false">H73</f>
        <v>0</v>
      </c>
      <c r="J73" s="931"/>
      <c r="K73" s="937"/>
    </row>
    <row r="74" customFormat="false" ht="15.75" hidden="true" customHeight="false" outlineLevel="0" collapsed="false">
      <c r="A74" s="979"/>
      <c r="B74" s="980" t="str">
        <f aca="false">фундамент!A638</f>
        <v>Праймер для обработки </v>
      </c>
      <c r="C74" s="968" t="str">
        <f aca="false">фундамент!B638</f>
        <v>л</v>
      </c>
      <c r="D74" s="967" t="n">
        <f aca="false">фундамент!C638</f>
        <v>0</v>
      </c>
      <c r="E74" s="986" t="n">
        <f aca="false">фундамент!D638</f>
        <v>100</v>
      </c>
      <c r="F74" s="986"/>
      <c r="G74" s="967" t="n">
        <f aca="false">IF(F74&gt;0,D74*F74,E74*D74)</f>
        <v>0</v>
      </c>
      <c r="H74" s="975" t="n">
        <f aca="false">D74*E74*$H$73</f>
        <v>0</v>
      </c>
      <c r="I74" s="971" t="n">
        <f aca="false">IF(G74&gt;H74,G74,H74)*$H$72</f>
        <v>0</v>
      </c>
      <c r="J74" s="936"/>
      <c r="K74" s="937"/>
    </row>
    <row r="75" customFormat="false" ht="15.75" hidden="true" customHeight="false" outlineLevel="0" collapsed="false">
      <c r="A75" s="966"/>
      <c r="B75" s="980" t="str">
        <f aca="false">фундамент!A639</f>
        <v>Гидроизол</v>
      </c>
      <c r="C75" s="968" t="str">
        <f aca="false">фундамент!B639</f>
        <v>м2</v>
      </c>
      <c r="D75" s="967" t="n">
        <f aca="false">фундамент!C639</f>
        <v>0</v>
      </c>
      <c r="E75" s="986" t="n">
        <f aca="false">фундамент!D639</f>
        <v>70</v>
      </c>
      <c r="F75" s="986"/>
      <c r="G75" s="967" t="n">
        <f aca="false">IF(F75&gt;0,D75*F75,E75*D75)</f>
        <v>0</v>
      </c>
      <c r="H75" s="975" t="n">
        <f aca="false">D75*E75*$H$73</f>
        <v>0</v>
      </c>
      <c r="I75" s="971" t="n">
        <f aca="false">IF(G75&gt;H75,G75,H75)*$H$72</f>
        <v>0</v>
      </c>
      <c r="J75" s="936"/>
      <c r="K75" s="937"/>
    </row>
    <row r="76" customFormat="false" ht="15.75" hidden="true" customHeight="false" outlineLevel="0" collapsed="false">
      <c r="A76" s="966"/>
      <c r="B76" s="980" t="str">
        <f aca="false">фундамент!A640</f>
        <v>Мастика битумная</v>
      </c>
      <c r="C76" s="968" t="str">
        <f aca="false">фундамент!B640</f>
        <v>кг</v>
      </c>
      <c r="D76" s="967" t="n">
        <f aca="false">фундамент!C640</f>
        <v>0</v>
      </c>
      <c r="E76" s="986" t="n">
        <f aca="false">фундамент!D640</f>
        <v>100</v>
      </c>
      <c r="F76" s="986"/>
      <c r="G76" s="967" t="n">
        <f aca="false">IF(F76&gt;0,D76*F76,E76*D76)</f>
        <v>0</v>
      </c>
      <c r="H76" s="975" t="n">
        <f aca="false">D76*E76*$H$73</f>
        <v>0</v>
      </c>
      <c r="I76" s="971" t="n">
        <f aca="false">IF(G76&gt;H76,G76,H76)*$H$72</f>
        <v>0</v>
      </c>
      <c r="J76" s="936"/>
      <c r="K76" s="937"/>
    </row>
    <row r="77" customFormat="false" ht="15.75" hidden="true" customHeight="false" outlineLevel="0" collapsed="false">
      <c r="A77" s="966"/>
      <c r="B77" s="980" t="str">
        <f aca="false">фундамент!A641</f>
        <v>Блоки ФБС</v>
      </c>
      <c r="C77" s="968" t="str">
        <f aca="false">фундамент!B641</f>
        <v>м3</v>
      </c>
      <c r="D77" s="967" t="n">
        <f aca="false">фундамент!C641</f>
        <v>0</v>
      </c>
      <c r="E77" s="986" t="n">
        <f aca="false">фундамент!D641</f>
        <v>1200</v>
      </c>
      <c r="F77" s="986"/>
      <c r="G77" s="967" t="n">
        <f aca="false">IF(F77&gt;0,D77*F77,E77*D77)</f>
        <v>0</v>
      </c>
      <c r="H77" s="975" t="n">
        <f aca="false">D77*E77*$H$73</f>
        <v>0</v>
      </c>
      <c r="I77" s="971" t="n">
        <f aca="false">IF(G77&gt;H77,G77,H77)*$H$72</f>
        <v>0</v>
      </c>
      <c r="J77" s="936"/>
      <c r="K77" s="937"/>
    </row>
    <row r="78" customFormat="false" ht="15.75" hidden="true" customHeight="false" outlineLevel="0" collapsed="false">
      <c r="A78" s="966"/>
      <c r="B78" s="980" t="str">
        <f aca="false">фундамент!A642</f>
        <v>Кладочная сетка, 100*100/150*150/200*200мм</v>
      </c>
      <c r="C78" s="968" t="str">
        <f aca="false">фундамент!B642</f>
        <v>м2</v>
      </c>
      <c r="D78" s="967" t="n">
        <f aca="false">фундамент!C642</f>
        <v>0</v>
      </c>
      <c r="E78" s="986" t="n">
        <f aca="false">фундамент!D642</f>
        <v>70</v>
      </c>
      <c r="F78" s="986"/>
      <c r="G78" s="967" t="n">
        <f aca="false">IF(F78&gt;0,D78*F78,E78*D78)</f>
        <v>0</v>
      </c>
      <c r="H78" s="975" t="n">
        <f aca="false">D78*E78*$H$73</f>
        <v>0</v>
      </c>
      <c r="I78" s="971" t="n">
        <f aca="false">IF(G78&gt;H78,G78,H78)*$H$72</f>
        <v>0</v>
      </c>
      <c r="J78" s="936"/>
      <c r="K78" s="937"/>
    </row>
    <row r="79" customFormat="false" ht="15.75" hidden="true" customHeight="false" outlineLevel="0" collapsed="false">
      <c r="A79" s="966"/>
      <c r="B79" s="980" t="str">
        <f aca="false">фундамент!A643</f>
        <v>Вязальная проволока</v>
      </c>
      <c r="C79" s="968" t="str">
        <f aca="false">фундамент!B643</f>
        <v>кг</v>
      </c>
      <c r="D79" s="967" t="n">
        <f aca="false">фундамент!C643</f>
        <v>0</v>
      </c>
      <c r="E79" s="986" t="n">
        <f aca="false">фундамент!D643</f>
        <v>80</v>
      </c>
      <c r="F79" s="986"/>
      <c r="G79" s="967" t="n">
        <f aca="false">IF(F79&gt;0,D79*F79,E79*D79)</f>
        <v>0</v>
      </c>
      <c r="H79" s="975" t="n">
        <f aca="false">D79*E79*$H$73</f>
        <v>0</v>
      </c>
      <c r="I79" s="971" t="n">
        <f aca="false">IF(G79&gt;H79,G79,H79)*$H$72</f>
        <v>0</v>
      </c>
      <c r="J79" s="936"/>
      <c r="K79" s="937"/>
    </row>
    <row r="80" customFormat="false" ht="15.75" hidden="true" customHeight="false" outlineLevel="0" collapsed="false">
      <c r="A80" s="966"/>
      <c r="B80" s="980" t="str">
        <f aca="false">фундамент!A644</f>
        <v>Раствор, м250</v>
      </c>
      <c r="C80" s="968" t="str">
        <f aca="false">фундамент!B644</f>
        <v>м3</v>
      </c>
      <c r="D80" s="967" t="n">
        <f aca="false">фундамент!C644</f>
        <v>0</v>
      </c>
      <c r="E80" s="986" t="n">
        <f aca="false">фундамент!D644</f>
        <v>2500</v>
      </c>
      <c r="F80" s="986"/>
      <c r="G80" s="967" t="n">
        <f aca="false">IF(F80&gt;0,D80*F80,E80*D80)</f>
        <v>0</v>
      </c>
      <c r="H80" s="975" t="n">
        <f aca="false">D80*E80*$H$73</f>
        <v>0</v>
      </c>
      <c r="I80" s="971" t="n">
        <f aca="false">IF(G80&gt;H80,G80,H80)*$H$72</f>
        <v>0</v>
      </c>
      <c r="J80" s="936"/>
      <c r="K80" s="937"/>
    </row>
    <row r="81" customFormat="false" ht="15.75" hidden="true" customHeight="false" outlineLevel="0" collapsed="false">
      <c r="A81" s="966"/>
      <c r="B81" s="980" t="str">
        <f aca="false">фундамент!A645</f>
        <v>Сосна влаж,150*40мм</v>
      </c>
      <c r="C81" s="968" t="str">
        <f aca="false">фундамент!B645</f>
        <v>м3</v>
      </c>
      <c r="D81" s="967" t="n">
        <f aca="false">фундамент!C645</f>
        <v>0</v>
      </c>
      <c r="E81" s="986" t="n">
        <f aca="false">фундамент!D645</f>
        <v>6500</v>
      </c>
      <c r="F81" s="986"/>
      <c r="G81" s="967" t="n">
        <f aca="false">IF(F81&gt;0,D81*F81,E81*D81)</f>
        <v>0</v>
      </c>
      <c r="H81" s="975" t="n">
        <f aca="false">D81*E81*$H$73</f>
        <v>0</v>
      </c>
      <c r="I81" s="971" t="n">
        <f aca="false">IF(G81&gt;H81,G81,H81)*$H$72</f>
        <v>0</v>
      </c>
      <c r="J81" s="936"/>
      <c r="K81" s="937"/>
    </row>
    <row r="82" customFormat="false" ht="15.75" hidden="true" customHeight="false" outlineLevel="0" collapsed="false">
      <c r="A82" s="966"/>
      <c r="B82" s="980" t="str">
        <f aca="false">фундамент!A646</f>
        <v>Арматура стальная Ø 10 </v>
      </c>
      <c r="C82" s="968" t="str">
        <f aca="false">фундамент!B646</f>
        <v>м.п.</v>
      </c>
      <c r="D82" s="967" t="n">
        <f aca="false">фундамент!C646</f>
        <v>0</v>
      </c>
      <c r="E82" s="986" t="n">
        <f aca="false">фундамент!D646</f>
        <v>21.0397</v>
      </c>
      <c r="F82" s="986"/>
      <c r="G82" s="967" t="n">
        <f aca="false">IF(F82&gt;0,D82*F82,E82*D82)</f>
        <v>0</v>
      </c>
      <c r="H82" s="975" t="n">
        <f aca="false">D82*E82*$H$73</f>
        <v>0</v>
      </c>
      <c r="I82" s="971" t="n">
        <f aca="false">IF(G82&gt;H82,G82,H82)*$H$72</f>
        <v>0</v>
      </c>
      <c r="J82" s="936"/>
      <c r="K82" s="937"/>
    </row>
    <row r="83" customFormat="false" ht="15.75" hidden="true" customHeight="false" outlineLevel="0" collapsed="false">
      <c r="A83" s="966"/>
      <c r="B83" s="980" t="str">
        <f aca="false">фундамент!A647</f>
        <v>Нет арматуры</v>
      </c>
      <c r="C83" s="968" t="str">
        <f aca="false">фундамент!B647</f>
        <v>м.п.</v>
      </c>
      <c r="D83" s="967" t="n">
        <f aca="false">фундамент!C647</f>
        <v>0</v>
      </c>
      <c r="E83" s="986" t="n">
        <f aca="false">фундамент!D647</f>
        <v>0</v>
      </c>
      <c r="F83" s="986"/>
      <c r="G83" s="967" t="n">
        <f aca="false">IF(F83&gt;0,D83*F83,E83*D83)</f>
        <v>0</v>
      </c>
      <c r="H83" s="975" t="n">
        <f aca="false">D83*E83*$H$73</f>
        <v>0</v>
      </c>
      <c r="I83" s="971" t="n">
        <f aca="false">IF(G83&gt;H83,G83,H83)*$H$72</f>
        <v>0</v>
      </c>
      <c r="J83" s="936"/>
      <c r="K83" s="937"/>
    </row>
    <row r="84" customFormat="false" ht="15.75" hidden="true" customHeight="false" outlineLevel="0" collapsed="false">
      <c r="A84" s="966"/>
      <c r="B84" s="980" t="str">
        <f aca="false">фундамент!A648</f>
        <v>Бетон, м300</v>
      </c>
      <c r="C84" s="968" t="str">
        <f aca="false">фундамент!B648</f>
        <v>м3</v>
      </c>
      <c r="D84" s="967" t="n">
        <f aca="false">фундамент!C648</f>
        <v>0</v>
      </c>
      <c r="E84" s="986" t="n">
        <f aca="false">фундамент!D648</f>
        <v>3000</v>
      </c>
      <c r="F84" s="986"/>
      <c r="G84" s="967" t="n">
        <f aca="false">IF(F84&gt;0,D84*F84,E84*D84)</f>
        <v>0</v>
      </c>
      <c r="H84" s="975" t="n">
        <f aca="false">D84*E84*$H$73</f>
        <v>0</v>
      </c>
      <c r="I84" s="971" t="n">
        <f aca="false">IF(G84&gt;H84,G84,H84)*$H$72</f>
        <v>0</v>
      </c>
      <c r="J84" s="936"/>
      <c r="K84" s="937"/>
    </row>
    <row r="85" customFormat="false" ht="15.75" hidden="true" customHeight="false" outlineLevel="0" collapsed="false">
      <c r="A85" s="966"/>
      <c r="B85" s="980" t="str">
        <f aca="false">фундамент!A649</f>
        <v>Праймер для обработки </v>
      </c>
      <c r="C85" s="968" t="str">
        <f aca="false">фундамент!B649</f>
        <v>л</v>
      </c>
      <c r="D85" s="967" t="n">
        <f aca="false">фундамент!C649</f>
        <v>0</v>
      </c>
      <c r="E85" s="986" t="n">
        <f aca="false">фундамент!D649</f>
        <v>100</v>
      </c>
      <c r="F85" s="986"/>
      <c r="G85" s="967" t="n">
        <f aca="false">IF(F85&gt;0,D85*F85,E85*D85)</f>
        <v>0</v>
      </c>
      <c r="H85" s="975" t="n">
        <f aca="false">D85*E85*$H$73</f>
        <v>0</v>
      </c>
      <c r="I85" s="971" t="n">
        <f aca="false">IF(G85&gt;H85,G85,H85)*$H$72</f>
        <v>0</v>
      </c>
      <c r="J85" s="936"/>
      <c r="K85" s="937"/>
    </row>
    <row r="86" customFormat="false" ht="15.75" hidden="true" customHeight="false" outlineLevel="0" collapsed="false">
      <c r="A86" s="966"/>
      <c r="B86" s="980" t="str">
        <f aca="false">фундамент!A650</f>
        <v>Плитный,28кг/м3, технониколь, 100мм</v>
      </c>
      <c r="C86" s="968" t="str">
        <f aca="false">фундамент!B650</f>
        <v>м3</v>
      </c>
      <c r="D86" s="967" t="n">
        <f aca="false">фундамент!C650</f>
        <v>0</v>
      </c>
      <c r="E86" s="986" t="n">
        <f aca="false">фундамент!D650</f>
        <v>1700</v>
      </c>
      <c r="F86" s="986"/>
      <c r="G86" s="967" t="n">
        <f aca="false">IF(F86&gt;0,D86*F86,E86*D86)</f>
        <v>0</v>
      </c>
      <c r="H86" s="975" t="n">
        <f aca="false">D86*E86*$H$73</f>
        <v>0</v>
      </c>
      <c r="I86" s="971" t="n">
        <f aca="false">IF(G86&gt;H86,G86,H86)*$H$72</f>
        <v>0</v>
      </c>
      <c r="J86" s="936"/>
      <c r="K86" s="937"/>
    </row>
    <row r="87" customFormat="false" ht="15.75" hidden="true" customHeight="false" outlineLevel="0" collapsed="false">
      <c r="A87" s="966"/>
      <c r="B87" s="980" t="str">
        <f aca="false">фундамент!A651</f>
        <v>Грибок для крепления утеплителя</v>
      </c>
      <c r="C87" s="968" t="str">
        <f aca="false">фундамент!B651</f>
        <v>шт</v>
      </c>
      <c r="D87" s="967" t="n">
        <f aca="false">фундамент!C651</f>
        <v>0</v>
      </c>
      <c r="E87" s="986" t="n">
        <f aca="false">фундамент!D651</f>
        <v>15</v>
      </c>
      <c r="F87" s="986"/>
      <c r="G87" s="967" t="n">
        <f aca="false">IF(F87&gt;0,D87*F87,E87*D87)</f>
        <v>0</v>
      </c>
      <c r="H87" s="975" t="n">
        <f aca="false">D87*E87*$H$73</f>
        <v>0</v>
      </c>
      <c r="I87" s="971" t="n">
        <f aca="false">IF(G87&gt;H87,G87,H87)*$H$72</f>
        <v>0</v>
      </c>
      <c r="J87" s="936"/>
      <c r="K87" s="937"/>
    </row>
    <row r="88" customFormat="false" ht="15.75" hidden="true" customHeight="false" outlineLevel="0" collapsed="false">
      <c r="A88" s="966"/>
      <c r="B88" s="973" t="s">
        <v>2247</v>
      </c>
      <c r="C88" s="973"/>
      <c r="D88" s="973"/>
      <c r="E88" s="973"/>
      <c r="F88" s="973"/>
      <c r="G88" s="975" t="n">
        <f aca="false">SUM(G74:G87)*H72</f>
        <v>0</v>
      </c>
      <c r="H88" s="975" t="n">
        <f aca="false">SUM(H74:H87)</f>
        <v>0</v>
      </c>
      <c r="I88" s="971" t="n">
        <f aca="false">IF(G88&gt;H88,G88,H88)*$H$72</f>
        <v>0</v>
      </c>
      <c r="J88" s="936"/>
      <c r="K88" s="937"/>
    </row>
    <row r="89" customFormat="false" ht="15.75" hidden="true" customHeight="false" outlineLevel="0" collapsed="false">
      <c r="A89" s="966"/>
      <c r="B89" s="976" t="s">
        <v>2007</v>
      </c>
      <c r="C89" s="976"/>
      <c r="D89" s="976"/>
      <c r="E89" s="976"/>
      <c r="F89" s="976"/>
      <c r="G89" s="977"/>
      <c r="H89" s="962" t="n">
        <f aca="false">H72</f>
        <v>0</v>
      </c>
      <c r="I89" s="983" t="n">
        <f aca="false">H89</f>
        <v>0</v>
      </c>
      <c r="J89" s="931"/>
      <c r="K89" s="937"/>
    </row>
    <row r="90" customFormat="false" ht="15.75" hidden="true" customHeight="false" outlineLevel="0" collapsed="false">
      <c r="A90" s="979"/>
      <c r="B90" s="980" t="str">
        <f aca="false">фундамент!G638</f>
        <v>обработка праймер</v>
      </c>
      <c r="C90" s="968" t="s">
        <v>820</v>
      </c>
      <c r="D90" s="967" t="n">
        <f aca="false">фундамент!J638</f>
        <v>0</v>
      </c>
      <c r="E90" s="986" t="n">
        <f aca="false">фундамент!K638</f>
        <v>200</v>
      </c>
      <c r="F90" s="986"/>
      <c r="G90" s="967" t="n">
        <f aca="false">IF(F90&gt;0,D90*F90,E90*D90)</f>
        <v>0</v>
      </c>
      <c r="H90" s="975" t="n">
        <f aca="false">D90*E90*$H$73</f>
        <v>0</v>
      </c>
      <c r="I90" s="971" t="n">
        <f aca="false">IF(G90&gt;H90,G90,H90)*$H$89</f>
        <v>0</v>
      </c>
      <c r="J90" s="936"/>
      <c r="K90" s="937"/>
    </row>
    <row r="91" customFormat="false" ht="15.75" hidden="true" customHeight="false" outlineLevel="0" collapsed="false">
      <c r="A91" s="966"/>
      <c r="B91" s="980" t="str">
        <f aca="false">фундамент!G639</f>
        <v>настил гидроизола</v>
      </c>
      <c r="C91" s="968" t="s">
        <v>820</v>
      </c>
      <c r="D91" s="967" t="n">
        <f aca="false">фундамент!J639</f>
        <v>0</v>
      </c>
      <c r="E91" s="986" t="n">
        <f aca="false">фундамент!K639</f>
        <v>100</v>
      </c>
      <c r="F91" s="986"/>
      <c r="G91" s="967" t="n">
        <f aca="false">IF(F91&gt;0,D91*F91,E91*D91)</f>
        <v>0</v>
      </c>
      <c r="H91" s="975" t="n">
        <f aca="false">D91*E91*$H$73</f>
        <v>0</v>
      </c>
      <c r="I91" s="971" t="n">
        <f aca="false">IF(G91&gt;H91,G91,H91)*$H$89</f>
        <v>0</v>
      </c>
      <c r="J91" s="936"/>
      <c r="K91" s="937"/>
    </row>
    <row r="92" customFormat="false" ht="15.75" hidden="true" customHeight="false" outlineLevel="0" collapsed="false">
      <c r="A92" s="966"/>
      <c r="B92" s="980" t="str">
        <f aca="false">фундамент!G640</f>
        <v>Кладка блоков ФБС</v>
      </c>
      <c r="C92" s="968" t="s">
        <v>1043</v>
      </c>
      <c r="D92" s="967" t="n">
        <f aca="false">фундамент!J640</f>
        <v>0</v>
      </c>
      <c r="E92" s="986" t="n">
        <f aca="false">фундамент!K640</f>
        <v>1000</v>
      </c>
      <c r="F92" s="986"/>
      <c r="G92" s="967" t="n">
        <f aca="false">IF(F92&gt;0,D92*F92,E92*D92)</f>
        <v>0</v>
      </c>
      <c r="H92" s="975" t="n">
        <f aca="false">D92*E92*$H$73</f>
        <v>0</v>
      </c>
      <c r="I92" s="971" t="n">
        <f aca="false">IF(G92&gt;H92,G92,H92)*$H$89</f>
        <v>0</v>
      </c>
      <c r="J92" s="936"/>
      <c r="K92" s="937"/>
    </row>
    <row r="93" customFormat="false" ht="15.75" hidden="true" customHeight="false" outlineLevel="0" collapsed="false">
      <c r="A93" s="966"/>
      <c r="B93" s="980" t="str">
        <f aca="false">фундамент!G641</f>
        <v>укладка сетки</v>
      </c>
      <c r="C93" s="968" t="s">
        <v>820</v>
      </c>
      <c r="D93" s="967" t="n">
        <f aca="false">фундамент!J641</f>
        <v>0</v>
      </c>
      <c r="E93" s="986" t="n">
        <f aca="false">фундамент!K641</f>
        <v>100</v>
      </c>
      <c r="F93" s="986"/>
      <c r="G93" s="967" t="n">
        <f aca="false">IF(F93&gt;0,D93*F93,E93*D93)</f>
        <v>0</v>
      </c>
      <c r="H93" s="975" t="n">
        <f aca="false">D93*E93*$H$73</f>
        <v>0</v>
      </c>
      <c r="I93" s="971" t="n">
        <f aca="false">IF(G93&gt;H93,G93,H93)*$H$89</f>
        <v>0</v>
      </c>
      <c r="J93" s="936"/>
      <c r="K93" s="937"/>
    </row>
    <row r="94" customFormat="false" ht="15.75" hidden="true" customHeight="false" outlineLevel="0" collapsed="false">
      <c r="A94" s="966"/>
      <c r="B94" s="980" t="str">
        <f aca="false">фундамент!G642</f>
        <v>гидроизоляция стен</v>
      </c>
      <c r="C94" s="968" t="s">
        <v>820</v>
      </c>
      <c r="D94" s="967" t="n">
        <f aca="false">фундамент!J642</f>
        <v>0</v>
      </c>
      <c r="E94" s="986" t="n">
        <f aca="false">фундамент!K642</f>
        <v>200</v>
      </c>
      <c r="F94" s="986"/>
      <c r="G94" s="967" t="n">
        <f aca="false">IF(F94&gt;0,D94*F94,E94*D94)</f>
        <v>0</v>
      </c>
      <c r="H94" s="975" t="n">
        <f aca="false">D94*E94*$H$73</f>
        <v>0</v>
      </c>
      <c r="I94" s="971" t="n">
        <f aca="false">IF(G94&gt;H94,G94,H94)*$H$89</f>
        <v>0</v>
      </c>
      <c r="J94" s="936"/>
      <c r="K94" s="937"/>
    </row>
    <row r="95" customFormat="false" ht="15.75" hidden="true" customHeight="false" outlineLevel="0" collapsed="false">
      <c r="A95" s="966"/>
      <c r="B95" s="980" t="str">
        <f aca="false">фундамент!G643</f>
        <v>Монтаж утеплителя стен наружних</v>
      </c>
      <c r="C95" s="988" t="s">
        <v>820</v>
      </c>
      <c r="D95" s="967" t="n">
        <f aca="false">фундамент!J643</f>
        <v>0</v>
      </c>
      <c r="E95" s="986" t="n">
        <f aca="false">фундамент!K643</f>
        <v>200</v>
      </c>
      <c r="F95" s="986"/>
      <c r="G95" s="967" t="n">
        <f aca="false">IF(F95&gt;0,D95*F95,E95*D95)</f>
        <v>0</v>
      </c>
      <c r="H95" s="975" t="n">
        <f aca="false">D95*E95*$H$73</f>
        <v>0</v>
      </c>
      <c r="I95" s="971" t="n">
        <f aca="false">IF(G95&gt;H95,G95,H95)*$H$89</f>
        <v>0</v>
      </c>
      <c r="J95" s="936"/>
      <c r="K95" s="937"/>
    </row>
    <row r="96" customFormat="false" ht="15.75" hidden="true" customHeight="false" outlineLevel="0" collapsed="false">
      <c r="A96" s="966"/>
      <c r="B96" s="980" t="str">
        <f aca="false">фундамент!G644</f>
        <v>сборка опалубки</v>
      </c>
      <c r="C96" s="968" t="s">
        <v>820</v>
      </c>
      <c r="D96" s="967" t="n">
        <f aca="false">фундамент!J644</f>
        <v>0</v>
      </c>
      <c r="E96" s="986" t="n">
        <f aca="false">фундамент!K644</f>
        <v>300</v>
      </c>
      <c r="F96" s="986"/>
      <c r="G96" s="967" t="n">
        <f aca="false">IF(F96&gt;0,D96*F96,E96*D96)</f>
        <v>0</v>
      </c>
      <c r="H96" s="975" t="n">
        <f aca="false">D96*E96*$H$73</f>
        <v>0</v>
      </c>
      <c r="I96" s="971" t="n">
        <f aca="false">IF(G96&gt;H96,G96,H96)*$H$89</f>
        <v>0</v>
      </c>
      <c r="J96" s="936"/>
      <c r="K96" s="937"/>
    </row>
    <row r="97" customFormat="false" ht="15.75" hidden="true" customHeight="false" outlineLevel="0" collapsed="false">
      <c r="A97" s="966"/>
      <c r="B97" s="980" t="str">
        <f aca="false">фундамент!G645</f>
        <v>разборка опалубки</v>
      </c>
      <c r="C97" s="968" t="s">
        <v>820</v>
      </c>
      <c r="D97" s="967" t="n">
        <f aca="false">фундамент!J645</f>
        <v>0</v>
      </c>
      <c r="E97" s="986" t="n">
        <f aca="false">фундамент!K645</f>
        <v>100</v>
      </c>
      <c r="F97" s="986"/>
      <c r="G97" s="967" t="n">
        <f aca="false">IF(F97&gt;0,D97*F97,E97*D97)</f>
        <v>0</v>
      </c>
      <c r="H97" s="975" t="n">
        <f aca="false">D97*E97*$H$73</f>
        <v>0</v>
      </c>
      <c r="I97" s="971" t="n">
        <f aca="false">IF(G97&gt;H97,G97,H97)*$H$89</f>
        <v>0</v>
      </c>
      <c r="J97" s="936"/>
      <c r="K97" s="937"/>
    </row>
    <row r="98" customFormat="false" ht="15.75" hidden="true" customHeight="false" outlineLevel="0" collapsed="false">
      <c r="A98" s="949"/>
      <c r="B98" s="980" t="str">
        <f aca="false">фундамент!G646</f>
        <v>приемка бетона</v>
      </c>
      <c r="C98" s="988" t="s">
        <v>1043</v>
      </c>
      <c r="D98" s="967" t="n">
        <f aca="false">фундамент!J646</f>
        <v>0</v>
      </c>
      <c r="E98" s="986" t="n">
        <f aca="false">фундамент!K646</f>
        <v>350</v>
      </c>
      <c r="F98" s="986"/>
      <c r="G98" s="967" t="n">
        <f aca="false">IF(F98&gt;0,D98*F98,E98*D98)</f>
        <v>0</v>
      </c>
      <c r="H98" s="975" t="n">
        <f aca="false">D98*E98*$H$73</f>
        <v>0</v>
      </c>
      <c r="I98" s="971" t="n">
        <f aca="false">IF(G98&gt;H98,G98,H98)*$H$89</f>
        <v>0</v>
      </c>
      <c r="J98" s="954"/>
      <c r="K98" s="956"/>
    </row>
    <row r="99" customFormat="false" ht="15.75" hidden="true" customHeight="false" outlineLevel="0" collapsed="false">
      <c r="A99" s="966"/>
      <c r="B99" s="973" t="s">
        <v>2248</v>
      </c>
      <c r="C99" s="973"/>
      <c r="D99" s="973"/>
      <c r="E99" s="973"/>
      <c r="F99" s="973"/>
      <c r="G99" s="970" t="n">
        <f aca="false">SUM(G90:G98)*H89</f>
        <v>0</v>
      </c>
      <c r="H99" s="970" t="n">
        <f aca="false">SUM(H90:H98)</f>
        <v>0</v>
      </c>
      <c r="I99" s="971" t="n">
        <f aca="false">IF(G99&gt;H99,G99,H99)*$H$89</f>
        <v>0</v>
      </c>
      <c r="J99" s="936"/>
      <c r="K99" s="937"/>
    </row>
    <row r="100" customFormat="false" ht="21" hidden="true" customHeight="false" outlineLevel="0" collapsed="false">
      <c r="A100" s="966"/>
      <c r="B100" s="981" t="s">
        <v>2251</v>
      </c>
      <c r="C100" s="981"/>
      <c r="D100" s="981"/>
      <c r="E100" s="981"/>
      <c r="F100" s="981"/>
      <c r="G100" s="977"/>
      <c r="H100" s="982" t="n">
        <f aca="false">фундамент!F514*фундамент!E518</f>
        <v>0</v>
      </c>
      <c r="I100" s="983" t="n">
        <f aca="false">H100</f>
        <v>0</v>
      </c>
      <c r="J100" s="931"/>
      <c r="K100" s="937"/>
    </row>
    <row r="101" customFormat="false" ht="15.75" hidden="true" customHeight="false" outlineLevel="0" collapsed="false">
      <c r="A101" s="979"/>
      <c r="B101" s="987" t="s">
        <v>2246</v>
      </c>
      <c r="C101" s="987"/>
      <c r="D101" s="987"/>
      <c r="E101" s="987"/>
      <c r="F101" s="987"/>
      <c r="G101" s="977"/>
      <c r="H101" s="985" t="n">
        <f aca="false">H100</f>
        <v>0</v>
      </c>
      <c r="I101" s="983" t="n">
        <f aca="false">H101</f>
        <v>0</v>
      </c>
      <c r="J101" s="931"/>
      <c r="K101" s="937"/>
    </row>
    <row r="102" customFormat="false" ht="15.75" hidden="true" customHeight="false" outlineLevel="0" collapsed="false">
      <c r="A102" s="979"/>
      <c r="B102" s="980" t="str">
        <f aca="false">фундамент!A659</f>
        <v>Праймер для обработки </v>
      </c>
      <c r="C102" s="968" t="str">
        <f aca="false">фундамент!B659</f>
        <v>л</v>
      </c>
      <c r="D102" s="967" t="n">
        <f aca="false">фундамент!C659</f>
        <v>0</v>
      </c>
      <c r="E102" s="980" t="n">
        <f aca="false">фундамент!D659</f>
        <v>100</v>
      </c>
      <c r="F102" s="980"/>
      <c r="G102" s="967" t="n">
        <f aca="false">IF(F102&gt;0,D102*F102,E102*D102)</f>
        <v>0</v>
      </c>
      <c r="H102" s="975" t="n">
        <f aca="false">D102*E102*$H$101</f>
        <v>0</v>
      </c>
      <c r="I102" s="971" t="n">
        <f aca="false">IF(G102&gt;H102,G102,H102)*$H$100</f>
        <v>0</v>
      </c>
      <c r="J102" s="936"/>
      <c r="K102" s="937"/>
    </row>
    <row r="103" customFormat="false" ht="15.75" hidden="true" customHeight="false" outlineLevel="0" collapsed="false">
      <c r="A103" s="966"/>
      <c r="B103" s="980" t="str">
        <f aca="false">фундамент!A660</f>
        <v>Гидроизол</v>
      </c>
      <c r="C103" s="968" t="str">
        <f aca="false">фундамент!B660</f>
        <v>м2</v>
      </c>
      <c r="D103" s="967" t="n">
        <f aca="false">фундамент!C660</f>
        <v>0</v>
      </c>
      <c r="E103" s="980" t="n">
        <f aca="false">фундамент!D660</f>
        <v>70</v>
      </c>
      <c r="F103" s="980"/>
      <c r="G103" s="967" t="n">
        <f aca="false">IF(F103&gt;0,D103*F103,E103*D103)</f>
        <v>0</v>
      </c>
      <c r="H103" s="975" t="n">
        <f aca="false">D103*E103*$H$101</f>
        <v>0</v>
      </c>
      <c r="I103" s="971" t="n">
        <f aca="false">IF(G103&gt;H103,G103,H103)*$H$100</f>
        <v>0</v>
      </c>
      <c r="J103" s="936"/>
      <c r="K103" s="937"/>
    </row>
    <row r="104" customFormat="false" ht="15.75" hidden="true" customHeight="false" outlineLevel="0" collapsed="false">
      <c r="A104" s="966"/>
      <c r="B104" s="980" t="str">
        <f aca="false">фундамент!A661</f>
        <v>Мастика битумная</v>
      </c>
      <c r="C104" s="968" t="str">
        <f aca="false">фундамент!B661</f>
        <v>кг</v>
      </c>
      <c r="D104" s="967" t="n">
        <f aca="false">фундамент!C661</f>
        <v>0</v>
      </c>
      <c r="E104" s="980" t="n">
        <f aca="false">фундамент!D661</f>
        <v>100</v>
      </c>
      <c r="F104" s="980"/>
      <c r="G104" s="967" t="n">
        <f aca="false">IF(F104&gt;0,D104*F104,E104*D104)</f>
        <v>0</v>
      </c>
      <c r="H104" s="975" t="n">
        <f aca="false">D104*E104*$H$101</f>
        <v>0</v>
      </c>
      <c r="I104" s="971" t="n">
        <f aca="false">IF(G104&gt;H104,G104,H104)*$H$100</f>
        <v>0</v>
      </c>
      <c r="J104" s="936"/>
      <c r="K104" s="937"/>
    </row>
    <row r="105" customFormat="false" ht="15.75" hidden="true" customHeight="false" outlineLevel="0" collapsed="false">
      <c r="A105" s="966"/>
      <c r="B105" s="980" t="str">
        <f aca="false">фундамент!A662</f>
        <v>Сосна влаж,150*40мм</v>
      </c>
      <c r="C105" s="968" t="str">
        <f aca="false">фундамент!B662</f>
        <v>м3</v>
      </c>
      <c r="D105" s="967" t="n">
        <f aca="false">фундамент!C662</f>
        <v>0</v>
      </c>
      <c r="E105" s="980" t="n">
        <f aca="false">фундамент!D662</f>
        <v>6500</v>
      </c>
      <c r="F105" s="980"/>
      <c r="G105" s="967" t="n">
        <f aca="false">IF(F105&gt;0,D105*F105,E105*D105)</f>
        <v>0</v>
      </c>
      <c r="H105" s="975" t="n">
        <f aca="false">D105*E105*$H$101</f>
        <v>0</v>
      </c>
      <c r="I105" s="971" t="n">
        <f aca="false">IF(G105&gt;H105,G105,H105)*$H$100</f>
        <v>0</v>
      </c>
      <c r="J105" s="936"/>
      <c r="K105" s="937"/>
    </row>
    <row r="106" customFormat="false" ht="15.75" hidden="true" customHeight="false" outlineLevel="0" collapsed="false">
      <c r="A106" s="966"/>
      <c r="B106" s="980" t="str">
        <f aca="false">фундамент!A663</f>
        <v>Крепления для опалубки</v>
      </c>
      <c r="C106" s="968" t="str">
        <f aca="false">фундамент!B663</f>
        <v>шт</v>
      </c>
      <c r="D106" s="967" t="n">
        <f aca="false">фундамент!C663</f>
        <v>0</v>
      </c>
      <c r="E106" s="980" t="n">
        <f aca="false">фундамент!D663</f>
        <v>20</v>
      </c>
      <c r="F106" s="980"/>
      <c r="G106" s="967" t="n">
        <f aca="false">IF(F106&gt;0,D106*F106,E106*D106)</f>
        <v>0</v>
      </c>
      <c r="H106" s="975" t="n">
        <f aca="false">D106*E106*$H$101</f>
        <v>0</v>
      </c>
      <c r="I106" s="971" t="n">
        <f aca="false">IF(G106&gt;H106,G106,H106)*$H$100</f>
        <v>0</v>
      </c>
      <c r="J106" s="936"/>
      <c r="K106" s="937"/>
    </row>
    <row r="107" customFormat="false" ht="15.75" hidden="true" customHeight="false" outlineLevel="0" collapsed="false">
      <c r="A107" s="966"/>
      <c r="B107" s="980" t="str">
        <f aca="false">фундамент!A664</f>
        <v>Арматура стальная Ø 12</v>
      </c>
      <c r="C107" s="968" t="str">
        <f aca="false">фундамент!B664</f>
        <v>м.п.</v>
      </c>
      <c r="D107" s="967" t="n">
        <f aca="false">фундамент!C664</f>
        <v>0</v>
      </c>
      <c r="E107" s="980" t="n">
        <f aca="false">фундамент!D664</f>
        <v>29.2152</v>
      </c>
      <c r="F107" s="980"/>
      <c r="G107" s="967" t="n">
        <f aca="false">IF(F107&gt;0,D107*F107,E107*D107)</f>
        <v>0</v>
      </c>
      <c r="H107" s="975" t="n">
        <f aca="false">D107*E107*$H$101</f>
        <v>0</v>
      </c>
      <c r="I107" s="971" t="n">
        <f aca="false">IF(G107&gt;H107,G107,H107)*$H$100</f>
        <v>0</v>
      </c>
      <c r="J107" s="936"/>
      <c r="K107" s="937"/>
    </row>
    <row r="108" customFormat="false" ht="15.75" hidden="true" customHeight="false" outlineLevel="0" collapsed="false">
      <c r="A108" s="966"/>
      <c r="B108" s="980" t="str">
        <f aca="false">фундамент!A665</f>
        <v>Вязальная проволока</v>
      </c>
      <c r="C108" s="968" t="str">
        <f aca="false">фундамент!B665</f>
        <v>кг</v>
      </c>
      <c r="D108" s="967" t="n">
        <f aca="false">фундамент!C665</f>
        <v>0</v>
      </c>
      <c r="E108" s="980" t="n">
        <f aca="false">фундамент!D665</f>
        <v>80</v>
      </c>
      <c r="F108" s="980"/>
      <c r="G108" s="967" t="n">
        <f aca="false">IF(F108&gt;0,D108*F108,E108*D108)</f>
        <v>0</v>
      </c>
      <c r="H108" s="975" t="n">
        <f aca="false">D108*E108*$H$101</f>
        <v>0</v>
      </c>
      <c r="I108" s="971" t="n">
        <f aca="false">IF(G108&gt;H108,G108,H108)*$H$100</f>
        <v>0</v>
      </c>
      <c r="J108" s="936"/>
      <c r="K108" s="937"/>
    </row>
    <row r="109" customFormat="false" ht="15.75" hidden="true" customHeight="false" outlineLevel="0" collapsed="false">
      <c r="A109" s="966"/>
      <c r="B109" s="980" t="str">
        <f aca="false">фундамент!A666</f>
        <v>Бетон, м300</v>
      </c>
      <c r="C109" s="968" t="str">
        <f aca="false">фундамент!B666</f>
        <v>м3</v>
      </c>
      <c r="D109" s="967" t="n">
        <f aca="false">фундамент!C666</f>
        <v>0</v>
      </c>
      <c r="E109" s="980" t="n">
        <f aca="false">фундамент!D666</f>
        <v>3000</v>
      </c>
      <c r="F109" s="980"/>
      <c r="G109" s="967" t="n">
        <f aca="false">IF(F109&gt;0,D109*F109,E109*D109)</f>
        <v>0</v>
      </c>
      <c r="H109" s="975" t="n">
        <f aca="false">D109*E109*$H$101</f>
        <v>0</v>
      </c>
      <c r="I109" s="971" t="n">
        <f aca="false">IF(G109&gt;H109,G109,H109)*$H$100</f>
        <v>0</v>
      </c>
      <c r="J109" s="936"/>
      <c r="K109" s="937"/>
    </row>
    <row r="110" customFormat="false" ht="15.75" hidden="true" customHeight="false" outlineLevel="0" collapsed="false">
      <c r="A110" s="966"/>
      <c r="B110" s="980" t="str">
        <f aca="false">фундамент!A667</f>
        <v>Праймер для обработки </v>
      </c>
      <c r="C110" s="968" t="str">
        <f aca="false">фундамент!B667</f>
        <v>кг</v>
      </c>
      <c r="D110" s="967" t="n">
        <f aca="false">фундамент!C667</f>
        <v>0</v>
      </c>
      <c r="E110" s="980" t="n">
        <f aca="false">фундамент!D667</f>
        <v>100</v>
      </c>
      <c r="F110" s="980"/>
      <c r="G110" s="967" t="n">
        <f aca="false">IF(F110&gt;0,D110*F110,E110*D110)</f>
        <v>0</v>
      </c>
      <c r="H110" s="975" t="n">
        <f aca="false">D110*E110*$H$101</f>
        <v>0</v>
      </c>
      <c r="I110" s="971" t="n">
        <f aca="false">IF(G110&gt;H110,G110,H110)*$H$100</f>
        <v>0</v>
      </c>
      <c r="J110" s="936"/>
      <c r="K110" s="937"/>
    </row>
    <row r="111" customFormat="false" ht="15.75" hidden="true" customHeight="false" outlineLevel="0" collapsed="false">
      <c r="A111" s="966"/>
      <c r="B111" s="980" t="str">
        <f aca="false">фундамент!A668</f>
        <v>Плитный,28кг/м3, технониколь, 100мм</v>
      </c>
      <c r="C111" s="968" t="str">
        <f aca="false">фундамент!B668</f>
        <v>м3</v>
      </c>
      <c r="D111" s="967" t="n">
        <f aca="false">фундамент!C668</f>
        <v>0</v>
      </c>
      <c r="E111" s="980" t="n">
        <f aca="false">фундамент!D668</f>
        <v>1700</v>
      </c>
      <c r="F111" s="980"/>
      <c r="G111" s="967" t="n">
        <f aca="false">IF(F111&gt;0,D111*F111,E111*D111)</f>
        <v>0</v>
      </c>
      <c r="H111" s="975" t="n">
        <f aca="false">D111*E111*$H$101</f>
        <v>0</v>
      </c>
      <c r="I111" s="971" t="n">
        <f aca="false">IF(G111&gt;H111,G111,H111)*$H$100</f>
        <v>0</v>
      </c>
      <c r="J111" s="936"/>
      <c r="K111" s="937"/>
    </row>
    <row r="112" customFormat="false" ht="15.75" hidden="true" customHeight="false" outlineLevel="0" collapsed="false">
      <c r="A112" s="966"/>
      <c r="B112" s="980" t="str">
        <f aca="false">фундамент!A669</f>
        <v>Грибок для крепления утеплителя</v>
      </c>
      <c r="C112" s="968" t="str">
        <f aca="false">фундамент!B669</f>
        <v>шт</v>
      </c>
      <c r="D112" s="967" t="n">
        <f aca="false">фундамент!C669</f>
        <v>0</v>
      </c>
      <c r="E112" s="980" t="n">
        <f aca="false">фундамент!D669</f>
        <v>15</v>
      </c>
      <c r="F112" s="980"/>
      <c r="G112" s="967" t="n">
        <f aca="false">IF(F112&gt;0,D112*F112,E112*D112)</f>
        <v>0</v>
      </c>
      <c r="H112" s="975" t="n">
        <f aca="false">D112*E112*$H$101</f>
        <v>0</v>
      </c>
      <c r="I112" s="971" t="n">
        <f aca="false">IF(G112&gt;H112,G112,H112)*$H$100</f>
        <v>0</v>
      </c>
      <c r="J112" s="936"/>
      <c r="K112" s="937"/>
    </row>
    <row r="113" customFormat="false" ht="15.75" hidden="true" customHeight="false" outlineLevel="0" collapsed="false">
      <c r="A113" s="966"/>
      <c r="B113" s="973" t="s">
        <v>2247</v>
      </c>
      <c r="C113" s="973"/>
      <c r="D113" s="973"/>
      <c r="E113" s="973"/>
      <c r="F113" s="973"/>
      <c r="G113" s="975" t="n">
        <f aca="false">SUM(G102:G112)*H100</f>
        <v>0</v>
      </c>
      <c r="H113" s="975" t="n">
        <f aca="false">SUM(H102:H112)</f>
        <v>0</v>
      </c>
      <c r="I113" s="971" t="n">
        <f aca="false">IF(G113&gt;H113,G113,H113)*$H$100</f>
        <v>0</v>
      </c>
      <c r="J113" s="936"/>
      <c r="K113" s="937"/>
    </row>
    <row r="114" customFormat="false" ht="15.75" hidden="true" customHeight="false" outlineLevel="0" collapsed="false">
      <c r="A114" s="966"/>
      <c r="B114" s="976" t="s">
        <v>2007</v>
      </c>
      <c r="C114" s="976"/>
      <c r="D114" s="976"/>
      <c r="E114" s="976"/>
      <c r="F114" s="976"/>
      <c r="G114" s="977"/>
      <c r="H114" s="962" t="n">
        <f aca="false">H100</f>
        <v>0</v>
      </c>
      <c r="I114" s="983" t="n">
        <f aca="false">H114</f>
        <v>0</v>
      </c>
      <c r="J114" s="931"/>
      <c r="K114" s="937"/>
    </row>
    <row r="115" customFormat="false" ht="15.75" hidden="true" customHeight="false" outlineLevel="0" collapsed="false">
      <c r="A115" s="979"/>
      <c r="B115" s="980" t="str">
        <f aca="false">фундамент!G659</f>
        <v>обработка праймер</v>
      </c>
      <c r="C115" s="968" t="s">
        <v>820</v>
      </c>
      <c r="D115" s="967" t="n">
        <f aca="false">фундамент!J659</f>
        <v>0</v>
      </c>
      <c r="E115" s="986" t="n">
        <f aca="false">фундамент!K659</f>
        <v>200</v>
      </c>
      <c r="F115" s="986"/>
      <c r="G115" s="967" t="n">
        <f aca="false">IF(F115&gt;0,D115*F115,E115*D115)</f>
        <v>0</v>
      </c>
      <c r="H115" s="975" t="n">
        <f aca="false">D115*E115*$H$101</f>
        <v>0</v>
      </c>
      <c r="I115" s="971" t="n">
        <f aca="false">IF(G115&gt;H115,G115,H115)*$H$114</f>
        <v>0</v>
      </c>
      <c r="J115" s="936"/>
      <c r="K115" s="937"/>
    </row>
    <row r="116" customFormat="false" ht="15.75" hidden="true" customHeight="false" outlineLevel="0" collapsed="false">
      <c r="A116" s="966"/>
      <c r="B116" s="980" t="str">
        <f aca="false">фундамент!G660</f>
        <v>настил гидроизола</v>
      </c>
      <c r="C116" s="968" t="s">
        <v>820</v>
      </c>
      <c r="D116" s="967" t="n">
        <f aca="false">фундамент!J660</f>
        <v>0</v>
      </c>
      <c r="E116" s="986" t="n">
        <f aca="false">фундамент!K660</f>
        <v>100</v>
      </c>
      <c r="F116" s="986"/>
      <c r="G116" s="967" t="n">
        <f aca="false">IF(F116&gt;0,D116*F116,E116*D116)</f>
        <v>0</v>
      </c>
      <c r="H116" s="975" t="n">
        <f aca="false">D116*E116*$H$101</f>
        <v>0</v>
      </c>
      <c r="I116" s="971" t="n">
        <f aca="false">IF(G116&gt;H116,G116,H116)*$H$114</f>
        <v>0</v>
      </c>
      <c r="J116" s="936"/>
      <c r="K116" s="937"/>
    </row>
    <row r="117" customFormat="false" ht="15.75" hidden="true" customHeight="false" outlineLevel="0" collapsed="false">
      <c r="A117" s="966"/>
      <c r="B117" s="980" t="str">
        <f aca="false">фундамент!G661</f>
        <v>вязка арматуры</v>
      </c>
      <c r="C117" s="968" t="s">
        <v>15</v>
      </c>
      <c r="D117" s="967" t="n">
        <f aca="false">фундамент!J661</f>
        <v>0</v>
      </c>
      <c r="E117" s="986" t="n">
        <f aca="false">фундамент!K661</f>
        <v>300</v>
      </c>
      <c r="F117" s="986"/>
      <c r="G117" s="967" t="n">
        <f aca="false">IF(F117&gt;0,D117*F117,E117*D117)</f>
        <v>0</v>
      </c>
      <c r="H117" s="975" t="n">
        <f aca="false">D117*E117*$H$101</f>
        <v>0</v>
      </c>
      <c r="I117" s="971" t="n">
        <f aca="false">IF(G117&gt;H117,G117,H117)*$H$114</f>
        <v>0</v>
      </c>
      <c r="J117" s="936"/>
      <c r="K117" s="937"/>
    </row>
    <row r="118" customFormat="false" ht="15.75" hidden="true" customHeight="false" outlineLevel="0" collapsed="false">
      <c r="A118" s="966"/>
      <c r="B118" s="980" t="str">
        <f aca="false">фундамент!G662</f>
        <v>сборка опалубки</v>
      </c>
      <c r="C118" s="968" t="s">
        <v>820</v>
      </c>
      <c r="D118" s="967" t="n">
        <f aca="false">фундамент!J662</f>
        <v>0</v>
      </c>
      <c r="E118" s="986" t="n">
        <f aca="false">фундамент!K662</f>
        <v>300</v>
      </c>
      <c r="F118" s="986"/>
      <c r="G118" s="967" t="n">
        <f aca="false">IF(F118&gt;0,D118*F118,E118*D118)</f>
        <v>0</v>
      </c>
      <c r="H118" s="975" t="n">
        <f aca="false">D118*E118*$H$101</f>
        <v>0</v>
      </c>
      <c r="I118" s="971" t="n">
        <f aca="false">IF(G118&gt;H118,G118,H118)*$H$114</f>
        <v>0</v>
      </c>
      <c r="J118" s="936"/>
      <c r="K118" s="937"/>
    </row>
    <row r="119" customFormat="false" ht="15.75" hidden="true" customHeight="false" outlineLevel="0" collapsed="false">
      <c r="A119" s="966"/>
      <c r="B119" s="980" t="str">
        <f aca="false">фундамент!G663</f>
        <v>разборка опалубки</v>
      </c>
      <c r="C119" s="968" t="s">
        <v>820</v>
      </c>
      <c r="D119" s="967" t="n">
        <f aca="false">фундамент!J663</f>
        <v>0</v>
      </c>
      <c r="E119" s="986" t="n">
        <f aca="false">фундамент!K663</f>
        <v>100</v>
      </c>
      <c r="F119" s="986"/>
      <c r="G119" s="967" t="n">
        <f aca="false">IF(F119&gt;0,D119*F119,E119*D119)</f>
        <v>0</v>
      </c>
      <c r="H119" s="975" t="n">
        <f aca="false">D119*E119*$H$101</f>
        <v>0</v>
      </c>
      <c r="I119" s="971" t="n">
        <f aca="false">IF(G119&gt;H119,G119,H119)*$H$114</f>
        <v>0</v>
      </c>
      <c r="J119" s="936"/>
      <c r="K119" s="937"/>
    </row>
    <row r="120" customFormat="false" ht="15.75" hidden="true" customHeight="false" outlineLevel="0" collapsed="false">
      <c r="A120" s="966"/>
      <c r="B120" s="980" t="str">
        <f aca="false">фундамент!G664</f>
        <v>приемка бетона</v>
      </c>
      <c r="C120" s="988" t="s">
        <v>1043</v>
      </c>
      <c r="D120" s="967" t="n">
        <f aca="false">фундамент!J664</f>
        <v>0</v>
      </c>
      <c r="E120" s="986" t="n">
        <f aca="false">фундамент!K664</f>
        <v>1200</v>
      </c>
      <c r="F120" s="986"/>
      <c r="G120" s="967" t="n">
        <f aca="false">IF(F120&gt;0,D120*F120,E120*D120)</f>
        <v>0</v>
      </c>
      <c r="H120" s="975" t="n">
        <f aca="false">D120*E120*$H$101</f>
        <v>0</v>
      </c>
      <c r="I120" s="971" t="n">
        <f aca="false">IF(G120&gt;H120,G120,H120)*$H$114</f>
        <v>0</v>
      </c>
      <c r="J120" s="936"/>
      <c r="K120" s="937"/>
    </row>
    <row r="121" customFormat="false" ht="15.75" hidden="true" customHeight="false" outlineLevel="0" collapsed="false">
      <c r="A121" s="966"/>
      <c r="B121" s="980" t="str">
        <f aca="false">фундамент!G665</f>
        <v>гидроизоляция стен</v>
      </c>
      <c r="C121" s="988" t="s">
        <v>820</v>
      </c>
      <c r="D121" s="967" t="n">
        <f aca="false">фундамент!J665</f>
        <v>0</v>
      </c>
      <c r="E121" s="986" t="n">
        <f aca="false">фундамент!K665</f>
        <v>200</v>
      </c>
      <c r="F121" s="986"/>
      <c r="G121" s="967" t="n">
        <f aca="false">IF(F121&gt;0,D121*F121,E121*D121)</f>
        <v>0</v>
      </c>
      <c r="H121" s="975" t="n">
        <f aca="false">D121*E121*$H$101</f>
        <v>0</v>
      </c>
      <c r="I121" s="971" t="n">
        <f aca="false">IF(G121&gt;H121,G121,H121)*$H$114</f>
        <v>0</v>
      </c>
      <c r="J121" s="936"/>
      <c r="K121" s="937"/>
    </row>
    <row r="122" customFormat="false" ht="15.75" hidden="true" customHeight="false" outlineLevel="0" collapsed="false">
      <c r="A122" s="966"/>
      <c r="B122" s="980" t="str">
        <f aca="false">фундамент!G666</f>
        <v>утепление фундамента</v>
      </c>
      <c r="C122" s="968" t="s">
        <v>820</v>
      </c>
      <c r="D122" s="967" t="n">
        <f aca="false">фундамент!J666</f>
        <v>0</v>
      </c>
      <c r="E122" s="986" t="n">
        <f aca="false">фундамент!K666</f>
        <v>200</v>
      </c>
      <c r="F122" s="986"/>
      <c r="G122" s="967" t="n">
        <f aca="false">IF(F122&gt;0,D122*F122,E122*D122)</f>
        <v>0</v>
      </c>
      <c r="H122" s="975" t="n">
        <f aca="false">D122*E122*$H$101</f>
        <v>0</v>
      </c>
      <c r="I122" s="971" t="n">
        <f aca="false">IF(G122&gt;H122,G122,H122)*$H$114</f>
        <v>0</v>
      </c>
      <c r="J122" s="936"/>
      <c r="K122" s="937"/>
    </row>
    <row r="123" customFormat="false" ht="15.75" hidden="true" customHeight="false" outlineLevel="0" collapsed="false">
      <c r="A123" s="966"/>
      <c r="B123" s="973" t="s">
        <v>2248</v>
      </c>
      <c r="C123" s="973"/>
      <c r="D123" s="973"/>
      <c r="E123" s="973"/>
      <c r="F123" s="973"/>
      <c r="G123" s="975" t="n">
        <f aca="false">SUM(G115:G122)*H114</f>
        <v>0</v>
      </c>
      <c r="H123" s="975" t="n">
        <f aca="false">SUM(H115:H122)</f>
        <v>0</v>
      </c>
      <c r="I123" s="971" t="n">
        <f aca="false">IF(G123&gt;H123,G123,H123)*$H$114</f>
        <v>0</v>
      </c>
      <c r="J123" s="936"/>
      <c r="K123" s="937"/>
    </row>
    <row r="124" customFormat="false" ht="21" hidden="true" customHeight="false" outlineLevel="0" collapsed="false">
      <c r="A124" s="966"/>
      <c r="B124" s="989" t="s">
        <v>2252</v>
      </c>
      <c r="C124" s="989"/>
      <c r="D124" s="989"/>
      <c r="E124" s="989"/>
      <c r="F124" s="989"/>
      <c r="G124" s="977"/>
      <c r="H124" s="990" t="n">
        <f aca="false">IF('Ввод данных'!A21=связи1!F83,1,0)</f>
        <v>0</v>
      </c>
      <c r="I124" s="983" t="n">
        <f aca="false">H124</f>
        <v>0</v>
      </c>
      <c r="J124" s="931"/>
      <c r="K124" s="937"/>
    </row>
    <row r="125" customFormat="false" ht="15.75" hidden="true" customHeight="false" outlineLevel="0" collapsed="false">
      <c r="A125" s="979"/>
      <c r="B125" s="984" t="s">
        <v>2246</v>
      </c>
      <c r="C125" s="984"/>
      <c r="D125" s="984"/>
      <c r="E125" s="984"/>
      <c r="F125" s="984"/>
      <c r="G125" s="977"/>
      <c r="H125" s="991" t="n">
        <f aca="false">H124</f>
        <v>0</v>
      </c>
      <c r="I125" s="983" t="n">
        <f aca="false">H125</f>
        <v>0</v>
      </c>
      <c r="J125" s="931"/>
      <c r="K125" s="937"/>
    </row>
    <row r="126" customFormat="false" ht="15.75" hidden="true" customHeight="false" outlineLevel="0" collapsed="false">
      <c r="A126" s="931"/>
      <c r="B126" s="992" t="str">
        <f aca="false">фундамент!A271</f>
        <v>пробное забуривание</v>
      </c>
      <c r="C126" s="993" t="str">
        <f aca="false">фундамент!B271</f>
        <v>шт</v>
      </c>
      <c r="D126" s="992" t="n">
        <f aca="false">фундамент!C271</f>
        <v>1</v>
      </c>
      <c r="E126" s="992" t="n">
        <f aca="false">фундамент!D271</f>
        <v>5000</v>
      </c>
      <c r="F126" s="992"/>
      <c r="G126" s="967" t="n">
        <f aca="false">IF(F126&gt;0,D126*F126,E126*D126)</f>
        <v>5000</v>
      </c>
      <c r="H126" s="970" t="n">
        <f aca="false">D126*E126*$H$125</f>
        <v>0</v>
      </c>
      <c r="I126" s="971" t="n">
        <f aca="false">IF(G126&gt;H126,G126,H126)*$H$124</f>
        <v>0</v>
      </c>
      <c r="J126" s="936"/>
      <c r="K126" s="937"/>
    </row>
    <row r="127" customFormat="false" ht="15.75" hidden="true" customHeight="false" outlineLevel="0" collapsed="false">
      <c r="A127" s="937"/>
      <c r="B127" s="992" t="str">
        <f aca="false">фундамент!A272</f>
        <v>108мм, 2,5м длина, 1 лопасть</v>
      </c>
      <c r="C127" s="993" t="str">
        <f aca="false">фундамент!B272</f>
        <v>шт</v>
      </c>
      <c r="D127" s="992" t="n">
        <f aca="false">фундамент!C272</f>
        <v>21</v>
      </c>
      <c r="E127" s="992" t="n">
        <f aca="false">фундамент!D272</f>
        <v>1950</v>
      </c>
      <c r="F127" s="992"/>
      <c r="G127" s="967" t="n">
        <f aca="false">IF(F127&gt;0,D127*F127,E127*D127)</f>
        <v>40950</v>
      </c>
      <c r="H127" s="970" t="n">
        <f aca="false">D127*E127*$H$125</f>
        <v>0</v>
      </c>
      <c r="I127" s="971" t="n">
        <f aca="false">IF(G127&gt;H127,G127,H127)*$H$124</f>
        <v>0</v>
      </c>
      <c r="J127" s="936"/>
      <c r="K127" s="937"/>
    </row>
    <row r="128" customFormat="false" ht="15.75" hidden="true" customHeight="false" outlineLevel="0" collapsed="false">
      <c r="A128" s="937"/>
      <c r="B128" s="992" t="str">
        <f aca="false">фундамент!A273</f>
        <v>Оголовкок для свай 200*200</v>
      </c>
      <c r="C128" s="993" t="str">
        <f aca="false">фундамент!B273</f>
        <v>шт</v>
      </c>
      <c r="D128" s="992" t="n">
        <f aca="false">фундамент!C273</f>
        <v>21</v>
      </c>
      <c r="E128" s="992" t="n">
        <f aca="false">фундамент!D273</f>
        <v>250</v>
      </c>
      <c r="F128" s="992"/>
      <c r="G128" s="967" t="n">
        <f aca="false">IF(F128&gt;0,D128*F128,E128*D128)</f>
        <v>5250</v>
      </c>
      <c r="H128" s="970" t="n">
        <f aca="false">D128*E128*$H$125</f>
        <v>0</v>
      </c>
      <c r="I128" s="971" t="n">
        <f aca="false">IF(G128&gt;H128,G128,H128)*$H$124</f>
        <v>0</v>
      </c>
      <c r="J128" s="936"/>
      <c r="K128" s="937"/>
    </row>
    <row r="129" customFormat="false" ht="15.75" hidden="true" customHeight="false" outlineLevel="0" collapsed="false">
      <c r="A129" s="937"/>
      <c r="B129" s="992" t="str">
        <f aca="false">фундамент!A274</f>
        <v>обвязка металлом</v>
      </c>
      <c r="C129" s="993" t="str">
        <f aca="false">фундамент!B274</f>
        <v>м.п.</v>
      </c>
      <c r="D129" s="992" t="n">
        <f aca="false">фундамент!C274</f>
        <v>48</v>
      </c>
      <c r="E129" s="992" t="n">
        <f aca="false">фундамент!D274</f>
        <v>100</v>
      </c>
      <c r="F129" s="992"/>
      <c r="G129" s="967" t="n">
        <f aca="false">IF(F129&gt;0,D129*F129,E129*D129)</f>
        <v>4800</v>
      </c>
      <c r="H129" s="970" t="n">
        <f aca="false">D129*E129*$H$125</f>
        <v>0</v>
      </c>
      <c r="I129" s="971" t="n">
        <f aca="false">IF(G129&gt;H129,G129,H129)*$H$124</f>
        <v>0</v>
      </c>
      <c r="J129" s="936"/>
      <c r="K129" s="937"/>
    </row>
    <row r="130" customFormat="false" ht="15.75" hidden="true" customHeight="false" outlineLevel="0" collapsed="false">
      <c r="A130" s="937"/>
      <c r="B130" s="992" t="str">
        <f aca="false">фундамент!A275</f>
        <v>Раствор, м200</v>
      </c>
      <c r="C130" s="993" t="str">
        <f aca="false">фундамент!B275</f>
        <v>м3</v>
      </c>
      <c r="D130" s="992" t="n">
        <f aca="false">фундамент!C275</f>
        <v>0.949536</v>
      </c>
      <c r="E130" s="992" t="n">
        <f aca="false">фундамент!D275</f>
        <v>2100</v>
      </c>
      <c r="F130" s="992"/>
      <c r="G130" s="967" t="n">
        <f aca="false">IF(F130&gt;0,D130*F130,E130*D130)</f>
        <v>1994.0256</v>
      </c>
      <c r="H130" s="970" t="n">
        <f aca="false">D130*E130*$H$125</f>
        <v>0</v>
      </c>
      <c r="I130" s="971" t="n">
        <f aca="false">IF(G130&gt;H130,G130,H130)*$H$124</f>
        <v>0</v>
      </c>
      <c r="J130" s="936"/>
      <c r="K130" s="937"/>
    </row>
    <row r="131" customFormat="false" ht="15.75" hidden="true" customHeight="false" outlineLevel="0" collapsed="false">
      <c r="A131" s="937"/>
      <c r="B131" s="992" t="str">
        <f aca="false">фундамент!A276</f>
        <v>Электроды ок 47</v>
      </c>
      <c r="C131" s="993" t="str">
        <f aca="false">фундамент!B276</f>
        <v>шт</v>
      </c>
      <c r="D131" s="992" t="n">
        <f aca="false">фундамент!C276</f>
        <v>21</v>
      </c>
      <c r="E131" s="992" t="n">
        <f aca="false">фундамент!D276</f>
        <v>10</v>
      </c>
      <c r="F131" s="992"/>
      <c r="G131" s="967" t="n">
        <f aca="false">IF(F131&gt;0,D131*F131,E131*D131)</f>
        <v>210</v>
      </c>
      <c r="H131" s="970" t="n">
        <f aca="false">D131*E131*$H$125</f>
        <v>0</v>
      </c>
      <c r="I131" s="971" t="n">
        <f aca="false">IF(G131&gt;H131,G131,H131)*$H$124</f>
        <v>0</v>
      </c>
      <c r="J131" s="936"/>
      <c r="K131" s="937"/>
    </row>
    <row r="132" customFormat="false" ht="15.75" hidden="true" customHeight="false" outlineLevel="0" collapsed="false">
      <c r="A132" s="937"/>
      <c r="B132" s="973" t="s">
        <v>2247</v>
      </c>
      <c r="C132" s="973"/>
      <c r="D132" s="973"/>
      <c r="E132" s="973"/>
      <c r="F132" s="973"/>
      <c r="G132" s="970" t="n">
        <f aca="false">SUM(G126:G131)*H124</f>
        <v>0</v>
      </c>
      <c r="H132" s="970" t="n">
        <f aca="false">SUM(H126:H131)</f>
        <v>0</v>
      </c>
      <c r="I132" s="971" t="n">
        <f aca="false">IF(G132&gt;H132,G132,H132)*$H$124</f>
        <v>0</v>
      </c>
      <c r="J132" s="936"/>
      <c r="K132" s="937"/>
    </row>
    <row r="133" customFormat="false" ht="15.75" hidden="true" customHeight="false" outlineLevel="0" collapsed="false">
      <c r="A133" s="937"/>
      <c r="B133" s="976" t="s">
        <v>2007</v>
      </c>
      <c r="C133" s="976"/>
      <c r="D133" s="976"/>
      <c r="E133" s="976"/>
      <c r="F133" s="976"/>
      <c r="G133" s="977"/>
      <c r="H133" s="994" t="n">
        <f aca="false">H124</f>
        <v>0</v>
      </c>
      <c r="I133" s="983" t="n">
        <f aca="false">H133</f>
        <v>0</v>
      </c>
      <c r="J133" s="931"/>
      <c r="K133" s="937"/>
    </row>
    <row r="134" customFormat="false" ht="15.75" hidden="true" customHeight="false" outlineLevel="0" collapsed="false">
      <c r="A134" s="931"/>
      <c r="B134" s="995" t="str">
        <f aca="false">фундамент!G271</f>
        <v>разбивка осей</v>
      </c>
      <c r="C134" s="993" t="s">
        <v>48</v>
      </c>
      <c r="D134" s="996" t="n">
        <f aca="false">фундамент!J271</f>
        <v>1</v>
      </c>
      <c r="E134" s="997" t="n">
        <f aca="false">фундамент!K271</f>
        <v>7000</v>
      </c>
      <c r="F134" s="997"/>
      <c r="G134" s="967" t="n">
        <f aca="false">IF(F134&gt;0,D134*F134,E134*D134)</f>
        <v>7000</v>
      </c>
      <c r="H134" s="970" t="n">
        <f aca="false">D134*E134*$H$125</f>
        <v>0</v>
      </c>
      <c r="I134" s="971" t="n">
        <f aca="false">IF(G134&gt;H134,G134,H134)*$H$124</f>
        <v>0</v>
      </c>
      <c r="L134" s="926"/>
      <c r="M134" s="926"/>
      <c r="N134" s="926"/>
    </row>
    <row r="135" customFormat="false" ht="15.75" hidden="true" customHeight="false" outlineLevel="0" collapsed="false">
      <c r="A135" s="937"/>
      <c r="B135" s="995" t="str">
        <f aca="false">фундамент!G272</f>
        <v>монтаж свай</v>
      </c>
      <c r="C135" s="993" t="s">
        <v>48</v>
      </c>
      <c r="D135" s="996" t="n">
        <f aca="false">фундамент!J272</f>
        <v>21</v>
      </c>
      <c r="E135" s="997" t="n">
        <f aca="false">фундамент!K272</f>
        <v>1000</v>
      </c>
      <c r="F135" s="997"/>
      <c r="G135" s="967" t="n">
        <f aca="false">IF(F135&gt;0,D135*F135,E135*D135)</f>
        <v>21000</v>
      </c>
      <c r="H135" s="970" t="n">
        <f aca="false">D135*E135*$H$125</f>
        <v>0</v>
      </c>
      <c r="I135" s="971" t="n">
        <f aca="false">IF(G135&gt;H135,G135,H135)*$H$124</f>
        <v>0</v>
      </c>
      <c r="L135" s="926"/>
      <c r="M135" s="926"/>
      <c r="N135" s="926"/>
    </row>
    <row r="136" customFormat="false" ht="15.75" hidden="true" customHeight="false" outlineLevel="0" collapsed="false">
      <c r="A136" s="937"/>
      <c r="B136" s="995" t="str">
        <f aca="false">фундамент!G273</f>
        <v>монтаж оголовков</v>
      </c>
      <c r="C136" s="993" t="s">
        <v>48</v>
      </c>
      <c r="D136" s="996" t="n">
        <f aca="false">фундамент!J273</f>
        <v>21</v>
      </c>
      <c r="E136" s="997" t="n">
        <f aca="false">фундамент!K273</f>
        <v>100</v>
      </c>
      <c r="F136" s="997"/>
      <c r="G136" s="967" t="n">
        <f aca="false">IF(F136&gt;0,D136*F136,E136*D136)</f>
        <v>2100</v>
      </c>
      <c r="H136" s="970" t="n">
        <f aca="false">D136*E136*$H$125</f>
        <v>0</v>
      </c>
      <c r="I136" s="971" t="n">
        <f aca="false">IF(G136&gt;H136,G136,H136)*$H$124</f>
        <v>0</v>
      </c>
      <c r="L136" s="926"/>
      <c r="M136" s="926"/>
      <c r="N136" s="926"/>
    </row>
    <row r="137" customFormat="false" ht="15.75" hidden="true" customHeight="false" outlineLevel="0" collapsed="false">
      <c r="A137" s="937"/>
      <c r="B137" s="995" t="str">
        <f aca="false">фундамент!G274</f>
        <v>обвязка металлом</v>
      </c>
      <c r="C137" s="993" t="s">
        <v>15</v>
      </c>
      <c r="D137" s="996" t="n">
        <f aca="false">фундамент!J274</f>
        <v>48</v>
      </c>
      <c r="E137" s="997" t="n">
        <f aca="false">фундамент!K274</f>
        <v>100</v>
      </c>
      <c r="F137" s="997"/>
      <c r="G137" s="967" t="n">
        <f aca="false">IF(F137&gt;0,D137*F137,E137*D137)</f>
        <v>4800</v>
      </c>
      <c r="H137" s="970" t="n">
        <f aca="false">D137*E137*$H$125</f>
        <v>0</v>
      </c>
      <c r="I137" s="971" t="n">
        <f aca="false">IF(G137&gt;H137,G137,H137)*$H$124</f>
        <v>0</v>
      </c>
      <c r="L137" s="926"/>
      <c r="M137" s="926"/>
      <c r="N137" s="926"/>
    </row>
    <row r="138" customFormat="false" ht="15.75" hidden="true" customHeight="false" outlineLevel="0" collapsed="false">
      <c r="A138" s="937"/>
      <c r="B138" s="995" t="str">
        <f aca="false">фундамент!G275</f>
        <v>заливка бетоном</v>
      </c>
      <c r="C138" s="993" t="s">
        <v>48</v>
      </c>
      <c r="D138" s="996" t="n">
        <f aca="false">фундамент!J275</f>
        <v>21</v>
      </c>
      <c r="E138" s="997" t="n">
        <f aca="false">фундамент!K275</f>
        <v>200</v>
      </c>
      <c r="F138" s="997"/>
      <c r="G138" s="967" t="n">
        <f aca="false">IF(F138&gt;0,D138*F138,E138*D138)</f>
        <v>4200</v>
      </c>
      <c r="H138" s="970" t="n">
        <f aca="false">D138*E138*$H$125</f>
        <v>0</v>
      </c>
      <c r="I138" s="971" t="n">
        <f aca="false">IF(G138&gt;H138,G138,H138)*$H$124</f>
        <v>0</v>
      </c>
      <c r="J138" s="936"/>
      <c r="K138" s="937"/>
    </row>
    <row r="139" customFormat="false" ht="15.75" hidden="true" customHeight="false" outlineLevel="0" collapsed="false">
      <c r="A139" s="937"/>
      <c r="B139" s="995" t="str">
        <f aca="false">фундамент!G276</f>
        <v>Обрезка винтовых свай по невелиру</v>
      </c>
      <c r="C139" s="993" t="s">
        <v>48</v>
      </c>
      <c r="D139" s="996" t="n">
        <f aca="false">фундамент!J276</f>
        <v>21</v>
      </c>
      <c r="E139" s="997" t="n">
        <f aca="false">фундамент!K276</f>
        <v>200</v>
      </c>
      <c r="F139" s="997"/>
      <c r="G139" s="967" t="n">
        <f aca="false">IF(F139&gt;0,D139*F139,E139*D139)</f>
        <v>4200</v>
      </c>
      <c r="H139" s="970" t="n">
        <f aca="false">D139*E139*$H$125</f>
        <v>0</v>
      </c>
      <c r="I139" s="971" t="n">
        <f aca="false">IF(G139&gt;H139,G139,H139)*$H$124</f>
        <v>0</v>
      </c>
      <c r="J139" s="936"/>
      <c r="K139" s="937"/>
    </row>
    <row r="140" customFormat="false" ht="15.75" hidden="true" customHeight="false" outlineLevel="0" collapsed="false">
      <c r="A140" s="937"/>
      <c r="B140" s="995" t="str">
        <f aca="false">фундамент!G277</f>
        <v>Наварка оголовка</v>
      </c>
      <c r="C140" s="993" t="s">
        <v>48</v>
      </c>
      <c r="D140" s="996" t="n">
        <f aca="false">фундамент!J277</f>
        <v>21</v>
      </c>
      <c r="E140" s="997" t="n">
        <f aca="false">фундамент!K277</f>
        <v>250</v>
      </c>
      <c r="F140" s="997"/>
      <c r="G140" s="967" t="n">
        <f aca="false">IF(F140&gt;0,D140*F140,E140*D140)</f>
        <v>5250</v>
      </c>
      <c r="H140" s="970" t="n">
        <f aca="false">D140*E140*$H$125</f>
        <v>0</v>
      </c>
      <c r="I140" s="971" t="n">
        <f aca="false">IF(G140&gt;H140,G140,H140)*$H$124</f>
        <v>0</v>
      </c>
      <c r="J140" s="936"/>
      <c r="K140" s="937"/>
    </row>
    <row r="141" customFormat="false" ht="15.75" hidden="true" customHeight="false" outlineLevel="0" collapsed="false">
      <c r="A141" s="937"/>
      <c r="B141" s="973" t="s">
        <v>2248</v>
      </c>
      <c r="C141" s="973"/>
      <c r="D141" s="973"/>
      <c r="E141" s="973"/>
      <c r="F141" s="973"/>
      <c r="G141" s="970" t="n">
        <f aca="false">SUM(G134:G140)*H133</f>
        <v>0</v>
      </c>
      <c r="H141" s="970" t="n">
        <f aca="false">SUM(H134:H140)</f>
        <v>0</v>
      </c>
      <c r="I141" s="971" t="n">
        <f aca="false">IF(G141&gt;H141,G141,H141)*$H$124</f>
        <v>0</v>
      </c>
      <c r="J141" s="936"/>
      <c r="K141" s="937"/>
    </row>
    <row r="142" customFormat="false" ht="21" hidden="true" customHeight="false" outlineLevel="0" collapsed="false">
      <c r="A142" s="937"/>
      <c r="B142" s="998" t="s">
        <v>2253</v>
      </c>
      <c r="C142" s="998"/>
      <c r="D142" s="998"/>
      <c r="E142" s="998"/>
      <c r="F142" s="999"/>
      <c r="G142" s="977"/>
      <c r="H142" s="1000" t="n">
        <f aca="false">фундамент!B287*VLOOKUP('Ввод данных'!D663,связи1!A2:B3,2,0)</f>
        <v>0</v>
      </c>
      <c r="I142" s="983" t="n">
        <f aca="false">H142</f>
        <v>0</v>
      </c>
      <c r="J142" s="931"/>
      <c r="K142" s="937"/>
    </row>
    <row r="143" customFormat="false" ht="15.75" hidden="true" customHeight="false" outlineLevel="0" collapsed="false">
      <c r="A143" s="937"/>
      <c r="B143" s="984" t="s">
        <v>2246</v>
      </c>
      <c r="C143" s="984"/>
      <c r="D143" s="984"/>
      <c r="E143" s="984"/>
      <c r="F143" s="1001"/>
      <c r="G143" s="977"/>
      <c r="H143" s="1000" t="n">
        <f aca="false">H142</f>
        <v>0</v>
      </c>
      <c r="I143" s="983" t="n">
        <f aca="false">H143</f>
        <v>0</v>
      </c>
      <c r="J143" s="931"/>
      <c r="K143" s="937"/>
    </row>
    <row r="144" customFormat="false" ht="15.75" hidden="true" customHeight="false" outlineLevel="0" collapsed="false">
      <c r="A144" s="937"/>
      <c r="B144" s="1002" t="str">
        <f aca="false">фундамент!A290</f>
        <v>пробное забуривание</v>
      </c>
      <c r="C144" s="1003" t="str">
        <f aca="false">C126</f>
        <v>шт</v>
      </c>
      <c r="D144" s="953" t="n">
        <f aca="false">фундамент!C290</f>
        <v>1</v>
      </c>
      <c r="E144" s="1004" t="n">
        <f aca="false">фундамент!D290</f>
        <v>5000</v>
      </c>
      <c r="F144" s="1004"/>
      <c r="G144" s="967" t="n">
        <f aca="false">IF(F144&gt;0,D144*F144,E144*D144)</f>
        <v>5000</v>
      </c>
      <c r="H144" s="970" t="n">
        <f aca="false">D144*E144*$H$142</f>
        <v>0</v>
      </c>
      <c r="I144" s="971" t="n">
        <f aca="false">IF(G144&gt;H144,G144,H144)*$H$142</f>
        <v>0</v>
      </c>
      <c r="J144" s="936"/>
      <c r="K144" s="937"/>
    </row>
    <row r="145" customFormat="false" ht="15.75" hidden="true" customHeight="false" outlineLevel="0" collapsed="false">
      <c r="A145" s="937"/>
      <c r="B145" s="1002" t="str">
        <f aca="false">фундамент!A291</f>
        <v>76мм, 3,5м длина, 2 лопасть</v>
      </c>
      <c r="C145" s="1003" t="str">
        <f aca="false">C127</f>
        <v>шт</v>
      </c>
      <c r="D145" s="953" t="n">
        <f aca="false">фундамент!C291</f>
        <v>8</v>
      </c>
      <c r="E145" s="1004" t="n">
        <f aca="false">фундамент!D291</f>
        <v>2130</v>
      </c>
      <c r="F145" s="1004"/>
      <c r="G145" s="967" t="n">
        <f aca="false">IF(F145&gt;0,D145*F145,E145*D145)</f>
        <v>17040</v>
      </c>
      <c r="H145" s="970" t="n">
        <f aca="false">D145*E145*$H$142</f>
        <v>0</v>
      </c>
      <c r="I145" s="971" t="n">
        <f aca="false">IF(G145&gt;H145,G145,H145)*$H$142</f>
        <v>0</v>
      </c>
      <c r="J145" s="936"/>
      <c r="K145" s="937"/>
    </row>
    <row r="146" customFormat="false" ht="15.75" hidden="true" customHeight="false" outlineLevel="0" collapsed="false">
      <c r="A146" s="937"/>
      <c r="B146" s="1002" t="str">
        <f aca="false">фундамент!A292</f>
        <v>Оголовкок для свай 200*200</v>
      </c>
      <c r="C146" s="1003" t="str">
        <f aca="false">C128</f>
        <v>шт</v>
      </c>
      <c r="D146" s="953" t="n">
        <f aca="false">фундамент!C292</f>
        <v>8</v>
      </c>
      <c r="E146" s="1004" t="n">
        <f aca="false">фундамент!D292</f>
        <v>250</v>
      </c>
      <c r="F146" s="1004"/>
      <c r="G146" s="967" t="n">
        <f aca="false">IF(F146&gt;0,D146*F146,E146*D146)</f>
        <v>2000</v>
      </c>
      <c r="H146" s="970" t="n">
        <f aca="false">D146*E146*$H$142</f>
        <v>0</v>
      </c>
      <c r="I146" s="971" t="n">
        <f aca="false">IF(G146&gt;H146,G146,H146)*$H$142</f>
        <v>0</v>
      </c>
      <c r="J146" s="936"/>
      <c r="K146" s="937"/>
    </row>
    <row r="147" customFormat="false" ht="15.75" hidden="true" customHeight="false" outlineLevel="0" collapsed="false">
      <c r="A147" s="937"/>
      <c r="B147" s="1002" t="str">
        <f aca="false">фундамент!A293</f>
        <v>обвязка металлом, 20/40/3000</v>
      </c>
      <c r="C147" s="1003" t="str">
        <f aca="false">C129</f>
        <v>м.п.</v>
      </c>
      <c r="D147" s="953" t="n">
        <f aca="false">фундамент!C293</f>
        <v>8</v>
      </c>
      <c r="E147" s="1004" t="n">
        <f aca="false">фундамент!D293</f>
        <v>100</v>
      </c>
      <c r="F147" s="1004"/>
      <c r="G147" s="967" t="n">
        <f aca="false">IF(F147&gt;0,D147*F147,E147*D147)</f>
        <v>800</v>
      </c>
      <c r="H147" s="970" t="n">
        <f aca="false">D147*E147*$H$142</f>
        <v>0</v>
      </c>
      <c r="I147" s="971" t="n">
        <f aca="false">IF(G147&gt;H147,G147,H147)*$H$142</f>
        <v>0</v>
      </c>
      <c r="J147" s="936"/>
      <c r="K147" s="937"/>
    </row>
    <row r="148" customFormat="false" ht="15.75" hidden="true" customHeight="false" outlineLevel="0" collapsed="false">
      <c r="A148" s="937"/>
      <c r="B148" s="1002" t="str">
        <f aca="false">фундамент!A294</f>
        <v>Раствор, м200</v>
      </c>
      <c r="C148" s="1003" t="str">
        <f aca="false">C130</f>
        <v>м3</v>
      </c>
      <c r="D148" s="953" t="n">
        <f aca="false">фундамент!C294</f>
        <v>0.361728</v>
      </c>
      <c r="E148" s="1004" t="n">
        <f aca="false">фундамент!D294</f>
        <v>2100</v>
      </c>
      <c r="F148" s="1004"/>
      <c r="G148" s="967" t="n">
        <f aca="false">IF(F148&gt;0,D148*F148,E148*D148)</f>
        <v>759.6288</v>
      </c>
      <c r="H148" s="970" t="n">
        <f aca="false">D148*E148*$H$142</f>
        <v>0</v>
      </c>
      <c r="I148" s="971" t="n">
        <f aca="false">IF(G148&gt;H148,G148,H148)*$H$142</f>
        <v>0</v>
      </c>
      <c r="J148" s="936"/>
      <c r="K148" s="937"/>
    </row>
    <row r="149" customFormat="false" ht="15.75" hidden="true" customHeight="false" outlineLevel="0" collapsed="false">
      <c r="A149" s="937"/>
      <c r="B149" s="1002" t="str">
        <f aca="false">фундамент!A295</f>
        <v>Электроды ок 47</v>
      </c>
      <c r="C149" s="1003" t="str">
        <f aca="false">C131</f>
        <v>шт</v>
      </c>
      <c r="D149" s="953" t="n">
        <f aca="false">фундамент!C295</f>
        <v>8</v>
      </c>
      <c r="E149" s="1004" t="n">
        <f aca="false">фундамент!D295</f>
        <v>10</v>
      </c>
      <c r="F149" s="1004"/>
      <c r="G149" s="967" t="n">
        <f aca="false">IF(F149&gt;0,D149*F149,E149*D149)</f>
        <v>80</v>
      </c>
      <c r="H149" s="970" t="n">
        <f aca="false">D149*E149*$H$142</f>
        <v>0</v>
      </c>
      <c r="I149" s="971" t="n">
        <f aca="false">IF(G149&gt;H149,G149,H149)*$H$142</f>
        <v>0</v>
      </c>
      <c r="J149" s="936"/>
      <c r="K149" s="937"/>
    </row>
    <row r="150" customFormat="false" ht="15.75" hidden="true" customHeight="false" outlineLevel="0" collapsed="false">
      <c r="A150" s="937"/>
      <c r="B150" s="973" t="s">
        <v>2247</v>
      </c>
      <c r="C150" s="973"/>
      <c r="D150" s="973"/>
      <c r="E150" s="973"/>
      <c r="F150" s="973"/>
      <c r="G150" s="970" t="n">
        <f aca="false">SUM(G144:G149)*H142</f>
        <v>0</v>
      </c>
      <c r="H150" s="970" t="n">
        <f aca="false">SUM(H144:H149)</f>
        <v>0</v>
      </c>
      <c r="I150" s="971" t="n">
        <f aca="false">IF(G150&gt;H150,G150,H150)*$H$142</f>
        <v>0</v>
      </c>
      <c r="J150" s="936"/>
      <c r="K150" s="937"/>
    </row>
    <row r="151" customFormat="false" ht="15.75" hidden="true" customHeight="false" outlineLevel="0" collapsed="false">
      <c r="A151" s="937"/>
      <c r="B151" s="1005" t="str">
        <f aca="false">B133</f>
        <v>Работы</v>
      </c>
      <c r="C151" s="1005"/>
      <c r="D151" s="1005"/>
      <c r="E151" s="1005"/>
      <c r="F151" s="1006"/>
      <c r="G151" s="977"/>
      <c r="H151" s="1000" t="n">
        <f aca="false">H142</f>
        <v>0</v>
      </c>
      <c r="I151" s="983" t="n">
        <f aca="false">H151</f>
        <v>0</v>
      </c>
      <c r="J151" s="931"/>
      <c r="K151" s="937"/>
    </row>
    <row r="152" customFormat="false" ht="15.75" hidden="true" customHeight="false" outlineLevel="0" collapsed="false">
      <c r="A152" s="937"/>
      <c r="B152" s="1002" t="str">
        <f aca="false">фундамент!G290</f>
        <v>разбивка осей</v>
      </c>
      <c r="C152" s="1003" t="str">
        <f aca="false">фундамент!I290</f>
        <v>шт</v>
      </c>
      <c r="D152" s="953" t="n">
        <f aca="false">фундамент!J290</f>
        <v>1</v>
      </c>
      <c r="E152" s="1004" t="n">
        <f aca="false">фундамент!K290</f>
        <v>7000</v>
      </c>
      <c r="F152" s="1004"/>
      <c r="G152" s="967" t="n">
        <f aca="false">IF(F152&gt;0,D152*F152,E152*D152)</f>
        <v>7000</v>
      </c>
      <c r="H152" s="970" t="n">
        <f aca="false">D152*E152*$H$151</f>
        <v>0</v>
      </c>
      <c r="I152" s="971" t="n">
        <f aca="false">IF(G152&gt;H152,G152,H152)*$H$142</f>
        <v>0</v>
      </c>
      <c r="J152" s="936"/>
      <c r="K152" s="937"/>
    </row>
    <row r="153" customFormat="false" ht="15.75" hidden="true" customHeight="false" outlineLevel="0" collapsed="false">
      <c r="A153" s="937"/>
      <c r="B153" s="1002" t="str">
        <f aca="false">фундамент!G291</f>
        <v>монтаж свай гидравликой</v>
      </c>
      <c r="C153" s="1003" t="str">
        <f aca="false">фундамент!I291</f>
        <v>шт</v>
      </c>
      <c r="D153" s="953" t="n">
        <f aca="false">фундамент!J291</f>
        <v>1</v>
      </c>
      <c r="E153" s="1004" t="n">
        <f aca="false">фундамент!K291</f>
        <v>1000</v>
      </c>
      <c r="F153" s="1004"/>
      <c r="G153" s="967" t="n">
        <f aca="false">IF(F153&gt;0,D153*F153,E153*D153)</f>
        <v>1000</v>
      </c>
      <c r="H153" s="970" t="n">
        <f aca="false">D153*E153*$H$151</f>
        <v>0</v>
      </c>
      <c r="I153" s="971" t="n">
        <f aca="false">IF(G153&gt;H153,G153,H153)*$H$142</f>
        <v>0</v>
      </c>
      <c r="J153" s="936"/>
      <c r="K153" s="937"/>
    </row>
    <row r="154" customFormat="false" ht="15.75" hidden="true" customHeight="false" outlineLevel="0" collapsed="false">
      <c r="A154" s="937"/>
      <c r="B154" s="1002" t="str">
        <f aca="false">фундамент!G292</f>
        <v>монтаж оголовков</v>
      </c>
      <c r="C154" s="1003" t="str">
        <f aca="false">фундамент!I292</f>
        <v>шт</v>
      </c>
      <c r="D154" s="953" t="n">
        <f aca="false">фундамент!J292</f>
        <v>8</v>
      </c>
      <c r="E154" s="1004" t="n">
        <f aca="false">фундамент!K292</f>
        <v>100</v>
      </c>
      <c r="F154" s="1004"/>
      <c r="G154" s="967" t="n">
        <f aca="false">IF(F154&gt;0,D154*F154,E154*D154)</f>
        <v>800</v>
      </c>
      <c r="H154" s="970" t="n">
        <f aca="false">D154*E154*$H$151</f>
        <v>0</v>
      </c>
      <c r="I154" s="971" t="n">
        <f aca="false">IF(G154&gt;H154,G154,H154)*$H$142</f>
        <v>0</v>
      </c>
      <c r="J154" s="936"/>
      <c r="K154" s="937"/>
    </row>
    <row r="155" customFormat="false" ht="15.75" hidden="true" customHeight="false" outlineLevel="0" collapsed="false">
      <c r="A155" s="937"/>
      <c r="B155" s="1002" t="str">
        <f aca="false">фундамент!G293</f>
        <v>обвязка металлом</v>
      </c>
      <c r="C155" s="1003" t="str">
        <f aca="false">фундамент!I293</f>
        <v>м.п.</v>
      </c>
      <c r="D155" s="953" t="n">
        <f aca="false">фундамент!J293</f>
        <v>8</v>
      </c>
      <c r="E155" s="1004" t="n">
        <f aca="false">фундамент!K293</f>
        <v>100</v>
      </c>
      <c r="F155" s="1004"/>
      <c r="G155" s="967" t="n">
        <f aca="false">IF(F155&gt;0,D155*F155,E155*D155)</f>
        <v>800</v>
      </c>
      <c r="H155" s="970" t="n">
        <f aca="false">D155*E155*$H$151</f>
        <v>0</v>
      </c>
      <c r="I155" s="971" t="n">
        <f aca="false">IF(G155&gt;H155,G155,H155)*$H$142</f>
        <v>0</v>
      </c>
      <c r="J155" s="936"/>
      <c r="K155" s="937"/>
    </row>
    <row r="156" customFormat="false" ht="15.75" hidden="true" customHeight="false" outlineLevel="0" collapsed="false">
      <c r="A156" s="937"/>
      <c r="B156" s="1002" t="str">
        <f aca="false">фундамент!G294</f>
        <v>заливка бетоном</v>
      </c>
      <c r="C156" s="1003" t="str">
        <f aca="false">фундамент!I294</f>
        <v>шт</v>
      </c>
      <c r="D156" s="953" t="n">
        <f aca="false">фундамент!J294</f>
        <v>8</v>
      </c>
      <c r="E156" s="1004" t="n">
        <f aca="false">фундамент!K294</f>
        <v>200</v>
      </c>
      <c r="F156" s="1004"/>
      <c r="G156" s="967" t="n">
        <f aca="false">IF(F156&gt;0,D156*F156,E156*D156)</f>
        <v>1600</v>
      </c>
      <c r="H156" s="970" t="n">
        <f aca="false">D156*E156*$H$151</f>
        <v>0</v>
      </c>
      <c r="I156" s="971" t="n">
        <f aca="false">IF(G156&gt;H156,G156,H156)*$H$142</f>
        <v>0</v>
      </c>
      <c r="J156" s="936"/>
      <c r="K156" s="937"/>
    </row>
    <row r="157" customFormat="false" ht="15.75" hidden="true" customHeight="false" outlineLevel="0" collapsed="false">
      <c r="A157" s="937"/>
      <c r="B157" s="1002" t="str">
        <f aca="false">фундамент!G295</f>
        <v>Обрезка винтовых свай по невелиру</v>
      </c>
      <c r="C157" s="1003" t="str">
        <f aca="false">фундамент!I295</f>
        <v>шт</v>
      </c>
      <c r="D157" s="953" t="n">
        <f aca="false">фундамент!J295</f>
        <v>8</v>
      </c>
      <c r="E157" s="1004" t="n">
        <f aca="false">фундамент!K295</f>
        <v>200</v>
      </c>
      <c r="F157" s="1004"/>
      <c r="G157" s="967" t="n">
        <f aca="false">IF(F157&gt;0,D157*F157,E157*D157)</f>
        <v>1600</v>
      </c>
      <c r="H157" s="970" t="n">
        <f aca="false">D157*E157*$H$151</f>
        <v>0</v>
      </c>
      <c r="I157" s="971" t="n">
        <f aca="false">IF(G157&gt;H157,G157,H157)*$H$142</f>
        <v>0</v>
      </c>
      <c r="J157" s="936"/>
      <c r="K157" s="937"/>
    </row>
    <row r="158" customFormat="false" ht="15.75" hidden="true" customHeight="false" outlineLevel="0" collapsed="false">
      <c r="A158" s="937"/>
      <c r="B158" s="1002" t="str">
        <f aca="false">фундамент!G296</f>
        <v>Наварка оголовка</v>
      </c>
      <c r="C158" s="1003" t="str">
        <f aca="false">фундамент!I296</f>
        <v>шт</v>
      </c>
      <c r="D158" s="953" t="n">
        <f aca="false">фундамент!J296</f>
        <v>8</v>
      </c>
      <c r="E158" s="1004" t="n">
        <f aca="false">фундамент!K296</f>
        <v>250</v>
      </c>
      <c r="F158" s="1004"/>
      <c r="G158" s="967" t="n">
        <f aca="false">IF(F158&gt;0,D158*F158,E158*D158)</f>
        <v>2000</v>
      </c>
      <c r="H158" s="970" t="n">
        <f aca="false">D158*E158*$H$151</f>
        <v>0</v>
      </c>
      <c r="I158" s="971" t="n">
        <f aca="false">IF(G158&gt;H158,G158,H158)*$H$142</f>
        <v>0</v>
      </c>
      <c r="J158" s="936"/>
      <c r="K158" s="937"/>
    </row>
    <row r="159" customFormat="false" ht="15.75" hidden="true" customHeight="false" outlineLevel="0" collapsed="false">
      <c r="A159" s="937"/>
      <c r="B159" s="973" t="s">
        <v>2248</v>
      </c>
      <c r="C159" s="973"/>
      <c r="D159" s="973"/>
      <c r="E159" s="973"/>
      <c r="F159" s="973"/>
      <c r="G159" s="970" t="n">
        <f aca="false">SUM(G152:G158)*H151</f>
        <v>0</v>
      </c>
      <c r="H159" s="970" t="n">
        <f aca="false">SUM(H152:H158)</f>
        <v>0</v>
      </c>
      <c r="I159" s="971" t="n">
        <f aca="false">IF(G159&gt;H159,G159,H159)*$H$142</f>
        <v>0</v>
      </c>
      <c r="J159" s="936"/>
      <c r="K159" s="937"/>
    </row>
    <row r="160" customFormat="false" ht="21" hidden="true" customHeight="false" outlineLevel="0" collapsed="false">
      <c r="A160" s="937"/>
      <c r="B160" s="998" t="s">
        <v>2254</v>
      </c>
      <c r="C160" s="998"/>
      <c r="D160" s="998"/>
      <c r="E160" s="998"/>
      <c r="F160" s="999"/>
      <c r="G160" s="977"/>
      <c r="H160" s="1000" t="n">
        <f aca="false">фундамент!B302</f>
        <v>0</v>
      </c>
      <c r="I160" s="983" t="n">
        <f aca="false">H160</f>
        <v>0</v>
      </c>
      <c r="J160" s="931"/>
      <c r="K160" s="937"/>
    </row>
    <row r="161" customFormat="false" ht="15.75" hidden="true" customHeight="false" outlineLevel="0" collapsed="false">
      <c r="A161" s="937"/>
      <c r="B161" s="984" t="s">
        <v>2246</v>
      </c>
      <c r="C161" s="984"/>
      <c r="D161" s="984"/>
      <c r="E161" s="984"/>
      <c r="F161" s="1001"/>
      <c r="G161" s="977"/>
      <c r="H161" s="1000" t="n">
        <f aca="false">H160</f>
        <v>0</v>
      </c>
      <c r="I161" s="983" t="n">
        <f aca="false">H161</f>
        <v>0</v>
      </c>
      <c r="J161" s="931"/>
      <c r="K161" s="937"/>
    </row>
    <row r="162" customFormat="false" ht="15.75" hidden="true" customHeight="false" outlineLevel="0" collapsed="false">
      <c r="A162" s="937"/>
      <c r="B162" s="1002" t="str">
        <f aca="false">фундамент!A305</f>
        <v>пробное забуривание</v>
      </c>
      <c r="C162" s="1003" t="str">
        <f aca="false">фундамент!B305</f>
        <v>шт</v>
      </c>
      <c r="D162" s="953" t="n">
        <f aca="false">фундамент!C305</f>
        <v>1</v>
      </c>
      <c r="E162" s="1004" t="n">
        <f aca="false">фундамент!D305</f>
        <v>5000</v>
      </c>
      <c r="F162" s="1004"/>
      <c r="G162" s="967" t="n">
        <f aca="false">IF(F162&gt;0,D162*F162,E162*D162)</f>
        <v>5000</v>
      </c>
      <c r="H162" s="970" t="n">
        <f aca="false">D162*E162*$H$160</f>
        <v>0</v>
      </c>
      <c r="I162" s="971" t="n">
        <f aca="false">IF(G162&gt;H162,G162,H162)*$H$160</f>
        <v>0</v>
      </c>
      <c r="J162" s="936"/>
      <c r="K162" s="937"/>
    </row>
    <row r="163" customFormat="false" ht="15.75" hidden="true" customHeight="false" outlineLevel="0" collapsed="false">
      <c r="A163" s="937"/>
      <c r="B163" s="1002" t="str">
        <f aca="false">фундамент!A306</f>
        <v>89мм, 3м длина, 1 лопасть</v>
      </c>
      <c r="C163" s="1003" t="str">
        <f aca="false">фундамент!B306</f>
        <v>шт</v>
      </c>
      <c r="D163" s="953" t="n">
        <f aca="false">фундамент!C306</f>
        <v>5</v>
      </c>
      <c r="E163" s="1004" t="n">
        <f aca="false">фундамент!D306</f>
        <v>1890</v>
      </c>
      <c r="F163" s="1004"/>
      <c r="G163" s="967" t="n">
        <f aca="false">IF(F163&gt;0,D163*F163,E163*D163)</f>
        <v>9450</v>
      </c>
      <c r="H163" s="970" t="n">
        <f aca="false">D163*E163*$H$160</f>
        <v>0</v>
      </c>
      <c r="I163" s="971" t="n">
        <f aca="false">IF(G163&gt;H163,G163,H163)*$H$160</f>
        <v>0</v>
      </c>
      <c r="J163" s="936"/>
      <c r="K163" s="937"/>
    </row>
    <row r="164" customFormat="false" ht="15.75" hidden="true" customHeight="false" outlineLevel="0" collapsed="false">
      <c r="A164" s="937"/>
      <c r="B164" s="1002" t="str">
        <f aca="false">фундамент!A307</f>
        <v>Оголовкок для свай 200*200</v>
      </c>
      <c r="C164" s="1003" t="str">
        <f aca="false">фундамент!B307</f>
        <v>шт</v>
      </c>
      <c r="D164" s="953" t="n">
        <f aca="false">фундамент!C307</f>
        <v>5</v>
      </c>
      <c r="E164" s="1004" t="n">
        <f aca="false">фундамент!D307</f>
        <v>250</v>
      </c>
      <c r="F164" s="1004"/>
      <c r="G164" s="967" t="n">
        <f aca="false">IF(F164&gt;0,D164*F164,E164*D164)</f>
        <v>1250</v>
      </c>
      <c r="H164" s="970" t="n">
        <f aca="false">D164*E164*$H$160</f>
        <v>0</v>
      </c>
      <c r="I164" s="971" t="n">
        <f aca="false">IF(G164&gt;H164,G164,H164)*$H$160</f>
        <v>0</v>
      </c>
      <c r="J164" s="936"/>
      <c r="K164" s="937"/>
    </row>
    <row r="165" customFormat="false" ht="15.75" hidden="true" customHeight="false" outlineLevel="0" collapsed="false">
      <c r="A165" s="937"/>
      <c r="B165" s="1002" t="str">
        <f aca="false">фундамент!A308</f>
        <v>обвязка металлом, 20/40/3000</v>
      </c>
      <c r="C165" s="1003" t="str">
        <f aca="false">фундамент!B308</f>
        <v>м.п.</v>
      </c>
      <c r="D165" s="953" t="n">
        <f aca="false">фундамент!C308</f>
        <v>5</v>
      </c>
      <c r="E165" s="1004" t="n">
        <f aca="false">фундамент!D308</f>
        <v>100</v>
      </c>
      <c r="F165" s="1004"/>
      <c r="G165" s="967" t="n">
        <f aca="false">IF(F165&gt;0,D165*F165,E165*D165)</f>
        <v>500</v>
      </c>
      <c r="H165" s="970" t="n">
        <f aca="false">D165*E165*$H$160</f>
        <v>0</v>
      </c>
      <c r="I165" s="971" t="n">
        <f aca="false">IF(G165&gt;H165,G165,H165)*$H$160</f>
        <v>0</v>
      </c>
      <c r="J165" s="936"/>
      <c r="K165" s="937"/>
    </row>
    <row r="166" customFormat="false" ht="15.75" hidden="true" customHeight="false" outlineLevel="0" collapsed="false">
      <c r="A166" s="937"/>
      <c r="B166" s="1002" t="str">
        <f aca="false">фундамент!A309</f>
        <v>Раствор, м200</v>
      </c>
      <c r="C166" s="1003" t="str">
        <f aca="false">фундамент!B309</f>
        <v>м3</v>
      </c>
      <c r="D166" s="953" t="n">
        <f aca="false">фундамент!C309</f>
        <v>0.22608</v>
      </c>
      <c r="E166" s="1004" t="n">
        <f aca="false">фундамент!D309</f>
        <v>2100</v>
      </c>
      <c r="F166" s="1004"/>
      <c r="G166" s="967" t="n">
        <f aca="false">IF(F166&gt;0,D166*F166,E166*D166)</f>
        <v>474.768</v>
      </c>
      <c r="H166" s="970" t="n">
        <f aca="false">D166*E166*$H$160</f>
        <v>0</v>
      </c>
      <c r="I166" s="971" t="n">
        <f aca="false">IF(G166&gt;H166,G166,H166)*$H$160</f>
        <v>0</v>
      </c>
      <c r="J166" s="936"/>
      <c r="K166" s="937"/>
    </row>
    <row r="167" customFormat="false" ht="15.75" hidden="true" customHeight="false" outlineLevel="0" collapsed="false">
      <c r="A167" s="937"/>
      <c r="B167" s="1002" t="str">
        <f aca="false">фундамент!A310</f>
        <v>Электроды ок 47</v>
      </c>
      <c r="C167" s="1003" t="str">
        <f aca="false">фундамент!B310</f>
        <v>шт</v>
      </c>
      <c r="D167" s="953" t="n">
        <f aca="false">фундамент!C310</f>
        <v>5</v>
      </c>
      <c r="E167" s="1004" t="n">
        <f aca="false">фундамент!D310</f>
        <v>10</v>
      </c>
      <c r="F167" s="1004"/>
      <c r="G167" s="967" t="n">
        <f aca="false">IF(F167&gt;0,D167*F167,E167*D167)</f>
        <v>50</v>
      </c>
      <c r="H167" s="970" t="n">
        <f aca="false">D167*E167*$H$160</f>
        <v>0</v>
      </c>
      <c r="I167" s="971" t="n">
        <f aca="false">IF(G167&gt;H167,G167,H167)*$H$160</f>
        <v>0</v>
      </c>
      <c r="J167" s="936"/>
      <c r="K167" s="937"/>
    </row>
    <row r="168" customFormat="false" ht="15.75" hidden="true" customHeight="false" outlineLevel="0" collapsed="false">
      <c r="A168" s="937"/>
      <c r="B168" s="973" t="s">
        <v>2247</v>
      </c>
      <c r="C168" s="973"/>
      <c r="D168" s="973"/>
      <c r="E168" s="973"/>
      <c r="F168" s="973"/>
      <c r="G168" s="970" t="n">
        <f aca="false">SUM(G162:G167)*H160</f>
        <v>0</v>
      </c>
      <c r="H168" s="970" t="n">
        <f aca="false">SUM(H162:H167)</f>
        <v>0</v>
      </c>
      <c r="I168" s="971" t="n">
        <f aca="false">IF(G168&gt;H168,G168,H168)*$H$160</f>
        <v>0</v>
      </c>
      <c r="J168" s="936"/>
      <c r="K168" s="937"/>
    </row>
    <row r="169" customFormat="false" ht="15.75" hidden="true" customHeight="false" outlineLevel="0" collapsed="false">
      <c r="A169" s="937"/>
      <c r="B169" s="1005" t="str">
        <f aca="false">B151</f>
        <v>Работы</v>
      </c>
      <c r="C169" s="1005"/>
      <c r="D169" s="1005"/>
      <c r="E169" s="1005"/>
      <c r="F169" s="1006"/>
      <c r="G169" s="977"/>
      <c r="H169" s="1000" t="n">
        <f aca="false">H161</f>
        <v>0</v>
      </c>
      <c r="I169" s="983" t="n">
        <f aca="false">H169</f>
        <v>0</v>
      </c>
      <c r="J169" s="931"/>
      <c r="K169" s="937"/>
    </row>
    <row r="170" customFormat="false" ht="15.75" hidden="true" customHeight="false" outlineLevel="0" collapsed="false">
      <c r="A170" s="937"/>
      <c r="B170" s="1002" t="str">
        <f aca="false">фундамент!G304</f>
        <v>разбивка осей</v>
      </c>
      <c r="C170" s="1003" t="str">
        <f aca="false">фундамент!I304</f>
        <v>шт</v>
      </c>
      <c r="D170" s="953" t="n">
        <f aca="false">фундамент!J304</f>
        <v>1</v>
      </c>
      <c r="E170" s="1004" t="n">
        <f aca="false">фундамент!K304</f>
        <v>7000</v>
      </c>
      <c r="F170" s="1004"/>
      <c r="G170" s="967" t="n">
        <f aca="false">IF(F170&gt;0,D170*F170,E170*D170)</f>
        <v>7000</v>
      </c>
      <c r="H170" s="970" t="n">
        <f aca="false">D170*E170*$H$169</f>
        <v>0</v>
      </c>
      <c r="I170" s="971" t="n">
        <f aca="false">IF(G170&gt;H170,G170,H170)*$H$160</f>
        <v>0</v>
      </c>
      <c r="J170" s="936"/>
      <c r="K170" s="937"/>
    </row>
    <row r="171" customFormat="false" ht="15.75" hidden="true" customHeight="false" outlineLevel="0" collapsed="false">
      <c r="A171" s="937"/>
      <c r="B171" s="1002" t="str">
        <f aca="false">фундамент!G305</f>
        <v>монтаж свай гидравликой</v>
      </c>
      <c r="C171" s="1003" t="str">
        <f aca="false">фундамент!I305</f>
        <v>шт</v>
      </c>
      <c r="D171" s="953" t="n">
        <f aca="false">фундамент!J305</f>
        <v>5</v>
      </c>
      <c r="E171" s="1004" t="n">
        <f aca="false">фундамент!K305</f>
        <v>1000</v>
      </c>
      <c r="F171" s="1004"/>
      <c r="G171" s="967" t="n">
        <f aca="false">IF(F171&gt;0,D171*F171,E171*D171)</f>
        <v>5000</v>
      </c>
      <c r="H171" s="970" t="n">
        <f aca="false">D171*E171*$H$169</f>
        <v>0</v>
      </c>
      <c r="I171" s="971" t="n">
        <f aca="false">IF(G171&gt;H171,G171,H171)*$H$160</f>
        <v>0</v>
      </c>
      <c r="J171" s="936"/>
      <c r="K171" s="937"/>
    </row>
    <row r="172" customFormat="false" ht="15.75" hidden="true" customHeight="false" outlineLevel="0" collapsed="false">
      <c r="A172" s="937"/>
      <c r="B172" s="1002" t="str">
        <f aca="false">фундамент!G306</f>
        <v>монтаж оголовков</v>
      </c>
      <c r="C172" s="1003" t="str">
        <f aca="false">фундамент!I306</f>
        <v>шт</v>
      </c>
      <c r="D172" s="953" t="n">
        <f aca="false">фундамент!J306</f>
        <v>5</v>
      </c>
      <c r="E172" s="1004" t="n">
        <f aca="false">фундамент!K306</f>
        <v>100</v>
      </c>
      <c r="F172" s="1004"/>
      <c r="G172" s="967" t="n">
        <f aca="false">IF(F172&gt;0,D172*F172,E172*D172)</f>
        <v>500</v>
      </c>
      <c r="H172" s="970" t="n">
        <f aca="false">D172*E172*$H$169</f>
        <v>0</v>
      </c>
      <c r="I172" s="971" t="n">
        <f aca="false">IF(G172&gt;H172,G172,H172)*$H$160</f>
        <v>0</v>
      </c>
      <c r="J172" s="936"/>
      <c r="K172" s="937"/>
    </row>
    <row r="173" customFormat="false" ht="15.75" hidden="true" customHeight="false" outlineLevel="0" collapsed="false">
      <c r="A173" s="937"/>
      <c r="B173" s="1002" t="str">
        <f aca="false">фундамент!G307</f>
        <v>обвязка металлом</v>
      </c>
      <c r="C173" s="1003" t="str">
        <f aca="false">фундамент!I307</f>
        <v>м.п.</v>
      </c>
      <c r="D173" s="953" t="n">
        <f aca="false">фундамент!J307</f>
        <v>5</v>
      </c>
      <c r="E173" s="1004" t="n">
        <f aca="false">фундамент!K307</f>
        <v>100</v>
      </c>
      <c r="F173" s="1004"/>
      <c r="G173" s="967" t="n">
        <f aca="false">IF(F173&gt;0,D173*F173,E173*D173)</f>
        <v>500</v>
      </c>
      <c r="H173" s="970" t="n">
        <f aca="false">D173*E173*$H$169</f>
        <v>0</v>
      </c>
      <c r="I173" s="971" t="n">
        <f aca="false">IF(G173&gt;H173,G173,H173)*$H$160</f>
        <v>0</v>
      </c>
      <c r="J173" s="936"/>
      <c r="K173" s="937"/>
    </row>
    <row r="174" customFormat="false" ht="15.75" hidden="true" customHeight="false" outlineLevel="0" collapsed="false">
      <c r="A174" s="937"/>
      <c r="B174" s="1002" t="str">
        <f aca="false">фундамент!G308</f>
        <v>заливка бетоном</v>
      </c>
      <c r="C174" s="1003" t="str">
        <f aca="false">фундамент!I308</f>
        <v>шт</v>
      </c>
      <c r="D174" s="953" t="n">
        <f aca="false">фундамент!J308</f>
        <v>5</v>
      </c>
      <c r="E174" s="1004" t="n">
        <f aca="false">фундамент!K308</f>
        <v>200</v>
      </c>
      <c r="F174" s="1004"/>
      <c r="G174" s="967" t="n">
        <f aca="false">IF(F174&gt;0,D174*F174,E174*D174)</f>
        <v>1000</v>
      </c>
      <c r="H174" s="970" t="n">
        <f aca="false">D174*E174*$H$169</f>
        <v>0</v>
      </c>
      <c r="I174" s="971" t="n">
        <f aca="false">IF(G174&gt;H174,G174,H174)*$H$160</f>
        <v>0</v>
      </c>
      <c r="J174" s="936"/>
      <c r="K174" s="937"/>
    </row>
    <row r="175" customFormat="false" ht="15.75" hidden="true" customHeight="false" outlineLevel="0" collapsed="false">
      <c r="A175" s="937"/>
      <c r="B175" s="1002" t="str">
        <f aca="false">фундамент!G309</f>
        <v>Обрезка винтовых свай по невелиру</v>
      </c>
      <c r="C175" s="1003" t="str">
        <f aca="false">фундамент!I309</f>
        <v>шт</v>
      </c>
      <c r="D175" s="953" t="n">
        <f aca="false">фундамент!J309</f>
        <v>5</v>
      </c>
      <c r="E175" s="1004" t="n">
        <f aca="false">фундамент!K309</f>
        <v>200</v>
      </c>
      <c r="F175" s="1004"/>
      <c r="G175" s="967" t="n">
        <f aca="false">IF(F175&gt;0,D175*F175,E175*D175)</f>
        <v>1000</v>
      </c>
      <c r="H175" s="970" t="n">
        <f aca="false">D175*E175*$H$169</f>
        <v>0</v>
      </c>
      <c r="I175" s="971" t="n">
        <f aca="false">IF(G175&gt;H175,G175,H175)*$H$160</f>
        <v>0</v>
      </c>
      <c r="J175" s="936"/>
      <c r="K175" s="937"/>
    </row>
    <row r="176" customFormat="false" ht="15.75" hidden="true" customHeight="false" outlineLevel="0" collapsed="false">
      <c r="A176" s="937"/>
      <c r="B176" s="1002" t="str">
        <f aca="false">фундамент!G310</f>
        <v>Наварка оголовка</v>
      </c>
      <c r="C176" s="1003" t="str">
        <f aca="false">фундамент!I310</f>
        <v>шт</v>
      </c>
      <c r="D176" s="953" t="n">
        <f aca="false">фундамент!J310</f>
        <v>5</v>
      </c>
      <c r="E176" s="1004" t="n">
        <f aca="false">фундамент!K310</f>
        <v>250</v>
      </c>
      <c r="F176" s="1004"/>
      <c r="G176" s="967" t="n">
        <f aca="false">IF(F176&gt;0,D176*F176,E176*D176)</f>
        <v>1250</v>
      </c>
      <c r="H176" s="970" t="n">
        <f aca="false">D176*E176*$H$169</f>
        <v>0</v>
      </c>
      <c r="I176" s="971" t="n">
        <f aca="false">IF(G176&gt;H176,G176,H176)*$H$160</f>
        <v>0</v>
      </c>
      <c r="J176" s="936"/>
      <c r="K176" s="937"/>
    </row>
    <row r="177" customFormat="false" ht="15.75" hidden="true" customHeight="false" outlineLevel="0" collapsed="false">
      <c r="A177" s="937"/>
      <c r="B177" s="973" t="s">
        <v>2248</v>
      </c>
      <c r="C177" s="973"/>
      <c r="D177" s="973"/>
      <c r="E177" s="973"/>
      <c r="F177" s="973"/>
      <c r="G177" s="970" t="n">
        <f aca="false">SUM(G170:G176)*H169</f>
        <v>0</v>
      </c>
      <c r="H177" s="970" t="n">
        <f aca="false">SUM(H170:H176)</f>
        <v>0</v>
      </c>
      <c r="I177" s="971" t="n">
        <f aca="false">IF(G177&gt;H177,G177,H177)*$H$160</f>
        <v>0</v>
      </c>
      <c r="J177" s="936"/>
      <c r="K177" s="937"/>
    </row>
    <row r="178" customFormat="false" ht="21" hidden="true" customHeight="false" outlineLevel="0" collapsed="false">
      <c r="A178" s="937"/>
      <c r="B178" s="989" t="s">
        <v>2255</v>
      </c>
      <c r="C178" s="989"/>
      <c r="D178" s="989"/>
      <c r="E178" s="989"/>
      <c r="F178" s="989"/>
      <c r="G178" s="977"/>
      <c r="H178" s="1007" t="n">
        <f aca="false">IF('Ввод данных'!A21=связи1!F82,1,0)</f>
        <v>0</v>
      </c>
      <c r="I178" s="983" t="n">
        <f aca="false">H178</f>
        <v>0</v>
      </c>
      <c r="J178" s="931"/>
      <c r="K178" s="937"/>
    </row>
    <row r="179" customFormat="false" ht="15.75" hidden="true" customHeight="false" outlineLevel="0" collapsed="false">
      <c r="A179" s="931"/>
      <c r="B179" s="1008" t="s">
        <v>2246</v>
      </c>
      <c r="C179" s="1008"/>
      <c r="D179" s="1008"/>
      <c r="E179" s="1008"/>
      <c r="F179" s="1008"/>
      <c r="G179" s="977"/>
      <c r="H179" s="1009" t="n">
        <f aca="false">H178</f>
        <v>0</v>
      </c>
      <c r="I179" s="983" t="n">
        <f aca="false">H179</f>
        <v>0</v>
      </c>
      <c r="J179" s="931"/>
      <c r="K179" s="937"/>
    </row>
    <row r="180" customFormat="false" ht="15.75" hidden="true" customHeight="false" outlineLevel="0" collapsed="false">
      <c r="A180" s="931"/>
      <c r="B180" s="992" t="str">
        <f aca="false">фундамент!A345</f>
        <v>Сосна влаж,150*40мм</v>
      </c>
      <c r="C180" s="993" t="str">
        <f aca="false">фундамент!B345</f>
        <v>м3</v>
      </c>
      <c r="D180" s="992" t="n">
        <f aca="false">фундамент!C345</f>
        <v>3.29472</v>
      </c>
      <c r="E180" s="992" t="n">
        <f aca="false">фундамент!D345</f>
        <v>6500</v>
      </c>
      <c r="F180" s="992"/>
      <c r="G180" s="967" t="n">
        <f aca="false">IF(F180&gt;0,D180*F180,E180*D180)</f>
        <v>21415.68</v>
      </c>
      <c r="H180" s="975" t="n">
        <f aca="false">D180*E180*$H$179</f>
        <v>0</v>
      </c>
      <c r="I180" s="971" t="n">
        <f aca="false">IF(G180&gt;H180,G180,H180)*$H$178</f>
        <v>0</v>
      </c>
      <c r="J180" s="936"/>
      <c r="K180" s="937"/>
    </row>
    <row r="181" customFormat="false" ht="15.75" hidden="true" customHeight="false" outlineLevel="0" collapsed="false">
      <c r="A181" s="937"/>
      <c r="B181" s="992" t="str">
        <f aca="false">фундамент!A346</f>
        <v>Пленка гидроизоляционная </v>
      </c>
      <c r="C181" s="993" t="str">
        <f aca="false">фундамент!B346</f>
        <v>м2</v>
      </c>
      <c r="D181" s="992" t="n">
        <f aca="false">фундамент!C346</f>
        <v>82.368</v>
      </c>
      <c r="E181" s="992" t="n">
        <f aca="false">фундамент!D346</f>
        <v>15</v>
      </c>
      <c r="F181" s="992"/>
      <c r="G181" s="967" t="n">
        <f aca="false">IF(F181&gt;0,D181*F181,E181*D181)</f>
        <v>1235.52</v>
      </c>
      <c r="H181" s="975" t="n">
        <f aca="false">D181*E181*$H$179</f>
        <v>0</v>
      </c>
      <c r="I181" s="971" t="n">
        <f aca="false">IF(G181&gt;H181,G181,H181)*$H$178</f>
        <v>0</v>
      </c>
      <c r="J181" s="936"/>
      <c r="K181" s="937"/>
    </row>
    <row r="182" customFormat="false" ht="15.75" hidden="true" customHeight="false" outlineLevel="0" collapsed="false">
      <c r="A182" s="937"/>
      <c r="B182" s="992" t="str">
        <f aca="false">фундамент!A348</f>
        <v>Арматура стальная Ø 8</v>
      </c>
      <c r="C182" s="993" t="str">
        <f aca="false">фундамент!B348</f>
        <v>м.п</v>
      </c>
      <c r="D182" s="992" t="n">
        <f aca="false">фундамент!C348</f>
        <v>380.16</v>
      </c>
      <c r="E182" s="992" t="n">
        <f aca="false">фундамент!D348</f>
        <v>16.037</v>
      </c>
      <c r="F182" s="992"/>
      <c r="G182" s="967" t="n">
        <f aca="false">IF(F182&gt;0,D182*F182,E182*D182)</f>
        <v>6096.62592</v>
      </c>
      <c r="H182" s="975" t="n">
        <f aca="false">D182*E182*$H$179</f>
        <v>0</v>
      </c>
      <c r="I182" s="971" t="n">
        <f aca="false">IF(G182&gt;H182,G182,H182)*$H$178</f>
        <v>0</v>
      </c>
      <c r="J182" s="936"/>
      <c r="K182" s="937"/>
    </row>
    <row r="183" customFormat="false" ht="15.75" hidden="true" customHeight="false" outlineLevel="0" collapsed="false">
      <c r="A183" s="937"/>
      <c r="B183" s="992" t="str">
        <f aca="false">фундамент!A349</f>
        <v>Арматура стальная Ø 6</v>
      </c>
      <c r="C183" s="993" t="str">
        <f aca="false">фундамент!B349</f>
        <v>м.п</v>
      </c>
      <c r="D183" s="992" t="n">
        <f aca="false">фундамент!C349</f>
        <v>261.36</v>
      </c>
      <c r="E183" s="992" t="n">
        <f aca="false">фундамент!D349</f>
        <v>9.0132</v>
      </c>
      <c r="F183" s="992"/>
      <c r="G183" s="967" t="n">
        <f aca="false">IF(F183&gt;0,D183*F183,E183*D183)</f>
        <v>2355.689952</v>
      </c>
      <c r="H183" s="975" t="n">
        <f aca="false">D183*E183*$H$179</f>
        <v>0</v>
      </c>
      <c r="I183" s="971" t="n">
        <f aca="false">IF(G183&gt;H183,G183,H183)*$H$178</f>
        <v>0</v>
      </c>
      <c r="J183" s="936"/>
      <c r="K183" s="937"/>
    </row>
    <row r="184" customFormat="false" ht="15.75" hidden="true" customHeight="false" outlineLevel="0" collapsed="false">
      <c r="A184" s="937"/>
      <c r="B184" s="992" t="str">
        <f aca="false">фундамент!A350</f>
        <v>Вязальная проволока</v>
      </c>
      <c r="C184" s="993" t="str">
        <f aca="false">фундамент!B350</f>
        <v>кг</v>
      </c>
      <c r="D184" s="992" t="n">
        <f aca="false">фундамент!C350</f>
        <v>14.11344</v>
      </c>
      <c r="E184" s="992" t="n">
        <f aca="false">фундамент!D350</f>
        <v>80</v>
      </c>
      <c r="F184" s="992"/>
      <c r="G184" s="967" t="n">
        <f aca="false">IF(F184&gt;0,D184*F184,E184*D184)</f>
        <v>1129.0752</v>
      </c>
      <c r="H184" s="975" t="n">
        <f aca="false">D184*E184*$H$179</f>
        <v>0</v>
      </c>
      <c r="I184" s="971" t="n">
        <f aca="false">IF(G184&gt;H184,G184,H184)*$H$178</f>
        <v>0</v>
      </c>
      <c r="J184" s="936"/>
      <c r="K184" s="937"/>
    </row>
    <row r="185" customFormat="false" ht="15.75" hidden="true" customHeight="false" outlineLevel="0" collapsed="false">
      <c r="A185" s="937"/>
      <c r="B185" s="992" t="str">
        <f aca="false">фундамент!A351</f>
        <v>Гвозди строительные 3,5 x 90            </v>
      </c>
      <c r="C185" s="993" t="str">
        <f aca="false">фундамент!B351</f>
        <v>кг</v>
      </c>
      <c r="D185" s="992" t="n">
        <f aca="false">фундамент!C351</f>
        <v>18.12096</v>
      </c>
      <c r="E185" s="992" t="n">
        <f aca="false">фундамент!D351</f>
        <v>70</v>
      </c>
      <c r="F185" s="992"/>
      <c r="G185" s="967" t="n">
        <f aca="false">IF(F185&gt;0,D185*F185,E185*D185)</f>
        <v>1268.4672</v>
      </c>
      <c r="H185" s="975" t="n">
        <f aca="false">D185*E185*$H$179</f>
        <v>0</v>
      </c>
      <c r="I185" s="971" t="n">
        <f aca="false">IF(G185&gt;H185,G185,H185)*$H$178</f>
        <v>0</v>
      </c>
      <c r="J185" s="936"/>
      <c r="K185" s="937"/>
    </row>
    <row r="186" customFormat="false" ht="15.75" hidden="true" customHeight="false" outlineLevel="0" collapsed="false">
      <c r="A186" s="937"/>
      <c r="B186" s="992" t="str">
        <f aca="false">фундамент!A352</f>
        <v>Гидроизол</v>
      </c>
      <c r="C186" s="993" t="str">
        <f aca="false">фундамент!B352</f>
        <v>м2</v>
      </c>
      <c r="D186" s="992" t="n">
        <f aca="false">фундамент!C352</f>
        <v>15.84</v>
      </c>
      <c r="E186" s="992" t="n">
        <f aca="false">фундамент!D352</f>
        <v>70</v>
      </c>
      <c r="F186" s="992"/>
      <c r="G186" s="967" t="n">
        <f aca="false">IF(F186&gt;0,D186*F186,E186*D186)</f>
        <v>1108.8</v>
      </c>
      <c r="H186" s="975" t="n">
        <f aca="false">D186*E186*$H$179</f>
        <v>0</v>
      </c>
      <c r="I186" s="971" t="n">
        <f aca="false">IF(G186&gt;H186,G186,H186)*$H$178</f>
        <v>0</v>
      </c>
      <c r="J186" s="936"/>
      <c r="K186" s="937"/>
    </row>
    <row r="187" customFormat="false" ht="15.75" hidden="true" customHeight="false" outlineLevel="0" collapsed="false">
      <c r="A187" s="937"/>
      <c r="B187" s="992" t="str">
        <f aca="false">фундамент!A353</f>
        <v>ПГС, машина 13м3</v>
      </c>
      <c r="C187" s="993" t="str">
        <f aca="false">фундамент!B353</f>
        <v>маш</v>
      </c>
      <c r="D187" s="992" t="n">
        <f aca="false">фундамент!C353</f>
        <v>0.528</v>
      </c>
      <c r="E187" s="992" t="n">
        <f aca="false">фундамент!D353</f>
        <v>10000</v>
      </c>
      <c r="F187" s="992"/>
      <c r="G187" s="967" t="n">
        <f aca="false">IF(F187&gt;0,D187*F187,E187*D187)</f>
        <v>5280</v>
      </c>
      <c r="H187" s="975" t="n">
        <f aca="false">D187*E187*$H$179</f>
        <v>0</v>
      </c>
      <c r="I187" s="971" t="n">
        <f aca="false">IF(G187&gt;H187,G187,H187)*$H$178</f>
        <v>0</v>
      </c>
      <c r="J187" s="936"/>
      <c r="K187" s="937"/>
    </row>
    <row r="188" customFormat="false" ht="15.75" hidden="true" customHeight="false" outlineLevel="0" collapsed="false">
      <c r="A188" s="937"/>
      <c r="B188" s="992" t="str">
        <f aca="false">фундамент!A354</f>
        <v>Бетон, м250</v>
      </c>
      <c r="C188" s="993" t="str">
        <f aca="false">фундамент!B354</f>
        <v>м3</v>
      </c>
      <c r="D188" s="992" t="n">
        <f aca="false">фундамент!C354</f>
        <v>9.504</v>
      </c>
      <c r="E188" s="992" t="n">
        <f aca="false">фундамент!D354</f>
        <v>2750</v>
      </c>
      <c r="F188" s="992"/>
      <c r="G188" s="967" t="n">
        <f aca="false">IF(F188&gt;0,D188*F188,E188*D188)</f>
        <v>26136</v>
      </c>
      <c r="H188" s="975" t="n">
        <f aca="false">D188*E188*$H$179</f>
        <v>0</v>
      </c>
      <c r="I188" s="971" t="n">
        <f aca="false">IF(G188&gt;H188,G188,H188)*$H$178</f>
        <v>0</v>
      </c>
      <c r="J188" s="936"/>
      <c r="K188" s="937"/>
    </row>
    <row r="189" customFormat="false" ht="15.75" hidden="true" customHeight="false" outlineLevel="0" collapsed="false">
      <c r="A189" s="937"/>
      <c r="B189" s="992" t="str">
        <f aca="false">фундамент!A355</f>
        <v>Нет</v>
      </c>
      <c r="C189" s="993" t="str">
        <f aca="false">фундамент!B355</f>
        <v>м3</v>
      </c>
      <c r="D189" s="992" t="n">
        <f aca="false">фундамент!C355</f>
        <v>0</v>
      </c>
      <c r="E189" s="992" t="n">
        <f aca="false">фундамент!D355</f>
        <v>0</v>
      </c>
      <c r="F189" s="992"/>
      <c r="G189" s="967" t="n">
        <f aca="false">IF(F189&gt;0,D189*F189,E189*D189)</f>
        <v>0</v>
      </c>
      <c r="H189" s="975" t="n">
        <f aca="false">D189*E189*$H$179</f>
        <v>0</v>
      </c>
      <c r="I189" s="971" t="n">
        <f aca="false">IF(G189&gt;H189,G189,H189)*$H$178</f>
        <v>0</v>
      </c>
      <c r="J189" s="936"/>
      <c r="K189" s="937"/>
    </row>
    <row r="190" customFormat="false" ht="15.75" hidden="true" customHeight="false" outlineLevel="0" collapsed="false">
      <c r="A190" s="937"/>
      <c r="B190" s="992" t="str">
        <f aca="false">фундамент!A356</f>
        <v>Грибок для крепления утеплителя</v>
      </c>
      <c r="C190" s="993" t="str">
        <f aca="false">фундамент!B356</f>
        <v>шт</v>
      </c>
      <c r="D190" s="992" t="n">
        <f aca="false">фундамент!C356</f>
        <v>0</v>
      </c>
      <c r="E190" s="992" t="n">
        <f aca="false">фундамент!D356</f>
        <v>15</v>
      </c>
      <c r="F190" s="992"/>
      <c r="G190" s="967" t="n">
        <f aca="false">IF(F190&gt;0,D190*F190,E190*D190)</f>
        <v>0</v>
      </c>
      <c r="H190" s="975" t="n">
        <f aca="false">D190*E190*$H$179</f>
        <v>0</v>
      </c>
      <c r="I190" s="971" t="n">
        <f aca="false">IF(G190&gt;H190,G190,H190)*$H$178</f>
        <v>0</v>
      </c>
      <c r="J190" s="936"/>
      <c r="K190" s="937"/>
    </row>
    <row r="191" customFormat="false" ht="15.75" hidden="true" customHeight="false" outlineLevel="0" collapsed="false">
      <c r="A191" s="937"/>
      <c r="B191" s="992" t="str">
        <f aca="false">фундамент!A357</f>
        <v>Нет</v>
      </c>
      <c r="C191" s="993" t="str">
        <f aca="false">фундамент!B357</f>
        <v>м3</v>
      </c>
      <c r="D191" s="992" t="n">
        <f aca="false">фундамент!C357</f>
        <v>0</v>
      </c>
      <c r="E191" s="992" t="n">
        <f aca="false">фундамент!D357</f>
        <v>0</v>
      </c>
      <c r="F191" s="992"/>
      <c r="G191" s="967" t="n">
        <f aca="false">IF(F191&gt;0,D191*F191,E191*D191)</f>
        <v>0</v>
      </c>
      <c r="H191" s="975" t="n">
        <f aca="false">D191*E191*$H$179</f>
        <v>0</v>
      </c>
      <c r="I191" s="971" t="n">
        <f aca="false">IF(G191&gt;H191,G191,H191)*$H$178</f>
        <v>0</v>
      </c>
      <c r="J191" s="936"/>
      <c r="K191" s="937"/>
    </row>
    <row r="192" customFormat="false" ht="15.75" hidden="true" customHeight="false" outlineLevel="0" collapsed="false">
      <c r="A192" s="937"/>
      <c r="B192" s="992" t="str">
        <f aca="false">фундамент!A358</f>
        <v>ПГС, машина 5м3</v>
      </c>
      <c r="C192" s="993" t="str">
        <f aca="false">фундамент!B358</f>
        <v>маш</v>
      </c>
      <c r="D192" s="992" t="n">
        <f aca="false">фундамент!C358</f>
        <v>0</v>
      </c>
      <c r="E192" s="992" t="n">
        <f aca="false">фундамент!D358</f>
        <v>6000</v>
      </c>
      <c r="F192" s="992"/>
      <c r="G192" s="967" t="n">
        <f aca="false">IF(F192&gt;0,D192*F192,E192*D192)</f>
        <v>0</v>
      </c>
      <c r="H192" s="975" t="n">
        <f aca="false">D192*E192*$H$179</f>
        <v>0</v>
      </c>
      <c r="I192" s="971" t="n">
        <f aca="false">IF(G192&gt;H192,G192,H192)*$H$178</f>
        <v>0</v>
      </c>
      <c r="J192" s="936"/>
      <c r="K192" s="937"/>
    </row>
    <row r="193" customFormat="false" ht="15.75" hidden="true" customHeight="false" outlineLevel="0" collapsed="false">
      <c r="A193" s="937"/>
      <c r="B193" s="992" t="str">
        <f aca="false">фундамент!A359</f>
        <v>Кладочная сетка, 100*100/150*150/200*200мм</v>
      </c>
      <c r="C193" s="993" t="str">
        <f aca="false">фундамент!B359</f>
        <v>м2</v>
      </c>
      <c r="D193" s="992" t="n">
        <f aca="false">фундамент!C359</f>
        <v>0</v>
      </c>
      <c r="E193" s="992" t="n">
        <f aca="false">фундамент!D359</f>
        <v>70</v>
      </c>
      <c r="F193" s="992"/>
      <c r="G193" s="967" t="n">
        <f aca="false">IF(F193&gt;0,D193*F193,E193*D193)</f>
        <v>0</v>
      </c>
      <c r="H193" s="975" t="n">
        <f aca="false">D193*E193*$H$179</f>
        <v>0</v>
      </c>
      <c r="I193" s="971" t="n">
        <f aca="false">IF(G193&gt;H193,G193,H193)*$H$178</f>
        <v>0</v>
      </c>
      <c r="J193" s="936"/>
      <c r="K193" s="937"/>
    </row>
    <row r="194" customFormat="false" ht="15.75" hidden="true" customHeight="false" outlineLevel="0" collapsed="false">
      <c r="A194" s="937"/>
      <c r="B194" s="992" t="str">
        <f aca="false">фундамент!A360</f>
        <v>Бетон, м200</v>
      </c>
      <c r="C194" s="993" t="str">
        <f aca="false">фундамент!B360</f>
        <v>м3</v>
      </c>
      <c r="D194" s="992" t="n">
        <f aca="false">фундамент!C360</f>
        <v>0</v>
      </c>
      <c r="E194" s="992" t="n">
        <f aca="false">фундамент!D360</f>
        <v>2500</v>
      </c>
      <c r="F194" s="992"/>
      <c r="G194" s="967" t="n">
        <f aca="false">IF(F194&gt;0,D194*F194,E194*D194)</f>
        <v>0</v>
      </c>
      <c r="H194" s="975" t="n">
        <f aca="false">D194*E194*$H$179</f>
        <v>0</v>
      </c>
      <c r="I194" s="971" t="n">
        <f aca="false">IF(G194&gt;H194,G194,H194)*$H$178</f>
        <v>0</v>
      </c>
      <c r="J194" s="936"/>
      <c r="K194" s="937"/>
    </row>
    <row r="195" customFormat="false" ht="15.75" hidden="true" customHeight="false" outlineLevel="0" collapsed="false">
      <c r="A195" s="937"/>
      <c r="B195" s="973" t="s">
        <v>2247</v>
      </c>
      <c r="C195" s="973"/>
      <c r="D195" s="973"/>
      <c r="E195" s="973"/>
      <c r="F195" s="973"/>
      <c r="G195" s="970" t="n">
        <f aca="false">SUM(G180:G194)*H178</f>
        <v>0</v>
      </c>
      <c r="H195" s="970" t="n">
        <f aca="false">SUM(H180:H194)</f>
        <v>0</v>
      </c>
      <c r="I195" s="971" t="n">
        <f aca="false">IF(G195&gt;H195,G195,H195)*$H$178</f>
        <v>0</v>
      </c>
      <c r="J195" s="936"/>
      <c r="K195" s="937"/>
    </row>
    <row r="196" customFormat="false" ht="15.75" hidden="true" customHeight="false" outlineLevel="0" collapsed="false">
      <c r="A196" s="937"/>
      <c r="B196" s="976" t="s">
        <v>2007</v>
      </c>
      <c r="C196" s="976"/>
      <c r="D196" s="976"/>
      <c r="E196" s="976"/>
      <c r="F196" s="976"/>
      <c r="G196" s="977"/>
      <c r="H196" s="994" t="n">
        <f aca="false">H178</f>
        <v>0</v>
      </c>
      <c r="I196" s="983" t="n">
        <f aca="false">H196</f>
        <v>0</v>
      </c>
      <c r="J196" s="931"/>
      <c r="K196" s="937"/>
    </row>
    <row r="197" customFormat="false" ht="15.75" hidden="true" customHeight="false" outlineLevel="0" collapsed="false">
      <c r="A197" s="931"/>
      <c r="B197" s="995" t="str">
        <f aca="false">фундамент!G345</f>
        <v>разбивка осей</v>
      </c>
      <c r="C197" s="993" t="str">
        <f aca="false">фундамент!I345</f>
        <v>шт</v>
      </c>
      <c r="D197" s="992" t="n">
        <f aca="false">фундамент!J345</f>
        <v>1.05</v>
      </c>
      <c r="E197" s="1010" t="n">
        <f aca="false">фундамент!K345</f>
        <v>7000</v>
      </c>
      <c r="F197" s="1010"/>
      <c r="G197" s="967" t="n">
        <f aca="false">IF(F197&gt;0,D197*F197,E197*D197)</f>
        <v>7350</v>
      </c>
      <c r="H197" s="970" t="n">
        <f aca="false">D197*E197*$H$179</f>
        <v>0</v>
      </c>
      <c r="I197" s="971" t="n">
        <f aca="false">IF(G197&gt;H197,G197,H197)*$H$178</f>
        <v>0</v>
      </c>
      <c r="J197" s="936"/>
      <c r="K197" s="937"/>
    </row>
    <row r="198" customFormat="false" ht="15.75" hidden="true" customHeight="false" outlineLevel="0" collapsed="false">
      <c r="A198" s="937"/>
      <c r="B198" s="995" t="str">
        <f aca="false">фундамент!G346</f>
        <v>сборка опалубки</v>
      </c>
      <c r="C198" s="993" t="str">
        <f aca="false">фундамент!I346</f>
        <v>м2</v>
      </c>
      <c r="D198" s="992" t="n">
        <f aca="false">фундамент!J346</f>
        <v>60.48</v>
      </c>
      <c r="E198" s="1010" t="n">
        <f aca="false">фундамент!K346</f>
        <v>300</v>
      </c>
      <c r="F198" s="1010"/>
      <c r="G198" s="967" t="n">
        <f aca="false">IF(F198&gt;0,D198*F198,E198*D198)</f>
        <v>18144</v>
      </c>
      <c r="H198" s="970" t="n">
        <f aca="false">D198*E198*$H$179</f>
        <v>0</v>
      </c>
      <c r="I198" s="971" t="n">
        <f aca="false">IF(G198&gt;H198,G198,H198)*$H$178</f>
        <v>0</v>
      </c>
      <c r="J198" s="936"/>
      <c r="K198" s="937"/>
    </row>
    <row r="199" customFormat="false" ht="15.75" hidden="true" customHeight="false" outlineLevel="0" collapsed="false">
      <c r="A199" s="937"/>
      <c r="B199" s="995" t="str">
        <f aca="false">фундамент!G347</f>
        <v>разборка опалубки</v>
      </c>
      <c r="C199" s="993" t="str">
        <f aca="false">фундамент!I347</f>
        <v>м2</v>
      </c>
      <c r="D199" s="992" t="n">
        <f aca="false">фундамент!J347</f>
        <v>63.504</v>
      </c>
      <c r="E199" s="1010" t="n">
        <f aca="false">фундамент!K347</f>
        <v>100</v>
      </c>
      <c r="F199" s="1010"/>
      <c r="G199" s="967" t="n">
        <f aca="false">IF(F199&gt;0,D199*F199,E199*D199)</f>
        <v>6350.4</v>
      </c>
      <c r="H199" s="970" t="n">
        <f aca="false">D199*E199*$H$179</f>
        <v>0</v>
      </c>
      <c r="I199" s="971" t="n">
        <f aca="false">IF(G199&gt;H199,G199,H199)*$H$178</f>
        <v>0</v>
      </c>
      <c r="J199" s="936"/>
      <c r="K199" s="937"/>
    </row>
    <row r="200" customFormat="false" ht="15.75" hidden="true" customHeight="false" outlineLevel="0" collapsed="false">
      <c r="A200" s="937"/>
      <c r="B200" s="995" t="str">
        <f aca="false">фундамент!G348</f>
        <v>настил пленки</v>
      </c>
      <c r="C200" s="993" t="str">
        <f aca="false">фундамент!I348</f>
        <v>м2</v>
      </c>
      <c r="D200" s="992" t="n">
        <f aca="false">фундамент!J348</f>
        <v>66.6792</v>
      </c>
      <c r="E200" s="1010" t="n">
        <f aca="false">фундамент!K348</f>
        <v>10</v>
      </c>
      <c r="F200" s="1010"/>
      <c r="G200" s="967" t="n">
        <f aca="false">IF(F200&gt;0,D200*F200,E200*D200)</f>
        <v>666.792</v>
      </c>
      <c r="H200" s="970" t="n">
        <f aca="false">D200*E200*$H$179</f>
        <v>0</v>
      </c>
      <c r="I200" s="971" t="n">
        <f aca="false">IF(G200&gt;H200,G200,H200)*$H$178</f>
        <v>0</v>
      </c>
      <c r="J200" s="936"/>
      <c r="K200" s="937"/>
    </row>
    <row r="201" customFormat="false" ht="15.75" hidden="true" customHeight="false" outlineLevel="0" collapsed="false">
      <c r="A201" s="937"/>
      <c r="B201" s="995" t="str">
        <f aca="false">фундамент!G350</f>
        <v>армирование</v>
      </c>
      <c r="C201" s="993" t="str">
        <f aca="false">фундамент!I350</f>
        <v>м.п</v>
      </c>
      <c r="D201" s="992" t="n">
        <f aca="false">фундамент!J350</f>
        <v>362.88</v>
      </c>
      <c r="E201" s="1010" t="n">
        <f aca="false">фундамент!K350</f>
        <v>30</v>
      </c>
      <c r="F201" s="1010"/>
      <c r="G201" s="967" t="n">
        <f aca="false">IF(F201&gt;0,D201*F201,E201*D201)</f>
        <v>10886.4</v>
      </c>
      <c r="H201" s="970" t="n">
        <f aca="false">D201*E201*$H$179</f>
        <v>0</v>
      </c>
      <c r="I201" s="971" t="n">
        <f aca="false">IF(G201&gt;H201,G201,H201)*$H$178</f>
        <v>0</v>
      </c>
      <c r="J201" s="936"/>
      <c r="K201" s="937"/>
    </row>
    <row r="202" customFormat="false" ht="15.75" hidden="true" customHeight="false" outlineLevel="0" collapsed="false">
      <c r="A202" s="937"/>
      <c r="B202" s="995" t="str">
        <f aca="false">фундамент!G351</f>
        <v>армирование</v>
      </c>
      <c r="C202" s="993" t="str">
        <f aca="false">фундамент!I351</f>
        <v>м.п.</v>
      </c>
      <c r="D202" s="992" t="n">
        <f aca="false">фундамент!J351</f>
        <v>166.32</v>
      </c>
      <c r="E202" s="1010" t="n">
        <f aca="false">фундамент!K351</f>
        <v>500</v>
      </c>
      <c r="F202" s="1010"/>
      <c r="G202" s="967" t="n">
        <f aca="false">IF(F202&gt;0,D202*F202,E202*D202)</f>
        <v>83160</v>
      </c>
      <c r="H202" s="970" t="n">
        <f aca="false">D202*E202*$H$179</f>
        <v>0</v>
      </c>
      <c r="I202" s="971" t="n">
        <f aca="false">IF(G202&gt;H202,G202,H202)*$H$178</f>
        <v>0</v>
      </c>
      <c r="J202" s="936"/>
      <c r="K202" s="937"/>
    </row>
    <row r="203" customFormat="false" ht="15.75" hidden="true" customHeight="false" outlineLevel="0" collapsed="false">
      <c r="A203" s="937"/>
      <c r="B203" s="995" t="str">
        <f aca="false">фундамент!G352</f>
        <v>настил гидроизола</v>
      </c>
      <c r="C203" s="993" t="str">
        <f aca="false">фундамент!I352</f>
        <v>м2</v>
      </c>
      <c r="D203" s="992" t="n">
        <f aca="false">фундамент!J352</f>
        <v>15.12</v>
      </c>
      <c r="E203" s="1010" t="n">
        <f aca="false">фундамент!K352</f>
        <v>100</v>
      </c>
      <c r="F203" s="1010"/>
      <c r="G203" s="967" t="n">
        <f aca="false">IF(F203&gt;0,D203*F203,E203*D203)</f>
        <v>1512</v>
      </c>
      <c r="H203" s="970" t="n">
        <f aca="false">D203*E203*$H$179</f>
        <v>0</v>
      </c>
      <c r="I203" s="971" t="n">
        <f aca="false">IF(G203&gt;H203,G203,H203)*$H$178</f>
        <v>0</v>
      </c>
      <c r="J203" s="936"/>
      <c r="K203" s="937"/>
    </row>
    <row r="204" customFormat="false" ht="15.75" hidden="true" customHeight="false" outlineLevel="0" collapsed="false">
      <c r="A204" s="937"/>
      <c r="B204" s="995" t="str">
        <f aca="false">фундамент!G353</f>
        <v>трамбовка</v>
      </c>
      <c r="C204" s="993" t="str">
        <f aca="false">фундамент!I353</f>
        <v>м2</v>
      </c>
      <c r="D204" s="992" t="n">
        <f aca="false">фундамент!J353</f>
        <v>15.876</v>
      </c>
      <c r="E204" s="1010" t="n">
        <f aca="false">фундамент!K353</f>
        <v>350</v>
      </c>
      <c r="F204" s="1010"/>
      <c r="G204" s="967" t="n">
        <f aca="false">IF(F204&gt;0,D204*F204,E204*D204)</f>
        <v>5556.6</v>
      </c>
      <c r="H204" s="970" t="n">
        <f aca="false">D204*E204*$H$179</f>
        <v>0</v>
      </c>
      <c r="I204" s="971" t="n">
        <f aca="false">IF(G204&gt;H204,G204,H204)*$H$178</f>
        <v>0</v>
      </c>
      <c r="J204" s="936"/>
      <c r="K204" s="937"/>
    </row>
    <row r="205" customFormat="false" ht="15.75" hidden="true" customHeight="false" outlineLevel="0" collapsed="false">
      <c r="A205" s="937"/>
      <c r="B205" s="995" t="str">
        <f aca="false">фундамент!G354</f>
        <v>приемка бетона</v>
      </c>
      <c r="C205" s="993" t="str">
        <f aca="false">фундамент!I354</f>
        <v>м3</v>
      </c>
      <c r="D205" s="992" t="n">
        <f aca="false">фундамент!J354</f>
        <v>9.072</v>
      </c>
      <c r="E205" s="1010" t="n">
        <f aca="false">фундамент!K354</f>
        <v>1200</v>
      </c>
      <c r="F205" s="1010"/>
      <c r="G205" s="967" t="n">
        <f aca="false">IF(F205&gt;0,D205*F205,E205*D205)</f>
        <v>10886.4</v>
      </c>
      <c r="H205" s="970" t="n">
        <f aca="false">D205*E205*$H$179</f>
        <v>0</v>
      </c>
      <c r="I205" s="971" t="n">
        <f aca="false">IF(G205&gt;H205,G205,H205)*$H$178</f>
        <v>0</v>
      </c>
      <c r="J205" s="936"/>
      <c r="K205" s="937"/>
    </row>
    <row r="206" customFormat="false" ht="15.75" hidden="true" customHeight="false" outlineLevel="0" collapsed="false">
      <c r="A206" s="937"/>
      <c r="B206" s="995" t="str">
        <f aca="false">фундамент!G355</f>
        <v>утепление фундамента</v>
      </c>
      <c r="C206" s="993" t="str">
        <f aca="false">фундамент!I355</f>
        <v>м2</v>
      </c>
      <c r="D206" s="992" t="n">
        <f aca="false">фундамент!J355</f>
        <v>0</v>
      </c>
      <c r="E206" s="1010" t="n">
        <f aca="false">фундамент!K355</f>
        <v>200</v>
      </c>
      <c r="F206" s="1010"/>
      <c r="G206" s="967" t="n">
        <f aca="false">IF(F206&gt;0,D206*F206,E206*D206)</f>
        <v>0</v>
      </c>
      <c r="H206" s="970" t="n">
        <f aca="false">D206*E206*$H$179</f>
        <v>0</v>
      </c>
      <c r="I206" s="971" t="n">
        <f aca="false">IF(G206&gt;H206,G206,H206)*$H$178</f>
        <v>0</v>
      </c>
      <c r="J206" s="936"/>
      <c r="K206" s="937"/>
    </row>
    <row r="207" customFormat="false" ht="15.75" hidden="true" customHeight="false" outlineLevel="0" collapsed="false">
      <c r="A207" s="937"/>
      <c r="B207" s="995" t="str">
        <f aca="false">фундамент!G356</f>
        <v>утепление отмостки</v>
      </c>
      <c r="C207" s="993" t="str">
        <f aca="false">фундамент!I356</f>
        <v>м2</v>
      </c>
      <c r="D207" s="992" t="n">
        <f aca="false">фундамент!J356</f>
        <v>0</v>
      </c>
      <c r="E207" s="1010" t="n">
        <f aca="false">фундамент!K356</f>
        <v>200</v>
      </c>
      <c r="F207" s="1010"/>
      <c r="G207" s="967" t="n">
        <f aca="false">IF(F207&gt;0,D207*F207,E207*D207)</f>
        <v>0</v>
      </c>
      <c r="H207" s="970" t="n">
        <f aca="false">D207*E207*$H$179</f>
        <v>0</v>
      </c>
      <c r="I207" s="971" t="n">
        <f aca="false">IF(G207&gt;H207,G207,H207)*$H$178</f>
        <v>0</v>
      </c>
      <c r="J207" s="936"/>
      <c r="K207" s="937"/>
    </row>
    <row r="208" customFormat="false" ht="15.75" hidden="true" customHeight="false" outlineLevel="0" collapsed="false">
      <c r="A208" s="937"/>
      <c r="B208" s="995" t="str">
        <f aca="false">фундамент!G357</f>
        <v>трамбовка пгс</v>
      </c>
      <c r="C208" s="993" t="str">
        <f aca="false">фундамент!I357</f>
        <v>м2</v>
      </c>
      <c r="D208" s="992" t="n">
        <f aca="false">фундамент!J357</f>
        <v>0</v>
      </c>
      <c r="E208" s="1010" t="n">
        <f aca="false">фундамент!K357</f>
        <v>600</v>
      </c>
      <c r="F208" s="1010"/>
      <c r="G208" s="967" t="n">
        <f aca="false">IF(F208&gt;0,D208*F208,E208*D208)</f>
        <v>0</v>
      </c>
      <c r="H208" s="970" t="n">
        <f aca="false">D208*E208*$H$179</f>
        <v>0</v>
      </c>
      <c r="I208" s="971" t="n">
        <f aca="false">IF(G208&gt;H208,G208,H208)*$H$178</f>
        <v>0</v>
      </c>
      <c r="J208" s="936"/>
      <c r="K208" s="937"/>
    </row>
    <row r="209" customFormat="false" ht="15.75" hidden="true" customHeight="false" outlineLevel="0" collapsed="false">
      <c r="A209" s="937"/>
      <c r="B209" s="995" t="str">
        <f aca="false">фундамент!G358</f>
        <v>кладка сетки</v>
      </c>
      <c r="C209" s="993" t="str">
        <f aca="false">фундамент!I358</f>
        <v>м2</v>
      </c>
      <c r="D209" s="992" t="n">
        <f aca="false">фундамент!J358</f>
        <v>0</v>
      </c>
      <c r="E209" s="1010" t="n">
        <f aca="false">фундамент!K358</f>
        <v>100</v>
      </c>
      <c r="F209" s="1010"/>
      <c r="G209" s="967" t="n">
        <f aca="false">IF(F209&gt;0,D209*F209,E209*D209)</f>
        <v>0</v>
      </c>
      <c r="H209" s="970" t="n">
        <f aca="false">D209*E209*$H$179</f>
        <v>0</v>
      </c>
      <c r="I209" s="971" t="n">
        <f aca="false">IF(G209&gt;H209,G209,H209)*$H$178</f>
        <v>0</v>
      </c>
      <c r="J209" s="936"/>
      <c r="K209" s="937"/>
    </row>
    <row r="210" customFormat="false" ht="15.75" hidden="true" customHeight="false" outlineLevel="0" collapsed="false">
      <c r="A210" s="937"/>
      <c r="B210" s="995" t="str">
        <f aca="false">фундамент!G359</f>
        <v>приемка бетона</v>
      </c>
      <c r="C210" s="993" t="s">
        <v>1043</v>
      </c>
      <c r="D210" s="992" t="n">
        <f aca="false">фундамент!J359</f>
        <v>0</v>
      </c>
      <c r="E210" s="1010" t="n">
        <f aca="false">фундамент!K359</f>
        <v>1200</v>
      </c>
      <c r="F210" s="1010"/>
      <c r="G210" s="967" t="n">
        <f aca="false">IF(F210&gt;0,D210*F210,E210*D210)</f>
        <v>0</v>
      </c>
      <c r="H210" s="970" t="n">
        <f aca="false">D210*E210*$H$179</f>
        <v>0</v>
      </c>
      <c r="I210" s="971" t="n">
        <f aca="false">IF(G210&gt;H210,G210,H210)*$H$178</f>
        <v>0</v>
      </c>
      <c r="J210" s="936"/>
      <c r="K210" s="937"/>
    </row>
    <row r="211" customFormat="false" ht="15.75" hidden="true" customHeight="false" outlineLevel="0" collapsed="false">
      <c r="A211" s="937"/>
      <c r="B211" s="973" t="s">
        <v>2248</v>
      </c>
      <c r="C211" s="973"/>
      <c r="D211" s="973"/>
      <c r="E211" s="973"/>
      <c r="F211" s="973"/>
      <c r="G211" s="970" t="n">
        <f aca="false">SUM(G197:G210)*H196</f>
        <v>0</v>
      </c>
      <c r="H211" s="970" t="n">
        <f aca="false">SUM(H197:H210)</f>
        <v>0</v>
      </c>
      <c r="I211" s="971" t="n">
        <f aca="false">IF(G211&gt;H211,G211,H211)*$H$178</f>
        <v>0</v>
      </c>
      <c r="J211" s="936"/>
      <c r="K211" s="937"/>
    </row>
    <row r="212" customFormat="false" ht="21" hidden="true" customHeight="false" outlineLevel="0" collapsed="false">
      <c r="A212" s="937"/>
      <c r="B212" s="989" t="s">
        <v>467</v>
      </c>
      <c r="C212" s="989"/>
      <c r="D212" s="989"/>
      <c r="E212" s="989"/>
      <c r="F212" s="989"/>
      <c r="G212" s="977"/>
      <c r="H212" s="1007" t="n">
        <f aca="false">IF('Ввод данных'!A21=связи1!F84,1,0)</f>
        <v>1</v>
      </c>
      <c r="I212" s="983" t="n">
        <f aca="false">H212</f>
        <v>1</v>
      </c>
      <c r="J212" s="931"/>
      <c r="K212" s="937"/>
    </row>
    <row r="213" customFormat="false" ht="15.75" hidden="true" customHeight="false" outlineLevel="0" collapsed="false">
      <c r="A213" s="931"/>
      <c r="B213" s="1008" t="s">
        <v>2246</v>
      </c>
      <c r="C213" s="1008"/>
      <c r="D213" s="1008"/>
      <c r="E213" s="1008"/>
      <c r="F213" s="1008"/>
      <c r="G213" s="977"/>
      <c r="H213" s="1009" t="n">
        <f aca="false">H212</f>
        <v>1</v>
      </c>
      <c r="I213" s="983" t="n">
        <f aca="false">H213</f>
        <v>1</v>
      </c>
      <c r="J213" s="931"/>
      <c r="K213" s="937"/>
    </row>
    <row r="214" customFormat="false" ht="15.75" hidden="true" customHeight="false" outlineLevel="0" collapsed="false">
      <c r="A214" s="931"/>
      <c r="B214" s="992" t="str">
        <f aca="false">фундамент!A409</f>
        <v>Экскаватор погрузчик, бурение</v>
      </c>
      <c r="C214" s="993" t="str">
        <f aca="false">фундамент!B409</f>
        <v>шт</v>
      </c>
      <c r="D214" s="992" t="n">
        <f aca="false">фундамент!C409</f>
        <v>69.3</v>
      </c>
      <c r="E214" s="992" t="n">
        <f aca="false">фундамент!D409</f>
        <v>300</v>
      </c>
      <c r="F214" s="992"/>
      <c r="G214" s="967" t="n">
        <f aca="false">IF(F214&gt;0,D214*F214,E214*D214)</f>
        <v>20790</v>
      </c>
      <c r="H214" s="975" t="n">
        <f aca="false">D214*E214*$H$213</f>
        <v>20790</v>
      </c>
      <c r="I214" s="971" t="n">
        <f aca="false">IF(G214&gt;H214,G214,H214)*$H$212</f>
        <v>20790</v>
      </c>
      <c r="J214" s="936"/>
      <c r="K214" s="937"/>
    </row>
    <row r="215" customFormat="false" ht="15.75" hidden="true" customHeight="false" outlineLevel="0" collapsed="false">
      <c r="A215" s="937"/>
      <c r="B215" s="992" t="str">
        <f aca="false">фундамент!A410</f>
        <v>Бетон, м300</v>
      </c>
      <c r="C215" s="993" t="str">
        <f aca="false">фундамент!B410</f>
        <v>м3</v>
      </c>
      <c r="D215" s="992" t="n">
        <f aca="false">фундамент!C410</f>
        <v>4.896045</v>
      </c>
      <c r="E215" s="992" t="n">
        <f aca="false">фундамент!D410</f>
        <v>3000</v>
      </c>
      <c r="F215" s="992"/>
      <c r="G215" s="967" t="n">
        <f aca="false">IF(F215&gt;0,D215*F215,E215*D215)</f>
        <v>14688.135</v>
      </c>
      <c r="H215" s="975" t="n">
        <f aca="false">D215*E215*$H$213</f>
        <v>14688.135</v>
      </c>
      <c r="I215" s="971" t="n">
        <f aca="false">IF(G215&gt;H215,G215,H215)*$H$212</f>
        <v>14688.135</v>
      </c>
      <c r="J215" s="936"/>
      <c r="K215" s="937"/>
    </row>
    <row r="216" customFormat="false" ht="15.75" hidden="true" customHeight="false" outlineLevel="0" collapsed="false">
      <c r="A216" s="937"/>
      <c r="B216" s="992" t="str">
        <f aca="false">фундамент!A411</f>
        <v>Арматурный скелет для свай</v>
      </c>
      <c r="C216" s="993" t="str">
        <f aca="false">фундамент!B411</f>
        <v>м.п.</v>
      </c>
      <c r="D216" s="992" t="n">
        <f aca="false">фундамент!C411</f>
        <v>228.69</v>
      </c>
      <c r="E216" s="992" t="n">
        <f aca="false">фундамент!D411</f>
        <v>500</v>
      </c>
      <c r="F216" s="992"/>
      <c r="G216" s="967" t="n">
        <f aca="false">IF(F216&gt;0,D216*F216,E216*D216)</f>
        <v>114345</v>
      </c>
      <c r="H216" s="975" t="n">
        <f aca="false">D216*E216*$H$213</f>
        <v>114345</v>
      </c>
      <c r="I216" s="971" t="n">
        <f aca="false">IF(G216&gt;H216,G216,H216)*$H$212</f>
        <v>114345</v>
      </c>
      <c r="J216" s="936"/>
      <c r="K216" s="937"/>
    </row>
    <row r="217" customFormat="false" ht="15.75" hidden="true" customHeight="false" outlineLevel="0" collapsed="false">
      <c r="A217" s="937"/>
      <c r="B217" s="992" t="str">
        <f aca="false">фундамент!A412</f>
        <v>Сосна влаж,150*40мм</v>
      </c>
      <c r="C217" s="993" t="str">
        <f aca="false">фундамент!B412</f>
        <v>м3</v>
      </c>
      <c r="D217" s="992" t="n">
        <f aca="false">фундамент!C412</f>
        <v>3.29472</v>
      </c>
      <c r="E217" s="992" t="n">
        <f aca="false">фундамент!D412</f>
        <v>6500</v>
      </c>
      <c r="F217" s="992"/>
      <c r="G217" s="967" t="n">
        <f aca="false">IF(F217&gt;0,D217*F217,E217*D217)</f>
        <v>21415.68</v>
      </c>
      <c r="H217" s="975" t="n">
        <f aca="false">D217*E217*$H$213</f>
        <v>21415.68</v>
      </c>
      <c r="I217" s="971" t="n">
        <f aca="false">IF(G217&gt;H217,G217,H217)*$H$212</f>
        <v>21415.68</v>
      </c>
      <c r="J217" s="936"/>
      <c r="K217" s="937"/>
    </row>
    <row r="218" customFormat="false" ht="15.75" hidden="true" customHeight="false" outlineLevel="0" collapsed="false">
      <c r="A218" s="937"/>
      <c r="B218" s="992" t="str">
        <f aca="false">фундамент!A413</f>
        <v>Пленка гидроизоляционная </v>
      </c>
      <c r="C218" s="993" t="str">
        <f aca="false">фундамент!B413</f>
        <v>м2</v>
      </c>
      <c r="D218" s="992" t="n">
        <f aca="false">фундамент!C413</f>
        <v>82.368</v>
      </c>
      <c r="E218" s="992" t="n">
        <f aca="false">фундамент!D413</f>
        <v>15</v>
      </c>
      <c r="F218" s="992"/>
      <c r="G218" s="967" t="n">
        <f aca="false">IF(F218&gt;0,D218*F218,E218*D218)</f>
        <v>1235.52</v>
      </c>
      <c r="H218" s="975" t="n">
        <f aca="false">D218*E218*$H$213</f>
        <v>1235.52</v>
      </c>
      <c r="I218" s="971" t="n">
        <f aca="false">IF(G218&gt;H218,G218,H218)*$H$212</f>
        <v>1235.52</v>
      </c>
      <c r="J218" s="936"/>
      <c r="K218" s="937"/>
    </row>
    <row r="219" customFormat="false" ht="15.75" hidden="true" customHeight="false" outlineLevel="0" collapsed="false">
      <c r="A219" s="937"/>
      <c r="B219" s="992" t="str">
        <f aca="false">фундамент!A415</f>
        <v>Арматура стальная Ø 8</v>
      </c>
      <c r="C219" s="993" t="str">
        <f aca="false">фундамент!B415</f>
        <v>м.п</v>
      </c>
      <c r="D219" s="992" t="n">
        <f aca="false">фундамент!C415</f>
        <v>380.16</v>
      </c>
      <c r="E219" s="992" t="n">
        <f aca="false">фундамент!D415</f>
        <v>16.037</v>
      </c>
      <c r="F219" s="992"/>
      <c r="G219" s="967" t="n">
        <f aca="false">IF(F219&gt;0,D219*F219,E219*D219)</f>
        <v>6096.62592</v>
      </c>
      <c r="H219" s="975" t="n">
        <f aca="false">D219*E219*$H$213</f>
        <v>6096.62592</v>
      </c>
      <c r="I219" s="971" t="n">
        <f aca="false">IF(G219&gt;H219,G219,H219)*$H$212</f>
        <v>6096.62592</v>
      </c>
      <c r="J219" s="936"/>
      <c r="K219" s="937"/>
    </row>
    <row r="220" customFormat="false" ht="15.75" hidden="true" customHeight="false" outlineLevel="0" collapsed="false">
      <c r="A220" s="937"/>
      <c r="B220" s="992" t="str">
        <f aca="false">фундамент!A416</f>
        <v>Арматура стальная Ø 6</v>
      </c>
      <c r="C220" s="993" t="str">
        <f aca="false">фундамент!B416</f>
        <v>м.п</v>
      </c>
      <c r="D220" s="992" t="n">
        <f aca="false">фундамент!C416</f>
        <v>261.36</v>
      </c>
      <c r="E220" s="992" t="n">
        <f aca="false">фундамент!D416</f>
        <v>9.0132</v>
      </c>
      <c r="F220" s="992"/>
      <c r="G220" s="967" t="n">
        <f aca="false">IF(F220&gt;0,D220*F220,E220*D220)</f>
        <v>2355.689952</v>
      </c>
      <c r="H220" s="975" t="n">
        <f aca="false">D220*E220*$H$213</f>
        <v>2355.689952</v>
      </c>
      <c r="I220" s="971" t="n">
        <f aca="false">IF(G220&gt;H220,G220,H220)*$H$212</f>
        <v>2355.689952</v>
      </c>
      <c r="J220" s="936"/>
      <c r="K220" s="937"/>
    </row>
    <row r="221" customFormat="false" ht="15.75" hidden="true" customHeight="false" outlineLevel="0" collapsed="false">
      <c r="A221" s="937"/>
      <c r="B221" s="992" t="str">
        <f aca="false">фундамент!A417</f>
        <v>Вязальная проволока</v>
      </c>
      <c r="C221" s="993" t="str">
        <f aca="false">фундамент!B417</f>
        <v>кг</v>
      </c>
      <c r="D221" s="992" t="n">
        <f aca="false">фундамент!C417</f>
        <v>14.11344</v>
      </c>
      <c r="E221" s="992" t="n">
        <f aca="false">фундамент!D417</f>
        <v>80</v>
      </c>
      <c r="F221" s="992"/>
      <c r="G221" s="967" t="n">
        <f aca="false">IF(F221&gt;0,D221*F221,E221*D221)</f>
        <v>1129.0752</v>
      </c>
      <c r="H221" s="975" t="n">
        <f aca="false">D221*E221*$H$213</f>
        <v>1129.0752</v>
      </c>
      <c r="I221" s="971" t="n">
        <f aca="false">IF(G221&gt;H221,G221,H221)*$H$212</f>
        <v>1129.0752</v>
      </c>
      <c r="J221" s="936"/>
      <c r="K221" s="937"/>
    </row>
    <row r="222" customFormat="false" ht="15.75" hidden="true" customHeight="false" outlineLevel="0" collapsed="false">
      <c r="A222" s="937"/>
      <c r="B222" s="992" t="str">
        <f aca="false">фундамент!A418</f>
        <v>Гвозди строительные 3,5 x 90            </v>
      </c>
      <c r="C222" s="993" t="str">
        <f aca="false">фундамент!B418</f>
        <v>кг</v>
      </c>
      <c r="D222" s="992" t="n">
        <f aca="false">фундамент!C418</f>
        <v>18.12096</v>
      </c>
      <c r="E222" s="992" t="n">
        <f aca="false">фундамент!D418</f>
        <v>70</v>
      </c>
      <c r="F222" s="992"/>
      <c r="G222" s="967" t="n">
        <f aca="false">IF(F222&gt;0,D222*F222,E222*D222)</f>
        <v>1268.4672</v>
      </c>
      <c r="H222" s="975" t="n">
        <f aca="false">D222*E222*$H$213</f>
        <v>1268.4672</v>
      </c>
      <c r="I222" s="971" t="n">
        <f aca="false">IF(G222&gt;H222,G222,H222)*$H$212</f>
        <v>1268.4672</v>
      </c>
      <c r="J222" s="936"/>
      <c r="K222" s="937"/>
    </row>
    <row r="223" customFormat="false" ht="15.75" hidden="true" customHeight="false" outlineLevel="0" collapsed="false">
      <c r="A223" s="937"/>
      <c r="B223" s="992" t="str">
        <f aca="false">фундамент!A419</f>
        <v>Гидроизол</v>
      </c>
      <c r="C223" s="993" t="str">
        <f aca="false">фундамент!B419</f>
        <v>м2</v>
      </c>
      <c r="D223" s="992" t="n">
        <f aca="false">фундамент!C419</f>
        <v>15.84</v>
      </c>
      <c r="E223" s="992" t="n">
        <f aca="false">фундамент!D419</f>
        <v>70</v>
      </c>
      <c r="F223" s="992"/>
      <c r="G223" s="967" t="n">
        <f aca="false">IF(F223&gt;0,D223*F223,E223*D223)</f>
        <v>1108.8</v>
      </c>
      <c r="H223" s="975" t="n">
        <f aca="false">D223*E223*$H$213</f>
        <v>1108.8</v>
      </c>
      <c r="I223" s="971" t="n">
        <f aca="false">IF(G223&gt;H223,G223,H223)*$H$212</f>
        <v>1108.8</v>
      </c>
      <c r="J223" s="936"/>
      <c r="K223" s="937"/>
    </row>
    <row r="224" customFormat="false" ht="15.75" hidden="true" customHeight="false" outlineLevel="0" collapsed="false">
      <c r="A224" s="937"/>
      <c r="B224" s="992" t="str">
        <f aca="false">фундамент!A420</f>
        <v>ПГС, машина 13м3</v>
      </c>
      <c r="C224" s="993" t="str">
        <f aca="false">фундамент!B420</f>
        <v>маш</v>
      </c>
      <c r="D224" s="992" t="n">
        <f aca="false">фундамент!C420</f>
        <v>0.528</v>
      </c>
      <c r="E224" s="992" t="n">
        <f aca="false">фундамент!D420</f>
        <v>10000</v>
      </c>
      <c r="F224" s="992"/>
      <c r="G224" s="967" t="n">
        <f aca="false">IF(F224&gt;0,D224*F224,E224*D224)</f>
        <v>5280</v>
      </c>
      <c r="H224" s="975" t="n">
        <f aca="false">D224*E224*$H$213</f>
        <v>5280</v>
      </c>
      <c r="I224" s="971" t="n">
        <f aca="false">IF(G224&gt;H224,G224,H224)*$H$212</f>
        <v>5280</v>
      </c>
      <c r="J224" s="936"/>
      <c r="K224" s="937"/>
    </row>
    <row r="225" customFormat="false" ht="15.75" hidden="true" customHeight="false" outlineLevel="0" collapsed="false">
      <c r="A225" s="937"/>
      <c r="B225" s="992" t="str">
        <f aca="false">фундамент!A421</f>
        <v>Бетон, м250</v>
      </c>
      <c r="C225" s="993" t="str">
        <f aca="false">фундамент!B421</f>
        <v>м3</v>
      </c>
      <c r="D225" s="992" t="n">
        <f aca="false">фундамент!C421</f>
        <v>9.504</v>
      </c>
      <c r="E225" s="992" t="n">
        <f aca="false">фундамент!D421</f>
        <v>2750</v>
      </c>
      <c r="F225" s="992"/>
      <c r="G225" s="967" t="n">
        <f aca="false">IF(F225&gt;0,D225*F225,E225*D225)</f>
        <v>26136</v>
      </c>
      <c r="H225" s="975" t="n">
        <f aca="false">D225*E225*$H$213</f>
        <v>26136</v>
      </c>
      <c r="I225" s="971" t="n">
        <f aca="false">IF(G225&gt;H225,G225,H225)*$H$212</f>
        <v>26136</v>
      </c>
      <c r="J225" s="936"/>
      <c r="K225" s="937"/>
    </row>
    <row r="226" customFormat="false" ht="15.75" hidden="true" customHeight="false" outlineLevel="0" collapsed="false">
      <c r="A226" s="937"/>
      <c r="B226" s="992" t="str">
        <f aca="false">фундамент!A422</f>
        <v>Нет</v>
      </c>
      <c r="C226" s="993" t="str">
        <f aca="false">фундамент!B422</f>
        <v>м3</v>
      </c>
      <c r="D226" s="992" t="n">
        <f aca="false">фундамент!C422</f>
        <v>0</v>
      </c>
      <c r="E226" s="992" t="n">
        <f aca="false">фундамент!D422</f>
        <v>0</v>
      </c>
      <c r="F226" s="992"/>
      <c r="G226" s="967" t="n">
        <f aca="false">IF(F226&gt;0,D226*F226,E226*D226)</f>
        <v>0</v>
      </c>
      <c r="H226" s="975" t="n">
        <f aca="false">D226*E226*$H$213</f>
        <v>0</v>
      </c>
      <c r="I226" s="971" t="n">
        <f aca="false">IF(G226&gt;H226,G226,H226)*$H$212</f>
        <v>0</v>
      </c>
      <c r="J226" s="936"/>
      <c r="K226" s="937"/>
    </row>
    <row r="227" customFormat="false" ht="15.75" hidden="true" customHeight="false" outlineLevel="0" collapsed="false">
      <c r="A227" s="937"/>
      <c r="B227" s="992" t="str">
        <f aca="false">фундамент!A423</f>
        <v>Грибок для крепления утеплителя</v>
      </c>
      <c r="C227" s="993" t="str">
        <f aca="false">фундамент!B423</f>
        <v>шт</v>
      </c>
      <c r="D227" s="992" t="n">
        <f aca="false">фундамент!C423</f>
        <v>0</v>
      </c>
      <c r="E227" s="992" t="n">
        <f aca="false">фундамент!D423</f>
        <v>15</v>
      </c>
      <c r="F227" s="992"/>
      <c r="G227" s="967" t="n">
        <f aca="false">IF(F227&gt;0,D227*F227,E227*D227)</f>
        <v>0</v>
      </c>
      <c r="H227" s="975" t="n">
        <f aca="false">D227*E227*$H$213</f>
        <v>0</v>
      </c>
      <c r="I227" s="971" t="n">
        <f aca="false">IF(G227&gt;H227,G227,H227)*$H$212</f>
        <v>0</v>
      </c>
      <c r="J227" s="936"/>
      <c r="K227" s="937"/>
    </row>
    <row r="228" customFormat="false" ht="15.75" hidden="true" customHeight="false" outlineLevel="0" collapsed="false">
      <c r="A228" s="937"/>
      <c r="B228" s="992" t="str">
        <f aca="false">фундамент!A424</f>
        <v>Нет</v>
      </c>
      <c r="C228" s="993" t="str">
        <f aca="false">фундамент!B424</f>
        <v>м3</v>
      </c>
      <c r="D228" s="992" t="n">
        <f aca="false">фундамент!C424</f>
        <v>0</v>
      </c>
      <c r="E228" s="992" t="n">
        <f aca="false">фундамент!D424</f>
        <v>0</v>
      </c>
      <c r="F228" s="992"/>
      <c r="G228" s="967" t="n">
        <f aca="false">IF(F228&gt;0,D228*F228,E228*D228)</f>
        <v>0</v>
      </c>
      <c r="H228" s="975" t="n">
        <f aca="false">D228*E228*$H$213</f>
        <v>0</v>
      </c>
      <c r="I228" s="971" t="n">
        <f aca="false">IF(G228&gt;H228,G228,H228)*$H$212</f>
        <v>0</v>
      </c>
      <c r="J228" s="936"/>
      <c r="K228" s="937"/>
    </row>
    <row r="229" customFormat="false" ht="15.75" hidden="true" customHeight="false" outlineLevel="0" collapsed="false">
      <c r="A229" s="937"/>
      <c r="B229" s="992" t="str">
        <f aca="false">фундамент!A425</f>
        <v>ПГС, машина 5м3</v>
      </c>
      <c r="C229" s="993" t="str">
        <f aca="false">фундамент!B425</f>
        <v>маш</v>
      </c>
      <c r="D229" s="992" t="n">
        <f aca="false">фундамент!C425</f>
        <v>0</v>
      </c>
      <c r="E229" s="992" t="n">
        <f aca="false">фундамент!D425</f>
        <v>6000</v>
      </c>
      <c r="F229" s="992"/>
      <c r="G229" s="967" t="n">
        <f aca="false">IF(F229&gt;0,D229*F229,E229*D229)</f>
        <v>0</v>
      </c>
      <c r="H229" s="975" t="n">
        <f aca="false">D229*E229*$H$213</f>
        <v>0</v>
      </c>
      <c r="I229" s="971" t="n">
        <f aca="false">IF(G229&gt;H229,G229,H229)*$H$212</f>
        <v>0</v>
      </c>
      <c r="J229" s="936"/>
      <c r="K229" s="937"/>
    </row>
    <row r="230" customFormat="false" ht="15.75" hidden="true" customHeight="false" outlineLevel="0" collapsed="false">
      <c r="A230" s="937"/>
      <c r="B230" s="992" t="str">
        <f aca="false">фундамент!A426</f>
        <v>Кладочная сетка, 100*100/150*150/200*200мм</v>
      </c>
      <c r="C230" s="993" t="str">
        <f aca="false">фундамент!B426</f>
        <v>м2</v>
      </c>
      <c r="D230" s="992" t="n">
        <f aca="false">фундамент!C426</f>
        <v>0</v>
      </c>
      <c r="E230" s="992" t="n">
        <f aca="false">фундамент!D426</f>
        <v>70</v>
      </c>
      <c r="F230" s="992"/>
      <c r="G230" s="967" t="n">
        <f aca="false">IF(F230&gt;0,D230*F230,E230*D230)</f>
        <v>0</v>
      </c>
      <c r="H230" s="975" t="n">
        <f aca="false">D230*E230*$H$213</f>
        <v>0</v>
      </c>
      <c r="I230" s="971" t="n">
        <f aca="false">IF(G230&gt;H230,G230,H230)*$H$212</f>
        <v>0</v>
      </c>
      <c r="J230" s="936"/>
      <c r="K230" s="937"/>
    </row>
    <row r="231" customFormat="false" ht="15.75" hidden="true" customHeight="false" outlineLevel="0" collapsed="false">
      <c r="A231" s="937"/>
      <c r="B231" s="992" t="str">
        <f aca="false">фундамент!A427</f>
        <v>Бетон, м200</v>
      </c>
      <c r="C231" s="993" t="str">
        <f aca="false">фундамент!B427</f>
        <v>м3</v>
      </c>
      <c r="D231" s="992" t="n">
        <f aca="false">фундамент!C427</f>
        <v>0</v>
      </c>
      <c r="E231" s="992" t="n">
        <f aca="false">фундамент!D427</f>
        <v>2500</v>
      </c>
      <c r="F231" s="992"/>
      <c r="G231" s="967" t="n">
        <f aca="false">IF(F231&gt;0,D231*F231,E231*D231)</f>
        <v>0</v>
      </c>
      <c r="H231" s="975" t="n">
        <f aca="false">D231*E231*$H$213</f>
        <v>0</v>
      </c>
      <c r="I231" s="971" t="n">
        <f aca="false">IF(G231&gt;H231,G231,H231)*$H$212</f>
        <v>0</v>
      </c>
      <c r="J231" s="936"/>
      <c r="K231" s="937"/>
    </row>
    <row r="232" customFormat="false" ht="15.75" hidden="true" customHeight="false" outlineLevel="0" collapsed="false">
      <c r="A232" s="937"/>
      <c r="B232" s="973" t="s">
        <v>2247</v>
      </c>
      <c r="C232" s="973"/>
      <c r="D232" s="973"/>
      <c r="E232" s="973"/>
      <c r="F232" s="973"/>
      <c r="G232" s="970" t="n">
        <f aca="false">SUM(G214:G231)*H212</f>
        <v>215848.993272</v>
      </c>
      <c r="H232" s="970" t="n">
        <f aca="false">SUM(H214:H231)</f>
        <v>215848.993272</v>
      </c>
      <c r="I232" s="971" t="n">
        <f aca="false">IF(G232&gt;H232,G232,H232)*$H$212</f>
        <v>215848.993272</v>
      </c>
      <c r="J232" s="936"/>
      <c r="L232" s="926"/>
      <c r="M232" s="926"/>
      <c r="N232" s="926"/>
      <c r="O232" s="926"/>
    </row>
    <row r="233" customFormat="false" ht="15.75" hidden="true" customHeight="false" outlineLevel="0" collapsed="false">
      <c r="A233" s="937"/>
      <c r="B233" s="976" t="s">
        <v>2007</v>
      </c>
      <c r="C233" s="976"/>
      <c r="D233" s="976"/>
      <c r="E233" s="976"/>
      <c r="F233" s="976"/>
      <c r="G233" s="977"/>
      <c r="H233" s="1011" t="n">
        <f aca="false">H212</f>
        <v>1</v>
      </c>
      <c r="I233" s="983" t="n">
        <f aca="false">H233</f>
        <v>1</v>
      </c>
      <c r="J233" s="936"/>
      <c r="L233" s="926"/>
      <c r="M233" s="926"/>
      <c r="N233" s="926"/>
      <c r="O233" s="926"/>
    </row>
    <row r="234" customFormat="false" ht="15.75" hidden="true" customHeight="false" outlineLevel="0" collapsed="false">
      <c r="A234" s="931"/>
      <c r="B234" s="995" t="str">
        <f aca="false">фундамент!G409</f>
        <v>приемка бетона</v>
      </c>
      <c r="C234" s="993" t="s">
        <v>1043</v>
      </c>
      <c r="D234" s="967" t="n">
        <f aca="false">фундамент!J409</f>
        <v>4.6734975</v>
      </c>
      <c r="E234" s="986" t="n">
        <f aca="false">фундамент!K409</f>
        <v>1200</v>
      </c>
      <c r="F234" s="986"/>
      <c r="G234" s="967" t="n">
        <f aca="false">IF(F234&gt;0,D234*F234,E234*D234)</f>
        <v>5608.197</v>
      </c>
      <c r="H234" s="970" t="n">
        <f aca="false">D234*E234*$H$213</f>
        <v>5608.197</v>
      </c>
      <c r="I234" s="971" t="n">
        <f aca="false">IF(G234&gt;H234,G234,H234)*$H$212</f>
        <v>5608.197</v>
      </c>
      <c r="J234" s="936"/>
      <c r="K234" s="937"/>
    </row>
    <row r="235" customFormat="false" ht="15.75" hidden="true" customHeight="false" outlineLevel="0" collapsed="false">
      <c r="A235" s="937"/>
      <c r="B235" s="995" t="str">
        <f aca="false">фундамент!G410</f>
        <v>армирование свай скелет из арматуры</v>
      </c>
      <c r="C235" s="993" t="s">
        <v>15</v>
      </c>
      <c r="D235" s="967" t="n">
        <f aca="false">фундамент!J410</f>
        <v>66.15</v>
      </c>
      <c r="E235" s="986" t="n">
        <f aca="false">фундамент!K410</f>
        <v>500</v>
      </c>
      <c r="F235" s="986"/>
      <c r="G235" s="967" t="n">
        <f aca="false">IF(F235&gt;0,D235*F235,E235*D235)</f>
        <v>33075</v>
      </c>
      <c r="H235" s="970" t="n">
        <f aca="false">D235*E235*$H$213</f>
        <v>33075</v>
      </c>
      <c r="I235" s="971" t="n">
        <f aca="false">IF(G235&gt;H235,G235,H235)*$H$212</f>
        <v>33075</v>
      </c>
      <c r="J235" s="936"/>
      <c r="K235" s="937"/>
    </row>
    <row r="236" customFormat="false" ht="15.75" hidden="true" customHeight="false" outlineLevel="0" collapsed="false">
      <c r="A236" s="937"/>
      <c r="B236" s="995" t="str">
        <f aca="false">фундамент!G411</f>
        <v>разбивка осей</v>
      </c>
      <c r="C236" s="993" t="s">
        <v>48</v>
      </c>
      <c r="D236" s="967" t="n">
        <f aca="false">фундамент!J411</f>
        <v>1.05</v>
      </c>
      <c r="E236" s="986" t="n">
        <f aca="false">фундамент!K411</f>
        <v>7000</v>
      </c>
      <c r="F236" s="986"/>
      <c r="G236" s="967" t="n">
        <f aca="false">IF(F236&gt;0,D236*F236,E236*D236)</f>
        <v>7350</v>
      </c>
      <c r="H236" s="970" t="n">
        <f aca="false">D236*E236*$H$213</f>
        <v>7350</v>
      </c>
      <c r="I236" s="971" t="n">
        <f aca="false">IF(G236&gt;H236,G236,H236)*$H$212</f>
        <v>7350</v>
      </c>
      <c r="J236" s="936"/>
      <c r="K236" s="937"/>
    </row>
    <row r="237" customFormat="false" ht="15.75" hidden="true" customHeight="false" outlineLevel="0" collapsed="false">
      <c r="A237" s="937"/>
      <c r="B237" s="995" t="str">
        <f aca="false">фундамент!G412</f>
        <v>сборка опалубки</v>
      </c>
      <c r="C237" s="993" t="s">
        <v>820</v>
      </c>
      <c r="D237" s="967" t="n">
        <f aca="false">фундамент!J412</f>
        <v>60.48</v>
      </c>
      <c r="E237" s="986" t="n">
        <f aca="false">фундамент!K412</f>
        <v>300</v>
      </c>
      <c r="F237" s="986"/>
      <c r="G237" s="967" t="n">
        <f aca="false">IF(F237&gt;0,D237*F237,E237*D237)</f>
        <v>18144</v>
      </c>
      <c r="H237" s="970" t="n">
        <f aca="false">D237*E237*$H$213</f>
        <v>18144</v>
      </c>
      <c r="I237" s="971" t="n">
        <f aca="false">IF(G237&gt;H237,G237,H237)*$H$212</f>
        <v>18144</v>
      </c>
      <c r="J237" s="936"/>
      <c r="K237" s="937"/>
    </row>
    <row r="238" customFormat="false" ht="15.75" hidden="true" customHeight="false" outlineLevel="0" collapsed="false">
      <c r="A238" s="937"/>
      <c r="B238" s="995" t="str">
        <f aca="false">фундамент!G413</f>
        <v>разборка опалубки</v>
      </c>
      <c r="C238" s="993" t="s">
        <v>820</v>
      </c>
      <c r="D238" s="967" t="n">
        <f aca="false">фундамент!J413</f>
        <v>63.504</v>
      </c>
      <c r="E238" s="986" t="n">
        <f aca="false">фундамент!K413</f>
        <v>100</v>
      </c>
      <c r="F238" s="986"/>
      <c r="G238" s="967" t="n">
        <f aca="false">IF(F238&gt;0,D238*F238,E238*D238)</f>
        <v>6350.4</v>
      </c>
      <c r="H238" s="970" t="n">
        <f aca="false">D238*E238*$H$213</f>
        <v>6350.4</v>
      </c>
      <c r="I238" s="971" t="n">
        <f aca="false">IF(G238&gt;H238,G238,H238)*$H$212</f>
        <v>6350.4</v>
      </c>
      <c r="J238" s="936"/>
      <c r="K238" s="937"/>
    </row>
    <row r="239" customFormat="false" ht="15.75" hidden="true" customHeight="false" outlineLevel="0" collapsed="false">
      <c r="A239" s="937"/>
      <c r="B239" s="995" t="str">
        <f aca="false">фундамент!G414</f>
        <v>настил пленки</v>
      </c>
      <c r="C239" s="993" t="s">
        <v>820</v>
      </c>
      <c r="D239" s="967" t="n">
        <f aca="false">фундамент!J414</f>
        <v>66.6792</v>
      </c>
      <c r="E239" s="986" t="n">
        <f aca="false">фундамент!K414</f>
        <v>10</v>
      </c>
      <c r="F239" s="986"/>
      <c r="G239" s="967" t="n">
        <f aca="false">IF(F239&gt;0,D239*F239,E239*D239)</f>
        <v>666.792</v>
      </c>
      <c r="H239" s="970" t="n">
        <f aca="false">D239*E239*$H$213</f>
        <v>666.792</v>
      </c>
      <c r="I239" s="971" t="n">
        <f aca="false">IF(G239&gt;H239,G239,H239)*$H$212</f>
        <v>666.792</v>
      </c>
      <c r="J239" s="936"/>
      <c r="K239" s="937"/>
    </row>
    <row r="240" customFormat="false" ht="15.75" hidden="true" customHeight="false" outlineLevel="0" collapsed="false">
      <c r="A240" s="937"/>
      <c r="B240" s="995" t="str">
        <f aca="false">фундамент!G416</f>
        <v>армирование</v>
      </c>
      <c r="C240" s="993" t="s">
        <v>2013</v>
      </c>
      <c r="D240" s="967" t="n">
        <f aca="false">фундамент!J416</f>
        <v>362.88</v>
      </c>
      <c r="E240" s="986" t="n">
        <f aca="false">фундамент!K416</f>
        <v>30</v>
      </c>
      <c r="F240" s="986"/>
      <c r="G240" s="967" t="n">
        <f aca="false">IF(F240&gt;0,D240*F240,E240*D240)</f>
        <v>10886.4</v>
      </c>
      <c r="H240" s="970" t="n">
        <f aca="false">D240*E240*$H$213</f>
        <v>10886.4</v>
      </c>
      <c r="I240" s="971" t="n">
        <f aca="false">IF(G240&gt;H240,G240,H240)*$H$212</f>
        <v>10886.4</v>
      </c>
      <c r="J240" s="936"/>
      <c r="K240" s="937"/>
    </row>
    <row r="241" customFormat="false" ht="15.75" hidden="true" customHeight="false" outlineLevel="0" collapsed="false">
      <c r="A241" s="937"/>
      <c r="B241" s="995" t="str">
        <f aca="false">фундамент!G417</f>
        <v>армирование</v>
      </c>
      <c r="C241" s="993" t="s">
        <v>15</v>
      </c>
      <c r="D241" s="967" t="n">
        <f aca="false">фундамент!J417</f>
        <v>166.32</v>
      </c>
      <c r="E241" s="986" t="n">
        <f aca="false">фундамент!K417</f>
        <v>30</v>
      </c>
      <c r="F241" s="986"/>
      <c r="G241" s="967" t="n">
        <f aca="false">IF(F241&gt;0,D241*F241,E241*D241)</f>
        <v>4989.6</v>
      </c>
      <c r="H241" s="970" t="n">
        <f aca="false">D241*E241*$H$213</f>
        <v>4989.6</v>
      </c>
      <c r="I241" s="971" t="n">
        <f aca="false">IF(G241&gt;H241,G241,H241)*$H$212</f>
        <v>4989.6</v>
      </c>
      <c r="J241" s="936"/>
      <c r="K241" s="937"/>
    </row>
    <row r="242" customFormat="false" ht="15.75" hidden="true" customHeight="false" outlineLevel="0" collapsed="false">
      <c r="A242" s="937"/>
      <c r="B242" s="995" t="str">
        <f aca="false">фундамент!G418</f>
        <v>настил гидроизола</v>
      </c>
      <c r="C242" s="993" t="s">
        <v>820</v>
      </c>
      <c r="D242" s="967" t="n">
        <f aca="false">фундамент!J418</f>
        <v>15.12</v>
      </c>
      <c r="E242" s="986" t="n">
        <f aca="false">фундамент!K418</f>
        <v>100</v>
      </c>
      <c r="F242" s="986"/>
      <c r="G242" s="967" t="n">
        <f aca="false">IF(F242&gt;0,D242*F242,E242*D242)</f>
        <v>1512</v>
      </c>
      <c r="H242" s="970" t="n">
        <f aca="false">D242*E242*$H$213</f>
        <v>1512</v>
      </c>
      <c r="I242" s="971" t="n">
        <f aca="false">IF(G242&gt;H242,G242,H242)*$H$212</f>
        <v>1512</v>
      </c>
      <c r="J242" s="936"/>
      <c r="K242" s="937"/>
    </row>
    <row r="243" customFormat="false" ht="15.75" hidden="true" customHeight="false" outlineLevel="0" collapsed="false">
      <c r="A243" s="937"/>
      <c r="B243" s="995" t="str">
        <f aca="false">фундамент!G419</f>
        <v>трамбовка</v>
      </c>
      <c r="C243" s="993" t="s">
        <v>820</v>
      </c>
      <c r="D243" s="967" t="n">
        <f aca="false">фундамент!J419</f>
        <v>15.876</v>
      </c>
      <c r="E243" s="986" t="n">
        <f aca="false">фундамент!K419</f>
        <v>600</v>
      </c>
      <c r="F243" s="986"/>
      <c r="G243" s="967" t="n">
        <f aca="false">IF(F243&gt;0,D243*F243,E243*D243)</f>
        <v>9525.6</v>
      </c>
      <c r="H243" s="970" t="n">
        <f aca="false">D243*E243*$H$213</f>
        <v>9525.6</v>
      </c>
      <c r="I243" s="971" t="n">
        <f aca="false">IF(G243&gt;H243,G243,H243)*$H$212</f>
        <v>9525.6</v>
      </c>
      <c r="J243" s="936"/>
      <c r="K243" s="937"/>
    </row>
    <row r="244" customFormat="false" ht="15.75" hidden="true" customHeight="false" outlineLevel="0" collapsed="false">
      <c r="A244" s="937"/>
      <c r="B244" s="995" t="str">
        <f aca="false">фундамент!G420</f>
        <v>приемка бетона</v>
      </c>
      <c r="C244" s="993" t="s">
        <v>1043</v>
      </c>
      <c r="D244" s="967" t="n">
        <f aca="false">фундамент!J420</f>
        <v>9.072</v>
      </c>
      <c r="E244" s="986" t="n">
        <f aca="false">фундамент!K420</f>
        <v>1200</v>
      </c>
      <c r="F244" s="986"/>
      <c r="G244" s="967" t="n">
        <f aca="false">IF(F244&gt;0,D244*F244,E244*D244)</f>
        <v>10886.4</v>
      </c>
      <c r="H244" s="970" t="n">
        <f aca="false">D244*E244*$H$213</f>
        <v>10886.4</v>
      </c>
      <c r="I244" s="971" t="n">
        <f aca="false">IF(G244&gt;H244,G244,H244)*$H$212</f>
        <v>10886.4</v>
      </c>
      <c r="J244" s="936"/>
      <c r="K244" s="937"/>
    </row>
    <row r="245" customFormat="false" ht="15.75" hidden="true" customHeight="false" outlineLevel="0" collapsed="false">
      <c r="A245" s="937"/>
      <c r="B245" s="995" t="str">
        <f aca="false">фундамент!G421</f>
        <v>утепление фундамента</v>
      </c>
      <c r="C245" s="993" t="s">
        <v>820</v>
      </c>
      <c r="D245" s="967" t="n">
        <f aca="false">фундамент!J421</f>
        <v>0</v>
      </c>
      <c r="E245" s="986" t="n">
        <f aca="false">фундамент!K421</f>
        <v>200</v>
      </c>
      <c r="F245" s="986"/>
      <c r="G245" s="967" t="n">
        <f aca="false">IF(F245&gt;0,D245*F245,E245*D245)</f>
        <v>0</v>
      </c>
      <c r="H245" s="970" t="n">
        <f aca="false">D245*E245*$H$213</f>
        <v>0</v>
      </c>
      <c r="I245" s="971" t="n">
        <f aca="false">IF(G245&gt;H245,G245,H245)*$H$212</f>
        <v>0</v>
      </c>
      <c r="J245" s="936"/>
      <c r="K245" s="937"/>
    </row>
    <row r="246" customFormat="false" ht="15.75" hidden="true" customHeight="false" outlineLevel="0" collapsed="false">
      <c r="A246" s="937"/>
      <c r="B246" s="995" t="str">
        <f aca="false">фундамент!G422</f>
        <v>утепление отмостки</v>
      </c>
      <c r="C246" s="993" t="s">
        <v>820</v>
      </c>
      <c r="D246" s="967" t="n">
        <f aca="false">фундамент!J422</f>
        <v>0</v>
      </c>
      <c r="E246" s="986" t="n">
        <f aca="false">фундамент!K422</f>
        <v>200</v>
      </c>
      <c r="F246" s="986"/>
      <c r="G246" s="967" t="n">
        <f aca="false">IF(F246&gt;0,D246*F246,E246*D246)</f>
        <v>0</v>
      </c>
      <c r="H246" s="970" t="n">
        <f aca="false">D246*E246*$H$213</f>
        <v>0</v>
      </c>
      <c r="I246" s="971" t="n">
        <f aca="false">IF(G246&gt;H246,G246,H246)*$H$212</f>
        <v>0</v>
      </c>
      <c r="J246" s="936"/>
      <c r="K246" s="937"/>
    </row>
    <row r="247" customFormat="false" ht="15.75" hidden="true" customHeight="false" outlineLevel="0" collapsed="false">
      <c r="A247" s="937"/>
      <c r="B247" s="995" t="str">
        <f aca="false">фундамент!G423</f>
        <v>трамбовка пгс</v>
      </c>
      <c r="C247" s="993" t="s">
        <v>820</v>
      </c>
      <c r="D247" s="967" t="n">
        <f aca="false">фундамент!J423</f>
        <v>0</v>
      </c>
      <c r="E247" s="986" t="n">
        <f aca="false">фундамент!K423</f>
        <v>600</v>
      </c>
      <c r="F247" s="986"/>
      <c r="G247" s="967" t="n">
        <f aca="false">IF(F247&gt;0,D247*F247,E247*D247)</f>
        <v>0</v>
      </c>
      <c r="H247" s="970" t="n">
        <f aca="false">D247*E247*$H$213</f>
        <v>0</v>
      </c>
      <c r="I247" s="971" t="n">
        <f aca="false">IF(G247&gt;H247,G247,H247)*$H$212</f>
        <v>0</v>
      </c>
      <c r="J247" s="936"/>
      <c r="K247" s="937"/>
    </row>
    <row r="248" customFormat="false" ht="15.75" hidden="true" customHeight="false" outlineLevel="0" collapsed="false">
      <c r="A248" s="937"/>
      <c r="B248" s="995" t="str">
        <f aca="false">фундамент!G424</f>
        <v>кладка сетки</v>
      </c>
      <c r="C248" s="993" t="s">
        <v>820</v>
      </c>
      <c r="D248" s="967" t="n">
        <f aca="false">фундамент!J424</f>
        <v>0</v>
      </c>
      <c r="E248" s="986" t="n">
        <f aca="false">фундамент!K424</f>
        <v>100</v>
      </c>
      <c r="F248" s="986"/>
      <c r="G248" s="967" t="n">
        <f aca="false">IF(F248&gt;0,D248*F248,E248*D248)</f>
        <v>0</v>
      </c>
      <c r="H248" s="970" t="n">
        <f aca="false">D248*E248*$H$213</f>
        <v>0</v>
      </c>
      <c r="I248" s="971" t="n">
        <f aca="false">IF(G248&gt;H248,G248,H248)*$H$212</f>
        <v>0</v>
      </c>
      <c r="J248" s="936"/>
      <c r="K248" s="937"/>
    </row>
    <row r="249" customFormat="false" ht="15.75" hidden="true" customHeight="false" outlineLevel="0" collapsed="false">
      <c r="A249" s="937"/>
      <c r="B249" s="995" t="str">
        <f aca="false">фундамент!G425</f>
        <v>приемка бетона</v>
      </c>
      <c r="C249" s="993" t="s">
        <v>820</v>
      </c>
      <c r="D249" s="967" t="n">
        <f aca="false">фундамент!J425</f>
        <v>0</v>
      </c>
      <c r="E249" s="986" t="n">
        <f aca="false">фундамент!K425</f>
        <v>1200</v>
      </c>
      <c r="F249" s="986"/>
      <c r="G249" s="967" t="n">
        <f aca="false">IF(F249&gt;0,D249*F249,E249*D249)</f>
        <v>0</v>
      </c>
      <c r="H249" s="970" t="n">
        <f aca="false">D249*E249*$H$213</f>
        <v>0</v>
      </c>
      <c r="I249" s="971" t="n">
        <f aca="false">IF(G249&gt;H249,G249,H249)*$H$212</f>
        <v>0</v>
      </c>
      <c r="J249" s="936"/>
      <c r="K249" s="937"/>
    </row>
    <row r="250" customFormat="false" ht="15.75" hidden="true" customHeight="false" outlineLevel="0" collapsed="false">
      <c r="A250" s="937"/>
      <c r="B250" s="973" t="s">
        <v>2248</v>
      </c>
      <c r="C250" s="973"/>
      <c r="D250" s="973"/>
      <c r="E250" s="973"/>
      <c r="F250" s="973"/>
      <c r="G250" s="970" t="n">
        <f aca="false">SUM(G234:G249)*H233</f>
        <v>108994.389</v>
      </c>
      <c r="H250" s="970" t="n">
        <f aca="false">SUM(H234:H249)</f>
        <v>108994.389</v>
      </c>
      <c r="I250" s="971" t="n">
        <f aca="false">IF(G250&gt;H250,G250,H250)*$H$212</f>
        <v>108994.389</v>
      </c>
      <c r="J250" s="936"/>
      <c r="K250" s="937"/>
    </row>
    <row r="251" customFormat="false" ht="21" hidden="true" customHeight="false" outlineLevel="0" collapsed="false">
      <c r="A251" s="937"/>
      <c r="B251" s="989" t="s">
        <v>505</v>
      </c>
      <c r="C251" s="989"/>
      <c r="D251" s="989"/>
      <c r="E251" s="989"/>
      <c r="F251" s="1012"/>
      <c r="G251" s="977"/>
      <c r="H251" s="1007" t="n">
        <f aca="false">IF('Ввод данных'!A21=связи1!F85,1,0)</f>
        <v>0</v>
      </c>
      <c r="I251" s="983" t="n">
        <f aca="false">H251</f>
        <v>0</v>
      </c>
      <c r="J251" s="931"/>
      <c r="K251" s="937"/>
    </row>
    <row r="252" customFormat="false" ht="15.75" hidden="true" customHeight="false" outlineLevel="0" collapsed="false">
      <c r="A252" s="931"/>
      <c r="B252" s="1008" t="s">
        <v>2246</v>
      </c>
      <c r="C252" s="1008"/>
      <c r="D252" s="1008"/>
      <c r="E252" s="1008"/>
      <c r="F252" s="1013"/>
      <c r="G252" s="977"/>
      <c r="H252" s="1009" t="n">
        <f aca="false">H251</f>
        <v>0</v>
      </c>
      <c r="I252" s="983" t="n">
        <f aca="false">H252</f>
        <v>0</v>
      </c>
      <c r="J252" s="931"/>
      <c r="K252" s="937"/>
    </row>
    <row r="253" customFormat="false" ht="15.75" hidden="true" customHeight="false" outlineLevel="0" collapsed="false">
      <c r="A253" s="931"/>
      <c r="B253" s="992" t="str">
        <f aca="false">фундамент!A478</f>
        <v>Скальник, 1 маш 13м3</v>
      </c>
      <c r="C253" s="993" t="str">
        <f aca="false">фундамент!B478</f>
        <v>маш</v>
      </c>
      <c r="D253" s="992" t="n">
        <f aca="false">фундамент!C478</f>
        <v>0.984615384615385</v>
      </c>
      <c r="E253" s="1010" t="n">
        <f aca="false">фундамент!D478</f>
        <v>15000</v>
      </c>
      <c r="F253" s="1010"/>
      <c r="G253" s="967" t="n">
        <f aca="false">IF(F253&gt;0,D253*F253,E253*D253)</f>
        <v>14769.2307692308</v>
      </c>
      <c r="H253" s="975" t="n">
        <f aca="false">D253*E253*$H$252</f>
        <v>0</v>
      </c>
      <c r="I253" s="936" t="n">
        <f aca="false">IF(G253&gt;H253,G253,H253)*$H$251</f>
        <v>0</v>
      </c>
      <c r="J253" s="931"/>
      <c r="K253" s="937"/>
    </row>
    <row r="254" customFormat="false" ht="15.75" hidden="true" customHeight="false" outlineLevel="0" collapsed="false">
      <c r="A254" s="937"/>
      <c r="B254" s="992" t="str">
        <f aca="false">фундамент!A479</f>
        <v>ПГС, машина 13м3</v>
      </c>
      <c r="C254" s="993" t="str">
        <f aca="false">фундамент!B479</f>
        <v>маш</v>
      </c>
      <c r="D254" s="992" t="n">
        <f aca="false">фундамент!C479</f>
        <v>0.984615384615385</v>
      </c>
      <c r="E254" s="1010" t="n">
        <f aca="false">фундамент!D479</f>
        <v>10000</v>
      </c>
      <c r="F254" s="1010"/>
      <c r="G254" s="967" t="n">
        <f aca="false">IF(F254&gt;0,D254*F254,E254*D254)</f>
        <v>9846.15384615385</v>
      </c>
      <c r="H254" s="975" t="n">
        <f aca="false">D254*E254*$H$252</f>
        <v>0</v>
      </c>
      <c r="I254" s="936" t="n">
        <f aca="false">IF(G254&gt;H254,G254,H254)*$H$251</f>
        <v>0</v>
      </c>
      <c r="J254" s="931"/>
      <c r="K254" s="937"/>
    </row>
    <row r="255" customFormat="false" ht="15.75" hidden="true" customHeight="false" outlineLevel="0" collapsed="false">
      <c r="A255" s="937"/>
      <c r="B255" s="992" t="str">
        <f aca="false">фундамент!A480</f>
        <v>Песок, машина 13м3</v>
      </c>
      <c r="C255" s="993" t="str">
        <f aca="false">фундамент!B480</f>
        <v>маш</v>
      </c>
      <c r="D255" s="992" t="n">
        <f aca="false">фундамент!C480</f>
        <v>0.492307692307692</v>
      </c>
      <c r="E255" s="1010" t="n">
        <f aca="false">фундамент!D480</f>
        <v>12000</v>
      </c>
      <c r="F255" s="1010"/>
      <c r="G255" s="967" t="n">
        <f aca="false">IF(F255&gt;0,D255*F255,E255*D255)</f>
        <v>5907.69230769231</v>
      </c>
      <c r="H255" s="975" t="n">
        <f aca="false">D255*E255*$H$252</f>
        <v>0</v>
      </c>
      <c r="I255" s="936" t="n">
        <f aca="false">IF(G255&gt;H255,G255,H255)*$H$251</f>
        <v>0</v>
      </c>
      <c r="J255" s="931"/>
      <c r="K255" s="937"/>
    </row>
    <row r="256" customFormat="false" ht="15.75" hidden="true" customHeight="false" outlineLevel="0" collapsed="false">
      <c r="A256" s="937"/>
      <c r="B256" s="992" t="str">
        <f aca="false">фундамент!A481</f>
        <v>Сосна влаж,180*40мм</v>
      </c>
      <c r="C256" s="993" t="str">
        <f aca="false">фундамент!B481</f>
        <v>м3</v>
      </c>
      <c r="D256" s="992" t="n">
        <f aca="false">фундамент!C481</f>
        <v>0.416</v>
      </c>
      <c r="E256" s="1010" t="n">
        <f aca="false">фундамент!D481</f>
        <v>6500</v>
      </c>
      <c r="F256" s="1010"/>
      <c r="G256" s="967" t="n">
        <f aca="false">IF(F256&gt;0,D256*F256,E256*D256)</f>
        <v>2704</v>
      </c>
      <c r="H256" s="975" t="n">
        <f aca="false">D256*E256*$H$252</f>
        <v>0</v>
      </c>
      <c r="I256" s="936" t="n">
        <f aca="false">IF(G256&gt;H256,G256,H256)*$H$251</f>
        <v>0</v>
      </c>
      <c r="J256" s="931"/>
      <c r="K256" s="937"/>
    </row>
    <row r="257" customFormat="false" ht="15.75" hidden="true" customHeight="false" outlineLevel="0" collapsed="false">
      <c r="A257" s="937"/>
      <c r="B257" s="992" t="str">
        <f aca="false">фундамент!A482</f>
        <v>Пенопласт ПСБ-С-35</v>
      </c>
      <c r="C257" s="993" t="str">
        <f aca="false">фундамент!B482</f>
        <v>м3</v>
      </c>
      <c r="D257" s="992" t="n">
        <f aca="false">фундамент!C482</f>
        <v>0</v>
      </c>
      <c r="E257" s="992" t="n">
        <f aca="false">фундамент!D482</f>
        <v>3400</v>
      </c>
      <c r="F257" s="992"/>
      <c r="G257" s="967" t="n">
        <f aca="false">IF(F257&gt;0,D257*F257,E257*D257)</f>
        <v>0</v>
      </c>
      <c r="H257" s="975" t="n">
        <f aca="false">D257*E257*$H$252</f>
        <v>0</v>
      </c>
      <c r="I257" s="936" t="n">
        <f aca="false">IF(G257&gt;H257,G257,H257)*$H$251</f>
        <v>0</v>
      </c>
      <c r="J257" s="931"/>
      <c r="K257" s="937"/>
    </row>
    <row r="258" customFormat="false" ht="15.75" hidden="true" customHeight="false" outlineLevel="0" collapsed="false">
      <c r="A258" s="937"/>
      <c r="B258" s="992" t="str">
        <f aca="false">фундамент!A483</f>
        <v>Пенопласт ПСБ-С-35</v>
      </c>
      <c r="C258" s="993" t="str">
        <f aca="false">фундамент!B483</f>
        <v>м3</v>
      </c>
      <c r="D258" s="992" t="n">
        <f aca="false">фундамент!C483</f>
        <v>0</v>
      </c>
      <c r="E258" s="1010" t="n">
        <f aca="false">фундамент!D483</f>
        <v>3400</v>
      </c>
      <c r="F258" s="1010"/>
      <c r="G258" s="967" t="n">
        <f aca="false">IF(F258&gt;0,D258*F258,E258*D258)</f>
        <v>0</v>
      </c>
      <c r="H258" s="975" t="n">
        <f aca="false">D258*E258*$H$252</f>
        <v>0</v>
      </c>
      <c r="I258" s="936" t="n">
        <f aca="false">IF(G258&gt;H258,G258,H258)*$H$251</f>
        <v>0</v>
      </c>
      <c r="J258" s="931"/>
      <c r="K258" s="937"/>
    </row>
    <row r="259" customFormat="false" ht="15.75" hidden="true" customHeight="false" outlineLevel="0" collapsed="false">
      <c r="A259" s="937"/>
      <c r="B259" s="992" t="str">
        <f aca="false">фундамент!A484</f>
        <v>Пленка гидроизоляционная </v>
      </c>
      <c r="C259" s="993" t="str">
        <f aca="false">фундамент!B484</f>
        <v>м2</v>
      </c>
      <c r="D259" s="992" t="n">
        <f aca="false">фундамент!C484</f>
        <v>83.2</v>
      </c>
      <c r="E259" s="1010" t="n">
        <f aca="false">фундамент!D484</f>
        <v>15</v>
      </c>
      <c r="F259" s="1010"/>
      <c r="G259" s="967" t="n">
        <f aca="false">IF(F259&gt;0,D259*F259,E259*D259)</f>
        <v>1248</v>
      </c>
      <c r="H259" s="975" t="n">
        <f aca="false">D259*E259*$H$252</f>
        <v>0</v>
      </c>
      <c r="I259" s="936" t="n">
        <f aca="false">IF(G259&gt;H259,G259,H259)*$H$251</f>
        <v>0</v>
      </c>
      <c r="J259" s="931"/>
      <c r="K259" s="937"/>
    </row>
    <row r="260" customFormat="false" ht="15.75" hidden="true" customHeight="false" outlineLevel="0" collapsed="false">
      <c r="A260" s="937"/>
      <c r="B260" s="992" t="str">
        <f aca="false">фундамент!A485</f>
        <v>Кладочная сетка, 100*100/150*150/200*200мм</v>
      </c>
      <c r="C260" s="993" t="str">
        <f aca="false">фундамент!B485</f>
        <v>м2</v>
      </c>
      <c r="D260" s="992" t="n">
        <f aca="false">фундамент!C485</f>
        <v>64</v>
      </c>
      <c r="E260" s="1010" t="n">
        <f aca="false">фундамент!D485</f>
        <v>70</v>
      </c>
      <c r="F260" s="1010"/>
      <c r="G260" s="967" t="n">
        <f aca="false">IF(F260&gt;0,D260*F260,E260*D260)</f>
        <v>4480</v>
      </c>
      <c r="H260" s="975" t="n">
        <f aca="false">D260*E260*$H$252</f>
        <v>0</v>
      </c>
      <c r="I260" s="936" t="n">
        <f aca="false">IF(G260&gt;H260,G260,H260)*$H$251</f>
        <v>0</v>
      </c>
      <c r="J260" s="931"/>
      <c r="K260" s="937"/>
    </row>
    <row r="261" customFormat="false" ht="15.75" hidden="true" customHeight="false" outlineLevel="0" collapsed="false">
      <c r="A261" s="937"/>
      <c r="B261" s="992" t="str">
        <f aca="false">фундамент!A486</f>
        <v>Стяжки пластиковые</v>
      </c>
      <c r="C261" s="993" t="str">
        <f aca="false">фундамент!B486</f>
        <v>шт</v>
      </c>
      <c r="D261" s="992" t="n">
        <f aca="false">фундамент!C486</f>
        <v>192</v>
      </c>
      <c r="E261" s="1010" t="n">
        <f aca="false">фундамент!D486</f>
        <v>2</v>
      </c>
      <c r="F261" s="1010"/>
      <c r="G261" s="967" t="n">
        <f aca="false">IF(F261&gt;0,D261*F261,E261*D261)</f>
        <v>384</v>
      </c>
      <c r="H261" s="975" t="n">
        <f aca="false">D261*E261*$H$252</f>
        <v>0</v>
      </c>
      <c r="I261" s="936" t="n">
        <f aca="false">IF(G261&gt;H261,G261,H261)*$H$251</f>
        <v>0</v>
      </c>
      <c r="J261" s="931"/>
      <c r="K261" s="937"/>
    </row>
    <row r="262" customFormat="false" ht="15.75" hidden="true" customHeight="false" outlineLevel="0" collapsed="false">
      <c r="A262" s="937"/>
      <c r="B262" s="992" t="str">
        <f aca="false">фундамент!A487</f>
        <v>Бетон, м350</v>
      </c>
      <c r="C262" s="993" t="str">
        <f aca="false">фундамент!B487</f>
        <v>м3</v>
      </c>
      <c r="D262" s="992" t="n">
        <f aca="false">фундамент!C487</f>
        <v>16</v>
      </c>
      <c r="E262" s="1010" t="n">
        <f aca="false">фундамент!D487</f>
        <v>3500</v>
      </c>
      <c r="F262" s="1010"/>
      <c r="G262" s="967" t="n">
        <f aca="false">IF(F262&gt;0,D262*F262,E262*D262)</f>
        <v>56000</v>
      </c>
      <c r="H262" s="975" t="n">
        <f aca="false">D262*E262*$H$252</f>
        <v>0</v>
      </c>
      <c r="I262" s="936" t="n">
        <f aca="false">IF(G262&gt;H262,G262,H262)*$H$251</f>
        <v>0</v>
      </c>
      <c r="J262" s="931"/>
      <c r="K262" s="937"/>
    </row>
    <row r="263" customFormat="false" ht="15.75" hidden="true" customHeight="false" outlineLevel="0" collapsed="false">
      <c r="A263" s="937"/>
      <c r="B263" s="992" t="str">
        <f aca="false">фундамент!A488</f>
        <v>Бетон, м250</v>
      </c>
      <c r="C263" s="993" t="str">
        <f aca="false">фундамент!B488</f>
        <v>м3</v>
      </c>
      <c r="D263" s="992" t="n">
        <f aca="false">фундамент!C488</f>
        <v>0</v>
      </c>
      <c r="E263" s="1010" t="n">
        <f aca="false">фундамент!D488</f>
        <v>2750</v>
      </c>
      <c r="F263" s="1010"/>
      <c r="G263" s="967" t="n">
        <f aca="false">IF(F263&gt;0,D263*F263,E263*D263)</f>
        <v>0</v>
      </c>
      <c r="H263" s="975" t="n">
        <f aca="false">D263*E263*$H$252</f>
        <v>0</v>
      </c>
      <c r="I263" s="936" t="n">
        <f aca="false">IF(G263&gt;H263,G263,H263)*$H$251</f>
        <v>0</v>
      </c>
      <c r="J263" s="931"/>
      <c r="K263" s="937"/>
    </row>
    <row r="264" customFormat="false" ht="15.75" hidden="true" customHeight="false" outlineLevel="0" collapsed="false">
      <c r="A264" s="937"/>
      <c r="B264" s="992" t="str">
        <f aca="false">фундамент!A489</f>
        <v>Труба теплого пола 3</v>
      </c>
      <c r="C264" s="993" t="str">
        <f aca="false">фундамент!B489</f>
        <v>м.п</v>
      </c>
      <c r="D264" s="992" t="n">
        <f aca="false">фундамент!C489</f>
        <v>0</v>
      </c>
      <c r="E264" s="1010" t="n">
        <f aca="false">фундамент!D489</f>
        <v>60</v>
      </c>
      <c r="F264" s="1010"/>
      <c r="G264" s="967" t="n">
        <f aca="false">IF(F264&gt;0,D264*F264,E264*D264)</f>
        <v>0</v>
      </c>
      <c r="H264" s="975" t="n">
        <f aca="false">D264*E264*$H$252</f>
        <v>0</v>
      </c>
      <c r="I264" s="936" t="n">
        <f aca="false">IF(G264&gt;H264,G264,H264)*$H$251</f>
        <v>0</v>
      </c>
      <c r="J264" s="931"/>
      <c r="K264" s="937"/>
    </row>
    <row r="265" customFormat="false" ht="15.75" hidden="true" customHeight="false" outlineLevel="0" collapsed="false">
      <c r="A265" s="937"/>
      <c r="B265" s="992" t="str">
        <f aca="false">фундамент!A490</f>
        <v>Коллектор 1</v>
      </c>
      <c r="C265" s="993" t="str">
        <f aca="false">фундамент!B490</f>
        <v>шт</v>
      </c>
      <c r="D265" s="992" t="n">
        <f aca="false">фундамент!C490</f>
        <v>0</v>
      </c>
      <c r="E265" s="1010" t="n">
        <f aca="false">фундамент!D490</f>
        <v>5000</v>
      </c>
      <c r="F265" s="1010"/>
      <c r="G265" s="967" t="n">
        <f aca="false">IF(F265&gt;0,D265*F265,E265*D265)</f>
        <v>0</v>
      </c>
      <c r="H265" s="975" t="n">
        <f aca="false">D265*E265*$H$252</f>
        <v>0</v>
      </c>
      <c r="I265" s="936" t="n">
        <f aca="false">IF(G265&gt;H265,G265,H265)*$H$251</f>
        <v>0</v>
      </c>
      <c r="J265" s="931"/>
      <c r="K265" s="937"/>
    </row>
    <row r="266" customFormat="false" ht="15.75" hidden="true" customHeight="false" outlineLevel="0" collapsed="false">
      <c r="A266" s="937"/>
      <c r="B266" s="992" t="str">
        <f aca="false">фундамент!A491</f>
        <v>Арматура стальная Ø 12</v>
      </c>
      <c r="C266" s="993" t="str">
        <f aca="false">фундамент!B491</f>
        <v>м.п.</v>
      </c>
      <c r="D266" s="992" t="n">
        <f aca="false">фундамент!C491</f>
        <v>211.2</v>
      </c>
      <c r="E266" s="1010" t="n">
        <f aca="false">фундамент!D491</f>
        <v>29.2152</v>
      </c>
      <c r="F266" s="1010"/>
      <c r="G266" s="967" t="n">
        <f aca="false">IF(F266&gt;0,D266*F266,E266*D266)</f>
        <v>6170.25024</v>
      </c>
      <c r="H266" s="975" t="n">
        <f aca="false">D266*E266*$H$252</f>
        <v>0</v>
      </c>
      <c r="I266" s="936" t="n">
        <f aca="false">IF(G266&gt;H266,G266,H266)*$H$251</f>
        <v>0</v>
      </c>
      <c r="J266" s="931"/>
      <c r="K266" s="937"/>
    </row>
    <row r="267" customFormat="false" ht="15.75" hidden="true" customHeight="false" outlineLevel="0" collapsed="false">
      <c r="A267" s="937"/>
      <c r="B267" s="992" t="str">
        <f aca="false">фундамент!A492</f>
        <v>Арматура стальная Ø 10 </v>
      </c>
      <c r="C267" s="993" t="str">
        <f aca="false">фундамент!B492</f>
        <v>м.п.</v>
      </c>
      <c r="D267" s="992" t="n">
        <f aca="false">фундамент!C492</f>
        <v>640</v>
      </c>
      <c r="E267" s="1010" t="n">
        <f aca="false">фундамент!D492</f>
        <v>21.0397</v>
      </c>
      <c r="F267" s="1010"/>
      <c r="G267" s="967" t="n">
        <f aca="false">IF(F267&gt;0,D267*F267,E267*D267)</f>
        <v>13465.408</v>
      </c>
      <c r="H267" s="975" t="n">
        <f aca="false">D267*E267*$H$252</f>
        <v>0</v>
      </c>
      <c r="I267" s="936" t="n">
        <f aca="false">IF(G267&gt;H267,G267,H267)*$H$251</f>
        <v>0</v>
      </c>
      <c r="J267" s="931"/>
      <c r="K267" s="937"/>
    </row>
    <row r="268" customFormat="false" ht="15.75" hidden="true" customHeight="false" outlineLevel="0" collapsed="false">
      <c r="A268" s="937"/>
      <c r="B268" s="992" t="str">
        <f aca="false">фундамент!A493</f>
        <v>Арматура стальная Ø 6</v>
      </c>
      <c r="C268" s="993" t="str">
        <f aca="false">фундамент!B493</f>
        <v>м.п.</v>
      </c>
      <c r="D268" s="992" t="n">
        <f aca="false">фундамент!C493</f>
        <v>0</v>
      </c>
      <c r="E268" s="992" t="n">
        <f aca="false">фундамент!D493</f>
        <v>9.0132</v>
      </c>
      <c r="F268" s="992"/>
      <c r="G268" s="967" t="n">
        <f aca="false">IF(F268&gt;0,D268*F268,E268*D268)</f>
        <v>0</v>
      </c>
      <c r="H268" s="975" t="n">
        <f aca="false">D268*E268*$H$252</f>
        <v>0</v>
      </c>
      <c r="I268" s="936" t="n">
        <f aca="false">IF(G268&gt;H268,G268,H268)*$H$251</f>
        <v>0</v>
      </c>
      <c r="J268" s="931"/>
      <c r="K268" s="937"/>
    </row>
    <row r="269" customFormat="false" ht="15.75" hidden="true" customHeight="false" outlineLevel="0" collapsed="false">
      <c r="A269" s="937"/>
      <c r="B269" s="992" t="str">
        <f aca="false">фундамент!A494</f>
        <v>Вязальная проволока</v>
      </c>
      <c r="C269" s="993" t="str">
        <f aca="false">фундамент!B494</f>
        <v>кг</v>
      </c>
      <c r="D269" s="992" t="n">
        <f aca="false">фундамент!C494</f>
        <v>17.024</v>
      </c>
      <c r="E269" s="1010" t="n">
        <f aca="false">фундамент!D494</f>
        <v>80</v>
      </c>
      <c r="F269" s="1010"/>
      <c r="G269" s="967" t="n">
        <f aca="false">IF(F269&gt;0,D269*F269,E269*D269)</f>
        <v>1361.92</v>
      </c>
      <c r="H269" s="975" t="n">
        <f aca="false">D269*E269*$H$252</f>
        <v>0</v>
      </c>
      <c r="I269" s="936" t="n">
        <f aca="false">IF(G269&gt;H269,G269,H269)*$H$251</f>
        <v>0</v>
      </c>
      <c r="J269" s="931"/>
      <c r="K269" s="937"/>
    </row>
    <row r="270" customFormat="false" ht="15.75" hidden="true" customHeight="false" outlineLevel="0" collapsed="false">
      <c r="A270" s="937"/>
      <c r="B270" s="992" t="str">
        <f aca="false">фундамент!A495</f>
        <v>Подставка под арматурный каркас</v>
      </c>
      <c r="C270" s="993" t="str">
        <f aca="false">фундамент!B495</f>
        <v>шт</v>
      </c>
      <c r="D270" s="992" t="n">
        <f aca="false">фундамент!C495</f>
        <v>192</v>
      </c>
      <c r="E270" s="1010" t="n">
        <f aca="false">фундамент!D495</f>
        <v>5</v>
      </c>
      <c r="F270" s="1010"/>
      <c r="G270" s="967" t="n">
        <f aca="false">IF(F270&gt;0,D270*F270,E270*D270)</f>
        <v>960</v>
      </c>
      <c r="H270" s="975" t="n">
        <f aca="false">D270*E270*$H$252</f>
        <v>0</v>
      </c>
      <c r="I270" s="936" t="n">
        <f aca="false">IF(G270&gt;H270,G270,H270)*$H$251</f>
        <v>0</v>
      </c>
      <c r="J270" s="931"/>
      <c r="K270" s="937"/>
    </row>
    <row r="271" customFormat="false" ht="15.75" hidden="true" customHeight="false" outlineLevel="0" collapsed="false">
      <c r="A271" s="937"/>
      <c r="B271" s="992" t="str">
        <f aca="false">фундамент!A496</f>
        <v>Гвозди строительные 3,5 x 90            </v>
      </c>
      <c r="C271" s="993" t="str">
        <f aca="false">фундамент!B496</f>
        <v>кг</v>
      </c>
      <c r="D271" s="992" t="n">
        <f aca="false">фундамент!C496</f>
        <v>2.08</v>
      </c>
      <c r="E271" s="1010" t="n">
        <f aca="false">фундамент!D496</f>
        <v>70</v>
      </c>
      <c r="F271" s="1010"/>
      <c r="G271" s="967" t="n">
        <f aca="false">IF(F271&gt;0,D271*F271,E271*D271)</f>
        <v>145.6</v>
      </c>
      <c r="H271" s="975" t="n">
        <f aca="false">D271*E271*$H$252</f>
        <v>0</v>
      </c>
      <c r="I271" s="936" t="n">
        <f aca="false">IF(G271&gt;H271,G271,H271)*$H$251</f>
        <v>0</v>
      </c>
      <c r="J271" s="931"/>
      <c r="K271" s="937"/>
    </row>
    <row r="272" customFormat="false" ht="15.75" hidden="true" customHeight="false" outlineLevel="0" collapsed="false">
      <c r="A272" s="937"/>
      <c r="B272" s="992" t="str">
        <f aca="false">фундамент!A497</f>
        <v>Геотекстиль</v>
      </c>
      <c r="C272" s="993" t="str">
        <f aca="false">фундамент!B497</f>
        <v>м2</v>
      </c>
      <c r="D272" s="992" t="n">
        <f aca="false">фундамент!C497</f>
        <v>73.6</v>
      </c>
      <c r="E272" s="1010" t="n">
        <f aca="false">фундамент!D497</f>
        <v>100</v>
      </c>
      <c r="F272" s="1010"/>
      <c r="G272" s="967" t="n">
        <f aca="false">IF(F272&gt;0,D272*F272,E272*D272)</f>
        <v>7360</v>
      </c>
      <c r="H272" s="975" t="n">
        <f aca="false">D272*E272*$H$252</f>
        <v>0</v>
      </c>
      <c r="I272" s="936" t="n">
        <f aca="false">IF(G272&gt;H272,G272,H272)*$H$251</f>
        <v>0</v>
      </c>
      <c r="J272" s="931"/>
      <c r="K272" s="937"/>
    </row>
    <row r="273" customFormat="false" ht="15.75" hidden="true" customHeight="false" outlineLevel="0" collapsed="false">
      <c r="A273" s="937"/>
      <c r="B273" s="992" t="str">
        <f aca="false">фундамент!A498</f>
        <v>Труба гофрированная одностенная d110</v>
      </c>
      <c r="C273" s="993" t="str">
        <f aca="false">фундамент!B498</f>
        <v>м.п.</v>
      </c>
      <c r="D273" s="992" t="n">
        <f aca="false">фундамент!C498</f>
        <v>53</v>
      </c>
      <c r="E273" s="1010" t="n">
        <f aca="false">фундамент!D498</f>
        <v>77</v>
      </c>
      <c r="F273" s="1010"/>
      <c r="G273" s="967" t="n">
        <f aca="false">IF(F273&gt;0,D273*F273,E273*D273)</f>
        <v>4081</v>
      </c>
      <c r="H273" s="975" t="n">
        <f aca="false">D273*E273*$H$252</f>
        <v>0</v>
      </c>
      <c r="I273" s="936" t="n">
        <f aca="false">IF(G273&gt;H273,G273,H273)*$H$251</f>
        <v>0</v>
      </c>
      <c r="J273" s="931"/>
      <c r="K273" s="937"/>
    </row>
    <row r="274" customFormat="false" ht="15.75" hidden="true" customHeight="false" outlineLevel="0" collapsed="false">
      <c r="A274" s="937"/>
      <c r="B274" s="992" t="str">
        <f aca="false">фундамент!A499</f>
        <v>Дренажный колодец D300</v>
      </c>
      <c r="C274" s="993" t="str">
        <f aca="false">фундамент!B499</f>
        <v>шт</v>
      </c>
      <c r="D274" s="992" t="n">
        <f aca="false">фундамент!C499</f>
        <v>6</v>
      </c>
      <c r="E274" s="1010" t="n">
        <f aca="false">фундамент!D499</f>
        <v>1500</v>
      </c>
      <c r="F274" s="1010"/>
      <c r="G274" s="967" t="n">
        <f aca="false">IF(F274&gt;0,D274*F274,E274*D274)</f>
        <v>9000</v>
      </c>
      <c r="H274" s="975" t="n">
        <f aca="false">D274*E274*$H$252</f>
        <v>0</v>
      </c>
      <c r="I274" s="936" t="n">
        <f aca="false">IF(G274&gt;H274,G274,H274)*$H$251</f>
        <v>0</v>
      </c>
      <c r="J274" s="931"/>
      <c r="K274" s="937"/>
    </row>
    <row r="275" customFormat="false" ht="15.75" hidden="true" customHeight="false" outlineLevel="0" collapsed="false">
      <c r="A275" s="937"/>
      <c r="B275" s="992" t="str">
        <f aca="false">фундамент!A500</f>
        <v>Труба канализационная D110</v>
      </c>
      <c r="C275" s="993" t="str">
        <f aca="false">фундамент!B500</f>
        <v>шт</v>
      </c>
      <c r="D275" s="992" t="n">
        <f aca="false">фундамент!C500</f>
        <v>10</v>
      </c>
      <c r="E275" s="1010" t="n">
        <f aca="false">фундамент!D500</f>
        <v>70</v>
      </c>
      <c r="F275" s="1010"/>
      <c r="G275" s="967" t="n">
        <f aca="false">IF(F275&gt;0,D275*F275,E275*D275)</f>
        <v>700</v>
      </c>
      <c r="H275" s="975" t="n">
        <f aca="false">D275*E275*$H$252</f>
        <v>0</v>
      </c>
      <c r="I275" s="936" t="n">
        <f aca="false">IF(G275&gt;H275,G275,H275)*$H$251</f>
        <v>0</v>
      </c>
      <c r="J275" s="931"/>
      <c r="K275" s="937"/>
    </row>
    <row r="276" customFormat="false" ht="15.75" hidden="true" customHeight="false" outlineLevel="0" collapsed="false">
      <c r="A276" s="937"/>
      <c r="B276" s="973" t="s">
        <v>2247</v>
      </c>
      <c r="C276" s="973"/>
      <c r="D276" s="973"/>
      <c r="E276" s="973"/>
      <c r="F276" s="973"/>
      <c r="G276" s="975" t="n">
        <f aca="false">SUM(G253:G275)*H251</f>
        <v>0</v>
      </c>
      <c r="H276" s="975" t="n">
        <f aca="false">SUM(H253:H275)</f>
        <v>0</v>
      </c>
      <c r="I276" s="936" t="n">
        <f aca="false">IF(G276&gt;H276,G276,H276)*$H$251</f>
        <v>0</v>
      </c>
      <c r="J276" s="931"/>
      <c r="K276" s="937"/>
    </row>
    <row r="277" customFormat="false" ht="15.75" hidden="true" customHeight="false" outlineLevel="0" collapsed="false">
      <c r="A277" s="937"/>
      <c r="B277" s="976" t="s">
        <v>2007</v>
      </c>
      <c r="C277" s="976"/>
      <c r="D277" s="976"/>
      <c r="E277" s="976"/>
      <c r="F277" s="1014"/>
      <c r="G277" s="977"/>
      <c r="H277" s="994" t="n">
        <f aca="false">H251</f>
        <v>0</v>
      </c>
      <c r="I277" s="983" t="n">
        <f aca="false">H277</f>
        <v>0</v>
      </c>
      <c r="J277" s="931"/>
      <c r="K277" s="937"/>
    </row>
    <row r="278" customFormat="false" ht="15.75" hidden="true" customHeight="false" outlineLevel="0" collapsed="false">
      <c r="A278" s="931"/>
      <c r="B278" s="995" t="str">
        <f aca="false">фундамент!G478</f>
        <v>разбивка осей фундамента</v>
      </c>
      <c r="C278" s="993" t="str">
        <f aca="false">фундамент!I478</f>
        <v>шт</v>
      </c>
      <c r="D278" s="992" t="n">
        <f aca="false">фундамент!J478</f>
        <v>1</v>
      </c>
      <c r="E278" s="1010" t="n">
        <f aca="false">фундамент!K478</f>
        <v>7000</v>
      </c>
      <c r="F278" s="1010"/>
      <c r="G278" s="967" t="n">
        <f aca="false">IF(F278&gt;0,D278*F278,E278*D278)</f>
        <v>7000</v>
      </c>
      <c r="H278" s="975" t="n">
        <f aca="false">E278*D278*$H$277</f>
        <v>0</v>
      </c>
      <c r="I278" s="936" t="n">
        <f aca="false">IF(G278&gt;H278,G278,H278)*$H$251</f>
        <v>0</v>
      </c>
      <c r="J278" s="931"/>
      <c r="K278" s="937"/>
    </row>
    <row r="279" customFormat="false" ht="15.75" hidden="true" customHeight="false" outlineLevel="0" collapsed="false">
      <c r="A279" s="937"/>
      <c r="B279" s="995" t="str">
        <f aca="false">фундамент!G479</f>
        <v>трамбовка пгс</v>
      </c>
      <c r="C279" s="993" t="str">
        <f aca="false">фундамент!I479</f>
        <v>м2</v>
      </c>
      <c r="D279" s="992" t="n">
        <f aca="false">фундамент!J479</f>
        <v>64</v>
      </c>
      <c r="E279" s="1010" t="n">
        <f aca="false">фундамент!K479</f>
        <v>600</v>
      </c>
      <c r="F279" s="1010"/>
      <c r="G279" s="967" t="n">
        <f aca="false">IF(F279&gt;0,D279*F279,E279*D279)</f>
        <v>38400</v>
      </c>
      <c r="H279" s="975" t="n">
        <f aca="false">E279*D279*$H$277</f>
        <v>0</v>
      </c>
      <c r="I279" s="936" t="n">
        <f aca="false">IF(G279&gt;H279,G279,H279)*$H$251</f>
        <v>0</v>
      </c>
      <c r="J279" s="931"/>
      <c r="K279" s="937"/>
    </row>
    <row r="280" customFormat="false" ht="15.75" hidden="true" customHeight="false" outlineLevel="0" collapsed="false">
      <c r="A280" s="937"/>
      <c r="B280" s="995" t="str">
        <f aca="false">фундамент!G480</f>
        <v>трамбовка скальник</v>
      </c>
      <c r="C280" s="993" t="str">
        <f aca="false">фундамент!I480</f>
        <v>м2</v>
      </c>
      <c r="D280" s="992" t="n">
        <f aca="false">фундамент!J480</f>
        <v>64</v>
      </c>
      <c r="E280" s="1010" t="n">
        <f aca="false">фундамент!K480</f>
        <v>400</v>
      </c>
      <c r="F280" s="1010"/>
      <c r="G280" s="967" t="n">
        <f aca="false">IF(F280&gt;0,D280*F280,E280*D280)</f>
        <v>25600</v>
      </c>
      <c r="H280" s="975" t="n">
        <f aca="false">E280*D280*$H$277</f>
        <v>0</v>
      </c>
      <c r="I280" s="936" t="n">
        <f aca="false">IF(G280&gt;H280,G280,H280)*$H$251</f>
        <v>0</v>
      </c>
      <c r="J280" s="931"/>
      <c r="K280" s="937"/>
    </row>
    <row r="281" customFormat="false" ht="15.75" hidden="true" customHeight="false" outlineLevel="0" collapsed="false">
      <c r="A281" s="937"/>
      <c r="B281" s="995" t="str">
        <f aca="false">фундамент!G481</f>
        <v>трамбовка песок</v>
      </c>
      <c r="C281" s="993" t="str">
        <f aca="false">фундамент!I481</f>
        <v>м2</v>
      </c>
      <c r="D281" s="992" t="n">
        <f aca="false">фундамент!J481</f>
        <v>64</v>
      </c>
      <c r="E281" s="1010" t="n">
        <f aca="false">фундамент!K481</f>
        <v>350</v>
      </c>
      <c r="F281" s="1010"/>
      <c r="G281" s="967" t="n">
        <f aca="false">IF(F281&gt;0,D281*F281,E281*D281)</f>
        <v>22400</v>
      </c>
      <c r="H281" s="975" t="n">
        <f aca="false">E281*D281*$H$277</f>
        <v>0</v>
      </c>
      <c r="I281" s="936" t="n">
        <f aca="false">IF(G281&gt;H281,G281,H281)*$H$251</f>
        <v>0</v>
      </c>
      <c r="J281" s="931"/>
      <c r="K281" s="937"/>
    </row>
    <row r="282" customFormat="false" ht="15.75" hidden="true" customHeight="false" outlineLevel="0" collapsed="false">
      <c r="A282" s="937"/>
      <c r="B282" s="995" t="str">
        <f aca="false">фундамент!G482</f>
        <v>сборка/разборка опалубки</v>
      </c>
      <c r="C282" s="993" t="str">
        <f aca="false">фундамент!I482</f>
        <v>м2</v>
      </c>
      <c r="D282" s="992" t="n">
        <f aca="false">фундамент!J482</f>
        <v>0</v>
      </c>
      <c r="E282" s="1010" t="n">
        <f aca="false">фундамент!K482</f>
        <v>400</v>
      </c>
      <c r="F282" s="1010"/>
      <c r="G282" s="967" t="n">
        <f aca="false">IF(F282&gt;0,D282*F282,E282*D282)</f>
        <v>0</v>
      </c>
      <c r="H282" s="975" t="n">
        <f aca="false">E282*D282*$H$277</f>
        <v>0</v>
      </c>
      <c r="I282" s="936" t="n">
        <f aca="false">IF(G282&gt;H282,G282,H282)*$H$251</f>
        <v>0</v>
      </c>
      <c r="J282" s="931"/>
      <c r="K282" s="937"/>
    </row>
    <row r="283" customFormat="false" ht="15.75" hidden="true" customHeight="false" outlineLevel="0" collapsed="false">
      <c r="A283" s="937"/>
      <c r="B283" s="995" t="str">
        <f aca="false">фундамент!G483</f>
        <v>укладка утеплителя под плиту</v>
      </c>
      <c r="C283" s="993" t="str">
        <f aca="false">фундамент!I483</f>
        <v>м2</v>
      </c>
      <c r="D283" s="992" t="n">
        <f aca="false">фундамент!J483</f>
        <v>64</v>
      </c>
      <c r="E283" s="1010" t="n">
        <f aca="false">фундамент!K483</f>
        <v>200</v>
      </c>
      <c r="F283" s="1010"/>
      <c r="G283" s="967" t="n">
        <f aca="false">IF(F283&gt;0,D283*F283,E283*D283)</f>
        <v>12800</v>
      </c>
      <c r="H283" s="975" t="n">
        <f aca="false">E283*D283*$H$277</f>
        <v>0</v>
      </c>
      <c r="I283" s="936" t="n">
        <f aca="false">IF(G283&gt;H283,G283,H283)*$H$251</f>
        <v>0</v>
      </c>
      <c r="J283" s="931"/>
      <c r="K283" s="937"/>
    </row>
    <row r="284" customFormat="false" ht="15.75" hidden="true" customHeight="false" outlineLevel="0" collapsed="false">
      <c r="A284" s="937"/>
      <c r="B284" s="995" t="str">
        <f aca="false">фундамент!G484</f>
        <v>укладка утеплителя под отмостка</v>
      </c>
      <c r="C284" s="993" t="str">
        <f aca="false">фундамент!I484</f>
        <v>м2</v>
      </c>
      <c r="D284" s="992" t="n">
        <f aca="false">фундамент!J484</f>
        <v>0</v>
      </c>
      <c r="E284" s="1010" t="n">
        <f aca="false">фундамент!K484</f>
        <v>200</v>
      </c>
      <c r="F284" s="1010"/>
      <c r="G284" s="967" t="n">
        <f aca="false">IF(F284&gt;0,D284*F284,E284*D284)</f>
        <v>0</v>
      </c>
      <c r="H284" s="975" t="n">
        <f aca="false">E284*D284*$H$277</f>
        <v>0</v>
      </c>
      <c r="I284" s="936" t="n">
        <f aca="false">IF(G284&gt;H284,G284,H284)*$H$251</f>
        <v>0</v>
      </c>
      <c r="J284" s="931"/>
      <c r="K284" s="937"/>
    </row>
    <row r="285" customFormat="false" ht="15.75" hidden="true" customHeight="false" outlineLevel="0" collapsed="false">
      <c r="A285" s="937"/>
      <c r="B285" s="995" t="str">
        <f aca="false">фундамент!G485</f>
        <v>укладка пленки</v>
      </c>
      <c r="C285" s="993" t="str">
        <f aca="false">фундамент!I485</f>
        <v>м2</v>
      </c>
      <c r="D285" s="992" t="n">
        <f aca="false">фундамент!J485</f>
        <v>64</v>
      </c>
      <c r="E285" s="1010" t="n">
        <f aca="false">фундамент!K485</f>
        <v>10</v>
      </c>
      <c r="F285" s="1010"/>
      <c r="G285" s="967" t="n">
        <f aca="false">IF(F285&gt;0,D285*F285,E285*D285)</f>
        <v>640</v>
      </c>
      <c r="H285" s="975" t="n">
        <f aca="false">E285*D285*$H$277</f>
        <v>0</v>
      </c>
      <c r="I285" s="936" t="n">
        <f aca="false">IF(G285&gt;H285,G285,H285)*$H$251</f>
        <v>0</v>
      </c>
      <c r="J285" s="931"/>
      <c r="K285" s="937"/>
    </row>
    <row r="286" customFormat="false" ht="15.75" hidden="true" customHeight="false" outlineLevel="0" collapsed="false">
      <c r="A286" s="937"/>
      <c r="B286" s="995" t="str">
        <f aca="false">фундамент!G486</f>
        <v>кладка сетки</v>
      </c>
      <c r="C286" s="993" t="str">
        <f aca="false">фундамент!I486</f>
        <v>м2</v>
      </c>
      <c r="D286" s="992" t="n">
        <f aca="false">фундамент!J486</f>
        <v>64</v>
      </c>
      <c r="E286" s="1010" t="n">
        <f aca="false">фундамент!K486</f>
        <v>100</v>
      </c>
      <c r="F286" s="1010"/>
      <c r="G286" s="967" t="n">
        <f aca="false">IF(F286&gt;0,D286*F286,E286*D286)</f>
        <v>6400</v>
      </c>
      <c r="H286" s="975" t="n">
        <f aca="false">E286*D286*$H$277</f>
        <v>0</v>
      </c>
      <c r="I286" s="936" t="n">
        <f aca="false">IF(G286&gt;H286,G286,H286)*$H$251</f>
        <v>0</v>
      </c>
      <c r="J286" s="931"/>
      <c r="K286" s="937"/>
    </row>
    <row r="287" customFormat="false" ht="15.75" hidden="true" customHeight="false" outlineLevel="0" collapsed="false">
      <c r="A287" s="937"/>
      <c r="B287" s="995" t="str">
        <f aca="false">фундамент!G487</f>
        <v>укладка теп. Пола</v>
      </c>
      <c r="C287" s="993" t="str">
        <f aca="false">фундамент!I487</f>
        <v>м2</v>
      </c>
      <c r="D287" s="992" t="n">
        <f aca="false">фундамент!J487</f>
        <v>0</v>
      </c>
      <c r="E287" s="1010" t="n">
        <f aca="false">фундамент!K487</f>
        <v>600</v>
      </c>
      <c r="F287" s="1010"/>
      <c r="G287" s="967" t="n">
        <f aca="false">IF(F287&gt;0,D287*F287,E287*D287)</f>
        <v>0</v>
      </c>
      <c r="H287" s="975" t="n">
        <f aca="false">E287*D287*$H$277</f>
        <v>0</v>
      </c>
      <c r="I287" s="936" t="n">
        <f aca="false">IF(G287&gt;H287,G287,H287)*$H$251</f>
        <v>0</v>
      </c>
      <c r="J287" s="931"/>
      <c r="K287" s="937"/>
    </row>
    <row r="288" customFormat="false" ht="15.75" hidden="true" customHeight="false" outlineLevel="0" collapsed="false">
      <c r="A288" s="937"/>
      <c r="B288" s="995" t="str">
        <f aca="false">фундамент!G488</f>
        <v>Заливка бетоном перекрытия/плиты</v>
      </c>
      <c r="C288" s="993" t="str">
        <f aca="false">фундамент!I488</f>
        <v>м2</v>
      </c>
      <c r="D288" s="992" t="n">
        <f aca="false">фундамент!J488</f>
        <v>64</v>
      </c>
      <c r="E288" s="1010" t="n">
        <f aca="false">фундамент!K488</f>
        <v>350</v>
      </c>
      <c r="F288" s="1010"/>
      <c r="G288" s="967" t="n">
        <f aca="false">IF(F288&gt;0,D288*F288,E288*D288)</f>
        <v>22400</v>
      </c>
      <c r="H288" s="975" t="n">
        <f aca="false">E288*D288*$H$277</f>
        <v>0</v>
      </c>
      <c r="I288" s="936" t="n">
        <f aca="false">IF(G288&gt;H288,G288,H288)*$H$251</f>
        <v>0</v>
      </c>
      <c r="J288" s="931"/>
      <c r="K288" s="937"/>
    </row>
    <row r="289" customFormat="false" ht="15.75" hidden="true" customHeight="false" outlineLevel="0" collapsed="false">
      <c r="A289" s="937"/>
      <c r="B289" s="995" t="str">
        <f aca="false">фундамент!G489</f>
        <v>заливка бетоном отмостки</v>
      </c>
      <c r="C289" s="993" t="str">
        <f aca="false">фундамент!I489</f>
        <v>м2</v>
      </c>
      <c r="D289" s="992" t="n">
        <f aca="false">фундамент!J489</f>
        <v>0</v>
      </c>
      <c r="E289" s="1010" t="n">
        <f aca="false">фундамент!K489</f>
        <v>500</v>
      </c>
      <c r="F289" s="1010"/>
      <c r="G289" s="967" t="n">
        <f aca="false">IF(F289&gt;0,D289*F289,E289*D289)</f>
        <v>0</v>
      </c>
      <c r="H289" s="975" t="n">
        <f aca="false">E289*D289*$H$277</f>
        <v>0</v>
      </c>
      <c r="I289" s="936" t="n">
        <f aca="false">IF(G289&gt;H289,G289,H289)*$H$251</f>
        <v>0</v>
      </c>
      <c r="J289" s="931"/>
      <c r="K289" s="937"/>
    </row>
    <row r="290" customFormat="false" ht="15.75" hidden="true" customHeight="false" outlineLevel="0" collapsed="false">
      <c r="A290" s="937"/>
      <c r="B290" s="995" t="str">
        <f aca="false">фундамент!G490</f>
        <v>армирование пол</v>
      </c>
      <c r="C290" s="993" t="str">
        <f aca="false">фундамент!I490</f>
        <v>м2</v>
      </c>
      <c r="D290" s="992" t="n">
        <f aca="false">фундамент!J490</f>
        <v>64</v>
      </c>
      <c r="E290" s="1010" t="n">
        <f aca="false">фундамент!K490</f>
        <v>300</v>
      </c>
      <c r="F290" s="1010"/>
      <c r="G290" s="967" t="n">
        <f aca="false">IF(F290&gt;0,D290*F290,E290*D290)</f>
        <v>19200</v>
      </c>
      <c r="H290" s="975" t="n">
        <f aca="false">E290*D290*$H$277</f>
        <v>0</v>
      </c>
      <c r="I290" s="936" t="n">
        <f aca="false">IF(G290&gt;H290,G290,H290)*$H$251</f>
        <v>0</v>
      </c>
      <c r="J290" s="931"/>
      <c r="K290" s="937"/>
    </row>
    <row r="291" customFormat="false" ht="15.75" hidden="true" customHeight="false" outlineLevel="0" collapsed="false">
      <c r="A291" s="937"/>
      <c r="B291" s="995" t="str">
        <f aca="false">фундамент!G491</f>
        <v>армирование отмостки</v>
      </c>
      <c r="C291" s="993" t="str">
        <f aca="false">фундамент!I491</f>
        <v>м2</v>
      </c>
      <c r="D291" s="992" t="n">
        <f aca="false">фундамент!J491</f>
        <v>0</v>
      </c>
      <c r="E291" s="1010" t="n">
        <f aca="false">фундамент!K491</f>
        <v>350</v>
      </c>
      <c r="F291" s="1010"/>
      <c r="G291" s="967" t="n">
        <f aca="false">IF(F291&gt;0,D291*F291,E291*D291)</f>
        <v>0</v>
      </c>
      <c r="H291" s="975" t="n">
        <f aca="false">E291*D291*$H$277</f>
        <v>0</v>
      </c>
      <c r="I291" s="936" t="n">
        <f aca="false">IF(G291&gt;H291,G291,H291)*$H$251</f>
        <v>0</v>
      </c>
      <c r="J291" s="931"/>
      <c r="K291" s="937"/>
    </row>
    <row r="292" customFormat="false" ht="15.75" hidden="true" customHeight="false" outlineLevel="0" collapsed="false">
      <c r="A292" s="937"/>
      <c r="B292" s="995" t="str">
        <f aca="false">фундамент!G492</f>
        <v>монтаж канализации</v>
      </c>
      <c r="C292" s="993" t="str">
        <f aca="false">фундамент!I492</f>
        <v>м.п.</v>
      </c>
      <c r="D292" s="992" t="n">
        <f aca="false">фундамент!J492</f>
        <v>10</v>
      </c>
      <c r="E292" s="1010" t="n">
        <f aca="false">фундамент!K492</f>
        <v>200</v>
      </c>
      <c r="F292" s="1010"/>
      <c r="G292" s="967" t="n">
        <f aca="false">IF(F292&gt;0,D292*F292,E292*D292)</f>
        <v>2000</v>
      </c>
      <c r="H292" s="975" t="n">
        <f aca="false">E292*D292*$H$277</f>
        <v>0</v>
      </c>
      <c r="I292" s="936" t="n">
        <f aca="false">IF(G292&gt;H292,G292,H292)*$H$251</f>
        <v>0</v>
      </c>
      <c r="J292" s="931"/>
      <c r="K292" s="937"/>
    </row>
    <row r="293" customFormat="false" ht="15.75" hidden="true" customHeight="false" outlineLevel="0" collapsed="false">
      <c r="A293" s="937"/>
      <c r="B293" s="995" t="str">
        <f aca="false">фундамент!G493</f>
        <v>укладка геотекстиля</v>
      </c>
      <c r="C293" s="993" t="str">
        <f aca="false">фундамент!I493</f>
        <v>м2</v>
      </c>
      <c r="D293" s="992" t="n">
        <f aca="false">фундамент!J493</f>
        <v>64</v>
      </c>
      <c r="E293" s="1010" t="n">
        <f aca="false">фундамент!K493</f>
        <v>200</v>
      </c>
      <c r="F293" s="1010"/>
      <c r="G293" s="967" t="n">
        <f aca="false">IF(F293&gt;0,D293*F293,E293*D293)</f>
        <v>12800</v>
      </c>
      <c r="H293" s="975" t="n">
        <f aca="false">E293*D293*$H$277</f>
        <v>0</v>
      </c>
      <c r="I293" s="936" t="n">
        <f aca="false">IF(G293&gt;H293,G293,H293)*$H$251</f>
        <v>0</v>
      </c>
      <c r="J293" s="931"/>
      <c r="K293" s="937"/>
    </row>
    <row r="294" customFormat="false" ht="15.75" hidden="true" customHeight="false" outlineLevel="0" collapsed="false">
      <c r="A294" s="937"/>
      <c r="B294" s="995" t="str">
        <f aca="false">фундамент!G494</f>
        <v>укладка дренажа</v>
      </c>
      <c r="C294" s="993" t="str">
        <f aca="false">фундамент!I494</f>
        <v>м2</v>
      </c>
      <c r="D294" s="992" t="n">
        <f aca="false">фундамент!J494</f>
        <v>53</v>
      </c>
      <c r="E294" s="1010" t="n">
        <f aca="false">фундамент!K494</f>
        <v>200</v>
      </c>
      <c r="F294" s="1010"/>
      <c r="G294" s="967" t="n">
        <f aca="false">IF(F294&gt;0,D294*F294,E294*D294)</f>
        <v>10600</v>
      </c>
      <c r="H294" s="975" t="n">
        <f aca="false">E294*D294*$H$277</f>
        <v>0</v>
      </c>
      <c r="I294" s="936" t="n">
        <f aca="false">IF(G294&gt;H294,G294,H294)*$H$251</f>
        <v>0</v>
      </c>
      <c r="J294" s="931"/>
      <c r="K294" s="937"/>
    </row>
    <row r="295" customFormat="false" ht="15.75" hidden="true" customHeight="false" outlineLevel="0" collapsed="false">
      <c r="A295" s="937"/>
      <c r="B295" s="995" t="str">
        <f aca="false">фундамент!G495</f>
        <v>монтаж дренажного колодца</v>
      </c>
      <c r="C295" s="993" t="str">
        <f aca="false">фундамент!I495</f>
        <v>шт</v>
      </c>
      <c r="D295" s="992" t="n">
        <f aca="false">фундамент!J495</f>
        <v>6</v>
      </c>
      <c r="E295" s="1010" t="n">
        <f aca="false">фундамент!K495</f>
        <v>300</v>
      </c>
      <c r="F295" s="1010"/>
      <c r="G295" s="967" t="n">
        <f aca="false">IF(F295&gt;0,D295*F295,E295*D295)</f>
        <v>1800</v>
      </c>
      <c r="H295" s="975" t="n">
        <f aca="false">E295*D295*$H$277</f>
        <v>0</v>
      </c>
      <c r="I295" s="936" t="n">
        <f aca="false">IF(G295&gt;H295,G295,H295)*$H$251</f>
        <v>0</v>
      </c>
      <c r="J295" s="931"/>
      <c r="K295" s="937"/>
    </row>
    <row r="296" customFormat="false" ht="15.75" hidden="true" customHeight="false" outlineLevel="0" collapsed="false">
      <c r="A296" s="937"/>
      <c r="B296" s="973" t="s">
        <v>2248</v>
      </c>
      <c r="C296" s="973"/>
      <c r="D296" s="973"/>
      <c r="E296" s="973"/>
      <c r="F296" s="973"/>
      <c r="G296" s="970" t="n">
        <f aca="false">SUM(G278:G295)*H277</f>
        <v>0</v>
      </c>
      <c r="H296" s="970" t="n">
        <f aca="false">SUM(H278:H295)</f>
        <v>0</v>
      </c>
      <c r="I296" s="936" t="n">
        <f aca="false">IF(G296&gt;H296,G296,H296)*$H$251</f>
        <v>0</v>
      </c>
      <c r="J296" s="931"/>
      <c r="K296" s="937"/>
    </row>
    <row r="297" customFormat="false" ht="21" hidden="true" customHeight="false" outlineLevel="0" collapsed="false">
      <c r="A297" s="937"/>
      <c r="B297" s="989" t="s">
        <v>2256</v>
      </c>
      <c r="C297" s="989"/>
      <c r="D297" s="989"/>
      <c r="E297" s="989"/>
      <c r="F297" s="989"/>
      <c r="G297" s="977"/>
      <c r="H297" s="1007" t="n">
        <f aca="false">IF('Ввод данных'!$A$19=связи1!A155,1,0)+IF('Ввод данных'!$A$19=связи1!A166,1,0)+IF('Ввод данных'!$A$19=связи1!A174,1,0)+IF('Ввод данных'!$A$19=связи1!A181,1,0)</f>
        <v>0</v>
      </c>
      <c r="I297" s="983" t="n">
        <f aca="false">H297</f>
        <v>0</v>
      </c>
      <c r="J297" s="931"/>
      <c r="K297" s="937"/>
    </row>
    <row r="298" customFormat="false" ht="15.75" hidden="true" customHeight="false" outlineLevel="0" collapsed="false">
      <c r="A298" s="931"/>
      <c r="B298" s="1008" t="s">
        <v>2246</v>
      </c>
      <c r="C298" s="1008"/>
      <c r="D298" s="1008"/>
      <c r="E298" s="1008"/>
      <c r="F298" s="1008"/>
      <c r="G298" s="977"/>
      <c r="H298" s="1009" t="n">
        <f aca="false">H297</f>
        <v>0</v>
      </c>
      <c r="I298" s="983" t="n">
        <f aca="false">H298</f>
        <v>0</v>
      </c>
      <c r="J298" s="931"/>
      <c r="K298" s="937"/>
    </row>
    <row r="299" customFormat="false" ht="15.75" hidden="true" customHeight="false" outlineLevel="0" collapsed="false">
      <c r="A299" s="931"/>
      <c r="B299" s="992" t="str">
        <f aca="false">дома!A1394</f>
        <v>Доска сухая калиброванная, 190*45мм</v>
      </c>
      <c r="C299" s="993" t="str">
        <f aca="false">дома!B1394</f>
        <v>м3</v>
      </c>
      <c r="D299" s="992" t="n">
        <f aca="false">дома!C1394</f>
        <v>0.790875</v>
      </c>
      <c r="E299" s="992" t="n">
        <f aca="false">дома!D1394</f>
        <v>12500</v>
      </c>
      <c r="F299" s="992"/>
      <c r="G299" s="967" t="n">
        <f aca="false">IF(F299&gt;0,D299*F299,E299*D299)</f>
        <v>9885.9375</v>
      </c>
      <c r="H299" s="975" t="n">
        <f aca="false">D299*E299*$H$298</f>
        <v>0</v>
      </c>
      <c r="I299" s="936" t="n">
        <f aca="false">IF(G299&gt;H299,G299,H299)*$H$297</f>
        <v>0</v>
      </c>
      <c r="J299" s="931"/>
      <c r="K299" s="937"/>
    </row>
    <row r="300" customFormat="false" ht="15.75" hidden="true" customHeight="false" outlineLevel="0" collapsed="false">
      <c r="A300" s="937"/>
      <c r="B300" s="992" t="str">
        <f aca="false">дома!A1395</f>
        <v>обработка мастикой</v>
      </c>
      <c r="C300" s="993" t="str">
        <f aca="false">дома!B1395</f>
        <v>л</v>
      </c>
      <c r="D300" s="992" t="n">
        <f aca="false">дома!C1395</f>
        <v>5.536125</v>
      </c>
      <c r="E300" s="992" t="n">
        <f aca="false">дома!D1395</f>
        <v>60</v>
      </c>
      <c r="F300" s="992"/>
      <c r="G300" s="967" t="n">
        <f aca="false">IF(F300&gt;0,D300*F300,E300*D300)</f>
        <v>332.1675</v>
      </c>
      <c r="H300" s="975" t="n">
        <f aca="false">D300*E300*$H$298</f>
        <v>0</v>
      </c>
      <c r="I300" s="936" t="n">
        <f aca="false">IF(G300&gt;H300,G300,H300)*$H$297</f>
        <v>0</v>
      </c>
      <c r="J300" s="931"/>
      <c r="K300" s="937"/>
    </row>
    <row r="301" customFormat="false" ht="15.75" hidden="true" customHeight="false" outlineLevel="0" collapsed="false">
      <c r="A301" s="937"/>
      <c r="B301" s="992" t="str">
        <f aca="false">дома!A1396</f>
        <v>Sip панель 2800*1250*174мм</v>
      </c>
      <c r="C301" s="993" t="str">
        <f aca="false">дома!B1396</f>
        <v>м2</v>
      </c>
      <c r="D301" s="992" t="n">
        <f aca="false">дома!C1396</f>
        <v>-2.64</v>
      </c>
      <c r="E301" s="992" t="n">
        <f aca="false">дома!D1396</f>
        <v>1200</v>
      </c>
      <c r="F301" s="992"/>
      <c r="G301" s="967" t="n">
        <f aca="false">IF(F301&gt;0,D301*F301,E301*D301)</f>
        <v>-3168</v>
      </c>
      <c r="H301" s="975" t="n">
        <f aca="false">D301*E301*$H$298</f>
        <v>-0</v>
      </c>
      <c r="I301" s="936" t="n">
        <f aca="false">IF(G301&gt;H301,G301,H301)*$H$297</f>
        <v>-0</v>
      </c>
      <c r="J301" s="931"/>
      <c r="K301" s="937"/>
    </row>
    <row r="302" customFormat="false" ht="15.75" hidden="true" customHeight="false" outlineLevel="0" collapsed="false">
      <c r="A302" s="937"/>
      <c r="B302" s="992" t="str">
        <f aca="false">дома!A1397</f>
        <v>Sip панель 2800*1250*174мм</v>
      </c>
      <c r="C302" s="993" t="str">
        <f aca="false">дома!B1397</f>
        <v>м2</v>
      </c>
      <c r="D302" s="992" t="n">
        <f aca="false">дома!C1397</f>
        <v>0</v>
      </c>
      <c r="E302" s="992" t="n">
        <f aca="false">дома!D1397</f>
        <v>1200</v>
      </c>
      <c r="F302" s="992"/>
      <c r="G302" s="967" t="n">
        <f aca="false">IF(F302&gt;0,D302*F302,E302*D302)</f>
        <v>0</v>
      </c>
      <c r="H302" s="975" t="n">
        <f aca="false">D302*E302*$H$298</f>
        <v>0</v>
      </c>
      <c r="I302" s="936" t="n">
        <f aca="false">IF(G302&gt;H302,G302,H302)*$H$297</f>
        <v>0</v>
      </c>
      <c r="J302" s="931"/>
      <c r="K302" s="937"/>
    </row>
    <row r="303" customFormat="false" ht="15.75" hidden="true" customHeight="false" outlineLevel="0" collapsed="false">
      <c r="A303" s="937"/>
      <c r="B303" s="992" t="str">
        <f aca="false">дома!A1398</f>
        <v>Sip панель 2800*1250*124мм</v>
      </c>
      <c r="C303" s="993" t="str">
        <f aca="false">дома!B1398</f>
        <v>м2</v>
      </c>
      <c r="D303" s="992" t="n">
        <f aca="false">дома!C1398</f>
        <v>0</v>
      </c>
      <c r="E303" s="992" t="n">
        <f aca="false">дома!D1398</f>
        <v>800</v>
      </c>
      <c r="F303" s="992"/>
      <c r="G303" s="967" t="n">
        <f aca="false">IF(F303&gt;0,D303*F303,E303*D303)</f>
        <v>0</v>
      </c>
      <c r="H303" s="975" t="n">
        <f aca="false">D303*E303*$H$298</f>
        <v>0</v>
      </c>
      <c r="I303" s="936" t="n">
        <f aca="false">IF(G303&gt;H303,G303,H303)*$H$297</f>
        <v>0</v>
      </c>
      <c r="J303" s="931"/>
      <c r="K303" s="937"/>
    </row>
    <row r="304" customFormat="false" ht="15.75" hidden="true" customHeight="false" outlineLevel="0" collapsed="false">
      <c r="A304" s="937"/>
      <c r="B304" s="992" t="str">
        <f aca="false">дома!A1399</f>
        <v>Болты анкерные с гайкой 12,0 х 280          </v>
      </c>
      <c r="C304" s="993" t="str">
        <f aca="false">дома!B1399</f>
        <v>шт</v>
      </c>
      <c r="D304" s="992" t="n">
        <f aca="false">дома!C1399</f>
        <v>96</v>
      </c>
      <c r="E304" s="992" t="n">
        <f aca="false">дома!D1399</f>
        <v>27.1</v>
      </c>
      <c r="F304" s="992"/>
      <c r="G304" s="967" t="n">
        <f aca="false">IF(F304&gt;0,D304*F304,E304*D304)</f>
        <v>2601.6</v>
      </c>
      <c r="H304" s="975" t="n">
        <f aca="false">D304*E304*$H$298</f>
        <v>0</v>
      </c>
      <c r="I304" s="936" t="n">
        <f aca="false">IF(G304&gt;H304,G304,H304)*$H$297</f>
        <v>0</v>
      </c>
      <c r="J304" s="931"/>
      <c r="K304" s="937"/>
    </row>
    <row r="305" customFormat="false" ht="15.75" hidden="true" customHeight="false" outlineLevel="0" collapsed="false">
      <c r="A305" s="937"/>
      <c r="B305" s="992" t="str">
        <f aca="false">дома!A1400</f>
        <v>обвязка наружние стены верх низ</v>
      </c>
      <c r="C305" s="993" t="str">
        <f aca="false">дома!B1400</f>
        <v>м3</v>
      </c>
      <c r="D305" s="992" t="n">
        <f aca="false">дома!C1400</f>
        <v>0.96</v>
      </c>
      <c r="E305" s="992" t="n">
        <f aca="false">дома!D1400</f>
        <v>9000</v>
      </c>
      <c r="F305" s="992"/>
      <c r="G305" s="967" t="n">
        <f aca="false">IF(F305&gt;0,D305*F305,E305*D305)</f>
        <v>8640</v>
      </c>
      <c r="H305" s="975" t="n">
        <f aca="false">D305*E305*$H$298</f>
        <v>0</v>
      </c>
      <c r="I305" s="936" t="n">
        <f aca="false">IF(G305&gt;H305,G305,H305)*$H$297</f>
        <v>0</v>
      </c>
      <c r="J305" s="931"/>
      <c r="K305" s="937"/>
    </row>
    <row r="306" customFormat="false" ht="15.75" hidden="true" customHeight="false" outlineLevel="0" collapsed="false">
      <c r="A306" s="937"/>
      <c r="B306" s="992" t="str">
        <f aca="false">дома!A1401</f>
        <v>обвязка несущие перегородки верх низ</v>
      </c>
      <c r="C306" s="993" t="str">
        <f aca="false">дома!B1401</f>
        <v>м3</v>
      </c>
      <c r="D306" s="992" t="n">
        <f aca="false">дома!C1401</f>
        <v>0.4275</v>
      </c>
      <c r="E306" s="992" t="n">
        <f aca="false">дома!D1401</f>
        <v>9000</v>
      </c>
      <c r="F306" s="992"/>
      <c r="G306" s="967" t="n">
        <f aca="false">IF(F306&gt;0,D306*F306,E306*D306)</f>
        <v>3847.5</v>
      </c>
      <c r="H306" s="975" t="n">
        <f aca="false">D306*E306*$H$298</f>
        <v>0</v>
      </c>
      <c r="I306" s="936" t="n">
        <f aca="false">IF(G306&gt;H306,G306,H306)*$H$297</f>
        <v>0</v>
      </c>
      <c r="J306" s="931"/>
      <c r="K306" s="937"/>
    </row>
    <row r="307" customFormat="false" ht="15.75" hidden="true" customHeight="false" outlineLevel="0" collapsed="false">
      <c r="A307" s="937"/>
      <c r="B307" s="992" t="str">
        <f aca="false">дома!A1402</f>
        <v>обвязка несущие перегородки верх низ</v>
      </c>
      <c r="C307" s="993" t="str">
        <f aca="false">дома!B1402</f>
        <v>м3</v>
      </c>
      <c r="D307" s="992" t="n">
        <f aca="false">дома!C1402</f>
        <v>0.117</v>
      </c>
      <c r="E307" s="992" t="n">
        <f aca="false">дома!D1402</f>
        <v>9000</v>
      </c>
      <c r="F307" s="992"/>
      <c r="G307" s="967" t="n">
        <f aca="false">IF(F307&gt;0,D307*F307,E307*D307)</f>
        <v>1053</v>
      </c>
      <c r="H307" s="975" t="n">
        <f aca="false">D307*E307*$H$298</f>
        <v>0</v>
      </c>
      <c r="I307" s="936" t="n">
        <f aca="false">IF(G307&gt;H307,G307,H307)*$H$297</f>
        <v>0</v>
      </c>
      <c r="J307" s="931"/>
      <c r="K307" s="937"/>
    </row>
    <row r="308" customFormat="false" ht="15.75" hidden="true" customHeight="false" outlineLevel="0" collapsed="false">
      <c r="A308" s="937"/>
      <c r="B308" s="992" t="str">
        <f aca="false">дома!A1403</f>
        <v>стойки наружние стены</v>
      </c>
      <c r="C308" s="993" t="str">
        <f aca="false">дома!B1403</f>
        <v>м3</v>
      </c>
      <c r="D308" s="992" t="n">
        <f aca="false">дома!C1403</f>
        <v>0</v>
      </c>
      <c r="E308" s="992" t="n">
        <f aca="false">дома!D1403</f>
        <v>9000</v>
      </c>
      <c r="F308" s="992"/>
      <c r="G308" s="967" t="n">
        <f aca="false">IF(F308&gt;0,D308*F308,E308*D308)</f>
        <v>0</v>
      </c>
      <c r="H308" s="975" t="n">
        <f aca="false">D308*E308*$H$298</f>
        <v>0</v>
      </c>
      <c r="I308" s="936" t="n">
        <f aca="false">IF(G308&gt;H308,G308,H308)*$H$297</f>
        <v>0</v>
      </c>
      <c r="J308" s="931"/>
      <c r="K308" s="937"/>
    </row>
    <row r="309" customFormat="false" ht="15.75" hidden="true" customHeight="false" outlineLevel="0" collapsed="false">
      <c r="A309" s="937"/>
      <c r="B309" s="992" t="str">
        <f aca="false">дома!A1404</f>
        <v>стойки перегородки несущие</v>
      </c>
      <c r="C309" s="993" t="str">
        <f aca="false">дома!B1404</f>
        <v>м3</v>
      </c>
      <c r="D309" s="992" t="n">
        <f aca="false">дома!C1404</f>
        <v>0</v>
      </c>
      <c r="E309" s="992" t="n">
        <f aca="false">дома!D1404</f>
        <v>9000</v>
      </c>
      <c r="F309" s="992"/>
      <c r="G309" s="967" t="n">
        <f aca="false">IF(F309&gt;0,D309*F309,E309*D309)</f>
        <v>0</v>
      </c>
      <c r="H309" s="975" t="n">
        <f aca="false">D309*E309*$H$298</f>
        <v>0</v>
      </c>
      <c r="I309" s="936" t="n">
        <f aca="false">IF(G309&gt;H309,G309,H309)*$H$297</f>
        <v>0</v>
      </c>
      <c r="J309" s="931"/>
      <c r="K309" s="937"/>
    </row>
    <row r="310" customFormat="false" ht="15.75" hidden="true" customHeight="false" outlineLevel="0" collapsed="false">
      <c r="A310" s="937"/>
      <c r="B310" s="992" t="str">
        <f aca="false">дома!A1405</f>
        <v>Стойки перегородки простые</v>
      </c>
      <c r="C310" s="993" t="str">
        <f aca="false">дома!B1405</f>
        <v>м3</v>
      </c>
      <c r="D310" s="992" t="n">
        <f aca="false">дома!C1405</f>
        <v>0</v>
      </c>
      <c r="E310" s="992" t="n">
        <f aca="false">дома!D1405</f>
        <v>9000</v>
      </c>
      <c r="F310" s="992"/>
      <c r="G310" s="967" t="n">
        <f aca="false">IF(F310&gt;0,D310*F310,E310*D310)</f>
        <v>0</v>
      </c>
      <c r="H310" s="975" t="n">
        <f aca="false">D310*E310*$H$298</f>
        <v>0</v>
      </c>
      <c r="I310" s="936" t="n">
        <f aca="false">IF(G310&gt;H310,G310,H310)*$H$297</f>
        <v>0</v>
      </c>
      <c r="J310" s="931"/>
      <c r="K310" s="937"/>
    </row>
    <row r="311" customFormat="false" ht="15.75" hidden="true" customHeight="false" outlineLevel="0" collapsed="false">
      <c r="A311" s="937"/>
      <c r="B311" s="992" t="str">
        <f aca="false">дома!A1406</f>
        <v>брус, обвязка кровли, сип панели</v>
      </c>
      <c r="C311" s="993" t="str">
        <f aca="false">дома!B1406</f>
        <v>м3</v>
      </c>
      <c r="D311" s="992" t="n">
        <f aca="false">дома!C1406</f>
        <v>-0.276509716980849</v>
      </c>
      <c r="E311" s="992" t="n">
        <f aca="false">дома!D1406</f>
        <v>0</v>
      </c>
      <c r="F311" s="992"/>
      <c r="G311" s="967" t="n">
        <f aca="false">IF(F311&gt;0,D311*F311,E311*D311)</f>
        <v>-0</v>
      </c>
      <c r="H311" s="975" t="n">
        <f aca="false">D311*E311*$H$298</f>
        <v>-0</v>
      </c>
      <c r="I311" s="936" t="n">
        <f aca="false">IF(G311&gt;H311,G311,H311)*$H$297</f>
        <v>-0</v>
      </c>
      <c r="J311" s="931"/>
      <c r="K311" s="937"/>
    </row>
    <row r="312" customFormat="false" ht="15.75" hidden="true" customHeight="false" outlineLevel="0" collapsed="false">
      <c r="A312" s="937"/>
      <c r="B312" s="992" t="str">
        <f aca="false">дома!A1407</f>
        <v>торцевая доска, кровля, сип панели</v>
      </c>
      <c r="C312" s="993" t="str">
        <f aca="false">дома!B1407</f>
        <v>м3</v>
      </c>
      <c r="D312" s="992" t="n">
        <f aca="false">дома!C1407</f>
        <v>0.276509716980849</v>
      </c>
      <c r="E312" s="992" t="n">
        <f aca="false">дома!D1407</f>
        <v>0</v>
      </c>
      <c r="F312" s="992"/>
      <c r="G312" s="967" t="n">
        <f aca="false">IF(F312&gt;0,D312*F312,E312*D312)</f>
        <v>0</v>
      </c>
      <c r="H312" s="975" t="n">
        <f aca="false">D312*E312*$H$298</f>
        <v>0</v>
      </c>
      <c r="I312" s="936" t="n">
        <f aca="false">IF(G312&gt;H312,G312,H312)*$H$297</f>
        <v>0</v>
      </c>
      <c r="J312" s="931"/>
      <c r="K312" s="937"/>
    </row>
    <row r="313" customFormat="false" ht="15.75" hidden="true" customHeight="false" outlineLevel="0" collapsed="false">
      <c r="A313" s="937"/>
      <c r="B313" s="992" t="str">
        <f aca="false">дома!A1408</f>
        <v>Нет </v>
      </c>
      <c r="C313" s="993" t="str">
        <f aca="false">дома!B1408</f>
        <v>м2</v>
      </c>
      <c r="D313" s="992" t="n">
        <f aca="false">дома!C1408</f>
        <v>105.780913567754</v>
      </c>
      <c r="E313" s="992" t="n">
        <f aca="false">дома!D1408</f>
        <v>0</v>
      </c>
      <c r="F313" s="992"/>
      <c r="G313" s="967" t="n">
        <f aca="false">IF(F313&gt;0,D313*F313,E313*D313)</f>
        <v>0</v>
      </c>
      <c r="H313" s="975" t="n">
        <f aca="false">D313*E313*$H$298</f>
        <v>0</v>
      </c>
      <c r="I313" s="936" t="n">
        <f aca="false">IF(G313&gt;H313,G313,H313)*$H$297</f>
        <v>0</v>
      </c>
      <c r="J313" s="931"/>
      <c r="K313" s="937"/>
    </row>
    <row r="314" customFormat="false" ht="15.75" hidden="true" customHeight="false" outlineLevel="0" collapsed="false">
      <c r="A314" s="937"/>
      <c r="B314" s="992" t="str">
        <f aca="false">дома!A1409</f>
        <v>Пена монтажная, всесезонняя 800мл</v>
      </c>
      <c r="C314" s="993" t="str">
        <f aca="false">дома!B1409</f>
        <v>шт</v>
      </c>
      <c r="D314" s="992" t="n">
        <f aca="false">дома!C1409</f>
        <v>12.8</v>
      </c>
      <c r="E314" s="992" t="n">
        <f aca="false">дома!D1409</f>
        <v>300</v>
      </c>
      <c r="F314" s="992"/>
      <c r="G314" s="967" t="n">
        <f aca="false">IF(F314&gt;0,D314*F314,E314*D314)</f>
        <v>3840</v>
      </c>
      <c r="H314" s="975" t="n">
        <f aca="false">D314*E314*$H$298</f>
        <v>0</v>
      </c>
      <c r="I314" s="936" t="n">
        <f aca="false">IF(G314&gt;H314,G314,H314)*$H$297</f>
        <v>0</v>
      </c>
      <c r="J314" s="931"/>
      <c r="K314" s="937"/>
    </row>
    <row r="315" customFormat="false" ht="15.75" hidden="true" customHeight="false" outlineLevel="0" collapsed="false">
      <c r="A315" s="937"/>
      <c r="B315" s="992" t="str">
        <f aca="false">дома!A1410</f>
        <v>Саморезы 3,5 x 55            </v>
      </c>
      <c r="C315" s="993" t="str">
        <f aca="false">дома!B1410</f>
        <v>кг</v>
      </c>
      <c r="D315" s="992" t="n">
        <f aca="false">дома!C1410</f>
        <v>11.3187275711836</v>
      </c>
      <c r="E315" s="992" t="n">
        <f aca="false">дома!D1410</f>
        <v>105.62</v>
      </c>
      <c r="F315" s="992"/>
      <c r="G315" s="967" t="n">
        <f aca="false">IF(F315&gt;0,D315*F315,E315*D315)</f>
        <v>1195.48400606841</v>
      </c>
      <c r="H315" s="975" t="n">
        <f aca="false">D315*E315*$H$298</f>
        <v>0</v>
      </c>
      <c r="I315" s="936" t="n">
        <f aca="false">IF(G315&gt;H315,G315,H315)*$H$297</f>
        <v>0</v>
      </c>
      <c r="J315" s="931"/>
      <c r="K315" s="937"/>
    </row>
    <row r="316" customFormat="false" ht="15.75" hidden="true" customHeight="false" outlineLevel="0" collapsed="false">
      <c r="A316" s="937"/>
      <c r="B316" s="992" t="str">
        <f aca="false">дома!A1411</f>
        <v>Саморезы 4,2 x 90            </v>
      </c>
      <c r="C316" s="993" t="str">
        <f aca="false">дома!B1411</f>
        <v>шт</v>
      </c>
      <c r="D316" s="992" t="n">
        <f aca="false">дома!C1411</f>
        <v>11.3187275711836</v>
      </c>
      <c r="E316" s="992" t="n">
        <f aca="false">дома!D1411</f>
        <v>107.62</v>
      </c>
      <c r="F316" s="992"/>
      <c r="G316" s="967" t="n">
        <f aca="false">IF(F316&gt;0,D316*F316,E316*D316)</f>
        <v>1218.12146121078</v>
      </c>
      <c r="H316" s="975" t="n">
        <f aca="false">D316*E316*$H$298</f>
        <v>0</v>
      </c>
      <c r="I316" s="936" t="n">
        <f aca="false">IF(G316&gt;H316,G316,H316)*$H$297</f>
        <v>0</v>
      </c>
      <c r="J316" s="931"/>
      <c r="K316" s="937"/>
    </row>
    <row r="317" customFormat="false" ht="15.75" hidden="true" customHeight="false" outlineLevel="0" collapsed="false">
      <c r="A317" s="937"/>
      <c r="B317" s="973" t="s">
        <v>2247</v>
      </c>
      <c r="C317" s="973"/>
      <c r="D317" s="973"/>
      <c r="E317" s="973"/>
      <c r="F317" s="973"/>
      <c r="G317" s="975" t="n">
        <f aca="false">SUM(G299:G316)*H297</f>
        <v>0</v>
      </c>
      <c r="H317" s="975" t="n">
        <f aca="false">SUM(H299:H316)</f>
        <v>0</v>
      </c>
      <c r="I317" s="936" t="n">
        <f aca="false">IF(G317&gt;H317,G317,H317)*$H$297</f>
        <v>0</v>
      </c>
      <c r="J317" s="931"/>
      <c r="K317" s="937"/>
    </row>
    <row r="318" customFormat="false" ht="15.75" hidden="true" customHeight="false" outlineLevel="0" collapsed="false">
      <c r="A318" s="937"/>
      <c r="B318" s="976" t="s">
        <v>2007</v>
      </c>
      <c r="C318" s="976"/>
      <c r="D318" s="976"/>
      <c r="E318" s="976"/>
      <c r="F318" s="976"/>
      <c r="G318" s="977"/>
      <c r="H318" s="994" t="n">
        <f aca="false">H297</f>
        <v>0</v>
      </c>
      <c r="I318" s="983" t="n">
        <f aca="false">H318</f>
        <v>0</v>
      </c>
      <c r="L318" s="926"/>
      <c r="M318" s="926"/>
      <c r="N318" s="926"/>
    </row>
    <row r="319" customFormat="false" ht="15.75" hidden="true" customHeight="false" outlineLevel="0" collapsed="false">
      <c r="A319" s="931"/>
      <c r="B319" s="995" t="str">
        <f aca="false">дома!L1394</f>
        <v>монтаж обвязочного бруса</v>
      </c>
      <c r="C319" s="993" t="s">
        <v>15</v>
      </c>
      <c r="D319" s="992" t="n">
        <f aca="false">дома!N1394</f>
        <v>48</v>
      </c>
      <c r="E319" s="1010" t="n">
        <f aca="false">дома!O1394</f>
        <v>200</v>
      </c>
      <c r="F319" s="1010"/>
      <c r="G319" s="967" t="n">
        <f aca="false">IF(F319&gt;0,D319*F319,E319*D319)</f>
        <v>9600</v>
      </c>
      <c r="H319" s="970" t="n">
        <f aca="false">D319*E319*$H$318</f>
        <v>0</v>
      </c>
      <c r="I319" s="936" t="n">
        <f aca="false">IF(G319&gt;H319,G319,H319)*$H$297</f>
        <v>0</v>
      </c>
      <c r="L319" s="926"/>
      <c r="M319" s="926"/>
      <c r="N319" s="926"/>
    </row>
    <row r="320" customFormat="false" ht="15.75" hidden="true" customHeight="false" outlineLevel="0" collapsed="false">
      <c r="A320" s="937"/>
      <c r="B320" s="995" t="str">
        <f aca="false">дома!L1395</f>
        <v>обработка мастикой</v>
      </c>
      <c r="C320" s="993" t="s">
        <v>15</v>
      </c>
      <c r="D320" s="992" t="n">
        <f aca="false">дома!N1395</f>
        <v>48</v>
      </c>
      <c r="E320" s="1010" t="n">
        <f aca="false">дома!O1395</f>
        <v>200</v>
      </c>
      <c r="F320" s="1010"/>
      <c r="G320" s="967" t="n">
        <f aca="false">IF(F320&gt;0,D320*F320,E320*D320)</f>
        <v>9600</v>
      </c>
      <c r="H320" s="970" t="n">
        <f aca="false">D320*E320*$H$318</f>
        <v>0</v>
      </c>
      <c r="I320" s="936" t="n">
        <f aca="false">IF(G320&gt;H320,G320,H320)*$H$297</f>
        <v>0</v>
      </c>
      <c r="L320" s="926"/>
      <c r="M320" s="926"/>
      <c r="N320" s="926"/>
    </row>
    <row r="321" customFormat="false" ht="15.75" hidden="true" customHeight="false" outlineLevel="0" collapsed="false">
      <c r="A321" s="937"/>
      <c r="B321" s="995" t="str">
        <f aca="false">дома!L1396</f>
        <v>монтаж наружних стен сиппанели</v>
      </c>
      <c r="C321" s="993" t="s">
        <v>820</v>
      </c>
      <c r="D321" s="992" t="n">
        <f aca="false">дома!N1396</f>
        <v>0</v>
      </c>
      <c r="E321" s="1010" t="n">
        <f aca="false">дома!O1396</f>
        <v>400</v>
      </c>
      <c r="F321" s="1010"/>
      <c r="G321" s="967" t="n">
        <f aca="false">IF(F321&gt;0,D321*F321,E321*D321)</f>
        <v>0</v>
      </c>
      <c r="H321" s="970" t="n">
        <f aca="false">D321*E321*$H$318</f>
        <v>0</v>
      </c>
      <c r="I321" s="936" t="n">
        <f aca="false">IF(G321&gt;H321,G321,H321)*$H$297</f>
        <v>0</v>
      </c>
      <c r="J321" s="931"/>
      <c r="K321" s="937"/>
    </row>
    <row r="322" customFormat="false" ht="15.75" hidden="true" customHeight="false" outlineLevel="0" collapsed="false">
      <c r="A322" s="937"/>
      <c r="B322" s="995" t="str">
        <f aca="false">дома!L1397</f>
        <v>Монтаж несущих перегородок сип панели</v>
      </c>
      <c r="C322" s="993" t="s">
        <v>820</v>
      </c>
      <c r="D322" s="992" t="n">
        <f aca="false">дома!N1397</f>
        <v>0</v>
      </c>
      <c r="E322" s="1010" t="n">
        <f aca="false">дома!O1397</f>
        <v>400</v>
      </c>
      <c r="F322" s="1010"/>
      <c r="G322" s="967" t="n">
        <f aca="false">IF(F322&gt;0,D322*F322,E322*D322)</f>
        <v>0</v>
      </c>
      <c r="H322" s="970" t="n">
        <f aca="false">D322*E322*$H$318</f>
        <v>0</v>
      </c>
      <c r="I322" s="936" t="n">
        <f aca="false">IF(G322&gt;H322,G322,H322)*$H$297</f>
        <v>0</v>
      </c>
      <c r="J322" s="931"/>
      <c r="K322" s="937"/>
    </row>
    <row r="323" customFormat="false" ht="15.75" hidden="true" customHeight="false" outlineLevel="0" collapsed="false">
      <c r="A323" s="937"/>
      <c r="B323" s="995" t="str">
        <f aca="false">дома!L1399</f>
        <v>Монтаж перегородок сип панели</v>
      </c>
      <c r="C323" s="993" t="s">
        <v>820</v>
      </c>
      <c r="D323" s="992" t="n">
        <f aca="false">дома!N1399</f>
        <v>0</v>
      </c>
      <c r="E323" s="1010" t="n">
        <f aca="false">дома!O1399</f>
        <v>300</v>
      </c>
      <c r="F323" s="1010"/>
      <c r="G323" s="967" t="n">
        <f aca="false">IF(F323&gt;0,D323*F323,E323*D323)</f>
        <v>0</v>
      </c>
      <c r="H323" s="970" t="n">
        <f aca="false">D323*E323*$H$318</f>
        <v>0</v>
      </c>
      <c r="I323" s="936" t="n">
        <f aca="false">IF(G323&gt;H323,G323,H323)*$H$297</f>
        <v>0</v>
      </c>
      <c r="J323" s="931"/>
      <c r="K323" s="937"/>
    </row>
    <row r="324" customFormat="false" ht="15.75" hidden="true" customHeight="false" outlineLevel="0" collapsed="false">
      <c r="A324" s="937"/>
      <c r="B324" s="995" t="str">
        <f aca="false">дома!L1400</f>
        <v>монтаж покрытия кровли</v>
      </c>
      <c r="C324" s="993" t="s">
        <v>820</v>
      </c>
      <c r="D324" s="992" t="n">
        <f aca="false">дома!N1400</f>
        <v>0</v>
      </c>
      <c r="E324" s="1010" t="n">
        <f aca="false">дома!O1400</f>
        <v>400</v>
      </c>
      <c r="F324" s="1010"/>
      <c r="G324" s="967" t="n">
        <f aca="false">IF(F324&gt;0,D324*F324,E324*D324)</f>
        <v>0</v>
      </c>
      <c r="H324" s="970" t="n">
        <f aca="false">D324*E324*$H$318</f>
        <v>0</v>
      </c>
      <c r="I324" s="936" t="n">
        <f aca="false">IF(G324&gt;H324,G324,H324)*$H$297</f>
        <v>0</v>
      </c>
      <c r="J324" s="931"/>
      <c r="K324" s="937"/>
    </row>
    <row r="325" customFormat="false" ht="15.75" hidden="true" customHeight="false" outlineLevel="0" collapsed="false">
      <c r="A325" s="937"/>
      <c r="B325" s="973" t="s">
        <v>2248</v>
      </c>
      <c r="C325" s="973"/>
      <c r="D325" s="973"/>
      <c r="E325" s="973"/>
      <c r="F325" s="973"/>
      <c r="G325" s="970" t="n">
        <f aca="false">SUM(G319:G324)*H318</f>
        <v>0</v>
      </c>
      <c r="H325" s="970" t="n">
        <f aca="false">SUM(H319:H324)</f>
        <v>0</v>
      </c>
      <c r="I325" s="936" t="n">
        <f aca="false">IF(G325&gt;H325,G325,H325)*$H$297</f>
        <v>0</v>
      </c>
      <c r="J325" s="931"/>
      <c r="K325" s="937"/>
    </row>
    <row r="326" customFormat="false" ht="21" hidden="true" customHeight="false" outlineLevel="0" collapsed="false">
      <c r="A326" s="937"/>
      <c r="B326" s="989" t="s">
        <v>730</v>
      </c>
      <c r="C326" s="989"/>
      <c r="D326" s="989"/>
      <c r="E326" s="989"/>
      <c r="F326" s="989"/>
      <c r="G326" s="977"/>
      <c r="H326" s="1007" t="n">
        <f aca="false">IF('Ввод данных'!$A$19=связи1!A150,1,0)+IF('Ввод данных'!$A$19=связи1!A167,1,0)+IF('Ввод данных'!$A$19=связи1!A175,1,0)+IF('Ввод данных'!$A$19=связи1!A182,1,0)+IF('Ввод данных'!$A$19=связи1!A183,1,0)</f>
        <v>0</v>
      </c>
      <c r="I326" s="983" t="n">
        <f aca="false">H326</f>
        <v>0</v>
      </c>
      <c r="J326" s="931"/>
      <c r="K326" s="937"/>
    </row>
    <row r="327" customFormat="false" ht="15.75" hidden="true" customHeight="false" outlineLevel="0" collapsed="false">
      <c r="A327" s="931"/>
      <c r="B327" s="1008" t="s">
        <v>2246</v>
      </c>
      <c r="C327" s="1008"/>
      <c r="D327" s="1008"/>
      <c r="E327" s="1008"/>
      <c r="F327" s="1008"/>
      <c r="G327" s="977"/>
      <c r="H327" s="1009" t="n">
        <f aca="false">H326</f>
        <v>0</v>
      </c>
      <c r="I327" s="983" t="n">
        <f aca="false">H327</f>
        <v>0</v>
      </c>
      <c r="J327" s="931"/>
      <c r="K327" s="937"/>
    </row>
    <row r="328" customFormat="false" ht="15.75" hidden="true" customHeight="false" outlineLevel="0" collapsed="false">
      <c r="A328" s="931"/>
      <c r="B328" s="992" t="str">
        <f aca="false">дома!A1466</f>
        <v>Доска сухая калиброванная, 190*45мм</v>
      </c>
      <c r="C328" s="993" t="str">
        <f aca="false">дома!B1466</f>
        <v>м3</v>
      </c>
      <c r="D328" s="992" t="n">
        <f aca="false">дома!C1466</f>
        <v>0.8699625</v>
      </c>
      <c r="E328" s="992" t="n">
        <f aca="false">дома!D1466</f>
        <v>12500</v>
      </c>
      <c r="F328" s="992"/>
      <c r="G328" s="967" t="n">
        <f aca="false">IF(F328&gt;0,D328*F328,E328*D328)</f>
        <v>10874.53125</v>
      </c>
      <c r="H328" s="975" t="n">
        <f aca="false">D328*E328*$H$327</f>
        <v>0</v>
      </c>
      <c r="I328" s="936" t="n">
        <f aca="false">IF(G328&gt;H328,G328,H328)*$H$326</f>
        <v>0</v>
      </c>
      <c r="J328" s="931"/>
      <c r="K328" s="937"/>
    </row>
    <row r="329" customFormat="false" ht="15.75" hidden="true" customHeight="false" outlineLevel="0" collapsed="false">
      <c r="A329" s="937"/>
      <c r="B329" s="992" t="str">
        <f aca="false">дома!A1467</f>
        <v>Болты анкерные с гайкой 12,0 х 280          </v>
      </c>
      <c r="C329" s="993" t="str">
        <f aca="false">дома!B1467</f>
        <v>шт</v>
      </c>
      <c r="D329" s="992" t="n">
        <f aca="false">дома!C1467</f>
        <v>101.75</v>
      </c>
      <c r="E329" s="992" t="n">
        <f aca="false">дома!D1467</f>
        <v>27.1</v>
      </c>
      <c r="F329" s="992"/>
      <c r="G329" s="967" t="n">
        <f aca="false">IF(F329&gt;0,D329*F329,E329*D329)</f>
        <v>2757.425</v>
      </c>
      <c r="H329" s="975" t="n">
        <f aca="false">D329*E329*$H$327</f>
        <v>0</v>
      </c>
      <c r="I329" s="936" t="n">
        <f aca="false">IF(G329&gt;H329,G329,H329)*$H$326</f>
        <v>0</v>
      </c>
      <c r="J329" s="931"/>
      <c r="K329" s="937"/>
    </row>
    <row r="330" customFormat="false" ht="15.75" hidden="true" customHeight="false" outlineLevel="0" collapsed="false">
      <c r="A330" s="937"/>
      <c r="B330" s="992" t="str">
        <f aca="false">дома!A1468</f>
        <v>Доска сухая калиброванная, 145*45мм</v>
      </c>
      <c r="C330" s="993" t="str">
        <f aca="false">дома!B1468</f>
        <v>м3</v>
      </c>
      <c r="D330" s="992" t="n">
        <f aca="false">дома!C1468</f>
        <v>0</v>
      </c>
      <c r="E330" s="992" t="n">
        <f aca="false">дома!D1468</f>
        <v>12500</v>
      </c>
      <c r="F330" s="992"/>
      <c r="G330" s="967" t="n">
        <f aca="false">IF(F330&gt;0,D330*F330,E330*D330)</f>
        <v>0</v>
      </c>
      <c r="H330" s="975" t="n">
        <f aca="false">D330*E330*$H$327</f>
        <v>0</v>
      </c>
      <c r="I330" s="936" t="n">
        <f aca="false">IF(G330&gt;H330,G330,H330)*$H$326</f>
        <v>0</v>
      </c>
      <c r="J330" s="931"/>
      <c r="K330" s="937"/>
    </row>
    <row r="331" customFormat="false" ht="15.75" hidden="true" customHeight="false" outlineLevel="0" collapsed="false">
      <c r="A331" s="937"/>
      <c r="B331" s="992" t="str">
        <f aca="false">дома!A1469</f>
        <v>Доска сухая калиброванная, 145*45мм</v>
      </c>
      <c r="C331" s="993" t="str">
        <f aca="false">дома!B1469</f>
        <v>м3</v>
      </c>
      <c r="D331" s="992" t="n">
        <f aca="false">дома!C1469</f>
        <v>0</v>
      </c>
      <c r="E331" s="992" t="n">
        <f aca="false">дома!D1469</f>
        <v>12500</v>
      </c>
      <c r="F331" s="992"/>
      <c r="G331" s="967" t="n">
        <f aca="false">IF(F331&gt;0,D331*F331,E331*D331)</f>
        <v>0</v>
      </c>
      <c r="H331" s="975" t="n">
        <f aca="false">D331*E331*$H$327</f>
        <v>0</v>
      </c>
      <c r="I331" s="936" t="n">
        <f aca="false">IF(G331&gt;H331,G331,H331)*$H$326</f>
        <v>0</v>
      </c>
      <c r="J331" s="931"/>
      <c r="K331" s="937"/>
    </row>
    <row r="332" customFormat="false" ht="15.75" hidden="true" customHeight="false" outlineLevel="0" collapsed="false">
      <c r="A332" s="937"/>
      <c r="B332" s="992" t="str">
        <f aca="false">дома!A1470</f>
        <v>Доска сухая калиброванная, 100*45мм</v>
      </c>
      <c r="C332" s="993" t="str">
        <f aca="false">дома!B1470</f>
        <v>м3</v>
      </c>
      <c r="D332" s="992" t="n">
        <f aca="false">дома!C1470</f>
        <v>0</v>
      </c>
      <c r="E332" s="992" t="n">
        <f aca="false">дома!D1470</f>
        <v>12500</v>
      </c>
      <c r="F332" s="992"/>
      <c r="G332" s="967" t="n">
        <f aca="false">IF(F332&gt;0,D332*F332,E332*D332)</f>
        <v>0</v>
      </c>
      <c r="H332" s="975" t="n">
        <f aca="false">D332*E332*$H$327</f>
        <v>0</v>
      </c>
      <c r="I332" s="936" t="n">
        <f aca="false">IF(G332&gt;H332,G332,H332)*$H$326</f>
        <v>0</v>
      </c>
      <c r="J332" s="931"/>
      <c r="K332" s="937"/>
    </row>
    <row r="333" customFormat="false" ht="15.75" hidden="true" customHeight="false" outlineLevel="0" collapsed="false">
      <c r="A333" s="937"/>
      <c r="B333" s="992" t="str">
        <f aca="false">дома!A1471</f>
        <v>Фанера Хвойная, марка ФСФ, 21 мм </v>
      </c>
      <c r="C333" s="993" t="str">
        <f aca="false">дома!B1471</f>
        <v>м2</v>
      </c>
      <c r="D333" s="992" t="n">
        <f aca="false">дома!C1471</f>
        <v>104.205408239449</v>
      </c>
      <c r="E333" s="992" t="n">
        <f aca="false">дома!D1471</f>
        <v>548.333333333333</v>
      </c>
      <c r="F333" s="992"/>
      <c r="G333" s="967" t="n">
        <f aca="false">IF(F333&gt;0,D333*F333,E333*D333)</f>
        <v>57139.298851298</v>
      </c>
      <c r="H333" s="975" t="n">
        <f aca="false">D333*E333*$H$327</f>
        <v>0</v>
      </c>
      <c r="I333" s="936" t="n">
        <f aca="false">IF(G333&gt;H333,G333,H333)*$H$326</f>
        <v>0</v>
      </c>
      <c r="J333" s="931"/>
      <c r="K333" s="937"/>
    </row>
    <row r="334" customFormat="false" ht="15.75" hidden="true" customHeight="false" outlineLevel="0" collapsed="false">
      <c r="A334" s="937"/>
      <c r="B334" s="992" t="str">
        <f aca="false">дома!A1472</f>
        <v>нет</v>
      </c>
      <c r="C334" s="993" t="str">
        <f aca="false">дома!B1472</f>
        <v>м.п.</v>
      </c>
      <c r="D334" s="992" t="n">
        <f aca="false">дома!C1472</f>
        <v>0</v>
      </c>
      <c r="E334" s="992" t="n">
        <f aca="false">дома!D1472</f>
        <v>0</v>
      </c>
      <c r="F334" s="992"/>
      <c r="G334" s="967" t="n">
        <f aca="false">IF(F334&gt;0,D334*F334,E334*D334)</f>
        <v>0</v>
      </c>
      <c r="H334" s="975" t="n">
        <f aca="false">D334*E334*$H$327</f>
        <v>0</v>
      </c>
      <c r="I334" s="936" t="n">
        <f aca="false">IF(G334&gt;H334,G334,H334)*$H$326</f>
        <v>0</v>
      </c>
      <c r="J334" s="931"/>
      <c r="K334" s="937"/>
    </row>
    <row r="335" customFormat="false" ht="15.75" hidden="true" customHeight="false" outlineLevel="0" collapsed="false">
      <c r="A335" s="937"/>
      <c r="B335" s="992" t="str">
        <f aca="false">дома!A1473</f>
        <v>Плитный,28кг/м3, технониколь, 150мм</v>
      </c>
      <c r="C335" s="993" t="str">
        <f aca="false">дома!B1473</f>
        <v>м3</v>
      </c>
      <c r="D335" s="992" t="n">
        <f aca="false">дома!C1473</f>
        <v>0</v>
      </c>
      <c r="E335" s="992" t="n">
        <f aca="false">дома!D1473</f>
        <v>1700</v>
      </c>
      <c r="F335" s="992"/>
      <c r="G335" s="967" t="n">
        <f aca="false">IF(F335&gt;0,D335*F335,E335*D335)</f>
        <v>0</v>
      </c>
      <c r="H335" s="975" t="n">
        <f aca="false">D335*E335*$H$327</f>
        <v>0</v>
      </c>
      <c r="I335" s="936" t="n">
        <f aca="false">IF(G335&gt;H335,G335,H335)*$H$326</f>
        <v>0</v>
      </c>
      <c r="J335" s="931"/>
      <c r="K335" s="937"/>
    </row>
    <row r="336" customFormat="false" ht="15.75" hidden="true" customHeight="false" outlineLevel="0" collapsed="false">
      <c r="A336" s="937"/>
      <c r="B336" s="992" t="str">
        <f aca="false">дома!A1474</f>
        <v>Плитный,28кг/м3, технониколь, 50мм</v>
      </c>
      <c r="C336" s="993" t="str">
        <f aca="false">дома!B1474</f>
        <v>м3</v>
      </c>
      <c r="D336" s="992" t="n">
        <f aca="false">дома!C1474</f>
        <v>0</v>
      </c>
      <c r="E336" s="992" t="n">
        <f aca="false">дома!D1474</f>
        <v>1700</v>
      </c>
      <c r="F336" s="992"/>
      <c r="G336" s="967" t="n">
        <f aca="false">IF(F336&gt;0,D336*F336,E336*D336)</f>
        <v>0</v>
      </c>
      <c r="H336" s="975" t="n">
        <f aca="false">D336*E336*$H$327</f>
        <v>0</v>
      </c>
      <c r="I336" s="936" t="n">
        <f aca="false">IF(G336&gt;H336,G336,H336)*$H$326</f>
        <v>0</v>
      </c>
      <c r="J336" s="931"/>
      <c r="K336" s="937"/>
    </row>
    <row r="337" customFormat="false" ht="15.75" hidden="true" customHeight="false" outlineLevel="0" collapsed="false">
      <c r="A337" s="937"/>
      <c r="B337" s="992" t="str">
        <f aca="false">дома!A1475</f>
        <v>нет</v>
      </c>
      <c r="C337" s="993" t="str">
        <f aca="false">дома!B1475</f>
        <v>м2</v>
      </c>
      <c r="D337" s="992" t="n">
        <f aca="false">дома!C1475</f>
        <v>0</v>
      </c>
      <c r="E337" s="992" t="n">
        <f aca="false">дома!D1475</f>
        <v>0</v>
      </c>
      <c r="F337" s="992"/>
      <c r="G337" s="967" t="n">
        <f aca="false">IF(F337&gt;0,D337*F337,E337*D337)</f>
        <v>0</v>
      </c>
      <c r="H337" s="975" t="n">
        <f aca="false">D337*E337*$H$327</f>
        <v>0</v>
      </c>
      <c r="I337" s="936" t="n">
        <f aca="false">IF(G337&gt;H337,G337,H337)*$H$326</f>
        <v>0</v>
      </c>
      <c r="J337" s="931"/>
      <c r="K337" s="937"/>
    </row>
    <row r="338" customFormat="false" ht="15.75" hidden="true" customHeight="false" outlineLevel="0" collapsed="false">
      <c r="A338" s="937"/>
      <c r="B338" s="992" t="str">
        <f aca="false">дома!A1476</f>
        <v>нет</v>
      </c>
      <c r="C338" s="993" t="str">
        <f aca="false">дома!B1476</f>
        <v>м2</v>
      </c>
      <c r="D338" s="992" t="n">
        <f aca="false">дома!C1476</f>
        <v>0</v>
      </c>
      <c r="E338" s="992" t="n">
        <f aca="false">дома!D1476</f>
        <v>0</v>
      </c>
      <c r="F338" s="992"/>
      <c r="G338" s="967" t="n">
        <f aca="false">IF(F338&gt;0,D338*F338,E338*D338)</f>
        <v>0</v>
      </c>
      <c r="H338" s="975" t="n">
        <f aca="false">D338*E338*$H$327</f>
        <v>0</v>
      </c>
      <c r="I338" s="936" t="n">
        <f aca="false">IF(G338&gt;H338,G338,H338)*$H$326</f>
        <v>0</v>
      </c>
      <c r="J338" s="931"/>
      <c r="K338" s="937"/>
    </row>
    <row r="339" customFormat="false" ht="15.75" hidden="true" customHeight="false" outlineLevel="0" collapsed="false">
      <c r="A339" s="937"/>
      <c r="B339" s="992" t="str">
        <f aca="false">дома!A1477</f>
        <v>нет</v>
      </c>
      <c r="C339" s="993" t="str">
        <f aca="false">дома!B1477</f>
        <v>м2</v>
      </c>
      <c r="D339" s="992" t="n">
        <f aca="false">дома!C1477</f>
        <v>0</v>
      </c>
      <c r="E339" s="992" t="n">
        <f aca="false">дома!D1477</f>
        <v>0</v>
      </c>
      <c r="F339" s="992"/>
      <c r="G339" s="967" t="n">
        <f aca="false">IF(F339&gt;0,D339*F339,E339*D339)</f>
        <v>0</v>
      </c>
      <c r="H339" s="975" t="n">
        <f aca="false">D339*E339*$H$327</f>
        <v>0</v>
      </c>
      <c r="I339" s="936" t="n">
        <f aca="false">IF(G339&gt;H339,G339,H339)*$H$326</f>
        <v>0</v>
      </c>
      <c r="J339" s="931"/>
      <c r="K339" s="937"/>
    </row>
    <row r="340" customFormat="false" ht="15.75" hidden="true" customHeight="false" outlineLevel="0" collapsed="false">
      <c r="A340" s="937"/>
      <c r="B340" s="992" t="str">
        <f aca="false">дома!A1478</f>
        <v>Саморезы 3,5 x 25            </v>
      </c>
      <c r="C340" s="993" t="str">
        <f aca="false">дома!B1478</f>
        <v>шт</v>
      </c>
      <c r="D340" s="992" t="n">
        <f aca="false">дома!C1478</f>
        <v>0</v>
      </c>
      <c r="E340" s="992" t="n">
        <f aca="false">дома!D1478</f>
        <v>0.2</v>
      </c>
      <c r="F340" s="992"/>
      <c r="G340" s="967" t="n">
        <f aca="false">IF(F340&gt;0,D340*F340,E340*D340)</f>
        <v>0</v>
      </c>
      <c r="H340" s="975" t="n">
        <f aca="false">D340*E340*$H$327</f>
        <v>0</v>
      </c>
      <c r="I340" s="936" t="n">
        <f aca="false">IF(G340&gt;H340,G340,H340)*$H$326</f>
        <v>0</v>
      </c>
      <c r="J340" s="931"/>
      <c r="K340" s="937"/>
    </row>
    <row r="341" customFormat="false" ht="15.75" hidden="true" customHeight="false" outlineLevel="0" collapsed="false">
      <c r="A341" s="937"/>
      <c r="B341" s="992" t="str">
        <f aca="false">дома!A1479</f>
        <v>Гвозди ершоные 2,8 х 90            </v>
      </c>
      <c r="C341" s="993" t="str">
        <f aca="false">дома!B1479</f>
        <v>кг</v>
      </c>
      <c r="D341" s="992" t="n">
        <f aca="false">дома!C1479</f>
        <v>0</v>
      </c>
      <c r="E341" s="992" t="n">
        <f aca="false">дома!D1479</f>
        <v>76.49</v>
      </c>
      <c r="F341" s="992"/>
      <c r="G341" s="967" t="n">
        <f aca="false">IF(F341&gt;0,D341*F341,E341*D341)</f>
        <v>0</v>
      </c>
      <c r="H341" s="975" t="n">
        <f aca="false">D341*E341*$H$327</f>
        <v>0</v>
      </c>
      <c r="I341" s="936" t="n">
        <f aca="false">IF(G341&gt;H341,G341,H341)*$H$326</f>
        <v>0</v>
      </c>
      <c r="J341" s="931"/>
      <c r="K341" s="937"/>
    </row>
    <row r="342" customFormat="false" ht="15.75" hidden="true" customHeight="false" outlineLevel="0" collapsed="false">
      <c r="A342" s="937"/>
      <c r="B342" s="992" t="str">
        <f aca="false">дома!A1480</f>
        <v>Гвозди ершоные 3,4 x 60            </v>
      </c>
      <c r="C342" s="993" t="str">
        <f aca="false">дома!B1480</f>
        <v>кг</v>
      </c>
      <c r="D342" s="992" t="n">
        <f aca="false">дома!C1480</f>
        <v>0</v>
      </c>
      <c r="E342" s="992" t="n">
        <f aca="false">дома!D1480</f>
        <v>75.51</v>
      </c>
      <c r="F342" s="992"/>
      <c r="G342" s="967" t="n">
        <f aca="false">IF(F342&gt;0,D342*F342,E342*D342)</f>
        <v>0</v>
      </c>
      <c r="H342" s="975" t="n">
        <f aca="false">D342*E342*$H$327</f>
        <v>0</v>
      </c>
      <c r="I342" s="936" t="n">
        <f aca="false">IF(G342&gt;H342,G342,H342)*$H$326</f>
        <v>0</v>
      </c>
      <c r="J342" s="931"/>
      <c r="K342" s="937"/>
    </row>
    <row r="343" customFormat="false" ht="15.75" hidden="true" customHeight="false" outlineLevel="0" collapsed="false">
      <c r="A343" s="937"/>
      <c r="B343" s="992" t="str">
        <f aca="false">дома!A1481</f>
        <v>Универсальная Optima C</v>
      </c>
      <c r="C343" s="993" t="str">
        <f aca="false">дома!B1481</f>
        <v>м2</v>
      </c>
      <c r="D343" s="992" t="n">
        <f aca="false">дома!C1481</f>
        <v>0</v>
      </c>
      <c r="E343" s="992" t="n">
        <f aca="false">дома!D1481</f>
        <v>19</v>
      </c>
      <c r="F343" s="992"/>
      <c r="G343" s="967" t="n">
        <f aca="false">IF(F343&gt;0,D343*F343,E343*D343)</f>
        <v>0</v>
      </c>
      <c r="H343" s="975" t="n">
        <f aca="false">D343*E343*$H$327</f>
        <v>0</v>
      </c>
      <c r="I343" s="936" t="n">
        <f aca="false">IF(G343&gt;H343,G343,H343)*$H$326</f>
        <v>0</v>
      </c>
      <c r="J343" s="931"/>
      <c r="K343" s="937"/>
    </row>
    <row r="344" customFormat="false" ht="15.75" hidden="true" customHeight="false" outlineLevel="0" collapsed="false">
      <c r="A344" s="937"/>
      <c r="B344" s="992" t="str">
        <f aca="false">дома!A1482</f>
        <v>Универсальная Optima C</v>
      </c>
      <c r="C344" s="993" t="str">
        <f aca="false">дома!B1482</f>
        <v>м2</v>
      </c>
      <c r="D344" s="992" t="n">
        <f aca="false">дома!C1482</f>
        <v>0</v>
      </c>
      <c r="E344" s="992" t="n">
        <f aca="false">дома!D1482</f>
        <v>20</v>
      </c>
      <c r="F344" s="992"/>
      <c r="G344" s="967" t="n">
        <f aca="false">IF(F344&gt;0,D344*F344,E344*D344)</f>
        <v>0</v>
      </c>
      <c r="H344" s="975" t="n">
        <f aca="false">D344*E344*$H$327</f>
        <v>0</v>
      </c>
      <c r="I344" s="936" t="n">
        <f aca="false">IF(G344&gt;H344,G344,H344)*$H$326</f>
        <v>0</v>
      </c>
      <c r="J344" s="931"/>
      <c r="K344" s="937"/>
    </row>
    <row r="345" customFormat="false" ht="15.75" hidden="true" customHeight="false" outlineLevel="0" collapsed="false">
      <c r="A345" s="937"/>
      <c r="B345" s="992" t="str">
        <f aca="false">дома!A1483</f>
        <v>Скобы для степлера, 1000шт/уп</v>
      </c>
      <c r="C345" s="993" t="str">
        <f aca="false">дома!B1483</f>
        <v>уп</v>
      </c>
      <c r="D345" s="992" t="n">
        <f aca="false">дома!C1483</f>
        <v>5.5</v>
      </c>
      <c r="E345" s="992" t="n">
        <f aca="false">дома!D1483</f>
        <v>100</v>
      </c>
      <c r="F345" s="992"/>
      <c r="G345" s="967" t="n">
        <f aca="false">IF(F345&gt;0,D345*F345,E345*D345)</f>
        <v>550</v>
      </c>
      <c r="H345" s="975" t="n">
        <f aca="false">D345*E345*$H$327</f>
        <v>0</v>
      </c>
      <c r="I345" s="936" t="n">
        <f aca="false">IF(G345&gt;H345,G345,H345)*$H$326</f>
        <v>0</v>
      </c>
      <c r="J345" s="931"/>
      <c r="K345" s="937"/>
    </row>
    <row r="346" customFormat="false" ht="15.75" hidden="true" customHeight="false" outlineLevel="0" collapsed="false">
      <c r="A346" s="937"/>
      <c r="B346" s="973" t="s">
        <v>2247</v>
      </c>
      <c r="C346" s="973"/>
      <c r="D346" s="973"/>
      <c r="E346" s="973"/>
      <c r="F346" s="973"/>
      <c r="G346" s="975" t="n">
        <f aca="false">SUM(G328:G345)*H326</f>
        <v>0</v>
      </c>
      <c r="H346" s="975" t="n">
        <f aca="false">SUM(H328:H345)</f>
        <v>0</v>
      </c>
      <c r="I346" s="936" t="n">
        <f aca="false">IF(G346&gt;H346,G346,H346)*$H$326</f>
        <v>0</v>
      </c>
      <c r="J346" s="931"/>
      <c r="K346" s="937"/>
    </row>
    <row r="347" customFormat="false" ht="15.75" hidden="true" customHeight="false" outlineLevel="0" collapsed="false">
      <c r="A347" s="937"/>
      <c r="B347" s="976" t="s">
        <v>2007</v>
      </c>
      <c r="C347" s="976"/>
      <c r="D347" s="976"/>
      <c r="E347" s="976"/>
      <c r="F347" s="976"/>
      <c r="G347" s="977"/>
      <c r="H347" s="994" t="n">
        <f aca="false">H326</f>
        <v>0</v>
      </c>
      <c r="I347" s="983" t="n">
        <f aca="false">H347</f>
        <v>0</v>
      </c>
      <c r="J347" s="931"/>
      <c r="K347" s="937"/>
    </row>
    <row r="348" customFormat="false" ht="15.75" hidden="true" customHeight="false" outlineLevel="0" collapsed="false">
      <c r="A348" s="931"/>
      <c r="B348" s="995" t="str">
        <f aca="false">дома!G1466</f>
        <v>монтаж обвязки</v>
      </c>
      <c r="C348" s="993" t="s">
        <v>15</v>
      </c>
      <c r="D348" s="992" t="n">
        <f aca="false">дома!L1466</f>
        <v>32</v>
      </c>
      <c r="E348" s="1010" t="n">
        <f aca="false">дома!O1466</f>
        <v>200</v>
      </c>
      <c r="F348" s="1010"/>
      <c r="G348" s="967" t="n">
        <f aca="false">IF(F348&gt;0,D348*F348,E348*D348)</f>
        <v>6400</v>
      </c>
      <c r="H348" s="986" t="n">
        <f aca="false">D348*E348*$H$327</f>
        <v>0</v>
      </c>
      <c r="I348" s="936" t="n">
        <f aca="false">IF(G348&gt;H348,G348,H348)*$H$326</f>
        <v>0</v>
      </c>
      <c r="J348" s="931"/>
      <c r="K348" s="937"/>
    </row>
    <row r="349" customFormat="false" ht="15.75" hidden="true" customHeight="false" outlineLevel="0" collapsed="false">
      <c r="A349" s="937"/>
      <c r="B349" s="995" t="str">
        <f aca="false">дома!G1467</f>
        <v>монтаж стен каркаса</v>
      </c>
      <c r="C349" s="993" t="s">
        <v>820</v>
      </c>
      <c r="D349" s="992" t="n">
        <f aca="false">дома!L1467</f>
        <v>0</v>
      </c>
      <c r="E349" s="1010" t="n">
        <f aca="false">дома!O1467</f>
        <v>400</v>
      </c>
      <c r="F349" s="1010"/>
      <c r="G349" s="967" t="n">
        <f aca="false">IF(F349&gt;0,D349*F349,E349*D349)</f>
        <v>0</v>
      </c>
      <c r="H349" s="986" t="n">
        <f aca="false">D349*E349*$H$327</f>
        <v>0</v>
      </c>
      <c r="I349" s="936" t="n">
        <f aca="false">IF(G349&gt;H349,G349,H349)*$H$326</f>
        <v>0</v>
      </c>
      <c r="J349" s="931"/>
      <c r="K349" s="937"/>
    </row>
    <row r="350" customFormat="false" ht="15.75" hidden="true" customHeight="false" outlineLevel="0" collapsed="false">
      <c r="A350" s="937"/>
      <c r="B350" s="995" t="str">
        <f aca="false">дома!G1468</f>
        <v>Монтаж несущих перегородок</v>
      </c>
      <c r="C350" s="993" t="s">
        <v>820</v>
      </c>
      <c r="D350" s="992" t="n">
        <f aca="false">дома!L1468</f>
        <v>0</v>
      </c>
      <c r="E350" s="1010" t="n">
        <f aca="false">дома!O1468</f>
        <v>400</v>
      </c>
      <c r="F350" s="1010"/>
      <c r="G350" s="967" t="n">
        <f aca="false">IF(F350&gt;0,D350*F350,E350*D350)</f>
        <v>0</v>
      </c>
      <c r="H350" s="986" t="n">
        <f aca="false">D350*E350*$H$327</f>
        <v>0</v>
      </c>
      <c r="I350" s="936" t="n">
        <f aca="false">IF(G350&gt;H350,G350,H350)*$H$326</f>
        <v>0</v>
      </c>
      <c r="J350" s="931"/>
      <c r="K350" s="937"/>
    </row>
    <row r="351" customFormat="false" ht="15.75" hidden="true" customHeight="false" outlineLevel="0" collapsed="false">
      <c r="A351" s="937"/>
      <c r="B351" s="995" t="str">
        <f aca="false">дома!G1469</f>
        <v>Монтаж перегородок</v>
      </c>
      <c r="C351" s="993" t="s">
        <v>820</v>
      </c>
      <c r="D351" s="992" t="n">
        <f aca="false">дома!L1469</f>
        <v>0</v>
      </c>
      <c r="E351" s="1010" t="n">
        <f aca="false">дома!O1469</f>
        <v>400</v>
      </c>
      <c r="F351" s="1010"/>
      <c r="G351" s="967" t="n">
        <f aca="false">IF(F351&gt;0,D351*F351,E351*D351)</f>
        <v>0</v>
      </c>
      <c r="H351" s="986" t="n">
        <f aca="false">D351*E351*$H$327</f>
        <v>0</v>
      </c>
      <c r="I351" s="936" t="n">
        <f aca="false">IF(G351&gt;H351,G351,H351)*$H$326</f>
        <v>0</v>
      </c>
      <c r="L351" s="926"/>
      <c r="M351" s="926"/>
      <c r="N351" s="926"/>
    </row>
    <row r="352" customFormat="false" ht="15.75" hidden="true" customHeight="false" outlineLevel="0" collapsed="false">
      <c r="A352" s="937"/>
      <c r="B352" s="995" t="str">
        <f aca="false">дома!G1470</f>
        <v>Монтаж вентиляционного зазора</v>
      </c>
      <c r="C352" s="993" t="s">
        <v>820</v>
      </c>
      <c r="D352" s="992" t="n">
        <f aca="false">дома!L1470</f>
        <v>0</v>
      </c>
      <c r="E352" s="1010" t="n">
        <f aca="false">дома!O1470</f>
        <v>80</v>
      </c>
      <c r="F352" s="1010"/>
      <c r="G352" s="967" t="n">
        <f aca="false">IF(F352&gt;0,D352*F352,E352*D352)</f>
        <v>0</v>
      </c>
      <c r="H352" s="986" t="n">
        <f aca="false">D352*E352*$H$327</f>
        <v>0</v>
      </c>
      <c r="I352" s="936" t="n">
        <f aca="false">IF(G352&gt;H352,G352,H352)*$H$326</f>
        <v>0</v>
      </c>
      <c r="L352" s="926"/>
      <c r="M352" s="926"/>
      <c r="N352" s="926"/>
    </row>
    <row r="353" customFormat="false" ht="15.75" hidden="true" customHeight="false" outlineLevel="0" collapsed="false">
      <c r="A353" s="937"/>
      <c r="B353" s="995" t="str">
        <f aca="false">дома!G1471</f>
        <v>Монтаж технологического зазора</v>
      </c>
      <c r="C353" s="993" t="s">
        <v>820</v>
      </c>
      <c r="D353" s="992" t="n">
        <f aca="false">дома!L1471</f>
        <v>0</v>
      </c>
      <c r="E353" s="1010" t="n">
        <f aca="false">дома!O1471</f>
        <v>80</v>
      </c>
      <c r="F353" s="1010"/>
      <c r="G353" s="967" t="n">
        <f aca="false">IF(F353&gt;0,D353*F353,E353*D353)</f>
        <v>0</v>
      </c>
      <c r="H353" s="986" t="n">
        <f aca="false">D353*E353*$H$327</f>
        <v>0</v>
      </c>
      <c r="I353" s="936" t="n">
        <f aca="false">IF(G353&gt;H353,G353,H353)*$H$326</f>
        <v>0</v>
      </c>
      <c r="L353" s="926"/>
      <c r="M353" s="926"/>
      <c r="N353" s="926"/>
    </row>
    <row r="354" customFormat="false" ht="15.75" hidden="true" customHeight="false" outlineLevel="0" collapsed="false">
      <c r="A354" s="937"/>
      <c r="B354" s="995" t="str">
        <f aca="false">дома!G1472</f>
        <v>монтаж ветроизоляции стен</v>
      </c>
      <c r="C354" s="993" t="s">
        <v>820</v>
      </c>
      <c r="D354" s="992" t="n">
        <f aca="false">дома!L1472</f>
        <v>0</v>
      </c>
      <c r="E354" s="1010" t="n">
        <f aca="false">дома!O1472</f>
        <v>100</v>
      </c>
      <c r="F354" s="1010"/>
      <c r="G354" s="967" t="n">
        <f aca="false">IF(F354&gt;0,D354*F354,E354*D354)</f>
        <v>0</v>
      </c>
      <c r="H354" s="986" t="n">
        <f aca="false">D354*E354*$H$327</f>
        <v>0</v>
      </c>
      <c r="I354" s="936" t="n">
        <f aca="false">IF(G354&gt;H354,G354,H354)*$H$326</f>
        <v>0</v>
      </c>
      <c r="L354" s="926"/>
      <c r="M354" s="926"/>
      <c r="N354" s="926"/>
    </row>
    <row r="355" customFormat="false" ht="15.75" hidden="true" customHeight="false" outlineLevel="0" collapsed="false">
      <c r="A355" s="937"/>
      <c r="B355" s="995" t="str">
        <f aca="false">дома!G1473</f>
        <v>монтаж пароизоляции стен</v>
      </c>
      <c r="C355" s="993" t="s">
        <v>820</v>
      </c>
      <c r="D355" s="992" t="n">
        <f aca="false">дома!L1473</f>
        <v>0</v>
      </c>
      <c r="E355" s="1010" t="n">
        <f aca="false">дома!O1473</f>
        <v>100</v>
      </c>
      <c r="F355" s="1010"/>
      <c r="G355" s="967" t="n">
        <f aca="false">IF(F355&gt;0,D355*F355,E355*D355)</f>
        <v>0</v>
      </c>
      <c r="H355" s="986" t="n">
        <f aca="false">D355*E355*$H$327</f>
        <v>0</v>
      </c>
      <c r="I355" s="936" t="n">
        <f aca="false">IF(G355&gt;H355,G355,H355)*$H$326</f>
        <v>0</v>
      </c>
      <c r="J355" s="931"/>
      <c r="K355" s="937"/>
    </row>
    <row r="356" customFormat="false" ht="15.75" hidden="true" customHeight="false" outlineLevel="0" collapsed="false">
      <c r="A356" s="937"/>
      <c r="B356" s="995" t="str">
        <f aca="false">дома!G1474</f>
        <v>монтаж osb/фанера наруж стены</v>
      </c>
      <c r="C356" s="993" t="s">
        <v>820</v>
      </c>
      <c r="D356" s="992" t="n">
        <f aca="false">дома!L1474</f>
        <v>0</v>
      </c>
      <c r="E356" s="1010" t="n">
        <f aca="false">дома!O1474</f>
        <v>200</v>
      </c>
      <c r="F356" s="1010"/>
      <c r="G356" s="967" t="n">
        <f aca="false">IF(F356&gt;0,D356*F356,E356*D356)</f>
        <v>0</v>
      </c>
      <c r="H356" s="986" t="n">
        <f aca="false">D356*E356*$H$327</f>
        <v>0</v>
      </c>
      <c r="I356" s="936" t="n">
        <f aca="false">IF(G356&gt;H356,G356,H356)*$H$326</f>
        <v>0</v>
      </c>
      <c r="J356" s="931"/>
      <c r="K356" s="937"/>
    </row>
    <row r="357" customFormat="false" ht="15.75" hidden="true" customHeight="false" outlineLevel="0" collapsed="false">
      <c r="A357" s="937"/>
      <c r="B357" s="995" t="str">
        <f aca="false">дома!G1475</f>
        <v>монтаж osb/фанера потолок</v>
      </c>
      <c r="C357" s="993" t="s">
        <v>820</v>
      </c>
      <c r="D357" s="992" t="n">
        <f aca="false">дома!L1475</f>
        <v>0</v>
      </c>
      <c r="E357" s="1010" t="n">
        <f aca="false">дома!O1475</f>
        <v>200</v>
      </c>
      <c r="F357" s="1010"/>
      <c r="G357" s="967" t="n">
        <f aca="false">IF(F357&gt;0,D357*F357,E357*D357)</f>
        <v>0</v>
      </c>
      <c r="H357" s="986" t="n">
        <f aca="false">D357*E357*$H$327</f>
        <v>0</v>
      </c>
      <c r="I357" s="936" t="n">
        <f aca="false">IF(G357&gt;H357,G357,H357)*$H$326</f>
        <v>0</v>
      </c>
      <c r="J357" s="931"/>
      <c r="K357" s="937"/>
    </row>
    <row r="358" customFormat="false" ht="15.75" hidden="true" customHeight="false" outlineLevel="0" collapsed="false">
      <c r="A358" s="937"/>
      <c r="B358" s="995" t="str">
        <f aca="false">дома!G1476</f>
        <v>монтаж osb/фанера перегородки</v>
      </c>
      <c r="C358" s="993" t="s">
        <v>820</v>
      </c>
      <c r="D358" s="992" t="n">
        <f aca="false">дома!L1476</f>
        <v>0</v>
      </c>
      <c r="E358" s="1010" t="n">
        <f aca="false">дома!O1476</f>
        <v>200</v>
      </c>
      <c r="F358" s="1010"/>
      <c r="G358" s="967" t="n">
        <f aca="false">IF(F358&gt;0,D358*F358,E358*D358)</f>
        <v>0</v>
      </c>
      <c r="H358" s="986" t="n">
        <f aca="false">D358*E358*$H$327</f>
        <v>0</v>
      </c>
      <c r="I358" s="936" t="n">
        <f aca="false">IF(G358&gt;H358,G358,H358)*$H$326</f>
        <v>0</v>
      </c>
      <c r="J358" s="931"/>
      <c r="K358" s="937"/>
    </row>
    <row r="359" customFormat="false" ht="15.75" hidden="true" customHeight="false" outlineLevel="0" collapsed="false">
      <c r="A359" s="937"/>
      <c r="B359" s="995" t="str">
        <f aca="false">дома!G1477</f>
        <v>монтаж osb/фанера пол</v>
      </c>
      <c r="C359" s="993" t="s">
        <v>820</v>
      </c>
      <c r="D359" s="992" t="n">
        <f aca="false">дома!L1477</f>
        <v>94.7321893085902</v>
      </c>
      <c r="E359" s="1010" t="n">
        <f aca="false">дома!O1477</f>
        <v>200</v>
      </c>
      <c r="F359" s="1010"/>
      <c r="G359" s="967" t="n">
        <f aca="false">IF(F359&gt;0,D359*F359,E359*D359)</f>
        <v>18946.437861718</v>
      </c>
      <c r="H359" s="986" t="n">
        <f aca="false">D359*E359*$H$327</f>
        <v>0</v>
      </c>
      <c r="I359" s="936" t="n">
        <f aca="false">IF(G359&gt;H359,G359,H359)*$H$326</f>
        <v>0</v>
      </c>
      <c r="J359" s="931"/>
      <c r="K359" s="937"/>
    </row>
    <row r="360" customFormat="false" ht="15.75" hidden="true" customHeight="false" outlineLevel="0" collapsed="false">
      <c r="A360" s="937"/>
      <c r="B360" s="995" t="str">
        <f aca="false">дома!G1478</f>
        <v>утепление наружних стен</v>
      </c>
      <c r="C360" s="993" t="s">
        <v>820</v>
      </c>
      <c r="D360" s="992" t="n">
        <f aca="false">дома!L1478</f>
        <v>0</v>
      </c>
      <c r="E360" s="1010" t="n">
        <f aca="false">дома!O1478</f>
        <v>200</v>
      </c>
      <c r="F360" s="1010"/>
      <c r="G360" s="967" t="n">
        <f aca="false">IF(F360&gt;0,D360*F360,E360*D360)</f>
        <v>0</v>
      </c>
      <c r="H360" s="986" t="n">
        <f aca="false">D360*E360*$H$327</f>
        <v>0</v>
      </c>
      <c r="I360" s="936" t="n">
        <f aca="false">IF(G360&gt;H360,G360,H360)*$H$326</f>
        <v>0</v>
      </c>
      <c r="J360" s="931"/>
      <c r="K360" s="937"/>
    </row>
    <row r="361" customFormat="false" ht="15.75" hidden="true" customHeight="false" outlineLevel="0" collapsed="false">
      <c r="A361" s="937"/>
      <c r="B361" s="995" t="str">
        <f aca="false">дома!G1479</f>
        <v>Утепление перегородок</v>
      </c>
      <c r="C361" s="993" t="s">
        <v>820</v>
      </c>
      <c r="D361" s="992" t="n">
        <f aca="false">дома!L1479</f>
        <v>0</v>
      </c>
      <c r="E361" s="1010" t="n">
        <f aca="false">дома!O1479</f>
        <v>200</v>
      </c>
      <c r="F361" s="1010"/>
      <c r="G361" s="967" t="n">
        <f aca="false">IF(F361&gt;0,D361*F361,E361*D361)</f>
        <v>0</v>
      </c>
      <c r="H361" s="986" t="n">
        <f aca="false">D361*E361*$H$327</f>
        <v>0</v>
      </c>
      <c r="I361" s="936" t="n">
        <f aca="false">IF(G361&gt;H361,G361,H361)*$H$326</f>
        <v>0</v>
      </c>
      <c r="J361" s="931"/>
      <c r="K361" s="937"/>
    </row>
    <row r="362" customFormat="false" ht="15.75" hidden="true" customHeight="false" outlineLevel="0" collapsed="false">
      <c r="A362" s="937"/>
      <c r="B362" s="973" t="s">
        <v>2248</v>
      </c>
      <c r="C362" s="973"/>
      <c r="D362" s="973"/>
      <c r="E362" s="973"/>
      <c r="F362" s="973"/>
      <c r="G362" s="970" t="n">
        <f aca="false">SUM(G348:G361)*H347</f>
        <v>0</v>
      </c>
      <c r="H362" s="970" t="n">
        <f aca="false">SUM(H348:H361)</f>
        <v>0</v>
      </c>
      <c r="I362" s="936" t="n">
        <f aca="false">IF(G362&gt;H362,G362,H362)*$H$326</f>
        <v>0</v>
      </c>
      <c r="J362" s="931"/>
      <c r="K362" s="937"/>
    </row>
    <row r="363" customFormat="false" ht="21" hidden="true" customHeight="false" outlineLevel="0" collapsed="false">
      <c r="A363" s="937"/>
      <c r="B363" s="989" t="s">
        <v>2257</v>
      </c>
      <c r="C363" s="989"/>
      <c r="D363" s="989"/>
      <c r="E363" s="989"/>
      <c r="F363" s="989"/>
      <c r="G363" s="977"/>
      <c r="H363" s="1007" t="n">
        <f aca="false">IF('Ввод данных'!A19=связи1!A151,1,0)+IF('Ввод данных'!A19=связи1!A169,1,0)+IF('Ввод данных'!A19=связи1!A170,1,0)+IF('Ввод данных'!A19=связи1!A171,1,0)+IF('Ввод данных'!A19=связи1!A172,1,0)+IF('Ввод данных'!A19=связи1!A173,1,0)+IF('Ввод данных'!A19=связи1!A174,1,0)+IF('Ввод данных'!A19=связи1!A175,1,0)+IF('Ввод данных'!A19=связи1!A176,1,0)+IF('Ввод данных'!A19=связи1!A177,1,0)+IF('Ввод данных'!A19=связи1!A168,1,0)</f>
        <v>0</v>
      </c>
      <c r="I363" s="983" t="n">
        <f aca="false">H363</f>
        <v>0</v>
      </c>
      <c r="J363" s="931"/>
      <c r="K363" s="937"/>
    </row>
    <row r="364" customFormat="false" ht="15.75" hidden="true" customHeight="false" outlineLevel="0" collapsed="false">
      <c r="A364" s="931"/>
      <c r="B364" s="1008" t="s">
        <v>2246</v>
      </c>
      <c r="C364" s="1008"/>
      <c r="D364" s="1008"/>
      <c r="E364" s="1008"/>
      <c r="F364" s="1008"/>
      <c r="G364" s="977"/>
      <c r="H364" s="1009" t="n">
        <f aca="false">H363</f>
        <v>0</v>
      </c>
      <c r="I364" s="983" t="n">
        <f aca="false">H364</f>
        <v>0</v>
      </c>
      <c r="J364" s="931"/>
      <c r="K364" s="937"/>
    </row>
    <row r="365" customFormat="false" ht="15.75" hidden="true" customHeight="false" outlineLevel="0" collapsed="false">
      <c r="A365" s="931"/>
      <c r="B365" s="992" t="str">
        <f aca="false">дома!A1531</f>
        <v>Газоблок D400 200х300х390 </v>
      </c>
      <c r="C365" s="993" t="str">
        <f aca="false">дома!B1531</f>
        <v>м3</v>
      </c>
      <c r="D365" s="967" t="n">
        <f aca="false">дома!C1531</f>
        <v>-4.992</v>
      </c>
      <c r="E365" s="986" t="n">
        <f aca="false">дома!I1531</f>
        <v>4200</v>
      </c>
      <c r="F365" s="986"/>
      <c r="G365" s="967" t="n">
        <f aca="false">IF(F365&gt;0,D365*F365,E365*D365)</f>
        <v>-20966.4</v>
      </c>
      <c r="H365" s="975" t="n">
        <f aca="false">D365*E365*$H$363</f>
        <v>0</v>
      </c>
      <c r="I365" s="936" t="n">
        <f aca="false">IF(G365&gt;H365,G365,H365)*$H$363</f>
        <v>0</v>
      </c>
      <c r="J365" s="931"/>
      <c r="K365" s="937"/>
    </row>
    <row r="366" customFormat="false" ht="15.75" hidden="true" customHeight="false" outlineLevel="0" collapsed="false">
      <c r="A366" s="937"/>
      <c r="B366" s="992" t="str">
        <f aca="false">дома!A1532</f>
        <v>Газоблок D400 200х200х390 </v>
      </c>
      <c r="C366" s="993" t="str">
        <f aca="false">дома!B1532</f>
        <v>м3</v>
      </c>
      <c r="D366" s="967" t="n">
        <f aca="false">дома!C1532</f>
        <v>0</v>
      </c>
      <c r="E366" s="986" t="n">
        <f aca="false">дома!I1532</f>
        <v>0</v>
      </c>
      <c r="F366" s="986"/>
      <c r="G366" s="967" t="n">
        <f aca="false">IF(F366&gt;0,D366*F366,E366*D366)</f>
        <v>0</v>
      </c>
      <c r="H366" s="975" t="n">
        <f aca="false">D366*E366*$H$363</f>
        <v>0</v>
      </c>
      <c r="I366" s="936" t="n">
        <f aca="false">IF(G366&gt;H366,G366,H366)*$H$363</f>
        <v>0</v>
      </c>
      <c r="J366" s="931"/>
      <c r="K366" s="937"/>
    </row>
    <row r="367" customFormat="false" ht="15.75" hidden="true" customHeight="false" outlineLevel="0" collapsed="false">
      <c r="A367" s="937"/>
      <c r="B367" s="992" t="str">
        <f aca="false">дома!A1533</f>
        <v>Газоблок D400 200х100х390 </v>
      </c>
      <c r="C367" s="993" t="str">
        <f aca="false">дома!B1533</f>
        <v>м3</v>
      </c>
      <c r="D367" s="967" t="n">
        <f aca="false">дома!C1533</f>
        <v>0</v>
      </c>
      <c r="E367" s="986" t="n">
        <f aca="false">дома!I1533</f>
        <v>0</v>
      </c>
      <c r="F367" s="986"/>
      <c r="G367" s="967" t="n">
        <f aca="false">IF(F367&gt;0,D367*F367,E367*D367)</f>
        <v>0</v>
      </c>
      <c r="H367" s="975" t="n">
        <f aca="false">D367*E367*$H$363</f>
        <v>0</v>
      </c>
      <c r="I367" s="936" t="n">
        <f aca="false">IF(G367&gt;H367,G367,H367)*$H$363</f>
        <v>0</v>
      </c>
      <c r="J367" s="931"/>
      <c r="K367" s="937"/>
    </row>
    <row r="368" customFormat="false" ht="15.75" hidden="true" customHeight="false" outlineLevel="0" collapsed="false">
      <c r="A368" s="937"/>
      <c r="B368" s="992" t="str">
        <f aca="false">дома!A1534</f>
        <v>Газоблок поясной D400 200х300х390 </v>
      </c>
      <c r="C368" s="993" t="str">
        <f aca="false">дома!B1534</f>
        <v>м3</v>
      </c>
      <c r="D368" s="967" t="n">
        <f aca="false">дома!C1534</f>
        <v>4.8048</v>
      </c>
      <c r="E368" s="986" t="n">
        <f aca="false">дома!I1534</f>
        <v>4200</v>
      </c>
      <c r="F368" s="986"/>
      <c r="G368" s="967" t="n">
        <f aca="false">IF(F368&gt;0,D368*F368,E368*D368)</f>
        <v>20180.16</v>
      </c>
      <c r="H368" s="975" t="n">
        <f aca="false">D368*E368*$H$363</f>
        <v>0</v>
      </c>
      <c r="I368" s="936" t="n">
        <f aca="false">IF(G368&gt;H368,G368,H368)*$H$363</f>
        <v>0</v>
      </c>
      <c r="J368" s="931"/>
      <c r="K368" s="937"/>
    </row>
    <row r="369" customFormat="false" ht="15.75" hidden="true" customHeight="false" outlineLevel="0" collapsed="false">
      <c r="A369" s="937"/>
      <c r="B369" s="992" t="str">
        <f aca="false">дома!A1535</f>
        <v>Поясной 200х300х600 угловой внешний</v>
      </c>
      <c r="C369" s="993" t="str">
        <f aca="false">дома!B1535</f>
        <v>м3</v>
      </c>
      <c r="D369" s="967" t="n">
        <f aca="false">дома!C1535</f>
        <v>0.1872</v>
      </c>
      <c r="E369" s="986" t="n">
        <f aca="false">дома!I1535</f>
        <v>4200</v>
      </c>
      <c r="F369" s="986"/>
      <c r="G369" s="967" t="n">
        <f aca="false">IF(F369&gt;0,D369*F369,E369*D369)</f>
        <v>786.24</v>
      </c>
      <c r="H369" s="975" t="n">
        <f aca="false">D369*E369*$H$363</f>
        <v>0</v>
      </c>
      <c r="I369" s="936" t="n">
        <f aca="false">IF(G369&gt;H369,G369,H369)*$H$363</f>
        <v>0</v>
      </c>
      <c r="J369" s="931"/>
      <c r="K369" s="937"/>
    </row>
    <row r="370" customFormat="false" ht="15.75" hidden="true" customHeight="false" outlineLevel="0" collapsed="false">
      <c r="A370" s="937"/>
      <c r="B370" s="992" t="str">
        <f aca="false">дома!A1536</f>
        <v>Поясной 200х300х600 угловой внутренний</v>
      </c>
      <c r="C370" s="993" t="str">
        <f aca="false">дома!B1536</f>
        <v>м3</v>
      </c>
      <c r="D370" s="967" t="n">
        <f aca="false">дома!C1536</f>
        <v>0</v>
      </c>
      <c r="E370" s="986" t="n">
        <f aca="false">дома!I1536</f>
        <v>4200</v>
      </c>
      <c r="F370" s="986"/>
      <c r="G370" s="967" t="n">
        <f aca="false">IF(F370&gt;0,D370*F370,E370*D370)</f>
        <v>0</v>
      </c>
      <c r="H370" s="975" t="n">
        <f aca="false">D370*E370*$H$363</f>
        <v>0</v>
      </c>
      <c r="I370" s="936" t="n">
        <f aca="false">IF(G370&gt;H370,G370,H370)*$H$363</f>
        <v>0</v>
      </c>
      <c r="J370" s="931"/>
      <c r="K370" s="937"/>
    </row>
    <row r="371" customFormat="false" ht="15.75" hidden="true" customHeight="false" outlineLevel="0" collapsed="false">
      <c r="A371" s="937"/>
      <c r="B371" s="992" t="str">
        <f aca="false">дома!A1537</f>
        <v>200х300х600 угловой внешний</v>
      </c>
      <c r="C371" s="993" t="str">
        <f aca="false">дома!B1537</f>
        <v>м3</v>
      </c>
      <c r="D371" s="967" t="n">
        <f aca="false">дома!C1537</f>
        <v>3.168</v>
      </c>
      <c r="E371" s="986" t="n">
        <f aca="false">дома!I1537</f>
        <v>4200</v>
      </c>
      <c r="F371" s="986"/>
      <c r="G371" s="967" t="n">
        <f aca="false">IF(F371&gt;0,D371*F371,E371*D371)</f>
        <v>13305.6</v>
      </c>
      <c r="H371" s="975" t="n">
        <f aca="false">D371*E371*$H$363</f>
        <v>0</v>
      </c>
      <c r="I371" s="936" t="n">
        <f aca="false">IF(G371&gt;H371,G371,H371)*$H$363</f>
        <v>0</v>
      </c>
      <c r="J371" s="931"/>
      <c r="K371" s="937"/>
    </row>
    <row r="372" customFormat="false" ht="15.75" hidden="true" customHeight="false" outlineLevel="0" collapsed="false">
      <c r="A372" s="937"/>
      <c r="B372" s="992" t="str">
        <f aca="false">дома!A1538</f>
        <v>200х300х600 угловой внутренний</v>
      </c>
      <c r="C372" s="993" t="str">
        <f aca="false">дома!B1538</f>
        <v>м4</v>
      </c>
      <c r="D372" s="967" t="n">
        <f aca="false">дома!C1538</f>
        <v>0</v>
      </c>
      <c r="E372" s="986" t="n">
        <f aca="false">дома!I1538</f>
        <v>4200</v>
      </c>
      <c r="F372" s="986"/>
      <c r="G372" s="967" t="n">
        <f aca="false">IF(F372&gt;0,D372*F372,E372*D372)</f>
        <v>0</v>
      </c>
      <c r="H372" s="975" t="n">
        <f aca="false">D372*E372*$H$363</f>
        <v>0</v>
      </c>
      <c r="I372" s="936" t="n">
        <f aca="false">IF(G372&gt;H372,G372,H372)*$H$363</f>
        <v>0</v>
      </c>
      <c r="J372" s="931"/>
      <c r="K372" s="937"/>
    </row>
    <row r="373" customFormat="false" ht="15.75" hidden="true" customHeight="false" outlineLevel="0" collapsed="false">
      <c r="A373" s="937"/>
      <c r="B373" s="992" t="str">
        <f aca="false">дома!A1539</f>
        <v>Клей монтажный ВК-100</v>
      </c>
      <c r="C373" s="993" t="str">
        <f aca="false">дома!B1539</f>
        <v>меш</v>
      </c>
      <c r="D373" s="967" t="n">
        <f aca="false">дома!C1539</f>
        <v>0</v>
      </c>
      <c r="E373" s="986" t="n">
        <f aca="false">дома!I1539</f>
        <v>185</v>
      </c>
      <c r="F373" s="986"/>
      <c r="G373" s="967" t="n">
        <f aca="false">IF(F373&gt;0,D373*F373,E373*D373)</f>
        <v>0</v>
      </c>
      <c r="H373" s="975" t="n">
        <f aca="false">D373*E373*$H$363</f>
        <v>0</v>
      </c>
      <c r="I373" s="936" t="n">
        <f aca="false">IF(G373&gt;H373,G373,H373)*$H$363</f>
        <v>0</v>
      </c>
      <c r="J373" s="931"/>
      <c r="K373" s="937"/>
    </row>
    <row r="374" customFormat="false" ht="15.75" hidden="true" customHeight="false" outlineLevel="0" collapsed="false">
      <c r="A374" s="937"/>
      <c r="B374" s="992" t="e">
        <f aca="false">дома!A1540</f>
        <v>#N/A</v>
      </c>
      <c r="C374" s="993" t="str">
        <f aca="false">дома!B1540</f>
        <v>меш</v>
      </c>
      <c r="D374" s="967" t="n">
        <f aca="false">дома!C1540</f>
        <v>-5.77047239682</v>
      </c>
      <c r="E374" s="986" t="n">
        <f aca="false">дома!I1540</f>
        <v>0</v>
      </c>
      <c r="F374" s="986"/>
      <c r="G374" s="967" t="n">
        <f aca="false">IF(F374&gt;0,D374*F374,E374*D374)</f>
        <v>-0</v>
      </c>
      <c r="H374" s="975" t="n">
        <f aca="false">D374*E374*$H$363</f>
        <v>-0</v>
      </c>
      <c r="I374" s="936" t="n">
        <f aca="false">IF(G374&gt;H374,G374,H374)*$H$363</f>
        <v>-0</v>
      </c>
      <c r="J374" s="931"/>
      <c r="K374" s="937"/>
    </row>
    <row r="375" customFormat="false" ht="15.75" hidden="true" customHeight="false" outlineLevel="0" collapsed="false">
      <c r="A375" s="937"/>
      <c r="B375" s="992" t="e">
        <f aca="false">дома!A1541</f>
        <v>#N/A</v>
      </c>
      <c r="C375" s="993" t="str">
        <f aca="false">дома!B1541</f>
        <v>м3</v>
      </c>
      <c r="D375" s="967" t="n">
        <f aca="false">дома!C1541</f>
        <v>-1.37392199924286</v>
      </c>
      <c r="E375" s="986" t="n">
        <f aca="false">дома!I1541</f>
        <v>0</v>
      </c>
      <c r="F375" s="986"/>
      <c r="G375" s="967" t="n">
        <f aca="false">IF(F375&gt;0,D375*F375,E375*D375)</f>
        <v>-0</v>
      </c>
      <c r="H375" s="975" t="n">
        <f aca="false">D375*E375*$H$363</f>
        <v>-0</v>
      </c>
      <c r="I375" s="936" t="n">
        <f aca="false">IF(G375&gt;H375,G375,H375)*$H$363</f>
        <v>-0</v>
      </c>
      <c r="J375" s="931"/>
      <c r="K375" s="937"/>
    </row>
    <row r="376" customFormat="false" ht="15.75" hidden="true" customHeight="false" outlineLevel="0" collapsed="false">
      <c r="A376" s="937"/>
      <c r="B376" s="992" t="str">
        <f aca="false">дома!A1542</f>
        <v>Доставка песка</v>
      </c>
      <c r="C376" s="993" t="str">
        <f aca="false">дома!B1542</f>
        <v>маш</v>
      </c>
      <c r="D376" s="967" t="n">
        <f aca="false">дома!C1542</f>
        <v>0</v>
      </c>
      <c r="E376" s="986" t="n">
        <f aca="false">дома!I1542</f>
        <v>0</v>
      </c>
      <c r="F376" s="986"/>
      <c r="G376" s="967" t="n">
        <f aca="false">IF(F376&gt;0,D376*F376,E376*D376)</f>
        <v>0</v>
      </c>
      <c r="H376" s="975" t="n">
        <f aca="false">D376*E376*$H$363</f>
        <v>0</v>
      </c>
      <c r="I376" s="936" t="n">
        <f aca="false">IF(G376&gt;H376,G376,H376)*$H$363</f>
        <v>0</v>
      </c>
      <c r="J376" s="931"/>
      <c r="K376" s="937"/>
    </row>
    <row r="377" customFormat="false" ht="15.75" hidden="true" customHeight="false" outlineLevel="0" collapsed="false">
      <c r="A377" s="937"/>
      <c r="B377" s="992" t="e">
        <f aca="false">дома!A1543</f>
        <v>#N/A</v>
      </c>
      <c r="C377" s="993" t="str">
        <f aca="false">дома!B1543</f>
        <v>м3</v>
      </c>
      <c r="D377" s="967" t="n">
        <f aca="false">дома!C1543</f>
        <v>-1.37392199924286</v>
      </c>
      <c r="E377" s="986" t="n">
        <f aca="false">дома!I1543</f>
        <v>0</v>
      </c>
      <c r="F377" s="986"/>
      <c r="G377" s="967" t="n">
        <f aca="false">IF(F377&gt;0,D377*F377,E377*D377)</f>
        <v>-0</v>
      </c>
      <c r="H377" s="975" t="n">
        <f aca="false">D377*E377*$H$363</f>
        <v>-0</v>
      </c>
      <c r="I377" s="936" t="n">
        <f aca="false">IF(G377&gt;H377,G377,H377)*$H$363</f>
        <v>-0</v>
      </c>
      <c r="J377" s="931"/>
      <c r="K377" s="937"/>
    </row>
    <row r="378" customFormat="false" ht="15.75" hidden="true" customHeight="false" outlineLevel="0" collapsed="false">
      <c r="A378" s="937"/>
      <c r="B378" s="992" t="str">
        <f aca="false">дома!A1544</f>
        <v>Арматура М6 каждый 3-й ряд, 2 нити</v>
      </c>
      <c r="C378" s="993" t="str">
        <f aca="false">дома!B1544</f>
        <v>м.п.</v>
      </c>
      <c r="D378" s="967" t="n">
        <f aca="false">дома!C1544</f>
        <v>597.333333333333</v>
      </c>
      <c r="E378" s="986" t="n">
        <f aca="false">дома!I1544</f>
        <v>0</v>
      </c>
      <c r="F378" s="986"/>
      <c r="G378" s="967" t="n">
        <f aca="false">IF(F378&gt;0,D378*F378,E378*D378)</f>
        <v>0</v>
      </c>
      <c r="H378" s="975" t="n">
        <f aca="false">D378*E378*$H$363</f>
        <v>0</v>
      </c>
      <c r="I378" s="936" t="n">
        <f aca="false">IF(G378&gt;H378,G378,H378)*$H$363</f>
        <v>0</v>
      </c>
      <c r="J378" s="931"/>
      <c r="K378" s="937"/>
    </row>
    <row r="379" customFormat="false" ht="15.75" hidden="true" customHeight="false" outlineLevel="0" collapsed="false">
      <c r="A379" s="937"/>
      <c r="B379" s="992" t="str">
        <f aca="false">дома!A1545</f>
        <v>Арматура М6 каждый 3-й ряд, 2 нити</v>
      </c>
      <c r="C379" s="993" t="str">
        <f aca="false">дома!B1545</f>
        <v>м.п.</v>
      </c>
      <c r="D379" s="967" t="n">
        <f aca="false">дома!C1545</f>
        <v>100</v>
      </c>
      <c r="E379" s="986" t="n">
        <f aca="false">дома!I1545</f>
        <v>0</v>
      </c>
      <c r="F379" s="986"/>
      <c r="G379" s="967" t="n">
        <f aca="false">IF(F379&gt;0,D379*F379,E379*D379)</f>
        <v>0</v>
      </c>
      <c r="H379" s="975" t="n">
        <f aca="false">D379*E379*$H$363</f>
        <v>0</v>
      </c>
      <c r="I379" s="936" t="n">
        <f aca="false">IF(G379&gt;H379,G379,H379)*$H$363</f>
        <v>0</v>
      </c>
      <c r="J379" s="931"/>
      <c r="K379" s="937"/>
    </row>
    <row r="380" customFormat="false" ht="15.75" hidden="true" customHeight="false" outlineLevel="0" collapsed="false">
      <c r="A380" s="937"/>
      <c r="B380" s="992" t="str">
        <f aca="false">дома!A1546</f>
        <v>Перемычка оконная, 1-ый эт. Вариант 1</v>
      </c>
      <c r="C380" s="993" t="str">
        <f aca="false">дома!B1546</f>
        <v>м.п.</v>
      </c>
      <c r="D380" s="967" t="n">
        <f aca="false">дома!C1546</f>
        <v>1</v>
      </c>
      <c r="E380" s="986" t="n">
        <f aca="false">дома!I1546</f>
        <v>1000</v>
      </c>
      <c r="F380" s="986"/>
      <c r="G380" s="967" t="n">
        <f aca="false">IF(F380&gt;0,D380*F380,E380*D380)</f>
        <v>1000</v>
      </c>
      <c r="H380" s="975" t="n">
        <f aca="false">D380*E380*$H$363</f>
        <v>0</v>
      </c>
      <c r="I380" s="936" t="n">
        <f aca="false">IF(G380&gt;H380,G380,H380)*$H$363</f>
        <v>0</v>
      </c>
      <c r="J380" s="931"/>
      <c r="K380" s="937"/>
    </row>
    <row r="381" customFormat="false" ht="15.75" hidden="true" customHeight="false" outlineLevel="0" collapsed="false">
      <c r="A381" s="937"/>
      <c r="B381" s="992" t="str">
        <f aca="false">дома!A1547</f>
        <v>Перемычка оконная, 1-ый эт. Вариант 2</v>
      </c>
      <c r="C381" s="993" t="str">
        <f aca="false">дома!B1547</f>
        <v>м.п.</v>
      </c>
      <c r="D381" s="967" t="n">
        <f aca="false">дома!C1547</f>
        <v>0</v>
      </c>
      <c r="E381" s="986" t="n">
        <f aca="false">дома!I1547</f>
        <v>1000</v>
      </c>
      <c r="F381" s="986"/>
      <c r="G381" s="967" t="n">
        <f aca="false">IF(F381&gt;0,D381*F381,E381*D381)</f>
        <v>0</v>
      </c>
      <c r="H381" s="975" t="n">
        <f aca="false">D381*E381*$H$363</f>
        <v>0</v>
      </c>
      <c r="I381" s="936" t="n">
        <f aca="false">IF(G381&gt;H381,G381,H381)*$H$363</f>
        <v>0</v>
      </c>
      <c r="J381" s="931"/>
      <c r="K381" s="937"/>
    </row>
    <row r="382" customFormat="false" ht="15.75" hidden="true" customHeight="false" outlineLevel="0" collapsed="false">
      <c r="A382" s="937"/>
      <c r="B382" s="992" t="str">
        <f aca="false">дома!A1548</f>
        <v>Перемычка оконная, 1-ый эт. Вариант 3</v>
      </c>
      <c r="C382" s="993" t="str">
        <f aca="false">дома!B1548</f>
        <v>м.п.</v>
      </c>
      <c r="D382" s="967" t="n">
        <f aca="false">дома!C1548</f>
        <v>0</v>
      </c>
      <c r="E382" s="986" t="n">
        <f aca="false">дома!I1548</f>
        <v>1000</v>
      </c>
      <c r="F382" s="986"/>
      <c r="G382" s="967" t="n">
        <f aca="false">IF(F382&gt;0,D382*F382,E382*D382)</f>
        <v>0</v>
      </c>
      <c r="H382" s="975" t="n">
        <f aca="false">D382*E382*$H$363</f>
        <v>0</v>
      </c>
      <c r="I382" s="936" t="n">
        <f aca="false">IF(G382&gt;H382,G382,H382)*$H$363</f>
        <v>0</v>
      </c>
      <c r="J382" s="931"/>
      <c r="K382" s="937"/>
    </row>
    <row r="383" customFormat="false" ht="15.75" hidden="true" customHeight="false" outlineLevel="0" collapsed="false">
      <c r="A383" s="937"/>
      <c r="B383" s="992" t="str">
        <f aca="false">дома!A1549</f>
        <v>Перемычка оконная, 1-ый эт. Вариант 4</v>
      </c>
      <c r="C383" s="993" t="str">
        <f aca="false">дома!B1549</f>
        <v>м.п.</v>
      </c>
      <c r="D383" s="967" t="n">
        <f aca="false">дома!C1549</f>
        <v>0</v>
      </c>
      <c r="E383" s="986" t="n">
        <f aca="false">дома!I1549</f>
        <v>1000</v>
      </c>
      <c r="F383" s="986"/>
      <c r="G383" s="967" t="n">
        <f aca="false">IF(F383&gt;0,D383*F383,E383*D383)</f>
        <v>0</v>
      </c>
      <c r="H383" s="975" t="n">
        <f aca="false">D383*E383*$H$363</f>
        <v>0</v>
      </c>
      <c r="I383" s="936" t="n">
        <f aca="false">IF(G383&gt;H383,G383,H383)*$H$363</f>
        <v>0</v>
      </c>
      <c r="J383" s="931"/>
      <c r="K383" s="937"/>
    </row>
    <row r="384" customFormat="false" ht="15.75" hidden="true" customHeight="false" outlineLevel="0" collapsed="false">
      <c r="A384" s="937"/>
      <c r="B384" s="992" t="str">
        <f aca="false">дома!A1550</f>
        <v>Перемычка оконная, 1-ый эт. Вариант 5</v>
      </c>
      <c r="C384" s="993" t="str">
        <f aca="false">дома!B1550</f>
        <v>м.п.</v>
      </c>
      <c r="D384" s="967" t="n">
        <f aca="false">дома!C1550</f>
        <v>0</v>
      </c>
      <c r="E384" s="986" t="n">
        <f aca="false">дома!I1550</f>
        <v>1000</v>
      </c>
      <c r="F384" s="986"/>
      <c r="G384" s="967" t="n">
        <f aca="false">IF(F384&gt;0,D384*F384,E384*D384)</f>
        <v>0</v>
      </c>
      <c r="H384" s="975" t="n">
        <f aca="false">D384*E384*$H$363</f>
        <v>0</v>
      </c>
      <c r="I384" s="936" t="n">
        <f aca="false">IF(G384&gt;H384,G384,H384)*$H$363</f>
        <v>0</v>
      </c>
      <c r="J384" s="931"/>
      <c r="K384" s="937"/>
    </row>
    <row r="385" customFormat="false" ht="15.75" hidden="true" customHeight="false" outlineLevel="0" collapsed="false">
      <c r="A385" s="937"/>
      <c r="B385" s="992" t="str">
        <f aca="false">дома!A1551</f>
        <v>Перемычка оконная, 2-ый эт. Вариант 6</v>
      </c>
      <c r="C385" s="993" t="str">
        <f aca="false">дома!B1551</f>
        <v>м.п.</v>
      </c>
      <c r="D385" s="967" t="n">
        <f aca="false">дома!C1551</f>
        <v>0</v>
      </c>
      <c r="E385" s="986" t="n">
        <f aca="false">дома!I1551</f>
        <v>1000</v>
      </c>
      <c r="F385" s="986"/>
      <c r="G385" s="967" t="n">
        <f aca="false">IF(F385&gt;0,D385*F385,E385*D385)</f>
        <v>0</v>
      </c>
      <c r="H385" s="975" t="n">
        <f aca="false">D385*E385*$H$363</f>
        <v>0</v>
      </c>
      <c r="I385" s="936" t="n">
        <f aca="false">IF(G385&gt;H385,G385,H385)*$H$363</f>
        <v>0</v>
      </c>
      <c r="J385" s="931"/>
      <c r="K385" s="937"/>
    </row>
    <row r="386" customFormat="false" ht="15.75" hidden="true" customHeight="false" outlineLevel="0" collapsed="false">
      <c r="A386" s="937"/>
      <c r="B386" s="992" t="str">
        <f aca="false">дома!A1552</f>
        <v>Перемычка оконная, 2-ый эт. Вариант 7</v>
      </c>
      <c r="C386" s="993" t="str">
        <f aca="false">дома!B1552</f>
        <v>м.п.</v>
      </c>
      <c r="D386" s="967" t="n">
        <f aca="false">дома!C1552</f>
        <v>0</v>
      </c>
      <c r="E386" s="986" t="n">
        <f aca="false">дома!I1552</f>
        <v>1000</v>
      </c>
      <c r="F386" s="986"/>
      <c r="G386" s="967" t="n">
        <f aca="false">IF(F386&gt;0,D386*F386,E386*D386)</f>
        <v>0</v>
      </c>
      <c r="H386" s="975" t="n">
        <f aca="false">D386*E386*$H$363</f>
        <v>0</v>
      </c>
      <c r="I386" s="936" t="n">
        <f aca="false">IF(G386&gt;H386,G386,H386)*$H$363</f>
        <v>0</v>
      </c>
      <c r="J386" s="931"/>
      <c r="K386" s="937"/>
    </row>
    <row r="387" customFormat="false" ht="15.75" hidden="true" customHeight="false" outlineLevel="0" collapsed="false">
      <c r="A387" s="937"/>
      <c r="B387" s="992" t="str">
        <f aca="false">дома!A1553</f>
        <v>Перемычка оконная, 2-ый эт. Вариант 8</v>
      </c>
      <c r="C387" s="993" t="str">
        <f aca="false">дома!B1553</f>
        <v>м.п.</v>
      </c>
      <c r="D387" s="967" t="n">
        <f aca="false">дома!C1553</f>
        <v>0</v>
      </c>
      <c r="E387" s="986" t="n">
        <f aca="false">дома!I1553</f>
        <v>1000</v>
      </c>
      <c r="F387" s="986"/>
      <c r="G387" s="967" t="n">
        <f aca="false">IF(F387&gt;0,D387*F387,E387*D387)</f>
        <v>0</v>
      </c>
      <c r="H387" s="975" t="n">
        <f aca="false">D387*E387*$H$363</f>
        <v>0</v>
      </c>
      <c r="I387" s="936" t="n">
        <f aca="false">IF(G387&gt;H387,G387,H387)*$H$363</f>
        <v>0</v>
      </c>
      <c r="J387" s="931"/>
      <c r="K387" s="937"/>
    </row>
    <row r="388" customFormat="false" ht="15.75" hidden="true" customHeight="false" outlineLevel="0" collapsed="false">
      <c r="A388" s="937"/>
      <c r="B388" s="992" t="str">
        <f aca="false">дома!A1554</f>
        <v>Перемычка оконная, 2-ый эт. Вариант 9</v>
      </c>
      <c r="C388" s="993" t="str">
        <f aca="false">дома!B1554</f>
        <v>м.п.</v>
      </c>
      <c r="D388" s="967" t="n">
        <f aca="false">дома!C1554</f>
        <v>0</v>
      </c>
      <c r="E388" s="986" t="n">
        <f aca="false">дома!I1554</f>
        <v>1000</v>
      </c>
      <c r="F388" s="986"/>
      <c r="G388" s="967" t="n">
        <f aca="false">IF(F388&gt;0,D388*F388,E388*D388)</f>
        <v>0</v>
      </c>
      <c r="H388" s="975" t="n">
        <f aca="false">D388*E388*$H$363</f>
        <v>0</v>
      </c>
      <c r="I388" s="936" t="n">
        <f aca="false">IF(G388&gt;H388,G388,H388)*$H$363</f>
        <v>0</v>
      </c>
      <c r="J388" s="931"/>
      <c r="K388" s="937"/>
    </row>
    <row r="389" customFormat="false" ht="15.75" hidden="true" customHeight="false" outlineLevel="0" collapsed="false">
      <c r="A389" s="937"/>
      <c r="B389" s="992" t="str">
        <f aca="false">дома!A1555</f>
        <v>Перемычка оконная, 2-ый эт. Вариант 10</v>
      </c>
      <c r="C389" s="993" t="str">
        <f aca="false">дома!B1555</f>
        <v>м.п.</v>
      </c>
      <c r="D389" s="967" t="n">
        <f aca="false">дома!C1555</f>
        <v>0</v>
      </c>
      <c r="E389" s="986" t="n">
        <f aca="false">дома!I1555</f>
        <v>1000</v>
      </c>
      <c r="F389" s="986"/>
      <c r="G389" s="967" t="n">
        <f aca="false">IF(F389&gt;0,D389*F389,E389*D389)</f>
        <v>0</v>
      </c>
      <c r="H389" s="975" t="n">
        <f aca="false">D389*E389*$H$363</f>
        <v>0</v>
      </c>
      <c r="I389" s="936" t="n">
        <f aca="false">IF(G389&gt;H389,G389,H389)*$H$363</f>
        <v>0</v>
      </c>
      <c r="J389" s="931"/>
      <c r="K389" s="937"/>
    </row>
    <row r="390" customFormat="false" ht="15.75" hidden="true" customHeight="false" outlineLevel="0" collapsed="false">
      <c r="A390" s="937"/>
      <c r="B390" s="992" t="str">
        <f aca="false">дома!A1556</f>
        <v>Перемычка дверная, 1-ый эт. Вариант 1</v>
      </c>
      <c r="C390" s="993" t="str">
        <f aca="false">дома!B1556</f>
        <v>м.п.</v>
      </c>
      <c r="D390" s="967" t="n">
        <f aca="false">дома!C1556</f>
        <v>0</v>
      </c>
      <c r="E390" s="986" t="n">
        <f aca="false">дома!I1556</f>
        <v>1000</v>
      </c>
      <c r="F390" s="986"/>
      <c r="G390" s="967" t="n">
        <f aca="false">IF(F390&gt;0,D390*F390,E390*D390)</f>
        <v>0</v>
      </c>
      <c r="H390" s="975" t="n">
        <f aca="false">D390*E390*$H$363</f>
        <v>0</v>
      </c>
      <c r="I390" s="936" t="n">
        <f aca="false">IF(G390&gt;H390,G390,H390)*$H$363</f>
        <v>0</v>
      </c>
      <c r="J390" s="931"/>
      <c r="K390" s="937"/>
    </row>
    <row r="391" customFormat="false" ht="15.75" hidden="true" customHeight="false" outlineLevel="0" collapsed="false">
      <c r="A391" s="937"/>
      <c r="B391" s="992" t="str">
        <f aca="false">дома!A1557</f>
        <v>Перемычка дверная, 2-ый эт. Вариант 2</v>
      </c>
      <c r="C391" s="993" t="str">
        <f aca="false">дома!B1557</f>
        <v>м.п.</v>
      </c>
      <c r="D391" s="967" t="n">
        <f aca="false">дома!C1557</f>
        <v>0</v>
      </c>
      <c r="E391" s="986" t="n">
        <f aca="false">дома!I1557</f>
        <v>1000</v>
      </c>
      <c r="F391" s="986"/>
      <c r="G391" s="967" t="n">
        <f aca="false">IF(F391&gt;0,D391*F391,E391*D391)</f>
        <v>0</v>
      </c>
      <c r="H391" s="975" t="n">
        <f aca="false">D391*E391*$H$363</f>
        <v>0</v>
      </c>
      <c r="I391" s="936" t="n">
        <f aca="false">IF(G391&gt;H391,G391,H391)*$H$363</f>
        <v>0</v>
      </c>
      <c r="J391" s="931"/>
      <c r="K391" s="937"/>
    </row>
    <row r="392" customFormat="false" ht="15.75" hidden="true" customHeight="false" outlineLevel="0" collapsed="false">
      <c r="A392" s="937"/>
      <c r="B392" s="992" t="str">
        <f aca="false">дома!A1558</f>
        <v>Перемычка оконная 1-ый эт, Вариант 11</v>
      </c>
      <c r="C392" s="993" t="str">
        <f aca="false">дома!B1558</f>
        <v>м.п.</v>
      </c>
      <c r="D392" s="967" t="n">
        <f aca="false">дома!C1558</f>
        <v>0</v>
      </c>
      <c r="E392" s="986" t="n">
        <f aca="false">дома!I1558</f>
        <v>1000</v>
      </c>
      <c r="F392" s="986"/>
      <c r="G392" s="967" t="n">
        <f aca="false">IF(F392&gt;0,D392*F392,E392*D392)</f>
        <v>0</v>
      </c>
      <c r="H392" s="975" t="n">
        <f aca="false">D392*E392*$H$363</f>
        <v>0</v>
      </c>
      <c r="I392" s="936" t="n">
        <f aca="false">IF(G392&gt;H392,G392,H392)*$H$363</f>
        <v>0</v>
      </c>
      <c r="J392" s="931"/>
      <c r="K392" s="937"/>
    </row>
    <row r="393" customFormat="false" ht="15.75" hidden="true" customHeight="false" outlineLevel="0" collapsed="false">
      <c r="A393" s="937"/>
      <c r="B393" s="992" t="str">
        <f aca="false">дома!A1559</f>
        <v>Перемычка оконная 1-ый эт, Вариант 12</v>
      </c>
      <c r="C393" s="993" t="str">
        <f aca="false">дома!B1559</f>
        <v>м.п.</v>
      </c>
      <c r="D393" s="967" t="n">
        <f aca="false">дома!C1559</f>
        <v>0</v>
      </c>
      <c r="E393" s="986" t="n">
        <f aca="false">дома!I1559</f>
        <v>1000</v>
      </c>
      <c r="F393" s="986"/>
      <c r="G393" s="967" t="n">
        <f aca="false">IF(F393&gt;0,D393*F393,E393*D393)</f>
        <v>0</v>
      </c>
      <c r="H393" s="975" t="n">
        <f aca="false">D393*E393*$H$363</f>
        <v>0</v>
      </c>
      <c r="I393" s="936" t="n">
        <f aca="false">IF(G393&gt;H393,G393,H393)*$H$363</f>
        <v>0</v>
      </c>
      <c r="J393" s="931"/>
      <c r="K393" s="937"/>
    </row>
    <row r="394" customFormat="false" ht="15.75" hidden="true" customHeight="false" outlineLevel="0" collapsed="false">
      <c r="A394" s="937"/>
      <c r="B394" s="992" t="str">
        <f aca="false">дома!A1560</f>
        <v>Перемычка дверная, 1-ый эт. Вариант 4</v>
      </c>
      <c r="C394" s="993" t="str">
        <f aca="false">дома!B1560</f>
        <v>м.п.</v>
      </c>
      <c r="D394" s="967" t="n">
        <f aca="false">дома!C1560</f>
        <v>3</v>
      </c>
      <c r="E394" s="986" t="n">
        <f aca="false">дома!I1560</f>
        <v>1000</v>
      </c>
      <c r="F394" s="986"/>
      <c r="G394" s="967" t="n">
        <f aca="false">IF(F394&gt;0,D394*F394,E394*D394)</f>
        <v>3000</v>
      </c>
      <c r="H394" s="975" t="n">
        <f aca="false">D394*E394*$H$363</f>
        <v>0</v>
      </c>
      <c r="I394" s="936" t="n">
        <f aca="false">IF(G394&gt;H394,G394,H394)*$H$363</f>
        <v>0</v>
      </c>
      <c r="J394" s="931"/>
      <c r="K394" s="937"/>
    </row>
    <row r="395" customFormat="false" ht="15.75" hidden="true" customHeight="false" outlineLevel="0" collapsed="false">
      <c r="A395" s="937"/>
      <c r="B395" s="992" t="str">
        <f aca="false">дома!A1561</f>
        <v>Перемычка дверная, 1-ый эт. Вариант 5</v>
      </c>
      <c r="C395" s="993" t="str">
        <f aca="false">дома!B1561</f>
        <v>м.п.</v>
      </c>
      <c r="D395" s="967" t="n">
        <f aca="false">дома!C1561</f>
        <v>0</v>
      </c>
      <c r="E395" s="986" t="n">
        <f aca="false">дома!I1561</f>
        <v>1000</v>
      </c>
      <c r="F395" s="986"/>
      <c r="G395" s="967" t="n">
        <f aca="false">IF(F395&gt;0,D395*F395,E395*D395)</f>
        <v>0</v>
      </c>
      <c r="H395" s="975" t="n">
        <f aca="false">D395*E395*$H$363</f>
        <v>0</v>
      </c>
      <c r="I395" s="936" t="n">
        <f aca="false">IF(G395&gt;H395,G395,H395)*$H$363</f>
        <v>0</v>
      </c>
      <c r="J395" s="931"/>
      <c r="K395" s="937"/>
    </row>
    <row r="396" customFormat="false" ht="15.75" hidden="true" customHeight="false" outlineLevel="0" collapsed="false">
      <c r="A396" s="937"/>
      <c r="B396" s="992" t="str">
        <f aca="false">дома!A1562</f>
        <v>Перемычка дверная, 1-ый эт. Вариант 6</v>
      </c>
      <c r="C396" s="993" t="str">
        <f aca="false">дома!B1562</f>
        <v>м.п.</v>
      </c>
      <c r="D396" s="967" t="n">
        <f aca="false">дома!C1562</f>
        <v>0</v>
      </c>
      <c r="E396" s="986" t="n">
        <f aca="false">дома!I1562</f>
        <v>1000</v>
      </c>
      <c r="F396" s="986"/>
      <c r="G396" s="967" t="n">
        <f aca="false">IF(F396&gt;0,D396*F396,E396*D396)</f>
        <v>0</v>
      </c>
      <c r="H396" s="975" t="n">
        <f aca="false">D396*E396*$H$363</f>
        <v>0</v>
      </c>
      <c r="I396" s="936" t="n">
        <f aca="false">IF(G396&gt;H396,G396,H396)*$H$363</f>
        <v>0</v>
      </c>
      <c r="J396" s="931"/>
      <c r="K396" s="937"/>
    </row>
    <row r="397" customFormat="false" ht="15.75" hidden="true" customHeight="false" outlineLevel="0" collapsed="false">
      <c r="A397" s="937"/>
      <c r="B397" s="992" t="str">
        <f aca="false">дома!A1563</f>
        <v>Перемычка дверная, 2-ый эт. Вариант 7</v>
      </c>
      <c r="C397" s="993" t="str">
        <f aca="false">дома!B1563</f>
        <v>м.п.</v>
      </c>
      <c r="D397" s="967" t="n">
        <f aca="false">дома!C1563</f>
        <v>0</v>
      </c>
      <c r="E397" s="986" t="n">
        <f aca="false">дома!I1563</f>
        <v>1000</v>
      </c>
      <c r="F397" s="986"/>
      <c r="G397" s="967" t="n">
        <f aca="false">IF(F397&gt;0,D397*F397,E397*D397)</f>
        <v>0</v>
      </c>
      <c r="H397" s="975" t="n">
        <f aca="false">D397*E397*$H$363</f>
        <v>0</v>
      </c>
      <c r="I397" s="936" t="n">
        <f aca="false">IF(G397&gt;H397,G397,H397)*$H$363</f>
        <v>0</v>
      </c>
      <c r="J397" s="931"/>
      <c r="K397" s="937"/>
    </row>
    <row r="398" customFormat="false" ht="15.75" hidden="true" customHeight="false" outlineLevel="0" collapsed="false">
      <c r="A398" s="937"/>
      <c r="B398" s="992" t="str">
        <f aca="false">дома!A1564</f>
        <v>Перемычка дверная, 2-ый эт. Вариант 8</v>
      </c>
      <c r="C398" s="993" t="str">
        <f aca="false">дома!B1564</f>
        <v>м.п.</v>
      </c>
      <c r="D398" s="967" t="n">
        <f aca="false">дома!C1564</f>
        <v>0</v>
      </c>
      <c r="E398" s="986" t="n">
        <f aca="false">дома!I1564</f>
        <v>1000</v>
      </c>
      <c r="F398" s="986"/>
      <c r="G398" s="967" t="n">
        <f aca="false">IF(F398&gt;0,D398*F398,E398*D398)</f>
        <v>0</v>
      </c>
      <c r="H398" s="975" t="n">
        <f aca="false">D398*E398*$H$363</f>
        <v>0</v>
      </c>
      <c r="I398" s="936" t="n">
        <f aca="false">IF(G398&gt;H398,G398,H398)*$H$363</f>
        <v>0</v>
      </c>
      <c r="J398" s="931"/>
      <c r="K398" s="937"/>
    </row>
    <row r="399" customFormat="false" ht="15.75" hidden="true" customHeight="false" outlineLevel="0" collapsed="false">
      <c r="A399" s="937"/>
      <c r="B399" s="992" t="str">
        <f aca="false">дома!A1565</f>
        <v>Перемычка дверная, 2-ый эт. Вариант 9</v>
      </c>
      <c r="C399" s="993" t="str">
        <f aca="false">дома!B1565</f>
        <v>м.п.</v>
      </c>
      <c r="D399" s="967" t="n">
        <f aca="false">дома!C1565</f>
        <v>0</v>
      </c>
      <c r="E399" s="986" t="n">
        <f aca="false">дома!I1565</f>
        <v>1000</v>
      </c>
      <c r="F399" s="986"/>
      <c r="G399" s="967" t="n">
        <f aca="false">IF(F399&gt;0,D399*F399,E399*D399)</f>
        <v>0</v>
      </c>
      <c r="H399" s="975" t="n">
        <f aca="false">D399*E399*$H$363</f>
        <v>0</v>
      </c>
      <c r="I399" s="936" t="n">
        <f aca="false">IF(G399&gt;H399,G399,H399)*$H$363</f>
        <v>0</v>
      </c>
      <c r="J399" s="931"/>
      <c r="K399" s="937"/>
    </row>
    <row r="400" customFormat="false" ht="15.75" hidden="true" customHeight="false" outlineLevel="0" collapsed="false">
      <c r="A400" s="937"/>
      <c r="B400" s="992" t="str">
        <f aca="false">дома!A1566</f>
        <v>Перемычка проема, 1-ый эт. Вариант 10</v>
      </c>
      <c r="C400" s="993" t="str">
        <f aca="false">дома!B1566</f>
        <v>м.п.</v>
      </c>
      <c r="D400" s="967" t="n">
        <f aca="false">дома!C1566</f>
        <v>0</v>
      </c>
      <c r="E400" s="986" t="n">
        <f aca="false">дома!I1566</f>
        <v>1000</v>
      </c>
      <c r="F400" s="986"/>
      <c r="G400" s="967" t="n">
        <f aca="false">IF(F400&gt;0,D400*F400,E400*D400)</f>
        <v>0</v>
      </c>
      <c r="H400" s="975" t="n">
        <f aca="false">D400*E400*$H$363</f>
        <v>0</v>
      </c>
      <c r="I400" s="936" t="n">
        <f aca="false">IF(G400&gt;H400,G400,H400)*$H$363</f>
        <v>0</v>
      </c>
      <c r="J400" s="931"/>
      <c r="K400" s="937"/>
    </row>
    <row r="401" customFormat="false" ht="15.75" hidden="true" customHeight="false" outlineLevel="0" collapsed="false">
      <c r="A401" s="937"/>
      <c r="B401" s="992" t="str">
        <f aca="false">дома!A1567</f>
        <v>Перемычка проема, 1-ый эт. Вариант 11</v>
      </c>
      <c r="C401" s="993" t="str">
        <f aca="false">дома!B1567</f>
        <v>м.п.</v>
      </c>
      <c r="D401" s="967" t="n">
        <f aca="false">дома!C1567</f>
        <v>0</v>
      </c>
      <c r="E401" s="986" t="n">
        <f aca="false">дома!I1567</f>
        <v>1000</v>
      </c>
      <c r="F401" s="986"/>
      <c r="G401" s="967" t="n">
        <f aca="false">IF(F401&gt;0,D401*F401,E401*D401)</f>
        <v>0</v>
      </c>
      <c r="H401" s="975" t="n">
        <f aca="false">D401*E401*$H$363</f>
        <v>0</v>
      </c>
      <c r="I401" s="936" t="n">
        <f aca="false">IF(G401&gt;H401,G401,H401)*$H$363</f>
        <v>0</v>
      </c>
      <c r="J401" s="931"/>
      <c r="K401" s="937"/>
    </row>
    <row r="402" customFormat="false" ht="15.75" hidden="true" customHeight="false" outlineLevel="0" collapsed="false">
      <c r="A402" s="937"/>
      <c r="B402" s="992" t="str">
        <f aca="false">дома!A1568</f>
        <v>Перемычка проема, 2-ый эт. Вариант 12</v>
      </c>
      <c r="C402" s="993" t="str">
        <f aca="false">дома!B1568</f>
        <v>м.п.</v>
      </c>
      <c r="D402" s="967" t="n">
        <f aca="false">дома!C1568</f>
        <v>0</v>
      </c>
      <c r="E402" s="986" t="n">
        <f aca="false">дома!I1568</f>
        <v>1000</v>
      </c>
      <c r="F402" s="986"/>
      <c r="G402" s="967" t="n">
        <f aca="false">IF(F402&gt;0,D402*F402,E402*D402)</f>
        <v>0</v>
      </c>
      <c r="H402" s="975" t="n">
        <f aca="false">D402*E402*$H$363</f>
        <v>0</v>
      </c>
      <c r="I402" s="936" t="n">
        <f aca="false">IF(G402&gt;H402,G402,H402)*$H$363</f>
        <v>0</v>
      </c>
      <c r="J402" s="931"/>
      <c r="K402" s="937"/>
    </row>
    <row r="403" customFormat="false" ht="15.75" hidden="true" customHeight="false" outlineLevel="0" collapsed="false">
      <c r="A403" s="937"/>
      <c r="B403" s="992" t="str">
        <f aca="false">дома!A1569</f>
        <v>Перемычка проема, 2-ый эт. Вариант 13</v>
      </c>
      <c r="C403" s="993" t="str">
        <f aca="false">дома!B1569</f>
        <v>м.п.</v>
      </c>
      <c r="D403" s="967" t="n">
        <f aca="false">дома!C1569</f>
        <v>0</v>
      </c>
      <c r="E403" s="986" t="n">
        <f aca="false">дома!I1569</f>
        <v>1000</v>
      </c>
      <c r="F403" s="986"/>
      <c r="G403" s="967" t="n">
        <f aca="false">IF(F403&gt;0,D403*F403,E403*D403)</f>
        <v>0</v>
      </c>
      <c r="H403" s="975" t="n">
        <f aca="false">D403*E403*$H$363</f>
        <v>0</v>
      </c>
      <c r="I403" s="936" t="n">
        <f aca="false">IF(G403&gt;H403,G403,H403)*$H$363</f>
        <v>0</v>
      </c>
      <c r="J403" s="931"/>
      <c r="K403" s="937"/>
    </row>
    <row r="404" customFormat="false" ht="15.75" hidden="true" customHeight="false" outlineLevel="0" collapsed="false">
      <c r="A404" s="937"/>
      <c r="B404" s="992" t="str">
        <f aca="false">дома!A1570</f>
        <v>Перемычка дверная, 1-ый эт. Вариант 1</v>
      </c>
      <c r="C404" s="993" t="str">
        <f aca="false">дома!B1570</f>
        <v>м.п.</v>
      </c>
      <c r="D404" s="967" t="n">
        <f aca="false">дома!C1570</f>
        <v>0</v>
      </c>
      <c r="E404" s="986" t="n">
        <f aca="false">дома!I1570</f>
        <v>1000</v>
      </c>
      <c r="F404" s="986"/>
      <c r="G404" s="967" t="n">
        <f aca="false">IF(F404&gt;0,D404*F404,E404*D404)</f>
        <v>0</v>
      </c>
      <c r="H404" s="975" t="n">
        <f aca="false">D404*E404*$H$363</f>
        <v>0</v>
      </c>
      <c r="I404" s="936" t="n">
        <f aca="false">IF(G404&gt;H404,G404,H404)*$H$363</f>
        <v>0</v>
      </c>
      <c r="J404" s="931"/>
      <c r="K404" s="937"/>
    </row>
    <row r="405" customFormat="false" ht="15.75" hidden="true" customHeight="false" outlineLevel="0" collapsed="false">
      <c r="A405" s="937"/>
      <c r="B405" s="992" t="str">
        <f aca="false">дома!A1571</f>
        <v>Перемычка дверная, 1-ый эт. Вариант 2</v>
      </c>
      <c r="C405" s="993" t="str">
        <f aca="false">дома!B1571</f>
        <v>м.п.</v>
      </c>
      <c r="D405" s="967" t="n">
        <f aca="false">дома!C1571</f>
        <v>1</v>
      </c>
      <c r="E405" s="986" t="n">
        <f aca="false">дома!I1571</f>
        <v>1000</v>
      </c>
      <c r="F405" s="986"/>
      <c r="G405" s="967" t="n">
        <f aca="false">IF(F405&gt;0,D405*F405,E405*D405)</f>
        <v>1000</v>
      </c>
      <c r="H405" s="975" t="n">
        <f aca="false">D405*E405*$H$363</f>
        <v>0</v>
      </c>
      <c r="I405" s="936" t="n">
        <f aca="false">IF(G405&gt;H405,G405,H405)*$H$363</f>
        <v>0</v>
      </c>
      <c r="J405" s="931"/>
      <c r="K405" s="937"/>
    </row>
    <row r="406" customFormat="false" ht="15.75" hidden="true" customHeight="false" outlineLevel="0" collapsed="false">
      <c r="A406" s="937"/>
      <c r="B406" s="992" t="str">
        <f aca="false">дома!A1572</f>
        <v>Перемычка дверная, 1-ый эт. Вариант 3</v>
      </c>
      <c r="C406" s="993" t="str">
        <f aca="false">дома!B1572</f>
        <v>м.п.</v>
      </c>
      <c r="D406" s="967" t="n">
        <f aca="false">дома!C1572</f>
        <v>0</v>
      </c>
      <c r="E406" s="986" t="n">
        <f aca="false">дома!I1572</f>
        <v>1000</v>
      </c>
      <c r="F406" s="986"/>
      <c r="G406" s="967" t="n">
        <f aca="false">IF(F406&gt;0,D406*F406,E406*D406)</f>
        <v>0</v>
      </c>
      <c r="H406" s="975" t="n">
        <f aca="false">D406*E406*$H$363</f>
        <v>0</v>
      </c>
      <c r="I406" s="936" t="n">
        <f aca="false">IF(G406&gt;H406,G406,H406)*$H$363</f>
        <v>0</v>
      </c>
      <c r="J406" s="931"/>
      <c r="K406" s="937"/>
    </row>
    <row r="407" customFormat="false" ht="15.75" hidden="true" customHeight="false" outlineLevel="0" collapsed="false">
      <c r="A407" s="937"/>
      <c r="B407" s="992" t="str">
        <f aca="false">дома!A1573</f>
        <v>Сосна влаж,200*40мм</v>
      </c>
      <c r="C407" s="993" t="str">
        <f aca="false">дома!B1573</f>
        <v>м3</v>
      </c>
      <c r="D407" s="992" t="n">
        <f aca="false">дома!C1573</f>
        <v>1.8512</v>
      </c>
      <c r="E407" s="992" t="n">
        <f aca="false">дома!I1573</f>
        <v>6500</v>
      </c>
      <c r="F407" s="992"/>
      <c r="G407" s="967" t="n">
        <f aca="false">IF(F407&gt;0,D407*F407,E407*D407)</f>
        <v>12032.8</v>
      </c>
      <c r="H407" s="975" t="n">
        <f aca="false">D407*E407*$H$363</f>
        <v>0</v>
      </c>
      <c r="I407" s="936" t="n">
        <f aca="false">IF(G407&gt;H407,G407,H407)*$H$363</f>
        <v>0</v>
      </c>
      <c r="J407" s="931"/>
      <c r="K407" s="937"/>
    </row>
    <row r="408" customFormat="false" ht="15.75" hidden="true" customHeight="false" outlineLevel="0" collapsed="false">
      <c r="A408" s="937"/>
      <c r="B408" s="992" t="str">
        <f aca="false">дома!A1574</f>
        <v>Сейсмопояс Арматура М10 4 нити</v>
      </c>
      <c r="C408" s="993" t="str">
        <f aca="false">дома!B1574</f>
        <v>м.п.</v>
      </c>
      <c r="D408" s="992" t="n">
        <f aca="false">дома!C1574</f>
        <v>281.6</v>
      </c>
      <c r="E408" s="992" t="n">
        <f aca="false">дома!I1574</f>
        <v>21.0397</v>
      </c>
      <c r="F408" s="992"/>
      <c r="G408" s="967" t="n">
        <f aca="false">IF(F408&gt;0,D408*F408,E408*D408)</f>
        <v>5924.77952</v>
      </c>
      <c r="H408" s="975" t="n">
        <f aca="false">D408*E408*$H$363</f>
        <v>0</v>
      </c>
      <c r="I408" s="936" t="n">
        <f aca="false">IF(G408&gt;H408,G408,H408)*$H$363</f>
        <v>0</v>
      </c>
      <c r="J408" s="931"/>
      <c r="K408" s="937"/>
    </row>
    <row r="409" customFormat="false" ht="15.75" hidden="true" customHeight="false" outlineLevel="0" collapsed="false">
      <c r="A409" s="937"/>
      <c r="B409" s="992" t="str">
        <f aca="false">дома!A1575</f>
        <v>Хомут для сейсмопояса Арматура М6, шаг 400мм</v>
      </c>
      <c r="C409" s="993" t="str">
        <f aca="false">дома!B1575</f>
        <v>м.п.</v>
      </c>
      <c r="D409" s="992" t="n">
        <f aca="false">дома!C1575</f>
        <v>144</v>
      </c>
      <c r="E409" s="992" t="n">
        <f aca="false">дома!I1575</f>
        <v>0</v>
      </c>
      <c r="F409" s="992"/>
      <c r="G409" s="967" t="n">
        <f aca="false">IF(F409&gt;0,D409*F409,E409*D409)</f>
        <v>0</v>
      </c>
      <c r="H409" s="975" t="n">
        <f aca="false">D409*E409*$H$363</f>
        <v>0</v>
      </c>
      <c r="I409" s="936" t="n">
        <f aca="false">IF(G409&gt;H409,G409,H409)*$H$363</f>
        <v>0</v>
      </c>
      <c r="J409" s="931"/>
      <c r="K409" s="937"/>
    </row>
    <row r="410" customFormat="false" ht="15.75" hidden="true" customHeight="false" outlineLevel="0" collapsed="false">
      <c r="A410" s="937"/>
      <c r="B410" s="992" t="str">
        <f aca="false">дома!A1576</f>
        <v>Бетон, м300</v>
      </c>
      <c r="C410" s="993" t="str">
        <f aca="false">дома!B1576</f>
        <v>м3</v>
      </c>
      <c r="D410" s="992" t="n">
        <f aca="false">дома!C1576</f>
        <v>2.8833</v>
      </c>
      <c r="E410" s="992" t="n">
        <f aca="false">дома!I1576</f>
        <v>3000</v>
      </c>
      <c r="F410" s="992"/>
      <c r="G410" s="967" t="n">
        <f aca="false">IF(F410&gt;0,D410*F410,E410*D410)</f>
        <v>8649.9</v>
      </c>
      <c r="H410" s="975" t="n">
        <f aca="false">D410*E410*$H$363</f>
        <v>0</v>
      </c>
      <c r="I410" s="936" t="n">
        <f aca="false">IF(G410&gt;H410,G410,H410)*$H$363</f>
        <v>0</v>
      </c>
      <c r="J410" s="931"/>
      <c r="K410" s="937"/>
    </row>
    <row r="411" customFormat="false" ht="15.75" hidden="true" customHeight="false" outlineLevel="0" collapsed="false">
      <c r="A411" s="937"/>
      <c r="B411" s="992" t="str">
        <f aca="false">дома!A1579</f>
        <v>Нет</v>
      </c>
      <c r="C411" s="993" t="str">
        <f aca="false">дома!B1579</f>
        <v>м3</v>
      </c>
      <c r="D411" s="992" t="n">
        <f aca="false">дома!C1579</f>
        <v>0</v>
      </c>
      <c r="E411" s="992" t="n">
        <f aca="false">дома!I1579</f>
        <v>0</v>
      </c>
      <c r="F411" s="992"/>
      <c r="G411" s="967" t="n">
        <f aca="false">IF(F411&gt;0,D411*F411,E411*D411)</f>
        <v>0</v>
      </c>
      <c r="H411" s="975" t="n">
        <f aca="false">D411*E411*$H$363</f>
        <v>0</v>
      </c>
      <c r="I411" s="936" t="n">
        <f aca="false">IF(G411&gt;H411,G411,H411)*$H$363</f>
        <v>0</v>
      </c>
      <c r="J411" s="931"/>
      <c r="K411" s="937"/>
    </row>
    <row r="412" customFormat="false" ht="15.75" hidden="true" customHeight="false" outlineLevel="0" collapsed="false">
      <c r="A412" s="937"/>
      <c r="B412" s="992" t="str">
        <f aca="false">дома!A1580</f>
        <v>Грибок для крепления утеплителя</v>
      </c>
      <c r="C412" s="993" t="str">
        <f aca="false">дома!B1580</f>
        <v>шт</v>
      </c>
      <c r="D412" s="992" t="n">
        <f aca="false">дома!C1580</f>
        <v>0</v>
      </c>
      <c r="E412" s="992" t="n">
        <f aca="false">дома!I1580</f>
        <v>15</v>
      </c>
      <c r="F412" s="992"/>
      <c r="G412" s="967" t="n">
        <f aca="false">IF(F412&gt;0,D412*F412,E412*D412)</f>
        <v>0</v>
      </c>
      <c r="H412" s="975" t="n">
        <f aca="false">D412*E412*$H$363</f>
        <v>0</v>
      </c>
      <c r="I412" s="936" t="n">
        <f aca="false">IF(G412&gt;H412,G412,H412)*$H$363</f>
        <v>0</v>
      </c>
      <c r="J412" s="931"/>
      <c r="K412" s="937"/>
    </row>
    <row r="413" customFormat="false" ht="15.75" hidden="true" customHeight="false" outlineLevel="0" collapsed="false">
      <c r="A413" s="937"/>
      <c r="B413" s="992" t="str">
        <f aca="false">дома!A1581</f>
        <v>нет ветроизоляции</v>
      </c>
      <c r="C413" s="993" t="str">
        <f aca="false">дома!B1581</f>
        <v>м2</v>
      </c>
      <c r="D413" s="992" t="n">
        <f aca="false">дома!C1581</f>
        <v>0</v>
      </c>
      <c r="E413" s="992" t="n">
        <f aca="false">дома!I1581</f>
        <v>0</v>
      </c>
      <c r="F413" s="992"/>
      <c r="G413" s="967" t="n">
        <f aca="false">IF(F413&gt;0,D413*F413,E413*D413)</f>
        <v>0</v>
      </c>
      <c r="H413" s="975" t="n">
        <f aca="false">D413*E413*$H$363</f>
        <v>0</v>
      </c>
      <c r="I413" s="936" t="n">
        <f aca="false">IF(G413&gt;H413,G413,H413)*$H$363</f>
        <v>0</v>
      </c>
      <c r="J413" s="931"/>
      <c r="K413" s="937"/>
    </row>
    <row r="414" customFormat="false" ht="15.75" hidden="true" customHeight="false" outlineLevel="0" collapsed="false">
      <c r="A414" s="937"/>
      <c r="B414" s="973" t="s">
        <v>2247</v>
      </c>
      <c r="C414" s="973"/>
      <c r="D414" s="973"/>
      <c r="E414" s="973"/>
      <c r="F414" s="973"/>
      <c r="G414" s="975" t="n">
        <f aca="false">SUM(G365:G413)*H363</f>
        <v>0</v>
      </c>
      <c r="H414" s="975" t="n">
        <f aca="false">SUM(H365:H413)</f>
        <v>0</v>
      </c>
      <c r="I414" s="936" t="n">
        <f aca="false">IF(G414&gt;H414,G414,H414)*$H$363</f>
        <v>0</v>
      </c>
      <c r="J414" s="931"/>
      <c r="K414" s="937"/>
    </row>
    <row r="415" customFormat="false" ht="15.75" hidden="true" customHeight="false" outlineLevel="0" collapsed="false">
      <c r="A415" s="937"/>
      <c r="B415" s="976" t="s">
        <v>2007</v>
      </c>
      <c r="C415" s="976"/>
      <c r="D415" s="976"/>
      <c r="E415" s="976"/>
      <c r="F415" s="976"/>
      <c r="G415" s="977"/>
      <c r="H415" s="994" t="n">
        <f aca="false">H363</f>
        <v>0</v>
      </c>
      <c r="I415" s="983" t="n">
        <f aca="false">H415</f>
        <v>0</v>
      </c>
      <c r="J415" s="931"/>
      <c r="K415" s="937"/>
    </row>
    <row r="416" customFormat="false" ht="15.75" hidden="true" customHeight="false" outlineLevel="0" collapsed="false">
      <c r="A416" s="931"/>
      <c r="B416" s="995" t="str">
        <f aca="false">дома!O1541</f>
        <v>кладка газобетона несущие стены</v>
      </c>
      <c r="C416" s="993" t="str">
        <f aca="false">дома!R1541</f>
        <v>м3</v>
      </c>
      <c r="D416" s="967" t="n">
        <f aca="false">дома!S1541</f>
        <v>-4.992</v>
      </c>
      <c r="E416" s="986" t="n">
        <f aca="false">дома!T1541</f>
        <v>3500</v>
      </c>
      <c r="F416" s="986"/>
      <c r="G416" s="967" t="n">
        <f aca="false">IF(F416&gt;0,D416*F416,E416*D416)</f>
        <v>-17472</v>
      </c>
      <c r="H416" s="970" t="n">
        <f aca="false">D416*E416*$H$415</f>
        <v>0</v>
      </c>
      <c r="I416" s="936" t="n">
        <f aca="false">IF(G416&gt;H416,G416,H416)*$H$363</f>
        <v>0</v>
      </c>
      <c r="L416" s="926"/>
      <c r="M416" s="926"/>
      <c r="N416" s="926"/>
    </row>
    <row r="417" customFormat="false" ht="15.75" hidden="true" customHeight="false" outlineLevel="0" collapsed="false">
      <c r="A417" s="937"/>
      <c r="B417" s="995" t="str">
        <f aca="false">дома!O1542</f>
        <v>кладка газобетона несущие перегородки</v>
      </c>
      <c r="C417" s="993" t="str">
        <f aca="false">дома!R1542</f>
        <v>м3</v>
      </c>
      <c r="D417" s="967" t="n">
        <f aca="false">дома!S1542</f>
        <v>0</v>
      </c>
      <c r="E417" s="986" t="n">
        <f aca="false">дома!T1542</f>
        <v>3500</v>
      </c>
      <c r="F417" s="986"/>
      <c r="G417" s="967" t="n">
        <f aca="false">IF(F417&gt;0,D417*F417,E417*D417)</f>
        <v>0</v>
      </c>
      <c r="H417" s="970" t="n">
        <f aca="false">D417*E417*$H$415</f>
        <v>0</v>
      </c>
      <c r="I417" s="936" t="n">
        <f aca="false">IF(G417&gt;H417,G417,H417)*$H$363</f>
        <v>0</v>
      </c>
      <c r="L417" s="926"/>
      <c r="M417" s="926"/>
      <c r="N417" s="926"/>
    </row>
    <row r="418" customFormat="false" ht="15.75" hidden="true" customHeight="false" outlineLevel="0" collapsed="false">
      <c r="A418" s="937"/>
      <c r="B418" s="995" t="str">
        <f aca="false">дома!O1543</f>
        <v>кладка газобетона перегородки</v>
      </c>
      <c r="C418" s="993" t="str">
        <f aca="false">дома!R1543</f>
        <v>м2</v>
      </c>
      <c r="D418" s="967" t="n">
        <f aca="false">дома!S1543</f>
        <v>0</v>
      </c>
      <c r="E418" s="986" t="n">
        <f aca="false">дома!T1543</f>
        <v>500</v>
      </c>
      <c r="F418" s="986"/>
      <c r="G418" s="967" t="n">
        <f aca="false">IF(F418&gt;0,D418*F418,E418*D418)</f>
        <v>0</v>
      </c>
      <c r="H418" s="970" t="n">
        <f aca="false">D418*E418*$H$415</f>
        <v>0</v>
      </c>
      <c r="I418" s="936" t="n">
        <f aca="false">IF(G418&gt;H418,G418,H418)*$H$363</f>
        <v>0</v>
      </c>
      <c r="L418" s="926"/>
      <c r="M418" s="926"/>
      <c r="N418" s="926"/>
    </row>
    <row r="419" customFormat="false" ht="15.75" hidden="true" customHeight="false" outlineLevel="0" collapsed="false">
      <c r="A419" s="937"/>
      <c r="B419" s="995" t="str">
        <f aca="false">дома!O1544</f>
        <v>изготовление и монтаж перемычек для окон и дверей</v>
      </c>
      <c r="C419" s="993" t="str">
        <f aca="false">дома!R1544</f>
        <v>м.п.</v>
      </c>
      <c r="D419" s="967" t="n">
        <f aca="false">дома!S1544</f>
        <v>10.49</v>
      </c>
      <c r="E419" s="986" t="n">
        <f aca="false">дома!T1544</f>
        <v>500</v>
      </c>
      <c r="F419" s="986"/>
      <c r="G419" s="967" t="n">
        <f aca="false">IF(F419&gt;0,D419*F419,E419*D419)</f>
        <v>5245</v>
      </c>
      <c r="H419" s="970" t="n">
        <f aca="false">D419*E419*$H$415</f>
        <v>0</v>
      </c>
      <c r="I419" s="936" t="n">
        <f aca="false">IF(G419&gt;H419,G419,H419)*$H$363</f>
        <v>0</v>
      </c>
      <c r="L419" s="926"/>
      <c r="M419" s="926"/>
      <c r="N419" s="926"/>
    </row>
    <row r="420" customFormat="false" ht="15.75" hidden="true" customHeight="false" outlineLevel="0" collapsed="false">
      <c r="A420" s="937"/>
      <c r="B420" s="995" t="str">
        <f aca="false">дома!O1545</f>
        <v>Замешивание раствора</v>
      </c>
      <c r="C420" s="993" t="str">
        <f aca="false">дома!R1545</f>
        <v>м3</v>
      </c>
      <c r="D420" s="967" t="n">
        <f aca="false">дома!S1545</f>
        <v>-1.37392199924286</v>
      </c>
      <c r="E420" s="986" t="n">
        <f aca="false">дома!T1545</f>
        <v>1500</v>
      </c>
      <c r="F420" s="986"/>
      <c r="G420" s="967" t="n">
        <f aca="false">IF(F420&gt;0,D420*F420,E420*D420)</f>
        <v>-2060.88299886428</v>
      </c>
      <c r="H420" s="970" t="n">
        <f aca="false">D420*E420*$H$415</f>
        <v>-0</v>
      </c>
      <c r="I420" s="936" t="n">
        <f aca="false">IF(G420&gt;H420,G420,H420)*$H$363</f>
        <v>-0</v>
      </c>
      <c r="L420" s="926"/>
      <c r="M420" s="926"/>
      <c r="N420" s="926"/>
    </row>
    <row r="421" customFormat="false" ht="15.75" hidden="true" customHeight="false" outlineLevel="0" collapsed="false">
      <c r="A421" s="937"/>
      <c r="B421" s="995" t="str">
        <f aca="false">дома!O1546</f>
        <v>Армирование стен наружних и перегородок</v>
      </c>
      <c r="C421" s="993" t="str">
        <f aca="false">дома!R1546</f>
        <v>м.п.</v>
      </c>
      <c r="D421" s="967" t="n">
        <f aca="false">дома!S1546</f>
        <v>348.666666666667</v>
      </c>
      <c r="E421" s="986" t="n">
        <f aca="false">дома!T1546</f>
        <v>70</v>
      </c>
      <c r="F421" s="986"/>
      <c r="G421" s="967" t="n">
        <f aca="false">IF(F421&gt;0,D421*F421,E421*D421)</f>
        <v>24406.6666666667</v>
      </c>
      <c r="H421" s="970" t="n">
        <f aca="false">D421*E421*$H$415</f>
        <v>0</v>
      </c>
      <c r="I421" s="936" t="n">
        <f aca="false">IF(G421&gt;H421,G421,H421)*$H$363</f>
        <v>0</v>
      </c>
      <c r="L421" s="926"/>
      <c r="M421" s="926"/>
      <c r="N421" s="926"/>
    </row>
    <row r="422" customFormat="false" ht="15.75" hidden="true" customHeight="false" outlineLevel="0" collapsed="false">
      <c r="A422" s="937"/>
      <c r="B422" s="995" t="str">
        <f aca="false">дома!O1547</f>
        <v>Установка опалубки для сейсмопояса</v>
      </c>
      <c r="C422" s="993" t="str">
        <f aca="false">дома!R1547</f>
        <v>м.п.</v>
      </c>
      <c r="D422" s="967" t="n">
        <f aca="false">дома!S1547</f>
        <v>76.5</v>
      </c>
      <c r="E422" s="986" t="n">
        <f aca="false">дома!T1547</f>
        <v>300</v>
      </c>
      <c r="F422" s="986"/>
      <c r="G422" s="967" t="n">
        <f aca="false">IF(F422&gt;0,D422*F422,E422*D422)</f>
        <v>22950</v>
      </c>
      <c r="H422" s="970" t="n">
        <f aca="false">D422*E422*$H$415</f>
        <v>0</v>
      </c>
      <c r="I422" s="936" t="n">
        <f aca="false">IF(G422&gt;H422,G422,H422)*$H$363</f>
        <v>0</v>
      </c>
      <c r="J422" s="931"/>
      <c r="K422" s="937"/>
    </row>
    <row r="423" customFormat="false" ht="15.75" hidden="true" customHeight="false" outlineLevel="0" collapsed="false">
      <c r="A423" s="937"/>
      <c r="B423" s="995" t="str">
        <f aca="false">дома!O1548</f>
        <v>Армирование сейсмопояса</v>
      </c>
      <c r="C423" s="993" t="str">
        <f aca="false">дома!R1548</f>
        <v>м.п.</v>
      </c>
      <c r="D423" s="967" t="n">
        <f aca="false">дома!S1548</f>
        <v>76.5</v>
      </c>
      <c r="E423" s="986" t="n">
        <f aca="false">дома!T1548</f>
        <v>500</v>
      </c>
      <c r="F423" s="986"/>
      <c r="G423" s="967" t="n">
        <f aca="false">IF(F423&gt;0,D423*F423,E423*D423)</f>
        <v>38250</v>
      </c>
      <c r="H423" s="970" t="n">
        <f aca="false">D423*E423*$H$415</f>
        <v>0</v>
      </c>
      <c r="I423" s="936" t="n">
        <f aca="false">IF(G423&gt;H423,G423,H423)*$H$363</f>
        <v>0</v>
      </c>
      <c r="J423" s="931"/>
      <c r="K423" s="937"/>
    </row>
    <row r="424" customFormat="false" ht="15.75" hidden="true" customHeight="false" outlineLevel="0" collapsed="false">
      <c r="A424" s="937"/>
      <c r="B424" s="995" t="str">
        <f aca="false">дома!O1549</f>
        <v>Заливка бетоном сейсмопояса</v>
      </c>
      <c r="C424" s="993" t="str">
        <f aca="false">дома!R1549</f>
        <v>м.п.</v>
      </c>
      <c r="D424" s="967" t="n">
        <f aca="false">дома!S1549</f>
        <v>76.5</v>
      </c>
      <c r="E424" s="986" t="n">
        <f aca="false">дома!T1549</f>
        <v>700</v>
      </c>
      <c r="F424" s="986"/>
      <c r="G424" s="967" t="n">
        <f aca="false">IF(F424&gt;0,D424*F424,E424*D424)</f>
        <v>53550</v>
      </c>
      <c r="H424" s="970" t="n">
        <f aca="false">D424*E424*$H$415</f>
        <v>0</v>
      </c>
      <c r="I424" s="936" t="n">
        <f aca="false">IF(G424&gt;H424,G424,H424)*$H$363</f>
        <v>0</v>
      </c>
      <c r="J424" s="931"/>
      <c r="K424" s="937"/>
    </row>
    <row r="425" customFormat="false" ht="15.75" hidden="true" customHeight="false" outlineLevel="0" collapsed="false">
      <c r="A425" s="937"/>
      <c r="B425" s="995" t="str">
        <f aca="false">дома!O1550</f>
        <v>утепление стен снаружи дома</v>
      </c>
      <c r="C425" s="993" t="str">
        <f aca="false">дома!R1550</f>
        <v>м2</v>
      </c>
      <c r="D425" s="967" t="n">
        <f aca="false">дома!S1550</f>
        <v>0</v>
      </c>
      <c r="E425" s="986" t="n">
        <f aca="false">дома!T1550</f>
        <v>350</v>
      </c>
      <c r="F425" s="986"/>
      <c r="G425" s="967" t="n">
        <f aca="false">IF(F425&gt;0,D425*F425,E425*D425)</f>
        <v>0</v>
      </c>
      <c r="H425" s="970" t="n">
        <f aca="false">D425*E425*$H$415</f>
        <v>0</v>
      </c>
      <c r="I425" s="936" t="n">
        <f aca="false">IF(G425&gt;H425,G425,H425)*$H$363</f>
        <v>0</v>
      </c>
      <c r="J425" s="931"/>
      <c r="K425" s="937"/>
    </row>
    <row r="426" customFormat="false" ht="15.75" hidden="true" customHeight="false" outlineLevel="0" collapsed="false">
      <c r="A426" s="937"/>
      <c r="B426" s="995" t="str">
        <f aca="false">дома!O1551</f>
        <v>монтаж ветроизоляции стен</v>
      </c>
      <c r="C426" s="993" t="str">
        <f aca="false">дома!R1551</f>
        <v>м2</v>
      </c>
      <c r="D426" s="967" t="n">
        <f aca="false">дома!S1551</f>
        <v>0</v>
      </c>
      <c r="E426" s="986" t="n">
        <f aca="false">дома!T1551</f>
        <v>100</v>
      </c>
      <c r="F426" s="986"/>
      <c r="G426" s="967" t="n">
        <f aca="false">IF(F426&gt;0,D426*F426,E426*D426)</f>
        <v>0</v>
      </c>
      <c r="H426" s="970" t="n">
        <f aca="false">D426*E426*$H$415</f>
        <v>0</v>
      </c>
      <c r="I426" s="936" t="n">
        <f aca="false">IF(G426&gt;H426,G426,H426)*$H$363</f>
        <v>0</v>
      </c>
      <c r="J426" s="931"/>
      <c r="K426" s="937"/>
    </row>
    <row r="427" customFormat="false" ht="15.75" hidden="true" customHeight="false" outlineLevel="0" collapsed="false">
      <c r="A427" s="937"/>
      <c r="B427" s="973" t="s">
        <v>2248</v>
      </c>
      <c r="C427" s="973"/>
      <c r="D427" s="973"/>
      <c r="E427" s="973"/>
      <c r="F427" s="973"/>
      <c r="G427" s="970" t="n">
        <f aca="false">SUM(G416:G426)*H415</f>
        <v>0</v>
      </c>
      <c r="H427" s="970" t="n">
        <f aca="false">SUM(H416:H426)</f>
        <v>0</v>
      </c>
      <c r="I427" s="936" t="n">
        <f aca="false">IF(G427&gt;H427,G427,H427)*$H$363</f>
        <v>0</v>
      </c>
      <c r="J427" s="931"/>
      <c r="K427" s="937"/>
    </row>
    <row r="428" customFormat="false" ht="21" hidden="true" customHeight="false" outlineLevel="0" collapsed="false">
      <c r="A428" s="937"/>
      <c r="B428" s="989" t="s">
        <v>2258</v>
      </c>
      <c r="C428" s="989"/>
      <c r="D428" s="989"/>
      <c r="E428" s="989"/>
      <c r="F428" s="989"/>
      <c r="G428" s="977"/>
      <c r="H428" s="1007" t="n">
        <f aca="false">IF('Ввод данных'!A19=связи1!A152,1,0)+IF('Ввод данных'!A19=связи1!A160,1,0)+IF('Ввод данных'!A19=связи1!A176,1,0)+IF('Ввод данных'!A19=связи1!A177,1,0)+IF('Ввод данных'!A19=связи1!A178,1,0)+IF('Ввод данных'!A19=связи1!A179,1,0)+IF('Ввод данных'!A19=связи1!A180,1,0)+IF('Ввод данных'!A19=связи1!A181,1,0)+IF('Ввод данных'!A19=связи1!A182,1,0)</f>
        <v>0</v>
      </c>
      <c r="I428" s="983" t="n">
        <f aca="false">H428</f>
        <v>0</v>
      </c>
      <c r="J428" s="931"/>
      <c r="K428" s="937"/>
    </row>
    <row r="429" customFormat="false" ht="15.75" hidden="true" customHeight="false" outlineLevel="0" collapsed="false">
      <c r="A429" s="931"/>
      <c r="B429" s="1008" t="s">
        <v>2246</v>
      </c>
      <c r="C429" s="1008"/>
      <c r="D429" s="1008"/>
      <c r="E429" s="1008"/>
      <c r="F429" s="1008"/>
      <c r="G429" s="977"/>
      <c r="H429" s="1009" t="n">
        <f aca="false">H428</f>
        <v>0</v>
      </c>
      <c r="I429" s="983" t="n">
        <f aca="false">H429</f>
        <v>0</v>
      </c>
      <c r="J429" s="931"/>
      <c r="K429" s="937"/>
    </row>
    <row r="430" customFormat="false" ht="15.75" hidden="true" customHeight="false" outlineLevel="0" collapsed="false">
      <c r="A430" s="931"/>
      <c r="B430" s="992" t="str">
        <f aca="false">дома!A1612</f>
        <v>Пенобетон 200x300x600</v>
      </c>
      <c r="C430" s="993" t="str">
        <f aca="false">дома!B1612</f>
        <v>м3</v>
      </c>
      <c r="D430" s="992" t="n">
        <f aca="false">дома!C1612</f>
        <v>0</v>
      </c>
      <c r="E430" s="992" t="n">
        <f aca="false">дома!I1612</f>
        <v>3650</v>
      </c>
      <c r="F430" s="992"/>
      <c r="G430" s="967" t="n">
        <f aca="false">IF(F430&gt;0,D430*F430,E430*D430)</f>
        <v>0</v>
      </c>
      <c r="H430" s="975" t="n">
        <f aca="false">D430*E430*$H$429</f>
        <v>0</v>
      </c>
      <c r="I430" s="936" t="n">
        <f aca="false">IF(G430&gt;H430,G430,H430)*$H$428</f>
        <v>0</v>
      </c>
      <c r="J430" s="931"/>
      <c r="K430" s="937"/>
    </row>
    <row r="431" customFormat="false" ht="15.75" hidden="true" customHeight="false" outlineLevel="0" collapsed="false">
      <c r="A431" s="937"/>
      <c r="B431" s="992" t="str">
        <f aca="false">дома!A1613</f>
        <v>Пенобетон 200x150x600</v>
      </c>
      <c r="C431" s="993" t="str">
        <f aca="false">дома!B1613</f>
        <v>м3</v>
      </c>
      <c r="D431" s="992" t="n">
        <f aca="false">дома!C1613</f>
        <v>0</v>
      </c>
      <c r="E431" s="992" t="n">
        <f aca="false">дома!I1613</f>
        <v>3950</v>
      </c>
      <c r="F431" s="992"/>
      <c r="G431" s="967" t="n">
        <f aca="false">IF(F431&gt;0,D431*F431,E431*D431)</f>
        <v>0</v>
      </c>
      <c r="H431" s="975" t="n">
        <f aca="false">D431*E431*$H$429</f>
        <v>0</v>
      </c>
      <c r="I431" s="936" t="n">
        <f aca="false">IF(G431&gt;H431,G431,H431)*$H$428</f>
        <v>0</v>
      </c>
      <c r="J431" s="931"/>
      <c r="K431" s="937"/>
    </row>
    <row r="432" customFormat="false" ht="15.75" hidden="true" customHeight="false" outlineLevel="0" collapsed="false">
      <c r="A432" s="937"/>
      <c r="B432" s="992" t="str">
        <f aca="false">дома!A1614</f>
        <v>Пенобетон 200x150x600</v>
      </c>
      <c r="C432" s="993" t="str">
        <f aca="false">дома!B1614</f>
        <v>м3</v>
      </c>
      <c r="D432" s="992" t="n">
        <f aca="false">дома!C1614</f>
        <v>0</v>
      </c>
      <c r="E432" s="992" t="n">
        <f aca="false">дома!I1614</f>
        <v>3950</v>
      </c>
      <c r="F432" s="992"/>
      <c r="G432" s="967" t="n">
        <f aca="false">IF(F432&gt;0,D432*F432,E432*D432)</f>
        <v>0</v>
      </c>
      <c r="H432" s="975" t="n">
        <f aca="false">D432*E432*$H$429</f>
        <v>0</v>
      </c>
      <c r="I432" s="936" t="n">
        <f aca="false">IF(G432&gt;H432,G432,H432)*$H$428</f>
        <v>0</v>
      </c>
      <c r="J432" s="931"/>
      <c r="K432" s="937"/>
    </row>
    <row r="433" customFormat="false" ht="15.75" hidden="true" customHeight="false" outlineLevel="0" collapsed="false">
      <c r="A433" s="937"/>
      <c r="B433" s="992" t="str">
        <f aca="false">дома!A1615</f>
        <v>Клей монтажный ВК-100</v>
      </c>
      <c r="C433" s="993" t="str">
        <f aca="false">дома!B1615</f>
        <v>меш</v>
      </c>
      <c r="D433" s="992" t="n">
        <f aca="false">дома!C1615</f>
        <v>0</v>
      </c>
      <c r="E433" s="992" t="n">
        <f aca="false">дома!I1615</f>
        <v>185</v>
      </c>
      <c r="F433" s="992"/>
      <c r="G433" s="967" t="n">
        <f aca="false">IF(F433&gt;0,D433*F433,E433*D433)</f>
        <v>0</v>
      </c>
      <c r="H433" s="975" t="n">
        <f aca="false">D433*E433*$H$429</f>
        <v>0</v>
      </c>
      <c r="I433" s="936" t="n">
        <f aca="false">IF(G433&gt;H433,G433,H433)*$H$428</f>
        <v>0</v>
      </c>
      <c r="J433" s="931"/>
      <c r="K433" s="937"/>
    </row>
    <row r="434" customFormat="false" ht="15.75" hidden="true" customHeight="false" outlineLevel="0" collapsed="false">
      <c r="A434" s="937"/>
      <c r="B434" s="992" t="e">
        <f aca="false">дома!A1616</f>
        <v>#N/A</v>
      </c>
      <c r="C434" s="993" t="str">
        <f aca="false">дома!B1616</f>
        <v>меш</v>
      </c>
      <c r="D434" s="992" t="n">
        <f aca="false">дома!C1616</f>
        <v>0</v>
      </c>
      <c r="E434" s="992" t="n">
        <f aca="false">дома!I1616</f>
        <v>0</v>
      </c>
      <c r="F434" s="992"/>
      <c r="G434" s="967" t="n">
        <f aca="false">IF(F434&gt;0,D434*F434,E434*D434)</f>
        <v>0</v>
      </c>
      <c r="H434" s="975" t="n">
        <f aca="false">D434*E434*$H$429</f>
        <v>0</v>
      </c>
      <c r="I434" s="936" t="n">
        <f aca="false">IF(G434&gt;H434,G434,H434)*$H$428</f>
        <v>0</v>
      </c>
      <c r="J434" s="931"/>
      <c r="K434" s="937"/>
    </row>
    <row r="435" customFormat="false" ht="15.75" hidden="true" customHeight="false" outlineLevel="0" collapsed="false">
      <c r="A435" s="937"/>
      <c r="B435" s="992" t="e">
        <f aca="false">дома!A1617</f>
        <v>#N/A</v>
      </c>
      <c r="C435" s="993" t="str">
        <f aca="false">дома!B1617</f>
        <v>м3</v>
      </c>
      <c r="D435" s="992" t="n">
        <f aca="false">дома!C1617</f>
        <v>0</v>
      </c>
      <c r="E435" s="992" t="n">
        <f aca="false">дома!I1617</f>
        <v>0</v>
      </c>
      <c r="F435" s="992"/>
      <c r="G435" s="967" t="n">
        <f aca="false">IF(F435&gt;0,D435*F435,E435*D435)</f>
        <v>0</v>
      </c>
      <c r="H435" s="975" t="n">
        <f aca="false">D435*E435*$H$429</f>
        <v>0</v>
      </c>
      <c r="I435" s="936" t="n">
        <f aca="false">IF(G435&gt;H435,G435,H435)*$H$428</f>
        <v>0</v>
      </c>
      <c r="J435" s="931"/>
      <c r="K435" s="937"/>
    </row>
    <row r="436" customFormat="false" ht="15.75" hidden="true" customHeight="false" outlineLevel="0" collapsed="false">
      <c r="A436" s="937"/>
      <c r="B436" s="992" t="str">
        <f aca="false">дома!A1618</f>
        <v>Доставка песка</v>
      </c>
      <c r="C436" s="993" t="str">
        <f aca="false">дома!B1618</f>
        <v>маш</v>
      </c>
      <c r="D436" s="992" t="n">
        <f aca="false">дома!C1618</f>
        <v>0</v>
      </c>
      <c r="E436" s="992" t="n">
        <f aca="false">дома!I1618</f>
        <v>0</v>
      </c>
      <c r="F436" s="992"/>
      <c r="G436" s="967" t="n">
        <f aca="false">IF(F436&gt;0,D436*F436,E436*D436)</f>
        <v>0</v>
      </c>
      <c r="H436" s="975" t="n">
        <f aca="false">D436*E436*$H$429</f>
        <v>0</v>
      </c>
      <c r="I436" s="936" t="n">
        <f aca="false">IF(G436&gt;H436,G436,H436)*$H$428</f>
        <v>0</v>
      </c>
      <c r="J436" s="931"/>
      <c r="K436" s="937"/>
    </row>
    <row r="437" customFormat="false" ht="15.75" hidden="true" customHeight="false" outlineLevel="0" collapsed="false">
      <c r="A437" s="937"/>
      <c r="B437" s="992" t="e">
        <f aca="false">дома!A1619</f>
        <v>#N/A</v>
      </c>
      <c r="C437" s="993" t="str">
        <f aca="false">дома!B1619</f>
        <v>м3</v>
      </c>
      <c r="D437" s="992" t="n">
        <f aca="false">дома!C1619</f>
        <v>0</v>
      </c>
      <c r="E437" s="992" t="n">
        <f aca="false">дома!I1619</f>
        <v>0</v>
      </c>
      <c r="F437" s="992"/>
      <c r="G437" s="967" t="n">
        <f aca="false">IF(F437&gt;0,D437*F437,E437*D437)</f>
        <v>0</v>
      </c>
      <c r="H437" s="975" t="n">
        <f aca="false">D437*E437*$H$429</f>
        <v>0</v>
      </c>
      <c r="I437" s="936" t="n">
        <f aca="false">IF(G437&gt;H437,G437,H437)*$H$428</f>
        <v>0</v>
      </c>
      <c r="J437" s="931"/>
      <c r="K437" s="937"/>
    </row>
    <row r="438" customFormat="false" ht="15.75" hidden="true" customHeight="false" outlineLevel="0" collapsed="false">
      <c r="A438" s="937"/>
      <c r="B438" s="992" t="str">
        <f aca="false">дома!A1620</f>
        <v>Арматура М6 каждый 3-й ряд, 2 нити</v>
      </c>
      <c r="C438" s="993" t="str">
        <f aca="false">дома!B1620</f>
        <v>м.п.</v>
      </c>
      <c r="D438" s="992" t="n">
        <f aca="false">дома!C1620</f>
        <v>597.333333333333</v>
      </c>
      <c r="E438" s="992" t="n">
        <f aca="false">дома!I1620</f>
        <v>0</v>
      </c>
      <c r="F438" s="992"/>
      <c r="G438" s="967" t="n">
        <f aca="false">IF(F438&gt;0,D438*F438,E438*D438)</f>
        <v>0</v>
      </c>
      <c r="H438" s="975" t="n">
        <f aca="false">D438*E438*$H$429</f>
        <v>0</v>
      </c>
      <c r="I438" s="936" t="n">
        <f aca="false">IF(G438&gt;H438,G438,H438)*$H$428</f>
        <v>0</v>
      </c>
      <c r="J438" s="931"/>
      <c r="K438" s="937"/>
    </row>
    <row r="439" customFormat="false" ht="15.75" hidden="true" customHeight="false" outlineLevel="0" collapsed="false">
      <c r="A439" s="937"/>
      <c r="B439" s="992" t="str">
        <f aca="false">дома!A1621</f>
        <v>Арматура М6 каждый 3-й ряд, 2 нити</v>
      </c>
      <c r="C439" s="993" t="str">
        <f aca="false">дома!B1621</f>
        <v>м.п.</v>
      </c>
      <c r="D439" s="992" t="n">
        <f aca="false">дома!C1621</f>
        <v>100</v>
      </c>
      <c r="E439" s="992" t="n">
        <f aca="false">дома!I1621</f>
        <v>0</v>
      </c>
      <c r="F439" s="992"/>
      <c r="G439" s="967" t="n">
        <f aca="false">IF(F439&gt;0,D439*F439,E439*D439)</f>
        <v>0</v>
      </c>
      <c r="H439" s="975" t="n">
        <f aca="false">D439*E439*$H$429</f>
        <v>0</v>
      </c>
      <c r="I439" s="936" t="n">
        <f aca="false">IF(G439&gt;H439,G439,H439)*$H$428</f>
        <v>0</v>
      </c>
      <c r="J439" s="931"/>
      <c r="K439" s="937"/>
    </row>
    <row r="440" customFormat="false" ht="15.75" hidden="true" customHeight="false" outlineLevel="0" collapsed="false">
      <c r="A440" s="937"/>
      <c r="B440" s="992" t="str">
        <f aca="false">дома!A1622</f>
        <v>Перемычка оконная, 1-ый эт. Вариант 1</v>
      </c>
      <c r="C440" s="993" t="str">
        <f aca="false">дома!B1622</f>
        <v>м.п.</v>
      </c>
      <c r="D440" s="992" t="n">
        <f aca="false">дома!C1622</f>
        <v>1</v>
      </c>
      <c r="E440" s="992" t="n">
        <f aca="false">дома!I1622</f>
        <v>1000</v>
      </c>
      <c r="F440" s="992"/>
      <c r="G440" s="967" t="n">
        <f aca="false">IF(F440&gt;0,D440*F440,E440*D440)</f>
        <v>1000</v>
      </c>
      <c r="H440" s="975" t="n">
        <f aca="false">D440*E440*$H$429</f>
        <v>0</v>
      </c>
      <c r="I440" s="936" t="n">
        <f aca="false">IF(G440&gt;H440,G440,H440)*$H$428</f>
        <v>0</v>
      </c>
      <c r="J440" s="931"/>
      <c r="K440" s="937"/>
    </row>
    <row r="441" customFormat="false" ht="15.75" hidden="true" customHeight="false" outlineLevel="0" collapsed="false">
      <c r="A441" s="937"/>
      <c r="B441" s="992" t="str">
        <f aca="false">дома!A1623</f>
        <v>Перемычка оконная, 1-ый эт. Вариант 2</v>
      </c>
      <c r="C441" s="993" t="str">
        <f aca="false">дома!B1623</f>
        <v>м.п.</v>
      </c>
      <c r="D441" s="992" t="n">
        <f aca="false">дома!C1623</f>
        <v>0</v>
      </c>
      <c r="E441" s="992" t="n">
        <f aca="false">дома!I1623</f>
        <v>1000</v>
      </c>
      <c r="F441" s="992"/>
      <c r="G441" s="967" t="n">
        <f aca="false">IF(F441&gt;0,D441*F441,E441*D441)</f>
        <v>0</v>
      </c>
      <c r="H441" s="975" t="n">
        <f aca="false">D441*E441*$H$429</f>
        <v>0</v>
      </c>
      <c r="I441" s="936" t="n">
        <f aca="false">IF(G441&gt;H441,G441,H441)*$H$428</f>
        <v>0</v>
      </c>
      <c r="J441" s="931"/>
      <c r="K441" s="937"/>
    </row>
    <row r="442" customFormat="false" ht="15.75" hidden="true" customHeight="false" outlineLevel="0" collapsed="false">
      <c r="A442" s="937"/>
      <c r="B442" s="992" t="str">
        <f aca="false">дома!A1624</f>
        <v>Перемычка оконная, 1-ый эт. Вариант 3</v>
      </c>
      <c r="C442" s="993" t="str">
        <f aca="false">дома!B1624</f>
        <v>м.п.</v>
      </c>
      <c r="D442" s="992" t="n">
        <f aca="false">дома!C1624</f>
        <v>0</v>
      </c>
      <c r="E442" s="992" t="n">
        <f aca="false">дома!I1624</f>
        <v>1000</v>
      </c>
      <c r="F442" s="992"/>
      <c r="G442" s="967" t="n">
        <f aca="false">IF(F442&gt;0,D442*F442,E442*D442)</f>
        <v>0</v>
      </c>
      <c r="H442" s="975" t="n">
        <f aca="false">D442*E442*$H$429</f>
        <v>0</v>
      </c>
      <c r="I442" s="936" t="n">
        <f aca="false">IF(G442&gt;H442,G442,H442)*$H$428</f>
        <v>0</v>
      </c>
      <c r="J442" s="931"/>
      <c r="K442" s="937"/>
    </row>
    <row r="443" customFormat="false" ht="15.75" hidden="true" customHeight="false" outlineLevel="0" collapsed="false">
      <c r="A443" s="937"/>
      <c r="B443" s="992" t="str">
        <f aca="false">дома!A1625</f>
        <v>Перемычка оконная, 1-ый эт. Вариант 4</v>
      </c>
      <c r="C443" s="993" t="str">
        <f aca="false">дома!B1625</f>
        <v>м.п.</v>
      </c>
      <c r="D443" s="992" t="n">
        <f aca="false">дома!C1625</f>
        <v>0</v>
      </c>
      <c r="E443" s="992" t="n">
        <f aca="false">дома!I1625</f>
        <v>1000</v>
      </c>
      <c r="F443" s="992"/>
      <c r="G443" s="967" t="n">
        <f aca="false">IF(F443&gt;0,D443*F443,E443*D443)</f>
        <v>0</v>
      </c>
      <c r="H443" s="975" t="n">
        <f aca="false">D443*E443*$H$429</f>
        <v>0</v>
      </c>
      <c r="I443" s="936" t="n">
        <f aca="false">IF(G443&gt;H443,G443,H443)*$H$428</f>
        <v>0</v>
      </c>
      <c r="J443" s="931"/>
      <c r="K443" s="937"/>
    </row>
    <row r="444" customFormat="false" ht="15.75" hidden="true" customHeight="false" outlineLevel="0" collapsed="false">
      <c r="A444" s="937"/>
      <c r="B444" s="992" t="str">
        <f aca="false">дома!A1626</f>
        <v>Перемычка оконная, 1-ый эт. Вариант 5</v>
      </c>
      <c r="C444" s="993" t="str">
        <f aca="false">дома!B1626</f>
        <v>м.п.</v>
      </c>
      <c r="D444" s="992" t="n">
        <f aca="false">дома!C1626</f>
        <v>0</v>
      </c>
      <c r="E444" s="992" t="n">
        <f aca="false">дома!I1626</f>
        <v>1000</v>
      </c>
      <c r="F444" s="992"/>
      <c r="G444" s="967" t="n">
        <f aca="false">IF(F444&gt;0,D444*F444,E444*D444)</f>
        <v>0</v>
      </c>
      <c r="H444" s="975" t="n">
        <f aca="false">D444*E444*$H$429</f>
        <v>0</v>
      </c>
      <c r="I444" s="936" t="n">
        <f aca="false">IF(G444&gt;H444,G444,H444)*$H$428</f>
        <v>0</v>
      </c>
      <c r="J444" s="931"/>
      <c r="K444" s="937"/>
    </row>
    <row r="445" customFormat="false" ht="15.75" hidden="true" customHeight="false" outlineLevel="0" collapsed="false">
      <c r="A445" s="937"/>
      <c r="B445" s="992" t="str">
        <f aca="false">дома!A1627</f>
        <v>Перемычка оконная, 2-ый эт. Вариант 6</v>
      </c>
      <c r="C445" s="993" t="str">
        <f aca="false">дома!B1627</f>
        <v>м.п.</v>
      </c>
      <c r="D445" s="992" t="n">
        <f aca="false">дома!C1627</f>
        <v>0</v>
      </c>
      <c r="E445" s="992" t="n">
        <f aca="false">дома!I1627</f>
        <v>1000</v>
      </c>
      <c r="F445" s="992"/>
      <c r="G445" s="967" t="n">
        <f aca="false">IF(F445&gt;0,D445*F445,E445*D445)</f>
        <v>0</v>
      </c>
      <c r="H445" s="975" t="n">
        <f aca="false">D445*E445*$H$429</f>
        <v>0</v>
      </c>
      <c r="I445" s="936" t="n">
        <f aca="false">IF(G445&gt;H445,G445,H445)*$H$428</f>
        <v>0</v>
      </c>
      <c r="J445" s="931"/>
      <c r="K445" s="937"/>
    </row>
    <row r="446" customFormat="false" ht="15.75" hidden="true" customHeight="false" outlineLevel="0" collapsed="false">
      <c r="A446" s="937"/>
      <c r="B446" s="992" t="str">
        <f aca="false">дома!A1628</f>
        <v>Перемычка оконная, 2-ый эт. Вариант 7</v>
      </c>
      <c r="C446" s="993" t="str">
        <f aca="false">дома!B1628</f>
        <v>м.п.</v>
      </c>
      <c r="D446" s="992" t="n">
        <f aca="false">дома!C1628</f>
        <v>0</v>
      </c>
      <c r="E446" s="992" t="n">
        <f aca="false">дома!I1628</f>
        <v>1000</v>
      </c>
      <c r="F446" s="992"/>
      <c r="G446" s="967" t="n">
        <f aca="false">IF(F446&gt;0,D446*F446,E446*D446)</f>
        <v>0</v>
      </c>
      <c r="H446" s="975" t="n">
        <f aca="false">D446*E446*$H$429</f>
        <v>0</v>
      </c>
      <c r="I446" s="936" t="n">
        <f aca="false">IF(G446&gt;H446,G446,H446)*$H$428</f>
        <v>0</v>
      </c>
      <c r="J446" s="931"/>
      <c r="K446" s="937"/>
    </row>
    <row r="447" customFormat="false" ht="15.75" hidden="true" customHeight="false" outlineLevel="0" collapsed="false">
      <c r="A447" s="937"/>
      <c r="B447" s="992" t="str">
        <f aca="false">дома!A1629</f>
        <v>Перемычка оконная, 2-ый эт. Вариант 8</v>
      </c>
      <c r="C447" s="993" t="str">
        <f aca="false">дома!B1629</f>
        <v>м.п.</v>
      </c>
      <c r="D447" s="992" t="n">
        <f aca="false">дома!C1629</f>
        <v>0</v>
      </c>
      <c r="E447" s="992" t="n">
        <f aca="false">дома!I1629</f>
        <v>1000</v>
      </c>
      <c r="F447" s="992"/>
      <c r="G447" s="967" t="n">
        <f aca="false">IF(F447&gt;0,D447*F447,E447*D447)</f>
        <v>0</v>
      </c>
      <c r="H447" s="975" t="n">
        <f aca="false">D447*E447*$H$429</f>
        <v>0</v>
      </c>
      <c r="I447" s="936" t="n">
        <f aca="false">IF(G447&gt;H447,G447,H447)*$H$428</f>
        <v>0</v>
      </c>
      <c r="J447" s="931"/>
      <c r="K447" s="937"/>
    </row>
    <row r="448" customFormat="false" ht="15.75" hidden="true" customHeight="false" outlineLevel="0" collapsed="false">
      <c r="A448" s="937"/>
      <c r="B448" s="992" t="str">
        <f aca="false">дома!A1630</f>
        <v>Перемычка оконная, 2-ый эт. Вариант 9</v>
      </c>
      <c r="C448" s="993" t="str">
        <f aca="false">дома!B1630</f>
        <v>м.п.</v>
      </c>
      <c r="D448" s="992" t="n">
        <f aca="false">дома!C1630</f>
        <v>0</v>
      </c>
      <c r="E448" s="992" t="n">
        <f aca="false">дома!I1630</f>
        <v>1000</v>
      </c>
      <c r="F448" s="992"/>
      <c r="G448" s="967" t="n">
        <f aca="false">IF(F448&gt;0,D448*F448,E448*D448)</f>
        <v>0</v>
      </c>
      <c r="H448" s="975" t="n">
        <f aca="false">D448*E448*$H$429</f>
        <v>0</v>
      </c>
      <c r="I448" s="936" t="n">
        <f aca="false">IF(G448&gt;H448,G448,H448)*$H$428</f>
        <v>0</v>
      </c>
      <c r="J448" s="931"/>
      <c r="K448" s="937"/>
    </row>
    <row r="449" customFormat="false" ht="15.75" hidden="true" customHeight="false" outlineLevel="0" collapsed="false">
      <c r="A449" s="937"/>
      <c r="B449" s="992" t="str">
        <f aca="false">дома!A1631</f>
        <v>Перемычка оконная, 2-ый эт. Вариант 10</v>
      </c>
      <c r="C449" s="993" t="str">
        <f aca="false">дома!B1631</f>
        <v>м.п.</v>
      </c>
      <c r="D449" s="992" t="n">
        <f aca="false">дома!C1631</f>
        <v>0</v>
      </c>
      <c r="E449" s="992" t="n">
        <f aca="false">дома!I1631</f>
        <v>1000</v>
      </c>
      <c r="F449" s="992"/>
      <c r="G449" s="967" t="n">
        <f aca="false">IF(F449&gt;0,D449*F449,E449*D449)</f>
        <v>0</v>
      </c>
      <c r="H449" s="975" t="n">
        <f aca="false">D449*E449*$H$429</f>
        <v>0</v>
      </c>
      <c r="I449" s="936" t="n">
        <f aca="false">IF(G449&gt;H449,G449,H449)*$H$428</f>
        <v>0</v>
      </c>
      <c r="J449" s="931"/>
      <c r="K449" s="937"/>
    </row>
    <row r="450" customFormat="false" ht="15.75" hidden="true" customHeight="false" outlineLevel="0" collapsed="false">
      <c r="A450" s="937"/>
      <c r="B450" s="992" t="str">
        <f aca="false">дома!A1632</f>
        <v>Перемычка дверная, 1-ый эт. Вариант 1</v>
      </c>
      <c r="C450" s="993" t="str">
        <f aca="false">дома!B1632</f>
        <v>м.п.</v>
      </c>
      <c r="D450" s="992" t="n">
        <f aca="false">дома!C1632</f>
        <v>0</v>
      </c>
      <c r="E450" s="992" t="n">
        <f aca="false">дома!I1632</f>
        <v>1000</v>
      </c>
      <c r="F450" s="992"/>
      <c r="G450" s="967" t="n">
        <f aca="false">IF(F450&gt;0,D450*F450,E450*D450)</f>
        <v>0</v>
      </c>
      <c r="H450" s="975" t="n">
        <f aca="false">D450*E450*$H$429</f>
        <v>0</v>
      </c>
      <c r="I450" s="936" t="n">
        <f aca="false">IF(G450&gt;H450,G450,H450)*$H$428</f>
        <v>0</v>
      </c>
      <c r="J450" s="931"/>
      <c r="K450" s="937"/>
    </row>
    <row r="451" customFormat="false" ht="15.75" hidden="true" customHeight="false" outlineLevel="0" collapsed="false">
      <c r="A451" s="937"/>
      <c r="B451" s="992" t="str">
        <f aca="false">дома!A1633</f>
        <v>Перемычка дверная, 2-ый эт. Вариант 2</v>
      </c>
      <c r="C451" s="993" t="str">
        <f aca="false">дома!B1633</f>
        <v>м.п.</v>
      </c>
      <c r="D451" s="992" t="n">
        <f aca="false">дома!C1633</f>
        <v>0</v>
      </c>
      <c r="E451" s="992" t="n">
        <f aca="false">дома!I1633</f>
        <v>1000</v>
      </c>
      <c r="F451" s="992"/>
      <c r="G451" s="967" t="n">
        <f aca="false">IF(F451&gt;0,D451*F451,E451*D451)</f>
        <v>0</v>
      </c>
      <c r="H451" s="975" t="n">
        <f aca="false">D451*E451*$H$429</f>
        <v>0</v>
      </c>
      <c r="I451" s="936" t="n">
        <f aca="false">IF(G451&gt;H451,G451,H451)*$H$428</f>
        <v>0</v>
      </c>
      <c r="J451" s="931"/>
      <c r="K451" s="937"/>
    </row>
    <row r="452" customFormat="false" ht="15.75" hidden="true" customHeight="false" outlineLevel="0" collapsed="false">
      <c r="A452" s="937"/>
      <c r="B452" s="992" t="str">
        <f aca="false">дома!A1634</f>
        <v>Перемычка оконная 1-ый эт, Вариант 11</v>
      </c>
      <c r="C452" s="993" t="str">
        <f aca="false">дома!B1634</f>
        <v>м.п.</v>
      </c>
      <c r="D452" s="992" t="n">
        <f aca="false">дома!C1634</f>
        <v>0</v>
      </c>
      <c r="E452" s="992" t="n">
        <f aca="false">дома!I1634</f>
        <v>1000</v>
      </c>
      <c r="F452" s="992"/>
      <c r="G452" s="967" t="n">
        <f aca="false">IF(F452&gt;0,D452*F452,E452*D452)</f>
        <v>0</v>
      </c>
      <c r="H452" s="975" t="n">
        <f aca="false">D452*E452*$H$429</f>
        <v>0</v>
      </c>
      <c r="I452" s="936" t="n">
        <f aca="false">IF(G452&gt;H452,G452,H452)*$H$428</f>
        <v>0</v>
      </c>
      <c r="J452" s="931"/>
      <c r="K452" s="937"/>
    </row>
    <row r="453" customFormat="false" ht="15.75" hidden="true" customHeight="false" outlineLevel="0" collapsed="false">
      <c r="A453" s="937"/>
      <c r="B453" s="992" t="str">
        <f aca="false">дома!A1635</f>
        <v>Перемычка оконная 1-ый эт, Вариант 12</v>
      </c>
      <c r="C453" s="993" t="str">
        <f aca="false">дома!B1635</f>
        <v>м.п.</v>
      </c>
      <c r="D453" s="992" t="n">
        <f aca="false">дома!C1635</f>
        <v>0</v>
      </c>
      <c r="E453" s="992" t="n">
        <f aca="false">дома!I1635</f>
        <v>1000</v>
      </c>
      <c r="F453" s="992"/>
      <c r="G453" s="967" t="n">
        <f aca="false">IF(F453&gt;0,D453*F453,E453*D453)</f>
        <v>0</v>
      </c>
      <c r="H453" s="975" t="n">
        <f aca="false">D453*E453*$H$429</f>
        <v>0</v>
      </c>
      <c r="I453" s="936" t="n">
        <f aca="false">IF(G453&gt;H453,G453,H453)*$H$428</f>
        <v>0</v>
      </c>
      <c r="J453" s="931"/>
      <c r="K453" s="937"/>
    </row>
    <row r="454" customFormat="false" ht="15.75" hidden="true" customHeight="false" outlineLevel="0" collapsed="false">
      <c r="A454" s="937"/>
      <c r="B454" s="992" t="str">
        <f aca="false">дома!A1636</f>
        <v>Перемычка дверная, 1-ый эт. Вариант 4</v>
      </c>
      <c r="C454" s="993" t="str">
        <f aca="false">дома!B1636</f>
        <v>м.п.</v>
      </c>
      <c r="D454" s="992" t="n">
        <f aca="false">дома!C1636</f>
        <v>3</v>
      </c>
      <c r="E454" s="992" t="n">
        <f aca="false">дома!I1636</f>
        <v>1000</v>
      </c>
      <c r="F454" s="992"/>
      <c r="G454" s="967" t="n">
        <f aca="false">IF(F454&gt;0,D454*F454,E454*D454)</f>
        <v>3000</v>
      </c>
      <c r="H454" s="975" t="n">
        <f aca="false">D454*E454*$H$429</f>
        <v>0</v>
      </c>
      <c r="I454" s="936" t="n">
        <f aca="false">IF(G454&gt;H454,G454,H454)*$H$428</f>
        <v>0</v>
      </c>
      <c r="J454" s="931"/>
      <c r="K454" s="937"/>
    </row>
    <row r="455" customFormat="false" ht="15.75" hidden="true" customHeight="false" outlineLevel="0" collapsed="false">
      <c r="A455" s="937"/>
      <c r="B455" s="992" t="str">
        <f aca="false">дома!A1637</f>
        <v>Перемычка дверная, 1-ый эт. Вариант 5</v>
      </c>
      <c r="C455" s="993" t="str">
        <f aca="false">дома!B1637</f>
        <v>м.п.</v>
      </c>
      <c r="D455" s="992" t="n">
        <f aca="false">дома!C1637</f>
        <v>0</v>
      </c>
      <c r="E455" s="992" t="n">
        <f aca="false">дома!I1637</f>
        <v>1000</v>
      </c>
      <c r="F455" s="992"/>
      <c r="G455" s="967" t="n">
        <f aca="false">IF(F455&gt;0,D455*F455,E455*D455)</f>
        <v>0</v>
      </c>
      <c r="H455" s="975" t="n">
        <f aca="false">D455*E455*$H$429</f>
        <v>0</v>
      </c>
      <c r="I455" s="936" t="n">
        <f aca="false">IF(G455&gt;H455,G455,H455)*$H$428</f>
        <v>0</v>
      </c>
      <c r="J455" s="931"/>
      <c r="K455" s="937"/>
    </row>
    <row r="456" customFormat="false" ht="15.75" hidden="true" customHeight="false" outlineLevel="0" collapsed="false">
      <c r="A456" s="937"/>
      <c r="B456" s="992" t="str">
        <f aca="false">дома!A1638</f>
        <v>Перемычка дверная, 1-ый эт. Вариант 6</v>
      </c>
      <c r="C456" s="993" t="str">
        <f aca="false">дома!B1638</f>
        <v>м.п.</v>
      </c>
      <c r="D456" s="992" t="n">
        <f aca="false">дома!C1638</f>
        <v>0</v>
      </c>
      <c r="E456" s="992" t="n">
        <f aca="false">дома!I1638</f>
        <v>1000</v>
      </c>
      <c r="F456" s="992"/>
      <c r="G456" s="967" t="n">
        <f aca="false">IF(F456&gt;0,D456*F456,E456*D456)</f>
        <v>0</v>
      </c>
      <c r="H456" s="975" t="n">
        <f aca="false">D456*E456*$H$429</f>
        <v>0</v>
      </c>
      <c r="I456" s="936" t="n">
        <f aca="false">IF(G456&gt;H456,G456,H456)*$H$428</f>
        <v>0</v>
      </c>
      <c r="J456" s="931"/>
      <c r="K456" s="937"/>
    </row>
    <row r="457" customFormat="false" ht="15.75" hidden="true" customHeight="false" outlineLevel="0" collapsed="false">
      <c r="A457" s="937"/>
      <c r="B457" s="992" t="str">
        <f aca="false">дома!A1639</f>
        <v>Перемычка дверная, 2-ый эт. Вариант 7</v>
      </c>
      <c r="C457" s="993" t="str">
        <f aca="false">дома!B1639</f>
        <v>м.п.</v>
      </c>
      <c r="D457" s="992" t="n">
        <f aca="false">дома!C1639</f>
        <v>0</v>
      </c>
      <c r="E457" s="992" t="n">
        <f aca="false">дома!I1639</f>
        <v>1000</v>
      </c>
      <c r="F457" s="992"/>
      <c r="G457" s="967" t="n">
        <f aca="false">IF(F457&gt;0,D457*F457,E457*D457)</f>
        <v>0</v>
      </c>
      <c r="H457" s="975" t="n">
        <f aca="false">D457*E457*$H$429</f>
        <v>0</v>
      </c>
      <c r="I457" s="936" t="n">
        <f aca="false">IF(G457&gt;H457,G457,H457)*$H$428</f>
        <v>0</v>
      </c>
      <c r="J457" s="931"/>
      <c r="K457" s="937"/>
    </row>
    <row r="458" customFormat="false" ht="15.75" hidden="true" customHeight="false" outlineLevel="0" collapsed="false">
      <c r="A458" s="937"/>
      <c r="B458" s="992" t="str">
        <f aca="false">дома!A1640</f>
        <v>Перемычка дверная, 2-ый эт. Вариант 8</v>
      </c>
      <c r="C458" s="993" t="str">
        <f aca="false">дома!B1640</f>
        <v>м.п.</v>
      </c>
      <c r="D458" s="992" t="n">
        <f aca="false">дома!C1640</f>
        <v>0</v>
      </c>
      <c r="E458" s="992" t="n">
        <f aca="false">дома!I1640</f>
        <v>1000</v>
      </c>
      <c r="F458" s="992"/>
      <c r="G458" s="967" t="n">
        <f aca="false">IF(F458&gt;0,D458*F458,E458*D458)</f>
        <v>0</v>
      </c>
      <c r="H458" s="975" t="n">
        <f aca="false">D458*E458*$H$429</f>
        <v>0</v>
      </c>
      <c r="I458" s="936" t="n">
        <f aca="false">IF(G458&gt;H458,G458,H458)*$H$428</f>
        <v>0</v>
      </c>
      <c r="J458" s="931"/>
      <c r="K458" s="937"/>
    </row>
    <row r="459" customFormat="false" ht="15.75" hidden="true" customHeight="false" outlineLevel="0" collapsed="false">
      <c r="A459" s="937"/>
      <c r="B459" s="992" t="str">
        <f aca="false">дома!A1641</f>
        <v>Перемычка дверная, 2-ый эт. Вариант 9</v>
      </c>
      <c r="C459" s="993" t="str">
        <f aca="false">дома!B1641</f>
        <v>м.п.</v>
      </c>
      <c r="D459" s="992" t="n">
        <f aca="false">дома!C1641</f>
        <v>0</v>
      </c>
      <c r="E459" s="992" t="n">
        <f aca="false">дома!I1641</f>
        <v>1000</v>
      </c>
      <c r="F459" s="992"/>
      <c r="G459" s="967" t="n">
        <f aca="false">IF(F459&gt;0,D459*F459,E459*D459)</f>
        <v>0</v>
      </c>
      <c r="H459" s="975" t="n">
        <f aca="false">D459*E459*$H$429</f>
        <v>0</v>
      </c>
      <c r="I459" s="936" t="n">
        <f aca="false">IF(G459&gt;H459,G459,H459)*$H$428</f>
        <v>0</v>
      </c>
      <c r="J459" s="931"/>
      <c r="K459" s="937"/>
    </row>
    <row r="460" customFormat="false" ht="15.75" hidden="true" customHeight="false" outlineLevel="0" collapsed="false">
      <c r="A460" s="937"/>
      <c r="B460" s="992" t="str">
        <f aca="false">дома!A1642</f>
        <v>Перемычка проема, 1-ый эт. Вариант 10</v>
      </c>
      <c r="C460" s="993" t="str">
        <f aca="false">дома!B1642</f>
        <v>м.п.</v>
      </c>
      <c r="D460" s="992" t="n">
        <f aca="false">дома!C1642</f>
        <v>0</v>
      </c>
      <c r="E460" s="992" t="n">
        <f aca="false">дома!I1642</f>
        <v>1000</v>
      </c>
      <c r="F460" s="992"/>
      <c r="G460" s="967" t="n">
        <f aca="false">IF(F460&gt;0,D460*F460,E460*D460)</f>
        <v>0</v>
      </c>
      <c r="H460" s="975" t="n">
        <f aca="false">D460*E460*$H$429</f>
        <v>0</v>
      </c>
      <c r="I460" s="936" t="n">
        <f aca="false">IF(G460&gt;H460,G460,H460)*$H$428</f>
        <v>0</v>
      </c>
      <c r="J460" s="931"/>
      <c r="K460" s="937"/>
    </row>
    <row r="461" customFormat="false" ht="15.75" hidden="true" customHeight="false" outlineLevel="0" collapsed="false">
      <c r="A461" s="937"/>
      <c r="B461" s="992" t="str">
        <f aca="false">дома!A1643</f>
        <v>Перемычка проема, 1-ый эт. Вариант 11</v>
      </c>
      <c r="C461" s="993" t="str">
        <f aca="false">дома!B1643</f>
        <v>м.п.</v>
      </c>
      <c r="D461" s="992" t="n">
        <f aca="false">дома!C1643</f>
        <v>0</v>
      </c>
      <c r="E461" s="992" t="n">
        <f aca="false">дома!I1643</f>
        <v>1000</v>
      </c>
      <c r="F461" s="992"/>
      <c r="G461" s="967" t="n">
        <f aca="false">IF(F461&gt;0,D461*F461,E461*D461)</f>
        <v>0</v>
      </c>
      <c r="H461" s="975" t="n">
        <f aca="false">D461*E461*$H$429</f>
        <v>0</v>
      </c>
      <c r="I461" s="936" t="n">
        <f aca="false">IF(G461&gt;H461,G461,H461)*$H$428</f>
        <v>0</v>
      </c>
      <c r="J461" s="931"/>
      <c r="K461" s="937"/>
    </row>
    <row r="462" customFormat="false" ht="15.75" hidden="true" customHeight="false" outlineLevel="0" collapsed="false">
      <c r="A462" s="937"/>
      <c r="B462" s="992" t="str">
        <f aca="false">дома!A1644</f>
        <v>Перемычка проема, 2-ый эт. Вариант 12</v>
      </c>
      <c r="C462" s="993" t="str">
        <f aca="false">дома!B1644</f>
        <v>м.п.</v>
      </c>
      <c r="D462" s="992" t="n">
        <f aca="false">дома!C1644</f>
        <v>0</v>
      </c>
      <c r="E462" s="992" t="n">
        <f aca="false">дома!I1644</f>
        <v>1000</v>
      </c>
      <c r="F462" s="992"/>
      <c r="G462" s="967" t="n">
        <f aca="false">IF(F462&gt;0,D462*F462,E462*D462)</f>
        <v>0</v>
      </c>
      <c r="H462" s="975" t="n">
        <f aca="false">D462*E462*$H$429</f>
        <v>0</v>
      </c>
      <c r="I462" s="936" t="n">
        <f aca="false">IF(G462&gt;H462,G462,H462)*$H$428</f>
        <v>0</v>
      </c>
      <c r="J462" s="931"/>
      <c r="K462" s="937"/>
    </row>
    <row r="463" customFormat="false" ht="15.75" hidden="true" customHeight="false" outlineLevel="0" collapsed="false">
      <c r="A463" s="937"/>
      <c r="B463" s="992" t="str">
        <f aca="false">дома!A1645</f>
        <v>Перемычка проема, 2-ый эт. Вариант 13</v>
      </c>
      <c r="C463" s="993" t="str">
        <f aca="false">дома!B1645</f>
        <v>м.п.</v>
      </c>
      <c r="D463" s="992" t="n">
        <f aca="false">дома!C1645</f>
        <v>0</v>
      </c>
      <c r="E463" s="992" t="n">
        <f aca="false">дома!I1645</f>
        <v>1000</v>
      </c>
      <c r="F463" s="992"/>
      <c r="G463" s="967" t="n">
        <f aca="false">IF(F463&gt;0,D463*F463,E463*D463)</f>
        <v>0</v>
      </c>
      <c r="H463" s="975" t="n">
        <f aca="false">D463*E463*$H$429</f>
        <v>0</v>
      </c>
      <c r="I463" s="936" t="n">
        <f aca="false">IF(G463&gt;H463,G463,H463)*$H$428</f>
        <v>0</v>
      </c>
      <c r="J463" s="931"/>
      <c r="K463" s="937"/>
    </row>
    <row r="464" customFormat="false" ht="15.75" hidden="true" customHeight="false" outlineLevel="0" collapsed="false">
      <c r="A464" s="937"/>
      <c r="B464" s="992" t="str">
        <f aca="false">дома!A1646</f>
        <v>Перемычка дверная, 1-ый эт. Вариант 1</v>
      </c>
      <c r="C464" s="993" t="str">
        <f aca="false">дома!B1646</f>
        <v>м.п.</v>
      </c>
      <c r="D464" s="992" t="n">
        <f aca="false">дома!C1646</f>
        <v>0</v>
      </c>
      <c r="E464" s="992" t="n">
        <f aca="false">дома!I1646</f>
        <v>1000</v>
      </c>
      <c r="F464" s="992"/>
      <c r="G464" s="967" t="n">
        <f aca="false">IF(F464&gt;0,D464*F464,E464*D464)</f>
        <v>0</v>
      </c>
      <c r="H464" s="975" t="n">
        <f aca="false">D464*E464*$H$429</f>
        <v>0</v>
      </c>
      <c r="I464" s="936" t="n">
        <f aca="false">IF(G464&gt;H464,G464,H464)*$H$428</f>
        <v>0</v>
      </c>
      <c r="J464" s="931"/>
      <c r="K464" s="937"/>
    </row>
    <row r="465" customFormat="false" ht="15.75" hidden="true" customHeight="false" outlineLevel="0" collapsed="false">
      <c r="A465" s="937"/>
      <c r="B465" s="992" t="str">
        <f aca="false">дома!A1647</f>
        <v>Перемычка дверная, 1-ый эт. Вариант 2</v>
      </c>
      <c r="C465" s="993" t="str">
        <f aca="false">дома!B1647</f>
        <v>м.п.</v>
      </c>
      <c r="D465" s="992" t="n">
        <f aca="false">дома!C1647</f>
        <v>1</v>
      </c>
      <c r="E465" s="992" t="n">
        <f aca="false">дома!I1647</f>
        <v>1000</v>
      </c>
      <c r="F465" s="992"/>
      <c r="G465" s="967" t="n">
        <f aca="false">IF(F465&gt;0,D465*F465,E465*D465)</f>
        <v>1000</v>
      </c>
      <c r="H465" s="975" t="n">
        <f aca="false">D465*E465*$H$429</f>
        <v>0</v>
      </c>
      <c r="I465" s="936" t="n">
        <f aca="false">IF(G465&gt;H465,G465,H465)*$H$428</f>
        <v>0</v>
      </c>
      <c r="J465" s="931"/>
      <c r="K465" s="937"/>
    </row>
    <row r="466" customFormat="false" ht="15.75" hidden="true" customHeight="false" outlineLevel="0" collapsed="false">
      <c r="A466" s="937"/>
      <c r="B466" s="992" t="str">
        <f aca="false">дома!A1648</f>
        <v>Перемычка дверная, 1-ый эт. Вариант 3</v>
      </c>
      <c r="C466" s="993" t="str">
        <f aca="false">дома!B1648</f>
        <v>м.п.</v>
      </c>
      <c r="D466" s="992" t="n">
        <f aca="false">дома!C1648</f>
        <v>0</v>
      </c>
      <c r="E466" s="992" t="n">
        <f aca="false">дома!I1648</f>
        <v>1000</v>
      </c>
      <c r="F466" s="992"/>
      <c r="G466" s="967" t="n">
        <f aca="false">IF(F466&gt;0,D466*F466,E466*D466)</f>
        <v>0</v>
      </c>
      <c r="H466" s="975" t="n">
        <f aca="false">D466*E466*$H$429</f>
        <v>0</v>
      </c>
      <c r="I466" s="936" t="n">
        <f aca="false">IF(G466&gt;H466,G466,H466)*$H$428</f>
        <v>0</v>
      </c>
      <c r="J466" s="931"/>
      <c r="K466" s="937"/>
    </row>
    <row r="467" customFormat="false" ht="15.75" hidden="true" customHeight="false" outlineLevel="0" collapsed="false">
      <c r="A467" s="937"/>
      <c r="B467" s="992" t="str">
        <f aca="false">дома!A1649</f>
        <v>Сосна влаж,200*40мм</v>
      </c>
      <c r="C467" s="993" t="str">
        <f aca="false">дома!B1649</f>
        <v>м3</v>
      </c>
      <c r="D467" s="992" t="n">
        <f aca="false">дома!C1649</f>
        <v>1.8512</v>
      </c>
      <c r="E467" s="992" t="n">
        <f aca="false">дома!I1649</f>
        <v>6500</v>
      </c>
      <c r="F467" s="992"/>
      <c r="G467" s="967" t="n">
        <f aca="false">IF(F467&gt;0,D467*F467,E467*D467)</f>
        <v>12032.8</v>
      </c>
      <c r="H467" s="975" t="n">
        <f aca="false">D467*E467*$H$429</f>
        <v>0</v>
      </c>
      <c r="I467" s="936" t="n">
        <f aca="false">IF(G467&gt;H467,G467,H467)*$H$428</f>
        <v>0</v>
      </c>
      <c r="J467" s="931"/>
      <c r="K467" s="937"/>
    </row>
    <row r="468" customFormat="false" ht="15.75" hidden="true" customHeight="false" outlineLevel="0" collapsed="false">
      <c r="A468" s="937"/>
      <c r="B468" s="992" t="str">
        <f aca="false">дома!A1650</f>
        <v>Сейсмопояс Арматура М10 4 нити</v>
      </c>
      <c r="C468" s="993" t="str">
        <f aca="false">дома!B1650</f>
        <v>м.п.</v>
      </c>
      <c r="D468" s="992" t="n">
        <f aca="false">дома!C1650</f>
        <v>281.6</v>
      </c>
      <c r="E468" s="992" t="n">
        <f aca="false">дома!I1650</f>
        <v>21.0397</v>
      </c>
      <c r="F468" s="992"/>
      <c r="G468" s="967" t="n">
        <f aca="false">IF(F468&gt;0,D468*F468,E468*D468)</f>
        <v>5924.77952</v>
      </c>
      <c r="H468" s="975" t="n">
        <f aca="false">D468*E468*$H$429</f>
        <v>0</v>
      </c>
      <c r="I468" s="936" t="n">
        <f aca="false">IF(G468&gt;H468,G468,H468)*$H$428</f>
        <v>0</v>
      </c>
      <c r="J468" s="931"/>
      <c r="K468" s="937"/>
    </row>
    <row r="469" customFormat="false" ht="15.75" hidden="true" customHeight="false" outlineLevel="0" collapsed="false">
      <c r="A469" s="937"/>
      <c r="B469" s="992" t="str">
        <f aca="false">дома!A1651</f>
        <v>Хомут для сейсмопояса Арматура М6, шаг 400мм</v>
      </c>
      <c r="C469" s="993" t="str">
        <f aca="false">дома!B1651</f>
        <v>м.п.</v>
      </c>
      <c r="D469" s="992" t="n">
        <f aca="false">дома!C1651</f>
        <v>144</v>
      </c>
      <c r="E469" s="992" t="n">
        <f aca="false">дома!I1651</f>
        <v>0</v>
      </c>
      <c r="F469" s="992"/>
      <c r="G469" s="967" t="n">
        <f aca="false">IF(F469&gt;0,D469*F469,E469*D469)</f>
        <v>0</v>
      </c>
      <c r="H469" s="975" t="n">
        <f aca="false">D469*E469*$H$429</f>
        <v>0</v>
      </c>
      <c r="I469" s="936" t="n">
        <f aca="false">IF(G469&gt;H469,G469,H469)*$H$428</f>
        <v>0</v>
      </c>
      <c r="J469" s="931"/>
      <c r="K469" s="937"/>
    </row>
    <row r="470" customFormat="false" ht="15.75" hidden="true" customHeight="false" outlineLevel="0" collapsed="false">
      <c r="A470" s="937"/>
      <c r="B470" s="992" t="str">
        <f aca="false">дома!A1652</f>
        <v>Бетон, м300</v>
      </c>
      <c r="C470" s="993" t="str">
        <f aca="false">дома!B1652</f>
        <v>м3</v>
      </c>
      <c r="D470" s="992" t="n">
        <f aca="false">дома!C1652</f>
        <v>2.8833</v>
      </c>
      <c r="E470" s="992" t="n">
        <f aca="false">дома!I1652</f>
        <v>3000</v>
      </c>
      <c r="F470" s="992"/>
      <c r="G470" s="967" t="n">
        <f aca="false">IF(F470&gt;0,D470*F470,E470*D470)</f>
        <v>8649.9</v>
      </c>
      <c r="H470" s="975" t="n">
        <f aca="false">D470*E470*$H$429</f>
        <v>0</v>
      </c>
      <c r="I470" s="936" t="n">
        <f aca="false">IF(G470&gt;H470,G470,H470)*$H$428</f>
        <v>0</v>
      </c>
      <c r="J470" s="931"/>
      <c r="K470" s="937"/>
    </row>
    <row r="471" customFormat="false" ht="15.75" hidden="true" customHeight="false" outlineLevel="0" collapsed="false">
      <c r="A471" s="937"/>
      <c r="B471" s="992" t="str">
        <f aca="false">дома!A1655</f>
        <v>Нет</v>
      </c>
      <c r="C471" s="993" t="str">
        <f aca="false">дома!B1655</f>
        <v>м3</v>
      </c>
      <c r="D471" s="992" t="n">
        <f aca="false">дома!C1655</f>
        <v>0</v>
      </c>
      <c r="E471" s="992" t="n">
        <f aca="false">дома!I1655</f>
        <v>0</v>
      </c>
      <c r="F471" s="992"/>
      <c r="G471" s="967" t="n">
        <f aca="false">IF(F471&gt;0,D471*F471,E471*D471)</f>
        <v>0</v>
      </c>
      <c r="H471" s="975" t="n">
        <f aca="false">D471*E471*$H$429</f>
        <v>0</v>
      </c>
      <c r="I471" s="936" t="n">
        <f aca="false">IF(G471&gt;H471,G471,H471)*$H$428</f>
        <v>0</v>
      </c>
      <c r="J471" s="931"/>
      <c r="K471" s="937"/>
    </row>
    <row r="472" customFormat="false" ht="15.75" hidden="true" customHeight="false" outlineLevel="0" collapsed="false">
      <c r="A472" s="937"/>
      <c r="B472" s="992" t="str">
        <f aca="false">дома!A1656</f>
        <v>Грибок для крепления утеплителя</v>
      </c>
      <c r="C472" s="993" t="str">
        <f aca="false">дома!B1656</f>
        <v>шт</v>
      </c>
      <c r="D472" s="992" t="n">
        <f aca="false">дома!C1656</f>
        <v>0</v>
      </c>
      <c r="E472" s="992" t="n">
        <f aca="false">дома!I1656</f>
        <v>15</v>
      </c>
      <c r="F472" s="992"/>
      <c r="G472" s="967" t="n">
        <f aca="false">IF(F472&gt;0,D472*F472,E472*D472)</f>
        <v>0</v>
      </c>
      <c r="H472" s="975" t="n">
        <f aca="false">D472*E472*$H$429</f>
        <v>0</v>
      </c>
      <c r="I472" s="936" t="n">
        <f aca="false">IF(G472&gt;H472,G472,H472)*$H$428</f>
        <v>0</v>
      </c>
      <c r="J472" s="931"/>
      <c r="K472" s="937"/>
    </row>
    <row r="473" customFormat="false" ht="15.75" hidden="true" customHeight="false" outlineLevel="0" collapsed="false">
      <c r="A473" s="937"/>
      <c r="B473" s="992" t="str">
        <f aca="false">дома!A1657</f>
        <v>нет ветроизоляции</v>
      </c>
      <c r="C473" s="993" t="str">
        <f aca="false">дома!B1657</f>
        <v>м2</v>
      </c>
      <c r="D473" s="992" t="n">
        <f aca="false">дома!C1657</f>
        <v>0</v>
      </c>
      <c r="E473" s="992" t="n">
        <f aca="false">дома!I1657</f>
        <v>0</v>
      </c>
      <c r="F473" s="992"/>
      <c r="G473" s="967" t="n">
        <f aca="false">IF(F473&gt;0,D473*F473,E473*D473)</f>
        <v>0</v>
      </c>
      <c r="H473" s="975" t="n">
        <f aca="false">D473*E473*$H$429</f>
        <v>0</v>
      </c>
      <c r="I473" s="936" t="n">
        <f aca="false">IF(G473&gt;H473,G473,H473)*$H$428</f>
        <v>0</v>
      </c>
      <c r="J473" s="931"/>
      <c r="K473" s="937"/>
    </row>
    <row r="474" customFormat="false" ht="15.75" hidden="true" customHeight="false" outlineLevel="0" collapsed="false">
      <c r="A474" s="937"/>
      <c r="B474" s="973" t="s">
        <v>2247</v>
      </c>
      <c r="C474" s="973"/>
      <c r="D474" s="973"/>
      <c r="E474" s="973"/>
      <c r="F474" s="973"/>
      <c r="G474" s="975" t="n">
        <f aca="false">SUM(G430:G473)*H428</f>
        <v>0</v>
      </c>
      <c r="H474" s="975" t="n">
        <f aca="false">SUM(H430:H473)</f>
        <v>0</v>
      </c>
      <c r="I474" s="936" t="n">
        <f aca="false">IF(G474&gt;H474,G474,H474)*$H$428</f>
        <v>0</v>
      </c>
      <c r="J474" s="931"/>
      <c r="K474" s="937"/>
    </row>
    <row r="475" customFormat="false" ht="15.75" hidden="true" customHeight="false" outlineLevel="0" collapsed="false">
      <c r="A475" s="937"/>
      <c r="B475" s="976" t="s">
        <v>2007</v>
      </c>
      <c r="C475" s="976"/>
      <c r="D475" s="976"/>
      <c r="E475" s="976"/>
      <c r="F475" s="976"/>
      <c r="G475" s="977"/>
      <c r="H475" s="994" t="n">
        <f aca="false">H428</f>
        <v>0</v>
      </c>
      <c r="I475" s="983" t="n">
        <f aca="false">H475</f>
        <v>0</v>
      </c>
      <c r="L475" s="926"/>
      <c r="M475" s="926"/>
      <c r="N475" s="926"/>
    </row>
    <row r="476" customFormat="false" ht="15.75" hidden="true" customHeight="false" outlineLevel="0" collapsed="false">
      <c r="A476" s="931"/>
      <c r="B476" s="995" t="str">
        <f aca="false">дома!L1612</f>
        <v>кладка пенобетона несущие стены</v>
      </c>
      <c r="C476" s="993" t="s">
        <v>1043</v>
      </c>
      <c r="D476" s="992" t="n">
        <f aca="false">дома!O1612</f>
        <v>0</v>
      </c>
      <c r="E476" s="986" t="n">
        <f aca="false">дома!P1612</f>
        <v>3500</v>
      </c>
      <c r="F476" s="986"/>
      <c r="G476" s="967" t="n">
        <f aca="false">IF(F476&gt;0,D476*F476,E476*D476)</f>
        <v>0</v>
      </c>
      <c r="H476" s="970" t="n">
        <f aca="false">D476*E476*$H$475</f>
        <v>0</v>
      </c>
      <c r="I476" s="936" t="n">
        <f aca="false">IF(G476&gt;H476,G476,H476)*$H$428</f>
        <v>0</v>
      </c>
      <c r="L476" s="926"/>
      <c r="M476" s="926"/>
      <c r="N476" s="926"/>
    </row>
    <row r="477" customFormat="false" ht="15.75" hidden="true" customHeight="false" outlineLevel="0" collapsed="false">
      <c r="A477" s="937"/>
      <c r="B477" s="995" t="str">
        <f aca="false">дома!L1613</f>
        <v>кладка пенобетона несущие перегородки</v>
      </c>
      <c r="C477" s="1015" t="s">
        <v>1043</v>
      </c>
      <c r="D477" s="992" t="n">
        <f aca="false">дома!O1613</f>
        <v>0</v>
      </c>
      <c r="E477" s="986" t="n">
        <f aca="false">дома!P1613</f>
        <v>3500</v>
      </c>
      <c r="F477" s="986"/>
      <c r="G477" s="967" t="n">
        <f aca="false">IF(F477&gt;0,D477*F477,E477*D477)</f>
        <v>0</v>
      </c>
      <c r="H477" s="970" t="n">
        <f aca="false">D477*E477*$H$475</f>
        <v>0</v>
      </c>
      <c r="I477" s="936" t="n">
        <f aca="false">IF(G477&gt;H477,G477,H477)*$H$428</f>
        <v>0</v>
      </c>
      <c r="L477" s="926"/>
      <c r="M477" s="926"/>
      <c r="N477" s="926"/>
    </row>
    <row r="478" customFormat="false" ht="15.75" hidden="true" customHeight="false" outlineLevel="0" collapsed="false">
      <c r="A478" s="937"/>
      <c r="B478" s="995" t="str">
        <f aca="false">дома!L1614</f>
        <v>кладка пенобетона перегородки</v>
      </c>
      <c r="C478" s="993" t="s">
        <v>820</v>
      </c>
      <c r="D478" s="992" t="n">
        <f aca="false">дома!O1614</f>
        <v>0</v>
      </c>
      <c r="E478" s="986" t="n">
        <f aca="false">дома!P1614</f>
        <v>450</v>
      </c>
      <c r="F478" s="986"/>
      <c r="G478" s="967" t="n">
        <f aca="false">IF(F478&gt;0,D478*F478,E478*D478)</f>
        <v>0</v>
      </c>
      <c r="H478" s="970" t="n">
        <f aca="false">D478*E478*$H$475</f>
        <v>0</v>
      </c>
      <c r="I478" s="936" t="n">
        <f aca="false">IF(G478&gt;H478,G478,H478)*$H$428</f>
        <v>0</v>
      </c>
      <c r="L478" s="926"/>
      <c r="M478" s="926"/>
      <c r="N478" s="926"/>
    </row>
    <row r="479" customFormat="false" ht="15.75" hidden="true" customHeight="false" outlineLevel="0" collapsed="false">
      <c r="A479" s="937"/>
      <c r="B479" s="995" t="str">
        <f aca="false">дома!L1615</f>
        <v>изготовление и монтаж перемычек для окон и дверей</v>
      </c>
      <c r="C479" s="993" t="s">
        <v>15</v>
      </c>
      <c r="D479" s="992" t="n">
        <f aca="false">дома!O1615</f>
        <v>10.49</v>
      </c>
      <c r="E479" s="986" t="n">
        <f aca="false">дома!P1615</f>
        <v>500</v>
      </c>
      <c r="F479" s="986"/>
      <c r="G479" s="967" t="n">
        <f aca="false">IF(F479&gt;0,D479*F479,E479*D479)</f>
        <v>5245</v>
      </c>
      <c r="H479" s="970" t="n">
        <f aca="false">D479*E479*$H$475</f>
        <v>0</v>
      </c>
      <c r="I479" s="936" t="n">
        <f aca="false">IF(G479&gt;H479,G479,H479)*$H$428</f>
        <v>0</v>
      </c>
      <c r="L479" s="926"/>
      <c r="M479" s="926"/>
      <c r="N479" s="926"/>
    </row>
    <row r="480" customFormat="false" ht="15.75" hidden="true" customHeight="false" outlineLevel="0" collapsed="false">
      <c r="A480" s="937"/>
      <c r="B480" s="995" t="str">
        <f aca="false">дома!L1616</f>
        <v>Замешивание раствора</v>
      </c>
      <c r="C480" s="993" t="s">
        <v>1043</v>
      </c>
      <c r="D480" s="992" t="n">
        <f aca="false">дома!O1616</f>
        <v>0</v>
      </c>
      <c r="E480" s="986" t="n">
        <f aca="false">дома!P1616</f>
        <v>1500</v>
      </c>
      <c r="F480" s="986"/>
      <c r="G480" s="967" t="n">
        <f aca="false">IF(F480&gt;0,D480*F480,E480*D480)</f>
        <v>0</v>
      </c>
      <c r="H480" s="970" t="n">
        <f aca="false">D480*E480*$H$475</f>
        <v>0</v>
      </c>
      <c r="I480" s="936" t="n">
        <f aca="false">IF(G480&gt;H480,G480,H480)*$H$428</f>
        <v>0</v>
      </c>
      <c r="L480" s="926"/>
      <c r="M480" s="926"/>
      <c r="N480" s="926"/>
    </row>
    <row r="481" customFormat="false" ht="15.75" hidden="true" customHeight="false" outlineLevel="0" collapsed="false">
      <c r="A481" s="937"/>
      <c r="B481" s="995" t="str">
        <f aca="false">дома!L1617</f>
        <v>Армирование стен наружних и перегородок</v>
      </c>
      <c r="C481" s="993" t="s">
        <v>15</v>
      </c>
      <c r="D481" s="992" t="n">
        <f aca="false">дома!O1617</f>
        <v>348.666666666667</v>
      </c>
      <c r="E481" s="986" t="n">
        <f aca="false">дома!P1617</f>
        <v>70</v>
      </c>
      <c r="F481" s="986"/>
      <c r="G481" s="967" t="n">
        <f aca="false">IF(F481&gt;0,D481*F481,E481*D481)</f>
        <v>24406.6666666667</v>
      </c>
      <c r="H481" s="970" t="n">
        <f aca="false">D481*E481*$H$475</f>
        <v>0</v>
      </c>
      <c r="I481" s="936" t="n">
        <f aca="false">IF(G481&gt;H481,G481,H481)*$H$428</f>
        <v>0</v>
      </c>
      <c r="L481" s="926"/>
      <c r="M481" s="926"/>
      <c r="N481" s="926"/>
    </row>
    <row r="482" customFormat="false" ht="15.75" hidden="true" customHeight="false" outlineLevel="0" collapsed="false">
      <c r="A482" s="937"/>
      <c r="B482" s="995" t="str">
        <f aca="false">дома!L1618</f>
        <v>Установка опалубки для сейсмопояса</v>
      </c>
      <c r="C482" s="993" t="s">
        <v>15</v>
      </c>
      <c r="D482" s="992" t="n">
        <f aca="false">дома!O1618</f>
        <v>76.5</v>
      </c>
      <c r="E482" s="986" t="n">
        <f aca="false">дома!P1618</f>
        <v>300</v>
      </c>
      <c r="F482" s="986"/>
      <c r="G482" s="967" t="n">
        <f aca="false">IF(F482&gt;0,D482*F482,E482*D482)</f>
        <v>22950</v>
      </c>
      <c r="H482" s="970" t="n">
        <f aca="false">D482*E482*$H$475</f>
        <v>0</v>
      </c>
      <c r="I482" s="936" t="n">
        <f aca="false">IF(G482&gt;H482,G482,H482)*$H$428</f>
        <v>0</v>
      </c>
      <c r="L482" s="926"/>
      <c r="M482" s="926"/>
      <c r="N482" s="926"/>
    </row>
    <row r="483" customFormat="false" ht="15.75" hidden="true" customHeight="false" outlineLevel="0" collapsed="false">
      <c r="A483" s="937"/>
      <c r="B483" s="995" t="str">
        <f aca="false">дома!L1619</f>
        <v>Армирование сейсмопояса</v>
      </c>
      <c r="C483" s="993" t="s">
        <v>15</v>
      </c>
      <c r="D483" s="992" t="n">
        <f aca="false">дома!O1619</f>
        <v>76.5</v>
      </c>
      <c r="E483" s="986" t="n">
        <f aca="false">дома!P1619</f>
        <v>500</v>
      </c>
      <c r="F483" s="986"/>
      <c r="G483" s="967" t="n">
        <f aca="false">IF(F483&gt;0,D483*F483,E483*D483)</f>
        <v>38250</v>
      </c>
      <c r="H483" s="970" t="n">
        <f aca="false">D483*E483*$H$475</f>
        <v>0</v>
      </c>
      <c r="I483" s="936" t="n">
        <f aca="false">IF(G483&gt;H483,G483,H483)*$H$428</f>
        <v>0</v>
      </c>
      <c r="J483" s="931"/>
      <c r="K483" s="937"/>
    </row>
    <row r="484" customFormat="false" ht="15.75" hidden="true" customHeight="false" outlineLevel="0" collapsed="false">
      <c r="A484" s="937"/>
      <c r="B484" s="995" t="str">
        <f aca="false">дома!L1620</f>
        <v>Заливка бетоном сейсмопояса</v>
      </c>
      <c r="C484" s="993" t="s">
        <v>15</v>
      </c>
      <c r="D484" s="992" t="n">
        <f aca="false">дома!O1620</f>
        <v>76.5</v>
      </c>
      <c r="E484" s="986" t="n">
        <f aca="false">дома!P1620</f>
        <v>700</v>
      </c>
      <c r="F484" s="986"/>
      <c r="G484" s="967" t="n">
        <f aca="false">IF(F484&gt;0,D484*F484,E484*D484)</f>
        <v>53550</v>
      </c>
      <c r="H484" s="970" t="n">
        <f aca="false">D484*E484*$H$475</f>
        <v>0</v>
      </c>
      <c r="I484" s="936" t="n">
        <f aca="false">IF(G484&gt;H484,G484,H484)*$H$428</f>
        <v>0</v>
      </c>
      <c r="J484" s="931"/>
      <c r="K484" s="937"/>
    </row>
    <row r="485" customFormat="false" ht="15.75" hidden="true" customHeight="false" outlineLevel="0" collapsed="false">
      <c r="A485" s="937"/>
      <c r="B485" s="995" t="str">
        <f aca="false">дома!L1621</f>
        <v>утепление стен снаружи дома</v>
      </c>
      <c r="C485" s="993" t="s">
        <v>820</v>
      </c>
      <c r="D485" s="992" t="n">
        <f aca="false">дома!O1621</f>
        <v>0</v>
      </c>
      <c r="E485" s="986" t="n">
        <f aca="false">дома!P1621</f>
        <v>350</v>
      </c>
      <c r="F485" s="986"/>
      <c r="G485" s="967" t="n">
        <f aca="false">IF(F485&gt;0,D485*F485,E485*D485)</f>
        <v>0</v>
      </c>
      <c r="H485" s="970" t="n">
        <f aca="false">D485*E485*$H$475</f>
        <v>0</v>
      </c>
      <c r="I485" s="936" t="n">
        <f aca="false">IF(G485&gt;H485,G485,H485)*$H$428</f>
        <v>0</v>
      </c>
      <c r="J485" s="931"/>
      <c r="K485" s="937"/>
    </row>
    <row r="486" customFormat="false" ht="15.75" hidden="true" customHeight="false" outlineLevel="0" collapsed="false">
      <c r="A486" s="937"/>
      <c r="B486" s="995" t="str">
        <f aca="false">дома!L1622</f>
        <v>монтаж ветроизоляции стен</v>
      </c>
      <c r="C486" s="993" t="s">
        <v>820</v>
      </c>
      <c r="D486" s="992" t="n">
        <f aca="false">дома!O1622</f>
        <v>0</v>
      </c>
      <c r="E486" s="986" t="n">
        <f aca="false">дома!P1622</f>
        <v>100</v>
      </c>
      <c r="F486" s="986"/>
      <c r="G486" s="967" t="n">
        <f aca="false">IF(F486&gt;0,D486*F486,E486*D486)</f>
        <v>0</v>
      </c>
      <c r="H486" s="970" t="n">
        <f aca="false">D486*E486*$H$475</f>
        <v>0</v>
      </c>
      <c r="I486" s="936" t="n">
        <f aca="false">IF(G486&gt;H486,G486,H486)*$H$428</f>
        <v>0</v>
      </c>
      <c r="J486" s="931"/>
      <c r="K486" s="937"/>
    </row>
    <row r="487" customFormat="false" ht="15.75" hidden="true" customHeight="false" outlineLevel="0" collapsed="false">
      <c r="A487" s="956"/>
      <c r="B487" s="973" t="s">
        <v>2248</v>
      </c>
      <c r="C487" s="973"/>
      <c r="D487" s="973"/>
      <c r="E487" s="973"/>
      <c r="F487" s="973"/>
      <c r="G487" s="970" t="n">
        <f aca="false">SUM(G476:G486)*H475</f>
        <v>0</v>
      </c>
      <c r="H487" s="970" t="n">
        <f aca="false">SUM(H476:H486)</f>
        <v>0</v>
      </c>
      <c r="I487" s="936" t="n">
        <f aca="false">IF(G487&gt;H487,G487,H487)*$H$428</f>
        <v>0</v>
      </c>
      <c r="J487" s="955"/>
      <c r="K487" s="956"/>
      <c r="L487" s="955"/>
      <c r="M487" s="955"/>
      <c r="N487" s="955"/>
      <c r="O487" s="955"/>
      <c r="P487" s="955"/>
      <c r="Q487" s="955"/>
      <c r="R487" s="955"/>
      <c r="S487" s="955"/>
      <c r="T487" s="955"/>
      <c r="U487" s="955"/>
      <c r="V487" s="955"/>
      <c r="W487" s="955"/>
      <c r="X487" s="955"/>
      <c r="Y487" s="955"/>
      <c r="Z487" s="955"/>
      <c r="AA487" s="955"/>
      <c r="AB487" s="955"/>
      <c r="AC487" s="955"/>
      <c r="AD487" s="955"/>
      <c r="AE487" s="955"/>
      <c r="AF487" s="955"/>
      <c r="AG487" s="955"/>
      <c r="AH487" s="955"/>
    </row>
    <row r="488" s="931" customFormat="true" ht="21" hidden="false" customHeight="false" outlineLevel="0" collapsed="false">
      <c r="B488" s="1016" t="s">
        <v>25</v>
      </c>
      <c r="C488" s="1016"/>
      <c r="D488" s="1016"/>
      <c r="E488" s="1016"/>
      <c r="F488" s="1017"/>
      <c r="G488" s="977"/>
      <c r="H488" s="1018" t="n">
        <f aca="false">IF('Ввод данных'!$A$19=связи1!A153,1,0)+IF('Ввод данных'!$A$19=связи1!A160,1,0)+IF('Ввод данных'!$A$19=связи1!A161,1,0)+IF('Ввод данных'!$A$19=связи1!A162,1,0)+IF('Ввод данных'!$A$19=связи1!A163,1,0)+IF('Ввод данных'!$A$19=связи1!A164,1,0)+IF('Ввод данных'!$A$19=связи1!A165,1,0)+IF('Ввод данных'!$A$19=связи1!A166,1,0)+IF('Ввод данных'!$A$19=связи1!A167,1,0)+IF('Ввод данных'!$A$19=связи1!A168,1,0)</f>
        <v>1</v>
      </c>
      <c r="I488" s="983" t="n">
        <f aca="false">H488</f>
        <v>1</v>
      </c>
    </row>
    <row r="489" s="931" customFormat="true" ht="15.75" hidden="false" customHeight="false" outlineLevel="0" collapsed="false">
      <c r="B489" s="1008" t="s">
        <v>2246</v>
      </c>
      <c r="C489" s="1008"/>
      <c r="D489" s="1008"/>
      <c r="E489" s="1008"/>
      <c r="F489" s="1008"/>
      <c r="G489" s="977"/>
      <c r="H489" s="1009" t="n">
        <f aca="false">H488</f>
        <v>1</v>
      </c>
      <c r="I489" s="983" t="n">
        <f aca="false">H489</f>
        <v>1</v>
      </c>
    </row>
    <row r="490" s="931" customFormat="true" ht="15.75" hidden="false" customHeight="false" outlineLevel="0" collapsed="false">
      <c r="A490" s="937"/>
      <c r="B490" s="1002" t="str">
        <f aca="false">дома!A1697</f>
        <v>0,7НФ/150/75 Красный</v>
      </c>
      <c r="C490" s="1003" t="str">
        <f aca="false">дома!B1697</f>
        <v>м3</v>
      </c>
      <c r="D490" s="953" t="n">
        <f aca="false">дома!C1697</f>
        <v>60.52816</v>
      </c>
      <c r="E490" s="1004" t="n">
        <f aca="false">дома!I1697</f>
        <v>8379.57</v>
      </c>
      <c r="F490" s="1004"/>
      <c r="G490" s="967" t="n">
        <f aca="false">IF(F490&gt;0,D490*F490,E490*D490)</f>
        <v>507199.9536912</v>
      </c>
      <c r="H490" s="1004" t="n">
        <f aca="false">D490*E490*$H$488</f>
        <v>507199.9536912</v>
      </c>
      <c r="I490" s="936" t="n">
        <f aca="false">IF(G490&gt;H490,G490,H490)*$H$488</f>
        <v>507199.9536912</v>
      </c>
    </row>
    <row r="491" s="931" customFormat="true" ht="15.75" hidden="false" customHeight="false" outlineLevel="0" collapsed="false">
      <c r="A491" s="937"/>
      <c r="B491" s="1002" t="str">
        <f aca="false">дома!A1698</f>
        <v>0,7НФ/150/75 Красный</v>
      </c>
      <c r="C491" s="1003" t="str">
        <f aca="false">дома!B1698</f>
        <v>м3</v>
      </c>
      <c r="D491" s="953" t="n">
        <f aca="false">дома!C1698</f>
        <v>17.24844</v>
      </c>
      <c r="E491" s="1004" t="n">
        <f aca="false">дома!I1698</f>
        <v>8379.57</v>
      </c>
      <c r="F491" s="1004"/>
      <c r="G491" s="967" t="n">
        <f aca="false">IF(F491&gt;0,D491*F491,E491*D491)</f>
        <v>144534.5103708</v>
      </c>
      <c r="H491" s="1004" t="n">
        <f aca="false">D491*E491*$H$488</f>
        <v>144534.5103708</v>
      </c>
      <c r="I491" s="936" t="n">
        <f aca="false">IF(G491&gt;H491,G491,H491)*$H$488</f>
        <v>144534.5103708</v>
      </c>
    </row>
    <row r="492" s="931" customFormat="true" ht="15.75" hidden="false" customHeight="false" outlineLevel="0" collapsed="false">
      <c r="A492" s="937"/>
      <c r="B492" s="1002" t="str">
        <f aca="false">дома!A1699</f>
        <v>0,7НФ/150/75 Красный</v>
      </c>
      <c r="C492" s="1003" t="str">
        <f aca="false">дома!B1699</f>
        <v>м3</v>
      </c>
      <c r="D492" s="953" t="n">
        <f aca="false">дома!C1699</f>
        <v>3.84384</v>
      </c>
      <c r="E492" s="1004" t="n">
        <f aca="false">дома!I1699</f>
        <v>8379.57</v>
      </c>
      <c r="F492" s="1004"/>
      <c r="G492" s="967" t="n">
        <f aca="false">IF(F492&gt;0,D492*F492,E492*D492)</f>
        <v>32209.7263488</v>
      </c>
      <c r="H492" s="1004" t="n">
        <f aca="false">D492*E492*$H$488</f>
        <v>32209.7263488</v>
      </c>
      <c r="I492" s="936" t="n">
        <f aca="false">IF(G492&gt;H492,G492,H492)*$H$488</f>
        <v>32209.7263488</v>
      </c>
    </row>
    <row r="493" s="931" customFormat="true" ht="15.75" hidden="false" customHeight="false" outlineLevel="0" collapsed="false">
      <c r="A493" s="937"/>
      <c r="B493" s="1002" t="str">
        <f aca="false">дома!A1700</f>
        <v>Перемычка оконная, 1-ый эт. Вариант 1</v>
      </c>
      <c r="C493" s="1003" t="str">
        <f aca="false">дома!B1700</f>
        <v>м.п.</v>
      </c>
      <c r="D493" s="953" t="n">
        <f aca="false">дома!C1700</f>
        <v>1</v>
      </c>
      <c r="E493" s="1004" t="n">
        <f aca="false">дома!I1700</f>
        <v>1000</v>
      </c>
      <c r="F493" s="1004"/>
      <c r="G493" s="967" t="n">
        <f aca="false">IF(F493&gt;0,D493*F493,E493*D493)</f>
        <v>1000</v>
      </c>
      <c r="H493" s="1004" t="n">
        <f aca="false">D493*E493*$H$488</f>
        <v>1000</v>
      </c>
      <c r="I493" s="936" t="n">
        <f aca="false">IF(G493&gt;H493,G493,H493)*$H$488</f>
        <v>1000</v>
      </c>
    </row>
    <row r="494" s="931" customFormat="true" ht="15.75" hidden="true" customHeight="false" outlineLevel="0" collapsed="false">
      <c r="A494" s="937"/>
      <c r="B494" s="1002" t="str">
        <f aca="false">дома!A1701</f>
        <v>Перемычка оконная, 1-ый эт. Вариант 2</v>
      </c>
      <c r="C494" s="1003" t="str">
        <f aca="false">дома!B1701</f>
        <v>м.п.</v>
      </c>
      <c r="D494" s="953" t="n">
        <f aca="false">дома!C1701</f>
        <v>0</v>
      </c>
      <c r="E494" s="1004" t="n">
        <f aca="false">дома!I1701</f>
        <v>1000</v>
      </c>
      <c r="F494" s="1004"/>
      <c r="G494" s="967" t="n">
        <f aca="false">IF(F494&gt;0,D494*F494,E494*D494)</f>
        <v>0</v>
      </c>
      <c r="H494" s="1004" t="n">
        <f aca="false">D494*E494*$H$488</f>
        <v>0</v>
      </c>
      <c r="I494" s="936" t="n">
        <f aca="false">IF(G494&gt;H494,G494,H494)*$H$488</f>
        <v>0</v>
      </c>
    </row>
    <row r="495" s="931" customFormat="true" ht="15.75" hidden="true" customHeight="false" outlineLevel="0" collapsed="false">
      <c r="A495" s="937"/>
      <c r="B495" s="1002" t="str">
        <f aca="false">дома!A1702</f>
        <v>Перемычка оконная, 1-ый эт. Вариант 3</v>
      </c>
      <c r="C495" s="1003" t="str">
        <f aca="false">дома!B1702</f>
        <v>м.п.</v>
      </c>
      <c r="D495" s="953" t="n">
        <f aca="false">дома!C1702</f>
        <v>0</v>
      </c>
      <c r="E495" s="1004" t="n">
        <f aca="false">дома!I1702</f>
        <v>1000</v>
      </c>
      <c r="F495" s="1004"/>
      <c r="G495" s="967" t="n">
        <f aca="false">IF(F495&gt;0,D495*F495,E495*D495)</f>
        <v>0</v>
      </c>
      <c r="H495" s="1004" t="n">
        <f aca="false">D495*E495*$H$488</f>
        <v>0</v>
      </c>
      <c r="I495" s="936" t="n">
        <f aca="false">IF(G495&gt;H495,G495,H495)*$H$488</f>
        <v>0</v>
      </c>
    </row>
    <row r="496" s="931" customFormat="true" ht="15.75" hidden="true" customHeight="false" outlineLevel="0" collapsed="false">
      <c r="A496" s="937"/>
      <c r="B496" s="1002" t="str">
        <f aca="false">дома!A1703</f>
        <v>Перемычка оконная, 1-ый эт. Вариант 4</v>
      </c>
      <c r="C496" s="1003" t="str">
        <f aca="false">дома!B1703</f>
        <v>м.п.</v>
      </c>
      <c r="D496" s="953" t="n">
        <f aca="false">дома!C1703</f>
        <v>0</v>
      </c>
      <c r="E496" s="1004" t="n">
        <f aca="false">дома!I1703</f>
        <v>1000</v>
      </c>
      <c r="F496" s="1004"/>
      <c r="G496" s="967" t="n">
        <f aca="false">IF(F496&gt;0,D496*F496,E496*D496)</f>
        <v>0</v>
      </c>
      <c r="H496" s="1004" t="n">
        <f aca="false">D496*E496*$H$488</f>
        <v>0</v>
      </c>
      <c r="I496" s="936" t="n">
        <f aca="false">IF(G496&gt;H496,G496,H496)*$H$488</f>
        <v>0</v>
      </c>
    </row>
    <row r="497" s="931" customFormat="true" ht="15.75" hidden="true" customHeight="false" outlineLevel="0" collapsed="false">
      <c r="A497" s="937"/>
      <c r="B497" s="1002" t="str">
        <f aca="false">дома!A1704</f>
        <v>Перемычка оконная, 1-ый эт. Вариант 5</v>
      </c>
      <c r="C497" s="1003" t="str">
        <f aca="false">дома!B1704</f>
        <v>м.п.</v>
      </c>
      <c r="D497" s="953" t="n">
        <f aca="false">дома!C1704</f>
        <v>0</v>
      </c>
      <c r="E497" s="1004" t="n">
        <f aca="false">дома!I1704</f>
        <v>1000</v>
      </c>
      <c r="F497" s="1004"/>
      <c r="G497" s="967" t="n">
        <f aca="false">IF(F497&gt;0,D497*F497,E497*D497)</f>
        <v>0</v>
      </c>
      <c r="H497" s="1004" t="n">
        <f aca="false">D497*E497*$H$488</f>
        <v>0</v>
      </c>
      <c r="I497" s="936" t="n">
        <f aca="false">IF(G497&gt;H497,G497,H497)*$H$488</f>
        <v>0</v>
      </c>
    </row>
    <row r="498" s="931" customFormat="true" ht="15.75" hidden="true" customHeight="false" outlineLevel="0" collapsed="false">
      <c r="A498" s="937"/>
      <c r="B498" s="1002" t="str">
        <f aca="false">дома!A1705</f>
        <v>Перемычка оконная, 2-ый эт. Вариант 6</v>
      </c>
      <c r="C498" s="1003" t="str">
        <f aca="false">дома!B1705</f>
        <v>м.п.</v>
      </c>
      <c r="D498" s="953" t="n">
        <f aca="false">дома!C1705</f>
        <v>0</v>
      </c>
      <c r="E498" s="1004" t="n">
        <f aca="false">дома!I1705</f>
        <v>1000</v>
      </c>
      <c r="F498" s="1004"/>
      <c r="G498" s="967" t="n">
        <f aca="false">IF(F498&gt;0,D498*F498,E498*D498)</f>
        <v>0</v>
      </c>
      <c r="H498" s="1004" t="n">
        <f aca="false">D498*E498*$H$488</f>
        <v>0</v>
      </c>
      <c r="I498" s="936" t="n">
        <f aca="false">IF(G498&gt;H498,G498,H498)*$H$488</f>
        <v>0</v>
      </c>
    </row>
    <row r="499" s="931" customFormat="true" ht="15.75" hidden="true" customHeight="false" outlineLevel="0" collapsed="false">
      <c r="A499" s="937"/>
      <c r="B499" s="1002" t="str">
        <f aca="false">дома!A1706</f>
        <v>Перемычка оконная, 2-ый эт. Вариант 7</v>
      </c>
      <c r="C499" s="1003" t="str">
        <f aca="false">дома!B1706</f>
        <v>м.п.</v>
      </c>
      <c r="D499" s="953" t="n">
        <f aca="false">дома!C1706</f>
        <v>0</v>
      </c>
      <c r="E499" s="1004" t="n">
        <f aca="false">дома!I1706</f>
        <v>1000</v>
      </c>
      <c r="F499" s="1004"/>
      <c r="G499" s="967" t="n">
        <f aca="false">IF(F499&gt;0,D499*F499,E499*D499)</f>
        <v>0</v>
      </c>
      <c r="H499" s="1004" t="n">
        <f aca="false">D499*E499*$H$488</f>
        <v>0</v>
      </c>
      <c r="I499" s="936" t="n">
        <f aca="false">IF(G499&gt;H499,G499,H499)*$H$488</f>
        <v>0</v>
      </c>
    </row>
    <row r="500" s="931" customFormat="true" ht="15.75" hidden="true" customHeight="false" outlineLevel="0" collapsed="false">
      <c r="A500" s="937"/>
      <c r="B500" s="1002" t="str">
        <f aca="false">дома!A1707</f>
        <v>Перемычка оконная, 2-ый эт. Вариант 8</v>
      </c>
      <c r="C500" s="1003" t="str">
        <f aca="false">дома!B1707</f>
        <v>м.п.</v>
      </c>
      <c r="D500" s="953" t="n">
        <f aca="false">дома!C1707</f>
        <v>0</v>
      </c>
      <c r="E500" s="1004" t="n">
        <f aca="false">дома!I1707</f>
        <v>1000</v>
      </c>
      <c r="F500" s="1004"/>
      <c r="G500" s="967" t="n">
        <f aca="false">IF(F500&gt;0,D500*F500,E500*D500)</f>
        <v>0</v>
      </c>
      <c r="H500" s="1004" t="n">
        <f aca="false">D500*E500*$H$488</f>
        <v>0</v>
      </c>
      <c r="I500" s="936" t="n">
        <f aca="false">IF(G500&gt;H500,G500,H500)*$H$488</f>
        <v>0</v>
      </c>
    </row>
    <row r="501" s="931" customFormat="true" ht="15.75" hidden="true" customHeight="false" outlineLevel="0" collapsed="false">
      <c r="A501" s="937"/>
      <c r="B501" s="1002" t="str">
        <f aca="false">дома!A1708</f>
        <v>Перемычка оконная, 2-ый эт. Вариант 9</v>
      </c>
      <c r="C501" s="1003" t="str">
        <f aca="false">дома!B1708</f>
        <v>м.п.</v>
      </c>
      <c r="D501" s="953" t="n">
        <f aca="false">дома!C1708</f>
        <v>0</v>
      </c>
      <c r="E501" s="1004" t="n">
        <f aca="false">дома!I1708</f>
        <v>1000</v>
      </c>
      <c r="F501" s="1004"/>
      <c r="G501" s="967" t="n">
        <f aca="false">IF(F501&gt;0,D501*F501,E501*D501)</f>
        <v>0</v>
      </c>
      <c r="H501" s="1004" t="n">
        <f aca="false">D501*E501*$H$488</f>
        <v>0</v>
      </c>
      <c r="I501" s="936" t="n">
        <f aca="false">IF(G501&gt;H501,G501,H501)*$H$488</f>
        <v>0</v>
      </c>
    </row>
    <row r="502" s="931" customFormat="true" ht="15.75" hidden="true" customHeight="false" outlineLevel="0" collapsed="false">
      <c r="A502" s="937"/>
      <c r="B502" s="1002" t="str">
        <f aca="false">дома!A1709</f>
        <v>Перемычка оконная, 2-ый эт. Вариант 10</v>
      </c>
      <c r="C502" s="1003" t="str">
        <f aca="false">дома!B1709</f>
        <v>м.п.</v>
      </c>
      <c r="D502" s="953" t="n">
        <f aca="false">дома!C1709</f>
        <v>0</v>
      </c>
      <c r="E502" s="1004" t="n">
        <f aca="false">дома!I1709</f>
        <v>1000</v>
      </c>
      <c r="F502" s="1004"/>
      <c r="G502" s="967" t="n">
        <f aca="false">IF(F502&gt;0,D502*F502,E502*D502)</f>
        <v>0</v>
      </c>
      <c r="H502" s="1004" t="n">
        <f aca="false">D502*E502*$H$488</f>
        <v>0</v>
      </c>
      <c r="I502" s="936" t="n">
        <f aca="false">IF(G502&gt;H502,G502,H502)*$H$488</f>
        <v>0</v>
      </c>
    </row>
    <row r="503" s="931" customFormat="true" ht="15.75" hidden="true" customHeight="false" outlineLevel="0" collapsed="false">
      <c r="A503" s="937"/>
      <c r="B503" s="1002" t="str">
        <f aca="false">дома!A1710</f>
        <v>Перемычка дверная, 1-ый эт. Вариант 1</v>
      </c>
      <c r="C503" s="1003" t="str">
        <f aca="false">дома!B1710</f>
        <v>м.п.</v>
      </c>
      <c r="D503" s="953" t="n">
        <f aca="false">дома!C1710</f>
        <v>0</v>
      </c>
      <c r="E503" s="1004" t="n">
        <f aca="false">дома!I1710</f>
        <v>1000</v>
      </c>
      <c r="F503" s="1004"/>
      <c r="G503" s="967" t="n">
        <f aca="false">IF(F503&gt;0,D503*F503,E503*D503)</f>
        <v>0</v>
      </c>
      <c r="H503" s="1004" t="n">
        <f aca="false">D503*E503*$H$488</f>
        <v>0</v>
      </c>
      <c r="I503" s="936" t="n">
        <f aca="false">IF(G503&gt;H503,G503,H503)*$H$488</f>
        <v>0</v>
      </c>
    </row>
    <row r="504" s="931" customFormat="true" ht="15.75" hidden="true" customHeight="false" outlineLevel="0" collapsed="false">
      <c r="A504" s="937"/>
      <c r="B504" s="1002" t="str">
        <f aca="false">дома!A1711</f>
        <v>Перемычка дверная, 2-ый эт. Вариант 2</v>
      </c>
      <c r="C504" s="1003" t="str">
        <f aca="false">дома!B1711</f>
        <v>м.п.</v>
      </c>
      <c r="D504" s="953" t="n">
        <f aca="false">дома!C1711</f>
        <v>0</v>
      </c>
      <c r="E504" s="1004" t="n">
        <f aca="false">дома!I1711</f>
        <v>1000</v>
      </c>
      <c r="F504" s="1004"/>
      <c r="G504" s="967" t="n">
        <f aca="false">IF(F504&gt;0,D504*F504,E504*D504)</f>
        <v>0</v>
      </c>
      <c r="H504" s="1004" t="n">
        <f aca="false">D504*E504*$H$488</f>
        <v>0</v>
      </c>
      <c r="I504" s="936" t="n">
        <f aca="false">IF(G504&gt;H504,G504,H504)*$H$488</f>
        <v>0</v>
      </c>
    </row>
    <row r="505" s="931" customFormat="true" ht="15.75" hidden="true" customHeight="false" outlineLevel="0" collapsed="false">
      <c r="A505" s="937"/>
      <c r="B505" s="1002" t="str">
        <f aca="false">дома!A1712</f>
        <v>Перемычка оконная 1-ый эт, Вариант 11</v>
      </c>
      <c r="C505" s="1003" t="str">
        <f aca="false">дома!B1712</f>
        <v>м.п.</v>
      </c>
      <c r="D505" s="953" t="n">
        <f aca="false">дома!C1712</f>
        <v>0</v>
      </c>
      <c r="E505" s="1004" t="n">
        <f aca="false">дома!I1712</f>
        <v>1000</v>
      </c>
      <c r="F505" s="1004"/>
      <c r="G505" s="967" t="n">
        <f aca="false">IF(F505&gt;0,D505*F505,E505*D505)</f>
        <v>0</v>
      </c>
      <c r="H505" s="1004" t="n">
        <f aca="false">D505*E505*$H$488</f>
        <v>0</v>
      </c>
      <c r="I505" s="936" t="n">
        <f aca="false">IF(G505&gt;H505,G505,H505)*$H$488</f>
        <v>0</v>
      </c>
    </row>
    <row r="506" s="931" customFormat="true" ht="15.75" hidden="true" customHeight="false" outlineLevel="0" collapsed="false">
      <c r="A506" s="937"/>
      <c r="B506" s="1002" t="str">
        <f aca="false">дома!A1713</f>
        <v>Перемычка оконная 1-ый эт, Вариант 12</v>
      </c>
      <c r="C506" s="1003" t="str">
        <f aca="false">дома!B1713</f>
        <v>м.п.</v>
      </c>
      <c r="D506" s="953" t="n">
        <f aca="false">дома!C1713</f>
        <v>0</v>
      </c>
      <c r="E506" s="1004" t="n">
        <f aca="false">дома!I1713</f>
        <v>1000</v>
      </c>
      <c r="F506" s="1004"/>
      <c r="G506" s="967" t="n">
        <f aca="false">IF(F506&gt;0,D506*F506,E506*D506)</f>
        <v>0</v>
      </c>
      <c r="H506" s="1004" t="n">
        <f aca="false">D506*E506*$H$488</f>
        <v>0</v>
      </c>
      <c r="I506" s="936" t="n">
        <f aca="false">IF(G506&gt;H506,G506,H506)*$H$488</f>
        <v>0</v>
      </c>
    </row>
    <row r="507" s="931" customFormat="true" ht="15.75" hidden="false" customHeight="false" outlineLevel="0" collapsed="false">
      <c r="A507" s="937"/>
      <c r="B507" s="1002" t="str">
        <f aca="false">дома!A1714</f>
        <v>Перемычка дверная, 1-ый эт. Вариант 4</v>
      </c>
      <c r="C507" s="1003" t="str">
        <f aca="false">дома!B1714</f>
        <v>м.п.</v>
      </c>
      <c r="D507" s="953" t="n">
        <f aca="false">дома!C1714</f>
        <v>3</v>
      </c>
      <c r="E507" s="1004" t="n">
        <f aca="false">дома!I1714</f>
        <v>1000</v>
      </c>
      <c r="F507" s="1004"/>
      <c r="G507" s="967" t="n">
        <f aca="false">IF(F507&gt;0,D507*F507,E507*D507)</f>
        <v>3000</v>
      </c>
      <c r="H507" s="1004" t="n">
        <f aca="false">D507*E507*$H$488</f>
        <v>3000</v>
      </c>
      <c r="I507" s="936" t="n">
        <f aca="false">IF(G507&gt;H507,G507,H507)*$H$488</f>
        <v>3000</v>
      </c>
    </row>
    <row r="508" s="931" customFormat="true" ht="15.75" hidden="true" customHeight="false" outlineLevel="0" collapsed="false">
      <c r="A508" s="937"/>
      <c r="B508" s="1002" t="str">
        <f aca="false">дома!A1715</f>
        <v>Перемычка дверная, 1-ый эт. Вариант 5</v>
      </c>
      <c r="C508" s="1003" t="str">
        <f aca="false">дома!B1715</f>
        <v>м.п.</v>
      </c>
      <c r="D508" s="953" t="n">
        <f aca="false">дома!C1715</f>
        <v>0</v>
      </c>
      <c r="E508" s="1004" t="n">
        <f aca="false">дома!I1715</f>
        <v>1000</v>
      </c>
      <c r="F508" s="1004"/>
      <c r="G508" s="967" t="n">
        <f aca="false">IF(F508&gt;0,D508*F508,E508*D508)</f>
        <v>0</v>
      </c>
      <c r="H508" s="1004" t="n">
        <f aca="false">D508*E508*$H$488</f>
        <v>0</v>
      </c>
      <c r="I508" s="936" t="n">
        <f aca="false">IF(G508&gt;H508,G508,H508)*$H$488</f>
        <v>0</v>
      </c>
    </row>
    <row r="509" s="931" customFormat="true" ht="15.75" hidden="true" customHeight="false" outlineLevel="0" collapsed="false">
      <c r="A509" s="937"/>
      <c r="B509" s="1002" t="str">
        <f aca="false">дома!A1716</f>
        <v>Перемычка дверная, 1-ый эт. Вариант 6</v>
      </c>
      <c r="C509" s="1003" t="str">
        <f aca="false">дома!B1716</f>
        <v>м.п.</v>
      </c>
      <c r="D509" s="953" t="n">
        <f aca="false">дома!C1716</f>
        <v>0</v>
      </c>
      <c r="E509" s="1004" t="n">
        <f aca="false">дома!I1716</f>
        <v>1000</v>
      </c>
      <c r="F509" s="1004"/>
      <c r="G509" s="967" t="n">
        <f aca="false">IF(F509&gt;0,D509*F509,E509*D509)</f>
        <v>0</v>
      </c>
      <c r="H509" s="1004" t="n">
        <f aca="false">D509*E509*$H$488</f>
        <v>0</v>
      </c>
      <c r="I509" s="936" t="n">
        <f aca="false">IF(G509&gt;H509,G509,H509)*$H$488</f>
        <v>0</v>
      </c>
    </row>
    <row r="510" s="931" customFormat="true" ht="15.75" hidden="true" customHeight="false" outlineLevel="0" collapsed="false">
      <c r="A510" s="937"/>
      <c r="B510" s="1002" t="str">
        <f aca="false">дома!A1717</f>
        <v>Перемычка дверная, 2-ый эт. Вариант 7</v>
      </c>
      <c r="C510" s="1003" t="str">
        <f aca="false">дома!B1717</f>
        <v>м.п.</v>
      </c>
      <c r="D510" s="953" t="n">
        <f aca="false">дома!C1717</f>
        <v>0</v>
      </c>
      <c r="E510" s="1004" t="n">
        <f aca="false">дома!I1717</f>
        <v>1000</v>
      </c>
      <c r="F510" s="1004"/>
      <c r="G510" s="967" t="n">
        <f aca="false">IF(F510&gt;0,D510*F510,E510*D510)</f>
        <v>0</v>
      </c>
      <c r="H510" s="1004" t="n">
        <f aca="false">D510*E510*$H$488</f>
        <v>0</v>
      </c>
      <c r="I510" s="936" t="n">
        <f aca="false">IF(G510&gt;H510,G510,H510)*$H$488</f>
        <v>0</v>
      </c>
    </row>
    <row r="511" s="931" customFormat="true" ht="15.75" hidden="true" customHeight="false" outlineLevel="0" collapsed="false">
      <c r="A511" s="937"/>
      <c r="B511" s="1002" t="str">
        <f aca="false">дома!A1718</f>
        <v>Перемычка дверная, 2-ый эт. Вариант 8</v>
      </c>
      <c r="C511" s="1003" t="str">
        <f aca="false">дома!B1718</f>
        <v>м.п.</v>
      </c>
      <c r="D511" s="953" t="n">
        <f aca="false">дома!C1718</f>
        <v>0</v>
      </c>
      <c r="E511" s="1004" t="n">
        <f aca="false">дома!I1718</f>
        <v>1000</v>
      </c>
      <c r="F511" s="1004"/>
      <c r="G511" s="967" t="n">
        <f aca="false">IF(F511&gt;0,D511*F511,E511*D511)</f>
        <v>0</v>
      </c>
      <c r="H511" s="1004" t="n">
        <f aca="false">D511*E511*$H$488</f>
        <v>0</v>
      </c>
      <c r="I511" s="936" t="n">
        <f aca="false">IF(G511&gt;H511,G511,H511)*$H$488</f>
        <v>0</v>
      </c>
    </row>
    <row r="512" s="931" customFormat="true" ht="15.75" hidden="true" customHeight="false" outlineLevel="0" collapsed="false">
      <c r="A512" s="937"/>
      <c r="B512" s="1002" t="str">
        <f aca="false">дома!A1719</f>
        <v>Перемычка дверная, 2-ый эт. Вариант 9</v>
      </c>
      <c r="C512" s="1003" t="str">
        <f aca="false">дома!B1719</f>
        <v>м.п.</v>
      </c>
      <c r="D512" s="953" t="n">
        <f aca="false">дома!C1719</f>
        <v>0</v>
      </c>
      <c r="E512" s="1004" t="n">
        <f aca="false">дома!I1719</f>
        <v>1000</v>
      </c>
      <c r="F512" s="1004"/>
      <c r="G512" s="967" t="n">
        <f aca="false">IF(F512&gt;0,D512*F512,E512*D512)</f>
        <v>0</v>
      </c>
      <c r="H512" s="1004" t="n">
        <f aca="false">D512*E512*$H$488</f>
        <v>0</v>
      </c>
      <c r="I512" s="936" t="n">
        <f aca="false">IF(G512&gt;H512,G512,H512)*$H$488</f>
        <v>0</v>
      </c>
    </row>
    <row r="513" s="931" customFormat="true" ht="15.75" hidden="true" customHeight="false" outlineLevel="0" collapsed="false">
      <c r="A513" s="937"/>
      <c r="B513" s="1002" t="str">
        <f aca="false">дома!A1720</f>
        <v>Перемычка проема, 1-ый эт. Вариант 10</v>
      </c>
      <c r="C513" s="1003" t="str">
        <f aca="false">дома!B1720</f>
        <v>м.п.</v>
      </c>
      <c r="D513" s="953" t="n">
        <f aca="false">дома!C1720</f>
        <v>0</v>
      </c>
      <c r="E513" s="1004" t="n">
        <f aca="false">дома!I1720</f>
        <v>1000</v>
      </c>
      <c r="F513" s="1004"/>
      <c r="G513" s="967" t="n">
        <f aca="false">IF(F513&gt;0,D513*F513,E513*D513)</f>
        <v>0</v>
      </c>
      <c r="H513" s="1004" t="n">
        <f aca="false">D513*E513*$H$488</f>
        <v>0</v>
      </c>
      <c r="I513" s="936" t="n">
        <f aca="false">IF(G513&gt;H513,G513,H513)*$H$488</f>
        <v>0</v>
      </c>
    </row>
    <row r="514" s="931" customFormat="true" ht="15.75" hidden="true" customHeight="false" outlineLevel="0" collapsed="false">
      <c r="A514" s="937"/>
      <c r="B514" s="1002" t="str">
        <f aca="false">дома!A1721</f>
        <v>Перемычка проема, 1-ый эт. Вариант 11</v>
      </c>
      <c r="C514" s="1003" t="str">
        <f aca="false">дома!B1721</f>
        <v>м.п.</v>
      </c>
      <c r="D514" s="953" t="n">
        <f aca="false">дома!C1721</f>
        <v>0</v>
      </c>
      <c r="E514" s="1004" t="n">
        <f aca="false">дома!I1721</f>
        <v>1000</v>
      </c>
      <c r="F514" s="1004"/>
      <c r="G514" s="967" t="n">
        <f aca="false">IF(F514&gt;0,D514*F514,E514*D514)</f>
        <v>0</v>
      </c>
      <c r="H514" s="1004" t="n">
        <f aca="false">D514*E514*$H$488</f>
        <v>0</v>
      </c>
      <c r="I514" s="936" t="n">
        <f aca="false">IF(G514&gt;H514,G514,H514)*$H$488</f>
        <v>0</v>
      </c>
    </row>
    <row r="515" s="931" customFormat="true" ht="15.75" hidden="true" customHeight="false" outlineLevel="0" collapsed="false">
      <c r="A515" s="937"/>
      <c r="B515" s="1002" t="str">
        <f aca="false">дома!A1722</f>
        <v>Перемычка проема, 2-ый эт. Вариант 12</v>
      </c>
      <c r="C515" s="1003" t="str">
        <f aca="false">дома!B1722</f>
        <v>м.п.</v>
      </c>
      <c r="D515" s="953" t="n">
        <f aca="false">дома!C1722</f>
        <v>0</v>
      </c>
      <c r="E515" s="1004" t="n">
        <f aca="false">дома!I1722</f>
        <v>1000</v>
      </c>
      <c r="F515" s="1004"/>
      <c r="G515" s="967" t="n">
        <f aca="false">IF(F515&gt;0,D515*F515,E515*D515)</f>
        <v>0</v>
      </c>
      <c r="H515" s="1004" t="n">
        <f aca="false">D515*E515*$H$488</f>
        <v>0</v>
      </c>
      <c r="I515" s="936" t="n">
        <f aca="false">IF(G515&gt;H515,G515,H515)*$H$488</f>
        <v>0</v>
      </c>
    </row>
    <row r="516" s="931" customFormat="true" ht="15.75" hidden="true" customHeight="false" outlineLevel="0" collapsed="false">
      <c r="A516" s="937"/>
      <c r="B516" s="1002" t="str">
        <f aca="false">дома!A1723</f>
        <v>Перемычка проема, 2-ый эт. Вариант 13</v>
      </c>
      <c r="C516" s="1003" t="str">
        <f aca="false">дома!B1723</f>
        <v>м.п.</v>
      </c>
      <c r="D516" s="953" t="n">
        <f aca="false">дома!C1723</f>
        <v>0</v>
      </c>
      <c r="E516" s="1004" t="n">
        <f aca="false">дома!I1723</f>
        <v>1000</v>
      </c>
      <c r="F516" s="1004"/>
      <c r="G516" s="967" t="n">
        <f aca="false">IF(F516&gt;0,D516*F516,E516*D516)</f>
        <v>0</v>
      </c>
      <c r="H516" s="1004" t="n">
        <f aca="false">D516*E516*$H$488</f>
        <v>0</v>
      </c>
      <c r="I516" s="936" t="n">
        <f aca="false">IF(G516&gt;H516,G516,H516)*$H$488</f>
        <v>0</v>
      </c>
    </row>
    <row r="517" s="931" customFormat="true" ht="15.75" hidden="true" customHeight="false" outlineLevel="0" collapsed="false">
      <c r="A517" s="937"/>
      <c r="B517" s="1002" t="str">
        <f aca="false">дома!A1724</f>
        <v>Перемычка дверная, 1-ый эт. Вариант 1</v>
      </c>
      <c r="C517" s="1003" t="str">
        <f aca="false">дома!B1724</f>
        <v>м.п.</v>
      </c>
      <c r="D517" s="953" t="n">
        <f aca="false">дома!C1724</f>
        <v>0</v>
      </c>
      <c r="E517" s="1004" t="n">
        <f aca="false">дома!I1724</f>
        <v>1000</v>
      </c>
      <c r="F517" s="1004"/>
      <c r="G517" s="967" t="n">
        <f aca="false">IF(F517&gt;0,D517*F517,E517*D517)</f>
        <v>0</v>
      </c>
      <c r="H517" s="1004" t="n">
        <f aca="false">D517*E517*$H$488</f>
        <v>0</v>
      </c>
      <c r="I517" s="936" t="n">
        <f aca="false">IF(G517&gt;H517,G517,H517)*$H$488</f>
        <v>0</v>
      </c>
    </row>
    <row r="518" s="931" customFormat="true" ht="15.75" hidden="false" customHeight="false" outlineLevel="0" collapsed="false">
      <c r="A518" s="937"/>
      <c r="B518" s="1002" t="str">
        <f aca="false">дома!A1725</f>
        <v>Перемычка дверная, 1-ый эт. Вариант 2</v>
      </c>
      <c r="C518" s="1003" t="str">
        <f aca="false">дома!B1725</f>
        <v>м.п.</v>
      </c>
      <c r="D518" s="953" t="n">
        <f aca="false">дома!C1725</f>
        <v>1</v>
      </c>
      <c r="E518" s="1004" t="n">
        <f aca="false">дома!I1725</f>
        <v>1000</v>
      </c>
      <c r="F518" s="1004"/>
      <c r="G518" s="967" t="n">
        <f aca="false">IF(F518&gt;0,D518*F518,E518*D518)</f>
        <v>1000</v>
      </c>
      <c r="H518" s="1004" t="n">
        <f aca="false">D518*E518*$H$488</f>
        <v>1000</v>
      </c>
      <c r="I518" s="936" t="n">
        <f aca="false">IF(G518&gt;H518,G518,H518)*$H$488</f>
        <v>1000</v>
      </c>
    </row>
    <row r="519" s="931" customFormat="true" ht="15.75" hidden="true" customHeight="false" outlineLevel="0" collapsed="false">
      <c r="A519" s="937"/>
      <c r="B519" s="1002" t="str">
        <f aca="false">дома!A1726</f>
        <v>Перемычка дверная, 1-ый эт. Вариант 3</v>
      </c>
      <c r="C519" s="1003" t="str">
        <f aca="false">дома!B1726</f>
        <v>м.п.</v>
      </c>
      <c r="D519" s="953" t="n">
        <f aca="false">дома!C1726</f>
        <v>0</v>
      </c>
      <c r="E519" s="1004" t="n">
        <f aca="false">дома!I1726</f>
        <v>1000</v>
      </c>
      <c r="F519" s="1004"/>
      <c r="G519" s="967" t="n">
        <f aca="false">IF(F519&gt;0,D519*F519,E519*D519)</f>
        <v>0</v>
      </c>
      <c r="H519" s="1004" t="n">
        <f aca="false">D519*E519*$H$488</f>
        <v>0</v>
      </c>
      <c r="I519" s="936" t="n">
        <f aca="false">IF(G519&gt;H519,G519,H519)*$H$488</f>
        <v>0</v>
      </c>
    </row>
    <row r="520" s="931" customFormat="true" ht="15.75" hidden="false" customHeight="false" outlineLevel="0" collapsed="false">
      <c r="A520" s="937"/>
      <c r="B520" s="1002" t="str">
        <f aca="false">дома!A1727</f>
        <v>Сосна влаж,200*40мм</v>
      </c>
      <c r="C520" s="1003" t="str">
        <f aca="false">дома!B1727</f>
        <v>м3</v>
      </c>
      <c r="D520" s="953" t="n">
        <f aca="false">дома!C1727</f>
        <v>1.8512</v>
      </c>
      <c r="E520" s="1004" t="n">
        <f aca="false">дома!I1727</f>
        <v>6500</v>
      </c>
      <c r="F520" s="1004"/>
      <c r="G520" s="967" t="n">
        <f aca="false">IF(F520&gt;0,D520*F520,E520*D520)</f>
        <v>12032.8</v>
      </c>
      <c r="H520" s="1004" t="n">
        <f aca="false">D520*E520*$H$488</f>
        <v>12032.8</v>
      </c>
      <c r="I520" s="936" t="n">
        <f aca="false">IF(G520&gt;H520,G520,H520)*$H$488</f>
        <v>12032.8</v>
      </c>
    </row>
    <row r="521" s="931" customFormat="true" ht="15.75" hidden="false" customHeight="false" outlineLevel="0" collapsed="false">
      <c r="A521" s="937"/>
      <c r="B521" s="1002" t="str">
        <f aca="false">дома!A1728</f>
        <v>Сейсмопояс Арматура М10 4 нити</v>
      </c>
      <c r="C521" s="1003" t="str">
        <f aca="false">дома!B1728</f>
        <v>м.п.</v>
      </c>
      <c r="D521" s="953" t="n">
        <f aca="false">дома!C1728</f>
        <v>281.6</v>
      </c>
      <c r="E521" s="1004" t="n">
        <f aca="false">дома!I1728</f>
        <v>21.0397</v>
      </c>
      <c r="F521" s="1004"/>
      <c r="G521" s="967" t="n">
        <f aca="false">IF(F521&gt;0,D521*F521,E521*D521)</f>
        <v>5924.77952</v>
      </c>
      <c r="H521" s="1004" t="n">
        <f aca="false">D521*E521*$H$488</f>
        <v>5924.77952</v>
      </c>
      <c r="I521" s="936" t="n">
        <f aca="false">IF(G521&gt;H521,G521,H521)*$H$488</f>
        <v>5924.77952</v>
      </c>
    </row>
    <row r="522" s="931" customFormat="true" ht="15.75" hidden="true" customHeight="false" outlineLevel="0" collapsed="false">
      <c r="A522" s="937"/>
      <c r="B522" s="1002" t="str">
        <f aca="false">дома!A1729</f>
        <v>Хомут для сейсмопояса Арматура М6, шаг 400мм</v>
      </c>
      <c r="C522" s="1003" t="str">
        <f aca="false">дома!B1729</f>
        <v>м.п.</v>
      </c>
      <c r="D522" s="953" t="n">
        <f aca="false">дома!C1729</f>
        <v>144</v>
      </c>
      <c r="E522" s="1004" t="n">
        <f aca="false">дома!I1729</f>
        <v>0</v>
      </c>
      <c r="F522" s="1004"/>
      <c r="G522" s="967" t="n">
        <f aca="false">IF(F522&gt;0,D522*F522,E522*D522)</f>
        <v>0</v>
      </c>
      <c r="H522" s="1004" t="n">
        <f aca="false">D522*E522*$H$488</f>
        <v>0</v>
      </c>
      <c r="I522" s="936" t="n">
        <f aca="false">IF(G522&gt;H522,G522,H522)*$H$488</f>
        <v>0</v>
      </c>
    </row>
    <row r="523" s="931" customFormat="true" ht="15.75" hidden="false" customHeight="false" outlineLevel="0" collapsed="false">
      <c r="A523" s="937"/>
      <c r="B523" s="1002" t="str">
        <f aca="false">дома!A1730</f>
        <v>Бетон, м300</v>
      </c>
      <c r="C523" s="1003" t="str">
        <f aca="false">дома!B1730</f>
        <v>м3</v>
      </c>
      <c r="D523" s="953" t="n">
        <f aca="false">дома!C1730</f>
        <v>2.8833</v>
      </c>
      <c r="E523" s="1004" t="n">
        <f aca="false">дома!I1730</f>
        <v>3000</v>
      </c>
      <c r="F523" s="1004"/>
      <c r="G523" s="967" t="n">
        <f aca="false">IF(F523&gt;0,D523*F523,E523*D523)</f>
        <v>8649.9</v>
      </c>
      <c r="H523" s="1004" t="n">
        <f aca="false">D523*E523*$H$488</f>
        <v>8649.9</v>
      </c>
      <c r="I523" s="936" t="n">
        <f aca="false">IF(G523&gt;H523,G523,H523)*$H$488</f>
        <v>8649.9</v>
      </c>
    </row>
    <row r="524" s="931" customFormat="true" ht="15.75" hidden="true" customHeight="false" outlineLevel="0" collapsed="false">
      <c r="A524" s="937"/>
      <c r="B524" s="1002" t="str">
        <f aca="false">дома!A1733</f>
        <v>Нет</v>
      </c>
      <c r="C524" s="1003" t="str">
        <f aca="false">дома!B1733</f>
        <v>м3</v>
      </c>
      <c r="D524" s="953" t="n">
        <f aca="false">дома!C1733</f>
        <v>0</v>
      </c>
      <c r="E524" s="1004" t="n">
        <f aca="false">дома!I1733</f>
        <v>0</v>
      </c>
      <c r="F524" s="1004"/>
      <c r="G524" s="967" t="n">
        <f aca="false">IF(F524&gt;0,D524*F524,E524*D524)</f>
        <v>0</v>
      </c>
      <c r="H524" s="1004" t="n">
        <f aca="false">D524*E524*$H$488</f>
        <v>0</v>
      </c>
      <c r="I524" s="936" t="n">
        <f aca="false">IF(G524&gt;H524,G524,H524)*$H$488</f>
        <v>0</v>
      </c>
    </row>
    <row r="525" s="931" customFormat="true" ht="15.75" hidden="true" customHeight="false" outlineLevel="0" collapsed="false">
      <c r="A525" s="937"/>
      <c r="B525" s="1002" t="str">
        <f aca="false">дома!A1734</f>
        <v>Грибок для крепления утеплителя</v>
      </c>
      <c r="C525" s="1003" t="str">
        <f aca="false">дома!B1734</f>
        <v>шт</v>
      </c>
      <c r="D525" s="953" t="n">
        <f aca="false">дома!C1734</f>
        <v>0</v>
      </c>
      <c r="E525" s="1004" t="n">
        <f aca="false">дома!I1734</f>
        <v>15</v>
      </c>
      <c r="F525" s="1004"/>
      <c r="G525" s="967" t="n">
        <f aca="false">IF(F525&gt;0,D525*F525,E525*D525)</f>
        <v>0</v>
      </c>
      <c r="H525" s="1004" t="n">
        <f aca="false">D525*E525*$H$488</f>
        <v>0</v>
      </c>
      <c r="I525" s="936" t="n">
        <f aca="false">IF(G525&gt;H525,G525,H525)*$H$488</f>
        <v>0</v>
      </c>
    </row>
    <row r="526" s="931" customFormat="true" ht="15.75" hidden="true" customHeight="false" outlineLevel="0" collapsed="false">
      <c r="A526" s="937"/>
      <c r="B526" s="1002" t="str">
        <f aca="false">дома!A1735</f>
        <v>нет ветроизоляции</v>
      </c>
      <c r="C526" s="1003" t="str">
        <f aca="false">дома!B1735</f>
        <v>м2</v>
      </c>
      <c r="D526" s="953" t="n">
        <f aca="false">дома!C1735</f>
        <v>0</v>
      </c>
      <c r="E526" s="1004" t="n">
        <f aca="false">дома!I1735</f>
        <v>0</v>
      </c>
      <c r="F526" s="1004"/>
      <c r="G526" s="967" t="n">
        <f aca="false">IF(F526&gt;0,D526*F526,E526*D526)</f>
        <v>0</v>
      </c>
      <c r="H526" s="1004" t="n">
        <f aca="false">D526*E526*$H$488</f>
        <v>0</v>
      </c>
      <c r="I526" s="936" t="n">
        <f aca="false">IF(G526&gt;H526,G526,H526)*$H$488</f>
        <v>0</v>
      </c>
    </row>
    <row r="527" s="931" customFormat="true" ht="15.75" hidden="false" customHeight="false" outlineLevel="0" collapsed="false">
      <c r="A527" s="937"/>
      <c r="B527" s="1002" t="str">
        <f aca="false">дома!A1736</f>
        <v>Кладочная сетка, 100*100/150*150/200*200мм</v>
      </c>
      <c r="C527" s="1003" t="str">
        <f aca="false">дома!B1736</f>
        <v>м2</v>
      </c>
      <c r="D527" s="953" t="n">
        <f aca="false">дома!C1736</f>
        <v>175.362</v>
      </c>
      <c r="E527" s="1004" t="n">
        <f aca="false">дома!I1736</f>
        <v>70</v>
      </c>
      <c r="F527" s="1004"/>
      <c r="G527" s="967" t="n">
        <f aca="false">IF(F527&gt;0,D527*F527,E527*D527)</f>
        <v>12275.34</v>
      </c>
      <c r="H527" s="1004" t="n">
        <f aca="false">D527*E527*$H$488</f>
        <v>12275.34</v>
      </c>
      <c r="I527" s="936" t="n">
        <f aca="false">IF(G527&gt;H527,G527,H527)*$H$488</f>
        <v>12275.34</v>
      </c>
    </row>
    <row r="528" s="931" customFormat="true" ht="15.75" hidden="false" customHeight="false" outlineLevel="0" collapsed="false">
      <c r="A528" s="937"/>
      <c r="B528" s="1002" t="str">
        <f aca="false">дома!A1737</f>
        <v>Песок, машина 13м3</v>
      </c>
      <c r="C528" s="1003" t="str">
        <f aca="false">дома!B1737</f>
        <v>шт</v>
      </c>
      <c r="D528" s="953" t="n">
        <f aca="false">дома!C1737</f>
        <v>1.57119347</v>
      </c>
      <c r="E528" s="1004" t="n">
        <f aca="false">дома!I1737</f>
        <v>12000</v>
      </c>
      <c r="F528" s="1004"/>
      <c r="G528" s="967" t="n">
        <f aca="false">IF(F528&gt;0,D528*F528,E528*D528)</f>
        <v>18854.32164</v>
      </c>
      <c r="H528" s="1004" t="n">
        <f aca="false">D528*E528*$H$488</f>
        <v>18854.32164</v>
      </c>
      <c r="I528" s="936" t="n">
        <f aca="false">IF(G528&gt;H528,G528,H528)*$H$488</f>
        <v>18854.32164</v>
      </c>
    </row>
    <row r="529" s="931" customFormat="true" ht="15.75" hidden="false" customHeight="false" outlineLevel="0" collapsed="false">
      <c r="A529" s="937"/>
      <c r="B529" s="1002" t="str">
        <f aca="false">дома!A1738</f>
        <v>Цемент, мешок, 50кг</v>
      </c>
      <c r="C529" s="1003" t="str">
        <f aca="false">дома!B1738</f>
        <v>меш</v>
      </c>
      <c r="D529" s="953" t="n">
        <f aca="false">дома!C1738</f>
        <v>48.48254136</v>
      </c>
      <c r="E529" s="1004" t="n">
        <f aca="false">дома!I1738</f>
        <v>250</v>
      </c>
      <c r="F529" s="1004"/>
      <c r="G529" s="967" t="n">
        <f aca="false">IF(F529&gt;0,D529*F529,E529*D529)</f>
        <v>12120.63534</v>
      </c>
      <c r="H529" s="1004" t="n">
        <f aca="false">D529*E529*$H$488</f>
        <v>12120.63534</v>
      </c>
      <c r="I529" s="936" t="n">
        <f aca="false">IF(G529&gt;H529,G529,H529)*$H$488</f>
        <v>12120.63534</v>
      </c>
    </row>
    <row r="530" s="931" customFormat="true" ht="15.75" hidden="false" customHeight="false" outlineLevel="0" collapsed="false">
      <c r="A530" s="937"/>
      <c r="B530" s="1019" t="s">
        <v>2259</v>
      </c>
      <c r="C530" s="1019"/>
      <c r="D530" s="1019"/>
      <c r="E530" s="1019"/>
      <c r="F530" s="1020"/>
      <c r="G530" s="1004" t="n">
        <f aca="false">SUM(G490:G529)*H488</f>
        <v>758801.9669108</v>
      </c>
      <c r="H530" s="1004" t="n">
        <f aca="false">SUM(H490:H529)</f>
        <v>758801.9669108</v>
      </c>
      <c r="I530" s="936" t="n">
        <f aca="false">IF(G530&gt;H530,G530,H530)*$H$488</f>
        <v>758801.9669108</v>
      </c>
    </row>
    <row r="531" s="931" customFormat="true" ht="15.75" hidden="false" customHeight="false" outlineLevel="0" collapsed="false">
      <c r="B531" s="1021" t="s">
        <v>2007</v>
      </c>
      <c r="C531" s="1021"/>
      <c r="D531" s="1021"/>
      <c r="E531" s="1021"/>
      <c r="F531" s="1021"/>
      <c r="G531" s="977"/>
      <c r="H531" s="994" t="n">
        <f aca="false">H488</f>
        <v>1</v>
      </c>
      <c r="I531" s="983" t="n">
        <f aca="false">H531</f>
        <v>1</v>
      </c>
    </row>
    <row r="532" s="931" customFormat="true" ht="15.75" hidden="false" customHeight="false" outlineLevel="0" collapsed="false">
      <c r="A532" s="937"/>
      <c r="B532" s="1002" t="str">
        <f aca="false">дома!L1697</f>
        <v>кладка кирпича</v>
      </c>
      <c r="C532" s="1003" t="s">
        <v>1043</v>
      </c>
      <c r="D532" s="953" t="n">
        <f aca="false">дома!N1697</f>
        <v>81.62044</v>
      </c>
      <c r="E532" s="1004" t="n">
        <f aca="false">дома!O1697</f>
        <v>3500</v>
      </c>
      <c r="F532" s="1004"/>
      <c r="G532" s="967" t="n">
        <f aca="false">IF(F532&gt;0,D532*F532,E532*D532)</f>
        <v>285671.54</v>
      </c>
      <c r="H532" s="1004" t="n">
        <f aca="false">D532*E532*$H$488</f>
        <v>285671.54</v>
      </c>
      <c r="I532" s="936" t="n">
        <f aca="false">IF(G532&gt;H532,G532,H532)*$H$488</f>
        <v>285671.54</v>
      </c>
    </row>
    <row r="533" s="931" customFormat="true" ht="15.75" hidden="false" customHeight="false" outlineLevel="0" collapsed="false">
      <c r="A533" s="937"/>
      <c r="B533" s="1002" t="str">
        <f aca="false">дома!L1698</f>
        <v>кладка перегородок из кирпича</v>
      </c>
      <c r="C533" s="1003" t="s">
        <v>820</v>
      </c>
      <c r="D533" s="953" t="n">
        <f aca="false">дома!N1698</f>
        <v>21.84</v>
      </c>
      <c r="E533" s="1004" t="n">
        <f aca="false">дома!O1698</f>
        <v>550</v>
      </c>
      <c r="F533" s="1004"/>
      <c r="G533" s="967" t="n">
        <f aca="false">IF(F533&gt;0,D533*F533,E533*D533)</f>
        <v>12012</v>
      </c>
      <c r="H533" s="1004" t="n">
        <f aca="false">D533*E533*$H$488</f>
        <v>12012</v>
      </c>
      <c r="I533" s="936" t="n">
        <f aca="false">IF(G533&gt;H533,G533,H533)*$H$488</f>
        <v>12012</v>
      </c>
    </row>
    <row r="534" s="931" customFormat="true" ht="15.75" hidden="false" customHeight="false" outlineLevel="0" collapsed="false">
      <c r="A534" s="937"/>
      <c r="B534" s="1002" t="str">
        <f aca="false">дома!L1699</f>
        <v>Армирование сейсмопояса</v>
      </c>
      <c r="C534" s="1003" t="s">
        <v>820</v>
      </c>
      <c r="D534" s="953" t="n">
        <f aca="false">дома!N1699</f>
        <v>87.681</v>
      </c>
      <c r="E534" s="1004" t="n">
        <f aca="false">дома!O1699</f>
        <v>500</v>
      </c>
      <c r="F534" s="1004"/>
      <c r="G534" s="967" t="n">
        <f aca="false">IF(F534&gt;0,D534*F534,E534*D534)</f>
        <v>43840.5</v>
      </c>
      <c r="H534" s="1004" t="n">
        <f aca="false">D534*E534*$H$488</f>
        <v>43840.5</v>
      </c>
      <c r="I534" s="936" t="n">
        <f aca="false">IF(G534&gt;H534,G534,H534)*$H$488</f>
        <v>43840.5</v>
      </c>
    </row>
    <row r="535" s="931" customFormat="true" ht="15.75" hidden="false" customHeight="false" outlineLevel="0" collapsed="false">
      <c r="A535" s="937"/>
      <c r="B535" s="1002" t="str">
        <f aca="false">дома!L1700</f>
        <v>Заливка бетоном сейсмопояса</v>
      </c>
      <c r="C535" s="1003" t="s">
        <v>1043</v>
      </c>
      <c r="D535" s="953" t="n">
        <f aca="false">дома!N1700</f>
        <v>2.8833</v>
      </c>
      <c r="E535" s="1004" t="n">
        <f aca="false">дома!O1700</f>
        <v>700</v>
      </c>
      <c r="F535" s="1004"/>
      <c r="G535" s="967" t="n">
        <f aca="false">IF(F535&gt;0,D535*F535,E535*D535)</f>
        <v>2018.31</v>
      </c>
      <c r="H535" s="1004" t="n">
        <f aca="false">D535*E535*$H$488</f>
        <v>2018.31</v>
      </c>
      <c r="I535" s="936" t="n">
        <f aca="false">IF(G535&gt;H535,G535,H535)*$H$488</f>
        <v>2018.31</v>
      </c>
    </row>
    <row r="536" s="931" customFormat="true" ht="15.75" hidden="true" customHeight="false" outlineLevel="0" collapsed="false">
      <c r="A536" s="937"/>
      <c r="B536" s="1002" t="str">
        <f aca="false">дома!L1701</f>
        <v>утепление стен снаружи дома</v>
      </c>
      <c r="C536" s="1003" t="s">
        <v>820</v>
      </c>
      <c r="D536" s="953" t="n">
        <f aca="false">дома!N1701</f>
        <v>0</v>
      </c>
      <c r="E536" s="1004" t="n">
        <f aca="false">дома!O1701</f>
        <v>350</v>
      </c>
      <c r="F536" s="1004"/>
      <c r="G536" s="967" t="n">
        <f aca="false">IF(F536&gt;0,D536*F536,E536*D536)</f>
        <v>0</v>
      </c>
      <c r="H536" s="1004" t="n">
        <f aca="false">D536*E536*$H$488</f>
        <v>0</v>
      </c>
      <c r="I536" s="936" t="n">
        <f aca="false">IF(G536&gt;H536,G536,H536)*$H$488</f>
        <v>0</v>
      </c>
    </row>
    <row r="537" s="931" customFormat="true" ht="15.75" hidden="true" customHeight="false" outlineLevel="0" collapsed="false">
      <c r="A537" s="937"/>
      <c r="B537" s="1002" t="str">
        <f aca="false">дома!L1702</f>
        <v>монтаж ветроизоляции стен</v>
      </c>
      <c r="C537" s="1003" t="s">
        <v>820</v>
      </c>
      <c r="D537" s="953" t="n">
        <f aca="false">дома!N1702</f>
        <v>0</v>
      </c>
      <c r="E537" s="1004" t="n">
        <f aca="false">дома!O1702</f>
        <v>100</v>
      </c>
      <c r="F537" s="1004"/>
      <c r="G537" s="967" t="n">
        <f aca="false">IF(F537&gt;0,D537*F537,E537*D537)</f>
        <v>0</v>
      </c>
      <c r="H537" s="1004" t="n">
        <f aca="false">D537*E537*$H$488</f>
        <v>0</v>
      </c>
      <c r="I537" s="936" t="n">
        <f aca="false">IF(G537&gt;H537,G537,H537)*$H$488</f>
        <v>0</v>
      </c>
    </row>
    <row r="538" s="931" customFormat="true" ht="15.75" hidden="false" customHeight="false" outlineLevel="0" collapsed="false">
      <c r="A538" s="937"/>
      <c r="B538" s="1002" t="str">
        <f aca="false">дома!L1703</f>
        <v>изготовление и монтаж перемычек для окон и дверей</v>
      </c>
      <c r="C538" s="1003" t="s">
        <v>15</v>
      </c>
      <c r="D538" s="953" t="n">
        <f aca="false">дома!N1703</f>
        <v>5</v>
      </c>
      <c r="E538" s="1004" t="n">
        <f aca="false">дома!O1703</f>
        <v>500</v>
      </c>
      <c r="F538" s="1004"/>
      <c r="G538" s="967" t="n">
        <f aca="false">IF(F538&gt;0,D538*F538,E538*D538)</f>
        <v>2500</v>
      </c>
      <c r="H538" s="1004" t="n">
        <f aca="false">D538*E538*$H$488</f>
        <v>2500</v>
      </c>
      <c r="I538" s="936" t="n">
        <f aca="false">IF(G538&gt;H538,G538,H538)*$H$488</f>
        <v>2500</v>
      </c>
    </row>
    <row r="539" s="931" customFormat="true" ht="15.75" hidden="false" customHeight="false" outlineLevel="0" collapsed="false">
      <c r="B539" s="1019" t="s">
        <v>2260</v>
      </c>
      <c r="C539" s="1019"/>
      <c r="D539" s="1019"/>
      <c r="E539" s="1019"/>
      <c r="F539" s="1020"/>
      <c r="G539" s="1004" t="n">
        <f aca="false">SUM(G532:G538)*H531</f>
        <v>346042.35</v>
      </c>
      <c r="H539" s="1004" t="n">
        <f aca="false">SUM(H532:H538)</f>
        <v>346042.35</v>
      </c>
      <c r="I539" s="936" t="n">
        <f aca="false">IF(G539&gt;H539,G539,H539)*$H$488</f>
        <v>346042.35</v>
      </c>
    </row>
    <row r="540" s="926" customFormat="true" ht="21" hidden="true" customHeight="false" outlineLevel="0" collapsed="false">
      <c r="A540" s="965"/>
      <c r="B540" s="999" t="s">
        <v>2261</v>
      </c>
      <c r="C540" s="999"/>
      <c r="D540" s="999"/>
      <c r="E540" s="999"/>
      <c r="F540" s="999"/>
      <c r="G540" s="977"/>
      <c r="H540" s="1000" t="n">
        <f aca="false">IF('Ввод данных'!$A$19=связи1!A154,1,0)+IF('Ввод данных'!$A$19=связи1!A161,1,0)+IF('Ввод данных'!$A$19=связи1!A169,1,0)+IF('Ввод данных'!$A$19=связи1!A178,1,0)+IF('Ввод данных'!$A$19=связи1!A183,1,0)</f>
        <v>0</v>
      </c>
      <c r="I540" s="983" t="n">
        <f aca="false">H540</f>
        <v>0</v>
      </c>
      <c r="O540" s="964"/>
      <c r="P540" s="964"/>
      <c r="Q540" s="964"/>
      <c r="R540" s="964"/>
      <c r="S540" s="964"/>
      <c r="T540" s="964"/>
      <c r="U540" s="964"/>
      <c r="V540" s="964"/>
      <c r="W540" s="964"/>
      <c r="X540" s="964"/>
      <c r="Y540" s="964"/>
      <c r="Z540" s="964"/>
      <c r="AA540" s="964"/>
      <c r="AB540" s="964"/>
      <c r="AC540" s="964"/>
      <c r="AD540" s="964"/>
      <c r="AE540" s="964"/>
      <c r="AF540" s="964"/>
      <c r="AG540" s="964"/>
      <c r="AH540" s="964"/>
    </row>
    <row r="541" customFormat="false" ht="15.75" hidden="true" customHeight="false" outlineLevel="0" collapsed="false">
      <c r="A541" s="937"/>
      <c r="B541" s="1008" t="s">
        <v>2246</v>
      </c>
      <c r="C541" s="1008"/>
      <c r="D541" s="1008"/>
      <c r="E541" s="1008"/>
      <c r="F541" s="1008"/>
      <c r="G541" s="977"/>
      <c r="H541" s="1009" t="n">
        <f aca="false">H540</f>
        <v>0</v>
      </c>
      <c r="I541" s="983" t="n">
        <f aca="false">H541</f>
        <v>0</v>
      </c>
      <c r="J541" s="931"/>
      <c r="K541" s="937"/>
    </row>
    <row r="542" customFormat="false" ht="15.75" hidden="true" customHeight="false" outlineLevel="0" collapsed="false">
      <c r="A542" s="937"/>
      <c r="B542" s="1002" t="str">
        <f aca="false">дома!A1786</f>
        <v>Листв. влаж, 200*200мм</v>
      </c>
      <c r="C542" s="1003" t="str">
        <f aca="false">дома!B1786</f>
        <v>м3</v>
      </c>
      <c r="D542" s="953" t="n">
        <f aca="false">дома!C1786</f>
        <v>4.012</v>
      </c>
      <c r="E542" s="1004" t="n">
        <f aca="false">дома!D1786</f>
        <v>9000</v>
      </c>
      <c r="F542" s="1004"/>
      <c r="G542" s="967" t="n">
        <f aca="false">IF(F542&gt;0,D542*F542,E542*D542)</f>
        <v>36108</v>
      </c>
      <c r="H542" s="1004" t="n">
        <f aca="false">D542*E542*$H$540</f>
        <v>0</v>
      </c>
      <c r="I542" s="936" t="n">
        <f aca="false">IF(G542&gt;H542,G542,H542)*$H$540</f>
        <v>0</v>
      </c>
      <c r="J542" s="931"/>
      <c r="K542" s="937"/>
    </row>
    <row r="543" customFormat="false" ht="15.75" hidden="true" customHeight="false" outlineLevel="0" collapsed="false">
      <c r="A543" s="937"/>
      <c r="B543" s="1002" t="str">
        <f aca="false">дома!A1787</f>
        <v>Сосна влаж, 200*150мм</v>
      </c>
      <c r="C543" s="1003" t="str">
        <f aca="false">дома!B1787</f>
        <v>м3</v>
      </c>
      <c r="D543" s="953" t="n">
        <f aca="false">дома!C1787</f>
        <v>-3.14575</v>
      </c>
      <c r="E543" s="1004" t="n">
        <f aca="false">дома!D1787</f>
        <v>6500</v>
      </c>
      <c r="F543" s="1004"/>
      <c r="G543" s="967" t="n">
        <f aca="false">IF(F543&gt;0,D543*F543,E543*D543)</f>
        <v>-20447.375</v>
      </c>
      <c r="H543" s="1004" t="n">
        <f aca="false">D543*E543*$H$540</f>
        <v>-0</v>
      </c>
      <c r="I543" s="936" t="n">
        <f aca="false">IF(G543&gt;H543,G543,H543)*$H$540</f>
        <v>-0</v>
      </c>
      <c r="J543" s="931"/>
      <c r="K543" s="937"/>
    </row>
    <row r="544" customFormat="false" ht="15.75" hidden="true" customHeight="false" outlineLevel="0" collapsed="false">
      <c r="A544" s="937"/>
      <c r="B544" s="1002" t="str">
        <f aca="false">дома!A1788</f>
        <v>Сосна влаж, 200*150мм</v>
      </c>
      <c r="C544" s="1003" t="str">
        <f aca="false">дома!B1788</f>
        <v>м3</v>
      </c>
      <c r="D544" s="953" t="n">
        <f aca="false">дома!C1788</f>
        <v>0</v>
      </c>
      <c r="E544" s="1004" t="n">
        <f aca="false">дома!D1788</f>
        <v>6500</v>
      </c>
      <c r="F544" s="1004"/>
      <c r="G544" s="967" t="n">
        <f aca="false">IF(F544&gt;0,D544*F544,E544*D544)</f>
        <v>0</v>
      </c>
      <c r="H544" s="1004" t="n">
        <f aca="false">D544*E544*$H$540</f>
        <v>0</v>
      </c>
      <c r="I544" s="936" t="n">
        <f aca="false">IF(G544&gt;H544,G544,H544)*$H$540</f>
        <v>0</v>
      </c>
      <c r="J544" s="931"/>
      <c r="K544" s="937"/>
    </row>
    <row r="545" customFormat="false" ht="15.75" hidden="true" customHeight="false" outlineLevel="0" collapsed="false">
      <c r="A545" s="937"/>
      <c r="B545" s="1002" t="str">
        <f aca="false">дома!A1789</f>
        <v>Сосна влаж, 200*100мм</v>
      </c>
      <c r="C545" s="1003" t="str">
        <f aca="false">дома!B1789</f>
        <v>м2</v>
      </c>
      <c r="D545" s="953" t="n">
        <f aca="false">дома!C1789</f>
        <v>0</v>
      </c>
      <c r="E545" s="1004" t="n">
        <f aca="false">дома!D1789</f>
        <v>6500</v>
      </c>
      <c r="F545" s="1004"/>
      <c r="G545" s="967" t="n">
        <f aca="false">IF(F545&gt;0,D545*F545,E545*D545)</f>
        <v>0</v>
      </c>
      <c r="H545" s="1004" t="n">
        <f aca="false">D545*E545*$H$540</f>
        <v>0</v>
      </c>
      <c r="I545" s="936" t="n">
        <f aca="false">IF(G545&gt;H545,G545,H545)*$H$540</f>
        <v>0</v>
      </c>
      <c r="J545" s="931"/>
      <c r="K545" s="937"/>
    </row>
    <row r="546" customFormat="false" ht="15.75" hidden="true" customHeight="false" outlineLevel="0" collapsed="false">
      <c r="A546" s="937"/>
      <c r="B546" s="1002" t="str">
        <f aca="false">дома!A1790</f>
        <v>Шкант</v>
      </c>
      <c r="C546" s="1003" t="str">
        <f aca="false">дома!B1790</f>
        <v>шт</v>
      </c>
      <c r="D546" s="953" t="n">
        <f aca="false">дома!C1790</f>
        <v>20</v>
      </c>
      <c r="E546" s="1004" t="n">
        <f aca="false">дома!D1790</f>
        <v>6</v>
      </c>
      <c r="F546" s="1004"/>
      <c r="G546" s="967" t="n">
        <f aca="false">IF(F546&gt;0,D546*F546,E546*D546)</f>
        <v>120</v>
      </c>
      <c r="H546" s="1004" t="n">
        <f aca="false">D546*E546*$H$540</f>
        <v>0</v>
      </c>
      <c r="I546" s="936" t="n">
        <f aca="false">IF(G546&gt;H546,G546,H546)*$H$540</f>
        <v>0</v>
      </c>
      <c r="J546" s="931"/>
      <c r="K546" s="937"/>
    </row>
    <row r="547" customFormat="false" ht="15.75" hidden="true" customHeight="false" outlineLevel="0" collapsed="false">
      <c r="A547" s="937"/>
      <c r="B547" s="1002" t="str">
        <f aca="false">дома!A1791</f>
        <v>Лен-джут 200х5х20000 мм</v>
      </c>
      <c r="C547" s="1003" t="str">
        <f aca="false">дома!B1791</f>
        <v>шт</v>
      </c>
      <c r="D547" s="953" t="n">
        <f aca="false">дома!C1791</f>
        <v>0</v>
      </c>
      <c r="E547" s="1004" t="n">
        <f aca="false">дома!D1791</f>
        <v>175</v>
      </c>
      <c r="F547" s="1004"/>
      <c r="G547" s="967" t="n">
        <f aca="false">IF(F547&gt;0,D547*F547,E547*D547)</f>
        <v>0</v>
      </c>
      <c r="H547" s="1004" t="n">
        <f aca="false">D547*E547*$H$540</f>
        <v>0</v>
      </c>
      <c r="I547" s="936" t="n">
        <f aca="false">IF(G547&gt;H547,G547,H547)*$H$540</f>
        <v>0</v>
      </c>
      <c r="J547" s="931"/>
      <c r="K547" s="937"/>
    </row>
    <row r="548" customFormat="false" ht="15.75" hidden="true" customHeight="false" outlineLevel="0" collapsed="false">
      <c r="A548" s="937"/>
      <c r="B548" s="1002" t="str">
        <f aca="false">дома!A1792</f>
        <v>Гвозди строительные 3,5 x 90            </v>
      </c>
      <c r="C548" s="1003" t="str">
        <f aca="false">дома!B1792</f>
        <v>шт</v>
      </c>
      <c r="D548" s="953" t="n">
        <f aca="false">дома!C1792</f>
        <v>4.4</v>
      </c>
      <c r="E548" s="1004" t="n">
        <f aca="false">дома!D1792</f>
        <v>70</v>
      </c>
      <c r="F548" s="1004"/>
      <c r="G548" s="967" t="n">
        <f aca="false">IF(F548&gt;0,D548*F548,E548*D548)</f>
        <v>308</v>
      </c>
      <c r="H548" s="1004" t="n">
        <f aca="false">D548*E548*$H$540</f>
        <v>0</v>
      </c>
      <c r="I548" s="936" t="n">
        <f aca="false">IF(G548&gt;H548,G548,H548)*$H$540</f>
        <v>0</v>
      </c>
      <c r="J548" s="931"/>
      <c r="K548" s="937"/>
    </row>
    <row r="549" customFormat="false" ht="15.75" hidden="true" customHeight="false" outlineLevel="0" collapsed="false">
      <c r="A549" s="937"/>
      <c r="B549" s="1002" t="str">
        <f aca="false">дома!A1793</f>
        <v>нет</v>
      </c>
      <c r="C549" s="1003" t="str">
        <f aca="false">дома!B1793</f>
        <v>м3</v>
      </c>
      <c r="D549" s="953" t="n">
        <f aca="false">дома!C1793</f>
        <v>0</v>
      </c>
      <c r="E549" s="1004" t="n">
        <f aca="false">дома!D1793</f>
        <v>0</v>
      </c>
      <c r="F549" s="1004"/>
      <c r="G549" s="967" t="n">
        <f aca="false">IF(F549&gt;0,D549*F549,E549*D549)</f>
        <v>0</v>
      </c>
      <c r="H549" s="1004" t="n">
        <f aca="false">D549*E549*$H$540</f>
        <v>0</v>
      </c>
      <c r="I549" s="936" t="n">
        <f aca="false">IF(G549&gt;H549,G549,H549)*$H$540</f>
        <v>0</v>
      </c>
      <c r="J549" s="931"/>
      <c r="K549" s="937"/>
    </row>
    <row r="550" customFormat="false" ht="15.75" hidden="true" customHeight="false" outlineLevel="0" collapsed="false">
      <c r="A550" s="937"/>
      <c r="B550" s="1002" t="str">
        <f aca="false">дома!A1794</f>
        <v>нет</v>
      </c>
      <c r="C550" s="1003" t="str">
        <f aca="false">дома!B1794</f>
        <v>м3</v>
      </c>
      <c r="D550" s="953" t="n">
        <f aca="false">дома!C1794</f>
        <v>0</v>
      </c>
      <c r="E550" s="1004" t="n">
        <f aca="false">дома!D1794</f>
        <v>0</v>
      </c>
      <c r="F550" s="1004"/>
      <c r="G550" s="967" t="n">
        <f aca="false">IF(F550&gt;0,D550*F550,E550*D550)</f>
        <v>0</v>
      </c>
      <c r="H550" s="1004" t="n">
        <f aca="false">D550*E550*$H$540</f>
        <v>0</v>
      </c>
      <c r="I550" s="936" t="n">
        <f aca="false">IF(G550&gt;H550,G550,H550)*$H$540</f>
        <v>0</v>
      </c>
      <c r="J550" s="931"/>
      <c r="K550" s="937"/>
    </row>
    <row r="551" customFormat="false" ht="15.75" hidden="true" customHeight="false" outlineLevel="0" collapsed="false">
      <c r="A551" s="937"/>
      <c r="B551" s="1002" t="str">
        <f aca="false">дома!A1795</f>
        <v>нет</v>
      </c>
      <c r="C551" s="1003" t="str">
        <f aca="false">дома!B1795</f>
        <v>м3</v>
      </c>
      <c r="D551" s="953" t="n">
        <f aca="false">дома!C1795</f>
        <v>0</v>
      </c>
      <c r="E551" s="1004" t="n">
        <f aca="false">дома!D1795</f>
        <v>0</v>
      </c>
      <c r="F551" s="1004"/>
      <c r="G551" s="967" t="n">
        <f aca="false">IF(F551&gt;0,D551*F551,E551*D551)</f>
        <v>0</v>
      </c>
      <c r="H551" s="1004" t="n">
        <f aca="false">D551*E551*$H$540</f>
        <v>0</v>
      </c>
      <c r="I551" s="936" t="n">
        <f aca="false">IF(G551&gt;H551,G551,H551)*$H$540</f>
        <v>0</v>
      </c>
      <c r="L551" s="926"/>
      <c r="M551" s="926"/>
      <c r="N551" s="926"/>
    </row>
    <row r="552" customFormat="false" ht="15.75" hidden="true" customHeight="false" outlineLevel="0" collapsed="false">
      <c r="A552" s="937"/>
      <c r="B552" s="1002" t="str">
        <f aca="false">дома!A1796</f>
        <v>нет</v>
      </c>
      <c r="C552" s="1003" t="str">
        <f aca="false">дома!B1796</f>
        <v>м.п.</v>
      </c>
      <c r="D552" s="953" t="n">
        <f aca="false">дома!C1796</f>
        <v>0</v>
      </c>
      <c r="E552" s="1004" t="n">
        <f aca="false">дома!D1796</f>
        <v>0</v>
      </c>
      <c r="F552" s="1004"/>
      <c r="G552" s="967" t="n">
        <f aca="false">IF(F552&gt;0,D552*F552,E552*D552)</f>
        <v>0</v>
      </c>
      <c r="H552" s="1004" t="n">
        <f aca="false">D552*E552*$H$540</f>
        <v>0</v>
      </c>
      <c r="I552" s="936" t="n">
        <f aca="false">IF(G552&gt;H552,G552,H552)*$H$540</f>
        <v>0</v>
      </c>
      <c r="L552" s="926"/>
      <c r="M552" s="926"/>
      <c r="N552" s="926"/>
    </row>
    <row r="553" customFormat="false" ht="15.75" hidden="true" customHeight="false" outlineLevel="0" collapsed="false">
      <c r="A553" s="937"/>
      <c r="B553" s="1002" t="str">
        <f aca="false">дома!A1797</f>
        <v>Бензин для пилы</v>
      </c>
      <c r="C553" s="1003" t="str">
        <f aca="false">дома!B1797</f>
        <v>л</v>
      </c>
      <c r="D553" s="953" t="n">
        <f aca="false">дома!C1797</f>
        <v>0.1588125</v>
      </c>
      <c r="E553" s="1004" t="n">
        <f aca="false">дома!D1797</f>
        <v>40</v>
      </c>
      <c r="F553" s="1004"/>
      <c r="G553" s="967" t="n">
        <f aca="false">IF(F553&gt;0,D553*F553,E553*D553)</f>
        <v>6.3525</v>
      </c>
      <c r="H553" s="1004" t="n">
        <f aca="false">D553*E553*$H$540</f>
        <v>0</v>
      </c>
      <c r="I553" s="936" t="n">
        <f aca="false">IF(G553&gt;H553,G553,H553)*$H$540</f>
        <v>0</v>
      </c>
      <c r="L553" s="926"/>
      <c r="M553" s="926"/>
      <c r="N553" s="926"/>
    </row>
    <row r="554" customFormat="false" ht="15.75" hidden="true" customHeight="false" outlineLevel="0" collapsed="false">
      <c r="A554" s="937"/>
      <c r="B554" s="1002" t="str">
        <f aca="false">дома!A1798</f>
        <v>Масло для пилы</v>
      </c>
      <c r="C554" s="1003" t="str">
        <f aca="false">дома!B1798</f>
        <v>л</v>
      </c>
      <c r="D554" s="953" t="n">
        <f aca="false">дома!C1798</f>
        <v>0.017469375</v>
      </c>
      <c r="E554" s="1004" t="n">
        <f aca="false">дома!D1798</f>
        <v>250</v>
      </c>
      <c r="F554" s="1004"/>
      <c r="G554" s="967" t="n">
        <f aca="false">IF(F554&gt;0,D554*F554,E554*D554)</f>
        <v>4.36734375</v>
      </c>
      <c r="H554" s="1004" t="n">
        <f aca="false">D554*E554*$H$540</f>
        <v>0</v>
      </c>
      <c r="I554" s="936" t="n">
        <f aca="false">IF(G554&gt;H554,G554,H554)*$H$540</f>
        <v>0</v>
      </c>
      <c r="L554" s="926"/>
      <c r="M554" s="926"/>
      <c r="N554" s="926"/>
    </row>
    <row r="555" customFormat="false" ht="15.75" hidden="true" customHeight="false" outlineLevel="0" collapsed="false">
      <c r="A555" s="937"/>
      <c r="B555" s="1002" t="str">
        <f aca="false">дома!A1799</f>
        <v>Цепь для пилы</v>
      </c>
      <c r="C555" s="1003" t="s">
        <v>48</v>
      </c>
      <c r="D555" s="953" t="n">
        <f aca="false">дома!C1799</f>
        <v>1.1</v>
      </c>
      <c r="E555" s="1004" t="n">
        <f aca="false">дома!D1799</f>
        <v>800</v>
      </c>
      <c r="F555" s="1004"/>
      <c r="G555" s="967" t="n">
        <f aca="false">IF(F555&gt;0,D555*F555,E555*D555)</f>
        <v>880</v>
      </c>
      <c r="H555" s="1004" t="n">
        <f aca="false">D555*E555*$H$540</f>
        <v>0</v>
      </c>
      <c r="I555" s="936" t="n">
        <f aca="false">IF(G555&gt;H555,G555,H555)*$H$540</f>
        <v>0</v>
      </c>
      <c r="L555" s="926"/>
      <c r="M555" s="926"/>
      <c r="N555" s="926"/>
    </row>
    <row r="556" customFormat="false" ht="15.75" hidden="true" customHeight="false" outlineLevel="0" collapsed="false">
      <c r="A556" s="937"/>
      <c r="B556" s="1002" t="str">
        <f aca="false">дома!A1800</f>
        <v>"Профилюкс" Антисептик ОБЗ-1</v>
      </c>
      <c r="C556" s="1003" t="str">
        <f aca="false">дома!B1800</f>
        <v>л</v>
      </c>
      <c r="D556" s="953" t="n">
        <f aca="false">дома!C1800</f>
        <v>0</v>
      </c>
      <c r="E556" s="1004" t="n">
        <f aca="false">дома!D1800</f>
        <v>42</v>
      </c>
      <c r="F556" s="1004"/>
      <c r="G556" s="967" t="n">
        <f aca="false">IF(F556&gt;0,D556*F556,E556*D556)</f>
        <v>0</v>
      </c>
      <c r="H556" s="1004" t="n">
        <f aca="false">D556*E556*$H$540</f>
        <v>0</v>
      </c>
      <c r="I556" s="936" t="n">
        <f aca="false">IF(G556&gt;H556,G556,H556)*$H$540</f>
        <v>0</v>
      </c>
      <c r="L556" s="926"/>
      <c r="M556" s="926"/>
      <c r="N556" s="926"/>
    </row>
    <row r="557" customFormat="false" ht="15.75" hidden="true" customHeight="false" outlineLevel="0" collapsed="false">
      <c r="A557" s="937"/>
      <c r="B557" s="1002" t="str">
        <f aca="false">дома!A1801</f>
        <v>Нет пропитки</v>
      </c>
      <c r="C557" s="1003" t="str">
        <f aca="false">дома!B1801</f>
        <v>л</v>
      </c>
      <c r="D557" s="953" t="n">
        <f aca="false">дома!C1801</f>
        <v>0</v>
      </c>
      <c r="E557" s="1004" t="n">
        <f aca="false">дома!D1801</f>
        <v>0</v>
      </c>
      <c r="F557" s="1004"/>
      <c r="G557" s="967" t="n">
        <f aca="false">IF(F557&gt;0,D557*F557,E557*D557)</f>
        <v>0</v>
      </c>
      <c r="H557" s="1004" t="n">
        <f aca="false">D557*E557*$H$540</f>
        <v>0</v>
      </c>
      <c r="I557" s="936" t="n">
        <f aca="false">IF(G557&gt;H557,G557,H557)*$H$540</f>
        <v>0</v>
      </c>
      <c r="L557" s="926"/>
      <c r="M557" s="926"/>
      <c r="N557" s="926"/>
    </row>
    <row r="558" customFormat="false" ht="15.75" hidden="true" customHeight="false" outlineLevel="0" collapsed="false">
      <c r="A558" s="937"/>
      <c r="B558" s="1002" t="str">
        <f aca="false">дома!A1802</f>
        <v>Нет пропитки</v>
      </c>
      <c r="C558" s="1003" t="str">
        <f aca="false">дома!B1802</f>
        <v>л</v>
      </c>
      <c r="D558" s="953" t="n">
        <f aca="false">дома!C1802</f>
        <v>0</v>
      </c>
      <c r="E558" s="1004" t="n">
        <f aca="false">дома!D1802</f>
        <v>0</v>
      </c>
      <c r="F558" s="1004"/>
      <c r="G558" s="967" t="n">
        <f aca="false">IF(F558&gt;0,D558*F558,E558*D558)</f>
        <v>0</v>
      </c>
      <c r="H558" s="1004" t="n">
        <f aca="false">D558*E558*$H$540</f>
        <v>0</v>
      </c>
      <c r="I558" s="936" t="n">
        <f aca="false">IF(G558&gt;H558,G558,H558)*$H$540</f>
        <v>0</v>
      </c>
      <c r="L558" s="926"/>
      <c r="M558" s="926"/>
      <c r="N558" s="926"/>
    </row>
    <row r="559" customFormat="false" ht="15.75" hidden="true" customHeight="false" outlineLevel="0" collapsed="false">
      <c r="A559" s="937"/>
      <c r="B559" s="1002" t="str">
        <f aca="false">дома!A1803</f>
        <v>Нет наличника</v>
      </c>
      <c r="C559" s="1003" t="str">
        <f aca="false">дома!B1803</f>
        <v>м.п.</v>
      </c>
      <c r="D559" s="953" t="n">
        <f aca="false">дома!C1803</f>
        <v>3.57</v>
      </c>
      <c r="E559" s="1004" t="n">
        <f aca="false">дома!D1803</f>
        <v>0</v>
      </c>
      <c r="F559" s="1004"/>
      <c r="G559" s="967" t="n">
        <f aca="false">IF(F559&gt;0,D559*F559,E559*D559)</f>
        <v>0</v>
      </c>
      <c r="H559" s="1004" t="n">
        <f aca="false">D559*E559*$H$540</f>
        <v>0</v>
      </c>
      <c r="I559" s="936" t="n">
        <f aca="false">IF(G559&gt;H559,G559,H559)*$H$540</f>
        <v>0</v>
      </c>
      <c r="L559" s="926"/>
      <c r="M559" s="926"/>
      <c r="N559" s="926"/>
    </row>
    <row r="560" customFormat="false" ht="15.75" hidden="true" customHeight="false" outlineLevel="0" collapsed="false">
      <c r="A560" s="937"/>
      <c r="B560" s="1002" t="str">
        <f aca="false">дома!A1804</f>
        <v>Нет наличника</v>
      </c>
      <c r="C560" s="1003" t="str">
        <f aca="false">дома!B1804</f>
        <v>м.п.</v>
      </c>
      <c r="D560" s="953" t="n">
        <f aca="false">дома!C1804</f>
        <v>3.57</v>
      </c>
      <c r="E560" s="1004" t="n">
        <f aca="false">дома!D1804</f>
        <v>0</v>
      </c>
      <c r="F560" s="1004"/>
      <c r="G560" s="967" t="n">
        <f aca="false">IF(F560&gt;0,D560*F560,E560*D560)</f>
        <v>0</v>
      </c>
      <c r="H560" s="1004" t="n">
        <f aca="false">D560*E560*$H$540</f>
        <v>0</v>
      </c>
      <c r="I560" s="936" t="n">
        <f aca="false">IF(G560&gt;H560,G560,H560)*$H$540</f>
        <v>0</v>
      </c>
      <c r="L560" s="926"/>
      <c r="M560" s="926"/>
      <c r="N560" s="926"/>
    </row>
    <row r="561" customFormat="false" ht="15.75" hidden="true" customHeight="false" outlineLevel="0" collapsed="false">
      <c r="A561" s="937"/>
      <c r="B561" s="1002" t="str">
        <f aca="false">дома!A1805</f>
        <v>Нет наждачной бумаги</v>
      </c>
      <c r="C561" s="1003" t="str">
        <f aca="false">дома!B1805</f>
        <v>м</v>
      </c>
      <c r="D561" s="953" t="n">
        <f aca="false">дома!C1805</f>
        <v>0</v>
      </c>
      <c r="E561" s="1004" t="n">
        <f aca="false">дома!D1805</f>
        <v>0</v>
      </c>
      <c r="F561" s="1004"/>
      <c r="G561" s="967" t="n">
        <f aca="false">IF(F561&gt;0,D561*F561,E561*D561)</f>
        <v>0</v>
      </c>
      <c r="H561" s="1004" t="n">
        <f aca="false">D561*E561*$H$540</f>
        <v>0</v>
      </c>
      <c r="I561" s="936" t="n">
        <f aca="false">IF(G561&gt;H561,G561,H561)*$H$540</f>
        <v>0</v>
      </c>
      <c r="L561" s="926"/>
      <c r="M561" s="926"/>
      <c r="N561" s="926"/>
    </row>
    <row r="562" customFormat="false" ht="15.75" hidden="true" customHeight="false" outlineLevel="0" collapsed="false">
      <c r="A562" s="937"/>
      <c r="B562" s="1002" t="str">
        <f aca="false">дома!A1806</f>
        <v>Нет наждачной бумаги</v>
      </c>
      <c r="C562" s="1003" t="str">
        <f aca="false">дома!B1806</f>
        <v>м</v>
      </c>
      <c r="D562" s="953" t="n">
        <f aca="false">дома!C1806</f>
        <v>0</v>
      </c>
      <c r="E562" s="1004" t="n">
        <f aca="false">дома!D1806</f>
        <v>0</v>
      </c>
      <c r="F562" s="1004"/>
      <c r="G562" s="967" t="n">
        <f aca="false">IF(F562&gt;0,D562*F562,E562*D562)</f>
        <v>0</v>
      </c>
      <c r="H562" s="1004" t="n">
        <f aca="false">D562*E562*$H$540</f>
        <v>0</v>
      </c>
      <c r="I562" s="936" t="n">
        <f aca="false">IF(G562&gt;H562,G562,H562)*$H$540</f>
        <v>0</v>
      </c>
      <c r="L562" s="926"/>
      <c r="M562" s="926"/>
      <c r="N562" s="926"/>
    </row>
    <row r="563" customFormat="false" ht="15.75" hidden="true" customHeight="false" outlineLevel="0" collapsed="false">
      <c r="A563" s="937"/>
      <c r="B563" s="1002" t="str">
        <f aca="false">дома!A1807</f>
        <v>Нет наждачной бумаги</v>
      </c>
      <c r="C563" s="1003" t="str">
        <f aca="false">дома!B1807</f>
        <v>м</v>
      </c>
      <c r="D563" s="953" t="n">
        <f aca="false">дома!C1807</f>
        <v>0</v>
      </c>
      <c r="E563" s="1004" t="n">
        <f aca="false">дома!D1807</f>
        <v>0</v>
      </c>
      <c r="F563" s="1004"/>
      <c r="G563" s="967" t="n">
        <f aca="false">IF(F563&gt;0,D563*F563,E563*D563)</f>
        <v>0</v>
      </c>
      <c r="H563" s="1004" t="n">
        <f aca="false">D563*E563*$H$540</f>
        <v>0</v>
      </c>
      <c r="I563" s="936" t="n">
        <f aca="false">IF(G563&gt;H563,G563,H563)*$H$540</f>
        <v>0</v>
      </c>
      <c r="L563" s="926"/>
      <c r="M563" s="926"/>
      <c r="N563" s="926"/>
    </row>
    <row r="564" customFormat="false" ht="15.75" hidden="true" customHeight="false" outlineLevel="0" collapsed="false">
      <c r="A564" s="937"/>
      <c r="B564" s="1002" t="str">
        <f aca="false">дома!A1808</f>
        <v>Нет наждачной бумаги</v>
      </c>
      <c r="C564" s="1003" t="str">
        <f aca="false">дома!B1808</f>
        <v>м</v>
      </c>
      <c r="D564" s="953" t="n">
        <f aca="false">дома!C1808</f>
        <v>0</v>
      </c>
      <c r="E564" s="1004" t="n">
        <f aca="false">дома!D1808</f>
        <v>0</v>
      </c>
      <c r="F564" s="1004"/>
      <c r="G564" s="967" t="n">
        <f aca="false">IF(F564&gt;0,D564*F564,E564*D564)</f>
        <v>0</v>
      </c>
      <c r="H564" s="1004" t="n">
        <f aca="false">D564*E564*$H$540</f>
        <v>0</v>
      </c>
      <c r="I564" s="936" t="n">
        <f aca="false">IF(G564&gt;H564,G564,H564)*$H$540</f>
        <v>0</v>
      </c>
      <c r="L564" s="926"/>
      <c r="M564" s="926"/>
      <c r="N564" s="926"/>
    </row>
    <row r="565" customFormat="false" ht="15.75" hidden="true" customHeight="false" outlineLevel="0" collapsed="false">
      <c r="A565" s="937"/>
      <c r="B565" s="1004" t="s">
        <v>2259</v>
      </c>
      <c r="C565" s="1004"/>
      <c r="D565" s="1004"/>
      <c r="E565" s="1004"/>
      <c r="F565" s="1022"/>
      <c r="G565" s="1004" t="n">
        <f aca="false">SUM(G542:G564)*H540</f>
        <v>0</v>
      </c>
      <c r="H565" s="1004" t="n">
        <f aca="false">SUM(H542:H564)</f>
        <v>0</v>
      </c>
      <c r="I565" s="936" t="n">
        <f aca="false">IF(G565&gt;H565,G565,H565)*$H$540</f>
        <v>0</v>
      </c>
      <c r="J565" s="931"/>
      <c r="K565" s="937"/>
    </row>
    <row r="566" customFormat="false" ht="15.75" hidden="true" customHeight="false" outlineLevel="0" collapsed="false">
      <c r="A566" s="937"/>
      <c r="B566" s="1021" t="s">
        <v>2007</v>
      </c>
      <c r="C566" s="1021"/>
      <c r="D566" s="1021"/>
      <c r="E566" s="1021"/>
      <c r="F566" s="1021"/>
      <c r="G566" s="977"/>
      <c r="H566" s="994" t="n">
        <f aca="false">H540</f>
        <v>0</v>
      </c>
      <c r="I566" s="983" t="n">
        <f aca="false">H566</f>
        <v>0</v>
      </c>
      <c r="J566" s="931"/>
      <c r="K566" s="937"/>
    </row>
    <row r="567" customFormat="false" ht="15.75" hidden="true" customHeight="false" outlineLevel="0" collapsed="false">
      <c r="A567" s="937"/>
      <c r="B567" s="1002" t="str">
        <f aca="false">дома!G1786</f>
        <v>кладка бруса</v>
      </c>
      <c r="C567" s="1003" t="s">
        <v>1043</v>
      </c>
      <c r="D567" s="953" t="n">
        <f aca="false">дома!J1786</f>
        <v>0.866249999999999</v>
      </c>
      <c r="E567" s="1004" t="n">
        <f aca="false">дома!K1786</f>
        <v>4000</v>
      </c>
      <c r="F567" s="1004"/>
      <c r="G567" s="967" t="n">
        <f aca="false">IF(F567&gt;0,D567*F567,E567*D567)</f>
        <v>3465</v>
      </c>
      <c r="H567" s="1004" t="n">
        <f aca="false">D567*E567*$H$540</f>
        <v>0</v>
      </c>
      <c r="I567" s="936" t="n">
        <f aca="false">IF(G567&gt;H567,G567,H567)*$H$540</f>
        <v>0</v>
      </c>
      <c r="J567" s="931"/>
      <c r="K567" s="937"/>
    </row>
    <row r="568" customFormat="false" ht="15.75" hidden="true" customHeight="false" outlineLevel="0" collapsed="false">
      <c r="A568" s="937"/>
      <c r="B568" s="1002" t="str">
        <f aca="false">дома!G1787</f>
        <v>окосячка проемов, м.п.</v>
      </c>
      <c r="C568" s="1003" t="s">
        <v>15</v>
      </c>
      <c r="D568" s="953" t="n">
        <f aca="false">дома!J1787</f>
        <v>0</v>
      </c>
      <c r="E568" s="1004" t="n">
        <f aca="false">дома!K1787</f>
        <v>150</v>
      </c>
      <c r="F568" s="1004"/>
      <c r="G568" s="967" t="n">
        <f aca="false">IF(F568&gt;0,D568*F568,E568*D568)</f>
        <v>0</v>
      </c>
      <c r="H568" s="1004" t="n">
        <f aca="false">D568*E568*$H$540</f>
        <v>0</v>
      </c>
      <c r="I568" s="936" t="n">
        <f aca="false">IF(G568&gt;H568,G568,H568)*$H$540</f>
        <v>0</v>
      </c>
      <c r="J568" s="931"/>
      <c r="K568" s="937"/>
    </row>
    <row r="569" customFormat="false" ht="15.75" hidden="true" customHeight="false" outlineLevel="0" collapsed="false">
      <c r="A569" s="937"/>
      <c r="B569" s="1002" t="str">
        <f aca="false">дома!G1788</f>
        <v>обработка торцов на брусе</v>
      </c>
      <c r="C569" s="1003" t="s">
        <v>15</v>
      </c>
      <c r="D569" s="953" t="n">
        <f aca="false">дома!J1788</f>
        <v>20</v>
      </c>
      <c r="E569" s="1004" t="n">
        <f aca="false">дома!K1788</f>
        <v>250</v>
      </c>
      <c r="F569" s="1004"/>
      <c r="G569" s="967" t="n">
        <f aca="false">IF(F569&gt;0,D569*F569,E569*D569)</f>
        <v>5000</v>
      </c>
      <c r="H569" s="1004" t="n">
        <f aca="false">D569*E569*$H$540</f>
        <v>0</v>
      </c>
      <c r="I569" s="936" t="n">
        <f aca="false">IF(G569&gt;H569,G569,H569)*$H$540</f>
        <v>0</v>
      </c>
      <c r="J569" s="931"/>
      <c r="K569" s="937"/>
    </row>
    <row r="570" customFormat="false" ht="15.75" hidden="true" customHeight="false" outlineLevel="0" collapsed="false">
      <c r="A570" s="937"/>
      <c r="B570" s="1002" t="str">
        <f aca="false">дома!G1789</f>
        <v>Обаботка огнебиозащитой</v>
      </c>
      <c r="C570" s="1003" t="s">
        <v>15</v>
      </c>
      <c r="D570" s="953" t="n">
        <f aca="false">дома!J1789</f>
        <v>0.866249999999999</v>
      </c>
      <c r="E570" s="1004" t="n">
        <f aca="false">дома!K1789</f>
        <v>300</v>
      </c>
      <c r="F570" s="1004"/>
      <c r="G570" s="967" t="n">
        <f aca="false">IF(F570&gt;0,D570*F570,E570*D570)</f>
        <v>259.875</v>
      </c>
      <c r="H570" s="1004" t="n">
        <f aca="false">D570*E570*$H$540</f>
        <v>0</v>
      </c>
      <c r="I570" s="936" t="n">
        <f aca="false">IF(G570&gt;H570,G570,H570)*$H$540</f>
        <v>0</v>
      </c>
      <c r="J570" s="931"/>
      <c r="K570" s="937"/>
    </row>
    <row r="571" customFormat="false" ht="15.75" hidden="true" customHeight="false" outlineLevel="0" collapsed="false">
      <c r="A571" s="937"/>
      <c r="B571" s="1002" t="str">
        <f aca="false">дома!G1790</f>
        <v>Пропитка стен внешних</v>
      </c>
      <c r="C571" s="1003" t="s">
        <v>15</v>
      </c>
      <c r="D571" s="953" t="n">
        <f aca="false">дома!J1790</f>
        <v>0</v>
      </c>
      <c r="E571" s="1004" t="n">
        <f aca="false">дома!K1790</f>
        <v>100</v>
      </c>
      <c r="F571" s="1004"/>
      <c r="G571" s="967" t="n">
        <f aca="false">IF(F571&gt;0,D571*F571,E571*D571)</f>
        <v>0</v>
      </c>
      <c r="H571" s="1004" t="n">
        <f aca="false">D571*E571*$H$540</f>
        <v>0</v>
      </c>
      <c r="I571" s="936" t="n">
        <f aca="false">IF(G571&gt;H571,G571,H571)*$H$540</f>
        <v>0</v>
      </c>
      <c r="J571" s="931"/>
      <c r="K571" s="937"/>
    </row>
    <row r="572" customFormat="false" ht="15.75" hidden="true" customHeight="false" outlineLevel="0" collapsed="false">
      <c r="A572" s="937"/>
      <c r="B572" s="1002" t="str">
        <f aca="false">дома!G1791</f>
        <v>Пропитка внутенних стен</v>
      </c>
      <c r="C572" s="1003" t="s">
        <v>15</v>
      </c>
      <c r="D572" s="953" t="n">
        <f aca="false">дома!J1791</f>
        <v>0</v>
      </c>
      <c r="E572" s="1004" t="n">
        <f aca="false">дома!K1791</f>
        <v>100</v>
      </c>
      <c r="F572" s="1004"/>
      <c r="G572" s="967" t="n">
        <f aca="false">IF(F572&gt;0,D572*F572,E572*D572)</f>
        <v>0</v>
      </c>
      <c r="H572" s="1004" t="n">
        <f aca="false">D572*E572*$H$540</f>
        <v>0</v>
      </c>
      <c r="I572" s="936" t="n">
        <f aca="false">IF(G572&gt;H572,G572,H572)*$H$540</f>
        <v>0</v>
      </c>
      <c r="J572" s="931"/>
      <c r="K572" s="937"/>
    </row>
    <row r="573" customFormat="false" ht="15.75" hidden="true" customHeight="false" outlineLevel="0" collapsed="false">
      <c r="A573" s="937"/>
      <c r="B573" s="1002" t="str">
        <f aca="false">дома!G1792</f>
        <v>Не считать</v>
      </c>
      <c r="C573" s="1003" t="s">
        <v>15</v>
      </c>
      <c r="D573" s="953" t="n">
        <f aca="false">дома!J1792</f>
        <v>0</v>
      </c>
      <c r="E573" s="1004" t="n">
        <f aca="false">дома!K1792</f>
        <v>300</v>
      </c>
      <c r="F573" s="1004"/>
      <c r="G573" s="967" t="n">
        <f aca="false">IF(F573&gt;0,D573*F573,E573*D573)</f>
        <v>0</v>
      </c>
      <c r="H573" s="1004" t="n">
        <f aca="false">D573*E573*$H$540</f>
        <v>0</v>
      </c>
      <c r="I573" s="936" t="n">
        <f aca="false">IF(G573&gt;H573,G573,H573)*$H$540</f>
        <v>0</v>
      </c>
      <c r="J573" s="931"/>
      <c r="K573" s="937"/>
    </row>
    <row r="574" customFormat="false" ht="15.75" hidden="true" customHeight="false" outlineLevel="0" collapsed="false">
      <c r="A574" s="937"/>
      <c r="B574" s="1002" t="str">
        <f aca="false">дома!G1793</f>
        <v>Монтаж наличника</v>
      </c>
      <c r="C574" s="1003" t="s">
        <v>15</v>
      </c>
      <c r="D574" s="953" t="n">
        <f aca="false">дома!J1793</f>
        <v>0</v>
      </c>
      <c r="E574" s="1004" t="n">
        <f aca="false">дома!K1793</f>
        <v>80</v>
      </c>
      <c r="F574" s="1004"/>
      <c r="G574" s="967" t="n">
        <f aca="false">IF(F574&gt;0,D574*F574,E574*D574)</f>
        <v>0</v>
      </c>
      <c r="H574" s="1004" t="n">
        <f aca="false">D574*E574*$H$540</f>
        <v>0</v>
      </c>
      <c r="I574" s="936" t="n">
        <f aca="false">IF(G574&gt;H574,G574,H574)*$H$540</f>
        <v>0</v>
      </c>
      <c r="J574" s="931"/>
      <c r="K574" s="937"/>
    </row>
    <row r="575" customFormat="false" ht="15.75" hidden="true" customHeight="false" outlineLevel="0" collapsed="false">
      <c r="A575" s="937"/>
      <c r="B575" s="1002" t="str">
        <f aca="false">дома!G1794</f>
        <v>Шлифовка стен дома</v>
      </c>
      <c r="C575" s="1003" t="s">
        <v>15</v>
      </c>
      <c r="D575" s="953" t="n">
        <f aca="false">дома!J1794</f>
        <v>0</v>
      </c>
      <c r="E575" s="1004" t="n">
        <f aca="false">дома!K1794</f>
        <v>250</v>
      </c>
      <c r="F575" s="1004"/>
      <c r="G575" s="967" t="n">
        <f aca="false">IF(F575&gt;0,D575*F575,E575*D575)</f>
        <v>0</v>
      </c>
      <c r="H575" s="1004" t="n">
        <f aca="false">D575*E575*$H$540</f>
        <v>0</v>
      </c>
      <c r="I575" s="936" t="n">
        <f aca="false">IF(G575&gt;H575,G575,H575)*$H$540</f>
        <v>0</v>
      </c>
      <c r="J575" s="931"/>
      <c r="K575" s="937"/>
    </row>
    <row r="576" customFormat="false" ht="15.75" hidden="true" customHeight="false" outlineLevel="0" collapsed="false">
      <c r="A576" s="937"/>
      <c r="B576" s="973" t="s">
        <v>2248</v>
      </c>
      <c r="C576" s="973"/>
      <c r="D576" s="973"/>
      <c r="E576" s="973"/>
      <c r="F576" s="973"/>
      <c r="G576" s="970" t="n">
        <f aca="false">SUM(G567:G575)*H566</f>
        <v>0</v>
      </c>
      <c r="H576" s="970" t="n">
        <f aca="false">SUM(H567:H575)</f>
        <v>0</v>
      </c>
      <c r="I576" s="936" t="n">
        <f aca="false">IF(G576&gt;H576,G576,H576)*$H$540</f>
        <v>0</v>
      </c>
      <c r="J576" s="931"/>
      <c r="K576" s="937"/>
    </row>
    <row r="577" customFormat="false" ht="21" hidden="true" customHeight="false" outlineLevel="0" collapsed="false">
      <c r="A577" s="937"/>
      <c r="B577" s="989" t="s">
        <v>2262</v>
      </c>
      <c r="C577" s="989"/>
      <c r="D577" s="989"/>
      <c r="E577" s="989"/>
      <c r="F577" s="1012"/>
      <c r="G577" s="977"/>
      <c r="H577" s="1007" t="n">
        <f aca="false">IF('Ввод данных'!$A$19=связи1!A158,1,0)+IF('Ввод данных'!$A$19=связи1!A164,1,0)+IF('Ввод данных'!$A$19=связи1!A172,1,0)</f>
        <v>0</v>
      </c>
      <c r="I577" s="983" t="n">
        <f aca="false">H577</f>
        <v>0</v>
      </c>
      <c r="J577" s="931"/>
      <c r="K577" s="937"/>
    </row>
    <row r="578" customFormat="false" ht="15.75" hidden="true" customHeight="false" outlineLevel="0" collapsed="false">
      <c r="A578" s="931"/>
      <c r="B578" s="1008" t="s">
        <v>2246</v>
      </c>
      <c r="C578" s="1008"/>
      <c r="D578" s="1008"/>
      <c r="E578" s="1008"/>
      <c r="F578" s="1013"/>
      <c r="G578" s="977"/>
      <c r="H578" s="1009" t="n">
        <f aca="false">H577</f>
        <v>0</v>
      </c>
      <c r="I578" s="983" t="n">
        <f aca="false">H578</f>
        <v>0</v>
      </c>
      <c r="J578" s="931"/>
      <c r="K578" s="937"/>
    </row>
    <row r="579" customFormat="false" ht="15.75" hidden="true" customHeight="false" outlineLevel="0" collapsed="false">
      <c r="A579" s="937"/>
      <c r="B579" s="967" t="str">
        <f aca="false">дома!A1985</f>
        <v>Оцилиндрованное бревно лиственница 280мм</v>
      </c>
      <c r="C579" s="968" t="str">
        <f aca="false">дома!B1985</f>
        <v>м3</v>
      </c>
      <c r="D579" s="967" t="n">
        <f aca="false">дома!C1985</f>
        <v>4.19187802</v>
      </c>
      <c r="E579" s="986" t="n">
        <f aca="false">дома!D1985</f>
        <v>10000</v>
      </c>
      <c r="F579" s="986"/>
      <c r="G579" s="967" t="n">
        <f aca="false">IF(F579&gt;0,D579*F579,E579*D579)</f>
        <v>41918.7802</v>
      </c>
      <c r="H579" s="967" t="n">
        <f aca="false">D579*E579*$H$577</f>
        <v>0</v>
      </c>
      <c r="I579" s="936" t="n">
        <f aca="false">IF(G579&gt;H579,G579,H579)*$H$577</f>
        <v>0</v>
      </c>
      <c r="L579" s="926"/>
      <c r="M579" s="926"/>
      <c r="N579" s="926"/>
    </row>
    <row r="580" customFormat="false" ht="15.75" hidden="true" customHeight="false" outlineLevel="0" collapsed="false">
      <c r="A580" s="937"/>
      <c r="B580" s="967" t="str">
        <f aca="false">дома!A1986</f>
        <v>Оцилиндрованное бревно сосна 220мм</v>
      </c>
      <c r="C580" s="968" t="str">
        <f aca="false">дома!B1986</f>
        <v>м3</v>
      </c>
      <c r="D580" s="967" t="n">
        <f aca="false">дома!C1986</f>
        <v>-3.09205170421053</v>
      </c>
      <c r="E580" s="986" t="n">
        <f aca="false">дома!D1986</f>
        <v>8000</v>
      </c>
      <c r="F580" s="986"/>
      <c r="G580" s="967" t="n">
        <f aca="false">IF(F580&gt;0,D580*F580,E580*D580)</f>
        <v>-24736.4136336842</v>
      </c>
      <c r="H580" s="967" t="n">
        <f aca="false">D580*E580*$H$577</f>
        <v>-0</v>
      </c>
      <c r="I580" s="936" t="n">
        <f aca="false">IF(G580&gt;H580,G580,H580)*$H$577</f>
        <v>-0</v>
      </c>
      <c r="L580" s="926"/>
      <c r="M580" s="926"/>
      <c r="N580" s="926"/>
    </row>
    <row r="581" customFormat="false" ht="15.75" hidden="true" customHeight="false" outlineLevel="0" collapsed="false">
      <c r="A581" s="937"/>
      <c r="B581" s="967" t="str">
        <f aca="false">дома!A1987</f>
        <v>Оцилиндрованное бревно сосна 220мм</v>
      </c>
      <c r="C581" s="968" t="str">
        <f aca="false">дома!B1987</f>
        <v>м3</v>
      </c>
      <c r="D581" s="967" t="n">
        <f aca="false">дома!C1987</f>
        <v>0</v>
      </c>
      <c r="E581" s="986" t="n">
        <f aca="false">дома!D1987</f>
        <v>8000</v>
      </c>
      <c r="F581" s="986"/>
      <c r="G581" s="967" t="n">
        <f aca="false">IF(F581&gt;0,D581*F581,E581*D581)</f>
        <v>0</v>
      </c>
      <c r="H581" s="967" t="n">
        <f aca="false">D581*E581*$H$577</f>
        <v>0</v>
      </c>
      <c r="I581" s="936" t="n">
        <f aca="false">IF(G581&gt;H581,G581,H581)*$H$577</f>
        <v>0</v>
      </c>
      <c r="L581" s="926"/>
      <c r="M581" s="926"/>
      <c r="N581" s="926"/>
    </row>
    <row r="582" customFormat="false" ht="15.75" hidden="true" customHeight="false" outlineLevel="0" collapsed="false">
      <c r="A582" s="937"/>
      <c r="B582" s="967" t="str">
        <f aca="false">дома!A1988</f>
        <v>Оцилиндрованное бревно сосна 220мм</v>
      </c>
      <c r="C582" s="968" t="str">
        <f aca="false">дома!B1988</f>
        <v>м2</v>
      </c>
      <c r="D582" s="967" t="n">
        <f aca="false">дома!C1988</f>
        <v>0</v>
      </c>
      <c r="E582" s="986" t="n">
        <f aca="false">дома!D1988</f>
        <v>8000</v>
      </c>
      <c r="F582" s="986"/>
      <c r="G582" s="967" t="n">
        <f aca="false">IF(F582&gt;0,D582*F582,E582*D582)</f>
        <v>0</v>
      </c>
      <c r="H582" s="967" t="n">
        <f aca="false">D582*E582*$H$577</f>
        <v>0</v>
      </c>
      <c r="I582" s="936" t="n">
        <f aca="false">IF(G582&gt;H582,G582,H582)*$H$577</f>
        <v>0</v>
      </c>
      <c r="L582" s="926"/>
      <c r="M582" s="926"/>
      <c r="N582" s="926"/>
    </row>
    <row r="583" customFormat="false" ht="15.75" hidden="true" customHeight="false" outlineLevel="0" collapsed="false">
      <c r="A583" s="937"/>
      <c r="B583" s="967" t="str">
        <f aca="false">дома!A1989</f>
        <v>Шкант</v>
      </c>
      <c r="C583" s="968" t="str">
        <f aca="false">дома!B1989</f>
        <v>шт</v>
      </c>
      <c r="D583" s="967" t="n">
        <f aca="false">дома!C1989</f>
        <v>0.349944736842105</v>
      </c>
      <c r="E583" s="986" t="n">
        <f aca="false">дома!D1989</f>
        <v>6</v>
      </c>
      <c r="F583" s="986"/>
      <c r="G583" s="967" t="n">
        <f aca="false">IF(F583&gt;0,D583*F583,E583*D583)</f>
        <v>2.09966842105263</v>
      </c>
      <c r="H583" s="967" t="n">
        <f aca="false">D583*E583*$H$577</f>
        <v>0</v>
      </c>
      <c r="I583" s="936" t="n">
        <f aca="false">IF(G583&gt;H583,G583,H583)*$H$577</f>
        <v>0</v>
      </c>
      <c r="L583" s="926"/>
      <c r="M583" s="926"/>
      <c r="N583" s="926"/>
    </row>
    <row r="584" customFormat="false" ht="15.75" hidden="true" customHeight="false" outlineLevel="0" collapsed="false">
      <c r="A584" s="937"/>
      <c r="B584" s="967" t="str">
        <f aca="false">дома!A1990</f>
        <v>Лен-джут 200х5х20000 мм</v>
      </c>
      <c r="C584" s="968" t="str">
        <f aca="false">дома!B1990</f>
        <v>шт</v>
      </c>
      <c r="D584" s="967" t="n">
        <f aca="false">дома!C1990</f>
        <v>2</v>
      </c>
      <c r="E584" s="986" t="n">
        <f aca="false">дома!D1990</f>
        <v>175</v>
      </c>
      <c r="F584" s="986"/>
      <c r="G584" s="967" t="n">
        <f aca="false">IF(F584&gt;0,D584*F584,E584*D584)</f>
        <v>350</v>
      </c>
      <c r="H584" s="967" t="n">
        <f aca="false">D584*E584*$H$577</f>
        <v>0</v>
      </c>
      <c r="I584" s="936" t="n">
        <f aca="false">IF(G584&gt;H584,G584,H584)*$H$577</f>
        <v>0</v>
      </c>
      <c r="L584" s="926"/>
      <c r="M584" s="926"/>
      <c r="N584" s="926"/>
    </row>
    <row r="585" customFormat="false" ht="15.75" hidden="true" customHeight="false" outlineLevel="0" collapsed="false">
      <c r="A585" s="937"/>
      <c r="B585" s="967" t="str">
        <f aca="false">дома!A1991</f>
        <v>Гвозди ершоные 2,8 х 90            </v>
      </c>
      <c r="C585" s="968" t="str">
        <f aca="false">дома!B1991</f>
        <v>шт</v>
      </c>
      <c r="D585" s="967" t="n">
        <f aca="false">дома!C1991</f>
        <v>4.84</v>
      </c>
      <c r="E585" s="986" t="n">
        <f aca="false">дома!D1991</f>
        <v>76.49</v>
      </c>
      <c r="F585" s="986"/>
      <c r="G585" s="967" t="n">
        <f aca="false">IF(F585&gt;0,D585*F585,E585*D585)</f>
        <v>370.2116</v>
      </c>
      <c r="H585" s="967" t="n">
        <f aca="false">D585*E585*$H$577</f>
        <v>0</v>
      </c>
      <c r="I585" s="936" t="n">
        <f aca="false">IF(G585&gt;H585,G585,H585)*$H$577</f>
        <v>0</v>
      </c>
      <c r="L585" s="926"/>
      <c r="M585" s="926"/>
      <c r="N585" s="926"/>
    </row>
    <row r="586" customFormat="false" ht="15.75" hidden="true" customHeight="false" outlineLevel="0" collapsed="false">
      <c r="A586" s="937"/>
      <c r="B586" s="967" t="str">
        <f aca="false">дома!A1992</f>
        <v>нет</v>
      </c>
      <c r="C586" s="968" t="str">
        <f aca="false">дома!B1992</f>
        <v>м3</v>
      </c>
      <c r="D586" s="967" t="n">
        <f aca="false">дома!C1992</f>
        <v>0</v>
      </c>
      <c r="E586" s="986" t="n">
        <f aca="false">дома!D1992</f>
        <v>0</v>
      </c>
      <c r="F586" s="986"/>
      <c r="G586" s="967" t="n">
        <f aca="false">IF(F586&gt;0,D586*F586,E586*D586)</f>
        <v>0</v>
      </c>
      <c r="H586" s="967" t="n">
        <f aca="false">D586*E586*$H$577</f>
        <v>0</v>
      </c>
      <c r="I586" s="936" t="n">
        <f aca="false">IF(G586&gt;H586,G586,H586)*$H$577</f>
        <v>0</v>
      </c>
      <c r="L586" s="926"/>
      <c r="M586" s="926"/>
      <c r="N586" s="926"/>
    </row>
    <row r="587" customFormat="false" ht="15.75" hidden="true" customHeight="false" outlineLevel="0" collapsed="false">
      <c r="A587" s="937"/>
      <c r="B587" s="967" t="str">
        <f aca="false">дома!A1993</f>
        <v>нет</v>
      </c>
      <c r="C587" s="968" t="str">
        <f aca="false">дома!B1993</f>
        <v>м3</v>
      </c>
      <c r="D587" s="967" t="n">
        <f aca="false">дома!C1993</f>
        <v>0</v>
      </c>
      <c r="E587" s="986" t="n">
        <f aca="false">дома!D1993</f>
        <v>0</v>
      </c>
      <c r="F587" s="986"/>
      <c r="G587" s="967" t="n">
        <f aca="false">IF(F587&gt;0,D587*F587,E587*D587)</f>
        <v>0</v>
      </c>
      <c r="H587" s="967" t="n">
        <f aca="false">D587*E587*$H$577</f>
        <v>0</v>
      </c>
      <c r="I587" s="936" t="n">
        <f aca="false">IF(G587&gt;H587,G587,H587)*$H$577</f>
        <v>0</v>
      </c>
      <c r="L587" s="926"/>
      <c r="M587" s="926"/>
      <c r="N587" s="926"/>
    </row>
    <row r="588" customFormat="false" ht="15.75" hidden="true" customHeight="false" outlineLevel="0" collapsed="false">
      <c r="A588" s="937"/>
      <c r="B588" s="967" t="str">
        <f aca="false">дома!A1994</f>
        <v>нет</v>
      </c>
      <c r="C588" s="968" t="str">
        <f aca="false">дома!B1994</f>
        <v>м3</v>
      </c>
      <c r="D588" s="967" t="n">
        <f aca="false">дома!C1994</f>
        <v>0</v>
      </c>
      <c r="E588" s="986" t="n">
        <f aca="false">дома!D1994</f>
        <v>0</v>
      </c>
      <c r="F588" s="986"/>
      <c r="G588" s="967" t="n">
        <f aca="false">IF(F588&gt;0,D588*F588,E588*D588)</f>
        <v>0</v>
      </c>
      <c r="H588" s="967" t="n">
        <f aca="false">D588*E588*$H$577</f>
        <v>0</v>
      </c>
      <c r="I588" s="936" t="n">
        <f aca="false">IF(G588&gt;H588,G588,H588)*$H$577</f>
        <v>0</v>
      </c>
      <c r="L588" s="926"/>
      <c r="M588" s="926"/>
      <c r="N588" s="926"/>
    </row>
    <row r="589" customFormat="false" ht="15.75" hidden="true" customHeight="false" outlineLevel="0" collapsed="false">
      <c r="A589" s="937"/>
      <c r="B589" s="967" t="str">
        <f aca="false">дома!A1995</f>
        <v>нет</v>
      </c>
      <c r="C589" s="968" t="str">
        <f aca="false">дома!B1995</f>
        <v>м.п.</v>
      </c>
      <c r="D589" s="967" t="n">
        <f aca="false">дома!C1995</f>
        <v>0</v>
      </c>
      <c r="E589" s="986" t="n">
        <f aca="false">дома!D1995</f>
        <v>0</v>
      </c>
      <c r="F589" s="986"/>
      <c r="G589" s="967" t="n">
        <f aca="false">IF(F589&gt;0,D589*F589,E589*D589)</f>
        <v>0</v>
      </c>
      <c r="H589" s="967" t="n">
        <f aca="false">D589*E589*$H$577</f>
        <v>0</v>
      </c>
      <c r="I589" s="936" t="n">
        <f aca="false">IF(G589&gt;H589,G589,H589)*$H$577</f>
        <v>0</v>
      </c>
      <c r="L589" s="926"/>
      <c r="M589" s="926"/>
      <c r="N589" s="926"/>
    </row>
    <row r="590" customFormat="false" ht="15.75" hidden="true" customHeight="false" outlineLevel="0" collapsed="false">
      <c r="A590" s="937"/>
      <c r="B590" s="967" t="str">
        <f aca="false">дома!A1996</f>
        <v>Бензин для пилы</v>
      </c>
      <c r="C590" s="968" t="str">
        <f aca="false">дома!B1996</f>
        <v>л</v>
      </c>
      <c r="D590" s="967" t="n">
        <f aca="false">дома!C1996</f>
        <v>0.219965263157895</v>
      </c>
      <c r="E590" s="986" t="n">
        <f aca="false">дома!D1996</f>
        <v>40</v>
      </c>
      <c r="F590" s="986"/>
      <c r="G590" s="967" t="n">
        <f aca="false">IF(F590&gt;0,D590*F590,E590*D590)</f>
        <v>8.79861052631579</v>
      </c>
      <c r="H590" s="967" t="n">
        <f aca="false">D590*E590*$H$577</f>
        <v>0</v>
      </c>
      <c r="I590" s="936" t="n">
        <f aca="false">IF(G590&gt;H590,G590,H590)*$H$577</f>
        <v>0</v>
      </c>
      <c r="L590" s="926"/>
      <c r="M590" s="926"/>
      <c r="N590" s="926"/>
    </row>
    <row r="591" customFormat="false" ht="15.75" hidden="true" customHeight="false" outlineLevel="0" collapsed="false">
      <c r="A591" s="937"/>
      <c r="B591" s="967" t="str">
        <f aca="false">дома!A1997</f>
        <v>Масло для пилы</v>
      </c>
      <c r="C591" s="968" t="str">
        <f aca="false">дома!B1997</f>
        <v>л</v>
      </c>
      <c r="D591" s="967" t="n">
        <f aca="false">дома!C1997</f>
        <v>0.0109982631578947</v>
      </c>
      <c r="E591" s="986" t="n">
        <f aca="false">дома!D1997</f>
        <v>250</v>
      </c>
      <c r="F591" s="986"/>
      <c r="G591" s="967" t="n">
        <f aca="false">IF(F591&gt;0,D591*F591,E591*D591)</f>
        <v>2.74956578947368</v>
      </c>
      <c r="H591" s="967" t="n">
        <f aca="false">D591*E591*$H$577</f>
        <v>0</v>
      </c>
      <c r="I591" s="936" t="n">
        <f aca="false">IF(G591&gt;H591,G591,H591)*$H$577</f>
        <v>0</v>
      </c>
      <c r="L591" s="926"/>
      <c r="M591" s="926"/>
      <c r="N591" s="926"/>
    </row>
    <row r="592" customFormat="false" ht="15.75" hidden="true" customHeight="false" outlineLevel="0" collapsed="false">
      <c r="A592" s="937"/>
      <c r="B592" s="967" t="str">
        <f aca="false">дома!A1998</f>
        <v>Цепь для пилы</v>
      </c>
      <c r="C592" s="968" t="s">
        <v>48</v>
      </c>
      <c r="D592" s="967" t="n">
        <f aca="false">дома!C1998</f>
        <v>1</v>
      </c>
      <c r="E592" s="986" t="n">
        <f aca="false">дома!D1998</f>
        <v>800</v>
      </c>
      <c r="F592" s="986"/>
      <c r="G592" s="967" t="n">
        <f aca="false">IF(F592&gt;0,D592*F592,E592*D592)</f>
        <v>800</v>
      </c>
      <c r="H592" s="967" t="n">
        <f aca="false">D592*E592*$H$577</f>
        <v>0</v>
      </c>
      <c r="I592" s="936" t="n">
        <f aca="false">IF(G592&gt;H592,G592,H592)*$H$577</f>
        <v>0</v>
      </c>
      <c r="L592" s="926"/>
      <c r="M592" s="926"/>
      <c r="N592" s="926"/>
    </row>
    <row r="593" customFormat="false" ht="15.75" hidden="true" customHeight="false" outlineLevel="0" collapsed="false">
      <c r="A593" s="937"/>
      <c r="B593" s="967" t="str">
        <f aca="false">дома!A1999</f>
        <v>"Профилюкс" Антисептик ОБЗ-1</v>
      </c>
      <c r="C593" s="968" t="str">
        <f aca="false">дома!B1999</f>
        <v>л</v>
      </c>
      <c r="D593" s="967" t="n">
        <f aca="false">дома!C1999</f>
        <v>1.81789473684211</v>
      </c>
      <c r="E593" s="986" t="n">
        <f aca="false">дома!D1999</f>
        <v>42</v>
      </c>
      <c r="F593" s="986"/>
      <c r="G593" s="967" t="n">
        <f aca="false">IF(F593&gt;0,D593*F593,E593*D593)</f>
        <v>76.3515789473684</v>
      </c>
      <c r="H593" s="967" t="n">
        <f aca="false">D593*E593*$H$577</f>
        <v>0</v>
      </c>
      <c r="I593" s="936" t="n">
        <f aca="false">IF(G593&gt;H593,G593,H593)*$H$577</f>
        <v>0</v>
      </c>
      <c r="L593" s="926"/>
      <c r="M593" s="926"/>
      <c r="N593" s="926"/>
    </row>
    <row r="594" customFormat="false" ht="15.75" hidden="true" customHeight="false" outlineLevel="0" collapsed="false">
      <c r="A594" s="937"/>
      <c r="B594" s="967" t="str">
        <f aca="false">дома!A2000</f>
        <v>Нет пропитки</v>
      </c>
      <c r="C594" s="968" t="str">
        <f aca="false">дома!B2000</f>
        <v>л</v>
      </c>
      <c r="D594" s="967" t="n">
        <f aca="false">дома!C2000</f>
        <v>1.09073684210526</v>
      </c>
      <c r="E594" s="986" t="n">
        <f aca="false">дома!D2000</f>
        <v>0</v>
      </c>
      <c r="F594" s="986"/>
      <c r="G594" s="967" t="n">
        <f aca="false">IF(F594&gt;0,D594*F594,E594*D594)</f>
        <v>0</v>
      </c>
      <c r="H594" s="967" t="n">
        <f aca="false">D594*E594*$H$577</f>
        <v>0</v>
      </c>
      <c r="I594" s="936" t="n">
        <f aca="false">IF(G594&gt;H594,G594,H594)*$H$577</f>
        <v>0</v>
      </c>
      <c r="L594" s="926"/>
      <c r="M594" s="926"/>
      <c r="N594" s="926"/>
    </row>
    <row r="595" customFormat="false" ht="15.75" hidden="true" customHeight="false" outlineLevel="0" collapsed="false">
      <c r="A595" s="937"/>
      <c r="B595" s="967" t="str">
        <f aca="false">дома!A2001</f>
        <v>Нет пропитки</v>
      </c>
      <c r="C595" s="968" t="str">
        <f aca="false">дома!B2001</f>
        <v>л</v>
      </c>
      <c r="D595" s="967" t="n">
        <f aca="false">дома!C2001</f>
        <v>1.09073684210526</v>
      </c>
      <c r="E595" s="986" t="n">
        <f aca="false">дома!D2001</f>
        <v>0</v>
      </c>
      <c r="F595" s="986"/>
      <c r="G595" s="967" t="n">
        <f aca="false">IF(F595&gt;0,D595*F595,E595*D595)</f>
        <v>0</v>
      </c>
      <c r="H595" s="967" t="n">
        <f aca="false">D595*E595*$H$577</f>
        <v>0</v>
      </c>
      <c r="I595" s="936" t="n">
        <f aca="false">IF(G595&gt;H595,G595,H595)*$H$577</f>
        <v>0</v>
      </c>
      <c r="L595" s="926"/>
      <c r="M595" s="926"/>
      <c r="N595" s="926"/>
    </row>
    <row r="596" customFormat="false" ht="15.75" hidden="true" customHeight="false" outlineLevel="0" collapsed="false">
      <c r="A596" s="937"/>
      <c r="B596" s="967" t="str">
        <f aca="false">дома!A2002</f>
        <v>Нет наличника</v>
      </c>
      <c r="C596" s="968" t="str">
        <f aca="false">дома!B2002</f>
        <v>м.п.</v>
      </c>
      <c r="D596" s="967" t="n">
        <f aca="false">дома!C2002</f>
        <v>3.57</v>
      </c>
      <c r="E596" s="986" t="n">
        <f aca="false">дома!D2002</f>
        <v>0</v>
      </c>
      <c r="F596" s="986"/>
      <c r="G596" s="967" t="n">
        <f aca="false">IF(F596&gt;0,D596*F596,E596*D596)</f>
        <v>0</v>
      </c>
      <c r="H596" s="967" t="n">
        <f aca="false">D596*E596*$H$577</f>
        <v>0</v>
      </c>
      <c r="I596" s="936" t="n">
        <f aca="false">IF(G596&gt;H596,G596,H596)*$H$577</f>
        <v>0</v>
      </c>
      <c r="L596" s="926"/>
      <c r="M596" s="926"/>
      <c r="N596" s="926"/>
    </row>
    <row r="597" customFormat="false" ht="15.75" hidden="true" customHeight="false" outlineLevel="0" collapsed="false">
      <c r="A597" s="937"/>
      <c r="B597" s="967" t="str">
        <f aca="false">дома!A2003</f>
        <v>Нет наличника</v>
      </c>
      <c r="C597" s="968" t="str">
        <f aca="false">дома!B2003</f>
        <v>м.п.</v>
      </c>
      <c r="D597" s="967" t="n">
        <f aca="false">дома!C2003</f>
        <v>3.57</v>
      </c>
      <c r="E597" s="986" t="n">
        <f aca="false">дома!D2003</f>
        <v>0</v>
      </c>
      <c r="F597" s="986"/>
      <c r="G597" s="967" t="n">
        <f aca="false">IF(F597&gt;0,D597*F597,E597*D597)</f>
        <v>0</v>
      </c>
      <c r="H597" s="967" t="n">
        <f aca="false">D597*E597*$H$577</f>
        <v>0</v>
      </c>
      <c r="I597" s="936" t="n">
        <f aca="false">IF(G597&gt;H597,G597,H597)*$H$577</f>
        <v>0</v>
      </c>
      <c r="L597" s="926"/>
      <c r="M597" s="926"/>
      <c r="N597" s="926"/>
    </row>
    <row r="598" customFormat="false" ht="15.75" hidden="true" customHeight="false" outlineLevel="0" collapsed="false">
      <c r="A598" s="937"/>
      <c r="B598" s="967" t="str">
        <f aca="false">дома!A2004</f>
        <v>Нет наждачной бумаги</v>
      </c>
      <c r="C598" s="968" t="str">
        <f aca="false">дома!B2004</f>
        <v>м</v>
      </c>
      <c r="D598" s="967" t="n">
        <f aca="false">дома!C2004</f>
        <v>0</v>
      </c>
      <c r="E598" s="986" t="n">
        <f aca="false">дома!D2004</f>
        <v>0</v>
      </c>
      <c r="F598" s="986"/>
      <c r="G598" s="967" t="n">
        <f aca="false">IF(F598&gt;0,D598*F598,E598*D598)</f>
        <v>0</v>
      </c>
      <c r="H598" s="967" t="n">
        <f aca="false">D598*E598*$H$577</f>
        <v>0</v>
      </c>
      <c r="I598" s="936" t="n">
        <f aca="false">IF(G598&gt;H598,G598,H598)*$H$577</f>
        <v>0</v>
      </c>
      <c r="L598" s="926"/>
      <c r="M598" s="926"/>
      <c r="N598" s="926"/>
    </row>
    <row r="599" customFormat="false" ht="15.75" hidden="true" customHeight="false" outlineLevel="0" collapsed="false">
      <c r="A599" s="937"/>
      <c r="B599" s="967" t="str">
        <f aca="false">дома!A2005</f>
        <v>Нет наждачной бумаги</v>
      </c>
      <c r="C599" s="968" t="str">
        <f aca="false">дома!B2005</f>
        <v>м</v>
      </c>
      <c r="D599" s="967" t="n">
        <f aca="false">дома!C2005</f>
        <v>0</v>
      </c>
      <c r="E599" s="986" t="n">
        <f aca="false">дома!D2005</f>
        <v>0</v>
      </c>
      <c r="F599" s="986"/>
      <c r="G599" s="967" t="n">
        <f aca="false">IF(F599&gt;0,D599*F599,E599*D599)</f>
        <v>0</v>
      </c>
      <c r="H599" s="967" t="n">
        <f aca="false">D599*E599*$H$577</f>
        <v>0</v>
      </c>
      <c r="I599" s="936" t="n">
        <f aca="false">IF(G599&gt;H599,G599,H599)*$H$577</f>
        <v>0</v>
      </c>
      <c r="L599" s="926"/>
      <c r="M599" s="926"/>
      <c r="N599" s="926"/>
    </row>
    <row r="600" customFormat="false" ht="15.75" hidden="true" customHeight="false" outlineLevel="0" collapsed="false">
      <c r="A600" s="937"/>
      <c r="B600" s="967" t="str">
        <f aca="false">дома!A2006</f>
        <v>Нет наждачной бумаги</v>
      </c>
      <c r="C600" s="968" t="str">
        <f aca="false">дома!B2006</f>
        <v>м</v>
      </c>
      <c r="D600" s="967" t="n">
        <f aca="false">дома!C2006</f>
        <v>0</v>
      </c>
      <c r="E600" s="986" t="n">
        <f aca="false">дома!D2006</f>
        <v>0</v>
      </c>
      <c r="F600" s="986"/>
      <c r="G600" s="967" t="n">
        <f aca="false">IF(F600&gt;0,D600*F600,E600*D600)</f>
        <v>0</v>
      </c>
      <c r="H600" s="967" t="n">
        <f aca="false">D600*E600*$H$577</f>
        <v>0</v>
      </c>
      <c r="I600" s="936" t="n">
        <f aca="false">IF(G600&gt;H600,G600,H600)*$H$577</f>
        <v>0</v>
      </c>
      <c r="L600" s="926"/>
      <c r="M600" s="926"/>
      <c r="N600" s="926"/>
    </row>
    <row r="601" customFormat="false" ht="15.75" hidden="true" customHeight="false" outlineLevel="0" collapsed="false">
      <c r="A601" s="937"/>
      <c r="B601" s="967" t="str">
        <f aca="false">дома!A2007</f>
        <v>Нет наждачной бумаги</v>
      </c>
      <c r="C601" s="968" t="str">
        <f aca="false">дома!B2007</f>
        <v>м</v>
      </c>
      <c r="D601" s="967" t="n">
        <f aca="false">дома!C2007</f>
        <v>0</v>
      </c>
      <c r="E601" s="986" t="n">
        <f aca="false">дома!D2007</f>
        <v>0</v>
      </c>
      <c r="F601" s="986"/>
      <c r="G601" s="967" t="n">
        <f aca="false">IF(F601&gt;0,D601*F601,E601*D601)</f>
        <v>0</v>
      </c>
      <c r="H601" s="967" t="n">
        <f aca="false">D601*E601*$H$577</f>
        <v>0</v>
      </c>
      <c r="I601" s="936" t="n">
        <f aca="false">IF(G601&gt;H601,G601,H601)*$H$577</f>
        <v>0</v>
      </c>
      <c r="L601" s="926"/>
      <c r="M601" s="926"/>
      <c r="N601" s="926"/>
    </row>
    <row r="602" customFormat="false" ht="15.75" hidden="true" customHeight="false" outlineLevel="0" collapsed="false">
      <c r="A602" s="937"/>
      <c r="B602" s="973" t="s">
        <v>2247</v>
      </c>
      <c r="C602" s="973"/>
      <c r="D602" s="973"/>
      <c r="E602" s="973"/>
      <c r="F602" s="973"/>
      <c r="G602" s="970" t="n">
        <f aca="false">SUM(G579:G601)*H577</f>
        <v>0</v>
      </c>
      <c r="H602" s="970" t="n">
        <f aca="false">SUM(H579:H601)</f>
        <v>0</v>
      </c>
      <c r="I602" s="936" t="n">
        <f aca="false">IF(G602&gt;H602,G602,H602)*$H$577</f>
        <v>0</v>
      </c>
      <c r="L602" s="926"/>
      <c r="M602" s="926"/>
      <c r="N602" s="926"/>
    </row>
    <row r="603" customFormat="false" ht="15.75" hidden="true" customHeight="false" outlineLevel="0" collapsed="false">
      <c r="A603" s="937"/>
      <c r="B603" s="976" t="s">
        <v>2007</v>
      </c>
      <c r="C603" s="976"/>
      <c r="D603" s="976"/>
      <c r="E603" s="976"/>
      <c r="F603" s="1014"/>
      <c r="G603" s="977"/>
      <c r="H603" s="994" t="n">
        <f aca="false">H577</f>
        <v>0</v>
      </c>
      <c r="I603" s="983" t="n">
        <f aca="false">H603</f>
        <v>0</v>
      </c>
      <c r="L603" s="926"/>
      <c r="M603" s="926"/>
      <c r="N603" s="926"/>
    </row>
    <row r="604" customFormat="false" ht="15.75" hidden="true" customHeight="false" outlineLevel="0" collapsed="false">
      <c r="A604" s="931"/>
      <c r="B604" s="995" t="str">
        <f aca="false">дома!G1985</f>
        <v>кладка Дикого леса</v>
      </c>
      <c r="C604" s="993" t="s">
        <v>1043</v>
      </c>
      <c r="D604" s="992" t="n">
        <f aca="false">дома!J1985</f>
        <v>1.09982631578947</v>
      </c>
      <c r="E604" s="1010" t="n">
        <f aca="false">дома!K1985</f>
        <v>6000</v>
      </c>
      <c r="F604" s="1010"/>
      <c r="G604" s="967" t="n">
        <f aca="false">IF(F604&gt;0,D604*F604,E604*D604)</f>
        <v>6598.95789473684</v>
      </c>
      <c r="H604" s="970" t="n">
        <f aca="false">D604*E604*$H$603</f>
        <v>0</v>
      </c>
      <c r="I604" s="936" t="n">
        <f aca="false">IF(G604&gt;H604,G604,H604)*$H$577</f>
        <v>0</v>
      </c>
      <c r="J604" s="931"/>
      <c r="K604" s="937"/>
    </row>
    <row r="605" customFormat="false" ht="15.75" hidden="true" customHeight="false" outlineLevel="0" collapsed="false">
      <c r="A605" s="937"/>
      <c r="B605" s="995" t="str">
        <f aca="false">дома!G1986</f>
        <v>окосячка проемов, м.п.</v>
      </c>
      <c r="C605" s="993" t="s">
        <v>15</v>
      </c>
      <c r="D605" s="992" t="n">
        <f aca="false">дома!J1986</f>
        <v>0</v>
      </c>
      <c r="E605" s="1010" t="n">
        <f aca="false">дома!K1986</f>
        <v>150</v>
      </c>
      <c r="F605" s="1010"/>
      <c r="G605" s="967" t="n">
        <f aca="false">IF(F605&gt;0,D605*F605,E605*D605)</f>
        <v>0</v>
      </c>
      <c r="H605" s="970" t="n">
        <f aca="false">D605*E605*$H$603</f>
        <v>0</v>
      </c>
      <c r="I605" s="936" t="n">
        <f aca="false">IF(G605&gt;H605,G605,H605)*$H$577</f>
        <v>0</v>
      </c>
      <c r="J605" s="931"/>
      <c r="K605" s="937"/>
    </row>
    <row r="606" customFormat="false" ht="15.75" hidden="true" customHeight="false" outlineLevel="0" collapsed="false">
      <c r="A606" s="937"/>
      <c r="B606" s="995" t="str">
        <f aca="false">дома!G1987</f>
        <v>обработка торцов на брусе</v>
      </c>
      <c r="C606" s="993" t="s">
        <v>15</v>
      </c>
      <c r="D606" s="992" t="n">
        <f aca="false">дома!J1987</f>
        <v>20</v>
      </c>
      <c r="E606" s="1010" t="n">
        <f aca="false">дома!K1987</f>
        <v>250</v>
      </c>
      <c r="F606" s="1010"/>
      <c r="G606" s="967" t="n">
        <f aca="false">IF(F606&gt;0,D606*F606,E606*D606)</f>
        <v>5000</v>
      </c>
      <c r="H606" s="970" t="n">
        <f aca="false">D606*E606*$H$603</f>
        <v>0</v>
      </c>
      <c r="I606" s="936" t="n">
        <f aca="false">IF(G606&gt;H606,G606,H606)*$H$577</f>
        <v>0</v>
      </c>
      <c r="J606" s="931"/>
      <c r="K606" s="937"/>
    </row>
    <row r="607" customFormat="false" ht="15.75" hidden="true" customHeight="false" outlineLevel="0" collapsed="false">
      <c r="A607" s="937"/>
      <c r="B607" s="995" t="str">
        <f aca="false">дома!G1988</f>
        <v>Обаботка огнебиозащитой</v>
      </c>
      <c r="C607" s="993" t="s">
        <v>15</v>
      </c>
      <c r="D607" s="992" t="n">
        <f aca="false">дома!J1988</f>
        <v>1.09982631578947</v>
      </c>
      <c r="E607" s="1010" t="n">
        <f aca="false">дома!K1988</f>
        <v>300</v>
      </c>
      <c r="F607" s="1010"/>
      <c r="G607" s="967" t="n">
        <f aca="false">IF(F607&gt;0,D607*F607,E607*D607)</f>
        <v>329.947894736842</v>
      </c>
      <c r="H607" s="970" t="n">
        <f aca="false">D607*E607*$H$603</f>
        <v>0</v>
      </c>
      <c r="I607" s="936" t="n">
        <f aca="false">IF(G607&gt;H607,G607,H607)*$H$577</f>
        <v>0</v>
      </c>
      <c r="J607" s="931"/>
      <c r="K607" s="937"/>
    </row>
    <row r="608" customFormat="false" ht="15.75" hidden="true" customHeight="false" outlineLevel="0" collapsed="false">
      <c r="A608" s="937"/>
      <c r="B608" s="995" t="str">
        <f aca="false">дома!G1989</f>
        <v>Пропитка стен внешних</v>
      </c>
      <c r="C608" s="993" t="s">
        <v>15</v>
      </c>
      <c r="D608" s="992" t="n">
        <f aca="false">дома!J1989</f>
        <v>0</v>
      </c>
      <c r="E608" s="1010" t="n">
        <f aca="false">дома!K1989</f>
        <v>100</v>
      </c>
      <c r="F608" s="1010"/>
      <c r="G608" s="967" t="n">
        <f aca="false">IF(F608&gt;0,D608*F608,E608*D608)</f>
        <v>0</v>
      </c>
      <c r="H608" s="970" t="n">
        <f aca="false">D608*E608*$H$603</f>
        <v>0</v>
      </c>
      <c r="I608" s="936" t="n">
        <f aca="false">IF(G608&gt;H608,G608,H608)*$H$577</f>
        <v>0</v>
      </c>
      <c r="J608" s="931"/>
      <c r="K608" s="937"/>
    </row>
    <row r="609" customFormat="false" ht="15.75" hidden="true" customHeight="false" outlineLevel="0" collapsed="false">
      <c r="A609" s="937"/>
      <c r="B609" s="995" t="str">
        <f aca="false">дома!G1990</f>
        <v>Пропитка внутенних стен</v>
      </c>
      <c r="C609" s="993" t="s">
        <v>15</v>
      </c>
      <c r="D609" s="992" t="n">
        <f aca="false">дома!J1990</f>
        <v>0</v>
      </c>
      <c r="E609" s="1010" t="n">
        <f aca="false">дома!K1990</f>
        <v>100</v>
      </c>
      <c r="F609" s="1010"/>
      <c r="G609" s="967" t="n">
        <f aca="false">IF(F609&gt;0,D609*F609,E609*D609)</f>
        <v>0</v>
      </c>
      <c r="H609" s="970" t="n">
        <f aca="false">D609*E609*$H$603</f>
        <v>0</v>
      </c>
      <c r="I609" s="936" t="n">
        <f aca="false">IF(G609&gt;H609,G609,H609)*$H$577</f>
        <v>0</v>
      </c>
      <c r="J609" s="931"/>
      <c r="K609" s="937"/>
    </row>
    <row r="610" customFormat="false" ht="15.75" hidden="true" customHeight="false" outlineLevel="0" collapsed="false">
      <c r="A610" s="937"/>
      <c r="B610" s="995" t="str">
        <f aca="false">дома!G1991</f>
        <v>Не считать</v>
      </c>
      <c r="C610" s="993" t="s">
        <v>15</v>
      </c>
      <c r="D610" s="992" t="n">
        <f aca="false">дома!J1991</f>
        <v>0</v>
      </c>
      <c r="E610" s="1010" t="n">
        <f aca="false">дома!K1991</f>
        <v>300</v>
      </c>
      <c r="F610" s="1010"/>
      <c r="G610" s="967" t="n">
        <f aca="false">IF(F610&gt;0,D610*F610,E610*D610)</f>
        <v>0</v>
      </c>
      <c r="H610" s="970" t="n">
        <f aca="false">D610*E610*$H$603</f>
        <v>0</v>
      </c>
      <c r="I610" s="936" t="n">
        <f aca="false">IF(G610&gt;H610,G610,H610)*$H$577</f>
        <v>0</v>
      </c>
      <c r="J610" s="931"/>
      <c r="K610" s="937"/>
    </row>
    <row r="611" customFormat="false" ht="15.75" hidden="true" customHeight="false" outlineLevel="0" collapsed="false">
      <c r="A611" s="937"/>
      <c r="B611" s="995" t="str">
        <f aca="false">дома!G1992</f>
        <v>Монтаж наличника</v>
      </c>
      <c r="C611" s="993" t="s">
        <v>15</v>
      </c>
      <c r="D611" s="992" t="n">
        <f aca="false">дома!J1992</f>
        <v>0</v>
      </c>
      <c r="E611" s="1010" t="n">
        <f aca="false">дома!K1992</f>
        <v>80</v>
      </c>
      <c r="F611" s="1010"/>
      <c r="G611" s="967" t="n">
        <f aca="false">IF(F611&gt;0,D611*F611,E611*D611)</f>
        <v>0</v>
      </c>
      <c r="H611" s="970" t="n">
        <f aca="false">D611*E611*$H$603</f>
        <v>0</v>
      </c>
      <c r="I611" s="936" t="n">
        <f aca="false">IF(G611&gt;H611,G611,H611)*$H$577</f>
        <v>0</v>
      </c>
      <c r="J611" s="931"/>
      <c r="K611" s="937"/>
    </row>
    <row r="612" customFormat="false" ht="15.75" hidden="true" customHeight="false" outlineLevel="0" collapsed="false">
      <c r="A612" s="937"/>
      <c r="B612" s="995" t="str">
        <f aca="false">дома!G1993</f>
        <v>Шлифовка стен дома</v>
      </c>
      <c r="C612" s="993" t="s">
        <v>15</v>
      </c>
      <c r="D612" s="992" t="n">
        <f aca="false">дома!J1993</f>
        <v>0</v>
      </c>
      <c r="E612" s="1010" t="n">
        <f aca="false">дома!K1993</f>
        <v>250</v>
      </c>
      <c r="F612" s="1010"/>
      <c r="G612" s="967" t="n">
        <f aca="false">IF(F612&gt;0,D612*F612,E612*D612)</f>
        <v>0</v>
      </c>
      <c r="H612" s="970" t="n">
        <f aca="false">D612*E612*$H$603</f>
        <v>0</v>
      </c>
      <c r="I612" s="936" t="n">
        <f aca="false">IF(G612&gt;H612,G612,H612)*$H$577</f>
        <v>0</v>
      </c>
      <c r="J612" s="931"/>
      <c r="K612" s="937"/>
    </row>
    <row r="613" customFormat="false" ht="15.75" hidden="true" customHeight="false" outlineLevel="0" collapsed="false">
      <c r="A613" s="937"/>
      <c r="B613" s="973" t="s">
        <v>2248</v>
      </c>
      <c r="C613" s="973"/>
      <c r="D613" s="973"/>
      <c r="E613" s="973"/>
      <c r="F613" s="973"/>
      <c r="G613" s="970" t="n">
        <f aca="false">SUM(G604:G612)*H603</f>
        <v>0</v>
      </c>
      <c r="H613" s="970" t="n">
        <f aca="false">SUM(H604:H612)</f>
        <v>0</v>
      </c>
      <c r="I613" s="936" t="n">
        <f aca="false">IF(G613&gt;H613,G613,H613)*$H$577</f>
        <v>0</v>
      </c>
      <c r="J613" s="931"/>
      <c r="K613" s="937"/>
    </row>
    <row r="614" customFormat="false" ht="21" hidden="true" customHeight="false" outlineLevel="0" collapsed="false">
      <c r="A614" s="937"/>
      <c r="B614" s="989" t="s">
        <v>2263</v>
      </c>
      <c r="C614" s="989"/>
      <c r="D614" s="989"/>
      <c r="E614" s="989"/>
      <c r="F614" s="989"/>
      <c r="G614" s="977"/>
      <c r="H614" s="1007" t="n">
        <f aca="false">IF('Ввод данных'!$A$19=связи1!A159,1,0)+IF('Ввод данных'!$A$19=связи1!A173,1,0)+IF('Ввод данных'!$A$19=связи1!A180,1,0)+IF('Ввод данных'!$A$19=связи1!A165,1,0)</f>
        <v>0</v>
      </c>
      <c r="I614" s="983" t="n">
        <f aca="false">H614</f>
        <v>0</v>
      </c>
      <c r="J614" s="931"/>
      <c r="K614" s="937"/>
    </row>
    <row r="615" customFormat="false" ht="15.75" hidden="true" customHeight="false" outlineLevel="0" collapsed="false">
      <c r="A615" s="931"/>
      <c r="B615" s="1008" t="s">
        <v>2246</v>
      </c>
      <c r="C615" s="1008"/>
      <c r="D615" s="1008"/>
      <c r="E615" s="1008"/>
      <c r="F615" s="1008"/>
      <c r="G615" s="977"/>
      <c r="H615" s="1009" t="n">
        <f aca="false">H614</f>
        <v>0</v>
      </c>
      <c r="I615" s="983" t="n">
        <f aca="false">H615</f>
        <v>0</v>
      </c>
      <c r="J615" s="931"/>
      <c r="K615" s="937"/>
    </row>
    <row r="616" customFormat="false" ht="15.75" hidden="true" customHeight="false" outlineLevel="0" collapsed="false">
      <c r="A616" s="931"/>
      <c r="B616" s="967" t="str">
        <f aca="false">дома!A1939</f>
        <v>Оцилиндрованное бревно лиственница 280мм</v>
      </c>
      <c r="C616" s="968" t="str">
        <f aca="false">дома!B1939</f>
        <v>м3</v>
      </c>
      <c r="D616" s="967" t="n">
        <f aca="false">дома!C1939</f>
        <v>6.79014952</v>
      </c>
      <c r="E616" s="986" t="n">
        <f aca="false">дома!D1939</f>
        <v>10000</v>
      </c>
      <c r="F616" s="986"/>
      <c r="G616" s="967" t="n">
        <f aca="false">IF(F616&gt;0,D616*F616,E616*D616)</f>
        <v>67901.4952</v>
      </c>
      <c r="H616" s="970" t="n">
        <f aca="false">D616*E616*$H$615</f>
        <v>0</v>
      </c>
      <c r="I616" s="936" t="n">
        <f aca="false">IF(G616&gt;H616,G616,H616)*$H$614</f>
        <v>0</v>
      </c>
      <c r="J616" s="931"/>
      <c r="K616" s="937"/>
    </row>
    <row r="617" customFormat="false" ht="15.75" hidden="true" customHeight="false" outlineLevel="0" collapsed="false">
      <c r="A617" s="937"/>
      <c r="B617" s="967" t="str">
        <f aca="false">дома!A1940</f>
        <v>Оцилиндрованное бревно сосна 220мм</v>
      </c>
      <c r="C617" s="968" t="str">
        <f aca="false">дома!B1940</f>
        <v>м3</v>
      </c>
      <c r="D617" s="967" t="n">
        <f aca="false">дома!C1940</f>
        <v>-5.69032320421053</v>
      </c>
      <c r="E617" s="986" t="n">
        <f aca="false">дома!D1940</f>
        <v>8000</v>
      </c>
      <c r="F617" s="986"/>
      <c r="G617" s="967" t="n">
        <f aca="false">IF(F617&gt;0,D617*F617,E617*D617)</f>
        <v>-45522.5856336842</v>
      </c>
      <c r="H617" s="970" t="n">
        <f aca="false">D617*E617*$H$615</f>
        <v>-0</v>
      </c>
      <c r="I617" s="936" t="n">
        <f aca="false">IF(G617&gt;H617,G617,H617)*$H$614</f>
        <v>-0</v>
      </c>
      <c r="J617" s="931"/>
      <c r="K617" s="937"/>
    </row>
    <row r="618" customFormat="false" ht="15.75" hidden="true" customHeight="false" outlineLevel="0" collapsed="false">
      <c r="A618" s="937"/>
      <c r="B618" s="967" t="str">
        <f aca="false">дома!A1941</f>
        <v>Оцилиндрованное бревно сосна 220мм</v>
      </c>
      <c r="C618" s="968" t="str">
        <f aca="false">дома!B1941</f>
        <v>м3</v>
      </c>
      <c r="D618" s="967" t="n">
        <f aca="false">дома!C1941</f>
        <v>0</v>
      </c>
      <c r="E618" s="986" t="n">
        <f aca="false">дома!D1941</f>
        <v>8000</v>
      </c>
      <c r="F618" s="986"/>
      <c r="G618" s="967" t="n">
        <f aca="false">IF(F618&gt;0,D618*F618,E618*D618)</f>
        <v>0</v>
      </c>
      <c r="H618" s="970" t="n">
        <f aca="false">D618*E618*$H$615</f>
        <v>0</v>
      </c>
      <c r="I618" s="936" t="n">
        <f aca="false">IF(G618&gt;H618,G618,H618)*$H$614</f>
        <v>0</v>
      </c>
      <c r="J618" s="931"/>
      <c r="K618" s="937"/>
    </row>
    <row r="619" customFormat="false" ht="15.75" hidden="true" customHeight="false" outlineLevel="0" collapsed="false">
      <c r="A619" s="937"/>
      <c r="B619" s="967" t="str">
        <f aca="false">дома!A1942</f>
        <v>Оцилиндрованное бревно сосна 220мм</v>
      </c>
      <c r="C619" s="968" t="str">
        <f aca="false">дома!B1942</f>
        <v>м2</v>
      </c>
      <c r="D619" s="967" t="n">
        <f aca="false">дома!C1942</f>
        <v>0</v>
      </c>
      <c r="E619" s="986" t="n">
        <f aca="false">дома!D1942</f>
        <v>8000</v>
      </c>
      <c r="F619" s="986"/>
      <c r="G619" s="967" t="n">
        <f aca="false">IF(F619&gt;0,D619*F619,E619*D619)</f>
        <v>0</v>
      </c>
      <c r="H619" s="970" t="n">
        <f aca="false">D619*E619*$H$615</f>
        <v>0</v>
      </c>
      <c r="I619" s="936" t="n">
        <f aca="false">IF(G619&gt;H619,G619,H619)*$H$614</f>
        <v>0</v>
      </c>
      <c r="J619" s="931"/>
      <c r="K619" s="937"/>
    </row>
    <row r="620" customFormat="false" ht="15.75" hidden="true" customHeight="false" outlineLevel="0" collapsed="false">
      <c r="A620" s="937"/>
      <c r="B620" s="967" t="str">
        <f aca="false">дома!A1943</f>
        <v>Шкант</v>
      </c>
      <c r="C620" s="968" t="str">
        <f aca="false">дома!B1943</f>
        <v>шт</v>
      </c>
      <c r="D620" s="967" t="n">
        <f aca="false">дома!C1943</f>
        <v>25</v>
      </c>
      <c r="E620" s="986" t="n">
        <f aca="false">дома!D1943</f>
        <v>6</v>
      </c>
      <c r="F620" s="986"/>
      <c r="G620" s="967" t="n">
        <f aca="false">IF(F620&gt;0,D620*F620,E620*D620)</f>
        <v>150</v>
      </c>
      <c r="H620" s="970" t="n">
        <f aca="false">D620*E620*$H$615</f>
        <v>0</v>
      </c>
      <c r="I620" s="936" t="n">
        <f aca="false">IF(G620&gt;H620,G620,H620)*$H$614</f>
        <v>0</v>
      </c>
      <c r="J620" s="931"/>
      <c r="K620" s="937"/>
    </row>
    <row r="621" customFormat="false" ht="15.75" hidden="true" customHeight="false" outlineLevel="0" collapsed="false">
      <c r="A621" s="937"/>
      <c r="B621" s="967" t="str">
        <f aca="false">дома!A1944</f>
        <v>Лен-джут 200х5х20000 мм</v>
      </c>
      <c r="C621" s="968" t="str">
        <f aca="false">дома!B1944</f>
        <v>шт</v>
      </c>
      <c r="D621" s="967" t="n">
        <f aca="false">дома!C1944</f>
        <v>2</v>
      </c>
      <c r="E621" s="986" t="n">
        <f aca="false">дома!D1944</f>
        <v>175</v>
      </c>
      <c r="F621" s="986"/>
      <c r="G621" s="967" t="n">
        <f aca="false">IF(F621&gt;0,D621*F621,E621*D621)</f>
        <v>350</v>
      </c>
      <c r="H621" s="970" t="n">
        <f aca="false">D621*E621*$H$615</f>
        <v>0</v>
      </c>
      <c r="I621" s="936" t="n">
        <f aca="false">IF(G621&gt;H621,G621,H621)*$H$614</f>
        <v>0</v>
      </c>
      <c r="J621" s="931"/>
      <c r="K621" s="937"/>
    </row>
    <row r="622" customFormat="false" ht="15.75" hidden="true" customHeight="false" outlineLevel="0" collapsed="false">
      <c r="A622" s="937"/>
      <c r="B622" s="967" t="str">
        <f aca="false">дома!A1945</f>
        <v>Гвозди ершоные 2,8 х 90            </v>
      </c>
      <c r="C622" s="968" t="str">
        <f aca="false">дома!B1945</f>
        <v>шт</v>
      </c>
      <c r="D622" s="967" t="n">
        <f aca="false">дома!C1945</f>
        <v>4.84</v>
      </c>
      <c r="E622" s="986" t="n">
        <f aca="false">дома!D1945</f>
        <v>76.49</v>
      </c>
      <c r="F622" s="986"/>
      <c r="G622" s="967" t="n">
        <f aca="false">IF(F622&gt;0,D622*F622,E622*D622)</f>
        <v>370.2116</v>
      </c>
      <c r="H622" s="970" t="n">
        <f aca="false">D622*E622*$H$615</f>
        <v>0</v>
      </c>
      <c r="I622" s="936" t="n">
        <f aca="false">IF(G622&gt;H622,G622,H622)*$H$614</f>
        <v>0</v>
      </c>
      <c r="J622" s="931"/>
      <c r="K622" s="937"/>
    </row>
    <row r="623" customFormat="false" ht="15.75" hidden="true" customHeight="false" outlineLevel="0" collapsed="false">
      <c r="A623" s="937"/>
      <c r="B623" s="967" t="str">
        <f aca="false">дома!A1946</f>
        <v>нет</v>
      </c>
      <c r="C623" s="968" t="str">
        <f aca="false">дома!B1946</f>
        <v>м3</v>
      </c>
      <c r="D623" s="967" t="n">
        <f aca="false">дома!C1946</f>
        <v>0</v>
      </c>
      <c r="E623" s="986" t="n">
        <f aca="false">дома!D1946</f>
        <v>0</v>
      </c>
      <c r="F623" s="986"/>
      <c r="G623" s="967" t="n">
        <f aca="false">IF(F623&gt;0,D623*F623,E623*D623)</f>
        <v>0</v>
      </c>
      <c r="H623" s="970" t="n">
        <f aca="false">D623*E623*$H$615</f>
        <v>0</v>
      </c>
      <c r="I623" s="936" t="n">
        <f aca="false">IF(G623&gt;H623,G623,H623)*$H$614</f>
        <v>0</v>
      </c>
      <c r="J623" s="931"/>
      <c r="K623" s="937"/>
    </row>
    <row r="624" customFormat="false" ht="15.75" hidden="true" customHeight="false" outlineLevel="0" collapsed="false">
      <c r="A624" s="937"/>
      <c r="B624" s="967" t="str">
        <f aca="false">дома!A1947</f>
        <v>нет</v>
      </c>
      <c r="C624" s="968" t="str">
        <f aca="false">дома!B1947</f>
        <v>м3</v>
      </c>
      <c r="D624" s="967" t="n">
        <f aca="false">дома!C1947</f>
        <v>0</v>
      </c>
      <c r="E624" s="986" t="n">
        <f aca="false">дома!D1947</f>
        <v>0</v>
      </c>
      <c r="F624" s="986"/>
      <c r="G624" s="967" t="n">
        <f aca="false">IF(F624&gt;0,D624*F624,E624*D624)</f>
        <v>0</v>
      </c>
      <c r="H624" s="970" t="n">
        <f aca="false">D624*E624*$H$615</f>
        <v>0</v>
      </c>
      <c r="I624" s="936" t="n">
        <f aca="false">IF(G624&gt;H624,G624,H624)*$H$614</f>
        <v>0</v>
      </c>
      <c r="J624" s="931"/>
      <c r="K624" s="937"/>
    </row>
    <row r="625" customFormat="false" ht="15.75" hidden="true" customHeight="false" outlineLevel="0" collapsed="false">
      <c r="A625" s="937"/>
      <c r="B625" s="967" t="str">
        <f aca="false">дома!A1948</f>
        <v>нет</v>
      </c>
      <c r="C625" s="968" t="str">
        <f aca="false">дома!B1948</f>
        <v>м3</v>
      </c>
      <c r="D625" s="967" t="n">
        <f aca="false">дома!C1948</f>
        <v>0</v>
      </c>
      <c r="E625" s="986" t="n">
        <f aca="false">дома!D1948</f>
        <v>0</v>
      </c>
      <c r="F625" s="986"/>
      <c r="G625" s="967" t="n">
        <f aca="false">IF(F625&gt;0,D625*F625,E625*D625)</f>
        <v>0</v>
      </c>
      <c r="H625" s="970" t="n">
        <f aca="false">D625*E625*$H$615</f>
        <v>0</v>
      </c>
      <c r="I625" s="936" t="n">
        <f aca="false">IF(G625&gt;H625,G625,H625)*$H$614</f>
        <v>0</v>
      </c>
      <c r="J625" s="931"/>
      <c r="K625" s="937"/>
    </row>
    <row r="626" customFormat="false" ht="15.75" hidden="true" customHeight="false" outlineLevel="0" collapsed="false">
      <c r="A626" s="937"/>
      <c r="B626" s="967" t="str">
        <f aca="false">дома!A1949</f>
        <v>нет</v>
      </c>
      <c r="C626" s="968" t="str">
        <f aca="false">дома!B1949</f>
        <v>м.п.</v>
      </c>
      <c r="D626" s="967" t="n">
        <f aca="false">дома!C1949</f>
        <v>0</v>
      </c>
      <c r="E626" s="986" t="n">
        <f aca="false">дома!D1949</f>
        <v>0</v>
      </c>
      <c r="F626" s="986"/>
      <c r="G626" s="967" t="n">
        <f aca="false">IF(F626&gt;0,D626*F626,E626*D626)</f>
        <v>0</v>
      </c>
      <c r="H626" s="970" t="n">
        <f aca="false">D626*E626*$H$615</f>
        <v>0</v>
      </c>
      <c r="I626" s="936" t="n">
        <f aca="false">IF(G626&gt;H626,G626,H626)*$H$614</f>
        <v>0</v>
      </c>
      <c r="J626" s="931"/>
      <c r="K626" s="937"/>
    </row>
    <row r="627" customFormat="false" ht="15.75" hidden="true" customHeight="false" outlineLevel="0" collapsed="false">
      <c r="A627" s="937"/>
      <c r="B627" s="967" t="str">
        <f aca="false">дома!A1950</f>
        <v>Бензин для пилы</v>
      </c>
      <c r="C627" s="968" t="str">
        <f aca="false">дома!B1950</f>
        <v>л</v>
      </c>
      <c r="D627" s="967" t="n">
        <f aca="false">дома!C1950</f>
        <v>0.274956578947368</v>
      </c>
      <c r="E627" s="986" t="n">
        <f aca="false">дома!D1950</f>
        <v>40</v>
      </c>
      <c r="F627" s="986"/>
      <c r="G627" s="967" t="n">
        <f aca="false">IF(F627&gt;0,D627*F627,E627*D627)</f>
        <v>10.9982631578947</v>
      </c>
      <c r="H627" s="970" t="n">
        <f aca="false">D627*E627*$H$615</f>
        <v>0</v>
      </c>
      <c r="I627" s="936" t="n">
        <f aca="false">IF(G627&gt;H627,G627,H627)*$H$614</f>
        <v>0</v>
      </c>
      <c r="J627" s="931"/>
      <c r="K627" s="937"/>
    </row>
    <row r="628" customFormat="false" ht="15.75" hidden="true" customHeight="false" outlineLevel="0" collapsed="false">
      <c r="A628" s="937"/>
      <c r="B628" s="967" t="str">
        <f aca="false">дома!A1951</f>
        <v>Масло для пилы</v>
      </c>
      <c r="C628" s="968" t="str">
        <f aca="false">дома!B1951</f>
        <v>л</v>
      </c>
      <c r="D628" s="967" t="n">
        <f aca="false">дома!C1951</f>
        <v>0.0137478289473684</v>
      </c>
      <c r="E628" s="986" t="n">
        <f aca="false">дома!D1951</f>
        <v>250</v>
      </c>
      <c r="F628" s="986"/>
      <c r="G628" s="967" t="n">
        <f aca="false">IF(F628&gt;0,D628*F628,E628*D628)</f>
        <v>3.43695723684211</v>
      </c>
      <c r="H628" s="970" t="n">
        <f aca="false">D628*E628*$H$615</f>
        <v>0</v>
      </c>
      <c r="I628" s="936" t="n">
        <f aca="false">IF(G628&gt;H628,G628,H628)*$H$614</f>
        <v>0</v>
      </c>
      <c r="J628" s="931"/>
      <c r="K628" s="937"/>
    </row>
    <row r="629" customFormat="false" ht="15.75" hidden="true" customHeight="false" outlineLevel="0" collapsed="false">
      <c r="A629" s="937"/>
      <c r="B629" s="967" t="str">
        <f aca="false">дома!A1952</f>
        <v>Цепь для пилы</v>
      </c>
      <c r="C629" s="968" t="s">
        <v>48</v>
      </c>
      <c r="D629" s="967" t="n">
        <f aca="false">дома!C1952</f>
        <v>1</v>
      </c>
      <c r="E629" s="986" t="n">
        <f aca="false">дома!D1952</f>
        <v>800</v>
      </c>
      <c r="F629" s="986"/>
      <c r="G629" s="967" t="n">
        <f aca="false">IF(F629&gt;0,D629*F629,E629*D629)</f>
        <v>800</v>
      </c>
      <c r="H629" s="970" t="n">
        <f aca="false">D629*E629*$H$615</f>
        <v>0</v>
      </c>
      <c r="I629" s="936" t="n">
        <f aca="false">IF(G629&gt;H629,G629,H629)*$H$614</f>
        <v>0</v>
      </c>
      <c r="J629" s="931"/>
      <c r="K629" s="937"/>
    </row>
    <row r="630" customFormat="false" ht="15.75" hidden="true" customHeight="false" outlineLevel="0" collapsed="false">
      <c r="A630" s="937"/>
      <c r="B630" s="967" t="str">
        <f aca="false">дома!A1953</f>
        <v>"Профилюкс" Антисептик ОБЗ-1</v>
      </c>
      <c r="C630" s="968" t="str">
        <f aca="false">дома!B1953</f>
        <v>л</v>
      </c>
      <c r="D630" s="967" t="n">
        <f aca="false">дома!C1953</f>
        <v>1.81789473684211</v>
      </c>
      <c r="E630" s="986" t="n">
        <f aca="false">дома!D1953</f>
        <v>42</v>
      </c>
      <c r="F630" s="986"/>
      <c r="G630" s="967" t="n">
        <f aca="false">IF(F630&gt;0,D630*F630,E630*D630)</f>
        <v>76.3515789473684</v>
      </c>
      <c r="H630" s="970" t="n">
        <f aca="false">D630*E630*$H$615</f>
        <v>0</v>
      </c>
      <c r="I630" s="936" t="n">
        <f aca="false">IF(G630&gt;H630,G630,H630)*$H$614</f>
        <v>0</v>
      </c>
      <c r="J630" s="931"/>
      <c r="K630" s="937"/>
    </row>
    <row r="631" customFormat="false" ht="15.75" hidden="true" customHeight="false" outlineLevel="0" collapsed="false">
      <c r="A631" s="937"/>
      <c r="B631" s="967" t="str">
        <f aca="false">дома!A1954</f>
        <v>Нет пропитки</v>
      </c>
      <c r="C631" s="968" t="str">
        <f aca="false">дома!B1954</f>
        <v>л</v>
      </c>
      <c r="D631" s="967" t="n">
        <f aca="false">дома!C1954</f>
        <v>1.09073684210526</v>
      </c>
      <c r="E631" s="986" t="n">
        <f aca="false">дома!D1954</f>
        <v>0</v>
      </c>
      <c r="F631" s="986"/>
      <c r="G631" s="967" t="n">
        <f aca="false">IF(F631&gt;0,D631*F631,E631*D631)</f>
        <v>0</v>
      </c>
      <c r="H631" s="970" t="n">
        <f aca="false">D631*E631*$H$615</f>
        <v>0</v>
      </c>
      <c r="I631" s="936" t="n">
        <f aca="false">IF(G631&gt;H631,G631,H631)*$H$614</f>
        <v>0</v>
      </c>
      <c r="J631" s="931"/>
      <c r="K631" s="937"/>
    </row>
    <row r="632" customFormat="false" ht="15.75" hidden="true" customHeight="false" outlineLevel="0" collapsed="false">
      <c r="A632" s="937"/>
      <c r="B632" s="967" t="str">
        <f aca="false">дома!A1955</f>
        <v>Нет пропитки</v>
      </c>
      <c r="C632" s="968" t="str">
        <f aca="false">дома!B1955</f>
        <v>л</v>
      </c>
      <c r="D632" s="967" t="n">
        <f aca="false">дома!C1955</f>
        <v>1.09073684210526</v>
      </c>
      <c r="E632" s="986" t="n">
        <f aca="false">дома!D1955</f>
        <v>0</v>
      </c>
      <c r="F632" s="986"/>
      <c r="G632" s="967" t="n">
        <f aca="false">IF(F632&gt;0,D632*F632,E632*D632)</f>
        <v>0</v>
      </c>
      <c r="H632" s="970" t="n">
        <f aca="false">D632*E632*$H$615</f>
        <v>0</v>
      </c>
      <c r="I632" s="936" t="n">
        <f aca="false">IF(G632&gt;H632,G632,H632)*$H$614</f>
        <v>0</v>
      </c>
      <c r="J632" s="931"/>
      <c r="K632" s="937"/>
    </row>
    <row r="633" customFormat="false" ht="15.75" hidden="true" customHeight="false" outlineLevel="0" collapsed="false">
      <c r="A633" s="937"/>
      <c r="B633" s="967" t="str">
        <f aca="false">дома!A1956</f>
        <v>Нет наличника</v>
      </c>
      <c r="C633" s="968" t="str">
        <f aca="false">дома!B1956</f>
        <v>м.п.</v>
      </c>
      <c r="D633" s="967" t="n">
        <f aca="false">дома!C1956</f>
        <v>3.57</v>
      </c>
      <c r="E633" s="986" t="n">
        <f aca="false">дома!D1956</f>
        <v>0</v>
      </c>
      <c r="F633" s="986"/>
      <c r="G633" s="967" t="n">
        <f aca="false">IF(F633&gt;0,D633*F633,E633*D633)</f>
        <v>0</v>
      </c>
      <c r="H633" s="970" t="n">
        <f aca="false">D633*E633*$H$615</f>
        <v>0</v>
      </c>
      <c r="I633" s="936" t="n">
        <f aca="false">IF(G633&gt;H633,G633,H633)*$H$614</f>
        <v>0</v>
      </c>
      <c r="J633" s="931"/>
      <c r="K633" s="937"/>
    </row>
    <row r="634" customFormat="false" ht="15.75" hidden="true" customHeight="false" outlineLevel="0" collapsed="false">
      <c r="A634" s="937"/>
      <c r="B634" s="967" t="str">
        <f aca="false">дома!A1957</f>
        <v>Нет наличника</v>
      </c>
      <c r="C634" s="968" t="str">
        <f aca="false">дома!B1957</f>
        <v>м.п.</v>
      </c>
      <c r="D634" s="967" t="n">
        <f aca="false">дома!C1957</f>
        <v>3.57</v>
      </c>
      <c r="E634" s="986" t="n">
        <f aca="false">дома!D1957</f>
        <v>0</v>
      </c>
      <c r="F634" s="986"/>
      <c r="G634" s="967" t="n">
        <f aca="false">IF(F634&gt;0,D634*F634,E634*D634)</f>
        <v>0</v>
      </c>
      <c r="H634" s="970" t="n">
        <f aca="false">D634*E634*$H$615</f>
        <v>0</v>
      </c>
      <c r="I634" s="936" t="n">
        <f aca="false">IF(G634&gt;H634,G634,H634)*$H$614</f>
        <v>0</v>
      </c>
      <c r="J634" s="931"/>
      <c r="K634" s="937"/>
    </row>
    <row r="635" customFormat="false" ht="15.75" hidden="true" customHeight="false" outlineLevel="0" collapsed="false">
      <c r="A635" s="937"/>
      <c r="B635" s="967" t="str">
        <f aca="false">дома!A1958</f>
        <v>Нет наждачной бумаги</v>
      </c>
      <c r="C635" s="968" t="str">
        <f aca="false">дома!B1958</f>
        <v>м</v>
      </c>
      <c r="D635" s="967" t="n">
        <f aca="false">дома!C1958</f>
        <v>0</v>
      </c>
      <c r="E635" s="986" t="n">
        <f aca="false">дома!D1958</f>
        <v>0</v>
      </c>
      <c r="F635" s="986"/>
      <c r="G635" s="967" t="n">
        <f aca="false">IF(F635&gt;0,D635*F635,E635*D635)</f>
        <v>0</v>
      </c>
      <c r="H635" s="970" t="n">
        <f aca="false">D635*E635*$H$615</f>
        <v>0</v>
      </c>
      <c r="I635" s="936" t="n">
        <f aca="false">IF(G635&gt;H635,G635,H635)*$H$614</f>
        <v>0</v>
      </c>
      <c r="J635" s="931"/>
      <c r="K635" s="937"/>
    </row>
    <row r="636" customFormat="false" ht="15.75" hidden="true" customHeight="false" outlineLevel="0" collapsed="false">
      <c r="A636" s="937"/>
      <c r="B636" s="967" t="str">
        <f aca="false">дома!A1959</f>
        <v>Нет наждачной бумаги</v>
      </c>
      <c r="C636" s="968" t="str">
        <f aca="false">дома!B1959</f>
        <v>м</v>
      </c>
      <c r="D636" s="967" t="n">
        <f aca="false">дома!C1959</f>
        <v>0</v>
      </c>
      <c r="E636" s="986" t="n">
        <f aca="false">дома!D1959</f>
        <v>0</v>
      </c>
      <c r="F636" s="986"/>
      <c r="G636" s="967" t="n">
        <f aca="false">IF(F636&gt;0,D636*F636,E636*D636)</f>
        <v>0</v>
      </c>
      <c r="H636" s="970" t="n">
        <f aca="false">D636*E636*$H$615</f>
        <v>0</v>
      </c>
      <c r="I636" s="936" t="n">
        <f aca="false">IF(G636&gt;H636,G636,H636)*$H$614</f>
        <v>0</v>
      </c>
      <c r="J636" s="931"/>
      <c r="K636" s="937"/>
    </row>
    <row r="637" customFormat="false" ht="15.75" hidden="true" customHeight="false" outlineLevel="0" collapsed="false">
      <c r="A637" s="937"/>
      <c r="B637" s="967" t="str">
        <f aca="false">дома!A1960</f>
        <v>Нет наждачной бумаги</v>
      </c>
      <c r="C637" s="968" t="str">
        <f aca="false">дома!B1960</f>
        <v>м</v>
      </c>
      <c r="D637" s="967" t="n">
        <f aca="false">дома!C1960</f>
        <v>0</v>
      </c>
      <c r="E637" s="986" t="n">
        <f aca="false">дома!D1960</f>
        <v>0</v>
      </c>
      <c r="F637" s="986"/>
      <c r="G637" s="967" t="n">
        <f aca="false">IF(F637&gt;0,D637*F637,E637*D637)</f>
        <v>0</v>
      </c>
      <c r="H637" s="970" t="n">
        <f aca="false">D637*E637*$H$615</f>
        <v>0</v>
      </c>
      <c r="I637" s="936" t="n">
        <f aca="false">IF(G637&gt;H637,G637,H637)*$H$614</f>
        <v>0</v>
      </c>
      <c r="J637" s="931"/>
      <c r="K637" s="937"/>
    </row>
    <row r="638" customFormat="false" ht="15.75" hidden="true" customHeight="false" outlineLevel="0" collapsed="false">
      <c r="A638" s="937"/>
      <c r="B638" s="967" t="str">
        <f aca="false">дома!A1961</f>
        <v>Нет наждачной бумаги</v>
      </c>
      <c r="C638" s="968" t="str">
        <f aca="false">дома!B1961</f>
        <v>м</v>
      </c>
      <c r="D638" s="967" t="n">
        <f aca="false">дома!C1961</f>
        <v>0</v>
      </c>
      <c r="E638" s="986" t="n">
        <f aca="false">дома!D1961</f>
        <v>0</v>
      </c>
      <c r="F638" s="986"/>
      <c r="G638" s="967" t="n">
        <f aca="false">IF(F638&gt;0,D638*F638,E638*D638)</f>
        <v>0</v>
      </c>
      <c r="H638" s="970" t="n">
        <f aca="false">D638*E638*$H$615</f>
        <v>0</v>
      </c>
      <c r="I638" s="936" t="n">
        <f aca="false">IF(G638&gt;H638,G638,H638)*$H$614</f>
        <v>0</v>
      </c>
      <c r="J638" s="931"/>
      <c r="K638" s="937"/>
    </row>
    <row r="639" customFormat="false" ht="15.75" hidden="true" customHeight="false" outlineLevel="0" collapsed="false">
      <c r="A639" s="937"/>
      <c r="B639" s="973" t="s">
        <v>2247</v>
      </c>
      <c r="C639" s="973"/>
      <c r="D639" s="973"/>
      <c r="E639" s="973"/>
      <c r="F639" s="973"/>
      <c r="G639" s="975" t="n">
        <f aca="false">SUM(G616:G638)*H614</f>
        <v>0</v>
      </c>
      <c r="H639" s="975" t="n">
        <f aca="false">SUM(H616:H638)</f>
        <v>0</v>
      </c>
      <c r="I639" s="936" t="n">
        <f aca="false">IF(G639&gt;H639,G639,H639)*$H$614</f>
        <v>0</v>
      </c>
      <c r="J639" s="931"/>
      <c r="K639" s="937"/>
    </row>
    <row r="640" customFormat="false" ht="15.75" hidden="true" customHeight="false" outlineLevel="0" collapsed="false">
      <c r="A640" s="937"/>
      <c r="B640" s="976" t="s">
        <v>2007</v>
      </c>
      <c r="C640" s="976"/>
      <c r="D640" s="976"/>
      <c r="E640" s="976"/>
      <c r="F640" s="976"/>
      <c r="G640" s="977"/>
      <c r="H640" s="994" t="n">
        <f aca="false">H614</f>
        <v>0</v>
      </c>
      <c r="I640" s="983" t="n">
        <f aca="false">H640</f>
        <v>0</v>
      </c>
      <c r="J640" s="931"/>
      <c r="K640" s="937"/>
    </row>
    <row r="641" customFormat="false" ht="15.75" hidden="true" customHeight="false" outlineLevel="0" collapsed="false">
      <c r="A641" s="931"/>
      <c r="B641" s="995" t="str">
        <f aca="false">дома!G1939</f>
        <v>кладка Оцилиндрованного вревна</v>
      </c>
      <c r="C641" s="993" t="s">
        <v>1043</v>
      </c>
      <c r="D641" s="992" t="n">
        <f aca="false">дома!J1939</f>
        <v>1.09982631578947</v>
      </c>
      <c r="E641" s="1010" t="n">
        <f aca="false">дома!K1939</f>
        <v>6000</v>
      </c>
      <c r="F641" s="1010"/>
      <c r="G641" s="967" t="n">
        <f aca="false">IF(F641&gt;0,D641*F641,E641*D641)</f>
        <v>6598.95789473684</v>
      </c>
      <c r="H641" s="970" t="n">
        <f aca="false">D641*E641*$H$640</f>
        <v>0</v>
      </c>
      <c r="I641" s="936" t="n">
        <f aca="false">IF(G641&gt;H641,G641,H641)*$H$614</f>
        <v>0</v>
      </c>
      <c r="J641" s="931"/>
      <c r="K641" s="937"/>
    </row>
    <row r="642" customFormat="false" ht="15.75" hidden="true" customHeight="false" outlineLevel="0" collapsed="false">
      <c r="A642" s="937"/>
      <c r="B642" s="995" t="str">
        <f aca="false">дома!G1940</f>
        <v>окосячка проемов, м.п.</v>
      </c>
      <c r="C642" s="993" t="s">
        <v>15</v>
      </c>
      <c r="D642" s="992" t="n">
        <f aca="false">дома!J1940</f>
        <v>0</v>
      </c>
      <c r="E642" s="1010" t="n">
        <f aca="false">дома!K1940</f>
        <v>150</v>
      </c>
      <c r="F642" s="1010"/>
      <c r="G642" s="967" t="n">
        <f aca="false">IF(F642&gt;0,D642*F642,E642*D642)</f>
        <v>0</v>
      </c>
      <c r="H642" s="970" t="n">
        <f aca="false">D642*E642*$H$640</f>
        <v>0</v>
      </c>
      <c r="I642" s="936" t="n">
        <f aca="false">IF(G642&gt;H642,G642,H642)*$H$614</f>
        <v>0</v>
      </c>
      <c r="J642" s="931"/>
      <c r="K642" s="937"/>
    </row>
    <row r="643" customFormat="false" ht="15.75" hidden="true" customHeight="false" outlineLevel="0" collapsed="false">
      <c r="A643" s="937"/>
      <c r="B643" s="995" t="str">
        <f aca="false">дома!G1941</f>
        <v>обработка торцов на брусе</v>
      </c>
      <c r="C643" s="993" t="s">
        <v>15</v>
      </c>
      <c r="D643" s="992" t="n">
        <f aca="false">дома!J1941</f>
        <v>20</v>
      </c>
      <c r="E643" s="1010" t="n">
        <f aca="false">дома!K1941</f>
        <v>250</v>
      </c>
      <c r="F643" s="1010"/>
      <c r="G643" s="967" t="n">
        <f aca="false">IF(F643&gt;0,D643*F643,E643*D643)</f>
        <v>5000</v>
      </c>
      <c r="H643" s="970" t="n">
        <f aca="false">D643*E643*$H$640</f>
        <v>0</v>
      </c>
      <c r="I643" s="936" t="n">
        <f aca="false">IF(G643&gt;H643,G643,H643)*$H$614</f>
        <v>0</v>
      </c>
      <c r="J643" s="931"/>
      <c r="K643" s="937"/>
    </row>
    <row r="644" customFormat="false" ht="15.75" hidden="true" customHeight="false" outlineLevel="0" collapsed="false">
      <c r="A644" s="937"/>
      <c r="B644" s="995" t="str">
        <f aca="false">дома!G1942</f>
        <v>Обаботка огнебиозащитой</v>
      </c>
      <c r="C644" s="993" t="s">
        <v>15</v>
      </c>
      <c r="D644" s="992" t="n">
        <f aca="false">дома!J1942</f>
        <v>1.09982631578947</v>
      </c>
      <c r="E644" s="1010" t="n">
        <f aca="false">дома!K1942</f>
        <v>300</v>
      </c>
      <c r="F644" s="1010"/>
      <c r="G644" s="967" t="n">
        <f aca="false">IF(F644&gt;0,D644*F644,E644*D644)</f>
        <v>329.947894736842</v>
      </c>
      <c r="H644" s="970" t="n">
        <f aca="false">D644*E644*$H$640</f>
        <v>0</v>
      </c>
      <c r="I644" s="936" t="n">
        <f aca="false">IF(G644&gt;H644,G644,H644)*$H$614</f>
        <v>0</v>
      </c>
      <c r="J644" s="931"/>
      <c r="K644" s="937"/>
    </row>
    <row r="645" customFormat="false" ht="15.75" hidden="true" customHeight="false" outlineLevel="0" collapsed="false">
      <c r="A645" s="937"/>
      <c r="B645" s="995" t="str">
        <f aca="false">дома!G1943</f>
        <v>Пропитка стен внешних</v>
      </c>
      <c r="C645" s="993" t="s">
        <v>15</v>
      </c>
      <c r="D645" s="992" t="n">
        <f aca="false">дома!J1943</f>
        <v>0</v>
      </c>
      <c r="E645" s="1010" t="n">
        <f aca="false">дома!K1943</f>
        <v>100</v>
      </c>
      <c r="F645" s="1010"/>
      <c r="G645" s="967" t="n">
        <f aca="false">IF(F645&gt;0,D645*F645,E645*D645)</f>
        <v>0</v>
      </c>
      <c r="H645" s="970" t="n">
        <f aca="false">D645*E645*$H$640</f>
        <v>0</v>
      </c>
      <c r="I645" s="936" t="n">
        <f aca="false">IF(G645&gt;H645,G645,H645)*$H$614</f>
        <v>0</v>
      </c>
      <c r="J645" s="931"/>
      <c r="K645" s="937"/>
    </row>
    <row r="646" customFormat="false" ht="15.75" hidden="true" customHeight="false" outlineLevel="0" collapsed="false">
      <c r="A646" s="937"/>
      <c r="B646" s="995" t="str">
        <f aca="false">дома!G1944</f>
        <v>Пропитка внутенних стен</v>
      </c>
      <c r="C646" s="993" t="s">
        <v>15</v>
      </c>
      <c r="D646" s="992" t="n">
        <f aca="false">дома!J1944</f>
        <v>0</v>
      </c>
      <c r="E646" s="1010" t="n">
        <f aca="false">дома!K1944</f>
        <v>100</v>
      </c>
      <c r="F646" s="1010"/>
      <c r="G646" s="967" t="n">
        <f aca="false">IF(F646&gt;0,D646*F646,E646*D646)</f>
        <v>0</v>
      </c>
      <c r="H646" s="970" t="n">
        <f aca="false">D646*E646*$H$640</f>
        <v>0</v>
      </c>
      <c r="I646" s="936" t="n">
        <f aca="false">IF(G646&gt;H646,G646,H646)*$H$614</f>
        <v>0</v>
      </c>
      <c r="J646" s="931"/>
      <c r="K646" s="937"/>
    </row>
    <row r="647" customFormat="false" ht="15.75" hidden="true" customHeight="false" outlineLevel="0" collapsed="false">
      <c r="A647" s="937"/>
      <c r="B647" s="995" t="str">
        <f aca="false">дома!G1945</f>
        <v>Не считать</v>
      </c>
      <c r="C647" s="993" t="s">
        <v>15</v>
      </c>
      <c r="D647" s="992" t="n">
        <f aca="false">дома!J1945</f>
        <v>0</v>
      </c>
      <c r="E647" s="1010" t="n">
        <f aca="false">дома!K1945</f>
        <v>300</v>
      </c>
      <c r="F647" s="1010"/>
      <c r="G647" s="967" t="n">
        <f aca="false">IF(F647&gt;0,D647*F647,E647*D647)</f>
        <v>0</v>
      </c>
      <c r="H647" s="970" t="n">
        <f aca="false">D647*E647*$H$640</f>
        <v>0</v>
      </c>
      <c r="I647" s="936" t="n">
        <f aca="false">IF(G647&gt;H647,G647,H647)*$H$614</f>
        <v>0</v>
      </c>
      <c r="J647" s="931"/>
      <c r="K647" s="937"/>
    </row>
    <row r="648" customFormat="false" ht="15.75" hidden="true" customHeight="false" outlineLevel="0" collapsed="false">
      <c r="A648" s="937"/>
      <c r="B648" s="995" t="str">
        <f aca="false">дома!G1946</f>
        <v>Монтаж наличника</v>
      </c>
      <c r="C648" s="993" t="s">
        <v>15</v>
      </c>
      <c r="D648" s="992" t="n">
        <f aca="false">дома!J1946</f>
        <v>0</v>
      </c>
      <c r="E648" s="1010" t="n">
        <f aca="false">дома!K1946</f>
        <v>80</v>
      </c>
      <c r="F648" s="1010"/>
      <c r="G648" s="967" t="n">
        <f aca="false">IF(F648&gt;0,D648*F648,E648*D648)</f>
        <v>0</v>
      </c>
      <c r="H648" s="970" t="n">
        <f aca="false">D648*E648*$H$640</f>
        <v>0</v>
      </c>
      <c r="I648" s="936" t="n">
        <f aca="false">IF(G648&gt;H648,G648,H648)*$H$614</f>
        <v>0</v>
      </c>
      <c r="J648" s="931"/>
      <c r="K648" s="937"/>
    </row>
    <row r="649" customFormat="false" ht="15.75" hidden="true" customHeight="false" outlineLevel="0" collapsed="false">
      <c r="A649" s="937"/>
      <c r="B649" s="995" t="str">
        <f aca="false">дома!G1947</f>
        <v>Шлифовка стен дома</v>
      </c>
      <c r="C649" s="993" t="s">
        <v>15</v>
      </c>
      <c r="D649" s="992" t="n">
        <f aca="false">дома!J1947</f>
        <v>0</v>
      </c>
      <c r="E649" s="1010" t="n">
        <f aca="false">дома!K1947</f>
        <v>250</v>
      </c>
      <c r="F649" s="1010"/>
      <c r="G649" s="967" t="n">
        <f aca="false">IF(F649&gt;0,D649*F649,E649*D649)</f>
        <v>0</v>
      </c>
      <c r="H649" s="970" t="n">
        <f aca="false">D649*E649*$H$640</f>
        <v>0</v>
      </c>
      <c r="I649" s="936" t="n">
        <f aca="false">IF(G649&gt;H649,G649,H649)*$H$614</f>
        <v>0</v>
      </c>
      <c r="J649" s="931"/>
      <c r="K649" s="937"/>
    </row>
    <row r="650" customFormat="false" ht="15.75" hidden="true" customHeight="false" outlineLevel="0" collapsed="false">
      <c r="A650" s="937"/>
      <c r="B650" s="973" t="s">
        <v>2248</v>
      </c>
      <c r="C650" s="973"/>
      <c r="D650" s="973"/>
      <c r="E650" s="973"/>
      <c r="F650" s="973"/>
      <c r="G650" s="970" t="n">
        <f aca="false">SUM(G641:G649)*H640</f>
        <v>0</v>
      </c>
      <c r="H650" s="970" t="n">
        <f aca="false">SUM(H641:H649)</f>
        <v>0</v>
      </c>
      <c r="I650" s="936" t="n">
        <f aca="false">IF(G650&gt;H650,G650,H650)*$H$614</f>
        <v>0</v>
      </c>
      <c r="J650" s="931"/>
      <c r="K650" s="937"/>
    </row>
    <row r="651" customFormat="false" ht="21" hidden="true" customHeight="false" outlineLevel="0" collapsed="false">
      <c r="A651" s="937"/>
      <c r="B651" s="989" t="s">
        <v>2264</v>
      </c>
      <c r="C651" s="989"/>
      <c r="D651" s="989"/>
      <c r="E651" s="989"/>
      <c r="F651" s="989"/>
      <c r="G651" s="977"/>
      <c r="H651" s="1007" t="n">
        <f aca="false">IF('Ввод данных'!$A$19=связи1!A157,1,0)+IF('Ввод данных'!$A$19=связи1!A163,1,0)+IF('Ввод данных'!$A$19=связи1!A171,1,0)+IF('Ввод данных'!$A$19=связи1!A179,1,0)</f>
        <v>0</v>
      </c>
      <c r="I651" s="983" t="n">
        <f aca="false">H651</f>
        <v>0</v>
      </c>
      <c r="J651" s="931"/>
      <c r="K651" s="937"/>
    </row>
    <row r="652" customFormat="false" ht="15.75" hidden="true" customHeight="false" outlineLevel="0" collapsed="false">
      <c r="A652" s="931"/>
      <c r="B652" s="1008" t="s">
        <v>2246</v>
      </c>
      <c r="C652" s="1008"/>
      <c r="D652" s="1008"/>
      <c r="E652" s="1008"/>
      <c r="F652" s="1008"/>
      <c r="G652" s="977"/>
      <c r="H652" s="1009" t="n">
        <f aca="false">H651</f>
        <v>0</v>
      </c>
      <c r="I652" s="983" t="n">
        <f aca="false">H652</f>
        <v>0</v>
      </c>
      <c r="J652" s="931"/>
      <c r="K652" s="937"/>
    </row>
    <row r="653" customFormat="false" ht="15.75" hidden="true" customHeight="false" outlineLevel="0" collapsed="false">
      <c r="A653" s="931"/>
      <c r="B653" s="967" t="str">
        <f aca="false">дома!A1830</f>
        <v>Листв. влаж, 200*200мм</v>
      </c>
      <c r="C653" s="968" t="str">
        <f aca="false">дома!B1830</f>
        <v>м3</v>
      </c>
      <c r="D653" s="967" t="n">
        <f aca="false">дома!C1830</f>
        <v>4.012</v>
      </c>
      <c r="E653" s="986" t="n">
        <f aca="false">дома!D1830</f>
        <v>9000</v>
      </c>
      <c r="F653" s="986"/>
      <c r="G653" s="967" t="n">
        <f aca="false">IF(F653&gt;0,D653*F653,E653*D653)</f>
        <v>36108</v>
      </c>
      <c r="H653" s="975" t="n">
        <f aca="false">D653*E653*$H$652</f>
        <v>0</v>
      </c>
      <c r="I653" s="936" t="n">
        <f aca="false">IF(G653&gt;H653,G653,H653)*$H$651</f>
        <v>0</v>
      </c>
      <c r="J653" s="931"/>
      <c r="K653" s="937"/>
    </row>
    <row r="654" customFormat="false" ht="15.75" hidden="true" customHeight="false" outlineLevel="0" collapsed="false">
      <c r="A654" s="937"/>
      <c r="B654" s="967" t="str">
        <f aca="false">дома!A1831</f>
        <v>Сосна влаж, 200*150мм</v>
      </c>
      <c r="C654" s="968" t="str">
        <f aca="false">дома!B1831</f>
        <v>м3</v>
      </c>
      <c r="D654" s="967" t="n">
        <f aca="false">дома!C1831</f>
        <v>-3.187</v>
      </c>
      <c r="E654" s="986" t="n">
        <f aca="false">дома!D1831</f>
        <v>6500</v>
      </c>
      <c r="F654" s="986"/>
      <c r="G654" s="967" t="n">
        <f aca="false">IF(F654&gt;0,D654*F654,E654*D654)</f>
        <v>-20715.5</v>
      </c>
      <c r="H654" s="975" t="n">
        <f aca="false">D654*E654*$H$652</f>
        <v>-0</v>
      </c>
      <c r="I654" s="936" t="n">
        <f aca="false">IF(G654&gt;H654,G654,H654)*$H$651</f>
        <v>-0</v>
      </c>
      <c r="J654" s="931"/>
      <c r="K654" s="937"/>
    </row>
    <row r="655" customFormat="false" ht="15.75" hidden="true" customHeight="false" outlineLevel="0" collapsed="false">
      <c r="A655" s="937"/>
      <c r="B655" s="967" t="str">
        <f aca="false">дома!A1832</f>
        <v>Сосна влаж, 200*150мм</v>
      </c>
      <c r="C655" s="968" t="str">
        <f aca="false">дома!B1832</f>
        <v>м3</v>
      </c>
      <c r="D655" s="967" t="n">
        <f aca="false">дома!C1832</f>
        <v>0</v>
      </c>
      <c r="E655" s="986" t="n">
        <f aca="false">дома!D1832</f>
        <v>6500</v>
      </c>
      <c r="F655" s="986"/>
      <c r="G655" s="967" t="n">
        <f aca="false">IF(F655&gt;0,D655*F655,E655*D655)</f>
        <v>0</v>
      </c>
      <c r="H655" s="975" t="n">
        <f aca="false">D655*E655*$H$652</f>
        <v>0</v>
      </c>
      <c r="I655" s="936" t="n">
        <f aca="false">IF(G655&gt;H655,G655,H655)*$H$651</f>
        <v>0</v>
      </c>
      <c r="J655" s="931"/>
      <c r="K655" s="937"/>
    </row>
    <row r="656" customFormat="false" ht="15.75" hidden="true" customHeight="false" outlineLevel="0" collapsed="false">
      <c r="A656" s="937"/>
      <c r="B656" s="967" t="str">
        <f aca="false">дома!A1833</f>
        <v>Сосна влаж, 200*100мм</v>
      </c>
      <c r="C656" s="968" t="str">
        <f aca="false">дома!B1833</f>
        <v>м2</v>
      </c>
      <c r="D656" s="967" t="n">
        <f aca="false">дома!C1833</f>
        <v>0</v>
      </c>
      <c r="E656" s="986" t="n">
        <f aca="false">дома!D1833</f>
        <v>6500</v>
      </c>
      <c r="F656" s="986"/>
      <c r="G656" s="967" t="n">
        <f aca="false">IF(F656&gt;0,D656*F656,E656*D656)</f>
        <v>0</v>
      </c>
      <c r="H656" s="975" t="n">
        <f aca="false">D656*E656*$H$652</f>
        <v>0</v>
      </c>
      <c r="I656" s="936" t="n">
        <f aca="false">IF(G656&gt;H656,G656,H656)*$H$651</f>
        <v>0</v>
      </c>
      <c r="J656" s="931"/>
      <c r="K656" s="937"/>
    </row>
    <row r="657" customFormat="false" ht="15.75" hidden="true" customHeight="false" outlineLevel="0" collapsed="false">
      <c r="A657" s="937"/>
      <c r="B657" s="967" t="str">
        <f aca="false">дома!A1834</f>
        <v>Шкант</v>
      </c>
      <c r="C657" s="968" t="str">
        <f aca="false">дома!B1834</f>
        <v>шт</v>
      </c>
      <c r="D657" s="967" t="n">
        <f aca="false">дома!C1834</f>
        <v>19</v>
      </c>
      <c r="E657" s="986" t="n">
        <f aca="false">дома!D1834</f>
        <v>6</v>
      </c>
      <c r="F657" s="986"/>
      <c r="G657" s="967" t="n">
        <f aca="false">IF(F657&gt;0,D657*F657,E657*D657)</f>
        <v>114</v>
      </c>
      <c r="H657" s="975" t="n">
        <f aca="false">D657*E657*$H$652</f>
        <v>0</v>
      </c>
      <c r="I657" s="936" t="n">
        <f aca="false">IF(G657&gt;H657,G657,H657)*$H$651</f>
        <v>0</v>
      </c>
      <c r="J657" s="931"/>
      <c r="K657" s="937"/>
    </row>
    <row r="658" customFormat="false" ht="15.75" hidden="true" customHeight="false" outlineLevel="0" collapsed="false">
      <c r="A658" s="937"/>
      <c r="B658" s="967" t="str">
        <f aca="false">дома!A1835</f>
        <v>Лента уплотнения</v>
      </c>
      <c r="C658" s="968" t="str">
        <f aca="false">дома!B1835</f>
        <v>шт</v>
      </c>
      <c r="D658" s="967" t="n">
        <f aca="false">дома!C1835</f>
        <v>0</v>
      </c>
      <c r="E658" s="986" t="n">
        <f aca="false">дома!D1835</f>
        <v>130</v>
      </c>
      <c r="F658" s="986"/>
      <c r="G658" s="967" t="n">
        <f aca="false">IF(F658&gt;0,D658*F658,E658*D658)</f>
        <v>0</v>
      </c>
      <c r="H658" s="975" t="n">
        <f aca="false">D658*E658*$H$652</f>
        <v>0</v>
      </c>
      <c r="I658" s="936" t="n">
        <f aca="false">IF(G658&gt;H658,G658,H658)*$H$651</f>
        <v>0</v>
      </c>
      <c r="J658" s="931"/>
      <c r="K658" s="937"/>
    </row>
    <row r="659" customFormat="false" ht="15.75" hidden="true" customHeight="false" outlineLevel="0" collapsed="false">
      <c r="A659" s="937"/>
      <c r="B659" s="967" t="str">
        <f aca="false">дома!A1836</f>
        <v>Гвозди строительные 3,5 x 90            </v>
      </c>
      <c r="C659" s="968" t="str">
        <f aca="false">дома!B1836</f>
        <v>шт</v>
      </c>
      <c r="D659" s="967" t="n">
        <f aca="false">дома!C1836</f>
        <v>4.4</v>
      </c>
      <c r="E659" s="986" t="n">
        <f aca="false">дома!D1836</f>
        <v>70</v>
      </c>
      <c r="F659" s="986"/>
      <c r="G659" s="967" t="n">
        <f aca="false">IF(F659&gt;0,D659*F659,E659*D659)</f>
        <v>308</v>
      </c>
      <c r="H659" s="975" t="n">
        <f aca="false">D659*E659*$H$652</f>
        <v>0</v>
      </c>
      <c r="I659" s="936" t="n">
        <f aca="false">IF(G659&gt;H659,G659,H659)*$H$651</f>
        <v>0</v>
      </c>
      <c r="J659" s="931"/>
      <c r="K659" s="937"/>
    </row>
    <row r="660" customFormat="false" ht="15.75" hidden="true" customHeight="false" outlineLevel="0" collapsed="false">
      <c r="A660" s="937"/>
      <c r="B660" s="967" t="str">
        <f aca="false">дома!A1837</f>
        <v>нет</v>
      </c>
      <c r="C660" s="968" t="str">
        <f aca="false">дома!B1837</f>
        <v>м3</v>
      </c>
      <c r="D660" s="967" t="n">
        <f aca="false">дома!C1837</f>
        <v>0</v>
      </c>
      <c r="E660" s="986" t="n">
        <f aca="false">дома!D1837</f>
        <v>0</v>
      </c>
      <c r="F660" s="986"/>
      <c r="G660" s="967" t="n">
        <f aca="false">IF(F660&gt;0,D660*F660,E660*D660)</f>
        <v>0</v>
      </c>
      <c r="H660" s="975" t="n">
        <f aca="false">D660*E660*$H$652</f>
        <v>0</v>
      </c>
      <c r="I660" s="936" t="n">
        <f aca="false">IF(G660&gt;H660,G660,H660)*$H$651</f>
        <v>0</v>
      </c>
      <c r="J660" s="931"/>
      <c r="K660" s="937"/>
    </row>
    <row r="661" customFormat="false" ht="15.75" hidden="true" customHeight="false" outlineLevel="0" collapsed="false">
      <c r="A661" s="937"/>
      <c r="B661" s="967" t="str">
        <f aca="false">дома!A1838</f>
        <v>нет</v>
      </c>
      <c r="C661" s="968" t="str">
        <f aca="false">дома!B1838</f>
        <v>м3</v>
      </c>
      <c r="D661" s="967" t="n">
        <f aca="false">дома!C1838</f>
        <v>0</v>
      </c>
      <c r="E661" s="986" t="n">
        <f aca="false">дома!D1838</f>
        <v>0</v>
      </c>
      <c r="F661" s="986"/>
      <c r="G661" s="967" t="n">
        <f aca="false">IF(F661&gt;0,D661*F661,E661*D661)</f>
        <v>0</v>
      </c>
      <c r="H661" s="975" t="n">
        <f aca="false">D661*E661*$H$652</f>
        <v>0</v>
      </c>
      <c r="I661" s="936" t="n">
        <f aca="false">IF(G661&gt;H661,G661,H661)*$H$651</f>
        <v>0</v>
      </c>
      <c r="J661" s="931"/>
      <c r="K661" s="937"/>
    </row>
    <row r="662" customFormat="false" ht="15.75" hidden="true" customHeight="false" outlineLevel="0" collapsed="false">
      <c r="A662" s="937"/>
      <c r="B662" s="967" t="str">
        <f aca="false">дома!A1839</f>
        <v>нет</v>
      </c>
      <c r="C662" s="968" t="str">
        <f aca="false">дома!B1839</f>
        <v>м3</v>
      </c>
      <c r="D662" s="967" t="n">
        <f aca="false">дома!C1839</f>
        <v>0</v>
      </c>
      <c r="E662" s="986" t="n">
        <f aca="false">дома!D1839</f>
        <v>0</v>
      </c>
      <c r="F662" s="986"/>
      <c r="G662" s="967" t="n">
        <f aca="false">IF(F662&gt;0,D662*F662,E662*D662)</f>
        <v>0</v>
      </c>
      <c r="H662" s="975" t="n">
        <f aca="false">D662*E662*$H$652</f>
        <v>0</v>
      </c>
      <c r="I662" s="936" t="n">
        <f aca="false">IF(G662&gt;H662,G662,H662)*$H$651</f>
        <v>0</v>
      </c>
      <c r="J662" s="931"/>
      <c r="K662" s="937"/>
    </row>
    <row r="663" customFormat="false" ht="15.75" hidden="true" customHeight="false" outlineLevel="0" collapsed="false">
      <c r="A663" s="937"/>
      <c r="B663" s="967" t="str">
        <f aca="false">дома!A1840</f>
        <v>нет</v>
      </c>
      <c r="C663" s="968" t="str">
        <f aca="false">дома!B1840</f>
        <v>м.п.</v>
      </c>
      <c r="D663" s="967" t="n">
        <f aca="false">дома!C1840</f>
        <v>0</v>
      </c>
      <c r="E663" s="986" t="n">
        <f aca="false">дома!D1840</f>
        <v>0</v>
      </c>
      <c r="F663" s="986"/>
      <c r="G663" s="967" t="n">
        <f aca="false">IF(F663&gt;0,D663*F663,E663*D663)</f>
        <v>0</v>
      </c>
      <c r="H663" s="975" t="n">
        <f aca="false">D663*E663*$H$652</f>
        <v>0</v>
      </c>
      <c r="I663" s="936" t="n">
        <f aca="false">IF(G663&gt;H663,G663,H663)*$H$651</f>
        <v>0</v>
      </c>
      <c r="J663" s="931"/>
      <c r="K663" s="937"/>
    </row>
    <row r="664" customFormat="false" ht="15.75" hidden="true" customHeight="false" outlineLevel="0" collapsed="false">
      <c r="A664" s="937"/>
      <c r="B664" s="967" t="str">
        <f aca="false">дома!A1841</f>
        <v>Бензин для пилы</v>
      </c>
      <c r="C664" s="968" t="str">
        <f aca="false">дома!B1841</f>
        <v>л</v>
      </c>
      <c r="D664" s="967" t="n">
        <f aca="false">дома!C1841</f>
        <v>0.165</v>
      </c>
      <c r="E664" s="986" t="n">
        <f aca="false">дома!D1841</f>
        <v>40</v>
      </c>
      <c r="F664" s="986"/>
      <c r="G664" s="967" t="n">
        <f aca="false">IF(F664&gt;0,D664*F664,E664*D664)</f>
        <v>6.6</v>
      </c>
      <c r="H664" s="975" t="n">
        <f aca="false">D664*E664*$H$652</f>
        <v>0</v>
      </c>
      <c r="I664" s="936" t="n">
        <f aca="false">IF(G664&gt;H664,G664,H664)*$H$651</f>
        <v>0</v>
      </c>
      <c r="J664" s="931"/>
      <c r="K664" s="937"/>
    </row>
    <row r="665" customFormat="false" ht="15.75" hidden="true" customHeight="false" outlineLevel="0" collapsed="false">
      <c r="A665" s="937"/>
      <c r="B665" s="967" t="str">
        <f aca="false">дома!A1842</f>
        <v>Масло для пилы</v>
      </c>
      <c r="C665" s="968" t="str">
        <f aca="false">дома!B1842</f>
        <v>л</v>
      </c>
      <c r="D665" s="967" t="n">
        <f aca="false">дома!C1842</f>
        <v>0.00825</v>
      </c>
      <c r="E665" s="986" t="n">
        <f aca="false">дома!D1842</f>
        <v>250</v>
      </c>
      <c r="F665" s="986"/>
      <c r="G665" s="967" t="n">
        <f aca="false">IF(F665&gt;0,D665*F665,E665*D665)</f>
        <v>2.0625</v>
      </c>
      <c r="H665" s="975" t="n">
        <f aca="false">D665*E665*$H$652</f>
        <v>0</v>
      </c>
      <c r="I665" s="936" t="n">
        <f aca="false">IF(G665&gt;H665,G665,H665)*$H$651</f>
        <v>0</v>
      </c>
      <c r="J665" s="931"/>
      <c r="K665" s="937"/>
    </row>
    <row r="666" customFormat="false" ht="15.75" hidden="true" customHeight="false" outlineLevel="0" collapsed="false">
      <c r="A666" s="937"/>
      <c r="B666" s="967" t="str">
        <f aca="false">дома!A1843</f>
        <v>Цепь для пилы</v>
      </c>
      <c r="C666" s="968" t="s">
        <v>48</v>
      </c>
      <c r="D666" s="967" t="n">
        <f aca="false">дома!C1843</f>
        <v>1</v>
      </c>
      <c r="E666" s="986" t="n">
        <f aca="false">дома!D1843</f>
        <v>800</v>
      </c>
      <c r="F666" s="986"/>
      <c r="G666" s="967" t="n">
        <f aca="false">IF(F666&gt;0,D666*F666,E666*D666)</f>
        <v>800</v>
      </c>
      <c r="H666" s="975" t="n">
        <f aca="false">D666*E666*$H$652</f>
        <v>0</v>
      </c>
      <c r="I666" s="936" t="n">
        <f aca="false">IF(G666&gt;H666,G666,H666)*$H$651</f>
        <v>0</v>
      </c>
      <c r="J666" s="931"/>
      <c r="K666" s="937"/>
    </row>
    <row r="667" customFormat="false" ht="15.75" hidden="true" customHeight="false" outlineLevel="0" collapsed="false">
      <c r="A667" s="937"/>
      <c r="B667" s="967" t="str">
        <f aca="false">дома!A1844</f>
        <v>"Профилюкс" Антисептик ОБЗ-1</v>
      </c>
      <c r="C667" s="968" t="str">
        <f aca="false">дома!B1844</f>
        <v>л</v>
      </c>
      <c r="D667" s="967" t="n">
        <f aca="false">дома!C1844</f>
        <v>0</v>
      </c>
      <c r="E667" s="986" t="n">
        <f aca="false">дома!D1844</f>
        <v>42</v>
      </c>
      <c r="F667" s="986"/>
      <c r="G667" s="967" t="n">
        <f aca="false">IF(F667&gt;0,D667*F667,E667*D667)</f>
        <v>0</v>
      </c>
      <c r="H667" s="975" t="n">
        <f aca="false">D667*E667*$H$652</f>
        <v>0</v>
      </c>
      <c r="I667" s="936" t="n">
        <f aca="false">IF(G667&gt;H667,G667,H667)*$H$651</f>
        <v>0</v>
      </c>
      <c r="J667" s="931"/>
      <c r="K667" s="937"/>
    </row>
    <row r="668" customFormat="false" ht="15.75" hidden="true" customHeight="false" outlineLevel="0" collapsed="false">
      <c r="A668" s="937"/>
      <c r="B668" s="967" t="str">
        <f aca="false">дома!A1845</f>
        <v>Нет пропитки</v>
      </c>
      <c r="C668" s="968" t="str">
        <f aca="false">дома!B1845</f>
        <v>л</v>
      </c>
      <c r="D668" s="967" t="n">
        <f aca="false">дома!C1845</f>
        <v>0</v>
      </c>
      <c r="E668" s="986" t="n">
        <f aca="false">дома!D1845</f>
        <v>0</v>
      </c>
      <c r="F668" s="986"/>
      <c r="G668" s="967" t="n">
        <f aca="false">IF(F668&gt;0,D668*F668,E668*D668)</f>
        <v>0</v>
      </c>
      <c r="H668" s="975" t="n">
        <f aca="false">D668*E668*$H$652</f>
        <v>0</v>
      </c>
      <c r="I668" s="936" t="n">
        <f aca="false">IF(G668&gt;H668,G668,H668)*$H$651</f>
        <v>0</v>
      </c>
      <c r="J668" s="931"/>
      <c r="K668" s="937"/>
    </row>
    <row r="669" customFormat="false" ht="15.75" hidden="true" customHeight="false" outlineLevel="0" collapsed="false">
      <c r="A669" s="937"/>
      <c r="B669" s="967" t="str">
        <f aca="false">дома!A1846</f>
        <v>Нет пропитки</v>
      </c>
      <c r="C669" s="968" t="str">
        <f aca="false">дома!B1846</f>
        <v>л</v>
      </c>
      <c r="D669" s="967" t="n">
        <f aca="false">дома!C1846</f>
        <v>0</v>
      </c>
      <c r="E669" s="986" t="n">
        <f aca="false">дома!D1846</f>
        <v>0</v>
      </c>
      <c r="F669" s="986"/>
      <c r="G669" s="967" t="n">
        <f aca="false">IF(F669&gt;0,D669*F669,E669*D669)</f>
        <v>0</v>
      </c>
      <c r="H669" s="975" t="n">
        <f aca="false">D669*E669*$H$652</f>
        <v>0</v>
      </c>
      <c r="I669" s="936" t="n">
        <f aca="false">IF(G669&gt;H669,G669,H669)*$H$651</f>
        <v>0</v>
      </c>
      <c r="J669" s="931"/>
      <c r="K669" s="937"/>
    </row>
    <row r="670" customFormat="false" ht="15.75" hidden="true" customHeight="false" outlineLevel="0" collapsed="false">
      <c r="A670" s="937"/>
      <c r="B670" s="967" t="str">
        <f aca="false">дома!A1847</f>
        <v>Нет наличника</v>
      </c>
      <c r="C670" s="968" t="str">
        <f aca="false">дома!B1847</f>
        <v>м.п.</v>
      </c>
      <c r="D670" s="967" t="n">
        <f aca="false">дома!C1847</f>
        <v>3.57</v>
      </c>
      <c r="E670" s="986" t="n">
        <f aca="false">дома!D1847</f>
        <v>0</v>
      </c>
      <c r="F670" s="986"/>
      <c r="G670" s="967" t="n">
        <f aca="false">IF(F670&gt;0,D670*F670,E670*D670)</f>
        <v>0</v>
      </c>
      <c r="H670" s="975" t="n">
        <f aca="false">D670*E670*$H$652</f>
        <v>0</v>
      </c>
      <c r="I670" s="936" t="n">
        <f aca="false">IF(G670&gt;H670,G670,H670)*$H$651</f>
        <v>0</v>
      </c>
      <c r="J670" s="931"/>
      <c r="K670" s="937"/>
    </row>
    <row r="671" customFormat="false" ht="15.75" hidden="true" customHeight="false" outlineLevel="0" collapsed="false">
      <c r="A671" s="937"/>
      <c r="B671" s="967" t="str">
        <f aca="false">дома!A1848</f>
        <v>Нет наличника</v>
      </c>
      <c r="C671" s="968" t="str">
        <f aca="false">дома!B1848</f>
        <v>м.п.</v>
      </c>
      <c r="D671" s="967" t="n">
        <f aca="false">дома!C1848</f>
        <v>3.57</v>
      </c>
      <c r="E671" s="986" t="n">
        <f aca="false">дома!D1848</f>
        <v>0</v>
      </c>
      <c r="F671" s="986"/>
      <c r="G671" s="967" t="n">
        <f aca="false">IF(F671&gt;0,D671*F671,E671*D671)</f>
        <v>0</v>
      </c>
      <c r="H671" s="975" t="n">
        <f aca="false">D671*E671*$H$652</f>
        <v>0</v>
      </c>
      <c r="I671" s="936" t="n">
        <f aca="false">IF(G671&gt;H671,G671,H671)*$H$651</f>
        <v>0</v>
      </c>
      <c r="J671" s="931"/>
      <c r="K671" s="937"/>
    </row>
    <row r="672" customFormat="false" ht="15.75" hidden="true" customHeight="false" outlineLevel="0" collapsed="false">
      <c r="A672" s="937"/>
      <c r="B672" s="967" t="str">
        <f aca="false">дома!A1849</f>
        <v>Нет наждачной бумаги</v>
      </c>
      <c r="C672" s="968" t="str">
        <f aca="false">дома!B1849</f>
        <v>м</v>
      </c>
      <c r="D672" s="967" t="n">
        <f aca="false">дома!C1849</f>
        <v>0</v>
      </c>
      <c r="E672" s="986" t="n">
        <f aca="false">дома!D1849</f>
        <v>0</v>
      </c>
      <c r="F672" s="986"/>
      <c r="G672" s="967" t="n">
        <f aca="false">IF(F672&gt;0,D672*F672,E672*D672)</f>
        <v>0</v>
      </c>
      <c r="H672" s="975" t="n">
        <f aca="false">D672*E672*$H$652</f>
        <v>0</v>
      </c>
      <c r="I672" s="936" t="n">
        <f aca="false">IF(G672&gt;H672,G672,H672)*$H$651</f>
        <v>0</v>
      </c>
      <c r="J672" s="931"/>
      <c r="K672" s="937"/>
    </row>
    <row r="673" customFormat="false" ht="15.75" hidden="true" customHeight="false" outlineLevel="0" collapsed="false">
      <c r="A673" s="937"/>
      <c r="B673" s="967" t="str">
        <f aca="false">дома!A1850</f>
        <v>Нет наждачной бумаги</v>
      </c>
      <c r="C673" s="968" t="str">
        <f aca="false">дома!B1850</f>
        <v>м</v>
      </c>
      <c r="D673" s="967" t="n">
        <f aca="false">дома!C1850</f>
        <v>0</v>
      </c>
      <c r="E673" s="986" t="n">
        <f aca="false">дома!D1850</f>
        <v>0</v>
      </c>
      <c r="F673" s="986"/>
      <c r="G673" s="967" t="n">
        <f aca="false">IF(F673&gt;0,D673*F673,E673*D673)</f>
        <v>0</v>
      </c>
      <c r="H673" s="975" t="n">
        <f aca="false">D673*E673*$H$652</f>
        <v>0</v>
      </c>
      <c r="I673" s="936" t="n">
        <f aca="false">IF(G673&gt;H673,G673,H673)*$H$651</f>
        <v>0</v>
      </c>
      <c r="J673" s="931"/>
      <c r="K673" s="937"/>
    </row>
    <row r="674" customFormat="false" ht="15.75" hidden="true" customHeight="false" outlineLevel="0" collapsed="false">
      <c r="A674" s="937"/>
      <c r="B674" s="967" t="str">
        <f aca="false">дома!A1851</f>
        <v>Нет наждачной бумаги</v>
      </c>
      <c r="C674" s="968" t="str">
        <f aca="false">дома!B1851</f>
        <v>м</v>
      </c>
      <c r="D674" s="967" t="n">
        <f aca="false">дома!C1851</f>
        <v>0</v>
      </c>
      <c r="E674" s="986" t="n">
        <f aca="false">дома!D1851</f>
        <v>0</v>
      </c>
      <c r="F674" s="986"/>
      <c r="G674" s="967" t="n">
        <f aca="false">IF(F674&gt;0,D674*F674,E674*D674)</f>
        <v>0</v>
      </c>
      <c r="H674" s="975" t="n">
        <f aca="false">D674*E674*$H$652</f>
        <v>0</v>
      </c>
      <c r="I674" s="936" t="n">
        <f aca="false">IF(G674&gt;H674,G674,H674)*$H$651</f>
        <v>0</v>
      </c>
      <c r="J674" s="931"/>
      <c r="K674" s="937"/>
    </row>
    <row r="675" customFormat="false" ht="15.75" hidden="true" customHeight="false" outlineLevel="0" collapsed="false">
      <c r="A675" s="937"/>
      <c r="B675" s="967" t="str">
        <f aca="false">дома!A1852</f>
        <v>Нет наждачной бумаги</v>
      </c>
      <c r="C675" s="968" t="str">
        <f aca="false">дома!B1852</f>
        <v>м</v>
      </c>
      <c r="D675" s="967" t="n">
        <f aca="false">дома!C1852</f>
        <v>0</v>
      </c>
      <c r="E675" s="986" t="n">
        <f aca="false">дома!D1852</f>
        <v>0</v>
      </c>
      <c r="F675" s="986"/>
      <c r="G675" s="967" t="n">
        <f aca="false">IF(F675&gt;0,D675*F675,E675*D675)</f>
        <v>0</v>
      </c>
      <c r="H675" s="975" t="n">
        <f aca="false">D675*E675*$H$652</f>
        <v>0</v>
      </c>
      <c r="I675" s="936" t="n">
        <f aca="false">IF(G675&gt;H675,G675,H675)*$H$651</f>
        <v>0</v>
      </c>
      <c r="J675" s="931"/>
      <c r="K675" s="937"/>
    </row>
    <row r="676" customFormat="false" ht="15.75" hidden="true" customHeight="false" outlineLevel="0" collapsed="false">
      <c r="A676" s="937"/>
      <c r="B676" s="973" t="s">
        <v>2247</v>
      </c>
      <c r="C676" s="973"/>
      <c r="D676" s="973"/>
      <c r="E676" s="973"/>
      <c r="F676" s="973"/>
      <c r="G676" s="975" t="n">
        <f aca="false">SUM(G653:G675)*H651</f>
        <v>0</v>
      </c>
      <c r="H676" s="975" t="n">
        <f aca="false">SUM(H653:H675)</f>
        <v>0</v>
      </c>
      <c r="I676" s="936" t="n">
        <f aca="false">IF(G676&gt;H676,G676,H676)*$H$651</f>
        <v>0</v>
      </c>
      <c r="J676" s="931"/>
      <c r="K676" s="937"/>
    </row>
    <row r="677" customFormat="false" ht="15.75" hidden="true" customHeight="false" outlineLevel="0" collapsed="false">
      <c r="A677" s="937"/>
      <c r="B677" s="976" t="s">
        <v>2007</v>
      </c>
      <c r="C677" s="976"/>
      <c r="D677" s="976"/>
      <c r="E677" s="976"/>
      <c r="F677" s="976"/>
      <c r="G677" s="977"/>
      <c r="H677" s="994" t="n">
        <f aca="false">H651</f>
        <v>0</v>
      </c>
      <c r="I677" s="983" t="n">
        <f aca="false">H677</f>
        <v>0</v>
      </c>
      <c r="J677" s="931"/>
      <c r="K677" s="937"/>
    </row>
    <row r="678" customFormat="false" ht="15.75" hidden="true" customHeight="false" outlineLevel="0" collapsed="false">
      <c r="A678" s="931"/>
      <c r="B678" s="995" t="str">
        <f aca="false">дома!G1830</f>
        <v>кладка Профилированного бруса</v>
      </c>
      <c r="C678" s="993" t="s">
        <v>1043</v>
      </c>
      <c r="D678" s="992" t="n">
        <f aca="false">дома!J1830</f>
        <v>0.825</v>
      </c>
      <c r="E678" s="1010" t="n">
        <f aca="false">дома!K1830</f>
        <v>6000</v>
      </c>
      <c r="F678" s="1010"/>
      <c r="G678" s="967" t="n">
        <f aca="false">IF(F678&gt;0,D678*F678,E678*D678)</f>
        <v>4950</v>
      </c>
      <c r="H678" s="970" t="n">
        <f aca="false">D678*E678*$H$677</f>
        <v>0</v>
      </c>
      <c r="I678" s="936" t="n">
        <f aca="false">IF(G678&gt;H678,G678,H678)*$H$651</f>
        <v>0</v>
      </c>
      <c r="J678" s="931"/>
      <c r="K678" s="937"/>
    </row>
    <row r="679" customFormat="false" ht="15.75" hidden="true" customHeight="false" outlineLevel="0" collapsed="false">
      <c r="A679" s="937"/>
      <c r="B679" s="995" t="str">
        <f aca="false">дома!G1831</f>
        <v>окосячка проемов, м.п.</v>
      </c>
      <c r="C679" s="993" t="s">
        <v>15</v>
      </c>
      <c r="D679" s="992" t="n">
        <f aca="false">дома!J1831</f>
        <v>0</v>
      </c>
      <c r="E679" s="1010" t="n">
        <f aca="false">дома!K1831</f>
        <v>150</v>
      </c>
      <c r="F679" s="1010"/>
      <c r="G679" s="967" t="n">
        <f aca="false">IF(F679&gt;0,D679*F679,E679*D679)</f>
        <v>0</v>
      </c>
      <c r="H679" s="970" t="n">
        <f aca="false">D679*E679*$H$677</f>
        <v>0</v>
      </c>
      <c r="I679" s="936" t="n">
        <f aca="false">IF(G679&gt;H679,G679,H679)*$H$651</f>
        <v>0</v>
      </c>
      <c r="J679" s="931"/>
      <c r="K679" s="937"/>
    </row>
    <row r="680" customFormat="false" ht="15.75" hidden="true" customHeight="false" outlineLevel="0" collapsed="false">
      <c r="A680" s="937"/>
      <c r="B680" s="995" t="str">
        <f aca="false">дома!G1832</f>
        <v>обработка торцов на брусе</v>
      </c>
      <c r="C680" s="993" t="s">
        <v>15</v>
      </c>
      <c r="D680" s="992" t="n">
        <f aca="false">дома!J1832</f>
        <v>20</v>
      </c>
      <c r="E680" s="1010" t="n">
        <f aca="false">дома!K1832</f>
        <v>250</v>
      </c>
      <c r="F680" s="1010"/>
      <c r="G680" s="967" t="n">
        <f aca="false">IF(F680&gt;0,D680*F680,E680*D680)</f>
        <v>5000</v>
      </c>
      <c r="H680" s="970" t="n">
        <f aca="false">D680*E680*$H$677</f>
        <v>0</v>
      </c>
      <c r="I680" s="936" t="n">
        <f aca="false">IF(G680&gt;H680,G680,H680)*$H$651</f>
        <v>0</v>
      </c>
      <c r="J680" s="931"/>
      <c r="K680" s="937"/>
    </row>
    <row r="681" customFormat="false" ht="15.75" hidden="true" customHeight="false" outlineLevel="0" collapsed="false">
      <c r="A681" s="937"/>
      <c r="B681" s="995" t="str">
        <f aca="false">дома!G1833</f>
        <v>Обаботка огнебиозащитой</v>
      </c>
      <c r="C681" s="993" t="s">
        <v>15</v>
      </c>
      <c r="D681" s="992" t="n">
        <f aca="false">дома!J1833</f>
        <v>0.825</v>
      </c>
      <c r="E681" s="1010" t="n">
        <f aca="false">дома!K1833</f>
        <v>300</v>
      </c>
      <c r="F681" s="1010"/>
      <c r="G681" s="967" t="n">
        <f aca="false">IF(F681&gt;0,D681*F681,E681*D681)</f>
        <v>247.5</v>
      </c>
      <c r="H681" s="970" t="n">
        <f aca="false">D681*E681*$H$677</f>
        <v>0</v>
      </c>
      <c r="I681" s="936" t="n">
        <f aca="false">IF(G681&gt;H681,G681,H681)*$H$651</f>
        <v>0</v>
      </c>
      <c r="J681" s="931"/>
      <c r="K681" s="937"/>
    </row>
    <row r="682" customFormat="false" ht="15.75" hidden="true" customHeight="false" outlineLevel="0" collapsed="false">
      <c r="A682" s="937"/>
      <c r="B682" s="995" t="str">
        <f aca="false">дома!G1834</f>
        <v>Пропитка стен внешних</v>
      </c>
      <c r="C682" s="993" t="s">
        <v>15</v>
      </c>
      <c r="D682" s="992" t="n">
        <f aca="false">дома!J1834</f>
        <v>0</v>
      </c>
      <c r="E682" s="1010" t="n">
        <f aca="false">дома!K1834</f>
        <v>100</v>
      </c>
      <c r="F682" s="1010"/>
      <c r="G682" s="967" t="n">
        <f aca="false">IF(F682&gt;0,D682*F682,E682*D682)</f>
        <v>0</v>
      </c>
      <c r="H682" s="970" t="n">
        <f aca="false">D682*E682*$H$677</f>
        <v>0</v>
      </c>
      <c r="I682" s="936" t="n">
        <f aca="false">IF(G682&gt;H682,G682,H682)*$H$651</f>
        <v>0</v>
      </c>
      <c r="J682" s="931"/>
      <c r="K682" s="937"/>
    </row>
    <row r="683" customFormat="false" ht="15.75" hidden="true" customHeight="false" outlineLevel="0" collapsed="false">
      <c r="A683" s="937"/>
      <c r="B683" s="995" t="str">
        <f aca="false">дома!G1835</f>
        <v>Пропитка внутенних стен</v>
      </c>
      <c r="C683" s="993" t="s">
        <v>15</v>
      </c>
      <c r="D683" s="992" t="n">
        <f aca="false">дома!J1835</f>
        <v>0</v>
      </c>
      <c r="E683" s="1010" t="n">
        <f aca="false">дома!K1835</f>
        <v>100</v>
      </c>
      <c r="F683" s="1010"/>
      <c r="G683" s="967" t="n">
        <f aca="false">IF(F683&gt;0,D683*F683,E683*D683)</f>
        <v>0</v>
      </c>
      <c r="H683" s="970" t="n">
        <f aca="false">D683*E683*$H$677</f>
        <v>0</v>
      </c>
      <c r="I683" s="936" t="n">
        <f aca="false">IF(G683&gt;H683,G683,H683)*$H$651</f>
        <v>0</v>
      </c>
      <c r="J683" s="931"/>
      <c r="K683" s="937"/>
    </row>
    <row r="684" customFormat="false" ht="15.75" hidden="true" customHeight="false" outlineLevel="0" collapsed="false">
      <c r="A684" s="937"/>
      <c r="B684" s="995" t="str">
        <f aca="false">дома!G1836</f>
        <v>Не считать</v>
      </c>
      <c r="C684" s="993" t="s">
        <v>15</v>
      </c>
      <c r="D684" s="992" t="n">
        <f aca="false">дома!J1836</f>
        <v>0</v>
      </c>
      <c r="E684" s="1010" t="n">
        <f aca="false">дома!K1836</f>
        <v>300</v>
      </c>
      <c r="F684" s="1010"/>
      <c r="G684" s="967" t="n">
        <f aca="false">IF(F684&gt;0,D684*F684,E684*D684)</f>
        <v>0</v>
      </c>
      <c r="H684" s="970" t="n">
        <f aca="false">D684*E684*$H$677</f>
        <v>0</v>
      </c>
      <c r="I684" s="936" t="n">
        <f aca="false">IF(G684&gt;H684,G684,H684)*$H$651</f>
        <v>0</v>
      </c>
      <c r="J684" s="931"/>
      <c r="K684" s="937"/>
    </row>
    <row r="685" customFormat="false" ht="15.75" hidden="true" customHeight="false" outlineLevel="0" collapsed="false">
      <c r="A685" s="937"/>
      <c r="B685" s="995" t="str">
        <f aca="false">дома!G1837</f>
        <v>Монтаж наличника</v>
      </c>
      <c r="C685" s="993" t="s">
        <v>15</v>
      </c>
      <c r="D685" s="992" t="n">
        <f aca="false">дома!J1837</f>
        <v>0</v>
      </c>
      <c r="E685" s="1010" t="n">
        <f aca="false">дома!K1837</f>
        <v>80</v>
      </c>
      <c r="F685" s="1010"/>
      <c r="G685" s="967" t="n">
        <f aca="false">IF(F685&gt;0,D685*F685,E685*D685)</f>
        <v>0</v>
      </c>
      <c r="H685" s="970" t="n">
        <f aca="false">D685*E685*$H$677</f>
        <v>0</v>
      </c>
      <c r="I685" s="936" t="n">
        <f aca="false">IF(G685&gt;H685,G685,H685)*$H$651</f>
        <v>0</v>
      </c>
      <c r="J685" s="931"/>
      <c r="K685" s="937"/>
    </row>
    <row r="686" customFormat="false" ht="15.75" hidden="true" customHeight="false" outlineLevel="0" collapsed="false">
      <c r="A686" s="937"/>
      <c r="B686" s="995" t="str">
        <f aca="false">дома!G1838</f>
        <v>Шлифовка стен дома</v>
      </c>
      <c r="C686" s="993" t="s">
        <v>15</v>
      </c>
      <c r="D686" s="992" t="n">
        <f aca="false">дома!J1838</f>
        <v>0</v>
      </c>
      <c r="E686" s="1010" t="n">
        <f aca="false">дома!K1838</f>
        <v>250</v>
      </c>
      <c r="F686" s="1010"/>
      <c r="G686" s="967" t="n">
        <f aca="false">IF(F686&gt;0,D686*F686,E686*D686)</f>
        <v>0</v>
      </c>
      <c r="H686" s="970" t="n">
        <f aca="false">D686*E686*$H$677</f>
        <v>0</v>
      </c>
      <c r="I686" s="936" t="n">
        <f aca="false">IF(G686&gt;H686,G686,H686)*$H$651</f>
        <v>0</v>
      </c>
      <c r="J686" s="931"/>
      <c r="K686" s="937"/>
    </row>
    <row r="687" customFormat="false" ht="15.75" hidden="true" customHeight="false" outlineLevel="0" collapsed="false">
      <c r="A687" s="937"/>
      <c r="B687" s="973" t="s">
        <v>2248</v>
      </c>
      <c r="C687" s="973"/>
      <c r="D687" s="973"/>
      <c r="E687" s="973"/>
      <c r="F687" s="973"/>
      <c r="G687" s="970" t="n">
        <f aca="false">SUM(G678:G686)*H677</f>
        <v>0</v>
      </c>
      <c r="H687" s="970" t="n">
        <f aca="false">SUM(H678:H686)</f>
        <v>0</v>
      </c>
      <c r="I687" s="936" t="n">
        <f aca="false">IF(G687&gt;H687,G687,H687)*$H$651</f>
        <v>0</v>
      </c>
      <c r="J687" s="931"/>
      <c r="K687" s="937"/>
    </row>
    <row r="688" customFormat="false" ht="21" hidden="true" customHeight="false" outlineLevel="0" collapsed="false">
      <c r="A688" s="937"/>
      <c r="B688" s="989" t="s">
        <v>2265</v>
      </c>
      <c r="C688" s="989"/>
      <c r="D688" s="989"/>
      <c r="E688" s="989"/>
      <c r="F688" s="989"/>
      <c r="G688" s="977"/>
      <c r="H688" s="1007" t="n">
        <f aca="false">IF('Ввод данных'!$A$19=связи1!A156,1,0)+IF('Ввод данных'!$A$19=связи1!A162,1,0)+IF('Ввод данных'!$A$19=связи1!A170,1,0)</f>
        <v>0</v>
      </c>
      <c r="I688" s="983" t="n">
        <f aca="false">H688</f>
        <v>0</v>
      </c>
      <c r="J688" s="931"/>
      <c r="K688" s="937"/>
    </row>
    <row r="689" customFormat="false" ht="15.75" hidden="true" customHeight="false" outlineLevel="0" collapsed="false">
      <c r="A689" s="931"/>
      <c r="B689" s="1008" t="s">
        <v>2246</v>
      </c>
      <c r="C689" s="1008"/>
      <c r="D689" s="1008"/>
      <c r="E689" s="1008"/>
      <c r="F689" s="1008"/>
      <c r="G689" s="977"/>
      <c r="H689" s="1009" t="n">
        <f aca="false">H688</f>
        <v>0</v>
      </c>
      <c r="I689" s="983" t="n">
        <f aca="false">H689</f>
        <v>0</v>
      </c>
      <c r="J689" s="931"/>
      <c r="K689" s="937"/>
    </row>
    <row r="690" customFormat="false" ht="15.75" hidden="true" customHeight="false" outlineLevel="0" collapsed="false">
      <c r="A690" s="931"/>
      <c r="B690" s="967" t="str">
        <f aca="false">дома!A1878</f>
        <v>Листв. влаж, 200*200мм</v>
      </c>
      <c r="C690" s="968" t="str">
        <f aca="false">дома!B1878</f>
        <v>м3</v>
      </c>
      <c r="D690" s="967" t="n">
        <f aca="false">дома!C1878</f>
        <v>4.012</v>
      </c>
      <c r="E690" s="986" t="n">
        <f aca="false">дома!D1878</f>
        <v>9000</v>
      </c>
      <c r="F690" s="986"/>
      <c r="G690" s="967" t="n">
        <f aca="false">IF(F690&gt;0,D690*F690,E690*D690)</f>
        <v>36108</v>
      </c>
      <c r="H690" s="975" t="n">
        <f aca="false">D690*E690*$H$689</f>
        <v>0</v>
      </c>
      <c r="I690" s="936" t="n">
        <f aca="false">IF(G690&gt;H690,G690,H690)*$H$688</f>
        <v>0</v>
      </c>
      <c r="J690" s="931"/>
      <c r="K690" s="937"/>
    </row>
    <row r="691" customFormat="false" ht="15.75" hidden="true" customHeight="false" outlineLevel="0" collapsed="false">
      <c r="A691" s="937"/>
      <c r="B691" s="967" t="str">
        <f aca="false">дома!A1879</f>
        <v>Сосна влаж, 200*150мм</v>
      </c>
      <c r="C691" s="968" t="str">
        <f aca="false">дома!B1879</f>
        <v>м3</v>
      </c>
      <c r="D691" s="967" t="n">
        <f aca="false">дома!C1879</f>
        <v>-3.187</v>
      </c>
      <c r="E691" s="986" t="n">
        <f aca="false">дома!D1879</f>
        <v>6500</v>
      </c>
      <c r="F691" s="986"/>
      <c r="G691" s="967" t="n">
        <f aca="false">IF(F691&gt;0,D691*F691,E691*D691)</f>
        <v>-20715.5</v>
      </c>
      <c r="H691" s="975" t="n">
        <f aca="false">D691*E691*$H$689</f>
        <v>-0</v>
      </c>
      <c r="I691" s="936" t="n">
        <f aca="false">IF(G691&gt;H691,G691,H691)*$H$688</f>
        <v>-0</v>
      </c>
      <c r="J691" s="931"/>
      <c r="K691" s="937"/>
    </row>
    <row r="692" customFormat="false" ht="15.75" hidden="true" customHeight="false" outlineLevel="0" collapsed="false">
      <c r="A692" s="937"/>
      <c r="B692" s="967" t="str">
        <f aca="false">дома!A1880</f>
        <v>Сосна влаж, 200*150мм</v>
      </c>
      <c r="C692" s="968" t="str">
        <f aca="false">дома!B1880</f>
        <v>м3</v>
      </c>
      <c r="D692" s="967" t="n">
        <f aca="false">дома!C1880</f>
        <v>0</v>
      </c>
      <c r="E692" s="986" t="n">
        <f aca="false">дома!D1880</f>
        <v>6500</v>
      </c>
      <c r="F692" s="986"/>
      <c r="G692" s="967" t="n">
        <f aca="false">IF(F692&gt;0,D692*F692,E692*D692)</f>
        <v>0</v>
      </c>
      <c r="H692" s="975" t="n">
        <f aca="false">D692*E692*$H$689</f>
        <v>0</v>
      </c>
      <c r="I692" s="936" t="n">
        <f aca="false">IF(G692&gt;H692,G692,H692)*$H$688</f>
        <v>0</v>
      </c>
      <c r="J692" s="931"/>
      <c r="K692" s="937"/>
    </row>
    <row r="693" customFormat="false" ht="15.75" hidden="true" customHeight="false" outlineLevel="0" collapsed="false">
      <c r="A693" s="937"/>
      <c r="B693" s="967" t="str">
        <f aca="false">дома!A1881</f>
        <v>Сосна влаж, 200*100мм</v>
      </c>
      <c r="C693" s="968" t="str">
        <f aca="false">дома!B1881</f>
        <v>м2</v>
      </c>
      <c r="D693" s="967" t="n">
        <f aca="false">дома!C1881</f>
        <v>0</v>
      </c>
      <c r="E693" s="986" t="n">
        <f aca="false">дома!D1881</f>
        <v>6500</v>
      </c>
      <c r="F693" s="986"/>
      <c r="G693" s="967" t="n">
        <f aca="false">IF(F693&gt;0,D693*F693,E693*D693)</f>
        <v>0</v>
      </c>
      <c r="H693" s="975" t="n">
        <f aca="false">D693*E693*$H$689</f>
        <v>0</v>
      </c>
      <c r="I693" s="936" t="n">
        <f aca="false">IF(G693&gt;H693,G693,H693)*$H$688</f>
        <v>0</v>
      </c>
      <c r="J693" s="931"/>
      <c r="K693" s="937"/>
    </row>
    <row r="694" customFormat="false" ht="15.75" hidden="true" customHeight="false" outlineLevel="0" collapsed="false">
      <c r="A694" s="937"/>
      <c r="B694" s="967" t="str">
        <f aca="false">дома!A1882</f>
        <v>Шкант</v>
      </c>
      <c r="C694" s="968" t="str">
        <f aca="false">дома!B1882</f>
        <v>шт</v>
      </c>
      <c r="D694" s="967" t="n">
        <f aca="false">дома!C1882</f>
        <v>19</v>
      </c>
      <c r="E694" s="986" t="n">
        <f aca="false">дома!D1882</f>
        <v>6</v>
      </c>
      <c r="F694" s="986"/>
      <c r="G694" s="967" t="n">
        <f aca="false">IF(F694&gt;0,D694*F694,E694*D694)</f>
        <v>114</v>
      </c>
      <c r="H694" s="975" t="n">
        <f aca="false">D694*E694*$H$689</f>
        <v>0</v>
      </c>
      <c r="I694" s="936" t="n">
        <f aca="false">IF(G694&gt;H694,G694,H694)*$H$688</f>
        <v>0</v>
      </c>
      <c r="J694" s="931"/>
      <c r="K694" s="937"/>
    </row>
    <row r="695" customFormat="false" ht="15.75" hidden="true" customHeight="false" outlineLevel="0" collapsed="false">
      <c r="A695" s="937"/>
      <c r="B695" s="967" t="str">
        <f aca="false">дома!A1883</f>
        <v>Лента уплотнения</v>
      </c>
      <c r="C695" s="968" t="str">
        <f aca="false">дома!B1883</f>
        <v>шт</v>
      </c>
      <c r="D695" s="967" t="n">
        <f aca="false">дома!C1883</f>
        <v>0</v>
      </c>
      <c r="E695" s="986" t="n">
        <f aca="false">дома!D1883</f>
        <v>130</v>
      </c>
      <c r="F695" s="986"/>
      <c r="G695" s="967" t="n">
        <f aca="false">IF(F695&gt;0,D695*F695,E695*D695)</f>
        <v>0</v>
      </c>
      <c r="H695" s="975" t="n">
        <f aca="false">D695*E695*$H$689</f>
        <v>0</v>
      </c>
      <c r="I695" s="936" t="n">
        <f aca="false">IF(G695&gt;H695,G695,H695)*$H$688</f>
        <v>0</v>
      </c>
      <c r="J695" s="931"/>
      <c r="K695" s="937"/>
    </row>
    <row r="696" customFormat="false" ht="15.75" hidden="true" customHeight="false" outlineLevel="0" collapsed="false">
      <c r="A696" s="937"/>
      <c r="B696" s="967" t="str">
        <f aca="false">дома!A1884</f>
        <v>Гвозди строительные 3,5 x 90            </v>
      </c>
      <c r="C696" s="968" t="str">
        <f aca="false">дома!B1884</f>
        <v>шт</v>
      </c>
      <c r="D696" s="967" t="n">
        <f aca="false">дома!C1884</f>
        <v>4.4</v>
      </c>
      <c r="E696" s="986" t="n">
        <f aca="false">дома!D1884</f>
        <v>70</v>
      </c>
      <c r="F696" s="986"/>
      <c r="G696" s="967" t="n">
        <f aca="false">IF(F696&gt;0,D696*F696,E696*D696)</f>
        <v>308</v>
      </c>
      <c r="H696" s="975" t="n">
        <f aca="false">D696*E696*$H$689</f>
        <v>0</v>
      </c>
      <c r="I696" s="936" t="n">
        <f aca="false">IF(G696&gt;H696,G696,H696)*$H$688</f>
        <v>0</v>
      </c>
      <c r="J696" s="931"/>
      <c r="K696" s="937"/>
    </row>
    <row r="697" customFormat="false" ht="15.75" hidden="true" customHeight="false" outlineLevel="0" collapsed="false">
      <c r="A697" s="937"/>
      <c r="B697" s="967" t="str">
        <f aca="false">дома!A1885</f>
        <v>нет</v>
      </c>
      <c r="C697" s="968" t="str">
        <f aca="false">дома!B1885</f>
        <v>м3</v>
      </c>
      <c r="D697" s="967" t="n">
        <f aca="false">дома!C1885</f>
        <v>0</v>
      </c>
      <c r="E697" s="986" t="n">
        <f aca="false">дома!D1885</f>
        <v>0</v>
      </c>
      <c r="F697" s="986"/>
      <c r="G697" s="967" t="n">
        <f aca="false">IF(F697&gt;0,D697*F697,E697*D697)</f>
        <v>0</v>
      </c>
      <c r="H697" s="975" t="n">
        <f aca="false">D697*E697*$H$689</f>
        <v>0</v>
      </c>
      <c r="I697" s="936" t="n">
        <f aca="false">IF(G697&gt;H697,G697,H697)*$H$688</f>
        <v>0</v>
      </c>
      <c r="J697" s="931"/>
      <c r="K697" s="937"/>
    </row>
    <row r="698" customFormat="false" ht="15.75" hidden="true" customHeight="false" outlineLevel="0" collapsed="false">
      <c r="A698" s="937"/>
      <c r="B698" s="967" t="str">
        <f aca="false">дома!A1886</f>
        <v>нет</v>
      </c>
      <c r="C698" s="968" t="str">
        <f aca="false">дома!B1886</f>
        <v>м3</v>
      </c>
      <c r="D698" s="967" t="n">
        <f aca="false">дома!C1886</f>
        <v>0</v>
      </c>
      <c r="E698" s="986" t="n">
        <f aca="false">дома!D1886</f>
        <v>0</v>
      </c>
      <c r="F698" s="986"/>
      <c r="G698" s="967" t="n">
        <f aca="false">IF(F698&gt;0,D698*F698,E698*D698)</f>
        <v>0</v>
      </c>
      <c r="H698" s="975" t="n">
        <f aca="false">D698*E698*$H$689</f>
        <v>0</v>
      </c>
      <c r="I698" s="936" t="n">
        <f aca="false">IF(G698&gt;H698,G698,H698)*$H$688</f>
        <v>0</v>
      </c>
      <c r="J698" s="931"/>
      <c r="K698" s="937"/>
    </row>
    <row r="699" customFormat="false" ht="15.75" hidden="true" customHeight="false" outlineLevel="0" collapsed="false">
      <c r="A699" s="937"/>
      <c r="B699" s="967" t="str">
        <f aca="false">дома!A1887</f>
        <v>нет</v>
      </c>
      <c r="C699" s="968" t="str">
        <f aca="false">дома!B1887</f>
        <v>м3</v>
      </c>
      <c r="D699" s="967" t="n">
        <f aca="false">дома!C1887</f>
        <v>0</v>
      </c>
      <c r="E699" s="986" t="n">
        <f aca="false">дома!D1887</f>
        <v>0</v>
      </c>
      <c r="F699" s="986"/>
      <c r="G699" s="967" t="n">
        <f aca="false">IF(F699&gt;0,D699*F699,E699*D699)</f>
        <v>0</v>
      </c>
      <c r="H699" s="975" t="n">
        <f aca="false">D699*E699*$H$689</f>
        <v>0</v>
      </c>
      <c r="I699" s="936" t="n">
        <f aca="false">IF(G699&gt;H699,G699,H699)*$H$688</f>
        <v>0</v>
      </c>
      <c r="J699" s="931"/>
      <c r="K699" s="937"/>
    </row>
    <row r="700" customFormat="false" ht="15.75" hidden="true" customHeight="false" outlineLevel="0" collapsed="false">
      <c r="A700" s="937"/>
      <c r="B700" s="967" t="str">
        <f aca="false">дома!A1888</f>
        <v>нет</v>
      </c>
      <c r="C700" s="968" t="str">
        <f aca="false">дома!B1888</f>
        <v>м.п.</v>
      </c>
      <c r="D700" s="967" t="n">
        <f aca="false">дома!C1888</f>
        <v>0</v>
      </c>
      <c r="E700" s="986" t="n">
        <f aca="false">дома!D1888</f>
        <v>0</v>
      </c>
      <c r="F700" s="986"/>
      <c r="G700" s="967" t="n">
        <f aca="false">IF(F700&gt;0,D700*F700,E700*D700)</f>
        <v>0</v>
      </c>
      <c r="H700" s="975" t="n">
        <f aca="false">D700*E700*$H$689</f>
        <v>0</v>
      </c>
      <c r="I700" s="936" t="n">
        <f aca="false">IF(G700&gt;H700,G700,H700)*$H$688</f>
        <v>0</v>
      </c>
      <c r="J700" s="931"/>
      <c r="K700" s="937"/>
    </row>
    <row r="701" customFormat="false" ht="15.75" hidden="true" customHeight="false" outlineLevel="0" collapsed="false">
      <c r="A701" s="937"/>
      <c r="B701" s="967" t="str">
        <f aca="false">дома!A1889</f>
        <v>Бензин для пилы</v>
      </c>
      <c r="C701" s="968" t="str">
        <f aca="false">дома!B1889</f>
        <v>л</v>
      </c>
      <c r="D701" s="967" t="n">
        <f aca="false">дома!C1889</f>
        <v>0.165</v>
      </c>
      <c r="E701" s="986" t="n">
        <f aca="false">дома!D1889</f>
        <v>40</v>
      </c>
      <c r="F701" s="986"/>
      <c r="G701" s="967" t="n">
        <f aca="false">IF(F701&gt;0,D701*F701,E701*D701)</f>
        <v>6.6</v>
      </c>
      <c r="H701" s="975" t="n">
        <f aca="false">D701*E701*$H$689</f>
        <v>0</v>
      </c>
      <c r="I701" s="936" t="n">
        <f aca="false">IF(G701&gt;H701,G701,H701)*$H$688</f>
        <v>0</v>
      </c>
      <c r="J701" s="931"/>
      <c r="K701" s="937"/>
    </row>
    <row r="702" customFormat="false" ht="15.75" hidden="true" customHeight="false" outlineLevel="0" collapsed="false">
      <c r="A702" s="937"/>
      <c r="B702" s="967" t="str">
        <f aca="false">дома!A1890</f>
        <v>Масло для пилы</v>
      </c>
      <c r="C702" s="968" t="str">
        <f aca="false">дома!B1890</f>
        <v>л</v>
      </c>
      <c r="D702" s="967" t="n">
        <f aca="false">дома!C1890</f>
        <v>0.00825</v>
      </c>
      <c r="E702" s="986" t="n">
        <f aca="false">дома!D1890</f>
        <v>250</v>
      </c>
      <c r="F702" s="986"/>
      <c r="G702" s="967" t="n">
        <f aca="false">IF(F702&gt;0,D702*F702,E702*D702)</f>
        <v>2.0625</v>
      </c>
      <c r="H702" s="975" t="n">
        <f aca="false">D702*E702*$H$689</f>
        <v>0</v>
      </c>
      <c r="I702" s="936" t="n">
        <f aca="false">IF(G702&gt;H702,G702,H702)*$H$688</f>
        <v>0</v>
      </c>
      <c r="J702" s="931"/>
      <c r="K702" s="937"/>
    </row>
    <row r="703" customFormat="false" ht="15.75" hidden="true" customHeight="false" outlineLevel="0" collapsed="false">
      <c r="A703" s="937"/>
      <c r="B703" s="967" t="str">
        <f aca="false">дома!A1891</f>
        <v>Цепь для пилы</v>
      </c>
      <c r="C703" s="968" t="s">
        <v>48</v>
      </c>
      <c r="D703" s="967" t="n">
        <f aca="false">дома!C1891</f>
        <v>1</v>
      </c>
      <c r="E703" s="986" t="n">
        <f aca="false">дома!D1891</f>
        <v>800</v>
      </c>
      <c r="F703" s="986"/>
      <c r="G703" s="967" t="n">
        <f aca="false">IF(F703&gt;0,D703*F703,E703*D703)</f>
        <v>800</v>
      </c>
      <c r="H703" s="975" t="n">
        <f aca="false">D703*E703*$H$689</f>
        <v>0</v>
      </c>
      <c r="I703" s="936" t="n">
        <f aca="false">IF(G703&gt;H703,G703,H703)*$H$688</f>
        <v>0</v>
      </c>
      <c r="J703" s="931"/>
      <c r="K703" s="937"/>
    </row>
    <row r="704" customFormat="false" ht="15.75" hidden="true" customHeight="false" outlineLevel="0" collapsed="false">
      <c r="A704" s="937"/>
      <c r="B704" s="967" t="str">
        <f aca="false">дома!A1892</f>
        <v>"Профилюкс" Антисептик ОБЗ-1</v>
      </c>
      <c r="C704" s="968" t="str">
        <f aca="false">дома!B1892</f>
        <v>л</v>
      </c>
      <c r="D704" s="967" t="n">
        <f aca="false">дома!C1892</f>
        <v>0</v>
      </c>
      <c r="E704" s="986" t="n">
        <f aca="false">дома!D1892</f>
        <v>42</v>
      </c>
      <c r="F704" s="986"/>
      <c r="G704" s="967" t="n">
        <f aca="false">IF(F704&gt;0,D704*F704,E704*D704)</f>
        <v>0</v>
      </c>
      <c r="H704" s="975" t="n">
        <f aca="false">D704*E704*$H$689</f>
        <v>0</v>
      </c>
      <c r="I704" s="936" t="n">
        <f aca="false">IF(G704&gt;H704,G704,H704)*$H$688</f>
        <v>0</v>
      </c>
      <c r="J704" s="931"/>
      <c r="K704" s="937"/>
    </row>
    <row r="705" customFormat="false" ht="15.75" hidden="true" customHeight="false" outlineLevel="0" collapsed="false">
      <c r="A705" s="937"/>
      <c r="B705" s="967" t="str">
        <f aca="false">дома!A1893</f>
        <v>Нет пропитки</v>
      </c>
      <c r="C705" s="968" t="str">
        <f aca="false">дома!B1893</f>
        <v>л</v>
      </c>
      <c r="D705" s="967" t="n">
        <f aca="false">дома!C1893</f>
        <v>0</v>
      </c>
      <c r="E705" s="986" t="n">
        <f aca="false">дома!D1893</f>
        <v>0</v>
      </c>
      <c r="F705" s="986"/>
      <c r="G705" s="967" t="n">
        <f aca="false">IF(F705&gt;0,D705*F705,E705*D705)</f>
        <v>0</v>
      </c>
      <c r="H705" s="975" t="n">
        <f aca="false">D705*E705*$H$689</f>
        <v>0</v>
      </c>
      <c r="I705" s="936" t="n">
        <f aca="false">IF(G705&gt;H705,G705,H705)*$H$688</f>
        <v>0</v>
      </c>
      <c r="J705" s="931"/>
      <c r="K705" s="937"/>
    </row>
    <row r="706" customFormat="false" ht="15.75" hidden="true" customHeight="false" outlineLevel="0" collapsed="false">
      <c r="A706" s="937"/>
      <c r="B706" s="967" t="str">
        <f aca="false">дома!A1894</f>
        <v>Нет пропитки</v>
      </c>
      <c r="C706" s="968" t="str">
        <f aca="false">дома!B1894</f>
        <v>л</v>
      </c>
      <c r="D706" s="967" t="n">
        <f aca="false">дома!C1894</f>
        <v>0</v>
      </c>
      <c r="E706" s="986" t="n">
        <f aca="false">дома!D1894</f>
        <v>0</v>
      </c>
      <c r="F706" s="986"/>
      <c r="G706" s="967" t="n">
        <f aca="false">IF(F706&gt;0,D706*F706,E706*D706)</f>
        <v>0</v>
      </c>
      <c r="H706" s="975" t="n">
        <f aca="false">D706*E706*$H$689</f>
        <v>0</v>
      </c>
      <c r="I706" s="936" t="n">
        <f aca="false">IF(G706&gt;H706,G706,H706)*$H$688</f>
        <v>0</v>
      </c>
      <c r="J706" s="931"/>
      <c r="K706" s="937"/>
    </row>
    <row r="707" customFormat="false" ht="15.75" hidden="true" customHeight="false" outlineLevel="0" collapsed="false">
      <c r="A707" s="937"/>
      <c r="B707" s="967" t="str">
        <f aca="false">дома!A1895</f>
        <v>Нет наличника</v>
      </c>
      <c r="C707" s="968" t="str">
        <f aca="false">дома!B1895</f>
        <v>м.п.</v>
      </c>
      <c r="D707" s="967" t="n">
        <f aca="false">дома!C1895</f>
        <v>3.57</v>
      </c>
      <c r="E707" s="986" t="n">
        <f aca="false">дома!D1895</f>
        <v>0</v>
      </c>
      <c r="F707" s="986"/>
      <c r="G707" s="967" t="n">
        <f aca="false">IF(F707&gt;0,D707*F707,E707*D707)</f>
        <v>0</v>
      </c>
      <c r="H707" s="975" t="n">
        <f aca="false">D707*E707*$H$689</f>
        <v>0</v>
      </c>
      <c r="I707" s="936" t="n">
        <f aca="false">IF(G707&gt;H707,G707,H707)*$H$688</f>
        <v>0</v>
      </c>
      <c r="J707" s="931"/>
      <c r="K707" s="937"/>
    </row>
    <row r="708" customFormat="false" ht="15.75" hidden="true" customHeight="false" outlineLevel="0" collapsed="false">
      <c r="A708" s="937"/>
      <c r="B708" s="967" t="str">
        <f aca="false">дома!A1896</f>
        <v>Нет наличника</v>
      </c>
      <c r="C708" s="968" t="str">
        <f aca="false">дома!B1896</f>
        <v>м.п.</v>
      </c>
      <c r="D708" s="967" t="n">
        <f aca="false">дома!C1896</f>
        <v>3.57</v>
      </c>
      <c r="E708" s="986" t="n">
        <f aca="false">дома!D1896</f>
        <v>0</v>
      </c>
      <c r="F708" s="986"/>
      <c r="G708" s="967" t="n">
        <f aca="false">IF(F708&gt;0,D708*F708,E708*D708)</f>
        <v>0</v>
      </c>
      <c r="H708" s="975" t="n">
        <f aca="false">D708*E708*$H$689</f>
        <v>0</v>
      </c>
      <c r="I708" s="936" t="n">
        <f aca="false">IF(G708&gt;H708,G708,H708)*$H$688</f>
        <v>0</v>
      </c>
      <c r="J708" s="931"/>
      <c r="K708" s="937"/>
    </row>
    <row r="709" customFormat="false" ht="15.75" hidden="true" customHeight="false" outlineLevel="0" collapsed="false">
      <c r="A709" s="937"/>
      <c r="B709" s="967" t="str">
        <f aca="false">дома!A1897</f>
        <v>Нет наждачной бумаги</v>
      </c>
      <c r="C709" s="968" t="str">
        <f aca="false">дома!B1897</f>
        <v>м</v>
      </c>
      <c r="D709" s="967" t="n">
        <f aca="false">дома!C1897</f>
        <v>0</v>
      </c>
      <c r="E709" s="986" t="n">
        <f aca="false">дома!D1897</f>
        <v>0</v>
      </c>
      <c r="F709" s="986"/>
      <c r="G709" s="967" t="n">
        <f aca="false">IF(F709&gt;0,D709*F709,E709*D709)</f>
        <v>0</v>
      </c>
      <c r="H709" s="975" t="n">
        <f aca="false">D709*E709*$H$689</f>
        <v>0</v>
      </c>
      <c r="I709" s="936" t="n">
        <f aca="false">IF(G709&gt;H709,G709,H709)*$H$688</f>
        <v>0</v>
      </c>
      <c r="J709" s="931"/>
      <c r="K709" s="937"/>
    </row>
    <row r="710" customFormat="false" ht="15.75" hidden="true" customHeight="false" outlineLevel="0" collapsed="false">
      <c r="A710" s="937"/>
      <c r="B710" s="967" t="str">
        <f aca="false">дома!A1898</f>
        <v>Нет наждачной бумаги</v>
      </c>
      <c r="C710" s="968" t="str">
        <f aca="false">дома!B1898</f>
        <v>м</v>
      </c>
      <c r="D710" s="967" t="n">
        <f aca="false">дома!C1898</f>
        <v>0</v>
      </c>
      <c r="E710" s="986" t="n">
        <f aca="false">дома!D1898</f>
        <v>0</v>
      </c>
      <c r="F710" s="986"/>
      <c r="G710" s="967" t="n">
        <f aca="false">IF(F710&gt;0,D710*F710,E710*D710)</f>
        <v>0</v>
      </c>
      <c r="H710" s="975" t="n">
        <f aca="false">D710*E710*$H$689</f>
        <v>0</v>
      </c>
      <c r="I710" s="936" t="n">
        <f aca="false">IF(G710&gt;H710,G710,H710)*$H$688</f>
        <v>0</v>
      </c>
      <c r="J710" s="931"/>
      <c r="K710" s="937"/>
    </row>
    <row r="711" customFormat="false" ht="15.75" hidden="true" customHeight="false" outlineLevel="0" collapsed="false">
      <c r="A711" s="937"/>
      <c r="B711" s="967" t="str">
        <f aca="false">дома!A1899</f>
        <v>Нет наждачной бумаги</v>
      </c>
      <c r="C711" s="968" t="str">
        <f aca="false">дома!B1899</f>
        <v>м</v>
      </c>
      <c r="D711" s="967" t="n">
        <f aca="false">дома!C1899</f>
        <v>0</v>
      </c>
      <c r="E711" s="986" t="n">
        <f aca="false">дома!D1899</f>
        <v>0</v>
      </c>
      <c r="F711" s="986"/>
      <c r="G711" s="967" t="n">
        <f aca="false">IF(F711&gt;0,D711*F711,E711*D711)</f>
        <v>0</v>
      </c>
      <c r="H711" s="975" t="n">
        <f aca="false">D711*E711*$H$689</f>
        <v>0</v>
      </c>
      <c r="I711" s="936" t="n">
        <f aca="false">IF(G711&gt;H711,G711,H711)*$H$688</f>
        <v>0</v>
      </c>
      <c r="J711" s="931"/>
      <c r="K711" s="937"/>
    </row>
    <row r="712" customFormat="false" ht="15.75" hidden="true" customHeight="false" outlineLevel="0" collapsed="false">
      <c r="A712" s="937"/>
      <c r="B712" s="967" t="str">
        <f aca="false">дома!A1900</f>
        <v>Нет наждачной бумаги</v>
      </c>
      <c r="C712" s="968" t="str">
        <f aca="false">дома!B1900</f>
        <v>м</v>
      </c>
      <c r="D712" s="967" t="n">
        <f aca="false">дома!C1900</f>
        <v>0</v>
      </c>
      <c r="E712" s="986" t="n">
        <f aca="false">дома!D1900</f>
        <v>0</v>
      </c>
      <c r="F712" s="986"/>
      <c r="G712" s="967" t="n">
        <f aca="false">IF(F712&gt;0,D712*F712,E712*D712)</f>
        <v>0</v>
      </c>
      <c r="H712" s="975" t="n">
        <f aca="false">D712*E712*$H$689</f>
        <v>0</v>
      </c>
      <c r="I712" s="936" t="n">
        <f aca="false">IF(G712&gt;H712,G712,H712)*$H$688</f>
        <v>0</v>
      </c>
      <c r="J712" s="931"/>
      <c r="K712" s="937"/>
    </row>
    <row r="713" customFormat="false" ht="15.75" hidden="true" customHeight="false" outlineLevel="0" collapsed="false">
      <c r="A713" s="937"/>
      <c r="B713" s="973" t="s">
        <v>2247</v>
      </c>
      <c r="C713" s="973"/>
      <c r="D713" s="973"/>
      <c r="E713" s="973"/>
      <c r="F713" s="973"/>
      <c r="G713" s="975" t="n">
        <f aca="false">SUM(G690:G712)*H688</f>
        <v>0</v>
      </c>
      <c r="H713" s="975" t="n">
        <f aca="false">SUM(H690:H712)</f>
        <v>0</v>
      </c>
      <c r="I713" s="936" t="n">
        <f aca="false">IF(G713&gt;H713,G713,H713)*$H$688</f>
        <v>0</v>
      </c>
      <c r="J713" s="931"/>
      <c r="K713" s="937"/>
    </row>
    <row r="714" customFormat="false" ht="15.75" hidden="true" customHeight="false" outlineLevel="0" collapsed="false">
      <c r="A714" s="937"/>
      <c r="B714" s="976" t="s">
        <v>2007</v>
      </c>
      <c r="C714" s="976"/>
      <c r="D714" s="976"/>
      <c r="E714" s="976"/>
      <c r="F714" s="976"/>
      <c r="G714" s="977"/>
      <c r="H714" s="994" t="n">
        <f aca="false">H688</f>
        <v>0</v>
      </c>
      <c r="I714" s="983" t="n">
        <f aca="false">H714</f>
        <v>0</v>
      </c>
      <c r="J714" s="931"/>
      <c r="K714" s="937"/>
    </row>
    <row r="715" customFormat="false" ht="15.75" hidden="true" customHeight="false" outlineLevel="0" collapsed="false">
      <c r="A715" s="931"/>
      <c r="B715" s="995" t="str">
        <f aca="false">дома!G1878</f>
        <v>кладка бруса</v>
      </c>
      <c r="C715" s="993" t="s">
        <v>1043</v>
      </c>
      <c r="D715" s="992" t="n">
        <f aca="false">дома!J1878</f>
        <v>0.825</v>
      </c>
      <c r="E715" s="986" t="n">
        <f aca="false">дома!K1878</f>
        <v>6000</v>
      </c>
      <c r="F715" s="986"/>
      <c r="G715" s="967" t="n">
        <f aca="false">IF(F715&gt;0,D715*F715,E715*D715)</f>
        <v>4950</v>
      </c>
      <c r="H715" s="970" t="n">
        <f aca="false">D715*E715*$H$714</f>
        <v>0</v>
      </c>
      <c r="I715" s="936" t="n">
        <f aca="false">IF(G715&gt;H715,G715,H715)*$H$688</f>
        <v>0</v>
      </c>
      <c r="J715" s="931"/>
      <c r="K715" s="937"/>
    </row>
    <row r="716" customFormat="false" ht="15.75" hidden="true" customHeight="false" outlineLevel="0" collapsed="false">
      <c r="A716" s="937"/>
      <c r="B716" s="995" t="str">
        <f aca="false">дома!G1880</f>
        <v>окосячка проемов, м.п.</v>
      </c>
      <c r="C716" s="993" t="s">
        <v>15</v>
      </c>
      <c r="D716" s="992" t="n">
        <f aca="false">дома!J1880</f>
        <v>0</v>
      </c>
      <c r="E716" s="986" t="n">
        <f aca="false">дома!K1880</f>
        <v>150</v>
      </c>
      <c r="F716" s="986"/>
      <c r="G716" s="967" t="n">
        <f aca="false">IF(F716&gt;0,D716*F716,E716*D716)</f>
        <v>0</v>
      </c>
      <c r="H716" s="970" t="n">
        <f aca="false">D716*E716*$H$714</f>
        <v>0</v>
      </c>
      <c r="I716" s="936" t="n">
        <f aca="false">IF(G716&gt;H716,G716,H716)*$H$688</f>
        <v>0</v>
      </c>
      <c r="J716" s="931"/>
      <c r="K716" s="937"/>
    </row>
    <row r="717" customFormat="false" ht="15.75" hidden="true" customHeight="false" outlineLevel="0" collapsed="false">
      <c r="A717" s="937"/>
      <c r="B717" s="995" t="str">
        <f aca="false">дома!G1881</f>
        <v>обработка торцов на брусе</v>
      </c>
      <c r="C717" s="993" t="s">
        <v>15</v>
      </c>
      <c r="D717" s="992" t="n">
        <f aca="false">дома!J1881</f>
        <v>20</v>
      </c>
      <c r="E717" s="986" t="n">
        <f aca="false">дома!K1881</f>
        <v>250</v>
      </c>
      <c r="F717" s="986"/>
      <c r="G717" s="967" t="n">
        <f aca="false">IF(F717&gt;0,D717*F717,E717*D717)</f>
        <v>5000</v>
      </c>
      <c r="H717" s="970" t="n">
        <f aca="false">D717*E717*$H$714</f>
        <v>0</v>
      </c>
      <c r="I717" s="936" t="n">
        <f aca="false">IF(G717&gt;H717,G717,H717)*$H$688</f>
        <v>0</v>
      </c>
      <c r="J717" s="931"/>
      <c r="K717" s="937"/>
    </row>
    <row r="718" customFormat="false" ht="15.75" hidden="true" customHeight="false" outlineLevel="0" collapsed="false">
      <c r="A718" s="937"/>
      <c r="B718" s="995" t="str">
        <f aca="false">дома!G1882</f>
        <v>Обаботка огнебиозащитой</v>
      </c>
      <c r="C718" s="993" t="s">
        <v>15</v>
      </c>
      <c r="D718" s="992" t="n">
        <f aca="false">дома!J1882</f>
        <v>0.825</v>
      </c>
      <c r="E718" s="986" t="n">
        <f aca="false">дома!K1882</f>
        <v>300</v>
      </c>
      <c r="F718" s="986"/>
      <c r="G718" s="967" t="n">
        <f aca="false">IF(F718&gt;0,D718*F718,E718*D718)</f>
        <v>247.5</v>
      </c>
      <c r="H718" s="970" t="n">
        <f aca="false">D718*E718*$H$714</f>
        <v>0</v>
      </c>
      <c r="I718" s="936" t="n">
        <f aca="false">IF(G718&gt;H718,G718,H718)*$H$688</f>
        <v>0</v>
      </c>
      <c r="J718" s="931"/>
      <c r="K718" s="937"/>
    </row>
    <row r="719" customFormat="false" ht="15.75" hidden="true" customHeight="false" outlineLevel="0" collapsed="false">
      <c r="A719" s="937"/>
      <c r="B719" s="995" t="str">
        <f aca="false">дома!G1883</f>
        <v>Пропитка стен внешних</v>
      </c>
      <c r="C719" s="993" t="s">
        <v>15</v>
      </c>
      <c r="D719" s="992" t="n">
        <f aca="false">дома!J1883</f>
        <v>0</v>
      </c>
      <c r="E719" s="986" t="n">
        <f aca="false">дома!K1883</f>
        <v>100</v>
      </c>
      <c r="F719" s="986"/>
      <c r="G719" s="967" t="n">
        <f aca="false">IF(F719&gt;0,D719*F719,E719*D719)</f>
        <v>0</v>
      </c>
      <c r="H719" s="970" t="n">
        <f aca="false">D719*E719*$H$714</f>
        <v>0</v>
      </c>
      <c r="I719" s="936" t="n">
        <f aca="false">IF(G719&gt;H719,G719,H719)*$H$688</f>
        <v>0</v>
      </c>
      <c r="J719" s="931"/>
      <c r="K719" s="937"/>
    </row>
    <row r="720" customFormat="false" ht="15.75" hidden="true" customHeight="false" outlineLevel="0" collapsed="false">
      <c r="A720" s="937"/>
      <c r="B720" s="995" t="str">
        <f aca="false">дома!G1884</f>
        <v>Пропитка внутенних стен</v>
      </c>
      <c r="C720" s="993" t="s">
        <v>15</v>
      </c>
      <c r="D720" s="992" t="n">
        <f aca="false">дома!J1884</f>
        <v>0</v>
      </c>
      <c r="E720" s="986" t="n">
        <f aca="false">дома!K1884</f>
        <v>100</v>
      </c>
      <c r="F720" s="986"/>
      <c r="G720" s="967" t="n">
        <f aca="false">IF(F720&gt;0,D720*F720,E720*D720)</f>
        <v>0</v>
      </c>
      <c r="H720" s="970" t="n">
        <f aca="false">D720*E720*$H$714</f>
        <v>0</v>
      </c>
      <c r="I720" s="936" t="n">
        <f aca="false">IF(G720&gt;H720,G720,H720)*$H$688</f>
        <v>0</v>
      </c>
      <c r="J720" s="931"/>
      <c r="K720" s="937"/>
    </row>
    <row r="721" customFormat="false" ht="15.75" hidden="true" customHeight="false" outlineLevel="0" collapsed="false">
      <c r="A721" s="937"/>
      <c r="B721" s="995" t="str">
        <f aca="false">дома!G1885</f>
        <v>Не считать</v>
      </c>
      <c r="C721" s="993" t="s">
        <v>15</v>
      </c>
      <c r="D721" s="992" t="n">
        <f aca="false">дома!J1885</f>
        <v>0</v>
      </c>
      <c r="E721" s="986" t="n">
        <f aca="false">дома!K1885</f>
        <v>300</v>
      </c>
      <c r="F721" s="986"/>
      <c r="G721" s="967" t="n">
        <f aca="false">IF(F721&gt;0,D721*F721,E721*D721)</f>
        <v>0</v>
      </c>
      <c r="H721" s="970" t="n">
        <f aca="false">D721*E721*$H$714</f>
        <v>0</v>
      </c>
      <c r="I721" s="936" t="n">
        <f aca="false">IF(G721&gt;H721,G721,H721)*$H$688</f>
        <v>0</v>
      </c>
      <c r="J721" s="931"/>
      <c r="K721" s="937"/>
    </row>
    <row r="722" customFormat="false" ht="15.75" hidden="true" customHeight="false" outlineLevel="0" collapsed="false">
      <c r="A722" s="937"/>
      <c r="B722" s="995" t="str">
        <f aca="false">дома!G1886</f>
        <v>Монтаж наличника</v>
      </c>
      <c r="C722" s="993" t="s">
        <v>15</v>
      </c>
      <c r="D722" s="992" t="n">
        <f aca="false">дома!J1886</f>
        <v>0</v>
      </c>
      <c r="E722" s="986" t="n">
        <f aca="false">дома!K1886</f>
        <v>80</v>
      </c>
      <c r="F722" s="986"/>
      <c r="G722" s="967" t="n">
        <f aca="false">IF(F722&gt;0,D722*F722,E722*D722)</f>
        <v>0</v>
      </c>
      <c r="H722" s="970" t="n">
        <f aca="false">D722*E722*$H$714</f>
        <v>0</v>
      </c>
      <c r="I722" s="936" t="n">
        <f aca="false">IF(G722&gt;H722,G722,H722)*$H$688</f>
        <v>0</v>
      </c>
      <c r="J722" s="931"/>
      <c r="K722" s="937"/>
    </row>
    <row r="723" customFormat="false" ht="15.75" hidden="true" customHeight="false" outlineLevel="0" collapsed="false">
      <c r="A723" s="937"/>
      <c r="B723" s="995" t="str">
        <f aca="false">дома!G1888</f>
        <v>Шлифовка стен дома</v>
      </c>
      <c r="C723" s="993" t="s">
        <v>15</v>
      </c>
      <c r="D723" s="992" t="n">
        <f aca="false">дома!J1888</f>
        <v>0</v>
      </c>
      <c r="E723" s="986" t="n">
        <f aca="false">дома!K1888</f>
        <v>250</v>
      </c>
      <c r="F723" s="986"/>
      <c r="G723" s="967" t="n">
        <f aca="false">IF(F723&gt;0,D723*F723,E723*D723)</f>
        <v>0</v>
      </c>
      <c r="H723" s="970" t="n">
        <f aca="false">D723*E723*$H$714</f>
        <v>0</v>
      </c>
      <c r="I723" s="936" t="n">
        <f aca="false">IF(G723&gt;H723,G723,H723)*$H$688</f>
        <v>0</v>
      </c>
      <c r="J723" s="931"/>
      <c r="K723" s="937"/>
    </row>
    <row r="724" customFormat="false" ht="15.75" hidden="true" customHeight="false" outlineLevel="0" collapsed="false">
      <c r="A724" s="937"/>
      <c r="B724" s="973" t="s">
        <v>2248</v>
      </c>
      <c r="C724" s="973"/>
      <c r="D724" s="973"/>
      <c r="E724" s="973"/>
      <c r="F724" s="973"/>
      <c r="G724" s="970" t="n">
        <f aca="false">SUM(G715:G723)*H714</f>
        <v>0</v>
      </c>
      <c r="H724" s="970" t="n">
        <f aca="false">SUM(H715:H723)</f>
        <v>0</v>
      </c>
      <c r="I724" s="936" t="n">
        <f aca="false">IF(G724&gt;H724,G724,H724)*$H$688</f>
        <v>0</v>
      </c>
      <c r="J724" s="931"/>
      <c r="K724" s="937"/>
    </row>
    <row r="725" customFormat="false" ht="21" hidden="false" customHeight="false" outlineLevel="0" collapsed="false">
      <c r="A725" s="937"/>
      <c r="B725" s="998" t="s">
        <v>2266</v>
      </c>
      <c r="C725" s="998"/>
      <c r="D725" s="998"/>
      <c r="E725" s="998"/>
      <c r="F725" s="1023"/>
      <c r="G725" s="977"/>
      <c r="H725" s="1000" t="n">
        <f aca="false">VLOOKUP('Ввод данных'!C44,связи1!A2:B3,2,0)</f>
        <v>1</v>
      </c>
      <c r="I725" s="983"/>
      <c r="J725" s="931"/>
      <c r="K725" s="937"/>
    </row>
    <row r="726" customFormat="false" ht="15.75" hidden="false" customHeight="false" outlineLevel="0" collapsed="false">
      <c r="A726" s="937"/>
      <c r="B726" s="1008" t="s">
        <v>2246</v>
      </c>
      <c r="C726" s="1008"/>
      <c r="D726" s="1008"/>
      <c r="E726" s="1008"/>
      <c r="F726" s="1013"/>
      <c r="G726" s="977"/>
      <c r="H726" s="1009" t="n">
        <f aca="false">H725</f>
        <v>1</v>
      </c>
      <c r="I726" s="983"/>
      <c r="J726" s="931"/>
      <c r="K726" s="937"/>
    </row>
    <row r="727" customFormat="false" ht="15.75" hidden="true" customHeight="false" outlineLevel="0" collapsed="false">
      <c r="A727" s="937"/>
      <c r="B727" s="980" t="str">
        <f aca="false">перекрытие!A42</f>
        <v>Плиты перекрытия ЖБИ</v>
      </c>
      <c r="C727" s="968" t="str">
        <f aca="false">перекрытие!B42</f>
        <v>м2</v>
      </c>
      <c r="D727" s="967" t="n">
        <f aca="false">перекрытие!D42</f>
        <v>0</v>
      </c>
      <c r="E727" s="986" t="n">
        <f aca="false">перекрытие!E42</f>
        <v>1400</v>
      </c>
      <c r="F727" s="986"/>
      <c r="G727" s="967" t="n">
        <f aca="false">IF(F727&gt;0,D727*F727,E727*D727)</f>
        <v>0</v>
      </c>
      <c r="H727" s="986" t="n">
        <f aca="false">E727*D727*$H$725</f>
        <v>0</v>
      </c>
      <c r="I727" s="936" t="n">
        <f aca="false">IF(G727&gt;H727,G727,H727)*$H$725</f>
        <v>0</v>
      </c>
      <c r="J727" s="931"/>
      <c r="K727" s="937"/>
    </row>
    <row r="728" customFormat="false" ht="15.75" hidden="true" customHeight="false" outlineLevel="0" collapsed="false">
      <c r="A728" s="937"/>
      <c r="B728" s="980" t="str">
        <f aca="false">перекрытие!A43</f>
        <v>Раствор, м250</v>
      </c>
      <c r="C728" s="968" t="str">
        <f aca="false">перекрытие!B43</f>
        <v>м3</v>
      </c>
      <c r="D728" s="967" t="n">
        <f aca="false">перекрытие!D43</f>
        <v>0</v>
      </c>
      <c r="E728" s="986" t="n">
        <f aca="false">перекрытие!E43</f>
        <v>2500</v>
      </c>
      <c r="F728" s="986"/>
      <c r="G728" s="967" t="n">
        <f aca="false">IF(F728&gt;0,D728*F728,E728*D728)</f>
        <v>0</v>
      </c>
      <c r="H728" s="986" t="n">
        <f aca="false">E728*D728*$H$725</f>
        <v>0</v>
      </c>
      <c r="I728" s="936" t="n">
        <f aca="false">IF(G728&gt;H728,G728,H728)*$H$725</f>
        <v>0</v>
      </c>
      <c r="J728" s="931"/>
      <c r="K728" s="937"/>
    </row>
    <row r="729" customFormat="false" ht="15.75" hidden="true" customHeight="false" outlineLevel="0" collapsed="false">
      <c r="A729" s="937"/>
      <c r="B729" s="980" t="str">
        <f aca="false">перекрытие!A44</f>
        <v>Монолит, бетон, 300мм, 2 слоя</v>
      </c>
      <c r="C729" s="968" t="str">
        <f aca="false">перекрытие!B44</f>
        <v>м2</v>
      </c>
      <c r="D729" s="967" t="n">
        <f aca="false">перекрытие!D44</f>
        <v>0</v>
      </c>
      <c r="E729" s="986" t="n">
        <f aca="false">перекрытие!E44</f>
        <v>1</v>
      </c>
      <c r="F729" s="986"/>
      <c r="G729" s="967" t="n">
        <f aca="false">IF(F729&gt;0,D729*F729,E729*D729)</f>
        <v>0</v>
      </c>
      <c r="H729" s="986" t="n">
        <f aca="false">E729*D729*$H$725</f>
        <v>0</v>
      </c>
      <c r="I729" s="936" t="n">
        <f aca="false">IF(G729&gt;H729,G729,H729)*$H$725</f>
        <v>0</v>
      </c>
      <c r="J729" s="931"/>
      <c r="K729" s="937"/>
    </row>
    <row r="730" customFormat="false" ht="15.75" hidden="true" customHeight="false" outlineLevel="0" collapsed="false">
      <c r="A730" s="937"/>
      <c r="B730" s="980" t="str">
        <f aca="false">перекрытие!A45</f>
        <v>Монолит, бетон, 300мм, 1 слой</v>
      </c>
      <c r="C730" s="968" t="str">
        <f aca="false">перекрытие!B45</f>
        <v>м2</v>
      </c>
      <c r="D730" s="967" t="n">
        <f aca="false">перекрытие!D45</f>
        <v>0</v>
      </c>
      <c r="E730" s="986" t="n">
        <f aca="false">перекрытие!E45</f>
        <v>1</v>
      </c>
      <c r="F730" s="986"/>
      <c r="G730" s="967" t="n">
        <f aca="false">IF(F730&gt;0,D730*F730,E730*D730)</f>
        <v>0</v>
      </c>
      <c r="H730" s="986" t="n">
        <f aca="false">E730*D730*$H$725</f>
        <v>0</v>
      </c>
      <c r="I730" s="936" t="n">
        <f aca="false">IF(G730&gt;H730,G730,H730)*$H$725</f>
        <v>0</v>
      </c>
      <c r="J730" s="931"/>
      <c r="K730" s="937"/>
    </row>
    <row r="731" customFormat="false" ht="15.75" hidden="true" customHeight="false" outlineLevel="0" collapsed="false">
      <c r="A731" s="937"/>
      <c r="B731" s="980" t="str">
        <f aca="false">перекрытие!A46</f>
        <v>Монолит, бетон, 250мм, 2 слоя</v>
      </c>
      <c r="C731" s="968" t="str">
        <f aca="false">перекрытие!B46</f>
        <v>м2</v>
      </c>
      <c r="D731" s="967" t="n">
        <f aca="false">перекрытие!D46</f>
        <v>0</v>
      </c>
      <c r="E731" s="986" t="n">
        <f aca="false">перекрытие!E46</f>
        <v>1</v>
      </c>
      <c r="F731" s="986"/>
      <c r="G731" s="967" t="n">
        <f aca="false">IF(F731&gt;0,D731*F731,E731*D731)</f>
        <v>0</v>
      </c>
      <c r="H731" s="986" t="n">
        <f aca="false">E731*D731*$H$725</f>
        <v>0</v>
      </c>
      <c r="I731" s="936" t="n">
        <f aca="false">IF(G731&gt;H731,G731,H731)*$H$725</f>
        <v>0</v>
      </c>
      <c r="J731" s="931"/>
      <c r="K731" s="937"/>
    </row>
    <row r="732" customFormat="false" ht="15.75" hidden="true" customHeight="false" outlineLevel="0" collapsed="false">
      <c r="A732" s="937"/>
      <c r="B732" s="980" t="str">
        <f aca="false">перекрытие!A47</f>
        <v>Монолит, бетон, 250мм, 1 слой</v>
      </c>
      <c r="C732" s="968" t="str">
        <f aca="false">перекрытие!B47</f>
        <v>м2</v>
      </c>
      <c r="D732" s="967" t="n">
        <f aca="false">перекрытие!D47</f>
        <v>0</v>
      </c>
      <c r="E732" s="986" t="n">
        <f aca="false">перекрытие!E47</f>
        <v>1</v>
      </c>
      <c r="F732" s="986"/>
      <c r="G732" s="967" t="n">
        <f aca="false">IF(F732&gt;0,D732*F732,E732*D732)</f>
        <v>0</v>
      </c>
      <c r="H732" s="986" t="n">
        <f aca="false">E732*D732*$H$725</f>
        <v>0</v>
      </c>
      <c r="I732" s="936" t="n">
        <f aca="false">IF(G732&gt;H732,G732,H732)*$H$725</f>
        <v>0</v>
      </c>
      <c r="J732" s="931"/>
      <c r="K732" s="937"/>
    </row>
    <row r="733" customFormat="false" ht="15.75" hidden="true" customHeight="false" outlineLevel="0" collapsed="false">
      <c r="A733" s="937"/>
      <c r="B733" s="980" t="str">
        <f aca="false">перекрытие!A48</f>
        <v>Монолит, бетон, 200мм, 2 слоя</v>
      </c>
      <c r="C733" s="968" t="str">
        <f aca="false">перекрытие!B48</f>
        <v>м2</v>
      </c>
      <c r="D733" s="967" t="n">
        <f aca="false">перекрытие!D48</f>
        <v>0</v>
      </c>
      <c r="E733" s="986" t="n">
        <f aca="false">перекрытие!E48</f>
        <v>1</v>
      </c>
      <c r="F733" s="986"/>
      <c r="G733" s="967" t="n">
        <f aca="false">IF(F733&gt;0,D733*F733,E733*D733)</f>
        <v>0</v>
      </c>
      <c r="H733" s="986" t="n">
        <f aca="false">E733*D733*$H$725</f>
        <v>0</v>
      </c>
      <c r="I733" s="936" t="n">
        <f aca="false">IF(G733&gt;H733,G733,H733)*$H$725</f>
        <v>0</v>
      </c>
      <c r="J733" s="931"/>
      <c r="K733" s="937"/>
    </row>
    <row r="734" customFormat="false" ht="15.75" hidden="true" customHeight="false" outlineLevel="0" collapsed="false">
      <c r="A734" s="937"/>
      <c r="B734" s="980" t="str">
        <f aca="false">перекрытие!A49</f>
        <v>Монолит, бетон, 200мм, 1 слой</v>
      </c>
      <c r="C734" s="968" t="str">
        <f aca="false">перекрытие!B49</f>
        <v>м2</v>
      </c>
      <c r="D734" s="967" t="n">
        <f aca="false">перекрытие!D49</f>
        <v>0</v>
      </c>
      <c r="E734" s="986" t="n">
        <f aca="false">перекрытие!E49</f>
        <v>1</v>
      </c>
      <c r="F734" s="986"/>
      <c r="G734" s="967" t="n">
        <f aca="false">IF(F734&gt;0,D734*F734,E734*D734)</f>
        <v>0</v>
      </c>
      <c r="H734" s="986" t="n">
        <f aca="false">E734*D734*$H$725</f>
        <v>0</v>
      </c>
      <c r="I734" s="936" t="n">
        <f aca="false">IF(G734&gt;H734,G734,H734)*$H$725</f>
        <v>0</v>
      </c>
      <c r="J734" s="931"/>
      <c r="K734" s="937"/>
    </row>
    <row r="735" customFormat="false" ht="15.75" hidden="true" customHeight="false" outlineLevel="0" collapsed="false">
      <c r="A735" s="937"/>
      <c r="B735" s="980" t="str">
        <f aca="false">перекрытие!A50</f>
        <v>Монолит, бетон, 150мм, 2 слоя</v>
      </c>
      <c r="C735" s="968" t="str">
        <f aca="false">перекрытие!B50</f>
        <v>м2</v>
      </c>
      <c r="D735" s="967" t="n">
        <f aca="false">перекрытие!D50</f>
        <v>0</v>
      </c>
      <c r="E735" s="986" t="n">
        <f aca="false">перекрытие!E50</f>
        <v>1</v>
      </c>
      <c r="F735" s="986"/>
      <c r="G735" s="967" t="n">
        <f aca="false">IF(F735&gt;0,D735*F735,E735*D735)</f>
        <v>0</v>
      </c>
      <c r="H735" s="986" t="n">
        <f aca="false">E735*D735*$H$725</f>
        <v>0</v>
      </c>
      <c r="I735" s="936" t="n">
        <f aca="false">IF(G735&gt;H735,G735,H735)*$H$725</f>
        <v>0</v>
      </c>
      <c r="J735" s="931"/>
      <c r="K735" s="937"/>
    </row>
    <row r="736" customFormat="false" ht="15.75" hidden="true" customHeight="false" outlineLevel="0" collapsed="false">
      <c r="A736" s="937"/>
      <c r="B736" s="980" t="str">
        <f aca="false">перекрытие!A51</f>
        <v>Монолит, бетон, 150мм, 1 слой</v>
      </c>
      <c r="C736" s="968" t="str">
        <f aca="false">перекрытие!B51</f>
        <v>м2</v>
      </c>
      <c r="D736" s="967" t="n">
        <f aca="false">перекрытие!D51</f>
        <v>0</v>
      </c>
      <c r="E736" s="986" t="n">
        <f aca="false">перекрытие!E51</f>
        <v>1</v>
      </c>
      <c r="F736" s="986"/>
      <c r="G736" s="967" t="n">
        <f aca="false">IF(F736&gt;0,D736*F736,E736*D736)</f>
        <v>0</v>
      </c>
      <c r="H736" s="986" t="n">
        <f aca="false">E736*D736*$H$725</f>
        <v>0</v>
      </c>
      <c r="I736" s="936" t="n">
        <f aca="false">IF(G736&gt;H736,G736,H736)*$H$725</f>
        <v>0</v>
      </c>
      <c r="J736" s="931"/>
      <c r="K736" s="937"/>
    </row>
    <row r="737" customFormat="false" ht="15.75" hidden="true" customHeight="false" outlineLevel="0" collapsed="false">
      <c r="A737" s="937"/>
      <c r="B737" s="980" t="str">
        <f aca="false">перекрытие!A52</f>
        <v>доска для опалубки монолит перекрытий</v>
      </c>
      <c r="C737" s="968" t="str">
        <f aca="false">перекрытие!B52</f>
        <v>м3</v>
      </c>
      <c r="D737" s="967" t="n">
        <f aca="false">перекрытие!D52</f>
        <v>0</v>
      </c>
      <c r="E737" s="986" t="n">
        <f aca="false">перекрытие!E52</f>
        <v>6500</v>
      </c>
      <c r="F737" s="986"/>
      <c r="G737" s="967" t="n">
        <f aca="false">IF(F737&gt;0,D737*F737,E737*D737)</f>
        <v>0</v>
      </c>
      <c r="H737" s="986" t="n">
        <f aca="false">E737*D737*$H$725</f>
        <v>0</v>
      </c>
      <c r="I737" s="936" t="n">
        <f aca="false">IF(G737&gt;H737,G737,H737)*$H$725</f>
        <v>0</v>
      </c>
      <c r="J737" s="931"/>
      <c r="K737" s="937"/>
    </row>
    <row r="738" customFormat="false" ht="15.75" hidden="true" customHeight="false" outlineLevel="0" collapsed="false">
      <c r="A738" s="937"/>
      <c r="B738" s="980" t="str">
        <f aca="false">перекрытие!A53</f>
        <v>стойки под опалубку перекрытий</v>
      </c>
      <c r="C738" s="968" t="str">
        <f aca="false">перекрытие!B53</f>
        <v>шт</v>
      </c>
      <c r="D738" s="967" t="n">
        <f aca="false">перекрытие!D53</f>
        <v>0</v>
      </c>
      <c r="E738" s="986" t="n">
        <f aca="false">перекрытие!E53</f>
        <v>0</v>
      </c>
      <c r="F738" s="986"/>
      <c r="G738" s="967" t="n">
        <f aca="false">IF(F738&gt;0,D738*F738,E738*D738)</f>
        <v>0</v>
      </c>
      <c r="H738" s="986" t="n">
        <f aca="false">E738*D738*$H$725</f>
        <v>0</v>
      </c>
      <c r="I738" s="936" t="n">
        <f aca="false">IF(G738&gt;H738,G738,H738)*$H$725</f>
        <v>0</v>
      </c>
      <c r="J738" s="931"/>
      <c r="K738" s="937"/>
    </row>
    <row r="739" customFormat="false" ht="15.75" hidden="true" customHeight="false" outlineLevel="0" collapsed="false">
      <c r="A739" s="937"/>
      <c r="B739" s="980" t="str">
        <f aca="false">перекрытие!A54</f>
        <v>Пленка гидроизоляционная </v>
      </c>
      <c r="C739" s="968" t="str">
        <f aca="false">перекрытие!B54</f>
        <v>м2</v>
      </c>
      <c r="D739" s="967" t="n">
        <f aca="false">перекрытие!D54</f>
        <v>0</v>
      </c>
      <c r="E739" s="986" t="n">
        <f aca="false">перекрытие!E54</f>
        <v>15</v>
      </c>
      <c r="F739" s="986"/>
      <c r="G739" s="967" t="n">
        <f aca="false">IF(F739&gt;0,D739*F739,E739*D739)</f>
        <v>0</v>
      </c>
      <c r="H739" s="986" t="n">
        <f aca="false">E739*D739*$H$725</f>
        <v>0</v>
      </c>
      <c r="I739" s="936" t="n">
        <f aca="false">IF(G739&gt;H739,G739,H739)*$H$725</f>
        <v>0</v>
      </c>
      <c r="J739" s="931"/>
      <c r="K739" s="937"/>
    </row>
    <row r="740" customFormat="false" ht="15.75" hidden="true" customHeight="false" outlineLevel="0" collapsed="false">
      <c r="A740" s="937"/>
      <c r="B740" s="980" t="str">
        <f aca="false">перекрытие!A55</f>
        <v>Арматура М10</v>
      </c>
      <c r="C740" s="968" t="str">
        <f aca="false">перекрытие!B55</f>
        <v>м.п.</v>
      </c>
      <c r="D740" s="967" t="n">
        <f aca="false">перекрытие!D55</f>
        <v>0</v>
      </c>
      <c r="E740" s="986" t="n">
        <f aca="false">перекрытие!E55</f>
        <v>21.0397</v>
      </c>
      <c r="F740" s="986"/>
      <c r="G740" s="967" t="n">
        <f aca="false">IF(F740&gt;0,D740*F740,E740*D740)</f>
        <v>0</v>
      </c>
      <c r="H740" s="986" t="n">
        <f aca="false">E740*D740*$H$725</f>
        <v>0</v>
      </c>
      <c r="I740" s="936" t="n">
        <f aca="false">IF(G740&gt;H740,G740,H740)*$H$725</f>
        <v>0</v>
      </c>
      <c r="J740" s="931"/>
      <c r="K740" s="937"/>
    </row>
    <row r="741" customFormat="false" ht="15.75" hidden="true" customHeight="false" outlineLevel="0" collapsed="false">
      <c r="A741" s="937"/>
      <c r="B741" s="980" t="str">
        <f aca="false">перекрытие!A56</f>
        <v>Вязальная проволока</v>
      </c>
      <c r="C741" s="968" t="str">
        <f aca="false">перекрытие!B56</f>
        <v>кг</v>
      </c>
      <c r="D741" s="967" t="n">
        <f aca="false">перекрытие!D56</f>
        <v>0</v>
      </c>
      <c r="E741" s="986" t="n">
        <f aca="false">перекрытие!E56</f>
        <v>80</v>
      </c>
      <c r="F741" s="986"/>
      <c r="G741" s="967" t="n">
        <f aca="false">IF(F741&gt;0,D741*F741,E741*D741)</f>
        <v>0</v>
      </c>
      <c r="H741" s="986" t="n">
        <f aca="false">E741*D741*$H$725</f>
        <v>0</v>
      </c>
      <c r="I741" s="936" t="n">
        <f aca="false">IF(G741&gt;H741,G741,H741)*$H$725</f>
        <v>0</v>
      </c>
      <c r="J741" s="931"/>
      <c r="K741" s="937"/>
    </row>
    <row r="742" customFormat="false" ht="15.75" hidden="true" customHeight="false" outlineLevel="0" collapsed="false">
      <c r="A742" s="937"/>
      <c r="B742" s="980" t="str">
        <f aca="false">перекрытие!A57</f>
        <v>Подставка под арматурный каркас</v>
      </c>
      <c r="C742" s="968" t="str">
        <f aca="false">перекрытие!B57</f>
        <v>шт</v>
      </c>
      <c r="D742" s="967" t="n">
        <f aca="false">перекрытие!D57</f>
        <v>0</v>
      </c>
      <c r="E742" s="986" t="n">
        <f aca="false">перекрытие!E57</f>
        <v>5</v>
      </c>
      <c r="F742" s="986"/>
      <c r="G742" s="967" t="n">
        <f aca="false">IF(F742&gt;0,D742*F742,E742*D742)</f>
        <v>0</v>
      </c>
      <c r="H742" s="986" t="n">
        <f aca="false">E742*D742*$H$725</f>
        <v>0</v>
      </c>
      <c r="I742" s="936" t="n">
        <f aca="false">IF(G742&gt;H742,G742,H742)*$H$725</f>
        <v>0</v>
      </c>
      <c r="J742" s="931"/>
      <c r="K742" s="937"/>
    </row>
    <row r="743" customFormat="false" ht="15.75" hidden="true" customHeight="false" outlineLevel="0" collapsed="false">
      <c r="A743" s="937"/>
      <c r="B743" s="980" t="str">
        <f aca="false">перекрытие!A58</f>
        <v>бетон, м350</v>
      </c>
      <c r="C743" s="968" t="str">
        <f aca="false">перекрытие!B58</f>
        <v>м3</v>
      </c>
      <c r="D743" s="967" t="n">
        <f aca="false">перекрытие!D58</f>
        <v>0</v>
      </c>
      <c r="E743" s="986" t="n">
        <f aca="false">перекрытие!E58</f>
        <v>3500</v>
      </c>
      <c r="F743" s="986"/>
      <c r="G743" s="967" t="n">
        <f aca="false">IF(F743&gt;0,D743*F743,E743*D743)</f>
        <v>0</v>
      </c>
      <c r="H743" s="986" t="n">
        <f aca="false">E743*D743*$H$725</f>
        <v>0</v>
      </c>
      <c r="I743" s="936" t="n">
        <f aca="false">IF(G743&gt;H743,G743,H743)*$H$725</f>
        <v>0</v>
      </c>
      <c r="J743" s="931"/>
      <c r="K743" s="937"/>
    </row>
    <row r="744" customFormat="false" ht="15.75" hidden="true" customHeight="false" outlineLevel="0" collapsed="false">
      <c r="A744" s="937"/>
      <c r="B744" s="980" t="str">
        <f aca="false">перекрытие!A59</f>
        <v>Брус естественной влажности, 200*100мм</v>
      </c>
      <c r="C744" s="968" t="str">
        <f aca="false">перекрытие!B59</f>
        <v>м3</v>
      </c>
      <c r="D744" s="967" t="n">
        <f aca="false">перекрытие!D59</f>
        <v>0</v>
      </c>
      <c r="E744" s="986" t="n">
        <f aca="false">перекрытие!E59</f>
        <v>6500</v>
      </c>
      <c r="F744" s="986"/>
      <c r="G744" s="967" t="n">
        <f aca="false">IF(F744&gt;0,D744*F744,E744*D744)</f>
        <v>0</v>
      </c>
      <c r="H744" s="986" t="n">
        <f aca="false">E744*D744*$H$725</f>
        <v>0</v>
      </c>
      <c r="I744" s="936" t="n">
        <f aca="false">IF(G744&gt;H744,G744,H744)*$H$725</f>
        <v>0</v>
      </c>
      <c r="J744" s="931"/>
      <c r="K744" s="937"/>
    </row>
    <row r="745" customFormat="false" ht="15.75" hidden="true" customHeight="false" outlineLevel="0" collapsed="false">
      <c r="A745" s="937"/>
      <c r="B745" s="980" t="str">
        <f aca="false">перекрытие!A60</f>
        <v>Брус естественной влажности, 150*100мм</v>
      </c>
      <c r="C745" s="968" t="str">
        <f aca="false">перекрытие!B60</f>
        <v>м3</v>
      </c>
      <c r="D745" s="967" t="n">
        <f aca="false">перекрытие!D60</f>
        <v>0</v>
      </c>
      <c r="E745" s="986" t="n">
        <f aca="false">перекрытие!E60</f>
        <v>6500</v>
      </c>
      <c r="F745" s="986"/>
      <c r="G745" s="967" t="n">
        <f aca="false">IF(F745&gt;0,D745*F745,E745*D745)</f>
        <v>0</v>
      </c>
      <c r="H745" s="986" t="n">
        <f aca="false">E745*D745*$H$725</f>
        <v>0</v>
      </c>
      <c r="I745" s="936" t="n">
        <f aca="false">IF(G745&gt;H745,G745,H745)*$H$725</f>
        <v>0</v>
      </c>
      <c r="J745" s="931"/>
      <c r="K745" s="937"/>
    </row>
    <row r="746" customFormat="false" ht="15.75" hidden="true" customHeight="false" outlineLevel="0" collapsed="false">
      <c r="A746" s="937"/>
      <c r="B746" s="980" t="str">
        <f aca="false">перекрытие!A61</f>
        <v>Брус естественной влажности, 100*100мм</v>
      </c>
      <c r="C746" s="968" t="str">
        <f aca="false">перекрытие!B61</f>
        <v>м3</v>
      </c>
      <c r="D746" s="967" t="n">
        <f aca="false">перекрытие!D61</f>
        <v>0</v>
      </c>
      <c r="E746" s="986" t="n">
        <f aca="false">перекрытие!E61</f>
        <v>6500</v>
      </c>
      <c r="F746" s="986"/>
      <c r="G746" s="967" t="n">
        <f aca="false">IF(F746&gt;0,D746*F746,E746*D746)</f>
        <v>0</v>
      </c>
      <c r="H746" s="986" t="n">
        <f aca="false">E746*D746*$H$725</f>
        <v>0</v>
      </c>
      <c r="I746" s="936" t="n">
        <f aca="false">IF(G746&gt;H746,G746,H746)*$H$725</f>
        <v>0</v>
      </c>
      <c r="J746" s="931"/>
      <c r="K746" s="937"/>
    </row>
    <row r="747" customFormat="false" ht="15.75" hidden="true" customHeight="false" outlineLevel="0" collapsed="false">
      <c r="A747" s="937"/>
      <c r="B747" s="980" t="str">
        <f aca="false">перекрытие!A62</f>
        <v>Брус естественной влажности, 150*150мм</v>
      </c>
      <c r="C747" s="968" t="str">
        <f aca="false">перекрытие!B62</f>
        <v>м3</v>
      </c>
      <c r="D747" s="967" t="n">
        <f aca="false">перекрытие!D62</f>
        <v>0</v>
      </c>
      <c r="E747" s="986" t="n">
        <f aca="false">перекрытие!E62</f>
        <v>6500</v>
      </c>
      <c r="F747" s="986"/>
      <c r="G747" s="967" t="n">
        <f aca="false">IF(F747&gt;0,D747*F747,E747*D747)</f>
        <v>0</v>
      </c>
      <c r="H747" s="986" t="n">
        <f aca="false">E747*D747*$H$725</f>
        <v>0</v>
      </c>
      <c r="I747" s="936" t="n">
        <f aca="false">IF(G747&gt;H747,G747,H747)*$H$725</f>
        <v>0</v>
      </c>
      <c r="J747" s="931"/>
      <c r="K747" s="937"/>
    </row>
    <row r="748" customFormat="false" ht="15.75" hidden="true" customHeight="false" outlineLevel="0" collapsed="false">
      <c r="A748" s="937"/>
      <c r="B748" s="980" t="str">
        <f aca="false">перекрытие!A63</f>
        <v>Доска естественной влажности, 200*50мм</v>
      </c>
      <c r="C748" s="968" t="str">
        <f aca="false">перекрытие!B63</f>
        <v>м3</v>
      </c>
      <c r="D748" s="967" t="n">
        <f aca="false">перекрытие!D63</f>
        <v>0</v>
      </c>
      <c r="E748" s="986" t="n">
        <f aca="false">перекрытие!E63</f>
        <v>6500</v>
      </c>
      <c r="F748" s="986"/>
      <c r="G748" s="967" t="n">
        <f aca="false">IF(F748&gt;0,D748*F748,E748*D748)</f>
        <v>0</v>
      </c>
      <c r="H748" s="986" t="n">
        <f aca="false">E748*D748*$H$725</f>
        <v>0</v>
      </c>
      <c r="I748" s="936" t="n">
        <f aca="false">IF(G748&gt;H748,G748,H748)*$H$725</f>
        <v>0</v>
      </c>
      <c r="J748" s="931"/>
      <c r="K748" s="937"/>
    </row>
    <row r="749" customFormat="false" ht="15.75" hidden="true" customHeight="false" outlineLevel="0" collapsed="false">
      <c r="A749" s="937"/>
      <c r="B749" s="980" t="str">
        <f aca="false">перекрытие!A64</f>
        <v>Доска естественной влажности, 150*50мм</v>
      </c>
      <c r="C749" s="968" t="str">
        <f aca="false">перекрытие!B64</f>
        <v>м3</v>
      </c>
      <c r="D749" s="967" t="n">
        <f aca="false">перекрытие!D64</f>
        <v>0</v>
      </c>
      <c r="E749" s="986" t="n">
        <f aca="false">перекрытие!E64</f>
        <v>6500</v>
      </c>
      <c r="F749" s="986"/>
      <c r="G749" s="967" t="n">
        <f aca="false">IF(F749&gt;0,D749*F749,E749*D749)</f>
        <v>0</v>
      </c>
      <c r="H749" s="986" t="n">
        <f aca="false">E749*D749*$H$725</f>
        <v>0</v>
      </c>
      <c r="I749" s="936" t="n">
        <f aca="false">IF(G749&gt;H749,G749,H749)*$H$725</f>
        <v>0</v>
      </c>
      <c r="J749" s="931"/>
      <c r="K749" s="937"/>
    </row>
    <row r="750" customFormat="false" ht="15.75" hidden="true" customHeight="false" outlineLevel="0" collapsed="false">
      <c r="A750" s="937"/>
      <c r="B750" s="980" t="str">
        <f aca="false">перекрытие!A65</f>
        <v>Опора бруса          </v>
      </c>
      <c r="C750" s="968" t="str">
        <f aca="false">перекрытие!B65</f>
        <v>шт</v>
      </c>
      <c r="D750" s="967" t="n">
        <f aca="false">перекрытие!D65</f>
        <v>0</v>
      </c>
      <c r="E750" s="986" t="n">
        <f aca="false">перекрытие!E65</f>
        <v>50</v>
      </c>
      <c r="F750" s="986"/>
      <c r="G750" s="967" t="n">
        <f aca="false">IF(F750&gt;0,D750*F750,E750*D750)</f>
        <v>0</v>
      </c>
      <c r="H750" s="986" t="n">
        <f aca="false">E750*D750*$H$725</f>
        <v>0</v>
      </c>
      <c r="I750" s="936" t="n">
        <f aca="false">IF(G750&gt;H750,G750,H750)*$H$725</f>
        <v>0</v>
      </c>
      <c r="J750" s="931"/>
      <c r="K750" s="937"/>
    </row>
    <row r="751" customFormat="false" ht="15.75" hidden="true" customHeight="false" outlineLevel="0" collapsed="false">
      <c r="A751" s="937"/>
      <c r="B751" s="980" t="str">
        <f aca="false">перекрытие!A66</f>
        <v>Болты анкерные с гайкой 8,0 x 60           </v>
      </c>
      <c r="C751" s="968" t="str">
        <f aca="false">перекрытие!B66</f>
        <v>шт</v>
      </c>
      <c r="D751" s="967" t="n">
        <f aca="false">перекрытие!D66</f>
        <v>0</v>
      </c>
      <c r="E751" s="986" t="n">
        <f aca="false">перекрытие!E66</f>
        <v>4</v>
      </c>
      <c r="F751" s="986"/>
      <c r="G751" s="967" t="n">
        <f aca="false">IF(F751&gt;0,D751*F751,E751*D751)</f>
        <v>0</v>
      </c>
      <c r="H751" s="986" t="n">
        <f aca="false">E751*D751*$H$725</f>
        <v>0</v>
      </c>
      <c r="I751" s="936" t="n">
        <f aca="false">IF(G751&gt;H751,G751,H751)*$H$725</f>
        <v>0</v>
      </c>
      <c r="J751" s="931"/>
      <c r="K751" s="937"/>
    </row>
    <row r="752" customFormat="false" ht="15.75" hidden="true" customHeight="false" outlineLevel="0" collapsed="false">
      <c r="A752" s="937"/>
      <c r="B752" s="980" t="str">
        <f aca="false">перекрытие!A67</f>
        <v>Sip панель 2500*625*124мм</v>
      </c>
      <c r="C752" s="968" t="str">
        <f aca="false">перекрытие!B67</f>
        <v>м2</v>
      </c>
      <c r="D752" s="967" t="n">
        <f aca="false">перекрытие!D67</f>
        <v>0</v>
      </c>
      <c r="E752" s="986" t="n">
        <f aca="false">перекрытие!E67</f>
        <v>800</v>
      </c>
      <c r="F752" s="986"/>
      <c r="G752" s="967" t="n">
        <f aca="false">IF(F752&gt;0,D752*F752,E752*D752)</f>
        <v>0</v>
      </c>
      <c r="H752" s="986" t="n">
        <f aca="false">E752*D752*$H$725</f>
        <v>0</v>
      </c>
      <c r="I752" s="936" t="n">
        <f aca="false">IF(G752&gt;H752,G752,H752)*$H$725</f>
        <v>0</v>
      </c>
      <c r="J752" s="931"/>
      <c r="K752" s="937"/>
    </row>
    <row r="753" customFormat="false" ht="15.75" hidden="true" customHeight="false" outlineLevel="0" collapsed="false">
      <c r="A753" s="937"/>
      <c r="B753" s="980" t="str">
        <f aca="false">перекрытие!A68</f>
        <v>Sip панель 2500*625*174мм</v>
      </c>
      <c r="C753" s="968" t="str">
        <f aca="false">перекрытие!B68</f>
        <v>м2</v>
      </c>
      <c r="D753" s="967" t="n">
        <f aca="false">перекрытие!D68</f>
        <v>0</v>
      </c>
      <c r="E753" s="986" t="n">
        <f aca="false">перекрытие!E68</f>
        <v>1200</v>
      </c>
      <c r="F753" s="986"/>
      <c r="G753" s="967" t="n">
        <f aca="false">IF(F753&gt;0,D753*F753,E753*D753)</f>
        <v>0</v>
      </c>
      <c r="H753" s="986" t="n">
        <f aca="false">E753*D753*$H$725</f>
        <v>0</v>
      </c>
      <c r="I753" s="936" t="n">
        <f aca="false">IF(G753&gt;H753,G753,H753)*$H$725</f>
        <v>0</v>
      </c>
      <c r="J753" s="931"/>
      <c r="K753" s="937"/>
    </row>
    <row r="754" customFormat="false" ht="15.75" hidden="true" customHeight="false" outlineLevel="0" collapsed="false">
      <c r="A754" s="937"/>
      <c r="B754" s="980" t="str">
        <f aca="false">перекрытие!A69</f>
        <v>Sip панель 2500*625*224мм</v>
      </c>
      <c r="C754" s="968" t="str">
        <f aca="false">перекрытие!B69</f>
        <v>м2</v>
      </c>
      <c r="D754" s="967" t="n">
        <f aca="false">перекрытие!D69</f>
        <v>0</v>
      </c>
      <c r="E754" s="986" t="n">
        <f aca="false">перекрытие!E69</f>
        <v>1400</v>
      </c>
      <c r="F754" s="986"/>
      <c r="G754" s="967" t="n">
        <f aca="false">IF(F754&gt;0,D754*F754,E754*D754)</f>
        <v>0</v>
      </c>
      <c r="H754" s="986" t="n">
        <f aca="false">E754*D754*$H$725</f>
        <v>0</v>
      </c>
      <c r="I754" s="936" t="n">
        <f aca="false">IF(G754&gt;H754,G754,H754)*$H$725</f>
        <v>0</v>
      </c>
      <c r="J754" s="931"/>
      <c r="K754" s="937"/>
    </row>
    <row r="755" customFormat="false" ht="15.75" hidden="true" customHeight="false" outlineLevel="0" collapsed="false">
      <c r="A755" s="937"/>
      <c r="B755" s="980" t="str">
        <f aca="false">перекрытие!A70</f>
        <v>Доска сухая, 100*50мм</v>
      </c>
      <c r="C755" s="968" t="str">
        <f aca="false">перекрытие!B70</f>
        <v>м.п.</v>
      </c>
      <c r="D755" s="967" t="n">
        <f aca="false">перекрытие!D70</f>
        <v>0</v>
      </c>
      <c r="E755" s="986" t="n">
        <f aca="false">перекрытие!E70</f>
        <v>45</v>
      </c>
      <c r="F755" s="986"/>
      <c r="G755" s="967" t="n">
        <f aca="false">IF(F755&gt;0,D755*F755,E755*D755)</f>
        <v>0</v>
      </c>
      <c r="H755" s="986" t="n">
        <f aca="false">E755*D755*$H$725</f>
        <v>0</v>
      </c>
      <c r="I755" s="936" t="n">
        <f aca="false">IF(G755&gt;H755,G755,H755)*$H$725</f>
        <v>0</v>
      </c>
      <c r="J755" s="931"/>
      <c r="K755" s="937"/>
    </row>
    <row r="756" customFormat="false" ht="15.75" hidden="true" customHeight="false" outlineLevel="0" collapsed="false">
      <c r="A756" s="937"/>
      <c r="B756" s="980" t="str">
        <f aca="false">перекрытие!A71</f>
        <v>Доска сухая, 150*50мм</v>
      </c>
      <c r="C756" s="968" t="str">
        <f aca="false">перекрытие!B71</f>
        <v>м.п.</v>
      </c>
      <c r="D756" s="967" t="n">
        <f aca="false">перекрытие!D71</f>
        <v>0</v>
      </c>
      <c r="E756" s="986" t="n">
        <f aca="false">перекрытие!E71</f>
        <v>67.5</v>
      </c>
      <c r="F756" s="986"/>
      <c r="G756" s="967" t="n">
        <f aca="false">IF(F756&gt;0,D756*F756,E756*D756)</f>
        <v>0</v>
      </c>
      <c r="H756" s="986" t="n">
        <f aca="false">E756*D756*$H$725</f>
        <v>0</v>
      </c>
      <c r="I756" s="936" t="n">
        <f aca="false">IF(G756&gt;H756,G756,H756)*$H$725</f>
        <v>0</v>
      </c>
      <c r="J756" s="931"/>
      <c r="K756" s="937"/>
    </row>
    <row r="757" customFormat="false" ht="15.75" hidden="true" customHeight="false" outlineLevel="0" collapsed="false">
      <c r="A757" s="937"/>
      <c r="B757" s="980" t="str">
        <f aca="false">перекрытие!A72</f>
        <v>Доска сухая, 200*50мм</v>
      </c>
      <c r="C757" s="968" t="str">
        <f aca="false">перекрытие!B72</f>
        <v>м.п.</v>
      </c>
      <c r="D757" s="967" t="n">
        <f aca="false">перекрытие!D72</f>
        <v>0</v>
      </c>
      <c r="E757" s="986" t="n">
        <f aca="false">перекрытие!E72</f>
        <v>90</v>
      </c>
      <c r="F757" s="986"/>
      <c r="G757" s="967" t="n">
        <f aca="false">IF(F757&gt;0,D757*F757,E757*D757)</f>
        <v>0</v>
      </c>
      <c r="H757" s="986" t="n">
        <f aca="false">E757*D757*$H$725</f>
        <v>0</v>
      </c>
      <c r="I757" s="936" t="n">
        <f aca="false">IF(G757&gt;H757,G757,H757)*$H$725</f>
        <v>0</v>
      </c>
      <c r="J757" s="931"/>
      <c r="K757" s="937"/>
    </row>
    <row r="758" customFormat="false" ht="15.75" hidden="true" customHeight="false" outlineLevel="0" collapsed="false">
      <c r="A758" s="937"/>
      <c r="B758" s="980" t="str">
        <f aca="false">перекрытие!A73</f>
        <v>Пена монтажная, всесезонняя 800мл</v>
      </c>
      <c r="C758" s="968" t="str">
        <f aca="false">перекрытие!B73</f>
        <v>шт</v>
      </c>
      <c r="D758" s="967" t="n">
        <f aca="false">перекрытие!D73</f>
        <v>0</v>
      </c>
      <c r="E758" s="986" t="n">
        <f aca="false">перекрытие!E73</f>
        <v>300</v>
      </c>
      <c r="F758" s="986"/>
      <c r="G758" s="967" t="n">
        <f aca="false">IF(F758&gt;0,D758*F758,E758*D758)</f>
        <v>0</v>
      </c>
      <c r="H758" s="986" t="n">
        <f aca="false">E758*D758*$H$725</f>
        <v>0</v>
      </c>
      <c r="I758" s="936" t="n">
        <f aca="false">IF(G758&gt;H758,G758,H758)*$H$725</f>
        <v>0</v>
      </c>
      <c r="J758" s="931"/>
      <c r="K758" s="937"/>
    </row>
    <row r="759" customFormat="false" ht="15.75" hidden="true" customHeight="false" outlineLevel="0" collapsed="false">
      <c r="A759" s="937"/>
      <c r="B759" s="980" t="str">
        <f aca="false">перекрытие!A74</f>
        <v>Гвозди строительные 3,5 x 90            </v>
      </c>
      <c r="C759" s="968" t="str">
        <f aca="false">перекрытие!B74</f>
        <v>шт</v>
      </c>
      <c r="D759" s="967" t="n">
        <f aca="false">перекрытие!D74</f>
        <v>0</v>
      </c>
      <c r="E759" s="986" t="n">
        <f aca="false">перекрытие!E74</f>
        <v>45</v>
      </c>
      <c r="F759" s="986"/>
      <c r="G759" s="967" t="n">
        <f aca="false">IF(F759&gt;0,D759*F759,E759*D759)</f>
        <v>0</v>
      </c>
      <c r="H759" s="986" t="n">
        <f aca="false">E759*D759*$H$725</f>
        <v>0</v>
      </c>
      <c r="I759" s="936" t="n">
        <f aca="false">IF(G759&gt;H759,G759,H759)*$H$725</f>
        <v>0</v>
      </c>
      <c r="J759" s="931"/>
      <c r="K759" s="937"/>
    </row>
    <row r="760" customFormat="false" ht="15.75" hidden="true" customHeight="false" outlineLevel="0" collapsed="false">
      <c r="A760" s="937"/>
      <c r="B760" s="980" t="str">
        <f aca="false">перекрытие!A75</f>
        <v>Саморезы 3,5 x 45            </v>
      </c>
      <c r="C760" s="968" t="str">
        <f aca="false">перекрытие!B75</f>
        <v>шт</v>
      </c>
      <c r="D760" s="967" t="n">
        <f aca="false">перекрытие!D75</f>
        <v>0</v>
      </c>
      <c r="E760" s="986" t="n">
        <f aca="false">перекрытие!E75</f>
        <v>0.25</v>
      </c>
      <c r="F760" s="986"/>
      <c r="G760" s="967" t="n">
        <f aca="false">IF(F760&gt;0,D760*F760,E760*D760)</f>
        <v>0</v>
      </c>
      <c r="H760" s="986" t="n">
        <f aca="false">E760*D760*$H$725</f>
        <v>0</v>
      </c>
      <c r="I760" s="936" t="n">
        <f aca="false">IF(G760&gt;H760,G760,H760)*$H$725</f>
        <v>0</v>
      </c>
      <c r="J760" s="931"/>
      <c r="K760" s="937"/>
    </row>
    <row r="761" customFormat="false" ht="15.75" hidden="true" customHeight="false" outlineLevel="0" collapsed="false">
      <c r="A761" s="937"/>
      <c r="B761" s="980" t="str">
        <f aca="false">перекрытие!A76</f>
        <v>Доска сухая, 200*50мм</v>
      </c>
      <c r="C761" s="968" t="str">
        <f aca="false">перекрытие!B76</f>
        <v>м3</v>
      </c>
      <c r="D761" s="967" t="n">
        <f aca="false">перекрытие!D76</f>
        <v>0</v>
      </c>
      <c r="E761" s="986" t="n">
        <f aca="false">перекрытие!E76</f>
        <v>9000</v>
      </c>
      <c r="F761" s="986"/>
      <c r="G761" s="967" t="n">
        <f aca="false">IF(F761&gt;0,D761*F761,E761*D761)</f>
        <v>0</v>
      </c>
      <c r="H761" s="986" t="n">
        <f aca="false">E761*D761*$H$725</f>
        <v>0</v>
      </c>
      <c r="I761" s="936" t="n">
        <f aca="false">IF(G761&gt;H761,G761,H761)*$H$725</f>
        <v>0</v>
      </c>
      <c r="J761" s="931"/>
      <c r="K761" s="937"/>
    </row>
    <row r="762" customFormat="false" ht="15.75" hidden="true" customHeight="false" outlineLevel="0" collapsed="false">
      <c r="A762" s="937"/>
      <c r="B762" s="980" t="str">
        <f aca="false">перекрытие!A77</f>
        <v>Доска сухая, 150*50мм</v>
      </c>
      <c r="C762" s="968" t="str">
        <f aca="false">перекрытие!B77</f>
        <v>м3</v>
      </c>
      <c r="D762" s="967" t="n">
        <f aca="false">перекрытие!D77</f>
        <v>0</v>
      </c>
      <c r="E762" s="986" t="n">
        <f aca="false">перекрытие!E77</f>
        <v>9000</v>
      </c>
      <c r="F762" s="986"/>
      <c r="G762" s="967" t="n">
        <f aca="false">IF(F762&gt;0,D762*F762,E762*D762)</f>
        <v>0</v>
      </c>
      <c r="H762" s="986" t="n">
        <f aca="false">E762*D762*$H$725</f>
        <v>0</v>
      </c>
      <c r="I762" s="936" t="n">
        <f aca="false">IF(G762&gt;H762,G762,H762)*$H$725</f>
        <v>0</v>
      </c>
      <c r="J762" s="931"/>
      <c r="K762" s="937"/>
    </row>
    <row r="763" customFormat="false" ht="15.75" hidden="true" customHeight="false" outlineLevel="0" collapsed="false">
      <c r="A763" s="937"/>
      <c r="B763" s="980" t="str">
        <f aca="false">перекрытие!A78</f>
        <v>Гвозди ершоные 2,8 х 90            </v>
      </c>
      <c r="C763" s="968" t="str">
        <f aca="false">перекрытие!B78</f>
        <v>кг</v>
      </c>
      <c r="D763" s="967" t="n">
        <f aca="false">перекрытие!D78</f>
        <v>0</v>
      </c>
      <c r="E763" s="986" t="n">
        <f aca="false">перекрытие!E78</f>
        <v>76.49</v>
      </c>
      <c r="F763" s="986"/>
      <c r="G763" s="967" t="n">
        <f aca="false">IF(F763&gt;0,D763*F763,E763*D763)</f>
        <v>0</v>
      </c>
      <c r="H763" s="986" t="n">
        <f aca="false">E763*D763*$H$725</f>
        <v>0</v>
      </c>
      <c r="I763" s="936" t="n">
        <f aca="false">IF(G763&gt;H763,G763,H763)*$H$725</f>
        <v>0</v>
      </c>
      <c r="J763" s="931"/>
      <c r="K763" s="937"/>
    </row>
    <row r="764" customFormat="false" ht="15.75" hidden="true" customHeight="false" outlineLevel="0" collapsed="false">
      <c r="A764" s="937"/>
      <c r="B764" s="980" t="str">
        <f aca="false">перекрытие!A79</f>
        <v>Доска сухая калиброванная, 190*45мм</v>
      </c>
      <c r="C764" s="968" t="str">
        <f aca="false">перекрытие!B79</f>
        <v>м3</v>
      </c>
      <c r="D764" s="967" t="n">
        <f aca="false">перекрытие!D79</f>
        <v>0</v>
      </c>
      <c r="E764" s="986" t="n">
        <f aca="false">перекрытие!E79</f>
        <v>12500</v>
      </c>
      <c r="F764" s="986"/>
      <c r="G764" s="967" t="n">
        <f aca="false">IF(F764&gt;0,D764*F764,E764*D764)</f>
        <v>0</v>
      </c>
      <c r="H764" s="986" t="n">
        <f aca="false">E764*D764*$H$725</f>
        <v>0</v>
      </c>
      <c r="I764" s="936" t="n">
        <f aca="false">IF(G764&gt;H764,G764,H764)*$H$725</f>
        <v>0</v>
      </c>
      <c r="J764" s="931"/>
      <c r="K764" s="937"/>
    </row>
    <row r="765" customFormat="false" ht="15.75" hidden="true" customHeight="false" outlineLevel="0" collapsed="false">
      <c r="A765" s="937"/>
      <c r="B765" s="980" t="str">
        <f aca="false">перекрытие!A80</f>
        <v>Доска сухая калиброванная, 145*45мм</v>
      </c>
      <c r="C765" s="968" t="str">
        <f aca="false">перекрытие!B80</f>
        <v>м3</v>
      </c>
      <c r="D765" s="967" t="n">
        <f aca="false">перекрытие!D80</f>
        <v>0</v>
      </c>
      <c r="E765" s="986" t="n">
        <f aca="false">перекрытие!E80</f>
        <v>12500</v>
      </c>
      <c r="F765" s="986"/>
      <c r="G765" s="967" t="n">
        <f aca="false">IF(F765&gt;0,D765*F765,E765*D765)</f>
        <v>0</v>
      </c>
      <c r="H765" s="986" t="n">
        <f aca="false">E765*D765*$H$725</f>
        <v>0</v>
      </c>
      <c r="I765" s="936" t="n">
        <f aca="false">IF(G765&gt;H765,G765,H765)*$H$725</f>
        <v>0</v>
      </c>
      <c r="J765" s="931"/>
      <c r="K765" s="937"/>
    </row>
    <row r="766" customFormat="false" ht="15.75" hidden="true" customHeight="false" outlineLevel="0" collapsed="false">
      <c r="A766" s="937"/>
      <c r="B766" s="980" t="str">
        <f aca="false">перекрытие!A81</f>
        <v>Гвозди ершоные 2,8 х 90            </v>
      </c>
      <c r="C766" s="968" t="str">
        <f aca="false">перекрытие!B81</f>
        <v>кг</v>
      </c>
      <c r="D766" s="967" t="n">
        <f aca="false">перекрытие!D81</f>
        <v>0</v>
      </c>
      <c r="E766" s="986" t="n">
        <f aca="false">перекрытие!E81</f>
        <v>76.49</v>
      </c>
      <c r="F766" s="986"/>
      <c r="G766" s="967" t="n">
        <f aca="false">IF(F766&gt;0,D766*F766,E766*D766)</f>
        <v>0</v>
      </c>
      <c r="H766" s="986" t="n">
        <f aca="false">E766*D766*$H$725</f>
        <v>0</v>
      </c>
      <c r="I766" s="936" t="n">
        <f aca="false">IF(G766&gt;H766,G766,H766)*$H$725</f>
        <v>0</v>
      </c>
      <c r="J766" s="931"/>
      <c r="K766" s="937"/>
    </row>
    <row r="767" customFormat="false" ht="15.75" hidden="true" customHeight="false" outlineLevel="0" collapsed="false">
      <c r="A767" s="937"/>
      <c r="B767" s="980" t="str">
        <f aca="false">перекрытие!A82</f>
        <v>Двутавровая деревянная балка, 400*65мм</v>
      </c>
      <c r="C767" s="968" t="str">
        <f aca="false">перекрытие!B82</f>
        <v>м.п.</v>
      </c>
      <c r="D767" s="967" t="n">
        <f aca="false">перекрытие!D82</f>
        <v>0</v>
      </c>
      <c r="E767" s="986" t="n">
        <f aca="false">перекрытие!E82</f>
        <v>303</v>
      </c>
      <c r="F767" s="986"/>
      <c r="G767" s="967" t="n">
        <f aca="false">IF(F767&gt;0,D767*F767,E767*D767)</f>
        <v>0</v>
      </c>
      <c r="H767" s="986" t="n">
        <f aca="false">E767*D767*$H$725</f>
        <v>0</v>
      </c>
      <c r="I767" s="936" t="n">
        <f aca="false">IF(G767&gt;H767,G767,H767)*$H$725</f>
        <v>0</v>
      </c>
      <c r="J767" s="931"/>
      <c r="K767" s="937"/>
    </row>
    <row r="768" customFormat="false" ht="15.75" hidden="true" customHeight="false" outlineLevel="0" collapsed="false">
      <c r="A768" s="937"/>
      <c r="B768" s="980" t="str">
        <f aca="false">перекрытие!A83</f>
        <v>Двутавровая деревянная балка, 400*90мм</v>
      </c>
      <c r="C768" s="968" t="str">
        <f aca="false">перекрытие!B83</f>
        <v>м.п.</v>
      </c>
      <c r="D768" s="967" t="n">
        <f aca="false">перекрытие!D83</f>
        <v>0</v>
      </c>
      <c r="E768" s="986" t="n">
        <f aca="false">перекрытие!E83</f>
        <v>355</v>
      </c>
      <c r="F768" s="986"/>
      <c r="G768" s="967" t="n">
        <f aca="false">IF(F768&gt;0,D768*F768,E768*D768)</f>
        <v>0</v>
      </c>
      <c r="H768" s="986" t="n">
        <f aca="false">E768*D768*$H$725</f>
        <v>0</v>
      </c>
      <c r="I768" s="936" t="n">
        <f aca="false">IF(G768&gt;H768,G768,H768)*$H$725</f>
        <v>0</v>
      </c>
      <c r="J768" s="931"/>
      <c r="K768" s="937"/>
    </row>
    <row r="769" customFormat="false" ht="15.75" hidden="false" customHeight="false" outlineLevel="0" collapsed="false">
      <c r="A769" s="937"/>
      <c r="B769" s="980" t="str">
        <f aca="false">перекрытие!A84</f>
        <v>Двутавровая деревянная балка, 350*65мм</v>
      </c>
      <c r="C769" s="968" t="str">
        <f aca="false">перекрытие!B84</f>
        <v>м.п.</v>
      </c>
      <c r="D769" s="967" t="n">
        <f aca="false">перекрытие!D84</f>
        <v>138.666666666667</v>
      </c>
      <c r="E769" s="986" t="n">
        <f aca="false">перекрытие!E84</f>
        <v>287</v>
      </c>
      <c r="F769" s="986"/>
      <c r="G769" s="967" t="n">
        <f aca="false">IF(F769&gt;0,D769*F769,E769*D769)</f>
        <v>39797.3333333333</v>
      </c>
      <c r="H769" s="986" t="n">
        <f aca="false">E769*D769*$H$725</f>
        <v>39797.3333333333</v>
      </c>
      <c r="I769" s="936" t="n">
        <f aca="false">IF(G769&gt;H769,G769,H769)*$H$725</f>
        <v>39797.3333333333</v>
      </c>
      <c r="J769" s="931"/>
      <c r="K769" s="937"/>
    </row>
    <row r="770" customFormat="false" ht="15.75" hidden="true" customHeight="false" outlineLevel="0" collapsed="false">
      <c r="A770" s="937"/>
      <c r="B770" s="980" t="str">
        <f aca="false">перекрытие!A85</f>
        <v>Двутавровая деревянная балка, 350*90мм</v>
      </c>
      <c r="C770" s="968" t="str">
        <f aca="false">перекрытие!B85</f>
        <v>м.п.</v>
      </c>
      <c r="D770" s="967" t="n">
        <f aca="false">перекрытие!D85</f>
        <v>0</v>
      </c>
      <c r="E770" s="986" t="n">
        <f aca="false">перекрытие!E85</f>
        <v>315</v>
      </c>
      <c r="F770" s="986"/>
      <c r="G770" s="967" t="n">
        <f aca="false">IF(F770&gt;0,D770*F770,E770*D770)</f>
        <v>0</v>
      </c>
      <c r="H770" s="986" t="n">
        <f aca="false">E770*D770*$H$725</f>
        <v>0</v>
      </c>
      <c r="I770" s="936" t="n">
        <f aca="false">IF(G770&gt;H770,G770,H770)*$H$725</f>
        <v>0</v>
      </c>
      <c r="J770" s="931"/>
      <c r="K770" s="937"/>
    </row>
    <row r="771" customFormat="false" ht="15.75" hidden="true" customHeight="false" outlineLevel="0" collapsed="false">
      <c r="A771" s="937"/>
      <c r="B771" s="980" t="str">
        <f aca="false">перекрытие!A86</f>
        <v>Двутавровая деревянная балка, 300*65мм</v>
      </c>
      <c r="C771" s="968" t="str">
        <f aca="false">перекрытие!B86</f>
        <v>м.п.</v>
      </c>
      <c r="D771" s="967" t="n">
        <f aca="false">перекрытие!D86</f>
        <v>0</v>
      </c>
      <c r="E771" s="986" t="n">
        <f aca="false">перекрытие!E86</f>
        <v>273</v>
      </c>
      <c r="F771" s="986"/>
      <c r="G771" s="967" t="n">
        <f aca="false">IF(F771&gt;0,D771*F771,E771*D771)</f>
        <v>0</v>
      </c>
      <c r="H771" s="986" t="n">
        <f aca="false">E771*D771*$H$725</f>
        <v>0</v>
      </c>
      <c r="I771" s="936" t="n">
        <f aca="false">IF(G771&gt;H771,G771,H771)*$H$725</f>
        <v>0</v>
      </c>
      <c r="J771" s="931"/>
      <c r="K771" s="937"/>
    </row>
    <row r="772" customFormat="false" ht="15.75" hidden="true" customHeight="false" outlineLevel="0" collapsed="false">
      <c r="A772" s="937"/>
      <c r="B772" s="980" t="str">
        <f aca="false">перекрытие!A87</f>
        <v>Двутавровая деревянная балка, 300*90мм</v>
      </c>
      <c r="C772" s="968" t="str">
        <f aca="false">перекрытие!B87</f>
        <v>м.п.</v>
      </c>
      <c r="D772" s="967" t="n">
        <f aca="false">перекрытие!D87</f>
        <v>0</v>
      </c>
      <c r="E772" s="986" t="n">
        <f aca="false">перекрытие!E87</f>
        <v>315</v>
      </c>
      <c r="F772" s="986"/>
      <c r="G772" s="967" t="n">
        <f aca="false">IF(F772&gt;0,D772*F772,E772*D772)</f>
        <v>0</v>
      </c>
      <c r="H772" s="986" t="n">
        <f aca="false">E772*D772*$H$725</f>
        <v>0</v>
      </c>
      <c r="I772" s="936" t="n">
        <f aca="false">IF(G772&gt;H772,G772,H772)*$H$725</f>
        <v>0</v>
      </c>
      <c r="J772" s="931"/>
      <c r="K772" s="937"/>
    </row>
    <row r="773" customFormat="false" ht="15.75" hidden="true" customHeight="false" outlineLevel="0" collapsed="false">
      <c r="A773" s="937"/>
      <c r="B773" s="980" t="str">
        <f aca="false">перекрытие!A88</f>
        <v>Двутавровая деревянная балка, 240*65мм</v>
      </c>
      <c r="C773" s="968" t="str">
        <f aca="false">перекрытие!B88</f>
        <v>м.п.</v>
      </c>
      <c r="D773" s="967" t="n">
        <f aca="false">перекрытие!D88</f>
        <v>0</v>
      </c>
      <c r="E773" s="986" t="n">
        <f aca="false">перекрытие!E88</f>
        <v>263</v>
      </c>
      <c r="F773" s="986"/>
      <c r="G773" s="967" t="n">
        <f aca="false">IF(F773&gt;0,D773*F773,E773*D773)</f>
        <v>0</v>
      </c>
      <c r="H773" s="986" t="n">
        <f aca="false">E773*D773*$H$725</f>
        <v>0</v>
      </c>
      <c r="I773" s="936" t="n">
        <f aca="false">IF(G773&gt;H773,G773,H773)*$H$725</f>
        <v>0</v>
      </c>
      <c r="J773" s="931"/>
      <c r="K773" s="937"/>
    </row>
    <row r="774" customFormat="false" ht="15.75" hidden="true" customHeight="false" outlineLevel="0" collapsed="false">
      <c r="A774" s="937"/>
      <c r="B774" s="980" t="str">
        <f aca="false">перекрытие!A89</f>
        <v>Двутавровая деревянная балка, 240*90мм</v>
      </c>
      <c r="C774" s="968" t="str">
        <f aca="false">перекрытие!B89</f>
        <v>м.п.</v>
      </c>
      <c r="D774" s="967" t="n">
        <f aca="false">перекрытие!D89</f>
        <v>0</v>
      </c>
      <c r="E774" s="986" t="n">
        <f aca="false">перекрытие!E89</f>
        <v>291</v>
      </c>
      <c r="F774" s="986"/>
      <c r="G774" s="967" t="n">
        <f aca="false">IF(F774&gt;0,D774*F774,E774*D774)</f>
        <v>0</v>
      </c>
      <c r="H774" s="986" t="n">
        <f aca="false">E774*D774*$H$725</f>
        <v>0</v>
      </c>
      <c r="I774" s="936" t="n">
        <f aca="false">IF(G774&gt;H774,G774,H774)*$H$725</f>
        <v>0</v>
      </c>
      <c r="J774" s="931"/>
      <c r="K774" s="937"/>
    </row>
    <row r="775" customFormat="false" ht="15.75" hidden="true" customHeight="false" outlineLevel="0" collapsed="false">
      <c r="A775" s="937"/>
      <c r="B775" s="980" t="str">
        <f aca="false">перекрытие!A90</f>
        <v>Двутавровая деревянная балка, 200*65мм</v>
      </c>
      <c r="C775" s="968" t="str">
        <f aca="false">перекрытие!B90</f>
        <v>м.п.</v>
      </c>
      <c r="D775" s="967" t="n">
        <f aca="false">перекрытие!D90</f>
        <v>0</v>
      </c>
      <c r="E775" s="986" t="n">
        <f aca="false">перекрытие!E90</f>
        <v>250</v>
      </c>
      <c r="F775" s="986"/>
      <c r="G775" s="967" t="n">
        <f aca="false">IF(F775&gt;0,D775*F775,E775*D775)</f>
        <v>0</v>
      </c>
      <c r="H775" s="986" t="n">
        <f aca="false">E775*D775*$H$725</f>
        <v>0</v>
      </c>
      <c r="I775" s="936" t="n">
        <f aca="false">IF(G775&gt;H775,G775,H775)*$H$725</f>
        <v>0</v>
      </c>
      <c r="J775" s="931"/>
      <c r="K775" s="937"/>
    </row>
    <row r="776" customFormat="false" ht="15.75" hidden="true" customHeight="false" outlineLevel="0" collapsed="false">
      <c r="A776" s="937"/>
      <c r="B776" s="980" t="str">
        <f aca="false">перекрытие!A91</f>
        <v>Двутавровая деревянная балка, 200*90мм</v>
      </c>
      <c r="C776" s="968" t="str">
        <f aca="false">перекрытие!B91</f>
        <v>м.п.</v>
      </c>
      <c r="D776" s="967" t="n">
        <f aca="false">перекрытие!D91</f>
        <v>0</v>
      </c>
      <c r="E776" s="986" t="n">
        <f aca="false">перекрытие!E91</f>
        <v>280</v>
      </c>
      <c r="F776" s="986"/>
      <c r="G776" s="967" t="n">
        <f aca="false">IF(F776&gt;0,D776*F776,E776*D776)</f>
        <v>0</v>
      </c>
      <c r="H776" s="986" t="n">
        <f aca="false">E776*D776*$H$725</f>
        <v>0</v>
      </c>
      <c r="I776" s="936" t="n">
        <f aca="false">IF(G776&gt;H776,G776,H776)*$H$725</f>
        <v>0</v>
      </c>
      <c r="J776" s="931"/>
      <c r="K776" s="937"/>
    </row>
    <row r="777" customFormat="false" ht="15.75" hidden="true" customHeight="false" outlineLevel="0" collapsed="false">
      <c r="A777" s="937"/>
      <c r="B777" s="980" t="str">
        <f aca="false">перекрытие!A92</f>
        <v>Двутавровая деревянная балка, 150*65мм</v>
      </c>
      <c r="C777" s="968" t="str">
        <f aca="false">перекрытие!B92</f>
        <v>м.п.</v>
      </c>
      <c r="D777" s="967" t="n">
        <f aca="false">перекрытие!D92</f>
        <v>0</v>
      </c>
      <c r="E777" s="986" t="n">
        <f aca="false">перекрытие!E92</f>
        <v>220</v>
      </c>
      <c r="F777" s="986"/>
      <c r="G777" s="967" t="n">
        <f aca="false">IF(F777&gt;0,D777*F777,E777*D777)</f>
        <v>0</v>
      </c>
      <c r="H777" s="986" t="n">
        <f aca="false">E777*D777*$H$725</f>
        <v>0</v>
      </c>
      <c r="I777" s="936" t="n">
        <f aca="false">IF(G777&gt;H777,G777,H777)*$H$725</f>
        <v>0</v>
      </c>
      <c r="J777" s="931"/>
      <c r="K777" s="937"/>
    </row>
    <row r="778" customFormat="false" ht="15.75" hidden="true" customHeight="false" outlineLevel="0" collapsed="false">
      <c r="A778" s="937"/>
      <c r="B778" s="980" t="str">
        <f aca="false">перекрытие!A93</f>
        <v>Двутавровая деревянная балка, 150*90мм</v>
      </c>
      <c r="C778" s="968" t="str">
        <f aca="false">перекрытие!B93</f>
        <v>м.п.</v>
      </c>
      <c r="D778" s="967" t="n">
        <f aca="false">перекрытие!D93</f>
        <v>0</v>
      </c>
      <c r="E778" s="986" t="n">
        <f aca="false">перекрытие!E93</f>
        <v>250</v>
      </c>
      <c r="F778" s="986"/>
      <c r="G778" s="967" t="n">
        <f aca="false">IF(F778&gt;0,D778*F778,E778*D778)</f>
        <v>0</v>
      </c>
      <c r="H778" s="986" t="n">
        <f aca="false">E778*D778*$H$725</f>
        <v>0</v>
      </c>
      <c r="I778" s="936" t="n">
        <f aca="false">IF(G778&gt;H778,G778,H778)*$H$725</f>
        <v>0</v>
      </c>
      <c r="J778" s="931"/>
      <c r="K778" s="937"/>
    </row>
    <row r="779" customFormat="false" ht="15.75" hidden="false" customHeight="false" outlineLevel="0" collapsed="false">
      <c r="A779" s="937"/>
      <c r="B779" s="980" t="str">
        <f aca="false">перекрытие!A94</f>
        <v>Уголок усиленный 90х70х55х2,5        </v>
      </c>
      <c r="C779" s="968" t="str">
        <f aca="false">перекрытие!B94</f>
        <v>шт</v>
      </c>
      <c r="D779" s="967" t="n">
        <f aca="false">перекрытие!D94</f>
        <v>157</v>
      </c>
      <c r="E779" s="986" t="n">
        <f aca="false">перекрытие!E94</f>
        <v>30</v>
      </c>
      <c r="F779" s="986"/>
      <c r="G779" s="967" t="n">
        <f aca="false">IF(F779&gt;0,D779*F779,E779*D779)</f>
        <v>4710</v>
      </c>
      <c r="H779" s="986" t="n">
        <f aca="false">E779*D779*$H$725</f>
        <v>4710</v>
      </c>
      <c r="I779" s="936" t="n">
        <f aca="false">IF(G779&gt;H779,G779,H779)*$H$725</f>
        <v>4710</v>
      </c>
      <c r="J779" s="931"/>
      <c r="K779" s="937"/>
    </row>
    <row r="780" customFormat="false" ht="15.75" hidden="false" customHeight="false" outlineLevel="0" collapsed="false">
      <c r="A780" s="937"/>
      <c r="B780" s="980" t="str">
        <f aca="false">перекрытие!A95</f>
        <v>Саморезы 3,5 x 55            </v>
      </c>
      <c r="C780" s="968" t="str">
        <f aca="false">перекрытие!B95</f>
        <v>шт</v>
      </c>
      <c r="D780" s="967" t="n">
        <f aca="false">перекрытие!D95</f>
        <v>628</v>
      </c>
      <c r="E780" s="986" t="n">
        <f aca="false">перекрытие!E95</f>
        <v>0.3</v>
      </c>
      <c r="F780" s="986"/>
      <c r="G780" s="967" t="n">
        <f aca="false">IF(F780&gt;0,D780*F780,E780*D780)</f>
        <v>188.4</v>
      </c>
      <c r="H780" s="986" t="n">
        <f aca="false">E780*D780*$H$725</f>
        <v>188.4</v>
      </c>
      <c r="I780" s="936" t="n">
        <f aca="false">IF(G780&gt;H780,G780,H780)*$H$725</f>
        <v>188.4</v>
      </c>
      <c r="J780" s="931"/>
      <c r="K780" s="937"/>
    </row>
    <row r="781" customFormat="false" ht="15.75" hidden="true" customHeight="false" outlineLevel="0" collapsed="false">
      <c r="A781" s="937"/>
      <c r="B781" s="980" t="str">
        <f aca="false">перекрытие!A96</f>
        <v>Нет</v>
      </c>
      <c r="C781" s="968" t="str">
        <f aca="false">перекрытие!B96</f>
        <v>м3</v>
      </c>
      <c r="D781" s="967" t="n">
        <f aca="false">перекрытие!D96</f>
        <v>0</v>
      </c>
      <c r="E781" s="986" t="n">
        <f aca="false">перекрытие!E96</f>
        <v>0</v>
      </c>
      <c r="F781" s="986"/>
      <c r="G781" s="967" t="n">
        <f aca="false">IF(F781&gt;0,D781*F781,E781*D781)</f>
        <v>0</v>
      </c>
      <c r="H781" s="986" t="n">
        <f aca="false">E781*D781*$H$725</f>
        <v>0</v>
      </c>
      <c r="I781" s="936" t="n">
        <f aca="false">IF(G781&gt;H781,G781,H781)*$H$725</f>
        <v>0</v>
      </c>
      <c r="J781" s="931"/>
      <c r="K781" s="937"/>
    </row>
    <row r="782" customFormat="false" ht="15.75" hidden="true" customHeight="false" outlineLevel="0" collapsed="false">
      <c r="A782" s="937"/>
      <c r="B782" s="980" t="str">
        <f aca="false">перекрытие!A97</f>
        <v>нет ветроизоляции</v>
      </c>
      <c r="C782" s="968" t="str">
        <f aca="false">перекрытие!B97</f>
        <v>м2</v>
      </c>
      <c r="D782" s="967" t="n">
        <f aca="false">перекрытие!D97</f>
        <v>64</v>
      </c>
      <c r="E782" s="986" t="n">
        <f aca="false">перекрытие!E97</f>
        <v>0</v>
      </c>
      <c r="F782" s="986"/>
      <c r="G782" s="967" t="n">
        <f aca="false">IF(F782&gt;0,D782*F782,E782*D782)</f>
        <v>0</v>
      </c>
      <c r="H782" s="986" t="n">
        <f aca="false">E782*D782*$H$725</f>
        <v>0</v>
      </c>
      <c r="I782" s="936" t="n">
        <f aca="false">IF(G782&gt;H782,G782,H782)*$H$725</f>
        <v>0</v>
      </c>
      <c r="J782" s="931"/>
      <c r="K782" s="937"/>
    </row>
    <row r="783" customFormat="false" ht="15.75" hidden="true" customHeight="false" outlineLevel="0" collapsed="false">
      <c r="A783" s="937"/>
      <c r="B783" s="980" t="str">
        <f aca="false">перекрытие!A98</f>
        <v>нет пароизоляции</v>
      </c>
      <c r="C783" s="968" t="str">
        <f aca="false">перекрытие!B98</f>
        <v>м2</v>
      </c>
      <c r="D783" s="967" t="n">
        <f aca="false">перекрытие!D98</f>
        <v>64</v>
      </c>
      <c r="E783" s="986" t="n">
        <f aca="false">перекрытие!E98</f>
        <v>0</v>
      </c>
      <c r="F783" s="986"/>
      <c r="G783" s="967" t="n">
        <f aca="false">IF(F783&gt;0,D783*F783,E783*D783)</f>
        <v>0</v>
      </c>
      <c r="H783" s="986" t="n">
        <f aca="false">E783*D783*$H$725</f>
        <v>0</v>
      </c>
      <c r="I783" s="936" t="n">
        <f aca="false">IF(G783&gt;H783,G783,H783)*$H$725</f>
        <v>0</v>
      </c>
      <c r="J783" s="931"/>
      <c r="K783" s="937"/>
    </row>
    <row r="784" customFormat="false" ht="15.75" hidden="true" customHeight="false" outlineLevel="0" collapsed="false">
      <c r="A784" s="937"/>
      <c r="B784" s="980" t="str">
        <f aca="false">перекрытие!A101</f>
        <v>Плита перекрытия ЖБИ</v>
      </c>
      <c r="C784" s="968" t="str">
        <f aca="false">перекрытие!B101</f>
        <v>м2</v>
      </c>
      <c r="D784" s="967" t="n">
        <f aca="false">перекрытие!D101</f>
        <v>0</v>
      </c>
      <c r="E784" s="986" t="n">
        <f aca="false">перекрытие!E101</f>
        <v>1400</v>
      </c>
      <c r="F784" s="986"/>
      <c r="G784" s="967" t="n">
        <f aca="false">IF(F784&gt;0,D784*F784,E784*D784)</f>
        <v>0</v>
      </c>
      <c r="H784" s="986" t="n">
        <f aca="false">E784*D784*$H$725</f>
        <v>0</v>
      </c>
      <c r="I784" s="936" t="n">
        <f aca="false">IF(G784&gt;H784,G784,H784)*$H$725</f>
        <v>0</v>
      </c>
      <c r="J784" s="931"/>
      <c r="K784" s="937"/>
    </row>
    <row r="785" customFormat="false" ht="15.75" hidden="true" customHeight="false" outlineLevel="0" collapsed="false">
      <c r="A785" s="937"/>
      <c r="B785" s="980" t="str">
        <f aca="false">перекрытие!A102</f>
        <v>Раствор, м250</v>
      </c>
      <c r="C785" s="968" t="str">
        <f aca="false">перекрытие!B102</f>
        <v>м3</v>
      </c>
      <c r="D785" s="967" t="n">
        <f aca="false">перекрытие!D102</f>
        <v>0</v>
      </c>
      <c r="E785" s="986" t="n">
        <f aca="false">перекрытие!E102</f>
        <v>2500</v>
      </c>
      <c r="F785" s="986"/>
      <c r="G785" s="967" t="n">
        <f aca="false">IF(F785&gt;0,D785*F785,E785*D785)</f>
        <v>0</v>
      </c>
      <c r="H785" s="986" t="n">
        <f aca="false">E785*D785*$H$725</f>
        <v>0</v>
      </c>
      <c r="I785" s="936" t="n">
        <f aca="false">IF(G785&gt;H785,G785,H785)*$H$725</f>
        <v>0</v>
      </c>
      <c r="J785" s="931"/>
      <c r="K785" s="937"/>
    </row>
    <row r="786" customFormat="false" ht="15.75" hidden="true" customHeight="false" outlineLevel="0" collapsed="false">
      <c r="A786" s="937"/>
      <c r="B786" s="980" t="str">
        <f aca="false">перекрытие!A103</f>
        <v>Монолит, бетон, 300мм, 2 слоя</v>
      </c>
      <c r="C786" s="968" t="str">
        <f aca="false">перекрытие!B103</f>
        <v>м2</v>
      </c>
      <c r="D786" s="967" t="n">
        <f aca="false">перекрытие!D103</f>
        <v>0</v>
      </c>
      <c r="E786" s="986" t="n">
        <f aca="false">перекрытие!E103</f>
        <v>1</v>
      </c>
      <c r="F786" s="986"/>
      <c r="G786" s="967" t="n">
        <f aca="false">IF(F786&gt;0,D786*F786,E786*D786)</f>
        <v>0</v>
      </c>
      <c r="H786" s="986" t="n">
        <f aca="false">E786*D786*$H$725</f>
        <v>0</v>
      </c>
      <c r="I786" s="936" t="n">
        <f aca="false">IF(G786&gt;H786,G786,H786)*$H$725</f>
        <v>0</v>
      </c>
      <c r="J786" s="931"/>
      <c r="K786" s="937"/>
    </row>
    <row r="787" customFormat="false" ht="15.75" hidden="true" customHeight="false" outlineLevel="0" collapsed="false">
      <c r="A787" s="937"/>
      <c r="B787" s="980" t="str">
        <f aca="false">перекрытие!A104</f>
        <v>Монолит, бетон, 300мм, 1 слой</v>
      </c>
      <c r="C787" s="968" t="str">
        <f aca="false">перекрытие!B104</f>
        <v>м2</v>
      </c>
      <c r="D787" s="967" t="n">
        <f aca="false">перекрытие!D104</f>
        <v>0</v>
      </c>
      <c r="E787" s="986" t="n">
        <f aca="false">перекрытие!E104</f>
        <v>1</v>
      </c>
      <c r="F787" s="986"/>
      <c r="G787" s="967" t="n">
        <f aca="false">IF(F787&gt;0,D787*F787,E787*D787)</f>
        <v>0</v>
      </c>
      <c r="H787" s="986" t="n">
        <f aca="false">E787*D787*$H$725</f>
        <v>0</v>
      </c>
      <c r="I787" s="936" t="n">
        <f aca="false">IF(G787&gt;H787,G787,H787)*$H$725</f>
        <v>0</v>
      </c>
      <c r="J787" s="931"/>
      <c r="K787" s="937"/>
    </row>
    <row r="788" customFormat="false" ht="15.75" hidden="true" customHeight="false" outlineLevel="0" collapsed="false">
      <c r="A788" s="937"/>
      <c r="B788" s="980" t="str">
        <f aca="false">перекрытие!A105</f>
        <v>Монолит, бетон, 250мм, 2 слоя</v>
      </c>
      <c r="C788" s="968" t="str">
        <f aca="false">перекрытие!B105</f>
        <v>м2</v>
      </c>
      <c r="D788" s="967" t="n">
        <f aca="false">перекрытие!D105</f>
        <v>0</v>
      </c>
      <c r="E788" s="986" t="n">
        <f aca="false">перекрытие!E105</f>
        <v>1</v>
      </c>
      <c r="F788" s="986"/>
      <c r="G788" s="967" t="n">
        <f aca="false">IF(F788&gt;0,D788*F788,E788*D788)</f>
        <v>0</v>
      </c>
      <c r="H788" s="986" t="n">
        <f aca="false">E788*D788*$H$725</f>
        <v>0</v>
      </c>
      <c r="I788" s="936" t="n">
        <f aca="false">IF(G788&gt;H788,G788,H788)*$H$725</f>
        <v>0</v>
      </c>
      <c r="J788" s="931"/>
      <c r="K788" s="937"/>
    </row>
    <row r="789" customFormat="false" ht="15.75" hidden="true" customHeight="false" outlineLevel="0" collapsed="false">
      <c r="A789" s="937"/>
      <c r="B789" s="980" t="str">
        <f aca="false">перекрытие!A106</f>
        <v>Монолит, бетон, 250мм, 1 слой</v>
      </c>
      <c r="C789" s="968" t="str">
        <f aca="false">перекрытие!B106</f>
        <v>м2</v>
      </c>
      <c r="D789" s="967" t="n">
        <f aca="false">перекрытие!D106</f>
        <v>0</v>
      </c>
      <c r="E789" s="986" t="n">
        <f aca="false">перекрытие!E106</f>
        <v>1</v>
      </c>
      <c r="F789" s="986"/>
      <c r="G789" s="967" t="n">
        <f aca="false">IF(F789&gt;0,D789*F789,E789*D789)</f>
        <v>0</v>
      </c>
      <c r="H789" s="986" t="n">
        <f aca="false">E789*D789*$H$725</f>
        <v>0</v>
      </c>
      <c r="I789" s="936" t="n">
        <f aca="false">IF(G789&gt;H789,G789,H789)*$H$725</f>
        <v>0</v>
      </c>
      <c r="J789" s="931"/>
      <c r="K789" s="937"/>
    </row>
    <row r="790" customFormat="false" ht="15.75" hidden="false" customHeight="false" outlineLevel="0" collapsed="false">
      <c r="A790" s="937"/>
      <c r="B790" s="980" t="str">
        <f aca="false">перекрытие!A107</f>
        <v>Монолит, бетон, 200мм, 2 слоя</v>
      </c>
      <c r="C790" s="968" t="str">
        <f aca="false">перекрытие!B107</f>
        <v>м2</v>
      </c>
      <c r="D790" s="967" t="n">
        <f aca="false">перекрытие!D107</f>
        <v>64</v>
      </c>
      <c r="E790" s="986" t="n">
        <f aca="false">перекрытие!E107</f>
        <v>1</v>
      </c>
      <c r="F790" s="986"/>
      <c r="G790" s="967" t="n">
        <f aca="false">IF(F790&gt;0,D790*F790,E790*D790)</f>
        <v>64</v>
      </c>
      <c r="H790" s="986" t="n">
        <f aca="false">E790*D790*$H$725</f>
        <v>64</v>
      </c>
      <c r="I790" s="936" t="n">
        <f aca="false">IF(G790&gt;H790,G790,H790)*$H$725</f>
        <v>64</v>
      </c>
      <c r="J790" s="931"/>
      <c r="K790" s="937"/>
    </row>
    <row r="791" customFormat="false" ht="15.75" hidden="true" customHeight="false" outlineLevel="0" collapsed="false">
      <c r="A791" s="937"/>
      <c r="B791" s="980" t="str">
        <f aca="false">перекрытие!A108</f>
        <v>Монолит, бетон, 200мм, 1 слой</v>
      </c>
      <c r="C791" s="968" t="str">
        <f aca="false">перекрытие!B108</f>
        <v>м2</v>
      </c>
      <c r="D791" s="967" t="n">
        <f aca="false">перекрытие!D108</f>
        <v>0</v>
      </c>
      <c r="E791" s="986" t="n">
        <f aca="false">перекрытие!E108</f>
        <v>1</v>
      </c>
      <c r="F791" s="986"/>
      <c r="G791" s="967" t="n">
        <f aca="false">IF(F791&gt;0,D791*F791,E791*D791)</f>
        <v>0</v>
      </c>
      <c r="H791" s="986" t="n">
        <f aca="false">E791*D791*$H$725</f>
        <v>0</v>
      </c>
      <c r="I791" s="936" t="n">
        <f aca="false">IF(G791&gt;H791,G791,H791)*$H$725</f>
        <v>0</v>
      </c>
      <c r="J791" s="931"/>
      <c r="K791" s="937"/>
    </row>
    <row r="792" customFormat="false" ht="15.75" hidden="true" customHeight="false" outlineLevel="0" collapsed="false">
      <c r="A792" s="937"/>
      <c r="B792" s="980" t="str">
        <f aca="false">перекрытие!A109</f>
        <v>Монолит, бетон, 150мм, 2 слоя</v>
      </c>
      <c r="C792" s="968" t="str">
        <f aca="false">перекрытие!B109</f>
        <v>м2</v>
      </c>
      <c r="D792" s="967" t="n">
        <f aca="false">перекрытие!D109</f>
        <v>0</v>
      </c>
      <c r="E792" s="986" t="n">
        <f aca="false">перекрытие!E109</f>
        <v>1</v>
      </c>
      <c r="F792" s="986"/>
      <c r="G792" s="967" t="n">
        <f aca="false">IF(F792&gt;0,D792*F792,E792*D792)</f>
        <v>0</v>
      </c>
      <c r="H792" s="986" t="n">
        <f aca="false">E792*D792*$H$725</f>
        <v>0</v>
      </c>
      <c r="I792" s="936" t="n">
        <f aca="false">IF(G792&gt;H792,G792,H792)*$H$725</f>
        <v>0</v>
      </c>
      <c r="J792" s="931"/>
      <c r="K792" s="937"/>
    </row>
    <row r="793" customFormat="false" ht="15.75" hidden="true" customHeight="false" outlineLevel="0" collapsed="false">
      <c r="A793" s="937"/>
      <c r="B793" s="980" t="str">
        <f aca="false">перекрытие!A110</f>
        <v>Монолит, бетон, 150мм, 1 слой</v>
      </c>
      <c r="C793" s="968" t="str">
        <f aca="false">перекрытие!B110</f>
        <v>м2</v>
      </c>
      <c r="D793" s="967" t="n">
        <f aca="false">перекрытие!D110</f>
        <v>0</v>
      </c>
      <c r="E793" s="986" t="n">
        <f aca="false">перекрытие!E110</f>
        <v>1</v>
      </c>
      <c r="F793" s="986"/>
      <c r="G793" s="967" t="n">
        <f aca="false">IF(F793&gt;0,D793*F793,E793*D793)</f>
        <v>0</v>
      </c>
      <c r="H793" s="986" t="n">
        <f aca="false">E793*D793*$H$725</f>
        <v>0</v>
      </c>
      <c r="I793" s="936" t="n">
        <f aca="false">IF(G793&gt;H793,G793,H793)*$H$725</f>
        <v>0</v>
      </c>
      <c r="J793" s="931"/>
      <c r="K793" s="937"/>
    </row>
    <row r="794" customFormat="false" ht="15.75" hidden="false" customHeight="false" outlineLevel="0" collapsed="false">
      <c r="A794" s="937"/>
      <c r="B794" s="980" t="str">
        <f aca="false">перекрытие!A111</f>
        <v>доска для опалубки монолит перекрытий</v>
      </c>
      <c r="C794" s="968" t="str">
        <f aca="false">перекрытие!B111</f>
        <v>м3</v>
      </c>
      <c r="D794" s="967" t="n">
        <f aca="false">перекрытие!D111</f>
        <v>5.126</v>
      </c>
      <c r="E794" s="986" t="n">
        <f aca="false">перекрытие!E111</f>
        <v>6500</v>
      </c>
      <c r="F794" s="986"/>
      <c r="G794" s="967" t="n">
        <f aca="false">IF(F794&gt;0,D794*F794,E794*D794)</f>
        <v>33319</v>
      </c>
      <c r="H794" s="986" t="n">
        <f aca="false">E794*D794*$H$725</f>
        <v>33319</v>
      </c>
      <c r="I794" s="936" t="n">
        <f aca="false">IF(G794&gt;H794,G794,H794)*$H$725</f>
        <v>33319</v>
      </c>
      <c r="J794" s="931"/>
      <c r="K794" s="937"/>
    </row>
    <row r="795" customFormat="false" ht="15.75" hidden="true" customHeight="false" outlineLevel="0" collapsed="false">
      <c r="A795" s="937"/>
      <c r="B795" s="980" t="str">
        <f aca="false">перекрытие!A112</f>
        <v>стойки под опалубку перекрытий</v>
      </c>
      <c r="C795" s="968" t="str">
        <f aca="false">перекрытие!B112</f>
        <v>шт</v>
      </c>
      <c r="D795" s="967" t="n">
        <f aca="false">перекрытие!D112</f>
        <v>64</v>
      </c>
      <c r="E795" s="986" t="n">
        <f aca="false">перекрытие!E112</f>
        <v>0</v>
      </c>
      <c r="F795" s="986"/>
      <c r="G795" s="967" t="n">
        <f aca="false">IF(F795&gt;0,D795*F795,E795*D795)</f>
        <v>0</v>
      </c>
      <c r="H795" s="986" t="n">
        <f aca="false">E795*D795*$H$725</f>
        <v>0</v>
      </c>
      <c r="I795" s="936" t="n">
        <f aca="false">IF(G795&gt;H795,G795,H795)*$H$725</f>
        <v>0</v>
      </c>
      <c r="J795" s="931"/>
      <c r="K795" s="937"/>
    </row>
    <row r="796" customFormat="false" ht="15.75" hidden="false" customHeight="false" outlineLevel="0" collapsed="false">
      <c r="A796" s="937"/>
      <c r="B796" s="980" t="str">
        <f aca="false">перекрытие!A113</f>
        <v>Пленка гидроизоляционная </v>
      </c>
      <c r="C796" s="968" t="str">
        <f aca="false">перекрытие!B113</f>
        <v>м2</v>
      </c>
      <c r="D796" s="967" t="n">
        <f aca="false">перекрытие!D113</f>
        <v>83.2</v>
      </c>
      <c r="E796" s="986" t="n">
        <f aca="false">перекрытие!E113</f>
        <v>15</v>
      </c>
      <c r="F796" s="986"/>
      <c r="G796" s="967" t="n">
        <f aca="false">IF(F796&gt;0,D796*F796,E796*D796)</f>
        <v>1248</v>
      </c>
      <c r="H796" s="986" t="n">
        <f aca="false">E796*D796*$H$725</f>
        <v>1248</v>
      </c>
      <c r="I796" s="936" t="n">
        <f aca="false">IF(G796&gt;H796,G796,H796)*$H$725</f>
        <v>1248</v>
      </c>
      <c r="J796" s="931"/>
      <c r="K796" s="937"/>
    </row>
    <row r="797" customFormat="false" ht="15.75" hidden="false" customHeight="false" outlineLevel="0" collapsed="false">
      <c r="A797" s="937"/>
      <c r="B797" s="980" t="str">
        <f aca="false">перекрытие!A114</f>
        <v>Арматура М10</v>
      </c>
      <c r="C797" s="968" t="str">
        <f aca="false">перекрытие!B114</f>
        <v>м.п.</v>
      </c>
      <c r="D797" s="967" t="n">
        <f aca="false">перекрытие!D114</f>
        <v>640</v>
      </c>
      <c r="E797" s="986" t="n">
        <f aca="false">перекрытие!E114</f>
        <v>21.0397</v>
      </c>
      <c r="F797" s="986"/>
      <c r="G797" s="967" t="n">
        <f aca="false">IF(F797&gt;0,D797*F797,E797*D797)</f>
        <v>13465.408</v>
      </c>
      <c r="H797" s="986" t="n">
        <f aca="false">E797*D797*$H$725</f>
        <v>13465.408</v>
      </c>
      <c r="I797" s="936" t="n">
        <f aca="false">IF(G797&gt;H797,G797,H797)*$H$725</f>
        <v>13465.408</v>
      </c>
      <c r="J797" s="931"/>
      <c r="K797" s="937"/>
    </row>
    <row r="798" customFormat="false" ht="15.75" hidden="false" customHeight="false" outlineLevel="0" collapsed="false">
      <c r="A798" s="937"/>
      <c r="B798" s="980" t="str">
        <f aca="false">перекрытие!A115</f>
        <v>Вязальная проволока</v>
      </c>
      <c r="C798" s="968" t="str">
        <f aca="false">перекрытие!B115</f>
        <v>кг</v>
      </c>
      <c r="D798" s="967" t="n">
        <f aca="false">перекрытие!D115</f>
        <v>16</v>
      </c>
      <c r="E798" s="986" t="n">
        <f aca="false">перекрытие!E115</f>
        <v>80</v>
      </c>
      <c r="F798" s="986"/>
      <c r="G798" s="967" t="n">
        <f aca="false">IF(F798&gt;0,D798*F798,E798*D798)</f>
        <v>1280</v>
      </c>
      <c r="H798" s="986" t="n">
        <f aca="false">E798*D798*$H$725</f>
        <v>1280</v>
      </c>
      <c r="I798" s="936" t="n">
        <f aca="false">IF(G798&gt;H798,G798,H798)*$H$725</f>
        <v>1280</v>
      </c>
      <c r="J798" s="931"/>
      <c r="K798" s="937"/>
    </row>
    <row r="799" customFormat="false" ht="15.75" hidden="false" customHeight="false" outlineLevel="0" collapsed="false">
      <c r="A799" s="937"/>
      <c r="B799" s="980" t="str">
        <f aca="false">перекрытие!A116</f>
        <v>Подставка под арматурный каркас</v>
      </c>
      <c r="C799" s="968" t="str">
        <f aca="false">перекрытие!B116</f>
        <v>шт</v>
      </c>
      <c r="D799" s="967" t="n">
        <f aca="false">перекрытие!D116</f>
        <v>256</v>
      </c>
      <c r="E799" s="986" t="n">
        <f aca="false">перекрытие!E116</f>
        <v>5</v>
      </c>
      <c r="F799" s="986"/>
      <c r="G799" s="967" t="n">
        <f aca="false">IF(F799&gt;0,D799*F799,E799*D799)</f>
        <v>1280</v>
      </c>
      <c r="H799" s="986" t="n">
        <f aca="false">E799*D799*$H$725</f>
        <v>1280</v>
      </c>
      <c r="I799" s="936" t="n">
        <f aca="false">IF(G799&gt;H799,G799,H799)*$H$725</f>
        <v>1280</v>
      </c>
      <c r="J799" s="931"/>
      <c r="K799" s="937"/>
    </row>
    <row r="800" customFormat="false" ht="15.75" hidden="false" customHeight="false" outlineLevel="0" collapsed="false">
      <c r="A800" s="937"/>
      <c r="B800" s="980" t="str">
        <f aca="false">перекрытие!A117</f>
        <v>бетон, м350</v>
      </c>
      <c r="C800" s="968" t="str">
        <f aca="false">перекрытие!B117</f>
        <v>м3</v>
      </c>
      <c r="D800" s="967" t="n">
        <f aca="false">перекрытие!D117</f>
        <v>12.8</v>
      </c>
      <c r="E800" s="986" t="n">
        <f aca="false">перекрытие!E117</f>
        <v>3500</v>
      </c>
      <c r="F800" s="986"/>
      <c r="G800" s="967" t="n">
        <f aca="false">IF(F800&gt;0,D800*F800,E800*D800)</f>
        <v>44800</v>
      </c>
      <c r="H800" s="986" t="n">
        <f aca="false">E800*D800*$H$725</f>
        <v>44800</v>
      </c>
      <c r="I800" s="936" t="n">
        <f aca="false">IF(G800&gt;H800,G800,H800)*$H$725</f>
        <v>44800</v>
      </c>
      <c r="J800" s="931"/>
      <c r="K800" s="937"/>
    </row>
    <row r="801" customFormat="false" ht="15.75" hidden="true" customHeight="false" outlineLevel="0" collapsed="false">
      <c r="A801" s="937"/>
      <c r="B801" s="980" t="str">
        <f aca="false">перекрытие!A118</f>
        <v>Брус естественной влажности, 200*100мм</v>
      </c>
      <c r="C801" s="968" t="str">
        <f aca="false">перекрытие!B118</f>
        <v>м3</v>
      </c>
      <c r="D801" s="967" t="n">
        <f aca="false">перекрытие!D118</f>
        <v>0</v>
      </c>
      <c r="E801" s="986" t="n">
        <f aca="false">перекрытие!E118</f>
        <v>6500</v>
      </c>
      <c r="F801" s="986"/>
      <c r="G801" s="967" t="n">
        <f aca="false">IF(F801&gt;0,D801*F801,E801*D801)</f>
        <v>0</v>
      </c>
      <c r="H801" s="986" t="n">
        <f aca="false">E801*D801*$H$725</f>
        <v>0</v>
      </c>
      <c r="I801" s="936" t="n">
        <f aca="false">IF(G801&gt;H801,G801,H801)*$H$725</f>
        <v>0</v>
      </c>
      <c r="J801" s="931"/>
      <c r="K801" s="937"/>
    </row>
    <row r="802" customFormat="false" ht="15.75" hidden="true" customHeight="false" outlineLevel="0" collapsed="false">
      <c r="A802" s="937"/>
      <c r="B802" s="980" t="str">
        <f aca="false">перекрытие!A119</f>
        <v>Брус естественной влажности, 150*100мм</v>
      </c>
      <c r="C802" s="968" t="str">
        <f aca="false">перекрытие!B119</f>
        <v>м3</v>
      </c>
      <c r="D802" s="967" t="n">
        <f aca="false">перекрытие!D119</f>
        <v>0</v>
      </c>
      <c r="E802" s="986" t="n">
        <f aca="false">перекрытие!E119</f>
        <v>6500</v>
      </c>
      <c r="F802" s="986"/>
      <c r="G802" s="967" t="n">
        <f aca="false">IF(F802&gt;0,D802*F802,E802*D802)</f>
        <v>0</v>
      </c>
      <c r="H802" s="986" t="n">
        <f aca="false">E802*D802*$H$725</f>
        <v>0</v>
      </c>
      <c r="I802" s="936" t="n">
        <f aca="false">IF(G802&gt;H802,G802,H802)*$H$725</f>
        <v>0</v>
      </c>
      <c r="J802" s="931"/>
      <c r="K802" s="937"/>
    </row>
    <row r="803" customFormat="false" ht="15.75" hidden="true" customHeight="false" outlineLevel="0" collapsed="false">
      <c r="A803" s="937"/>
      <c r="B803" s="980" t="str">
        <f aca="false">перекрытие!A120</f>
        <v>Брус естественной влажности, 100*100мм</v>
      </c>
      <c r="C803" s="968" t="str">
        <f aca="false">перекрытие!B120</f>
        <v>м3</v>
      </c>
      <c r="D803" s="967" t="n">
        <f aca="false">перекрытие!D120</f>
        <v>0</v>
      </c>
      <c r="E803" s="986" t="n">
        <f aca="false">перекрытие!E120</f>
        <v>6500</v>
      </c>
      <c r="F803" s="986"/>
      <c r="G803" s="967" t="n">
        <f aca="false">IF(F803&gt;0,D803*F803,E803*D803)</f>
        <v>0</v>
      </c>
      <c r="H803" s="986" t="n">
        <f aca="false">E803*D803*$H$725</f>
        <v>0</v>
      </c>
      <c r="I803" s="936" t="n">
        <f aca="false">IF(G803&gt;H803,G803,H803)*$H$725</f>
        <v>0</v>
      </c>
      <c r="J803" s="931"/>
      <c r="K803" s="937"/>
    </row>
    <row r="804" customFormat="false" ht="15.75" hidden="true" customHeight="false" outlineLevel="0" collapsed="false">
      <c r="A804" s="937"/>
      <c r="B804" s="980" t="str">
        <f aca="false">перекрытие!A121</f>
        <v>Брус естественной влажности, 150*150мм</v>
      </c>
      <c r="C804" s="968" t="str">
        <f aca="false">перекрытие!B121</f>
        <v>м3</v>
      </c>
      <c r="D804" s="967" t="n">
        <f aca="false">перекрытие!D121</f>
        <v>0</v>
      </c>
      <c r="E804" s="986" t="n">
        <f aca="false">перекрытие!E121</f>
        <v>6500</v>
      </c>
      <c r="F804" s="986"/>
      <c r="G804" s="967" t="n">
        <f aca="false">IF(F804&gt;0,D804*F804,E804*D804)</f>
        <v>0</v>
      </c>
      <c r="H804" s="986" t="n">
        <f aca="false">E804*D804*$H$725</f>
        <v>0</v>
      </c>
      <c r="I804" s="936" t="n">
        <f aca="false">IF(G804&gt;H804,G804,H804)*$H$725</f>
        <v>0</v>
      </c>
      <c r="J804" s="931"/>
      <c r="K804" s="937"/>
    </row>
    <row r="805" customFormat="false" ht="15.75" hidden="true" customHeight="false" outlineLevel="0" collapsed="false">
      <c r="A805" s="937"/>
      <c r="B805" s="980" t="str">
        <f aca="false">перекрытие!A122</f>
        <v>Доска естественной влажности, 200*50мм</v>
      </c>
      <c r="C805" s="968" t="str">
        <f aca="false">перекрытие!B122</f>
        <v>м3</v>
      </c>
      <c r="D805" s="967" t="n">
        <f aca="false">перекрытие!D122</f>
        <v>0</v>
      </c>
      <c r="E805" s="986" t="n">
        <f aca="false">перекрытие!E122</f>
        <v>6500</v>
      </c>
      <c r="F805" s="986"/>
      <c r="G805" s="967" t="n">
        <f aca="false">IF(F805&gt;0,D805*F805,E805*D805)</f>
        <v>0</v>
      </c>
      <c r="H805" s="986" t="n">
        <f aca="false">E805*D805*$H$725</f>
        <v>0</v>
      </c>
      <c r="I805" s="936" t="n">
        <f aca="false">IF(G805&gt;H805,G805,H805)*$H$725</f>
        <v>0</v>
      </c>
      <c r="J805" s="931"/>
      <c r="K805" s="937"/>
    </row>
    <row r="806" customFormat="false" ht="15.75" hidden="true" customHeight="false" outlineLevel="0" collapsed="false">
      <c r="A806" s="937"/>
      <c r="B806" s="980" t="str">
        <f aca="false">перекрытие!A123</f>
        <v>Доска естественной влажности, 150*50мм</v>
      </c>
      <c r="C806" s="968" t="str">
        <f aca="false">перекрытие!B123</f>
        <v>м3</v>
      </c>
      <c r="D806" s="967" t="n">
        <f aca="false">перекрытие!D123</f>
        <v>0</v>
      </c>
      <c r="E806" s="986" t="n">
        <f aca="false">перекрытие!E123</f>
        <v>6500</v>
      </c>
      <c r="F806" s="986"/>
      <c r="G806" s="967" t="n">
        <f aca="false">IF(F806&gt;0,D806*F806,E806*D806)</f>
        <v>0</v>
      </c>
      <c r="H806" s="986" t="n">
        <f aca="false">E806*D806*$H$725</f>
        <v>0</v>
      </c>
      <c r="I806" s="936" t="n">
        <f aca="false">IF(G806&gt;H806,G806,H806)*$H$725</f>
        <v>0</v>
      </c>
      <c r="J806" s="931"/>
      <c r="K806" s="937"/>
    </row>
    <row r="807" customFormat="false" ht="15.75" hidden="true" customHeight="false" outlineLevel="0" collapsed="false">
      <c r="A807" s="937"/>
      <c r="B807" s="980" t="str">
        <f aca="false">перекрытие!A124</f>
        <v>Опора бруса          </v>
      </c>
      <c r="C807" s="968" t="str">
        <f aca="false">перекрытие!B124</f>
        <v>шт</v>
      </c>
      <c r="D807" s="967" t="n">
        <f aca="false">перекрытие!D124</f>
        <v>0</v>
      </c>
      <c r="E807" s="986" t="n">
        <f aca="false">перекрытие!E124</f>
        <v>50</v>
      </c>
      <c r="F807" s="986"/>
      <c r="G807" s="967" t="n">
        <f aca="false">IF(F807&gt;0,D807*F807,E807*D807)</f>
        <v>0</v>
      </c>
      <c r="H807" s="986" t="n">
        <f aca="false">E807*D807*$H$725</f>
        <v>0</v>
      </c>
      <c r="I807" s="936" t="n">
        <f aca="false">IF(G807&gt;H807,G807,H807)*$H$725</f>
        <v>0</v>
      </c>
      <c r="J807" s="931"/>
      <c r="K807" s="937"/>
    </row>
    <row r="808" customFormat="false" ht="15.75" hidden="true" customHeight="false" outlineLevel="0" collapsed="false">
      <c r="A808" s="937"/>
      <c r="B808" s="980" t="str">
        <f aca="false">перекрытие!A125</f>
        <v>Болты анкерные с гайкой 8,0 x 60           </v>
      </c>
      <c r="C808" s="968" t="str">
        <f aca="false">перекрытие!B125</f>
        <v>шт</v>
      </c>
      <c r="D808" s="967" t="n">
        <f aca="false">перекрытие!D125</f>
        <v>0</v>
      </c>
      <c r="E808" s="986" t="n">
        <f aca="false">перекрытие!E125</f>
        <v>4</v>
      </c>
      <c r="F808" s="986"/>
      <c r="G808" s="967" t="n">
        <f aca="false">IF(F808&gt;0,D808*F808,E808*D808)</f>
        <v>0</v>
      </c>
      <c r="H808" s="986" t="n">
        <f aca="false">E808*D808*$H$725</f>
        <v>0</v>
      </c>
      <c r="I808" s="936" t="n">
        <f aca="false">IF(G808&gt;H808,G808,H808)*$H$725</f>
        <v>0</v>
      </c>
      <c r="J808" s="931"/>
      <c r="K808" s="937"/>
    </row>
    <row r="809" customFormat="false" ht="15.75" hidden="true" customHeight="false" outlineLevel="0" collapsed="false">
      <c r="A809" s="937"/>
      <c r="B809" s="980" t="str">
        <f aca="false">перекрытие!A126</f>
        <v>Sip панель 2500*625*124мм</v>
      </c>
      <c r="C809" s="968" t="str">
        <f aca="false">перекрытие!B126</f>
        <v>м2</v>
      </c>
      <c r="D809" s="967" t="n">
        <f aca="false">перекрытие!D126</f>
        <v>0</v>
      </c>
      <c r="E809" s="986" t="n">
        <f aca="false">перекрытие!E126</f>
        <v>800</v>
      </c>
      <c r="F809" s="986"/>
      <c r="G809" s="967" t="n">
        <f aca="false">IF(F809&gt;0,D809*F809,E809*D809)</f>
        <v>0</v>
      </c>
      <c r="H809" s="986" t="n">
        <f aca="false">E809*D809*$H$725</f>
        <v>0</v>
      </c>
      <c r="I809" s="936" t="n">
        <f aca="false">IF(G809&gt;H809,G809,H809)*$H$725</f>
        <v>0</v>
      </c>
      <c r="J809" s="931"/>
      <c r="K809" s="937"/>
    </row>
    <row r="810" customFormat="false" ht="15.75" hidden="true" customHeight="false" outlineLevel="0" collapsed="false">
      <c r="A810" s="937"/>
      <c r="B810" s="980" t="str">
        <f aca="false">перекрытие!A127</f>
        <v>Sip панель 2500*625*174мм</v>
      </c>
      <c r="C810" s="968" t="str">
        <f aca="false">перекрытие!B127</f>
        <v>м2</v>
      </c>
      <c r="D810" s="967" t="n">
        <f aca="false">перекрытие!D127</f>
        <v>0</v>
      </c>
      <c r="E810" s="986" t="n">
        <f aca="false">перекрытие!E127</f>
        <v>1200</v>
      </c>
      <c r="F810" s="986"/>
      <c r="G810" s="967" t="n">
        <f aca="false">IF(F810&gt;0,D810*F810,E810*D810)</f>
        <v>0</v>
      </c>
      <c r="H810" s="986" t="n">
        <f aca="false">E810*D810*$H$725</f>
        <v>0</v>
      </c>
      <c r="I810" s="936" t="n">
        <f aca="false">IF(G810&gt;H810,G810,H810)*$H$725</f>
        <v>0</v>
      </c>
      <c r="J810" s="931"/>
      <c r="K810" s="937"/>
    </row>
    <row r="811" customFormat="false" ht="15.75" hidden="true" customHeight="false" outlineLevel="0" collapsed="false">
      <c r="A811" s="937"/>
      <c r="B811" s="980" t="str">
        <f aca="false">перекрытие!A128</f>
        <v>Sip панель 2500*625*224мм</v>
      </c>
      <c r="C811" s="968" t="str">
        <f aca="false">перекрытие!B128</f>
        <v>м2</v>
      </c>
      <c r="D811" s="967" t="n">
        <f aca="false">перекрытие!D128</f>
        <v>0</v>
      </c>
      <c r="E811" s="986" t="n">
        <f aca="false">перекрытие!E128</f>
        <v>1400</v>
      </c>
      <c r="F811" s="986"/>
      <c r="G811" s="967" t="n">
        <f aca="false">IF(F811&gt;0,D811*F811,E811*D811)</f>
        <v>0</v>
      </c>
      <c r="H811" s="986" t="n">
        <f aca="false">E811*D811*$H$725</f>
        <v>0</v>
      </c>
      <c r="I811" s="936" t="n">
        <f aca="false">IF(G811&gt;H811,G811,H811)*$H$725</f>
        <v>0</v>
      </c>
      <c r="J811" s="931"/>
      <c r="K811" s="937"/>
    </row>
    <row r="812" customFormat="false" ht="15.75" hidden="true" customHeight="false" outlineLevel="0" collapsed="false">
      <c r="A812" s="937"/>
      <c r="B812" s="980" t="str">
        <f aca="false">перекрытие!A129</f>
        <v>Доска сухая, 100*50мм</v>
      </c>
      <c r="C812" s="968" t="str">
        <f aca="false">перекрытие!B129</f>
        <v>м.п.</v>
      </c>
      <c r="D812" s="967" t="n">
        <f aca="false">перекрытие!D129</f>
        <v>0</v>
      </c>
      <c r="E812" s="986" t="n">
        <f aca="false">перекрытие!E129</f>
        <v>45</v>
      </c>
      <c r="F812" s="986"/>
      <c r="G812" s="967" t="n">
        <f aca="false">IF(F812&gt;0,D812*F812,E812*D812)</f>
        <v>0</v>
      </c>
      <c r="H812" s="986" t="n">
        <f aca="false">E812*D812*$H$725</f>
        <v>0</v>
      </c>
      <c r="I812" s="936" t="n">
        <f aca="false">IF(G812&gt;H812,G812,H812)*$H$725</f>
        <v>0</v>
      </c>
      <c r="J812" s="931"/>
      <c r="K812" s="937"/>
    </row>
    <row r="813" customFormat="false" ht="15.75" hidden="true" customHeight="false" outlineLevel="0" collapsed="false">
      <c r="A813" s="937"/>
      <c r="B813" s="980" t="str">
        <f aca="false">перекрытие!A130</f>
        <v>Доска сухая, 150*50мм</v>
      </c>
      <c r="C813" s="968" t="str">
        <f aca="false">перекрытие!B130</f>
        <v>м.п.</v>
      </c>
      <c r="D813" s="967" t="n">
        <f aca="false">перекрытие!D130</f>
        <v>0</v>
      </c>
      <c r="E813" s="986" t="n">
        <f aca="false">перекрытие!E130</f>
        <v>67.5</v>
      </c>
      <c r="F813" s="986"/>
      <c r="G813" s="967" t="n">
        <f aca="false">IF(F813&gt;0,D813*F813,E813*D813)</f>
        <v>0</v>
      </c>
      <c r="H813" s="986" t="n">
        <f aca="false">E813*D813*$H$725</f>
        <v>0</v>
      </c>
      <c r="I813" s="936" t="n">
        <f aca="false">IF(G813&gt;H813,G813,H813)*$H$725</f>
        <v>0</v>
      </c>
      <c r="J813" s="931"/>
      <c r="K813" s="937"/>
    </row>
    <row r="814" customFormat="false" ht="15.75" hidden="true" customHeight="false" outlineLevel="0" collapsed="false">
      <c r="A814" s="937"/>
      <c r="B814" s="980" t="str">
        <f aca="false">перекрытие!A131</f>
        <v>Доска сухая, 200*50мм</v>
      </c>
      <c r="C814" s="968" t="str">
        <f aca="false">перекрытие!B131</f>
        <v>м.п.</v>
      </c>
      <c r="D814" s="967" t="n">
        <f aca="false">перекрытие!D131</f>
        <v>0</v>
      </c>
      <c r="E814" s="986" t="n">
        <f aca="false">перекрытие!E131</f>
        <v>90</v>
      </c>
      <c r="F814" s="986"/>
      <c r="G814" s="967" t="n">
        <f aca="false">IF(F814&gt;0,D814*F814,E814*D814)</f>
        <v>0</v>
      </c>
      <c r="H814" s="986" t="n">
        <f aca="false">E814*D814*$H$725</f>
        <v>0</v>
      </c>
      <c r="I814" s="936" t="n">
        <f aca="false">IF(G814&gt;H814,G814,H814)*$H$725</f>
        <v>0</v>
      </c>
      <c r="J814" s="931"/>
      <c r="K814" s="937"/>
    </row>
    <row r="815" customFormat="false" ht="15.75" hidden="true" customHeight="false" outlineLevel="0" collapsed="false">
      <c r="A815" s="937"/>
      <c r="B815" s="980" t="str">
        <f aca="false">перекрытие!A132</f>
        <v>Пена монтажная, всесезонняя 800мл</v>
      </c>
      <c r="C815" s="968" t="str">
        <f aca="false">перекрытие!B132</f>
        <v>шт</v>
      </c>
      <c r="D815" s="967" t="n">
        <f aca="false">перекрытие!D132</f>
        <v>0</v>
      </c>
      <c r="E815" s="986" t="n">
        <f aca="false">перекрытие!E132</f>
        <v>300</v>
      </c>
      <c r="F815" s="986"/>
      <c r="G815" s="967" t="n">
        <f aca="false">IF(F815&gt;0,D815*F815,E815*D815)</f>
        <v>0</v>
      </c>
      <c r="H815" s="986" t="n">
        <f aca="false">E815*D815*$H$725</f>
        <v>0</v>
      </c>
      <c r="I815" s="936" t="n">
        <f aca="false">IF(G815&gt;H815,G815,H815)*$H$725</f>
        <v>0</v>
      </c>
      <c r="J815" s="931"/>
      <c r="K815" s="937"/>
    </row>
    <row r="816" customFormat="false" ht="15.75" hidden="true" customHeight="false" outlineLevel="0" collapsed="false">
      <c r="A816" s="937"/>
      <c r="B816" s="980" t="str">
        <f aca="false">перекрытие!A133</f>
        <v>Гвозди строительные 3,5 x 90            </v>
      </c>
      <c r="C816" s="968" t="str">
        <f aca="false">перекрытие!B133</f>
        <v>шт</v>
      </c>
      <c r="D816" s="967" t="n">
        <f aca="false">перекрытие!D133</f>
        <v>0</v>
      </c>
      <c r="E816" s="986" t="n">
        <f aca="false">перекрытие!E133</f>
        <v>45</v>
      </c>
      <c r="F816" s="986"/>
      <c r="G816" s="967" t="n">
        <f aca="false">IF(F816&gt;0,D816*F816,E816*D816)</f>
        <v>0</v>
      </c>
      <c r="H816" s="986" t="n">
        <f aca="false">E816*D816*$H$725</f>
        <v>0</v>
      </c>
      <c r="I816" s="936" t="n">
        <f aca="false">IF(G816&gt;H816,G816,H816)*$H$725</f>
        <v>0</v>
      </c>
      <c r="J816" s="931"/>
      <c r="K816" s="937"/>
    </row>
    <row r="817" customFormat="false" ht="15.75" hidden="true" customHeight="false" outlineLevel="0" collapsed="false">
      <c r="A817" s="937"/>
      <c r="B817" s="980" t="str">
        <f aca="false">перекрытие!A134</f>
        <v>Саморезы 3,5 x 45            </v>
      </c>
      <c r="C817" s="968" t="str">
        <f aca="false">перекрытие!B134</f>
        <v>шт</v>
      </c>
      <c r="D817" s="967" t="n">
        <f aca="false">перекрытие!D134</f>
        <v>0</v>
      </c>
      <c r="E817" s="986" t="n">
        <f aca="false">перекрытие!E134</f>
        <v>0.25</v>
      </c>
      <c r="F817" s="986"/>
      <c r="G817" s="967" t="n">
        <f aca="false">IF(F817&gt;0,D817*F817,E817*D817)</f>
        <v>0</v>
      </c>
      <c r="H817" s="986" t="n">
        <f aca="false">E817*D817*$H$725</f>
        <v>0</v>
      </c>
      <c r="I817" s="936" t="n">
        <f aca="false">IF(G817&gt;H817,G817,H817)*$H$725</f>
        <v>0</v>
      </c>
      <c r="J817" s="931"/>
      <c r="K817" s="937"/>
    </row>
    <row r="818" customFormat="false" ht="15.75" hidden="true" customHeight="false" outlineLevel="0" collapsed="false">
      <c r="A818" s="937"/>
      <c r="B818" s="980" t="str">
        <f aca="false">перекрытие!A135</f>
        <v>Доска сухая, 200*50мм</v>
      </c>
      <c r="C818" s="968" t="str">
        <f aca="false">перекрытие!B135</f>
        <v>м3</v>
      </c>
      <c r="D818" s="967" t="n">
        <f aca="false">перекрытие!D135</f>
        <v>0</v>
      </c>
      <c r="E818" s="986" t="n">
        <f aca="false">перекрытие!E135</f>
        <v>9000</v>
      </c>
      <c r="F818" s="986"/>
      <c r="G818" s="967" t="n">
        <f aca="false">IF(F818&gt;0,D818*F818,E818*D818)</f>
        <v>0</v>
      </c>
      <c r="H818" s="986" t="n">
        <f aca="false">E818*D818*$H$725</f>
        <v>0</v>
      </c>
      <c r="I818" s="936" t="n">
        <f aca="false">IF(G818&gt;H818,G818,H818)*$H$725</f>
        <v>0</v>
      </c>
      <c r="J818" s="931"/>
      <c r="K818" s="937"/>
    </row>
    <row r="819" customFormat="false" ht="15.75" hidden="true" customHeight="false" outlineLevel="0" collapsed="false">
      <c r="A819" s="937"/>
      <c r="B819" s="980" t="str">
        <f aca="false">перекрытие!A136</f>
        <v>Доска сухая, 150*50мм</v>
      </c>
      <c r="C819" s="968" t="str">
        <f aca="false">перекрытие!B136</f>
        <v>м3</v>
      </c>
      <c r="D819" s="967" t="n">
        <f aca="false">перекрытие!D136</f>
        <v>0</v>
      </c>
      <c r="E819" s="986" t="n">
        <f aca="false">перекрытие!E136</f>
        <v>9000</v>
      </c>
      <c r="F819" s="986"/>
      <c r="G819" s="967" t="n">
        <f aca="false">IF(F819&gt;0,D819*F819,E819*D819)</f>
        <v>0</v>
      </c>
      <c r="H819" s="986" t="n">
        <f aca="false">E819*D819*$H$725</f>
        <v>0</v>
      </c>
      <c r="I819" s="936" t="n">
        <f aca="false">IF(G819&gt;H819,G819,H819)*$H$725</f>
        <v>0</v>
      </c>
      <c r="J819" s="931"/>
      <c r="K819" s="937"/>
    </row>
    <row r="820" customFormat="false" ht="15.75" hidden="true" customHeight="false" outlineLevel="0" collapsed="false">
      <c r="A820" s="937"/>
      <c r="B820" s="980" t="str">
        <f aca="false">перекрытие!A137</f>
        <v>Гвозди ершоные 2,8 х 90            </v>
      </c>
      <c r="C820" s="968" t="str">
        <f aca="false">перекрытие!B137</f>
        <v>кг</v>
      </c>
      <c r="D820" s="967" t="n">
        <f aca="false">перекрытие!D137</f>
        <v>0</v>
      </c>
      <c r="E820" s="986" t="n">
        <f aca="false">перекрытие!E137</f>
        <v>76.49</v>
      </c>
      <c r="F820" s="986"/>
      <c r="G820" s="967" t="n">
        <f aca="false">IF(F820&gt;0,D820*F820,E820*D820)</f>
        <v>0</v>
      </c>
      <c r="H820" s="986" t="n">
        <f aca="false">E820*D820*$H$725</f>
        <v>0</v>
      </c>
      <c r="I820" s="936" t="n">
        <f aca="false">IF(G820&gt;H820,G820,H820)*$H$725</f>
        <v>0</v>
      </c>
      <c r="J820" s="931"/>
      <c r="K820" s="937"/>
    </row>
    <row r="821" customFormat="false" ht="15.75" hidden="true" customHeight="false" outlineLevel="0" collapsed="false">
      <c r="A821" s="937"/>
      <c r="B821" s="980" t="str">
        <f aca="false">перекрытие!A138</f>
        <v>Доска сухая калиброванная, 190*45мм</v>
      </c>
      <c r="C821" s="968" t="str">
        <f aca="false">перекрытие!B138</f>
        <v>м3</v>
      </c>
      <c r="D821" s="967" t="n">
        <f aca="false">перекрытие!D138</f>
        <v>0</v>
      </c>
      <c r="E821" s="986" t="n">
        <f aca="false">перекрытие!E138</f>
        <v>12500</v>
      </c>
      <c r="F821" s="986"/>
      <c r="G821" s="967" t="n">
        <f aca="false">IF(F821&gt;0,D821*F821,E821*D821)</f>
        <v>0</v>
      </c>
      <c r="H821" s="986" t="n">
        <f aca="false">E821*D821*$H$725</f>
        <v>0</v>
      </c>
      <c r="I821" s="936" t="n">
        <f aca="false">IF(G821&gt;H821,G821,H821)*$H$725</f>
        <v>0</v>
      </c>
      <c r="J821" s="931"/>
      <c r="K821" s="937"/>
    </row>
    <row r="822" customFormat="false" ht="15.75" hidden="true" customHeight="false" outlineLevel="0" collapsed="false">
      <c r="A822" s="937"/>
      <c r="B822" s="980" t="str">
        <f aca="false">перекрытие!A139</f>
        <v>Доска сухая калиброванная, 145*45мм</v>
      </c>
      <c r="C822" s="968" t="str">
        <f aca="false">перекрытие!B139</f>
        <v>м3</v>
      </c>
      <c r="D822" s="967" t="n">
        <f aca="false">перекрытие!D139</f>
        <v>0</v>
      </c>
      <c r="E822" s="986" t="n">
        <f aca="false">перекрытие!E139</f>
        <v>12500</v>
      </c>
      <c r="F822" s="986"/>
      <c r="G822" s="967" t="n">
        <f aca="false">IF(F822&gt;0,D822*F822,E822*D822)</f>
        <v>0</v>
      </c>
      <c r="H822" s="986" t="n">
        <f aca="false">E822*D822*$H$725</f>
        <v>0</v>
      </c>
      <c r="I822" s="936" t="n">
        <f aca="false">IF(G822&gt;H822,G822,H822)*$H$725</f>
        <v>0</v>
      </c>
      <c r="J822" s="931"/>
      <c r="K822" s="937"/>
    </row>
    <row r="823" customFormat="false" ht="15.75" hidden="true" customHeight="false" outlineLevel="0" collapsed="false">
      <c r="A823" s="937"/>
      <c r="B823" s="980" t="str">
        <f aca="false">перекрытие!A140</f>
        <v>Гвозди ершоные 2,8 х 90            </v>
      </c>
      <c r="C823" s="968" t="str">
        <f aca="false">перекрытие!B140</f>
        <v>кг</v>
      </c>
      <c r="D823" s="967" t="n">
        <f aca="false">перекрытие!D140</f>
        <v>0</v>
      </c>
      <c r="E823" s="986" t="n">
        <f aca="false">перекрытие!E140</f>
        <v>76.49</v>
      </c>
      <c r="F823" s="986"/>
      <c r="G823" s="967" t="n">
        <f aca="false">IF(F823&gt;0,D823*F823,E823*D823)</f>
        <v>0</v>
      </c>
      <c r="H823" s="986" t="n">
        <f aca="false">E823*D823*$H$725</f>
        <v>0</v>
      </c>
      <c r="I823" s="936" t="n">
        <f aca="false">IF(G823&gt;H823,G823,H823)*$H$725</f>
        <v>0</v>
      </c>
      <c r="J823" s="931"/>
      <c r="K823" s="937"/>
    </row>
    <row r="824" customFormat="false" ht="15.75" hidden="true" customHeight="false" outlineLevel="0" collapsed="false">
      <c r="A824" s="937"/>
      <c r="B824" s="980" t="str">
        <f aca="false">перекрытие!A141</f>
        <v>Двутавровая деревянная балка, 400*65мм</v>
      </c>
      <c r="C824" s="968" t="str">
        <f aca="false">перекрытие!B141</f>
        <v>м.п.</v>
      </c>
      <c r="D824" s="967" t="n">
        <f aca="false">перекрытие!D141</f>
        <v>0</v>
      </c>
      <c r="E824" s="986" t="n">
        <f aca="false">перекрытие!E141</f>
        <v>303</v>
      </c>
      <c r="F824" s="986"/>
      <c r="G824" s="967" t="n">
        <f aca="false">IF(F824&gt;0,D824*F824,E824*D824)</f>
        <v>0</v>
      </c>
      <c r="H824" s="986" t="n">
        <f aca="false">E824*D824*$H$725</f>
        <v>0</v>
      </c>
      <c r="I824" s="936" t="n">
        <f aca="false">IF(G824&gt;H824,G824,H824)*$H$725</f>
        <v>0</v>
      </c>
      <c r="J824" s="931"/>
      <c r="K824" s="937"/>
    </row>
    <row r="825" customFormat="false" ht="15.75" hidden="true" customHeight="false" outlineLevel="0" collapsed="false">
      <c r="A825" s="937"/>
      <c r="B825" s="980" t="str">
        <f aca="false">перекрытие!A142</f>
        <v>Двутавровая деревянная балка, 400*90мм</v>
      </c>
      <c r="C825" s="968" t="str">
        <f aca="false">перекрытие!B142</f>
        <v>м.п.</v>
      </c>
      <c r="D825" s="967" t="n">
        <f aca="false">перекрытие!D142</f>
        <v>0</v>
      </c>
      <c r="E825" s="986" t="n">
        <f aca="false">перекрытие!E142</f>
        <v>355</v>
      </c>
      <c r="F825" s="986"/>
      <c r="G825" s="967" t="n">
        <f aca="false">IF(F825&gt;0,D825*F825,E825*D825)</f>
        <v>0</v>
      </c>
      <c r="H825" s="986" t="n">
        <f aca="false">E825*D825*$H$725</f>
        <v>0</v>
      </c>
      <c r="I825" s="936" t="n">
        <f aca="false">IF(G825&gt;H825,G825,H825)*$H$725</f>
        <v>0</v>
      </c>
      <c r="J825" s="931"/>
      <c r="K825" s="937"/>
    </row>
    <row r="826" customFormat="false" ht="15.75" hidden="true" customHeight="false" outlineLevel="0" collapsed="false">
      <c r="A826" s="937"/>
      <c r="B826" s="980" t="str">
        <f aca="false">перекрытие!A143</f>
        <v>Двутавровая деревянная балка, 350*65мм</v>
      </c>
      <c r="C826" s="968" t="str">
        <f aca="false">перекрытие!B143</f>
        <v>м.п.</v>
      </c>
      <c r="D826" s="967" t="n">
        <f aca="false">перекрытие!D143</f>
        <v>0</v>
      </c>
      <c r="E826" s="986" t="n">
        <f aca="false">перекрытие!E143</f>
        <v>287</v>
      </c>
      <c r="F826" s="986"/>
      <c r="G826" s="967" t="n">
        <f aca="false">IF(F826&gt;0,D826*F826,E826*D826)</f>
        <v>0</v>
      </c>
      <c r="H826" s="986" t="n">
        <f aca="false">E826*D826*$H$725</f>
        <v>0</v>
      </c>
      <c r="I826" s="936" t="n">
        <f aca="false">IF(G826&gt;H826,G826,H826)*$H$725</f>
        <v>0</v>
      </c>
      <c r="J826" s="931"/>
      <c r="K826" s="937"/>
    </row>
    <row r="827" customFormat="false" ht="15.75" hidden="true" customHeight="false" outlineLevel="0" collapsed="false">
      <c r="A827" s="937"/>
      <c r="B827" s="980" t="str">
        <f aca="false">перекрытие!A144</f>
        <v>Двутавровая деревянная балка, 350*90мм</v>
      </c>
      <c r="C827" s="968" t="str">
        <f aca="false">перекрытие!B144</f>
        <v>м.п.</v>
      </c>
      <c r="D827" s="967" t="n">
        <f aca="false">перекрытие!D144</f>
        <v>0</v>
      </c>
      <c r="E827" s="986" t="n">
        <f aca="false">перекрытие!E144</f>
        <v>315</v>
      </c>
      <c r="F827" s="986"/>
      <c r="G827" s="967" t="n">
        <f aca="false">IF(F827&gt;0,D827*F827,E827*D827)</f>
        <v>0</v>
      </c>
      <c r="H827" s="986" t="n">
        <f aca="false">E827*D827*$H$725</f>
        <v>0</v>
      </c>
      <c r="I827" s="936" t="n">
        <f aca="false">IF(G827&gt;H827,G827,H827)*$H$725</f>
        <v>0</v>
      </c>
      <c r="J827" s="931"/>
      <c r="K827" s="937"/>
    </row>
    <row r="828" customFormat="false" ht="15.75" hidden="true" customHeight="false" outlineLevel="0" collapsed="false">
      <c r="A828" s="937"/>
      <c r="B828" s="980" t="str">
        <f aca="false">перекрытие!A145</f>
        <v>Двутавровая деревянная балка, 300*65мм</v>
      </c>
      <c r="C828" s="968" t="str">
        <f aca="false">перекрытие!B145</f>
        <v>м.п.</v>
      </c>
      <c r="D828" s="967" t="n">
        <f aca="false">перекрытие!D145</f>
        <v>0</v>
      </c>
      <c r="E828" s="986" t="n">
        <f aca="false">перекрытие!E145</f>
        <v>273</v>
      </c>
      <c r="F828" s="986"/>
      <c r="G828" s="967" t="n">
        <f aca="false">IF(F828&gt;0,D828*F828,E828*D828)</f>
        <v>0</v>
      </c>
      <c r="H828" s="986" t="n">
        <f aca="false">E828*D828*$H$725</f>
        <v>0</v>
      </c>
      <c r="I828" s="936" t="n">
        <f aca="false">IF(G828&gt;H828,G828,H828)*$H$725</f>
        <v>0</v>
      </c>
      <c r="J828" s="931"/>
      <c r="K828" s="937"/>
    </row>
    <row r="829" customFormat="false" ht="15.75" hidden="true" customHeight="false" outlineLevel="0" collapsed="false">
      <c r="A829" s="937"/>
      <c r="B829" s="980" t="str">
        <f aca="false">перекрытие!A146</f>
        <v>Двутавровая деревянная балка, 300*90мм</v>
      </c>
      <c r="C829" s="968" t="str">
        <f aca="false">перекрытие!B146</f>
        <v>м.п.</v>
      </c>
      <c r="D829" s="967" t="n">
        <f aca="false">перекрытие!D146</f>
        <v>0</v>
      </c>
      <c r="E829" s="986" t="n">
        <f aca="false">перекрытие!E146</f>
        <v>315</v>
      </c>
      <c r="F829" s="986"/>
      <c r="G829" s="967" t="n">
        <f aca="false">IF(F829&gt;0,D829*F829,E829*D829)</f>
        <v>0</v>
      </c>
      <c r="H829" s="986" t="n">
        <f aca="false">E829*D829*$H$725</f>
        <v>0</v>
      </c>
      <c r="I829" s="936" t="n">
        <f aca="false">IF(G829&gt;H829,G829,H829)*$H$725</f>
        <v>0</v>
      </c>
      <c r="J829" s="931"/>
      <c r="K829" s="937"/>
    </row>
    <row r="830" customFormat="false" ht="15.75" hidden="true" customHeight="false" outlineLevel="0" collapsed="false">
      <c r="A830" s="937"/>
      <c r="B830" s="980" t="str">
        <f aca="false">перекрытие!A147</f>
        <v>Двутавровая деревянная балка, 240*65мм</v>
      </c>
      <c r="C830" s="968" t="str">
        <f aca="false">перекрытие!B147</f>
        <v>м.п.</v>
      </c>
      <c r="D830" s="967" t="n">
        <f aca="false">перекрытие!D147</f>
        <v>0</v>
      </c>
      <c r="E830" s="986" t="n">
        <f aca="false">перекрытие!E147</f>
        <v>263</v>
      </c>
      <c r="F830" s="986"/>
      <c r="G830" s="967" t="n">
        <f aca="false">IF(F830&gt;0,D830*F830,E830*D830)</f>
        <v>0</v>
      </c>
      <c r="H830" s="986" t="n">
        <f aca="false">E830*D830*$H$725</f>
        <v>0</v>
      </c>
      <c r="I830" s="936" t="n">
        <f aca="false">IF(G830&gt;H830,G830,H830)*$H$725</f>
        <v>0</v>
      </c>
      <c r="J830" s="931"/>
      <c r="K830" s="937"/>
    </row>
    <row r="831" customFormat="false" ht="15.75" hidden="true" customHeight="false" outlineLevel="0" collapsed="false">
      <c r="A831" s="937"/>
      <c r="B831" s="980" t="str">
        <f aca="false">перекрытие!A148</f>
        <v>Двутавровая деревянная балка, 240*90мм</v>
      </c>
      <c r="C831" s="968" t="str">
        <f aca="false">перекрытие!B148</f>
        <v>м.п.</v>
      </c>
      <c r="D831" s="967" t="n">
        <f aca="false">перекрытие!D148</f>
        <v>0</v>
      </c>
      <c r="E831" s="986" t="n">
        <f aca="false">перекрытие!E148</f>
        <v>291</v>
      </c>
      <c r="F831" s="986"/>
      <c r="G831" s="967" t="n">
        <f aca="false">IF(F831&gt;0,D831*F831,E831*D831)</f>
        <v>0</v>
      </c>
      <c r="H831" s="986" t="n">
        <f aca="false">E831*D831*$H$725</f>
        <v>0</v>
      </c>
      <c r="I831" s="936" t="n">
        <f aca="false">IF(G831&gt;H831,G831,H831)*$H$725</f>
        <v>0</v>
      </c>
      <c r="J831" s="931"/>
      <c r="K831" s="937"/>
    </row>
    <row r="832" customFormat="false" ht="15.75" hidden="true" customHeight="false" outlineLevel="0" collapsed="false">
      <c r="A832" s="937"/>
      <c r="B832" s="980" t="str">
        <f aca="false">перекрытие!A149</f>
        <v>Двутавровая деревянная балка, 200*65мм</v>
      </c>
      <c r="C832" s="968" t="str">
        <f aca="false">перекрытие!B149</f>
        <v>м.п.</v>
      </c>
      <c r="D832" s="967" t="n">
        <f aca="false">перекрытие!D149</f>
        <v>0</v>
      </c>
      <c r="E832" s="986" t="n">
        <f aca="false">перекрытие!E149</f>
        <v>250</v>
      </c>
      <c r="F832" s="986"/>
      <c r="G832" s="967" t="n">
        <f aca="false">IF(F832&gt;0,D832*F832,E832*D832)</f>
        <v>0</v>
      </c>
      <c r="H832" s="986" t="n">
        <f aca="false">E832*D832*$H$725</f>
        <v>0</v>
      </c>
      <c r="I832" s="936" t="n">
        <f aca="false">IF(G832&gt;H832,G832,H832)*$H$725</f>
        <v>0</v>
      </c>
      <c r="J832" s="931"/>
      <c r="K832" s="937"/>
    </row>
    <row r="833" customFormat="false" ht="15.75" hidden="true" customHeight="false" outlineLevel="0" collapsed="false">
      <c r="A833" s="937"/>
      <c r="B833" s="980" t="str">
        <f aca="false">перекрытие!A150</f>
        <v>Двутавровая деревянная балка, 200*90мм</v>
      </c>
      <c r="C833" s="968" t="str">
        <f aca="false">перекрытие!B150</f>
        <v>м.п.</v>
      </c>
      <c r="D833" s="967" t="n">
        <f aca="false">перекрытие!D150</f>
        <v>0</v>
      </c>
      <c r="E833" s="986" t="n">
        <f aca="false">перекрытие!E150</f>
        <v>280</v>
      </c>
      <c r="F833" s="986"/>
      <c r="G833" s="967" t="n">
        <f aca="false">IF(F833&gt;0,D833*F833,E833*D833)</f>
        <v>0</v>
      </c>
      <c r="H833" s="986" t="n">
        <f aca="false">E833*D833*$H$725</f>
        <v>0</v>
      </c>
      <c r="I833" s="936" t="n">
        <f aca="false">IF(G833&gt;H833,G833,H833)*$H$725</f>
        <v>0</v>
      </c>
      <c r="J833" s="931"/>
      <c r="K833" s="937"/>
    </row>
    <row r="834" customFormat="false" ht="15.75" hidden="true" customHeight="false" outlineLevel="0" collapsed="false">
      <c r="A834" s="937"/>
      <c r="B834" s="980" t="str">
        <f aca="false">перекрытие!A151</f>
        <v>Двутавровая деревянная балка, 150*65мм</v>
      </c>
      <c r="C834" s="968" t="str">
        <f aca="false">перекрытие!B151</f>
        <v>м.п.</v>
      </c>
      <c r="D834" s="967" t="n">
        <f aca="false">перекрытие!D151</f>
        <v>0</v>
      </c>
      <c r="E834" s="986" t="n">
        <f aca="false">перекрытие!E151</f>
        <v>220</v>
      </c>
      <c r="F834" s="986"/>
      <c r="G834" s="967" t="n">
        <f aca="false">IF(F834&gt;0,D834*F834,E834*D834)</f>
        <v>0</v>
      </c>
      <c r="H834" s="986" t="n">
        <f aca="false">E834*D834*$H$725</f>
        <v>0</v>
      </c>
      <c r="I834" s="936" t="n">
        <f aca="false">IF(G834&gt;H834,G834,H834)*$H$725</f>
        <v>0</v>
      </c>
      <c r="J834" s="931"/>
      <c r="K834" s="937"/>
    </row>
    <row r="835" customFormat="false" ht="15.75" hidden="true" customHeight="false" outlineLevel="0" collapsed="false">
      <c r="A835" s="937"/>
      <c r="B835" s="980" t="str">
        <f aca="false">перекрытие!A152</f>
        <v>Двутавровая деревянная балка, 150*90мм</v>
      </c>
      <c r="C835" s="968" t="str">
        <f aca="false">перекрытие!B152</f>
        <v>м.п.</v>
      </c>
      <c r="D835" s="967" t="n">
        <f aca="false">перекрытие!D152</f>
        <v>0</v>
      </c>
      <c r="E835" s="986" t="n">
        <f aca="false">перекрытие!E152</f>
        <v>250</v>
      </c>
      <c r="F835" s="986"/>
      <c r="G835" s="967" t="n">
        <f aca="false">IF(F835&gt;0,D835*F835,E835*D835)</f>
        <v>0</v>
      </c>
      <c r="H835" s="986" t="n">
        <f aca="false">E835*D835*$H$725</f>
        <v>0</v>
      </c>
      <c r="I835" s="936" t="n">
        <f aca="false">IF(G835&gt;H835,G835,H835)*$H$725</f>
        <v>0</v>
      </c>
      <c r="J835" s="931"/>
      <c r="K835" s="937"/>
    </row>
    <row r="836" customFormat="false" ht="15.75" hidden="true" customHeight="false" outlineLevel="0" collapsed="false">
      <c r="A836" s="937"/>
      <c r="B836" s="980" t="str">
        <f aca="false">перекрытие!A153</f>
        <v>Уголок усиленный 90х70х55х2,5        </v>
      </c>
      <c r="C836" s="968" t="str">
        <f aca="false">перекрытие!B153</f>
        <v>шт</v>
      </c>
      <c r="D836" s="967" t="n">
        <f aca="false">перекрытие!D153</f>
        <v>0</v>
      </c>
      <c r="E836" s="986" t="n">
        <f aca="false">перекрытие!E153</f>
        <v>30</v>
      </c>
      <c r="F836" s="986"/>
      <c r="G836" s="967" t="n">
        <f aca="false">IF(F836&gt;0,D836*F836,E836*D836)</f>
        <v>0</v>
      </c>
      <c r="H836" s="986" t="n">
        <f aca="false">E836*D836*$H$725</f>
        <v>0</v>
      </c>
      <c r="I836" s="936" t="n">
        <f aca="false">IF(G836&gt;H836,G836,H836)*$H$725</f>
        <v>0</v>
      </c>
      <c r="J836" s="931"/>
      <c r="K836" s="937"/>
    </row>
    <row r="837" customFormat="false" ht="15.75" hidden="true" customHeight="false" outlineLevel="0" collapsed="false">
      <c r="A837" s="937"/>
      <c r="B837" s="980" t="str">
        <f aca="false">перекрытие!A154</f>
        <v>Саморезы 3,5 x 55            </v>
      </c>
      <c r="C837" s="968" t="str">
        <f aca="false">перекрытие!B154</f>
        <v>шт</v>
      </c>
      <c r="D837" s="967" t="n">
        <f aca="false">перекрытие!D154</f>
        <v>0</v>
      </c>
      <c r="E837" s="986" t="n">
        <f aca="false">перекрытие!E154</f>
        <v>0.3</v>
      </c>
      <c r="F837" s="986"/>
      <c r="G837" s="967" t="n">
        <f aca="false">IF(F837&gt;0,D837*F837,E837*D837)</f>
        <v>0</v>
      </c>
      <c r="H837" s="986" t="n">
        <f aca="false">E837*D837*$H$725</f>
        <v>0</v>
      </c>
      <c r="I837" s="936" t="n">
        <f aca="false">IF(G837&gt;H837,G837,H837)*$H$725</f>
        <v>0</v>
      </c>
      <c r="J837" s="931"/>
      <c r="K837" s="937"/>
    </row>
    <row r="838" customFormat="false" ht="15.75" hidden="false" customHeight="false" outlineLevel="0" collapsed="false">
      <c r="A838" s="937"/>
      <c r="B838" s="980" t="str">
        <f aca="false">перекрытие!A155</f>
        <v>Пенопласт ПСБ-С-35, 100мм</v>
      </c>
      <c r="C838" s="968" t="str">
        <f aca="false">перекрытие!B155</f>
        <v>м3</v>
      </c>
      <c r="D838" s="967" t="n">
        <f aca="false">перекрытие!D155</f>
        <v>6.4</v>
      </c>
      <c r="E838" s="986" t="n">
        <f aca="false">перекрытие!E155</f>
        <v>3400</v>
      </c>
      <c r="F838" s="986"/>
      <c r="G838" s="967" t="n">
        <f aca="false">IF(F838&gt;0,D838*F838,E838*D838)</f>
        <v>21760</v>
      </c>
      <c r="H838" s="986" t="n">
        <f aca="false">E838*D838*$H$725</f>
        <v>21760</v>
      </c>
      <c r="I838" s="936" t="n">
        <f aca="false">IF(G838&gt;H838,G838,H838)*$H$725</f>
        <v>21760</v>
      </c>
      <c r="J838" s="931"/>
      <c r="K838" s="937"/>
    </row>
    <row r="839" customFormat="false" ht="15.75" hidden="true" customHeight="false" outlineLevel="0" collapsed="false">
      <c r="A839" s="937"/>
      <c r="B839" s="980" t="str">
        <f aca="false">перекрытие!A156</f>
        <v>нет ветроизоляции</v>
      </c>
      <c r="C839" s="968" t="str">
        <f aca="false">перекрытие!B156</f>
        <v>м2</v>
      </c>
      <c r="D839" s="967" t="n">
        <f aca="false">перекрытие!D156</f>
        <v>64</v>
      </c>
      <c r="E839" s="986" t="n">
        <f aca="false">перекрытие!E156</f>
        <v>0</v>
      </c>
      <c r="F839" s="986"/>
      <c r="G839" s="967" t="n">
        <f aca="false">IF(F839&gt;0,D839*F839,E839*D839)</f>
        <v>0</v>
      </c>
      <c r="H839" s="986" t="n">
        <f aca="false">E839*D839*$H$725</f>
        <v>0</v>
      </c>
      <c r="I839" s="936" t="n">
        <f aca="false">IF(G839&gt;H839,G839,H839)*$H$725</f>
        <v>0</v>
      </c>
      <c r="J839" s="931"/>
      <c r="K839" s="937"/>
    </row>
    <row r="840" customFormat="false" ht="15.75" hidden="true" customHeight="false" outlineLevel="0" collapsed="false">
      <c r="A840" s="937"/>
      <c r="B840" s="980" t="str">
        <f aca="false">перекрытие!A157</f>
        <v>нет пароизоляции</v>
      </c>
      <c r="C840" s="968" t="str">
        <f aca="false">перекрытие!B157</f>
        <v>м2</v>
      </c>
      <c r="D840" s="967" t="n">
        <f aca="false">перекрытие!D157</f>
        <v>64</v>
      </c>
      <c r="E840" s="986" t="n">
        <f aca="false">перекрытие!E157</f>
        <v>0</v>
      </c>
      <c r="F840" s="986"/>
      <c r="G840" s="967" t="n">
        <f aca="false">IF(F840&gt;0,D840*F840,E840*D840)</f>
        <v>0</v>
      </c>
      <c r="H840" s="986" t="n">
        <f aca="false">E840*D840*$H$725</f>
        <v>0</v>
      </c>
      <c r="I840" s="936" t="n">
        <f aca="false">IF(G840&gt;H840,G840,H840)*$H$725</f>
        <v>0</v>
      </c>
      <c r="J840" s="931"/>
      <c r="K840" s="937"/>
    </row>
    <row r="841" customFormat="false" ht="15.75" hidden="true" customHeight="false" outlineLevel="0" collapsed="false">
      <c r="A841" s="937"/>
      <c r="B841" s="980" t="str">
        <f aca="false">перекрытие!A160</f>
        <v>Плита перекрытия  ЖБИ</v>
      </c>
      <c r="C841" s="968" t="str">
        <f aca="false">перекрытие!B160</f>
        <v>м2</v>
      </c>
      <c r="D841" s="967" t="n">
        <f aca="false">перекрытие!D160</f>
        <v>0</v>
      </c>
      <c r="E841" s="986" t="n">
        <f aca="false">перекрытие!E160</f>
        <v>1400</v>
      </c>
      <c r="F841" s="986"/>
      <c r="G841" s="967" t="n">
        <f aca="false">IF(F841&gt;0,D841*F841,E841*D841)</f>
        <v>0</v>
      </c>
      <c r="H841" s="986" t="n">
        <f aca="false">E841*D841*$H$725</f>
        <v>0</v>
      </c>
      <c r="I841" s="936" t="n">
        <f aca="false">IF(G841&gt;H841,G841,H841)*$H$725</f>
        <v>0</v>
      </c>
      <c r="J841" s="931"/>
      <c r="K841" s="937"/>
    </row>
    <row r="842" customFormat="false" ht="15.75" hidden="true" customHeight="false" outlineLevel="0" collapsed="false">
      <c r="A842" s="937"/>
      <c r="B842" s="980" t="str">
        <f aca="false">перекрытие!A161</f>
        <v>Раствор, м250</v>
      </c>
      <c r="C842" s="968" t="str">
        <f aca="false">перекрытие!B161</f>
        <v>м3</v>
      </c>
      <c r="D842" s="967" t="n">
        <f aca="false">перекрытие!D161</f>
        <v>0</v>
      </c>
      <c r="E842" s="986" t="n">
        <f aca="false">перекрытие!E161</f>
        <v>2500</v>
      </c>
      <c r="F842" s="986"/>
      <c r="G842" s="967" t="n">
        <f aca="false">IF(F842&gt;0,D842*F842,E842*D842)</f>
        <v>0</v>
      </c>
      <c r="H842" s="986" t="n">
        <f aca="false">E842*D842*$H$725</f>
        <v>0</v>
      </c>
      <c r="I842" s="936" t="n">
        <f aca="false">IF(G842&gt;H842,G842,H842)*$H$725</f>
        <v>0</v>
      </c>
      <c r="J842" s="931"/>
      <c r="K842" s="937"/>
    </row>
    <row r="843" customFormat="false" ht="15.75" hidden="true" customHeight="false" outlineLevel="0" collapsed="false">
      <c r="A843" s="937"/>
      <c r="B843" s="980" t="str">
        <f aca="false">перекрытие!A162</f>
        <v>Монолит, бетон, 300мм, 2 слоя</v>
      </c>
      <c r="C843" s="968" t="str">
        <f aca="false">перекрытие!B162</f>
        <v>м2</v>
      </c>
      <c r="D843" s="967" t="n">
        <f aca="false">перекрытие!D162</f>
        <v>0</v>
      </c>
      <c r="E843" s="986" t="n">
        <f aca="false">перекрытие!E162</f>
        <v>1</v>
      </c>
      <c r="F843" s="986"/>
      <c r="G843" s="967" t="n">
        <f aca="false">IF(F843&gt;0,D843*F843,E843*D843)</f>
        <v>0</v>
      </c>
      <c r="H843" s="986" t="n">
        <f aca="false">E843*D843*$H$725</f>
        <v>0</v>
      </c>
      <c r="I843" s="936" t="n">
        <f aca="false">IF(G843&gt;H843,G843,H843)*$H$725</f>
        <v>0</v>
      </c>
      <c r="J843" s="931"/>
      <c r="K843" s="937"/>
    </row>
    <row r="844" customFormat="false" ht="15.75" hidden="true" customHeight="false" outlineLevel="0" collapsed="false">
      <c r="A844" s="937"/>
      <c r="B844" s="980" t="str">
        <f aca="false">перекрытие!A163</f>
        <v>Монолит, бетон, 300мм, 1 слой</v>
      </c>
      <c r="C844" s="968" t="str">
        <f aca="false">перекрытие!B163</f>
        <v>м2</v>
      </c>
      <c r="D844" s="967" t="n">
        <f aca="false">перекрытие!D163</f>
        <v>0</v>
      </c>
      <c r="E844" s="986" t="n">
        <f aca="false">перекрытие!E163</f>
        <v>1</v>
      </c>
      <c r="F844" s="986"/>
      <c r="G844" s="967" t="n">
        <f aca="false">IF(F844&gt;0,D844*F844,E844*D844)</f>
        <v>0</v>
      </c>
      <c r="H844" s="986" t="n">
        <f aca="false">E844*D844*$H$725</f>
        <v>0</v>
      </c>
      <c r="I844" s="936" t="n">
        <f aca="false">IF(G844&gt;H844,G844,H844)*$H$725</f>
        <v>0</v>
      </c>
      <c r="J844" s="931"/>
      <c r="K844" s="937"/>
    </row>
    <row r="845" customFormat="false" ht="15.75" hidden="true" customHeight="false" outlineLevel="0" collapsed="false">
      <c r="A845" s="937"/>
      <c r="B845" s="980" t="str">
        <f aca="false">перекрытие!A164</f>
        <v>Монолит, бетон, 250мм, 2 слоя</v>
      </c>
      <c r="C845" s="968" t="str">
        <f aca="false">перекрытие!B164</f>
        <v>м2</v>
      </c>
      <c r="D845" s="967" t="n">
        <f aca="false">перекрытие!D164</f>
        <v>0</v>
      </c>
      <c r="E845" s="986" t="n">
        <f aca="false">перекрытие!E164</f>
        <v>1</v>
      </c>
      <c r="F845" s="986"/>
      <c r="G845" s="967" t="n">
        <f aca="false">IF(F845&gt;0,D845*F845,E845*D845)</f>
        <v>0</v>
      </c>
      <c r="H845" s="986" t="n">
        <f aca="false">E845*D845*$H$725</f>
        <v>0</v>
      </c>
      <c r="I845" s="936" t="n">
        <f aca="false">IF(G845&gt;H845,G845,H845)*$H$725</f>
        <v>0</v>
      </c>
      <c r="J845" s="931"/>
      <c r="K845" s="937"/>
    </row>
    <row r="846" customFormat="false" ht="15.75" hidden="true" customHeight="false" outlineLevel="0" collapsed="false">
      <c r="A846" s="937"/>
      <c r="B846" s="980" t="str">
        <f aca="false">перекрытие!A165</f>
        <v>Монолит, бетон, 250мм, 1 слой</v>
      </c>
      <c r="C846" s="968" t="str">
        <f aca="false">перекрытие!B165</f>
        <v>м2</v>
      </c>
      <c r="D846" s="967" t="n">
        <f aca="false">перекрытие!D165</f>
        <v>0</v>
      </c>
      <c r="E846" s="986" t="n">
        <f aca="false">перекрытие!E165</f>
        <v>1</v>
      </c>
      <c r="F846" s="986"/>
      <c r="G846" s="967" t="n">
        <f aca="false">IF(F846&gt;0,D846*F846,E846*D846)</f>
        <v>0</v>
      </c>
      <c r="H846" s="986" t="n">
        <f aca="false">E846*D846*$H$725</f>
        <v>0</v>
      </c>
      <c r="I846" s="936" t="n">
        <f aca="false">IF(G846&gt;H846,G846,H846)*$H$725</f>
        <v>0</v>
      </c>
      <c r="J846" s="931"/>
      <c r="K846" s="937"/>
    </row>
    <row r="847" customFormat="false" ht="15.75" hidden="true" customHeight="false" outlineLevel="0" collapsed="false">
      <c r="A847" s="937"/>
      <c r="B847" s="980" t="str">
        <f aca="false">перекрытие!A166</f>
        <v>Монолит, бетон, 200мм, 2 слоя</v>
      </c>
      <c r="C847" s="968" t="str">
        <f aca="false">перекрытие!B166</f>
        <v>м2</v>
      </c>
      <c r="D847" s="967" t="n">
        <f aca="false">перекрытие!D166</f>
        <v>0</v>
      </c>
      <c r="E847" s="986" t="n">
        <f aca="false">перекрытие!E166</f>
        <v>1</v>
      </c>
      <c r="F847" s="986"/>
      <c r="G847" s="967" t="n">
        <f aca="false">IF(F847&gt;0,D847*F847,E847*D847)</f>
        <v>0</v>
      </c>
      <c r="H847" s="986" t="n">
        <f aca="false">E847*D847*$H$725</f>
        <v>0</v>
      </c>
      <c r="I847" s="936" t="n">
        <f aca="false">IF(G847&gt;H847,G847,H847)*$H$725</f>
        <v>0</v>
      </c>
      <c r="J847" s="931"/>
      <c r="K847" s="937"/>
    </row>
    <row r="848" customFormat="false" ht="15.75" hidden="true" customHeight="false" outlineLevel="0" collapsed="false">
      <c r="A848" s="937"/>
      <c r="B848" s="980" t="str">
        <f aca="false">перекрытие!A167</f>
        <v>Монолит, бетон, 200мм, 1 слой</v>
      </c>
      <c r="C848" s="968" t="str">
        <f aca="false">перекрытие!B167</f>
        <v>м2</v>
      </c>
      <c r="D848" s="967" t="n">
        <f aca="false">перекрытие!D167</f>
        <v>0</v>
      </c>
      <c r="E848" s="986" t="n">
        <f aca="false">перекрытие!E167</f>
        <v>1</v>
      </c>
      <c r="F848" s="986"/>
      <c r="G848" s="967" t="n">
        <f aca="false">IF(F848&gt;0,D848*F848,E848*D848)</f>
        <v>0</v>
      </c>
      <c r="H848" s="986" t="n">
        <f aca="false">E848*D848*$H$725</f>
        <v>0</v>
      </c>
      <c r="I848" s="936" t="n">
        <f aca="false">IF(G848&gt;H848,G848,H848)*$H$725</f>
        <v>0</v>
      </c>
      <c r="J848" s="931"/>
      <c r="K848" s="937"/>
    </row>
    <row r="849" customFormat="false" ht="15.75" hidden="true" customHeight="false" outlineLevel="0" collapsed="false">
      <c r="A849" s="937"/>
      <c r="B849" s="980" t="str">
        <f aca="false">перекрытие!A168</f>
        <v>Монолит, бетон, 150мм, 2 слоя</v>
      </c>
      <c r="C849" s="968" t="str">
        <f aca="false">перекрытие!B168</f>
        <v>м2</v>
      </c>
      <c r="D849" s="967" t="n">
        <f aca="false">перекрытие!D168</f>
        <v>0</v>
      </c>
      <c r="E849" s="986" t="n">
        <f aca="false">перекрытие!E168</f>
        <v>1</v>
      </c>
      <c r="F849" s="986"/>
      <c r="G849" s="967" t="n">
        <f aca="false">IF(F849&gt;0,D849*F849,E849*D849)</f>
        <v>0</v>
      </c>
      <c r="H849" s="986" t="n">
        <f aca="false">E849*D849*$H$725</f>
        <v>0</v>
      </c>
      <c r="I849" s="936" t="n">
        <f aca="false">IF(G849&gt;H849,G849,H849)*$H$725</f>
        <v>0</v>
      </c>
      <c r="J849" s="931"/>
      <c r="K849" s="937"/>
    </row>
    <row r="850" customFormat="false" ht="15.75" hidden="true" customHeight="false" outlineLevel="0" collapsed="false">
      <c r="A850" s="937"/>
      <c r="B850" s="980" t="str">
        <f aca="false">перекрытие!A169</f>
        <v>Монолит, бетон, 150мм, 1 слой</v>
      </c>
      <c r="C850" s="968" t="str">
        <f aca="false">перекрытие!B169</f>
        <v>м2</v>
      </c>
      <c r="D850" s="967" t="n">
        <f aca="false">перекрытие!D169</f>
        <v>0</v>
      </c>
      <c r="E850" s="986" t="n">
        <f aca="false">перекрытие!E169</f>
        <v>1</v>
      </c>
      <c r="F850" s="986"/>
      <c r="G850" s="967" t="n">
        <f aca="false">IF(F850&gt;0,D850*F850,E850*D850)</f>
        <v>0</v>
      </c>
      <c r="H850" s="986" t="n">
        <f aca="false">E850*D850*$H$725</f>
        <v>0</v>
      </c>
      <c r="I850" s="936" t="n">
        <f aca="false">IF(G850&gt;H850,G850,H850)*$H$725</f>
        <v>0</v>
      </c>
      <c r="J850" s="931"/>
      <c r="K850" s="937"/>
    </row>
    <row r="851" customFormat="false" ht="15.75" hidden="true" customHeight="false" outlineLevel="0" collapsed="false">
      <c r="A851" s="937"/>
      <c r="B851" s="980" t="str">
        <f aca="false">перекрытие!A170</f>
        <v>доска для опалубки монолит перекрытий</v>
      </c>
      <c r="C851" s="968" t="str">
        <f aca="false">перекрытие!B170</f>
        <v>м3</v>
      </c>
      <c r="D851" s="967" t="n">
        <f aca="false">перекрытие!D170</f>
        <v>0</v>
      </c>
      <c r="E851" s="986" t="n">
        <f aca="false">перекрытие!E170</f>
        <v>6500</v>
      </c>
      <c r="F851" s="986"/>
      <c r="G851" s="967" t="n">
        <f aca="false">IF(F851&gt;0,D851*F851,E851*D851)</f>
        <v>0</v>
      </c>
      <c r="H851" s="986" t="n">
        <f aca="false">E851*D851*$H$725</f>
        <v>0</v>
      </c>
      <c r="I851" s="936" t="n">
        <f aca="false">IF(G851&gt;H851,G851,H851)*$H$725</f>
        <v>0</v>
      </c>
      <c r="J851" s="931"/>
      <c r="K851" s="937"/>
    </row>
    <row r="852" customFormat="false" ht="15.75" hidden="true" customHeight="false" outlineLevel="0" collapsed="false">
      <c r="A852" s="937"/>
      <c r="B852" s="980" t="str">
        <f aca="false">перекрытие!A171</f>
        <v>стойки под опалубку перекрытий</v>
      </c>
      <c r="C852" s="968" t="str">
        <f aca="false">перекрытие!B171</f>
        <v>шт</v>
      </c>
      <c r="D852" s="967" t="n">
        <f aca="false">перекрытие!D171</f>
        <v>0</v>
      </c>
      <c r="E852" s="986" t="n">
        <f aca="false">перекрытие!E171</f>
        <v>0</v>
      </c>
      <c r="F852" s="986"/>
      <c r="G852" s="967" t="n">
        <f aca="false">IF(F852&gt;0,D852*F852,E852*D852)</f>
        <v>0</v>
      </c>
      <c r="H852" s="986" t="n">
        <f aca="false">E852*D852*$H$725</f>
        <v>0</v>
      </c>
      <c r="I852" s="936" t="n">
        <f aca="false">IF(G852&gt;H852,G852,H852)*$H$725</f>
        <v>0</v>
      </c>
      <c r="J852" s="931"/>
      <c r="K852" s="937"/>
    </row>
    <row r="853" customFormat="false" ht="15.75" hidden="true" customHeight="false" outlineLevel="0" collapsed="false">
      <c r="A853" s="937"/>
      <c r="B853" s="980" t="str">
        <f aca="false">перекрытие!A172</f>
        <v>Пленка гидроизоляционная </v>
      </c>
      <c r="C853" s="968" t="str">
        <f aca="false">перекрытие!B172</f>
        <v>м2</v>
      </c>
      <c r="D853" s="967" t="n">
        <f aca="false">перекрытие!D172</f>
        <v>0</v>
      </c>
      <c r="E853" s="986" t="n">
        <f aca="false">перекрытие!E172</f>
        <v>15</v>
      </c>
      <c r="F853" s="986"/>
      <c r="G853" s="967" t="n">
        <f aca="false">IF(F853&gt;0,D853*F853,E853*D853)</f>
        <v>0</v>
      </c>
      <c r="H853" s="986" t="n">
        <f aca="false">E853*D853*$H$725</f>
        <v>0</v>
      </c>
      <c r="I853" s="936" t="n">
        <f aca="false">IF(G853&gt;H853,G853,H853)*$H$725</f>
        <v>0</v>
      </c>
      <c r="J853" s="931"/>
      <c r="K853" s="937"/>
    </row>
    <row r="854" customFormat="false" ht="15.75" hidden="true" customHeight="false" outlineLevel="0" collapsed="false">
      <c r="A854" s="937"/>
      <c r="B854" s="980" t="str">
        <f aca="false">перекрытие!A173</f>
        <v>Арматура М12</v>
      </c>
      <c r="C854" s="968" t="str">
        <f aca="false">перекрытие!B173</f>
        <v>м.п.</v>
      </c>
      <c r="D854" s="967" t="n">
        <f aca="false">перекрытие!D173</f>
        <v>0</v>
      </c>
      <c r="E854" s="986" t="n">
        <f aca="false">перекрытие!E173</f>
        <v>29.2152</v>
      </c>
      <c r="F854" s="986"/>
      <c r="G854" s="967" t="n">
        <f aca="false">IF(F854&gt;0,D854*F854,E854*D854)</f>
        <v>0</v>
      </c>
      <c r="H854" s="986" t="n">
        <f aca="false">E854*D854*$H$725</f>
        <v>0</v>
      </c>
      <c r="I854" s="936" t="n">
        <f aca="false">IF(G854&gt;H854,G854,H854)*$H$725</f>
        <v>0</v>
      </c>
      <c r="J854" s="931"/>
      <c r="K854" s="937"/>
    </row>
    <row r="855" customFormat="false" ht="15.75" hidden="true" customHeight="false" outlineLevel="0" collapsed="false">
      <c r="A855" s="937"/>
      <c r="B855" s="980" t="str">
        <f aca="false">перекрытие!A174</f>
        <v>Вязальная проволока</v>
      </c>
      <c r="C855" s="968" t="str">
        <f aca="false">перекрытие!B174</f>
        <v>кг</v>
      </c>
      <c r="D855" s="967" t="n">
        <f aca="false">перекрытие!D174</f>
        <v>0</v>
      </c>
      <c r="E855" s="986" t="n">
        <f aca="false">перекрытие!E174</f>
        <v>80</v>
      </c>
      <c r="F855" s="986"/>
      <c r="G855" s="967" t="n">
        <f aca="false">IF(F855&gt;0,D855*F855,E855*D855)</f>
        <v>0</v>
      </c>
      <c r="H855" s="986" t="n">
        <f aca="false">E855*D855*$H$725</f>
        <v>0</v>
      </c>
      <c r="I855" s="936" t="n">
        <f aca="false">IF(G855&gt;H855,G855,H855)*$H$725</f>
        <v>0</v>
      </c>
      <c r="J855" s="931"/>
      <c r="K855" s="937"/>
    </row>
    <row r="856" customFormat="false" ht="15.75" hidden="true" customHeight="false" outlineLevel="0" collapsed="false">
      <c r="A856" s="937"/>
      <c r="B856" s="980" t="str">
        <f aca="false">перекрытие!A175</f>
        <v>Подставка под арматурный каркас</v>
      </c>
      <c r="C856" s="968" t="str">
        <f aca="false">перекрытие!B175</f>
        <v>шт</v>
      </c>
      <c r="D856" s="967" t="n">
        <f aca="false">перекрытие!D175</f>
        <v>0</v>
      </c>
      <c r="E856" s="986" t="n">
        <f aca="false">перекрытие!E175</f>
        <v>5</v>
      </c>
      <c r="F856" s="986"/>
      <c r="G856" s="967" t="n">
        <f aca="false">IF(F856&gt;0,D856*F856,E856*D856)</f>
        <v>0</v>
      </c>
      <c r="H856" s="986" t="n">
        <f aca="false">E856*D856*$H$725</f>
        <v>0</v>
      </c>
      <c r="I856" s="936" t="n">
        <f aca="false">IF(G856&gt;H856,G856,H856)*$H$725</f>
        <v>0</v>
      </c>
      <c r="J856" s="931"/>
      <c r="K856" s="937"/>
    </row>
    <row r="857" customFormat="false" ht="15.75" hidden="true" customHeight="false" outlineLevel="0" collapsed="false">
      <c r="A857" s="937"/>
      <c r="B857" s="980" t="str">
        <f aca="false">перекрытие!A176</f>
        <v>бетон, м350</v>
      </c>
      <c r="C857" s="968" t="str">
        <f aca="false">перекрытие!B176</f>
        <v>м3</v>
      </c>
      <c r="D857" s="967" t="n">
        <f aca="false">перекрытие!D176</f>
        <v>0</v>
      </c>
      <c r="E857" s="986" t="n">
        <f aca="false">перекрытие!E176</f>
        <v>3500</v>
      </c>
      <c r="F857" s="986"/>
      <c r="G857" s="967" t="n">
        <f aca="false">IF(F857&gt;0,D857*F857,E857*D857)</f>
        <v>0</v>
      </c>
      <c r="H857" s="986" t="n">
        <f aca="false">E857*D857*$H$725</f>
        <v>0</v>
      </c>
      <c r="I857" s="936" t="n">
        <f aca="false">IF(G857&gt;H857,G857,H857)*$H$725</f>
        <v>0</v>
      </c>
      <c r="J857" s="931"/>
      <c r="K857" s="937"/>
    </row>
    <row r="858" customFormat="false" ht="15.75" hidden="true" customHeight="false" outlineLevel="0" collapsed="false">
      <c r="A858" s="937"/>
      <c r="B858" s="980" t="str">
        <f aca="false">перекрытие!A177</f>
        <v>Брус естественной влажности, 200*100мм</v>
      </c>
      <c r="C858" s="968" t="str">
        <f aca="false">перекрытие!B177</f>
        <v>м3</v>
      </c>
      <c r="D858" s="967" t="n">
        <f aca="false">перекрытие!D177</f>
        <v>0</v>
      </c>
      <c r="E858" s="986" t="n">
        <f aca="false">перекрытие!E177</f>
        <v>6500</v>
      </c>
      <c r="F858" s="986"/>
      <c r="G858" s="967" t="n">
        <f aca="false">IF(F858&gt;0,D858*F858,E858*D858)</f>
        <v>0</v>
      </c>
      <c r="H858" s="986" t="n">
        <f aca="false">E858*D858*$H$725</f>
        <v>0</v>
      </c>
      <c r="I858" s="936" t="n">
        <f aca="false">IF(G858&gt;H858,G858,H858)*$H$725</f>
        <v>0</v>
      </c>
      <c r="J858" s="931"/>
      <c r="K858" s="937"/>
    </row>
    <row r="859" customFormat="false" ht="15.75" hidden="true" customHeight="false" outlineLevel="0" collapsed="false">
      <c r="A859" s="937"/>
      <c r="B859" s="980" t="str">
        <f aca="false">перекрытие!A178</f>
        <v>Брус естественной влажности, 150*100мм</v>
      </c>
      <c r="C859" s="968" t="str">
        <f aca="false">перекрытие!B178</f>
        <v>м3</v>
      </c>
      <c r="D859" s="967" t="n">
        <f aca="false">перекрытие!D178</f>
        <v>0</v>
      </c>
      <c r="E859" s="986" t="n">
        <f aca="false">перекрытие!E178</f>
        <v>6500</v>
      </c>
      <c r="F859" s="986"/>
      <c r="G859" s="967" t="n">
        <f aca="false">IF(F859&gt;0,D859*F859,E859*D859)</f>
        <v>0</v>
      </c>
      <c r="H859" s="986" t="n">
        <f aca="false">E859*D859*$H$725</f>
        <v>0</v>
      </c>
      <c r="I859" s="936" t="n">
        <f aca="false">IF(G859&gt;H859,G859,H859)*$H$725</f>
        <v>0</v>
      </c>
      <c r="J859" s="931"/>
      <c r="K859" s="937"/>
    </row>
    <row r="860" customFormat="false" ht="15.75" hidden="true" customHeight="false" outlineLevel="0" collapsed="false">
      <c r="A860" s="937"/>
      <c r="B860" s="980" t="str">
        <f aca="false">перекрытие!A179</f>
        <v>Брус естественной влажности, 100*100мм</v>
      </c>
      <c r="C860" s="968" t="str">
        <f aca="false">перекрытие!B179</f>
        <v>м3</v>
      </c>
      <c r="D860" s="967" t="n">
        <f aca="false">перекрытие!D179</f>
        <v>0</v>
      </c>
      <c r="E860" s="986" t="n">
        <f aca="false">перекрытие!E179</f>
        <v>6500</v>
      </c>
      <c r="F860" s="986"/>
      <c r="G860" s="967" t="n">
        <f aca="false">IF(F860&gt;0,D860*F860,E860*D860)</f>
        <v>0</v>
      </c>
      <c r="H860" s="986" t="n">
        <f aca="false">E860*D860*$H$725</f>
        <v>0</v>
      </c>
      <c r="I860" s="936" t="n">
        <f aca="false">IF(G860&gt;H860,G860,H860)*$H$725</f>
        <v>0</v>
      </c>
      <c r="J860" s="931"/>
      <c r="K860" s="937"/>
    </row>
    <row r="861" customFormat="false" ht="15.75" hidden="true" customHeight="false" outlineLevel="0" collapsed="false">
      <c r="A861" s="937"/>
      <c r="B861" s="980" t="str">
        <f aca="false">перекрытие!A180</f>
        <v>Брус естественной влажности, 150*150мм</v>
      </c>
      <c r="C861" s="968" t="str">
        <f aca="false">перекрытие!B180</f>
        <v>м3</v>
      </c>
      <c r="D861" s="967" t="n">
        <f aca="false">перекрытие!D180</f>
        <v>0</v>
      </c>
      <c r="E861" s="986" t="n">
        <f aca="false">перекрытие!E180</f>
        <v>6500</v>
      </c>
      <c r="F861" s="986"/>
      <c r="G861" s="967" t="n">
        <f aca="false">IF(F861&gt;0,D861*F861,E861*D861)</f>
        <v>0</v>
      </c>
      <c r="H861" s="986" t="n">
        <f aca="false">E861*D861*$H$725</f>
        <v>0</v>
      </c>
      <c r="I861" s="936" t="n">
        <f aca="false">IF(G861&gt;H861,G861,H861)*$H$725</f>
        <v>0</v>
      </c>
      <c r="J861" s="931"/>
      <c r="K861" s="937"/>
    </row>
    <row r="862" customFormat="false" ht="15.75" hidden="true" customHeight="false" outlineLevel="0" collapsed="false">
      <c r="A862" s="937"/>
      <c r="B862" s="980" t="str">
        <f aca="false">перекрытие!A181</f>
        <v>Доска естественной влажности, 200*50мм</v>
      </c>
      <c r="C862" s="968" t="str">
        <f aca="false">перекрытие!B181</f>
        <v>м3</v>
      </c>
      <c r="D862" s="967" t="n">
        <f aca="false">перекрытие!D181</f>
        <v>0</v>
      </c>
      <c r="E862" s="986" t="n">
        <f aca="false">перекрытие!E181</f>
        <v>6500</v>
      </c>
      <c r="F862" s="986"/>
      <c r="G862" s="967" t="n">
        <f aca="false">IF(F862&gt;0,D862*F862,E862*D862)</f>
        <v>0</v>
      </c>
      <c r="H862" s="986" t="n">
        <f aca="false">E862*D862*$H$725</f>
        <v>0</v>
      </c>
      <c r="I862" s="936" t="n">
        <f aca="false">IF(G862&gt;H862,G862,H862)*$H$725</f>
        <v>0</v>
      </c>
      <c r="J862" s="931"/>
      <c r="K862" s="937"/>
    </row>
    <row r="863" customFormat="false" ht="15.75" hidden="true" customHeight="false" outlineLevel="0" collapsed="false">
      <c r="A863" s="937"/>
      <c r="B863" s="980" t="str">
        <f aca="false">перекрытие!A182</f>
        <v>Доска естественной влажности, 150*50мм</v>
      </c>
      <c r="C863" s="968" t="str">
        <f aca="false">перекрытие!B182</f>
        <v>м3</v>
      </c>
      <c r="D863" s="967" t="n">
        <f aca="false">перекрытие!D182</f>
        <v>0</v>
      </c>
      <c r="E863" s="986" t="n">
        <f aca="false">перекрытие!E182</f>
        <v>6500</v>
      </c>
      <c r="F863" s="986"/>
      <c r="G863" s="967" t="n">
        <f aca="false">IF(F863&gt;0,D863*F863,E863*D863)</f>
        <v>0</v>
      </c>
      <c r="H863" s="986" t="n">
        <f aca="false">E863*D863*$H$725</f>
        <v>0</v>
      </c>
      <c r="I863" s="936" t="n">
        <f aca="false">IF(G863&gt;H863,G863,H863)*$H$725</f>
        <v>0</v>
      </c>
      <c r="J863" s="931"/>
      <c r="K863" s="937"/>
    </row>
    <row r="864" customFormat="false" ht="15.75" hidden="true" customHeight="false" outlineLevel="0" collapsed="false">
      <c r="A864" s="937"/>
      <c r="B864" s="980" t="str">
        <f aca="false">перекрытие!A183</f>
        <v>Опора бруса          </v>
      </c>
      <c r="C864" s="968" t="str">
        <f aca="false">перекрытие!B183</f>
        <v>шт</v>
      </c>
      <c r="D864" s="967" t="n">
        <f aca="false">перекрытие!D183</f>
        <v>0</v>
      </c>
      <c r="E864" s="986" t="n">
        <f aca="false">перекрытие!E183</f>
        <v>50</v>
      </c>
      <c r="F864" s="986"/>
      <c r="G864" s="967" t="n">
        <f aca="false">IF(F864&gt;0,D864*F864,E864*D864)</f>
        <v>0</v>
      </c>
      <c r="H864" s="986" t="n">
        <f aca="false">E864*D864*$H$725</f>
        <v>0</v>
      </c>
      <c r="I864" s="936" t="n">
        <f aca="false">IF(G864&gt;H864,G864,H864)*$H$725</f>
        <v>0</v>
      </c>
      <c r="J864" s="931"/>
      <c r="K864" s="937"/>
    </row>
    <row r="865" customFormat="false" ht="15.75" hidden="true" customHeight="false" outlineLevel="0" collapsed="false">
      <c r="A865" s="937"/>
      <c r="B865" s="980" t="str">
        <f aca="false">перекрытие!A184</f>
        <v>Болты анкерные с гайкой 8,0 x 60           </v>
      </c>
      <c r="C865" s="968" t="str">
        <f aca="false">перекрытие!B184</f>
        <v>шт</v>
      </c>
      <c r="D865" s="967" t="n">
        <f aca="false">перекрытие!D184</f>
        <v>0</v>
      </c>
      <c r="E865" s="986" t="n">
        <f aca="false">перекрытие!E184</f>
        <v>4</v>
      </c>
      <c r="F865" s="986"/>
      <c r="G865" s="967" t="n">
        <f aca="false">IF(F865&gt;0,D865*F865,E865*D865)</f>
        <v>0</v>
      </c>
      <c r="H865" s="986" t="n">
        <f aca="false">E865*D865*$H$725</f>
        <v>0</v>
      </c>
      <c r="I865" s="936" t="n">
        <f aca="false">IF(G865&gt;H865,G865,H865)*$H$725</f>
        <v>0</v>
      </c>
      <c r="J865" s="931"/>
      <c r="K865" s="937"/>
    </row>
    <row r="866" customFormat="false" ht="15.75" hidden="true" customHeight="false" outlineLevel="0" collapsed="false">
      <c r="A866" s="937"/>
      <c r="B866" s="980" t="str">
        <f aca="false">перекрытие!A99</f>
        <v>Нет перекрестного пола</v>
      </c>
      <c r="C866" s="968" t="str">
        <f aca="false">перекрытие!B99</f>
        <v>м3</v>
      </c>
      <c r="D866" s="967" t="n">
        <f aca="false">перекрытие!D99</f>
        <v>0</v>
      </c>
      <c r="E866" s="986" t="n">
        <f aca="false">перекрытие!E99</f>
        <v>0</v>
      </c>
      <c r="F866" s="986"/>
      <c r="G866" s="967" t="n">
        <f aca="false">IF(F866&gt;0,D866*F866,E866*D866)</f>
        <v>0</v>
      </c>
      <c r="H866" s="986" t="n">
        <f aca="false">E866*D866*$H$725</f>
        <v>0</v>
      </c>
      <c r="I866" s="936" t="n">
        <f aca="false">IF(G866&gt;H866,G866,H866)*$H$725</f>
        <v>0</v>
      </c>
      <c r="J866" s="931"/>
      <c r="K866" s="937"/>
    </row>
    <row r="867" customFormat="false" ht="15.75" hidden="true" customHeight="false" outlineLevel="0" collapsed="false">
      <c r="A867" s="937"/>
      <c r="B867" s="980" t="str">
        <f aca="false">перекрытие!A100</f>
        <v>Гвозди строительные 3,5 x 90            </v>
      </c>
      <c r="C867" s="968" t="str">
        <f aca="false">перекрытие!B100</f>
        <v>кг</v>
      </c>
      <c r="D867" s="967" t="n">
        <f aca="false">перекрытие!D100</f>
        <v>0</v>
      </c>
      <c r="E867" s="986" t="n">
        <f aca="false">перекрытие!E100</f>
        <v>70</v>
      </c>
      <c r="F867" s="986"/>
      <c r="G867" s="967" t="n">
        <f aca="false">IF(F867&gt;0,D867*F867,E867*D867)</f>
        <v>0</v>
      </c>
      <c r="H867" s="986" t="n">
        <f aca="false">E867*D867*$H$725</f>
        <v>0</v>
      </c>
      <c r="I867" s="936" t="n">
        <f aca="false">IF(G867&gt;H867,G867,H867)*$H$725</f>
        <v>0</v>
      </c>
      <c r="J867" s="931"/>
      <c r="K867" s="937"/>
    </row>
    <row r="868" customFormat="false" ht="15.75" hidden="true" customHeight="false" outlineLevel="0" collapsed="false">
      <c r="A868" s="937"/>
      <c r="B868" s="980" t="str">
        <f aca="false">перекрытие!A187</f>
        <v>Sip панель 2500*625*124мм</v>
      </c>
      <c r="C868" s="968" t="str">
        <f aca="false">перекрытие!B187</f>
        <v>м2</v>
      </c>
      <c r="D868" s="967" t="n">
        <f aca="false">перекрытие!D187</f>
        <v>0</v>
      </c>
      <c r="E868" s="986" t="n">
        <f aca="false">перекрытие!E187</f>
        <v>800</v>
      </c>
      <c r="F868" s="986"/>
      <c r="G868" s="967" t="n">
        <f aca="false">IF(F868&gt;0,D868*F868,E868*D868)</f>
        <v>0</v>
      </c>
      <c r="H868" s="986" t="n">
        <f aca="false">E868*D868*$H$725</f>
        <v>0</v>
      </c>
      <c r="I868" s="936" t="n">
        <f aca="false">IF(G868&gt;H868,G868,H868)*$H$725</f>
        <v>0</v>
      </c>
      <c r="J868" s="931"/>
      <c r="K868" s="937"/>
    </row>
    <row r="869" customFormat="false" ht="15.75" hidden="true" customHeight="false" outlineLevel="0" collapsed="false">
      <c r="A869" s="937"/>
      <c r="B869" s="980" t="str">
        <f aca="false">перекрытие!A188</f>
        <v>Sip панель 2500*625*174мм</v>
      </c>
      <c r="C869" s="968" t="str">
        <f aca="false">перекрытие!B188</f>
        <v>м2</v>
      </c>
      <c r="D869" s="967" t="n">
        <f aca="false">перекрытие!D188</f>
        <v>0</v>
      </c>
      <c r="E869" s="986" t="n">
        <f aca="false">перекрытие!E188</f>
        <v>1200</v>
      </c>
      <c r="F869" s="986"/>
      <c r="G869" s="967" t="n">
        <f aca="false">IF(F869&gt;0,D869*F869,E869*D869)</f>
        <v>0</v>
      </c>
      <c r="H869" s="986" t="n">
        <f aca="false">E869*D869*$H$725</f>
        <v>0</v>
      </c>
      <c r="I869" s="936" t="n">
        <f aca="false">IF(G869&gt;H869,G869,H869)*$H$725</f>
        <v>0</v>
      </c>
      <c r="J869" s="931"/>
      <c r="K869" s="937"/>
    </row>
    <row r="870" customFormat="false" ht="15.75" hidden="true" customHeight="false" outlineLevel="0" collapsed="false">
      <c r="A870" s="937"/>
      <c r="B870" s="980" t="str">
        <f aca="false">перекрытие!A189</f>
        <v>Sip панель 2500*625*224мм</v>
      </c>
      <c r="C870" s="968" t="str">
        <f aca="false">перекрытие!B189</f>
        <v>м2</v>
      </c>
      <c r="D870" s="967" t="n">
        <f aca="false">перекрытие!D189</f>
        <v>0</v>
      </c>
      <c r="E870" s="986" t="n">
        <f aca="false">перекрытие!E189</f>
        <v>1400</v>
      </c>
      <c r="F870" s="986"/>
      <c r="G870" s="967" t="n">
        <f aca="false">IF(F870&gt;0,D870*F870,E870*D870)</f>
        <v>0</v>
      </c>
      <c r="H870" s="986" t="n">
        <f aca="false">E870*D870*$H$725</f>
        <v>0</v>
      </c>
      <c r="I870" s="936" t="n">
        <f aca="false">IF(G870&gt;H870,G870,H870)*$H$725</f>
        <v>0</v>
      </c>
      <c r="J870" s="931"/>
      <c r="K870" s="937"/>
    </row>
    <row r="871" customFormat="false" ht="15.75" hidden="true" customHeight="false" outlineLevel="0" collapsed="false">
      <c r="A871" s="937"/>
      <c r="B871" s="980" t="str">
        <f aca="false">перекрытие!A190</f>
        <v>Доска сухая, 100*50мм</v>
      </c>
      <c r="C871" s="968" t="str">
        <f aca="false">перекрытие!B190</f>
        <v>м.п.</v>
      </c>
      <c r="D871" s="967" t="n">
        <f aca="false">перекрытие!D190</f>
        <v>0</v>
      </c>
      <c r="E871" s="986" t="n">
        <f aca="false">перекрытие!E190</f>
        <v>45</v>
      </c>
      <c r="F871" s="986"/>
      <c r="G871" s="967" t="n">
        <f aca="false">IF(F871&gt;0,D871*F871,E871*D871)</f>
        <v>0</v>
      </c>
      <c r="H871" s="986" t="n">
        <f aca="false">E871*D871*$H$725</f>
        <v>0</v>
      </c>
      <c r="I871" s="936" t="n">
        <f aca="false">IF(G871&gt;H871,G871,H871)*$H$725</f>
        <v>0</v>
      </c>
      <c r="J871" s="931"/>
      <c r="K871" s="937"/>
    </row>
    <row r="872" customFormat="false" ht="15.75" hidden="true" customHeight="false" outlineLevel="0" collapsed="false">
      <c r="A872" s="937"/>
      <c r="B872" s="980" t="str">
        <f aca="false">перекрытие!A191</f>
        <v>Доска сухая, 150*50мм</v>
      </c>
      <c r="C872" s="968" t="str">
        <f aca="false">перекрытие!B191</f>
        <v>м.п.</v>
      </c>
      <c r="D872" s="967" t="n">
        <f aca="false">перекрытие!D191</f>
        <v>0</v>
      </c>
      <c r="E872" s="986" t="n">
        <f aca="false">перекрытие!E191</f>
        <v>67.5</v>
      </c>
      <c r="F872" s="986"/>
      <c r="G872" s="967" t="n">
        <f aca="false">IF(F872&gt;0,D872*F872,E872*D872)</f>
        <v>0</v>
      </c>
      <c r="H872" s="986" t="n">
        <f aca="false">E872*D872*$H$725</f>
        <v>0</v>
      </c>
      <c r="I872" s="936" t="n">
        <f aca="false">IF(G872&gt;H872,G872,H872)*$H$725</f>
        <v>0</v>
      </c>
      <c r="J872" s="931"/>
      <c r="K872" s="937"/>
    </row>
    <row r="873" customFormat="false" ht="15.75" hidden="true" customHeight="false" outlineLevel="0" collapsed="false">
      <c r="A873" s="937"/>
      <c r="B873" s="980" t="str">
        <f aca="false">перекрытие!A192</f>
        <v>Доска сухая, 200*50мм</v>
      </c>
      <c r="C873" s="968" t="str">
        <f aca="false">перекрытие!B192</f>
        <v>м.п.</v>
      </c>
      <c r="D873" s="967" t="n">
        <f aca="false">перекрытие!D192</f>
        <v>0</v>
      </c>
      <c r="E873" s="986" t="n">
        <f aca="false">перекрытие!E192</f>
        <v>90</v>
      </c>
      <c r="F873" s="986"/>
      <c r="G873" s="967" t="n">
        <f aca="false">IF(F873&gt;0,D873*F873,E873*D873)</f>
        <v>0</v>
      </c>
      <c r="H873" s="986" t="n">
        <f aca="false">E873*D873*$H$725</f>
        <v>0</v>
      </c>
      <c r="I873" s="936" t="n">
        <f aca="false">IF(G873&gt;H873,G873,H873)*$H$725</f>
        <v>0</v>
      </c>
      <c r="J873" s="931"/>
      <c r="K873" s="937"/>
    </row>
    <row r="874" customFormat="false" ht="15.75" hidden="true" customHeight="false" outlineLevel="0" collapsed="false">
      <c r="A874" s="937"/>
      <c r="B874" s="980" t="str">
        <f aca="false">перекрытие!A193</f>
        <v>Пена монтажная, всесезонняя 800мл</v>
      </c>
      <c r="C874" s="968" t="str">
        <f aca="false">перекрытие!B193</f>
        <v>шт</v>
      </c>
      <c r="D874" s="967" t="n">
        <f aca="false">перекрытие!D193</f>
        <v>0</v>
      </c>
      <c r="E874" s="986" t="n">
        <f aca="false">перекрытие!E193</f>
        <v>300</v>
      </c>
      <c r="F874" s="986"/>
      <c r="G874" s="967" t="n">
        <f aca="false">IF(F874&gt;0,D874*F874,E874*D874)</f>
        <v>0</v>
      </c>
      <c r="H874" s="986" t="n">
        <f aca="false">E874*D874*$H$725</f>
        <v>0</v>
      </c>
      <c r="I874" s="936" t="n">
        <f aca="false">IF(G874&gt;H874,G874,H874)*$H$725</f>
        <v>0</v>
      </c>
      <c r="J874" s="931"/>
      <c r="K874" s="937"/>
    </row>
    <row r="875" customFormat="false" ht="15.75" hidden="true" customHeight="false" outlineLevel="0" collapsed="false">
      <c r="A875" s="937"/>
      <c r="B875" s="980" t="str">
        <f aca="false">перекрытие!A194</f>
        <v>Гвозди строительные 3,5 x 90            </v>
      </c>
      <c r="C875" s="968" t="str">
        <f aca="false">перекрытие!B194</f>
        <v>шт</v>
      </c>
      <c r="D875" s="967" t="n">
        <f aca="false">перекрытие!D194</f>
        <v>0</v>
      </c>
      <c r="E875" s="986" t="n">
        <f aca="false">перекрытие!E194</f>
        <v>45</v>
      </c>
      <c r="F875" s="986"/>
      <c r="G875" s="967" t="n">
        <f aca="false">IF(F875&gt;0,D875*F875,E875*D875)</f>
        <v>0</v>
      </c>
      <c r="H875" s="986" t="n">
        <f aca="false">E875*D875*$H$725</f>
        <v>0</v>
      </c>
      <c r="I875" s="936" t="n">
        <f aca="false">IF(G875&gt;H875,G875,H875)*$H$725</f>
        <v>0</v>
      </c>
      <c r="J875" s="931"/>
      <c r="K875" s="937"/>
    </row>
    <row r="876" customFormat="false" ht="15.75" hidden="true" customHeight="false" outlineLevel="0" collapsed="false">
      <c r="A876" s="937"/>
      <c r="B876" s="980" t="str">
        <f aca="false">перекрытие!A195</f>
        <v>Саморезы 3,5 x 45            </v>
      </c>
      <c r="C876" s="968" t="str">
        <f aca="false">перекрытие!B195</f>
        <v>шт</v>
      </c>
      <c r="D876" s="967" t="n">
        <f aca="false">перекрытие!D195</f>
        <v>0</v>
      </c>
      <c r="E876" s="986" t="n">
        <f aca="false">перекрытие!E195</f>
        <v>0.25</v>
      </c>
      <c r="F876" s="986"/>
      <c r="G876" s="967" t="n">
        <f aca="false">IF(F876&gt;0,D876*F876,E876*D876)</f>
        <v>0</v>
      </c>
      <c r="H876" s="986" t="n">
        <f aca="false">E876*D876*$H$725</f>
        <v>0</v>
      </c>
      <c r="I876" s="936" t="n">
        <f aca="false">IF(G876&gt;H876,G876,H876)*$H$725</f>
        <v>0</v>
      </c>
      <c r="J876" s="931"/>
      <c r="K876" s="937"/>
    </row>
    <row r="877" customFormat="false" ht="15.75" hidden="true" customHeight="false" outlineLevel="0" collapsed="false">
      <c r="A877" s="937"/>
      <c r="B877" s="980" t="str">
        <f aca="false">перекрытие!A196</f>
        <v>Доска сухая, 200*50мм</v>
      </c>
      <c r="C877" s="968" t="str">
        <f aca="false">перекрытие!B196</f>
        <v>м3</v>
      </c>
      <c r="D877" s="967" t="n">
        <f aca="false">перекрытие!D196</f>
        <v>0</v>
      </c>
      <c r="E877" s="986" t="n">
        <f aca="false">перекрытие!E196</f>
        <v>9000</v>
      </c>
      <c r="F877" s="986"/>
      <c r="G877" s="967" t="n">
        <f aca="false">IF(F877&gt;0,D877*F877,E877*D877)</f>
        <v>0</v>
      </c>
      <c r="H877" s="986" t="n">
        <f aca="false">E877*D877*$H$725</f>
        <v>0</v>
      </c>
      <c r="I877" s="936" t="n">
        <f aca="false">IF(G877&gt;H877,G877,H877)*$H$725</f>
        <v>0</v>
      </c>
      <c r="J877" s="931"/>
      <c r="K877" s="937"/>
    </row>
    <row r="878" customFormat="false" ht="15.75" hidden="true" customHeight="false" outlineLevel="0" collapsed="false">
      <c r="A878" s="937"/>
      <c r="B878" s="980" t="str">
        <f aca="false">перекрытие!A197</f>
        <v>Доска сухая, 150*50мм</v>
      </c>
      <c r="C878" s="968" t="str">
        <f aca="false">перекрытие!B197</f>
        <v>м3</v>
      </c>
      <c r="D878" s="967" t="n">
        <f aca="false">перекрытие!D197</f>
        <v>0</v>
      </c>
      <c r="E878" s="986" t="n">
        <f aca="false">перекрытие!E197</f>
        <v>9000</v>
      </c>
      <c r="F878" s="986"/>
      <c r="G878" s="967" t="n">
        <f aca="false">IF(F878&gt;0,D878*F878,E878*D878)</f>
        <v>0</v>
      </c>
      <c r="H878" s="986" t="n">
        <f aca="false">E878*D878*$H$725</f>
        <v>0</v>
      </c>
      <c r="I878" s="936" t="n">
        <f aca="false">IF(G878&gt;H878,G878,H878)*$H$725</f>
        <v>0</v>
      </c>
      <c r="J878" s="931"/>
      <c r="K878" s="937"/>
    </row>
    <row r="879" customFormat="false" ht="15.75" hidden="true" customHeight="false" outlineLevel="0" collapsed="false">
      <c r="A879" s="937"/>
      <c r="B879" s="980" t="str">
        <f aca="false">перекрытие!A198</f>
        <v>Гвозди ершоные 2,8 х 90            </v>
      </c>
      <c r="C879" s="968" t="str">
        <f aca="false">перекрытие!B198</f>
        <v>кг</v>
      </c>
      <c r="D879" s="967" t="n">
        <f aca="false">перекрытие!D198</f>
        <v>0</v>
      </c>
      <c r="E879" s="986" t="n">
        <f aca="false">перекрытие!E198</f>
        <v>76.49</v>
      </c>
      <c r="F879" s="986"/>
      <c r="G879" s="967" t="n">
        <f aca="false">IF(F879&gt;0,D879*F879,E879*D879)</f>
        <v>0</v>
      </c>
      <c r="H879" s="986" t="n">
        <f aca="false">E879*D879*$H$725</f>
        <v>0</v>
      </c>
      <c r="I879" s="936" t="n">
        <f aca="false">IF(G879&gt;H879,G879,H879)*$H$725</f>
        <v>0</v>
      </c>
      <c r="J879" s="931"/>
      <c r="K879" s="937"/>
    </row>
    <row r="880" customFormat="false" ht="15.75" hidden="true" customHeight="false" outlineLevel="0" collapsed="false">
      <c r="A880" s="937"/>
      <c r="B880" s="980" t="str">
        <f aca="false">перекрытие!A199</f>
        <v>Доска сухая калиброванная, 190*45мм</v>
      </c>
      <c r="C880" s="968" t="str">
        <f aca="false">перекрытие!B199</f>
        <v>м3</v>
      </c>
      <c r="D880" s="967" t="n">
        <f aca="false">перекрытие!D199</f>
        <v>0</v>
      </c>
      <c r="E880" s="986" t="n">
        <f aca="false">перекрытие!E199</f>
        <v>12500</v>
      </c>
      <c r="F880" s="986"/>
      <c r="G880" s="967" t="n">
        <f aca="false">IF(F880&gt;0,D880*F880,E880*D880)</f>
        <v>0</v>
      </c>
      <c r="H880" s="986" t="n">
        <f aca="false">E880*D880*$H$725</f>
        <v>0</v>
      </c>
      <c r="I880" s="936" t="n">
        <f aca="false">IF(G880&gt;H880,G880,H880)*$H$725</f>
        <v>0</v>
      </c>
      <c r="J880" s="931"/>
      <c r="K880" s="937"/>
    </row>
    <row r="881" customFormat="false" ht="15.75" hidden="true" customHeight="false" outlineLevel="0" collapsed="false">
      <c r="A881" s="937"/>
      <c r="B881" s="980" t="str">
        <f aca="false">перекрытие!A200</f>
        <v>Доска сухая калиброванная, 145*45мм</v>
      </c>
      <c r="C881" s="968" t="str">
        <f aca="false">перекрытие!B200</f>
        <v>м3</v>
      </c>
      <c r="D881" s="967" t="n">
        <f aca="false">перекрытие!D200</f>
        <v>0</v>
      </c>
      <c r="E881" s="986" t="n">
        <f aca="false">перекрытие!E200</f>
        <v>12500</v>
      </c>
      <c r="F881" s="986"/>
      <c r="G881" s="967" t="n">
        <f aca="false">IF(F881&gt;0,D881*F881,E881*D881)</f>
        <v>0</v>
      </c>
      <c r="H881" s="986" t="n">
        <f aca="false">E881*D881*$H$725</f>
        <v>0</v>
      </c>
      <c r="I881" s="936" t="n">
        <f aca="false">IF(G881&gt;H881,G881,H881)*$H$725</f>
        <v>0</v>
      </c>
      <c r="J881" s="931"/>
      <c r="K881" s="937"/>
    </row>
    <row r="882" customFormat="false" ht="15.75" hidden="true" customHeight="false" outlineLevel="0" collapsed="false">
      <c r="A882" s="937"/>
      <c r="B882" s="980" t="str">
        <f aca="false">перекрытие!A201</f>
        <v>Гвозди ершоные 2,8 х 90            </v>
      </c>
      <c r="C882" s="968" t="str">
        <f aca="false">перекрытие!B201</f>
        <v>кг</v>
      </c>
      <c r="D882" s="967" t="n">
        <f aca="false">перекрытие!D201</f>
        <v>0</v>
      </c>
      <c r="E882" s="986" t="n">
        <f aca="false">перекрытие!E201</f>
        <v>76.49</v>
      </c>
      <c r="F882" s="986"/>
      <c r="G882" s="967" t="n">
        <f aca="false">IF(F882&gt;0,D882*F882,E882*D882)</f>
        <v>0</v>
      </c>
      <c r="H882" s="986" t="n">
        <f aca="false">E882*D882*$H$725</f>
        <v>0</v>
      </c>
      <c r="I882" s="936" t="n">
        <f aca="false">IF(G882&gt;H882,G882,H882)*$H$725</f>
        <v>0</v>
      </c>
      <c r="J882" s="931"/>
      <c r="K882" s="937"/>
    </row>
    <row r="883" customFormat="false" ht="15.75" hidden="true" customHeight="false" outlineLevel="0" collapsed="false">
      <c r="A883" s="937"/>
      <c r="B883" s="980" t="str">
        <f aca="false">перекрытие!A202</f>
        <v>Двутавровая деревянная балка, 400*65мм</v>
      </c>
      <c r="C883" s="968" t="str">
        <f aca="false">перекрытие!B202</f>
        <v>м.п.</v>
      </c>
      <c r="D883" s="967" t="n">
        <f aca="false">перекрытие!D202</f>
        <v>0</v>
      </c>
      <c r="E883" s="986" t="n">
        <f aca="false">перекрытие!E202</f>
        <v>303</v>
      </c>
      <c r="F883" s="986"/>
      <c r="G883" s="967" t="n">
        <f aca="false">IF(F883&gt;0,D883*F883,E883*D883)</f>
        <v>0</v>
      </c>
      <c r="H883" s="986" t="n">
        <f aca="false">E883*D883*$H$725</f>
        <v>0</v>
      </c>
      <c r="I883" s="936" t="n">
        <f aca="false">IF(G883&gt;H883,G883,H883)*$H$725</f>
        <v>0</v>
      </c>
      <c r="J883" s="931"/>
      <c r="K883" s="937"/>
    </row>
    <row r="884" customFormat="false" ht="15.75" hidden="true" customHeight="false" outlineLevel="0" collapsed="false">
      <c r="A884" s="937"/>
      <c r="B884" s="980" t="str">
        <f aca="false">перекрытие!A203</f>
        <v>Двутавровая деревянная балка, 400*90мм</v>
      </c>
      <c r="C884" s="968" t="str">
        <f aca="false">перекрытие!B203</f>
        <v>м.п.</v>
      </c>
      <c r="D884" s="967" t="n">
        <f aca="false">перекрытие!D203</f>
        <v>0</v>
      </c>
      <c r="E884" s="986" t="n">
        <f aca="false">перекрытие!E203</f>
        <v>355</v>
      </c>
      <c r="F884" s="986"/>
      <c r="G884" s="967" t="n">
        <f aca="false">IF(F884&gt;0,D884*F884,E884*D884)</f>
        <v>0</v>
      </c>
      <c r="H884" s="986" t="n">
        <f aca="false">E884*D884*$H$725</f>
        <v>0</v>
      </c>
      <c r="I884" s="936" t="n">
        <f aca="false">IF(G884&gt;H884,G884,H884)*$H$725</f>
        <v>0</v>
      </c>
      <c r="J884" s="931"/>
      <c r="K884" s="937"/>
    </row>
    <row r="885" customFormat="false" ht="15.75" hidden="true" customHeight="false" outlineLevel="0" collapsed="false">
      <c r="A885" s="937"/>
      <c r="B885" s="980" t="str">
        <f aca="false">перекрытие!A204</f>
        <v>Двутавровая деревянная балка, 350*65мм</v>
      </c>
      <c r="C885" s="968" t="str">
        <f aca="false">перекрытие!B204</f>
        <v>м.п.</v>
      </c>
      <c r="D885" s="967" t="n">
        <f aca="false">перекрытие!D204</f>
        <v>0</v>
      </c>
      <c r="E885" s="986" t="n">
        <f aca="false">перекрытие!E204</f>
        <v>287</v>
      </c>
      <c r="F885" s="986"/>
      <c r="G885" s="967" t="n">
        <f aca="false">IF(F885&gt;0,D885*F885,E885*D885)</f>
        <v>0</v>
      </c>
      <c r="H885" s="986" t="n">
        <f aca="false">E885*D885*$H$725</f>
        <v>0</v>
      </c>
      <c r="I885" s="936" t="n">
        <f aca="false">IF(G885&gt;H885,G885,H885)*$H$725</f>
        <v>0</v>
      </c>
      <c r="J885" s="931"/>
      <c r="K885" s="937"/>
    </row>
    <row r="886" customFormat="false" ht="15.75" hidden="true" customHeight="false" outlineLevel="0" collapsed="false">
      <c r="A886" s="937"/>
      <c r="B886" s="980" t="str">
        <f aca="false">перекрытие!A205</f>
        <v>Двутавровая деревянная балка, 350*90мм</v>
      </c>
      <c r="C886" s="968" t="str">
        <f aca="false">перекрытие!B205</f>
        <v>м.п.</v>
      </c>
      <c r="D886" s="967" t="n">
        <f aca="false">перекрытие!D205</f>
        <v>0</v>
      </c>
      <c r="E886" s="986" t="n">
        <f aca="false">перекрытие!E205</f>
        <v>315</v>
      </c>
      <c r="F886" s="986"/>
      <c r="G886" s="967" t="n">
        <f aca="false">IF(F886&gt;0,D886*F886,E886*D886)</f>
        <v>0</v>
      </c>
      <c r="H886" s="986" t="n">
        <f aca="false">E886*D886*$H$725</f>
        <v>0</v>
      </c>
      <c r="I886" s="936" t="n">
        <f aca="false">IF(G886&gt;H886,G886,H886)*$H$725</f>
        <v>0</v>
      </c>
      <c r="J886" s="931"/>
      <c r="K886" s="937"/>
    </row>
    <row r="887" customFormat="false" ht="15.75" hidden="true" customHeight="false" outlineLevel="0" collapsed="false">
      <c r="A887" s="937"/>
      <c r="B887" s="980" t="str">
        <f aca="false">перекрытие!A206</f>
        <v>Двутавровая деревянная балка, 300*65мм</v>
      </c>
      <c r="C887" s="968" t="str">
        <f aca="false">перекрытие!B206</f>
        <v>м.п.</v>
      </c>
      <c r="D887" s="967" t="n">
        <f aca="false">перекрытие!D206</f>
        <v>0</v>
      </c>
      <c r="E887" s="986" t="n">
        <f aca="false">перекрытие!E206</f>
        <v>273</v>
      </c>
      <c r="F887" s="986"/>
      <c r="G887" s="967" t="n">
        <f aca="false">IF(F887&gt;0,D887*F887,E887*D887)</f>
        <v>0</v>
      </c>
      <c r="H887" s="986" t="n">
        <f aca="false">E887*D887*$H$725</f>
        <v>0</v>
      </c>
      <c r="I887" s="936" t="n">
        <f aca="false">IF(G887&gt;H887,G887,H887)*$H$725</f>
        <v>0</v>
      </c>
      <c r="J887" s="931"/>
      <c r="K887" s="937"/>
    </row>
    <row r="888" customFormat="false" ht="15.75" hidden="true" customHeight="false" outlineLevel="0" collapsed="false">
      <c r="A888" s="937"/>
      <c r="B888" s="980" t="str">
        <f aca="false">перекрытие!A207</f>
        <v>Двутавровая деревянная балка, 300*90мм</v>
      </c>
      <c r="C888" s="968" t="str">
        <f aca="false">перекрытие!B207</f>
        <v>м.п.</v>
      </c>
      <c r="D888" s="967" t="n">
        <f aca="false">перекрытие!D207</f>
        <v>0</v>
      </c>
      <c r="E888" s="986" t="n">
        <f aca="false">перекрытие!E207</f>
        <v>315</v>
      </c>
      <c r="F888" s="986"/>
      <c r="G888" s="967" t="n">
        <f aca="false">IF(F888&gt;0,D888*F888,E888*D888)</f>
        <v>0</v>
      </c>
      <c r="H888" s="986" t="n">
        <f aca="false">E888*D888*$H$725</f>
        <v>0</v>
      </c>
      <c r="I888" s="936" t="n">
        <f aca="false">IF(G888&gt;H888,G888,H888)*$H$725</f>
        <v>0</v>
      </c>
      <c r="J888" s="931"/>
      <c r="K888" s="937"/>
    </row>
    <row r="889" customFormat="false" ht="15.75" hidden="true" customHeight="false" outlineLevel="0" collapsed="false">
      <c r="A889" s="937"/>
      <c r="B889" s="980" t="str">
        <f aca="false">перекрытие!A208</f>
        <v>Двутавровая деревянная балка, 240*65мм</v>
      </c>
      <c r="C889" s="968" t="str">
        <f aca="false">перекрытие!B208</f>
        <v>м.п.</v>
      </c>
      <c r="D889" s="967" t="n">
        <f aca="false">перекрытие!D208</f>
        <v>0</v>
      </c>
      <c r="E889" s="986" t="n">
        <f aca="false">перекрытие!E208</f>
        <v>263</v>
      </c>
      <c r="F889" s="986"/>
      <c r="G889" s="967" t="n">
        <f aca="false">IF(F889&gt;0,D889*F889,E889*D889)</f>
        <v>0</v>
      </c>
      <c r="H889" s="986" t="n">
        <f aca="false">E889*D889*$H$725</f>
        <v>0</v>
      </c>
      <c r="I889" s="936" t="n">
        <f aca="false">IF(G889&gt;H889,G889,H889)*$H$725</f>
        <v>0</v>
      </c>
      <c r="J889" s="931"/>
      <c r="K889" s="937"/>
    </row>
    <row r="890" customFormat="false" ht="15.75" hidden="true" customHeight="false" outlineLevel="0" collapsed="false">
      <c r="A890" s="937"/>
      <c r="B890" s="980" t="str">
        <f aca="false">перекрытие!A209</f>
        <v>Двутавровая деревянная балка, 240*90мм</v>
      </c>
      <c r="C890" s="968" t="str">
        <f aca="false">перекрытие!B209</f>
        <v>м.п.</v>
      </c>
      <c r="D890" s="967" t="n">
        <f aca="false">перекрытие!D209</f>
        <v>0</v>
      </c>
      <c r="E890" s="986" t="n">
        <f aca="false">перекрытие!E209</f>
        <v>291</v>
      </c>
      <c r="F890" s="986"/>
      <c r="G890" s="967" t="n">
        <f aca="false">IF(F890&gt;0,D890*F890,E890*D890)</f>
        <v>0</v>
      </c>
      <c r="H890" s="986" t="n">
        <f aca="false">E890*D890*$H$725</f>
        <v>0</v>
      </c>
      <c r="I890" s="936" t="n">
        <f aca="false">IF(G890&gt;H890,G890,H890)*$H$725</f>
        <v>0</v>
      </c>
      <c r="J890" s="931"/>
      <c r="K890" s="937"/>
    </row>
    <row r="891" customFormat="false" ht="15.75" hidden="true" customHeight="false" outlineLevel="0" collapsed="false">
      <c r="A891" s="937"/>
      <c r="B891" s="980" t="str">
        <f aca="false">перекрытие!A210</f>
        <v>Двутавровая деревянная балка, 200*65мм</v>
      </c>
      <c r="C891" s="968" t="str">
        <f aca="false">перекрытие!B210</f>
        <v>м.п.</v>
      </c>
      <c r="D891" s="967" t="n">
        <f aca="false">перекрытие!D210</f>
        <v>0</v>
      </c>
      <c r="E891" s="986" t="n">
        <f aca="false">перекрытие!E210</f>
        <v>250</v>
      </c>
      <c r="F891" s="986"/>
      <c r="G891" s="967" t="n">
        <f aca="false">IF(F891&gt;0,D891*F891,E891*D891)</f>
        <v>0</v>
      </c>
      <c r="H891" s="986" t="n">
        <f aca="false">E891*D891*$H$725</f>
        <v>0</v>
      </c>
      <c r="I891" s="936" t="n">
        <f aca="false">IF(G891&gt;H891,G891,H891)*$H$725</f>
        <v>0</v>
      </c>
      <c r="J891" s="931"/>
      <c r="K891" s="937"/>
    </row>
    <row r="892" customFormat="false" ht="15.75" hidden="true" customHeight="false" outlineLevel="0" collapsed="false">
      <c r="A892" s="937"/>
      <c r="B892" s="980" t="str">
        <f aca="false">перекрытие!A211</f>
        <v>Двутавровая деревянная балка, 200*90мм</v>
      </c>
      <c r="C892" s="968" t="str">
        <f aca="false">перекрытие!B211</f>
        <v>м.п.</v>
      </c>
      <c r="D892" s="967" t="n">
        <f aca="false">перекрытие!D211</f>
        <v>0</v>
      </c>
      <c r="E892" s="986" t="n">
        <f aca="false">перекрытие!E211</f>
        <v>280</v>
      </c>
      <c r="F892" s="986"/>
      <c r="G892" s="967" t="n">
        <f aca="false">IF(F892&gt;0,D892*F892,E892*D892)</f>
        <v>0</v>
      </c>
      <c r="H892" s="986" t="n">
        <f aca="false">E892*D892*$H$725</f>
        <v>0</v>
      </c>
      <c r="I892" s="936" t="n">
        <f aca="false">IF(G892&gt;H892,G892,H892)*$H$725</f>
        <v>0</v>
      </c>
      <c r="J892" s="931"/>
      <c r="K892" s="937"/>
    </row>
    <row r="893" customFormat="false" ht="15.75" hidden="true" customHeight="false" outlineLevel="0" collapsed="false">
      <c r="A893" s="937"/>
      <c r="B893" s="980" t="str">
        <f aca="false">перекрытие!A212</f>
        <v>Двутавровая деревянная балка, 150*65мм</v>
      </c>
      <c r="C893" s="968" t="str">
        <f aca="false">перекрытие!B212</f>
        <v>м.п.</v>
      </c>
      <c r="D893" s="967" t="n">
        <f aca="false">перекрытие!D212</f>
        <v>0</v>
      </c>
      <c r="E893" s="986" t="n">
        <f aca="false">перекрытие!E212</f>
        <v>220</v>
      </c>
      <c r="F893" s="986"/>
      <c r="G893" s="967" t="n">
        <f aca="false">IF(F893&gt;0,D893*F893,E893*D893)</f>
        <v>0</v>
      </c>
      <c r="H893" s="986" t="n">
        <f aca="false">E893*D893*$H$725</f>
        <v>0</v>
      </c>
      <c r="I893" s="936" t="n">
        <f aca="false">IF(G893&gt;H893,G893,H893)*$H$725</f>
        <v>0</v>
      </c>
      <c r="J893" s="931"/>
      <c r="K893" s="937"/>
    </row>
    <row r="894" customFormat="false" ht="15.75" hidden="true" customHeight="false" outlineLevel="0" collapsed="false">
      <c r="A894" s="937"/>
      <c r="B894" s="980" t="str">
        <f aca="false">перекрытие!A213</f>
        <v>Двутавровая деревянная балка, 150*90мм</v>
      </c>
      <c r="C894" s="968" t="str">
        <f aca="false">перекрытие!B213</f>
        <v>м.п.</v>
      </c>
      <c r="D894" s="967" t="n">
        <f aca="false">перекрытие!D213</f>
        <v>0</v>
      </c>
      <c r="E894" s="986" t="n">
        <f aca="false">перекрытие!E213</f>
        <v>250</v>
      </c>
      <c r="F894" s="986"/>
      <c r="G894" s="967" t="n">
        <f aca="false">IF(F894&gt;0,D894*F894,E894*D894)</f>
        <v>0</v>
      </c>
      <c r="H894" s="986" t="n">
        <f aca="false">E894*D894*$H$725</f>
        <v>0</v>
      </c>
      <c r="I894" s="936" t="n">
        <f aca="false">IF(G894&gt;H894,G894,H894)*$H$725</f>
        <v>0</v>
      </c>
      <c r="J894" s="931"/>
      <c r="K894" s="937"/>
    </row>
    <row r="895" customFormat="false" ht="15.75" hidden="true" customHeight="false" outlineLevel="0" collapsed="false">
      <c r="A895" s="937"/>
      <c r="B895" s="980" t="str">
        <f aca="false">перекрытие!A214</f>
        <v>Уголок усиленный 90х70х55х2,5        </v>
      </c>
      <c r="C895" s="968" t="str">
        <f aca="false">перекрытие!B214</f>
        <v>шт</v>
      </c>
      <c r="D895" s="967" t="n">
        <f aca="false">перекрытие!D214</f>
        <v>0</v>
      </c>
      <c r="E895" s="986" t="n">
        <f aca="false">перекрытие!E214</f>
        <v>30</v>
      </c>
      <c r="F895" s="986"/>
      <c r="G895" s="967" t="n">
        <f aca="false">IF(F895&gt;0,D895*F895,E895*D895)</f>
        <v>0</v>
      </c>
      <c r="H895" s="986" t="n">
        <f aca="false">E895*D895*$H$725</f>
        <v>0</v>
      </c>
      <c r="I895" s="936" t="n">
        <f aca="false">IF(G895&gt;H895,G895,H895)*$H$725</f>
        <v>0</v>
      </c>
      <c r="J895" s="931"/>
      <c r="K895" s="937"/>
    </row>
    <row r="896" customFormat="false" ht="15.75" hidden="true" customHeight="false" outlineLevel="0" collapsed="false">
      <c r="A896" s="937"/>
      <c r="B896" s="980" t="str">
        <f aca="false">перекрытие!A215</f>
        <v>Саморезы 3,5 x 55            </v>
      </c>
      <c r="C896" s="968" t="str">
        <f aca="false">перекрытие!B215</f>
        <v>шт</v>
      </c>
      <c r="D896" s="967" t="n">
        <f aca="false">перекрытие!D215</f>
        <v>0</v>
      </c>
      <c r="E896" s="986" t="n">
        <f aca="false">перекрытие!E215</f>
        <v>0.3</v>
      </c>
      <c r="F896" s="986"/>
      <c r="G896" s="967" t="n">
        <f aca="false">IF(F896&gt;0,D896*F896,E896*D896)</f>
        <v>0</v>
      </c>
      <c r="H896" s="986" t="n">
        <f aca="false">E896*D896*$H$725</f>
        <v>0</v>
      </c>
      <c r="I896" s="936" t="n">
        <f aca="false">IF(G896&gt;H896,G896,H896)*$H$725</f>
        <v>0</v>
      </c>
      <c r="J896" s="931"/>
      <c r="K896" s="937"/>
    </row>
    <row r="897" customFormat="false" ht="15.75" hidden="true" customHeight="false" outlineLevel="0" collapsed="false">
      <c r="A897" s="937"/>
      <c r="B897" s="980" t="str">
        <f aca="false">перекрытие!A216</f>
        <v>Нет</v>
      </c>
      <c r="C897" s="968" t="str">
        <f aca="false">перекрытие!B216</f>
        <v>м3</v>
      </c>
      <c r="D897" s="967" t="n">
        <f aca="false">перекрытие!D216</f>
        <v>0</v>
      </c>
      <c r="E897" s="986" t="n">
        <f aca="false">перекрытие!E216</f>
        <v>0</v>
      </c>
      <c r="F897" s="986"/>
      <c r="G897" s="967" t="n">
        <f aca="false">IF(F897&gt;0,D897*F897,E897*D897)</f>
        <v>0</v>
      </c>
      <c r="H897" s="986" t="n">
        <f aca="false">E897*D897*$H$725</f>
        <v>0</v>
      </c>
      <c r="I897" s="936" t="n">
        <f aca="false">IF(G897&gt;H897,G897,H897)*$H$725</f>
        <v>0</v>
      </c>
      <c r="J897" s="931"/>
      <c r="K897" s="937"/>
    </row>
    <row r="898" customFormat="false" ht="15.75" hidden="true" customHeight="false" outlineLevel="0" collapsed="false">
      <c r="A898" s="937"/>
      <c r="B898" s="980" t="str">
        <f aca="false">перекрытие!A217</f>
        <v>нет ветроизоляции</v>
      </c>
      <c r="C898" s="968" t="str">
        <f aca="false">перекрытие!B217</f>
        <v>м2</v>
      </c>
      <c r="D898" s="967" t="n">
        <f aca="false">перекрытие!D217</f>
        <v>0</v>
      </c>
      <c r="E898" s="986" t="n">
        <f aca="false">перекрытие!E217</f>
        <v>0</v>
      </c>
      <c r="F898" s="986"/>
      <c r="G898" s="967" t="n">
        <f aca="false">IF(F898&gt;0,D898*F898,E898*D898)</f>
        <v>0</v>
      </c>
      <c r="H898" s="986" t="n">
        <f aca="false">E898*D898*$H$725</f>
        <v>0</v>
      </c>
      <c r="I898" s="936" t="n">
        <f aca="false">IF(G898&gt;H898,G898,H898)*$H$725</f>
        <v>0</v>
      </c>
      <c r="J898" s="931"/>
      <c r="K898" s="937"/>
    </row>
    <row r="899" customFormat="false" ht="15.75" hidden="true" customHeight="false" outlineLevel="0" collapsed="false">
      <c r="A899" s="937"/>
      <c r="B899" s="980" t="str">
        <f aca="false">перекрытие!A218</f>
        <v>нет пароизоляции</v>
      </c>
      <c r="C899" s="968" t="str">
        <f aca="false">перекрытие!B218</f>
        <v>м2</v>
      </c>
      <c r="D899" s="967" t="n">
        <f aca="false">перекрытие!D218</f>
        <v>0</v>
      </c>
      <c r="E899" s="986" t="n">
        <f aca="false">перекрытие!E218</f>
        <v>0</v>
      </c>
      <c r="F899" s="986"/>
      <c r="G899" s="967" t="n">
        <f aca="false">IF(F899&gt;0,D899*F899,E899*D899)</f>
        <v>0</v>
      </c>
      <c r="H899" s="986" t="n">
        <f aca="false">E899*D899*$H$725</f>
        <v>0</v>
      </c>
      <c r="I899" s="936" t="n">
        <f aca="false">IF(G899&gt;H899,G899,H899)*$H$725</f>
        <v>0</v>
      </c>
      <c r="J899" s="931"/>
      <c r="K899" s="937"/>
    </row>
    <row r="900" customFormat="false" ht="15.75" hidden="true" customHeight="false" outlineLevel="0" collapsed="false">
      <c r="A900" s="937"/>
      <c r="B900" s="980" t="str">
        <f aca="false">перекрытие!A219</f>
        <v>нет</v>
      </c>
      <c r="C900" s="968" t="str">
        <f aca="false">перекрытие!B219</f>
        <v>м3</v>
      </c>
      <c r="D900" s="967" t="n">
        <f aca="false">перекрытие!D219</f>
        <v>0</v>
      </c>
      <c r="E900" s="986" t="n">
        <f aca="false">перекрытие!E219</f>
        <v>0</v>
      </c>
      <c r="F900" s="986"/>
      <c r="G900" s="967" t="n">
        <f aca="false">IF(F900&gt;0,D900*F900,E900*D900)</f>
        <v>0</v>
      </c>
      <c r="H900" s="986" t="n">
        <f aca="false">E900*D900*$H$725</f>
        <v>0</v>
      </c>
      <c r="I900" s="936" t="n">
        <f aca="false">IF(G900&gt;H900,G900,H900)*$H$725</f>
        <v>0</v>
      </c>
      <c r="J900" s="931"/>
      <c r="K900" s="937"/>
    </row>
    <row r="901" customFormat="false" ht="15.75" hidden="true" customHeight="false" outlineLevel="0" collapsed="false">
      <c r="A901" s="937"/>
      <c r="B901" s="980" t="str">
        <f aca="false">перекрытие!A220</f>
        <v>нет</v>
      </c>
      <c r="C901" s="968" t="str">
        <f aca="false">перекрытие!B220</f>
        <v>м3</v>
      </c>
      <c r="D901" s="967" t="n">
        <f aca="false">перекрытие!D220</f>
        <v>0</v>
      </c>
      <c r="E901" s="986" t="n">
        <f aca="false">перекрытие!E220</f>
        <v>0</v>
      </c>
      <c r="F901" s="986"/>
      <c r="G901" s="967" t="n">
        <f aca="false">IF(F901&gt;0,D901*F901,E901*D901)</f>
        <v>0</v>
      </c>
      <c r="H901" s="986" t="n">
        <f aca="false">E901*D901*$H$725</f>
        <v>0</v>
      </c>
      <c r="I901" s="936" t="n">
        <f aca="false">IF(G901&gt;H901,G901,H901)*$H$725</f>
        <v>0</v>
      </c>
      <c r="J901" s="931"/>
      <c r="K901" s="937"/>
    </row>
    <row r="902" customFormat="false" ht="15.75" hidden="true" customHeight="false" outlineLevel="0" collapsed="false">
      <c r="A902" s="937"/>
      <c r="B902" s="980" t="str">
        <f aca="false">перекрытие!A221</f>
        <v>нет</v>
      </c>
      <c r="C902" s="968" t="str">
        <f aca="false">перекрытие!B221</f>
        <v>м3</v>
      </c>
      <c r="D902" s="967" t="n">
        <f aca="false">перекрытие!D221</f>
        <v>0</v>
      </c>
      <c r="E902" s="986" t="n">
        <f aca="false">перекрытие!E221</f>
        <v>0</v>
      </c>
      <c r="F902" s="986"/>
      <c r="G902" s="967" t="n">
        <f aca="false">IF(F902&gt;0,D902*F902,E902*D902)</f>
        <v>0</v>
      </c>
      <c r="H902" s="986" t="n">
        <f aca="false">E902*D902*$H$725</f>
        <v>0</v>
      </c>
      <c r="I902" s="936" t="n">
        <f aca="false">IF(G902&gt;H902,G902,H902)*$H$725</f>
        <v>0</v>
      </c>
      <c r="J902" s="931"/>
      <c r="K902" s="937"/>
    </row>
    <row r="903" customFormat="false" ht="15.75" hidden="true" customHeight="false" outlineLevel="0" collapsed="false">
      <c r="A903" s="937"/>
      <c r="B903" s="980" t="str">
        <f aca="false">перекрытие!A222</f>
        <v>нет</v>
      </c>
      <c r="C903" s="968" t="str">
        <f aca="false">перекрытие!B222</f>
        <v>м3</v>
      </c>
      <c r="D903" s="967" t="n">
        <f aca="false">перекрытие!D222</f>
        <v>0</v>
      </c>
      <c r="E903" s="986" t="n">
        <f aca="false">перекрытие!E222</f>
        <v>0</v>
      </c>
      <c r="F903" s="986"/>
      <c r="G903" s="967" t="n">
        <f aca="false">IF(F903&gt;0,D903*F903,E903*D903)</f>
        <v>0</v>
      </c>
      <c r="H903" s="986" t="n">
        <f aca="false">E903*D903*$H$725</f>
        <v>0</v>
      </c>
      <c r="I903" s="936" t="n">
        <f aca="false">IF(G903&gt;H903,G903,H903)*$H$725</f>
        <v>0</v>
      </c>
      <c r="J903" s="931"/>
      <c r="K903" s="937"/>
    </row>
    <row r="904" customFormat="false" ht="15.75" hidden="true" customHeight="false" outlineLevel="0" collapsed="false">
      <c r="A904" s="937"/>
      <c r="B904" s="980" t="str">
        <f aca="false">перекрытие!A223</f>
        <v>нет</v>
      </c>
      <c r="C904" s="968" t="str">
        <f aca="false">перекрытие!B223</f>
        <v>м3</v>
      </c>
      <c r="D904" s="967" t="n">
        <f aca="false">перекрытие!D223</f>
        <v>0</v>
      </c>
      <c r="E904" s="986" t="n">
        <f aca="false">перекрытие!E223</f>
        <v>0</v>
      </c>
      <c r="F904" s="986"/>
      <c r="G904" s="967" t="n">
        <f aca="false">IF(F904&gt;0,D904*F904,E904*D904)</f>
        <v>0</v>
      </c>
      <c r="H904" s="986" t="n">
        <f aca="false">E904*D904*$H$725</f>
        <v>0</v>
      </c>
      <c r="I904" s="936" t="n">
        <f aca="false">IF(G904&gt;H904,G904,H904)*$H$725</f>
        <v>0</v>
      </c>
      <c r="J904" s="931"/>
      <c r="K904" s="937"/>
    </row>
    <row r="905" customFormat="false" ht="15.75" hidden="true" customHeight="false" outlineLevel="0" collapsed="false">
      <c r="A905" s="937"/>
      <c r="B905" s="980" t="str">
        <f aca="false">перекрытие!A224</f>
        <v>нет</v>
      </c>
      <c r="C905" s="968" t="str">
        <f aca="false">перекрытие!B224</f>
        <v>м3</v>
      </c>
      <c r="D905" s="967" t="n">
        <f aca="false">перекрытие!D224</f>
        <v>0</v>
      </c>
      <c r="E905" s="986" t="n">
        <f aca="false">перекрытие!E224</f>
        <v>0</v>
      </c>
      <c r="F905" s="986"/>
      <c r="G905" s="967" t="n">
        <f aca="false">IF(F905&gt;0,D905*F905,E905*D905)</f>
        <v>0</v>
      </c>
      <c r="H905" s="986" t="n">
        <f aca="false">E905*D905*$H$725</f>
        <v>0</v>
      </c>
      <c r="I905" s="936" t="n">
        <f aca="false">IF(G905&gt;H905,G905,H905)*$H$725</f>
        <v>0</v>
      </c>
      <c r="J905" s="931"/>
      <c r="K905" s="937"/>
    </row>
    <row r="906" customFormat="false" ht="15.75" hidden="true" customHeight="false" outlineLevel="0" collapsed="false">
      <c r="A906" s="937"/>
      <c r="B906" s="980" t="str">
        <f aca="false">перекрытие!A225</f>
        <v>Гвозди ершоные 2,8 х 90            </v>
      </c>
      <c r="C906" s="968" t="str">
        <f aca="false">перекрытие!B225</f>
        <v>кг</v>
      </c>
      <c r="D906" s="967" t="n">
        <f aca="false">перекрытие!D225</f>
        <v>0</v>
      </c>
      <c r="E906" s="986" t="n">
        <f aca="false">перекрытие!E225</f>
        <v>76.49</v>
      </c>
      <c r="F906" s="986"/>
      <c r="G906" s="967" t="n">
        <f aca="false">IF(F906&gt;0,D906*F906,E906*D906)</f>
        <v>0</v>
      </c>
      <c r="H906" s="986" t="n">
        <f aca="false">E906*D906*$H$725</f>
        <v>0</v>
      </c>
      <c r="I906" s="936" t="n">
        <f aca="false">IF(G906&gt;H906,G906,H906)*$H$725</f>
        <v>0</v>
      </c>
      <c r="J906" s="931"/>
      <c r="K906" s="937"/>
    </row>
    <row r="907" customFormat="false" ht="15.75" hidden="false" customHeight="false" outlineLevel="0" collapsed="false">
      <c r="A907" s="937"/>
      <c r="B907" s="973" t="s">
        <v>2247</v>
      </c>
      <c r="C907" s="973"/>
      <c r="D907" s="973"/>
      <c r="E907" s="973"/>
      <c r="F907" s="973"/>
      <c r="G907" s="975" t="n">
        <f aca="false">SUM(G727:G906)*H725</f>
        <v>161912.141333333</v>
      </c>
      <c r="H907" s="975" t="n">
        <f aca="false">SUM(H727:H906)</f>
        <v>161912.141333333</v>
      </c>
      <c r="I907" s="936"/>
      <c r="J907" s="931"/>
      <c r="K907" s="937"/>
    </row>
    <row r="908" customFormat="false" ht="15.75" hidden="false" customHeight="false" outlineLevel="0" collapsed="false">
      <c r="A908" s="937"/>
      <c r="B908" s="976" t="s">
        <v>2007</v>
      </c>
      <c r="C908" s="976"/>
      <c r="D908" s="976"/>
      <c r="E908" s="976"/>
      <c r="F908" s="1024"/>
      <c r="G908" s="977"/>
      <c r="H908" s="1025" t="n">
        <f aca="false">H725</f>
        <v>1</v>
      </c>
      <c r="I908" s="1026"/>
      <c r="J908" s="931"/>
      <c r="K908" s="937"/>
    </row>
    <row r="909" customFormat="false" ht="15.75" hidden="true" customHeight="false" outlineLevel="0" collapsed="false">
      <c r="A909" s="937"/>
      <c r="B909" s="1002" t="str">
        <f aca="false">перекрытие!H42</f>
        <v>Монтаж плит ЖБИ</v>
      </c>
      <c r="C909" s="1027" t="s">
        <v>820</v>
      </c>
      <c r="D909" s="953" t="n">
        <f aca="false">перекрытие!J42</f>
        <v>0</v>
      </c>
      <c r="E909" s="1004" t="n">
        <f aca="false">перекрытие!K42</f>
        <v>200</v>
      </c>
      <c r="F909" s="1004"/>
      <c r="G909" s="967" t="n">
        <f aca="false">IF(F909&gt;0,D909*F909,E909*D909)</f>
        <v>0</v>
      </c>
      <c r="H909" s="975" t="n">
        <f aca="false">D909*E909*$H$908</f>
        <v>0</v>
      </c>
      <c r="I909" s="936" t="n">
        <f aca="false">IF(G909&gt;H909,G909,H909)*$H$725</f>
        <v>0</v>
      </c>
      <c r="J909" s="931"/>
      <c r="K909" s="937"/>
    </row>
    <row r="910" customFormat="false" ht="15.75" hidden="true" customHeight="false" outlineLevel="0" collapsed="false">
      <c r="A910" s="937"/>
      <c r="B910" s="1002" t="str">
        <f aca="false">перекрытие!H43</f>
        <v>Монтаж опалубки</v>
      </c>
      <c r="C910" s="1027" t="s">
        <v>820</v>
      </c>
      <c r="D910" s="953" t="n">
        <f aca="false">перекрытие!J43</f>
        <v>0</v>
      </c>
      <c r="E910" s="1004" t="n">
        <f aca="false">перекрытие!K43</f>
        <v>200</v>
      </c>
      <c r="F910" s="1004"/>
      <c r="G910" s="967" t="n">
        <f aca="false">IF(F910&gt;0,D910*F910,E910*D910)</f>
        <v>0</v>
      </c>
      <c r="H910" s="975" t="n">
        <f aca="false">D910*E910*$H$908</f>
        <v>0</v>
      </c>
      <c r="I910" s="936" t="n">
        <f aca="false">IF(G910&gt;H910,G910,H910)*$H$725</f>
        <v>0</v>
      </c>
      <c r="J910" s="931"/>
      <c r="K910" s="937"/>
    </row>
    <row r="911" customFormat="false" ht="15.75" hidden="true" customHeight="false" outlineLevel="0" collapsed="false">
      <c r="A911" s="937"/>
      <c r="B911" s="1002" t="str">
        <f aca="false">перекрытие!H44</f>
        <v>Укладка пленки гидроизоляционной</v>
      </c>
      <c r="C911" s="1027" t="s">
        <v>820</v>
      </c>
      <c r="D911" s="953" t="n">
        <f aca="false">перекрытие!J44</f>
        <v>0</v>
      </c>
      <c r="E911" s="1004" t="n">
        <f aca="false">перекрытие!K44</f>
        <v>40</v>
      </c>
      <c r="F911" s="1004"/>
      <c r="G911" s="967" t="n">
        <f aca="false">IF(F911&gt;0,D911*F911,E911*D911)</f>
        <v>0</v>
      </c>
      <c r="H911" s="975" t="n">
        <f aca="false">D911*E911*$H$908</f>
        <v>0</v>
      </c>
      <c r="I911" s="936" t="n">
        <f aca="false">IF(G911&gt;H911,G911,H911)*$H$725</f>
        <v>0</v>
      </c>
      <c r="J911" s="931"/>
      <c r="K911" s="937"/>
    </row>
    <row r="912" customFormat="false" ht="15.75" hidden="true" customHeight="false" outlineLevel="0" collapsed="false">
      <c r="A912" s="937"/>
      <c r="B912" s="1002" t="str">
        <f aca="false">перекрытие!H45</f>
        <v>Армирование перекрытия/плиты</v>
      </c>
      <c r="C912" s="1027" t="s">
        <v>820</v>
      </c>
      <c r="D912" s="953" t="n">
        <f aca="false">перекрытие!J45</f>
        <v>0</v>
      </c>
      <c r="E912" s="1004" t="n">
        <f aca="false">перекрытие!K45</f>
        <v>300</v>
      </c>
      <c r="F912" s="1004"/>
      <c r="G912" s="967" t="n">
        <f aca="false">IF(F912&gt;0,D912*F912,E912*D912)</f>
        <v>0</v>
      </c>
      <c r="H912" s="975" t="n">
        <f aca="false">D912*E912*$H$908</f>
        <v>0</v>
      </c>
      <c r="I912" s="936" t="n">
        <f aca="false">IF(G912&gt;H912,G912,H912)*$H$725</f>
        <v>0</v>
      </c>
      <c r="J912" s="931"/>
      <c r="K912" s="937"/>
    </row>
    <row r="913" customFormat="false" ht="15.75" hidden="true" customHeight="false" outlineLevel="0" collapsed="false">
      <c r="A913" s="937"/>
      <c r="B913" s="1002" t="str">
        <f aca="false">перекрытие!H46</f>
        <v>Заливка бетоном перекрытия/плиты</v>
      </c>
      <c r="C913" s="1027" t="s">
        <v>820</v>
      </c>
      <c r="D913" s="953" t="n">
        <f aca="false">перекрытие!J46</f>
        <v>0</v>
      </c>
      <c r="E913" s="1004" t="n">
        <f aca="false">перекрытие!K46</f>
        <v>350</v>
      </c>
      <c r="F913" s="1004"/>
      <c r="G913" s="967" t="n">
        <f aca="false">IF(F913&gt;0,D913*F913,E913*D913)</f>
        <v>0</v>
      </c>
      <c r="H913" s="975" t="n">
        <f aca="false">D913*E913*$H$908</f>
        <v>0</v>
      </c>
      <c r="I913" s="936" t="n">
        <f aca="false">IF(G913&gt;H913,G913,H913)*$H$725</f>
        <v>0</v>
      </c>
      <c r="J913" s="931"/>
      <c r="K913" s="937"/>
    </row>
    <row r="914" customFormat="false" ht="15.75" hidden="true" customHeight="false" outlineLevel="0" collapsed="false">
      <c r="A914" s="937"/>
      <c r="B914" s="1002" t="str">
        <f aca="false">перекрытие!H47</f>
        <v>Монтаж перекрытий из бруса</v>
      </c>
      <c r="C914" s="1027" t="s">
        <v>820</v>
      </c>
      <c r="D914" s="953" t="n">
        <f aca="false">перекрытие!J47</f>
        <v>0</v>
      </c>
      <c r="E914" s="1004" t="n">
        <f aca="false">перекрытие!K47</f>
        <v>300</v>
      </c>
      <c r="F914" s="1004"/>
      <c r="G914" s="967" t="n">
        <f aca="false">IF(F914&gt;0,D914*F914,E914*D914)</f>
        <v>0</v>
      </c>
      <c r="H914" s="975" t="n">
        <f aca="false">D914*E914*$H$908</f>
        <v>0</v>
      </c>
      <c r="I914" s="936" t="n">
        <f aca="false">IF(G914&gt;H914,G914,H914)*$H$725</f>
        <v>0</v>
      </c>
      <c r="J914" s="931"/>
      <c r="K914" s="937"/>
    </row>
    <row r="915" customFormat="false" ht="15.75" hidden="true" customHeight="false" outlineLevel="0" collapsed="false">
      <c r="A915" s="937"/>
      <c r="B915" s="1002" t="str">
        <f aca="false">перекрытие!H48</f>
        <v>Монтаж перекрытий Сип-панели</v>
      </c>
      <c r="C915" s="1027" t="s">
        <v>820</v>
      </c>
      <c r="D915" s="953" t="n">
        <f aca="false">перекрытие!J48</f>
        <v>0</v>
      </c>
      <c r="E915" s="1004" t="n">
        <f aca="false">перекрытие!K48</f>
        <v>400</v>
      </c>
      <c r="F915" s="1004"/>
      <c r="G915" s="967" t="n">
        <f aca="false">IF(F915&gt;0,D915*F915,E915*D915)</f>
        <v>0</v>
      </c>
      <c r="H915" s="975" t="n">
        <f aca="false">D915*E915*$H$908</f>
        <v>0</v>
      </c>
      <c r="I915" s="936" t="n">
        <f aca="false">IF(G915&gt;H915,G915,H915)*$H$725</f>
        <v>0</v>
      </c>
      <c r="J915" s="931"/>
      <c r="K915" s="937"/>
    </row>
    <row r="916" customFormat="false" ht="15.75" hidden="true" customHeight="false" outlineLevel="0" collapsed="false">
      <c r="A916" s="937"/>
      <c r="B916" s="1002" t="str">
        <f aca="false">перекрытие!H49</f>
        <v>Монтаж перекрытий из сухой доски</v>
      </c>
      <c r="C916" s="1027" t="s">
        <v>820</v>
      </c>
      <c r="D916" s="953" t="n">
        <f aca="false">перекрытие!J49</f>
        <v>0</v>
      </c>
      <c r="E916" s="1004" t="n">
        <f aca="false">перекрытие!K49</f>
        <v>250</v>
      </c>
      <c r="F916" s="1004"/>
      <c r="G916" s="967" t="n">
        <f aca="false">IF(F916&gt;0,D916*F916,E916*D916)</f>
        <v>0</v>
      </c>
      <c r="H916" s="975" t="n">
        <f aca="false">D916*E916*$H$908</f>
        <v>0</v>
      </c>
      <c r="I916" s="936" t="n">
        <f aca="false">IF(G916&gt;H916,G916,H916)*$H$725</f>
        <v>0</v>
      </c>
      <c r="J916" s="931"/>
      <c r="K916" s="937"/>
    </row>
    <row r="917" customFormat="false" ht="15.75" hidden="false" customHeight="false" outlineLevel="0" collapsed="false">
      <c r="A917" s="937"/>
      <c r="B917" s="1002" t="str">
        <f aca="false">перекрытие!H50</f>
        <v>Монтаж перекрытий из двутавровой балки</v>
      </c>
      <c r="C917" s="1027" t="s">
        <v>820</v>
      </c>
      <c r="D917" s="953" t="n">
        <f aca="false">перекрытие!J50</f>
        <v>64</v>
      </c>
      <c r="E917" s="1004" t="n">
        <f aca="false">перекрытие!K50</f>
        <v>300</v>
      </c>
      <c r="F917" s="1004"/>
      <c r="G917" s="967" t="n">
        <f aca="false">IF(F917&gt;0,D917*F917,E917*D917)</f>
        <v>19200</v>
      </c>
      <c r="H917" s="975" t="n">
        <f aca="false">D917*E917*$H$908</f>
        <v>19200</v>
      </c>
      <c r="I917" s="936" t="n">
        <f aca="false">IF(G917&gt;H917,G917,H917)*$H$725</f>
        <v>19200</v>
      </c>
      <c r="J917" s="931"/>
      <c r="K917" s="937"/>
    </row>
    <row r="918" customFormat="false" ht="15.75" hidden="true" customHeight="false" outlineLevel="0" collapsed="false">
      <c r="A918" s="937"/>
      <c r="B918" s="1002" t="str">
        <f aca="false">перекрытие!H51</f>
        <v>Монтаж перекрестного пола</v>
      </c>
      <c r="C918" s="1027" t="s">
        <v>820</v>
      </c>
      <c r="D918" s="953" t="n">
        <f aca="false">перекрытие!J51</f>
        <v>0</v>
      </c>
      <c r="E918" s="1004" t="n">
        <f aca="false">перекрытие!K51</f>
        <v>200</v>
      </c>
      <c r="F918" s="1004"/>
      <c r="G918" s="967" t="n">
        <f aca="false">IF(F918&gt;0,D918*F918,E918*D918)</f>
        <v>0</v>
      </c>
      <c r="H918" s="975" t="n">
        <f aca="false">D918*E918*$H$908</f>
        <v>0</v>
      </c>
      <c r="I918" s="936" t="n">
        <f aca="false">IF(G918&gt;H918,G918,H918)*$H$725</f>
        <v>0</v>
      </c>
      <c r="J918" s="931"/>
      <c r="K918" s="937"/>
    </row>
    <row r="919" customFormat="false" ht="15.75" hidden="false" customHeight="false" outlineLevel="0" collapsed="false">
      <c r="A919" s="937"/>
      <c r="B919" s="1002" t="str">
        <f aca="false">перекрытие!H52</f>
        <v>Монтаж утеплителя перекрытия</v>
      </c>
      <c r="C919" s="1027" t="s">
        <v>820</v>
      </c>
      <c r="D919" s="953" t="n">
        <f aca="false">перекрытие!J52</f>
        <v>64</v>
      </c>
      <c r="E919" s="1004" t="n">
        <f aca="false">перекрытие!K52</f>
        <v>200</v>
      </c>
      <c r="F919" s="1004"/>
      <c r="G919" s="967" t="n">
        <f aca="false">IF(F919&gt;0,D919*F919,E919*D919)</f>
        <v>12800</v>
      </c>
      <c r="H919" s="975" t="n">
        <f aca="false">D919*E919*$H$908</f>
        <v>12800</v>
      </c>
      <c r="I919" s="936" t="n">
        <f aca="false">IF(G919&gt;H919,G919,H919)*$H$725</f>
        <v>12800</v>
      </c>
      <c r="J919" s="931"/>
      <c r="K919" s="937"/>
    </row>
    <row r="920" customFormat="false" ht="15.75" hidden="true" customHeight="false" outlineLevel="0" collapsed="false">
      <c r="A920" s="937"/>
      <c r="B920" s="1002" t="str">
        <f aca="false">перекрытие!H53</f>
        <v>Монтаж ветроизоляции перекрытий</v>
      </c>
      <c r="C920" s="1027" t="s">
        <v>820</v>
      </c>
      <c r="D920" s="953" t="n">
        <f aca="false">перекрытие!J53</f>
        <v>0</v>
      </c>
      <c r="E920" s="1004" t="n">
        <f aca="false">перекрытие!K53</f>
        <v>100</v>
      </c>
      <c r="F920" s="1004"/>
      <c r="G920" s="967" t="n">
        <f aca="false">IF(F920&gt;0,D920*F920,E920*D920)</f>
        <v>0</v>
      </c>
      <c r="H920" s="975" t="n">
        <f aca="false">D920*E920*$H$908</f>
        <v>0</v>
      </c>
      <c r="I920" s="936" t="n">
        <f aca="false">IF(G920&gt;H920,G920,H920)*$H$725</f>
        <v>0</v>
      </c>
      <c r="J920" s="931"/>
      <c r="K920" s="937"/>
    </row>
    <row r="921" customFormat="false" ht="15.75" hidden="true" customHeight="false" outlineLevel="0" collapsed="false">
      <c r="A921" s="937"/>
      <c r="B921" s="1002" t="str">
        <f aca="false">перекрытие!H54</f>
        <v>Монтаж пароизоляции перекрытий</v>
      </c>
      <c r="C921" s="1027" t="s">
        <v>820</v>
      </c>
      <c r="D921" s="953" t="n">
        <f aca="false">перекрытие!J54</f>
        <v>0</v>
      </c>
      <c r="E921" s="1004" t="n">
        <f aca="false">перекрытие!K54</f>
        <v>100</v>
      </c>
      <c r="F921" s="1004"/>
      <c r="G921" s="967" t="n">
        <f aca="false">IF(F921&gt;0,D921*F921,E921*D921)</f>
        <v>0</v>
      </c>
      <c r="H921" s="975" t="n">
        <f aca="false">D921*E921*$H$908</f>
        <v>0</v>
      </c>
      <c r="I921" s="936" t="n">
        <f aca="false">IF(G921&gt;H921,G921,H921)*$H$725</f>
        <v>0</v>
      </c>
      <c r="J921" s="931"/>
      <c r="K921" s="937"/>
    </row>
    <row r="922" customFormat="false" ht="15.75" hidden="true" customHeight="false" outlineLevel="0" collapsed="false">
      <c r="A922" s="937"/>
      <c r="B922" s="1002" t="str">
        <f aca="false">перекрытие!H55</f>
        <v>Монтаж плит ЖБИ</v>
      </c>
      <c r="C922" s="1027" t="s">
        <v>820</v>
      </c>
      <c r="D922" s="953" t="n">
        <f aca="false">перекрытие!J55</f>
        <v>0</v>
      </c>
      <c r="E922" s="1004" t="n">
        <f aca="false">перекрытие!K55</f>
        <v>200</v>
      </c>
      <c r="F922" s="1004"/>
      <c r="G922" s="967" t="n">
        <f aca="false">IF(F922&gt;0,D922*F922,E922*D922)</f>
        <v>0</v>
      </c>
      <c r="H922" s="975" t="n">
        <f aca="false">D922*E922*$H$908</f>
        <v>0</v>
      </c>
      <c r="I922" s="936" t="n">
        <f aca="false">IF(G922&gt;H922,G922,H922)*$H$725</f>
        <v>0</v>
      </c>
      <c r="J922" s="931"/>
      <c r="K922" s="937"/>
    </row>
    <row r="923" customFormat="false" ht="15.75" hidden="false" customHeight="false" outlineLevel="0" collapsed="false">
      <c r="A923" s="937"/>
      <c r="B923" s="1002" t="str">
        <f aca="false">перекрытие!H56</f>
        <v>Монтаж опалубки</v>
      </c>
      <c r="C923" s="1027" t="s">
        <v>820</v>
      </c>
      <c r="D923" s="953" t="n">
        <f aca="false">перекрытие!J56</f>
        <v>64</v>
      </c>
      <c r="E923" s="1004" t="n">
        <f aca="false">перекрытие!K56</f>
        <v>200</v>
      </c>
      <c r="F923" s="1004"/>
      <c r="G923" s="967" t="n">
        <f aca="false">IF(F923&gt;0,D923*F923,E923*D923)</f>
        <v>12800</v>
      </c>
      <c r="H923" s="975" t="n">
        <f aca="false">D923*E923*$H$908</f>
        <v>12800</v>
      </c>
      <c r="I923" s="936" t="n">
        <f aca="false">IF(G923&gt;H923,G923,H923)*$H$725</f>
        <v>12800</v>
      </c>
      <c r="J923" s="931"/>
      <c r="K923" s="937"/>
    </row>
    <row r="924" customFormat="false" ht="15.75" hidden="false" customHeight="false" outlineLevel="0" collapsed="false">
      <c r="A924" s="937"/>
      <c r="B924" s="1002" t="str">
        <f aca="false">перекрытие!H57</f>
        <v>Укладка пленки гидроизоляционной</v>
      </c>
      <c r="C924" s="1027" t="s">
        <v>820</v>
      </c>
      <c r="D924" s="953" t="n">
        <f aca="false">перекрытие!J57</f>
        <v>64</v>
      </c>
      <c r="E924" s="1004" t="n">
        <f aca="false">перекрытие!K57</f>
        <v>40</v>
      </c>
      <c r="F924" s="1004"/>
      <c r="G924" s="967" t="n">
        <f aca="false">IF(F924&gt;0,D924*F924,E924*D924)</f>
        <v>2560</v>
      </c>
      <c r="H924" s="975" t="n">
        <f aca="false">D924*E924*$H$908</f>
        <v>2560</v>
      </c>
      <c r="I924" s="936" t="n">
        <f aca="false">IF(G924&gt;H924,G924,H924)*$H$725</f>
        <v>2560</v>
      </c>
      <c r="J924" s="931"/>
      <c r="K924" s="937"/>
    </row>
    <row r="925" customFormat="false" ht="15.75" hidden="false" customHeight="false" outlineLevel="0" collapsed="false">
      <c r="A925" s="937"/>
      <c r="B925" s="1002" t="str">
        <f aca="false">перекрытие!H58</f>
        <v>Армирование перекрытия/плиты</v>
      </c>
      <c r="C925" s="1027" t="s">
        <v>820</v>
      </c>
      <c r="D925" s="953" t="n">
        <f aca="false">перекрытие!J58</f>
        <v>64</v>
      </c>
      <c r="E925" s="1004" t="n">
        <f aca="false">перекрытие!K58</f>
        <v>300</v>
      </c>
      <c r="F925" s="1004"/>
      <c r="G925" s="967" t="n">
        <f aca="false">IF(F925&gt;0,D925*F925,E925*D925)</f>
        <v>19200</v>
      </c>
      <c r="H925" s="975" t="n">
        <f aca="false">D925*E925*$H$908</f>
        <v>19200</v>
      </c>
      <c r="I925" s="936" t="n">
        <f aca="false">IF(G925&gt;H925,G925,H925)*$H$725</f>
        <v>19200</v>
      </c>
      <c r="J925" s="931"/>
      <c r="K925" s="937"/>
    </row>
    <row r="926" customFormat="false" ht="15.75" hidden="false" customHeight="false" outlineLevel="0" collapsed="false">
      <c r="A926" s="937"/>
      <c r="B926" s="1002" t="str">
        <f aca="false">перекрытие!H59</f>
        <v>Заливка бетоном перекрытия/плиты</v>
      </c>
      <c r="C926" s="1027" t="s">
        <v>820</v>
      </c>
      <c r="D926" s="953" t="n">
        <f aca="false">перекрытие!J59</f>
        <v>64</v>
      </c>
      <c r="E926" s="1004" t="n">
        <f aca="false">перекрытие!K59</f>
        <v>350</v>
      </c>
      <c r="F926" s="1004"/>
      <c r="G926" s="967" t="n">
        <f aca="false">IF(F926&gt;0,D926*F926,E926*D926)</f>
        <v>22400</v>
      </c>
      <c r="H926" s="975" t="n">
        <f aca="false">D926*E926*$H$908</f>
        <v>22400</v>
      </c>
      <c r="I926" s="936" t="n">
        <f aca="false">IF(G926&gt;H926,G926,H926)*$H$725</f>
        <v>22400</v>
      </c>
      <c r="J926" s="931"/>
      <c r="K926" s="937"/>
    </row>
    <row r="927" customFormat="false" ht="15.75" hidden="true" customHeight="false" outlineLevel="0" collapsed="false">
      <c r="A927" s="937"/>
      <c r="B927" s="1002" t="str">
        <f aca="false">перекрытие!H60</f>
        <v>Монтаж перекрытий из бруса</v>
      </c>
      <c r="C927" s="1027" t="s">
        <v>820</v>
      </c>
      <c r="D927" s="953" t="n">
        <f aca="false">перекрытие!J60</f>
        <v>0</v>
      </c>
      <c r="E927" s="1004" t="n">
        <f aca="false">перекрытие!K60</f>
        <v>300</v>
      </c>
      <c r="F927" s="1004"/>
      <c r="G927" s="967" t="n">
        <f aca="false">IF(F927&gt;0,D927*F927,E927*D927)</f>
        <v>0</v>
      </c>
      <c r="H927" s="975" t="n">
        <f aca="false">D927*E927*$H$908</f>
        <v>0</v>
      </c>
      <c r="I927" s="936" t="n">
        <f aca="false">IF(G927&gt;H927,G927,H927)*$H$725</f>
        <v>0</v>
      </c>
      <c r="J927" s="931"/>
      <c r="K927" s="937"/>
    </row>
    <row r="928" customFormat="false" ht="15.75" hidden="true" customHeight="false" outlineLevel="0" collapsed="false">
      <c r="A928" s="937"/>
      <c r="B928" s="1002" t="str">
        <f aca="false">перекрытие!H61</f>
        <v>Монтаж перекрытий Сип-панели</v>
      </c>
      <c r="C928" s="1027" t="s">
        <v>820</v>
      </c>
      <c r="D928" s="953" t="n">
        <f aca="false">перекрытие!J61</f>
        <v>0</v>
      </c>
      <c r="E928" s="1004" t="n">
        <f aca="false">перекрытие!K61</f>
        <v>400</v>
      </c>
      <c r="F928" s="1004"/>
      <c r="G928" s="967" t="n">
        <f aca="false">IF(F928&gt;0,D928*F928,E928*D928)</f>
        <v>0</v>
      </c>
      <c r="H928" s="975" t="n">
        <f aca="false">D928*E928*$H$908</f>
        <v>0</v>
      </c>
      <c r="I928" s="936" t="n">
        <f aca="false">IF(G928&gt;H928,G928,H928)*$H$725</f>
        <v>0</v>
      </c>
      <c r="J928" s="931"/>
      <c r="K928" s="937"/>
    </row>
    <row r="929" customFormat="false" ht="15.75" hidden="true" customHeight="false" outlineLevel="0" collapsed="false">
      <c r="A929" s="937"/>
      <c r="B929" s="1002" t="str">
        <f aca="false">перекрытие!H62</f>
        <v>Монтаж перекрытий из сухой доски</v>
      </c>
      <c r="C929" s="1027" t="s">
        <v>820</v>
      </c>
      <c r="D929" s="953" t="n">
        <f aca="false">перекрытие!J62</f>
        <v>0</v>
      </c>
      <c r="E929" s="1004" t="n">
        <f aca="false">перекрытие!K62</f>
        <v>250</v>
      </c>
      <c r="F929" s="1004"/>
      <c r="G929" s="967" t="n">
        <f aca="false">IF(F929&gt;0,D929*F929,E929*D929)</f>
        <v>0</v>
      </c>
      <c r="H929" s="975" t="n">
        <f aca="false">D929*E929*$H$908</f>
        <v>0</v>
      </c>
      <c r="I929" s="936" t="n">
        <f aca="false">IF(G929&gt;H929,G929,H929)*$H$725</f>
        <v>0</v>
      </c>
      <c r="J929" s="931"/>
      <c r="K929" s="937"/>
    </row>
    <row r="930" customFormat="false" ht="15.75" hidden="true" customHeight="false" outlineLevel="0" collapsed="false">
      <c r="A930" s="937"/>
      <c r="B930" s="1002" t="str">
        <f aca="false">перекрытие!H63</f>
        <v>Монтаж перекрытий из двутавровой балки</v>
      </c>
      <c r="C930" s="1027" t="s">
        <v>820</v>
      </c>
      <c r="D930" s="953" t="n">
        <f aca="false">перекрытие!J63</f>
        <v>0</v>
      </c>
      <c r="E930" s="1004" t="n">
        <f aca="false">перекрытие!K63</f>
        <v>300</v>
      </c>
      <c r="F930" s="1004"/>
      <c r="G930" s="967" t="n">
        <f aca="false">IF(F930&gt;0,D930*F930,E930*D930)</f>
        <v>0</v>
      </c>
      <c r="H930" s="975" t="n">
        <f aca="false">D930*E930*$H$908</f>
        <v>0</v>
      </c>
      <c r="I930" s="936" t="n">
        <f aca="false">IF(G930&gt;H930,G930,H930)*$H$725</f>
        <v>0</v>
      </c>
      <c r="J930" s="931"/>
      <c r="K930" s="937"/>
    </row>
    <row r="931" customFormat="false" ht="15.75" hidden="false" customHeight="false" outlineLevel="0" collapsed="false">
      <c r="A931" s="937"/>
      <c r="B931" s="1002" t="str">
        <f aca="false">перекрытие!H65</f>
        <v>Монтаж утеплителя перекрытия</v>
      </c>
      <c r="C931" s="1027" t="s">
        <v>820</v>
      </c>
      <c r="D931" s="953" t="n">
        <f aca="false">перекрытие!J65</f>
        <v>64</v>
      </c>
      <c r="E931" s="1004" t="n">
        <f aca="false">перекрытие!K65</f>
        <v>200</v>
      </c>
      <c r="F931" s="1004"/>
      <c r="G931" s="967" t="n">
        <f aca="false">IF(F931&gt;0,D931*F931,E931*D931)</f>
        <v>12800</v>
      </c>
      <c r="H931" s="975" t="n">
        <f aca="false">D931*E931*$H$908</f>
        <v>12800</v>
      </c>
      <c r="I931" s="936" t="n">
        <f aca="false">IF(G931&gt;H931,G931,H931)*$H$725</f>
        <v>12800</v>
      </c>
      <c r="J931" s="931"/>
      <c r="K931" s="937"/>
    </row>
    <row r="932" customFormat="false" ht="15.75" hidden="true" customHeight="false" outlineLevel="0" collapsed="false">
      <c r="A932" s="937"/>
      <c r="B932" s="1002" t="str">
        <f aca="false">перекрытие!H66</f>
        <v>Монтаж ветроизоляции перекрытий</v>
      </c>
      <c r="C932" s="1027" t="s">
        <v>820</v>
      </c>
      <c r="D932" s="953" t="n">
        <f aca="false">перекрытие!J66</f>
        <v>0</v>
      </c>
      <c r="E932" s="1004" t="n">
        <f aca="false">перекрытие!K66</f>
        <v>100</v>
      </c>
      <c r="F932" s="1004"/>
      <c r="G932" s="967" t="n">
        <f aca="false">IF(F932&gt;0,D932*F932,E932*D932)</f>
        <v>0</v>
      </c>
      <c r="H932" s="975" t="n">
        <f aca="false">D932*E932*$H$908</f>
        <v>0</v>
      </c>
      <c r="I932" s="936" t="n">
        <f aca="false">IF(G932&gt;H932,G932,H932)*$H$725</f>
        <v>0</v>
      </c>
      <c r="J932" s="931"/>
      <c r="K932" s="937"/>
    </row>
    <row r="933" customFormat="false" ht="15.75" hidden="true" customHeight="false" outlineLevel="0" collapsed="false">
      <c r="A933" s="937"/>
      <c r="B933" s="1002" t="str">
        <f aca="false">перекрытие!H67</f>
        <v>Монтаж пароизоляции перекрытий</v>
      </c>
      <c r="C933" s="1027" t="s">
        <v>820</v>
      </c>
      <c r="D933" s="953" t="n">
        <f aca="false">перекрытие!J67</f>
        <v>0</v>
      </c>
      <c r="E933" s="1004" t="n">
        <f aca="false">перекрытие!K67</f>
        <v>100</v>
      </c>
      <c r="F933" s="1004"/>
      <c r="G933" s="967" t="n">
        <f aca="false">IF(F933&gt;0,D933*F933,E933*D933)</f>
        <v>0</v>
      </c>
      <c r="H933" s="975" t="n">
        <f aca="false">D933*E933*$H$908</f>
        <v>0</v>
      </c>
      <c r="I933" s="936" t="n">
        <f aca="false">IF(G933&gt;H933,G933,H933)*$H$725</f>
        <v>0</v>
      </c>
      <c r="J933" s="931"/>
      <c r="K933" s="937"/>
    </row>
    <row r="934" customFormat="false" ht="15.75" hidden="true" customHeight="false" outlineLevel="0" collapsed="false">
      <c r="A934" s="937"/>
      <c r="B934" s="1002" t="str">
        <f aca="false">перекрытие!H68</f>
        <v>Монтаж плит ЖБИ</v>
      </c>
      <c r="C934" s="1027" t="s">
        <v>820</v>
      </c>
      <c r="D934" s="953" t="n">
        <f aca="false">перекрытие!J68</f>
        <v>0</v>
      </c>
      <c r="E934" s="1004" t="n">
        <f aca="false">перекрытие!K68</f>
        <v>200</v>
      </c>
      <c r="F934" s="1004"/>
      <c r="G934" s="967" t="n">
        <f aca="false">IF(F934&gt;0,D934*F934,E934*D934)</f>
        <v>0</v>
      </c>
      <c r="H934" s="975" t="n">
        <f aca="false">D934*E934*$H$908</f>
        <v>0</v>
      </c>
      <c r="I934" s="936" t="n">
        <f aca="false">IF(G934&gt;H934,G934,H934)*$H$725</f>
        <v>0</v>
      </c>
      <c r="J934" s="931"/>
      <c r="K934" s="937"/>
    </row>
    <row r="935" customFormat="false" ht="15.75" hidden="true" customHeight="false" outlineLevel="0" collapsed="false">
      <c r="A935" s="937"/>
      <c r="B935" s="1002" t="str">
        <f aca="false">перекрытие!H69</f>
        <v>Монтаж опалубки</v>
      </c>
      <c r="C935" s="1027" t="s">
        <v>820</v>
      </c>
      <c r="D935" s="953" t="n">
        <f aca="false">перекрытие!J69</f>
        <v>0</v>
      </c>
      <c r="E935" s="1004" t="n">
        <f aca="false">перекрытие!K69</f>
        <v>200</v>
      </c>
      <c r="F935" s="1004"/>
      <c r="G935" s="967" t="n">
        <f aca="false">IF(F935&gt;0,D935*F935,E935*D935)</f>
        <v>0</v>
      </c>
      <c r="H935" s="975" t="n">
        <f aca="false">D935*E935*$H$908</f>
        <v>0</v>
      </c>
      <c r="I935" s="936" t="n">
        <f aca="false">IF(G935&gt;H935,G935,H935)*$H$725</f>
        <v>0</v>
      </c>
      <c r="J935" s="931"/>
      <c r="K935" s="937"/>
    </row>
    <row r="936" customFormat="false" ht="15.75" hidden="true" customHeight="false" outlineLevel="0" collapsed="false">
      <c r="A936" s="937"/>
      <c r="B936" s="1002" t="str">
        <f aca="false">перекрытие!H70</f>
        <v>Укладка пленки гидроизоляционной</v>
      </c>
      <c r="C936" s="1027" t="s">
        <v>820</v>
      </c>
      <c r="D936" s="953" t="n">
        <f aca="false">перекрытие!J70</f>
        <v>0</v>
      </c>
      <c r="E936" s="1004" t="n">
        <f aca="false">перекрытие!K70</f>
        <v>40</v>
      </c>
      <c r="F936" s="1004"/>
      <c r="G936" s="967" t="n">
        <f aca="false">IF(F936&gt;0,D936*F936,E936*D936)</f>
        <v>0</v>
      </c>
      <c r="H936" s="975" t="n">
        <f aca="false">D936*E936*$H$908</f>
        <v>0</v>
      </c>
      <c r="I936" s="936" t="n">
        <f aca="false">IF(G936&gt;H936,G936,H936)*$H$725</f>
        <v>0</v>
      </c>
      <c r="J936" s="931"/>
      <c r="K936" s="937"/>
    </row>
    <row r="937" customFormat="false" ht="15.75" hidden="true" customHeight="false" outlineLevel="0" collapsed="false">
      <c r="A937" s="937"/>
      <c r="B937" s="1002" t="str">
        <f aca="false">перекрытие!H71</f>
        <v>Армирование перекрытия/плиты</v>
      </c>
      <c r="C937" s="1027" t="s">
        <v>820</v>
      </c>
      <c r="D937" s="953" t="n">
        <f aca="false">перекрытие!J71</f>
        <v>0</v>
      </c>
      <c r="E937" s="1004" t="n">
        <f aca="false">перекрытие!K71</f>
        <v>300</v>
      </c>
      <c r="F937" s="1004"/>
      <c r="G937" s="967" t="n">
        <f aca="false">IF(F937&gt;0,D937*F937,E937*D937)</f>
        <v>0</v>
      </c>
      <c r="H937" s="975" t="n">
        <f aca="false">D937*E937*$H$908</f>
        <v>0</v>
      </c>
      <c r="I937" s="936" t="n">
        <f aca="false">IF(G937&gt;H937,G937,H937)*$H$725</f>
        <v>0</v>
      </c>
      <c r="J937" s="931"/>
      <c r="K937" s="937"/>
    </row>
    <row r="938" customFormat="false" ht="15.75" hidden="true" customHeight="false" outlineLevel="0" collapsed="false">
      <c r="A938" s="937"/>
      <c r="B938" s="1002" t="str">
        <f aca="false">перекрытие!H72</f>
        <v>Заливка бетоном перекрытия/плиты</v>
      </c>
      <c r="C938" s="1027" t="s">
        <v>820</v>
      </c>
      <c r="D938" s="953" t="n">
        <f aca="false">перекрытие!J72</f>
        <v>0</v>
      </c>
      <c r="E938" s="1004" t="n">
        <f aca="false">перекрытие!K72</f>
        <v>350</v>
      </c>
      <c r="F938" s="1004"/>
      <c r="G938" s="967" t="n">
        <f aca="false">IF(F938&gt;0,D938*F938,E938*D938)</f>
        <v>0</v>
      </c>
      <c r="H938" s="975" t="n">
        <f aca="false">D938*E938*$H$908</f>
        <v>0</v>
      </c>
      <c r="I938" s="936" t="n">
        <f aca="false">IF(G938&gt;H938,G938,H938)*$H$725</f>
        <v>0</v>
      </c>
      <c r="J938" s="931"/>
      <c r="K938" s="937"/>
    </row>
    <row r="939" customFormat="false" ht="15.75" hidden="true" customHeight="false" outlineLevel="0" collapsed="false">
      <c r="A939" s="937"/>
      <c r="B939" s="1002" t="str">
        <f aca="false">перекрытие!H73</f>
        <v>Монтаж перекрытий из бруса</v>
      </c>
      <c r="C939" s="1027" t="s">
        <v>820</v>
      </c>
      <c r="D939" s="953" t="n">
        <f aca="false">перекрытие!J73</f>
        <v>0</v>
      </c>
      <c r="E939" s="1004" t="n">
        <f aca="false">перекрытие!K73</f>
        <v>300</v>
      </c>
      <c r="F939" s="1004"/>
      <c r="G939" s="967" t="n">
        <f aca="false">IF(F939&gt;0,D939*F939,E939*D939)</f>
        <v>0</v>
      </c>
      <c r="H939" s="975" t="n">
        <f aca="false">D939*E939*$H$908</f>
        <v>0</v>
      </c>
      <c r="I939" s="936" t="n">
        <f aca="false">IF(G939&gt;H939,G939,H939)*$H$725</f>
        <v>0</v>
      </c>
      <c r="J939" s="931"/>
      <c r="K939" s="937"/>
    </row>
    <row r="940" customFormat="false" ht="15.75" hidden="true" customHeight="false" outlineLevel="0" collapsed="false">
      <c r="A940" s="937"/>
      <c r="B940" s="1002" t="str">
        <f aca="false">перекрытие!H74</f>
        <v>Монтаж перекрытий Сип-панели</v>
      </c>
      <c r="C940" s="1027" t="s">
        <v>820</v>
      </c>
      <c r="D940" s="953" t="n">
        <f aca="false">перекрытие!J74</f>
        <v>0</v>
      </c>
      <c r="E940" s="1004" t="n">
        <f aca="false">перекрытие!K74</f>
        <v>400</v>
      </c>
      <c r="F940" s="1004"/>
      <c r="G940" s="967" t="n">
        <f aca="false">IF(F940&gt;0,D940*F940,E940*D940)</f>
        <v>0</v>
      </c>
      <c r="H940" s="975" t="n">
        <f aca="false">D940*E940*$H$908</f>
        <v>0</v>
      </c>
      <c r="I940" s="936" t="n">
        <f aca="false">IF(G940&gt;H940,G940,H940)*$H$725</f>
        <v>0</v>
      </c>
      <c r="J940" s="931"/>
      <c r="K940" s="937"/>
    </row>
    <row r="941" customFormat="false" ht="15.75" hidden="true" customHeight="false" outlineLevel="0" collapsed="false">
      <c r="A941" s="937"/>
      <c r="B941" s="1002" t="str">
        <f aca="false">перекрытие!H75</f>
        <v>Монтаж перекрытий из сухой доски</v>
      </c>
      <c r="C941" s="1027" t="s">
        <v>820</v>
      </c>
      <c r="D941" s="953" t="n">
        <f aca="false">перекрытие!J75</f>
        <v>0</v>
      </c>
      <c r="E941" s="1004" t="n">
        <f aca="false">перекрытие!K75</f>
        <v>250</v>
      </c>
      <c r="F941" s="1004"/>
      <c r="G941" s="967" t="n">
        <f aca="false">IF(F941&gt;0,D941*F941,E941*D941)</f>
        <v>0</v>
      </c>
      <c r="H941" s="975" t="n">
        <f aca="false">D941*E941*$H$908</f>
        <v>0</v>
      </c>
      <c r="I941" s="936" t="n">
        <f aca="false">IF(G941&gt;H941,G941,H941)*$H$725</f>
        <v>0</v>
      </c>
      <c r="J941" s="931"/>
      <c r="K941" s="937"/>
    </row>
    <row r="942" customFormat="false" ht="15.75" hidden="true" customHeight="false" outlineLevel="0" collapsed="false">
      <c r="A942" s="937"/>
      <c r="B942" s="1002" t="str">
        <f aca="false">перекрытие!H76</f>
        <v>Монтаж перекрытий из двутавровой балки</v>
      </c>
      <c r="C942" s="1027" t="s">
        <v>820</v>
      </c>
      <c r="D942" s="953" t="n">
        <f aca="false">перекрытие!J76</f>
        <v>0</v>
      </c>
      <c r="E942" s="1004" t="n">
        <f aca="false">перекрытие!K76</f>
        <v>300</v>
      </c>
      <c r="F942" s="1004"/>
      <c r="G942" s="967" t="n">
        <f aca="false">IF(F942&gt;0,D942*F942,E942*D942)</f>
        <v>0</v>
      </c>
      <c r="H942" s="975" t="n">
        <f aca="false">D942*E942*$H$908</f>
        <v>0</v>
      </c>
      <c r="I942" s="936" t="n">
        <f aca="false">IF(G942&gt;H942,G942,H942)*$H$725</f>
        <v>0</v>
      </c>
      <c r="J942" s="931"/>
      <c r="K942" s="937"/>
    </row>
    <row r="943" customFormat="false" ht="15.75" hidden="true" customHeight="false" outlineLevel="0" collapsed="false">
      <c r="A943" s="937"/>
      <c r="B943" s="1002" t="str">
        <f aca="false">перекрытие!H78</f>
        <v>Монтаж утеплителя перекрытия</v>
      </c>
      <c r="C943" s="1027" t="s">
        <v>820</v>
      </c>
      <c r="D943" s="953" t="n">
        <f aca="false">перекрытие!J78</f>
        <v>0</v>
      </c>
      <c r="E943" s="1004" t="n">
        <f aca="false">перекрытие!K78</f>
        <v>200</v>
      </c>
      <c r="F943" s="1004"/>
      <c r="G943" s="967" t="n">
        <f aca="false">IF(F943&gt;0,D943*F943,E943*D943)</f>
        <v>0</v>
      </c>
      <c r="H943" s="975" t="n">
        <f aca="false">D943*E943*$H$908</f>
        <v>0</v>
      </c>
      <c r="I943" s="936" t="n">
        <f aca="false">IF(G943&gt;H943,G943,H943)*$H$725</f>
        <v>0</v>
      </c>
      <c r="J943" s="931"/>
      <c r="K943" s="937"/>
    </row>
    <row r="944" customFormat="false" ht="15.75" hidden="true" customHeight="false" outlineLevel="0" collapsed="false">
      <c r="A944" s="937"/>
      <c r="B944" s="1002" t="str">
        <f aca="false">перекрытие!H79</f>
        <v>Монтаж ветроизоляции перекрытий</v>
      </c>
      <c r="C944" s="1027" t="s">
        <v>820</v>
      </c>
      <c r="D944" s="953" t="n">
        <f aca="false">перекрытие!J79</f>
        <v>0</v>
      </c>
      <c r="E944" s="1004" t="n">
        <f aca="false">перекрытие!K79</f>
        <v>100</v>
      </c>
      <c r="F944" s="1004"/>
      <c r="G944" s="967" t="n">
        <f aca="false">IF(F944&gt;0,D944*F944,E944*D944)</f>
        <v>0</v>
      </c>
      <c r="H944" s="975" t="n">
        <f aca="false">D944*E944*$H$908</f>
        <v>0</v>
      </c>
      <c r="I944" s="936" t="n">
        <f aca="false">IF(G944&gt;H944,G944,H944)*$H$725</f>
        <v>0</v>
      </c>
      <c r="J944" s="931"/>
      <c r="K944" s="937"/>
    </row>
    <row r="945" customFormat="false" ht="15.75" hidden="true" customHeight="false" outlineLevel="0" collapsed="false">
      <c r="A945" s="937"/>
      <c r="B945" s="1002" t="str">
        <f aca="false">перекрытие!H80</f>
        <v>Монтаж пароизоляции перекрытий</v>
      </c>
      <c r="C945" s="1027" t="s">
        <v>820</v>
      </c>
      <c r="D945" s="953" t="n">
        <f aca="false">перекрытие!J80</f>
        <v>0</v>
      </c>
      <c r="E945" s="1004" t="n">
        <f aca="false">перекрытие!K80</f>
        <v>100</v>
      </c>
      <c r="F945" s="1004"/>
      <c r="G945" s="967" t="n">
        <f aca="false">IF(F945&gt;0,D945*F945,E945*D945)</f>
        <v>0</v>
      </c>
      <c r="H945" s="975" t="n">
        <f aca="false">D945*E945*$H$908</f>
        <v>0</v>
      </c>
      <c r="I945" s="936" t="n">
        <f aca="false">IF(G945&gt;H945,G945,H945)*$H$725</f>
        <v>0</v>
      </c>
      <c r="J945" s="931"/>
      <c r="K945" s="937"/>
    </row>
    <row r="946" customFormat="false" ht="15.75" hidden="true" customHeight="false" outlineLevel="0" collapsed="false">
      <c r="A946" s="937"/>
      <c r="B946" s="1002" t="str">
        <f aca="false">перекрытие!H81</f>
        <v>Монтаж перекрестного пола</v>
      </c>
      <c r="C946" s="1027" t="s">
        <v>820</v>
      </c>
      <c r="D946" s="953" t="n">
        <f aca="false">перекрытие!J81</f>
        <v>0</v>
      </c>
      <c r="E946" s="1004" t="n">
        <f aca="false">перекрытие!K81</f>
        <v>200</v>
      </c>
      <c r="F946" s="1004"/>
      <c r="G946" s="967" t="n">
        <f aca="false">IF(F946&gt;0,D946*F946,E946*D946)</f>
        <v>0</v>
      </c>
      <c r="H946" s="975" t="n">
        <f aca="false">D946*E946*$H$908</f>
        <v>0</v>
      </c>
      <c r="I946" s="936" t="n">
        <f aca="false">IF(G946&gt;H946,G946,H946)*$H$725</f>
        <v>0</v>
      </c>
      <c r="J946" s="931"/>
      <c r="K946" s="937"/>
    </row>
    <row r="947" customFormat="false" ht="15.75" hidden="true" customHeight="false" outlineLevel="0" collapsed="false">
      <c r="A947" s="937"/>
      <c r="B947" s="1002" t="str">
        <f aca="false">перекрытие!H219</f>
        <v>Монтаж чернового пола 0 этажа</v>
      </c>
      <c r="C947" s="1027" t="s">
        <v>820</v>
      </c>
      <c r="D947" s="953" t="n">
        <f aca="false">перекрытие!J219</f>
        <v>0</v>
      </c>
      <c r="E947" s="1004" t="n">
        <f aca="false">перекрытие!K219</f>
        <v>150</v>
      </c>
      <c r="F947" s="1004"/>
      <c r="G947" s="967" t="n">
        <f aca="false">IF(F947&gt;0,D947*F947,E947*D947)</f>
        <v>0</v>
      </c>
      <c r="H947" s="975" t="n">
        <f aca="false">D947*E947*$H$908</f>
        <v>0</v>
      </c>
      <c r="I947" s="936" t="n">
        <f aca="false">IF(G947&gt;H947,G947,H947)*$H$725</f>
        <v>0</v>
      </c>
      <c r="J947" s="931"/>
      <c r="K947" s="937"/>
    </row>
    <row r="948" customFormat="false" ht="15.75" hidden="true" customHeight="false" outlineLevel="0" collapsed="false">
      <c r="A948" s="937"/>
      <c r="B948" s="1002" t="str">
        <f aca="false">перекрытие!H221</f>
        <v>Монтаж чернового пола 1 этажа</v>
      </c>
      <c r="C948" s="1027" t="s">
        <v>820</v>
      </c>
      <c r="D948" s="953" t="n">
        <f aca="false">перекрытие!J221</f>
        <v>0</v>
      </c>
      <c r="E948" s="1004" t="n">
        <f aca="false">перекрытие!K221</f>
        <v>150</v>
      </c>
      <c r="F948" s="1004"/>
      <c r="G948" s="967" t="n">
        <f aca="false">IF(F948&gt;0,D948*F948,E948*D948)</f>
        <v>0</v>
      </c>
      <c r="H948" s="975" t="n">
        <f aca="false">D948*E948*$H$908</f>
        <v>0</v>
      </c>
      <c r="I948" s="936" t="n">
        <f aca="false">IF(G948&gt;H948,G948,H948)*$H$725</f>
        <v>0</v>
      </c>
      <c r="J948" s="931"/>
      <c r="K948" s="937"/>
    </row>
    <row r="949" customFormat="false" ht="15.75" hidden="true" customHeight="false" outlineLevel="0" collapsed="false">
      <c r="A949" s="937"/>
      <c r="B949" s="1002" t="str">
        <f aca="false">перекрытие!H223</f>
        <v>Монтаж чернового пола 2 этажа</v>
      </c>
      <c r="C949" s="1027" t="s">
        <v>820</v>
      </c>
      <c r="D949" s="953" t="n">
        <f aca="false">перекрытие!J223</f>
        <v>0</v>
      </c>
      <c r="E949" s="1004" t="n">
        <f aca="false">перекрытие!K223</f>
        <v>150</v>
      </c>
      <c r="F949" s="1004"/>
      <c r="G949" s="967" t="n">
        <f aca="false">IF(F949&gt;0,D949*F949,E949*D949)</f>
        <v>0</v>
      </c>
      <c r="H949" s="975" t="n">
        <f aca="false">D949*E949*$H$908</f>
        <v>0</v>
      </c>
      <c r="I949" s="936" t="n">
        <f aca="false">IF(G949&gt;H949,G949,H949)*$H$725</f>
        <v>0</v>
      </c>
      <c r="J949" s="931"/>
      <c r="K949" s="937"/>
    </row>
    <row r="950" customFormat="false" ht="15.75" hidden="false" customHeight="false" outlineLevel="0" collapsed="false">
      <c r="A950" s="937"/>
      <c r="B950" s="973" t="s">
        <v>2248</v>
      </c>
      <c r="C950" s="973"/>
      <c r="D950" s="973"/>
      <c r="E950" s="973"/>
      <c r="F950" s="973"/>
      <c r="G950" s="975" t="n">
        <f aca="false">SUM(G909:G949)*H725</f>
        <v>101760</v>
      </c>
      <c r="H950" s="975" t="n">
        <f aca="false">SUM(H909:H949)</f>
        <v>101760</v>
      </c>
      <c r="I950" s="936" t="n">
        <f aca="false">IF(G950&gt;H950,G950,H950)</f>
        <v>101760</v>
      </c>
      <c r="J950" s="931"/>
      <c r="K950" s="937"/>
    </row>
    <row r="951" customFormat="false" ht="21" hidden="true" customHeight="false" outlineLevel="0" collapsed="false">
      <c r="A951" s="937"/>
      <c r="B951" s="989" t="s">
        <v>2267</v>
      </c>
      <c r="C951" s="989"/>
      <c r="D951" s="989"/>
      <c r="E951" s="989"/>
      <c r="F951" s="1012"/>
      <c r="G951" s="977"/>
      <c r="H951" s="982" t="n">
        <f aca="false">дома!D2019</f>
        <v>0</v>
      </c>
      <c r="I951" s="1026" t="n">
        <f aca="false">H951</f>
        <v>0</v>
      </c>
      <c r="J951" s="931"/>
      <c r="K951" s="937"/>
    </row>
    <row r="952" customFormat="false" ht="15.75" hidden="true" customHeight="false" outlineLevel="0" collapsed="false">
      <c r="A952" s="931"/>
      <c r="B952" s="1008" t="s">
        <v>2246</v>
      </c>
      <c r="C952" s="1008"/>
      <c r="D952" s="1008"/>
      <c r="E952" s="1008"/>
      <c r="F952" s="1013"/>
      <c r="G952" s="977"/>
      <c r="H952" s="1009" t="n">
        <f aca="false">H951</f>
        <v>0</v>
      </c>
      <c r="I952" s="1026" t="n">
        <f aca="false">H952</f>
        <v>0</v>
      </c>
      <c r="J952" s="931"/>
      <c r="K952" s="937"/>
    </row>
    <row r="953" customFormat="false" ht="15.75" hidden="true" customHeight="false" outlineLevel="0" collapsed="false">
      <c r="A953" s="931"/>
      <c r="B953" s="1028" t="str">
        <f aca="false">дома!A2042</f>
        <v>Листв. влаж, 200*200мм</v>
      </c>
      <c r="C953" s="1029" t="str">
        <f aca="false">дома!B2042</f>
        <v>м3</v>
      </c>
      <c r="D953" s="1030" t="n">
        <f aca="false">дома!C2042</f>
        <v>0</v>
      </c>
      <c r="E953" s="1031" t="n">
        <f aca="false">дома!D2042</f>
        <v>9000</v>
      </c>
      <c r="F953" s="1031"/>
      <c r="G953" s="967" t="n">
        <f aca="false">IF(F953&gt;0,D953*F953,E953*D953)</f>
        <v>0</v>
      </c>
      <c r="H953" s="1032" t="n">
        <f aca="false">D953*E953*$H$952</f>
        <v>0</v>
      </c>
      <c r="I953" s="936" t="n">
        <f aca="false">IF(G953&gt;H953,G953,H953)*$H$951</f>
        <v>0</v>
      </c>
      <c r="J953" s="931"/>
      <c r="K953" s="937"/>
    </row>
    <row r="954" customFormat="false" ht="15.75" hidden="true" customHeight="false" outlineLevel="0" collapsed="false">
      <c r="A954" s="937"/>
      <c r="B954" s="1028" t="str">
        <f aca="false">дома!A2043</f>
        <v>Листв. влаж, 200*150мм</v>
      </c>
      <c r="C954" s="1029" t="str">
        <f aca="false">дома!B2043</f>
        <v>м3</v>
      </c>
      <c r="D954" s="1030" t="n">
        <f aca="false">дома!C2043</f>
        <v>0.54</v>
      </c>
      <c r="E954" s="1031" t="n">
        <f aca="false">дома!D2043</f>
        <v>8500</v>
      </c>
      <c r="F954" s="1031"/>
      <c r="G954" s="967" t="n">
        <f aca="false">IF(F954&gt;0,D954*F954,E954*D954)</f>
        <v>4590</v>
      </c>
      <c r="H954" s="1032" t="n">
        <f aca="false">D954*E954*$H$952</f>
        <v>0</v>
      </c>
      <c r="I954" s="936" t="n">
        <f aca="false">IF(G954&gt;H954,G954,H954)*$H$951</f>
        <v>0</v>
      </c>
      <c r="J954" s="931"/>
      <c r="K954" s="937"/>
    </row>
    <row r="955" customFormat="false" ht="15.75" hidden="true" customHeight="false" outlineLevel="0" collapsed="false">
      <c r="A955" s="937"/>
      <c r="B955" s="1028" t="str">
        <f aca="false">дома!A2044</f>
        <v>Рубероид</v>
      </c>
      <c r="C955" s="1029" t="str">
        <f aca="false">дома!B2044</f>
        <v>м.п.</v>
      </c>
      <c r="D955" s="1030" t="n">
        <f aca="false">дома!C2044</f>
        <v>0</v>
      </c>
      <c r="E955" s="1031" t="n">
        <f aca="false">дома!D2044</f>
        <v>30</v>
      </c>
      <c r="F955" s="1031"/>
      <c r="G955" s="967" t="n">
        <f aca="false">IF(F955&gt;0,D955*F955,E955*D955)</f>
        <v>0</v>
      </c>
      <c r="H955" s="1032" t="n">
        <f aca="false">D955*E955*$H$952</f>
        <v>0</v>
      </c>
      <c r="I955" s="936" t="n">
        <f aca="false">IF(G955&gt;H955,G955,H955)*$H$951</f>
        <v>0</v>
      </c>
      <c r="J955" s="931"/>
      <c r="K955" s="937"/>
    </row>
    <row r="956" customFormat="false" ht="15.75" hidden="true" customHeight="false" outlineLevel="0" collapsed="false">
      <c r="A956" s="937"/>
      <c r="B956" s="1028" t="str">
        <f aca="false">дома!A2045</f>
        <v>Листв. влаж, 200*150мм</v>
      </c>
      <c r="C956" s="1029" t="str">
        <f aca="false">дома!B2045</f>
        <v>м3</v>
      </c>
      <c r="D956" s="1030" t="n">
        <f aca="false">дома!C2045</f>
        <v>0</v>
      </c>
      <c r="E956" s="1031" t="n">
        <f aca="false">дома!D2045</f>
        <v>8500</v>
      </c>
      <c r="F956" s="1031"/>
      <c r="G956" s="967" t="n">
        <f aca="false">IF(F956&gt;0,D956*F956,E956*D956)</f>
        <v>0</v>
      </c>
      <c r="H956" s="1032" t="n">
        <f aca="false">D956*E956*$H$952</f>
        <v>0</v>
      </c>
      <c r="I956" s="936" t="n">
        <f aca="false">IF(G956&gt;H956,G956,H956)*$H$951</f>
        <v>0</v>
      </c>
      <c r="J956" s="931"/>
      <c r="K956" s="937"/>
    </row>
    <row r="957" customFormat="false" ht="15.75" hidden="true" customHeight="false" outlineLevel="0" collapsed="false">
      <c r="A957" s="937"/>
      <c r="B957" s="1028" t="str">
        <f aca="false">дома!A2046</f>
        <v>Проф.брус вл. 200*150мм</v>
      </c>
      <c r="C957" s="1029" t="str">
        <f aca="false">дома!B2046</f>
        <v>м3</v>
      </c>
      <c r="D957" s="1030" t="n">
        <f aca="false">дома!C2046</f>
        <v>0.5265</v>
      </c>
      <c r="E957" s="1031" t="n">
        <f aca="false">дома!D2046</f>
        <v>9300</v>
      </c>
      <c r="F957" s="1031"/>
      <c r="G957" s="967" t="n">
        <f aca="false">IF(F957&gt;0,D957*F957,E957*D957)</f>
        <v>4896.45</v>
      </c>
      <c r="H957" s="1032" t="n">
        <f aca="false">D957*E957*$H$952</f>
        <v>0</v>
      </c>
      <c r="I957" s="936" t="n">
        <f aca="false">IF(G957&gt;H957,G957,H957)*$H$951</f>
        <v>0</v>
      </c>
      <c r="J957" s="931"/>
      <c r="K957" s="937"/>
    </row>
    <row r="958" customFormat="false" ht="15.75" hidden="true" customHeight="false" outlineLevel="0" collapsed="false">
      <c r="A958" s="937"/>
      <c r="B958" s="1028" t="str">
        <f aca="false">дома!A2047</f>
        <v>Брус клееный проф 2 ламель кедр Шир. 240 выс. 140</v>
      </c>
      <c r="C958" s="1029" t="str">
        <f aca="false">дома!B2047</f>
        <v>м3</v>
      </c>
      <c r="D958" s="1030" t="n">
        <f aca="false">дома!C2047</f>
        <v>0.3024</v>
      </c>
      <c r="E958" s="1031" t="n">
        <f aca="false">дома!D2047</f>
        <v>24000</v>
      </c>
      <c r="F958" s="1031"/>
      <c r="G958" s="967" t="n">
        <f aca="false">IF(F958&gt;0,D958*F958,E958*D958)</f>
        <v>7257.6</v>
      </c>
      <c r="H958" s="1032" t="n">
        <f aca="false">D958*E958*$H$952</f>
        <v>0</v>
      </c>
      <c r="I958" s="936" t="n">
        <f aca="false">IF(G958&gt;H958,G958,H958)*$H$951</f>
        <v>0</v>
      </c>
      <c r="J958" s="931"/>
      <c r="K958" s="937"/>
    </row>
    <row r="959" customFormat="false" ht="15.75" hidden="true" customHeight="false" outlineLevel="0" collapsed="false">
      <c r="A959" s="937"/>
      <c r="B959" s="1028" t="str">
        <f aca="false">дома!A2048</f>
        <v>Брус клееный проф 1 ламель кедр Шир. 240 выс. 140</v>
      </c>
      <c r="C959" s="1029" t="str">
        <f aca="false">дома!B2048</f>
        <v>м3</v>
      </c>
      <c r="D959" s="1030" t="n">
        <f aca="false">дома!C2048</f>
        <v>1.008</v>
      </c>
      <c r="E959" s="1031" t="n">
        <f aca="false">дома!D2048</f>
        <v>24000</v>
      </c>
      <c r="F959" s="1031"/>
      <c r="G959" s="967" t="n">
        <f aca="false">IF(F959&gt;0,D959*F959,E959*D959)</f>
        <v>24192</v>
      </c>
      <c r="H959" s="1032" t="n">
        <f aca="false">D959*E959*$H$952</f>
        <v>0</v>
      </c>
      <c r="I959" s="936" t="n">
        <f aca="false">IF(G959&gt;H959,G959,H959)*$H$951</f>
        <v>0</v>
      </c>
      <c r="J959" s="931"/>
      <c r="K959" s="937"/>
    </row>
    <row r="960" customFormat="false" ht="15.75" hidden="true" customHeight="false" outlineLevel="0" collapsed="false">
      <c r="A960" s="937"/>
      <c r="B960" s="1028" t="str">
        <f aca="false">дома!A2049</f>
        <v>Проф.брус вл. 200*180мм</v>
      </c>
      <c r="C960" s="1029" t="str">
        <f aca="false">дома!B2049</f>
        <v>м3</v>
      </c>
      <c r="D960" s="1030" t="n">
        <f aca="false">дома!C2049</f>
        <v>0.504</v>
      </c>
      <c r="E960" s="1031" t="n">
        <f aca="false">дома!D2049</f>
        <v>9300</v>
      </c>
      <c r="F960" s="1031"/>
      <c r="G960" s="967" t="n">
        <f aca="false">IF(F960&gt;0,D960*F960,E960*D960)</f>
        <v>4687.2</v>
      </c>
      <c r="H960" s="1032" t="n">
        <f aca="false">D960*E960*$H$952</f>
        <v>0</v>
      </c>
      <c r="I960" s="936" t="n">
        <f aca="false">IF(G960&gt;H960,G960,H960)*$H$951</f>
        <v>0</v>
      </c>
      <c r="J960" s="931"/>
      <c r="K960" s="937"/>
    </row>
    <row r="961" customFormat="false" ht="15.75" hidden="true" customHeight="false" outlineLevel="0" collapsed="false">
      <c r="A961" s="937"/>
      <c r="B961" s="1028" t="str">
        <f aca="false">дома!A2050</f>
        <v>Нет накладки</v>
      </c>
      <c r="C961" s="1029" t="str">
        <f aca="false">дома!B2050</f>
        <v>м.п.</v>
      </c>
      <c r="D961" s="1030" t="n">
        <f aca="false">дома!C2050</f>
        <v>9</v>
      </c>
      <c r="E961" s="1031" t="n">
        <f aca="false">дома!D2050</f>
        <v>0</v>
      </c>
      <c r="F961" s="1031"/>
      <c r="G961" s="967" t="n">
        <f aca="false">IF(F961&gt;0,D961*F961,E961*D961)</f>
        <v>0</v>
      </c>
      <c r="H961" s="1032" t="n">
        <f aca="false">D961*E961*$H$952</f>
        <v>0</v>
      </c>
      <c r="I961" s="936" t="n">
        <f aca="false">IF(G961&gt;H961,G961,H961)*$H$951</f>
        <v>0</v>
      </c>
      <c r="J961" s="931"/>
      <c r="K961" s="937"/>
    </row>
    <row r="962" customFormat="false" ht="15.75" hidden="true" customHeight="false" outlineLevel="0" collapsed="false">
      <c r="A962" s="937"/>
      <c r="B962" s="1028" t="str">
        <f aca="false">дома!A2051</f>
        <v>Гидрокомпенсатор</v>
      </c>
      <c r="C962" s="1029" t="str">
        <f aca="false">дома!B2051</f>
        <v>шт</v>
      </c>
      <c r="D962" s="1030" t="n">
        <f aca="false">дома!C2051</f>
        <v>9</v>
      </c>
      <c r="E962" s="1031" t="n">
        <f aca="false">дома!D2051</f>
        <v>450</v>
      </c>
      <c r="F962" s="1031"/>
      <c r="G962" s="967" t="n">
        <f aca="false">IF(F962&gt;0,D962*F962,E962*D962)</f>
        <v>4050</v>
      </c>
      <c r="H962" s="1032" t="n">
        <f aca="false">D962*E962*$H$952</f>
        <v>0</v>
      </c>
      <c r="I962" s="936" t="n">
        <f aca="false">IF(G962&gt;H962,G962,H962)*$H$951</f>
        <v>0</v>
      </c>
      <c r="J962" s="931"/>
      <c r="K962" s="937"/>
    </row>
    <row r="963" customFormat="false" ht="15.75" hidden="true" customHeight="false" outlineLevel="0" collapsed="false">
      <c r="A963" s="937"/>
      <c r="B963" s="1028" t="str">
        <f aca="false">дома!A2052</f>
        <v>Уголок усиленный 90х70х55х2,5        </v>
      </c>
      <c r="C963" s="1029" t="str">
        <f aca="false">дома!B2052</f>
        <v>шт</v>
      </c>
      <c r="D963" s="1030" t="n">
        <f aca="false">дома!C2052</f>
        <v>0</v>
      </c>
      <c r="E963" s="1031" t="n">
        <f aca="false">дома!D2052</f>
        <v>30</v>
      </c>
      <c r="F963" s="1031"/>
      <c r="G963" s="967" t="n">
        <f aca="false">IF(F963&gt;0,D963*F963,E963*D963)</f>
        <v>0</v>
      </c>
      <c r="H963" s="1032" t="n">
        <f aca="false">D963*E963*$H$952</f>
        <v>0</v>
      </c>
      <c r="I963" s="936" t="n">
        <f aca="false">IF(G963&gt;H963,G963,H963)*$H$951</f>
        <v>0</v>
      </c>
      <c r="J963" s="931"/>
      <c r="K963" s="937"/>
    </row>
    <row r="964" customFormat="false" ht="15.75" hidden="true" customHeight="false" outlineLevel="0" collapsed="false">
      <c r="A964" s="937"/>
      <c r="B964" s="1028" t="str">
        <f aca="false">дома!A2053</f>
        <v>Нет уголков</v>
      </c>
      <c r="C964" s="1029" t="str">
        <f aca="false">дома!B2053</f>
        <v>шт</v>
      </c>
      <c r="D964" s="1030" t="n">
        <f aca="false">дома!C2053</f>
        <v>0</v>
      </c>
      <c r="E964" s="1031" t="n">
        <f aca="false">дома!D2053</f>
        <v>0</v>
      </c>
      <c r="F964" s="1031"/>
      <c r="G964" s="967" t="n">
        <f aca="false">IF(F964&gt;0,D964*F964,E964*D964)</f>
        <v>0</v>
      </c>
      <c r="H964" s="1032" t="n">
        <f aca="false">D964*E964*$H$952</f>
        <v>0</v>
      </c>
      <c r="I964" s="936" t="n">
        <f aca="false">IF(G964&gt;H964,G964,H964)*$H$951</f>
        <v>0</v>
      </c>
      <c r="J964" s="931"/>
      <c r="K964" s="937"/>
    </row>
    <row r="965" customFormat="false" ht="15.75" hidden="true" customHeight="false" outlineLevel="0" collapsed="false">
      <c r="A965" s="937"/>
      <c r="B965" s="1028" t="str">
        <f aca="false">дома!A2054</f>
        <v>Пластина соеденительная 100х240х2           </v>
      </c>
      <c r="C965" s="1029" t="str">
        <f aca="false">дома!B2054</f>
        <v>шт</v>
      </c>
      <c r="D965" s="1030" t="n">
        <f aca="false">дома!C2054</f>
        <v>0</v>
      </c>
      <c r="E965" s="1031" t="n">
        <f aca="false">дома!D2054</f>
        <v>31.54</v>
      </c>
      <c r="F965" s="1031"/>
      <c r="G965" s="967" t="n">
        <f aca="false">IF(F965&gt;0,D965*F965,E965*D965)</f>
        <v>0</v>
      </c>
      <c r="H965" s="1032" t="n">
        <f aca="false">D965*E965*$H$952</f>
        <v>0</v>
      </c>
      <c r="I965" s="936" t="n">
        <f aca="false">IF(G965&gt;H965,G965,H965)*$H$951</f>
        <v>0</v>
      </c>
      <c r="J965" s="931"/>
      <c r="K965" s="937"/>
    </row>
    <row r="966" customFormat="false" ht="15.75" hidden="true" customHeight="false" outlineLevel="0" collapsed="false">
      <c r="A966" s="937"/>
      <c r="B966" s="1028" t="str">
        <f aca="false">дома!A2055</f>
        <v>Нет пластин</v>
      </c>
      <c r="C966" s="1029" t="str">
        <f aca="false">дома!B2055</f>
        <v>шт</v>
      </c>
      <c r="D966" s="1030" t="n">
        <f aca="false">дома!C2055</f>
        <v>0</v>
      </c>
      <c r="E966" s="1031" t="n">
        <f aca="false">дома!D2055</f>
        <v>0</v>
      </c>
      <c r="F966" s="1031"/>
      <c r="G966" s="967" t="n">
        <f aca="false">IF(F966&gt;0,D966*F966,E966*D966)</f>
        <v>0</v>
      </c>
      <c r="H966" s="1032" t="n">
        <f aca="false">D966*E966*$H$952</f>
        <v>0</v>
      </c>
      <c r="I966" s="936" t="n">
        <f aca="false">IF(G966&gt;H966,G966,H966)*$H$951</f>
        <v>0</v>
      </c>
      <c r="J966" s="931"/>
      <c r="K966" s="937"/>
    </row>
    <row r="967" customFormat="false" ht="15.75" hidden="true" customHeight="false" outlineLevel="0" collapsed="false">
      <c r="A967" s="937"/>
      <c r="B967" s="1028" t="str">
        <f aca="false">дома!A2056</f>
        <v>Болты анкерные с гайкой 12,0 x 100          </v>
      </c>
      <c r="C967" s="1029" t="str">
        <f aca="false">дома!B2056</f>
        <v>шт</v>
      </c>
      <c r="D967" s="1030" t="n">
        <f aca="false">дома!C2056</f>
        <v>0</v>
      </c>
      <c r="E967" s="1031" t="n">
        <f aca="false">дома!D2056</f>
        <v>11.2</v>
      </c>
      <c r="F967" s="1031"/>
      <c r="G967" s="967" t="n">
        <f aca="false">IF(F967&gt;0,D967*F967,E967*D967)</f>
        <v>0</v>
      </c>
      <c r="H967" s="1032" t="n">
        <f aca="false">D967*E967*$H$952</f>
        <v>0</v>
      </c>
      <c r="I967" s="936" t="n">
        <f aca="false">IF(G967&gt;H967,G967,H967)*$H$951</f>
        <v>0</v>
      </c>
      <c r="J967" s="931"/>
      <c r="K967" s="937"/>
    </row>
    <row r="968" customFormat="false" ht="15.75" hidden="true" customHeight="false" outlineLevel="0" collapsed="false">
      <c r="A968" s="937"/>
      <c r="B968" s="1028" t="str">
        <f aca="false">дома!A2057</f>
        <v>Нет анкерных болтов</v>
      </c>
      <c r="C968" s="1029" t="str">
        <f aca="false">дома!B2057</f>
        <v>шт</v>
      </c>
      <c r="D968" s="1030" t="n">
        <f aca="false">дома!C2057</f>
        <v>0</v>
      </c>
      <c r="E968" s="1031" t="n">
        <f aca="false">дома!D2057</f>
        <v>0</v>
      </c>
      <c r="F968" s="1031"/>
      <c r="G968" s="967" t="n">
        <f aca="false">IF(F968&gt;0,D968*F968,E968*D968)</f>
        <v>0</v>
      </c>
      <c r="H968" s="1032" t="n">
        <f aca="false">D968*E968*$H$952</f>
        <v>0</v>
      </c>
      <c r="I968" s="936" t="n">
        <f aca="false">IF(G968&gt;H968,G968,H968)*$H$951</f>
        <v>0</v>
      </c>
      <c r="J968" s="931"/>
      <c r="K968" s="937"/>
    </row>
    <row r="969" customFormat="false" ht="15.75" hidden="true" customHeight="false" outlineLevel="0" collapsed="false">
      <c r="A969" s="937"/>
      <c r="B969" s="1028" t="str">
        <f aca="false">дома!A2058</f>
        <v>Саморезы 3,5 x 45            </v>
      </c>
      <c r="C969" s="1029" t="str">
        <f aca="false">дома!B2058</f>
        <v>кг</v>
      </c>
      <c r="D969" s="1030" t="n">
        <f aca="false">дома!C2058</f>
        <v>0</v>
      </c>
      <c r="E969" s="1031" t="n">
        <f aca="false">дома!D2058</f>
        <v>105.62</v>
      </c>
      <c r="F969" s="1031"/>
      <c r="G969" s="967" t="n">
        <f aca="false">IF(F969&gt;0,D969*F969,E969*D969)</f>
        <v>0</v>
      </c>
      <c r="H969" s="1032" t="n">
        <f aca="false">D969*E969*$H$952</f>
        <v>0</v>
      </c>
      <c r="I969" s="936" t="n">
        <f aca="false">IF(G969&gt;H969,G969,H969)*$H$951</f>
        <v>0</v>
      </c>
      <c r="J969" s="931"/>
      <c r="K969" s="937"/>
    </row>
    <row r="970" customFormat="false" ht="15.75" hidden="true" customHeight="false" outlineLevel="0" collapsed="false">
      <c r="A970" s="937"/>
      <c r="B970" s="1028" t="str">
        <f aca="false">дома!A2059</f>
        <v>Нет саморезов</v>
      </c>
      <c r="C970" s="1029" t="str">
        <f aca="false">дома!B2059</f>
        <v>кг</v>
      </c>
      <c r="D970" s="1030" t="n">
        <f aca="false">дома!C2059</f>
        <v>0</v>
      </c>
      <c r="E970" s="1031" t="n">
        <f aca="false">дома!D2059</f>
        <v>0</v>
      </c>
      <c r="F970" s="1031"/>
      <c r="G970" s="967" t="n">
        <f aca="false">IF(F970&gt;0,D970*F970,E970*D970)</f>
        <v>0</v>
      </c>
      <c r="H970" s="1032" t="n">
        <f aca="false">D970*E970*$H$952</f>
        <v>0</v>
      </c>
      <c r="I970" s="936" t="n">
        <f aca="false">IF(G970&gt;H970,G970,H970)*$H$951</f>
        <v>0</v>
      </c>
      <c r="J970" s="931"/>
      <c r="K970" s="937"/>
    </row>
    <row r="971" customFormat="false" ht="15.75" hidden="true" customHeight="false" outlineLevel="0" collapsed="false">
      <c r="A971" s="937"/>
      <c r="B971" s="1028" t="str">
        <f aca="false">дома!A2060</f>
        <v>Гвозди строительные 2,5 x 60            </v>
      </c>
      <c r="C971" s="1029" t="str">
        <f aca="false">дома!B2060</f>
        <v>кг</v>
      </c>
      <c r="D971" s="1030" t="n">
        <f aca="false">дома!C2060</f>
        <v>0</v>
      </c>
      <c r="E971" s="1031" t="n">
        <f aca="false">дома!D2060</f>
        <v>70</v>
      </c>
      <c r="F971" s="1031"/>
      <c r="G971" s="967" t="n">
        <f aca="false">IF(F971&gt;0,D971*F971,E971*D971)</f>
        <v>0</v>
      </c>
      <c r="H971" s="1032" t="n">
        <f aca="false">D971*E971*$H$952</f>
        <v>0</v>
      </c>
      <c r="I971" s="936" t="n">
        <f aca="false">IF(G971&gt;H971,G971,H971)*$H$951</f>
        <v>0</v>
      </c>
      <c r="J971" s="931"/>
      <c r="K971" s="937"/>
    </row>
    <row r="972" customFormat="false" ht="15.75" hidden="true" customHeight="false" outlineLevel="0" collapsed="false">
      <c r="A972" s="937"/>
      <c r="B972" s="1028" t="str">
        <f aca="false">дома!A2061</f>
        <v>Гвозди ершоные 3,4 x 60            </v>
      </c>
      <c r="C972" s="1029" t="str">
        <f aca="false">дома!B2061</f>
        <v>кг</v>
      </c>
      <c r="D972" s="1030" t="n">
        <f aca="false">дома!C2061</f>
        <v>0</v>
      </c>
      <c r="E972" s="1031" t="n">
        <f aca="false">дома!D2061</f>
        <v>75.51</v>
      </c>
      <c r="F972" s="1031"/>
      <c r="G972" s="967" t="n">
        <f aca="false">IF(F972&gt;0,D972*F972,E972*D972)</f>
        <v>0</v>
      </c>
      <c r="H972" s="1032" t="n">
        <f aca="false">D972*E972*$H$952</f>
        <v>0</v>
      </c>
      <c r="I972" s="936" t="n">
        <f aca="false">IF(G972&gt;H972,G972,H972)*$H$951</f>
        <v>0</v>
      </c>
      <c r="J972" s="931"/>
      <c r="K972" s="937"/>
    </row>
    <row r="973" customFormat="false" ht="15.75" hidden="true" customHeight="false" outlineLevel="0" collapsed="false">
      <c r="A973" s="937"/>
      <c r="B973" s="1028" t="str">
        <f aca="false">дома!A2076</f>
        <v>Гидроизоляция жидкая резина 1</v>
      </c>
      <c r="C973" s="1029" t="str">
        <f aca="false">дома!B2076</f>
        <v>кг</v>
      </c>
      <c r="D973" s="1030" t="n">
        <f aca="false">дома!C2076</f>
        <v>0</v>
      </c>
      <c r="E973" s="1031" t="n">
        <f aca="false">дома!D2076</f>
        <v>150</v>
      </c>
      <c r="F973" s="1031"/>
      <c r="G973" s="967" t="n">
        <f aca="false">IF(F973&gt;0,D973*F973,E973*D973)</f>
        <v>0</v>
      </c>
      <c r="H973" s="1032" t="n">
        <f aca="false">D973*E973*$H$952</f>
        <v>0</v>
      </c>
      <c r="I973" s="936" t="n">
        <f aca="false">IF(G973&gt;H973,G973,H973)*$H$951</f>
        <v>0</v>
      </c>
      <c r="J973" s="931"/>
      <c r="K973" s="937"/>
    </row>
    <row r="974" customFormat="false" ht="15.75" hidden="true" customHeight="false" outlineLevel="0" collapsed="false">
      <c r="A974" s="937"/>
      <c r="B974" s="1028" t="str">
        <f aca="false">дома!A2077</f>
        <v>Kronospan - OSB-3, 22мм</v>
      </c>
      <c r="C974" s="1029" t="str">
        <f aca="false">дома!B2077</f>
        <v>м2</v>
      </c>
      <c r="D974" s="1030" t="n">
        <f aca="false">дома!C2077</f>
        <v>0</v>
      </c>
      <c r="E974" s="1031" t="n">
        <f aca="false">дома!D2077</f>
        <v>526.666666666667</v>
      </c>
      <c r="F974" s="1031"/>
      <c r="G974" s="967" t="n">
        <f aca="false">IF(F974&gt;0,D974*F974,E974*D974)</f>
        <v>0</v>
      </c>
      <c r="H974" s="1032" t="n">
        <f aca="false">D974*E974*$H$952</f>
        <v>0</v>
      </c>
      <c r="I974" s="936" t="n">
        <f aca="false">IF(G974&gt;H974,G974,H974)*$H$951</f>
        <v>0</v>
      </c>
      <c r="J974" s="931"/>
      <c r="K974" s="937"/>
    </row>
    <row r="975" customFormat="false" ht="15.75" hidden="true" customHeight="false" outlineLevel="0" collapsed="false">
      <c r="A975" s="937"/>
      <c r="B975" s="1028" t="str">
        <f aca="false">дома!A2078</f>
        <v>Проф.брус вл. 200*150мм</v>
      </c>
      <c r="C975" s="1029" t="str">
        <f aca="false">дома!B2078</f>
        <v>м3</v>
      </c>
      <c r="D975" s="1030" t="n">
        <f aca="false">дома!C2078</f>
        <v>0.09</v>
      </c>
      <c r="E975" s="1031" t="n">
        <f aca="false">дома!D2078</f>
        <v>9300</v>
      </c>
      <c r="F975" s="1031"/>
      <c r="G975" s="967" t="n">
        <f aca="false">IF(F975&gt;0,D975*F975,E975*D975)</f>
        <v>837</v>
      </c>
      <c r="H975" s="1032" t="n">
        <f aca="false">D975*E975*$H$952</f>
        <v>0</v>
      </c>
      <c r="I975" s="936" t="n">
        <f aca="false">IF(G975&gt;H975,G975,H975)*$H$951</f>
        <v>0</v>
      </c>
      <c r="J975" s="931"/>
      <c r="K975" s="937"/>
    </row>
    <row r="976" customFormat="false" ht="15.75" hidden="true" customHeight="false" outlineLevel="0" collapsed="false">
      <c r="A976" s="937"/>
      <c r="B976" s="1028" t="str">
        <f aca="false">дома!A2079</f>
        <v>Брус клееный проф 2 ламель кедр Шир. 240 выс. 140</v>
      </c>
      <c r="C976" s="1029" t="str">
        <f aca="false">дома!B2079</f>
        <v>м3</v>
      </c>
      <c r="D976" s="1030" t="n">
        <f aca="false">дома!C2079</f>
        <v>0.12096</v>
      </c>
      <c r="E976" s="1031" t="n">
        <f aca="false">дома!D2079</f>
        <v>24000</v>
      </c>
      <c r="F976" s="1031"/>
      <c r="G976" s="967" t="n">
        <f aca="false">IF(F976&gt;0,D976*F976,E976*D976)</f>
        <v>2903.04</v>
      </c>
      <c r="H976" s="1032" t="n">
        <f aca="false">D976*E976*$H$952</f>
        <v>0</v>
      </c>
      <c r="I976" s="936" t="n">
        <f aca="false">IF(G976&gt;H976,G976,H976)*$H$951</f>
        <v>0</v>
      </c>
      <c r="J976" s="931"/>
      <c r="K976" s="937"/>
    </row>
    <row r="977" customFormat="false" ht="15.75" hidden="true" customHeight="false" outlineLevel="0" collapsed="false">
      <c r="A977" s="937"/>
      <c r="B977" s="1028" t="str">
        <f aca="false">дома!A2080</f>
        <v>Брус клееный проф 1 ламель кедр Шир. 240 выс. 140</v>
      </c>
      <c r="C977" s="1029" t="str">
        <f aca="false">дома!B2080</f>
        <v>м3</v>
      </c>
      <c r="D977" s="1030" t="n">
        <f aca="false">дома!C2080</f>
        <v>0.4368</v>
      </c>
      <c r="E977" s="1031" t="n">
        <f aca="false">дома!D2080</f>
        <v>24000</v>
      </c>
      <c r="F977" s="1031"/>
      <c r="G977" s="967" t="n">
        <f aca="false">IF(F977&gt;0,D977*F977,E977*D977)</f>
        <v>10483.2</v>
      </c>
      <c r="H977" s="1032" t="n">
        <f aca="false">D977*E977*$H$952</f>
        <v>0</v>
      </c>
      <c r="I977" s="936" t="n">
        <f aca="false">IF(G977&gt;H977,G977,H977)*$H$951</f>
        <v>0</v>
      </c>
      <c r="J977" s="931"/>
      <c r="K977" s="937"/>
    </row>
    <row r="978" customFormat="false" ht="15.75" hidden="true" customHeight="false" outlineLevel="0" collapsed="false">
      <c r="A978" s="937"/>
      <c r="B978" s="1028" t="str">
        <f aca="false">дома!A2081</f>
        <v>Клееная накладка на перила шир 240мм</v>
      </c>
      <c r="C978" s="1029" t="str">
        <f aca="false">дома!B2081</f>
        <v>м.п.</v>
      </c>
      <c r="D978" s="1030" t="n">
        <f aca="false">дома!C2081</f>
        <v>3.6</v>
      </c>
      <c r="E978" s="1031" t="n">
        <f aca="false">дома!D2081</f>
        <v>400</v>
      </c>
      <c r="F978" s="1031"/>
      <c r="G978" s="967" t="n">
        <f aca="false">IF(F978&gt;0,D978*F978,E978*D978)</f>
        <v>1440</v>
      </c>
      <c r="H978" s="1032" t="n">
        <f aca="false">D978*E978*$H$952</f>
        <v>0</v>
      </c>
      <c r="I978" s="936" t="n">
        <f aca="false">IF(G978&gt;H978,G978,H978)*$H$951</f>
        <v>0</v>
      </c>
      <c r="J978" s="931"/>
      <c r="K978" s="937"/>
    </row>
    <row r="979" customFormat="false" ht="15.75" hidden="true" customHeight="false" outlineLevel="0" collapsed="false">
      <c r="A979" s="937"/>
      <c r="B979" s="973" t="s">
        <v>2247</v>
      </c>
      <c r="C979" s="973"/>
      <c r="D979" s="973"/>
      <c r="E979" s="973"/>
      <c r="F979" s="973"/>
      <c r="G979" s="975" t="n">
        <f aca="false">SUM(G953:G978)*H951</f>
        <v>0</v>
      </c>
      <c r="H979" s="975" t="n">
        <f aca="false">SUM(H953:H978)</f>
        <v>0</v>
      </c>
      <c r="I979" s="936" t="n">
        <f aca="false">IF(G979&gt;H979,G979,H979)*$H$951</f>
        <v>0</v>
      </c>
      <c r="J979" s="931"/>
      <c r="K979" s="937"/>
    </row>
    <row r="980" customFormat="false" ht="15.75" hidden="true" customHeight="false" outlineLevel="0" collapsed="false">
      <c r="A980" s="937"/>
      <c r="B980" s="976" t="s">
        <v>2007</v>
      </c>
      <c r="C980" s="976"/>
      <c r="D980" s="976"/>
      <c r="E980" s="976"/>
      <c r="F980" s="1014"/>
      <c r="G980" s="977"/>
      <c r="H980" s="994" t="n">
        <f aca="false">H951</f>
        <v>0</v>
      </c>
      <c r="I980" s="1026" t="n">
        <f aca="false">H980</f>
        <v>0</v>
      </c>
      <c r="J980" s="931"/>
      <c r="K980" s="937"/>
    </row>
    <row r="981" customFormat="false" ht="15.75" hidden="true" customHeight="false" outlineLevel="0" collapsed="false">
      <c r="A981" s="931"/>
      <c r="B981" s="967" t="str">
        <f aca="false">дома!G2042</f>
        <v>монтаж веранды</v>
      </c>
      <c r="C981" s="968" t="s">
        <v>820</v>
      </c>
      <c r="D981" s="967" t="n">
        <f aca="false">дома!J2042</f>
        <v>9</v>
      </c>
      <c r="E981" s="986" t="n">
        <f aca="false">дома!K2042</f>
        <v>1500</v>
      </c>
      <c r="F981" s="986"/>
      <c r="G981" s="967" t="n">
        <f aca="false">IF(F981&gt;0,D981*F981,E981*D981)</f>
        <v>13500</v>
      </c>
      <c r="H981" s="970" t="n">
        <f aca="false">D981*E981*$H$980</f>
        <v>0</v>
      </c>
      <c r="I981" s="936" t="n">
        <f aca="false">IF(G981&gt;H981,G981,H981)*$H$951</f>
        <v>0</v>
      </c>
      <c r="J981" s="931"/>
      <c r="K981" s="937"/>
    </row>
    <row r="982" customFormat="false" ht="15.75" hidden="true" customHeight="false" outlineLevel="0" collapsed="false">
      <c r="A982" s="937"/>
      <c r="B982" s="967" t="str">
        <f aca="false">дома!G2043</f>
        <v>монтаж лаги, перекрытия</v>
      </c>
      <c r="C982" s="993" t="s">
        <v>820</v>
      </c>
      <c r="D982" s="967" t="n">
        <f aca="false">дома!J2043</f>
        <v>9</v>
      </c>
      <c r="E982" s="986" t="n">
        <f aca="false">дома!K2043</f>
        <v>300</v>
      </c>
      <c r="F982" s="986"/>
      <c r="G982" s="967" t="n">
        <f aca="false">IF(F982&gt;0,D982*F982,E982*D982)</f>
        <v>2700</v>
      </c>
      <c r="H982" s="970" t="n">
        <f aca="false">D982*E982*$H$980</f>
        <v>0</v>
      </c>
      <c r="I982" s="936" t="n">
        <f aca="false">IF(G982&gt;H982,G982,H982)*$H$951</f>
        <v>0</v>
      </c>
      <c r="J982" s="931"/>
      <c r="K982" s="937"/>
    </row>
    <row r="983" customFormat="false" ht="15.75" hidden="true" customHeight="false" outlineLevel="0" collapsed="false">
      <c r="A983" s="937"/>
      <c r="B983" s="967" t="str">
        <f aca="false">дома!G2044</f>
        <v>Монтаж накладки на перила</v>
      </c>
      <c r="C983" s="993" t="s">
        <v>15</v>
      </c>
      <c r="D983" s="967" t="n">
        <f aca="false">дома!J2044</f>
        <v>9</v>
      </c>
      <c r="E983" s="986" t="n">
        <f aca="false">дома!K2044</f>
        <v>0</v>
      </c>
      <c r="F983" s="986"/>
      <c r="G983" s="967" t="n">
        <f aca="false">IF(F983&gt;0,D983*F983,E983*D983)</f>
        <v>0</v>
      </c>
      <c r="H983" s="970" t="n">
        <f aca="false">D983*E983*$H$980</f>
        <v>0</v>
      </c>
      <c r="I983" s="936" t="n">
        <f aca="false">IF(G983&gt;H983,G983,H983)*$H$951</f>
        <v>0</v>
      </c>
      <c r="J983" s="931"/>
      <c r="K983" s="937"/>
    </row>
    <row r="984" customFormat="false" ht="15.75" hidden="true" customHeight="false" outlineLevel="0" collapsed="false">
      <c r="A984" s="956"/>
      <c r="B984" s="967" t="str">
        <f aca="false">дома!G2045</f>
        <v>Монтаж перил</v>
      </c>
      <c r="C984" s="993" t="s">
        <v>15</v>
      </c>
      <c r="D984" s="967" t="n">
        <f aca="false">дома!J2045</f>
        <v>9</v>
      </c>
      <c r="E984" s="986" t="n">
        <f aca="false">дома!K2045</f>
        <v>500</v>
      </c>
      <c r="F984" s="986"/>
      <c r="G984" s="967" t="n">
        <f aca="false">IF(F984&gt;0,D984*F984,E984*D984)</f>
        <v>4500</v>
      </c>
      <c r="H984" s="970" t="n">
        <f aca="false">D984*E984*$H$980</f>
        <v>0</v>
      </c>
      <c r="I984" s="936" t="n">
        <f aca="false">IF(G984&gt;H984,G984,H984)*$H$951</f>
        <v>0</v>
      </c>
      <c r="J984" s="955"/>
      <c r="K984" s="956"/>
      <c r="L984" s="955"/>
      <c r="M984" s="955"/>
      <c r="N984" s="955"/>
      <c r="O984" s="955"/>
      <c r="P984" s="955"/>
      <c r="Q984" s="955"/>
      <c r="R984" s="955"/>
      <c r="S984" s="955"/>
      <c r="T984" s="955"/>
      <c r="U984" s="955"/>
      <c r="V984" s="955"/>
      <c r="W984" s="955"/>
      <c r="X984" s="955"/>
      <c r="Y984" s="955"/>
      <c r="Z984" s="955"/>
      <c r="AA984" s="955"/>
      <c r="AB984" s="955"/>
      <c r="AC984" s="955"/>
      <c r="AD984" s="955"/>
      <c r="AE984" s="955"/>
      <c r="AF984" s="955"/>
      <c r="AG984" s="955"/>
      <c r="AH984" s="955"/>
    </row>
    <row r="985" customFormat="false" ht="15.75" hidden="true" customHeight="false" outlineLevel="0" collapsed="false">
      <c r="A985" s="956"/>
      <c r="B985" s="967" t="str">
        <f aca="false">дома!G2076</f>
        <v>Гидроизоляция рулонная</v>
      </c>
      <c r="C985" s="993" t="s">
        <v>820</v>
      </c>
      <c r="D985" s="967" t="n">
        <f aca="false">дома!I2076</f>
        <v>0</v>
      </c>
      <c r="E985" s="986" t="n">
        <f aca="false">дома!J2076</f>
        <v>250</v>
      </c>
      <c r="F985" s="986"/>
      <c r="G985" s="967" t="n">
        <f aca="false">IF(F985&gt;0,D985*F985,E985*D985)</f>
        <v>0</v>
      </c>
      <c r="H985" s="970" t="n">
        <f aca="false">D985*E985*$H$980</f>
        <v>0</v>
      </c>
      <c r="I985" s="936" t="n">
        <f aca="false">IF(G985&gt;H985,G985,H985)*$H$951</f>
        <v>0</v>
      </c>
      <c r="J985" s="955"/>
      <c r="K985" s="956"/>
      <c r="L985" s="955"/>
      <c r="M985" s="955"/>
      <c r="N985" s="955"/>
      <c r="O985" s="955"/>
      <c r="P985" s="955"/>
      <c r="Q985" s="955"/>
      <c r="R985" s="955"/>
      <c r="S985" s="955"/>
      <c r="T985" s="955"/>
      <c r="U985" s="955"/>
      <c r="V985" s="955"/>
      <c r="W985" s="955"/>
      <c r="X985" s="955"/>
      <c r="Y985" s="955"/>
      <c r="Z985" s="955"/>
      <c r="AA985" s="955"/>
      <c r="AB985" s="955"/>
      <c r="AC985" s="955"/>
      <c r="AD985" s="955"/>
      <c r="AE985" s="955"/>
      <c r="AF985" s="955"/>
      <c r="AG985" s="955"/>
      <c r="AH985" s="955"/>
    </row>
    <row r="986" customFormat="false" ht="15.75" hidden="true" customHeight="false" outlineLevel="0" collapsed="false">
      <c r="A986" s="956"/>
      <c r="B986" s="967" t="str">
        <f aca="false">дома!G2077</f>
        <v>монтаж OSB пол</v>
      </c>
      <c r="C986" s="993" t="s">
        <v>820</v>
      </c>
      <c r="D986" s="967" t="n">
        <f aca="false">дома!I2077</f>
        <v>0</v>
      </c>
      <c r="E986" s="986" t="n">
        <f aca="false">дома!J2077</f>
        <v>250</v>
      </c>
      <c r="F986" s="986"/>
      <c r="G986" s="967" t="n">
        <f aca="false">IF(F986&gt;0,D986*F986,E986*D986)</f>
        <v>0</v>
      </c>
      <c r="H986" s="970" t="n">
        <f aca="false">D986*E986*$H$980</f>
        <v>0</v>
      </c>
      <c r="I986" s="936" t="n">
        <f aca="false">IF(G986&gt;H986,G986,H986)*$H$951</f>
        <v>0</v>
      </c>
      <c r="J986" s="955"/>
      <c r="K986" s="956"/>
      <c r="L986" s="955"/>
      <c r="M986" s="955"/>
      <c r="N986" s="955"/>
      <c r="O986" s="955"/>
      <c r="P986" s="955"/>
      <c r="Q986" s="955"/>
      <c r="R986" s="955"/>
      <c r="S986" s="955"/>
      <c r="T986" s="955"/>
      <c r="U986" s="955"/>
      <c r="V986" s="955"/>
      <c r="W986" s="955"/>
      <c r="X986" s="955"/>
      <c r="Y986" s="955"/>
      <c r="Z986" s="955"/>
      <c r="AA986" s="955"/>
      <c r="AB986" s="955"/>
      <c r="AC986" s="955"/>
      <c r="AD986" s="955"/>
      <c r="AE986" s="955"/>
      <c r="AF986" s="955"/>
      <c r="AG986" s="955"/>
      <c r="AH986" s="955"/>
    </row>
    <row r="987" customFormat="false" ht="15.75" hidden="true" customHeight="false" outlineLevel="0" collapsed="false">
      <c r="A987" s="956"/>
      <c r="B987" s="967" t="str">
        <f aca="false">дома!G2078</f>
        <v>Монтаж перил</v>
      </c>
      <c r="C987" s="993" t="s">
        <v>15</v>
      </c>
      <c r="D987" s="967" t="n">
        <f aca="false">дома!I2078</f>
        <v>3.6</v>
      </c>
      <c r="E987" s="986" t="n">
        <f aca="false">дома!J2078</f>
        <v>500</v>
      </c>
      <c r="F987" s="986"/>
      <c r="G987" s="967" t="n">
        <f aca="false">IF(F987&gt;0,D987*F987,E987*D987)</f>
        <v>1800</v>
      </c>
      <c r="H987" s="970" t="n">
        <f aca="false">D987*E987*$H$980</f>
        <v>0</v>
      </c>
      <c r="I987" s="936" t="n">
        <f aca="false">IF(G987&gt;H987,G987,H987)*$H$951</f>
        <v>0</v>
      </c>
      <c r="J987" s="955"/>
      <c r="K987" s="956"/>
      <c r="L987" s="955"/>
      <c r="M987" s="955"/>
      <c r="N987" s="955"/>
      <c r="O987" s="955"/>
      <c r="P987" s="955"/>
      <c r="Q987" s="955"/>
      <c r="R987" s="955"/>
      <c r="S987" s="955"/>
      <c r="T987" s="955"/>
      <c r="U987" s="955"/>
      <c r="V987" s="955"/>
      <c r="W987" s="955"/>
      <c r="X987" s="955"/>
      <c r="Y987" s="955"/>
      <c r="Z987" s="955"/>
      <c r="AA987" s="955"/>
      <c r="AB987" s="955"/>
      <c r="AC987" s="955"/>
      <c r="AD987" s="955"/>
      <c r="AE987" s="955"/>
      <c r="AF987" s="955"/>
      <c r="AG987" s="955"/>
      <c r="AH987" s="955"/>
    </row>
    <row r="988" customFormat="false" ht="15.75" hidden="true" customHeight="false" outlineLevel="0" collapsed="false">
      <c r="A988" s="956"/>
      <c r="B988" s="967" t="str">
        <f aca="false">дома!G2079</f>
        <v>Монтаж накладки на перила</v>
      </c>
      <c r="C988" s="993" t="s">
        <v>15</v>
      </c>
      <c r="D988" s="967" t="n">
        <f aca="false">дома!I2079</f>
        <v>3.6</v>
      </c>
      <c r="E988" s="986" t="n">
        <f aca="false">дома!J2079</f>
        <v>0</v>
      </c>
      <c r="F988" s="986"/>
      <c r="G988" s="967" t="n">
        <f aca="false">IF(F988&gt;0,D988*F988,E988*D988)</f>
        <v>0</v>
      </c>
      <c r="H988" s="970" t="n">
        <f aca="false">D988*E988*$H$980</f>
        <v>0</v>
      </c>
      <c r="I988" s="936" t="n">
        <f aca="false">IF(G988&gt;H988,G988,H988)*$H$951</f>
        <v>0</v>
      </c>
      <c r="J988" s="955"/>
      <c r="K988" s="956"/>
      <c r="L988" s="955"/>
      <c r="M988" s="955"/>
      <c r="N988" s="955"/>
      <c r="O988" s="955"/>
      <c r="P988" s="955"/>
      <c r="Q988" s="955"/>
      <c r="R988" s="955"/>
      <c r="S988" s="955"/>
      <c r="T988" s="955"/>
      <c r="U988" s="955"/>
      <c r="V988" s="955"/>
      <c r="W988" s="955"/>
      <c r="X988" s="955"/>
      <c r="Y988" s="955"/>
      <c r="Z988" s="955"/>
      <c r="AA988" s="955"/>
      <c r="AB988" s="955"/>
      <c r="AC988" s="955"/>
      <c r="AD988" s="955"/>
      <c r="AE988" s="955"/>
      <c r="AF988" s="955"/>
      <c r="AG988" s="955"/>
      <c r="AH988" s="955"/>
    </row>
    <row r="989" customFormat="false" ht="15.75" hidden="true" customHeight="false" outlineLevel="0" collapsed="false">
      <c r="A989" s="956"/>
      <c r="B989" s="967" t="str">
        <f aca="false">дома!G2080</f>
        <v>монтаж веранды/крыльцо</v>
      </c>
      <c r="C989" s="993" t="s">
        <v>820</v>
      </c>
      <c r="D989" s="967" t="n">
        <f aca="false">дома!I2080</f>
        <v>0</v>
      </c>
      <c r="E989" s="986" t="n">
        <f aca="false">дома!J2080</f>
        <v>1500</v>
      </c>
      <c r="F989" s="986"/>
      <c r="G989" s="967" t="n">
        <f aca="false">IF(F989&gt;0,D989*F989,E989*D989)</f>
        <v>0</v>
      </c>
      <c r="H989" s="970" t="n">
        <f aca="false">D989*E989*$H$980</f>
        <v>0</v>
      </c>
      <c r="I989" s="936" t="n">
        <f aca="false">IF(G989&gt;H989,G989,H989)*$H$951</f>
        <v>0</v>
      </c>
      <c r="J989" s="955"/>
      <c r="K989" s="956"/>
      <c r="L989" s="955"/>
      <c r="M989" s="955"/>
      <c r="N989" s="955"/>
      <c r="O989" s="955"/>
      <c r="P989" s="955"/>
      <c r="Q989" s="955"/>
      <c r="R989" s="955"/>
      <c r="S989" s="955"/>
      <c r="T989" s="955"/>
      <c r="U989" s="955"/>
      <c r="V989" s="955"/>
      <c r="W989" s="955"/>
      <c r="X989" s="955"/>
      <c r="Y989" s="955"/>
      <c r="Z989" s="955"/>
      <c r="AA989" s="955"/>
      <c r="AB989" s="955"/>
      <c r="AC989" s="955"/>
      <c r="AD989" s="955"/>
      <c r="AE989" s="955"/>
      <c r="AF989" s="955"/>
      <c r="AG989" s="955"/>
      <c r="AH989" s="955"/>
    </row>
    <row r="990" customFormat="false" ht="15.75" hidden="true" customHeight="false" outlineLevel="0" collapsed="false">
      <c r="A990" s="956"/>
      <c r="B990" s="973" t="s">
        <v>2248</v>
      </c>
      <c r="C990" s="973"/>
      <c r="D990" s="973"/>
      <c r="E990" s="973"/>
      <c r="F990" s="973"/>
      <c r="G990" s="970" t="n">
        <f aca="false">SUM(G981:G989)*H980</f>
        <v>0</v>
      </c>
      <c r="H990" s="970" t="n">
        <f aca="false">SUM(H981:H989)</f>
        <v>0</v>
      </c>
      <c r="I990" s="936" t="n">
        <f aca="false">IF(G990&gt;H990,G990,H990)*$H$951</f>
        <v>0</v>
      </c>
      <c r="J990" s="955"/>
      <c r="K990" s="956"/>
      <c r="L990" s="955"/>
      <c r="M990" s="955"/>
      <c r="N990" s="955"/>
      <c r="O990" s="955"/>
      <c r="P990" s="955"/>
      <c r="Q990" s="955"/>
      <c r="R990" s="955"/>
      <c r="S990" s="955"/>
      <c r="T990" s="955"/>
      <c r="U990" s="955"/>
      <c r="V990" s="955"/>
      <c r="W990" s="955"/>
      <c r="X990" s="955"/>
      <c r="Y990" s="955"/>
      <c r="Z990" s="955"/>
      <c r="AA990" s="955"/>
      <c r="AB990" s="955"/>
      <c r="AC990" s="955"/>
      <c r="AD990" s="955"/>
      <c r="AE990" s="955"/>
      <c r="AF990" s="955"/>
      <c r="AG990" s="955"/>
      <c r="AH990" s="955"/>
    </row>
    <row r="991" s="653" customFormat="true" ht="21" hidden="true" customHeight="false" outlineLevel="0" collapsed="false">
      <c r="B991" s="989" t="s">
        <v>440</v>
      </c>
      <c r="C991" s="989"/>
      <c r="D991" s="989"/>
      <c r="E991" s="989"/>
      <c r="F991" s="1033"/>
      <c r="G991" s="977"/>
      <c r="H991" s="1000" t="n">
        <f aca="false">VLOOKUP('Ввод данных'!C96,связи1!A2:B3,2,0)</f>
        <v>0</v>
      </c>
      <c r="I991" s="1026" t="n">
        <f aca="false">H991</f>
        <v>0</v>
      </c>
    </row>
    <row r="992" s="653" customFormat="true" ht="15.75" hidden="true" customHeight="false" outlineLevel="0" collapsed="false">
      <c r="B992" s="1008" t="s">
        <v>2246</v>
      </c>
      <c r="C992" s="1008"/>
      <c r="D992" s="1008"/>
      <c r="E992" s="1008"/>
      <c r="F992" s="1024"/>
      <c r="G992" s="977"/>
      <c r="H992" s="1000" t="n">
        <f aca="false">H991</f>
        <v>0</v>
      </c>
      <c r="I992" s="1026" t="n">
        <f aca="false">H992</f>
        <v>0</v>
      </c>
    </row>
    <row r="993" s="653" customFormat="true" ht="15.75" hidden="true" customHeight="false" outlineLevel="0" collapsed="false">
      <c r="B993" s="1002" t="str">
        <f aca="false">дома!A2320</f>
        <v>Листв. влаж, 150*150мм</v>
      </c>
      <c r="C993" s="1003" t="str">
        <f aca="false">дома!B2320</f>
        <v>м3</v>
      </c>
      <c r="D993" s="953" t="n">
        <f aca="false">дома!C2320</f>
        <v>0.084</v>
      </c>
      <c r="E993" s="1004" t="n">
        <f aca="false">дома!D2320</f>
        <v>8500</v>
      </c>
      <c r="F993" s="1004"/>
      <c r="G993" s="967" t="n">
        <f aca="false">IF(F993&gt;0,D993*F993,E993*D993)</f>
        <v>714</v>
      </c>
      <c r="H993" s="970" t="n">
        <f aca="false">D993*E993*$H$991</f>
        <v>0</v>
      </c>
      <c r="I993" s="936" t="n">
        <f aca="false">IF(G993&gt;H993,G993,H993)*$H$991</f>
        <v>0</v>
      </c>
    </row>
    <row r="994" s="653" customFormat="true" ht="15.75" hidden="true" customHeight="false" outlineLevel="0" collapsed="false">
      <c r="B994" s="1002" t="str">
        <f aca="false">дома!A2321</f>
        <v>Листв. влаж, 150*100мм</v>
      </c>
      <c r="C994" s="1003" t="str">
        <f aca="false">дома!B2321</f>
        <v>м3</v>
      </c>
      <c r="D994" s="953" t="n">
        <f aca="false">дома!C2321</f>
        <v>0.09</v>
      </c>
      <c r="E994" s="1004" t="n">
        <f aca="false">дома!D2321</f>
        <v>8500</v>
      </c>
      <c r="F994" s="1004"/>
      <c r="G994" s="967" t="n">
        <f aca="false">IF(F994&gt;0,D994*F994,E994*D994)</f>
        <v>765</v>
      </c>
      <c r="H994" s="970" t="n">
        <f aca="false">D994*E994*$H$991</f>
        <v>0</v>
      </c>
      <c r="I994" s="936" t="n">
        <f aca="false">IF(G994&gt;H994,G994,H994)*$H$991</f>
        <v>0</v>
      </c>
    </row>
    <row r="995" s="653" customFormat="true" ht="15.75" hidden="true" customHeight="false" outlineLevel="0" collapsed="false">
      <c r="B995" s="1002" t="str">
        <f aca="false">дома!A2322</f>
        <v>Сосна влаж, 150*100мм</v>
      </c>
      <c r="C995" s="1003" t="str">
        <f aca="false">дома!B2322</f>
        <v>м3</v>
      </c>
      <c r="D995" s="953" t="n">
        <f aca="false">дома!C2322</f>
        <v>0.075</v>
      </c>
      <c r="E995" s="1004" t="n">
        <f aca="false">дома!D2322</f>
        <v>6500</v>
      </c>
      <c r="F995" s="1004"/>
      <c r="G995" s="967" t="n">
        <f aca="false">IF(F995&gt;0,D995*F995,E995*D995)</f>
        <v>487.5</v>
      </c>
      <c r="H995" s="970" t="n">
        <f aca="false">D995*E995*$H$991</f>
        <v>0</v>
      </c>
      <c r="I995" s="936" t="n">
        <f aca="false">IF(G995&gt;H995,G995,H995)*$H$991</f>
        <v>0</v>
      </c>
    </row>
    <row r="996" s="653" customFormat="true" ht="15.75" hidden="true" customHeight="false" outlineLevel="0" collapsed="false">
      <c r="B996" s="1002" t="str">
        <f aca="false">дома!A2323</f>
        <v>Нет</v>
      </c>
      <c r="C996" s="1003" t="str">
        <f aca="false">дома!B2323</f>
        <v>м3</v>
      </c>
      <c r="D996" s="953" t="n">
        <f aca="false">дома!C2323</f>
        <v>11.5</v>
      </c>
      <c r="E996" s="1004" t="n">
        <f aca="false">дома!D2323</f>
        <v>0</v>
      </c>
      <c r="F996" s="1004"/>
      <c r="G996" s="967" t="n">
        <f aca="false">IF(F996&gt;0,D996*F996,E996*D996)</f>
        <v>0</v>
      </c>
      <c r="H996" s="970" t="n">
        <f aca="false">D996*E996*$H$991</f>
        <v>0</v>
      </c>
      <c r="I996" s="936" t="n">
        <f aca="false">IF(G996&gt;H996,G996,H996)*$H$991</f>
        <v>0</v>
      </c>
    </row>
    <row r="997" s="653" customFormat="true" ht="15.75" hidden="true" customHeight="false" outlineLevel="0" collapsed="false">
      <c r="B997" s="1002" t="str">
        <f aca="false">дома!A2324</f>
        <v>Листв. влаж, 150*100мм</v>
      </c>
      <c r="C997" s="1003" t="str">
        <f aca="false">дома!B2324</f>
        <v>м3</v>
      </c>
      <c r="D997" s="953" t="n">
        <f aca="false">дома!C2324</f>
        <v>0.075</v>
      </c>
      <c r="E997" s="1004" t="n">
        <f aca="false">дома!D2324</f>
        <v>8500</v>
      </c>
      <c r="F997" s="1004"/>
      <c r="G997" s="967" t="n">
        <f aca="false">IF(F997&gt;0,D997*F997,E997*D997)</f>
        <v>637.5</v>
      </c>
      <c r="H997" s="970" t="n">
        <f aca="false">D997*E997*$H$991</f>
        <v>0</v>
      </c>
      <c r="I997" s="936" t="n">
        <f aca="false">IF(G997&gt;H997,G997,H997)*$H$991</f>
        <v>0</v>
      </c>
    </row>
    <row r="998" s="653" customFormat="true" ht="15.75" hidden="true" customHeight="false" outlineLevel="0" collapsed="false">
      <c r="B998" s="1002" t="str">
        <f aca="false">дома!A2325</f>
        <v>Листв. влаж, 150*150мм</v>
      </c>
      <c r="C998" s="1003" t="str">
        <f aca="false">дома!B2325</f>
        <v>м3</v>
      </c>
      <c r="D998" s="953" t="n">
        <f aca="false">дома!C2325</f>
        <v>0.225</v>
      </c>
      <c r="E998" s="1004" t="n">
        <f aca="false">дома!D2325</f>
        <v>8500</v>
      </c>
      <c r="F998" s="1004"/>
      <c r="G998" s="967" t="n">
        <f aca="false">IF(F998&gt;0,D998*F998,E998*D998)</f>
        <v>1912.5</v>
      </c>
      <c r="H998" s="970" t="n">
        <f aca="false">D998*E998*$H$991</f>
        <v>0</v>
      </c>
      <c r="I998" s="936" t="n">
        <f aca="false">IF(G998&gt;H998,G998,H998)*$H$991</f>
        <v>0</v>
      </c>
    </row>
    <row r="999" s="653" customFormat="true" ht="15.75" hidden="true" customHeight="false" outlineLevel="0" collapsed="false">
      <c r="B999" s="1002" t="str">
        <f aca="false">дома!A2326</f>
        <v>Нет накладки</v>
      </c>
      <c r="C999" s="1003" t="str">
        <f aca="false">дома!B2326</f>
        <v>м.п.</v>
      </c>
      <c r="D999" s="953" t="n">
        <f aca="false">дома!C2326</f>
        <v>5</v>
      </c>
      <c r="E999" s="1004" t="n">
        <f aca="false">дома!D2326</f>
        <v>0</v>
      </c>
      <c r="F999" s="1004"/>
      <c r="G999" s="967" t="n">
        <f aca="false">IF(F999&gt;0,D999*F999,E999*D999)</f>
        <v>0</v>
      </c>
      <c r="H999" s="970" t="n">
        <f aca="false">D999*E999*$H$991</f>
        <v>0</v>
      </c>
      <c r="I999" s="936" t="n">
        <f aca="false">IF(G999&gt;H999,G999,H999)*$H$991</f>
        <v>0</v>
      </c>
    </row>
    <row r="1000" s="653" customFormat="true" ht="15.75" hidden="true" customHeight="false" outlineLevel="0" collapsed="false">
      <c r="B1000" s="1002" t="str">
        <f aca="false">дома!A2327</f>
        <v>Нет</v>
      </c>
      <c r="C1000" s="1003" t="str">
        <f aca="false">дома!B2327</f>
        <v>м3</v>
      </c>
      <c r="D1000" s="953" t="n">
        <f aca="false">дома!C2327</f>
        <v>8</v>
      </c>
      <c r="E1000" s="1004" t="n">
        <f aca="false">дома!D2327</f>
        <v>0</v>
      </c>
      <c r="F1000" s="1004"/>
      <c r="G1000" s="967" t="n">
        <f aca="false">IF(F1000&gt;0,D1000*F1000,E1000*D1000)</f>
        <v>0</v>
      </c>
      <c r="H1000" s="970" t="n">
        <f aca="false">D1000*E1000*$H$991</f>
        <v>0</v>
      </c>
      <c r="I1000" s="936" t="n">
        <f aca="false">IF(G1000&gt;H1000,G1000,H1000)*$H$991</f>
        <v>0</v>
      </c>
    </row>
    <row r="1001" s="653" customFormat="true" ht="15.75" hidden="true" customHeight="false" outlineLevel="0" collapsed="false">
      <c r="B1001" s="1002" t="str">
        <f aca="false">дома!A2328</f>
        <v>Уголок усиленный 90х70х55х2,5        </v>
      </c>
      <c r="C1001" s="1003" t="str">
        <f aca="false">дома!B2328</f>
        <v>шт</v>
      </c>
      <c r="D1001" s="953" t="n">
        <f aca="false">дома!C2328</f>
        <v>6</v>
      </c>
      <c r="E1001" s="1004" t="n">
        <f aca="false">дома!D2328</f>
        <v>30</v>
      </c>
      <c r="F1001" s="1004"/>
      <c r="G1001" s="967" t="n">
        <f aca="false">IF(F1001&gt;0,D1001*F1001,E1001*D1001)</f>
        <v>180</v>
      </c>
      <c r="H1001" s="970" t="n">
        <f aca="false">D1001*E1001*$H$991</f>
        <v>0</v>
      </c>
      <c r="I1001" s="936" t="n">
        <f aca="false">IF(G1001&gt;H1001,G1001,H1001)*$H$991</f>
        <v>0</v>
      </c>
    </row>
    <row r="1002" s="653" customFormat="true" ht="15.75" hidden="true" customHeight="false" outlineLevel="0" collapsed="false">
      <c r="B1002" s="1002" t="str">
        <f aca="false">дома!A2329</f>
        <v>Нет уголков</v>
      </c>
      <c r="C1002" s="1003" t="str">
        <f aca="false">дома!B2329</f>
        <v>шт</v>
      </c>
      <c r="D1002" s="953" t="n">
        <f aca="false">дома!C2329</f>
        <v>0</v>
      </c>
      <c r="E1002" s="1004" t="n">
        <f aca="false">дома!D2329</f>
        <v>0</v>
      </c>
      <c r="F1002" s="1004"/>
      <c r="G1002" s="967" t="n">
        <f aca="false">IF(F1002&gt;0,D1002*F1002,E1002*D1002)</f>
        <v>0</v>
      </c>
      <c r="H1002" s="970" t="n">
        <f aca="false">D1002*E1002*$H$991</f>
        <v>0</v>
      </c>
      <c r="I1002" s="936" t="n">
        <f aca="false">IF(G1002&gt;H1002,G1002,H1002)*$H$991</f>
        <v>0</v>
      </c>
    </row>
    <row r="1003" s="653" customFormat="true" ht="15.75" hidden="true" customHeight="false" outlineLevel="0" collapsed="false">
      <c r="B1003" s="1002" t="str">
        <f aca="false">дома!A2330</f>
        <v>Пластина соеденительная 100х240х2           </v>
      </c>
      <c r="C1003" s="1003" t="str">
        <f aca="false">дома!B2330</f>
        <v>шт</v>
      </c>
      <c r="D1003" s="953" t="n">
        <f aca="false">дома!C2330</f>
        <v>2</v>
      </c>
      <c r="E1003" s="1004" t="n">
        <f aca="false">дома!D2330</f>
        <v>31.54</v>
      </c>
      <c r="F1003" s="1004"/>
      <c r="G1003" s="967" t="n">
        <f aca="false">IF(F1003&gt;0,D1003*F1003,E1003*D1003)</f>
        <v>63.08</v>
      </c>
      <c r="H1003" s="970" t="n">
        <f aca="false">D1003*E1003*$H$991</f>
        <v>0</v>
      </c>
      <c r="I1003" s="936" t="n">
        <f aca="false">IF(G1003&gt;H1003,G1003,H1003)*$H$991</f>
        <v>0</v>
      </c>
    </row>
    <row r="1004" s="653" customFormat="true" ht="15.75" hidden="true" customHeight="false" outlineLevel="0" collapsed="false">
      <c r="B1004" s="1002" t="str">
        <f aca="false">дома!A2331</f>
        <v>Нет пластин</v>
      </c>
      <c r="C1004" s="1003" t="str">
        <f aca="false">дома!B2331</f>
        <v>шт</v>
      </c>
      <c r="D1004" s="953" t="n">
        <f aca="false">дома!C2331</f>
        <v>0</v>
      </c>
      <c r="E1004" s="1004" t="n">
        <f aca="false">дома!D2331</f>
        <v>0</v>
      </c>
      <c r="F1004" s="1004"/>
      <c r="G1004" s="967" t="n">
        <f aca="false">IF(F1004&gt;0,D1004*F1004,E1004*D1004)</f>
        <v>0</v>
      </c>
      <c r="H1004" s="970" t="n">
        <f aca="false">D1004*E1004*$H$991</f>
        <v>0</v>
      </c>
      <c r="I1004" s="936" t="n">
        <f aca="false">IF(G1004&gt;H1004,G1004,H1004)*$H$991</f>
        <v>0</v>
      </c>
    </row>
    <row r="1005" s="653" customFormat="true" ht="15.75" hidden="true" customHeight="false" outlineLevel="0" collapsed="false">
      <c r="B1005" s="1002" t="str">
        <f aca="false">дома!A2332</f>
        <v>Болты анкерные с гайкой 12,0 x 100          </v>
      </c>
      <c r="C1005" s="1003" t="str">
        <f aca="false">дома!B2332</f>
        <v>шт</v>
      </c>
      <c r="D1005" s="953" t="n">
        <f aca="false">дома!C2332</f>
        <v>6</v>
      </c>
      <c r="E1005" s="1004" t="n">
        <f aca="false">дома!D2332</f>
        <v>11.2</v>
      </c>
      <c r="F1005" s="1004"/>
      <c r="G1005" s="967" t="n">
        <f aca="false">IF(F1005&gt;0,D1005*F1005,E1005*D1005)</f>
        <v>67.2</v>
      </c>
      <c r="H1005" s="970" t="n">
        <f aca="false">D1005*E1005*$H$991</f>
        <v>0</v>
      </c>
      <c r="I1005" s="936" t="n">
        <f aca="false">IF(G1005&gt;H1005,G1005,H1005)*$H$991</f>
        <v>0</v>
      </c>
    </row>
    <row r="1006" s="653" customFormat="true" ht="15.75" hidden="true" customHeight="false" outlineLevel="0" collapsed="false">
      <c r="B1006" s="1002" t="str">
        <f aca="false">дома!A2333</f>
        <v>Нет анкерных болтов</v>
      </c>
      <c r="C1006" s="1003" t="str">
        <f aca="false">дома!B2333</f>
        <v>шт</v>
      </c>
      <c r="D1006" s="953" t="n">
        <f aca="false">дома!C2333</f>
        <v>0</v>
      </c>
      <c r="E1006" s="1004" t="n">
        <f aca="false">дома!D2333</f>
        <v>0</v>
      </c>
      <c r="F1006" s="1004"/>
      <c r="G1006" s="967" t="n">
        <f aca="false">IF(F1006&gt;0,D1006*F1006,E1006*D1006)</f>
        <v>0</v>
      </c>
      <c r="H1006" s="970" t="n">
        <f aca="false">D1006*E1006*$H$991</f>
        <v>0</v>
      </c>
      <c r="I1006" s="936" t="n">
        <f aca="false">IF(G1006&gt;H1006,G1006,H1006)*$H$991</f>
        <v>0</v>
      </c>
    </row>
    <row r="1007" s="653" customFormat="true" ht="15.75" hidden="true" customHeight="false" outlineLevel="0" collapsed="false">
      <c r="B1007" s="1002" t="str">
        <f aca="false">дома!A2334</f>
        <v>Саморезы 3,5 x 45            </v>
      </c>
      <c r="C1007" s="1003" t="str">
        <f aca="false">дома!B2334</f>
        <v>кг</v>
      </c>
      <c r="D1007" s="953" t="n">
        <f aca="false">дома!C2334</f>
        <v>0</v>
      </c>
      <c r="E1007" s="1004" t="n">
        <f aca="false">дома!D2334</f>
        <v>105.62</v>
      </c>
      <c r="F1007" s="1004"/>
      <c r="G1007" s="967" t="n">
        <f aca="false">IF(F1007&gt;0,D1007*F1007,E1007*D1007)</f>
        <v>0</v>
      </c>
      <c r="H1007" s="970" t="n">
        <f aca="false">D1007*E1007*$H$991</f>
        <v>0</v>
      </c>
      <c r="I1007" s="936" t="n">
        <f aca="false">IF(G1007&gt;H1007,G1007,H1007)*$H$991</f>
        <v>0</v>
      </c>
    </row>
    <row r="1008" s="653" customFormat="true" ht="15.75" hidden="true" customHeight="false" outlineLevel="0" collapsed="false">
      <c r="B1008" s="1002" t="str">
        <f aca="false">дома!A2335</f>
        <v>Нет саморезов</v>
      </c>
      <c r="C1008" s="1003" t="str">
        <f aca="false">дома!B2335</f>
        <v>кг</v>
      </c>
      <c r="D1008" s="953" t="n">
        <f aca="false">дома!C2335</f>
        <v>0</v>
      </c>
      <c r="E1008" s="1004" t="n">
        <f aca="false">дома!D2335</f>
        <v>0</v>
      </c>
      <c r="F1008" s="1004"/>
      <c r="G1008" s="967" t="n">
        <f aca="false">IF(F1008&gt;0,D1008*F1008,E1008*D1008)</f>
        <v>0</v>
      </c>
      <c r="H1008" s="970" t="n">
        <f aca="false">D1008*E1008*$H$991</f>
        <v>0</v>
      </c>
      <c r="I1008" s="936" t="n">
        <f aca="false">IF(G1008&gt;H1008,G1008,H1008)*$H$991</f>
        <v>0</v>
      </c>
    </row>
    <row r="1009" s="653" customFormat="true" ht="15.75" hidden="true" customHeight="false" outlineLevel="0" collapsed="false">
      <c r="B1009" s="1002" t="str">
        <f aca="false">дома!A2336</f>
        <v>Гвозди строительные 2,5 x 60            </v>
      </c>
      <c r="C1009" s="1003" t="str">
        <f aca="false">дома!B2336</f>
        <v>кг</v>
      </c>
      <c r="D1009" s="953" t="n">
        <f aca="false">дома!C2336</f>
        <v>1</v>
      </c>
      <c r="E1009" s="1004" t="n">
        <f aca="false">дома!D2336</f>
        <v>70</v>
      </c>
      <c r="F1009" s="1004"/>
      <c r="G1009" s="967" t="n">
        <f aca="false">IF(F1009&gt;0,D1009*F1009,E1009*D1009)</f>
        <v>70</v>
      </c>
      <c r="H1009" s="970" t="n">
        <f aca="false">D1009*E1009*$H$991</f>
        <v>0</v>
      </c>
      <c r="I1009" s="936" t="n">
        <f aca="false">IF(G1009&gt;H1009,G1009,H1009)*$H$991</f>
        <v>0</v>
      </c>
    </row>
    <row r="1010" s="653" customFormat="true" ht="15.75" hidden="true" customHeight="false" outlineLevel="0" collapsed="false">
      <c r="B1010" s="1002" t="str">
        <f aca="false">дома!A2337</f>
        <v>Гвозди ершоные 3,4 x 60            </v>
      </c>
      <c r="C1010" s="1003" t="str">
        <f aca="false">дома!B2337</f>
        <v>кг</v>
      </c>
      <c r="D1010" s="953" t="n">
        <f aca="false">дома!C2337</f>
        <v>1</v>
      </c>
      <c r="E1010" s="1004" t="n">
        <f aca="false">дома!D2337</f>
        <v>75.51</v>
      </c>
      <c r="F1010" s="1004"/>
      <c r="G1010" s="967" t="n">
        <f aca="false">IF(F1010&gt;0,D1010*F1010,E1010*D1010)</f>
        <v>75.51</v>
      </c>
      <c r="H1010" s="970" t="n">
        <f aca="false">D1010*E1010*$H$991</f>
        <v>0</v>
      </c>
      <c r="I1010" s="936" t="n">
        <f aca="false">IF(G1010&gt;H1010,G1010,H1010)*$H$991</f>
        <v>0</v>
      </c>
    </row>
    <row r="1011" s="653" customFormat="true" ht="15.75" hidden="true" customHeight="false" outlineLevel="0" collapsed="false">
      <c r="B1011" s="973" t="s">
        <v>2247</v>
      </c>
      <c r="C1011" s="973"/>
      <c r="D1011" s="973"/>
      <c r="E1011" s="973"/>
      <c r="F1011" s="973"/>
      <c r="G1011" s="970" t="n">
        <f aca="false">SUM(G993:G1010)*H991</f>
        <v>0</v>
      </c>
      <c r="H1011" s="970" t="n">
        <f aca="false">SUM(H993:H1010)</f>
        <v>0</v>
      </c>
      <c r="I1011" s="936" t="n">
        <f aca="false">IF(G1011&gt;H1011,G1011,H1011)*$H$991</f>
        <v>0</v>
      </c>
    </row>
    <row r="1012" s="653" customFormat="true" ht="15.75" hidden="true" customHeight="false" outlineLevel="0" collapsed="false">
      <c r="B1012" s="976" t="s">
        <v>2007</v>
      </c>
      <c r="C1012" s="976"/>
      <c r="D1012" s="976"/>
      <c r="E1012" s="976"/>
      <c r="F1012" s="1024"/>
      <c r="G1012" s="977"/>
      <c r="H1012" s="1000" t="n">
        <f aca="false">H991</f>
        <v>0</v>
      </c>
      <c r="I1012" s="1026" t="n">
        <f aca="false">H1012</f>
        <v>0</v>
      </c>
    </row>
    <row r="1013" s="653" customFormat="true" ht="15.75" hidden="true" customHeight="false" outlineLevel="0" collapsed="false">
      <c r="B1013" s="1002" t="str">
        <f aca="false">дома!I2320</f>
        <v>монтаж веранды/крыльцо</v>
      </c>
      <c r="C1013" s="1003" t="str">
        <f aca="false">дома!J2320</f>
        <v>м2</v>
      </c>
      <c r="D1013" s="953" t="n">
        <f aca="false">дома!K2320</f>
        <v>3</v>
      </c>
      <c r="E1013" s="1004" t="n">
        <f aca="false">дома!L2320</f>
        <v>1500</v>
      </c>
      <c r="F1013" s="1004"/>
      <c r="G1013" s="967" t="n">
        <f aca="false">IF(F1013&gt;0,D1013*F1013,E1013*D1013)</f>
        <v>4500</v>
      </c>
      <c r="H1013" s="970" t="n">
        <f aca="false">D1013*E1013*H1012</f>
        <v>0</v>
      </c>
      <c r="I1013" s="936" t="n">
        <f aca="false">IF(G1013&gt;H1013,G1013,H1013)*$H$991</f>
        <v>0</v>
      </c>
    </row>
    <row r="1014" s="653" customFormat="true" ht="15.75" hidden="true" customHeight="false" outlineLevel="0" collapsed="false">
      <c r="B1014" s="973" t="s">
        <v>2268</v>
      </c>
      <c r="C1014" s="973"/>
      <c r="D1014" s="973"/>
      <c r="E1014" s="973"/>
      <c r="F1014" s="973"/>
      <c r="G1014" s="970" t="n">
        <f aca="false">G1013*H1012</f>
        <v>0</v>
      </c>
      <c r="H1014" s="970" t="n">
        <f aca="false">H1013</f>
        <v>0</v>
      </c>
      <c r="I1014" s="936" t="n">
        <f aca="false">IF(G1014&gt;H1014,G1014,H1014)*$H$991</f>
        <v>0</v>
      </c>
    </row>
    <row r="1015" customFormat="false" ht="21" hidden="true" customHeight="false" outlineLevel="0" collapsed="false">
      <c r="A1015" s="965"/>
      <c r="B1015" s="998" t="s">
        <v>364</v>
      </c>
      <c r="C1015" s="998"/>
      <c r="D1015" s="998"/>
      <c r="E1015" s="998"/>
      <c r="F1015" s="999"/>
      <c r="G1015" s="977"/>
      <c r="H1015" s="1018" t="n">
        <f aca="false">VLOOKUP('Ввод данных'!F597,связи1!A2:B3,2,0)</f>
        <v>0</v>
      </c>
      <c r="I1015" s="1026" t="n">
        <f aca="false">H1015</f>
        <v>0</v>
      </c>
      <c r="J1015" s="964"/>
      <c r="K1015" s="965"/>
      <c r="L1015" s="964"/>
      <c r="M1015" s="964"/>
      <c r="N1015" s="964"/>
      <c r="O1015" s="964"/>
      <c r="P1015" s="964"/>
      <c r="Q1015" s="964"/>
      <c r="R1015" s="964"/>
      <c r="S1015" s="964"/>
      <c r="T1015" s="964"/>
      <c r="U1015" s="964"/>
      <c r="V1015" s="964"/>
      <c r="W1015" s="964"/>
      <c r="X1015" s="964"/>
      <c r="Y1015" s="964"/>
      <c r="Z1015" s="964"/>
      <c r="AA1015" s="964"/>
      <c r="AB1015" s="964"/>
      <c r="AC1015" s="964"/>
      <c r="AD1015" s="964"/>
      <c r="AE1015" s="964"/>
      <c r="AF1015" s="964"/>
      <c r="AG1015" s="964"/>
      <c r="AH1015" s="964"/>
    </row>
    <row r="1016" customFormat="false" ht="15.75" hidden="true" customHeight="false" outlineLevel="0" collapsed="false">
      <c r="A1016" s="937"/>
      <c r="B1016" s="1034" t="s">
        <v>2246</v>
      </c>
      <c r="C1016" s="1034"/>
      <c r="D1016" s="1034"/>
      <c r="E1016" s="1034"/>
      <c r="F1016" s="1034"/>
      <c r="G1016" s="977"/>
      <c r="H1016" s="1009" t="n">
        <f aca="false">H1015</f>
        <v>0</v>
      </c>
      <c r="I1016" s="1026" t="n">
        <f aca="false">H1016</f>
        <v>0</v>
      </c>
      <c r="J1016" s="931"/>
      <c r="K1016" s="937"/>
    </row>
    <row r="1017" customFormat="false" ht="15.75" hidden="true" customHeight="false" outlineLevel="0" collapsed="false">
      <c r="A1017" s="937"/>
      <c r="B1017" s="967" t="str">
        <f aca="false">дома!A2197</f>
        <v>Оцилиндрованное бревно сосна 260мм</v>
      </c>
      <c r="C1017" s="968" t="str">
        <f aca="false">дома!B2197</f>
        <v>м3</v>
      </c>
      <c r="D1017" s="967" t="n">
        <f aca="false">дома!C2197</f>
        <v>1.17</v>
      </c>
      <c r="E1017" s="967" t="n">
        <f aca="false">дома!D2197</f>
        <v>8500</v>
      </c>
      <c r="F1017" s="967"/>
      <c r="G1017" s="967" t="n">
        <f aca="false">IF(F1017&gt;0,D1017*F1017,E1017*D1017)</f>
        <v>9945</v>
      </c>
      <c r="H1017" s="970" t="n">
        <f aca="false">D1017*E1017*$H$1015*VLOOKUP('Ввод данных'!D547,связи1!A2:B3,2,0)</f>
        <v>0</v>
      </c>
      <c r="I1017" s="936" t="n">
        <f aca="false">IF(G1017&gt;H1017,G1017,H1017)*$H$1015</f>
        <v>0</v>
      </c>
      <c r="J1017" s="931"/>
      <c r="K1017" s="937"/>
    </row>
    <row r="1018" customFormat="false" ht="15.75" hidden="true" customHeight="false" outlineLevel="0" collapsed="false">
      <c r="A1018" s="937"/>
      <c r="B1018" s="967" t="str">
        <f aca="false">дома!A2198</f>
        <v>Доска естественной влажности, 200*50мм</v>
      </c>
      <c r="C1018" s="968" t="str">
        <f aca="false">дома!B2198</f>
        <v>м3</v>
      </c>
      <c r="D1018" s="967" t="n">
        <f aca="false">дома!C2198</f>
        <v>0.09</v>
      </c>
      <c r="E1018" s="967" t="n">
        <f aca="false">дома!D2198</f>
        <v>6500</v>
      </c>
      <c r="F1018" s="967"/>
      <c r="G1018" s="967" t="n">
        <f aca="false">IF(F1018&gt;0,D1018*F1018,E1018*D1018)</f>
        <v>585</v>
      </c>
      <c r="H1018" s="970" t="n">
        <f aca="false">D1018*E1018*$H$1015*VLOOKUP('Ввод данных'!D547,связи1!A2:B3,2,0)</f>
        <v>0</v>
      </c>
      <c r="I1018" s="936" t="n">
        <f aca="false">IF(G1018&gt;H1018,G1018,H1018)*$H$1015</f>
        <v>0</v>
      </c>
      <c r="J1018" s="931"/>
      <c r="K1018" s="937"/>
    </row>
    <row r="1019" customFormat="false" ht="15.75" hidden="true" customHeight="false" outlineLevel="0" collapsed="false">
      <c r="A1019" s="937"/>
      <c r="B1019" s="967" t="str">
        <f aca="false">дома!A2199</f>
        <v>Бензин для пилы</v>
      </c>
      <c r="C1019" s="968" t="str">
        <f aca="false">дома!B2199</f>
        <v>л</v>
      </c>
      <c r="D1019" s="967" t="n">
        <f aca="false">дома!C2199</f>
        <v>0.63</v>
      </c>
      <c r="E1019" s="967" t="n">
        <f aca="false">дома!D2199</f>
        <v>40</v>
      </c>
      <c r="F1019" s="967"/>
      <c r="G1019" s="967" t="n">
        <f aca="false">IF(F1019&gt;0,D1019*F1019,E1019*D1019)</f>
        <v>25.2</v>
      </c>
      <c r="H1019" s="970" t="n">
        <f aca="false">D1019*E1019*$H$1015*VLOOKUP('Ввод данных'!D547,связи1!A2:B3,2,0)</f>
        <v>0</v>
      </c>
      <c r="I1019" s="936" t="n">
        <f aca="false">IF(G1019&gt;H1019,G1019,H1019)*$H$1015</f>
        <v>0</v>
      </c>
      <c r="J1019" s="931"/>
      <c r="K1019" s="937"/>
    </row>
    <row r="1020" customFormat="false" ht="15.75" hidden="true" customHeight="false" outlineLevel="0" collapsed="false">
      <c r="A1020" s="937"/>
      <c r="B1020" s="967" t="str">
        <f aca="false">дома!A2200</f>
        <v>Масло для пилы</v>
      </c>
      <c r="C1020" s="968" t="str">
        <f aca="false">дома!B2200</f>
        <v>л</v>
      </c>
      <c r="D1020" s="967" t="n">
        <f aca="false">дома!C2200</f>
        <v>0.0525</v>
      </c>
      <c r="E1020" s="967" t="n">
        <f aca="false">дома!D2200</f>
        <v>250</v>
      </c>
      <c r="F1020" s="967"/>
      <c r="G1020" s="967" t="n">
        <f aca="false">IF(F1020&gt;0,D1020*F1020,E1020*D1020)</f>
        <v>13.125</v>
      </c>
      <c r="H1020" s="970" t="n">
        <f aca="false">D1020*E1020*$H$1015*VLOOKUP('Ввод данных'!D547,связи1!A2:B3,2,0)</f>
        <v>0</v>
      </c>
      <c r="I1020" s="936" t="n">
        <f aca="false">IF(G1020&gt;H1020,G1020,H1020)*$H$1015</f>
        <v>0</v>
      </c>
      <c r="J1020" s="931"/>
      <c r="K1020" s="937"/>
    </row>
    <row r="1021" customFormat="false" ht="15.75" hidden="true" customHeight="false" outlineLevel="0" collapsed="false">
      <c r="A1021" s="937"/>
      <c r="B1021" s="967" t="str">
        <f aca="false">дома!A2201</f>
        <v>Цепь для пилы</v>
      </c>
      <c r="C1021" s="968" t="str">
        <f aca="false">дома!B2201</f>
        <v>л</v>
      </c>
      <c r="D1021" s="967" t="n">
        <f aca="false">дома!C2201</f>
        <v>1</v>
      </c>
      <c r="E1021" s="967" t="n">
        <f aca="false">дома!D2201</f>
        <v>800</v>
      </c>
      <c r="F1021" s="967"/>
      <c r="G1021" s="967" t="n">
        <f aca="false">IF(F1021&gt;0,D1021*F1021,E1021*D1021)</f>
        <v>800</v>
      </c>
      <c r="H1021" s="970" t="n">
        <f aca="false">D1021*E1021*$H$1015*VLOOKUP('Ввод данных'!D547,связи1!A2:B3,2,0)</f>
        <v>0</v>
      </c>
      <c r="I1021" s="936" t="n">
        <f aca="false">IF(G1021&gt;H1021,G1021,H1021)*$H$1015</f>
        <v>0</v>
      </c>
      <c r="J1021" s="931"/>
      <c r="K1021" s="937"/>
    </row>
    <row r="1022" customFormat="false" ht="15.75" hidden="true" customHeight="false" outlineLevel="0" collapsed="false">
      <c r="A1022" s="937"/>
      <c r="B1022" s="967" t="str">
        <f aca="false">дома!A2203</f>
        <v>Гидроизоляция жидкая резина 1</v>
      </c>
      <c r="C1022" s="968" t="str">
        <f aca="false">дома!B2203</f>
        <v>кг</v>
      </c>
      <c r="D1022" s="967" t="n">
        <f aca="false">дома!C2203</f>
        <v>0</v>
      </c>
      <c r="E1022" s="967" t="n">
        <f aca="false">дома!D2203</f>
        <v>150</v>
      </c>
      <c r="F1022" s="967"/>
      <c r="G1022" s="967" t="n">
        <f aca="false">IF(F1022&gt;0,D1022*F1022,E1022*D1022)</f>
        <v>0</v>
      </c>
      <c r="H1022" s="970" t="n">
        <f aca="false">D1022*E1022*$H$1015*VLOOKUP('Ввод данных'!D566,связи1!A2:B3,2,0)</f>
        <v>0</v>
      </c>
      <c r="I1022" s="936" t="n">
        <f aca="false">IF(G1022&gt;H1022,G1022,H1022)*$H$1015</f>
        <v>0</v>
      </c>
      <c r="J1022" s="931"/>
      <c r="K1022" s="937"/>
    </row>
    <row r="1023" customFormat="false" ht="15.75" hidden="true" customHeight="false" outlineLevel="0" collapsed="false">
      <c r="A1023" s="937"/>
      <c r="B1023" s="967" t="str">
        <f aca="false">дома!A2204</f>
        <v>Kronospan - OSB-3, 22мм</v>
      </c>
      <c r="C1023" s="968" t="str">
        <f aca="false">дома!B2204</f>
        <v>м2</v>
      </c>
      <c r="D1023" s="967" t="n">
        <f aca="false">дома!C2204</f>
        <v>0</v>
      </c>
      <c r="E1023" s="967" t="n">
        <f aca="false">дома!D2204</f>
        <v>526.666666666667</v>
      </c>
      <c r="F1023" s="967"/>
      <c r="G1023" s="967" t="n">
        <f aca="false">IF(F1023&gt;0,D1023*F1023,E1023*D1023)</f>
        <v>0</v>
      </c>
      <c r="H1023" s="970" t="n">
        <f aca="false">D1023*E1023*$H$1015*VLOOKUP('Ввод данных'!D566,связи1!A2:B3,2,0)</f>
        <v>0</v>
      </c>
      <c r="I1023" s="936" t="n">
        <f aca="false">IF(G1023&gt;H1023,G1023,H1023)*$H$1015</f>
        <v>0</v>
      </c>
      <c r="J1023" s="931"/>
      <c r="K1023" s="937"/>
    </row>
    <row r="1024" customFormat="false" ht="15.75" hidden="true" customHeight="false" outlineLevel="0" collapsed="false">
      <c r="A1024" s="937"/>
      <c r="B1024" s="967" t="str">
        <f aca="false">дома!A2205</f>
        <v>Проф.брус вл. 200*150мм</v>
      </c>
      <c r="C1024" s="968" t="str">
        <f aca="false">дома!B2205</f>
        <v>м3</v>
      </c>
      <c r="D1024" s="967" t="n">
        <f aca="false">дома!C2205</f>
        <v>0</v>
      </c>
      <c r="E1024" s="967" t="n">
        <f aca="false">дома!D2205</f>
        <v>9300</v>
      </c>
      <c r="F1024" s="967"/>
      <c r="G1024" s="967" t="n">
        <f aca="false">IF(F1024&gt;0,D1024*F1024,E1024*D1024)</f>
        <v>0</v>
      </c>
      <c r="H1024" s="970" t="n">
        <f aca="false">D1024*E1024*$H$1015*VLOOKUP('Ввод данных'!D566,связи1!A2:B3,2,0)</f>
        <v>0</v>
      </c>
      <c r="I1024" s="936" t="n">
        <f aca="false">IF(G1024&gt;H1024,G1024,H1024)*$H$1015</f>
        <v>0</v>
      </c>
      <c r="J1024" s="931"/>
      <c r="K1024" s="937"/>
    </row>
    <row r="1025" customFormat="false" ht="15.75" hidden="true" customHeight="false" outlineLevel="0" collapsed="false">
      <c r="A1025" s="937"/>
      <c r="B1025" s="967" t="str">
        <f aca="false">дома!A2206</f>
        <v>Брус клееный проф 2 ламель кедр Шир. 240 выс. 140</v>
      </c>
      <c r="C1025" s="968" t="str">
        <f aca="false">дома!B2206</f>
        <v>м3</v>
      </c>
      <c r="D1025" s="967" t="n">
        <f aca="false">дома!C2206</f>
        <v>0</v>
      </c>
      <c r="E1025" s="967" t="n">
        <f aca="false">дома!D2206</f>
        <v>24000</v>
      </c>
      <c r="F1025" s="967"/>
      <c r="G1025" s="967" t="n">
        <f aca="false">IF(F1025&gt;0,D1025*F1025,E1025*D1025)</f>
        <v>0</v>
      </c>
      <c r="H1025" s="970" t="n">
        <f aca="false">D1025*E1025*$H$1015*VLOOKUP('Ввод данных'!D566,связи1!A2:B3,2,0)</f>
        <v>0</v>
      </c>
      <c r="I1025" s="936" t="n">
        <f aca="false">IF(G1025&gt;H1025,G1025,H1025)*$H$1015</f>
        <v>0</v>
      </c>
      <c r="J1025" s="931"/>
      <c r="K1025" s="937"/>
    </row>
    <row r="1026" customFormat="false" ht="15.75" hidden="true" customHeight="false" outlineLevel="0" collapsed="false">
      <c r="A1026" s="937"/>
      <c r="B1026" s="967" t="str">
        <f aca="false">дома!A2207</f>
        <v>Брус клееный проф 1 ламель кедр Шир. 240 выс. 140</v>
      </c>
      <c r="C1026" s="968" t="str">
        <f aca="false">дома!B2207</f>
        <v>м3</v>
      </c>
      <c r="D1026" s="967" t="n">
        <f aca="false">дома!C2207</f>
        <v>0</v>
      </c>
      <c r="E1026" s="967" t="n">
        <f aca="false">дома!D2207</f>
        <v>24000</v>
      </c>
      <c r="F1026" s="967"/>
      <c r="G1026" s="967" t="n">
        <f aca="false">IF(F1026&gt;0,D1026*F1026,E1026*D1026)</f>
        <v>0</v>
      </c>
      <c r="H1026" s="970" t="n">
        <f aca="false">D1026*E1026*$H$1015*VLOOKUP('Ввод данных'!D566,связи1!A2:B3,2,0)</f>
        <v>0</v>
      </c>
      <c r="I1026" s="936" t="n">
        <f aca="false">IF(G1026&gt;H1026,G1026,H1026)*$H$1015</f>
        <v>0</v>
      </c>
      <c r="J1026" s="931"/>
      <c r="K1026" s="937"/>
    </row>
    <row r="1027" customFormat="false" ht="15.75" hidden="true" customHeight="false" outlineLevel="0" collapsed="false">
      <c r="A1027" s="937"/>
      <c r="B1027" s="967" t="str">
        <f aca="false">дома!A2208</f>
        <v>Клееная накладка на перила шир 240мм</v>
      </c>
      <c r="C1027" s="968" t="str">
        <f aca="false">дома!B2208</f>
        <v>м.п.</v>
      </c>
      <c r="D1027" s="967" t="n">
        <f aca="false">дома!C2208</f>
        <v>0</v>
      </c>
      <c r="E1027" s="967" t="n">
        <f aca="false">дома!D2208</f>
        <v>400</v>
      </c>
      <c r="F1027" s="967"/>
      <c r="G1027" s="967" t="n">
        <f aca="false">IF(F1027&gt;0,D1027*F1027,E1027*D1027)</f>
        <v>0</v>
      </c>
      <c r="H1027" s="970" t="n">
        <f aca="false">D1027*E1027*$H$1015*VLOOKUP('Ввод данных'!D566,связи1!A2:B3,2,0)</f>
        <v>0</v>
      </c>
      <c r="I1027" s="936" t="n">
        <f aca="false">IF(G1027&gt;H1027,G1027,H1027)*$H$1015</f>
        <v>0</v>
      </c>
      <c r="J1027" s="931"/>
      <c r="K1027" s="937"/>
    </row>
    <row r="1028" customFormat="false" ht="15.75" hidden="true" customHeight="false" outlineLevel="0" collapsed="false">
      <c r="A1028" s="937"/>
      <c r="B1028" s="973" t="s">
        <v>2247</v>
      </c>
      <c r="C1028" s="973"/>
      <c r="D1028" s="973"/>
      <c r="E1028" s="973"/>
      <c r="F1028" s="973"/>
      <c r="G1028" s="975" t="n">
        <f aca="false">SUM(G1017:G1027)*H1015</f>
        <v>0</v>
      </c>
      <c r="H1028" s="975" t="n">
        <f aca="false">SUM(H1017:H1027)</f>
        <v>0</v>
      </c>
      <c r="I1028" s="936" t="n">
        <f aca="false">IF(G1028&gt;H1028,G1028,H1028)*$H$1015</f>
        <v>0</v>
      </c>
      <c r="J1028" s="931"/>
      <c r="K1028" s="937"/>
    </row>
    <row r="1029" customFormat="false" ht="15.75" hidden="true" customHeight="false" outlineLevel="0" collapsed="false">
      <c r="A1029" s="937"/>
      <c r="B1029" s="976" t="s">
        <v>2007</v>
      </c>
      <c r="C1029" s="976"/>
      <c r="D1029" s="976"/>
      <c r="E1029" s="976"/>
      <c r="F1029" s="976"/>
      <c r="G1029" s="977"/>
      <c r="H1029" s="994" t="n">
        <f aca="false">H1015</f>
        <v>0</v>
      </c>
      <c r="I1029" s="1026" t="n">
        <f aca="false">H1029</f>
        <v>0</v>
      </c>
      <c r="J1029" s="931"/>
      <c r="K1029" s="937"/>
    </row>
    <row r="1030" customFormat="false" ht="15.75" hidden="true" customHeight="false" outlineLevel="0" collapsed="false">
      <c r="A1030" s="937"/>
      <c r="B1030" s="967" t="str">
        <f aca="false">дома!G2197</f>
        <v>кладка бруса</v>
      </c>
      <c r="C1030" s="968" t="s">
        <v>1043</v>
      </c>
      <c r="D1030" s="967" t="n">
        <f aca="false">дома!I2197</f>
        <v>1.17</v>
      </c>
      <c r="E1030" s="967" t="n">
        <f aca="false">дома!J2197</f>
        <v>4000</v>
      </c>
      <c r="F1030" s="969"/>
      <c r="G1030" s="967" t="n">
        <f aca="false">IF(F1030&gt;0,D1030*F1030,E1030*D1030)</f>
        <v>4680</v>
      </c>
      <c r="H1030" s="970" t="n">
        <f aca="false">D1030*E1030*$H$1015*VLOOKUP('Ввод данных'!D547,связи1!A2:B3,2,0)</f>
        <v>0</v>
      </c>
      <c r="I1030" s="936" t="n">
        <f aca="false">IF(G1030&gt;H1030,G1030,H1030)*$H$1015</f>
        <v>0</v>
      </c>
      <c r="J1030" s="931"/>
      <c r="K1030" s="937"/>
    </row>
    <row r="1031" customFormat="false" ht="15.75" hidden="true" customHeight="false" outlineLevel="0" collapsed="false">
      <c r="A1031" s="937"/>
      <c r="B1031" s="967" t="str">
        <f aca="false">дома!G2198</f>
        <v>Монтаж перекрытий из бруса</v>
      </c>
      <c r="C1031" s="968" t="s">
        <v>820</v>
      </c>
      <c r="D1031" s="967" t="n">
        <f aca="false">дома!I2198</f>
        <v>3</v>
      </c>
      <c r="E1031" s="967" t="n">
        <f aca="false">дома!J2198</f>
        <v>300</v>
      </c>
      <c r="F1031" s="969"/>
      <c r="G1031" s="967" t="n">
        <f aca="false">IF(F1031&gt;0,D1031*F1031,E1031*D1031)</f>
        <v>900</v>
      </c>
      <c r="H1031" s="970" t="n">
        <f aca="false">D1031*E1031*$H$1015*VLOOKUP('Ввод данных'!D547,связи1!A2:B3,2,0)</f>
        <v>0</v>
      </c>
      <c r="I1031" s="936" t="n">
        <f aca="false">IF(G1031&gt;H1031,G1031,H1031)*$H$1015</f>
        <v>0</v>
      </c>
      <c r="J1031" s="931"/>
      <c r="K1031" s="937"/>
    </row>
    <row r="1032" customFormat="false" ht="15.75" hidden="true" customHeight="false" outlineLevel="0" collapsed="false">
      <c r="A1032" s="937"/>
      <c r="B1032" s="967" t="str">
        <f aca="false">дома!G2203</f>
        <v>Гидроизоляция рулонная</v>
      </c>
      <c r="C1032" s="968" t="s">
        <v>820</v>
      </c>
      <c r="D1032" s="967" t="n">
        <f aca="false">дома!I2203</f>
        <v>0</v>
      </c>
      <c r="E1032" s="967" t="n">
        <f aca="false">дома!J2203</f>
        <v>250</v>
      </c>
      <c r="F1032" s="969"/>
      <c r="G1032" s="967" t="n">
        <f aca="false">IF(F1032&gt;0,D1032*F1032,E1032*D1032)</f>
        <v>0</v>
      </c>
      <c r="H1032" s="970" t="n">
        <f aca="false">D1032*E1032*$H$1015*VLOOKUP('Ввод данных'!D566,связи1!A2:B3,2,0)</f>
        <v>0</v>
      </c>
      <c r="I1032" s="936" t="n">
        <f aca="false">IF(G1032&gt;H1032,G1032,H1032)*$H$1015</f>
        <v>0</v>
      </c>
      <c r="J1032" s="931"/>
      <c r="K1032" s="937"/>
    </row>
    <row r="1033" customFormat="false" ht="15.75" hidden="true" customHeight="false" outlineLevel="0" collapsed="false">
      <c r="A1033" s="937"/>
      <c r="B1033" s="967" t="str">
        <f aca="false">дома!G2204</f>
        <v>монтаж OSB пол</v>
      </c>
      <c r="C1033" s="968" t="s">
        <v>820</v>
      </c>
      <c r="D1033" s="967" t="n">
        <f aca="false">дома!I2204</f>
        <v>0</v>
      </c>
      <c r="E1033" s="967" t="n">
        <f aca="false">дома!J2204</f>
        <v>250</v>
      </c>
      <c r="F1033" s="969"/>
      <c r="G1033" s="967" t="n">
        <f aca="false">IF(F1033&gt;0,D1033*F1033,E1033*D1033)</f>
        <v>0</v>
      </c>
      <c r="H1033" s="970" t="n">
        <f aca="false">D1033*E1033*$H$1015*VLOOKUP('Ввод данных'!D566,связи1!A2:B3,2,0)</f>
        <v>0</v>
      </c>
      <c r="I1033" s="936" t="n">
        <f aca="false">IF(G1033&gt;H1033,G1033,H1033)*$H$1015</f>
        <v>0</v>
      </c>
      <c r="J1033" s="931"/>
      <c r="K1033" s="937"/>
    </row>
    <row r="1034" customFormat="false" ht="15.75" hidden="true" customHeight="false" outlineLevel="0" collapsed="false">
      <c r="A1034" s="937"/>
      <c r="B1034" s="967" t="str">
        <f aca="false">дома!G2205</f>
        <v>Монтаж перил</v>
      </c>
      <c r="C1034" s="968" t="s">
        <v>15</v>
      </c>
      <c r="D1034" s="967" t="n">
        <f aca="false">дома!I2205</f>
        <v>0</v>
      </c>
      <c r="E1034" s="967" t="n">
        <f aca="false">дома!J2205</f>
        <v>500</v>
      </c>
      <c r="F1034" s="969"/>
      <c r="G1034" s="967" t="n">
        <f aca="false">IF(F1034&gt;0,D1034*F1034,E1034*D1034)</f>
        <v>0</v>
      </c>
      <c r="H1034" s="970" t="n">
        <f aca="false">D1034*E1034*$H$1015*VLOOKUP('Ввод данных'!D566,связи1!A2:B3,2,0)</f>
        <v>0</v>
      </c>
      <c r="I1034" s="936" t="n">
        <f aca="false">IF(G1034&gt;H1034,G1034,H1034)*$H$1015</f>
        <v>0</v>
      </c>
      <c r="J1034" s="931"/>
      <c r="K1034" s="937"/>
    </row>
    <row r="1035" customFormat="false" ht="15.75" hidden="true" customHeight="false" outlineLevel="0" collapsed="false">
      <c r="A1035" s="937"/>
      <c r="B1035" s="967" t="str">
        <f aca="false">дома!G2206</f>
        <v>Монтаж накладки на перила</v>
      </c>
      <c r="C1035" s="968" t="s">
        <v>15</v>
      </c>
      <c r="D1035" s="967" t="n">
        <f aca="false">дома!I2206</f>
        <v>0</v>
      </c>
      <c r="E1035" s="967" t="n">
        <f aca="false">дома!J2206</f>
        <v>0</v>
      </c>
      <c r="F1035" s="969"/>
      <c r="G1035" s="967" t="n">
        <f aca="false">IF(F1035&gt;0,D1035*F1035,E1035*D1035)</f>
        <v>0</v>
      </c>
      <c r="H1035" s="970" t="n">
        <f aca="false">D1035*E1035*$H$1015*VLOOKUP('Ввод данных'!D566,связи1!A2:B3,2,0)</f>
        <v>0</v>
      </c>
      <c r="I1035" s="936" t="n">
        <f aca="false">IF(G1035&gt;H1035,G1035,H1035)*$H$1015</f>
        <v>0</v>
      </c>
      <c r="J1035" s="931"/>
      <c r="K1035" s="937"/>
    </row>
    <row r="1036" customFormat="false" ht="15.75" hidden="true" customHeight="false" outlineLevel="0" collapsed="false">
      <c r="A1036" s="937"/>
      <c r="B1036" s="974" t="s">
        <v>2248</v>
      </c>
      <c r="C1036" s="974"/>
      <c r="D1036" s="974"/>
      <c r="E1036" s="974"/>
      <c r="F1036" s="974"/>
      <c r="G1036" s="970" t="n">
        <f aca="false">SUM(G1030:G1035)*H1029</f>
        <v>0</v>
      </c>
      <c r="H1036" s="970" t="n">
        <f aca="false">SUM(H1030:H1035)</f>
        <v>0</v>
      </c>
      <c r="I1036" s="936" t="n">
        <f aca="false">IF(G1036&gt;H1036,G1036,H1036)*$H$1015</f>
        <v>0</v>
      </c>
      <c r="J1036" s="931"/>
      <c r="K1036" s="937"/>
    </row>
    <row r="1037" customFormat="false" ht="21" hidden="true" customHeight="false" outlineLevel="0" collapsed="false">
      <c r="A1037" s="937"/>
      <c r="B1037" s="998" t="s">
        <v>186</v>
      </c>
      <c r="C1037" s="998"/>
      <c r="D1037" s="998"/>
      <c r="E1037" s="998"/>
      <c r="F1037" s="999"/>
      <c r="G1037" s="977"/>
      <c r="H1037" s="1000" t="n">
        <f aca="false">дома!Q1115</f>
        <v>0</v>
      </c>
      <c r="I1037" s="1026" t="n">
        <f aca="false">H1037</f>
        <v>0</v>
      </c>
      <c r="J1037" s="931"/>
      <c r="K1037" s="937"/>
    </row>
    <row r="1038" customFormat="false" ht="15.75" hidden="true" customHeight="false" outlineLevel="0" collapsed="false">
      <c r="A1038" s="937"/>
      <c r="B1038" s="1034" t="s">
        <v>2246</v>
      </c>
      <c r="C1038" s="1034"/>
      <c r="D1038" s="1034"/>
      <c r="E1038" s="1034"/>
      <c r="F1038" s="1035"/>
      <c r="G1038" s="977"/>
      <c r="H1038" s="1000" t="n">
        <f aca="false">H1037</f>
        <v>0</v>
      </c>
      <c r="I1038" s="1026" t="n">
        <f aca="false">H1038</f>
        <v>0</v>
      </c>
      <c r="J1038" s="931"/>
      <c r="K1038" s="937"/>
    </row>
    <row r="1039" customFormat="false" ht="15.75" hidden="true" customHeight="false" outlineLevel="0" collapsed="false">
      <c r="A1039" s="937"/>
      <c r="B1039" s="1002" t="str">
        <f aca="false">крыша!A647</f>
        <v>нет</v>
      </c>
      <c r="C1039" s="1003" t="str">
        <f aca="false">крыша!B647</f>
        <v>м3</v>
      </c>
      <c r="D1039" s="953" t="n">
        <f aca="false">крыша!C647</f>
        <v>0</v>
      </c>
      <c r="E1039" s="1004" t="n">
        <f aca="false">крыша!D647</f>
        <v>0</v>
      </c>
      <c r="F1039" s="1004"/>
      <c r="G1039" s="967" t="n">
        <f aca="false">IF(F1039&gt;0,D1039*F1039,E1039*D1039)</f>
        <v>0</v>
      </c>
      <c r="H1039" s="970" t="n">
        <f aca="false">D1039*E1039*$H$1037</f>
        <v>0</v>
      </c>
      <c r="I1039" s="936" t="n">
        <f aca="false">IF(G1039&gt;H1039,G1039,H1039)*$H$1037</f>
        <v>0</v>
      </c>
      <c r="J1039" s="931"/>
      <c r="K1039" s="937"/>
    </row>
    <row r="1040" customFormat="false" ht="15.75" hidden="true" customHeight="false" outlineLevel="0" collapsed="false">
      <c r="A1040" s="937"/>
      <c r="B1040" s="1002" t="str">
        <f aca="false">крыша!A648</f>
        <v>Болты анкерные с гайкой 12,0 х 280          </v>
      </c>
      <c r="C1040" s="1003" t="str">
        <f aca="false">крыша!B648</f>
        <v>шт</v>
      </c>
      <c r="D1040" s="953" t="n">
        <f aca="false">крыша!C648</f>
        <v>36.9990475974507</v>
      </c>
      <c r="E1040" s="1004" t="n">
        <f aca="false">крыша!D648</f>
        <v>27.1</v>
      </c>
      <c r="F1040" s="1004"/>
      <c r="G1040" s="967" t="n">
        <f aca="false">IF(F1040&gt;0,D1040*F1040,E1040*D1040)</f>
        <v>1002.67418989091</v>
      </c>
      <c r="H1040" s="970" t="n">
        <f aca="false">D1040*E1040*$H$1037</f>
        <v>0</v>
      </c>
      <c r="I1040" s="936" t="n">
        <f aca="false">IF(G1040&gt;H1040,G1040,H1040)*$H$1037</f>
        <v>0</v>
      </c>
      <c r="J1040" s="931"/>
      <c r="K1040" s="937"/>
    </row>
    <row r="1041" customFormat="false" ht="15.75" hidden="true" customHeight="false" outlineLevel="0" collapsed="false">
      <c r="A1041" s="937"/>
      <c r="B1041" s="1002" t="str">
        <f aca="false">крыша!A649</f>
        <v>Доска сырая, 150*50мм</v>
      </c>
      <c r="C1041" s="1003" t="str">
        <f aca="false">крыша!B649</f>
        <v>м3</v>
      </c>
      <c r="D1041" s="953" t="n">
        <f aca="false">крыша!C649</f>
        <v>0.09</v>
      </c>
      <c r="E1041" s="1004" t="n">
        <f aca="false">крыша!D649</f>
        <v>6500</v>
      </c>
      <c r="F1041" s="1004"/>
      <c r="G1041" s="967" t="n">
        <f aca="false">IF(F1041&gt;0,D1041*F1041,E1041*D1041)</f>
        <v>585</v>
      </c>
      <c r="H1041" s="970" t="n">
        <f aca="false">D1041*E1041*$H$1037</f>
        <v>0</v>
      </c>
      <c r="I1041" s="936" t="n">
        <f aca="false">IF(G1041&gt;H1041,G1041,H1041)*$H$1037</f>
        <v>0</v>
      </c>
      <c r="J1041" s="931"/>
      <c r="K1041" s="937"/>
    </row>
    <row r="1042" customFormat="false" ht="15.75" hidden="true" customHeight="false" outlineLevel="0" collapsed="false">
      <c r="A1042" s="937"/>
      <c r="B1042" s="1002" t="str">
        <f aca="false">крыша!A650</f>
        <v>бугель, доска </v>
      </c>
      <c r="C1042" s="1003" t="str">
        <f aca="false">крыша!B650</f>
        <v>м3</v>
      </c>
      <c r="D1042" s="953" t="n">
        <f aca="false">крыша!C650</f>
        <v>0</v>
      </c>
      <c r="E1042" s="1004" t="n">
        <f aca="false">крыша!D650</f>
        <v>6500</v>
      </c>
      <c r="F1042" s="1004"/>
      <c r="G1042" s="967" t="n">
        <f aca="false">IF(F1042&gt;0,D1042*F1042,E1042*D1042)</f>
        <v>0</v>
      </c>
      <c r="H1042" s="970" t="n">
        <f aca="false">D1042*E1042*$H$1037</f>
        <v>0</v>
      </c>
      <c r="I1042" s="936" t="n">
        <f aca="false">IF(G1042&gt;H1042,G1042,H1042)*$H$1037</f>
        <v>0</v>
      </c>
      <c r="J1042" s="931"/>
      <c r="K1042" s="937"/>
    </row>
    <row r="1043" customFormat="false" ht="15.75" hidden="true" customHeight="false" outlineLevel="0" collapsed="false">
      <c r="A1043" s="937"/>
      <c r="B1043" s="1002" t="str">
        <f aca="false">крыша!A651</f>
        <v>стойка под конек</v>
      </c>
      <c r="C1043" s="1003" t="str">
        <f aca="false">крыша!B651</f>
        <v>м3</v>
      </c>
      <c r="D1043" s="953" t="n">
        <f aca="false">крыша!C651</f>
        <v>0.0612</v>
      </c>
      <c r="E1043" s="1004" t="n">
        <f aca="false">крыша!D651</f>
        <v>6500</v>
      </c>
      <c r="F1043" s="1004"/>
      <c r="G1043" s="967" t="n">
        <f aca="false">IF(F1043&gt;0,D1043*F1043,E1043*D1043)</f>
        <v>397.8</v>
      </c>
      <c r="H1043" s="970" t="n">
        <f aca="false">D1043*E1043*$H$1037</f>
        <v>0</v>
      </c>
      <c r="I1043" s="936" t="n">
        <f aca="false">IF(G1043&gt;H1043,G1043,H1043)*$H$1037</f>
        <v>0</v>
      </c>
      <c r="J1043" s="931"/>
      <c r="K1043" s="937"/>
    </row>
    <row r="1044" customFormat="false" ht="15.75" hidden="true" customHeight="false" outlineLevel="0" collapsed="false">
      <c r="A1044" s="937"/>
      <c r="B1044" s="1002" t="str">
        <f aca="false">крыша!A652</f>
        <v>Сосна влаж,100*25мм</v>
      </c>
      <c r="C1044" s="1003" t="str">
        <f aca="false">крыша!B652</f>
        <v>м3</v>
      </c>
      <c r="D1044" s="953" t="n">
        <f aca="false">крыша!C652</f>
        <v>0.045</v>
      </c>
      <c r="E1044" s="1004" t="n">
        <f aca="false">крыша!D652</f>
        <v>6500</v>
      </c>
      <c r="F1044" s="1004"/>
      <c r="G1044" s="967" t="n">
        <f aca="false">IF(F1044&gt;0,D1044*F1044,E1044*D1044)</f>
        <v>292.5</v>
      </c>
      <c r="H1044" s="970" t="n">
        <f aca="false">D1044*E1044*$H$1037</f>
        <v>0</v>
      </c>
      <c r="I1044" s="936" t="n">
        <f aca="false">IF(G1044&gt;H1044,G1044,H1044)*$H$1037</f>
        <v>0</v>
      </c>
      <c r="J1044" s="931"/>
      <c r="K1044" s="937"/>
    </row>
    <row r="1045" customFormat="false" ht="15.75" hidden="true" customHeight="false" outlineLevel="0" collapsed="false">
      <c r="A1045" s="937"/>
      <c r="B1045" s="1002" t="str">
        <f aca="false">крыша!A653</f>
        <v>Сосна влаж, 50*50мм</v>
      </c>
      <c r="C1045" s="1003" t="str">
        <f aca="false">крыша!B653</f>
        <v>м3</v>
      </c>
      <c r="D1045" s="953" t="n">
        <f aca="false">крыша!C653</f>
        <v>0.0375</v>
      </c>
      <c r="E1045" s="1004" t="n">
        <f aca="false">крыша!D653</f>
        <v>6500</v>
      </c>
      <c r="F1045" s="1004"/>
      <c r="G1045" s="967" t="n">
        <f aca="false">IF(F1045&gt;0,D1045*F1045,E1045*D1045)</f>
        <v>243.75</v>
      </c>
      <c r="H1045" s="970" t="n">
        <f aca="false">D1045*E1045*$H$1037</f>
        <v>0</v>
      </c>
      <c r="I1045" s="936" t="n">
        <f aca="false">IF(G1045&gt;H1045,G1045,H1045)*$H$1037</f>
        <v>0</v>
      </c>
      <c r="J1045" s="931"/>
      <c r="K1045" s="937"/>
    </row>
    <row r="1046" customFormat="false" ht="15.75" hidden="true" customHeight="false" outlineLevel="0" collapsed="false">
      <c r="A1046" s="937"/>
      <c r="B1046" s="1002" t="str">
        <f aca="false">крыша!A654</f>
        <v>Нет</v>
      </c>
      <c r="C1046" s="1003" t="str">
        <f aca="false">крыша!B654</f>
        <v>м3</v>
      </c>
      <c r="D1046" s="953" t="n">
        <f aca="false">крыша!C654</f>
        <v>0</v>
      </c>
      <c r="E1046" s="1004" t="n">
        <f aca="false">крыша!D654</f>
        <v>0</v>
      </c>
      <c r="F1046" s="1004"/>
      <c r="G1046" s="967" t="n">
        <f aca="false">IF(F1046&gt;0,D1046*F1046,E1046*D1046)</f>
        <v>0</v>
      </c>
      <c r="H1046" s="970" t="n">
        <f aca="false">D1046*E1046*$H$1037</f>
        <v>0</v>
      </c>
      <c r="I1046" s="936" t="n">
        <f aca="false">IF(G1046&gt;H1046,G1046,H1046)*$H$1037</f>
        <v>0</v>
      </c>
      <c r="J1046" s="931"/>
      <c r="K1046" s="937"/>
    </row>
    <row r="1047" customFormat="false" ht="15.75" hidden="true" customHeight="false" outlineLevel="0" collapsed="false">
      <c r="A1047" s="937"/>
      <c r="B1047" s="1002" t="str">
        <f aca="false">крыша!A655</f>
        <v>Гидрокомпенсатор</v>
      </c>
      <c r="C1047" s="1003" t="str">
        <f aca="false">крыша!B655</f>
        <v>шт</v>
      </c>
      <c r="D1047" s="953" t="n">
        <f aca="false">крыша!C655</f>
        <v>0</v>
      </c>
      <c r="E1047" s="1004" t="n">
        <f aca="false">крыша!D655</f>
        <v>450</v>
      </c>
      <c r="F1047" s="1004"/>
      <c r="G1047" s="967" t="n">
        <f aca="false">IF(F1047&gt;0,D1047*F1047,E1047*D1047)</f>
        <v>0</v>
      </c>
      <c r="H1047" s="970" t="n">
        <f aca="false">D1047*E1047*$H$1037</f>
        <v>0</v>
      </c>
      <c r="I1047" s="936" t="n">
        <f aca="false">IF(G1047&gt;H1047,G1047,H1047)*$H$1037</f>
        <v>0</v>
      </c>
      <c r="J1047" s="931"/>
      <c r="K1047" s="937"/>
    </row>
    <row r="1048" customFormat="false" ht="15.75" hidden="true" customHeight="false" outlineLevel="0" collapsed="false">
      <c r="A1048" s="937"/>
      <c r="B1048" s="1002" t="str">
        <f aca="false">крыша!A656</f>
        <v>Универсальная Optima C</v>
      </c>
      <c r="C1048" s="1003" t="str">
        <f aca="false">крыша!B656</f>
        <v>м2</v>
      </c>
      <c r="D1048" s="953" t="n">
        <f aca="false">крыша!C656</f>
        <v>7.2</v>
      </c>
      <c r="E1048" s="1004" t="n">
        <f aca="false">крыша!D656</f>
        <v>19</v>
      </c>
      <c r="F1048" s="1004"/>
      <c r="G1048" s="967" t="n">
        <f aca="false">IF(F1048&gt;0,D1048*F1048,E1048*D1048)</f>
        <v>136.8</v>
      </c>
      <c r="H1048" s="970" t="n">
        <f aca="false">D1048*E1048*$H$1037</f>
        <v>0</v>
      </c>
      <c r="I1048" s="936" t="n">
        <f aca="false">IF(G1048&gt;H1048,G1048,H1048)*$H$1037</f>
        <v>0</v>
      </c>
      <c r="J1048" s="931"/>
      <c r="K1048" s="937"/>
    </row>
    <row r="1049" customFormat="false" ht="15.75" hidden="true" customHeight="false" outlineLevel="0" collapsed="false">
      <c r="A1049" s="937"/>
      <c r="B1049" s="1002" t="str">
        <f aca="false">крыша!A657</f>
        <v>Универсальная Optima C</v>
      </c>
      <c r="C1049" s="1003" t="str">
        <f aca="false">крыша!B657</f>
        <v>м2</v>
      </c>
      <c r="D1049" s="953" t="n">
        <f aca="false">крыша!C657</f>
        <v>0</v>
      </c>
      <c r="E1049" s="1004" t="n">
        <f aca="false">крыша!D657</f>
        <v>20</v>
      </c>
      <c r="F1049" s="1004"/>
      <c r="G1049" s="967" t="n">
        <f aca="false">IF(F1049&gt;0,D1049*F1049,E1049*D1049)</f>
        <v>0</v>
      </c>
      <c r="H1049" s="970" t="n">
        <f aca="false">D1049*E1049*$H$1037</f>
        <v>0</v>
      </c>
      <c r="I1049" s="936" t="n">
        <f aca="false">IF(G1049&gt;H1049,G1049,H1049)*$H$1037</f>
        <v>0</v>
      </c>
      <c r="J1049" s="931"/>
      <c r="K1049" s="937"/>
    </row>
    <row r="1050" customFormat="false" ht="15.75" hidden="true" customHeight="false" outlineLevel="0" collapsed="false">
      <c r="A1050" s="937"/>
      <c r="B1050" s="1002" t="str">
        <f aca="false">крыша!A658</f>
        <v>Плитный,28кг/м3, технониколь, 100мм</v>
      </c>
      <c r="C1050" s="1003" t="str">
        <f aca="false">крыша!B658</f>
        <v>м3</v>
      </c>
      <c r="D1050" s="953" t="n">
        <f aca="false">крыша!C658</f>
        <v>0</v>
      </c>
      <c r="E1050" s="1004" t="n">
        <f aca="false">крыша!D658</f>
        <v>1700</v>
      </c>
      <c r="F1050" s="1004"/>
      <c r="G1050" s="967" t="n">
        <f aca="false">IF(F1050&gt;0,D1050*F1050,E1050*D1050)</f>
        <v>0</v>
      </c>
      <c r="H1050" s="970" t="n">
        <f aca="false">D1050*E1050*$H$1037</f>
        <v>0</v>
      </c>
      <c r="I1050" s="936" t="n">
        <f aca="false">IF(G1050&gt;H1050,G1050,H1050)*$H$1037</f>
        <v>0</v>
      </c>
      <c r="J1050" s="931"/>
      <c r="K1050" s="937"/>
    </row>
    <row r="1051" customFormat="false" ht="15.75" hidden="true" customHeight="false" outlineLevel="0" collapsed="false">
      <c r="A1051" s="937"/>
      <c r="B1051" s="1002" t="str">
        <f aca="false">крыша!A659</f>
        <v>Металлочерепица</v>
      </c>
      <c r="C1051" s="1003" t="str">
        <f aca="false">крыша!B659</f>
        <v>м2</v>
      </c>
      <c r="D1051" s="953" t="n">
        <f aca="false">крыша!C659</f>
        <v>7.2</v>
      </c>
      <c r="E1051" s="1004" t="n">
        <f aca="false">крыша!D659</f>
        <v>250</v>
      </c>
      <c r="F1051" s="1004"/>
      <c r="G1051" s="967" t="n">
        <f aca="false">IF(F1051&gt;0,D1051*F1051,E1051*D1051)</f>
        <v>1800</v>
      </c>
      <c r="H1051" s="970" t="n">
        <f aca="false">D1051*E1051*$H$1037</f>
        <v>0</v>
      </c>
      <c r="I1051" s="936" t="n">
        <f aca="false">IF(G1051&gt;H1051,G1051,H1051)*$H$1037</f>
        <v>0</v>
      </c>
      <c r="J1051" s="931"/>
      <c r="K1051" s="937"/>
    </row>
    <row r="1052" customFormat="false" ht="15.75" hidden="true" customHeight="false" outlineLevel="0" collapsed="false">
      <c r="A1052" s="937"/>
      <c r="B1052" s="1002" t="str">
        <f aca="false">крыша!A660</f>
        <v>Карнизная планка</v>
      </c>
      <c r="C1052" s="1003" t="str">
        <f aca="false">крыша!B660</f>
        <v>м.п.</v>
      </c>
      <c r="D1052" s="953" t="n">
        <f aca="false">крыша!C660</f>
        <v>0</v>
      </c>
      <c r="E1052" s="1004" t="n">
        <f aca="false">крыша!D660</f>
        <v>190</v>
      </c>
      <c r="F1052" s="1004"/>
      <c r="G1052" s="967" t="n">
        <f aca="false">IF(F1052&gt;0,D1052*F1052,E1052*D1052)</f>
        <v>0</v>
      </c>
      <c r="H1052" s="970" t="n">
        <f aca="false">D1052*E1052*$H$1037</f>
        <v>0</v>
      </c>
      <c r="I1052" s="936" t="n">
        <f aca="false">IF(G1052&gt;H1052,G1052,H1052)*$H$1037</f>
        <v>0</v>
      </c>
      <c r="J1052" s="931"/>
      <c r="K1052" s="937"/>
    </row>
    <row r="1053" customFormat="false" ht="15.75" hidden="true" customHeight="false" outlineLevel="0" collapsed="false">
      <c r="A1053" s="937"/>
      <c r="B1053" s="1002" t="str">
        <f aca="false">крыша!A661</f>
        <v>Торцевая планка</v>
      </c>
      <c r="C1053" s="1003" t="str">
        <f aca="false">крыша!B661</f>
        <v>м.п.</v>
      </c>
      <c r="D1053" s="953" t="n">
        <f aca="false">крыша!C661</f>
        <v>0</v>
      </c>
      <c r="E1053" s="1004" t="n">
        <f aca="false">крыша!D661</f>
        <v>190</v>
      </c>
      <c r="F1053" s="1004"/>
      <c r="G1053" s="967" t="n">
        <f aca="false">IF(F1053&gt;0,D1053*F1053,E1053*D1053)</f>
        <v>0</v>
      </c>
      <c r="H1053" s="970" t="n">
        <f aca="false">D1053*E1053*$H$1037</f>
        <v>0</v>
      </c>
      <c r="I1053" s="936" t="n">
        <f aca="false">IF(G1053&gt;H1053,G1053,H1053)*$H$1037</f>
        <v>0</v>
      </c>
      <c r="J1053" s="931"/>
      <c r="K1053" s="937"/>
    </row>
    <row r="1054" customFormat="false" ht="15.75" hidden="true" customHeight="false" outlineLevel="0" collapsed="false">
      <c r="A1054" s="937"/>
      <c r="B1054" s="1002" t="str">
        <f aca="false">крыша!A662</f>
        <v>Конек</v>
      </c>
      <c r="C1054" s="1003" t="str">
        <f aca="false">крыша!B662</f>
        <v>м.п.</v>
      </c>
      <c r="D1054" s="953" t="n">
        <f aca="false">крыша!C662</f>
        <v>0</v>
      </c>
      <c r="E1054" s="1004" t="n">
        <f aca="false">крыша!D662</f>
        <v>200</v>
      </c>
      <c r="F1054" s="1004"/>
      <c r="G1054" s="967" t="n">
        <f aca="false">IF(F1054&gt;0,D1054*F1054,E1054*D1054)</f>
        <v>0</v>
      </c>
      <c r="H1054" s="970" t="n">
        <f aca="false">D1054*E1054*$H$1037</f>
        <v>0</v>
      </c>
      <c r="I1054" s="936" t="n">
        <f aca="false">IF(G1054&gt;H1054,G1054,H1054)*$H$1037</f>
        <v>0</v>
      </c>
      <c r="J1054" s="931"/>
      <c r="K1054" s="937"/>
    </row>
    <row r="1055" customFormat="false" ht="15.75" hidden="true" customHeight="false" outlineLevel="0" collapsed="false">
      <c r="A1055" s="937"/>
      <c r="B1055" s="1002" t="str">
        <f aca="false">крыша!A663</f>
        <v>ондулин</v>
      </c>
      <c r="C1055" s="1003" t="str">
        <f aca="false">крыша!B663</f>
        <v>м2</v>
      </c>
      <c r="D1055" s="953" t="n">
        <f aca="false">крыша!C663</f>
        <v>0</v>
      </c>
      <c r="E1055" s="1004" t="n">
        <f aca="false">крыша!D663</f>
        <v>180</v>
      </c>
      <c r="F1055" s="1004"/>
      <c r="G1055" s="967" t="n">
        <f aca="false">IF(F1055&gt;0,D1055*F1055,E1055*D1055)</f>
        <v>0</v>
      </c>
      <c r="H1055" s="970" t="n">
        <f aca="false">D1055*E1055*$H$1037</f>
        <v>0</v>
      </c>
      <c r="I1055" s="936" t="n">
        <f aca="false">IF(G1055&gt;H1055,G1055,H1055)*$H$1037</f>
        <v>0</v>
      </c>
      <c r="J1055" s="931"/>
      <c r="K1055" s="937"/>
    </row>
    <row r="1056" customFormat="false" ht="15.75" hidden="true" customHeight="false" outlineLevel="0" collapsed="false">
      <c r="A1056" s="937"/>
      <c r="B1056" s="1002" t="str">
        <f aca="false">крыша!A664</f>
        <v>Карнизная планка</v>
      </c>
      <c r="C1056" s="1003" t="str">
        <f aca="false">крыша!B664</f>
        <v>м.п.</v>
      </c>
      <c r="D1056" s="953" t="n">
        <f aca="false">крыша!C664</f>
        <v>0</v>
      </c>
      <c r="E1056" s="1004" t="n">
        <f aca="false">крыша!D664</f>
        <v>190</v>
      </c>
      <c r="F1056" s="1004"/>
      <c r="G1056" s="967" t="n">
        <f aca="false">IF(F1056&gt;0,D1056*F1056,E1056*D1056)</f>
        <v>0</v>
      </c>
      <c r="H1056" s="970" t="n">
        <f aca="false">D1056*E1056*$H$1037</f>
        <v>0</v>
      </c>
      <c r="I1056" s="936" t="n">
        <f aca="false">IF(G1056&gt;H1056,G1056,H1056)*$H$1037</f>
        <v>0</v>
      </c>
      <c r="J1056" s="931"/>
      <c r="K1056" s="937"/>
    </row>
    <row r="1057" customFormat="false" ht="15.75" hidden="true" customHeight="false" outlineLevel="0" collapsed="false">
      <c r="A1057" s="937"/>
      <c r="B1057" s="1002" t="str">
        <f aca="false">крыша!A665</f>
        <v>Торцевая планка</v>
      </c>
      <c r="C1057" s="1003" t="str">
        <f aca="false">крыша!B665</f>
        <v>м.п.</v>
      </c>
      <c r="D1057" s="953" t="n">
        <f aca="false">крыша!C665</f>
        <v>0</v>
      </c>
      <c r="E1057" s="1004" t="n">
        <f aca="false">крыша!D665</f>
        <v>190</v>
      </c>
      <c r="F1057" s="1004"/>
      <c r="G1057" s="967" t="n">
        <f aca="false">IF(F1057&gt;0,D1057*F1057,E1057*D1057)</f>
        <v>0</v>
      </c>
      <c r="H1057" s="970" t="n">
        <f aca="false">D1057*E1057*$H$1037</f>
        <v>0</v>
      </c>
      <c r="I1057" s="936" t="n">
        <f aca="false">IF(G1057&gt;H1057,G1057,H1057)*$H$1037</f>
        <v>0</v>
      </c>
      <c r="J1057" s="931"/>
      <c r="K1057" s="937"/>
    </row>
    <row r="1058" customFormat="false" ht="15.75" hidden="true" customHeight="false" outlineLevel="0" collapsed="false">
      <c r="A1058" s="937"/>
      <c r="B1058" s="1002" t="str">
        <f aca="false">крыша!A666</f>
        <v>Конек</v>
      </c>
      <c r="C1058" s="1003" t="str">
        <f aca="false">крыша!B666</f>
        <v>м.п</v>
      </c>
      <c r="D1058" s="953" t="n">
        <f aca="false">крыша!C666</f>
        <v>0</v>
      </c>
      <c r="E1058" s="1004" t="n">
        <f aca="false">крыша!D666</f>
        <v>200</v>
      </c>
      <c r="F1058" s="1004"/>
      <c r="G1058" s="967" t="n">
        <f aca="false">IF(F1058&gt;0,D1058*F1058,E1058*D1058)</f>
        <v>0</v>
      </c>
      <c r="H1058" s="970" t="n">
        <f aca="false">D1058*E1058*$H$1037</f>
        <v>0</v>
      </c>
      <c r="I1058" s="936" t="n">
        <f aca="false">IF(G1058&gt;H1058,G1058,H1058)*$H$1037</f>
        <v>0</v>
      </c>
      <c r="J1058" s="931"/>
      <c r="K1058" s="937"/>
    </row>
    <row r="1059" customFormat="false" ht="15.75" hidden="true" customHeight="false" outlineLevel="0" collapsed="false">
      <c r="A1059" s="937"/>
      <c r="B1059" s="1002" t="str">
        <f aca="false">крыша!A667</f>
        <v>Ендова нижняя</v>
      </c>
      <c r="C1059" s="1003" t="str">
        <f aca="false">крыша!B667</f>
        <v>м.п.</v>
      </c>
      <c r="D1059" s="953" t="n">
        <f aca="false">крыша!C667</f>
        <v>0</v>
      </c>
      <c r="E1059" s="1004" t="n">
        <f aca="false">крыша!D667</f>
        <v>160</v>
      </c>
      <c r="F1059" s="1004"/>
      <c r="G1059" s="967" t="n">
        <f aca="false">IF(F1059&gt;0,D1059*F1059,E1059*D1059)</f>
        <v>0</v>
      </c>
      <c r="H1059" s="970" t="n">
        <f aca="false">D1059*E1059*$H$1037</f>
        <v>0</v>
      </c>
      <c r="I1059" s="936" t="n">
        <f aca="false">IF(G1059&gt;H1059,G1059,H1059)*$H$1037</f>
        <v>0</v>
      </c>
      <c r="J1059" s="931"/>
      <c r="K1059" s="937"/>
    </row>
    <row r="1060" customFormat="false" ht="15.75" hidden="true" customHeight="false" outlineLevel="0" collapsed="false">
      <c r="A1060" s="937"/>
      <c r="B1060" s="1002" t="str">
        <f aca="false">крыша!A668</f>
        <v>Ендова верхняя</v>
      </c>
      <c r="C1060" s="1003" t="str">
        <f aca="false">крыша!B668</f>
        <v>м.п.</v>
      </c>
      <c r="D1060" s="953" t="n">
        <f aca="false">крыша!C668</f>
        <v>0</v>
      </c>
      <c r="E1060" s="1004" t="n">
        <f aca="false">крыша!D668</f>
        <v>190</v>
      </c>
      <c r="F1060" s="1004"/>
      <c r="G1060" s="967" t="n">
        <f aca="false">IF(F1060&gt;0,D1060*F1060,E1060*D1060)</f>
        <v>0</v>
      </c>
      <c r="H1060" s="970" t="n">
        <f aca="false">D1060*E1060*$H$1037</f>
        <v>0</v>
      </c>
      <c r="I1060" s="936" t="n">
        <f aca="false">IF(G1060&gt;H1060,G1060,H1060)*$H$1037</f>
        <v>0</v>
      </c>
      <c r="J1060" s="931"/>
      <c r="K1060" s="937"/>
    </row>
    <row r="1061" customFormat="false" ht="15.75" hidden="true" customHeight="false" outlineLevel="0" collapsed="false">
      <c r="A1061" s="937"/>
      <c r="B1061" s="1002" t="str">
        <f aca="false">крыша!A669</f>
        <v>Планка примыкания</v>
      </c>
      <c r="C1061" s="1003" t="str">
        <f aca="false">крыша!B669</f>
        <v>м.п.</v>
      </c>
      <c r="D1061" s="953" t="n">
        <f aca="false">крыша!C669</f>
        <v>0</v>
      </c>
      <c r="E1061" s="1004" t="n">
        <f aca="false">крыша!D669</f>
        <v>190</v>
      </c>
      <c r="F1061" s="1004"/>
      <c r="G1061" s="967" t="n">
        <f aca="false">IF(F1061&gt;0,D1061*F1061,E1061*D1061)</f>
        <v>0</v>
      </c>
      <c r="H1061" s="970" t="n">
        <f aca="false">D1061*E1061*$H$1037</f>
        <v>0</v>
      </c>
      <c r="I1061" s="936" t="n">
        <f aca="false">IF(G1061&gt;H1061,G1061,H1061)*$H$1037</f>
        <v>0</v>
      </c>
      <c r="J1061" s="931"/>
      <c r="K1061" s="937"/>
    </row>
    <row r="1062" customFormat="false" ht="15.75" hidden="true" customHeight="false" outlineLevel="0" collapsed="false">
      <c r="A1062" s="937"/>
      <c r="B1062" s="1002" t="str">
        <f aca="false">крыша!A670</f>
        <v>Крепеж для ондулина</v>
      </c>
      <c r="C1062" s="1003" t="str">
        <f aca="false">крыша!B670</f>
        <v>шт</v>
      </c>
      <c r="D1062" s="953" t="n">
        <f aca="false">крыша!C670</f>
        <v>0</v>
      </c>
      <c r="E1062" s="1004" t="n">
        <f aca="false">крыша!D670</f>
        <v>4.5</v>
      </c>
      <c r="F1062" s="1004"/>
      <c r="G1062" s="967" t="n">
        <f aca="false">IF(F1062&gt;0,D1062*F1062,E1062*D1062)</f>
        <v>0</v>
      </c>
      <c r="H1062" s="970" t="n">
        <f aca="false">D1062*E1062*$H$1037</f>
        <v>0</v>
      </c>
      <c r="I1062" s="936" t="n">
        <f aca="false">IF(G1062&gt;H1062,G1062,H1062)*$H$1037</f>
        <v>0</v>
      </c>
      <c r="J1062" s="931"/>
      <c r="K1062" s="937"/>
    </row>
    <row r="1063" customFormat="false" ht="15.75" hidden="true" customHeight="false" outlineLevel="0" collapsed="false">
      <c r="A1063" s="937"/>
      <c r="B1063" s="1002" t="str">
        <f aca="false">крыша!A671</f>
        <v>нет</v>
      </c>
      <c r="C1063" s="1003" t="str">
        <f aca="false">крыша!B671</f>
        <v>м2</v>
      </c>
      <c r="D1063" s="953" t="n">
        <f aca="false">крыша!C671</f>
        <v>116.359004924529</v>
      </c>
      <c r="E1063" s="1004" t="n">
        <f aca="false">крыша!D671</f>
        <v>0</v>
      </c>
      <c r="F1063" s="1004"/>
      <c r="G1063" s="967" t="n">
        <f aca="false">IF(F1063&gt;0,D1063*F1063,E1063*D1063)</f>
        <v>0</v>
      </c>
      <c r="H1063" s="970" t="n">
        <f aca="false">D1063*E1063*$H$1037</f>
        <v>0</v>
      </c>
      <c r="I1063" s="936" t="n">
        <f aca="false">IF(G1063&gt;H1063,G1063,H1063)*$H$1037</f>
        <v>0</v>
      </c>
      <c r="J1063" s="931"/>
      <c r="K1063" s="937"/>
    </row>
    <row r="1064" customFormat="false" ht="15.75" hidden="true" customHeight="false" outlineLevel="0" collapsed="false">
      <c r="A1064" s="937"/>
      <c r="B1064" s="1002" t="str">
        <f aca="false">крыша!A672</f>
        <v>Рядовая черепица</v>
      </c>
      <c r="C1064" s="1003" t="str">
        <f aca="false">крыша!B672</f>
        <v>м2</v>
      </c>
      <c r="D1064" s="953" t="n">
        <f aca="false">крыша!C672</f>
        <v>0</v>
      </c>
      <c r="E1064" s="1004" t="n">
        <f aca="false">крыша!D672</f>
        <v>360</v>
      </c>
      <c r="F1064" s="1004"/>
      <c r="G1064" s="967" t="n">
        <f aca="false">IF(F1064&gt;0,D1064*F1064,E1064*D1064)</f>
        <v>0</v>
      </c>
      <c r="H1064" s="970" t="n">
        <f aca="false">D1064*E1064*$H$1037</f>
        <v>0</v>
      </c>
      <c r="I1064" s="936" t="n">
        <f aca="false">IF(G1064&gt;H1064,G1064,H1064)*$H$1037</f>
        <v>0</v>
      </c>
      <c r="J1064" s="931"/>
      <c r="K1064" s="937"/>
    </row>
    <row r="1065" customFormat="false" ht="15.75" hidden="true" customHeight="false" outlineLevel="0" collapsed="false">
      <c r="A1065" s="937"/>
      <c r="B1065" s="1002" t="str">
        <f aca="false">крыша!A673</f>
        <v>Металл оцинк защита (карниз)</v>
      </c>
      <c r="C1065" s="1003" t="str">
        <f aca="false">крыша!B673</f>
        <v>м.п.</v>
      </c>
      <c r="D1065" s="953" t="n">
        <f aca="false">крыша!C673</f>
        <v>0</v>
      </c>
      <c r="E1065" s="1004" t="n">
        <f aca="false">крыша!D673</f>
        <v>200</v>
      </c>
      <c r="F1065" s="1004"/>
      <c r="G1065" s="967" t="n">
        <f aca="false">IF(F1065&gt;0,D1065*F1065,E1065*D1065)</f>
        <v>0</v>
      </c>
      <c r="H1065" s="970" t="n">
        <f aca="false">D1065*E1065*$H$1037</f>
        <v>0</v>
      </c>
      <c r="I1065" s="936" t="n">
        <f aca="false">IF(G1065&gt;H1065,G1065,H1065)*$H$1037</f>
        <v>0</v>
      </c>
      <c r="J1065" s="931"/>
      <c r="K1065" s="937"/>
    </row>
    <row r="1066" customFormat="false" ht="15.75" hidden="true" customHeight="false" outlineLevel="0" collapsed="false">
      <c r="A1066" s="937"/>
      <c r="B1066" s="1002" t="str">
        <f aca="false">крыша!A674</f>
        <v>Подкладочный ковер</v>
      </c>
      <c r="C1066" s="1003" t="str">
        <f aca="false">крыша!B674</f>
        <v>м.п.</v>
      </c>
      <c r="D1066" s="953" t="n">
        <f aca="false">крыша!C674</f>
        <v>0</v>
      </c>
      <c r="E1066" s="1004" t="n">
        <f aca="false">крыша!D674</f>
        <v>220</v>
      </c>
      <c r="F1066" s="1004"/>
      <c r="G1066" s="967" t="n">
        <f aca="false">IF(F1066&gt;0,D1066*F1066,E1066*D1066)</f>
        <v>0</v>
      </c>
      <c r="H1066" s="970" t="n">
        <f aca="false">D1066*E1066*$H$1037</f>
        <v>0</v>
      </c>
      <c r="I1066" s="936" t="n">
        <f aca="false">IF(G1066&gt;H1066,G1066,H1066)*$H$1037</f>
        <v>0</v>
      </c>
      <c r="J1066" s="931"/>
      <c r="K1066" s="937"/>
    </row>
    <row r="1067" customFormat="false" ht="15.75" hidden="true" customHeight="false" outlineLevel="0" collapsed="false">
      <c r="A1067" s="937"/>
      <c r="B1067" s="1002" t="str">
        <f aca="false">крыша!A675</f>
        <v>Карнизная самоклеющаяся черепица</v>
      </c>
      <c r="C1067" s="1003" t="str">
        <f aca="false">крыша!B675</f>
        <v>м.п.</v>
      </c>
      <c r="D1067" s="953" t="n">
        <f aca="false">крыша!C675</f>
        <v>0</v>
      </c>
      <c r="E1067" s="1004" t="n">
        <f aca="false">крыша!D675</f>
        <v>220</v>
      </c>
      <c r="F1067" s="1004"/>
      <c r="G1067" s="967" t="n">
        <f aca="false">IF(F1067&gt;0,D1067*F1067,E1067*D1067)</f>
        <v>0</v>
      </c>
      <c r="H1067" s="970" t="n">
        <f aca="false">D1067*E1067*$H$1037</f>
        <v>0</v>
      </c>
      <c r="I1067" s="936" t="n">
        <f aca="false">IF(G1067&gt;H1067,G1067,H1067)*$H$1037</f>
        <v>0</v>
      </c>
      <c r="J1067" s="931"/>
      <c r="K1067" s="937"/>
    </row>
    <row r="1068" customFormat="false" ht="15.75" hidden="true" customHeight="false" outlineLevel="0" collapsed="false">
      <c r="A1068" s="937"/>
      <c r="B1068" s="1002" t="str">
        <f aca="false">крыша!A676</f>
        <v>Спец ковер ендова нижняя</v>
      </c>
      <c r="C1068" s="1003" t="str">
        <f aca="false">крыша!B676</f>
        <v>м.п.</v>
      </c>
      <c r="D1068" s="953" t="n">
        <f aca="false">крыша!C676</f>
        <v>0</v>
      </c>
      <c r="E1068" s="1004" t="n">
        <f aca="false">крыша!D676</f>
        <v>200</v>
      </c>
      <c r="F1068" s="1004"/>
      <c r="G1068" s="967" t="n">
        <f aca="false">IF(F1068&gt;0,D1068*F1068,E1068*D1068)</f>
        <v>0</v>
      </c>
      <c r="H1068" s="970" t="n">
        <f aca="false">D1068*E1068*$H$1037</f>
        <v>0</v>
      </c>
      <c r="I1068" s="936" t="n">
        <f aca="false">IF(G1068&gt;H1068,G1068,H1068)*$H$1037</f>
        <v>0</v>
      </c>
      <c r="J1068" s="931"/>
      <c r="K1068" s="937"/>
    </row>
    <row r="1069" customFormat="false" ht="15.75" hidden="true" customHeight="false" outlineLevel="0" collapsed="false">
      <c r="A1069" s="937"/>
      <c r="B1069" s="1002" t="str">
        <f aca="false">крыша!A677</f>
        <v>Коньковой элемент</v>
      </c>
      <c r="C1069" s="1003" t="str">
        <f aca="false">крыша!B677</f>
        <v>м.п.</v>
      </c>
      <c r="D1069" s="953" t="n">
        <f aca="false">крыша!C677</f>
        <v>0</v>
      </c>
      <c r="E1069" s="1004" t="n">
        <f aca="false">крыша!D677</f>
        <v>250</v>
      </c>
      <c r="F1069" s="1004"/>
      <c r="G1069" s="967" t="n">
        <f aca="false">IF(F1069&gt;0,D1069*F1069,E1069*D1069)</f>
        <v>0</v>
      </c>
      <c r="H1069" s="970" t="n">
        <f aca="false">D1069*E1069*$H$1037</f>
        <v>0</v>
      </c>
      <c r="I1069" s="936" t="n">
        <f aca="false">IF(G1069&gt;H1069,G1069,H1069)*$H$1037</f>
        <v>0</v>
      </c>
      <c r="J1069" s="931"/>
      <c r="K1069" s="937"/>
    </row>
    <row r="1070" customFormat="false" ht="15.75" hidden="true" customHeight="false" outlineLevel="0" collapsed="false">
      <c r="A1070" s="937"/>
      <c r="B1070" s="1002" t="str">
        <f aca="false">крыша!A678</f>
        <v>Планка премыкания</v>
      </c>
      <c r="C1070" s="1003" t="str">
        <f aca="false">крыша!B678</f>
        <v>м.п.</v>
      </c>
      <c r="D1070" s="953" t="n">
        <f aca="false">крыша!C678</f>
        <v>0</v>
      </c>
      <c r="E1070" s="1004" t="n">
        <f aca="false">крыша!D678</f>
        <v>200</v>
      </c>
      <c r="F1070" s="1004"/>
      <c r="G1070" s="967" t="n">
        <f aca="false">IF(F1070&gt;0,D1070*F1070,E1070*D1070)</f>
        <v>0</v>
      </c>
      <c r="H1070" s="970" t="n">
        <f aca="false">D1070*E1070*$H$1037</f>
        <v>0</v>
      </c>
      <c r="I1070" s="936" t="n">
        <f aca="false">IF(G1070&gt;H1070,G1070,H1070)*$H$1037</f>
        <v>0</v>
      </c>
      <c r="J1070" s="931"/>
      <c r="K1070" s="937"/>
    </row>
    <row r="1071" customFormat="false" ht="15.75" hidden="true" customHeight="false" outlineLevel="0" collapsed="false">
      <c r="A1071" s="937"/>
      <c r="B1071" s="1002" t="str">
        <f aca="false">крыша!A679</f>
        <v>Гвозди для крепления подкладочного ковра</v>
      </c>
      <c r="C1071" s="1003" t="str">
        <f aca="false">крыша!B679</f>
        <v>шт</v>
      </c>
      <c r="D1071" s="953" t="n">
        <f aca="false">крыша!C679</f>
        <v>0</v>
      </c>
      <c r="E1071" s="1004" t="n">
        <f aca="false">крыша!D679</f>
        <v>0.012</v>
      </c>
      <c r="F1071" s="1004"/>
      <c r="G1071" s="967" t="n">
        <f aca="false">IF(F1071&gt;0,D1071*F1071,E1071*D1071)</f>
        <v>0</v>
      </c>
      <c r="H1071" s="970" t="n">
        <f aca="false">D1071*E1071*$H$1037</f>
        <v>0</v>
      </c>
      <c r="I1071" s="936" t="n">
        <f aca="false">IF(G1071&gt;H1071,G1071,H1071)*$H$1037</f>
        <v>0</v>
      </c>
      <c r="J1071" s="931"/>
      <c r="K1071" s="937"/>
    </row>
    <row r="1072" customFormat="false" ht="15.75" hidden="true" customHeight="false" outlineLevel="0" collapsed="false">
      <c r="A1072" s="937"/>
      <c r="B1072" s="1002" t="str">
        <f aca="false">крыша!A680</f>
        <v>Гвозди для крепления черепицы</v>
      </c>
      <c r="C1072" s="1003" t="str">
        <f aca="false">крыша!B680</f>
        <v>шт</v>
      </c>
      <c r="D1072" s="953" t="n">
        <f aca="false">крыша!C680</f>
        <v>0</v>
      </c>
      <c r="E1072" s="1004" t="n">
        <f aca="false">крыша!D680</f>
        <v>0.25</v>
      </c>
      <c r="F1072" s="1004"/>
      <c r="G1072" s="967" t="n">
        <f aca="false">IF(F1072&gt;0,D1072*F1072,E1072*D1072)</f>
        <v>0</v>
      </c>
      <c r="H1072" s="970" t="n">
        <f aca="false">D1072*E1072*$H$1037</f>
        <v>0</v>
      </c>
      <c r="I1072" s="936" t="n">
        <f aca="false">IF(G1072&gt;H1072,G1072,H1072)*$H$1037</f>
        <v>0</v>
      </c>
      <c r="J1072" s="931"/>
      <c r="K1072" s="937"/>
    </row>
    <row r="1073" customFormat="false" ht="15.75" hidden="true" customHeight="false" outlineLevel="0" collapsed="false">
      <c r="A1073" s="937"/>
      <c r="B1073" s="1002" t="str">
        <f aca="false">крыша!A681</f>
        <v>Клей для монтажа черепицы</v>
      </c>
      <c r="C1073" s="1003" t="str">
        <f aca="false">крыша!B681</f>
        <v>кг</v>
      </c>
      <c r="D1073" s="953" t="n">
        <f aca="false">крыша!C681</f>
        <v>0</v>
      </c>
      <c r="E1073" s="1004" t="n">
        <f aca="false">крыша!D681</f>
        <v>250</v>
      </c>
      <c r="F1073" s="1004"/>
      <c r="G1073" s="967" t="n">
        <f aca="false">IF(F1073&gt;0,D1073*F1073,E1073*D1073)</f>
        <v>0</v>
      </c>
      <c r="H1073" s="970" t="n">
        <f aca="false">D1073*E1073*$H$1037</f>
        <v>0</v>
      </c>
      <c r="I1073" s="936" t="n">
        <f aca="false">IF(G1073&gt;H1073,G1073,H1073)*$H$1037</f>
        <v>0</v>
      </c>
      <c r="J1073" s="931"/>
      <c r="K1073" s="937"/>
    </row>
    <row r="1074" customFormat="false" ht="15.75" hidden="true" customHeight="false" outlineLevel="0" collapsed="false">
      <c r="A1074" s="937"/>
      <c r="B1074" s="1002" t="str">
        <f aca="false">крыша!A682</f>
        <v>желоб</v>
      </c>
      <c r="C1074" s="1003" t="str">
        <f aca="false">крыша!B682</f>
        <v>м.п</v>
      </c>
      <c r="D1074" s="953" t="n">
        <f aca="false">крыша!C682</f>
        <v>0</v>
      </c>
      <c r="E1074" s="1004" t="n">
        <f aca="false">крыша!D682</f>
        <v>300</v>
      </c>
      <c r="F1074" s="1004"/>
      <c r="G1074" s="967" t="n">
        <f aca="false">IF(F1074&gt;0,D1074*F1074,E1074*D1074)</f>
        <v>0</v>
      </c>
      <c r="H1074" s="970" t="n">
        <f aca="false">D1074*E1074*$H$1037</f>
        <v>0</v>
      </c>
      <c r="I1074" s="936" t="n">
        <f aca="false">IF(G1074&gt;H1074,G1074,H1074)*$H$1037</f>
        <v>0</v>
      </c>
      <c r="J1074" s="931"/>
      <c r="K1074" s="937"/>
    </row>
    <row r="1075" customFormat="false" ht="15.75" hidden="true" customHeight="false" outlineLevel="0" collapsed="false">
      <c r="A1075" s="937"/>
      <c r="B1075" s="1002" t="str">
        <f aca="false">крыша!A683</f>
        <v>отвод</v>
      </c>
      <c r="C1075" s="1003" t="str">
        <f aca="false">крыша!B683</f>
        <v>шт</v>
      </c>
      <c r="D1075" s="953" t="n">
        <f aca="false">крыша!C683</f>
        <v>2</v>
      </c>
      <c r="E1075" s="1004" t="n">
        <f aca="false">крыша!D683</f>
        <v>250</v>
      </c>
      <c r="F1075" s="1004"/>
      <c r="G1075" s="967" t="n">
        <f aca="false">IF(F1075&gt;0,D1075*F1075,E1075*D1075)</f>
        <v>500</v>
      </c>
      <c r="H1075" s="970" t="n">
        <f aca="false">D1075*E1075*$H$1037</f>
        <v>0</v>
      </c>
      <c r="I1075" s="936" t="n">
        <f aca="false">IF(G1075&gt;H1075,G1075,H1075)*$H$1037</f>
        <v>0</v>
      </c>
      <c r="J1075" s="931"/>
      <c r="K1075" s="937"/>
    </row>
    <row r="1076" customFormat="false" ht="15.75" hidden="true" customHeight="false" outlineLevel="0" collapsed="false">
      <c r="A1076" s="937"/>
      <c r="B1076" s="1002" t="str">
        <f aca="false">крыша!A684</f>
        <v>труба водосточная</v>
      </c>
      <c r="C1076" s="1003" t="str">
        <f aca="false">крыша!B684</f>
        <v>м.п.</v>
      </c>
      <c r="D1076" s="953" t="n">
        <f aca="false">крыша!C684</f>
        <v>11.34</v>
      </c>
      <c r="E1076" s="1004" t="n">
        <f aca="false">крыша!D684</f>
        <v>300</v>
      </c>
      <c r="F1076" s="1004"/>
      <c r="G1076" s="967" t="n">
        <f aca="false">IF(F1076&gt;0,D1076*F1076,E1076*D1076)</f>
        <v>3402</v>
      </c>
      <c r="H1076" s="970" t="n">
        <f aca="false">D1076*E1076*$H$1037</f>
        <v>0</v>
      </c>
      <c r="I1076" s="936" t="n">
        <f aca="false">IF(G1076&gt;H1076,G1076,H1076)*$H$1037</f>
        <v>0</v>
      </c>
      <c r="J1076" s="931"/>
      <c r="K1076" s="937"/>
    </row>
    <row r="1077" customFormat="false" ht="15.75" hidden="true" customHeight="false" outlineLevel="0" collapsed="false">
      <c r="A1077" s="937"/>
      <c r="B1077" s="1002" t="str">
        <f aca="false">крыша!A685</f>
        <v>заглушка для желоба</v>
      </c>
      <c r="C1077" s="1003" t="str">
        <f aca="false">крыша!B685</f>
        <v>шт</v>
      </c>
      <c r="D1077" s="953" t="n">
        <f aca="false">крыша!C685</f>
        <v>2</v>
      </c>
      <c r="E1077" s="1004" t="n">
        <f aca="false">крыша!D685</f>
        <v>190</v>
      </c>
      <c r="F1077" s="1004"/>
      <c r="G1077" s="967" t="n">
        <f aca="false">IF(F1077&gt;0,D1077*F1077,E1077*D1077)</f>
        <v>380</v>
      </c>
      <c r="H1077" s="970" t="n">
        <f aca="false">D1077*E1077*$H$1037</f>
        <v>0</v>
      </c>
      <c r="I1077" s="936" t="n">
        <f aca="false">IF(G1077&gt;H1077,G1077,H1077)*$H$1037</f>
        <v>0</v>
      </c>
      <c r="J1077" s="931"/>
      <c r="K1077" s="937"/>
    </row>
    <row r="1078" customFormat="false" ht="15.75" hidden="true" customHeight="false" outlineLevel="0" collapsed="false">
      <c r="A1078" s="937"/>
      <c r="B1078" s="1002" t="str">
        <f aca="false">крыша!A686</f>
        <v>соеденитель для желоба</v>
      </c>
      <c r="C1078" s="1003" t="str">
        <f aca="false">крыша!B686</f>
        <v>шт</v>
      </c>
      <c r="D1078" s="953" t="n">
        <f aca="false">крыша!C686</f>
        <v>1</v>
      </c>
      <c r="E1078" s="1004" t="n">
        <f aca="false">крыша!D686</f>
        <v>180</v>
      </c>
      <c r="F1078" s="1004"/>
      <c r="G1078" s="967" t="n">
        <f aca="false">IF(F1078&gt;0,D1078*F1078,E1078*D1078)</f>
        <v>180</v>
      </c>
      <c r="H1078" s="970" t="n">
        <f aca="false">D1078*E1078*$H$1037</f>
        <v>0</v>
      </c>
      <c r="I1078" s="936" t="n">
        <f aca="false">IF(G1078&gt;H1078,G1078,H1078)*$H$1037</f>
        <v>0</v>
      </c>
      <c r="J1078" s="931"/>
      <c r="K1078" s="937"/>
    </row>
    <row r="1079" customFormat="false" ht="15.75" hidden="true" customHeight="false" outlineLevel="0" collapsed="false">
      <c r="A1079" s="937"/>
      <c r="B1079" s="1002" t="str">
        <f aca="false">крыша!A687</f>
        <v>кронштейн для желоба</v>
      </c>
      <c r="C1079" s="1003" t="str">
        <f aca="false">крыша!B687</f>
        <v>шт</v>
      </c>
      <c r="D1079" s="953" t="n">
        <f aca="false">крыша!C687</f>
        <v>4</v>
      </c>
      <c r="E1079" s="1004" t="n">
        <f aca="false">крыша!D687</f>
        <v>130</v>
      </c>
      <c r="F1079" s="1004"/>
      <c r="G1079" s="967" t="n">
        <f aca="false">IF(F1079&gt;0,D1079*F1079,E1079*D1079)</f>
        <v>520</v>
      </c>
      <c r="H1079" s="970" t="n">
        <f aca="false">D1079*E1079*$H$1037</f>
        <v>0</v>
      </c>
      <c r="I1079" s="936" t="n">
        <f aca="false">IF(G1079&gt;H1079,G1079,H1079)*$H$1037</f>
        <v>0</v>
      </c>
      <c r="J1079" s="931"/>
      <c r="K1079" s="937"/>
    </row>
    <row r="1080" customFormat="false" ht="15.75" hidden="true" customHeight="false" outlineLevel="0" collapsed="false">
      <c r="A1080" s="937"/>
      <c r="B1080" s="1002" t="str">
        <f aca="false">крыша!A688</f>
        <v>переход из желоба в трубу</v>
      </c>
      <c r="C1080" s="1003" t="str">
        <f aca="false">крыша!B688</f>
        <v>шт</v>
      </c>
      <c r="D1080" s="953" t="n">
        <f aca="false">крыша!C688</f>
        <v>2</v>
      </c>
      <c r="E1080" s="1004" t="n">
        <f aca="false">крыша!D688</f>
        <v>350</v>
      </c>
      <c r="F1080" s="1004"/>
      <c r="G1080" s="967" t="n">
        <f aca="false">IF(F1080&gt;0,D1080*F1080,E1080*D1080)</f>
        <v>700</v>
      </c>
      <c r="H1080" s="970" t="n">
        <f aca="false">D1080*E1080*$H$1037</f>
        <v>0</v>
      </c>
      <c r="I1080" s="936" t="n">
        <f aca="false">IF(G1080&gt;H1080,G1080,H1080)*$H$1037</f>
        <v>0</v>
      </c>
      <c r="J1080" s="931"/>
      <c r="K1080" s="937"/>
    </row>
    <row r="1081" customFormat="false" ht="15.75" hidden="true" customHeight="false" outlineLevel="0" collapsed="false">
      <c r="A1081" s="937"/>
      <c r="B1081" s="1002" t="str">
        <f aca="false">крыша!A689</f>
        <v>лента дельта мульти бэнд</v>
      </c>
      <c r="C1081" s="1003" t="str">
        <f aca="false">крыша!B689</f>
        <v>шт</v>
      </c>
      <c r="D1081" s="953" t="n">
        <f aca="false">крыша!C689</f>
        <v>0</v>
      </c>
      <c r="E1081" s="1004" t="n">
        <f aca="false">крыша!D689</f>
        <v>1200</v>
      </c>
      <c r="F1081" s="1004"/>
      <c r="G1081" s="967" t="n">
        <f aca="false">IF(F1081&gt;0,D1081*F1081,E1081*D1081)</f>
        <v>0</v>
      </c>
      <c r="H1081" s="970" t="n">
        <f aca="false">D1081*E1081*$H$1037</f>
        <v>0</v>
      </c>
      <c r="I1081" s="936" t="n">
        <f aca="false">IF(G1081&gt;H1081,G1081,H1081)*$H$1037</f>
        <v>0</v>
      </c>
      <c r="J1081" s="931"/>
      <c r="K1081" s="937"/>
    </row>
    <row r="1082" customFormat="false" ht="15.75" hidden="true" customHeight="false" outlineLevel="0" collapsed="false">
      <c r="A1082" s="937"/>
      <c r="B1082" s="1002" t="str">
        <f aca="false">крыша!A690</f>
        <v>лента дельта sb-60</v>
      </c>
      <c r="C1082" s="1003" t="str">
        <f aca="false">крыша!B690</f>
        <v>шт</v>
      </c>
      <c r="D1082" s="953" t="n">
        <f aca="false">крыша!C690</f>
        <v>1</v>
      </c>
      <c r="E1082" s="1004" t="n">
        <f aca="false">крыша!D690</f>
        <v>1100</v>
      </c>
      <c r="F1082" s="1004"/>
      <c r="G1082" s="967" t="n">
        <f aca="false">IF(F1082&gt;0,D1082*F1082,E1082*D1082)</f>
        <v>1100</v>
      </c>
      <c r="H1082" s="970" t="n">
        <f aca="false">D1082*E1082*$H$1037</f>
        <v>0</v>
      </c>
      <c r="I1082" s="936" t="n">
        <f aca="false">IF(G1082&gt;H1082,G1082,H1082)*$H$1037</f>
        <v>0</v>
      </c>
      <c r="J1082" s="931"/>
      <c r="K1082" s="937"/>
    </row>
    <row r="1083" customFormat="false" ht="15.75" hidden="true" customHeight="false" outlineLevel="0" collapsed="false">
      <c r="A1083" s="937"/>
      <c r="B1083" s="1002" t="str">
        <f aca="false">крыша!A691</f>
        <v>проходка кровельная, канализационная</v>
      </c>
      <c r="C1083" s="1003" t="str">
        <f aca="false">крыша!B691</f>
        <v>шт</v>
      </c>
      <c r="D1083" s="953" t="n">
        <f aca="false">крыша!C691</f>
        <v>0</v>
      </c>
      <c r="E1083" s="1004" t="n">
        <f aca="false">крыша!D691</f>
        <v>3500</v>
      </c>
      <c r="F1083" s="1004"/>
      <c r="G1083" s="967" t="n">
        <f aca="false">IF(F1083&gt;0,D1083*F1083,E1083*D1083)</f>
        <v>0</v>
      </c>
      <c r="H1083" s="970" t="n">
        <f aca="false">D1083*E1083*$H$1037</f>
        <v>0</v>
      </c>
      <c r="I1083" s="936" t="n">
        <f aca="false">IF(G1083&gt;H1083,G1083,H1083)*$H$1037</f>
        <v>0</v>
      </c>
      <c r="J1083" s="931"/>
      <c r="K1083" s="937"/>
    </row>
    <row r="1084" customFormat="false" ht="15.75" hidden="true" customHeight="false" outlineLevel="0" collapsed="false">
      <c r="A1084" s="937"/>
      <c r="B1084" s="1002" t="str">
        <f aca="false">крыша!A692</f>
        <v>проходка кровельная, вентиляционная</v>
      </c>
      <c r="C1084" s="1003" t="str">
        <f aca="false">крыша!B692</f>
        <v>шт</v>
      </c>
      <c r="D1084" s="953" t="n">
        <f aca="false">крыша!C692</f>
        <v>0</v>
      </c>
      <c r="E1084" s="1004" t="n">
        <f aca="false">крыша!D692</f>
        <v>3500</v>
      </c>
      <c r="F1084" s="1004"/>
      <c r="G1084" s="967" t="n">
        <f aca="false">IF(F1084&gt;0,D1084*F1084,E1084*D1084)</f>
        <v>0</v>
      </c>
      <c r="H1084" s="970" t="n">
        <f aca="false">D1084*E1084*$H$1037</f>
        <v>0</v>
      </c>
      <c r="I1084" s="936" t="n">
        <f aca="false">IF(G1084&gt;H1084,G1084,H1084)*$H$1037</f>
        <v>0</v>
      </c>
      <c r="J1084" s="931"/>
      <c r="K1084" s="937"/>
    </row>
    <row r="1085" customFormat="false" ht="15.75" hidden="true" customHeight="false" outlineLevel="0" collapsed="false">
      <c r="A1085" s="937"/>
      <c r="B1085" s="1002" t="str">
        <f aca="false">крыша!A693</f>
        <v>проодка кровельная, труба котел</v>
      </c>
      <c r="C1085" s="1003" t="str">
        <f aca="false">крыша!B693</f>
        <v>шт</v>
      </c>
      <c r="D1085" s="953" t="n">
        <f aca="false">крыша!C693</f>
        <v>0</v>
      </c>
      <c r="E1085" s="1004" t="n">
        <f aca="false">крыша!D693</f>
        <v>4500</v>
      </c>
      <c r="F1085" s="1004"/>
      <c r="G1085" s="967" t="n">
        <f aca="false">IF(F1085&gt;0,D1085*F1085,E1085*D1085)</f>
        <v>0</v>
      </c>
      <c r="H1085" s="970" t="n">
        <f aca="false">D1085*E1085*$H$1037</f>
        <v>0</v>
      </c>
      <c r="I1085" s="936" t="n">
        <f aca="false">IF(G1085&gt;H1085,G1085,H1085)*$H$1037</f>
        <v>0</v>
      </c>
      <c r="J1085" s="931"/>
      <c r="K1085" s="937"/>
    </row>
    <row r="1086" customFormat="false" ht="15.75" hidden="true" customHeight="false" outlineLevel="0" collapsed="false">
      <c r="A1086" s="937"/>
      <c r="B1086" s="1002" t="str">
        <f aca="false">крыша!A694</f>
        <v>Кровельный саморез</v>
      </c>
      <c r="C1086" s="1003" t="str">
        <f aca="false">крыша!B694</f>
        <v>шт</v>
      </c>
      <c r="D1086" s="953" t="n">
        <f aca="false">крыша!C694</f>
        <v>86.4</v>
      </c>
      <c r="E1086" s="1004" t="n">
        <f aca="false">крыша!D694</f>
        <v>2</v>
      </c>
      <c r="F1086" s="1004"/>
      <c r="G1086" s="967" t="n">
        <f aca="false">IF(F1086&gt;0,D1086*F1086,E1086*D1086)</f>
        <v>172.8</v>
      </c>
      <c r="H1086" s="970" t="n">
        <f aca="false">D1086*E1086*$H$1037</f>
        <v>0</v>
      </c>
      <c r="I1086" s="936" t="n">
        <f aca="false">IF(G1086&gt;H1086,G1086,H1086)*$H$1037</f>
        <v>0</v>
      </c>
      <c r="J1086" s="931"/>
      <c r="K1086" s="937"/>
    </row>
    <row r="1087" customFormat="false" ht="15.75" hidden="true" customHeight="false" outlineLevel="0" collapsed="false">
      <c r="A1087" s="937"/>
      <c r="B1087" s="1002" t="str">
        <f aca="false">крыша!A695</f>
        <v>Гвозди ершоные 3,4 x 60            </v>
      </c>
      <c r="C1087" s="1003" t="str">
        <f aca="false">крыша!B695</f>
        <v>кг</v>
      </c>
      <c r="D1087" s="953" t="n">
        <f aca="false">крыша!C695</f>
        <v>0.6</v>
      </c>
      <c r="E1087" s="1004" t="n">
        <f aca="false">крыша!D695</f>
        <v>75.51</v>
      </c>
      <c r="F1087" s="1004"/>
      <c r="G1087" s="967" t="n">
        <f aca="false">IF(F1087&gt;0,D1087*F1087,E1087*D1087)</f>
        <v>45.306</v>
      </c>
      <c r="H1087" s="970" t="n">
        <f aca="false">D1087*E1087*$H$1037</f>
        <v>0</v>
      </c>
      <c r="I1087" s="936" t="n">
        <f aca="false">IF(G1087&gt;H1087,G1087,H1087)*$H$1037</f>
        <v>0</v>
      </c>
      <c r="J1087" s="931"/>
      <c r="K1087" s="937"/>
    </row>
    <row r="1088" customFormat="false" ht="15.75" hidden="true" customHeight="false" outlineLevel="0" collapsed="false">
      <c r="A1088" s="937"/>
      <c r="B1088" s="1002" t="str">
        <f aca="false">крыша!A696</f>
        <v>Гвозди ершоные 2,8 х 90            </v>
      </c>
      <c r="C1088" s="1003" t="str">
        <f aca="false">крыша!B696</f>
        <v>кг</v>
      </c>
      <c r="D1088" s="953" t="n">
        <f aca="false">крыша!C696</f>
        <v>0.5661</v>
      </c>
      <c r="E1088" s="1004" t="n">
        <f aca="false">крыша!D696</f>
        <v>76.49</v>
      </c>
      <c r="F1088" s="1004"/>
      <c r="G1088" s="967" t="n">
        <f aca="false">IF(F1088&gt;0,D1088*F1088,E1088*D1088)</f>
        <v>43.300989</v>
      </c>
      <c r="H1088" s="970" t="n">
        <f aca="false">D1088*E1088*$H$1037</f>
        <v>0</v>
      </c>
      <c r="I1088" s="936" t="n">
        <f aca="false">IF(G1088&gt;H1088,G1088,H1088)*$H$1037</f>
        <v>0</v>
      </c>
      <c r="J1088" s="931"/>
      <c r="K1088" s="937"/>
    </row>
    <row r="1089" customFormat="false" ht="15.75" hidden="true" customHeight="false" outlineLevel="0" collapsed="false">
      <c r="A1089" s="937"/>
      <c r="B1089" s="1002" t="str">
        <f aca="false">крыша!A697</f>
        <v>Пластина соеденительная 100х240х2           </v>
      </c>
      <c r="C1089" s="1003" t="str">
        <f aca="false">крыша!B697</f>
        <v>шт</v>
      </c>
      <c r="D1089" s="953" t="n">
        <f aca="false">крыша!C697</f>
        <v>0</v>
      </c>
      <c r="E1089" s="1004" t="n">
        <f aca="false">крыша!D697</f>
        <v>31.54</v>
      </c>
      <c r="F1089" s="1004"/>
      <c r="G1089" s="967" t="n">
        <f aca="false">IF(F1089&gt;0,D1089*F1089,E1089*D1089)</f>
        <v>0</v>
      </c>
      <c r="H1089" s="970" t="n">
        <f aca="false">D1089*E1089*$H$1037</f>
        <v>0</v>
      </c>
      <c r="I1089" s="936" t="n">
        <f aca="false">IF(G1089&gt;H1089,G1089,H1089)*$H$1037</f>
        <v>0</v>
      </c>
      <c r="J1089" s="931"/>
      <c r="K1089" s="937"/>
    </row>
    <row r="1090" customFormat="false" ht="15.75" hidden="true" customHeight="false" outlineLevel="0" collapsed="false">
      <c r="A1090" s="937"/>
      <c r="B1090" s="1002" t="str">
        <f aca="false">крыша!A698</f>
        <v>Уголок усиленный 90х70х55х2,5        </v>
      </c>
      <c r="C1090" s="1003" t="str">
        <f aca="false">крыша!B698</f>
        <v>шт</v>
      </c>
      <c r="D1090" s="953" t="n">
        <f aca="false">крыша!C698</f>
        <v>6</v>
      </c>
      <c r="E1090" s="1004" t="n">
        <f aca="false">крыша!D698</f>
        <v>30</v>
      </c>
      <c r="F1090" s="1004"/>
      <c r="G1090" s="967" t="n">
        <f aca="false">IF(F1090&gt;0,D1090*F1090,E1090*D1090)</f>
        <v>180</v>
      </c>
      <c r="H1090" s="970" t="n">
        <f aca="false">D1090*E1090*$H$1037</f>
        <v>0</v>
      </c>
      <c r="I1090" s="936" t="n">
        <f aca="false">IF(G1090&gt;H1090,G1090,H1090)*$H$1037</f>
        <v>0</v>
      </c>
      <c r="J1090" s="931"/>
      <c r="K1090" s="937"/>
    </row>
    <row r="1091" customFormat="false" ht="15.75" hidden="true" customHeight="false" outlineLevel="0" collapsed="false">
      <c r="A1091" s="937"/>
      <c r="B1091" s="973" t="s">
        <v>2247</v>
      </c>
      <c r="C1091" s="973"/>
      <c r="D1091" s="973"/>
      <c r="E1091" s="973"/>
      <c r="F1091" s="973"/>
      <c r="G1091" s="970" t="n">
        <f aca="false">SUM(G1039:G1090)*H1037</f>
        <v>0</v>
      </c>
      <c r="H1091" s="970" t="n">
        <f aca="false">SUM(H1039:H1090)</f>
        <v>0</v>
      </c>
      <c r="I1091" s="936" t="n">
        <f aca="false">IF(G1091&gt;H1091,G1091,H1091)*$H$1037</f>
        <v>0</v>
      </c>
      <c r="J1091" s="931"/>
      <c r="K1091" s="937"/>
    </row>
    <row r="1092" customFormat="false" ht="15.75" hidden="true" customHeight="false" outlineLevel="0" collapsed="false">
      <c r="A1092" s="937"/>
      <c r="B1092" s="976" t="s">
        <v>2007</v>
      </c>
      <c r="C1092" s="976"/>
      <c r="D1092" s="976"/>
      <c r="E1092" s="976"/>
      <c r="F1092" s="1035"/>
      <c r="G1092" s="977"/>
      <c r="H1092" s="1000" t="n">
        <f aca="false">H1037</f>
        <v>0</v>
      </c>
      <c r="I1092" s="1026" t="n">
        <f aca="false">H1092</f>
        <v>0</v>
      </c>
      <c r="J1092" s="931"/>
      <c r="K1092" s="937"/>
    </row>
    <row r="1093" customFormat="false" ht="15.75" hidden="true" customHeight="false" outlineLevel="0" collapsed="false">
      <c r="A1093" s="937"/>
      <c r="B1093" s="1002" t="str">
        <f aca="false">крыша!G648</f>
        <v>монтаж мауэрлата</v>
      </c>
      <c r="C1093" s="1003" t="str">
        <f aca="false">крыша!H648</f>
        <v>м.п.</v>
      </c>
      <c r="D1093" s="953" t="n">
        <f aca="false">крыша!I648</f>
        <v>0</v>
      </c>
      <c r="E1093" s="1004" t="n">
        <f aca="false">крыша!J648</f>
        <v>250</v>
      </c>
      <c r="F1093" s="1004"/>
      <c r="G1093" s="967" t="n">
        <f aca="false">IF(F1093&gt;0,D1093*F1093,E1093*D1093)</f>
        <v>0</v>
      </c>
      <c r="H1093" s="970" t="n">
        <f aca="false">D1093*E1093*$H$1037</f>
        <v>0</v>
      </c>
      <c r="I1093" s="936" t="n">
        <f aca="false">IF(G1093&gt;H1093,G1093,H1093)*$H$1037</f>
        <v>0</v>
      </c>
      <c r="J1093" s="931"/>
      <c r="K1093" s="937"/>
    </row>
    <row r="1094" customFormat="false" ht="15.75" hidden="true" customHeight="false" outlineLevel="0" collapsed="false">
      <c r="A1094" s="937"/>
      <c r="B1094" s="1002" t="str">
        <f aca="false">крыша!G649</f>
        <v>монтаж стропил</v>
      </c>
      <c r="C1094" s="1003" t="str">
        <f aca="false">крыша!H649</f>
        <v>м2</v>
      </c>
      <c r="D1094" s="953" t="n">
        <f aca="false">крыша!I649</f>
        <v>6</v>
      </c>
      <c r="E1094" s="1004" t="n">
        <f aca="false">крыша!J649</f>
        <v>450</v>
      </c>
      <c r="F1094" s="1004"/>
      <c r="G1094" s="967" t="n">
        <f aca="false">IF(F1094&gt;0,D1094*F1094,E1094*D1094)</f>
        <v>2700</v>
      </c>
      <c r="H1094" s="970" t="n">
        <f aca="false">D1094*E1094*$H$1037</f>
        <v>0</v>
      </c>
      <c r="I1094" s="936" t="n">
        <f aca="false">IF(G1094&gt;H1094,G1094,H1094)*$H$1037</f>
        <v>0</v>
      </c>
      <c r="J1094" s="931"/>
      <c r="K1094" s="937"/>
    </row>
    <row r="1095" customFormat="false" ht="15.75" hidden="true" customHeight="false" outlineLevel="0" collapsed="false">
      <c r="A1095" s="937"/>
      <c r="B1095" s="1002" t="str">
        <f aca="false">крыша!G650</f>
        <v>обрешетка</v>
      </c>
      <c r="C1095" s="1003" t="str">
        <f aca="false">крыша!H650</f>
        <v>м2</v>
      </c>
      <c r="D1095" s="953" t="n">
        <f aca="false">крыша!I650</f>
        <v>6</v>
      </c>
      <c r="E1095" s="1004" t="n">
        <f aca="false">крыша!J650</f>
        <v>100</v>
      </c>
      <c r="F1095" s="1004"/>
      <c r="G1095" s="967" t="n">
        <f aca="false">IF(F1095&gt;0,D1095*F1095,E1095*D1095)</f>
        <v>600</v>
      </c>
      <c r="H1095" s="970" t="n">
        <f aca="false">D1095*E1095*$H$1037</f>
        <v>0</v>
      </c>
      <c r="I1095" s="936" t="n">
        <f aca="false">IF(G1095&gt;H1095,G1095,H1095)*$H$1037</f>
        <v>0</v>
      </c>
      <c r="L1095" s="926"/>
      <c r="M1095" s="926"/>
      <c r="N1095" s="926"/>
    </row>
    <row r="1096" customFormat="false" ht="15.75" hidden="true" customHeight="false" outlineLevel="0" collapsed="false">
      <c r="A1096" s="937"/>
      <c r="B1096" s="1002" t="str">
        <f aca="false">крыша!G651</f>
        <v>контробеш</v>
      </c>
      <c r="C1096" s="1003" t="str">
        <f aca="false">крыша!H651</f>
        <v>м2</v>
      </c>
      <c r="D1096" s="953" t="n">
        <f aca="false">крыша!I651</f>
        <v>6</v>
      </c>
      <c r="E1096" s="1004" t="n">
        <f aca="false">крыша!J651</f>
        <v>100</v>
      </c>
      <c r="F1096" s="1004"/>
      <c r="G1096" s="967" t="n">
        <f aca="false">IF(F1096&gt;0,D1096*F1096,E1096*D1096)</f>
        <v>600</v>
      </c>
      <c r="H1096" s="970" t="n">
        <f aca="false">D1096*E1096*$H$1037</f>
        <v>0</v>
      </c>
      <c r="I1096" s="936" t="n">
        <f aca="false">IF(G1096&gt;H1096,G1096,H1096)*$H$1037</f>
        <v>0</v>
      </c>
      <c r="L1096" s="926"/>
      <c r="M1096" s="926"/>
      <c r="N1096" s="926"/>
    </row>
    <row r="1097" customFormat="false" ht="15.75" hidden="true" customHeight="false" outlineLevel="0" collapsed="false">
      <c r="A1097" s="937"/>
      <c r="B1097" s="1002" t="str">
        <f aca="false">крыша!G652</f>
        <v>Монтаж металлочерепицы</v>
      </c>
      <c r="C1097" s="1003" t="str">
        <f aca="false">крыша!H652</f>
        <v>м2</v>
      </c>
      <c r="D1097" s="953" t="n">
        <f aca="false">крыша!I652</f>
        <v>6</v>
      </c>
      <c r="E1097" s="1004" t="n">
        <f aca="false">крыша!J652</f>
        <v>300</v>
      </c>
      <c r="F1097" s="1004"/>
      <c r="G1097" s="967" t="n">
        <f aca="false">IF(F1097&gt;0,D1097*F1097,E1097*D1097)</f>
        <v>1800</v>
      </c>
      <c r="H1097" s="970" t="n">
        <f aca="false">D1097*E1097*$H$1037</f>
        <v>0</v>
      </c>
      <c r="I1097" s="936" t="n">
        <f aca="false">IF(G1097&gt;H1097,G1097,H1097)*$H$1037</f>
        <v>0</v>
      </c>
      <c r="L1097" s="926"/>
      <c r="M1097" s="926"/>
      <c r="N1097" s="926"/>
    </row>
    <row r="1098" customFormat="false" ht="15.75" hidden="true" customHeight="false" outlineLevel="0" collapsed="false">
      <c r="A1098" s="937"/>
      <c r="B1098" s="1002" t="str">
        <f aca="false">крыша!G653</f>
        <v>Монтаж ондулина</v>
      </c>
      <c r="C1098" s="1003" t="str">
        <f aca="false">крыша!H653</f>
        <v>м2</v>
      </c>
      <c r="D1098" s="953" t="n">
        <f aca="false">крыша!I653</f>
        <v>0</v>
      </c>
      <c r="E1098" s="1004" t="n">
        <f aca="false">крыша!J653</f>
        <v>300</v>
      </c>
      <c r="F1098" s="1004"/>
      <c r="G1098" s="967" t="n">
        <f aca="false">IF(F1098&gt;0,D1098*F1098,E1098*D1098)</f>
        <v>0</v>
      </c>
      <c r="H1098" s="970" t="n">
        <f aca="false">D1098*E1098*$H$1037</f>
        <v>0</v>
      </c>
      <c r="I1098" s="936" t="n">
        <f aca="false">IF(G1098&gt;H1098,G1098,H1098)*$H$1037</f>
        <v>0</v>
      </c>
      <c r="J1098" s="931"/>
      <c r="K1098" s="937"/>
    </row>
    <row r="1099" customFormat="false" ht="15.75" hidden="true" customHeight="false" outlineLevel="0" collapsed="false">
      <c r="A1099" s="937"/>
      <c r="B1099" s="1002" t="str">
        <f aca="false">крыша!G656</f>
        <v>мембрана</v>
      </c>
      <c r="C1099" s="1003" t="str">
        <f aca="false">крыша!H656</f>
        <v>м2</v>
      </c>
      <c r="D1099" s="953" t="n">
        <f aca="false">крыша!I656</f>
        <v>6</v>
      </c>
      <c r="E1099" s="1004" t="n">
        <f aca="false">крыша!J656</f>
        <v>100</v>
      </c>
      <c r="F1099" s="1004"/>
      <c r="G1099" s="967" t="n">
        <f aca="false">IF(F1099&gt;0,D1099*F1099,E1099*D1099)</f>
        <v>600</v>
      </c>
      <c r="H1099" s="970" t="n">
        <f aca="false">D1099*E1099*$H$1037</f>
        <v>0</v>
      </c>
      <c r="I1099" s="936" t="n">
        <f aca="false">IF(G1099&gt;H1099,G1099,H1099)*$H$1037</f>
        <v>0</v>
      </c>
      <c r="J1099" s="931"/>
      <c r="K1099" s="937"/>
    </row>
    <row r="1100" customFormat="false" ht="15.75" hidden="true" customHeight="false" outlineLevel="0" collapsed="false">
      <c r="A1100" s="937"/>
      <c r="B1100" s="1002" t="str">
        <f aca="false">крыша!G657</f>
        <v>пароизоляц</v>
      </c>
      <c r="C1100" s="1003" t="str">
        <f aca="false">крыша!H657</f>
        <v>м2</v>
      </c>
      <c r="D1100" s="953" t="n">
        <f aca="false">крыша!I657</f>
        <v>6</v>
      </c>
      <c r="E1100" s="1004" t="n">
        <f aca="false">крыша!J657</f>
        <v>100</v>
      </c>
      <c r="F1100" s="1004"/>
      <c r="G1100" s="967" t="n">
        <f aca="false">IF(F1100&gt;0,D1100*F1100,E1100*D1100)</f>
        <v>600</v>
      </c>
      <c r="H1100" s="970" t="n">
        <f aca="false">D1100*E1100*$H$1037</f>
        <v>0</v>
      </c>
      <c r="I1100" s="936" t="n">
        <f aca="false">IF(G1100&gt;H1100,G1100,H1100)*$H$1037</f>
        <v>0</v>
      </c>
      <c r="J1100" s="931"/>
      <c r="K1100" s="937"/>
    </row>
    <row r="1101" customFormat="false" ht="15.75" hidden="true" customHeight="false" outlineLevel="0" collapsed="false">
      <c r="A1101" s="937"/>
      <c r="B1101" s="1002" t="str">
        <f aca="false">крыша!G658</f>
        <v>утеплитель</v>
      </c>
      <c r="C1101" s="1003" t="str">
        <f aca="false">крыша!H658</f>
        <v>м2</v>
      </c>
      <c r="D1101" s="953" t="n">
        <f aca="false">крыша!I658</f>
        <v>0</v>
      </c>
      <c r="E1101" s="1004" t="n">
        <f aca="false">крыша!J658</f>
        <v>200</v>
      </c>
      <c r="F1101" s="1004"/>
      <c r="G1101" s="967" t="n">
        <f aca="false">IF(F1101&gt;0,D1101*F1101,E1101*D1101)</f>
        <v>0</v>
      </c>
      <c r="H1101" s="970" t="n">
        <f aca="false">D1101*E1101*$H$1037</f>
        <v>0</v>
      </c>
      <c r="I1101" s="936" t="n">
        <f aca="false">IF(G1101&gt;H1101,G1101,H1101)*$H$1037</f>
        <v>0</v>
      </c>
      <c r="J1101" s="931"/>
      <c r="K1101" s="937"/>
    </row>
    <row r="1102" customFormat="false" ht="15.75" hidden="true" customHeight="false" outlineLevel="0" collapsed="false">
      <c r="A1102" s="937"/>
      <c r="B1102" s="1002" t="str">
        <f aca="false">крыша!G659</f>
        <v>карнизная планка</v>
      </c>
      <c r="C1102" s="1003" t="str">
        <f aca="false">крыша!H659</f>
        <v>м2</v>
      </c>
      <c r="D1102" s="953" t="n">
        <f aca="false">крыша!I659</f>
        <v>0</v>
      </c>
      <c r="E1102" s="1004" t="n">
        <f aca="false">крыша!J659</f>
        <v>100</v>
      </c>
      <c r="F1102" s="1004"/>
      <c r="G1102" s="967" t="n">
        <f aca="false">IF(F1102&gt;0,D1102*F1102,E1102*D1102)</f>
        <v>0</v>
      </c>
      <c r="H1102" s="970" t="n">
        <f aca="false">D1102*E1102*$H$1037</f>
        <v>0</v>
      </c>
      <c r="I1102" s="936" t="n">
        <f aca="false">IF(G1102&gt;H1102,G1102,H1102)*$H$1037</f>
        <v>0</v>
      </c>
      <c r="J1102" s="931"/>
      <c r="K1102" s="937"/>
    </row>
    <row r="1103" customFormat="false" ht="15.75" hidden="true" customHeight="false" outlineLevel="0" collapsed="false">
      <c r="A1103" s="937"/>
      <c r="B1103" s="1002" t="str">
        <f aca="false">крыша!G660</f>
        <v>торцевая планка</v>
      </c>
      <c r="C1103" s="1003" t="str">
        <f aca="false">крыша!H660</f>
        <v>м2</v>
      </c>
      <c r="D1103" s="953" t="n">
        <f aca="false">крыша!I660</f>
        <v>0</v>
      </c>
      <c r="E1103" s="1004" t="n">
        <f aca="false">крыша!J660</f>
        <v>100</v>
      </c>
      <c r="F1103" s="1004"/>
      <c r="G1103" s="967" t="n">
        <f aca="false">IF(F1103&gt;0,D1103*F1103,E1103*D1103)</f>
        <v>0</v>
      </c>
      <c r="H1103" s="970" t="n">
        <f aca="false">D1103*E1103*$H$1037</f>
        <v>0</v>
      </c>
      <c r="I1103" s="936" t="n">
        <f aca="false">IF(G1103&gt;H1103,G1103,H1103)*$H$1037</f>
        <v>0</v>
      </c>
      <c r="J1103" s="931"/>
      <c r="K1103" s="937"/>
    </row>
    <row r="1104" customFormat="false" ht="15.75" hidden="true" customHeight="false" outlineLevel="0" collapsed="false">
      <c r="A1104" s="937"/>
      <c r="B1104" s="1002" t="str">
        <f aca="false">крыша!G661</f>
        <v>конек</v>
      </c>
      <c r="C1104" s="1003" t="str">
        <f aca="false">крыша!H661</f>
        <v>м.п.</v>
      </c>
      <c r="D1104" s="953" t="n">
        <f aca="false">крыша!I661</f>
        <v>0</v>
      </c>
      <c r="E1104" s="1004" t="n">
        <f aca="false">крыша!J661</f>
        <v>300</v>
      </c>
      <c r="F1104" s="1004"/>
      <c r="G1104" s="967" t="n">
        <f aca="false">IF(F1104&gt;0,D1104*F1104,E1104*D1104)</f>
        <v>0</v>
      </c>
      <c r="H1104" s="970" t="n">
        <f aca="false">D1104*E1104*$H$1037</f>
        <v>0</v>
      </c>
      <c r="I1104" s="936" t="n">
        <f aca="false">IF(G1104&gt;H1104,G1104,H1104)*$H$1037</f>
        <v>0</v>
      </c>
      <c r="J1104" s="931"/>
      <c r="K1104" s="937"/>
    </row>
    <row r="1105" customFormat="false" ht="15.75" hidden="true" customHeight="false" outlineLevel="0" collapsed="false">
      <c r="A1105" s="937"/>
      <c r="B1105" s="1002" t="str">
        <f aca="false">крыша!G662</f>
        <v>желоб водосточный</v>
      </c>
      <c r="C1105" s="1003" t="str">
        <f aca="false">крыша!H662</f>
        <v>м.п.</v>
      </c>
      <c r="D1105" s="953" t="n">
        <f aca="false">крыша!I662</f>
        <v>0</v>
      </c>
      <c r="E1105" s="1004" t="n">
        <f aca="false">крыша!J662</f>
        <v>300</v>
      </c>
      <c r="F1105" s="1004"/>
      <c r="G1105" s="967" t="n">
        <f aca="false">IF(F1105&gt;0,D1105*F1105,E1105*D1105)</f>
        <v>0</v>
      </c>
      <c r="H1105" s="970" t="n">
        <f aca="false">D1105*E1105*$H$1037</f>
        <v>0</v>
      </c>
      <c r="I1105" s="936" t="n">
        <f aca="false">IF(G1105&gt;H1105,G1105,H1105)*$H$1037</f>
        <v>0</v>
      </c>
      <c r="J1105" s="931"/>
      <c r="K1105" s="937"/>
    </row>
    <row r="1106" customFormat="false" ht="15.75" hidden="true" customHeight="false" outlineLevel="0" collapsed="false">
      <c r="A1106" s="937"/>
      <c r="B1106" s="1002" t="str">
        <f aca="false">крыша!G663</f>
        <v>труба водосточная</v>
      </c>
      <c r="C1106" s="1003" t="str">
        <f aca="false">крыша!H663</f>
        <v>м.п.</v>
      </c>
      <c r="D1106" s="953" t="n">
        <f aca="false">крыша!I663</f>
        <v>11.34</v>
      </c>
      <c r="E1106" s="1004" t="n">
        <f aca="false">крыша!J663</f>
        <v>300</v>
      </c>
      <c r="F1106" s="1004"/>
      <c r="G1106" s="967" t="n">
        <f aca="false">IF(F1106&gt;0,D1106*F1106,E1106*D1106)</f>
        <v>3402</v>
      </c>
      <c r="H1106" s="970" t="n">
        <f aca="false">D1106*E1106*$H$1037</f>
        <v>0</v>
      </c>
      <c r="I1106" s="936" t="n">
        <f aca="false">IF(G1106&gt;H1106,G1106,H1106)*$H$1037</f>
        <v>0</v>
      </c>
      <c r="J1106" s="931"/>
      <c r="K1106" s="937"/>
    </row>
    <row r="1107" customFormat="false" ht="15.75" hidden="true" customHeight="false" outlineLevel="0" collapsed="false">
      <c r="A1107" s="937"/>
      <c r="B1107" s="1002" t="str">
        <f aca="false">крыша!G664</f>
        <v>Монтаж фанеры/osb</v>
      </c>
      <c r="C1107" s="1003" t="str">
        <f aca="false">крыша!H664</f>
        <v>м2</v>
      </c>
      <c r="D1107" s="953" t="n">
        <f aca="false">крыша!I664</f>
        <v>0</v>
      </c>
      <c r="E1107" s="1004" t="n">
        <f aca="false">крыша!J664</f>
        <v>200</v>
      </c>
      <c r="F1107" s="1004"/>
      <c r="G1107" s="967" t="n">
        <f aca="false">IF(F1107&gt;0,D1107*F1107,E1107*D1107)</f>
        <v>0</v>
      </c>
      <c r="H1107" s="970" t="n">
        <f aca="false">D1107*E1107*$H$1037</f>
        <v>0</v>
      </c>
      <c r="I1107" s="936" t="n">
        <f aca="false">IF(G1107&gt;H1107,G1107,H1107)*$H$1037</f>
        <v>0</v>
      </c>
      <c r="J1107" s="931"/>
      <c r="K1107" s="937"/>
    </row>
    <row r="1108" customFormat="false" ht="15.75" hidden="true" customHeight="false" outlineLevel="0" collapsed="false">
      <c r="A1108" s="937"/>
      <c r="B1108" s="1002" t="str">
        <f aca="false">крыша!G665</f>
        <v>монтаж подкладочного ковра</v>
      </c>
      <c r="C1108" s="1003" t="str">
        <f aca="false">крыша!H665</f>
        <v>м2</v>
      </c>
      <c r="D1108" s="953" t="n">
        <f aca="false">крыша!I665</f>
        <v>0</v>
      </c>
      <c r="E1108" s="1004" t="n">
        <f aca="false">крыша!J665</f>
        <v>150</v>
      </c>
      <c r="F1108" s="1004"/>
      <c r="G1108" s="967" t="n">
        <f aca="false">IF(F1108&gt;0,D1108*F1108,E1108*D1108)</f>
        <v>0</v>
      </c>
      <c r="H1108" s="970" t="n">
        <f aca="false">D1108*E1108*$H$1037</f>
        <v>0</v>
      </c>
      <c r="I1108" s="936" t="n">
        <f aca="false">IF(G1108&gt;H1108,G1108,H1108)*$H$1037</f>
        <v>0</v>
      </c>
      <c r="J1108" s="931"/>
      <c r="K1108" s="937"/>
    </row>
    <row r="1109" customFormat="false" ht="15.75" hidden="true" customHeight="false" outlineLevel="0" collapsed="false">
      <c r="A1109" s="937"/>
      <c r="B1109" s="1002" t="str">
        <f aca="false">крыша!G666</f>
        <v>Монтаж мягкой кровли</v>
      </c>
      <c r="C1109" s="1003" t="str">
        <f aca="false">крыша!H666</f>
        <v>м2</v>
      </c>
      <c r="D1109" s="953" t="n">
        <f aca="false">крыша!I666</f>
        <v>0</v>
      </c>
      <c r="E1109" s="1004" t="n">
        <f aca="false">крыша!J666</f>
        <v>350</v>
      </c>
      <c r="F1109" s="1004"/>
      <c r="G1109" s="967" t="n">
        <f aca="false">IF(F1109&gt;0,D1109*F1109,E1109*D1109)</f>
        <v>0</v>
      </c>
      <c r="H1109" s="970" t="n">
        <f aca="false">D1109*E1109*$H$1037</f>
        <v>0</v>
      </c>
      <c r="I1109" s="936" t="n">
        <f aca="false">IF(G1109&gt;H1109,G1109,H1109)*$H$1037</f>
        <v>0</v>
      </c>
      <c r="J1109" s="931"/>
      <c r="K1109" s="937"/>
    </row>
    <row r="1110" customFormat="false" ht="15.75" hidden="true" customHeight="false" outlineLevel="0" collapsed="false">
      <c r="A1110" s="937"/>
      <c r="B1110" s="973" t="s">
        <v>2248</v>
      </c>
      <c r="C1110" s="973"/>
      <c r="D1110" s="973"/>
      <c r="E1110" s="973"/>
      <c r="F1110" s="973"/>
      <c r="G1110" s="970" t="n">
        <f aca="false">SUM(G1093:G1109)*H1092</f>
        <v>0</v>
      </c>
      <c r="H1110" s="970" t="n">
        <f aca="false">SUM(H1093:H1109)</f>
        <v>0</v>
      </c>
      <c r="I1110" s="936" t="n">
        <f aca="false">IF(G1110&gt;H1110,G1110,H1110)*$H$1037</f>
        <v>0</v>
      </c>
      <c r="J1110" s="931"/>
      <c r="K1110" s="937"/>
    </row>
    <row r="1111" customFormat="false" ht="21" hidden="true" customHeight="false" outlineLevel="0" collapsed="false">
      <c r="A1111" s="937"/>
      <c r="B1111" s="1036" t="s">
        <v>229</v>
      </c>
      <c r="C1111" s="1036"/>
      <c r="D1111" s="1036"/>
      <c r="E1111" s="1036"/>
      <c r="F1111" s="1037"/>
      <c r="G1111" s="977"/>
      <c r="H1111" s="1007" t="n">
        <f aca="false">дома!B1115</f>
        <v>1</v>
      </c>
      <c r="I1111" s="1026" t="n">
        <f aca="false">H1111</f>
        <v>1</v>
      </c>
      <c r="J1111" s="931"/>
      <c r="K1111" s="937"/>
    </row>
    <row r="1112" customFormat="false" ht="15.75" hidden="true" customHeight="false" outlineLevel="0" collapsed="false">
      <c r="A1112" s="931"/>
      <c r="B1112" s="1008" t="s">
        <v>2246</v>
      </c>
      <c r="C1112" s="1008"/>
      <c r="D1112" s="1008"/>
      <c r="E1112" s="1008"/>
      <c r="F1112" s="1013"/>
      <c r="G1112" s="977"/>
      <c r="H1112" s="1009" t="n">
        <f aca="false">H1111</f>
        <v>1</v>
      </c>
      <c r="I1112" s="1026" t="n">
        <f aca="false">H1112</f>
        <v>1</v>
      </c>
      <c r="J1112" s="931"/>
      <c r="K1112" s="937"/>
    </row>
    <row r="1113" customFormat="false" ht="15.75" hidden="true" customHeight="false" outlineLevel="0" collapsed="false">
      <c r="A1113" s="931"/>
      <c r="B1113" s="992" t="str">
        <f aca="false">крыша!A262</f>
        <v>нет</v>
      </c>
      <c r="C1113" s="993" t="str">
        <f aca="false">крыша!B262</f>
        <v>м3</v>
      </c>
      <c r="D1113" s="992" t="n">
        <f aca="false">крыша!C262</f>
        <v>0</v>
      </c>
      <c r="E1113" s="1010" t="n">
        <f aca="false">крыша!D262</f>
        <v>0</v>
      </c>
      <c r="F1113" s="1010"/>
      <c r="G1113" s="967" t="n">
        <f aca="false">IF(F1113&gt;0,D1113*F1113,E1113*D1113)</f>
        <v>0</v>
      </c>
      <c r="H1113" s="975" t="n">
        <f aca="false">D1113*E1113*$H$1112</f>
        <v>0</v>
      </c>
      <c r="I1113" s="936" t="n">
        <f aca="false">IF(G1113&gt;H1113,G1113,H1113)*$H$1111</f>
        <v>0</v>
      </c>
      <c r="J1113" s="931"/>
      <c r="K1113" s="937"/>
    </row>
    <row r="1114" customFormat="false" ht="15.75" hidden="true" customHeight="false" outlineLevel="0" collapsed="false">
      <c r="A1114" s="937"/>
      <c r="B1114" s="992" t="str">
        <f aca="false">крыша!A263</f>
        <v>Болты анкерные с гайкой 12,0 х 280          </v>
      </c>
      <c r="C1114" s="993" t="str">
        <f aca="false">крыша!B263</f>
        <v>шт</v>
      </c>
      <c r="D1114" s="992" t="n">
        <f aca="false">крыша!C263</f>
        <v>36.9990475974507</v>
      </c>
      <c r="E1114" s="1010" t="n">
        <f aca="false">крыша!D263</f>
        <v>27.1</v>
      </c>
      <c r="F1114" s="1010"/>
      <c r="G1114" s="967" t="n">
        <f aca="false">IF(F1114&gt;0,D1114*F1114,E1114*D1114)</f>
        <v>1002.67418989091</v>
      </c>
      <c r="H1114" s="975" t="n">
        <f aca="false">D1114*E1114*$H$1112</f>
        <v>1002.67418989091</v>
      </c>
      <c r="I1114" s="936" t="n">
        <f aca="false">IF(G1114&gt;H1114,G1114,H1114)*$H$1111</f>
        <v>1002.67418989091</v>
      </c>
      <c r="J1114" s="931"/>
      <c r="K1114" s="937"/>
    </row>
    <row r="1115" customFormat="false" ht="15.75" hidden="true" customHeight="false" outlineLevel="0" collapsed="false">
      <c r="A1115" s="937"/>
      <c r="B1115" s="992" t="str">
        <f aca="false">крыша!A264</f>
        <v>Доска сухая, 200*50мм</v>
      </c>
      <c r="C1115" s="993" t="str">
        <f aca="false">крыша!B264</f>
        <v>м3</v>
      </c>
      <c r="D1115" s="992" t="n">
        <f aca="false">крыша!C264</f>
        <v>1.3582236137642</v>
      </c>
      <c r="E1115" s="1010" t="n">
        <f aca="false">крыша!D264</f>
        <v>9000</v>
      </c>
      <c r="F1115" s="1010"/>
      <c r="G1115" s="967" t="n">
        <f aca="false">IF(F1115&gt;0,D1115*F1115,E1115*D1115)</f>
        <v>12224.0125238778</v>
      </c>
      <c r="H1115" s="975" t="n">
        <f aca="false">D1115*E1115*$H$1112</f>
        <v>12224.0125238778</v>
      </c>
      <c r="I1115" s="936" t="n">
        <f aca="false">IF(G1115&gt;H1115,G1115,H1115)*$H$1111</f>
        <v>12224.0125238778</v>
      </c>
      <c r="J1115" s="931"/>
      <c r="K1115" s="937"/>
    </row>
    <row r="1116" customFormat="false" ht="15.75" hidden="true" customHeight="false" outlineLevel="0" collapsed="false">
      <c r="A1116" s="937"/>
      <c r="B1116" s="992" t="str">
        <f aca="false">крыша!A265</f>
        <v>бугель, доска </v>
      </c>
      <c r="C1116" s="993" t="str">
        <f aca="false">крыша!B265</f>
        <v>м3</v>
      </c>
      <c r="D1116" s="992" t="n">
        <f aca="false">крыша!C265</f>
        <v>0.624</v>
      </c>
      <c r="E1116" s="1010" t="n">
        <f aca="false">крыша!D265</f>
        <v>9000</v>
      </c>
      <c r="F1116" s="1010"/>
      <c r="G1116" s="967" t="n">
        <f aca="false">IF(F1116&gt;0,D1116*F1116,E1116*D1116)</f>
        <v>5616</v>
      </c>
      <c r="H1116" s="975" t="n">
        <f aca="false">D1116*E1116*$H$1112</f>
        <v>5616</v>
      </c>
      <c r="I1116" s="936" t="n">
        <f aca="false">IF(G1116&gt;H1116,G1116,H1116)*$H$1111</f>
        <v>5616</v>
      </c>
      <c r="J1116" s="931"/>
      <c r="K1116" s="937"/>
    </row>
    <row r="1117" customFormat="false" ht="15.75" hidden="true" customHeight="false" outlineLevel="0" collapsed="false">
      <c r="A1117" s="937"/>
      <c r="B1117" s="992" t="str">
        <f aca="false">крыша!A266</f>
        <v>стойка под конек</v>
      </c>
      <c r="C1117" s="993" t="str">
        <f aca="false">крыша!B266</f>
        <v>м3</v>
      </c>
      <c r="D1117" s="992" t="n">
        <f aca="false">крыша!C266</f>
        <v>0.75</v>
      </c>
      <c r="E1117" s="1010" t="n">
        <f aca="false">крыша!D266</f>
        <v>9000</v>
      </c>
      <c r="F1117" s="1010"/>
      <c r="G1117" s="967" t="n">
        <f aca="false">IF(F1117&gt;0,D1117*F1117,E1117*D1117)</f>
        <v>6750</v>
      </c>
      <c r="H1117" s="975" t="n">
        <f aca="false">D1117*E1117*$H$1112</f>
        <v>6750</v>
      </c>
      <c r="I1117" s="936" t="n">
        <f aca="false">IF(G1117&gt;H1117,G1117,H1117)*$H$1111</f>
        <v>6750</v>
      </c>
      <c r="J1117" s="931"/>
      <c r="K1117" s="937"/>
    </row>
    <row r="1118" customFormat="false" ht="15.75" hidden="true" customHeight="false" outlineLevel="0" collapsed="false">
      <c r="A1118" s="937"/>
      <c r="B1118" s="992" t="str">
        <f aca="false">крыша!A267</f>
        <v>Сосна влаж,100*25мм</v>
      </c>
      <c r="C1118" s="993" t="str">
        <f aca="false">крыша!B267</f>
        <v>м3</v>
      </c>
      <c r="D1118" s="992" t="n">
        <f aca="false">крыша!C267</f>
        <v>1.05780913567754</v>
      </c>
      <c r="E1118" s="1010" t="n">
        <f aca="false">крыша!D267</f>
        <v>6500</v>
      </c>
      <c r="F1118" s="1010"/>
      <c r="G1118" s="967" t="n">
        <f aca="false">IF(F1118&gt;0,D1118*F1118,E1118*D1118)</f>
        <v>6875.75938190401</v>
      </c>
      <c r="H1118" s="975" t="n">
        <f aca="false">D1118*E1118*$H$1112</f>
        <v>6875.75938190401</v>
      </c>
      <c r="I1118" s="936" t="n">
        <f aca="false">IF(G1118&gt;H1118,G1118,H1118)*$H$1111</f>
        <v>6875.75938190401</v>
      </c>
      <c r="J1118" s="931"/>
      <c r="K1118" s="937"/>
    </row>
    <row r="1119" customFormat="false" ht="15.75" hidden="true" customHeight="false" outlineLevel="0" collapsed="false">
      <c r="A1119" s="937"/>
      <c r="B1119" s="992" t="str">
        <f aca="false">крыша!A268</f>
        <v>Сосна влаж, 50*50мм</v>
      </c>
      <c r="C1119" s="993" t="str">
        <f aca="false">крыша!B268</f>
        <v>шт</v>
      </c>
      <c r="D1119" s="992" t="n">
        <f aca="false">крыша!C268</f>
        <v>0.470137393634462</v>
      </c>
      <c r="E1119" s="1010" t="n">
        <f aca="false">крыша!D268</f>
        <v>6500</v>
      </c>
      <c r="F1119" s="1010"/>
      <c r="G1119" s="967" t="n">
        <f aca="false">IF(F1119&gt;0,D1119*F1119,E1119*D1119)</f>
        <v>3055.893058624</v>
      </c>
      <c r="H1119" s="975" t="n">
        <f aca="false">D1119*E1119*$H$1112</f>
        <v>3055.893058624</v>
      </c>
      <c r="I1119" s="936" t="n">
        <f aca="false">IF(G1119&gt;H1119,G1119,H1119)*$H$1111</f>
        <v>3055.893058624</v>
      </c>
      <c r="J1119" s="931"/>
      <c r="K1119" s="937"/>
    </row>
    <row r="1120" customFormat="false" ht="15.75" hidden="true" customHeight="false" outlineLevel="0" collapsed="false">
      <c r="A1120" s="937"/>
      <c r="B1120" s="992" t="str">
        <f aca="false">крыша!A269</f>
        <v>Нет</v>
      </c>
      <c r="C1120" s="993" t="str">
        <f aca="false">крыша!B269</f>
        <v>м.п.</v>
      </c>
      <c r="D1120" s="992" t="n">
        <f aca="false">крыша!C269</f>
        <v>0</v>
      </c>
      <c r="E1120" s="1010" t="n">
        <f aca="false">крыша!D269</f>
        <v>0</v>
      </c>
      <c r="F1120" s="1010"/>
      <c r="G1120" s="967" t="n">
        <f aca="false">IF(F1120&gt;0,D1120*F1120,E1120*D1120)</f>
        <v>0</v>
      </c>
      <c r="H1120" s="975" t="n">
        <f aca="false">D1120*E1120*$H$1112</f>
        <v>0</v>
      </c>
      <c r="I1120" s="936" t="n">
        <f aca="false">IF(G1120&gt;H1120,G1120,H1120)*$H$1111</f>
        <v>0</v>
      </c>
      <c r="J1120" s="931"/>
      <c r="K1120" s="937"/>
    </row>
    <row r="1121" customFormat="false" ht="15.75" hidden="true" customHeight="false" outlineLevel="0" collapsed="false">
      <c r="A1121" s="937"/>
      <c r="B1121" s="992" t="str">
        <f aca="false">крыша!A270</f>
        <v>Гидрокомпенсатор</v>
      </c>
      <c r="C1121" s="993" t="s">
        <v>1485</v>
      </c>
      <c r="D1121" s="992" t="n">
        <f aca="false">крыша!C270</f>
        <v>0</v>
      </c>
      <c r="E1121" s="1010" t="n">
        <f aca="false">крыша!D270</f>
        <v>450</v>
      </c>
      <c r="F1121" s="1010"/>
      <c r="G1121" s="967" t="n">
        <f aca="false">IF(F1121&gt;0,D1121*F1121,E1121*D1121)</f>
        <v>0</v>
      </c>
      <c r="H1121" s="975" t="n">
        <f aca="false">D1121*E1121*$H$1112</f>
        <v>0</v>
      </c>
      <c r="I1121" s="936" t="n">
        <f aca="false">IF(G1121&gt;H1121,G1121,H1121)*$H$1111</f>
        <v>0</v>
      </c>
      <c r="J1121" s="931"/>
      <c r="K1121" s="937"/>
    </row>
    <row r="1122" customFormat="false" ht="15.75" hidden="true" customHeight="false" outlineLevel="0" collapsed="false">
      <c r="A1122" s="937"/>
      <c r="B1122" s="992" t="str">
        <f aca="false">крыша!A271</f>
        <v>Универсальная Optima C</v>
      </c>
      <c r="C1122" s="993" t="str">
        <f aca="false">крыша!B271</f>
        <v>м2</v>
      </c>
      <c r="D1122" s="992" t="n">
        <f aca="false">крыша!C271</f>
        <v>126.937096281305</v>
      </c>
      <c r="E1122" s="1010" t="n">
        <f aca="false">крыша!D271</f>
        <v>19</v>
      </c>
      <c r="F1122" s="1010"/>
      <c r="G1122" s="967" t="n">
        <f aca="false">IF(F1122&gt;0,D1122*F1122,E1122*D1122)</f>
        <v>2411.80482934479</v>
      </c>
      <c r="H1122" s="975" t="n">
        <f aca="false">D1122*E1122*$H$1112</f>
        <v>2411.80482934479</v>
      </c>
      <c r="I1122" s="936" t="n">
        <f aca="false">IF(G1122&gt;H1122,G1122,H1122)*$H$1111</f>
        <v>2411.80482934479</v>
      </c>
      <c r="J1122" s="931"/>
      <c r="K1122" s="937"/>
    </row>
    <row r="1123" customFormat="false" ht="15.75" hidden="true" customHeight="false" outlineLevel="0" collapsed="false">
      <c r="A1123" s="937"/>
      <c r="B1123" s="992" t="str">
        <f aca="false">крыша!A272</f>
        <v>Универсальная Optima C</v>
      </c>
      <c r="C1123" s="993" t="str">
        <f aca="false">крыша!B272</f>
        <v>м2</v>
      </c>
      <c r="D1123" s="992" t="n">
        <f aca="false">крыша!C272</f>
        <v>116.359004924529</v>
      </c>
      <c r="E1123" s="1010" t="n">
        <f aca="false">крыша!D272</f>
        <v>20</v>
      </c>
      <c r="F1123" s="1010"/>
      <c r="G1123" s="967" t="n">
        <f aca="false">IF(F1123&gt;0,D1123*F1123,E1123*D1123)</f>
        <v>2327.18009849059</v>
      </c>
      <c r="H1123" s="975" t="n">
        <f aca="false">D1123*E1123*$H$1112</f>
        <v>2327.18009849059</v>
      </c>
      <c r="I1123" s="936" t="n">
        <f aca="false">IF(G1123&gt;H1123,G1123,H1123)*$H$1111</f>
        <v>2327.18009849059</v>
      </c>
      <c r="J1123" s="931"/>
      <c r="K1123" s="937"/>
    </row>
    <row r="1124" customFormat="false" ht="15.75" hidden="true" customHeight="false" outlineLevel="0" collapsed="false">
      <c r="A1124" s="937"/>
      <c r="B1124" s="992" t="str">
        <f aca="false">крыша!A273</f>
        <v>Плитный,28кг/м3, технониколь, 100мм</v>
      </c>
      <c r="C1124" s="993" t="str">
        <f aca="false">крыша!B273</f>
        <v>м3</v>
      </c>
      <c r="D1124" s="992" t="n">
        <f aca="false">крыша!C273</f>
        <v>8.60274787268924</v>
      </c>
      <c r="E1124" s="1010" t="n">
        <f aca="false">крыша!D273</f>
        <v>1700</v>
      </c>
      <c r="F1124" s="1010"/>
      <c r="G1124" s="967" t="n">
        <f aca="false">IF(F1124&gt;0,D1124*F1124,E1124*D1124)</f>
        <v>14624.6713835717</v>
      </c>
      <c r="H1124" s="975" t="n">
        <f aca="false">D1124*E1124*$H$1112</f>
        <v>14624.6713835717</v>
      </c>
      <c r="I1124" s="936" t="n">
        <f aca="false">IF(G1124&gt;H1124,G1124,H1124)*$H$1111</f>
        <v>14624.6713835717</v>
      </c>
      <c r="J1124" s="931"/>
      <c r="K1124" s="937"/>
    </row>
    <row r="1125" customFormat="false" ht="15.75" hidden="true" customHeight="false" outlineLevel="0" collapsed="false">
      <c r="A1125" s="937"/>
      <c r="B1125" s="992" t="str">
        <f aca="false">крыша!A274</f>
        <v>Металлочерепица</v>
      </c>
      <c r="C1125" s="993" t="str">
        <f aca="false">крыша!B274</f>
        <v>м2</v>
      </c>
      <c r="D1125" s="992" t="n">
        <f aca="false">крыша!C274</f>
        <v>105.780913567754</v>
      </c>
      <c r="E1125" s="1010" t="n">
        <f aca="false">крыша!D274</f>
        <v>250</v>
      </c>
      <c r="F1125" s="1010"/>
      <c r="G1125" s="967" t="n">
        <f aca="false">IF(F1125&gt;0,D1125*F1125,E1125*D1125)</f>
        <v>26445.2283919385</v>
      </c>
      <c r="H1125" s="975" t="n">
        <f aca="false">D1125*E1125*$H$1112</f>
        <v>26445.2283919385</v>
      </c>
      <c r="I1125" s="936" t="n">
        <f aca="false">IF(G1125&gt;H1125,G1125,H1125)*$H$1111</f>
        <v>26445.2283919385</v>
      </c>
      <c r="J1125" s="931"/>
      <c r="K1125" s="937"/>
    </row>
    <row r="1126" customFormat="false" ht="15.75" hidden="true" customHeight="false" outlineLevel="0" collapsed="false">
      <c r="A1126" s="937"/>
      <c r="B1126" s="992" t="str">
        <f aca="false">крыша!A275</f>
        <v>Карнизная планка</v>
      </c>
      <c r="C1126" s="993" t="str">
        <f aca="false">крыша!B275</f>
        <v>м.п.</v>
      </c>
      <c r="D1126" s="992" t="n">
        <f aca="false">крыша!C275</f>
        <v>18</v>
      </c>
      <c r="E1126" s="1010" t="n">
        <f aca="false">крыша!D275</f>
        <v>190</v>
      </c>
      <c r="F1126" s="1010"/>
      <c r="G1126" s="967" t="n">
        <f aca="false">IF(F1126&gt;0,D1126*F1126,E1126*D1126)</f>
        <v>3420</v>
      </c>
      <c r="H1126" s="975" t="n">
        <f aca="false">D1126*E1126*$H$1112</f>
        <v>3420</v>
      </c>
      <c r="I1126" s="936" t="n">
        <f aca="false">IF(G1126&gt;H1126,G1126,H1126)*$H$1111</f>
        <v>3420</v>
      </c>
      <c r="J1126" s="931"/>
      <c r="K1126" s="937"/>
    </row>
    <row r="1127" customFormat="false" ht="15.75" hidden="true" customHeight="false" outlineLevel="0" collapsed="false">
      <c r="A1127" s="937"/>
      <c r="B1127" s="992" t="str">
        <f aca="false">крыша!A276</f>
        <v>Торцевая планка</v>
      </c>
      <c r="C1127" s="993" t="str">
        <f aca="false">крыша!B276</f>
        <v>м.п.</v>
      </c>
      <c r="D1127" s="992" t="n">
        <f aca="false">крыша!C276</f>
        <v>23.5068696817231</v>
      </c>
      <c r="E1127" s="1010" t="n">
        <f aca="false">крыша!D276</f>
        <v>190</v>
      </c>
      <c r="F1127" s="1010"/>
      <c r="G1127" s="967" t="n">
        <f aca="false">IF(F1127&gt;0,D1127*F1127,E1127*D1127)</f>
        <v>4466.30523952739</v>
      </c>
      <c r="H1127" s="975" t="n">
        <f aca="false">D1127*E1127*$H$1112</f>
        <v>4466.30523952739</v>
      </c>
      <c r="I1127" s="936" t="n">
        <f aca="false">IF(G1127&gt;H1127,G1127,H1127)*$H$1111</f>
        <v>4466.30523952739</v>
      </c>
      <c r="J1127" s="931"/>
      <c r="K1127" s="937"/>
    </row>
    <row r="1128" customFormat="false" ht="15.75" hidden="true" customHeight="false" outlineLevel="0" collapsed="false">
      <c r="A1128" s="937"/>
      <c r="B1128" s="992" t="str">
        <f aca="false">крыша!A277</f>
        <v>Конек</v>
      </c>
      <c r="C1128" s="993" t="str">
        <f aca="false">крыша!B277</f>
        <v>м.п.</v>
      </c>
      <c r="D1128" s="992" t="n">
        <f aca="false">крыша!C277</f>
        <v>9</v>
      </c>
      <c r="E1128" s="1010" t="n">
        <f aca="false">крыша!D277</f>
        <v>200</v>
      </c>
      <c r="F1128" s="1010"/>
      <c r="G1128" s="967" t="n">
        <f aca="false">IF(F1128&gt;0,D1128*F1128,E1128*D1128)</f>
        <v>1800</v>
      </c>
      <c r="H1128" s="975" t="n">
        <f aca="false">D1128*E1128*$H$1112</f>
        <v>1800</v>
      </c>
      <c r="I1128" s="936" t="n">
        <f aca="false">IF(G1128&gt;H1128,G1128,H1128)*$H$1111</f>
        <v>1800</v>
      </c>
      <c r="J1128" s="931"/>
      <c r="K1128" s="937"/>
    </row>
    <row r="1129" customFormat="false" ht="15.75" hidden="true" customHeight="false" outlineLevel="0" collapsed="false">
      <c r="A1129" s="937"/>
      <c r="B1129" s="992" t="str">
        <f aca="false">крыша!A278</f>
        <v>ондулин</v>
      </c>
      <c r="C1129" s="993" t="str">
        <f aca="false">крыша!B278</f>
        <v>м2</v>
      </c>
      <c r="D1129" s="992" t="n">
        <f aca="false">крыша!C278</f>
        <v>0</v>
      </c>
      <c r="E1129" s="1010" t="n">
        <f aca="false">крыша!D278</f>
        <v>180</v>
      </c>
      <c r="F1129" s="1010"/>
      <c r="G1129" s="967" t="n">
        <f aca="false">IF(F1129&gt;0,D1129*F1129,E1129*D1129)</f>
        <v>0</v>
      </c>
      <c r="H1129" s="975" t="n">
        <f aca="false">D1129*E1129*$H$1112</f>
        <v>0</v>
      </c>
      <c r="I1129" s="936" t="n">
        <f aca="false">IF(G1129&gt;H1129,G1129,H1129)*$H$1111</f>
        <v>0</v>
      </c>
      <c r="J1129" s="931"/>
      <c r="K1129" s="937"/>
    </row>
    <row r="1130" customFormat="false" ht="15.75" hidden="true" customHeight="false" outlineLevel="0" collapsed="false">
      <c r="A1130" s="937"/>
      <c r="B1130" s="992" t="str">
        <f aca="false">крыша!A279</f>
        <v>Карнизная планка</v>
      </c>
      <c r="C1130" s="993" t="str">
        <f aca="false">крыша!B279</f>
        <v>м.п.</v>
      </c>
      <c r="D1130" s="992" t="n">
        <f aca="false">крыша!C279</f>
        <v>0</v>
      </c>
      <c r="E1130" s="1010" t="n">
        <f aca="false">крыша!D279</f>
        <v>190</v>
      </c>
      <c r="F1130" s="1010"/>
      <c r="G1130" s="967" t="n">
        <f aca="false">IF(F1130&gt;0,D1130*F1130,E1130*D1130)</f>
        <v>0</v>
      </c>
      <c r="H1130" s="975" t="n">
        <f aca="false">D1130*E1130*$H$1112</f>
        <v>0</v>
      </c>
      <c r="I1130" s="936" t="n">
        <f aca="false">IF(G1130&gt;H1130,G1130,H1130)*$H$1111</f>
        <v>0</v>
      </c>
      <c r="J1130" s="931"/>
      <c r="K1130" s="937"/>
    </row>
    <row r="1131" customFormat="false" ht="15.75" hidden="true" customHeight="false" outlineLevel="0" collapsed="false">
      <c r="A1131" s="937"/>
      <c r="B1131" s="992" t="str">
        <f aca="false">крыша!A280</f>
        <v>Торцевая планка</v>
      </c>
      <c r="C1131" s="993" t="str">
        <f aca="false">крыша!B280</f>
        <v>м.п.</v>
      </c>
      <c r="D1131" s="992" t="n">
        <f aca="false">крыша!C280</f>
        <v>0</v>
      </c>
      <c r="E1131" s="1010" t="n">
        <f aca="false">крыша!D280</f>
        <v>190</v>
      </c>
      <c r="F1131" s="1010"/>
      <c r="G1131" s="967" t="n">
        <f aca="false">IF(F1131&gt;0,D1131*F1131,E1131*D1131)</f>
        <v>0</v>
      </c>
      <c r="H1131" s="975" t="n">
        <f aca="false">D1131*E1131*$H$1112</f>
        <v>0</v>
      </c>
      <c r="I1131" s="936" t="n">
        <f aca="false">IF(G1131&gt;H1131,G1131,H1131)*$H$1111</f>
        <v>0</v>
      </c>
      <c r="J1131" s="931"/>
      <c r="K1131" s="937"/>
    </row>
    <row r="1132" customFormat="false" ht="15.75" hidden="true" customHeight="false" outlineLevel="0" collapsed="false">
      <c r="A1132" s="937"/>
      <c r="B1132" s="992" t="str">
        <f aca="false">крыша!A281</f>
        <v>Конек</v>
      </c>
      <c r="C1132" s="993" t="str">
        <f aca="false">крыша!B281</f>
        <v>м.п</v>
      </c>
      <c r="D1132" s="992" t="n">
        <f aca="false">крыша!C281</f>
        <v>0</v>
      </c>
      <c r="E1132" s="1010" t="n">
        <f aca="false">крыша!D281</f>
        <v>200</v>
      </c>
      <c r="F1132" s="1010"/>
      <c r="G1132" s="967" t="n">
        <f aca="false">IF(F1132&gt;0,D1132*F1132,E1132*D1132)</f>
        <v>0</v>
      </c>
      <c r="H1132" s="975" t="n">
        <f aca="false">D1132*E1132*$H$1112</f>
        <v>0</v>
      </c>
      <c r="I1132" s="936" t="n">
        <f aca="false">IF(G1132&gt;H1132,G1132,H1132)*$H$1111</f>
        <v>0</v>
      </c>
      <c r="J1132" s="931"/>
      <c r="K1132" s="937"/>
    </row>
    <row r="1133" customFormat="false" ht="15.75" hidden="true" customHeight="false" outlineLevel="0" collapsed="false">
      <c r="A1133" s="937"/>
      <c r="B1133" s="992" t="str">
        <f aca="false">крыша!A282</f>
        <v>Ендова нижняя</v>
      </c>
      <c r="C1133" s="993" t="str">
        <f aca="false">крыша!B282</f>
        <v>м.п.</v>
      </c>
      <c r="D1133" s="992" t="n">
        <f aca="false">крыша!C282</f>
        <v>0</v>
      </c>
      <c r="E1133" s="1010" t="n">
        <f aca="false">крыша!D282</f>
        <v>160</v>
      </c>
      <c r="F1133" s="1010"/>
      <c r="G1133" s="967" t="n">
        <f aca="false">IF(F1133&gt;0,D1133*F1133,E1133*D1133)</f>
        <v>0</v>
      </c>
      <c r="H1133" s="975" t="n">
        <f aca="false">D1133*E1133*$H$1112</f>
        <v>0</v>
      </c>
      <c r="I1133" s="936" t="n">
        <f aca="false">IF(G1133&gt;H1133,G1133,H1133)*$H$1111</f>
        <v>0</v>
      </c>
      <c r="J1133" s="931"/>
      <c r="K1133" s="937"/>
    </row>
    <row r="1134" customFormat="false" ht="15.75" hidden="true" customHeight="false" outlineLevel="0" collapsed="false">
      <c r="A1134" s="937"/>
      <c r="B1134" s="992" t="str">
        <f aca="false">крыша!A283</f>
        <v>Ендова верхняя</v>
      </c>
      <c r="C1134" s="993" t="str">
        <f aca="false">крыша!B283</f>
        <v>м.п.</v>
      </c>
      <c r="D1134" s="992" t="n">
        <f aca="false">крыша!C283</f>
        <v>0</v>
      </c>
      <c r="E1134" s="1010" t="n">
        <f aca="false">крыша!D283</f>
        <v>190</v>
      </c>
      <c r="F1134" s="1010"/>
      <c r="G1134" s="967" t="n">
        <f aca="false">IF(F1134&gt;0,D1134*F1134,E1134*D1134)</f>
        <v>0</v>
      </c>
      <c r="H1134" s="975" t="n">
        <f aca="false">D1134*E1134*$H$1112</f>
        <v>0</v>
      </c>
      <c r="I1134" s="936" t="n">
        <f aca="false">IF(G1134&gt;H1134,G1134,H1134)*$H$1111</f>
        <v>0</v>
      </c>
      <c r="J1134" s="931"/>
      <c r="K1134" s="937"/>
    </row>
    <row r="1135" customFormat="false" ht="15.75" hidden="true" customHeight="false" outlineLevel="0" collapsed="false">
      <c r="A1135" s="937"/>
      <c r="B1135" s="992" t="str">
        <f aca="false">крыша!A284</f>
        <v>Планка примыкания</v>
      </c>
      <c r="C1135" s="993" t="str">
        <f aca="false">крыша!B284</f>
        <v>м.п.</v>
      </c>
      <c r="D1135" s="992" t="n">
        <f aca="false">крыша!C284</f>
        <v>0</v>
      </c>
      <c r="E1135" s="1010" t="n">
        <f aca="false">крыша!D284</f>
        <v>190</v>
      </c>
      <c r="F1135" s="1010"/>
      <c r="G1135" s="967" t="n">
        <f aca="false">IF(F1135&gt;0,D1135*F1135,E1135*D1135)</f>
        <v>0</v>
      </c>
      <c r="H1135" s="975" t="n">
        <f aca="false">D1135*E1135*$H$1112</f>
        <v>0</v>
      </c>
      <c r="I1135" s="936" t="n">
        <f aca="false">IF(G1135&gt;H1135,G1135,H1135)*$H$1111</f>
        <v>0</v>
      </c>
      <c r="J1135" s="931"/>
      <c r="K1135" s="937"/>
    </row>
    <row r="1136" customFormat="false" ht="15.75" hidden="true" customHeight="false" outlineLevel="0" collapsed="false">
      <c r="A1136" s="937"/>
      <c r="B1136" s="992" t="str">
        <f aca="false">крыша!A285</f>
        <v>Крепеж для ондулина</v>
      </c>
      <c r="C1136" s="993" t="str">
        <f aca="false">крыша!B285</f>
        <v>шт</v>
      </c>
      <c r="D1136" s="992" t="n">
        <f aca="false">крыша!C285</f>
        <v>0</v>
      </c>
      <c r="E1136" s="1010" t="n">
        <f aca="false">крыша!D285</f>
        <v>4.5</v>
      </c>
      <c r="F1136" s="1010"/>
      <c r="G1136" s="967" t="n">
        <f aca="false">IF(F1136&gt;0,D1136*F1136,E1136*D1136)</f>
        <v>0</v>
      </c>
      <c r="H1136" s="975" t="n">
        <f aca="false">D1136*E1136*$H$1112</f>
        <v>0</v>
      </c>
      <c r="I1136" s="936" t="n">
        <f aca="false">IF(G1136&gt;H1136,G1136,H1136)*$H$1111</f>
        <v>0</v>
      </c>
      <c r="J1136" s="931"/>
      <c r="K1136" s="937"/>
    </row>
    <row r="1137" customFormat="false" ht="15.75" hidden="true" customHeight="false" outlineLevel="0" collapsed="false">
      <c r="A1137" s="937"/>
      <c r="B1137" s="992" t="str">
        <f aca="false">крыша!A286</f>
        <v>нет</v>
      </c>
      <c r="C1137" s="993" t="str">
        <f aca="false">крыша!B286</f>
        <v>м2</v>
      </c>
      <c r="D1137" s="992" t="n">
        <f aca="false">крыша!C286</f>
        <v>116.359004924529</v>
      </c>
      <c r="E1137" s="1010" t="n">
        <f aca="false">крыша!D286</f>
        <v>0</v>
      </c>
      <c r="F1137" s="1010"/>
      <c r="G1137" s="967" t="n">
        <f aca="false">IF(F1137&gt;0,D1137*F1137,E1137*D1137)</f>
        <v>0</v>
      </c>
      <c r="H1137" s="975" t="n">
        <f aca="false">D1137*E1137*$H$1112</f>
        <v>0</v>
      </c>
      <c r="I1137" s="936" t="n">
        <f aca="false">IF(G1137&gt;H1137,G1137,H1137)*$H$1111</f>
        <v>0</v>
      </c>
      <c r="J1137" s="931"/>
      <c r="K1137" s="937"/>
    </row>
    <row r="1138" customFormat="false" ht="15.75" hidden="true" customHeight="false" outlineLevel="0" collapsed="false">
      <c r="A1138" s="937"/>
      <c r="B1138" s="992" t="str">
        <f aca="false">крыша!A287</f>
        <v>Рядовая черепица</v>
      </c>
      <c r="C1138" s="993" t="str">
        <f aca="false">крыша!B287</f>
        <v>м2</v>
      </c>
      <c r="D1138" s="992" t="n">
        <f aca="false">крыша!C287</f>
        <v>0</v>
      </c>
      <c r="E1138" s="1010" t="n">
        <f aca="false">крыша!D287</f>
        <v>360</v>
      </c>
      <c r="F1138" s="1010"/>
      <c r="G1138" s="967" t="n">
        <f aca="false">IF(F1138&gt;0,D1138*F1138,E1138*D1138)</f>
        <v>0</v>
      </c>
      <c r="H1138" s="975" t="n">
        <f aca="false">D1138*E1138*$H$1112</f>
        <v>0</v>
      </c>
      <c r="I1138" s="936" t="n">
        <f aca="false">IF(G1138&gt;H1138,G1138,H1138)*$H$1111</f>
        <v>0</v>
      </c>
      <c r="J1138" s="931"/>
      <c r="K1138" s="937"/>
    </row>
    <row r="1139" customFormat="false" ht="15.75" hidden="true" customHeight="false" outlineLevel="0" collapsed="false">
      <c r="A1139" s="937"/>
      <c r="B1139" s="992" t="str">
        <f aca="false">крыша!A288</f>
        <v>Металл оцинк защита (карниз)</v>
      </c>
      <c r="C1139" s="993" t="str">
        <f aca="false">крыша!B288</f>
        <v>м.п.</v>
      </c>
      <c r="D1139" s="992" t="n">
        <f aca="false">крыша!C288</f>
        <v>0</v>
      </c>
      <c r="E1139" s="1010" t="n">
        <f aca="false">крыша!D288</f>
        <v>200</v>
      </c>
      <c r="F1139" s="1010"/>
      <c r="G1139" s="967" t="n">
        <f aca="false">IF(F1139&gt;0,D1139*F1139,E1139*D1139)</f>
        <v>0</v>
      </c>
      <c r="H1139" s="975" t="n">
        <f aca="false">D1139*E1139*$H$1112</f>
        <v>0</v>
      </c>
      <c r="I1139" s="936" t="n">
        <f aca="false">IF(G1139&gt;H1139,G1139,H1139)*$H$1111</f>
        <v>0</v>
      </c>
      <c r="J1139" s="931"/>
      <c r="K1139" s="937"/>
    </row>
    <row r="1140" customFormat="false" ht="15.75" hidden="true" customHeight="false" outlineLevel="0" collapsed="false">
      <c r="A1140" s="937"/>
      <c r="B1140" s="992" t="str">
        <f aca="false">крыша!A289</f>
        <v>Подкладочный ковер</v>
      </c>
      <c r="C1140" s="993" t="str">
        <f aca="false">крыша!B289</f>
        <v>м.п.</v>
      </c>
      <c r="D1140" s="992" t="n">
        <f aca="false">крыша!C289</f>
        <v>0</v>
      </c>
      <c r="E1140" s="1010" t="n">
        <f aca="false">крыша!D289</f>
        <v>220</v>
      </c>
      <c r="F1140" s="1010"/>
      <c r="G1140" s="967" t="n">
        <f aca="false">IF(F1140&gt;0,D1140*F1140,E1140*D1140)</f>
        <v>0</v>
      </c>
      <c r="H1140" s="975" t="n">
        <f aca="false">D1140*E1140*$H$1112</f>
        <v>0</v>
      </c>
      <c r="I1140" s="936" t="n">
        <f aca="false">IF(G1140&gt;H1140,G1140,H1140)*$H$1111</f>
        <v>0</v>
      </c>
      <c r="J1140" s="931"/>
      <c r="K1140" s="937"/>
    </row>
    <row r="1141" customFormat="false" ht="15.75" hidden="true" customHeight="false" outlineLevel="0" collapsed="false">
      <c r="A1141" s="937"/>
      <c r="B1141" s="992" t="str">
        <f aca="false">крыша!A290</f>
        <v>Карнизная самоклеющаяся черепица</v>
      </c>
      <c r="C1141" s="993" t="str">
        <f aca="false">крыша!B290</f>
        <v>м.п.</v>
      </c>
      <c r="D1141" s="992" t="n">
        <f aca="false">крыша!C290</f>
        <v>0</v>
      </c>
      <c r="E1141" s="1010" t="n">
        <f aca="false">крыша!D290</f>
        <v>220</v>
      </c>
      <c r="F1141" s="1010"/>
      <c r="G1141" s="967" t="n">
        <f aca="false">IF(F1141&gt;0,D1141*F1141,E1141*D1141)</f>
        <v>0</v>
      </c>
      <c r="H1141" s="975" t="n">
        <f aca="false">D1141*E1141*$H$1112</f>
        <v>0</v>
      </c>
      <c r="I1141" s="936" t="n">
        <f aca="false">IF(G1141&gt;H1141,G1141,H1141)*$H$1111</f>
        <v>0</v>
      </c>
      <c r="J1141" s="931"/>
      <c r="K1141" s="937"/>
    </row>
    <row r="1142" customFormat="false" ht="15.75" hidden="true" customHeight="false" outlineLevel="0" collapsed="false">
      <c r="A1142" s="937"/>
      <c r="B1142" s="992" t="str">
        <f aca="false">крыша!A291</f>
        <v>Спец ковер ендова нижняя</v>
      </c>
      <c r="C1142" s="993" t="str">
        <f aca="false">крыша!B291</f>
        <v>м.п.</v>
      </c>
      <c r="D1142" s="992" t="n">
        <f aca="false">крыша!C291</f>
        <v>0</v>
      </c>
      <c r="E1142" s="1010" t="n">
        <f aca="false">крыша!D291</f>
        <v>200</v>
      </c>
      <c r="F1142" s="1010"/>
      <c r="G1142" s="967" t="n">
        <f aca="false">IF(F1142&gt;0,D1142*F1142,E1142*D1142)</f>
        <v>0</v>
      </c>
      <c r="H1142" s="975" t="n">
        <f aca="false">D1142*E1142*$H$1112</f>
        <v>0</v>
      </c>
      <c r="I1142" s="936" t="n">
        <f aca="false">IF(G1142&gt;H1142,G1142,H1142)*$H$1111</f>
        <v>0</v>
      </c>
      <c r="J1142" s="931"/>
      <c r="K1142" s="937"/>
    </row>
    <row r="1143" customFormat="false" ht="15.75" hidden="true" customHeight="false" outlineLevel="0" collapsed="false">
      <c r="A1143" s="937"/>
      <c r="B1143" s="992" t="str">
        <f aca="false">крыша!A292</f>
        <v>Коньковой элемент</v>
      </c>
      <c r="C1143" s="993" t="str">
        <f aca="false">крыша!B292</f>
        <v>м.п.</v>
      </c>
      <c r="D1143" s="992" t="n">
        <f aca="false">крыша!C292</f>
        <v>0</v>
      </c>
      <c r="E1143" s="1010" t="n">
        <f aca="false">крыша!D292</f>
        <v>250</v>
      </c>
      <c r="F1143" s="1010"/>
      <c r="G1143" s="967" t="n">
        <f aca="false">IF(F1143&gt;0,D1143*F1143,E1143*D1143)</f>
        <v>0</v>
      </c>
      <c r="H1143" s="975" t="n">
        <f aca="false">D1143*E1143*$H$1112</f>
        <v>0</v>
      </c>
      <c r="I1143" s="936" t="n">
        <f aca="false">IF(G1143&gt;H1143,G1143,H1143)*$H$1111</f>
        <v>0</v>
      </c>
      <c r="J1143" s="931"/>
      <c r="K1143" s="937"/>
    </row>
    <row r="1144" customFormat="false" ht="15.75" hidden="true" customHeight="false" outlineLevel="0" collapsed="false">
      <c r="A1144" s="937"/>
      <c r="B1144" s="992" t="str">
        <f aca="false">крыша!A293</f>
        <v>Планка премыкания</v>
      </c>
      <c r="C1144" s="993" t="str">
        <f aca="false">крыша!B293</f>
        <v>м.п.</v>
      </c>
      <c r="D1144" s="992" t="n">
        <f aca="false">крыша!C293</f>
        <v>0</v>
      </c>
      <c r="E1144" s="1010" t="n">
        <f aca="false">крыша!D293</f>
        <v>200</v>
      </c>
      <c r="F1144" s="1010"/>
      <c r="G1144" s="967" t="n">
        <f aca="false">IF(F1144&gt;0,D1144*F1144,E1144*D1144)</f>
        <v>0</v>
      </c>
      <c r="H1144" s="975" t="n">
        <f aca="false">D1144*E1144*$H$1112</f>
        <v>0</v>
      </c>
      <c r="I1144" s="936" t="n">
        <f aca="false">IF(G1144&gt;H1144,G1144,H1144)*$H$1111</f>
        <v>0</v>
      </c>
      <c r="J1144" s="931"/>
      <c r="K1144" s="937"/>
    </row>
    <row r="1145" customFormat="false" ht="15.75" hidden="true" customHeight="false" outlineLevel="0" collapsed="false">
      <c r="A1145" s="937"/>
      <c r="B1145" s="992" t="str">
        <f aca="false">крыша!A294</f>
        <v>Гвозди для крепления подкладочного ковра</v>
      </c>
      <c r="C1145" s="993" t="str">
        <f aca="false">крыша!B294</f>
        <v>шт</v>
      </c>
      <c r="D1145" s="992" t="n">
        <f aca="false">крыша!C294</f>
        <v>0</v>
      </c>
      <c r="E1145" s="1010" t="n">
        <f aca="false">крыша!D294</f>
        <v>0.012</v>
      </c>
      <c r="F1145" s="1010"/>
      <c r="G1145" s="967" t="n">
        <f aca="false">IF(F1145&gt;0,D1145*F1145,E1145*D1145)</f>
        <v>0</v>
      </c>
      <c r="H1145" s="975" t="n">
        <f aca="false">D1145*E1145*$H$1112</f>
        <v>0</v>
      </c>
      <c r="I1145" s="936" t="n">
        <f aca="false">IF(G1145&gt;H1145,G1145,H1145)*$H$1111</f>
        <v>0</v>
      </c>
      <c r="J1145" s="931"/>
      <c r="K1145" s="937"/>
    </row>
    <row r="1146" customFormat="false" ht="15.75" hidden="true" customHeight="false" outlineLevel="0" collapsed="false">
      <c r="A1146" s="937"/>
      <c r="B1146" s="992" t="str">
        <f aca="false">крыша!A295</f>
        <v>Гвозди для крепления черепицы</v>
      </c>
      <c r="C1146" s="993" t="str">
        <f aca="false">крыша!B295</f>
        <v>шт</v>
      </c>
      <c r="D1146" s="992" t="n">
        <f aca="false">крыша!C295</f>
        <v>0</v>
      </c>
      <c r="E1146" s="1010" t="n">
        <f aca="false">крыша!D295</f>
        <v>0.25</v>
      </c>
      <c r="F1146" s="1010"/>
      <c r="G1146" s="967" t="n">
        <f aca="false">IF(F1146&gt;0,D1146*F1146,E1146*D1146)</f>
        <v>0</v>
      </c>
      <c r="H1146" s="975" t="n">
        <f aca="false">D1146*E1146*$H$1112</f>
        <v>0</v>
      </c>
      <c r="I1146" s="936" t="n">
        <f aca="false">IF(G1146&gt;H1146,G1146,H1146)*$H$1111</f>
        <v>0</v>
      </c>
      <c r="J1146" s="931"/>
      <c r="K1146" s="937"/>
    </row>
    <row r="1147" customFormat="false" ht="15.75" hidden="true" customHeight="false" outlineLevel="0" collapsed="false">
      <c r="A1147" s="937"/>
      <c r="B1147" s="992" t="str">
        <f aca="false">крыша!A296</f>
        <v>Клей для монтажа черепицы</v>
      </c>
      <c r="C1147" s="993" t="str">
        <f aca="false">крыша!B296</f>
        <v>кг</v>
      </c>
      <c r="D1147" s="992" t="n">
        <f aca="false">крыша!C296</f>
        <v>0</v>
      </c>
      <c r="E1147" s="1010" t="n">
        <f aca="false">крыша!D296</f>
        <v>250</v>
      </c>
      <c r="F1147" s="1010"/>
      <c r="G1147" s="967" t="n">
        <f aca="false">IF(F1147&gt;0,D1147*F1147,E1147*D1147)</f>
        <v>0</v>
      </c>
      <c r="H1147" s="975" t="n">
        <f aca="false">D1147*E1147*$H$1112</f>
        <v>0</v>
      </c>
      <c r="I1147" s="936" t="n">
        <f aca="false">IF(G1147&gt;H1147,G1147,H1147)*$H$1111</f>
        <v>0</v>
      </c>
      <c r="J1147" s="931"/>
      <c r="K1147" s="937"/>
    </row>
    <row r="1148" customFormat="false" ht="15.75" hidden="true" customHeight="false" outlineLevel="0" collapsed="false">
      <c r="A1148" s="937"/>
      <c r="B1148" s="992" t="str">
        <f aca="false">крыша!A297</f>
        <v>желоб</v>
      </c>
      <c r="C1148" s="993" t="str">
        <f aca="false">крыша!B297</f>
        <v>м.п</v>
      </c>
      <c r="D1148" s="992" t="n">
        <f aca="false">крыша!C297</f>
        <v>18</v>
      </c>
      <c r="E1148" s="1010" t="n">
        <f aca="false">крыша!D297</f>
        <v>300</v>
      </c>
      <c r="F1148" s="1010"/>
      <c r="G1148" s="967" t="n">
        <f aca="false">IF(F1148&gt;0,D1148*F1148,E1148*D1148)</f>
        <v>5400</v>
      </c>
      <c r="H1148" s="975" t="n">
        <f aca="false">D1148*E1148*$H$1112</f>
        <v>5400</v>
      </c>
      <c r="I1148" s="936" t="n">
        <f aca="false">IF(G1148&gt;H1148,G1148,H1148)*$H$1111</f>
        <v>5400</v>
      </c>
      <c r="J1148" s="931"/>
      <c r="K1148" s="937"/>
    </row>
    <row r="1149" customFormat="false" ht="15.75" hidden="true" customHeight="false" outlineLevel="0" collapsed="false">
      <c r="A1149" s="937"/>
      <c r="B1149" s="992" t="str">
        <f aca="false">крыша!A298</f>
        <v>отвод</v>
      </c>
      <c r="C1149" s="993" t="str">
        <f aca="false">крыша!B298</f>
        <v>шт</v>
      </c>
      <c r="D1149" s="992" t="n">
        <f aca="false">крыша!C298</f>
        <v>4</v>
      </c>
      <c r="E1149" s="1010" t="n">
        <f aca="false">крыша!D298</f>
        <v>250</v>
      </c>
      <c r="F1149" s="1010"/>
      <c r="G1149" s="967" t="n">
        <f aca="false">IF(F1149&gt;0,D1149*F1149,E1149*D1149)</f>
        <v>1000</v>
      </c>
      <c r="H1149" s="975" t="n">
        <f aca="false">D1149*E1149*$H$1112</f>
        <v>1000</v>
      </c>
      <c r="I1149" s="936" t="n">
        <f aca="false">IF(G1149&gt;H1149,G1149,H1149)*$H$1111</f>
        <v>1000</v>
      </c>
      <c r="J1149" s="931"/>
      <c r="K1149" s="937"/>
    </row>
    <row r="1150" customFormat="false" ht="15.75" hidden="true" customHeight="false" outlineLevel="0" collapsed="false">
      <c r="A1150" s="937"/>
      <c r="B1150" s="992" t="str">
        <f aca="false">крыша!A299</f>
        <v>труба водосточная</v>
      </c>
      <c r="C1150" s="993" t="str">
        <f aca="false">крыша!B299</f>
        <v>м.п.</v>
      </c>
      <c r="D1150" s="992" t="n">
        <f aca="false">крыша!C299</f>
        <v>10.8</v>
      </c>
      <c r="E1150" s="1010" t="n">
        <f aca="false">крыша!D299</f>
        <v>300</v>
      </c>
      <c r="F1150" s="1010"/>
      <c r="G1150" s="967" t="n">
        <f aca="false">IF(F1150&gt;0,D1150*F1150,E1150*D1150)</f>
        <v>3240</v>
      </c>
      <c r="H1150" s="975" t="n">
        <f aca="false">D1150*E1150*$H$1112</f>
        <v>3240</v>
      </c>
      <c r="I1150" s="936" t="n">
        <f aca="false">IF(G1150&gt;H1150,G1150,H1150)*$H$1111</f>
        <v>3240</v>
      </c>
      <c r="J1150" s="931"/>
      <c r="K1150" s="937"/>
    </row>
    <row r="1151" customFormat="false" ht="15.75" hidden="true" customHeight="false" outlineLevel="0" collapsed="false">
      <c r="A1151" s="937"/>
      <c r="B1151" s="992" t="str">
        <f aca="false">крыша!A300</f>
        <v>заглушка для желоба</v>
      </c>
      <c r="C1151" s="993" t="str">
        <f aca="false">крыша!B300</f>
        <v>шт</v>
      </c>
      <c r="D1151" s="992" t="n">
        <f aca="false">крыша!C300</f>
        <v>4</v>
      </c>
      <c r="E1151" s="1010" t="n">
        <f aca="false">крыша!D300</f>
        <v>190</v>
      </c>
      <c r="F1151" s="1010"/>
      <c r="G1151" s="967" t="n">
        <f aca="false">IF(F1151&gt;0,D1151*F1151,E1151*D1151)</f>
        <v>760</v>
      </c>
      <c r="H1151" s="975" t="n">
        <f aca="false">D1151*E1151*$H$1112</f>
        <v>760</v>
      </c>
      <c r="I1151" s="936" t="n">
        <f aca="false">IF(G1151&gt;H1151,G1151,H1151)*$H$1111</f>
        <v>760</v>
      </c>
      <c r="J1151" s="931"/>
      <c r="K1151" s="937"/>
    </row>
    <row r="1152" customFormat="false" ht="15.75" hidden="true" customHeight="false" outlineLevel="0" collapsed="false">
      <c r="A1152" s="937"/>
      <c r="B1152" s="992" t="str">
        <f aca="false">крыша!A301</f>
        <v>соеденитель для желоба</v>
      </c>
      <c r="C1152" s="993" t="str">
        <f aca="false">крыша!B301</f>
        <v>шт</v>
      </c>
      <c r="D1152" s="992" t="n">
        <f aca="false">крыша!C301</f>
        <v>9</v>
      </c>
      <c r="E1152" s="1010" t="n">
        <f aca="false">крыша!D301</f>
        <v>180</v>
      </c>
      <c r="F1152" s="1010"/>
      <c r="G1152" s="967" t="n">
        <f aca="false">IF(F1152&gt;0,D1152*F1152,E1152*D1152)</f>
        <v>1620</v>
      </c>
      <c r="H1152" s="975" t="n">
        <f aca="false">D1152*E1152*$H$1112</f>
        <v>1620</v>
      </c>
      <c r="I1152" s="936" t="n">
        <f aca="false">IF(G1152&gt;H1152,G1152,H1152)*$H$1111</f>
        <v>1620</v>
      </c>
      <c r="J1152" s="931"/>
      <c r="K1152" s="937"/>
    </row>
    <row r="1153" customFormat="false" ht="15.75" hidden="true" customHeight="false" outlineLevel="0" collapsed="false">
      <c r="A1153" s="937"/>
      <c r="B1153" s="992" t="str">
        <f aca="false">крыша!A302</f>
        <v>кронштейн для желоба</v>
      </c>
      <c r="C1153" s="993" t="str">
        <f aca="false">крыша!B302</f>
        <v>шт</v>
      </c>
      <c r="D1153" s="992" t="n">
        <f aca="false">крыша!C302</f>
        <v>36</v>
      </c>
      <c r="E1153" s="1010" t="n">
        <f aca="false">крыша!D302</f>
        <v>130</v>
      </c>
      <c r="F1153" s="1010"/>
      <c r="G1153" s="967" t="n">
        <f aca="false">IF(F1153&gt;0,D1153*F1153,E1153*D1153)</f>
        <v>4680</v>
      </c>
      <c r="H1153" s="975" t="n">
        <f aca="false">D1153*E1153*$H$1112</f>
        <v>4680</v>
      </c>
      <c r="I1153" s="936" t="n">
        <f aca="false">IF(G1153&gt;H1153,G1153,H1153)*$H$1111</f>
        <v>4680</v>
      </c>
      <c r="J1153" s="931"/>
      <c r="K1153" s="937"/>
    </row>
    <row r="1154" customFormat="false" ht="15.75" hidden="true" customHeight="false" outlineLevel="0" collapsed="false">
      <c r="A1154" s="937"/>
      <c r="B1154" s="992" t="str">
        <f aca="false">крыша!A303</f>
        <v>переход из желоба в трубу</v>
      </c>
      <c r="C1154" s="993" t="str">
        <f aca="false">крыша!B303</f>
        <v>шт</v>
      </c>
      <c r="D1154" s="992" t="n">
        <f aca="false">крыша!C303</f>
        <v>2</v>
      </c>
      <c r="E1154" s="1010" t="n">
        <f aca="false">крыша!D303</f>
        <v>350</v>
      </c>
      <c r="F1154" s="1010"/>
      <c r="G1154" s="967" t="n">
        <f aca="false">IF(F1154&gt;0,D1154*F1154,E1154*D1154)</f>
        <v>700</v>
      </c>
      <c r="H1154" s="975" t="n">
        <f aca="false">D1154*E1154*$H$1112</f>
        <v>700</v>
      </c>
      <c r="I1154" s="936" t="n">
        <f aca="false">IF(G1154&gt;H1154,G1154,H1154)*$H$1111</f>
        <v>700</v>
      </c>
      <c r="J1154" s="931"/>
      <c r="K1154" s="937"/>
    </row>
    <row r="1155" customFormat="false" ht="15.75" hidden="true" customHeight="false" outlineLevel="0" collapsed="false">
      <c r="A1155" s="937"/>
      <c r="B1155" s="992" t="str">
        <f aca="false">крыша!A304</f>
        <v>лента дельта мульти бэнд</v>
      </c>
      <c r="C1155" s="993" t="str">
        <f aca="false">крыша!B304</f>
        <v>шт</v>
      </c>
      <c r="D1155" s="992" t="n">
        <f aca="false">крыша!C304</f>
        <v>9</v>
      </c>
      <c r="E1155" s="1010" t="n">
        <f aca="false">крыша!D304</f>
        <v>1200</v>
      </c>
      <c r="F1155" s="1010"/>
      <c r="G1155" s="967" t="n">
        <f aca="false">IF(F1155&gt;0,D1155*F1155,E1155*D1155)</f>
        <v>10800</v>
      </c>
      <c r="H1155" s="975" t="n">
        <f aca="false">D1155*E1155*$H$1112</f>
        <v>10800</v>
      </c>
      <c r="I1155" s="936" t="n">
        <f aca="false">IF(G1155&gt;H1155,G1155,H1155)*$H$1111</f>
        <v>10800</v>
      </c>
      <c r="J1155" s="931"/>
      <c r="K1155" s="937"/>
    </row>
    <row r="1156" customFormat="false" ht="15.75" hidden="true" customHeight="false" outlineLevel="0" collapsed="false">
      <c r="A1156" s="937"/>
      <c r="B1156" s="992" t="str">
        <f aca="false">крыша!A305</f>
        <v>лента дельта sb-60</v>
      </c>
      <c r="C1156" s="993" t="str">
        <f aca="false">крыша!B305</f>
        <v>шт</v>
      </c>
      <c r="D1156" s="992" t="n">
        <f aca="false">крыша!C305</f>
        <v>5</v>
      </c>
      <c r="E1156" s="1010" t="n">
        <f aca="false">крыша!D305</f>
        <v>1100</v>
      </c>
      <c r="F1156" s="1010"/>
      <c r="G1156" s="967" t="n">
        <f aca="false">IF(F1156&gt;0,D1156*F1156,E1156*D1156)</f>
        <v>5500</v>
      </c>
      <c r="H1156" s="975" t="n">
        <f aca="false">D1156*E1156*$H$1112</f>
        <v>5500</v>
      </c>
      <c r="I1156" s="936" t="n">
        <f aca="false">IF(G1156&gt;H1156,G1156,H1156)*$H$1111</f>
        <v>5500</v>
      </c>
      <c r="J1156" s="931"/>
      <c r="K1156" s="937"/>
    </row>
    <row r="1157" customFormat="false" ht="15.75" hidden="true" customHeight="false" outlineLevel="0" collapsed="false">
      <c r="A1157" s="937"/>
      <c r="B1157" s="992" t="str">
        <f aca="false">крыша!A306</f>
        <v>проходка кровельная, канализационная</v>
      </c>
      <c r="C1157" s="993" t="str">
        <f aca="false">крыша!B306</f>
        <v>шт</v>
      </c>
      <c r="D1157" s="992" t="n">
        <f aca="false">крыша!C306</f>
        <v>0</v>
      </c>
      <c r="E1157" s="1010" t="n">
        <f aca="false">крыша!D306</f>
        <v>3500</v>
      </c>
      <c r="F1157" s="1010"/>
      <c r="G1157" s="967" t="n">
        <f aca="false">IF(F1157&gt;0,D1157*F1157,E1157*D1157)</f>
        <v>0</v>
      </c>
      <c r="H1157" s="975" t="n">
        <f aca="false">D1157*E1157*$H$1112</f>
        <v>0</v>
      </c>
      <c r="I1157" s="936" t="n">
        <f aca="false">IF(G1157&gt;H1157,G1157,H1157)*$H$1111</f>
        <v>0</v>
      </c>
      <c r="J1157" s="931"/>
      <c r="K1157" s="937"/>
    </row>
    <row r="1158" customFormat="false" ht="15.75" hidden="true" customHeight="false" outlineLevel="0" collapsed="false">
      <c r="A1158" s="937"/>
      <c r="B1158" s="992" t="str">
        <f aca="false">крыша!A307</f>
        <v>проходка кровельная, вентиляционная</v>
      </c>
      <c r="C1158" s="993" t="str">
        <f aca="false">крыша!B307</f>
        <v>шт</v>
      </c>
      <c r="D1158" s="992" t="n">
        <f aca="false">крыша!C307</f>
        <v>0</v>
      </c>
      <c r="E1158" s="1010" t="n">
        <f aca="false">крыша!D307</f>
        <v>3500</v>
      </c>
      <c r="F1158" s="1010"/>
      <c r="G1158" s="967" t="n">
        <f aca="false">IF(F1158&gt;0,D1158*F1158,E1158*D1158)</f>
        <v>0</v>
      </c>
      <c r="H1158" s="975" t="n">
        <f aca="false">D1158*E1158*$H$1112</f>
        <v>0</v>
      </c>
      <c r="I1158" s="936" t="n">
        <f aca="false">IF(G1158&gt;H1158,G1158,H1158)*$H$1111</f>
        <v>0</v>
      </c>
      <c r="J1158" s="931"/>
      <c r="K1158" s="937"/>
    </row>
    <row r="1159" customFormat="false" ht="15.75" hidden="true" customHeight="false" outlineLevel="0" collapsed="false">
      <c r="A1159" s="937"/>
      <c r="B1159" s="992" t="str">
        <f aca="false">крыша!A308</f>
        <v>проодка кровельная, труба котел</v>
      </c>
      <c r="C1159" s="993" t="str">
        <f aca="false">крыша!B308</f>
        <v>шт</v>
      </c>
      <c r="D1159" s="992" t="n">
        <f aca="false">крыша!C308</f>
        <v>0</v>
      </c>
      <c r="E1159" s="1010" t="n">
        <f aca="false">крыша!D308</f>
        <v>4500</v>
      </c>
      <c r="F1159" s="1010"/>
      <c r="G1159" s="967" t="n">
        <f aca="false">IF(F1159&gt;0,D1159*F1159,E1159*D1159)</f>
        <v>0</v>
      </c>
      <c r="H1159" s="975" t="n">
        <f aca="false">D1159*E1159*$H$1112</f>
        <v>0</v>
      </c>
      <c r="I1159" s="936" t="n">
        <f aca="false">IF(G1159&gt;H1159,G1159,H1159)*$H$1111</f>
        <v>0</v>
      </c>
      <c r="J1159" s="931"/>
      <c r="K1159" s="937"/>
    </row>
    <row r="1160" customFormat="false" ht="15.75" hidden="true" customHeight="false" outlineLevel="0" collapsed="false">
      <c r="A1160" s="937"/>
      <c r="B1160" s="992" t="str">
        <f aca="false">крыша!A309</f>
        <v>Кровельный саморез</v>
      </c>
      <c r="C1160" s="993" t="str">
        <f aca="false">крыша!B309</f>
        <v>шт</v>
      </c>
      <c r="D1160" s="992" t="n">
        <f aca="false">крыша!C309</f>
        <v>1269.37096281305</v>
      </c>
      <c r="E1160" s="1010" t="n">
        <f aca="false">крыша!D309</f>
        <v>2</v>
      </c>
      <c r="F1160" s="1010"/>
      <c r="G1160" s="967" t="n">
        <f aca="false">IF(F1160&gt;0,D1160*F1160,E1160*D1160)</f>
        <v>2538.74192562609</v>
      </c>
      <c r="H1160" s="975" t="n">
        <f aca="false">D1160*E1160*$H$1112</f>
        <v>2538.74192562609</v>
      </c>
      <c r="I1160" s="936" t="n">
        <f aca="false">IF(G1160&gt;H1160,G1160,H1160)*$H$1111</f>
        <v>2538.74192562609</v>
      </c>
      <c r="J1160" s="931"/>
      <c r="K1160" s="937"/>
    </row>
    <row r="1161" customFormat="false" ht="15.75" hidden="true" customHeight="false" outlineLevel="0" collapsed="false">
      <c r="A1161" s="937"/>
      <c r="B1161" s="992" t="str">
        <f aca="false">крыша!A310</f>
        <v>Гвозди ершоные 3,4 x 60            </v>
      </c>
      <c r="C1161" s="993" t="str">
        <f aca="false">крыша!B310</f>
        <v>кг</v>
      </c>
      <c r="D1161" s="992" t="n">
        <f aca="false">крыша!C310</f>
        <v>7.05206090451693</v>
      </c>
      <c r="E1161" s="1010" t="n">
        <f aca="false">крыша!D310</f>
        <v>75.51</v>
      </c>
      <c r="F1161" s="1010"/>
      <c r="G1161" s="967" t="n">
        <f aca="false">IF(F1161&gt;0,D1161*F1161,E1161*D1161)</f>
        <v>532.501118900073</v>
      </c>
      <c r="H1161" s="975" t="n">
        <f aca="false">D1161*E1161*$H$1112</f>
        <v>532.501118900073</v>
      </c>
      <c r="I1161" s="936" t="n">
        <f aca="false">IF(G1161&gt;H1161,G1161,H1161)*$H$1111</f>
        <v>532.501118900073</v>
      </c>
      <c r="J1161" s="931"/>
      <c r="K1161" s="937"/>
    </row>
    <row r="1162" customFormat="false" ht="15.75" hidden="true" customHeight="false" outlineLevel="0" collapsed="false">
      <c r="A1162" s="937"/>
      <c r="B1162" s="992" t="str">
        <f aca="false">крыша!A311</f>
        <v>Гвозди ершоные 2,8 х 90            </v>
      </c>
      <c r="C1162" s="993" t="str">
        <f aca="false">крыша!B311</f>
        <v>кг</v>
      </c>
      <c r="D1162" s="992" t="n">
        <f aca="false">крыша!C311</f>
        <v>27.322236137642</v>
      </c>
      <c r="E1162" s="1010" t="n">
        <f aca="false">крыша!D311</f>
        <v>76.49</v>
      </c>
      <c r="F1162" s="1010"/>
      <c r="G1162" s="967" t="n">
        <f aca="false">IF(F1162&gt;0,D1162*F1162,E1162*D1162)</f>
        <v>2089.87784216824</v>
      </c>
      <c r="H1162" s="975" t="n">
        <f aca="false">D1162*E1162*$H$1112</f>
        <v>2089.87784216824</v>
      </c>
      <c r="I1162" s="936" t="n">
        <f aca="false">IF(G1162&gt;H1162,G1162,H1162)*$H$1111</f>
        <v>2089.87784216824</v>
      </c>
      <c r="J1162" s="931"/>
      <c r="K1162" s="937"/>
    </row>
    <row r="1163" customFormat="false" ht="15.75" hidden="true" customHeight="false" outlineLevel="0" collapsed="false">
      <c r="A1163" s="937"/>
      <c r="B1163" s="992" t="str">
        <f aca="false">крыша!A312</f>
        <v>Пластина соеденительная 100х240х2           </v>
      </c>
      <c r="C1163" s="993" t="str">
        <f aca="false">крыша!B312</f>
        <v>шт</v>
      </c>
      <c r="D1163" s="992" t="n">
        <f aca="false">крыша!C312</f>
        <v>32</v>
      </c>
      <c r="E1163" s="1010" t="n">
        <f aca="false">крыша!D312</f>
        <v>31.54</v>
      </c>
      <c r="F1163" s="1010"/>
      <c r="G1163" s="967" t="n">
        <f aca="false">IF(F1163&gt;0,D1163*F1163,E1163*D1163)</f>
        <v>1009.28</v>
      </c>
      <c r="H1163" s="975" t="n">
        <f aca="false">D1163*E1163*$H$1112</f>
        <v>1009.28</v>
      </c>
      <c r="I1163" s="936" t="n">
        <f aca="false">IF(G1163&gt;H1163,G1163,H1163)*$H$1111</f>
        <v>1009.28</v>
      </c>
      <c r="J1163" s="931"/>
      <c r="K1163" s="937"/>
    </row>
    <row r="1164" customFormat="false" ht="15.75" hidden="true" customHeight="false" outlineLevel="0" collapsed="false">
      <c r="A1164" s="937"/>
      <c r="B1164" s="992" t="str">
        <f aca="false">крыша!A313</f>
        <v>Уголок усиленный 90х70х55х2,5        </v>
      </c>
      <c r="C1164" s="993" t="str">
        <f aca="false">крыша!B313</f>
        <v>шт</v>
      </c>
      <c r="D1164" s="992" t="n">
        <f aca="false">крыша!C313</f>
        <v>32</v>
      </c>
      <c r="E1164" s="1010" t="n">
        <f aca="false">крыша!D313</f>
        <v>30</v>
      </c>
      <c r="F1164" s="1010"/>
      <c r="G1164" s="967" t="n">
        <f aca="false">IF(F1164&gt;0,D1164*F1164,E1164*D1164)</f>
        <v>960</v>
      </c>
      <c r="H1164" s="975" t="n">
        <f aca="false">D1164*E1164*$H$1112</f>
        <v>960</v>
      </c>
      <c r="I1164" s="936" t="n">
        <f aca="false">IF(G1164&gt;H1164,G1164,H1164)*$H$1111</f>
        <v>960</v>
      </c>
      <c r="J1164" s="931"/>
      <c r="K1164" s="937"/>
    </row>
    <row r="1165" customFormat="false" ht="15.75" hidden="true" customHeight="false" outlineLevel="0" collapsed="false">
      <c r="A1165" s="937"/>
      <c r="B1165" s="973" t="s">
        <v>2247</v>
      </c>
      <c r="C1165" s="973"/>
      <c r="D1165" s="973"/>
      <c r="E1165" s="973"/>
      <c r="F1165" s="973"/>
      <c r="G1165" s="970" t="n">
        <f aca="false">SUM(G1113:G1164)*H1111</f>
        <v>131849.929983864</v>
      </c>
      <c r="H1165" s="970" t="n">
        <f aca="false">SUM(H1113:H1164)</f>
        <v>131849.929983864</v>
      </c>
      <c r="I1165" s="936" t="n">
        <f aca="false">IF(G1165&gt;H1165,G1165,H1165)*$H$1111</f>
        <v>131849.929983864</v>
      </c>
      <c r="J1165" s="931"/>
      <c r="K1165" s="937"/>
    </row>
    <row r="1166" customFormat="false" ht="15.75" hidden="true" customHeight="false" outlineLevel="0" collapsed="false">
      <c r="A1166" s="937"/>
      <c r="B1166" s="976" t="s">
        <v>2007</v>
      </c>
      <c r="C1166" s="976"/>
      <c r="D1166" s="976"/>
      <c r="E1166" s="976"/>
      <c r="F1166" s="1014"/>
      <c r="G1166" s="977"/>
      <c r="H1166" s="994" t="n">
        <f aca="false">H1111</f>
        <v>1</v>
      </c>
      <c r="I1166" s="1026" t="n">
        <f aca="false">H1166</f>
        <v>1</v>
      </c>
      <c r="J1166" s="931"/>
      <c r="K1166" s="937"/>
    </row>
    <row r="1167" customFormat="false" ht="15.75" hidden="true" customHeight="false" outlineLevel="0" collapsed="false">
      <c r="A1167" s="931"/>
      <c r="B1167" s="995" t="str">
        <f aca="false">крыша!G263</f>
        <v>монтаж мауэрлата</v>
      </c>
      <c r="C1167" s="993" t="s">
        <v>15</v>
      </c>
      <c r="D1167" s="967" t="n">
        <f aca="false">крыша!J263</f>
        <v>36.9990475974507</v>
      </c>
      <c r="E1167" s="986" t="n">
        <f aca="false">крыша!K263</f>
        <v>250</v>
      </c>
      <c r="F1167" s="986"/>
      <c r="G1167" s="967" t="n">
        <f aca="false">IF(F1167&gt;0,D1167*F1167,E1167*D1167)</f>
        <v>9249.76189936267</v>
      </c>
      <c r="H1167" s="970" t="n">
        <f aca="false">D1167*E1167*$H$1166</f>
        <v>9249.76189936267</v>
      </c>
      <c r="I1167" s="936" t="n">
        <f aca="false">IF(G1167&gt;H1167,G1167,H1167)*$H$1111</f>
        <v>9249.76189936267</v>
      </c>
      <c r="J1167" s="931"/>
      <c r="K1167" s="937"/>
    </row>
    <row r="1168" customFormat="false" ht="15.75" hidden="true" customHeight="false" outlineLevel="0" collapsed="false">
      <c r="A1168" s="937"/>
      <c r="B1168" s="995" t="str">
        <f aca="false">крыша!G264</f>
        <v>монтаж стропил</v>
      </c>
      <c r="C1168" s="993" t="s">
        <v>820</v>
      </c>
      <c r="D1168" s="967" t="n">
        <f aca="false">крыша!J264</f>
        <v>105.780913567754</v>
      </c>
      <c r="E1168" s="986" t="n">
        <f aca="false">крыша!K264</f>
        <v>450</v>
      </c>
      <c r="F1168" s="986"/>
      <c r="G1168" s="967" t="n">
        <f aca="false">IF(F1168&gt;0,D1168*F1168,E1168*D1168)</f>
        <v>47601.4111054893</v>
      </c>
      <c r="H1168" s="970" t="n">
        <f aca="false">D1168*E1168*$H$1166</f>
        <v>47601.4111054893</v>
      </c>
      <c r="I1168" s="936" t="n">
        <f aca="false">IF(G1168&gt;H1168,G1168,H1168)*$H$1111</f>
        <v>47601.4111054893</v>
      </c>
      <c r="J1168" s="931"/>
      <c r="K1168" s="937"/>
    </row>
    <row r="1169" customFormat="false" ht="15.75" hidden="true" customHeight="false" outlineLevel="0" collapsed="false">
      <c r="A1169" s="937"/>
      <c r="B1169" s="995" t="str">
        <f aca="false">крыша!G265</f>
        <v>обрешетка</v>
      </c>
      <c r="C1169" s="993" t="s">
        <v>820</v>
      </c>
      <c r="D1169" s="967" t="n">
        <f aca="false">крыша!J265</f>
        <v>105.780913567754</v>
      </c>
      <c r="E1169" s="986" t="n">
        <f aca="false">крыша!K265</f>
        <v>100</v>
      </c>
      <c r="F1169" s="986"/>
      <c r="G1169" s="967" t="n">
        <f aca="false">IF(F1169&gt;0,D1169*F1169,E1169*D1169)</f>
        <v>10578.0913567754</v>
      </c>
      <c r="H1169" s="970" t="n">
        <f aca="false">D1169*E1169*$H$1166</f>
        <v>10578.0913567754</v>
      </c>
      <c r="I1169" s="936" t="n">
        <f aca="false">IF(G1169&gt;H1169,G1169,H1169)*$H$1111</f>
        <v>10578.0913567754</v>
      </c>
      <c r="J1169" s="931"/>
      <c r="K1169" s="937"/>
    </row>
    <row r="1170" customFormat="false" ht="15.75" hidden="true" customHeight="false" outlineLevel="0" collapsed="false">
      <c r="A1170" s="937"/>
      <c r="B1170" s="995" t="str">
        <f aca="false">крыша!G266</f>
        <v>контробеш</v>
      </c>
      <c r="C1170" s="993" t="s">
        <v>820</v>
      </c>
      <c r="D1170" s="967" t="n">
        <f aca="false">крыша!J266</f>
        <v>105.780913567754</v>
      </c>
      <c r="E1170" s="986" t="n">
        <f aca="false">крыша!K266</f>
        <v>100</v>
      </c>
      <c r="F1170" s="986"/>
      <c r="G1170" s="967" t="n">
        <f aca="false">IF(F1170&gt;0,D1170*F1170,E1170*D1170)</f>
        <v>10578.0913567754</v>
      </c>
      <c r="H1170" s="970" t="n">
        <f aca="false">D1170*E1170*$H$1166</f>
        <v>10578.0913567754</v>
      </c>
      <c r="I1170" s="936" t="n">
        <f aca="false">IF(G1170&gt;H1170,G1170,H1170)*$H$1111</f>
        <v>10578.0913567754</v>
      </c>
      <c r="J1170" s="931"/>
      <c r="K1170" s="937"/>
    </row>
    <row r="1171" customFormat="false" ht="15.75" hidden="true" customHeight="false" outlineLevel="0" collapsed="false">
      <c r="A1171" s="937"/>
      <c r="B1171" s="995" t="str">
        <f aca="false">крыша!G267</f>
        <v>Монтаж металлочерепицы</v>
      </c>
      <c r="C1171" s="993" t="s">
        <v>820</v>
      </c>
      <c r="D1171" s="967" t="n">
        <f aca="false">крыша!J267</f>
        <v>105.780913567754</v>
      </c>
      <c r="E1171" s="986" t="n">
        <f aca="false">крыша!K267</f>
        <v>300</v>
      </c>
      <c r="F1171" s="986"/>
      <c r="G1171" s="967" t="n">
        <f aca="false">IF(F1171&gt;0,D1171*F1171,E1171*D1171)</f>
        <v>31734.2740703262</v>
      </c>
      <c r="H1171" s="970" t="n">
        <f aca="false">D1171*E1171*$H$1166</f>
        <v>31734.2740703262</v>
      </c>
      <c r="I1171" s="936" t="n">
        <f aca="false">IF(G1171&gt;H1171,G1171,H1171)*$H$1111</f>
        <v>31734.2740703262</v>
      </c>
      <c r="J1171" s="931"/>
      <c r="K1171" s="937"/>
    </row>
    <row r="1172" customFormat="false" ht="15.75" hidden="true" customHeight="false" outlineLevel="0" collapsed="false">
      <c r="A1172" s="937"/>
      <c r="B1172" s="995" t="str">
        <f aca="false">крыша!G268</f>
        <v>Монтаж ондулина</v>
      </c>
      <c r="C1172" s="993" t="s">
        <v>820</v>
      </c>
      <c r="D1172" s="967" t="n">
        <f aca="false">крыша!J268</f>
        <v>0</v>
      </c>
      <c r="E1172" s="986" t="n">
        <f aca="false">крыша!K268</f>
        <v>300</v>
      </c>
      <c r="F1172" s="986"/>
      <c r="G1172" s="967" t="n">
        <f aca="false">IF(F1172&gt;0,D1172*F1172,E1172*D1172)</f>
        <v>0</v>
      </c>
      <c r="H1172" s="970" t="n">
        <f aca="false">D1172*E1172*$H$1166</f>
        <v>0</v>
      </c>
      <c r="I1172" s="936" t="n">
        <f aca="false">IF(G1172&gt;H1172,G1172,H1172)*$H$1111</f>
        <v>0</v>
      </c>
      <c r="J1172" s="931"/>
      <c r="K1172" s="937"/>
    </row>
    <row r="1173" customFormat="false" ht="15.75" hidden="true" customHeight="false" outlineLevel="0" collapsed="false">
      <c r="A1173" s="937"/>
      <c r="B1173" s="995" t="str">
        <f aca="false">крыша!G271</f>
        <v>мембрана</v>
      </c>
      <c r="C1173" s="993" t="s">
        <v>820</v>
      </c>
      <c r="D1173" s="967" t="n">
        <f aca="false">крыша!J271</f>
        <v>105.780913567754</v>
      </c>
      <c r="E1173" s="986" t="n">
        <f aca="false">крыша!K271</f>
        <v>100</v>
      </c>
      <c r="F1173" s="986"/>
      <c r="G1173" s="967" t="n">
        <f aca="false">IF(F1173&gt;0,D1173*F1173,E1173*D1173)</f>
        <v>10578.0913567754</v>
      </c>
      <c r="H1173" s="970" t="n">
        <f aca="false">D1173*E1173*$H$1166</f>
        <v>10578.0913567754</v>
      </c>
      <c r="I1173" s="936" t="n">
        <f aca="false">IF(G1173&gt;H1173,G1173,H1173)*$H$1111</f>
        <v>10578.0913567754</v>
      </c>
      <c r="J1173" s="931"/>
      <c r="K1173" s="937"/>
    </row>
    <row r="1174" customFormat="false" ht="15.75" hidden="true" customHeight="false" outlineLevel="0" collapsed="false">
      <c r="A1174" s="937"/>
      <c r="B1174" s="995" t="str">
        <f aca="false">крыша!G272</f>
        <v>пароизоляц</v>
      </c>
      <c r="C1174" s="993" t="s">
        <v>820</v>
      </c>
      <c r="D1174" s="967" t="n">
        <f aca="false">крыша!J272</f>
        <v>105.780913567754</v>
      </c>
      <c r="E1174" s="986" t="n">
        <f aca="false">крыша!K272</f>
        <v>100</v>
      </c>
      <c r="F1174" s="986"/>
      <c r="G1174" s="967" t="n">
        <f aca="false">IF(F1174&gt;0,D1174*F1174,E1174*D1174)</f>
        <v>10578.0913567754</v>
      </c>
      <c r="H1174" s="970" t="n">
        <f aca="false">D1174*E1174*$H$1166</f>
        <v>10578.0913567754</v>
      </c>
      <c r="I1174" s="936" t="n">
        <f aca="false">IF(G1174&gt;H1174,G1174,H1174)*$H$1111</f>
        <v>10578.0913567754</v>
      </c>
      <c r="J1174" s="931"/>
      <c r="K1174" s="937"/>
    </row>
    <row r="1175" customFormat="false" ht="15.75" hidden="true" customHeight="false" outlineLevel="0" collapsed="false">
      <c r="A1175" s="937"/>
      <c r="B1175" s="995" t="str">
        <f aca="false">крыша!G273</f>
        <v>утеплитель</v>
      </c>
      <c r="C1175" s="993" t="s">
        <v>820</v>
      </c>
      <c r="D1175" s="967" t="n">
        <f aca="false">крыша!J273</f>
        <v>105.780913567754</v>
      </c>
      <c r="E1175" s="986" t="n">
        <f aca="false">крыша!K273</f>
        <v>200</v>
      </c>
      <c r="F1175" s="986"/>
      <c r="G1175" s="967" t="n">
        <f aca="false">IF(F1175&gt;0,D1175*F1175,E1175*D1175)</f>
        <v>21156.1827135508</v>
      </c>
      <c r="H1175" s="970" t="n">
        <f aca="false">D1175*E1175*$H$1166</f>
        <v>21156.1827135508</v>
      </c>
      <c r="I1175" s="936" t="n">
        <f aca="false">IF(G1175&gt;H1175,G1175,H1175)*$H$1111</f>
        <v>21156.1827135508</v>
      </c>
      <c r="J1175" s="931"/>
      <c r="K1175" s="937"/>
    </row>
    <row r="1176" customFormat="false" ht="15.75" hidden="true" customHeight="false" outlineLevel="0" collapsed="false">
      <c r="A1176" s="937"/>
      <c r="B1176" s="995" t="str">
        <f aca="false">крыша!G274</f>
        <v>карнизная планка</v>
      </c>
      <c r="C1176" s="993" t="s">
        <v>15</v>
      </c>
      <c r="D1176" s="967" t="n">
        <f aca="false">крыша!J274</f>
        <v>18</v>
      </c>
      <c r="E1176" s="986" t="n">
        <f aca="false">крыша!K274</f>
        <v>100</v>
      </c>
      <c r="F1176" s="986"/>
      <c r="G1176" s="967" t="n">
        <f aca="false">IF(F1176&gt;0,D1176*F1176,E1176*D1176)</f>
        <v>1800</v>
      </c>
      <c r="H1176" s="970" t="n">
        <f aca="false">D1176*E1176*$H$1166</f>
        <v>1800</v>
      </c>
      <c r="I1176" s="936" t="n">
        <f aca="false">IF(G1176&gt;H1176,G1176,H1176)*$H$1111</f>
        <v>1800</v>
      </c>
      <c r="J1176" s="931"/>
      <c r="K1176" s="937"/>
    </row>
    <row r="1177" customFormat="false" ht="15.75" hidden="true" customHeight="false" outlineLevel="0" collapsed="false">
      <c r="A1177" s="937"/>
      <c r="B1177" s="995" t="str">
        <f aca="false">крыша!G275</f>
        <v>торцевая планка</v>
      </c>
      <c r="C1177" s="993" t="s">
        <v>15</v>
      </c>
      <c r="D1177" s="967" t="n">
        <f aca="false">крыша!J275</f>
        <v>23.5068696817231</v>
      </c>
      <c r="E1177" s="986" t="n">
        <f aca="false">крыша!K275</f>
        <v>100</v>
      </c>
      <c r="F1177" s="986"/>
      <c r="G1177" s="967" t="n">
        <f aca="false">IF(F1177&gt;0,D1177*F1177,E1177*D1177)</f>
        <v>2350.68696817231</v>
      </c>
      <c r="H1177" s="970" t="n">
        <f aca="false">D1177*E1177*$H$1166</f>
        <v>2350.68696817231</v>
      </c>
      <c r="I1177" s="936" t="n">
        <f aca="false">IF(G1177&gt;H1177,G1177,H1177)*$H$1111</f>
        <v>2350.68696817231</v>
      </c>
      <c r="J1177" s="931"/>
      <c r="K1177" s="937"/>
    </row>
    <row r="1178" customFormat="false" ht="15.75" hidden="true" customHeight="false" outlineLevel="0" collapsed="false">
      <c r="A1178" s="937"/>
      <c r="B1178" s="995" t="str">
        <f aca="false">крыша!G276</f>
        <v>конек</v>
      </c>
      <c r="C1178" s="993" t="s">
        <v>15</v>
      </c>
      <c r="D1178" s="967" t="n">
        <f aca="false">крыша!J276</f>
        <v>9</v>
      </c>
      <c r="E1178" s="986" t="n">
        <f aca="false">крыша!K276</f>
        <v>300</v>
      </c>
      <c r="F1178" s="986"/>
      <c r="G1178" s="967" t="n">
        <f aca="false">IF(F1178&gt;0,D1178*F1178,E1178*D1178)</f>
        <v>2700</v>
      </c>
      <c r="H1178" s="970" t="n">
        <f aca="false">D1178*E1178*$H$1166</f>
        <v>2700</v>
      </c>
      <c r="I1178" s="936" t="n">
        <f aca="false">IF(G1178&gt;H1178,G1178,H1178)*$H$1111</f>
        <v>2700</v>
      </c>
      <c r="J1178" s="931"/>
      <c r="K1178" s="937"/>
    </row>
    <row r="1179" customFormat="false" ht="15.75" hidden="true" customHeight="false" outlineLevel="0" collapsed="false">
      <c r="A1179" s="937"/>
      <c r="B1179" s="995" t="str">
        <f aca="false">крыша!G277</f>
        <v>желоб водосточный</v>
      </c>
      <c r="C1179" s="993" t="s">
        <v>15</v>
      </c>
      <c r="D1179" s="967" t="n">
        <f aca="false">крыша!J277</f>
        <v>18</v>
      </c>
      <c r="E1179" s="986" t="n">
        <f aca="false">крыша!K277</f>
        <v>300</v>
      </c>
      <c r="F1179" s="986"/>
      <c r="G1179" s="967" t="n">
        <f aca="false">IF(F1179&gt;0,D1179*F1179,E1179*D1179)</f>
        <v>5400</v>
      </c>
      <c r="H1179" s="970" t="n">
        <f aca="false">D1179*E1179*$H$1166</f>
        <v>5400</v>
      </c>
      <c r="I1179" s="936" t="n">
        <f aca="false">IF(G1179&gt;H1179,G1179,H1179)*$H$1111</f>
        <v>5400</v>
      </c>
      <c r="J1179" s="931"/>
      <c r="K1179" s="937"/>
    </row>
    <row r="1180" customFormat="false" ht="15.75" hidden="true" customHeight="false" outlineLevel="0" collapsed="false">
      <c r="A1180" s="937"/>
      <c r="B1180" s="995" t="str">
        <f aca="false">крыша!G278</f>
        <v>труба водосточная</v>
      </c>
      <c r="C1180" s="993" t="s">
        <v>15</v>
      </c>
      <c r="D1180" s="967" t="n">
        <f aca="false">крыша!J278</f>
        <v>10.8</v>
      </c>
      <c r="E1180" s="986" t="n">
        <f aca="false">крыша!K278</f>
        <v>300</v>
      </c>
      <c r="F1180" s="986"/>
      <c r="G1180" s="967" t="n">
        <f aca="false">IF(F1180&gt;0,D1180*F1180,E1180*D1180)</f>
        <v>3240</v>
      </c>
      <c r="H1180" s="970" t="n">
        <f aca="false">D1180*E1180*$H$1166</f>
        <v>3240</v>
      </c>
      <c r="I1180" s="936" t="n">
        <f aca="false">IF(G1180&gt;H1180,G1180,H1180)*$H$1111</f>
        <v>3240</v>
      </c>
      <c r="J1180" s="931"/>
      <c r="K1180" s="937"/>
    </row>
    <row r="1181" customFormat="false" ht="15.75" hidden="true" customHeight="false" outlineLevel="0" collapsed="false">
      <c r="A1181" s="937"/>
      <c r="B1181" s="995" t="str">
        <f aca="false">крыша!G279</f>
        <v>Монтаж фанеры/osb</v>
      </c>
      <c r="C1181" s="993" t="s">
        <v>820</v>
      </c>
      <c r="D1181" s="992" t="n">
        <f aca="false">крыша!J279</f>
        <v>0</v>
      </c>
      <c r="E1181" s="986" t="n">
        <f aca="false">крыша!K279</f>
        <v>200</v>
      </c>
      <c r="F1181" s="986"/>
      <c r="G1181" s="967" t="n">
        <f aca="false">IF(F1181&gt;0,D1181*F1181,E1181*D1181)</f>
        <v>0</v>
      </c>
      <c r="H1181" s="970" t="n">
        <f aca="false">D1181*E1181*$H$1166</f>
        <v>0</v>
      </c>
      <c r="I1181" s="936" t="n">
        <f aca="false">IF(G1181&gt;H1181,G1181,H1181)*$H$1111</f>
        <v>0</v>
      </c>
      <c r="J1181" s="931"/>
      <c r="K1181" s="937"/>
    </row>
    <row r="1182" customFormat="false" ht="15.75" hidden="true" customHeight="false" outlineLevel="0" collapsed="false">
      <c r="A1182" s="937"/>
      <c r="B1182" s="995" t="str">
        <f aca="false">крыша!G280</f>
        <v>монтаж подкладочного ковра</v>
      </c>
      <c r="C1182" s="993" t="s">
        <v>820</v>
      </c>
      <c r="D1182" s="992" t="n">
        <f aca="false">крыша!J297</f>
        <v>0</v>
      </c>
      <c r="E1182" s="986" t="n">
        <f aca="false">крыша!K297</f>
        <v>0</v>
      </c>
      <c r="F1182" s="986"/>
      <c r="G1182" s="967" t="n">
        <f aca="false">IF(F1182&gt;0,D1182*F1182,E1182*D1182)</f>
        <v>0</v>
      </c>
      <c r="H1182" s="970" t="n">
        <f aca="false">D1182*E1182*$H$1166</f>
        <v>0</v>
      </c>
      <c r="I1182" s="936" t="n">
        <f aca="false">IF(G1182&gt;H1182,G1182,H1182)*$H$1111</f>
        <v>0</v>
      </c>
      <c r="J1182" s="931"/>
      <c r="K1182" s="937"/>
    </row>
    <row r="1183" customFormat="false" ht="15.75" hidden="true" customHeight="false" outlineLevel="0" collapsed="false">
      <c r="A1183" s="937"/>
      <c r="B1183" s="995" t="str">
        <f aca="false">крыша!G281</f>
        <v>Монтаж мягкой кровли</v>
      </c>
      <c r="C1183" s="993" t="s">
        <v>820</v>
      </c>
      <c r="D1183" s="992" t="n">
        <f aca="false">крыша!J298</f>
        <v>0</v>
      </c>
      <c r="E1183" s="986" t="n">
        <f aca="false">крыша!K298</f>
        <v>0</v>
      </c>
      <c r="F1183" s="986"/>
      <c r="G1183" s="967" t="n">
        <f aca="false">IF(F1183&gt;0,D1183*F1183,E1183*D1183)</f>
        <v>0</v>
      </c>
      <c r="H1183" s="970" t="n">
        <f aca="false">D1183*E1183*$H$1166</f>
        <v>0</v>
      </c>
      <c r="I1183" s="936" t="n">
        <f aca="false">IF(G1183&gt;H1183,G1183,H1183)*$H$1111</f>
        <v>0</v>
      </c>
      <c r="J1183" s="931"/>
      <c r="K1183" s="937"/>
    </row>
    <row r="1184" customFormat="false" ht="15.75" hidden="true" customHeight="false" outlineLevel="0" collapsed="false">
      <c r="A1184" s="937"/>
      <c r="B1184" s="973" t="s">
        <v>2248</v>
      </c>
      <c r="C1184" s="973"/>
      <c r="D1184" s="973"/>
      <c r="E1184" s="973"/>
      <c r="F1184" s="973"/>
      <c r="G1184" s="970" t="n">
        <f aca="false">SUM(G1167:G1183)*H1166</f>
        <v>167544.682184003</v>
      </c>
      <c r="H1184" s="970" t="n">
        <f aca="false">SUM(H1167:H1183)</f>
        <v>167544.682184003</v>
      </c>
      <c r="I1184" s="936" t="n">
        <f aca="false">IF(G1184&gt;H1184,G1184,H1184)*$H$1111</f>
        <v>167544.682184003</v>
      </c>
      <c r="J1184" s="931"/>
      <c r="K1184" s="937"/>
    </row>
    <row r="1185" customFormat="false" ht="21" hidden="true" customHeight="false" outlineLevel="0" collapsed="false">
      <c r="A1185" s="937"/>
      <c r="B1185" s="1036" t="s">
        <v>2269</v>
      </c>
      <c r="C1185" s="1036"/>
      <c r="D1185" s="1036"/>
      <c r="E1185" s="1036"/>
      <c r="F1185" s="1036"/>
      <c r="G1185" s="977"/>
      <c r="H1185" s="1007" t="n">
        <f aca="false">дома!I1115</f>
        <v>0</v>
      </c>
      <c r="I1185" s="1026" t="n">
        <f aca="false">H1185</f>
        <v>0</v>
      </c>
      <c r="J1185" s="931"/>
      <c r="K1185" s="937"/>
    </row>
    <row r="1186" customFormat="false" ht="15.75" hidden="true" customHeight="false" outlineLevel="0" collapsed="false">
      <c r="A1186" s="931"/>
      <c r="B1186" s="1008" t="s">
        <v>2246</v>
      </c>
      <c r="C1186" s="1008"/>
      <c r="D1186" s="1008"/>
      <c r="E1186" s="1008"/>
      <c r="F1186" s="1008"/>
      <c r="G1186" s="977"/>
      <c r="H1186" s="1009" t="n">
        <f aca="false">H1185</f>
        <v>0</v>
      </c>
      <c r="I1186" s="1026" t="n">
        <f aca="false">H1186</f>
        <v>0</v>
      </c>
      <c r="J1186" s="931"/>
      <c r="K1186" s="937"/>
    </row>
    <row r="1187" customFormat="false" ht="15.75" hidden="true" customHeight="false" outlineLevel="0" collapsed="false">
      <c r="A1187" s="931"/>
      <c r="B1187" s="992" t="str">
        <f aca="false">крыша!A347</f>
        <v>нет</v>
      </c>
      <c r="C1187" s="993" t="str">
        <f aca="false">крыша!B347</f>
        <v>м3</v>
      </c>
      <c r="D1187" s="992" t="n">
        <f aca="false">крыша!C347</f>
        <v>0</v>
      </c>
      <c r="E1187" s="992" t="n">
        <f aca="false">крыша!D347</f>
        <v>0</v>
      </c>
      <c r="F1187" s="992"/>
      <c r="G1187" s="967" t="n">
        <f aca="false">IF(F1187&gt;0,D1187*F1187,E1187*D1187)</f>
        <v>0</v>
      </c>
      <c r="H1187" s="975" t="n">
        <f aca="false">D1187*E1187*$H$1186</f>
        <v>0</v>
      </c>
      <c r="I1187" s="936" t="n">
        <f aca="false">IF(G1187&gt;H1187,G1187,H1187)*$H$1185</f>
        <v>0</v>
      </c>
      <c r="J1187" s="931"/>
      <c r="K1187" s="937"/>
    </row>
    <row r="1188" customFormat="false" ht="15.75" hidden="true" customHeight="false" outlineLevel="0" collapsed="false">
      <c r="A1188" s="937"/>
      <c r="B1188" s="992" t="str">
        <f aca="false">крыша!A348</f>
        <v>Болты анкерные с гайкой 12,0 х 280          </v>
      </c>
      <c r="C1188" s="993" t="str">
        <f aca="false">крыша!B348</f>
        <v>шт</v>
      </c>
      <c r="D1188" s="992" t="n">
        <f aca="false">крыша!C348</f>
        <v>35.2</v>
      </c>
      <c r="E1188" s="992" t="n">
        <f aca="false">крыша!D348</f>
        <v>27.1</v>
      </c>
      <c r="F1188" s="992"/>
      <c r="G1188" s="967" t="n">
        <f aca="false">IF(F1188&gt;0,D1188*F1188,E1188*D1188)</f>
        <v>953.92</v>
      </c>
      <c r="H1188" s="975" t="n">
        <f aca="false">D1188*E1188*$H$1186</f>
        <v>0</v>
      </c>
      <c r="I1188" s="936" t="n">
        <f aca="false">IF(G1188&gt;H1188,G1188,H1188)*$H$1185</f>
        <v>0</v>
      </c>
      <c r="J1188" s="931"/>
      <c r="K1188" s="937"/>
    </row>
    <row r="1189" customFormat="false" ht="15.75" hidden="true" customHeight="false" outlineLevel="0" collapsed="false">
      <c r="A1189" s="937"/>
      <c r="B1189" s="992" t="str">
        <f aca="false">крыша!A349</f>
        <v>Доска сырая, 150*50мм</v>
      </c>
      <c r="C1189" s="993" t="str">
        <f aca="false">крыша!B349</f>
        <v>м3</v>
      </c>
      <c r="D1189" s="992" t="n">
        <f aca="false">крыша!C349</f>
        <v>2.29942915439753</v>
      </c>
      <c r="E1189" s="992" t="n">
        <f aca="false">крыша!D349</f>
        <v>6500</v>
      </c>
      <c r="F1189" s="992"/>
      <c r="G1189" s="967" t="n">
        <f aca="false">IF(F1189&gt;0,D1189*F1189,E1189*D1189)</f>
        <v>14946.289503584</v>
      </c>
      <c r="H1189" s="975" t="n">
        <f aca="false">D1189*E1189*$H$1186</f>
        <v>0</v>
      </c>
      <c r="I1189" s="936" t="n">
        <f aca="false">IF(G1189&gt;H1189,G1189,H1189)*$H$1185</f>
        <v>0</v>
      </c>
      <c r="J1189" s="931"/>
      <c r="K1189" s="937"/>
    </row>
    <row r="1190" customFormat="false" ht="15.75" hidden="true" customHeight="false" outlineLevel="0" collapsed="false">
      <c r="A1190" s="937"/>
      <c r="B1190" s="992" t="str">
        <f aca="false">крыша!A350</f>
        <v>бугель, доска </v>
      </c>
      <c r="C1190" s="993" t="str">
        <f aca="false">крыша!B350</f>
        <v>м3</v>
      </c>
      <c r="D1190" s="992" t="n">
        <f aca="false">крыша!C350</f>
        <v>0.21</v>
      </c>
      <c r="E1190" s="992" t="n">
        <f aca="false">крыша!D350</f>
        <v>6500</v>
      </c>
      <c r="F1190" s="992"/>
      <c r="G1190" s="967" t="n">
        <f aca="false">IF(F1190&gt;0,D1190*F1190,E1190*D1190)</f>
        <v>1365</v>
      </c>
      <c r="H1190" s="975" t="n">
        <f aca="false">D1190*E1190*$H$1186</f>
        <v>0</v>
      </c>
      <c r="I1190" s="936" t="n">
        <f aca="false">IF(G1190&gt;H1190,G1190,H1190)*$H$1185</f>
        <v>0</v>
      </c>
      <c r="J1190" s="931"/>
      <c r="K1190" s="937"/>
    </row>
    <row r="1191" customFormat="false" ht="15.75" hidden="true" customHeight="false" outlineLevel="0" collapsed="false">
      <c r="A1191" s="937"/>
      <c r="B1191" s="992" t="str">
        <f aca="false">крыша!A351</f>
        <v>стойка под конек</v>
      </c>
      <c r="C1191" s="993" t="str">
        <f aca="false">крыша!B351</f>
        <v>м3</v>
      </c>
      <c r="D1191" s="992" t="n">
        <f aca="false">крыша!C351</f>
        <v>0.08925</v>
      </c>
      <c r="E1191" s="992" t="n">
        <f aca="false">крыша!D351</f>
        <v>6500</v>
      </c>
      <c r="F1191" s="992"/>
      <c r="G1191" s="967" t="n">
        <f aca="false">IF(F1191&gt;0,D1191*F1191,E1191*D1191)</f>
        <v>580.125</v>
      </c>
      <c r="H1191" s="975" t="n">
        <f aca="false">D1191*E1191*$H$1186</f>
        <v>0</v>
      </c>
      <c r="I1191" s="936" t="n">
        <f aca="false">IF(G1191&gt;H1191,G1191,H1191)*$H$1185</f>
        <v>0</v>
      </c>
      <c r="J1191" s="931"/>
      <c r="K1191" s="937"/>
    </row>
    <row r="1192" customFormat="false" ht="15.75" hidden="true" customHeight="false" outlineLevel="0" collapsed="false">
      <c r="A1192" s="937"/>
      <c r="B1192" s="992" t="str">
        <f aca="false">крыша!A352</f>
        <v>Сосна влаж,100*25мм</v>
      </c>
      <c r="C1192" s="993" t="str">
        <f aca="false">крыша!B352</f>
        <v>м3</v>
      </c>
      <c r="D1192" s="992" t="n">
        <f aca="false">крыша!C352</f>
        <v>1.11063020763307</v>
      </c>
      <c r="E1192" s="992" t="n">
        <f aca="false">крыша!D352</f>
        <v>6500</v>
      </c>
      <c r="F1192" s="992"/>
      <c r="G1192" s="967" t="n">
        <f aca="false">IF(F1192&gt;0,D1192*F1192,E1192*D1192)</f>
        <v>7219.09634961497</v>
      </c>
      <c r="H1192" s="975" t="n">
        <f aca="false">D1192*E1192*$H$1186</f>
        <v>0</v>
      </c>
      <c r="I1192" s="936" t="n">
        <f aca="false">IF(G1192&gt;H1192,G1192,H1192)*$H$1185</f>
        <v>0</v>
      </c>
      <c r="J1192" s="931"/>
      <c r="K1192" s="937"/>
    </row>
    <row r="1193" customFormat="false" ht="15.75" hidden="true" customHeight="false" outlineLevel="0" collapsed="false">
      <c r="A1193" s="937"/>
      <c r="B1193" s="992" t="str">
        <f aca="false">крыша!A353</f>
        <v>Сосна влаж, 50*50мм</v>
      </c>
      <c r="C1193" s="993" t="str">
        <f aca="false">крыша!B353</f>
        <v>м3</v>
      </c>
      <c r="D1193" s="992" t="n">
        <f aca="false">крыша!C353</f>
        <v>1.11063020763307</v>
      </c>
      <c r="E1193" s="992" t="n">
        <f aca="false">крыша!D353</f>
        <v>6500</v>
      </c>
      <c r="F1193" s="992"/>
      <c r="G1193" s="967" t="n">
        <f aca="false">IF(F1193&gt;0,D1193*F1193,E1193*D1193)</f>
        <v>7219.09634961497</v>
      </c>
      <c r="H1193" s="975" t="n">
        <f aca="false">D1193*E1193*$H$1186</f>
        <v>0</v>
      </c>
      <c r="I1193" s="936" t="n">
        <f aca="false">IF(G1193&gt;H1193,G1193,H1193)*$H$1185</f>
        <v>0</v>
      </c>
      <c r="J1193" s="931"/>
      <c r="K1193" s="937"/>
    </row>
    <row r="1194" customFormat="false" ht="15.75" hidden="true" customHeight="false" outlineLevel="0" collapsed="false">
      <c r="A1194" s="937"/>
      <c r="B1194" s="992" t="str">
        <f aca="false">крыша!A354</f>
        <v>Универсальная Optima C</v>
      </c>
      <c r="C1194" s="993" t="str">
        <f aca="false">крыша!B354</f>
        <v>м2</v>
      </c>
      <c r="D1194" s="992" t="n">
        <f aca="false">крыша!C354</f>
        <v>148.08402768441</v>
      </c>
      <c r="E1194" s="992" t="n">
        <f aca="false">крыша!D354</f>
        <v>19</v>
      </c>
      <c r="F1194" s="992"/>
      <c r="G1194" s="967" t="n">
        <f aca="false">IF(F1194&gt;0,D1194*F1194,E1194*D1194)</f>
        <v>2813.59652600378</v>
      </c>
      <c r="H1194" s="975" t="n">
        <f aca="false">D1194*E1194*$H$1186</f>
        <v>0</v>
      </c>
      <c r="I1194" s="936" t="n">
        <f aca="false">IF(G1194&gt;H1194,G1194,H1194)*$H$1185</f>
        <v>0</v>
      </c>
      <c r="J1194" s="931"/>
      <c r="K1194" s="937"/>
    </row>
    <row r="1195" customFormat="false" ht="15.75" hidden="true" customHeight="false" outlineLevel="0" collapsed="false">
      <c r="A1195" s="937"/>
      <c r="B1195" s="992" t="str">
        <f aca="false">крыша!A355</f>
        <v>Универсальная Optima C</v>
      </c>
      <c r="C1195" s="993" t="str">
        <f aca="false">крыша!B355</f>
        <v>м2</v>
      </c>
      <c r="D1195" s="992" t="n">
        <f aca="false">крыша!C355</f>
        <v>148.08402768441</v>
      </c>
      <c r="E1195" s="992" t="n">
        <f aca="false">крыша!D355</f>
        <v>20</v>
      </c>
      <c r="F1195" s="992"/>
      <c r="G1195" s="967" t="n">
        <f aca="false">IF(F1195&gt;0,D1195*F1195,E1195*D1195)</f>
        <v>2961.68055368819</v>
      </c>
      <c r="H1195" s="975" t="n">
        <f aca="false">D1195*E1195*$H$1186</f>
        <v>0</v>
      </c>
      <c r="I1195" s="936" t="n">
        <f aca="false">IF(G1195&gt;H1195,G1195,H1195)*$H$1185</f>
        <v>0</v>
      </c>
      <c r="J1195" s="931"/>
      <c r="K1195" s="937"/>
    </row>
    <row r="1196" customFormat="false" ht="15.75" hidden="true" customHeight="false" outlineLevel="0" collapsed="false">
      <c r="A1196" s="937"/>
      <c r="B1196" s="992" t="str">
        <f aca="false">крыша!A356</f>
        <v>Плитный,28кг/м3, технониколь, 100мм</v>
      </c>
      <c r="C1196" s="993" t="str">
        <f aca="false">крыша!B356</f>
        <v>м3</v>
      </c>
      <c r="D1196" s="992" t="n">
        <f aca="false">крыша!C356</f>
        <v>10.5774305488864</v>
      </c>
      <c r="E1196" s="992" t="n">
        <f aca="false">крыша!D356</f>
        <v>1700</v>
      </c>
      <c r="F1196" s="992"/>
      <c r="G1196" s="967" t="n">
        <f aca="false">IF(F1196&gt;0,D1196*F1196,E1196*D1196)</f>
        <v>17981.6319331069</v>
      </c>
      <c r="H1196" s="975" t="n">
        <f aca="false">D1196*E1196*$H$1186</f>
        <v>0</v>
      </c>
      <c r="I1196" s="936" t="n">
        <f aca="false">IF(G1196&gt;H1196,G1196,H1196)*$H$1185</f>
        <v>0</v>
      </c>
      <c r="J1196" s="931"/>
      <c r="K1196" s="937"/>
    </row>
    <row r="1197" customFormat="false" ht="15.75" hidden="true" customHeight="false" outlineLevel="0" collapsed="false">
      <c r="A1197" s="937"/>
      <c r="B1197" s="992" t="str">
        <f aca="false">крыша!A357</f>
        <v>металлочерепица</v>
      </c>
      <c r="C1197" s="993" t="str">
        <f aca="false">крыша!B357</f>
        <v>м2</v>
      </c>
      <c r="D1197" s="992" t="n">
        <f aca="false">крыша!C357</f>
        <v>148.08402768441</v>
      </c>
      <c r="E1197" s="992" t="n">
        <f aca="false">крыша!D357</f>
        <v>250</v>
      </c>
      <c r="F1197" s="992"/>
      <c r="G1197" s="967" t="n">
        <f aca="false">IF(F1197&gt;0,D1197*F1197,E1197*D1197)</f>
        <v>37021.0069211024</v>
      </c>
      <c r="H1197" s="975" t="n">
        <f aca="false">D1197*E1197*$H$1186</f>
        <v>0</v>
      </c>
      <c r="I1197" s="936" t="n">
        <f aca="false">IF(G1197&gt;H1197,G1197,H1197)*$H$1185</f>
        <v>0</v>
      </c>
      <c r="J1197" s="931"/>
      <c r="K1197" s="937"/>
    </row>
    <row r="1198" customFormat="false" ht="15.75" hidden="true" customHeight="false" outlineLevel="0" collapsed="false">
      <c r="A1198" s="937"/>
      <c r="B1198" s="992" t="str">
        <f aca="false">крыша!A358</f>
        <v>Конек</v>
      </c>
      <c r="C1198" s="993" t="str">
        <f aca="false">крыша!B358</f>
        <v>м.п.</v>
      </c>
      <c r="D1198" s="992" t="n">
        <f aca="false">крыша!C358</f>
        <v>28.6093426907597</v>
      </c>
      <c r="E1198" s="992" t="n">
        <f aca="false">крыша!D358</f>
        <v>200</v>
      </c>
      <c r="F1198" s="992"/>
      <c r="G1198" s="967" t="n">
        <f aca="false">IF(F1198&gt;0,D1198*F1198,E1198*D1198)</f>
        <v>5721.86853815194</v>
      </c>
      <c r="H1198" s="975" t="n">
        <f aca="false">D1198*E1198*$H$1186</f>
        <v>0</v>
      </c>
      <c r="I1198" s="936" t="n">
        <f aca="false">IF(G1198&gt;H1198,G1198,H1198)*$H$1185</f>
        <v>0</v>
      </c>
      <c r="J1198" s="931"/>
      <c r="K1198" s="937"/>
    </row>
    <row r="1199" customFormat="false" ht="15.75" hidden="true" customHeight="false" outlineLevel="0" collapsed="false">
      <c r="A1199" s="937"/>
      <c r="B1199" s="992" t="str">
        <f aca="false">крыша!A359</f>
        <v>Карнизная планка</v>
      </c>
      <c r="C1199" s="993" t="str">
        <f aca="false">крыша!B359</f>
        <v>м.п.</v>
      </c>
      <c r="D1199" s="992" t="n">
        <f aca="false">крыша!C359</f>
        <v>72</v>
      </c>
      <c r="E1199" s="992" t="n">
        <f aca="false">крыша!D359</f>
        <v>190</v>
      </c>
      <c r="F1199" s="992"/>
      <c r="G1199" s="967" t="n">
        <f aca="false">IF(F1199&gt;0,D1199*F1199,E1199*D1199)</f>
        <v>13680</v>
      </c>
      <c r="H1199" s="975" t="n">
        <f aca="false">D1199*E1199*$H$1186</f>
        <v>0</v>
      </c>
      <c r="I1199" s="936" t="n">
        <f aca="false">IF(G1199&gt;H1199,G1199,H1199)*$H$1185</f>
        <v>0</v>
      </c>
      <c r="J1199" s="931"/>
      <c r="K1199" s="937"/>
    </row>
    <row r="1200" customFormat="false" ht="15.75" hidden="true" customHeight="false" outlineLevel="0" collapsed="false">
      <c r="A1200" s="937"/>
      <c r="B1200" s="992" t="str">
        <f aca="false">крыша!A360</f>
        <v>ондулин</v>
      </c>
      <c r="C1200" s="993" t="str">
        <f aca="false">крыша!B360</f>
        <v>м2</v>
      </c>
      <c r="D1200" s="992" t="n">
        <f aca="false">крыша!C360</f>
        <v>0</v>
      </c>
      <c r="E1200" s="992" t="n">
        <f aca="false">крыша!D360</f>
        <v>180</v>
      </c>
      <c r="F1200" s="992"/>
      <c r="G1200" s="967" t="n">
        <f aca="false">IF(F1200&gt;0,D1200*F1200,E1200*D1200)</f>
        <v>0</v>
      </c>
      <c r="H1200" s="975" t="n">
        <f aca="false">D1200*E1200*$H$1186</f>
        <v>0</v>
      </c>
      <c r="I1200" s="936" t="n">
        <f aca="false">IF(G1200&gt;H1200,G1200,H1200)*$H$1185</f>
        <v>0</v>
      </c>
      <c r="J1200" s="931"/>
      <c r="K1200" s="937"/>
    </row>
    <row r="1201" customFormat="false" ht="15.75" hidden="true" customHeight="false" outlineLevel="0" collapsed="false">
      <c r="A1201" s="937"/>
      <c r="B1201" s="992" t="str">
        <f aca="false">крыша!A361</f>
        <v>Карнизная планка</v>
      </c>
      <c r="C1201" s="993" t="str">
        <f aca="false">крыша!B361</f>
        <v>м.п.</v>
      </c>
      <c r="D1201" s="992" t="n">
        <f aca="false">крыша!C361</f>
        <v>0</v>
      </c>
      <c r="E1201" s="992" t="n">
        <f aca="false">крыша!D361</f>
        <v>190</v>
      </c>
      <c r="F1201" s="992"/>
      <c r="G1201" s="967" t="n">
        <f aca="false">IF(F1201&gt;0,D1201*F1201,E1201*D1201)</f>
        <v>0</v>
      </c>
      <c r="H1201" s="975" t="n">
        <f aca="false">D1201*E1201*$H$1186</f>
        <v>0</v>
      </c>
      <c r="I1201" s="936" t="n">
        <f aca="false">IF(G1201&gt;H1201,G1201,H1201)*$H$1185</f>
        <v>0</v>
      </c>
      <c r="J1201" s="931"/>
      <c r="K1201" s="937"/>
    </row>
    <row r="1202" customFormat="false" ht="15.75" hidden="true" customHeight="false" outlineLevel="0" collapsed="false">
      <c r="A1202" s="937"/>
      <c r="B1202" s="992" t="str">
        <f aca="false">крыша!A362</f>
        <v>Конек</v>
      </c>
      <c r="C1202" s="993" t="str">
        <f aca="false">крыша!B362</f>
        <v>м.п.</v>
      </c>
      <c r="D1202" s="992" t="n">
        <f aca="false">крыша!C362</f>
        <v>0</v>
      </c>
      <c r="E1202" s="992" t="n">
        <f aca="false">крыша!D362</f>
        <v>200</v>
      </c>
      <c r="F1202" s="992"/>
      <c r="G1202" s="967" t="n">
        <f aca="false">IF(F1202&gt;0,D1202*F1202,E1202*D1202)</f>
        <v>0</v>
      </c>
      <c r="H1202" s="975" t="n">
        <f aca="false">D1202*E1202*$H$1186</f>
        <v>0</v>
      </c>
      <c r="I1202" s="936" t="n">
        <f aca="false">IF(G1202&gt;H1202,G1202,H1202)*$H$1185</f>
        <v>0</v>
      </c>
      <c r="J1202" s="931"/>
      <c r="K1202" s="937"/>
    </row>
    <row r="1203" customFormat="false" ht="15.75" hidden="true" customHeight="false" outlineLevel="0" collapsed="false">
      <c r="A1203" s="937"/>
      <c r="B1203" s="992" t="str">
        <f aca="false">крыша!A363</f>
        <v>Крепеж для ондулина</v>
      </c>
      <c r="C1203" s="993" t="str">
        <f aca="false">крыша!B363</f>
        <v>шт</v>
      </c>
      <c r="D1203" s="992" t="n">
        <f aca="false">крыша!C363</f>
        <v>0</v>
      </c>
      <c r="E1203" s="992" t="n">
        <f aca="false">крыша!D363</f>
        <v>4.5</v>
      </c>
      <c r="F1203" s="992"/>
      <c r="G1203" s="967" t="n">
        <f aca="false">IF(F1203&gt;0,D1203*F1203,E1203*D1203)</f>
        <v>0</v>
      </c>
      <c r="H1203" s="975" t="n">
        <f aca="false">D1203*E1203*$H$1186</f>
        <v>0</v>
      </c>
      <c r="I1203" s="936" t="n">
        <f aca="false">IF(G1203&gt;H1203,G1203,H1203)*$H$1185</f>
        <v>0</v>
      </c>
      <c r="J1203" s="931"/>
      <c r="K1203" s="937"/>
    </row>
    <row r="1204" customFormat="false" ht="15.75" hidden="true" customHeight="false" outlineLevel="0" collapsed="false">
      <c r="A1204" s="937"/>
      <c r="B1204" s="992" t="str">
        <f aca="false">крыша!A364</f>
        <v>нет</v>
      </c>
      <c r="C1204" s="993" t="s">
        <v>820</v>
      </c>
      <c r="D1204" s="992" t="n">
        <f aca="false">крыша!C364</f>
        <v>148.08402768441</v>
      </c>
      <c r="E1204" s="992" t="n">
        <f aca="false">крыша!D364</f>
        <v>0</v>
      </c>
      <c r="F1204" s="992"/>
      <c r="G1204" s="967" t="n">
        <f aca="false">IF(F1204&gt;0,D1204*F1204,E1204*D1204)</f>
        <v>0</v>
      </c>
      <c r="H1204" s="975" t="n">
        <f aca="false">D1204*E1204*$H$1186</f>
        <v>0</v>
      </c>
      <c r="I1204" s="936" t="n">
        <f aca="false">IF(G1204&gt;H1204,G1204,H1204)*$H$1185</f>
        <v>0</v>
      </c>
      <c r="J1204" s="931"/>
      <c r="K1204" s="937"/>
    </row>
    <row r="1205" customFormat="false" ht="15.75" hidden="true" customHeight="false" outlineLevel="0" collapsed="false">
      <c r="A1205" s="937"/>
      <c r="B1205" s="992" t="str">
        <f aca="false">крыша!A365</f>
        <v>Рядовая черепица</v>
      </c>
      <c r="C1205" s="993" t="str">
        <f aca="false">крыша!B365</f>
        <v>м.п.</v>
      </c>
      <c r="D1205" s="992" t="n">
        <f aca="false">крыша!C365</f>
        <v>0</v>
      </c>
      <c r="E1205" s="992" t="n">
        <f aca="false">крыша!D365</f>
        <v>360</v>
      </c>
      <c r="F1205" s="992"/>
      <c r="G1205" s="967" t="n">
        <f aca="false">IF(F1205&gt;0,D1205*F1205,E1205*D1205)</f>
        <v>0</v>
      </c>
      <c r="H1205" s="975" t="n">
        <f aca="false">D1205*E1205*$H$1186</f>
        <v>0</v>
      </c>
      <c r="I1205" s="936" t="n">
        <f aca="false">IF(G1205&gt;H1205,G1205,H1205)*$H$1185</f>
        <v>0</v>
      </c>
      <c r="J1205" s="931"/>
      <c r="K1205" s="937"/>
    </row>
    <row r="1206" customFormat="false" ht="15.75" hidden="true" customHeight="false" outlineLevel="0" collapsed="false">
      <c r="A1206" s="937"/>
      <c r="B1206" s="992" t="str">
        <f aca="false">крыша!A366</f>
        <v>Металл оцинк защита (карниз)</v>
      </c>
      <c r="C1206" s="993" t="str">
        <f aca="false">крыша!B366</f>
        <v>м.п.</v>
      </c>
      <c r="D1206" s="992" t="n">
        <f aca="false">крыша!C366</f>
        <v>0</v>
      </c>
      <c r="E1206" s="992" t="n">
        <f aca="false">крыша!D366</f>
        <v>200</v>
      </c>
      <c r="F1206" s="992"/>
      <c r="G1206" s="967" t="n">
        <f aca="false">IF(F1206&gt;0,D1206*F1206,E1206*D1206)</f>
        <v>0</v>
      </c>
      <c r="H1206" s="975" t="n">
        <f aca="false">D1206*E1206*$H$1186</f>
        <v>0</v>
      </c>
      <c r="I1206" s="936" t="n">
        <f aca="false">IF(G1206&gt;H1206,G1206,H1206)*$H$1185</f>
        <v>0</v>
      </c>
      <c r="J1206" s="931"/>
      <c r="K1206" s="937"/>
    </row>
    <row r="1207" customFormat="false" ht="15.75" hidden="true" customHeight="false" outlineLevel="0" collapsed="false">
      <c r="A1207" s="937"/>
      <c r="B1207" s="992" t="str">
        <f aca="false">крыша!A367</f>
        <v>Подкладочный ковер</v>
      </c>
      <c r="C1207" s="993" t="str">
        <f aca="false">крыша!B367</f>
        <v>м2</v>
      </c>
      <c r="D1207" s="992" t="n">
        <f aca="false">крыша!C367</f>
        <v>0</v>
      </c>
      <c r="E1207" s="992" t="n">
        <f aca="false">крыша!D367</f>
        <v>220</v>
      </c>
      <c r="F1207" s="992"/>
      <c r="G1207" s="967" t="n">
        <f aca="false">IF(F1207&gt;0,D1207*F1207,E1207*D1207)</f>
        <v>0</v>
      </c>
      <c r="H1207" s="975" t="n">
        <f aca="false">D1207*E1207*$H$1186</f>
        <v>0</v>
      </c>
      <c r="I1207" s="936" t="n">
        <f aca="false">IF(G1207&gt;H1207,G1207,H1207)*$H$1185</f>
        <v>0</v>
      </c>
      <c r="J1207" s="931"/>
      <c r="K1207" s="937"/>
    </row>
    <row r="1208" customFormat="false" ht="15.75" hidden="true" customHeight="false" outlineLevel="0" collapsed="false">
      <c r="A1208" s="937"/>
      <c r="B1208" s="992" t="str">
        <f aca="false">крыша!A368</f>
        <v>Карнизная самоклеющаяся черепица</v>
      </c>
      <c r="C1208" s="993" t="str">
        <f aca="false">крыша!B368</f>
        <v>м2</v>
      </c>
      <c r="D1208" s="992" t="n">
        <f aca="false">крыша!C368</f>
        <v>0</v>
      </c>
      <c r="E1208" s="992" t="n">
        <f aca="false">крыша!D368</f>
        <v>220</v>
      </c>
      <c r="F1208" s="992"/>
      <c r="G1208" s="967" t="n">
        <f aca="false">IF(F1208&gt;0,D1208*F1208,E1208*D1208)</f>
        <v>0</v>
      </c>
      <c r="H1208" s="975" t="n">
        <f aca="false">D1208*E1208*$H$1186</f>
        <v>0</v>
      </c>
      <c r="I1208" s="936" t="n">
        <f aca="false">IF(G1208&gt;H1208,G1208,H1208)*$H$1185</f>
        <v>0</v>
      </c>
      <c r="J1208" s="931"/>
      <c r="K1208" s="937"/>
    </row>
    <row r="1209" customFormat="false" ht="15.75" hidden="true" customHeight="false" outlineLevel="0" collapsed="false">
      <c r="A1209" s="937"/>
      <c r="B1209" s="992" t="str">
        <f aca="false">крыша!A369</f>
        <v>Спец ковер ендова нижняя</v>
      </c>
      <c r="C1209" s="993" t="str">
        <f aca="false">крыша!B369</f>
        <v>м.п</v>
      </c>
      <c r="D1209" s="992" t="n">
        <f aca="false">крыша!C369</f>
        <v>0</v>
      </c>
      <c r="E1209" s="992" t="n">
        <f aca="false">крыша!D369</f>
        <v>200</v>
      </c>
      <c r="F1209" s="992"/>
      <c r="G1209" s="967" t="n">
        <f aca="false">IF(F1209&gt;0,D1209*F1209,E1209*D1209)</f>
        <v>0</v>
      </c>
      <c r="H1209" s="975" t="n">
        <f aca="false">D1209*E1209*$H$1186</f>
        <v>0</v>
      </c>
      <c r="I1209" s="936" t="n">
        <f aca="false">IF(G1209&gt;H1209,G1209,H1209)*$H$1185</f>
        <v>0</v>
      </c>
      <c r="J1209" s="931"/>
      <c r="K1209" s="937"/>
    </row>
    <row r="1210" customFormat="false" ht="15.75" hidden="true" customHeight="false" outlineLevel="0" collapsed="false">
      <c r="A1210" s="937"/>
      <c r="B1210" s="992" t="str">
        <f aca="false">крыша!A370</f>
        <v>Коньковой элемент</v>
      </c>
      <c r="C1210" s="993" t="str">
        <f aca="false">крыша!B370</f>
        <v>м.п</v>
      </c>
      <c r="D1210" s="992" t="n">
        <f aca="false">крыша!C370</f>
        <v>0</v>
      </c>
      <c r="E1210" s="992" t="n">
        <f aca="false">крыша!D370</f>
        <v>250</v>
      </c>
      <c r="F1210" s="992"/>
      <c r="G1210" s="967" t="n">
        <f aca="false">IF(F1210&gt;0,D1210*F1210,E1210*D1210)</f>
        <v>0</v>
      </c>
      <c r="H1210" s="975" t="n">
        <f aca="false">D1210*E1210*$H$1186</f>
        <v>0</v>
      </c>
      <c r="I1210" s="936" t="n">
        <f aca="false">IF(G1210&gt;H1210,G1210,H1210)*$H$1185</f>
        <v>0</v>
      </c>
      <c r="J1210" s="931"/>
      <c r="K1210" s="937"/>
    </row>
    <row r="1211" customFormat="false" ht="15.75" hidden="true" customHeight="false" outlineLevel="0" collapsed="false">
      <c r="A1211" s="937"/>
      <c r="B1211" s="992" t="str">
        <f aca="false">крыша!A371</f>
        <v>Планка премыкания</v>
      </c>
      <c r="C1211" s="993" t="s">
        <v>15</v>
      </c>
      <c r="D1211" s="992" t="n">
        <f aca="false">крыша!C371</f>
        <v>0</v>
      </c>
      <c r="E1211" s="992" t="n">
        <f aca="false">крыша!D371</f>
        <v>200</v>
      </c>
      <c r="F1211" s="992"/>
      <c r="G1211" s="967" t="n">
        <f aca="false">IF(F1211&gt;0,D1211*F1211,E1211*D1211)</f>
        <v>0</v>
      </c>
      <c r="H1211" s="975" t="n">
        <f aca="false">D1211*E1211*$H$1186</f>
        <v>0</v>
      </c>
      <c r="I1211" s="936" t="n">
        <f aca="false">IF(G1211&gt;H1211,G1211,H1211)*$H$1185</f>
        <v>0</v>
      </c>
      <c r="J1211" s="931"/>
      <c r="K1211" s="937"/>
    </row>
    <row r="1212" customFormat="false" ht="15.75" hidden="true" customHeight="false" outlineLevel="0" collapsed="false">
      <c r="A1212" s="937"/>
      <c r="B1212" s="992" t="str">
        <f aca="false">крыша!A372</f>
        <v>Гвозди для крепления подкладочного ковра</v>
      </c>
      <c r="C1212" s="993" t="str">
        <f aca="false">крыша!B372</f>
        <v>шт</v>
      </c>
      <c r="D1212" s="992" t="n">
        <f aca="false">крыша!C372</f>
        <v>0</v>
      </c>
      <c r="E1212" s="992" t="n">
        <f aca="false">крыша!D372</f>
        <v>0.012</v>
      </c>
      <c r="F1212" s="992"/>
      <c r="G1212" s="967" t="n">
        <f aca="false">IF(F1212&gt;0,D1212*F1212,E1212*D1212)</f>
        <v>0</v>
      </c>
      <c r="H1212" s="975" t="n">
        <f aca="false">D1212*E1212*$H$1186</f>
        <v>0</v>
      </c>
      <c r="I1212" s="936" t="n">
        <f aca="false">IF(G1212&gt;H1212,G1212,H1212)*$H$1185</f>
        <v>0</v>
      </c>
      <c r="J1212" s="931"/>
      <c r="K1212" s="937"/>
    </row>
    <row r="1213" customFormat="false" ht="15.75" hidden="true" customHeight="false" outlineLevel="0" collapsed="false">
      <c r="A1213" s="937"/>
      <c r="B1213" s="992" t="str">
        <f aca="false">крыша!A373</f>
        <v>Гвозди для крепления черепицы</v>
      </c>
      <c r="C1213" s="993" t="str">
        <f aca="false">крыша!B373</f>
        <v>шт</v>
      </c>
      <c r="D1213" s="992" t="n">
        <f aca="false">крыша!C373</f>
        <v>0</v>
      </c>
      <c r="E1213" s="992" t="n">
        <f aca="false">крыша!D373</f>
        <v>0.25</v>
      </c>
      <c r="F1213" s="992"/>
      <c r="G1213" s="967" t="n">
        <f aca="false">IF(F1213&gt;0,D1213*F1213,E1213*D1213)</f>
        <v>0</v>
      </c>
      <c r="H1213" s="975" t="n">
        <f aca="false">D1213*E1213*$H$1186</f>
        <v>0</v>
      </c>
      <c r="I1213" s="936" t="n">
        <f aca="false">IF(G1213&gt;H1213,G1213,H1213)*$H$1185</f>
        <v>0</v>
      </c>
      <c r="J1213" s="931"/>
      <c r="K1213" s="937"/>
    </row>
    <row r="1214" customFormat="false" ht="15.75" hidden="true" customHeight="false" outlineLevel="0" collapsed="false">
      <c r="A1214" s="937"/>
      <c r="B1214" s="992" t="str">
        <f aca="false">крыша!A374</f>
        <v>Клей для монтажа черепицы</v>
      </c>
      <c r="C1214" s="993" t="str">
        <f aca="false">крыша!B374</f>
        <v>кг</v>
      </c>
      <c r="D1214" s="992" t="n">
        <f aca="false">крыша!C374</f>
        <v>0</v>
      </c>
      <c r="E1214" s="992" t="n">
        <f aca="false">крыша!D374</f>
        <v>250</v>
      </c>
      <c r="F1214" s="992"/>
      <c r="G1214" s="967" t="n">
        <f aca="false">IF(F1214&gt;0,D1214*F1214,E1214*D1214)</f>
        <v>0</v>
      </c>
      <c r="H1214" s="975" t="n">
        <f aca="false">D1214*E1214*$H$1186</f>
        <v>0</v>
      </c>
      <c r="I1214" s="936" t="n">
        <f aca="false">IF(G1214&gt;H1214,G1214,H1214)*$H$1185</f>
        <v>0</v>
      </c>
      <c r="J1214" s="931"/>
      <c r="K1214" s="937"/>
    </row>
    <row r="1215" customFormat="false" ht="15.75" hidden="true" customHeight="false" outlineLevel="0" collapsed="false">
      <c r="A1215" s="937"/>
      <c r="B1215" s="992" t="str">
        <f aca="false">крыша!A375</f>
        <v>желоб</v>
      </c>
      <c r="C1215" s="993" t="str">
        <f aca="false">крыша!B375</f>
        <v>м.п</v>
      </c>
      <c r="D1215" s="992" t="n">
        <f aca="false">крыша!C375</f>
        <v>34</v>
      </c>
      <c r="E1215" s="992" t="n">
        <f aca="false">крыша!D375</f>
        <v>300</v>
      </c>
      <c r="F1215" s="992"/>
      <c r="G1215" s="967" t="n">
        <f aca="false">IF(F1215&gt;0,D1215*F1215,E1215*D1215)</f>
        <v>10200</v>
      </c>
      <c r="H1215" s="975" t="n">
        <f aca="false">D1215*E1215*$H$1186</f>
        <v>0</v>
      </c>
      <c r="I1215" s="936" t="n">
        <f aca="false">IF(G1215&gt;H1215,G1215,H1215)*$H$1185</f>
        <v>0</v>
      </c>
      <c r="J1215" s="931"/>
      <c r="K1215" s="937"/>
    </row>
    <row r="1216" customFormat="false" ht="15.75" hidden="true" customHeight="false" outlineLevel="0" collapsed="false">
      <c r="A1216" s="937"/>
      <c r="B1216" s="992" t="str">
        <f aca="false">крыша!A376</f>
        <v>отвод</v>
      </c>
      <c r="C1216" s="993" t="str">
        <f aca="false">крыша!B376</f>
        <v>шт</v>
      </c>
      <c r="D1216" s="992" t="n">
        <f aca="false">крыша!C376</f>
        <v>4</v>
      </c>
      <c r="E1216" s="992" t="n">
        <f aca="false">крыша!D376</f>
        <v>250</v>
      </c>
      <c r="F1216" s="992"/>
      <c r="G1216" s="967" t="n">
        <f aca="false">IF(F1216&gt;0,D1216*F1216,E1216*D1216)</f>
        <v>1000</v>
      </c>
      <c r="H1216" s="975" t="n">
        <f aca="false">D1216*E1216*$H$1186</f>
        <v>0</v>
      </c>
      <c r="I1216" s="936" t="n">
        <f aca="false">IF(G1216&gt;H1216,G1216,H1216)*$H$1185</f>
        <v>0</v>
      </c>
      <c r="J1216" s="931"/>
      <c r="K1216" s="937"/>
    </row>
    <row r="1217" customFormat="false" ht="15.75" hidden="true" customHeight="false" outlineLevel="0" collapsed="false">
      <c r="A1217" s="937"/>
      <c r="B1217" s="992" t="str">
        <f aca="false">крыша!A377</f>
        <v>труба водосточная</v>
      </c>
      <c r="C1217" s="993" t="str">
        <f aca="false">крыша!B377</f>
        <v>м.п.</v>
      </c>
      <c r="D1217" s="992" t="n">
        <f aca="false">крыша!C377</f>
        <v>9.68</v>
      </c>
      <c r="E1217" s="992" t="n">
        <f aca="false">крыша!D377</f>
        <v>300</v>
      </c>
      <c r="F1217" s="992"/>
      <c r="G1217" s="967" t="n">
        <f aca="false">IF(F1217&gt;0,D1217*F1217,E1217*D1217)</f>
        <v>2904</v>
      </c>
      <c r="H1217" s="975" t="n">
        <f aca="false">D1217*E1217*$H$1186</f>
        <v>0</v>
      </c>
      <c r="I1217" s="936" t="n">
        <f aca="false">IF(G1217&gt;H1217,G1217,H1217)*$H$1185</f>
        <v>0</v>
      </c>
      <c r="J1217" s="931"/>
      <c r="K1217" s="937"/>
    </row>
    <row r="1218" customFormat="false" ht="15.75" hidden="true" customHeight="false" outlineLevel="0" collapsed="false">
      <c r="A1218" s="937"/>
      <c r="B1218" s="992" t="str">
        <f aca="false">крыша!A378</f>
        <v>заглушка для желоба</v>
      </c>
      <c r="C1218" s="993" t="str">
        <f aca="false">крыша!B378</f>
        <v>шт</v>
      </c>
      <c r="D1218" s="992" t="n">
        <f aca="false">крыша!C378</f>
        <v>4</v>
      </c>
      <c r="E1218" s="992" t="n">
        <f aca="false">крыша!D378</f>
        <v>190</v>
      </c>
      <c r="F1218" s="992"/>
      <c r="G1218" s="967" t="n">
        <f aca="false">IF(F1218&gt;0,D1218*F1218,E1218*D1218)</f>
        <v>760</v>
      </c>
      <c r="H1218" s="975" t="n">
        <f aca="false">D1218*E1218*$H$1186</f>
        <v>0</v>
      </c>
      <c r="I1218" s="936" t="n">
        <f aca="false">IF(G1218&gt;H1218,G1218,H1218)*$H$1185</f>
        <v>0</v>
      </c>
      <c r="J1218" s="931"/>
      <c r="K1218" s="937"/>
    </row>
    <row r="1219" customFormat="false" ht="15.75" hidden="true" customHeight="false" outlineLevel="0" collapsed="false">
      <c r="A1219" s="937"/>
      <c r="B1219" s="992" t="str">
        <f aca="false">крыша!A379</f>
        <v>соеденитель для желоба</v>
      </c>
      <c r="C1219" s="993" t="str">
        <f aca="false">крыша!B379</f>
        <v>шт</v>
      </c>
      <c r="D1219" s="992" t="n">
        <f aca="false">крыша!C379</f>
        <v>12.3333333333333</v>
      </c>
      <c r="E1219" s="992" t="n">
        <f aca="false">крыша!D379</f>
        <v>180</v>
      </c>
      <c r="F1219" s="992"/>
      <c r="G1219" s="967" t="n">
        <f aca="false">IF(F1219&gt;0,D1219*F1219,E1219*D1219)</f>
        <v>2220</v>
      </c>
      <c r="H1219" s="975" t="n">
        <f aca="false">D1219*E1219*$H$1186</f>
        <v>0</v>
      </c>
      <c r="I1219" s="936" t="n">
        <f aca="false">IF(G1219&gt;H1219,G1219,H1219)*$H$1185</f>
        <v>0</v>
      </c>
      <c r="J1219" s="931"/>
      <c r="K1219" s="937"/>
    </row>
    <row r="1220" customFormat="false" ht="15.75" hidden="true" customHeight="false" outlineLevel="0" collapsed="false">
      <c r="A1220" s="937"/>
      <c r="B1220" s="992" t="str">
        <f aca="false">крыша!A380</f>
        <v>кронштейн для желоба</v>
      </c>
      <c r="C1220" s="993" t="str">
        <f aca="false">крыша!B380</f>
        <v>шт</v>
      </c>
      <c r="D1220" s="992" t="n">
        <f aca="false">крыша!C380</f>
        <v>113.333333333333</v>
      </c>
      <c r="E1220" s="992" t="n">
        <f aca="false">крыша!D380</f>
        <v>130</v>
      </c>
      <c r="F1220" s="992"/>
      <c r="G1220" s="967" t="n">
        <f aca="false">IF(F1220&gt;0,D1220*F1220,E1220*D1220)</f>
        <v>14733.3333333333</v>
      </c>
      <c r="H1220" s="975" t="n">
        <f aca="false">D1220*E1220*$H$1186</f>
        <v>0</v>
      </c>
      <c r="I1220" s="936" t="n">
        <f aca="false">IF(G1220&gt;H1220,G1220,H1220)*$H$1185</f>
        <v>0</v>
      </c>
      <c r="J1220" s="931"/>
      <c r="K1220" s="937"/>
    </row>
    <row r="1221" customFormat="false" ht="15.75" hidden="true" customHeight="false" outlineLevel="0" collapsed="false">
      <c r="A1221" s="937"/>
      <c r="B1221" s="992" t="str">
        <f aca="false">крыша!A381</f>
        <v>переход из желоба в трубу</v>
      </c>
      <c r="C1221" s="993" t="str">
        <f aca="false">крыша!B381</f>
        <v>шт</v>
      </c>
      <c r="D1221" s="992" t="n">
        <f aca="false">крыша!C381</f>
        <v>2</v>
      </c>
      <c r="E1221" s="992" t="n">
        <f aca="false">крыша!D381</f>
        <v>350</v>
      </c>
      <c r="F1221" s="992"/>
      <c r="G1221" s="967" t="n">
        <f aca="false">IF(F1221&gt;0,D1221*F1221,E1221*D1221)</f>
        <v>700</v>
      </c>
      <c r="H1221" s="975" t="n">
        <f aca="false">D1221*E1221*$H$1186</f>
        <v>0</v>
      </c>
      <c r="I1221" s="936" t="n">
        <f aca="false">IF(G1221&gt;H1221,G1221,H1221)*$H$1185</f>
        <v>0</v>
      </c>
      <c r="J1221" s="931"/>
      <c r="K1221" s="937"/>
    </row>
    <row r="1222" customFormat="false" ht="15.75" hidden="true" customHeight="false" outlineLevel="0" collapsed="false">
      <c r="A1222" s="937"/>
      <c r="B1222" s="992" t="str">
        <f aca="false">крыша!A382</f>
        <v>лента дельта мульти бэнд</v>
      </c>
      <c r="C1222" s="993" t="str">
        <f aca="false">крыша!B382</f>
        <v>шт</v>
      </c>
      <c r="D1222" s="992" t="n">
        <f aca="false">крыша!C382</f>
        <v>1</v>
      </c>
      <c r="E1222" s="992" t="n">
        <f aca="false">крыша!D382</f>
        <v>1200</v>
      </c>
      <c r="F1222" s="992"/>
      <c r="G1222" s="967" t="n">
        <f aca="false">IF(F1222&gt;0,D1222*F1222,E1222*D1222)</f>
        <v>1200</v>
      </c>
      <c r="H1222" s="975" t="n">
        <f aca="false">D1222*E1222*$H$1186</f>
        <v>0</v>
      </c>
      <c r="I1222" s="936" t="n">
        <f aca="false">IF(G1222&gt;H1222,G1222,H1222)*$H$1185</f>
        <v>0</v>
      </c>
      <c r="J1222" s="931"/>
      <c r="K1222" s="937"/>
    </row>
    <row r="1223" customFormat="false" ht="15.75" hidden="true" customHeight="false" outlineLevel="0" collapsed="false">
      <c r="A1223" s="937"/>
      <c r="B1223" s="992" t="str">
        <f aca="false">крыша!A383</f>
        <v>лента дельта sb-60</v>
      </c>
      <c r="C1223" s="993" t="str">
        <f aca="false">крыша!B383</f>
        <v>шт</v>
      </c>
      <c r="D1223" s="992" t="n">
        <f aca="false">крыша!C383</f>
        <v>7.05162036592427</v>
      </c>
      <c r="E1223" s="992" t="n">
        <f aca="false">крыша!D383</f>
        <v>1100</v>
      </c>
      <c r="F1223" s="992"/>
      <c r="G1223" s="967" t="n">
        <f aca="false">IF(F1223&gt;0,D1223*F1223,E1223*D1223)</f>
        <v>7756.7824025167</v>
      </c>
      <c r="H1223" s="975" t="n">
        <f aca="false">D1223*E1223*$H$1186</f>
        <v>0</v>
      </c>
      <c r="I1223" s="936" t="n">
        <f aca="false">IF(G1223&gt;H1223,G1223,H1223)*$H$1185</f>
        <v>0</v>
      </c>
      <c r="J1223" s="931"/>
      <c r="K1223" s="937"/>
    </row>
    <row r="1224" customFormat="false" ht="15.75" hidden="true" customHeight="false" outlineLevel="0" collapsed="false">
      <c r="A1224" s="937"/>
      <c r="B1224" s="992" t="str">
        <f aca="false">крыша!A384</f>
        <v>проходка кровельная, канализационная</v>
      </c>
      <c r="C1224" s="993" t="str">
        <f aca="false">крыша!B384</f>
        <v>шт</v>
      </c>
      <c r="D1224" s="992" t="n">
        <f aca="false">крыша!C384</f>
        <v>0</v>
      </c>
      <c r="E1224" s="992" t="n">
        <f aca="false">крыша!D384</f>
        <v>3500</v>
      </c>
      <c r="F1224" s="992"/>
      <c r="G1224" s="967" t="n">
        <f aca="false">IF(F1224&gt;0,D1224*F1224,E1224*D1224)</f>
        <v>0</v>
      </c>
      <c r="H1224" s="975" t="n">
        <f aca="false">D1224*E1224*$H$1186</f>
        <v>0</v>
      </c>
      <c r="I1224" s="936" t="n">
        <f aca="false">IF(G1224&gt;H1224,G1224,H1224)*$H$1185</f>
        <v>0</v>
      </c>
      <c r="J1224" s="931"/>
      <c r="K1224" s="937"/>
    </row>
    <row r="1225" customFormat="false" ht="15.75" hidden="true" customHeight="false" outlineLevel="0" collapsed="false">
      <c r="A1225" s="937"/>
      <c r="B1225" s="992" t="str">
        <f aca="false">крыша!A385</f>
        <v>проходка кровельная, вентиляционная</v>
      </c>
      <c r="C1225" s="993" t="str">
        <f aca="false">крыша!B385</f>
        <v>шт</v>
      </c>
      <c r="D1225" s="992" t="n">
        <f aca="false">крыша!C385</f>
        <v>0</v>
      </c>
      <c r="E1225" s="992" t="n">
        <f aca="false">крыша!D385</f>
        <v>3500</v>
      </c>
      <c r="F1225" s="992"/>
      <c r="G1225" s="967" t="n">
        <f aca="false">IF(F1225&gt;0,D1225*F1225,E1225*D1225)</f>
        <v>0</v>
      </c>
      <c r="H1225" s="975" t="n">
        <f aca="false">D1225*E1225*$H$1186</f>
        <v>0</v>
      </c>
      <c r="I1225" s="936" t="n">
        <f aca="false">IF(G1225&gt;H1225,G1225,H1225)*$H$1185</f>
        <v>0</v>
      </c>
      <c r="J1225" s="931"/>
      <c r="K1225" s="937"/>
    </row>
    <row r="1226" customFormat="false" ht="15.75" hidden="true" customHeight="false" outlineLevel="0" collapsed="false">
      <c r="A1226" s="937"/>
      <c r="B1226" s="992" t="str">
        <f aca="false">крыша!A386</f>
        <v>проодка кровельная, труба котел</v>
      </c>
      <c r="C1226" s="993" t="str">
        <f aca="false">крыша!B386</f>
        <v>шт</v>
      </c>
      <c r="D1226" s="992" t="n">
        <f aca="false">крыша!C386</f>
        <v>0</v>
      </c>
      <c r="E1226" s="992" t="n">
        <f aca="false">крыша!D386</f>
        <v>4500</v>
      </c>
      <c r="F1226" s="992"/>
      <c r="G1226" s="967" t="n">
        <f aca="false">IF(F1226&gt;0,D1226*F1226,E1226*D1226)</f>
        <v>0</v>
      </c>
      <c r="H1226" s="975" t="n">
        <f aca="false">D1226*E1226*$H$1186</f>
        <v>0</v>
      </c>
      <c r="I1226" s="936" t="n">
        <f aca="false">IF(G1226&gt;H1226,G1226,H1226)*$H$1185</f>
        <v>0</v>
      </c>
      <c r="J1226" s="931"/>
      <c r="K1226" s="937"/>
    </row>
    <row r="1227" customFormat="false" ht="15.75" hidden="true" customHeight="false" outlineLevel="0" collapsed="false">
      <c r="A1227" s="937"/>
      <c r="B1227" s="992" t="str">
        <f aca="false">крыша!A387</f>
        <v>Кровельный саморез</v>
      </c>
      <c r="C1227" s="993" t="str">
        <f aca="false">крыша!B387</f>
        <v>шт</v>
      </c>
      <c r="D1227" s="992" t="n">
        <f aca="false">крыша!C387</f>
        <v>1269.29166586637</v>
      </c>
      <c r="E1227" s="992" t="n">
        <f aca="false">крыша!D387</f>
        <v>2</v>
      </c>
      <c r="F1227" s="992"/>
      <c r="G1227" s="967" t="n">
        <f aca="false">IF(F1227&gt;0,D1227*F1227,E1227*D1227)</f>
        <v>2538.58333173274</v>
      </c>
      <c r="H1227" s="975" t="n">
        <f aca="false">D1227*E1227*$H$1186</f>
        <v>0</v>
      </c>
      <c r="I1227" s="936" t="n">
        <f aca="false">IF(G1227&gt;H1227,G1227,H1227)*$H$1185</f>
        <v>0</v>
      </c>
      <c r="J1227" s="931"/>
      <c r="K1227" s="937"/>
    </row>
    <row r="1228" customFormat="false" ht="15.75" hidden="true" customHeight="false" outlineLevel="0" collapsed="false">
      <c r="A1228" s="937"/>
      <c r="B1228" s="992" t="str">
        <f aca="false">крыша!A388</f>
        <v>Гвозди ершоные 3,4 x 60            </v>
      </c>
      <c r="C1228" s="993" t="str">
        <f aca="false">крыша!B388</f>
        <v>кг</v>
      </c>
      <c r="D1228" s="992" t="n">
        <f aca="false">крыша!C388</f>
        <v>11.1063020763307</v>
      </c>
      <c r="E1228" s="992" t="n">
        <f aca="false">крыша!D388</f>
        <v>75.51</v>
      </c>
      <c r="F1228" s="992"/>
      <c r="G1228" s="967" t="n">
        <f aca="false">IF(F1228&gt;0,D1228*F1228,E1228*D1228)</f>
        <v>838.636869783733</v>
      </c>
      <c r="H1228" s="975" t="n">
        <f aca="false">D1228*E1228*$H$1186</f>
        <v>0</v>
      </c>
      <c r="I1228" s="936" t="n">
        <f aca="false">IF(G1228&gt;H1228,G1228,H1228)*$H$1185</f>
        <v>0</v>
      </c>
      <c r="J1228" s="931"/>
      <c r="K1228" s="937"/>
    </row>
    <row r="1229" customFormat="false" ht="15.75" hidden="true" customHeight="false" outlineLevel="0" collapsed="false">
      <c r="A1229" s="937"/>
      <c r="B1229" s="992" t="str">
        <f aca="false">крыша!A389</f>
        <v>Гвозди строительные 3,5 x 90            </v>
      </c>
      <c r="C1229" s="993" t="str">
        <f aca="false">крыша!B389</f>
        <v>кг</v>
      </c>
      <c r="D1229" s="992" t="n">
        <f aca="false">крыша!C389</f>
        <v>15.5920749263852</v>
      </c>
      <c r="E1229" s="992" t="n">
        <f aca="false">крыша!D389</f>
        <v>76.49</v>
      </c>
      <c r="F1229" s="992"/>
      <c r="G1229" s="967" t="n">
        <f aca="false">IF(F1229&gt;0,D1229*F1229,E1229*D1229)</f>
        <v>1192.6378111192</v>
      </c>
      <c r="H1229" s="975" t="n">
        <f aca="false">D1229*E1229*$H$1186</f>
        <v>0</v>
      </c>
      <c r="I1229" s="936" t="n">
        <f aca="false">IF(G1229&gt;H1229,G1229,H1229)*$H$1185</f>
        <v>0</v>
      </c>
      <c r="J1229" s="931"/>
      <c r="K1229" s="937"/>
    </row>
    <row r="1230" customFormat="false" ht="15.75" hidden="true" customHeight="false" outlineLevel="0" collapsed="false">
      <c r="A1230" s="937"/>
      <c r="B1230" s="992" t="str">
        <f aca="false">крыша!A390</f>
        <v>Пластина соеденительная 100х240х2           </v>
      </c>
      <c r="C1230" s="993" t="str">
        <f aca="false">крыша!B390</f>
        <v>шт</v>
      </c>
      <c r="D1230" s="992" t="n">
        <f aca="false">крыша!C390</f>
        <v>15.1106150698377</v>
      </c>
      <c r="E1230" s="992" t="n">
        <f aca="false">крыша!D390</f>
        <v>31.54</v>
      </c>
      <c r="F1230" s="992"/>
      <c r="G1230" s="967" t="n">
        <f aca="false">IF(F1230&gt;0,D1230*F1230,E1230*D1230)</f>
        <v>476.588799302682</v>
      </c>
      <c r="H1230" s="975" t="n">
        <f aca="false">D1230*E1230*$H$1186</f>
        <v>0</v>
      </c>
      <c r="I1230" s="936" t="n">
        <f aca="false">IF(G1230&gt;H1230,G1230,H1230)*$H$1185</f>
        <v>0</v>
      </c>
      <c r="J1230" s="931"/>
      <c r="K1230" s="937"/>
    </row>
    <row r="1231" customFormat="false" ht="15.75" hidden="true" customHeight="false" outlineLevel="0" collapsed="false">
      <c r="A1231" s="937"/>
      <c r="B1231" s="992" t="str">
        <f aca="false">крыша!A391</f>
        <v>Уголок усиленный 90х70х55х2,5        </v>
      </c>
      <c r="C1231" s="993" t="str">
        <f aca="false">крыша!B391</f>
        <v>шт</v>
      </c>
      <c r="D1231" s="992" t="n">
        <f aca="false">крыша!C391</f>
        <v>211.548610977728</v>
      </c>
      <c r="E1231" s="992" t="n">
        <f aca="false">крыша!D391</f>
        <v>30</v>
      </c>
      <c r="F1231" s="992"/>
      <c r="G1231" s="967" t="n">
        <f aca="false">IF(F1231&gt;0,D1231*F1231,E1231*D1231)</f>
        <v>6346.45832933184</v>
      </c>
      <c r="H1231" s="975" t="n">
        <f aca="false">D1231*E1231*$H$1186</f>
        <v>0</v>
      </c>
      <c r="I1231" s="936" t="n">
        <f aca="false">IF(G1231&gt;H1231,G1231,H1231)*$H$1185</f>
        <v>0</v>
      </c>
      <c r="J1231" s="931"/>
      <c r="K1231" s="937"/>
    </row>
    <row r="1232" customFormat="false" ht="15.75" hidden="true" customHeight="false" outlineLevel="0" collapsed="false">
      <c r="A1232" s="937"/>
      <c r="B1232" s="973" t="s">
        <v>2247</v>
      </c>
      <c r="C1232" s="973"/>
      <c r="D1232" s="973"/>
      <c r="E1232" s="973"/>
      <c r="F1232" s="973"/>
      <c r="G1232" s="970" t="n">
        <f aca="false">SUM(G1187:G1231)*H1185</f>
        <v>0</v>
      </c>
      <c r="H1232" s="970" t="n">
        <f aca="false">SUM(H1187:H1231)</f>
        <v>0</v>
      </c>
      <c r="I1232" s="936" t="n">
        <f aca="false">IF(G1232&gt;H1232,G1232,H1232)*$H$1185</f>
        <v>0</v>
      </c>
      <c r="J1232" s="931"/>
      <c r="K1232" s="937"/>
    </row>
    <row r="1233" customFormat="false" ht="15.75" hidden="true" customHeight="false" outlineLevel="0" collapsed="false">
      <c r="A1233" s="937"/>
      <c r="B1233" s="976" t="s">
        <v>2007</v>
      </c>
      <c r="C1233" s="976"/>
      <c r="D1233" s="976"/>
      <c r="E1233" s="976"/>
      <c r="F1233" s="976"/>
      <c r="G1233" s="977"/>
      <c r="H1233" s="994" t="n">
        <f aca="false">H1185</f>
        <v>0</v>
      </c>
      <c r="I1233" s="1026" t="n">
        <f aca="false">H1233</f>
        <v>0</v>
      </c>
      <c r="J1233" s="931"/>
      <c r="K1233" s="937"/>
    </row>
    <row r="1234" customFormat="false" ht="15.75" hidden="true" customHeight="false" outlineLevel="0" collapsed="false">
      <c r="A1234" s="931"/>
      <c r="B1234" s="995" t="str">
        <f aca="false">крыша!G348</f>
        <v>монтаж мауэрлат</v>
      </c>
      <c r="C1234" s="1038" t="str">
        <f aca="false">крыша!I348</f>
        <v>м.п.</v>
      </c>
      <c r="D1234" s="1039" t="n">
        <f aca="false">крыша!J348</f>
        <v>32</v>
      </c>
      <c r="E1234" s="1040" t="n">
        <f aca="false">крыша!K348</f>
        <v>250</v>
      </c>
      <c r="F1234" s="1040"/>
      <c r="G1234" s="967" t="n">
        <f aca="false">IF(F1234&gt;0,D1234*F1234,E1234*D1234)</f>
        <v>8000</v>
      </c>
      <c r="H1234" s="970" t="n">
        <f aca="false">D1234*E1234*$H$1233</f>
        <v>0</v>
      </c>
      <c r="I1234" s="936" t="n">
        <f aca="false">IF(G1234&gt;H1234,G1234,H1234)*$H$1185</f>
        <v>0</v>
      </c>
      <c r="J1234" s="931"/>
      <c r="K1234" s="937"/>
    </row>
    <row r="1235" customFormat="false" ht="15.75" hidden="true" customHeight="false" outlineLevel="0" collapsed="false">
      <c r="A1235" s="937"/>
      <c r="B1235" s="995" t="str">
        <f aca="false">крыша!G349</f>
        <v>монтаж стропил</v>
      </c>
      <c r="C1235" s="1038" t="str">
        <f aca="false">крыша!I349</f>
        <v>м2</v>
      </c>
      <c r="D1235" s="1039" t="n">
        <f aca="false">крыша!J349</f>
        <v>105.774305488864</v>
      </c>
      <c r="E1235" s="1040" t="n">
        <f aca="false">крыша!K349</f>
        <v>450</v>
      </c>
      <c r="F1235" s="1040"/>
      <c r="G1235" s="967" t="n">
        <f aca="false">IF(F1235&gt;0,D1235*F1235,E1235*D1235)</f>
        <v>47598.4374699888</v>
      </c>
      <c r="H1235" s="970" t="n">
        <f aca="false">D1235*E1235*$H$1233</f>
        <v>0</v>
      </c>
      <c r="I1235" s="936" t="n">
        <f aca="false">IF(G1235&gt;H1235,G1235,H1235)*$H$1185</f>
        <v>0</v>
      </c>
      <c r="J1235" s="931"/>
      <c r="K1235" s="937"/>
    </row>
    <row r="1236" customFormat="false" ht="15.75" hidden="true" customHeight="false" outlineLevel="0" collapsed="false">
      <c r="A1236" s="937"/>
      <c r="B1236" s="995" t="str">
        <f aca="false">крыша!G350</f>
        <v>обрешетка</v>
      </c>
      <c r="C1236" s="1038" t="str">
        <f aca="false">крыша!I350</f>
        <v>м2</v>
      </c>
      <c r="D1236" s="1039" t="n">
        <f aca="false">крыша!J350</f>
        <v>105.774305488864</v>
      </c>
      <c r="E1236" s="1040" t="n">
        <f aca="false">крыша!K350</f>
        <v>100</v>
      </c>
      <c r="F1236" s="1040"/>
      <c r="G1236" s="967" t="n">
        <f aca="false">IF(F1236&gt;0,D1236*F1236,E1236*D1236)</f>
        <v>10577.4305488864</v>
      </c>
      <c r="H1236" s="970" t="n">
        <f aca="false">D1236*E1236*$H$1233</f>
        <v>0</v>
      </c>
      <c r="I1236" s="936" t="n">
        <f aca="false">IF(G1236&gt;H1236,G1236,H1236)*$H$1185</f>
        <v>0</v>
      </c>
      <c r="J1236" s="931"/>
      <c r="K1236" s="937"/>
    </row>
    <row r="1237" customFormat="false" ht="15.75" hidden="true" customHeight="false" outlineLevel="0" collapsed="false">
      <c r="A1237" s="937"/>
      <c r="B1237" s="995" t="str">
        <f aca="false">крыша!G351</f>
        <v>контробеш</v>
      </c>
      <c r="C1237" s="1038" t="str">
        <f aca="false">крыша!I351</f>
        <v>м2</v>
      </c>
      <c r="D1237" s="1039" t="n">
        <f aca="false">крыша!J351</f>
        <v>105.774305488864</v>
      </c>
      <c r="E1237" s="1040" t="n">
        <f aca="false">крыша!K351</f>
        <v>100</v>
      </c>
      <c r="F1237" s="1040"/>
      <c r="G1237" s="967" t="n">
        <f aca="false">IF(F1237&gt;0,D1237*F1237,E1237*D1237)</f>
        <v>10577.4305488864</v>
      </c>
      <c r="H1237" s="970" t="n">
        <f aca="false">D1237*E1237*$H$1233</f>
        <v>0</v>
      </c>
      <c r="I1237" s="936" t="n">
        <f aca="false">IF(G1237&gt;H1237,G1237,H1237)*$H$1185</f>
        <v>0</v>
      </c>
      <c r="J1237" s="931"/>
      <c r="K1237" s="937"/>
    </row>
    <row r="1238" customFormat="false" ht="15.75" hidden="true" customHeight="false" outlineLevel="0" collapsed="false">
      <c r="A1238" s="937"/>
      <c r="B1238" s="995" t="str">
        <f aca="false">крыша!G352</f>
        <v>мембрана</v>
      </c>
      <c r="C1238" s="1038" t="str">
        <f aca="false">крыша!I352</f>
        <v>м2</v>
      </c>
      <c r="D1238" s="1039" t="n">
        <f aca="false">крыша!J352</f>
        <v>105.774305488864</v>
      </c>
      <c r="E1238" s="1040" t="n">
        <f aca="false">крыша!K352</f>
        <v>100</v>
      </c>
      <c r="F1238" s="1040"/>
      <c r="G1238" s="967" t="n">
        <f aca="false">IF(F1238&gt;0,D1238*F1238,E1238*D1238)</f>
        <v>10577.4305488864</v>
      </c>
      <c r="H1238" s="970" t="n">
        <f aca="false">D1238*E1238*$H$1233</f>
        <v>0</v>
      </c>
      <c r="I1238" s="936" t="n">
        <f aca="false">IF(G1238&gt;H1238,G1238,H1238)*$H$1185</f>
        <v>0</v>
      </c>
      <c r="J1238" s="931"/>
      <c r="K1238" s="937"/>
    </row>
    <row r="1239" customFormat="false" ht="15.75" hidden="true" customHeight="false" outlineLevel="0" collapsed="false">
      <c r="A1239" s="937"/>
      <c r="B1239" s="995" t="str">
        <f aca="false">крыша!G353</f>
        <v>пароизоляц</v>
      </c>
      <c r="C1239" s="1038" t="str">
        <f aca="false">крыша!I353</f>
        <v>м2</v>
      </c>
      <c r="D1239" s="1039" t="n">
        <f aca="false">крыша!J353</f>
        <v>105.774305488864</v>
      </c>
      <c r="E1239" s="1040" t="n">
        <f aca="false">крыша!K353</f>
        <v>100</v>
      </c>
      <c r="F1239" s="1040"/>
      <c r="G1239" s="967" t="n">
        <f aca="false">IF(F1239&gt;0,D1239*F1239,E1239*D1239)</f>
        <v>10577.4305488864</v>
      </c>
      <c r="H1239" s="970" t="n">
        <f aca="false">D1239*E1239*$H$1233</f>
        <v>0</v>
      </c>
      <c r="I1239" s="936" t="n">
        <f aca="false">IF(G1239&gt;H1239,G1239,H1239)*$H$1185</f>
        <v>0</v>
      </c>
      <c r="J1239" s="931"/>
      <c r="K1239" s="937"/>
    </row>
    <row r="1240" customFormat="false" ht="15.75" hidden="true" customHeight="false" outlineLevel="0" collapsed="false">
      <c r="A1240" s="937"/>
      <c r="B1240" s="995" t="str">
        <f aca="false">крыша!G354</f>
        <v>утеплитель</v>
      </c>
      <c r="C1240" s="1038" t="str">
        <f aca="false">крыша!I354</f>
        <v>м2</v>
      </c>
      <c r="D1240" s="1039" t="n">
        <f aca="false">крыша!J354</f>
        <v>105.774305488864</v>
      </c>
      <c r="E1240" s="1040" t="n">
        <f aca="false">крыша!K354</f>
        <v>200</v>
      </c>
      <c r="F1240" s="1040"/>
      <c r="G1240" s="967" t="n">
        <f aca="false">IF(F1240&gt;0,D1240*F1240,E1240*D1240)</f>
        <v>21154.8610977728</v>
      </c>
      <c r="H1240" s="970" t="n">
        <f aca="false">D1240*E1240*$H$1233</f>
        <v>0</v>
      </c>
      <c r="I1240" s="936" t="n">
        <f aca="false">IF(G1240&gt;H1240,G1240,H1240)*$H$1185</f>
        <v>0</v>
      </c>
      <c r="J1240" s="931"/>
      <c r="K1240" s="937"/>
    </row>
    <row r="1241" customFormat="false" ht="15.75" hidden="true" customHeight="false" outlineLevel="0" collapsed="false">
      <c r="A1241" s="937"/>
      <c r="B1241" s="995" t="str">
        <f aca="false">крыша!G355</f>
        <v>Монтаж металлочерепицы</v>
      </c>
      <c r="C1241" s="1038" t="str">
        <f aca="false">крыша!I355</f>
        <v>м2</v>
      </c>
      <c r="D1241" s="1039" t="n">
        <f aca="false">крыша!J355</f>
        <v>96.1584595353309</v>
      </c>
      <c r="E1241" s="1040" t="n">
        <f aca="false">крыша!K355</f>
        <v>300</v>
      </c>
      <c r="F1241" s="1040"/>
      <c r="G1241" s="967" t="n">
        <f aca="false">IF(F1241&gt;0,D1241*F1241,E1241*D1241)</f>
        <v>28847.5378605993</v>
      </c>
      <c r="H1241" s="970" t="n">
        <f aca="false">D1241*E1241*$H$1233</f>
        <v>0</v>
      </c>
      <c r="I1241" s="936" t="n">
        <f aca="false">IF(G1241&gt;H1241,G1241,H1241)*$H$1185</f>
        <v>0</v>
      </c>
      <c r="J1241" s="931"/>
      <c r="K1241" s="937"/>
    </row>
    <row r="1242" customFormat="false" ht="15.75" hidden="true" customHeight="false" outlineLevel="0" collapsed="false">
      <c r="A1242" s="937"/>
      <c r="B1242" s="995" t="str">
        <f aca="false">крыша!G356</f>
        <v>Монтаж ондулина</v>
      </c>
      <c r="C1242" s="1038" t="str">
        <f aca="false">крыша!I356</f>
        <v>м2</v>
      </c>
      <c r="D1242" s="1039" t="n">
        <f aca="false">крыша!J356</f>
        <v>0</v>
      </c>
      <c r="E1242" s="1040" t="n">
        <f aca="false">крыша!K356</f>
        <v>300</v>
      </c>
      <c r="F1242" s="1040"/>
      <c r="G1242" s="967" t="n">
        <f aca="false">IF(F1242&gt;0,D1242*F1242,E1242*D1242)</f>
        <v>0</v>
      </c>
      <c r="H1242" s="970" t="n">
        <f aca="false">D1242*E1242*$H$1233</f>
        <v>0</v>
      </c>
      <c r="I1242" s="936" t="n">
        <f aca="false">IF(G1242&gt;H1242,G1242,H1242)*$H$1185</f>
        <v>0</v>
      </c>
      <c r="J1242" s="931"/>
      <c r="K1242" s="937"/>
    </row>
    <row r="1243" customFormat="false" ht="15.75" hidden="true" customHeight="false" outlineLevel="0" collapsed="false">
      <c r="A1243" s="937"/>
      <c r="B1243" s="995" t="str">
        <f aca="false">крыша!G357</f>
        <v>капельник планка</v>
      </c>
      <c r="C1243" s="1038" t="str">
        <f aca="false">крыша!I357</f>
        <v>м.п.</v>
      </c>
      <c r="D1243" s="1039" t="n">
        <f aca="false">крыша!J357</f>
        <v>72</v>
      </c>
      <c r="E1243" s="1040" t="n">
        <f aca="false">крыша!K357</f>
        <v>100</v>
      </c>
      <c r="F1243" s="1040"/>
      <c r="G1243" s="967" t="n">
        <f aca="false">IF(F1243&gt;0,D1243*F1243,E1243*D1243)</f>
        <v>7200</v>
      </c>
      <c r="H1243" s="970" t="n">
        <f aca="false">D1243*E1243*$H$1233</f>
        <v>0</v>
      </c>
      <c r="I1243" s="936" t="n">
        <f aca="false">IF(G1243&gt;H1243,G1243,H1243)*$H$1185</f>
        <v>0</v>
      </c>
      <c r="J1243" s="931"/>
      <c r="K1243" s="937"/>
    </row>
    <row r="1244" customFormat="false" ht="15.75" hidden="true" customHeight="false" outlineLevel="0" collapsed="false">
      <c r="A1244" s="937"/>
      <c r="B1244" s="995" t="str">
        <f aca="false">крыша!G358</f>
        <v>желоб водосточный</v>
      </c>
      <c r="C1244" s="1038" t="str">
        <f aca="false">крыша!I358</f>
        <v>м.п.</v>
      </c>
      <c r="D1244" s="1039" t="n">
        <f aca="false">крыша!J358</f>
        <v>34</v>
      </c>
      <c r="E1244" s="1040" t="n">
        <f aca="false">крыша!K358</f>
        <v>300</v>
      </c>
      <c r="F1244" s="1040"/>
      <c r="G1244" s="967" t="n">
        <f aca="false">IF(F1244&gt;0,D1244*F1244,E1244*D1244)</f>
        <v>10200</v>
      </c>
      <c r="H1244" s="970" t="n">
        <f aca="false">D1244*E1244*$H$1233</f>
        <v>0</v>
      </c>
      <c r="I1244" s="936" t="n">
        <f aca="false">IF(G1244&gt;H1244,G1244,H1244)*$H$1185</f>
        <v>0</v>
      </c>
      <c r="J1244" s="931"/>
      <c r="K1244" s="937"/>
    </row>
    <row r="1245" customFormat="false" ht="15.75" hidden="true" customHeight="false" outlineLevel="0" collapsed="false">
      <c r="A1245" s="937"/>
      <c r="B1245" s="995" t="str">
        <f aca="false">крыша!G359</f>
        <v>труба водосточная</v>
      </c>
      <c r="C1245" s="1038" t="str">
        <f aca="false">крыша!I359</f>
        <v>м.п.</v>
      </c>
      <c r="D1245" s="1039" t="n">
        <f aca="false">крыша!J359</f>
        <v>9.68</v>
      </c>
      <c r="E1245" s="1040" t="n">
        <f aca="false">крыша!K359</f>
        <v>300</v>
      </c>
      <c r="F1245" s="1040"/>
      <c r="G1245" s="967" t="n">
        <f aca="false">IF(F1245&gt;0,D1245*F1245,E1245*D1245)</f>
        <v>2904</v>
      </c>
      <c r="H1245" s="970" t="n">
        <f aca="false">D1245*E1245*$H$1233</f>
        <v>0</v>
      </c>
      <c r="I1245" s="936" t="n">
        <f aca="false">IF(G1245&gt;H1245,G1245,H1245)*$H$1185</f>
        <v>0</v>
      </c>
      <c r="J1245" s="931"/>
      <c r="K1245" s="937"/>
    </row>
    <row r="1246" customFormat="false" ht="15.75" hidden="true" customHeight="false" outlineLevel="0" collapsed="false">
      <c r="A1246" s="937"/>
      <c r="B1246" s="995" t="str">
        <f aca="false">крыша!G360</f>
        <v>конек</v>
      </c>
      <c r="C1246" s="1038" t="str">
        <f aca="false">крыша!I360</f>
        <v>м.п.</v>
      </c>
      <c r="D1246" s="1039" t="n">
        <f aca="false">крыша!J360</f>
        <v>28.6093426907597</v>
      </c>
      <c r="E1246" s="1040" t="n">
        <f aca="false">крыша!K360</f>
        <v>300</v>
      </c>
      <c r="F1246" s="1040"/>
      <c r="G1246" s="967" t="n">
        <f aca="false">IF(F1246&gt;0,D1246*F1246,E1246*D1246)</f>
        <v>8582.80280722791</v>
      </c>
      <c r="H1246" s="970" t="n">
        <f aca="false">D1246*E1246*$H$1233</f>
        <v>0</v>
      </c>
      <c r="I1246" s="936" t="n">
        <f aca="false">IF(G1246&gt;H1246,G1246,H1246)*$H$1185</f>
        <v>0</v>
      </c>
      <c r="J1246" s="931"/>
      <c r="K1246" s="937"/>
    </row>
    <row r="1247" customFormat="false" ht="15.75" hidden="true" customHeight="false" outlineLevel="0" collapsed="false">
      <c r="A1247" s="937"/>
      <c r="B1247" s="995" t="str">
        <f aca="false">крыша!G361</f>
        <v>Монтаж фанеры/osb</v>
      </c>
      <c r="C1247" s="1038" t="str">
        <f aca="false">крыша!I361</f>
        <v>м2</v>
      </c>
      <c r="D1247" s="1039" t="n">
        <f aca="false">крыша!J361</f>
        <v>0</v>
      </c>
      <c r="E1247" s="1040" t="n">
        <f aca="false">крыша!K361</f>
        <v>200</v>
      </c>
      <c r="F1247" s="1040"/>
      <c r="G1247" s="967" t="n">
        <f aca="false">IF(F1247&gt;0,D1247*F1247,E1247*D1247)</f>
        <v>0</v>
      </c>
      <c r="H1247" s="970" t="n">
        <f aca="false">D1247*E1247*$H$1233</f>
        <v>0</v>
      </c>
      <c r="I1247" s="936" t="n">
        <f aca="false">IF(G1247&gt;H1247,G1247,H1247)*$H$1185</f>
        <v>0</v>
      </c>
      <c r="J1247" s="931"/>
      <c r="K1247" s="937"/>
    </row>
    <row r="1248" customFormat="false" ht="15.75" hidden="true" customHeight="false" outlineLevel="0" collapsed="false">
      <c r="A1248" s="937"/>
      <c r="B1248" s="995" t="str">
        <f aca="false">крыша!G362</f>
        <v>монтаж подкладочного ковра</v>
      </c>
      <c r="C1248" s="1038" t="str">
        <f aca="false">крыша!I362</f>
        <v>м2</v>
      </c>
      <c r="D1248" s="1039" t="n">
        <f aca="false">крыша!J362</f>
        <v>0</v>
      </c>
      <c r="E1248" s="1040" t="n">
        <f aca="false">крыша!K362</f>
        <v>150</v>
      </c>
      <c r="F1248" s="1040"/>
      <c r="G1248" s="967" t="n">
        <f aca="false">IF(F1248&gt;0,D1248*F1248,E1248*D1248)</f>
        <v>0</v>
      </c>
      <c r="H1248" s="970" t="n">
        <f aca="false">D1248*E1248*$H$1233</f>
        <v>0</v>
      </c>
      <c r="I1248" s="936" t="n">
        <f aca="false">IF(G1248&gt;H1248,G1248,H1248)*$H$1185</f>
        <v>0</v>
      </c>
      <c r="J1248" s="931"/>
      <c r="K1248" s="937"/>
    </row>
    <row r="1249" customFormat="false" ht="15.75" hidden="true" customHeight="false" outlineLevel="0" collapsed="false">
      <c r="A1249" s="937"/>
      <c r="B1249" s="995" t="str">
        <f aca="false">крыша!G363</f>
        <v>Монтаж мягкой кровли</v>
      </c>
      <c r="C1249" s="1038" t="str">
        <f aca="false">крыша!I363</f>
        <v>м2</v>
      </c>
      <c r="D1249" s="1039" t="n">
        <f aca="false">крыша!J363</f>
        <v>0</v>
      </c>
      <c r="E1249" s="1040" t="n">
        <f aca="false">крыша!K363</f>
        <v>350</v>
      </c>
      <c r="F1249" s="1040"/>
      <c r="G1249" s="967" t="n">
        <f aca="false">IF(F1249&gt;0,D1249*F1249,E1249*D1249)</f>
        <v>0</v>
      </c>
      <c r="H1249" s="970" t="n">
        <f aca="false">D1249*E1249*$H$1233</f>
        <v>0</v>
      </c>
      <c r="I1249" s="936" t="n">
        <f aca="false">IF(G1249&gt;H1249,G1249,H1249)*$H$1185</f>
        <v>0</v>
      </c>
      <c r="J1249" s="931"/>
      <c r="K1249" s="937"/>
    </row>
    <row r="1250" customFormat="false" ht="15.75" hidden="true" customHeight="false" outlineLevel="0" collapsed="false">
      <c r="A1250" s="937"/>
      <c r="B1250" s="973" t="s">
        <v>2248</v>
      </c>
      <c r="C1250" s="973"/>
      <c r="D1250" s="973"/>
      <c r="E1250" s="973"/>
      <c r="F1250" s="973"/>
      <c r="G1250" s="970" t="n">
        <f aca="false">SUM(G1234:G1249)*H1233</f>
        <v>0</v>
      </c>
      <c r="H1250" s="970" t="n">
        <f aca="false">SUM(H1234:H1249)</f>
        <v>0</v>
      </c>
      <c r="I1250" s="936" t="n">
        <f aca="false">IF(G1250&gt;H1250,G1250,H1250)*$H$1185</f>
        <v>0</v>
      </c>
      <c r="J1250" s="931"/>
      <c r="K1250" s="937"/>
    </row>
    <row r="1251" customFormat="false" ht="21" hidden="false" customHeight="false" outlineLevel="0" collapsed="false">
      <c r="A1251" s="937"/>
      <c r="B1251" s="1036" t="s">
        <v>2270</v>
      </c>
      <c r="C1251" s="1036"/>
      <c r="D1251" s="1036"/>
      <c r="E1251" s="1036"/>
      <c r="F1251" s="1036"/>
      <c r="G1251" s="977"/>
      <c r="H1251" s="1007" t="n">
        <f aca="false">дома!L1115</f>
        <v>0</v>
      </c>
      <c r="I1251" s="1026" t="n">
        <f aca="false">H1251</f>
        <v>0</v>
      </c>
      <c r="J1251" s="931"/>
      <c r="K1251" s="937"/>
    </row>
    <row r="1252" customFormat="false" ht="15.75" hidden="false" customHeight="false" outlineLevel="0" collapsed="false">
      <c r="A1252" s="931"/>
      <c r="B1252" s="1008" t="s">
        <v>2246</v>
      </c>
      <c r="C1252" s="1008"/>
      <c r="D1252" s="1008"/>
      <c r="E1252" s="1008"/>
      <c r="F1252" s="1008"/>
      <c r="G1252" s="977"/>
      <c r="H1252" s="1009" t="n">
        <f aca="false">H1251</f>
        <v>0</v>
      </c>
      <c r="I1252" s="1026" t="n">
        <f aca="false">H1252</f>
        <v>0</v>
      </c>
      <c r="J1252" s="931"/>
      <c r="K1252" s="937"/>
    </row>
    <row r="1253" customFormat="false" ht="15.75" hidden="true" customHeight="false" outlineLevel="0" collapsed="false">
      <c r="A1253" s="931"/>
      <c r="B1253" s="992" t="str">
        <f aca="false">крыша!A431</f>
        <v>нет</v>
      </c>
      <c r="C1253" s="993" t="str">
        <f aca="false">крыша!B431</f>
        <v>м3</v>
      </c>
      <c r="D1253" s="992" t="n">
        <f aca="false">крыша!C431</f>
        <v>0</v>
      </c>
      <c r="E1253" s="992" t="n">
        <f aca="false">крыша!D431</f>
        <v>0</v>
      </c>
      <c r="F1253" s="992"/>
      <c r="G1253" s="967" t="n">
        <f aca="false">IF(F1253&gt;0,D1253*F1253,E1253*D1253)</f>
        <v>0</v>
      </c>
      <c r="H1253" s="975" t="n">
        <f aca="false">D1253*E1253*$H$1252</f>
        <v>0</v>
      </c>
      <c r="I1253" s="936" t="n">
        <f aca="false">IF(G1253&gt;H1253,G1253,H1253)*$H$1251</f>
        <v>0</v>
      </c>
      <c r="J1253" s="931"/>
      <c r="K1253" s="937"/>
    </row>
    <row r="1254" customFormat="false" ht="15.75" hidden="false" customHeight="false" outlineLevel="0" collapsed="false">
      <c r="A1254" s="937"/>
      <c r="B1254" s="992" t="str">
        <f aca="false">крыша!A432</f>
        <v>Болты анкерные с гайкой 12,0 х 280          </v>
      </c>
      <c r="C1254" s="993" t="str">
        <f aca="false">крыша!B432</f>
        <v>шт</v>
      </c>
      <c r="D1254" s="992" t="n">
        <f aca="false">крыша!C432</f>
        <v>110.5307463295</v>
      </c>
      <c r="E1254" s="992" t="n">
        <f aca="false">крыша!D432</f>
        <v>27.1</v>
      </c>
      <c r="F1254" s="992"/>
      <c r="G1254" s="967" t="n">
        <f aca="false">IF(F1254&gt;0,D1254*F1254,E1254*D1254)</f>
        <v>2995.38322552944</v>
      </c>
      <c r="H1254" s="975" t="n">
        <f aca="false">D1254*E1254*$H$1252</f>
        <v>0</v>
      </c>
      <c r="I1254" s="936" t="n">
        <f aca="false">IF(G1254&gt;H1254,G1254,H1254)*$H$1251</f>
        <v>0</v>
      </c>
      <c r="J1254" s="931"/>
      <c r="K1254" s="937"/>
    </row>
    <row r="1255" customFormat="false" ht="15.75" hidden="false" customHeight="false" outlineLevel="0" collapsed="false">
      <c r="A1255" s="937"/>
      <c r="B1255" s="992" t="str">
        <f aca="false">крыша!A433</f>
        <v>Доска сырая, 150*50мм</v>
      </c>
      <c r="C1255" s="993" t="str">
        <f aca="false">крыша!B433</f>
        <v>м3</v>
      </c>
      <c r="D1255" s="992" t="n">
        <f aca="false">крыша!C433</f>
        <v>2.72103693695345</v>
      </c>
      <c r="E1255" s="992" t="n">
        <f aca="false">крыша!D433</f>
        <v>6500</v>
      </c>
      <c r="F1255" s="992"/>
      <c r="G1255" s="967" t="n">
        <f aca="false">IF(F1255&gt;0,D1255*F1255,E1255*D1255)</f>
        <v>17686.7400901975</v>
      </c>
      <c r="H1255" s="975" t="n">
        <f aca="false">D1255*E1255*$H$1252</f>
        <v>0</v>
      </c>
      <c r="I1255" s="936" t="n">
        <f aca="false">IF(G1255&gt;H1255,G1255,H1255)*$H$1251</f>
        <v>0</v>
      </c>
      <c r="J1255" s="931"/>
      <c r="K1255" s="937"/>
    </row>
    <row r="1256" customFormat="false" ht="15.75" hidden="false" customHeight="false" outlineLevel="0" collapsed="false">
      <c r="A1256" s="937"/>
      <c r="B1256" s="992" t="str">
        <f aca="false">крыша!A434</f>
        <v>бугель, доска </v>
      </c>
      <c r="C1256" s="993" t="str">
        <f aca="false">крыша!B434</f>
        <v>м3</v>
      </c>
      <c r="D1256" s="992" t="n">
        <f aca="false">крыша!C434</f>
        <v>0.495</v>
      </c>
      <c r="E1256" s="992" t="n">
        <f aca="false">крыша!D434</f>
        <v>6500</v>
      </c>
      <c r="F1256" s="992"/>
      <c r="G1256" s="967" t="n">
        <f aca="false">IF(F1256&gt;0,D1256*F1256,E1256*D1256)</f>
        <v>3217.5</v>
      </c>
      <c r="H1256" s="975" t="n">
        <f aca="false">D1256*E1256*$H$1252</f>
        <v>0</v>
      </c>
      <c r="I1256" s="936" t="n">
        <f aca="false">IF(G1256&gt;H1256,G1256,H1256)*$H$1251</f>
        <v>0</v>
      </c>
      <c r="J1256" s="931"/>
      <c r="K1256" s="937"/>
    </row>
    <row r="1257" customFormat="false" ht="15.75" hidden="false" customHeight="false" outlineLevel="0" collapsed="false">
      <c r="A1257" s="937"/>
      <c r="B1257" s="992" t="str">
        <f aca="false">крыша!A435</f>
        <v>стойка под конек</v>
      </c>
      <c r="C1257" s="993" t="str">
        <f aca="false">крыша!B435</f>
        <v>м3</v>
      </c>
      <c r="D1257" s="992" t="n">
        <f aca="false">крыша!C435</f>
        <v>0.072</v>
      </c>
      <c r="E1257" s="992" t="n">
        <f aca="false">крыша!D435</f>
        <v>6500</v>
      </c>
      <c r="F1257" s="992"/>
      <c r="G1257" s="967" t="n">
        <f aca="false">IF(F1257&gt;0,D1257*F1257,E1257*D1257)</f>
        <v>468</v>
      </c>
      <c r="H1257" s="975" t="n">
        <f aca="false">D1257*E1257*$H$1252</f>
        <v>0</v>
      </c>
      <c r="I1257" s="936" t="n">
        <f aca="false">IF(G1257&gt;H1257,G1257,H1257)*$H$1251</f>
        <v>0</v>
      </c>
      <c r="J1257" s="931"/>
      <c r="K1257" s="937"/>
    </row>
    <row r="1258" customFormat="false" ht="15.75" hidden="false" customHeight="false" outlineLevel="0" collapsed="false">
      <c r="A1258" s="937"/>
      <c r="B1258" s="992" t="str">
        <f aca="false">крыша!A436</f>
        <v>Сосна влаж,100*25мм</v>
      </c>
      <c r="C1258" s="993" t="str">
        <f aca="false">крыша!B436</f>
        <v>м3</v>
      </c>
      <c r="D1258" s="992" t="n">
        <f aca="false">крыша!C436</f>
        <v>1.24340242764109</v>
      </c>
      <c r="E1258" s="992" t="n">
        <f aca="false">крыша!D436</f>
        <v>6500</v>
      </c>
      <c r="F1258" s="992"/>
      <c r="G1258" s="967" t="n">
        <f aca="false">IF(F1258&gt;0,D1258*F1258,E1258*D1258)</f>
        <v>8082.11577966709</v>
      </c>
      <c r="H1258" s="975" t="n">
        <f aca="false">D1258*E1258*$H$1252</f>
        <v>0</v>
      </c>
      <c r="I1258" s="936" t="n">
        <f aca="false">IF(G1258&gt;H1258,G1258,H1258)*$H$1251</f>
        <v>0</v>
      </c>
      <c r="J1258" s="931"/>
      <c r="K1258" s="937"/>
    </row>
    <row r="1259" customFormat="false" ht="15.75" hidden="false" customHeight="false" outlineLevel="0" collapsed="false">
      <c r="A1259" s="937"/>
      <c r="B1259" s="992" t="str">
        <f aca="false">крыша!A437</f>
        <v>Сосна влаж, 50*50мм</v>
      </c>
      <c r="C1259" s="993" t="str">
        <f aca="false">крыша!B437</f>
        <v>м3</v>
      </c>
      <c r="D1259" s="992" t="n">
        <f aca="false">крыша!C437</f>
        <v>0.956463405877762</v>
      </c>
      <c r="E1259" s="992" t="n">
        <f aca="false">крыша!D437</f>
        <v>6500</v>
      </c>
      <c r="F1259" s="992"/>
      <c r="G1259" s="967" t="n">
        <f aca="false">IF(F1259&gt;0,D1259*F1259,E1259*D1259)</f>
        <v>6217.01213820546</v>
      </c>
      <c r="H1259" s="975" t="n">
        <f aca="false">D1259*E1259*$H$1252</f>
        <v>0</v>
      </c>
      <c r="I1259" s="936" t="n">
        <f aca="false">IF(G1259&gt;H1259,G1259,H1259)*$H$1251</f>
        <v>0</v>
      </c>
      <c r="J1259" s="931"/>
      <c r="K1259" s="937"/>
    </row>
    <row r="1260" customFormat="false" ht="15.75" hidden="false" customHeight="false" outlineLevel="0" collapsed="false">
      <c r="A1260" s="937"/>
      <c r="B1260" s="992" t="str">
        <f aca="false">крыша!A438</f>
        <v>Универсальная Optima C</v>
      </c>
      <c r="C1260" s="993" t="str">
        <f aca="false">крыша!B438</f>
        <v>м2</v>
      </c>
      <c r="D1260" s="992" t="n">
        <f aca="false">крыша!C438</f>
        <v>178.539835763849</v>
      </c>
      <c r="E1260" s="992" t="n">
        <f aca="false">крыша!D438</f>
        <v>19</v>
      </c>
      <c r="F1260" s="992"/>
      <c r="G1260" s="967" t="n">
        <f aca="false">IF(F1260&gt;0,D1260*F1260,E1260*D1260)</f>
        <v>3392.25687951313</v>
      </c>
      <c r="H1260" s="975" t="n">
        <f aca="false">D1260*E1260*$H$1252</f>
        <v>0</v>
      </c>
      <c r="I1260" s="936" t="n">
        <f aca="false">IF(G1260&gt;H1260,G1260,H1260)*$H$1251</f>
        <v>0</v>
      </c>
      <c r="J1260" s="931"/>
      <c r="K1260" s="937"/>
    </row>
    <row r="1261" customFormat="false" ht="15.75" hidden="false" customHeight="false" outlineLevel="0" collapsed="false">
      <c r="A1261" s="937"/>
      <c r="B1261" s="992" t="str">
        <f aca="false">крыша!A439</f>
        <v>Универсальная Optima C</v>
      </c>
      <c r="C1261" s="993" t="str">
        <f aca="false">крыша!B439</f>
        <v>м2</v>
      </c>
      <c r="D1261" s="992" t="n">
        <f aca="false">крыша!C439</f>
        <v>178.539835763849</v>
      </c>
      <c r="E1261" s="992" t="n">
        <f aca="false">крыша!D439</f>
        <v>20</v>
      </c>
      <c r="F1261" s="992"/>
      <c r="G1261" s="967" t="n">
        <f aca="false">IF(F1261&gt;0,D1261*F1261,E1261*D1261)</f>
        <v>3570.79671527698</v>
      </c>
      <c r="H1261" s="975" t="n">
        <f aca="false">D1261*E1261*$H$1252</f>
        <v>0</v>
      </c>
      <c r="I1261" s="936" t="n">
        <f aca="false">IF(G1261&gt;H1261,G1261,H1261)*$H$1251</f>
        <v>0</v>
      </c>
      <c r="J1261" s="931"/>
      <c r="K1261" s="937"/>
    </row>
    <row r="1262" customFormat="false" ht="15.75" hidden="false" customHeight="false" outlineLevel="0" collapsed="false">
      <c r="A1262" s="937"/>
      <c r="B1262" s="992" t="str">
        <f aca="false">крыша!A440</f>
        <v>Плитный,28кг/м3, технониколь, 100мм</v>
      </c>
      <c r="C1262" s="993" t="str">
        <f aca="false">крыша!B440</f>
        <v>м3</v>
      </c>
      <c r="D1262" s="992" t="n">
        <f aca="false">крыша!C440</f>
        <v>12.7528454117035</v>
      </c>
      <c r="E1262" s="992" t="n">
        <f aca="false">крыша!D440</f>
        <v>1700</v>
      </c>
      <c r="F1262" s="992"/>
      <c r="G1262" s="967" t="n">
        <f aca="false">IF(F1262&gt;0,D1262*F1262,E1262*D1262)</f>
        <v>21679.8371998959</v>
      </c>
      <c r="H1262" s="975" t="n">
        <f aca="false">D1262*E1262*$H$1252</f>
        <v>0</v>
      </c>
      <c r="I1262" s="936" t="n">
        <f aca="false">IF(G1262&gt;H1262,G1262,H1262)*$H$1251</f>
        <v>0</v>
      </c>
      <c r="J1262" s="931"/>
      <c r="K1262" s="937"/>
    </row>
    <row r="1263" customFormat="false" ht="15.75" hidden="false" customHeight="false" outlineLevel="0" collapsed="false">
      <c r="A1263" s="937"/>
      <c r="B1263" s="992" t="str">
        <f aca="false">крыша!A441</f>
        <v>металлочерепица</v>
      </c>
      <c r="C1263" s="993" t="str">
        <f aca="false">крыша!B441</f>
        <v>м2</v>
      </c>
      <c r="D1263" s="992" t="n">
        <f aca="false">крыша!C441</f>
        <v>178.539835763849</v>
      </c>
      <c r="E1263" s="992" t="n">
        <f aca="false">крыша!D441</f>
        <v>250</v>
      </c>
      <c r="F1263" s="992"/>
      <c r="G1263" s="967" t="n">
        <f aca="false">IF(F1263&gt;0,D1263*F1263,E1263*D1263)</f>
        <v>44634.9589409622</v>
      </c>
      <c r="H1263" s="975" t="n">
        <f aca="false">D1263*E1263*$H$1252</f>
        <v>0</v>
      </c>
      <c r="I1263" s="936" t="n">
        <f aca="false">IF(G1263&gt;H1263,G1263,H1263)*$H$1251</f>
        <v>0</v>
      </c>
      <c r="J1263" s="931"/>
      <c r="K1263" s="937"/>
    </row>
    <row r="1264" customFormat="false" ht="15.75" hidden="false" customHeight="false" outlineLevel="0" collapsed="false">
      <c r="A1264" s="937"/>
      <c r="B1264" s="992" t="str">
        <f aca="false">крыша!A442</f>
        <v>Карнизная планка</v>
      </c>
      <c r="C1264" s="993" t="str">
        <f aca="false">крыша!B442</f>
        <v>м.п.</v>
      </c>
      <c r="D1264" s="992" t="n">
        <f aca="false">крыша!C442</f>
        <v>50</v>
      </c>
      <c r="E1264" s="992" t="n">
        <f aca="false">крыша!D442</f>
        <v>200</v>
      </c>
      <c r="F1264" s="992"/>
      <c r="G1264" s="967" t="n">
        <f aca="false">IF(F1264&gt;0,D1264*F1264,E1264*D1264)</f>
        <v>10000</v>
      </c>
      <c r="H1264" s="975" t="n">
        <f aca="false">D1264*E1264*$H$1252</f>
        <v>0</v>
      </c>
      <c r="I1264" s="936" t="n">
        <f aca="false">IF(G1264&gt;H1264,G1264,H1264)*$H$1251</f>
        <v>0</v>
      </c>
      <c r="J1264" s="931"/>
      <c r="K1264" s="937"/>
    </row>
    <row r="1265" customFormat="false" ht="15.75" hidden="false" customHeight="false" outlineLevel="0" collapsed="false">
      <c r="A1265" s="937"/>
      <c r="B1265" s="992" t="str">
        <f aca="false">крыша!A443</f>
        <v>Торцевая планка</v>
      </c>
      <c r="C1265" s="993" t="str">
        <f aca="false">крыша!B443</f>
        <v>м.п.</v>
      </c>
      <c r="D1265" s="992" t="n">
        <f aca="false">крыша!C443</f>
        <v>16.9752761391384</v>
      </c>
      <c r="E1265" s="992" t="n">
        <f aca="false">крыша!D443</f>
        <v>200</v>
      </c>
      <c r="F1265" s="992"/>
      <c r="G1265" s="967" t="n">
        <f aca="false">IF(F1265&gt;0,D1265*F1265,E1265*D1265)</f>
        <v>3395.05522782767</v>
      </c>
      <c r="H1265" s="975" t="n">
        <f aca="false">D1265*E1265*$H$1252</f>
        <v>0</v>
      </c>
      <c r="I1265" s="936" t="n">
        <f aca="false">IF(G1265&gt;H1265,G1265,H1265)*$H$1251</f>
        <v>0</v>
      </c>
      <c r="J1265" s="931"/>
      <c r="K1265" s="937"/>
    </row>
    <row r="1266" customFormat="false" ht="15.75" hidden="false" customHeight="false" outlineLevel="0" collapsed="false">
      <c r="A1266" s="937"/>
      <c r="B1266" s="992" t="str">
        <f aca="false">крыша!A444</f>
        <v>Конек</v>
      </c>
      <c r="C1266" s="993" t="str">
        <f aca="false">крыша!B444</f>
        <v>м.п.</v>
      </c>
      <c r="D1266" s="992" t="n">
        <f aca="false">крыша!C444</f>
        <v>27.5581347885125</v>
      </c>
      <c r="E1266" s="992" t="n">
        <f aca="false">крыша!D444</f>
        <v>230</v>
      </c>
      <c r="F1266" s="992"/>
      <c r="G1266" s="967" t="n">
        <f aca="false">IF(F1266&gt;0,D1266*F1266,E1266*D1266)</f>
        <v>6338.37100135789</v>
      </c>
      <c r="H1266" s="975" t="n">
        <f aca="false">D1266*E1266*$H$1252</f>
        <v>0</v>
      </c>
      <c r="I1266" s="936" t="n">
        <f aca="false">IF(G1266&gt;H1266,G1266,H1266)*$H$1251</f>
        <v>0</v>
      </c>
      <c r="J1266" s="931"/>
      <c r="K1266" s="937"/>
    </row>
    <row r="1267" customFormat="false" ht="15.75" hidden="true" customHeight="false" outlineLevel="0" collapsed="false">
      <c r="A1267" s="937"/>
      <c r="B1267" s="992" t="str">
        <f aca="false">крыша!A445</f>
        <v>ондулин</v>
      </c>
      <c r="C1267" s="993" t="str">
        <f aca="false">крыша!B445</f>
        <v>м2</v>
      </c>
      <c r="D1267" s="992" t="n">
        <f aca="false">крыша!C445</f>
        <v>0</v>
      </c>
      <c r="E1267" s="992" t="n">
        <f aca="false">крыша!D445</f>
        <v>180</v>
      </c>
      <c r="F1267" s="992"/>
      <c r="G1267" s="967" t="n">
        <f aca="false">IF(F1267&gt;0,D1267*F1267,E1267*D1267)</f>
        <v>0</v>
      </c>
      <c r="H1267" s="975" t="n">
        <f aca="false">D1267*E1267*$H$1252</f>
        <v>0</v>
      </c>
      <c r="I1267" s="936" t="n">
        <f aca="false">IF(G1267&gt;H1267,G1267,H1267)*$H$1251</f>
        <v>0</v>
      </c>
      <c r="J1267" s="931"/>
      <c r="K1267" s="937"/>
    </row>
    <row r="1268" customFormat="false" ht="15.75" hidden="true" customHeight="false" outlineLevel="0" collapsed="false">
      <c r="A1268" s="937"/>
      <c r="B1268" s="992" t="str">
        <f aca="false">крыша!A446</f>
        <v>Карнизная планка</v>
      </c>
      <c r="C1268" s="993" t="str">
        <f aca="false">крыша!B446</f>
        <v>м.п.</v>
      </c>
      <c r="D1268" s="992" t="n">
        <f aca="false">крыша!C446</f>
        <v>0</v>
      </c>
      <c r="E1268" s="992" t="n">
        <f aca="false">крыша!D446</f>
        <v>190</v>
      </c>
      <c r="F1268" s="992"/>
      <c r="G1268" s="967" t="n">
        <f aca="false">IF(F1268&gt;0,D1268*F1268,E1268*D1268)</f>
        <v>0</v>
      </c>
      <c r="H1268" s="975" t="n">
        <f aca="false">D1268*E1268*$H$1252</f>
        <v>0</v>
      </c>
      <c r="I1268" s="936" t="n">
        <f aca="false">IF(G1268&gt;H1268,G1268,H1268)*$H$1251</f>
        <v>0</v>
      </c>
      <c r="J1268" s="931"/>
      <c r="K1268" s="937"/>
    </row>
    <row r="1269" customFormat="false" ht="15.75" hidden="true" customHeight="false" outlineLevel="0" collapsed="false">
      <c r="A1269" s="937"/>
      <c r="B1269" s="992" t="str">
        <f aca="false">крыша!A447</f>
        <v>Торцевая планка</v>
      </c>
      <c r="C1269" s="993" t="str">
        <f aca="false">крыша!B447</f>
        <v>м.п.</v>
      </c>
      <c r="D1269" s="992" t="n">
        <f aca="false">крыша!C447</f>
        <v>0</v>
      </c>
      <c r="E1269" s="992" t="n">
        <f aca="false">крыша!D447</f>
        <v>190</v>
      </c>
      <c r="F1269" s="992"/>
      <c r="G1269" s="967" t="n">
        <f aca="false">IF(F1269&gt;0,D1269*F1269,E1269*D1269)</f>
        <v>0</v>
      </c>
      <c r="H1269" s="975" t="n">
        <f aca="false">D1269*E1269*$H$1252</f>
        <v>0</v>
      </c>
      <c r="I1269" s="936" t="n">
        <f aca="false">IF(G1269&gt;H1269,G1269,H1269)*$H$1251</f>
        <v>0</v>
      </c>
      <c r="J1269" s="931"/>
      <c r="K1269" s="937"/>
    </row>
    <row r="1270" customFormat="false" ht="15.75" hidden="true" customHeight="false" outlineLevel="0" collapsed="false">
      <c r="A1270" s="937"/>
      <c r="B1270" s="992" t="str">
        <f aca="false">крыша!A448</f>
        <v>Конек</v>
      </c>
      <c r="C1270" s="993" t="str">
        <f aca="false">крыша!B448</f>
        <v>м.п.</v>
      </c>
      <c r="D1270" s="992" t="n">
        <f aca="false">крыша!C448</f>
        <v>0</v>
      </c>
      <c r="E1270" s="992" t="n">
        <f aca="false">крыша!D448</f>
        <v>200</v>
      </c>
      <c r="F1270" s="992"/>
      <c r="G1270" s="967" t="n">
        <f aca="false">IF(F1270&gt;0,D1270*F1270,E1270*D1270)</f>
        <v>0</v>
      </c>
      <c r="H1270" s="975" t="n">
        <f aca="false">D1270*E1270*$H$1252</f>
        <v>0</v>
      </c>
      <c r="I1270" s="936" t="n">
        <f aca="false">IF(G1270&gt;H1270,G1270,H1270)*$H$1251</f>
        <v>0</v>
      </c>
      <c r="J1270" s="931"/>
      <c r="K1270" s="937"/>
    </row>
    <row r="1271" customFormat="false" ht="15.75" hidden="true" customHeight="false" outlineLevel="0" collapsed="false">
      <c r="A1271" s="937"/>
      <c r="B1271" s="992" t="str">
        <f aca="false">крыша!A449</f>
        <v>Ендова нижняя</v>
      </c>
      <c r="C1271" s="993" t="str">
        <f aca="false">крыша!B449</f>
        <v>м.п.</v>
      </c>
      <c r="D1271" s="992" t="n">
        <f aca="false">крыша!C449</f>
        <v>0</v>
      </c>
      <c r="E1271" s="992" t="n">
        <f aca="false">крыша!D449</f>
        <v>160</v>
      </c>
      <c r="F1271" s="992"/>
      <c r="G1271" s="967" t="n">
        <f aca="false">IF(F1271&gt;0,D1271*F1271,E1271*D1271)</f>
        <v>0</v>
      </c>
      <c r="H1271" s="975" t="n">
        <f aca="false">D1271*E1271*$H$1252</f>
        <v>0</v>
      </c>
      <c r="I1271" s="936" t="n">
        <f aca="false">IF(G1271&gt;H1271,G1271,H1271)*$H$1251</f>
        <v>0</v>
      </c>
      <c r="J1271" s="931"/>
      <c r="K1271" s="937"/>
    </row>
    <row r="1272" customFormat="false" ht="15.75" hidden="true" customHeight="false" outlineLevel="0" collapsed="false">
      <c r="A1272" s="937"/>
      <c r="B1272" s="992" t="str">
        <f aca="false">крыша!A450</f>
        <v>Ендова верхняя</v>
      </c>
      <c r="C1272" s="993" t="str">
        <f aca="false">крыша!B450</f>
        <v>м.п.</v>
      </c>
      <c r="D1272" s="992" t="n">
        <f aca="false">крыша!C450</f>
        <v>0</v>
      </c>
      <c r="E1272" s="992" t="n">
        <f aca="false">крыша!D450</f>
        <v>190</v>
      </c>
      <c r="F1272" s="992"/>
      <c r="G1272" s="967" t="n">
        <f aca="false">IF(F1272&gt;0,D1272*F1272,E1272*D1272)</f>
        <v>0</v>
      </c>
      <c r="H1272" s="975" t="n">
        <f aca="false">D1272*E1272*$H$1252</f>
        <v>0</v>
      </c>
      <c r="I1272" s="936" t="n">
        <f aca="false">IF(G1272&gt;H1272,G1272,H1272)*$H$1251</f>
        <v>0</v>
      </c>
      <c r="J1272" s="931"/>
      <c r="K1272" s="937"/>
    </row>
    <row r="1273" customFormat="false" ht="15.75" hidden="true" customHeight="false" outlineLevel="0" collapsed="false">
      <c r="A1273" s="937"/>
      <c r="B1273" s="992" t="str">
        <f aca="false">крыша!A451</f>
        <v>Планка примыкания</v>
      </c>
      <c r="C1273" s="993" t="str">
        <f aca="false">крыша!B451</f>
        <v>м.п.</v>
      </c>
      <c r="D1273" s="992" t="n">
        <f aca="false">крыша!C451</f>
        <v>0</v>
      </c>
      <c r="E1273" s="992" t="n">
        <f aca="false">крыша!D451</f>
        <v>190</v>
      </c>
      <c r="F1273" s="992"/>
      <c r="G1273" s="967" t="n">
        <f aca="false">IF(F1273&gt;0,D1273*F1273,E1273*D1273)</f>
        <v>0</v>
      </c>
      <c r="H1273" s="975" t="n">
        <f aca="false">D1273*E1273*$H$1252</f>
        <v>0</v>
      </c>
      <c r="I1273" s="936" t="n">
        <f aca="false">IF(G1273&gt;H1273,G1273,H1273)*$H$1251</f>
        <v>0</v>
      </c>
      <c r="J1273" s="931"/>
      <c r="K1273" s="937"/>
    </row>
    <row r="1274" customFormat="false" ht="15.75" hidden="true" customHeight="false" outlineLevel="0" collapsed="false">
      <c r="A1274" s="937"/>
      <c r="B1274" s="992" t="str">
        <f aca="false">крыша!A452</f>
        <v>Крепеж для ондулина</v>
      </c>
      <c r="C1274" s="993" t="str">
        <f aca="false">крыша!B452</f>
        <v>шт</v>
      </c>
      <c r="D1274" s="992" t="n">
        <f aca="false">крыша!C452</f>
        <v>0</v>
      </c>
      <c r="E1274" s="992" t="n">
        <f aca="false">крыша!D452</f>
        <v>4.5</v>
      </c>
      <c r="F1274" s="992"/>
      <c r="G1274" s="967" t="n">
        <f aca="false">IF(F1274&gt;0,D1274*F1274,E1274*D1274)</f>
        <v>0</v>
      </c>
      <c r="H1274" s="975" t="n">
        <f aca="false">D1274*E1274*$H$1252</f>
        <v>0</v>
      </c>
      <c r="I1274" s="936" t="n">
        <f aca="false">IF(G1274&gt;H1274,G1274,H1274)*$H$1251</f>
        <v>0</v>
      </c>
      <c r="J1274" s="931"/>
      <c r="K1274" s="937"/>
    </row>
    <row r="1275" customFormat="false" ht="15.75" hidden="true" customHeight="false" outlineLevel="0" collapsed="false">
      <c r="A1275" s="937"/>
      <c r="B1275" s="992" t="str">
        <f aca="false">крыша!A453</f>
        <v>нет</v>
      </c>
      <c r="C1275" s="993" t="str">
        <f aca="false">крыша!B453</f>
        <v>м2</v>
      </c>
      <c r="D1275" s="992" t="n">
        <f aca="false">крыша!C453</f>
        <v>146.65772223459</v>
      </c>
      <c r="E1275" s="992" t="n">
        <f aca="false">крыша!D453</f>
        <v>0</v>
      </c>
      <c r="F1275" s="992"/>
      <c r="G1275" s="967" t="n">
        <f aca="false">IF(F1275&gt;0,D1275*F1275,E1275*D1275)</f>
        <v>0</v>
      </c>
      <c r="H1275" s="975" t="n">
        <f aca="false">D1275*E1275*$H$1252</f>
        <v>0</v>
      </c>
      <c r="I1275" s="936" t="n">
        <f aca="false">IF(G1275&gt;H1275,G1275,H1275)*$H$1251</f>
        <v>0</v>
      </c>
      <c r="J1275" s="931"/>
      <c r="K1275" s="937"/>
    </row>
    <row r="1276" customFormat="false" ht="15.75" hidden="true" customHeight="false" outlineLevel="0" collapsed="false">
      <c r="A1276" s="937"/>
      <c r="B1276" s="992" t="str">
        <f aca="false">крыша!A454</f>
        <v>Рядовая черепица</v>
      </c>
      <c r="C1276" s="993" t="str">
        <f aca="false">крыша!B454</f>
        <v>м2</v>
      </c>
      <c r="D1276" s="992" t="n">
        <f aca="false">крыша!C454</f>
        <v>0</v>
      </c>
      <c r="E1276" s="992" t="n">
        <f aca="false">крыша!D454</f>
        <v>360</v>
      </c>
      <c r="F1276" s="992"/>
      <c r="G1276" s="967" t="n">
        <f aca="false">IF(F1276&gt;0,D1276*F1276,E1276*D1276)</f>
        <v>0</v>
      </c>
      <c r="H1276" s="975" t="n">
        <f aca="false">D1276*E1276*$H$1252</f>
        <v>0</v>
      </c>
      <c r="I1276" s="936" t="n">
        <f aca="false">IF(G1276&gt;H1276,G1276,H1276)*$H$1251</f>
        <v>0</v>
      </c>
      <c r="J1276" s="931"/>
      <c r="K1276" s="937"/>
    </row>
    <row r="1277" customFormat="false" ht="15.75" hidden="true" customHeight="false" outlineLevel="0" collapsed="false">
      <c r="A1277" s="937"/>
      <c r="B1277" s="992" t="str">
        <f aca="false">крыша!A455</f>
        <v>Металл оцинк защита (карниз)</v>
      </c>
      <c r="C1277" s="993" t="str">
        <f aca="false">крыша!B455</f>
        <v>м.п.</v>
      </c>
      <c r="D1277" s="992" t="n">
        <f aca="false">крыша!C455</f>
        <v>0</v>
      </c>
      <c r="E1277" s="992" t="n">
        <f aca="false">крыша!D455</f>
        <v>200</v>
      </c>
      <c r="F1277" s="992"/>
      <c r="G1277" s="967" t="n">
        <f aca="false">IF(F1277&gt;0,D1277*F1277,E1277*D1277)</f>
        <v>0</v>
      </c>
      <c r="H1277" s="975" t="n">
        <f aca="false">D1277*E1277*$H$1252</f>
        <v>0</v>
      </c>
      <c r="I1277" s="936" t="n">
        <f aca="false">IF(G1277&gt;H1277,G1277,H1277)*$H$1251</f>
        <v>0</v>
      </c>
      <c r="J1277" s="931"/>
      <c r="K1277" s="937"/>
    </row>
    <row r="1278" customFormat="false" ht="15.75" hidden="true" customHeight="false" outlineLevel="0" collapsed="false">
      <c r="A1278" s="937"/>
      <c r="B1278" s="992" t="str">
        <f aca="false">крыша!A456</f>
        <v>Подкладочный ковер</v>
      </c>
      <c r="C1278" s="993" t="str">
        <f aca="false">крыша!B456</f>
        <v>м.п.</v>
      </c>
      <c r="D1278" s="992" t="n">
        <f aca="false">крыша!C456</f>
        <v>0</v>
      </c>
      <c r="E1278" s="992" t="n">
        <f aca="false">крыша!D456</f>
        <v>220</v>
      </c>
      <c r="F1278" s="992"/>
      <c r="G1278" s="967" t="n">
        <f aca="false">IF(F1278&gt;0,D1278*F1278,E1278*D1278)</f>
        <v>0</v>
      </c>
      <c r="H1278" s="975" t="n">
        <f aca="false">D1278*E1278*$H$1252</f>
        <v>0</v>
      </c>
      <c r="I1278" s="936" t="n">
        <f aca="false">IF(G1278&gt;H1278,G1278,H1278)*$H$1251</f>
        <v>0</v>
      </c>
      <c r="J1278" s="931"/>
      <c r="K1278" s="937"/>
    </row>
    <row r="1279" customFormat="false" ht="15.75" hidden="true" customHeight="false" outlineLevel="0" collapsed="false">
      <c r="A1279" s="937"/>
      <c r="B1279" s="992" t="str">
        <f aca="false">крыша!A457</f>
        <v>Карнизная самоклеющаяся черепица</v>
      </c>
      <c r="C1279" s="993" t="str">
        <f aca="false">крыша!B457</f>
        <v>м.п.</v>
      </c>
      <c r="D1279" s="992" t="n">
        <f aca="false">крыша!C457</f>
        <v>0</v>
      </c>
      <c r="E1279" s="992" t="n">
        <f aca="false">крыша!D457</f>
        <v>220</v>
      </c>
      <c r="F1279" s="992"/>
      <c r="G1279" s="967" t="n">
        <f aca="false">IF(F1279&gt;0,D1279*F1279,E1279*D1279)</f>
        <v>0</v>
      </c>
      <c r="H1279" s="975" t="n">
        <f aca="false">D1279*E1279*$H$1252</f>
        <v>0</v>
      </c>
      <c r="I1279" s="936" t="n">
        <f aca="false">IF(G1279&gt;H1279,G1279,H1279)*$H$1251</f>
        <v>0</v>
      </c>
      <c r="J1279" s="931"/>
      <c r="K1279" s="937"/>
    </row>
    <row r="1280" customFormat="false" ht="15.75" hidden="true" customHeight="false" outlineLevel="0" collapsed="false">
      <c r="A1280" s="937"/>
      <c r="B1280" s="992" t="str">
        <f aca="false">крыша!A458</f>
        <v>Спец ковер ендова нижняя</v>
      </c>
      <c r="C1280" s="993" t="str">
        <f aca="false">крыша!B458</f>
        <v>м.п.</v>
      </c>
      <c r="D1280" s="992" t="n">
        <f aca="false">крыша!C458</f>
        <v>0</v>
      </c>
      <c r="E1280" s="992" t="n">
        <f aca="false">крыша!D458</f>
        <v>200</v>
      </c>
      <c r="F1280" s="992"/>
      <c r="G1280" s="967" t="n">
        <f aca="false">IF(F1280&gt;0,D1280*F1280,E1280*D1280)</f>
        <v>0</v>
      </c>
      <c r="H1280" s="975" t="n">
        <f aca="false">D1280*E1280*$H$1252</f>
        <v>0</v>
      </c>
      <c r="I1280" s="936" t="n">
        <f aca="false">IF(G1280&gt;H1280,G1280,H1280)*$H$1251</f>
        <v>0</v>
      </c>
      <c r="J1280" s="931"/>
      <c r="K1280" s="937"/>
    </row>
    <row r="1281" customFormat="false" ht="15.75" hidden="true" customHeight="false" outlineLevel="0" collapsed="false">
      <c r="A1281" s="937"/>
      <c r="B1281" s="992" t="str">
        <f aca="false">крыша!A459</f>
        <v>Коньковой элемент</v>
      </c>
      <c r="C1281" s="993" t="str">
        <f aca="false">крыша!B459</f>
        <v>м.п.</v>
      </c>
      <c r="D1281" s="992" t="n">
        <f aca="false">крыша!C459</f>
        <v>0</v>
      </c>
      <c r="E1281" s="992" t="n">
        <f aca="false">крыша!D459</f>
        <v>250</v>
      </c>
      <c r="F1281" s="992"/>
      <c r="G1281" s="967" t="n">
        <f aca="false">IF(F1281&gt;0,D1281*F1281,E1281*D1281)</f>
        <v>0</v>
      </c>
      <c r="H1281" s="975" t="n">
        <f aca="false">D1281*E1281*$H$1252</f>
        <v>0</v>
      </c>
      <c r="I1281" s="936" t="n">
        <f aca="false">IF(G1281&gt;H1281,G1281,H1281)*$H$1251</f>
        <v>0</v>
      </c>
      <c r="J1281" s="931"/>
      <c r="K1281" s="937"/>
    </row>
    <row r="1282" customFormat="false" ht="15.75" hidden="true" customHeight="false" outlineLevel="0" collapsed="false">
      <c r="A1282" s="937"/>
      <c r="B1282" s="992" t="str">
        <f aca="false">крыша!A460</f>
        <v>Планка премыкания</v>
      </c>
      <c r="C1282" s="993" t="str">
        <f aca="false">крыша!B460</f>
        <v>м.п.</v>
      </c>
      <c r="D1282" s="992" t="n">
        <f aca="false">крыша!C460</f>
        <v>0</v>
      </c>
      <c r="E1282" s="992" t="n">
        <f aca="false">крыша!D460</f>
        <v>200</v>
      </c>
      <c r="F1282" s="992"/>
      <c r="G1282" s="967" t="n">
        <f aca="false">IF(F1282&gt;0,D1282*F1282,E1282*D1282)</f>
        <v>0</v>
      </c>
      <c r="H1282" s="975" t="n">
        <f aca="false">D1282*E1282*$H$1252</f>
        <v>0</v>
      </c>
      <c r="I1282" s="936" t="n">
        <f aca="false">IF(G1282&gt;H1282,G1282,H1282)*$H$1251</f>
        <v>0</v>
      </c>
      <c r="J1282" s="931"/>
      <c r="K1282" s="937"/>
    </row>
    <row r="1283" customFormat="false" ht="15.75" hidden="true" customHeight="false" outlineLevel="0" collapsed="false">
      <c r="A1283" s="937"/>
      <c r="B1283" s="992" t="str">
        <f aca="false">крыша!A461</f>
        <v>Гвозди для крепления подкладочного ковра</v>
      </c>
      <c r="C1283" s="993" t="str">
        <f aca="false">крыша!B461</f>
        <v>шт</v>
      </c>
      <c r="D1283" s="992" t="n">
        <f aca="false">крыша!C461</f>
        <v>0</v>
      </c>
      <c r="E1283" s="992" t="n">
        <f aca="false">крыша!D461</f>
        <v>0.012</v>
      </c>
      <c r="F1283" s="992"/>
      <c r="G1283" s="967" t="n">
        <f aca="false">IF(F1283&gt;0,D1283*F1283,E1283*D1283)</f>
        <v>0</v>
      </c>
      <c r="H1283" s="975" t="n">
        <f aca="false">D1283*E1283*$H$1252</f>
        <v>0</v>
      </c>
      <c r="I1283" s="936" t="n">
        <f aca="false">IF(G1283&gt;H1283,G1283,H1283)*$H$1251</f>
        <v>0</v>
      </c>
      <c r="J1283" s="931"/>
      <c r="K1283" s="937"/>
    </row>
    <row r="1284" customFormat="false" ht="15.75" hidden="true" customHeight="false" outlineLevel="0" collapsed="false">
      <c r="A1284" s="937"/>
      <c r="B1284" s="992" t="str">
        <f aca="false">крыша!A462</f>
        <v>Гвозди для крепления черепицы</v>
      </c>
      <c r="C1284" s="993" t="str">
        <f aca="false">крыша!B462</f>
        <v>шт</v>
      </c>
      <c r="D1284" s="992" t="n">
        <f aca="false">крыша!C462</f>
        <v>0</v>
      </c>
      <c r="E1284" s="992" t="n">
        <f aca="false">крыша!D462</f>
        <v>0.25</v>
      </c>
      <c r="F1284" s="992"/>
      <c r="G1284" s="967" t="n">
        <f aca="false">IF(F1284&gt;0,D1284*F1284,E1284*D1284)</f>
        <v>0</v>
      </c>
      <c r="H1284" s="975" t="n">
        <f aca="false">D1284*E1284*$H$1252</f>
        <v>0</v>
      </c>
      <c r="I1284" s="936" t="n">
        <f aca="false">IF(G1284&gt;H1284,G1284,H1284)*$H$1251</f>
        <v>0</v>
      </c>
      <c r="J1284" s="931"/>
      <c r="K1284" s="937"/>
    </row>
    <row r="1285" customFormat="false" ht="15.75" hidden="true" customHeight="false" outlineLevel="0" collapsed="false">
      <c r="A1285" s="937"/>
      <c r="B1285" s="992" t="str">
        <f aca="false">крыша!A463</f>
        <v>Клей для монтажа черепицы</v>
      </c>
      <c r="C1285" s="993" t="str">
        <f aca="false">крыша!B463</f>
        <v>кг</v>
      </c>
      <c r="D1285" s="992" t="n">
        <f aca="false">крыша!C463</f>
        <v>0</v>
      </c>
      <c r="E1285" s="992" t="n">
        <f aca="false">крыша!D463</f>
        <v>250</v>
      </c>
      <c r="F1285" s="992"/>
      <c r="G1285" s="967" t="n">
        <f aca="false">IF(F1285&gt;0,D1285*F1285,E1285*D1285)</f>
        <v>0</v>
      </c>
      <c r="H1285" s="975" t="n">
        <f aca="false">D1285*E1285*$H$1252</f>
        <v>0</v>
      </c>
      <c r="I1285" s="936" t="n">
        <f aca="false">IF(G1285&gt;H1285,G1285,H1285)*$H$1251</f>
        <v>0</v>
      </c>
      <c r="J1285" s="931"/>
      <c r="K1285" s="937"/>
    </row>
    <row r="1286" customFormat="false" ht="15.75" hidden="false" customHeight="false" outlineLevel="0" collapsed="false">
      <c r="A1286" s="937"/>
      <c r="B1286" s="992" t="str">
        <f aca="false">крыша!A464</f>
        <v>желоб</v>
      </c>
      <c r="C1286" s="993" t="str">
        <f aca="false">крыша!B464</f>
        <v>м.п</v>
      </c>
      <c r="D1286" s="992" t="n">
        <f aca="false">крыша!C464</f>
        <v>41.6666666666667</v>
      </c>
      <c r="E1286" s="992" t="n">
        <f aca="false">крыша!D464</f>
        <v>300</v>
      </c>
      <c r="F1286" s="992"/>
      <c r="G1286" s="967" t="n">
        <f aca="false">IF(F1286&gt;0,D1286*F1286,E1286*D1286)</f>
        <v>12500</v>
      </c>
      <c r="H1286" s="975" t="n">
        <f aca="false">D1286*E1286*$H$1252</f>
        <v>0</v>
      </c>
      <c r="I1286" s="936" t="n">
        <f aca="false">IF(G1286&gt;H1286,G1286,H1286)*$H$1251</f>
        <v>0</v>
      </c>
      <c r="J1286" s="931"/>
      <c r="K1286" s="937"/>
    </row>
    <row r="1287" customFormat="false" ht="15.75" hidden="false" customHeight="false" outlineLevel="0" collapsed="false">
      <c r="A1287" s="937"/>
      <c r="B1287" s="992" t="str">
        <f aca="false">крыша!A465</f>
        <v>отвод</v>
      </c>
      <c r="C1287" s="993" t="str">
        <f aca="false">крыша!B465</f>
        <v>шт</v>
      </c>
      <c r="D1287" s="992" t="n">
        <f aca="false">крыша!C465</f>
        <v>4</v>
      </c>
      <c r="E1287" s="992" t="n">
        <f aca="false">крыша!D465</f>
        <v>250</v>
      </c>
      <c r="F1287" s="992"/>
      <c r="G1287" s="967" t="n">
        <f aca="false">IF(F1287&gt;0,D1287*F1287,E1287*D1287)</f>
        <v>1000</v>
      </c>
      <c r="H1287" s="975" t="n">
        <f aca="false">D1287*E1287*$H$1252</f>
        <v>0</v>
      </c>
      <c r="I1287" s="936" t="n">
        <f aca="false">IF(G1287&gt;H1287,G1287,H1287)*$H$1251</f>
        <v>0</v>
      </c>
      <c r="J1287" s="931"/>
      <c r="K1287" s="937"/>
    </row>
    <row r="1288" customFormat="false" ht="15.75" hidden="false" customHeight="false" outlineLevel="0" collapsed="false">
      <c r="A1288" s="937"/>
      <c r="B1288" s="992" t="str">
        <f aca="false">крыша!A466</f>
        <v>труба водосточная</v>
      </c>
      <c r="C1288" s="993" t="str">
        <f aca="false">крыша!B466</f>
        <v>м.п.</v>
      </c>
      <c r="D1288" s="992" t="n">
        <f aca="false">крыша!C466</f>
        <v>50</v>
      </c>
      <c r="E1288" s="992" t="n">
        <f aca="false">крыша!D466</f>
        <v>300</v>
      </c>
      <c r="F1288" s="992"/>
      <c r="G1288" s="967" t="n">
        <f aca="false">IF(F1288&gt;0,D1288*F1288,E1288*D1288)</f>
        <v>15000</v>
      </c>
      <c r="H1288" s="975" t="n">
        <f aca="false">D1288*E1288*$H$1252</f>
        <v>0</v>
      </c>
      <c r="I1288" s="936" t="n">
        <f aca="false">IF(G1288&gt;H1288,G1288,H1288)*$H$1251</f>
        <v>0</v>
      </c>
      <c r="J1288" s="931"/>
      <c r="K1288" s="937"/>
    </row>
    <row r="1289" customFormat="false" ht="15.75" hidden="false" customHeight="false" outlineLevel="0" collapsed="false">
      <c r="A1289" s="937"/>
      <c r="B1289" s="992" t="str">
        <f aca="false">крыша!A467</f>
        <v>заглушка для желоба</v>
      </c>
      <c r="C1289" s="993" t="str">
        <f aca="false">крыша!B467</f>
        <v>шт</v>
      </c>
      <c r="D1289" s="992" t="n">
        <f aca="false">крыша!C467</f>
        <v>4</v>
      </c>
      <c r="E1289" s="992" t="n">
        <f aca="false">крыша!D467</f>
        <v>190</v>
      </c>
      <c r="F1289" s="992"/>
      <c r="G1289" s="967" t="n">
        <f aca="false">IF(F1289&gt;0,D1289*F1289,E1289*D1289)</f>
        <v>760</v>
      </c>
      <c r="H1289" s="975" t="n">
        <f aca="false">D1289*E1289*$H$1252</f>
        <v>0</v>
      </c>
      <c r="I1289" s="936" t="n">
        <f aca="false">IF(G1289&gt;H1289,G1289,H1289)*$H$1251</f>
        <v>0</v>
      </c>
      <c r="J1289" s="931"/>
      <c r="K1289" s="937"/>
    </row>
    <row r="1290" customFormat="false" ht="15.75" hidden="false" customHeight="false" outlineLevel="0" collapsed="false">
      <c r="A1290" s="937"/>
      <c r="B1290" s="992" t="str">
        <f aca="false">крыша!A468</f>
        <v>соеденитель для желоба</v>
      </c>
      <c r="C1290" s="993" t="str">
        <f aca="false">крыша!B468</f>
        <v>шт</v>
      </c>
      <c r="D1290" s="992" t="n">
        <f aca="false">крыша!C468</f>
        <v>14.8888888888889</v>
      </c>
      <c r="E1290" s="992" t="n">
        <f aca="false">крыша!D468</f>
        <v>180</v>
      </c>
      <c r="F1290" s="992"/>
      <c r="G1290" s="967" t="n">
        <f aca="false">IF(F1290&gt;0,D1290*F1290,E1290*D1290)</f>
        <v>2680</v>
      </c>
      <c r="H1290" s="975" t="n">
        <f aca="false">D1290*E1290*$H$1252</f>
        <v>0</v>
      </c>
      <c r="I1290" s="936" t="n">
        <f aca="false">IF(G1290&gt;H1290,G1290,H1290)*$H$1251</f>
        <v>0</v>
      </c>
      <c r="J1290" s="931"/>
      <c r="K1290" s="937"/>
    </row>
    <row r="1291" customFormat="false" ht="15.75" hidden="false" customHeight="false" outlineLevel="0" collapsed="false">
      <c r="A1291" s="937"/>
      <c r="B1291" s="992" t="str">
        <f aca="false">крыша!A469</f>
        <v>кронштейн для желоба</v>
      </c>
      <c r="C1291" s="993" t="str">
        <f aca="false">крыша!B469</f>
        <v>шт</v>
      </c>
      <c r="D1291" s="992" t="n">
        <f aca="false">крыша!C469</f>
        <v>104.166666666667</v>
      </c>
      <c r="E1291" s="992" t="n">
        <f aca="false">крыша!D469</f>
        <v>130</v>
      </c>
      <c r="F1291" s="992"/>
      <c r="G1291" s="967" t="n">
        <f aca="false">IF(F1291&gt;0,D1291*F1291,E1291*D1291)</f>
        <v>13541.6666666667</v>
      </c>
      <c r="H1291" s="975" t="n">
        <f aca="false">D1291*E1291*$H$1252</f>
        <v>0</v>
      </c>
      <c r="I1291" s="936" t="n">
        <f aca="false">IF(G1291&gt;H1291,G1291,H1291)*$H$1251</f>
        <v>0</v>
      </c>
      <c r="J1291" s="931"/>
      <c r="K1291" s="937"/>
    </row>
    <row r="1292" customFormat="false" ht="15.75" hidden="false" customHeight="false" outlineLevel="0" collapsed="false">
      <c r="A1292" s="937"/>
      <c r="B1292" s="992" t="str">
        <f aca="false">крыша!A470</f>
        <v>переход из желоба в трубу</v>
      </c>
      <c r="C1292" s="993" t="str">
        <f aca="false">крыша!B470</f>
        <v>шт</v>
      </c>
      <c r="D1292" s="992" t="n">
        <f aca="false">крыша!C470</f>
        <v>4</v>
      </c>
      <c r="E1292" s="992" t="n">
        <f aca="false">крыша!D470</f>
        <v>350</v>
      </c>
      <c r="F1292" s="992"/>
      <c r="G1292" s="967" t="n">
        <f aca="false">IF(F1292&gt;0,D1292*F1292,E1292*D1292)</f>
        <v>1400</v>
      </c>
      <c r="H1292" s="975" t="n">
        <f aca="false">D1292*E1292*$H$1252</f>
        <v>0</v>
      </c>
      <c r="I1292" s="936" t="n">
        <f aca="false">IF(G1292&gt;H1292,G1292,H1292)*$H$1251</f>
        <v>0</v>
      </c>
      <c r="J1292" s="931"/>
      <c r="K1292" s="937"/>
    </row>
    <row r="1293" customFormat="false" ht="15.75" hidden="false" customHeight="false" outlineLevel="0" collapsed="false">
      <c r="A1293" s="937"/>
      <c r="B1293" s="992" t="str">
        <f aca="false">крыша!A471</f>
        <v>лента дельта мульти бэнд</v>
      </c>
      <c r="C1293" s="993" t="str">
        <f aca="false">крыша!B471</f>
        <v>шт</v>
      </c>
      <c r="D1293" s="992" t="n">
        <f aca="false">крыша!C471</f>
        <v>1</v>
      </c>
      <c r="E1293" s="992" t="n">
        <f aca="false">крыша!D471</f>
        <v>1200</v>
      </c>
      <c r="F1293" s="992"/>
      <c r="G1293" s="967" t="n">
        <f aca="false">IF(F1293&gt;0,D1293*F1293,E1293*D1293)</f>
        <v>1200</v>
      </c>
      <c r="H1293" s="975" t="n">
        <f aca="false">D1293*E1293*$H$1252</f>
        <v>0</v>
      </c>
      <c r="I1293" s="936" t="n">
        <f aca="false">IF(G1293&gt;H1293,G1293,H1293)*$H$1251</f>
        <v>0</v>
      </c>
      <c r="J1293" s="931"/>
      <c r="K1293" s="937"/>
    </row>
    <row r="1294" customFormat="false" ht="15.75" hidden="false" customHeight="false" outlineLevel="0" collapsed="false">
      <c r="A1294" s="937"/>
      <c r="B1294" s="992" t="str">
        <f aca="false">крыша!A472</f>
        <v>лента дельта sb-60</v>
      </c>
      <c r="C1294" s="993" t="str">
        <f aca="false">крыша!B472</f>
        <v>шт</v>
      </c>
      <c r="D1294" s="992" t="n">
        <f aca="false">крыша!C472</f>
        <v>8.50189694113567</v>
      </c>
      <c r="E1294" s="992" t="n">
        <f aca="false">крыша!D472</f>
        <v>1100</v>
      </c>
      <c r="F1294" s="992"/>
      <c r="G1294" s="967" t="n">
        <f aca="false">IF(F1294&gt;0,D1294*F1294,E1294*D1294)</f>
        <v>9352.08663524923</v>
      </c>
      <c r="H1294" s="975" t="n">
        <f aca="false">D1294*E1294*$H$1252</f>
        <v>0</v>
      </c>
      <c r="I1294" s="936" t="n">
        <f aca="false">IF(G1294&gt;H1294,G1294,H1294)*$H$1251</f>
        <v>0</v>
      </c>
      <c r="J1294" s="931"/>
      <c r="K1294" s="937"/>
    </row>
    <row r="1295" customFormat="false" ht="15.75" hidden="true" customHeight="false" outlineLevel="0" collapsed="false">
      <c r="A1295" s="937"/>
      <c r="B1295" s="992" t="str">
        <f aca="false">крыша!A473</f>
        <v>проходка кровельная, канализационная</v>
      </c>
      <c r="C1295" s="993" t="str">
        <f aca="false">крыша!B473</f>
        <v>шт</v>
      </c>
      <c r="D1295" s="992" t="n">
        <f aca="false">крыша!C473</f>
        <v>0</v>
      </c>
      <c r="E1295" s="992" t="n">
        <f aca="false">крыша!D473</f>
        <v>3500</v>
      </c>
      <c r="F1295" s="992"/>
      <c r="G1295" s="967" t="n">
        <f aca="false">IF(F1295&gt;0,D1295*F1295,E1295*D1295)</f>
        <v>0</v>
      </c>
      <c r="H1295" s="975" t="n">
        <f aca="false">D1295*E1295*$H$1252</f>
        <v>0</v>
      </c>
      <c r="I1295" s="936" t="n">
        <f aca="false">IF(G1295&gt;H1295,G1295,H1295)*$H$1251</f>
        <v>0</v>
      </c>
      <c r="J1295" s="931"/>
      <c r="K1295" s="937"/>
    </row>
    <row r="1296" customFormat="false" ht="15.75" hidden="true" customHeight="false" outlineLevel="0" collapsed="false">
      <c r="A1296" s="937"/>
      <c r="B1296" s="992" t="str">
        <f aca="false">крыша!A474</f>
        <v>проходка кровельная, вентиляционная</v>
      </c>
      <c r="C1296" s="993" t="str">
        <f aca="false">крыша!B474</f>
        <v>шт</v>
      </c>
      <c r="D1296" s="992" t="n">
        <f aca="false">крыша!C474</f>
        <v>0</v>
      </c>
      <c r="E1296" s="992" t="n">
        <f aca="false">крыша!D474</f>
        <v>3500</v>
      </c>
      <c r="F1296" s="992"/>
      <c r="G1296" s="967" t="n">
        <f aca="false">IF(F1296&gt;0,D1296*F1296,E1296*D1296)</f>
        <v>0</v>
      </c>
      <c r="H1296" s="975" t="n">
        <f aca="false">D1296*E1296*$H$1252</f>
        <v>0</v>
      </c>
      <c r="I1296" s="936" t="n">
        <f aca="false">IF(G1296&gt;H1296,G1296,H1296)*$H$1251</f>
        <v>0</v>
      </c>
      <c r="J1296" s="931"/>
      <c r="K1296" s="937"/>
    </row>
    <row r="1297" customFormat="false" ht="15.75" hidden="true" customHeight="false" outlineLevel="0" collapsed="false">
      <c r="A1297" s="937"/>
      <c r="B1297" s="992" t="str">
        <f aca="false">крыша!A475</f>
        <v>проодка кровельная, труба котел</v>
      </c>
      <c r="C1297" s="993" t="str">
        <f aca="false">крыша!B475</f>
        <v>шт</v>
      </c>
      <c r="D1297" s="992" t="n">
        <f aca="false">крыша!C475</f>
        <v>0</v>
      </c>
      <c r="E1297" s="992" t="n">
        <f aca="false">крыша!D475</f>
        <v>4500</v>
      </c>
      <c r="F1297" s="992"/>
      <c r="G1297" s="967" t="n">
        <f aca="false">IF(F1297&gt;0,D1297*F1297,E1297*D1297)</f>
        <v>0</v>
      </c>
      <c r="H1297" s="975" t="n">
        <f aca="false">D1297*E1297*$H$1252</f>
        <v>0</v>
      </c>
      <c r="I1297" s="936" t="n">
        <f aca="false">IF(G1297&gt;H1297,G1297,H1297)*$H$1251</f>
        <v>0</v>
      </c>
      <c r="J1297" s="931"/>
      <c r="K1297" s="937"/>
    </row>
    <row r="1298" customFormat="false" ht="15.75" hidden="false" customHeight="false" outlineLevel="0" collapsed="false">
      <c r="A1298" s="937"/>
      <c r="B1298" s="992" t="str">
        <f aca="false">крыша!A476</f>
        <v>Кровельный саморез</v>
      </c>
      <c r="C1298" s="993" t="str">
        <f aca="false">крыша!B476</f>
        <v>шт</v>
      </c>
      <c r="D1298" s="992" t="n">
        <f aca="false">крыша!C476</f>
        <v>1530.34144940442</v>
      </c>
      <c r="E1298" s="992" t="n">
        <f aca="false">крыша!D476</f>
        <v>2</v>
      </c>
      <c r="F1298" s="992"/>
      <c r="G1298" s="967" t="n">
        <f aca="false">IF(F1298&gt;0,D1298*F1298,E1298*D1298)</f>
        <v>3060.68289880884</v>
      </c>
      <c r="H1298" s="975" t="n">
        <f aca="false">D1298*E1298*$H$1252</f>
        <v>0</v>
      </c>
      <c r="I1298" s="936" t="n">
        <f aca="false">IF(G1298&gt;H1298,G1298,H1298)*$H$1251</f>
        <v>0</v>
      </c>
      <c r="J1298" s="931"/>
      <c r="K1298" s="937"/>
    </row>
    <row r="1299" customFormat="false" ht="15.75" hidden="false" customHeight="false" outlineLevel="0" collapsed="false">
      <c r="A1299" s="937"/>
      <c r="B1299" s="992" t="str">
        <f aca="false">крыша!A477</f>
        <v>Гвозди ершоные 3,4 x 60            </v>
      </c>
      <c r="C1299" s="993" t="str">
        <f aca="false">крыша!B477</f>
        <v>кг</v>
      </c>
      <c r="D1299" s="992" t="n">
        <f aca="false">крыша!C477</f>
        <v>12.4340242764109</v>
      </c>
      <c r="E1299" s="992" t="n">
        <f aca="false">крыша!D477</f>
        <v>75.51</v>
      </c>
      <c r="F1299" s="992"/>
      <c r="G1299" s="967" t="n">
        <f aca="false">IF(F1299&gt;0,D1299*F1299,E1299*D1299)</f>
        <v>938.893173111788</v>
      </c>
      <c r="H1299" s="975" t="n">
        <f aca="false">D1299*E1299*$H$1252</f>
        <v>0</v>
      </c>
      <c r="I1299" s="936" t="n">
        <f aca="false">IF(G1299&gt;H1299,G1299,H1299)*$H$1251</f>
        <v>0</v>
      </c>
      <c r="J1299" s="931"/>
      <c r="K1299" s="937"/>
    </row>
    <row r="1300" customFormat="false" ht="15.75" hidden="false" customHeight="false" outlineLevel="0" collapsed="false">
      <c r="A1300" s="937"/>
      <c r="B1300" s="992" t="str">
        <f aca="false">крыша!A478</f>
        <v>Гвозди ершоные 2,8 х 90            </v>
      </c>
      <c r="C1300" s="993" t="str">
        <f aca="false">крыша!B478</f>
        <v>кг</v>
      </c>
      <c r="D1300" s="992" t="n">
        <f aca="false">крыша!C478</f>
        <v>19.7282216217207</v>
      </c>
      <c r="E1300" s="992" t="n">
        <f aca="false">крыша!D478</f>
        <v>76.49</v>
      </c>
      <c r="F1300" s="992"/>
      <c r="G1300" s="967" t="n">
        <f aca="false">IF(F1300&gt;0,D1300*F1300,E1300*D1300)</f>
        <v>1509.01167184542</v>
      </c>
      <c r="H1300" s="975" t="n">
        <f aca="false">D1300*E1300*$H$1252</f>
        <v>0</v>
      </c>
      <c r="I1300" s="936" t="n">
        <f aca="false">IF(G1300&gt;H1300,G1300,H1300)*$H$1251</f>
        <v>0</v>
      </c>
      <c r="J1300" s="931"/>
      <c r="K1300" s="937"/>
    </row>
    <row r="1301" customFormat="false" ht="15.75" hidden="false" customHeight="false" outlineLevel="0" collapsed="false">
      <c r="A1301" s="937"/>
      <c r="B1301" s="992" t="str">
        <f aca="false">крыша!A479</f>
        <v>Пластина соеденительная 100х240х2           </v>
      </c>
      <c r="C1301" s="993" t="str">
        <f aca="false">крыша!B479</f>
        <v>шт</v>
      </c>
      <c r="D1301" s="992" t="n">
        <f aca="false">крыша!C479</f>
        <v>18.2183505881479</v>
      </c>
      <c r="E1301" s="992" t="n">
        <f aca="false">крыша!D479</f>
        <v>31.54</v>
      </c>
      <c r="F1301" s="992"/>
      <c r="G1301" s="967" t="n">
        <f aca="false">IF(F1301&gt;0,D1301*F1301,E1301*D1301)</f>
        <v>574.606777550183</v>
      </c>
      <c r="H1301" s="975" t="n">
        <f aca="false">D1301*E1301*$H$1252</f>
        <v>0</v>
      </c>
      <c r="I1301" s="936" t="n">
        <f aca="false">IF(G1301&gt;H1301,G1301,H1301)*$H$1251</f>
        <v>0</v>
      </c>
      <c r="J1301" s="931"/>
      <c r="K1301" s="937"/>
    </row>
    <row r="1302" customFormat="false" ht="15.75" hidden="false" customHeight="false" outlineLevel="0" collapsed="false">
      <c r="A1302" s="937"/>
      <c r="B1302" s="992" t="str">
        <f aca="false">крыша!A480</f>
        <v>Уголок усиленный 90х70х55х2,5        </v>
      </c>
      <c r="C1302" s="993" t="str">
        <f aca="false">крыша!B480</f>
        <v>шт</v>
      </c>
      <c r="D1302" s="992" t="n">
        <f aca="false">крыша!C480</f>
        <v>255.05690823407</v>
      </c>
      <c r="E1302" s="992" t="n">
        <f aca="false">крыша!D480</f>
        <v>30</v>
      </c>
      <c r="F1302" s="992"/>
      <c r="G1302" s="967" t="n">
        <f aca="false">IF(F1302&gt;0,D1302*F1302,E1302*D1302)</f>
        <v>7651.7072470221</v>
      </c>
      <c r="H1302" s="975" t="n">
        <f aca="false">D1302*E1302*$H$1252</f>
        <v>0</v>
      </c>
      <c r="I1302" s="936" t="n">
        <f aca="false">IF(G1302&gt;H1302,G1302,H1302)*$H$1251</f>
        <v>0</v>
      </c>
      <c r="J1302" s="931"/>
      <c r="K1302" s="937"/>
    </row>
    <row r="1303" customFormat="false" ht="15.75" hidden="false" customHeight="false" outlineLevel="0" collapsed="false">
      <c r="A1303" s="937"/>
      <c r="B1303" s="973" t="s">
        <v>2247</v>
      </c>
      <c r="C1303" s="973"/>
      <c r="D1303" s="973"/>
      <c r="E1303" s="973"/>
      <c r="F1303" s="973"/>
      <c r="G1303" s="970" t="n">
        <f aca="false">SUM(G1253:G1302)*H1251</f>
        <v>0</v>
      </c>
      <c r="H1303" s="970" t="n">
        <f aca="false">SUM(H1253:H1302)</f>
        <v>0</v>
      </c>
      <c r="I1303" s="936" t="n">
        <f aca="false">IF(G1303&gt;H1303,G1303,H1303)*$H$1251</f>
        <v>0</v>
      </c>
      <c r="J1303" s="931"/>
      <c r="K1303" s="937"/>
    </row>
    <row r="1304" customFormat="false" ht="15.75" hidden="false" customHeight="false" outlineLevel="0" collapsed="false">
      <c r="A1304" s="937"/>
      <c r="B1304" s="976" t="s">
        <v>2007</v>
      </c>
      <c r="C1304" s="976"/>
      <c r="D1304" s="976"/>
      <c r="E1304" s="976"/>
      <c r="F1304" s="976"/>
      <c r="G1304" s="977"/>
      <c r="H1304" s="994" t="n">
        <f aca="false">H1251</f>
        <v>0</v>
      </c>
      <c r="I1304" s="1026" t="n">
        <f aca="false">H1304</f>
        <v>0</v>
      </c>
      <c r="J1304" s="931"/>
      <c r="K1304" s="937"/>
    </row>
    <row r="1305" customFormat="false" ht="15.75" hidden="false" customHeight="false" outlineLevel="0" collapsed="false">
      <c r="A1305" s="931"/>
      <c r="B1305" s="995" t="str">
        <f aca="false">крыша!G432</f>
        <v>монтаж мауэрлат</v>
      </c>
      <c r="C1305" s="993" t="str">
        <f aca="false">крыша!I432</f>
        <v>м.п.</v>
      </c>
      <c r="D1305" s="992" t="n">
        <f aca="false">крыша!J432</f>
        <v>110.5307463295</v>
      </c>
      <c r="E1305" s="1010" t="n">
        <f aca="false">крыша!K432</f>
        <v>250</v>
      </c>
      <c r="F1305" s="1010"/>
      <c r="G1305" s="967" t="n">
        <f aca="false">IF(F1305&gt;0,D1305*F1305,E1305*D1305)</f>
        <v>27632.6865823749</v>
      </c>
      <c r="H1305" s="970" t="n">
        <f aca="false">D1305*E1305*$H$1304</f>
        <v>0</v>
      </c>
      <c r="I1305" s="936" t="n">
        <f aca="false">IF(G1305&gt;H1305,G1305,H1305)*$H$1251</f>
        <v>0</v>
      </c>
      <c r="J1305" s="931"/>
      <c r="K1305" s="937"/>
    </row>
    <row r="1306" customFormat="false" ht="15.75" hidden="false" customHeight="false" outlineLevel="0" collapsed="false">
      <c r="A1306" s="937"/>
      <c r="B1306" s="995" t="str">
        <f aca="false">крыша!G433</f>
        <v>монтаж стропил</v>
      </c>
      <c r="C1306" s="993" t="str">
        <f aca="false">крыша!I433</f>
        <v>м2</v>
      </c>
      <c r="D1306" s="992" t="n">
        <f aca="false">крыша!J433</f>
        <v>127.528454117035</v>
      </c>
      <c r="E1306" s="1010" t="n">
        <f aca="false">крыша!K433</f>
        <v>450</v>
      </c>
      <c r="F1306" s="1010"/>
      <c r="G1306" s="967" t="n">
        <f aca="false">IF(F1306&gt;0,D1306*F1306,E1306*D1306)</f>
        <v>57387.8043526657</v>
      </c>
      <c r="H1306" s="970" t="n">
        <f aca="false">D1306*E1306*$H$1304</f>
        <v>0</v>
      </c>
      <c r="I1306" s="936" t="n">
        <f aca="false">IF(G1306&gt;H1306,G1306,H1306)*$H$1251</f>
        <v>0</v>
      </c>
      <c r="J1306" s="931"/>
      <c r="K1306" s="937"/>
    </row>
    <row r="1307" customFormat="false" ht="15.75" hidden="false" customHeight="false" outlineLevel="0" collapsed="false">
      <c r="A1307" s="937"/>
      <c r="B1307" s="995" t="str">
        <f aca="false">крыша!G434</f>
        <v>обрешетка</v>
      </c>
      <c r="C1307" s="993" t="str">
        <f aca="false">крыша!I434</f>
        <v>м2</v>
      </c>
      <c r="D1307" s="992" t="n">
        <f aca="false">крыша!J434</f>
        <v>127.528454117035</v>
      </c>
      <c r="E1307" s="1010" t="n">
        <f aca="false">крыша!K434</f>
        <v>100</v>
      </c>
      <c r="F1307" s="1010"/>
      <c r="G1307" s="967" t="n">
        <f aca="false">IF(F1307&gt;0,D1307*F1307,E1307*D1307)</f>
        <v>12752.8454117035</v>
      </c>
      <c r="H1307" s="970" t="n">
        <f aca="false">D1307*E1307*$H$1304</f>
        <v>0</v>
      </c>
      <c r="I1307" s="936" t="n">
        <f aca="false">IF(G1307&gt;H1307,G1307,H1307)*$H$1251</f>
        <v>0</v>
      </c>
      <c r="J1307" s="931"/>
      <c r="K1307" s="937"/>
    </row>
    <row r="1308" customFormat="false" ht="15.75" hidden="false" customHeight="false" outlineLevel="0" collapsed="false">
      <c r="A1308" s="937"/>
      <c r="B1308" s="995" t="str">
        <f aca="false">крыша!G435</f>
        <v>контробеш</v>
      </c>
      <c r="C1308" s="993" t="str">
        <f aca="false">крыша!I435</f>
        <v>м2</v>
      </c>
      <c r="D1308" s="992" t="n">
        <f aca="false">крыша!J435</f>
        <v>127.528454117035</v>
      </c>
      <c r="E1308" s="1010" t="n">
        <f aca="false">крыша!K435</f>
        <v>100</v>
      </c>
      <c r="F1308" s="1010"/>
      <c r="G1308" s="967" t="n">
        <f aca="false">IF(F1308&gt;0,D1308*F1308,E1308*D1308)</f>
        <v>12752.8454117035</v>
      </c>
      <c r="H1308" s="970" t="n">
        <f aca="false">D1308*E1308*$H$1304</f>
        <v>0</v>
      </c>
      <c r="I1308" s="936" t="n">
        <f aca="false">IF(G1308&gt;H1308,G1308,H1308)*$H$1251</f>
        <v>0</v>
      </c>
      <c r="J1308" s="931"/>
      <c r="K1308" s="937"/>
    </row>
    <row r="1309" customFormat="false" ht="15.75" hidden="false" customHeight="false" outlineLevel="0" collapsed="false">
      <c r="A1309" s="937"/>
      <c r="B1309" s="995" t="str">
        <f aca="false">крыша!G436</f>
        <v>мембрана</v>
      </c>
      <c r="C1309" s="993" t="str">
        <f aca="false">крыша!I436</f>
        <v>м2</v>
      </c>
      <c r="D1309" s="992" t="n">
        <f aca="false">крыша!J436</f>
        <v>127.528454117035</v>
      </c>
      <c r="E1309" s="1010" t="n">
        <f aca="false">крыша!K436</f>
        <v>100</v>
      </c>
      <c r="F1309" s="1010"/>
      <c r="G1309" s="967" t="n">
        <f aca="false">IF(F1309&gt;0,D1309*F1309,E1309*D1309)</f>
        <v>12752.8454117035</v>
      </c>
      <c r="H1309" s="970" t="n">
        <f aca="false">D1309*E1309*$H$1304</f>
        <v>0</v>
      </c>
      <c r="I1309" s="936" t="n">
        <f aca="false">IF(G1309&gt;H1309,G1309,H1309)*$H$1251</f>
        <v>0</v>
      </c>
      <c r="J1309" s="931"/>
      <c r="K1309" s="937"/>
    </row>
    <row r="1310" customFormat="false" ht="15.75" hidden="false" customHeight="false" outlineLevel="0" collapsed="false">
      <c r="A1310" s="937"/>
      <c r="B1310" s="995" t="str">
        <f aca="false">крыша!G437</f>
        <v>пароизоляц</v>
      </c>
      <c r="C1310" s="993" t="str">
        <f aca="false">крыша!I437</f>
        <v>м2</v>
      </c>
      <c r="D1310" s="992" t="n">
        <f aca="false">крыша!J437</f>
        <v>127.528454117035</v>
      </c>
      <c r="E1310" s="1010" t="n">
        <f aca="false">крыша!K437</f>
        <v>100</v>
      </c>
      <c r="F1310" s="1010"/>
      <c r="G1310" s="967" t="n">
        <f aca="false">IF(F1310&gt;0,D1310*F1310,E1310*D1310)</f>
        <v>12752.8454117035</v>
      </c>
      <c r="H1310" s="970" t="n">
        <f aca="false">D1310*E1310*$H$1304</f>
        <v>0</v>
      </c>
      <c r="I1310" s="936" t="n">
        <f aca="false">IF(G1310&gt;H1310,G1310,H1310)*$H$1251</f>
        <v>0</v>
      </c>
      <c r="J1310" s="931"/>
      <c r="K1310" s="937"/>
    </row>
    <row r="1311" customFormat="false" ht="15.75" hidden="false" customHeight="false" outlineLevel="0" collapsed="false">
      <c r="A1311" s="937"/>
      <c r="B1311" s="995" t="str">
        <f aca="false">крыша!G438</f>
        <v>утеплитель</v>
      </c>
      <c r="C1311" s="993" t="str">
        <f aca="false">крыша!I438</f>
        <v>м2</v>
      </c>
      <c r="D1311" s="992" t="n">
        <f aca="false">крыша!J438</f>
        <v>127.528454117035</v>
      </c>
      <c r="E1311" s="1010" t="n">
        <f aca="false">крыша!K438</f>
        <v>200</v>
      </c>
      <c r="F1311" s="1010"/>
      <c r="G1311" s="967" t="n">
        <f aca="false">IF(F1311&gt;0,D1311*F1311,E1311*D1311)</f>
        <v>25505.690823407</v>
      </c>
      <c r="H1311" s="970" t="n">
        <f aca="false">D1311*E1311*$H$1304</f>
        <v>0</v>
      </c>
      <c r="I1311" s="936" t="n">
        <f aca="false">IF(G1311&gt;H1311,G1311,H1311)*$H$1251</f>
        <v>0</v>
      </c>
      <c r="J1311" s="931"/>
      <c r="K1311" s="937"/>
    </row>
    <row r="1312" customFormat="false" ht="15.75" hidden="false" customHeight="false" outlineLevel="0" collapsed="false">
      <c r="A1312" s="937"/>
      <c r="B1312" s="995" t="str">
        <f aca="false">крыша!G439</f>
        <v>Монтаж металлочерепицы</v>
      </c>
      <c r="C1312" s="993" t="str">
        <f aca="false">крыша!I439</f>
        <v>м2</v>
      </c>
      <c r="D1312" s="992" t="n">
        <f aca="false">крыша!J439</f>
        <v>127.528454117035</v>
      </c>
      <c r="E1312" s="1010" t="n">
        <f aca="false">крыша!K439</f>
        <v>300</v>
      </c>
      <c r="F1312" s="1010"/>
      <c r="G1312" s="967" t="n">
        <f aca="false">IF(F1312&gt;0,D1312*F1312,E1312*D1312)</f>
        <v>38258.5362351105</v>
      </c>
      <c r="H1312" s="970" t="n">
        <f aca="false">D1312*E1312*$H$1304</f>
        <v>0</v>
      </c>
      <c r="I1312" s="936" t="n">
        <f aca="false">IF(G1312&gt;H1312,G1312,H1312)*$H$1251</f>
        <v>0</v>
      </c>
      <c r="J1312" s="931"/>
      <c r="K1312" s="937"/>
    </row>
    <row r="1313" customFormat="false" ht="15.75" hidden="true" customHeight="false" outlineLevel="0" collapsed="false">
      <c r="A1313" s="937"/>
      <c r="B1313" s="995" t="str">
        <f aca="false">крыша!G440</f>
        <v>ендова верхняя планка</v>
      </c>
      <c r="C1313" s="993" t="str">
        <f aca="false">крыша!I440</f>
        <v>м.п.</v>
      </c>
      <c r="D1313" s="992" t="n">
        <f aca="false">крыша!J440</f>
        <v>0</v>
      </c>
      <c r="E1313" s="1010" t="n">
        <f aca="false">крыша!K440</f>
        <v>100</v>
      </c>
      <c r="F1313" s="1010"/>
      <c r="G1313" s="967" t="n">
        <f aca="false">IF(F1313&gt;0,D1313*F1313,E1313*D1313)</f>
        <v>0</v>
      </c>
      <c r="H1313" s="970" t="n">
        <f aca="false">D1313*E1313*$H$1304</f>
        <v>0</v>
      </c>
      <c r="I1313" s="936" t="n">
        <f aca="false">IF(G1313&gt;H1313,G1313,H1313)*$H$1251</f>
        <v>0</v>
      </c>
      <c r="J1313" s="931"/>
      <c r="K1313" s="937"/>
    </row>
    <row r="1314" customFormat="false" ht="15.75" hidden="false" customHeight="false" outlineLevel="0" collapsed="false">
      <c r="A1314" s="937"/>
      <c r="B1314" s="995" t="str">
        <f aca="false">крыша!G441</f>
        <v>капельник планка</v>
      </c>
      <c r="C1314" s="993" t="str">
        <f aca="false">крыша!I441</f>
        <v>м.п.</v>
      </c>
      <c r="D1314" s="992" t="n">
        <f aca="false">крыша!J441</f>
        <v>50</v>
      </c>
      <c r="E1314" s="1010" t="n">
        <f aca="false">крыша!K441</f>
        <v>100</v>
      </c>
      <c r="F1314" s="1010"/>
      <c r="G1314" s="967" t="n">
        <f aca="false">IF(F1314&gt;0,D1314*F1314,E1314*D1314)</f>
        <v>5000</v>
      </c>
      <c r="H1314" s="970" t="n">
        <f aca="false">D1314*E1314*$H$1304</f>
        <v>0</v>
      </c>
      <c r="I1314" s="936" t="n">
        <f aca="false">IF(G1314&gt;H1314,G1314,H1314)*$H$1251</f>
        <v>0</v>
      </c>
      <c r="J1314" s="931"/>
      <c r="K1314" s="937"/>
    </row>
    <row r="1315" customFormat="false" ht="15.75" hidden="false" customHeight="false" outlineLevel="0" collapsed="false">
      <c r="A1315" s="937"/>
      <c r="B1315" s="995" t="str">
        <f aca="false">крыша!G442</f>
        <v>желоб водосточный</v>
      </c>
      <c r="C1315" s="993" t="str">
        <f aca="false">крыша!I442</f>
        <v>м.п.</v>
      </c>
      <c r="D1315" s="992" t="n">
        <f aca="false">крыша!J442</f>
        <v>41.6666666666667</v>
      </c>
      <c r="E1315" s="1010" t="n">
        <f aca="false">крыша!K442</f>
        <v>300</v>
      </c>
      <c r="F1315" s="1010"/>
      <c r="G1315" s="967" t="n">
        <f aca="false">IF(F1315&gt;0,D1315*F1315,E1315*D1315)</f>
        <v>12500</v>
      </c>
      <c r="H1315" s="970" t="n">
        <f aca="false">D1315*E1315*$H$1304</f>
        <v>0</v>
      </c>
      <c r="I1315" s="936" t="n">
        <f aca="false">IF(G1315&gt;H1315,G1315,H1315)*$H$1251</f>
        <v>0</v>
      </c>
      <c r="J1315" s="931"/>
      <c r="K1315" s="937"/>
    </row>
    <row r="1316" customFormat="false" ht="15.75" hidden="false" customHeight="false" outlineLevel="0" collapsed="false">
      <c r="A1316" s="937"/>
      <c r="B1316" s="995" t="str">
        <f aca="false">крыша!G443</f>
        <v>труба водосточная</v>
      </c>
      <c r="C1316" s="993" t="str">
        <f aca="false">крыша!I443</f>
        <v>м.п.</v>
      </c>
      <c r="D1316" s="992" t="n">
        <f aca="false">крыша!J443</f>
        <v>50</v>
      </c>
      <c r="E1316" s="1010" t="n">
        <f aca="false">крыша!K443</f>
        <v>300</v>
      </c>
      <c r="F1316" s="1010"/>
      <c r="G1316" s="967" t="n">
        <f aca="false">IF(F1316&gt;0,D1316*F1316,E1316*D1316)</f>
        <v>15000</v>
      </c>
      <c r="H1316" s="970" t="n">
        <f aca="false">D1316*E1316*$H$1304</f>
        <v>0</v>
      </c>
      <c r="I1316" s="936" t="n">
        <f aca="false">IF(G1316&gt;H1316,G1316,H1316)*$H$1251</f>
        <v>0</v>
      </c>
      <c r="J1316" s="931"/>
      <c r="K1316" s="937"/>
    </row>
    <row r="1317" customFormat="false" ht="15.75" hidden="false" customHeight="false" outlineLevel="0" collapsed="false">
      <c r="A1317" s="937"/>
      <c r="B1317" s="995" t="str">
        <f aca="false">крыша!G444</f>
        <v>карнизная планка</v>
      </c>
      <c r="C1317" s="993" t="str">
        <f aca="false">крыша!I444</f>
        <v>м.п.</v>
      </c>
      <c r="D1317" s="992" t="n">
        <f aca="false">крыша!J444</f>
        <v>16.9752761391384</v>
      </c>
      <c r="E1317" s="1010" t="n">
        <f aca="false">крыша!K444</f>
        <v>300</v>
      </c>
      <c r="F1317" s="1010"/>
      <c r="G1317" s="967" t="n">
        <f aca="false">IF(F1317&gt;0,D1317*F1317,E1317*D1317)</f>
        <v>5092.58284174151</v>
      </c>
      <c r="H1317" s="970" t="n">
        <f aca="false">D1317*E1317*$H$1304</f>
        <v>0</v>
      </c>
      <c r="I1317" s="936" t="n">
        <f aca="false">IF(G1317&gt;H1317,G1317,H1317)*$H$1251</f>
        <v>0</v>
      </c>
      <c r="J1317" s="931"/>
      <c r="K1317" s="937"/>
    </row>
    <row r="1318" customFormat="false" ht="15.75" hidden="false" customHeight="false" outlineLevel="0" collapsed="false">
      <c r="A1318" s="937"/>
      <c r="B1318" s="995" t="str">
        <f aca="false">крыша!G445</f>
        <v>конек</v>
      </c>
      <c r="C1318" s="993" t="str">
        <f aca="false">крыша!I445</f>
        <v>м.п.</v>
      </c>
      <c r="D1318" s="992" t="n">
        <f aca="false">крыша!J445</f>
        <v>6</v>
      </c>
      <c r="E1318" s="1010" t="n">
        <f aca="false">крыша!K445</f>
        <v>300</v>
      </c>
      <c r="F1318" s="1010"/>
      <c r="G1318" s="967" t="n">
        <f aca="false">IF(F1318&gt;0,D1318*F1318,E1318*D1318)</f>
        <v>1800</v>
      </c>
      <c r="H1318" s="970" t="n">
        <f aca="false">D1318*E1318*$H$1304</f>
        <v>0</v>
      </c>
      <c r="I1318" s="936" t="n">
        <f aca="false">IF(G1318&gt;H1318,G1318,H1318)*$H$1251</f>
        <v>0</v>
      </c>
      <c r="J1318" s="931"/>
      <c r="K1318" s="937"/>
    </row>
    <row r="1319" customFormat="false" ht="15.75" hidden="true" customHeight="false" outlineLevel="0" collapsed="false">
      <c r="A1319" s="937"/>
      <c r="B1319" s="995" t="str">
        <f aca="false">крыша!G446</f>
        <v>Монтаж ондулина</v>
      </c>
      <c r="C1319" s="993" t="str">
        <f aca="false">крыша!I446</f>
        <v>м2</v>
      </c>
      <c r="D1319" s="992" t="n">
        <f aca="false">крыша!J446</f>
        <v>0</v>
      </c>
      <c r="E1319" s="1010" t="n">
        <f aca="false">крыша!K446</f>
        <v>300</v>
      </c>
      <c r="F1319" s="1010"/>
      <c r="G1319" s="967" t="n">
        <f aca="false">IF(F1319&gt;0,D1319*F1319,E1319*D1319)</f>
        <v>0</v>
      </c>
      <c r="H1319" s="970" t="n">
        <f aca="false">D1319*E1319*$H$1304</f>
        <v>0</v>
      </c>
      <c r="I1319" s="936" t="n">
        <f aca="false">IF(G1319&gt;H1319,G1319,H1319)*$H$1251</f>
        <v>0</v>
      </c>
      <c r="J1319" s="931"/>
      <c r="K1319" s="937"/>
    </row>
    <row r="1320" customFormat="false" ht="15.75" hidden="true" customHeight="false" outlineLevel="0" collapsed="false">
      <c r="A1320" s="937"/>
      <c r="B1320" s="995" t="str">
        <f aca="false">крыша!G447</f>
        <v>Монтаж фанеры/osb</v>
      </c>
      <c r="C1320" s="993" t="str">
        <f aca="false">крыша!I447</f>
        <v>м2</v>
      </c>
      <c r="D1320" s="992" t="n">
        <f aca="false">крыша!J447</f>
        <v>0</v>
      </c>
      <c r="E1320" s="1010" t="n">
        <f aca="false">крыша!K447</f>
        <v>200</v>
      </c>
      <c r="F1320" s="1010"/>
      <c r="G1320" s="967" t="n">
        <f aca="false">IF(F1320&gt;0,D1320*F1320,E1320*D1320)</f>
        <v>0</v>
      </c>
      <c r="H1320" s="970" t="n">
        <f aca="false">D1320*E1320*$H$1304</f>
        <v>0</v>
      </c>
      <c r="I1320" s="936" t="n">
        <f aca="false">IF(G1320&gt;H1320,G1320,H1320)*$H$1251</f>
        <v>0</v>
      </c>
      <c r="J1320" s="931"/>
      <c r="K1320" s="937"/>
    </row>
    <row r="1321" customFormat="false" ht="15.75" hidden="true" customHeight="false" outlineLevel="0" collapsed="false">
      <c r="A1321" s="937"/>
      <c r="B1321" s="995" t="str">
        <f aca="false">крыша!G448</f>
        <v>монтаж подкладочного ковра</v>
      </c>
      <c r="C1321" s="993" t="str">
        <f aca="false">крыша!I448</f>
        <v>м2</v>
      </c>
      <c r="D1321" s="992" t="n">
        <f aca="false">крыша!J448</f>
        <v>0</v>
      </c>
      <c r="E1321" s="1010" t="n">
        <f aca="false">крыша!K448</f>
        <v>150</v>
      </c>
      <c r="F1321" s="1010"/>
      <c r="G1321" s="967" t="n">
        <f aca="false">IF(F1321&gt;0,D1321*F1321,E1321*D1321)</f>
        <v>0</v>
      </c>
      <c r="H1321" s="970" t="n">
        <f aca="false">D1321*E1321*$H$1304</f>
        <v>0</v>
      </c>
      <c r="I1321" s="936" t="n">
        <f aca="false">IF(G1321&gt;H1321,G1321,H1321)*$H$1251</f>
        <v>0</v>
      </c>
      <c r="J1321" s="931"/>
      <c r="K1321" s="937"/>
    </row>
    <row r="1322" customFormat="false" ht="15.75" hidden="true" customHeight="false" outlineLevel="0" collapsed="false">
      <c r="A1322" s="937"/>
      <c r="B1322" s="995" t="str">
        <f aca="false">крыша!G449</f>
        <v>Монтаж мягкой кровли</v>
      </c>
      <c r="C1322" s="993" t="str">
        <f aca="false">крыша!I449</f>
        <v>м2</v>
      </c>
      <c r="D1322" s="992" t="n">
        <f aca="false">крыша!J449</f>
        <v>0</v>
      </c>
      <c r="E1322" s="1010" t="n">
        <f aca="false">крыша!K449</f>
        <v>350</v>
      </c>
      <c r="F1322" s="1010"/>
      <c r="G1322" s="967" t="n">
        <f aca="false">IF(F1322&gt;0,D1322*F1322,E1322*D1322)</f>
        <v>0</v>
      </c>
      <c r="H1322" s="970" t="n">
        <f aca="false">D1322*E1322*$H$1304</f>
        <v>0</v>
      </c>
      <c r="I1322" s="936" t="n">
        <f aca="false">IF(G1322&gt;H1322,G1322,H1322)*$H$1251</f>
        <v>0</v>
      </c>
      <c r="J1322" s="931"/>
      <c r="K1322" s="937"/>
    </row>
    <row r="1323" customFormat="false" ht="15.75" hidden="false" customHeight="false" outlineLevel="0" collapsed="false">
      <c r="A1323" s="937"/>
      <c r="B1323" s="973" t="s">
        <v>2248</v>
      </c>
      <c r="C1323" s="973"/>
      <c r="D1323" s="973"/>
      <c r="E1323" s="973"/>
      <c r="F1323" s="973"/>
      <c r="G1323" s="970" t="n">
        <f aca="false">SUM(G1306:G1322)*H1304</f>
        <v>0</v>
      </c>
      <c r="H1323" s="970" t="n">
        <f aca="false">SUM(H1306:H1322)</f>
        <v>0</v>
      </c>
      <c r="I1323" s="936" t="n">
        <f aca="false">IF(G1323&gt;H1323,G1323,H1323)*$H$1251</f>
        <v>0</v>
      </c>
      <c r="J1323" s="931"/>
      <c r="K1323" s="937"/>
    </row>
    <row r="1324" customFormat="false" ht="21" hidden="true" customHeight="false" outlineLevel="0" collapsed="false">
      <c r="A1324" s="937"/>
      <c r="B1324" s="989" t="s">
        <v>2271</v>
      </c>
      <c r="C1324" s="989"/>
      <c r="D1324" s="989"/>
      <c r="E1324" s="989"/>
      <c r="F1324" s="989"/>
      <c r="G1324" s="977"/>
      <c r="H1324" s="1007" t="n">
        <f aca="false">дома!G1202</f>
        <v>0</v>
      </c>
      <c r="I1324" s="1026" t="n">
        <f aca="false">H1324</f>
        <v>0</v>
      </c>
      <c r="J1324" s="931"/>
      <c r="K1324" s="937"/>
    </row>
    <row r="1325" customFormat="false" ht="15.75" hidden="true" customHeight="false" outlineLevel="0" collapsed="false">
      <c r="A1325" s="931"/>
      <c r="B1325" s="1008" t="s">
        <v>2246</v>
      </c>
      <c r="C1325" s="1008"/>
      <c r="D1325" s="1008"/>
      <c r="E1325" s="1008"/>
      <c r="F1325" s="1008"/>
      <c r="G1325" s="977"/>
      <c r="H1325" s="1009" t="n">
        <f aca="false">H1324</f>
        <v>0</v>
      </c>
      <c r="I1325" s="1026" t="n">
        <f aca="false">H1325</f>
        <v>0</v>
      </c>
      <c r="J1325" s="931"/>
      <c r="K1325" s="937"/>
    </row>
    <row r="1326" customFormat="false" ht="15.75" hidden="true" customHeight="false" outlineLevel="0" collapsed="false">
      <c r="A1326" s="931"/>
      <c r="B1326" s="992" t="str">
        <f aca="false">крыша!A508</f>
        <v>Доска сухая, 200*50мм</v>
      </c>
      <c r="C1326" s="993" t="str">
        <f aca="false">крыша!B508</f>
        <v>м3</v>
      </c>
      <c r="D1326" s="992" t="n">
        <f aca="false">крыша!C508</f>
        <v>1.22337146290992</v>
      </c>
      <c r="E1326" s="992" t="n">
        <f aca="false">крыша!D508</f>
        <v>9000</v>
      </c>
      <c r="F1326" s="992"/>
      <c r="G1326" s="967" t="n">
        <f aca="false">IF(F1326&gt;0,D1326*F1326,E1326*D1326)</f>
        <v>11010.3431661892</v>
      </c>
      <c r="H1326" s="975" t="n">
        <f aca="false">D1326*E1326*$H$1325</f>
        <v>0</v>
      </c>
      <c r="I1326" s="936" t="n">
        <f aca="false">IF(G1326&gt;H1326,G1326,H1326)*$H$1324</f>
        <v>0</v>
      </c>
      <c r="J1326" s="931"/>
      <c r="K1326" s="937"/>
    </row>
    <row r="1327" customFormat="false" ht="15.75" hidden="true" customHeight="false" outlineLevel="0" collapsed="false">
      <c r="A1327" s="937"/>
      <c r="B1327" s="992" t="str">
        <f aca="false">крыша!A509</f>
        <v>бугель, доска </v>
      </c>
      <c r="C1327" s="993" t="str">
        <f aca="false">крыша!B509</f>
        <v>м3</v>
      </c>
      <c r="D1327" s="992" t="n">
        <f aca="false">крыша!C509</f>
        <v>0.297</v>
      </c>
      <c r="E1327" s="992" t="n">
        <f aca="false">крыша!D509</f>
        <v>9000</v>
      </c>
      <c r="F1327" s="992"/>
      <c r="G1327" s="967" t="n">
        <f aca="false">IF(F1327&gt;0,D1327*F1327,E1327*D1327)</f>
        <v>2673</v>
      </c>
      <c r="H1327" s="975" t="n">
        <f aca="false">D1327*E1327*$H$1325</f>
        <v>0</v>
      </c>
      <c r="I1327" s="936" t="n">
        <f aca="false">IF(G1327&gt;H1327,G1327,H1327)*$H$1324</f>
        <v>0</v>
      </c>
      <c r="J1327" s="931"/>
      <c r="K1327" s="937"/>
    </row>
    <row r="1328" customFormat="false" ht="15.75" hidden="true" customHeight="false" outlineLevel="0" collapsed="false">
      <c r="A1328" s="937"/>
      <c r="B1328" s="992" t="str">
        <f aca="false">крыша!A510</f>
        <v>стойка под конек</v>
      </c>
      <c r="C1328" s="993" t="str">
        <f aca="false">крыша!B510</f>
        <v>м3</v>
      </c>
      <c r="D1328" s="992" t="n">
        <f aca="false">крыша!C510</f>
        <v>0.421770876399966</v>
      </c>
      <c r="E1328" s="992" t="n">
        <f aca="false">крыша!D510</f>
        <v>9000</v>
      </c>
      <c r="F1328" s="992"/>
      <c r="G1328" s="967" t="n">
        <f aca="false">IF(F1328&gt;0,D1328*F1328,E1328*D1328)</f>
        <v>3795.9378875997</v>
      </c>
      <c r="H1328" s="975" t="n">
        <f aca="false">D1328*E1328*$H$1325</f>
        <v>0</v>
      </c>
      <c r="I1328" s="936" t="n">
        <f aca="false">IF(G1328&gt;H1328,G1328,H1328)*$H$1324</f>
        <v>0</v>
      </c>
      <c r="J1328" s="931"/>
      <c r="K1328" s="937"/>
    </row>
    <row r="1329" customFormat="false" ht="15.75" hidden="true" customHeight="false" outlineLevel="0" collapsed="false">
      <c r="A1329" s="937"/>
      <c r="B1329" s="992" t="str">
        <f aca="false">крыша!A511</f>
        <v>Сосна влаж,100*25мм</v>
      </c>
      <c r="C1329" s="993" t="str">
        <f aca="false">крыша!B511</f>
        <v>м3</v>
      </c>
      <c r="D1329" s="992" t="n">
        <f aca="false">крыша!C511</f>
        <v>0.50612505167996</v>
      </c>
      <c r="E1329" s="992" t="n">
        <f aca="false">крыша!D511</f>
        <v>6500</v>
      </c>
      <c r="F1329" s="992"/>
      <c r="G1329" s="967" t="n">
        <f aca="false">IF(F1329&gt;0,D1329*F1329,E1329*D1329)</f>
        <v>3289.81283591974</v>
      </c>
      <c r="H1329" s="975" t="n">
        <f aca="false">D1329*E1329*$H$1325</f>
        <v>0</v>
      </c>
      <c r="I1329" s="936" t="n">
        <f aca="false">IF(G1329&gt;H1329,G1329,H1329)*$H$1324</f>
        <v>0</v>
      </c>
      <c r="J1329" s="931"/>
      <c r="K1329" s="937"/>
    </row>
    <row r="1330" customFormat="false" ht="15.75" hidden="true" customHeight="false" outlineLevel="0" collapsed="false">
      <c r="A1330" s="937"/>
      <c r="B1330" s="992" t="str">
        <f aca="false">крыша!A512</f>
        <v>Доска сухая, калибр., 35*45мм</v>
      </c>
      <c r="C1330" s="993" t="str">
        <f aca="false">крыша!B512</f>
        <v>шт</v>
      </c>
      <c r="D1330" s="992" t="n">
        <f aca="false">крыша!C512</f>
        <v>0.116250597807741</v>
      </c>
      <c r="E1330" s="992" t="n">
        <f aca="false">крыша!D512</f>
        <v>12500</v>
      </c>
      <c r="F1330" s="992"/>
      <c r="G1330" s="967" t="n">
        <f aca="false">IF(F1330&gt;0,D1330*F1330,E1330*D1330)</f>
        <v>1453.13247259676</v>
      </c>
      <c r="H1330" s="975" t="n">
        <f aca="false">D1330*E1330*$H$1325</f>
        <v>0</v>
      </c>
      <c r="I1330" s="936" t="n">
        <f aca="false">IF(G1330&gt;H1330,G1330,H1330)*$H$1324</f>
        <v>0</v>
      </c>
      <c r="J1330" s="931"/>
      <c r="K1330" s="937"/>
    </row>
    <row r="1331" customFormat="false" ht="15.75" hidden="true" customHeight="false" outlineLevel="0" collapsed="false">
      <c r="A1331" s="937"/>
      <c r="B1331" s="992" t="str">
        <f aca="false">крыша!A513</f>
        <v>нет ветроизоляции</v>
      </c>
      <c r="C1331" s="993" t="str">
        <f aca="false">крыша!B513</f>
        <v>м2</v>
      </c>
      <c r="D1331" s="992" t="n">
        <f aca="false">крыша!C513</f>
        <v>24.0409399547981</v>
      </c>
      <c r="E1331" s="992" t="n">
        <f aca="false">крыша!D513</f>
        <v>0</v>
      </c>
      <c r="F1331" s="992"/>
      <c r="G1331" s="967" t="n">
        <f aca="false">IF(F1331&gt;0,D1331*F1331,E1331*D1331)</f>
        <v>0</v>
      </c>
      <c r="H1331" s="975" t="n">
        <f aca="false">D1331*E1331*$H$1325</f>
        <v>0</v>
      </c>
      <c r="I1331" s="936" t="n">
        <f aca="false">IF(G1331&gt;H1331,G1331,H1331)*$H$1324</f>
        <v>0</v>
      </c>
      <c r="J1331" s="931"/>
      <c r="K1331" s="937"/>
    </row>
    <row r="1332" customFormat="false" ht="15.75" hidden="true" customHeight="false" outlineLevel="0" collapsed="false">
      <c r="A1332" s="937"/>
      <c r="B1332" s="992" t="str">
        <f aca="false">крыша!A514</f>
        <v>нет пароизоляции</v>
      </c>
      <c r="C1332" s="993" t="str">
        <f aca="false">крыша!B514</f>
        <v>м2</v>
      </c>
      <c r="D1332" s="992" t="n">
        <f aca="false">крыша!C514</f>
        <v>22.0375282918982</v>
      </c>
      <c r="E1332" s="992" t="n">
        <f aca="false">крыша!D514</f>
        <v>0</v>
      </c>
      <c r="F1332" s="992"/>
      <c r="G1332" s="967" t="n">
        <f aca="false">IF(F1332&gt;0,D1332*F1332,E1332*D1332)</f>
        <v>0</v>
      </c>
      <c r="H1332" s="975" t="n">
        <f aca="false">D1332*E1332*$H$1325</f>
        <v>0</v>
      </c>
      <c r="I1332" s="936" t="n">
        <f aca="false">IF(G1332&gt;H1332,G1332,H1332)*$H$1324</f>
        <v>0</v>
      </c>
      <c r="J1332" s="931"/>
      <c r="K1332" s="937"/>
    </row>
    <row r="1333" customFormat="false" ht="15.75" hidden="true" customHeight="false" outlineLevel="0" collapsed="false">
      <c r="A1333" s="937"/>
      <c r="B1333" s="992" t="str">
        <f aca="false">крыша!A515</f>
        <v>Плитный,28кг/м3, технониколь, 100мм</v>
      </c>
      <c r="C1333" s="993" t="str">
        <f aca="false">крыша!B515</f>
        <v>м3</v>
      </c>
      <c r="D1333" s="992" t="n">
        <f aca="false">крыша!C515</f>
        <v>2.00341166289984</v>
      </c>
      <c r="E1333" s="992" t="n">
        <f aca="false">крыша!D515</f>
        <v>1700</v>
      </c>
      <c r="F1333" s="992"/>
      <c r="G1333" s="967" t="n">
        <f aca="false">IF(F1333&gt;0,D1333*F1333,E1333*D1333)</f>
        <v>3405.79982692973</v>
      </c>
      <c r="H1333" s="975" t="n">
        <f aca="false">D1333*E1333*$H$1325</f>
        <v>0</v>
      </c>
      <c r="I1333" s="936" t="n">
        <f aca="false">IF(G1333&gt;H1333,G1333,H1333)*$H$1324</f>
        <v>0</v>
      </c>
      <c r="J1333" s="931"/>
      <c r="K1333" s="937"/>
    </row>
    <row r="1334" customFormat="false" ht="15.75" hidden="true" customHeight="false" outlineLevel="0" collapsed="false">
      <c r="A1334" s="937"/>
      <c r="B1334" s="992" t="str">
        <f aca="false">крыша!A516</f>
        <v>Металлочерепица</v>
      </c>
      <c r="C1334" s="993" t="str">
        <f aca="false">крыша!B516</f>
        <v>м2</v>
      </c>
      <c r="D1334" s="992" t="n">
        <f aca="false">крыша!C516</f>
        <v>28.0477632805978</v>
      </c>
      <c r="E1334" s="992" t="n">
        <f aca="false">крыша!D516</f>
        <v>250</v>
      </c>
      <c r="F1334" s="992"/>
      <c r="G1334" s="967" t="n">
        <f aca="false">IF(F1334&gt;0,D1334*F1334,E1334*D1334)</f>
        <v>7011.94082014944</v>
      </c>
      <c r="H1334" s="975" t="n">
        <f aca="false">D1334*E1334*$H$1325</f>
        <v>0</v>
      </c>
      <c r="I1334" s="936" t="n">
        <f aca="false">IF(G1334&gt;H1334,G1334,H1334)*$H$1324</f>
        <v>0</v>
      </c>
      <c r="J1334" s="931"/>
      <c r="K1334" s="937"/>
    </row>
    <row r="1335" customFormat="false" ht="15.75" hidden="true" customHeight="false" outlineLevel="0" collapsed="false">
      <c r="A1335" s="937"/>
      <c r="B1335" s="992" t="str">
        <f aca="false">крыша!A517</f>
        <v>Карнизная планка</v>
      </c>
      <c r="C1335" s="993" t="str">
        <f aca="false">крыша!B517</f>
        <v>м.п.</v>
      </c>
      <c r="D1335" s="992" t="n">
        <f aca="false">крыша!C517</f>
        <v>4</v>
      </c>
      <c r="E1335" s="992" t="n">
        <f aca="false">крыша!D517</f>
        <v>200</v>
      </c>
      <c r="F1335" s="992"/>
      <c r="G1335" s="967" t="n">
        <f aca="false">IF(F1335&gt;0,D1335*F1335,E1335*D1335)</f>
        <v>800</v>
      </c>
      <c r="H1335" s="975" t="n">
        <f aca="false">D1335*E1335*$H$1325</f>
        <v>0</v>
      </c>
      <c r="I1335" s="936" t="n">
        <f aca="false">IF(G1335&gt;H1335,G1335,H1335)*$H$1324</f>
        <v>0</v>
      </c>
      <c r="J1335" s="931"/>
      <c r="K1335" s="937"/>
    </row>
    <row r="1336" customFormat="false" ht="15.75" hidden="true" customHeight="false" outlineLevel="0" collapsed="false">
      <c r="A1336" s="937"/>
      <c r="B1336" s="992" t="str">
        <f aca="false">крыша!A518</f>
        <v>Торцевая планка</v>
      </c>
      <c r="C1336" s="993" t="str">
        <f aca="false">крыша!B518</f>
        <v>м.п.</v>
      </c>
      <c r="D1336" s="992" t="n">
        <f aca="false">крыша!C518</f>
        <v>10.5442719099992</v>
      </c>
      <c r="E1336" s="992" t="n">
        <f aca="false">крыша!D518</f>
        <v>200</v>
      </c>
      <c r="F1336" s="992"/>
      <c r="G1336" s="967" t="n">
        <f aca="false">IF(F1336&gt;0,D1336*F1336,E1336*D1336)</f>
        <v>2108.85438199983</v>
      </c>
      <c r="H1336" s="975" t="n">
        <f aca="false">D1336*E1336*$H$1325</f>
        <v>0</v>
      </c>
      <c r="I1336" s="936" t="n">
        <f aca="false">IF(G1336&gt;H1336,G1336,H1336)*$H$1324</f>
        <v>0</v>
      </c>
      <c r="J1336" s="931"/>
      <c r="K1336" s="937"/>
    </row>
    <row r="1337" customFormat="false" ht="15.75" hidden="true" customHeight="false" outlineLevel="0" collapsed="false">
      <c r="A1337" s="937"/>
      <c r="B1337" s="992" t="str">
        <f aca="false">крыша!A519</f>
        <v>Конек</v>
      </c>
      <c r="C1337" s="993" t="str">
        <f aca="false">крыша!B519</f>
        <v>м.п.</v>
      </c>
      <c r="D1337" s="992" t="n">
        <f aca="false">крыша!C519</f>
        <v>4.8</v>
      </c>
      <c r="E1337" s="992" t="n">
        <f aca="false">крыша!D519</f>
        <v>230</v>
      </c>
      <c r="F1337" s="992"/>
      <c r="G1337" s="967" t="n">
        <f aca="false">IF(F1337&gt;0,D1337*F1337,E1337*D1337)</f>
        <v>1104</v>
      </c>
      <c r="H1337" s="975" t="n">
        <f aca="false">D1337*E1337*$H$1325</f>
        <v>0</v>
      </c>
      <c r="I1337" s="936" t="n">
        <f aca="false">IF(G1337&gt;H1337,G1337,H1337)*$H$1324</f>
        <v>0</v>
      </c>
      <c r="J1337" s="931"/>
      <c r="K1337" s="937"/>
    </row>
    <row r="1338" customFormat="false" ht="15.75" hidden="true" customHeight="false" outlineLevel="0" collapsed="false">
      <c r="A1338" s="937"/>
      <c r="B1338" s="992" t="str">
        <f aca="false">крыша!A520</f>
        <v>Ендова нижняя</v>
      </c>
      <c r="C1338" s="993" t="str">
        <f aca="false">крыша!B520</f>
        <v>м.п.</v>
      </c>
      <c r="D1338" s="992" t="n">
        <f aca="false">крыша!C520</f>
        <v>12.1426168033242</v>
      </c>
      <c r="E1338" s="992" t="n">
        <f aca="false">крыша!D520</f>
        <v>160</v>
      </c>
      <c r="F1338" s="992"/>
      <c r="G1338" s="967" t="n">
        <f aca="false">IF(F1338&gt;0,D1338*F1338,E1338*D1338)</f>
        <v>1942.81868853187</v>
      </c>
      <c r="H1338" s="975" t="n">
        <f aca="false">D1338*E1338*$H$1325</f>
        <v>0</v>
      </c>
      <c r="I1338" s="936" t="n">
        <f aca="false">IF(G1338&gt;H1338,G1338,H1338)*$H$1324</f>
        <v>0</v>
      </c>
      <c r="J1338" s="931"/>
      <c r="K1338" s="937"/>
    </row>
    <row r="1339" customFormat="false" ht="15.75" hidden="true" customHeight="false" outlineLevel="0" collapsed="false">
      <c r="A1339" s="937"/>
      <c r="B1339" s="992" t="str">
        <f aca="false">крыша!A521</f>
        <v>Ендова верхняя</v>
      </c>
      <c r="C1339" s="993" t="str">
        <f aca="false">крыша!B521</f>
        <v>м.п.</v>
      </c>
      <c r="D1339" s="992" t="n">
        <f aca="false">крыша!C521</f>
        <v>12.1426168033242</v>
      </c>
      <c r="E1339" s="992" t="n">
        <f aca="false">крыша!D521</f>
        <v>190</v>
      </c>
      <c r="F1339" s="992"/>
      <c r="G1339" s="967" t="n">
        <f aca="false">IF(F1339&gt;0,D1339*F1339,E1339*D1339)</f>
        <v>2307.09719263159</v>
      </c>
      <c r="H1339" s="975" t="n">
        <f aca="false">D1339*E1339*$H$1325</f>
        <v>0</v>
      </c>
      <c r="I1339" s="936" t="n">
        <f aca="false">IF(G1339&gt;H1339,G1339,H1339)*$H$1324</f>
        <v>0</v>
      </c>
      <c r="J1339" s="931"/>
      <c r="K1339" s="937"/>
    </row>
    <row r="1340" customFormat="false" ht="15.75" hidden="true" customHeight="false" outlineLevel="0" collapsed="false">
      <c r="A1340" s="937"/>
      <c r="B1340" s="992" t="str">
        <f aca="false">крыша!A522</f>
        <v>ондулин</v>
      </c>
      <c r="C1340" s="993" t="str">
        <f aca="false">крыша!B522</f>
        <v>м2</v>
      </c>
      <c r="D1340" s="992" t="n">
        <f aca="false">крыша!C522</f>
        <v>0</v>
      </c>
      <c r="E1340" s="992" t="n">
        <f aca="false">крыша!D522</f>
        <v>180</v>
      </c>
      <c r="F1340" s="992"/>
      <c r="G1340" s="967" t="n">
        <f aca="false">IF(F1340&gt;0,D1340*F1340,E1340*D1340)</f>
        <v>0</v>
      </c>
      <c r="H1340" s="975" t="n">
        <f aca="false">D1340*E1340*$H$1325</f>
        <v>0</v>
      </c>
      <c r="I1340" s="936" t="n">
        <f aca="false">IF(G1340&gt;H1340,G1340,H1340)*$H$1324</f>
        <v>0</v>
      </c>
      <c r="J1340" s="931"/>
      <c r="K1340" s="937"/>
    </row>
    <row r="1341" customFormat="false" ht="15.75" hidden="true" customHeight="false" outlineLevel="0" collapsed="false">
      <c r="A1341" s="937"/>
      <c r="B1341" s="992" t="str">
        <f aca="false">крыша!A523</f>
        <v>Карнизная планка</v>
      </c>
      <c r="C1341" s="993" t="str">
        <f aca="false">крыша!B523</f>
        <v>м.п.</v>
      </c>
      <c r="D1341" s="992" t="n">
        <f aca="false">крыша!C523</f>
        <v>0</v>
      </c>
      <c r="E1341" s="992" t="n">
        <f aca="false">крыша!D523</f>
        <v>190</v>
      </c>
      <c r="F1341" s="992"/>
      <c r="G1341" s="967" t="n">
        <f aca="false">IF(F1341&gt;0,D1341*F1341,E1341*D1341)</f>
        <v>0</v>
      </c>
      <c r="H1341" s="975" t="n">
        <f aca="false">D1341*E1341*$H$1325</f>
        <v>0</v>
      </c>
      <c r="I1341" s="936" t="n">
        <f aca="false">IF(G1341&gt;H1341,G1341,H1341)*$H$1324</f>
        <v>0</v>
      </c>
      <c r="J1341" s="931"/>
      <c r="K1341" s="937"/>
    </row>
    <row r="1342" customFormat="false" ht="15.75" hidden="true" customHeight="false" outlineLevel="0" collapsed="false">
      <c r="A1342" s="937"/>
      <c r="B1342" s="992" t="str">
        <f aca="false">крыша!A524</f>
        <v>Торцевая планка</v>
      </c>
      <c r="C1342" s="993" t="str">
        <f aca="false">крыша!B524</f>
        <v>м.п.</v>
      </c>
      <c r="D1342" s="992" t="n">
        <f aca="false">крыша!C524</f>
        <v>0</v>
      </c>
      <c r="E1342" s="992" t="n">
        <f aca="false">крыша!D524</f>
        <v>190</v>
      </c>
      <c r="F1342" s="992"/>
      <c r="G1342" s="967" t="n">
        <f aca="false">IF(F1342&gt;0,D1342*F1342,E1342*D1342)</f>
        <v>0</v>
      </c>
      <c r="H1342" s="975" t="n">
        <f aca="false">D1342*E1342*$H$1325</f>
        <v>0</v>
      </c>
      <c r="I1342" s="936" t="n">
        <f aca="false">IF(G1342&gt;H1342,G1342,H1342)*$H$1324</f>
        <v>0</v>
      </c>
      <c r="J1342" s="931"/>
      <c r="K1342" s="937"/>
    </row>
    <row r="1343" customFormat="false" ht="15.75" hidden="true" customHeight="false" outlineLevel="0" collapsed="false">
      <c r="A1343" s="937"/>
      <c r="B1343" s="992" t="str">
        <f aca="false">крыша!A525</f>
        <v>Конек</v>
      </c>
      <c r="C1343" s="993" t="str">
        <f aca="false">крыша!B525</f>
        <v>м.п.</v>
      </c>
      <c r="D1343" s="992" t="n">
        <f aca="false">крыша!C525</f>
        <v>0</v>
      </c>
      <c r="E1343" s="992" t="n">
        <f aca="false">крыша!D525</f>
        <v>200</v>
      </c>
      <c r="F1343" s="992"/>
      <c r="G1343" s="967" t="n">
        <f aca="false">IF(F1343&gt;0,D1343*F1343,E1343*D1343)</f>
        <v>0</v>
      </c>
      <c r="H1343" s="975" t="n">
        <f aca="false">D1343*E1343*$H$1325</f>
        <v>0</v>
      </c>
      <c r="I1343" s="936" t="n">
        <f aca="false">IF(G1343&gt;H1343,G1343,H1343)*$H$1324</f>
        <v>0</v>
      </c>
      <c r="J1343" s="931"/>
      <c r="K1343" s="937"/>
    </row>
    <row r="1344" customFormat="false" ht="15.75" hidden="true" customHeight="false" outlineLevel="0" collapsed="false">
      <c r="A1344" s="937"/>
      <c r="B1344" s="992" t="str">
        <f aca="false">крыша!A526</f>
        <v>Ендова нижняя</v>
      </c>
      <c r="C1344" s="993" t="str">
        <f aca="false">крыша!B526</f>
        <v>м.п.</v>
      </c>
      <c r="D1344" s="992" t="n">
        <f aca="false">крыша!C526</f>
        <v>0</v>
      </c>
      <c r="E1344" s="992" t="n">
        <f aca="false">крыша!D526</f>
        <v>160</v>
      </c>
      <c r="F1344" s="992"/>
      <c r="G1344" s="967" t="n">
        <f aca="false">IF(F1344&gt;0,D1344*F1344,E1344*D1344)</f>
        <v>0</v>
      </c>
      <c r="H1344" s="975" t="n">
        <f aca="false">D1344*E1344*$H$1325</f>
        <v>0</v>
      </c>
      <c r="I1344" s="936" t="n">
        <f aca="false">IF(G1344&gt;H1344,G1344,H1344)*$H$1324</f>
        <v>0</v>
      </c>
      <c r="J1344" s="931"/>
      <c r="K1344" s="937"/>
    </row>
    <row r="1345" customFormat="false" ht="15.75" hidden="true" customHeight="false" outlineLevel="0" collapsed="false">
      <c r="A1345" s="937"/>
      <c r="B1345" s="992" t="str">
        <f aca="false">крыша!A527</f>
        <v>Ендова верхняя</v>
      </c>
      <c r="C1345" s="993" t="str">
        <f aca="false">крыша!B527</f>
        <v>м.п.</v>
      </c>
      <c r="D1345" s="992" t="n">
        <f aca="false">крыша!C527</f>
        <v>0</v>
      </c>
      <c r="E1345" s="992" t="n">
        <f aca="false">крыша!D527</f>
        <v>190</v>
      </c>
      <c r="F1345" s="992"/>
      <c r="G1345" s="967" t="n">
        <f aca="false">IF(F1345&gt;0,D1345*F1345,E1345*D1345)</f>
        <v>0</v>
      </c>
      <c r="H1345" s="975" t="n">
        <f aca="false">D1345*E1345*$H$1325</f>
        <v>0</v>
      </c>
      <c r="I1345" s="936" t="n">
        <f aca="false">IF(G1345&gt;H1345,G1345,H1345)*$H$1324</f>
        <v>0</v>
      </c>
      <c r="J1345" s="931"/>
      <c r="K1345" s="937"/>
    </row>
    <row r="1346" customFormat="false" ht="15.75" hidden="true" customHeight="false" outlineLevel="0" collapsed="false">
      <c r="A1346" s="937"/>
      <c r="B1346" s="992" t="str">
        <f aca="false">крыша!A528</f>
        <v>Планка примыкания</v>
      </c>
      <c r="C1346" s="993" t="str">
        <f aca="false">крыша!B528</f>
        <v>м.п.</v>
      </c>
      <c r="D1346" s="992" t="n">
        <f aca="false">крыша!C528</f>
        <v>0</v>
      </c>
      <c r="E1346" s="992" t="n">
        <f aca="false">крыша!D528</f>
        <v>190</v>
      </c>
      <c r="F1346" s="992"/>
      <c r="G1346" s="967" t="n">
        <f aca="false">IF(F1346&gt;0,D1346*F1346,E1346*D1346)</f>
        <v>0</v>
      </c>
      <c r="H1346" s="975" t="n">
        <f aca="false">D1346*E1346*$H$1325</f>
        <v>0</v>
      </c>
      <c r="I1346" s="936" t="n">
        <f aca="false">IF(G1346&gt;H1346,G1346,H1346)*$H$1324</f>
        <v>0</v>
      </c>
      <c r="J1346" s="931"/>
      <c r="K1346" s="937"/>
    </row>
    <row r="1347" customFormat="false" ht="15.75" hidden="true" customHeight="false" outlineLevel="0" collapsed="false">
      <c r="A1347" s="937"/>
      <c r="B1347" s="992" t="str">
        <f aca="false">крыша!A529</f>
        <v>Крепеж для ондулина</v>
      </c>
      <c r="C1347" s="993" t="str">
        <f aca="false">крыша!B529</f>
        <v>шт</v>
      </c>
      <c r="D1347" s="992" t="n">
        <f aca="false">крыша!C529</f>
        <v>0</v>
      </c>
      <c r="E1347" s="992" t="n">
        <f aca="false">крыша!D529</f>
        <v>4.5</v>
      </c>
      <c r="F1347" s="992"/>
      <c r="G1347" s="967" t="n">
        <f aca="false">IF(F1347&gt;0,D1347*F1347,E1347*D1347)</f>
        <v>0</v>
      </c>
      <c r="H1347" s="975" t="n">
        <f aca="false">D1347*E1347*$H$1325</f>
        <v>0</v>
      </c>
      <c r="I1347" s="936" t="n">
        <f aca="false">IF(G1347&gt;H1347,G1347,H1347)*$H$1324</f>
        <v>0</v>
      </c>
      <c r="J1347" s="931"/>
      <c r="K1347" s="937"/>
    </row>
    <row r="1348" customFormat="false" ht="15.75" hidden="true" customHeight="false" outlineLevel="0" collapsed="false">
      <c r="A1348" s="937"/>
      <c r="B1348" s="992" t="str">
        <f aca="false">крыша!A530</f>
        <v>Фанера Березовая марка ФК - влагостойкая,  18 мм </v>
      </c>
      <c r="C1348" s="993" t="str">
        <f aca="false">крыша!B530</f>
        <v>м2</v>
      </c>
      <c r="D1348" s="992" t="n">
        <f aca="false">крыша!C530</f>
        <v>22.0375282918982</v>
      </c>
      <c r="E1348" s="992" t="n">
        <f aca="false">крыша!D530</f>
        <v>533.333333333333</v>
      </c>
      <c r="F1348" s="992"/>
      <c r="G1348" s="967" t="n">
        <f aca="false">IF(F1348&gt;0,D1348*F1348,E1348*D1348)</f>
        <v>11753.3484223457</v>
      </c>
      <c r="H1348" s="975" t="n">
        <f aca="false">D1348*E1348*$H$1325</f>
        <v>0</v>
      </c>
      <c r="I1348" s="936" t="n">
        <f aca="false">IF(G1348&gt;H1348,G1348,H1348)*$H$1324</f>
        <v>0</v>
      </c>
      <c r="J1348" s="931"/>
      <c r="K1348" s="937"/>
    </row>
    <row r="1349" customFormat="false" ht="15.75" hidden="true" customHeight="false" outlineLevel="0" collapsed="false">
      <c r="A1349" s="937"/>
      <c r="B1349" s="992" t="str">
        <f aca="false">крыша!A531</f>
        <v>Рядовая черепица</v>
      </c>
      <c r="C1349" s="993" t="str">
        <f aca="false">крыша!B531</f>
        <v>м2</v>
      </c>
      <c r="D1349" s="992" t="n">
        <f aca="false">крыша!C531</f>
        <v>0</v>
      </c>
      <c r="E1349" s="992" t="n">
        <f aca="false">крыша!D531</f>
        <v>360</v>
      </c>
      <c r="F1349" s="992"/>
      <c r="G1349" s="967" t="n">
        <f aca="false">IF(F1349&gt;0,D1349*F1349,E1349*D1349)</f>
        <v>0</v>
      </c>
      <c r="H1349" s="975" t="n">
        <f aca="false">D1349*E1349*$H$1325</f>
        <v>0</v>
      </c>
      <c r="I1349" s="936" t="n">
        <f aca="false">IF(G1349&gt;H1349,G1349,H1349)*$H$1324</f>
        <v>0</v>
      </c>
      <c r="J1349" s="931"/>
      <c r="K1349" s="937"/>
    </row>
    <row r="1350" customFormat="false" ht="15.75" hidden="true" customHeight="false" outlineLevel="0" collapsed="false">
      <c r="A1350" s="937"/>
      <c r="B1350" s="992" t="str">
        <f aca="false">крыша!A532</f>
        <v>Металл оцинк защита (карниз)</v>
      </c>
      <c r="C1350" s="993" t="str">
        <f aca="false">крыша!B532</f>
        <v>м.п.</v>
      </c>
      <c r="D1350" s="992" t="n">
        <f aca="false">крыша!C532</f>
        <v>0</v>
      </c>
      <c r="E1350" s="992" t="n">
        <f aca="false">крыша!D532</f>
        <v>200</v>
      </c>
      <c r="F1350" s="992"/>
      <c r="G1350" s="967" t="n">
        <f aca="false">IF(F1350&gt;0,D1350*F1350,E1350*D1350)</f>
        <v>0</v>
      </c>
      <c r="H1350" s="975" t="n">
        <f aca="false">D1350*E1350*$H$1325</f>
        <v>0</v>
      </c>
      <c r="I1350" s="936" t="n">
        <f aca="false">IF(G1350&gt;H1350,G1350,H1350)*$H$1324</f>
        <v>0</v>
      </c>
      <c r="J1350" s="931"/>
      <c r="K1350" s="937"/>
    </row>
    <row r="1351" customFormat="false" ht="15.75" hidden="true" customHeight="false" outlineLevel="0" collapsed="false">
      <c r="A1351" s="937"/>
      <c r="B1351" s="992" t="str">
        <f aca="false">крыша!A533</f>
        <v>Подкладочный ковер</v>
      </c>
      <c r="C1351" s="993" t="str">
        <f aca="false">крыша!B533</f>
        <v>м.п.</v>
      </c>
      <c r="D1351" s="992" t="n">
        <f aca="false">крыша!C533</f>
        <v>0</v>
      </c>
      <c r="E1351" s="992" t="n">
        <f aca="false">крыша!D533</f>
        <v>220</v>
      </c>
      <c r="F1351" s="992"/>
      <c r="G1351" s="967" t="n">
        <f aca="false">IF(F1351&gt;0,D1351*F1351,E1351*D1351)</f>
        <v>0</v>
      </c>
      <c r="H1351" s="975" t="n">
        <f aca="false">D1351*E1351*$H$1325</f>
        <v>0</v>
      </c>
      <c r="I1351" s="936" t="n">
        <f aca="false">IF(G1351&gt;H1351,G1351,H1351)*$H$1324</f>
        <v>0</v>
      </c>
      <c r="J1351" s="931"/>
      <c r="K1351" s="937"/>
    </row>
    <row r="1352" customFormat="false" ht="15.75" hidden="true" customHeight="false" outlineLevel="0" collapsed="false">
      <c r="A1352" s="937"/>
      <c r="B1352" s="992" t="str">
        <f aca="false">крыша!A534</f>
        <v>Карнизная самоклеющаяся черепица</v>
      </c>
      <c r="C1352" s="993" t="str">
        <f aca="false">крыша!B534</f>
        <v>м.п.</v>
      </c>
      <c r="D1352" s="992" t="n">
        <f aca="false">крыша!C534</f>
        <v>0</v>
      </c>
      <c r="E1352" s="992" t="n">
        <f aca="false">крыша!D534</f>
        <v>220</v>
      </c>
      <c r="F1352" s="992"/>
      <c r="G1352" s="967" t="n">
        <f aca="false">IF(F1352&gt;0,D1352*F1352,E1352*D1352)</f>
        <v>0</v>
      </c>
      <c r="H1352" s="975" t="n">
        <f aca="false">D1352*E1352*$H$1325</f>
        <v>0</v>
      </c>
      <c r="I1352" s="936" t="n">
        <f aca="false">IF(G1352&gt;H1352,G1352,H1352)*$H$1324</f>
        <v>0</v>
      </c>
      <c r="J1352" s="931"/>
      <c r="K1352" s="937"/>
    </row>
    <row r="1353" customFormat="false" ht="15.75" hidden="true" customHeight="false" outlineLevel="0" collapsed="false">
      <c r="A1353" s="937"/>
      <c r="B1353" s="992" t="str">
        <f aca="false">крыша!A535</f>
        <v>Спец ковер ендова нижняя</v>
      </c>
      <c r="C1353" s="993" t="str">
        <f aca="false">крыша!B535</f>
        <v>м.п.</v>
      </c>
      <c r="D1353" s="992" t="n">
        <f aca="false">крыша!C535</f>
        <v>0</v>
      </c>
      <c r="E1353" s="992" t="n">
        <f aca="false">крыша!D535</f>
        <v>200</v>
      </c>
      <c r="F1353" s="992"/>
      <c r="G1353" s="967" t="n">
        <f aca="false">IF(F1353&gt;0,D1353*F1353,E1353*D1353)</f>
        <v>0</v>
      </c>
      <c r="H1353" s="975" t="n">
        <f aca="false">D1353*E1353*$H$1325</f>
        <v>0</v>
      </c>
      <c r="I1353" s="936" t="n">
        <f aca="false">IF(G1353&gt;H1353,G1353,H1353)*$H$1324</f>
        <v>0</v>
      </c>
      <c r="J1353" s="931"/>
      <c r="K1353" s="937"/>
    </row>
    <row r="1354" customFormat="false" ht="15.75" hidden="true" customHeight="false" outlineLevel="0" collapsed="false">
      <c r="A1354" s="937"/>
      <c r="B1354" s="992" t="str">
        <f aca="false">крыша!A536</f>
        <v>Коньковой элемент</v>
      </c>
      <c r="C1354" s="993" t="str">
        <f aca="false">крыша!B536</f>
        <v>м.п.</v>
      </c>
      <c r="D1354" s="992" t="n">
        <f aca="false">крыша!C536</f>
        <v>0</v>
      </c>
      <c r="E1354" s="992" t="n">
        <f aca="false">крыша!D536</f>
        <v>250</v>
      </c>
      <c r="F1354" s="992"/>
      <c r="G1354" s="967" t="n">
        <f aca="false">IF(F1354&gt;0,D1354*F1354,E1354*D1354)</f>
        <v>0</v>
      </c>
      <c r="H1354" s="975" t="n">
        <f aca="false">D1354*E1354*$H$1325</f>
        <v>0</v>
      </c>
      <c r="I1354" s="936" t="n">
        <f aca="false">IF(G1354&gt;H1354,G1354,H1354)*$H$1324</f>
        <v>0</v>
      </c>
      <c r="J1354" s="931"/>
      <c r="K1354" s="937"/>
    </row>
    <row r="1355" customFormat="false" ht="15.75" hidden="true" customHeight="false" outlineLevel="0" collapsed="false">
      <c r="A1355" s="937"/>
      <c r="B1355" s="992" t="str">
        <f aca="false">крыша!A537</f>
        <v>Планка премыкания</v>
      </c>
      <c r="C1355" s="993" t="str">
        <f aca="false">крыша!B537</f>
        <v>м.п.</v>
      </c>
      <c r="D1355" s="992" t="n">
        <f aca="false">крыша!C537</f>
        <v>0</v>
      </c>
      <c r="E1355" s="992" t="n">
        <f aca="false">крыша!D537</f>
        <v>200</v>
      </c>
      <c r="F1355" s="992"/>
      <c r="G1355" s="967" t="n">
        <f aca="false">IF(F1355&gt;0,D1355*F1355,E1355*D1355)</f>
        <v>0</v>
      </c>
      <c r="H1355" s="975" t="n">
        <f aca="false">D1355*E1355*$H$1325</f>
        <v>0</v>
      </c>
      <c r="I1355" s="936" t="n">
        <f aca="false">IF(G1355&gt;H1355,G1355,H1355)*$H$1324</f>
        <v>0</v>
      </c>
      <c r="J1355" s="931"/>
      <c r="K1355" s="937"/>
    </row>
    <row r="1356" customFormat="false" ht="15.75" hidden="true" customHeight="false" outlineLevel="0" collapsed="false">
      <c r="A1356" s="937"/>
      <c r="B1356" s="992" t="str">
        <f aca="false">крыша!A538</f>
        <v>Гвозди для крепления подкладочного ковра</v>
      </c>
      <c r="C1356" s="993" t="str">
        <f aca="false">крыша!B538</f>
        <v>шт</v>
      </c>
      <c r="D1356" s="992" t="n">
        <f aca="false">крыша!C538</f>
        <v>0</v>
      </c>
      <c r="E1356" s="992" t="n">
        <f aca="false">крыша!D538</f>
        <v>0.012</v>
      </c>
      <c r="F1356" s="992"/>
      <c r="G1356" s="967" t="n">
        <f aca="false">IF(F1356&gt;0,D1356*F1356,E1356*D1356)</f>
        <v>0</v>
      </c>
      <c r="H1356" s="975" t="n">
        <f aca="false">D1356*E1356*$H$1325</f>
        <v>0</v>
      </c>
      <c r="I1356" s="936" t="n">
        <f aca="false">IF(G1356&gt;H1356,G1356,H1356)*$H$1324</f>
        <v>0</v>
      </c>
      <c r="J1356" s="931"/>
      <c r="K1356" s="937"/>
    </row>
    <row r="1357" customFormat="false" ht="15.75" hidden="true" customHeight="false" outlineLevel="0" collapsed="false">
      <c r="A1357" s="937"/>
      <c r="B1357" s="992" t="str">
        <f aca="false">крыша!A539</f>
        <v>Гвозди для крепления черепицы</v>
      </c>
      <c r="C1357" s="993" t="str">
        <f aca="false">крыша!B539</f>
        <v>шт</v>
      </c>
      <c r="D1357" s="992" t="n">
        <f aca="false">крыша!C539</f>
        <v>0</v>
      </c>
      <c r="E1357" s="992" t="n">
        <f aca="false">крыша!D539</f>
        <v>0.25</v>
      </c>
      <c r="F1357" s="992"/>
      <c r="G1357" s="967" t="n">
        <f aca="false">IF(F1357&gt;0,D1357*F1357,E1357*D1357)</f>
        <v>0</v>
      </c>
      <c r="H1357" s="975" t="n">
        <f aca="false">D1357*E1357*$H$1325</f>
        <v>0</v>
      </c>
      <c r="I1357" s="936" t="n">
        <f aca="false">IF(G1357&gt;H1357,G1357,H1357)*$H$1324</f>
        <v>0</v>
      </c>
      <c r="J1357" s="931"/>
      <c r="K1357" s="937"/>
    </row>
    <row r="1358" customFormat="false" ht="15.75" hidden="true" customHeight="false" outlineLevel="0" collapsed="false">
      <c r="A1358" s="937"/>
      <c r="B1358" s="992" t="str">
        <f aca="false">крыша!A540</f>
        <v>Клей для монтажа черепицы</v>
      </c>
      <c r="C1358" s="993" t="str">
        <f aca="false">крыша!B540</f>
        <v>кг</v>
      </c>
      <c r="D1358" s="992" t="n">
        <f aca="false">крыша!C540</f>
        <v>0</v>
      </c>
      <c r="E1358" s="992" t="n">
        <f aca="false">крыша!D540</f>
        <v>250</v>
      </c>
      <c r="F1358" s="992"/>
      <c r="G1358" s="967" t="n">
        <f aca="false">IF(F1358&gt;0,D1358*F1358,E1358*D1358)</f>
        <v>0</v>
      </c>
      <c r="H1358" s="975" t="n">
        <f aca="false">D1358*E1358*$H$1325</f>
        <v>0</v>
      </c>
      <c r="I1358" s="936" t="n">
        <f aca="false">IF(G1358&gt;H1358,G1358,H1358)*$H$1324</f>
        <v>0</v>
      </c>
      <c r="J1358" s="931"/>
      <c r="K1358" s="937"/>
    </row>
    <row r="1359" customFormat="false" ht="15.75" hidden="true" customHeight="false" outlineLevel="0" collapsed="false">
      <c r="A1359" s="937"/>
      <c r="B1359" s="992" t="str">
        <f aca="false">крыша!A541</f>
        <v>лента дельта мульти бэнд</v>
      </c>
      <c r="C1359" s="993" t="str">
        <f aca="false">крыша!B541</f>
        <v>шт</v>
      </c>
      <c r="D1359" s="992" t="n">
        <f aca="false">крыша!C541</f>
        <v>1.6695097190832</v>
      </c>
      <c r="E1359" s="992" t="n">
        <f aca="false">крыша!D541</f>
        <v>1200</v>
      </c>
      <c r="F1359" s="992"/>
      <c r="G1359" s="967" t="n">
        <f aca="false">IF(F1359&gt;0,D1359*F1359,E1359*D1359)</f>
        <v>2003.41166289984</v>
      </c>
      <c r="H1359" s="975" t="n">
        <f aca="false">D1359*E1359*$H$1325</f>
        <v>0</v>
      </c>
      <c r="I1359" s="936" t="n">
        <f aca="false">IF(G1359&gt;H1359,G1359,H1359)*$H$1324</f>
        <v>0</v>
      </c>
      <c r="J1359" s="931"/>
      <c r="K1359" s="937"/>
    </row>
    <row r="1360" customFormat="false" ht="15.75" hidden="true" customHeight="false" outlineLevel="0" collapsed="false">
      <c r="A1360" s="937"/>
      <c r="B1360" s="992" t="str">
        <f aca="false">крыша!A542</f>
        <v>лента дельта sb-60</v>
      </c>
      <c r="C1360" s="993" t="str">
        <f aca="false">крыша!B542</f>
        <v>шт</v>
      </c>
      <c r="D1360" s="992" t="n">
        <f aca="false">крыша!C542</f>
        <v>0.801364665159936</v>
      </c>
      <c r="E1360" s="992" t="n">
        <f aca="false">крыша!D542</f>
        <v>1100</v>
      </c>
      <c r="F1360" s="992"/>
      <c r="G1360" s="967" t="n">
        <f aca="false">IF(F1360&gt;0,D1360*F1360,E1360*D1360)</f>
        <v>881.50113167593</v>
      </c>
      <c r="H1360" s="975" t="n">
        <f aca="false">D1360*E1360*$H$1325</f>
        <v>0</v>
      </c>
      <c r="I1360" s="936" t="n">
        <f aca="false">IF(G1360&gt;H1360,G1360,H1360)*$H$1324</f>
        <v>0</v>
      </c>
      <c r="J1360" s="931"/>
      <c r="K1360" s="937"/>
    </row>
    <row r="1361" customFormat="false" ht="15.75" hidden="true" customHeight="false" outlineLevel="0" collapsed="false">
      <c r="A1361" s="937"/>
      <c r="B1361" s="992" t="str">
        <f aca="false">крыша!A543</f>
        <v>Кровельный саморез</v>
      </c>
      <c r="C1361" s="993" t="str">
        <f aca="false">крыша!B543</f>
        <v>шт</v>
      </c>
      <c r="D1361" s="992" t="n">
        <f aca="false">крыша!C543</f>
        <v>240.409399547981</v>
      </c>
      <c r="E1361" s="992" t="n">
        <f aca="false">крыша!D543</f>
        <v>2</v>
      </c>
      <c r="F1361" s="992"/>
      <c r="G1361" s="967" t="n">
        <f aca="false">IF(F1361&gt;0,D1361*F1361,E1361*D1361)</f>
        <v>480.818799095962</v>
      </c>
      <c r="H1361" s="975" t="n">
        <f aca="false">D1361*E1361*$H$1325</f>
        <v>0</v>
      </c>
      <c r="I1361" s="936" t="n">
        <f aca="false">IF(G1361&gt;H1361,G1361,H1361)*$H$1324</f>
        <v>0</v>
      </c>
      <c r="J1361" s="931"/>
      <c r="K1361" s="937"/>
    </row>
    <row r="1362" customFormat="false" ht="15.75" hidden="true" customHeight="false" outlineLevel="0" collapsed="false">
      <c r="A1362" s="937"/>
      <c r="B1362" s="992" t="str">
        <f aca="false">крыша!A544</f>
        <v>Гвозди ершоные 3,4 x 60            </v>
      </c>
      <c r="C1362" s="993" t="str">
        <f aca="false">крыша!B544</f>
        <v>кг</v>
      </c>
      <c r="D1362" s="992" t="n">
        <f aca="false">крыша!C544</f>
        <v>7.5918757751994</v>
      </c>
      <c r="E1362" s="992" t="n">
        <f aca="false">крыша!D544</f>
        <v>75.51</v>
      </c>
      <c r="F1362" s="992"/>
      <c r="G1362" s="967" t="n">
        <f aca="false">IF(F1362&gt;0,D1362*F1362,E1362*D1362)</f>
        <v>573.262539785306</v>
      </c>
      <c r="H1362" s="975" t="n">
        <f aca="false">D1362*E1362*$H$1325</f>
        <v>0</v>
      </c>
      <c r="I1362" s="936" t="n">
        <f aca="false">IF(G1362&gt;H1362,G1362,H1362)*$H$1324</f>
        <v>0</v>
      </c>
      <c r="J1362" s="931"/>
      <c r="K1362" s="937"/>
    </row>
    <row r="1363" customFormat="false" ht="15.75" hidden="true" customHeight="false" outlineLevel="0" collapsed="false">
      <c r="A1363" s="937"/>
      <c r="B1363" s="992" t="str">
        <f aca="false">крыша!A545</f>
        <v>Гвозди ершоные 2,8 х 90            </v>
      </c>
      <c r="C1363" s="993" t="str">
        <f aca="false">крыша!B545</f>
        <v>кг</v>
      </c>
      <c r="D1363" s="992" t="n">
        <f aca="false">крыша!C545</f>
        <v>19.4214233930988</v>
      </c>
      <c r="E1363" s="992" t="n">
        <f aca="false">крыша!D545</f>
        <v>76.49</v>
      </c>
      <c r="F1363" s="992"/>
      <c r="G1363" s="967" t="n">
        <f aca="false">IF(F1363&gt;0,D1363*F1363,E1363*D1363)</f>
        <v>1485.54467533813</v>
      </c>
      <c r="H1363" s="975" t="n">
        <f aca="false">D1363*E1363*$H$1325</f>
        <v>0</v>
      </c>
      <c r="I1363" s="936" t="n">
        <f aca="false">IF(G1363&gt;H1363,G1363,H1363)*$H$1324</f>
        <v>0</v>
      </c>
      <c r="J1363" s="931"/>
      <c r="K1363" s="937"/>
    </row>
    <row r="1364" customFormat="false" ht="15.75" hidden="true" customHeight="false" outlineLevel="0" collapsed="false">
      <c r="A1364" s="937"/>
      <c r="B1364" s="992" t="str">
        <f aca="false">крыша!A546</f>
        <v>Пластина соеденительная 100х240х2           </v>
      </c>
      <c r="C1364" s="993" t="str">
        <f aca="false">крыша!B546</f>
        <v>шт</v>
      </c>
      <c r="D1364" s="992" t="n">
        <f aca="false">крыша!C546</f>
        <v>18</v>
      </c>
      <c r="E1364" s="992" t="n">
        <f aca="false">крыша!D546</f>
        <v>31.54</v>
      </c>
      <c r="F1364" s="992"/>
      <c r="G1364" s="967" t="n">
        <f aca="false">IF(F1364&gt;0,D1364*F1364,E1364*D1364)</f>
        <v>567.72</v>
      </c>
      <c r="H1364" s="975" t="n">
        <f aca="false">D1364*E1364*$H$1325</f>
        <v>0</v>
      </c>
      <c r="I1364" s="936" t="n">
        <f aca="false">IF(G1364&gt;H1364,G1364,H1364)*$H$1324</f>
        <v>0</v>
      </c>
      <c r="J1364" s="931"/>
      <c r="K1364" s="937"/>
    </row>
    <row r="1365" customFormat="false" ht="15.75" hidden="true" customHeight="false" outlineLevel="0" collapsed="false">
      <c r="A1365" s="937"/>
      <c r="B1365" s="992" t="str">
        <f aca="false">крыша!A547</f>
        <v>Уголок усиленный 90х70х55х2,5        </v>
      </c>
      <c r="C1365" s="993" t="str">
        <f aca="false">крыша!B547</f>
        <v>шт</v>
      </c>
      <c r="D1365" s="992" t="n">
        <f aca="false">крыша!C547</f>
        <v>18</v>
      </c>
      <c r="E1365" s="992" t="n">
        <f aca="false">крыша!D547</f>
        <v>30</v>
      </c>
      <c r="F1365" s="992"/>
      <c r="G1365" s="967" t="n">
        <f aca="false">IF(F1365&gt;0,D1365*F1365,E1365*D1365)</f>
        <v>540</v>
      </c>
      <c r="H1365" s="975" t="n">
        <f aca="false">D1365*E1365*$H$1325</f>
        <v>0</v>
      </c>
      <c r="I1365" s="936" t="n">
        <f aca="false">IF(G1365&gt;H1365,G1365,H1365)*$H$1324</f>
        <v>0</v>
      </c>
      <c r="J1365" s="931"/>
      <c r="K1365" s="937"/>
    </row>
    <row r="1366" customFormat="false" ht="15.75" hidden="true" customHeight="false" outlineLevel="0" collapsed="false">
      <c r="A1366" s="937"/>
      <c r="B1366" s="973" t="s">
        <v>2247</v>
      </c>
      <c r="C1366" s="973"/>
      <c r="D1366" s="973"/>
      <c r="E1366" s="973"/>
      <c r="F1366" s="973"/>
      <c r="G1366" s="970" t="n">
        <f aca="false">SUM(G1326:G1365)*H1324</f>
        <v>0</v>
      </c>
      <c r="H1366" s="970" t="n">
        <f aca="false">SUM(H1326:H1365)</f>
        <v>0</v>
      </c>
      <c r="I1366" s="936" t="n">
        <f aca="false">IF(G1366&gt;H1366,G1366,H1366)*$H$1324</f>
        <v>0</v>
      </c>
      <c r="J1366" s="931"/>
      <c r="K1366" s="937"/>
    </row>
    <row r="1367" customFormat="false" ht="15.75" hidden="true" customHeight="false" outlineLevel="0" collapsed="false">
      <c r="A1367" s="937"/>
      <c r="B1367" s="976" t="s">
        <v>2007</v>
      </c>
      <c r="C1367" s="976"/>
      <c r="D1367" s="976"/>
      <c r="E1367" s="976"/>
      <c r="F1367" s="976"/>
      <c r="G1367" s="977"/>
      <c r="H1367" s="994" t="n">
        <f aca="false">H1324</f>
        <v>0</v>
      </c>
      <c r="I1367" s="1026" t="n">
        <f aca="false">H1367</f>
        <v>0</v>
      </c>
      <c r="J1367" s="931"/>
      <c r="K1367" s="937"/>
    </row>
    <row r="1368" customFormat="false" ht="15.75" hidden="true" customHeight="false" outlineLevel="0" collapsed="false">
      <c r="A1368" s="931"/>
      <c r="B1368" s="995" t="str">
        <f aca="false">крыша!G508</f>
        <v>монтаж стропил</v>
      </c>
      <c r="C1368" s="993" t="s">
        <v>820</v>
      </c>
      <c r="D1368" s="992" t="n">
        <f aca="false">крыша!J508</f>
        <v>20.0341166289984</v>
      </c>
      <c r="E1368" s="1010" t="n">
        <f aca="false">крыша!K508</f>
        <v>450</v>
      </c>
      <c r="F1368" s="1010"/>
      <c r="G1368" s="967" t="n">
        <f aca="false">IF(F1368&gt;0,D1368*F1368,E1368*D1368)</f>
        <v>9015.35248304928</v>
      </c>
      <c r="H1368" s="970" t="n">
        <f aca="false">D1368*E1368*$H$1367</f>
        <v>0</v>
      </c>
      <c r="I1368" s="936" t="n">
        <f aca="false">IF(G1368&gt;H1368,G1368,H1368)*$H$1324</f>
        <v>0</v>
      </c>
      <c r="J1368" s="931"/>
      <c r="K1368" s="937"/>
    </row>
    <row r="1369" customFormat="false" ht="15.75" hidden="true" customHeight="false" outlineLevel="0" collapsed="false">
      <c r="A1369" s="937"/>
      <c r="B1369" s="995" t="str">
        <f aca="false">крыша!G509</f>
        <v>обрешетка</v>
      </c>
      <c r="C1369" s="993" t="s">
        <v>820</v>
      </c>
      <c r="D1369" s="992" t="n">
        <f aca="false">крыша!J509</f>
        <v>20.0341166289984</v>
      </c>
      <c r="E1369" s="1010" t="n">
        <f aca="false">крыша!K509</f>
        <v>100</v>
      </c>
      <c r="F1369" s="1010"/>
      <c r="G1369" s="967" t="n">
        <f aca="false">IF(F1369&gt;0,D1369*F1369,E1369*D1369)</f>
        <v>2003.41166289984</v>
      </c>
      <c r="H1369" s="970" t="n">
        <f aca="false">D1369*E1369*$H$1367</f>
        <v>0</v>
      </c>
      <c r="I1369" s="936" t="n">
        <f aca="false">IF(G1369&gt;H1369,G1369,H1369)*$H$1324</f>
        <v>0</v>
      </c>
      <c r="J1369" s="931"/>
      <c r="K1369" s="937"/>
    </row>
    <row r="1370" customFormat="false" ht="15.75" hidden="true" customHeight="false" outlineLevel="0" collapsed="false">
      <c r="A1370" s="937"/>
      <c r="B1370" s="995" t="str">
        <f aca="false">крыша!G510</f>
        <v>контробеш</v>
      </c>
      <c r="C1370" s="993" t="s">
        <v>820</v>
      </c>
      <c r="D1370" s="992" t="n">
        <f aca="false">крыша!J510</f>
        <v>20.0341166289984</v>
      </c>
      <c r="E1370" s="1010" t="n">
        <f aca="false">крыша!K510</f>
        <v>100</v>
      </c>
      <c r="F1370" s="1010"/>
      <c r="G1370" s="967" t="n">
        <f aca="false">IF(F1370&gt;0,D1370*F1370,E1370*D1370)</f>
        <v>2003.41166289984</v>
      </c>
      <c r="H1370" s="970" t="n">
        <f aca="false">D1370*E1370*$H$1367</f>
        <v>0</v>
      </c>
      <c r="I1370" s="936" t="n">
        <f aca="false">IF(G1370&gt;H1370,G1370,H1370)*$H$1324</f>
        <v>0</v>
      </c>
      <c r="J1370" s="931"/>
      <c r="K1370" s="937"/>
    </row>
    <row r="1371" customFormat="false" ht="15.75" hidden="true" customHeight="false" outlineLevel="0" collapsed="false">
      <c r="A1371" s="937"/>
      <c r="B1371" s="995" t="str">
        <f aca="false">крыша!G511</f>
        <v>мембрана</v>
      </c>
      <c r="C1371" s="993" t="s">
        <v>820</v>
      </c>
      <c r="D1371" s="992" t="n">
        <f aca="false">крыша!J511</f>
        <v>0</v>
      </c>
      <c r="E1371" s="1010" t="n">
        <f aca="false">крыша!K511</f>
        <v>100</v>
      </c>
      <c r="F1371" s="1010"/>
      <c r="G1371" s="967" t="n">
        <f aca="false">IF(F1371&gt;0,D1371*F1371,E1371*D1371)</f>
        <v>0</v>
      </c>
      <c r="H1371" s="970" t="n">
        <f aca="false">D1371*E1371*$H$1367</f>
        <v>0</v>
      </c>
      <c r="I1371" s="936" t="n">
        <f aca="false">IF(G1371&gt;H1371,G1371,H1371)*$H$1324</f>
        <v>0</v>
      </c>
      <c r="J1371" s="931"/>
      <c r="K1371" s="937"/>
    </row>
    <row r="1372" customFormat="false" ht="15.75" hidden="true" customHeight="false" outlineLevel="0" collapsed="false">
      <c r="A1372" s="937"/>
      <c r="B1372" s="995" t="str">
        <f aca="false">крыша!G512</f>
        <v>пароизоляц</v>
      </c>
      <c r="C1372" s="993" t="s">
        <v>820</v>
      </c>
      <c r="D1372" s="992" t="n">
        <f aca="false">крыша!J512</f>
        <v>0</v>
      </c>
      <c r="E1372" s="1010" t="n">
        <f aca="false">крыша!K512</f>
        <v>100</v>
      </c>
      <c r="F1372" s="1010"/>
      <c r="G1372" s="967" t="n">
        <f aca="false">IF(F1372&gt;0,D1372*F1372,E1372*D1372)</f>
        <v>0</v>
      </c>
      <c r="H1372" s="970" t="n">
        <f aca="false">D1372*E1372*$H$1367</f>
        <v>0</v>
      </c>
      <c r="I1372" s="936" t="n">
        <f aca="false">IF(G1372&gt;H1372,G1372,H1372)*$H$1324</f>
        <v>0</v>
      </c>
      <c r="J1372" s="931"/>
      <c r="K1372" s="937"/>
    </row>
    <row r="1373" customFormat="false" ht="15.75" hidden="true" customHeight="false" outlineLevel="0" collapsed="false">
      <c r="A1373" s="937"/>
      <c r="B1373" s="995" t="str">
        <f aca="false">крыша!G513</f>
        <v>утеплитель</v>
      </c>
      <c r="C1373" s="993" t="s">
        <v>820</v>
      </c>
      <c r="D1373" s="992" t="n">
        <f aca="false">крыша!J513</f>
        <v>20.0341166289984</v>
      </c>
      <c r="E1373" s="1010" t="n">
        <f aca="false">крыша!K513</f>
        <v>200</v>
      </c>
      <c r="F1373" s="1010"/>
      <c r="G1373" s="967" t="n">
        <f aca="false">IF(F1373&gt;0,D1373*F1373,E1373*D1373)</f>
        <v>4006.82332579968</v>
      </c>
      <c r="H1373" s="970" t="n">
        <f aca="false">D1373*E1373*$H$1367</f>
        <v>0</v>
      </c>
      <c r="I1373" s="936" t="n">
        <f aca="false">IF(G1373&gt;H1373,G1373,H1373)*$H$1324</f>
        <v>0</v>
      </c>
      <c r="J1373" s="931"/>
      <c r="K1373" s="937"/>
    </row>
    <row r="1374" customFormat="false" ht="15.75" hidden="true" customHeight="false" outlineLevel="0" collapsed="false">
      <c r="A1374" s="937"/>
      <c r="B1374" s="995" t="str">
        <f aca="false">крыша!G514</f>
        <v>Монтаж металлочерепицы</v>
      </c>
      <c r="C1374" s="993" t="s">
        <v>820</v>
      </c>
      <c r="D1374" s="992" t="n">
        <f aca="false">крыша!J514</f>
        <v>20.0341166289984</v>
      </c>
      <c r="E1374" s="1010" t="n">
        <f aca="false">крыша!K514</f>
        <v>300</v>
      </c>
      <c r="F1374" s="1010"/>
      <c r="G1374" s="967" t="n">
        <f aca="false">IF(F1374&gt;0,D1374*F1374,E1374*D1374)</f>
        <v>6010.23498869952</v>
      </c>
      <c r="H1374" s="970" t="n">
        <f aca="false">D1374*E1374*$H$1367</f>
        <v>0</v>
      </c>
      <c r="I1374" s="936" t="n">
        <f aca="false">IF(G1374&gt;H1374,G1374,H1374)*$H$1324</f>
        <v>0</v>
      </c>
      <c r="J1374" s="931"/>
      <c r="K1374" s="937"/>
    </row>
    <row r="1375" customFormat="false" ht="15.75" hidden="true" customHeight="false" outlineLevel="0" collapsed="false">
      <c r="A1375" s="937"/>
      <c r="B1375" s="995" t="str">
        <f aca="false">крыша!G515</f>
        <v>карнизная планка</v>
      </c>
      <c r="C1375" s="993" t="s">
        <v>15</v>
      </c>
      <c r="D1375" s="992" t="n">
        <f aca="false">крыша!J515</f>
        <v>4</v>
      </c>
      <c r="E1375" s="1010" t="n">
        <f aca="false">крыша!K515</f>
        <v>100</v>
      </c>
      <c r="F1375" s="1010"/>
      <c r="G1375" s="967" t="n">
        <f aca="false">IF(F1375&gt;0,D1375*F1375,E1375*D1375)</f>
        <v>400</v>
      </c>
      <c r="H1375" s="970" t="n">
        <f aca="false">D1375*E1375*$H$1367</f>
        <v>0</v>
      </c>
      <c r="I1375" s="936" t="n">
        <f aca="false">IF(G1375&gt;H1375,G1375,H1375)*$H$1324</f>
        <v>0</v>
      </c>
      <c r="J1375" s="931"/>
      <c r="K1375" s="937"/>
    </row>
    <row r="1376" customFormat="false" ht="15.75" hidden="true" customHeight="false" outlineLevel="0" collapsed="false">
      <c r="A1376" s="937"/>
      <c r="B1376" s="995" t="str">
        <f aca="false">крыша!G516</f>
        <v>торцевая планка</v>
      </c>
      <c r="C1376" s="993" t="s">
        <v>15</v>
      </c>
      <c r="D1376" s="992" t="n">
        <f aca="false">крыша!J516</f>
        <v>10.5442719099992</v>
      </c>
      <c r="E1376" s="1010" t="n">
        <f aca="false">крыша!K516</f>
        <v>100</v>
      </c>
      <c r="F1376" s="1010"/>
      <c r="G1376" s="967" t="n">
        <f aca="false">IF(F1376&gt;0,D1376*F1376,E1376*D1376)</f>
        <v>1054.42719099992</v>
      </c>
      <c r="H1376" s="970" t="n">
        <f aca="false">D1376*E1376*$H$1367</f>
        <v>0</v>
      </c>
      <c r="I1376" s="936" t="n">
        <f aca="false">IF(G1376&gt;H1376,G1376,H1376)*$H$1324</f>
        <v>0</v>
      </c>
      <c r="J1376" s="931"/>
      <c r="K1376" s="937"/>
    </row>
    <row r="1377" customFormat="false" ht="15.75" hidden="true" customHeight="false" outlineLevel="0" collapsed="false">
      <c r="A1377" s="937"/>
      <c r="B1377" s="995" t="str">
        <f aca="false">крыша!G517</f>
        <v>Монтаж ондулина</v>
      </c>
      <c r="C1377" s="993" t="s">
        <v>820</v>
      </c>
      <c r="D1377" s="992" t="n">
        <f aca="false">крыша!J517</f>
        <v>0</v>
      </c>
      <c r="E1377" s="1010" t="n">
        <f aca="false">крыша!K517</f>
        <v>300</v>
      </c>
      <c r="F1377" s="1010"/>
      <c r="G1377" s="967" t="n">
        <f aca="false">IF(F1377&gt;0,D1377*F1377,E1377*D1377)</f>
        <v>0</v>
      </c>
      <c r="H1377" s="970" t="n">
        <f aca="false">D1377*E1377*$H$1367</f>
        <v>0</v>
      </c>
      <c r="I1377" s="936" t="n">
        <f aca="false">IF(G1377&gt;H1377,G1377,H1377)*$H$1324</f>
        <v>0</v>
      </c>
      <c r="J1377" s="931"/>
      <c r="K1377" s="937"/>
    </row>
    <row r="1378" customFormat="false" ht="15.75" hidden="true" customHeight="false" outlineLevel="0" collapsed="false">
      <c r="A1378" s="937"/>
      <c r="B1378" s="995" t="str">
        <f aca="false">крыша!G518</f>
        <v>Монтаж фанеры/osb</v>
      </c>
      <c r="C1378" s="993" t="s">
        <v>820</v>
      </c>
      <c r="D1378" s="992" t="n">
        <f aca="false">крыша!J518</f>
        <v>20.0341166289984</v>
      </c>
      <c r="E1378" s="1010" t="n">
        <f aca="false">крыша!K518</f>
        <v>200</v>
      </c>
      <c r="F1378" s="1010"/>
      <c r="G1378" s="967" t="n">
        <f aca="false">IF(F1378&gt;0,D1378*F1378,E1378*D1378)</f>
        <v>4006.82332579968</v>
      </c>
      <c r="H1378" s="970" t="n">
        <f aca="false">D1378*E1378*$H$1367</f>
        <v>0</v>
      </c>
      <c r="I1378" s="936" t="n">
        <f aca="false">IF(G1378&gt;H1378,G1378,H1378)*$H$1324</f>
        <v>0</v>
      </c>
      <c r="J1378" s="931"/>
      <c r="K1378" s="937"/>
    </row>
    <row r="1379" customFormat="false" ht="15.75" hidden="true" customHeight="false" outlineLevel="0" collapsed="false">
      <c r="A1379" s="937"/>
      <c r="B1379" s="995" t="str">
        <f aca="false">крыша!G519</f>
        <v>монтаж подкладочного ковра</v>
      </c>
      <c r="C1379" s="993" t="s">
        <v>820</v>
      </c>
      <c r="D1379" s="992" t="n">
        <f aca="false">крыша!J519</f>
        <v>0</v>
      </c>
      <c r="E1379" s="1010" t="n">
        <f aca="false">крыша!K519</f>
        <v>150</v>
      </c>
      <c r="F1379" s="1010"/>
      <c r="G1379" s="967" t="n">
        <f aca="false">IF(F1379&gt;0,D1379*F1379,E1379*D1379)</f>
        <v>0</v>
      </c>
      <c r="H1379" s="970" t="n">
        <f aca="false">D1379*E1379*$H$1367</f>
        <v>0</v>
      </c>
      <c r="I1379" s="936" t="n">
        <f aca="false">IF(G1379&gt;H1379,G1379,H1379)*$H$1324</f>
        <v>0</v>
      </c>
      <c r="J1379" s="931"/>
      <c r="K1379" s="937"/>
    </row>
    <row r="1380" customFormat="false" ht="15.75" hidden="true" customHeight="false" outlineLevel="0" collapsed="false">
      <c r="A1380" s="937"/>
      <c r="B1380" s="995" t="str">
        <f aca="false">крыша!G520</f>
        <v>Монтаж мягкой кровли</v>
      </c>
      <c r="C1380" s="993" t="s">
        <v>820</v>
      </c>
      <c r="D1380" s="992" t="n">
        <f aca="false">крыша!J520</f>
        <v>0</v>
      </c>
      <c r="E1380" s="1010" t="n">
        <f aca="false">крыша!K520</f>
        <v>350</v>
      </c>
      <c r="F1380" s="1010"/>
      <c r="G1380" s="967" t="n">
        <f aca="false">IF(F1380&gt;0,D1380*F1380,E1380*D1380)</f>
        <v>0</v>
      </c>
      <c r="H1380" s="970" t="n">
        <f aca="false">D1380*E1380*$H$1367</f>
        <v>0</v>
      </c>
      <c r="I1380" s="936" t="n">
        <f aca="false">IF(G1380&gt;H1380,G1380,H1380)*$H$1324</f>
        <v>0</v>
      </c>
      <c r="J1380" s="931"/>
      <c r="K1380" s="937"/>
    </row>
    <row r="1381" customFormat="false" ht="15.75" hidden="true" customHeight="false" outlineLevel="0" collapsed="false">
      <c r="A1381" s="937"/>
      <c r="B1381" s="973" t="s">
        <v>2248</v>
      </c>
      <c r="C1381" s="973"/>
      <c r="D1381" s="973"/>
      <c r="E1381" s="973"/>
      <c r="F1381" s="973"/>
      <c r="G1381" s="970" t="n">
        <f aca="false">SUM(G1368:G1380)*H1367</f>
        <v>0</v>
      </c>
      <c r="H1381" s="970" t="n">
        <f aca="false">SUM(H1368:H1380)</f>
        <v>0</v>
      </c>
      <c r="I1381" s="936" t="n">
        <f aca="false">IF(G1381&gt;H1381,G1381,H1381)*$H$1324</f>
        <v>0</v>
      </c>
      <c r="J1381" s="931"/>
      <c r="K1381" s="937"/>
    </row>
    <row r="1382" customFormat="false" ht="21" hidden="true" customHeight="false" outlineLevel="0" collapsed="false">
      <c r="A1382" s="937"/>
      <c r="B1382" s="1041" t="s">
        <v>2272</v>
      </c>
      <c r="C1382" s="1041"/>
      <c r="D1382" s="1041"/>
      <c r="E1382" s="1041"/>
      <c r="F1382" s="1042"/>
      <c r="G1382" s="977"/>
      <c r="H1382" s="1043" t="n">
        <f aca="false">пристройка!D2</f>
        <v>0</v>
      </c>
      <c r="I1382" s="1026" t="n">
        <f aca="false">H1382</f>
        <v>0</v>
      </c>
      <c r="J1382" s="931"/>
      <c r="K1382" s="937"/>
    </row>
    <row r="1383" customFormat="false" ht="15.75" hidden="true" customHeight="false" outlineLevel="0" collapsed="false">
      <c r="A1383" s="931"/>
      <c r="B1383" s="1008" t="s">
        <v>2246</v>
      </c>
      <c r="C1383" s="1008"/>
      <c r="D1383" s="1008"/>
      <c r="E1383" s="1008"/>
      <c r="F1383" s="1013"/>
      <c r="G1383" s="977"/>
      <c r="H1383" s="1009" t="n">
        <f aca="false">H1382</f>
        <v>0</v>
      </c>
      <c r="I1383" s="1026" t="n">
        <f aca="false">H1383</f>
        <v>0</v>
      </c>
      <c r="J1383" s="931"/>
      <c r="K1383" s="937"/>
    </row>
    <row r="1384" customFormat="false" ht="15.75" hidden="true" customHeight="false" outlineLevel="0" collapsed="false">
      <c r="A1384" s="931"/>
      <c r="B1384" s="992" t="str">
        <f aca="false">пристройка!A210</f>
        <v>Доска сухая калиброванная, 190*45мм</v>
      </c>
      <c r="C1384" s="993" t="str">
        <f aca="false">пристройка!B210</f>
        <v>м3</v>
      </c>
      <c r="D1384" s="992" t="n">
        <f aca="false">пристройка!C210</f>
        <v>0</v>
      </c>
      <c r="E1384" s="1010" t="n">
        <f aca="false">пристройка!D210</f>
        <v>12500</v>
      </c>
      <c r="F1384" s="1010"/>
      <c r="G1384" s="967" t="n">
        <f aca="false">IF(F1384&gt;0,D1384*F1384,E1384*D1384)</f>
        <v>0</v>
      </c>
      <c r="H1384" s="975" t="n">
        <f aca="false">D1384*E1384*$H$1383</f>
        <v>0</v>
      </c>
      <c r="I1384" s="936" t="n">
        <f aca="false">IF(G1384&gt;H1384,G1384,H1384)*$H$1382</f>
        <v>0</v>
      </c>
      <c r="J1384" s="931"/>
      <c r="K1384" s="937"/>
    </row>
    <row r="1385" customFormat="false" ht="15.75" hidden="true" customHeight="false" outlineLevel="0" collapsed="false">
      <c r="A1385" s="937"/>
      <c r="B1385" s="992" t="str">
        <f aca="false">пристройка!A211</f>
        <v>Болты анкерные с гайкой 12,0 х 280          </v>
      </c>
      <c r="C1385" s="993" t="str">
        <f aca="false">пристройка!B211</f>
        <v>шт</v>
      </c>
      <c r="D1385" s="992" t="n">
        <f aca="false">пристройка!C211</f>
        <v>0</v>
      </c>
      <c r="E1385" s="1010" t="n">
        <f aca="false">пристройка!D211</f>
        <v>27.1</v>
      </c>
      <c r="F1385" s="1010"/>
      <c r="G1385" s="967" t="n">
        <f aca="false">IF(F1385&gt;0,D1385*F1385,E1385*D1385)</f>
        <v>0</v>
      </c>
      <c r="H1385" s="975" t="n">
        <f aca="false">D1385*E1385*$H$1383</f>
        <v>0</v>
      </c>
      <c r="I1385" s="936" t="n">
        <f aca="false">IF(G1385&gt;H1385,G1385,H1385)*$H$1382</f>
        <v>0</v>
      </c>
      <c r="J1385" s="931"/>
      <c r="K1385" s="937"/>
    </row>
    <row r="1386" customFormat="false" ht="15.75" hidden="true" customHeight="false" outlineLevel="0" collapsed="false">
      <c r="A1386" s="937"/>
      <c r="B1386" s="992" t="str">
        <f aca="false">пристройка!A212</f>
        <v>Доска сухая, 200*50мм</v>
      </c>
      <c r="C1386" s="993" t="str">
        <f aca="false">пристройка!B212</f>
        <v>м3</v>
      </c>
      <c r="D1386" s="992" t="n">
        <f aca="false">пристройка!C212</f>
        <v>0</v>
      </c>
      <c r="E1386" s="1010" t="n">
        <f aca="false">пристройка!D212</f>
        <v>9000</v>
      </c>
      <c r="F1386" s="1010"/>
      <c r="G1386" s="967" t="n">
        <f aca="false">IF(F1386&gt;0,D1386*F1386,E1386*D1386)</f>
        <v>0</v>
      </c>
      <c r="H1386" s="975" t="n">
        <f aca="false">D1386*E1386*$H$1383</f>
        <v>0</v>
      </c>
      <c r="I1386" s="936" t="n">
        <f aca="false">IF(G1386&gt;H1386,G1386,H1386)*$H$1382</f>
        <v>0</v>
      </c>
      <c r="J1386" s="931"/>
      <c r="K1386" s="937"/>
    </row>
    <row r="1387" customFormat="false" ht="15.75" hidden="true" customHeight="false" outlineLevel="0" collapsed="false">
      <c r="A1387" s="937"/>
      <c r="B1387" s="992" t="str">
        <f aca="false">пристройка!A213</f>
        <v>бугель, доска </v>
      </c>
      <c r="C1387" s="993" t="str">
        <f aca="false">пристройка!B213</f>
        <v>м3</v>
      </c>
      <c r="D1387" s="992" t="n">
        <f aca="false">пристройка!C213</f>
        <v>0</v>
      </c>
      <c r="E1387" s="1010" t="n">
        <f aca="false">пристройка!D213</f>
        <v>9000</v>
      </c>
      <c r="F1387" s="1010"/>
      <c r="G1387" s="967" t="n">
        <f aca="false">IF(F1387&gt;0,D1387*F1387,E1387*D1387)</f>
        <v>0</v>
      </c>
      <c r="H1387" s="975" t="n">
        <f aca="false">D1387*E1387*$H$1383</f>
        <v>0</v>
      </c>
      <c r="I1387" s="936" t="n">
        <f aca="false">IF(G1387&gt;H1387,G1387,H1387)*$H$1382</f>
        <v>0</v>
      </c>
      <c r="J1387" s="931"/>
      <c r="K1387" s="937"/>
    </row>
    <row r="1388" customFormat="false" ht="15.75" hidden="true" customHeight="false" outlineLevel="0" collapsed="false">
      <c r="A1388" s="937"/>
      <c r="B1388" s="992" t="str">
        <f aca="false">пристройка!A214</f>
        <v>Сосна влаж,100*25мм</v>
      </c>
      <c r="C1388" s="993" t="str">
        <f aca="false">пристройка!B214</f>
        <v>м3</v>
      </c>
      <c r="D1388" s="992" t="n">
        <f aca="false">пристройка!C214</f>
        <v>0</v>
      </c>
      <c r="E1388" s="1010" t="n">
        <f aca="false">пристройка!D214</f>
        <v>6500</v>
      </c>
      <c r="F1388" s="1010"/>
      <c r="G1388" s="967" t="n">
        <f aca="false">IF(F1388&gt;0,D1388*F1388,E1388*D1388)</f>
        <v>0</v>
      </c>
      <c r="H1388" s="975" t="n">
        <f aca="false">D1388*E1388*$H$1383</f>
        <v>0</v>
      </c>
      <c r="I1388" s="936" t="n">
        <f aca="false">IF(G1388&gt;H1388,G1388,H1388)*$H$1382</f>
        <v>0</v>
      </c>
      <c r="J1388" s="931"/>
      <c r="K1388" s="937"/>
    </row>
    <row r="1389" customFormat="false" ht="15.75" hidden="true" customHeight="false" outlineLevel="0" collapsed="false">
      <c r="A1389" s="937"/>
      <c r="B1389" s="992" t="str">
        <f aca="false">пристройка!A215</f>
        <v>Доска сухая, калибр., 35*45мм</v>
      </c>
      <c r="C1389" s="993" t="str">
        <f aca="false">пристройка!B215</f>
        <v>шт</v>
      </c>
      <c r="D1389" s="992" t="n">
        <f aca="false">пристройка!C215</f>
        <v>0</v>
      </c>
      <c r="E1389" s="1010" t="n">
        <f aca="false">пристройка!D215</f>
        <v>12500</v>
      </c>
      <c r="F1389" s="1010"/>
      <c r="G1389" s="967" t="n">
        <f aca="false">IF(F1389&gt;0,D1389*F1389,E1389*D1389)</f>
        <v>0</v>
      </c>
      <c r="H1389" s="975" t="n">
        <f aca="false">D1389*E1389*$H$1383</f>
        <v>0</v>
      </c>
      <c r="I1389" s="936" t="n">
        <f aca="false">IF(G1389&gt;H1389,G1389,H1389)*$H$1382</f>
        <v>0</v>
      </c>
      <c r="J1389" s="931"/>
      <c r="K1389" s="937"/>
    </row>
    <row r="1390" customFormat="false" ht="15.75" hidden="true" customHeight="false" outlineLevel="0" collapsed="false">
      <c r="A1390" s="937"/>
      <c r="B1390" s="992" t="str">
        <f aca="false">пристройка!A216</f>
        <v>Мембраны Tyvek Soft</v>
      </c>
      <c r="C1390" s="993" t="str">
        <f aca="false">пристройка!B216</f>
        <v>м2</v>
      </c>
      <c r="D1390" s="992" t="n">
        <f aca="false">пристройка!C216</f>
        <v>0</v>
      </c>
      <c r="E1390" s="992" t="n">
        <f aca="false">пристройка!D216</f>
        <v>86</v>
      </c>
      <c r="F1390" s="992"/>
      <c r="G1390" s="967" t="n">
        <f aca="false">IF(F1390&gt;0,D1390*F1390,E1390*D1390)</f>
        <v>0</v>
      </c>
      <c r="H1390" s="975" t="n">
        <f aca="false">D1390*E1390*$H$1383</f>
        <v>0</v>
      </c>
      <c r="I1390" s="936" t="n">
        <f aca="false">IF(G1390&gt;H1390,G1390,H1390)*$H$1382</f>
        <v>0</v>
      </c>
      <c r="J1390" s="931"/>
      <c r="K1390" s="937"/>
    </row>
    <row r="1391" customFormat="false" ht="15.75" hidden="true" customHeight="false" outlineLevel="0" collapsed="false">
      <c r="A1391" s="937"/>
      <c r="B1391" s="992" t="str">
        <f aca="false">пристройка!A217</f>
        <v>Пленка Delta-Reflex</v>
      </c>
      <c r="C1391" s="993" t="str">
        <f aca="false">пристройка!B217</f>
        <v>м2</v>
      </c>
      <c r="D1391" s="992" t="n">
        <f aca="false">пристройка!C217</f>
        <v>0</v>
      </c>
      <c r="E1391" s="992" t="n">
        <f aca="false">пристройка!D217</f>
        <v>156</v>
      </c>
      <c r="F1391" s="992"/>
      <c r="G1391" s="967" t="n">
        <f aca="false">IF(F1391&gt;0,D1391*F1391,E1391*D1391)</f>
        <v>0</v>
      </c>
      <c r="H1391" s="975" t="n">
        <f aca="false">D1391*E1391*$H$1383</f>
        <v>0</v>
      </c>
      <c r="I1391" s="936" t="n">
        <f aca="false">IF(G1391&gt;H1391,G1391,H1391)*$H$1382</f>
        <v>0</v>
      </c>
      <c r="J1391" s="931"/>
      <c r="K1391" s="937"/>
    </row>
    <row r="1392" customFormat="false" ht="15.75" hidden="true" customHeight="false" outlineLevel="0" collapsed="false">
      <c r="A1392" s="937"/>
      <c r="B1392" s="992" t="str">
        <f aca="false">пристройка!A218</f>
        <v>Плитный,28кг/м3, технониколь, 200мм</v>
      </c>
      <c r="C1392" s="993" t="str">
        <f aca="false">пристройка!B218</f>
        <v>м3</v>
      </c>
      <c r="D1392" s="992" t="n">
        <f aca="false">пристройка!C218</f>
        <v>0</v>
      </c>
      <c r="E1392" s="992" t="n">
        <f aca="false">пристройка!D218</f>
        <v>1700</v>
      </c>
      <c r="F1392" s="992"/>
      <c r="G1392" s="967" t="n">
        <f aca="false">IF(F1392&gt;0,D1392*F1392,E1392*D1392)</f>
        <v>0</v>
      </c>
      <c r="H1392" s="975" t="n">
        <f aca="false">D1392*E1392*$H$1383</f>
        <v>0</v>
      </c>
      <c r="I1392" s="936" t="n">
        <f aca="false">IF(G1392&gt;H1392,G1392,H1392)*$H$1382</f>
        <v>0</v>
      </c>
      <c r="J1392" s="931"/>
      <c r="K1392" s="937"/>
    </row>
    <row r="1393" customFormat="false" ht="15.75" hidden="true" customHeight="false" outlineLevel="0" collapsed="false">
      <c r="A1393" s="937"/>
      <c r="B1393" s="992" t="str">
        <f aca="false">пристройка!A219</f>
        <v>металлочерепица</v>
      </c>
      <c r="C1393" s="993" t="str">
        <f aca="false">пристройка!B219</f>
        <v>м2</v>
      </c>
      <c r="D1393" s="992" t="n">
        <f aca="false">пристройка!C219</f>
        <v>0</v>
      </c>
      <c r="E1393" s="1010" t="n">
        <f aca="false">пристройка!D219</f>
        <v>250</v>
      </c>
      <c r="F1393" s="1010"/>
      <c r="G1393" s="967" t="n">
        <f aca="false">IF(F1393&gt;0,D1393*F1393,E1393*D1393)</f>
        <v>0</v>
      </c>
      <c r="H1393" s="975" t="n">
        <f aca="false">D1393*E1393*$H$1383</f>
        <v>0</v>
      </c>
      <c r="I1393" s="936" t="n">
        <f aca="false">IF(G1393&gt;H1393,G1393,H1393)*$H$1382</f>
        <v>0</v>
      </c>
      <c r="J1393" s="931"/>
      <c r="K1393" s="937"/>
    </row>
    <row r="1394" customFormat="false" ht="15.75" hidden="true" customHeight="false" outlineLevel="0" collapsed="false">
      <c r="A1394" s="937"/>
      <c r="B1394" s="992" t="str">
        <f aca="false">пристройка!A220</f>
        <v>Карнизная планка</v>
      </c>
      <c r="C1394" s="993" t="str">
        <f aca="false">пристройка!B220</f>
        <v>м.п.</v>
      </c>
      <c r="D1394" s="992" t="n">
        <f aca="false">пристройка!C220</f>
        <v>0</v>
      </c>
      <c r="E1394" s="1010" t="n">
        <f aca="false">пристройка!D220</f>
        <v>200</v>
      </c>
      <c r="F1394" s="1010"/>
      <c r="G1394" s="967" t="n">
        <f aca="false">IF(F1394&gt;0,D1394*F1394,E1394*D1394)</f>
        <v>0</v>
      </c>
      <c r="H1394" s="975" t="n">
        <f aca="false">D1394*E1394*$H$1383</f>
        <v>0</v>
      </c>
      <c r="I1394" s="936" t="n">
        <f aca="false">IF(G1394&gt;H1394,G1394,H1394)*$H$1382</f>
        <v>0</v>
      </c>
      <c r="J1394" s="931"/>
      <c r="K1394" s="937"/>
    </row>
    <row r="1395" customFormat="false" ht="15.75" hidden="true" customHeight="false" outlineLevel="0" collapsed="false">
      <c r="A1395" s="937"/>
      <c r="B1395" s="992" t="str">
        <f aca="false">пристройка!A221</f>
        <v>Торцевая планка</v>
      </c>
      <c r="C1395" s="993" t="str">
        <f aca="false">пристройка!B221</f>
        <v>м.п.</v>
      </c>
      <c r="D1395" s="992" t="n">
        <f aca="false">пристройка!C221</f>
        <v>0</v>
      </c>
      <c r="E1395" s="992" t="n">
        <f aca="false">пристройка!D221</f>
        <v>200</v>
      </c>
      <c r="F1395" s="992"/>
      <c r="G1395" s="967" t="n">
        <f aca="false">IF(F1395&gt;0,D1395*F1395,E1395*D1395)</f>
        <v>0</v>
      </c>
      <c r="H1395" s="975" t="n">
        <f aca="false">D1395*E1395*$H$1383</f>
        <v>0</v>
      </c>
      <c r="I1395" s="936" t="n">
        <f aca="false">IF(G1395&gt;H1395,G1395,H1395)*$H$1382</f>
        <v>0</v>
      </c>
      <c r="J1395" s="931"/>
      <c r="K1395" s="937"/>
    </row>
    <row r="1396" customFormat="false" ht="15.75" hidden="true" customHeight="false" outlineLevel="0" collapsed="false">
      <c r="A1396" s="937"/>
      <c r="B1396" s="992" t="str">
        <f aca="false">пристройка!A222</f>
        <v>Конек</v>
      </c>
      <c r="C1396" s="993" t="str">
        <f aca="false">пристройка!B222</f>
        <v>м.п.</v>
      </c>
      <c r="D1396" s="992" t="n">
        <f aca="false">пристройка!C222</f>
        <v>0</v>
      </c>
      <c r="E1396" s="1010" t="n">
        <f aca="false">пристройка!D222</f>
        <v>230</v>
      </c>
      <c r="F1396" s="1010"/>
      <c r="G1396" s="967" t="n">
        <f aca="false">IF(F1396&gt;0,D1396*F1396,E1396*D1396)</f>
        <v>0</v>
      </c>
      <c r="H1396" s="975" t="n">
        <f aca="false">D1396*E1396*$H$1383</f>
        <v>0</v>
      </c>
      <c r="I1396" s="936" t="n">
        <f aca="false">IF(G1396&gt;H1396,G1396,H1396)*$H$1382</f>
        <v>0</v>
      </c>
      <c r="J1396" s="931"/>
      <c r="K1396" s="937"/>
    </row>
    <row r="1397" customFormat="false" ht="15.75" hidden="true" customHeight="false" outlineLevel="0" collapsed="false">
      <c r="A1397" s="937"/>
      <c r="B1397" s="992" t="str">
        <f aca="false">пристройка!A223</f>
        <v>Ендова нижняя</v>
      </c>
      <c r="C1397" s="993" t="str">
        <f aca="false">пристройка!B223</f>
        <v>м.п</v>
      </c>
      <c r="D1397" s="992" t="n">
        <f aca="false">пристройка!C223</f>
        <v>0</v>
      </c>
      <c r="E1397" s="992" t="n">
        <f aca="false">пристройка!D223</f>
        <v>160</v>
      </c>
      <c r="F1397" s="992"/>
      <c r="G1397" s="967" t="n">
        <f aca="false">IF(F1397&gt;0,D1397*F1397,E1397*D1397)</f>
        <v>0</v>
      </c>
      <c r="H1397" s="975" t="n">
        <f aca="false">D1397*E1397*$H$1383</f>
        <v>0</v>
      </c>
      <c r="I1397" s="936" t="n">
        <f aca="false">IF(G1397&gt;H1397,G1397,H1397)*$H$1382</f>
        <v>0</v>
      </c>
      <c r="J1397" s="931"/>
      <c r="K1397" s="937"/>
    </row>
    <row r="1398" customFormat="false" ht="15.75" hidden="true" customHeight="false" outlineLevel="0" collapsed="false">
      <c r="A1398" s="937"/>
      <c r="B1398" s="992" t="str">
        <f aca="false">пристройка!A225</f>
        <v>Планка примыкания</v>
      </c>
      <c r="C1398" s="993" t="str">
        <f aca="false">пристройка!B225</f>
        <v>м.п.</v>
      </c>
      <c r="D1398" s="992" t="n">
        <f aca="false">пристройка!C225</f>
        <v>0</v>
      </c>
      <c r="E1398" s="992" t="n">
        <f aca="false">пристройка!D225</f>
        <v>190</v>
      </c>
      <c r="F1398" s="992"/>
      <c r="G1398" s="967" t="n">
        <f aca="false">IF(F1398&gt;0,D1398*F1398,E1398*D1398)</f>
        <v>0</v>
      </c>
      <c r="H1398" s="975" t="n">
        <f aca="false">D1398*E1398*$H$1383</f>
        <v>0</v>
      </c>
      <c r="I1398" s="936" t="n">
        <f aca="false">IF(G1398&gt;H1398,G1398,H1398)*$H$1382</f>
        <v>0</v>
      </c>
      <c r="J1398" s="931"/>
      <c r="K1398" s="937"/>
    </row>
    <row r="1399" customFormat="false" ht="15.75" hidden="true" customHeight="false" outlineLevel="0" collapsed="false">
      <c r="A1399" s="937"/>
      <c r="B1399" s="992" t="str">
        <f aca="false">пристройка!A226</f>
        <v>ондулин</v>
      </c>
      <c r="C1399" s="993" t="str">
        <f aca="false">пристройка!B226</f>
        <v>м2</v>
      </c>
      <c r="D1399" s="992" t="n">
        <f aca="false">пристройка!C226</f>
        <v>0</v>
      </c>
      <c r="E1399" s="992" t="n">
        <f aca="false">пристройка!D226</f>
        <v>180</v>
      </c>
      <c r="F1399" s="992"/>
      <c r="G1399" s="967" t="n">
        <f aca="false">IF(F1399&gt;0,D1399*F1399,E1399*D1399)</f>
        <v>0</v>
      </c>
      <c r="H1399" s="975" t="n">
        <f aca="false">D1399*E1399*$H$1383</f>
        <v>0</v>
      </c>
      <c r="I1399" s="936" t="n">
        <f aca="false">IF(G1399&gt;H1399,G1399,H1399)*$H$1382</f>
        <v>0</v>
      </c>
      <c r="J1399" s="931"/>
      <c r="K1399" s="937"/>
    </row>
    <row r="1400" customFormat="false" ht="15.75" hidden="true" customHeight="false" outlineLevel="0" collapsed="false">
      <c r="A1400" s="937"/>
      <c r="B1400" s="992" t="str">
        <f aca="false">пристройка!A227</f>
        <v>Карнизная планка</v>
      </c>
      <c r="C1400" s="993" t="str">
        <f aca="false">пристройка!B227</f>
        <v>м.п.</v>
      </c>
      <c r="D1400" s="992" t="n">
        <f aca="false">пристройка!C227</f>
        <v>0</v>
      </c>
      <c r="E1400" s="992" t="n">
        <f aca="false">пристройка!D227</f>
        <v>190</v>
      </c>
      <c r="F1400" s="992"/>
      <c r="G1400" s="967" t="n">
        <f aca="false">IF(F1400&gt;0,D1400*F1400,E1400*D1400)</f>
        <v>0</v>
      </c>
      <c r="H1400" s="975" t="n">
        <f aca="false">D1400*E1400*$H$1383</f>
        <v>0</v>
      </c>
      <c r="I1400" s="936" t="n">
        <f aca="false">IF(G1400&gt;H1400,G1400,H1400)*$H$1382</f>
        <v>0</v>
      </c>
      <c r="J1400" s="931"/>
      <c r="K1400" s="937"/>
    </row>
    <row r="1401" customFormat="false" ht="15.75" hidden="true" customHeight="false" outlineLevel="0" collapsed="false">
      <c r="A1401" s="937"/>
      <c r="B1401" s="992" t="str">
        <f aca="false">пристройка!A228</f>
        <v>Торцевая планка</v>
      </c>
      <c r="C1401" s="993" t="str">
        <f aca="false">пристройка!B228</f>
        <v>м.п.</v>
      </c>
      <c r="D1401" s="992" t="n">
        <f aca="false">пристройка!C228</f>
        <v>0</v>
      </c>
      <c r="E1401" s="992" t="n">
        <f aca="false">пристройка!D228</f>
        <v>190</v>
      </c>
      <c r="F1401" s="992"/>
      <c r="G1401" s="967" t="n">
        <f aca="false">IF(F1401&gt;0,D1401*F1401,E1401*D1401)</f>
        <v>0</v>
      </c>
      <c r="H1401" s="975" t="n">
        <f aca="false">D1401*E1401*$H$1383</f>
        <v>0</v>
      </c>
      <c r="I1401" s="936" t="n">
        <f aca="false">IF(G1401&gt;H1401,G1401,H1401)*$H$1382</f>
        <v>0</v>
      </c>
      <c r="J1401" s="931"/>
      <c r="K1401" s="937"/>
    </row>
    <row r="1402" customFormat="false" ht="15.75" hidden="true" customHeight="false" outlineLevel="0" collapsed="false">
      <c r="A1402" s="937"/>
      <c r="B1402" s="992" t="str">
        <f aca="false">пристройка!A229</f>
        <v>Конек</v>
      </c>
      <c r="C1402" s="993" t="str">
        <f aca="false">пристройка!B229</f>
        <v>м.п.</v>
      </c>
      <c r="D1402" s="992" t="n">
        <f aca="false">пристройка!C229</f>
        <v>0</v>
      </c>
      <c r="E1402" s="992" t="n">
        <f aca="false">пристройка!D229</f>
        <v>200</v>
      </c>
      <c r="F1402" s="992"/>
      <c r="G1402" s="967" t="n">
        <f aca="false">IF(F1402&gt;0,D1402*F1402,E1402*D1402)</f>
        <v>0</v>
      </c>
      <c r="H1402" s="975" t="n">
        <f aca="false">D1402*E1402*$H$1383</f>
        <v>0</v>
      </c>
      <c r="I1402" s="936" t="n">
        <f aca="false">IF(G1402&gt;H1402,G1402,H1402)*$H$1382</f>
        <v>0</v>
      </c>
      <c r="J1402" s="931"/>
      <c r="K1402" s="937"/>
    </row>
    <row r="1403" customFormat="false" ht="15.75" hidden="true" customHeight="false" outlineLevel="0" collapsed="false">
      <c r="A1403" s="937"/>
      <c r="B1403" s="992" t="str">
        <f aca="false">пристройка!A230</f>
        <v>Ендова нижняя</v>
      </c>
      <c r="C1403" s="993" t="str">
        <f aca="false">пристройка!B230</f>
        <v>м.п.</v>
      </c>
      <c r="D1403" s="992" t="n">
        <f aca="false">пристройка!C230</f>
        <v>0</v>
      </c>
      <c r="E1403" s="992" t="n">
        <f aca="false">пристройка!D230</f>
        <v>160</v>
      </c>
      <c r="F1403" s="992"/>
      <c r="G1403" s="967" t="n">
        <f aca="false">IF(F1403&gt;0,D1403*F1403,E1403*D1403)</f>
        <v>0</v>
      </c>
      <c r="H1403" s="975" t="n">
        <f aca="false">D1403*E1403*$H$1383</f>
        <v>0</v>
      </c>
      <c r="I1403" s="936" t="n">
        <f aca="false">IF(G1403&gt;H1403,G1403,H1403)*$H$1382</f>
        <v>0</v>
      </c>
      <c r="J1403" s="931"/>
      <c r="K1403" s="937"/>
    </row>
    <row r="1404" customFormat="false" ht="15.75" hidden="true" customHeight="false" outlineLevel="0" collapsed="false">
      <c r="A1404" s="937"/>
      <c r="B1404" s="992" t="str">
        <f aca="false">пристройка!A231</f>
        <v>Ендова верхняя</v>
      </c>
      <c r="C1404" s="993" t="str">
        <f aca="false">пристройка!B231</f>
        <v>м.п.</v>
      </c>
      <c r="D1404" s="992" t="n">
        <f aca="false">пристройка!C231</f>
        <v>0</v>
      </c>
      <c r="E1404" s="992" t="n">
        <f aca="false">пристройка!D231</f>
        <v>190</v>
      </c>
      <c r="F1404" s="992"/>
      <c r="G1404" s="967" t="n">
        <f aca="false">IF(F1404&gt;0,D1404*F1404,E1404*D1404)</f>
        <v>0</v>
      </c>
      <c r="H1404" s="975" t="n">
        <f aca="false">D1404*E1404*$H$1383</f>
        <v>0</v>
      </c>
      <c r="I1404" s="936" t="n">
        <f aca="false">IF(G1404&gt;H1404,G1404,H1404)*$H$1382</f>
        <v>0</v>
      </c>
      <c r="J1404" s="931"/>
      <c r="K1404" s="937"/>
    </row>
    <row r="1405" customFormat="false" ht="15.75" hidden="true" customHeight="false" outlineLevel="0" collapsed="false">
      <c r="A1405" s="937"/>
      <c r="B1405" s="992" t="str">
        <f aca="false">пристройка!A232</f>
        <v>Планка примыкания</v>
      </c>
      <c r="C1405" s="993" t="str">
        <f aca="false">пристройка!B232</f>
        <v>м.п.</v>
      </c>
      <c r="D1405" s="992" t="n">
        <f aca="false">пристройка!C232</f>
        <v>0</v>
      </c>
      <c r="E1405" s="992" t="n">
        <f aca="false">пристройка!D232</f>
        <v>190</v>
      </c>
      <c r="F1405" s="992"/>
      <c r="G1405" s="967" t="n">
        <f aca="false">IF(F1405&gt;0,D1405*F1405,E1405*D1405)</f>
        <v>0</v>
      </c>
      <c r="H1405" s="975" t="n">
        <f aca="false">D1405*E1405*$H$1383</f>
        <v>0</v>
      </c>
      <c r="I1405" s="936" t="n">
        <f aca="false">IF(G1405&gt;H1405,G1405,H1405)*$H$1382</f>
        <v>0</v>
      </c>
      <c r="J1405" s="931"/>
      <c r="K1405" s="937"/>
    </row>
    <row r="1406" customFormat="false" ht="15.75" hidden="true" customHeight="false" outlineLevel="0" collapsed="false">
      <c r="A1406" s="937"/>
      <c r="B1406" s="992" t="str">
        <f aca="false">пристройка!A233</f>
        <v>Крепеж для ондулина</v>
      </c>
      <c r="C1406" s="993" t="str">
        <f aca="false">пристройка!B233</f>
        <v>шт</v>
      </c>
      <c r="D1406" s="992" t="n">
        <f aca="false">пристройка!C233</f>
        <v>0</v>
      </c>
      <c r="E1406" s="992" t="n">
        <f aca="false">пристройка!D233</f>
        <v>4.5</v>
      </c>
      <c r="F1406" s="992"/>
      <c r="G1406" s="967" t="n">
        <f aca="false">IF(F1406&gt;0,D1406*F1406,E1406*D1406)</f>
        <v>0</v>
      </c>
      <c r="H1406" s="975" t="n">
        <f aca="false">D1406*E1406*$H$1383</f>
        <v>0</v>
      </c>
      <c r="I1406" s="936" t="n">
        <f aca="false">IF(G1406&gt;H1406,G1406,H1406)*$H$1382</f>
        <v>0</v>
      </c>
      <c r="J1406" s="931"/>
      <c r="K1406" s="937"/>
    </row>
    <row r="1407" customFormat="false" ht="15.75" hidden="true" customHeight="false" outlineLevel="0" collapsed="false">
      <c r="A1407" s="937"/>
      <c r="B1407" s="992" t="str">
        <f aca="false">пристройка!A234</f>
        <v>нет</v>
      </c>
      <c r="C1407" s="993" t="str">
        <f aca="false">пристройка!B234</f>
        <v>м2</v>
      </c>
      <c r="D1407" s="992" t="n">
        <f aca="false">пристройка!C234</f>
        <v>0</v>
      </c>
      <c r="E1407" s="992" t="n">
        <f aca="false">пристройка!D234</f>
        <v>0</v>
      </c>
      <c r="F1407" s="992"/>
      <c r="G1407" s="967" t="n">
        <f aca="false">IF(F1407&gt;0,D1407*F1407,E1407*D1407)</f>
        <v>0</v>
      </c>
      <c r="H1407" s="975" t="n">
        <f aca="false">D1407*E1407*$H$1383</f>
        <v>0</v>
      </c>
      <c r="I1407" s="936" t="n">
        <f aca="false">IF(G1407&gt;H1407,G1407,H1407)*$H$1382</f>
        <v>0</v>
      </c>
      <c r="J1407" s="931"/>
      <c r="K1407" s="937"/>
    </row>
    <row r="1408" customFormat="false" ht="15.75" hidden="true" customHeight="false" outlineLevel="0" collapsed="false">
      <c r="A1408" s="937"/>
      <c r="B1408" s="992" t="str">
        <f aca="false">пристройка!A235</f>
        <v>Рядовая черепица</v>
      </c>
      <c r="C1408" s="993" t="str">
        <f aca="false">пристройка!B235</f>
        <v>м2</v>
      </c>
      <c r="D1408" s="992" t="n">
        <f aca="false">пристройка!C235</f>
        <v>0</v>
      </c>
      <c r="E1408" s="992" t="n">
        <f aca="false">пристройка!D235</f>
        <v>360</v>
      </c>
      <c r="F1408" s="992"/>
      <c r="G1408" s="967" t="n">
        <f aca="false">IF(F1408&gt;0,D1408*F1408,E1408*D1408)</f>
        <v>0</v>
      </c>
      <c r="H1408" s="975" t="n">
        <f aca="false">D1408*E1408*$H$1383</f>
        <v>0</v>
      </c>
      <c r="I1408" s="936" t="n">
        <f aca="false">IF(G1408&gt;H1408,G1408,H1408)*$H$1382</f>
        <v>0</v>
      </c>
      <c r="J1408" s="931"/>
      <c r="K1408" s="937"/>
    </row>
    <row r="1409" customFormat="false" ht="15.75" hidden="true" customHeight="false" outlineLevel="0" collapsed="false">
      <c r="A1409" s="937"/>
      <c r="B1409" s="992" t="str">
        <f aca="false">пристройка!A236</f>
        <v>Металл оцинк защита (карниз)</v>
      </c>
      <c r="C1409" s="993" t="str">
        <f aca="false">пристройка!B236</f>
        <v>м.п.</v>
      </c>
      <c r="D1409" s="992" t="n">
        <f aca="false">пристройка!C236</f>
        <v>0</v>
      </c>
      <c r="E1409" s="992" t="n">
        <f aca="false">пристройка!D236</f>
        <v>200</v>
      </c>
      <c r="F1409" s="992"/>
      <c r="G1409" s="967" t="n">
        <f aca="false">IF(F1409&gt;0,D1409*F1409,E1409*D1409)</f>
        <v>0</v>
      </c>
      <c r="H1409" s="975" t="n">
        <f aca="false">D1409*E1409*$H$1383</f>
        <v>0</v>
      </c>
      <c r="I1409" s="936" t="n">
        <f aca="false">IF(G1409&gt;H1409,G1409,H1409)*$H$1382</f>
        <v>0</v>
      </c>
      <c r="J1409" s="931"/>
      <c r="K1409" s="937"/>
    </row>
    <row r="1410" customFormat="false" ht="15.75" hidden="true" customHeight="false" outlineLevel="0" collapsed="false">
      <c r="A1410" s="937"/>
      <c r="B1410" s="992" t="str">
        <f aca="false">пристройка!A237</f>
        <v>Подкладочный ковер</v>
      </c>
      <c r="C1410" s="993" t="str">
        <f aca="false">пристройка!B237</f>
        <v>м.п.</v>
      </c>
      <c r="D1410" s="992" t="n">
        <f aca="false">пристройка!C237</f>
        <v>0</v>
      </c>
      <c r="E1410" s="992" t="n">
        <f aca="false">пристройка!D237</f>
        <v>220</v>
      </c>
      <c r="F1410" s="992"/>
      <c r="G1410" s="967" t="n">
        <f aca="false">IF(F1410&gt;0,D1410*F1410,E1410*D1410)</f>
        <v>0</v>
      </c>
      <c r="H1410" s="975" t="n">
        <f aca="false">D1410*E1410*$H$1383</f>
        <v>0</v>
      </c>
      <c r="I1410" s="936" t="n">
        <f aca="false">IF(G1410&gt;H1410,G1410,H1410)*$H$1382</f>
        <v>0</v>
      </c>
      <c r="J1410" s="931"/>
      <c r="K1410" s="937"/>
    </row>
    <row r="1411" customFormat="false" ht="15.75" hidden="true" customHeight="false" outlineLevel="0" collapsed="false">
      <c r="A1411" s="937"/>
      <c r="B1411" s="992" t="str">
        <f aca="false">пристройка!A238</f>
        <v>Карнизная самоклеющаяся черепица</v>
      </c>
      <c r="C1411" s="993" t="str">
        <f aca="false">пристройка!B238</f>
        <v>м.п.</v>
      </c>
      <c r="D1411" s="992" t="n">
        <f aca="false">пристройка!C238</f>
        <v>0</v>
      </c>
      <c r="E1411" s="992" t="n">
        <f aca="false">пристройка!D238</f>
        <v>220</v>
      </c>
      <c r="F1411" s="992"/>
      <c r="G1411" s="967" t="n">
        <f aca="false">IF(F1411&gt;0,D1411*F1411,E1411*D1411)</f>
        <v>0</v>
      </c>
      <c r="H1411" s="975" t="n">
        <f aca="false">D1411*E1411*$H$1383</f>
        <v>0</v>
      </c>
      <c r="I1411" s="936" t="n">
        <f aca="false">IF(G1411&gt;H1411,G1411,H1411)*$H$1382</f>
        <v>0</v>
      </c>
      <c r="J1411" s="931"/>
      <c r="K1411" s="937"/>
    </row>
    <row r="1412" customFormat="false" ht="15.75" hidden="true" customHeight="false" outlineLevel="0" collapsed="false">
      <c r="A1412" s="937"/>
      <c r="B1412" s="992" t="str">
        <f aca="false">пристройка!A239</f>
        <v>Спец ковер ендова нижняя</v>
      </c>
      <c r="C1412" s="993" t="str">
        <f aca="false">пристройка!B239</f>
        <v>м.п.</v>
      </c>
      <c r="D1412" s="992" t="n">
        <f aca="false">пристройка!C239</f>
        <v>0</v>
      </c>
      <c r="E1412" s="992" t="n">
        <f aca="false">пристройка!D239</f>
        <v>200</v>
      </c>
      <c r="F1412" s="992"/>
      <c r="G1412" s="967" t="n">
        <f aca="false">IF(F1412&gt;0,D1412*F1412,E1412*D1412)</f>
        <v>0</v>
      </c>
      <c r="H1412" s="975" t="n">
        <f aca="false">D1412*E1412*$H$1383</f>
        <v>0</v>
      </c>
      <c r="I1412" s="936" t="n">
        <f aca="false">IF(G1412&gt;H1412,G1412,H1412)*$H$1382</f>
        <v>0</v>
      </c>
      <c r="J1412" s="931"/>
      <c r="K1412" s="937"/>
    </row>
    <row r="1413" customFormat="false" ht="15.75" hidden="true" customHeight="false" outlineLevel="0" collapsed="false">
      <c r="A1413" s="937"/>
      <c r="B1413" s="992" t="str">
        <f aca="false">пристройка!A240</f>
        <v>Коньковой элемент</v>
      </c>
      <c r="C1413" s="993" t="str">
        <f aca="false">пристройка!B240</f>
        <v>м.п.</v>
      </c>
      <c r="D1413" s="992" t="n">
        <f aca="false">пристройка!C240</f>
        <v>0</v>
      </c>
      <c r="E1413" s="992" t="n">
        <f aca="false">пристройка!D240</f>
        <v>250</v>
      </c>
      <c r="F1413" s="992"/>
      <c r="G1413" s="967" t="n">
        <f aca="false">IF(F1413&gt;0,D1413*F1413,E1413*D1413)</f>
        <v>0</v>
      </c>
      <c r="H1413" s="975" t="n">
        <f aca="false">D1413*E1413*$H$1383</f>
        <v>0</v>
      </c>
      <c r="I1413" s="936" t="n">
        <f aca="false">IF(G1413&gt;H1413,G1413,H1413)*$H$1382</f>
        <v>0</v>
      </c>
      <c r="J1413" s="931"/>
      <c r="K1413" s="937"/>
    </row>
    <row r="1414" customFormat="false" ht="15.75" hidden="true" customHeight="false" outlineLevel="0" collapsed="false">
      <c r="A1414" s="937"/>
      <c r="B1414" s="992" t="str">
        <f aca="false">пристройка!A241</f>
        <v>Планка премыкания</v>
      </c>
      <c r="C1414" s="993" t="str">
        <f aca="false">пристройка!B241</f>
        <v>м.п.</v>
      </c>
      <c r="D1414" s="992" t="n">
        <f aca="false">пристройка!C241</f>
        <v>0</v>
      </c>
      <c r="E1414" s="992" t="n">
        <f aca="false">пристройка!D241</f>
        <v>200</v>
      </c>
      <c r="F1414" s="992"/>
      <c r="G1414" s="967" t="n">
        <f aca="false">IF(F1414&gt;0,D1414*F1414,E1414*D1414)</f>
        <v>0</v>
      </c>
      <c r="H1414" s="975" t="n">
        <f aca="false">D1414*E1414*$H$1383</f>
        <v>0</v>
      </c>
      <c r="I1414" s="936" t="n">
        <f aca="false">IF(G1414&gt;H1414,G1414,H1414)*$H$1382</f>
        <v>0</v>
      </c>
      <c r="J1414" s="931"/>
      <c r="K1414" s="937"/>
    </row>
    <row r="1415" customFormat="false" ht="15.75" hidden="true" customHeight="false" outlineLevel="0" collapsed="false">
      <c r="A1415" s="937"/>
      <c r="B1415" s="992" t="str">
        <f aca="false">пристройка!A242</f>
        <v>Гвозди для крепления подкладочного ковра</v>
      </c>
      <c r="C1415" s="993" t="str">
        <f aca="false">пристройка!B242</f>
        <v>шт</v>
      </c>
      <c r="D1415" s="992" t="n">
        <f aca="false">пристройка!C242</f>
        <v>0</v>
      </c>
      <c r="E1415" s="992" t="n">
        <f aca="false">пристройка!D242</f>
        <v>0.012</v>
      </c>
      <c r="F1415" s="992"/>
      <c r="G1415" s="967" t="n">
        <f aca="false">IF(F1415&gt;0,D1415*F1415,E1415*D1415)</f>
        <v>0</v>
      </c>
      <c r="H1415" s="975" t="n">
        <f aca="false">D1415*E1415*$H$1383</f>
        <v>0</v>
      </c>
      <c r="I1415" s="936" t="n">
        <f aca="false">IF(G1415&gt;H1415,G1415,H1415)*$H$1382</f>
        <v>0</v>
      </c>
      <c r="J1415" s="931"/>
      <c r="K1415" s="937"/>
    </row>
    <row r="1416" customFormat="false" ht="15.75" hidden="true" customHeight="false" outlineLevel="0" collapsed="false">
      <c r="A1416" s="937"/>
      <c r="B1416" s="992" t="str">
        <f aca="false">пристройка!A243</f>
        <v>Гвозди для крепления черепицы</v>
      </c>
      <c r="C1416" s="993" t="str">
        <f aca="false">пристройка!B243</f>
        <v>шт</v>
      </c>
      <c r="D1416" s="992" t="n">
        <f aca="false">пристройка!C243</f>
        <v>0</v>
      </c>
      <c r="E1416" s="992" t="n">
        <f aca="false">пристройка!D243</f>
        <v>0.25</v>
      </c>
      <c r="F1416" s="992"/>
      <c r="G1416" s="967" t="n">
        <f aca="false">IF(F1416&gt;0,D1416*F1416,E1416*D1416)</f>
        <v>0</v>
      </c>
      <c r="H1416" s="975" t="n">
        <f aca="false">D1416*E1416*$H$1383</f>
        <v>0</v>
      </c>
      <c r="I1416" s="936" t="n">
        <f aca="false">IF(G1416&gt;H1416,G1416,H1416)*$H$1382</f>
        <v>0</v>
      </c>
      <c r="J1416" s="931"/>
      <c r="K1416" s="937"/>
    </row>
    <row r="1417" customFormat="false" ht="15.75" hidden="true" customHeight="false" outlineLevel="0" collapsed="false">
      <c r="A1417" s="937"/>
      <c r="B1417" s="992" t="str">
        <f aca="false">пристройка!A244</f>
        <v>Клей для монтажа черепицы</v>
      </c>
      <c r="C1417" s="993" t="str">
        <f aca="false">пристройка!B244</f>
        <v>кг</v>
      </c>
      <c r="D1417" s="992" t="n">
        <f aca="false">пристройка!C244</f>
        <v>0</v>
      </c>
      <c r="E1417" s="992" t="n">
        <f aca="false">пристройка!D244</f>
        <v>250</v>
      </c>
      <c r="F1417" s="992"/>
      <c r="G1417" s="967" t="n">
        <f aca="false">IF(F1417&gt;0,D1417*F1417,E1417*D1417)</f>
        <v>0</v>
      </c>
      <c r="H1417" s="975" t="n">
        <f aca="false">D1417*E1417*$H$1383</f>
        <v>0</v>
      </c>
      <c r="I1417" s="936" t="n">
        <f aca="false">IF(G1417&gt;H1417,G1417,H1417)*$H$1382</f>
        <v>0</v>
      </c>
      <c r="J1417" s="931"/>
      <c r="K1417" s="937"/>
    </row>
    <row r="1418" customFormat="false" ht="15.75" hidden="true" customHeight="false" outlineLevel="0" collapsed="false">
      <c r="A1418" s="937"/>
      <c r="B1418" s="992" t="str">
        <f aca="false">пристройка!A245</f>
        <v>желоб</v>
      </c>
      <c r="C1418" s="993" t="str">
        <f aca="false">пристройка!B245</f>
        <v>м.п</v>
      </c>
      <c r="D1418" s="992" t="n">
        <f aca="false">пристройка!C245</f>
        <v>0</v>
      </c>
      <c r="E1418" s="992" t="n">
        <f aca="false">пристройка!D245</f>
        <v>300</v>
      </c>
      <c r="F1418" s="992"/>
      <c r="G1418" s="967" t="n">
        <f aca="false">IF(F1418&gt;0,D1418*F1418,E1418*D1418)</f>
        <v>0</v>
      </c>
      <c r="H1418" s="975" t="n">
        <f aca="false">D1418*E1418*$H$1383</f>
        <v>0</v>
      </c>
      <c r="I1418" s="936" t="n">
        <f aca="false">IF(G1418&gt;H1418,G1418,H1418)*$H$1382</f>
        <v>0</v>
      </c>
      <c r="J1418" s="931"/>
      <c r="K1418" s="937"/>
    </row>
    <row r="1419" customFormat="false" ht="15.75" hidden="true" customHeight="false" outlineLevel="0" collapsed="false">
      <c r="A1419" s="937"/>
      <c r="B1419" s="992" t="str">
        <f aca="false">пристройка!A246</f>
        <v>отвод</v>
      </c>
      <c r="C1419" s="993" t="str">
        <f aca="false">пристройка!B246</f>
        <v>шт</v>
      </c>
      <c r="D1419" s="992" t="n">
        <f aca="false">пристройка!C246</f>
        <v>0</v>
      </c>
      <c r="E1419" s="992" t="n">
        <f aca="false">пристройка!D246</f>
        <v>250</v>
      </c>
      <c r="F1419" s="992"/>
      <c r="G1419" s="967" t="n">
        <f aca="false">IF(F1419&gt;0,D1419*F1419,E1419*D1419)</f>
        <v>0</v>
      </c>
      <c r="H1419" s="975" t="n">
        <f aca="false">D1419*E1419*$H$1383</f>
        <v>0</v>
      </c>
      <c r="I1419" s="936" t="n">
        <f aca="false">IF(G1419&gt;H1419,G1419,H1419)*$H$1382</f>
        <v>0</v>
      </c>
      <c r="J1419" s="931"/>
      <c r="K1419" s="937"/>
    </row>
    <row r="1420" customFormat="false" ht="15.75" hidden="true" customHeight="false" outlineLevel="0" collapsed="false">
      <c r="A1420" s="937"/>
      <c r="B1420" s="992" t="str">
        <f aca="false">пристройка!A247</f>
        <v>труба водосточная</v>
      </c>
      <c r="C1420" s="993" t="str">
        <f aca="false">пристройка!B247</f>
        <v>м.п.</v>
      </c>
      <c r="D1420" s="992" t="n">
        <f aca="false">пристройка!C247</f>
        <v>0</v>
      </c>
      <c r="E1420" s="992" t="n">
        <f aca="false">пристройка!D247</f>
        <v>300</v>
      </c>
      <c r="F1420" s="992"/>
      <c r="G1420" s="967" t="n">
        <f aca="false">IF(F1420&gt;0,D1420*F1420,E1420*D1420)</f>
        <v>0</v>
      </c>
      <c r="H1420" s="975" t="n">
        <f aca="false">D1420*E1420*$H$1383</f>
        <v>0</v>
      </c>
      <c r="I1420" s="936" t="n">
        <f aca="false">IF(G1420&gt;H1420,G1420,H1420)*$H$1382</f>
        <v>0</v>
      </c>
      <c r="J1420" s="931"/>
      <c r="K1420" s="937"/>
    </row>
    <row r="1421" customFormat="false" ht="15.75" hidden="true" customHeight="false" outlineLevel="0" collapsed="false">
      <c r="A1421" s="937"/>
      <c r="B1421" s="992" t="str">
        <f aca="false">пристройка!A248</f>
        <v>заглушка для желоба</v>
      </c>
      <c r="C1421" s="993" t="str">
        <f aca="false">пристройка!B248</f>
        <v>шт</v>
      </c>
      <c r="D1421" s="992" t="n">
        <f aca="false">пристройка!C248</f>
        <v>0</v>
      </c>
      <c r="E1421" s="992" t="n">
        <f aca="false">пристройка!D248</f>
        <v>190</v>
      </c>
      <c r="F1421" s="992"/>
      <c r="G1421" s="967" t="n">
        <f aca="false">IF(F1421&gt;0,D1421*F1421,E1421*D1421)</f>
        <v>0</v>
      </c>
      <c r="H1421" s="975" t="n">
        <f aca="false">D1421*E1421*$H$1383</f>
        <v>0</v>
      </c>
      <c r="I1421" s="936" t="n">
        <f aca="false">IF(G1421&gt;H1421,G1421,H1421)*$H$1382</f>
        <v>0</v>
      </c>
      <c r="J1421" s="931"/>
      <c r="K1421" s="937"/>
    </row>
    <row r="1422" customFormat="false" ht="15.75" hidden="true" customHeight="false" outlineLevel="0" collapsed="false">
      <c r="A1422" s="937"/>
      <c r="B1422" s="992" t="str">
        <f aca="false">пристройка!A249</f>
        <v>соеденитель для желоба</v>
      </c>
      <c r="C1422" s="993" t="str">
        <f aca="false">пристройка!B249</f>
        <v>шт</v>
      </c>
      <c r="D1422" s="992" t="n">
        <f aca="false">пристройка!C249</f>
        <v>2</v>
      </c>
      <c r="E1422" s="1010" t="n">
        <f aca="false">пристройка!D249</f>
        <v>180</v>
      </c>
      <c r="F1422" s="1010"/>
      <c r="G1422" s="967" t="n">
        <f aca="false">IF(F1422&gt;0,D1422*F1422,E1422*D1422)</f>
        <v>360</v>
      </c>
      <c r="H1422" s="975" t="n">
        <f aca="false">D1422*E1422*$H$1383</f>
        <v>0</v>
      </c>
      <c r="I1422" s="936" t="n">
        <f aca="false">IF(G1422&gt;H1422,G1422,H1422)*$H$1382</f>
        <v>0</v>
      </c>
      <c r="J1422" s="931"/>
      <c r="K1422" s="937"/>
    </row>
    <row r="1423" customFormat="false" ht="15.75" hidden="true" customHeight="false" outlineLevel="0" collapsed="false">
      <c r="A1423" s="937"/>
      <c r="B1423" s="992" t="str">
        <f aca="false">пристройка!A250</f>
        <v>кронштейн для желоба</v>
      </c>
      <c r="C1423" s="993" t="str">
        <f aca="false">пристройка!B250</f>
        <v>шт</v>
      </c>
      <c r="D1423" s="992" t="n">
        <f aca="false">пристройка!C250</f>
        <v>0</v>
      </c>
      <c r="E1423" s="992" t="n">
        <f aca="false">пристройка!D250</f>
        <v>130</v>
      </c>
      <c r="F1423" s="992"/>
      <c r="G1423" s="967" t="n">
        <f aca="false">IF(F1423&gt;0,D1423*F1423,E1423*D1423)</f>
        <v>0</v>
      </c>
      <c r="H1423" s="975" t="n">
        <f aca="false">D1423*E1423*$H$1383</f>
        <v>0</v>
      </c>
      <c r="I1423" s="936" t="n">
        <f aca="false">IF(G1423&gt;H1423,G1423,H1423)*$H$1382</f>
        <v>0</v>
      </c>
      <c r="J1423" s="931"/>
      <c r="K1423" s="937"/>
    </row>
    <row r="1424" customFormat="false" ht="15.75" hidden="true" customHeight="false" outlineLevel="0" collapsed="false">
      <c r="A1424" s="937"/>
      <c r="B1424" s="992" t="str">
        <f aca="false">пристройка!A251</f>
        <v>переход из желоба в трубу</v>
      </c>
      <c r="C1424" s="993" t="str">
        <f aca="false">пристройка!B251</f>
        <v>шт</v>
      </c>
      <c r="D1424" s="992" t="n">
        <f aca="false">пристройка!C251</f>
        <v>0</v>
      </c>
      <c r="E1424" s="992" t="n">
        <f aca="false">пристройка!D251</f>
        <v>350</v>
      </c>
      <c r="F1424" s="992"/>
      <c r="G1424" s="967" t="n">
        <f aca="false">IF(F1424&gt;0,D1424*F1424,E1424*D1424)</f>
        <v>0</v>
      </c>
      <c r="H1424" s="975" t="n">
        <f aca="false">D1424*E1424*$H$1383</f>
        <v>0</v>
      </c>
      <c r="I1424" s="936" t="n">
        <f aca="false">IF(G1424&gt;H1424,G1424,H1424)*$H$1382</f>
        <v>0</v>
      </c>
      <c r="J1424" s="931"/>
      <c r="K1424" s="937"/>
    </row>
    <row r="1425" customFormat="false" ht="15.75" hidden="true" customHeight="false" outlineLevel="0" collapsed="false">
      <c r="A1425" s="937"/>
      <c r="B1425" s="992" t="str">
        <f aca="false">пристройка!A252</f>
        <v>лента дельта мульти бэнд</v>
      </c>
      <c r="C1425" s="993" t="str">
        <f aca="false">пристройка!B252</f>
        <v>шт</v>
      </c>
      <c r="D1425" s="992" t="n">
        <f aca="false">пристройка!C252</f>
        <v>0</v>
      </c>
      <c r="E1425" s="992" t="n">
        <f aca="false">пристройка!D252</f>
        <v>1200</v>
      </c>
      <c r="F1425" s="992"/>
      <c r="G1425" s="967" t="n">
        <f aca="false">IF(F1425&gt;0,D1425*F1425,E1425*D1425)</f>
        <v>0</v>
      </c>
      <c r="H1425" s="975" t="n">
        <f aca="false">D1425*E1425*$H$1383</f>
        <v>0</v>
      </c>
      <c r="I1425" s="936" t="n">
        <f aca="false">IF(G1425&gt;H1425,G1425,H1425)*$H$1382</f>
        <v>0</v>
      </c>
      <c r="J1425" s="931"/>
      <c r="K1425" s="937"/>
    </row>
    <row r="1426" customFormat="false" ht="15.75" hidden="true" customHeight="false" outlineLevel="0" collapsed="false">
      <c r="A1426" s="937"/>
      <c r="B1426" s="992" t="str">
        <f aca="false">пристройка!A253</f>
        <v>лента дельта sb-60</v>
      </c>
      <c r="C1426" s="993" t="str">
        <f aca="false">пристройка!B253</f>
        <v>шт</v>
      </c>
      <c r="D1426" s="992" t="n">
        <f aca="false">пристройка!C253</f>
        <v>0</v>
      </c>
      <c r="E1426" s="992" t="n">
        <f aca="false">пристройка!D253</f>
        <v>1100</v>
      </c>
      <c r="F1426" s="992"/>
      <c r="G1426" s="967" t="n">
        <f aca="false">IF(F1426&gt;0,D1426*F1426,E1426*D1426)</f>
        <v>0</v>
      </c>
      <c r="H1426" s="975" t="n">
        <f aca="false">D1426*E1426*$H$1383</f>
        <v>0</v>
      </c>
      <c r="I1426" s="936" t="n">
        <f aca="false">IF(G1426&gt;H1426,G1426,H1426)*$H$1382</f>
        <v>0</v>
      </c>
      <c r="J1426" s="931"/>
      <c r="K1426" s="937"/>
    </row>
    <row r="1427" customFormat="false" ht="15.75" hidden="true" customHeight="false" outlineLevel="0" collapsed="false">
      <c r="A1427" s="937"/>
      <c r="B1427" s="992" t="str">
        <f aca="false">пристройка!A254</f>
        <v>Кровельный саморез</v>
      </c>
      <c r="C1427" s="993" t="str">
        <f aca="false">пристройка!B254</f>
        <v>шт</v>
      </c>
      <c r="D1427" s="992" t="n">
        <f aca="false">пристройка!C254</f>
        <v>0</v>
      </c>
      <c r="E1427" s="992" t="n">
        <f aca="false">пристройка!D254</f>
        <v>2</v>
      </c>
      <c r="F1427" s="992"/>
      <c r="G1427" s="967" t="n">
        <f aca="false">IF(F1427&gt;0,D1427*F1427,E1427*D1427)</f>
        <v>0</v>
      </c>
      <c r="H1427" s="975" t="n">
        <f aca="false">D1427*E1427*$H$1383</f>
        <v>0</v>
      </c>
      <c r="I1427" s="936" t="n">
        <f aca="false">IF(G1427&gt;H1427,G1427,H1427)*$H$1382</f>
        <v>0</v>
      </c>
      <c r="J1427" s="931"/>
      <c r="K1427" s="937"/>
    </row>
    <row r="1428" customFormat="false" ht="15.75" hidden="true" customHeight="false" outlineLevel="0" collapsed="false">
      <c r="A1428" s="937"/>
      <c r="B1428" s="992" t="str">
        <f aca="false">пристройка!A255</f>
        <v>Гвозди ершоные 3,4 x 60            </v>
      </c>
      <c r="C1428" s="993" t="str">
        <f aca="false">пристройка!B255</f>
        <v>кг</v>
      </c>
      <c r="D1428" s="992" t="n">
        <f aca="false">пристройка!C255</f>
        <v>0</v>
      </c>
      <c r="E1428" s="992" t="n">
        <f aca="false">пристройка!D255</f>
        <v>75.51</v>
      </c>
      <c r="F1428" s="992"/>
      <c r="G1428" s="967" t="n">
        <f aca="false">IF(F1428&gt;0,D1428*F1428,E1428*D1428)</f>
        <v>0</v>
      </c>
      <c r="H1428" s="975" t="n">
        <f aca="false">D1428*E1428*$H$1383</f>
        <v>0</v>
      </c>
      <c r="I1428" s="936" t="n">
        <f aca="false">IF(G1428&gt;H1428,G1428,H1428)*$H$1382</f>
        <v>0</v>
      </c>
      <c r="J1428" s="931"/>
      <c r="K1428" s="937"/>
    </row>
    <row r="1429" customFormat="false" ht="15.75" hidden="true" customHeight="false" outlineLevel="0" collapsed="false">
      <c r="A1429" s="937"/>
      <c r="B1429" s="992" t="str">
        <f aca="false">пристройка!A256</f>
        <v>Гвозди ершоные 2,8 х 90            </v>
      </c>
      <c r="C1429" s="993" t="str">
        <f aca="false">пристройка!B256</f>
        <v>кг</v>
      </c>
      <c r="D1429" s="992" t="n">
        <f aca="false">пристройка!C256</f>
        <v>0</v>
      </c>
      <c r="E1429" s="1010" t="n">
        <f aca="false">пристройка!D256</f>
        <v>76.49</v>
      </c>
      <c r="F1429" s="1010"/>
      <c r="G1429" s="967" t="n">
        <f aca="false">IF(F1429&gt;0,D1429*F1429,E1429*D1429)</f>
        <v>0</v>
      </c>
      <c r="H1429" s="975" t="n">
        <f aca="false">D1429*E1429*$H$1383</f>
        <v>0</v>
      </c>
      <c r="I1429" s="936" t="n">
        <f aca="false">IF(G1429&gt;H1429,G1429,H1429)*$H$1382</f>
        <v>0</v>
      </c>
      <c r="J1429" s="931"/>
      <c r="K1429" s="937"/>
    </row>
    <row r="1430" customFormat="false" ht="15.75" hidden="true" customHeight="false" outlineLevel="0" collapsed="false">
      <c r="A1430" s="937"/>
      <c r="B1430" s="992" t="str">
        <f aca="false">пристройка!A257</f>
        <v>Уголок усиленный 90х70х55х2,5        </v>
      </c>
      <c r="C1430" s="993" t="str">
        <f aca="false">пристройка!B257</f>
        <v>шт</v>
      </c>
      <c r="D1430" s="992" t="n">
        <f aca="false">пристройка!C257</f>
        <v>0</v>
      </c>
      <c r="E1430" s="992" t="n">
        <f aca="false">пристройка!D257</f>
        <v>30</v>
      </c>
      <c r="F1430" s="992"/>
      <c r="G1430" s="967" t="n">
        <f aca="false">IF(F1430&gt;0,D1430*F1430,E1430*D1430)</f>
        <v>0</v>
      </c>
      <c r="H1430" s="975" t="n">
        <f aca="false">D1430*E1430*$H$1383</f>
        <v>0</v>
      </c>
      <c r="I1430" s="936" t="n">
        <f aca="false">IF(G1430&gt;H1430,G1430,H1430)*$H$1382</f>
        <v>0</v>
      </c>
      <c r="J1430" s="931"/>
      <c r="K1430" s="937"/>
    </row>
    <row r="1431" customFormat="false" ht="15.75" hidden="true" customHeight="false" outlineLevel="0" collapsed="false">
      <c r="A1431" s="937"/>
      <c r="B1431" s="973" t="s">
        <v>2247</v>
      </c>
      <c r="C1431" s="973"/>
      <c r="D1431" s="973"/>
      <c r="E1431" s="973"/>
      <c r="F1431" s="973"/>
      <c r="G1431" s="970" t="n">
        <f aca="false">SUM(G1384:G1430)*H1382</f>
        <v>0</v>
      </c>
      <c r="H1431" s="970" t="n">
        <f aca="false">SUM(H1384:H1430)</f>
        <v>0</v>
      </c>
      <c r="I1431" s="936" t="n">
        <f aca="false">IF(G1431&gt;H1431,G1431,H1431)*$H$1382</f>
        <v>0</v>
      </c>
      <c r="J1431" s="931"/>
      <c r="K1431" s="937"/>
    </row>
    <row r="1432" customFormat="false" ht="15.75" hidden="true" customHeight="false" outlineLevel="0" collapsed="false">
      <c r="A1432" s="937"/>
      <c r="B1432" s="976" t="s">
        <v>2007</v>
      </c>
      <c r="C1432" s="976"/>
      <c r="D1432" s="976"/>
      <c r="E1432" s="976"/>
      <c r="F1432" s="1014"/>
      <c r="G1432" s="977"/>
      <c r="H1432" s="994" t="n">
        <f aca="false">H1382</f>
        <v>0</v>
      </c>
      <c r="I1432" s="1026" t="n">
        <f aca="false">H1432</f>
        <v>0</v>
      </c>
      <c r="J1432" s="931"/>
      <c r="K1432" s="937"/>
    </row>
    <row r="1433" customFormat="false" ht="15.75" hidden="true" customHeight="false" outlineLevel="0" collapsed="false">
      <c r="A1433" s="931"/>
      <c r="B1433" s="995" t="str">
        <f aca="false">пристройка!H210</f>
        <v>монтаж мауэрлат</v>
      </c>
      <c r="C1433" s="993" t="str">
        <f aca="false">пристройка!I210</f>
        <v>м.п.</v>
      </c>
      <c r="D1433" s="967" t="n">
        <f aca="false">пристройка!J210</f>
        <v>0</v>
      </c>
      <c r="E1433" s="986" t="n">
        <f aca="false">пристройка!K210</f>
        <v>250</v>
      </c>
      <c r="F1433" s="986"/>
      <c r="G1433" s="967" t="n">
        <f aca="false">IF(F1433&gt;0,D1433*F1433,E1433*D1433)</f>
        <v>0</v>
      </c>
      <c r="H1433" s="970" t="n">
        <f aca="false">D1433*E1433*$H$1432</f>
        <v>0</v>
      </c>
      <c r="I1433" s="936" t="n">
        <f aca="false">IF(G1433&gt;H1433,G1433,H1433)*$H$1382</f>
        <v>0</v>
      </c>
      <c r="J1433" s="931"/>
      <c r="K1433" s="937"/>
    </row>
    <row r="1434" customFormat="false" ht="15.75" hidden="true" customHeight="false" outlineLevel="0" collapsed="false">
      <c r="A1434" s="937"/>
      <c r="B1434" s="995" t="str">
        <f aca="false">пристройка!H211</f>
        <v>монтаж стропил</v>
      </c>
      <c r="C1434" s="993" t="str">
        <f aca="false">пристройка!I211</f>
        <v>м2</v>
      </c>
      <c r="D1434" s="967" t="n">
        <f aca="false">пристройка!J211</f>
        <v>0</v>
      </c>
      <c r="E1434" s="986" t="n">
        <f aca="false">пристройка!K211</f>
        <v>450</v>
      </c>
      <c r="F1434" s="986"/>
      <c r="G1434" s="967" t="n">
        <f aca="false">IF(F1434&gt;0,D1434*F1434,E1434*D1434)</f>
        <v>0</v>
      </c>
      <c r="H1434" s="970" t="n">
        <f aca="false">D1434*E1434*$H$1432</f>
        <v>0</v>
      </c>
      <c r="I1434" s="936" t="n">
        <f aca="false">IF(G1434&gt;H1434,G1434,H1434)*$H$1382</f>
        <v>0</v>
      </c>
      <c r="J1434" s="931"/>
      <c r="K1434" s="937"/>
    </row>
    <row r="1435" customFormat="false" ht="15.75" hidden="true" customHeight="false" outlineLevel="0" collapsed="false">
      <c r="A1435" s="937"/>
      <c r="B1435" s="995" t="str">
        <f aca="false">пристройка!H212</f>
        <v>обрешетка</v>
      </c>
      <c r="C1435" s="993" t="str">
        <f aca="false">пристройка!I212</f>
        <v>м2</v>
      </c>
      <c r="D1435" s="967" t="n">
        <f aca="false">пристройка!J212</f>
        <v>0</v>
      </c>
      <c r="E1435" s="986" t="n">
        <f aca="false">пристройка!K212</f>
        <v>100</v>
      </c>
      <c r="F1435" s="986"/>
      <c r="G1435" s="967" t="n">
        <f aca="false">IF(F1435&gt;0,D1435*F1435,E1435*D1435)</f>
        <v>0</v>
      </c>
      <c r="H1435" s="970" t="n">
        <f aca="false">D1435*E1435*$H$1432</f>
        <v>0</v>
      </c>
      <c r="I1435" s="936" t="n">
        <f aca="false">IF(G1435&gt;H1435,G1435,H1435)*$H$1382</f>
        <v>0</v>
      </c>
      <c r="J1435" s="931"/>
      <c r="K1435" s="937"/>
    </row>
    <row r="1436" customFormat="false" ht="15.75" hidden="true" customHeight="false" outlineLevel="0" collapsed="false">
      <c r="A1436" s="937"/>
      <c r="B1436" s="995" t="str">
        <f aca="false">пристройка!H213</f>
        <v>контробеш</v>
      </c>
      <c r="C1436" s="993" t="str">
        <f aca="false">пристройка!I213</f>
        <v>м2</v>
      </c>
      <c r="D1436" s="967" t="n">
        <f aca="false">пристройка!J213</f>
        <v>0</v>
      </c>
      <c r="E1436" s="986" t="n">
        <f aca="false">пристройка!K213</f>
        <v>100</v>
      </c>
      <c r="F1436" s="986"/>
      <c r="G1436" s="967" t="n">
        <f aca="false">IF(F1436&gt;0,D1436*F1436,E1436*D1436)</f>
        <v>0</v>
      </c>
      <c r="H1436" s="970" t="n">
        <f aca="false">D1436*E1436*$H$1432</f>
        <v>0</v>
      </c>
      <c r="I1436" s="936" t="n">
        <f aca="false">IF(G1436&gt;H1436,G1436,H1436)*$H$1382</f>
        <v>0</v>
      </c>
      <c r="J1436" s="931"/>
      <c r="K1436" s="937"/>
    </row>
    <row r="1437" customFormat="false" ht="15.75" hidden="true" customHeight="false" outlineLevel="0" collapsed="false">
      <c r="A1437" s="937"/>
      <c r="B1437" s="995" t="str">
        <f aca="false">пристройка!H214</f>
        <v>мембрана</v>
      </c>
      <c r="C1437" s="993" t="str">
        <f aca="false">пристройка!I214</f>
        <v>м2</v>
      </c>
      <c r="D1437" s="967" t="n">
        <f aca="false">пристройка!J214</f>
        <v>0</v>
      </c>
      <c r="E1437" s="986" t="n">
        <f aca="false">пристройка!K214</f>
        <v>100</v>
      </c>
      <c r="F1437" s="986"/>
      <c r="G1437" s="967" t="n">
        <f aca="false">IF(F1437&gt;0,D1437*F1437,E1437*D1437)</f>
        <v>0</v>
      </c>
      <c r="H1437" s="970" t="n">
        <f aca="false">D1437*E1437*$H$1432</f>
        <v>0</v>
      </c>
      <c r="I1437" s="936" t="n">
        <f aca="false">IF(G1437&gt;H1437,G1437,H1437)*$H$1382</f>
        <v>0</v>
      </c>
      <c r="J1437" s="931"/>
      <c r="K1437" s="937"/>
    </row>
    <row r="1438" customFormat="false" ht="15.75" hidden="true" customHeight="false" outlineLevel="0" collapsed="false">
      <c r="A1438" s="937"/>
      <c r="B1438" s="995" t="str">
        <f aca="false">пристройка!H215</f>
        <v>пароизоляц</v>
      </c>
      <c r="C1438" s="993" t="str">
        <f aca="false">пристройка!I215</f>
        <v>м2</v>
      </c>
      <c r="D1438" s="967" t="n">
        <f aca="false">пристройка!J215</f>
        <v>0</v>
      </c>
      <c r="E1438" s="986" t="n">
        <f aca="false">пристройка!K215</f>
        <v>100</v>
      </c>
      <c r="F1438" s="986"/>
      <c r="G1438" s="967" t="n">
        <f aca="false">IF(F1438&gt;0,D1438*F1438,E1438*D1438)</f>
        <v>0</v>
      </c>
      <c r="H1438" s="970" t="n">
        <f aca="false">D1438*E1438*$H$1432</f>
        <v>0</v>
      </c>
      <c r="I1438" s="936" t="n">
        <f aca="false">IF(G1438&gt;H1438,G1438,H1438)*$H$1382</f>
        <v>0</v>
      </c>
      <c r="J1438" s="931"/>
      <c r="K1438" s="937"/>
    </row>
    <row r="1439" customFormat="false" ht="15.75" hidden="true" customHeight="false" outlineLevel="0" collapsed="false">
      <c r="A1439" s="937"/>
      <c r="B1439" s="995" t="str">
        <f aca="false">пристройка!H216</f>
        <v>утеплитель</v>
      </c>
      <c r="C1439" s="993" t="str">
        <f aca="false">пристройка!I216</f>
        <v>м2</v>
      </c>
      <c r="D1439" s="967" t="n">
        <f aca="false">пристройка!J216</f>
        <v>0</v>
      </c>
      <c r="E1439" s="986" t="n">
        <f aca="false">пристройка!K216</f>
        <v>200</v>
      </c>
      <c r="F1439" s="986"/>
      <c r="G1439" s="967" t="n">
        <f aca="false">IF(F1439&gt;0,D1439*F1439,E1439*D1439)</f>
        <v>0</v>
      </c>
      <c r="H1439" s="970" t="n">
        <f aca="false">D1439*E1439*$H$1432</f>
        <v>0</v>
      </c>
      <c r="I1439" s="936" t="n">
        <f aca="false">IF(G1439&gt;H1439,G1439,H1439)*$H$1382</f>
        <v>0</v>
      </c>
      <c r="J1439" s="931"/>
      <c r="K1439" s="937"/>
    </row>
    <row r="1440" customFormat="false" ht="15.75" hidden="true" customHeight="false" outlineLevel="0" collapsed="false">
      <c r="A1440" s="937"/>
      <c r="B1440" s="995" t="str">
        <f aca="false">пристройка!H217</f>
        <v>Монтаж металлочерепицы</v>
      </c>
      <c r="C1440" s="993" t="str">
        <f aca="false">пристройка!I217</f>
        <v>м2</v>
      </c>
      <c r="D1440" s="967" t="n">
        <f aca="false">пристройка!J217</f>
        <v>0</v>
      </c>
      <c r="E1440" s="986" t="n">
        <f aca="false">пристройка!K217</f>
        <v>300</v>
      </c>
      <c r="F1440" s="986"/>
      <c r="G1440" s="967" t="n">
        <f aca="false">IF(F1440&gt;0,D1440*F1440,E1440*D1440)</f>
        <v>0</v>
      </c>
      <c r="H1440" s="970" t="n">
        <f aca="false">D1440*E1440*$H$1432</f>
        <v>0</v>
      </c>
      <c r="I1440" s="936" t="n">
        <f aca="false">IF(G1440&gt;H1440,G1440,H1440)*$H$1382</f>
        <v>0</v>
      </c>
      <c r="J1440" s="931"/>
      <c r="K1440" s="937"/>
    </row>
    <row r="1441" customFormat="false" ht="15.75" hidden="true" customHeight="false" outlineLevel="0" collapsed="false">
      <c r="A1441" s="937"/>
      <c r="B1441" s="995" t="str">
        <f aca="false">пристройка!H218</f>
        <v>карнизная планка</v>
      </c>
      <c r="C1441" s="993" t="str">
        <f aca="false">пристройка!I218</f>
        <v>м2</v>
      </c>
      <c r="D1441" s="967" t="n">
        <f aca="false">пристройка!J218</f>
        <v>0</v>
      </c>
      <c r="E1441" s="986" t="n">
        <f aca="false">пристройка!K218</f>
        <v>100</v>
      </c>
      <c r="F1441" s="986"/>
      <c r="G1441" s="967" t="n">
        <f aca="false">IF(F1441&gt;0,D1441*F1441,E1441*D1441)</f>
        <v>0</v>
      </c>
      <c r="H1441" s="970" t="n">
        <f aca="false">D1441*E1441*$H$1432</f>
        <v>0</v>
      </c>
      <c r="I1441" s="936" t="n">
        <f aca="false">IF(G1441&gt;H1441,G1441,H1441)*$H$1382</f>
        <v>0</v>
      </c>
      <c r="J1441" s="931"/>
      <c r="K1441" s="937"/>
    </row>
    <row r="1442" customFormat="false" ht="15.75" hidden="true" customHeight="false" outlineLevel="0" collapsed="false">
      <c r="A1442" s="937"/>
      <c r="B1442" s="995" t="str">
        <f aca="false">пристройка!H219</f>
        <v>торцевая планка</v>
      </c>
      <c r="C1442" s="993" t="str">
        <f aca="false">пристройка!I219</f>
        <v>м2</v>
      </c>
      <c r="D1442" s="967" t="n">
        <f aca="false">пристройка!J219</f>
        <v>0</v>
      </c>
      <c r="E1442" s="986" t="n">
        <f aca="false">пристройка!K219</f>
        <v>100</v>
      </c>
      <c r="F1442" s="986"/>
      <c r="G1442" s="967" t="n">
        <f aca="false">IF(F1442&gt;0,D1442*F1442,E1442*D1442)</f>
        <v>0</v>
      </c>
      <c r="H1442" s="970" t="n">
        <f aca="false">D1442*E1442*$H$1432</f>
        <v>0</v>
      </c>
      <c r="I1442" s="936" t="n">
        <f aca="false">IF(G1442&gt;H1442,G1442,H1442)*$H$1382</f>
        <v>0</v>
      </c>
      <c r="J1442" s="931"/>
      <c r="K1442" s="937"/>
    </row>
    <row r="1443" customFormat="false" ht="15.75" hidden="true" customHeight="false" outlineLevel="0" collapsed="false">
      <c r="A1443" s="937"/>
      <c r="B1443" s="995" t="str">
        <f aca="false">пристройка!H220</f>
        <v>желоб водосточный</v>
      </c>
      <c r="C1443" s="993" t="str">
        <f aca="false">пристройка!I220</f>
        <v>м.п.</v>
      </c>
      <c r="D1443" s="967" t="n">
        <f aca="false">пристройка!J220</f>
        <v>0</v>
      </c>
      <c r="E1443" s="986" t="n">
        <f aca="false">пристройка!K220</f>
        <v>300</v>
      </c>
      <c r="F1443" s="986"/>
      <c r="G1443" s="967" t="n">
        <f aca="false">IF(F1443&gt;0,D1443*F1443,E1443*D1443)</f>
        <v>0</v>
      </c>
      <c r="H1443" s="970" t="n">
        <f aca="false">D1443*E1443*$H$1432</f>
        <v>0</v>
      </c>
      <c r="I1443" s="936" t="n">
        <f aca="false">IF(G1443&gt;H1443,G1443,H1443)*$H$1382</f>
        <v>0</v>
      </c>
      <c r="J1443" s="931"/>
      <c r="K1443" s="937"/>
    </row>
    <row r="1444" customFormat="false" ht="15.75" hidden="true" customHeight="false" outlineLevel="0" collapsed="false">
      <c r="A1444" s="937"/>
      <c r="B1444" s="995" t="str">
        <f aca="false">пристройка!H221</f>
        <v>труба водосточная</v>
      </c>
      <c r="C1444" s="993" t="str">
        <f aca="false">пристройка!I221</f>
        <v>м.п.</v>
      </c>
      <c r="D1444" s="967" t="n">
        <f aca="false">пристройка!J221</f>
        <v>0</v>
      </c>
      <c r="E1444" s="986" t="n">
        <f aca="false">пристройка!K221</f>
        <v>300</v>
      </c>
      <c r="F1444" s="986"/>
      <c r="G1444" s="967" t="n">
        <f aca="false">IF(F1444&gt;0,D1444*F1444,E1444*D1444)</f>
        <v>0</v>
      </c>
      <c r="H1444" s="970" t="n">
        <f aca="false">D1444*E1444*$H$1432</f>
        <v>0</v>
      </c>
      <c r="I1444" s="936" t="n">
        <f aca="false">IF(G1444&gt;H1444,G1444,H1444)*$H$1382</f>
        <v>0</v>
      </c>
      <c r="J1444" s="931"/>
      <c r="K1444" s="937"/>
    </row>
    <row r="1445" customFormat="false" ht="15.75" hidden="true" customHeight="false" outlineLevel="0" collapsed="false">
      <c r="A1445" s="937"/>
      <c r="B1445" s="995" t="str">
        <f aca="false">пристройка!H222</f>
        <v>ендова внутр/наружн</v>
      </c>
      <c r="C1445" s="993" t="str">
        <f aca="false">пристройка!I222</f>
        <v>м.п.</v>
      </c>
      <c r="D1445" s="967" t="n">
        <f aca="false">пристройка!J222</f>
        <v>0</v>
      </c>
      <c r="E1445" s="986" t="n">
        <f aca="false">пристройка!K222</f>
        <v>300</v>
      </c>
      <c r="F1445" s="986"/>
      <c r="G1445" s="967" t="n">
        <f aca="false">IF(F1445&gt;0,D1445*F1445,E1445*D1445)</f>
        <v>0</v>
      </c>
      <c r="H1445" s="970" t="n">
        <f aca="false">D1445*E1445*$H$1432</f>
        <v>0</v>
      </c>
      <c r="I1445" s="936" t="n">
        <f aca="false">IF(G1445&gt;H1445,G1445,H1445)*$H$1382</f>
        <v>0</v>
      </c>
      <c r="J1445" s="931"/>
      <c r="K1445" s="937"/>
    </row>
    <row r="1446" customFormat="false" ht="15.75" hidden="true" customHeight="false" outlineLevel="0" collapsed="false">
      <c r="A1446" s="937"/>
      <c r="B1446" s="995" t="str">
        <f aca="false">пристройка!H223</f>
        <v>Монтаж ондулина</v>
      </c>
      <c r="C1446" s="993" t="str">
        <f aca="false">пристройка!I223</f>
        <v>м2</v>
      </c>
      <c r="D1446" s="967" t="n">
        <f aca="false">пристройка!J223</f>
        <v>0</v>
      </c>
      <c r="E1446" s="986" t="n">
        <f aca="false">пристройка!K223</f>
        <v>300</v>
      </c>
      <c r="F1446" s="986"/>
      <c r="G1446" s="967" t="n">
        <f aca="false">IF(F1446&gt;0,D1446*F1446,E1446*D1446)</f>
        <v>0</v>
      </c>
      <c r="H1446" s="970" t="n">
        <f aca="false">D1446*E1446*$H$1432</f>
        <v>0</v>
      </c>
      <c r="I1446" s="936" t="n">
        <f aca="false">IF(G1446&gt;H1446,G1446,H1446)*$H$1382</f>
        <v>0</v>
      </c>
      <c r="J1446" s="931"/>
      <c r="K1446" s="937"/>
    </row>
    <row r="1447" customFormat="false" ht="15.75" hidden="true" customHeight="false" outlineLevel="0" collapsed="false">
      <c r="A1447" s="937"/>
      <c r="B1447" s="995" t="str">
        <f aca="false">пристройка!H225</f>
        <v>Монтаж фанеры/osb</v>
      </c>
      <c r="C1447" s="993" t="str">
        <f aca="false">пристройка!I225</f>
        <v>м2</v>
      </c>
      <c r="D1447" s="967" t="n">
        <f aca="false">пристройка!J225</f>
        <v>0</v>
      </c>
      <c r="E1447" s="986" t="n">
        <f aca="false">пристройка!K225</f>
        <v>200</v>
      </c>
      <c r="F1447" s="986"/>
      <c r="G1447" s="967" t="n">
        <f aca="false">IF(F1447&gt;0,D1447*F1447,E1447*D1447)</f>
        <v>0</v>
      </c>
      <c r="H1447" s="970" t="n">
        <f aca="false">D1447*E1447*$H$1432</f>
        <v>0</v>
      </c>
      <c r="I1447" s="936" t="n">
        <f aca="false">IF(G1447&gt;H1447,G1447,H1447)*$H$1382</f>
        <v>0</v>
      </c>
      <c r="J1447" s="931"/>
      <c r="K1447" s="937"/>
    </row>
    <row r="1448" customFormat="false" ht="15.75" hidden="true" customHeight="false" outlineLevel="0" collapsed="false">
      <c r="A1448" s="937"/>
      <c r="B1448" s="995" t="str">
        <f aca="false">пристройка!H226</f>
        <v>монтаж подкладочного ковра</v>
      </c>
      <c r="C1448" s="993" t="str">
        <f aca="false">пристройка!I226</f>
        <v>м2</v>
      </c>
      <c r="D1448" s="967" t="n">
        <f aca="false">пристройка!J226</f>
        <v>0</v>
      </c>
      <c r="E1448" s="986" t="n">
        <f aca="false">пристройка!K226</f>
        <v>150</v>
      </c>
      <c r="F1448" s="986"/>
      <c r="G1448" s="967" t="n">
        <f aca="false">IF(F1448&gt;0,D1448*F1448,E1448*D1448)</f>
        <v>0</v>
      </c>
      <c r="H1448" s="970" t="n">
        <f aca="false">D1448*E1448*$H$1432</f>
        <v>0</v>
      </c>
      <c r="I1448" s="936" t="n">
        <f aca="false">IF(G1448&gt;H1448,G1448,H1448)*$H$1382</f>
        <v>0</v>
      </c>
      <c r="J1448" s="931"/>
      <c r="K1448" s="937"/>
    </row>
    <row r="1449" customFormat="false" ht="15.75" hidden="true" customHeight="false" outlineLevel="0" collapsed="false">
      <c r="A1449" s="937"/>
      <c r="B1449" s="995" t="str">
        <f aca="false">пристройка!H227</f>
        <v>Монтаж мягкой кровли</v>
      </c>
      <c r="C1449" s="993" t="str">
        <f aca="false">пристройка!I227</f>
        <v>м2</v>
      </c>
      <c r="D1449" s="967" t="n">
        <f aca="false">пристройка!J227</f>
        <v>0</v>
      </c>
      <c r="E1449" s="986" t="n">
        <f aca="false">пристройка!K227</f>
        <v>350</v>
      </c>
      <c r="F1449" s="986"/>
      <c r="G1449" s="967" t="n">
        <f aca="false">IF(F1449&gt;0,D1449*F1449,E1449*D1449)</f>
        <v>0</v>
      </c>
      <c r="H1449" s="970" t="n">
        <f aca="false">D1449*E1449*$H$1432</f>
        <v>0</v>
      </c>
      <c r="I1449" s="936" t="n">
        <f aca="false">IF(G1449&gt;H1449,G1449,H1449)*$H$1382</f>
        <v>0</v>
      </c>
      <c r="J1449" s="931"/>
      <c r="K1449" s="937"/>
    </row>
    <row r="1450" customFormat="false" ht="15.75" hidden="true" customHeight="false" outlineLevel="0" collapsed="false">
      <c r="A1450" s="937"/>
      <c r="B1450" s="973" t="s">
        <v>2248</v>
      </c>
      <c r="C1450" s="973"/>
      <c r="D1450" s="973"/>
      <c r="E1450" s="973"/>
      <c r="F1450" s="973"/>
      <c r="G1450" s="970" t="n">
        <f aca="false">SUM(G1433:G1449)*H1432</f>
        <v>0</v>
      </c>
      <c r="H1450" s="970" t="n">
        <f aca="false">SUM(H1433:H1449)</f>
        <v>0</v>
      </c>
      <c r="I1450" s="936" t="n">
        <f aca="false">IF(G1450&gt;H1450,G1450,H1450)*$H$1382</f>
        <v>0</v>
      </c>
      <c r="J1450" s="931"/>
      <c r="K1450" s="937"/>
    </row>
    <row r="1451" customFormat="false" ht="21" hidden="true" customHeight="false" outlineLevel="0" collapsed="false">
      <c r="A1451" s="937"/>
      <c r="B1451" s="1041" t="s">
        <v>2273</v>
      </c>
      <c r="C1451" s="1041"/>
      <c r="D1451" s="1041"/>
      <c r="E1451" s="1041"/>
      <c r="F1451" s="1041"/>
      <c r="G1451" s="977"/>
      <c r="H1451" s="1043" t="n">
        <f aca="false">дома!D1229</f>
        <v>0</v>
      </c>
      <c r="I1451" s="1026" t="n">
        <f aca="false">H1451</f>
        <v>0</v>
      </c>
      <c r="J1451" s="931"/>
      <c r="K1451" s="937"/>
    </row>
    <row r="1452" customFormat="false" ht="15.75" hidden="true" customHeight="false" outlineLevel="0" collapsed="false">
      <c r="A1452" s="937"/>
      <c r="B1452" s="1008" t="s">
        <v>2246</v>
      </c>
      <c r="C1452" s="1008"/>
      <c r="D1452" s="1008"/>
      <c r="E1452" s="1008"/>
      <c r="F1452" s="1008"/>
      <c r="G1452" s="977"/>
      <c r="H1452" s="1009" t="n">
        <f aca="false">H1451</f>
        <v>0</v>
      </c>
      <c r="I1452" s="1026" t="n">
        <f aca="false">H1452</f>
        <v>0</v>
      </c>
      <c r="J1452" s="931"/>
      <c r="K1452" s="937"/>
    </row>
    <row r="1453" customFormat="false" ht="15.75" hidden="true" customHeight="false" outlineLevel="0" collapsed="false">
      <c r="A1453" s="937"/>
      <c r="B1453" s="992" t="str">
        <f aca="false">крыша!A575</f>
        <v>нет</v>
      </c>
      <c r="C1453" s="993" t="str">
        <f aca="false">крыша!B575</f>
        <v>м3</v>
      </c>
      <c r="D1453" s="992" t="n">
        <f aca="false">крыша!C575</f>
        <v>0</v>
      </c>
      <c r="E1453" s="992" t="n">
        <f aca="false">крыша!D575</f>
        <v>0</v>
      </c>
      <c r="F1453" s="992"/>
      <c r="G1453" s="967" t="n">
        <f aca="false">IF(F1453&gt;0,D1453*F1453,E1453*D1453)</f>
        <v>0</v>
      </c>
      <c r="H1453" s="975" t="n">
        <f aca="false">D1453*E1453*$H$1451</f>
        <v>0</v>
      </c>
      <c r="I1453" s="936" t="n">
        <f aca="false">IF(G1453&gt;H1453,G1453,H1453)*$H$1451</f>
        <v>0</v>
      </c>
      <c r="J1453" s="931"/>
      <c r="K1453" s="937"/>
    </row>
    <row r="1454" customFormat="false" ht="15.75" hidden="true" customHeight="false" outlineLevel="0" collapsed="false">
      <c r="A1454" s="937"/>
      <c r="B1454" s="992" t="str">
        <f aca="false">крыша!A576</f>
        <v>Болты анкерные с гайкой 12,0 х 280          </v>
      </c>
      <c r="C1454" s="993" t="str">
        <f aca="false">крыша!B576</f>
        <v>шт</v>
      </c>
      <c r="D1454" s="992" t="n">
        <f aca="false">крыша!C576</f>
        <v>0</v>
      </c>
      <c r="E1454" s="992" t="n">
        <f aca="false">крыша!D576</f>
        <v>27.1</v>
      </c>
      <c r="F1454" s="992"/>
      <c r="G1454" s="967" t="n">
        <f aca="false">IF(F1454&gt;0,D1454*F1454,E1454*D1454)</f>
        <v>0</v>
      </c>
      <c r="H1454" s="975" t="n">
        <f aca="false">D1454*E1454*$H$1451</f>
        <v>0</v>
      </c>
      <c r="I1454" s="936" t="n">
        <f aca="false">IF(G1454&gt;H1454,G1454,H1454)*$H$1451</f>
        <v>0</v>
      </c>
      <c r="J1454" s="931"/>
      <c r="K1454" s="937"/>
    </row>
    <row r="1455" customFormat="false" ht="15.75" hidden="true" customHeight="false" outlineLevel="0" collapsed="false">
      <c r="A1455" s="937"/>
      <c r="B1455" s="992" t="str">
        <f aca="false">крыша!A577</f>
        <v>Доска сырая, 150*50мм</v>
      </c>
      <c r="C1455" s="993" t="str">
        <f aca="false">крыша!B577</f>
        <v>м3</v>
      </c>
      <c r="D1455" s="992" t="n">
        <f aca="false">крыша!C577</f>
        <v>0</v>
      </c>
      <c r="E1455" s="992" t="n">
        <f aca="false">крыша!D577</f>
        <v>6500</v>
      </c>
      <c r="F1455" s="992"/>
      <c r="G1455" s="967" t="n">
        <f aca="false">IF(F1455&gt;0,D1455*F1455,E1455*D1455)</f>
        <v>0</v>
      </c>
      <c r="H1455" s="975" t="n">
        <f aca="false">D1455*E1455*$H$1451</f>
        <v>0</v>
      </c>
      <c r="I1455" s="936" t="n">
        <f aca="false">IF(G1455&gt;H1455,G1455,H1455)*$H$1451</f>
        <v>0</v>
      </c>
      <c r="J1455" s="931"/>
      <c r="K1455" s="937"/>
    </row>
    <row r="1456" customFormat="false" ht="15.75" hidden="true" customHeight="false" outlineLevel="0" collapsed="false">
      <c r="A1456" s="937"/>
      <c r="B1456" s="992" t="str">
        <f aca="false">крыша!A578</f>
        <v>Сосна влаж,100*25мм</v>
      </c>
      <c r="C1456" s="993" t="str">
        <f aca="false">крыша!B578</f>
        <v>м3</v>
      </c>
      <c r="D1456" s="992" t="n">
        <f aca="false">крыша!C578</f>
        <v>0</v>
      </c>
      <c r="E1456" s="992" t="n">
        <f aca="false">крыша!D578</f>
        <v>6500</v>
      </c>
      <c r="F1456" s="992"/>
      <c r="G1456" s="967" t="n">
        <f aca="false">IF(F1456&gt;0,D1456*F1456,E1456*D1456)</f>
        <v>0</v>
      </c>
      <c r="H1456" s="975" t="n">
        <f aca="false">D1456*E1456*$H$1451</f>
        <v>0</v>
      </c>
      <c r="I1456" s="936" t="n">
        <f aca="false">IF(G1456&gt;H1456,G1456,H1456)*$H$1451</f>
        <v>0</v>
      </c>
      <c r="J1456" s="931"/>
      <c r="K1456" s="937"/>
    </row>
    <row r="1457" customFormat="false" ht="15.75" hidden="true" customHeight="false" outlineLevel="0" collapsed="false">
      <c r="A1457" s="937"/>
      <c r="B1457" s="992" t="str">
        <f aca="false">крыша!A579</f>
        <v>Доска сухая, калибр., 35*45мм</v>
      </c>
      <c r="C1457" s="993" t="str">
        <f aca="false">крыша!B579</f>
        <v>шт</v>
      </c>
      <c r="D1457" s="992" t="n">
        <f aca="false">крыша!C579</f>
        <v>0</v>
      </c>
      <c r="E1457" s="992" t="n">
        <f aca="false">крыша!D579</f>
        <v>12500</v>
      </c>
      <c r="F1457" s="992"/>
      <c r="G1457" s="967" t="n">
        <f aca="false">IF(F1457&gt;0,D1457*F1457,E1457*D1457)</f>
        <v>0</v>
      </c>
      <c r="H1457" s="975" t="n">
        <f aca="false">D1457*E1457*$H$1451</f>
        <v>0</v>
      </c>
      <c r="I1457" s="936" t="n">
        <f aca="false">IF(G1457&gt;H1457,G1457,H1457)*$H$1451</f>
        <v>0</v>
      </c>
      <c r="J1457" s="931"/>
      <c r="K1457" s="937"/>
    </row>
    <row r="1458" customFormat="false" ht="15.75" hidden="true" customHeight="false" outlineLevel="0" collapsed="false">
      <c r="A1458" s="937"/>
      <c r="B1458" s="992" t="str">
        <f aca="false">крыша!A580</f>
        <v>нет ветроизоляции</v>
      </c>
      <c r="C1458" s="993" t="str">
        <f aca="false">крыша!B580</f>
        <v>м2</v>
      </c>
      <c r="D1458" s="992" t="n">
        <f aca="false">крыша!C580</f>
        <v>0</v>
      </c>
      <c r="E1458" s="992" t="n">
        <f aca="false">крыша!D580</f>
        <v>0</v>
      </c>
      <c r="F1458" s="992"/>
      <c r="G1458" s="967" t="n">
        <f aca="false">IF(F1458&gt;0,D1458*F1458,E1458*D1458)</f>
        <v>0</v>
      </c>
      <c r="H1458" s="975" t="n">
        <f aca="false">D1458*E1458*$H$1451</f>
        <v>0</v>
      </c>
      <c r="I1458" s="936" t="n">
        <f aca="false">IF(G1458&gt;H1458,G1458,H1458)*$H$1451</f>
        <v>0</v>
      </c>
      <c r="J1458" s="931"/>
      <c r="K1458" s="937"/>
    </row>
    <row r="1459" customFormat="false" ht="15.75" hidden="true" customHeight="false" outlineLevel="0" collapsed="false">
      <c r="A1459" s="937"/>
      <c r="B1459" s="992" t="str">
        <f aca="false">крыша!A581</f>
        <v>нет пароизоляции</v>
      </c>
      <c r="C1459" s="993" t="str">
        <f aca="false">крыша!B581</f>
        <v>м2</v>
      </c>
      <c r="D1459" s="992" t="n">
        <f aca="false">крыша!C581</f>
        <v>0</v>
      </c>
      <c r="E1459" s="992" t="n">
        <f aca="false">крыша!D581</f>
        <v>0</v>
      </c>
      <c r="F1459" s="992"/>
      <c r="G1459" s="967" t="n">
        <f aca="false">IF(F1459&gt;0,D1459*F1459,E1459*D1459)</f>
        <v>0</v>
      </c>
      <c r="H1459" s="975" t="n">
        <f aca="false">D1459*E1459*$H$1451</f>
        <v>0</v>
      </c>
      <c r="I1459" s="936" t="n">
        <f aca="false">IF(G1459&gt;H1459,G1459,H1459)*$H$1451</f>
        <v>0</v>
      </c>
      <c r="J1459" s="931"/>
      <c r="K1459" s="937"/>
    </row>
    <row r="1460" customFormat="false" ht="15.75" hidden="true" customHeight="false" outlineLevel="0" collapsed="false">
      <c r="A1460" s="937"/>
      <c r="B1460" s="992" t="str">
        <f aca="false">крыша!A582</f>
        <v>Плитный,28кг/м3, технониколь, 100мм</v>
      </c>
      <c r="C1460" s="993" t="str">
        <f aca="false">крыша!B582</f>
        <v>м3</v>
      </c>
      <c r="D1460" s="992" t="n">
        <f aca="false">крыша!C582</f>
        <v>1.32975746684072</v>
      </c>
      <c r="E1460" s="992" t="n">
        <f aca="false">крыша!D582</f>
        <v>1700</v>
      </c>
      <c r="F1460" s="992"/>
      <c r="G1460" s="967" t="n">
        <f aca="false">IF(F1460&gt;0,D1460*F1460,E1460*D1460)</f>
        <v>2260.58769362923</v>
      </c>
      <c r="H1460" s="975" t="n">
        <f aca="false">D1460*E1460*$H$1451</f>
        <v>0</v>
      </c>
      <c r="I1460" s="936" t="n">
        <f aca="false">IF(G1460&gt;H1460,G1460,H1460)*$H$1451</f>
        <v>0</v>
      </c>
      <c r="J1460" s="931"/>
      <c r="K1460" s="937"/>
    </row>
    <row r="1461" customFormat="false" ht="15.75" hidden="true" customHeight="false" outlineLevel="0" collapsed="false">
      <c r="A1461" s="937"/>
      <c r="B1461" s="992" t="str">
        <f aca="false">крыша!A583</f>
        <v>металлочерепица</v>
      </c>
      <c r="C1461" s="993" t="str">
        <f aca="false">крыша!B583</f>
        <v>м2</v>
      </c>
      <c r="D1461" s="992" t="n">
        <f aca="false">крыша!C583</f>
        <v>0</v>
      </c>
      <c r="E1461" s="992" t="n">
        <f aca="false">крыша!D583</f>
        <v>250</v>
      </c>
      <c r="F1461" s="992"/>
      <c r="G1461" s="967" t="n">
        <f aca="false">IF(F1461&gt;0,D1461*F1461,E1461*D1461)</f>
        <v>0</v>
      </c>
      <c r="H1461" s="975" t="n">
        <f aca="false">D1461*E1461*$H$1451</f>
        <v>0</v>
      </c>
      <c r="I1461" s="936" t="n">
        <f aca="false">IF(G1461&gt;H1461,G1461,H1461)*$H$1451</f>
        <v>0</v>
      </c>
      <c r="J1461" s="931"/>
      <c r="K1461" s="937"/>
    </row>
    <row r="1462" customFormat="false" ht="15.75" hidden="true" customHeight="false" outlineLevel="0" collapsed="false">
      <c r="A1462" s="937"/>
      <c r="B1462" s="992" t="str">
        <f aca="false">крыша!A584</f>
        <v>Карнизная планка</v>
      </c>
      <c r="C1462" s="993" t="str">
        <f aca="false">крыша!B584</f>
        <v>м.п.</v>
      </c>
      <c r="D1462" s="992" t="n">
        <f aca="false">крыша!C584</f>
        <v>0</v>
      </c>
      <c r="E1462" s="992" t="n">
        <f aca="false">крыша!D584</f>
        <v>200</v>
      </c>
      <c r="F1462" s="992"/>
      <c r="G1462" s="967" t="n">
        <f aca="false">IF(F1462&gt;0,D1462*F1462,E1462*D1462)</f>
        <v>0</v>
      </c>
      <c r="H1462" s="975" t="n">
        <f aca="false">D1462*E1462*$H$1451</f>
        <v>0</v>
      </c>
      <c r="I1462" s="936" t="n">
        <f aca="false">IF(G1462&gt;H1462,G1462,H1462)*$H$1451</f>
        <v>0</v>
      </c>
      <c r="J1462" s="931"/>
      <c r="K1462" s="937"/>
    </row>
    <row r="1463" customFormat="false" ht="15.75" hidden="true" customHeight="false" outlineLevel="0" collapsed="false">
      <c r="A1463" s="937"/>
      <c r="B1463" s="992" t="str">
        <f aca="false">крыша!A585</f>
        <v>Конек</v>
      </c>
      <c r="C1463" s="993" t="str">
        <f aca="false">крыша!B585</f>
        <v>м.п.</v>
      </c>
      <c r="D1463" s="992" t="n">
        <f aca="false">крыша!C585</f>
        <v>0</v>
      </c>
      <c r="E1463" s="992" t="n">
        <f aca="false">крыша!D585</f>
        <v>230</v>
      </c>
      <c r="F1463" s="992"/>
      <c r="G1463" s="967" t="n">
        <f aca="false">IF(F1463&gt;0,D1463*F1463,E1463*D1463)</f>
        <v>0</v>
      </c>
      <c r="H1463" s="975" t="n">
        <f aca="false">D1463*E1463*$H$1451</f>
        <v>0</v>
      </c>
      <c r="I1463" s="936" t="n">
        <f aca="false">IF(G1463&gt;H1463,G1463,H1463)*$H$1451</f>
        <v>0</v>
      </c>
      <c r="J1463" s="931"/>
      <c r="K1463" s="937"/>
    </row>
    <row r="1464" customFormat="false" ht="15.75" hidden="true" customHeight="false" outlineLevel="0" collapsed="false">
      <c r="A1464" s="937"/>
      <c r="B1464" s="992" t="str">
        <f aca="false">крыша!A586</f>
        <v>Ендова нижняя</v>
      </c>
      <c r="C1464" s="993" t="str">
        <f aca="false">крыша!B586</f>
        <v>м.п</v>
      </c>
      <c r="D1464" s="992" t="n">
        <f aca="false">крыша!C586</f>
        <v>0</v>
      </c>
      <c r="E1464" s="992" t="n">
        <f aca="false">крыша!D586</f>
        <v>160</v>
      </c>
      <c r="F1464" s="992"/>
      <c r="G1464" s="967" t="n">
        <f aca="false">IF(F1464&gt;0,D1464*F1464,E1464*D1464)</f>
        <v>0</v>
      </c>
      <c r="H1464" s="975" t="n">
        <f aca="false">D1464*E1464*$H$1451</f>
        <v>0</v>
      </c>
      <c r="I1464" s="936" t="n">
        <f aca="false">IF(G1464&gt;H1464,G1464,H1464)*$H$1451</f>
        <v>0</v>
      </c>
      <c r="J1464" s="931"/>
      <c r="K1464" s="937"/>
    </row>
    <row r="1465" customFormat="false" ht="15.75" hidden="true" customHeight="false" outlineLevel="0" collapsed="false">
      <c r="A1465" s="937"/>
      <c r="B1465" s="992" t="str">
        <f aca="false">крыша!A587</f>
        <v>Планка примыкания</v>
      </c>
      <c r="C1465" s="993" t="str">
        <f aca="false">крыша!B587</f>
        <v>м.п</v>
      </c>
      <c r="D1465" s="992" t="n">
        <f aca="false">крыша!C587</f>
        <v>0</v>
      </c>
      <c r="E1465" s="992" t="n">
        <f aca="false">крыша!D587</f>
        <v>190</v>
      </c>
      <c r="F1465" s="992"/>
      <c r="G1465" s="967" t="n">
        <f aca="false">IF(F1465&gt;0,D1465*F1465,E1465*D1465)</f>
        <v>0</v>
      </c>
      <c r="H1465" s="975" t="n">
        <f aca="false">D1465*E1465*$H$1451</f>
        <v>0</v>
      </c>
      <c r="I1465" s="936" t="n">
        <f aca="false">IF(G1465&gt;H1465,G1465,H1465)*$H$1451</f>
        <v>0</v>
      </c>
      <c r="J1465" s="931"/>
      <c r="K1465" s="937"/>
    </row>
    <row r="1466" customFormat="false" ht="15.75" hidden="true" customHeight="false" outlineLevel="0" collapsed="false">
      <c r="A1466" s="937"/>
      <c r="B1466" s="992" t="str">
        <f aca="false">крыша!A588</f>
        <v>ондулин</v>
      </c>
      <c r="C1466" s="993" t="str">
        <f aca="false">крыша!B588</f>
        <v>м2</v>
      </c>
      <c r="D1466" s="992" t="n">
        <f aca="false">крыша!C588</f>
        <v>0</v>
      </c>
      <c r="E1466" s="992" t="n">
        <f aca="false">крыша!D588</f>
        <v>180</v>
      </c>
      <c r="F1466" s="992"/>
      <c r="G1466" s="967" t="n">
        <f aca="false">IF(F1466&gt;0,D1466*F1466,E1466*D1466)</f>
        <v>0</v>
      </c>
      <c r="H1466" s="975" t="n">
        <f aca="false">D1466*E1466*$H$1451</f>
        <v>0</v>
      </c>
      <c r="I1466" s="936" t="n">
        <f aca="false">IF(G1466&gt;H1466,G1466,H1466)*$H$1451</f>
        <v>0</v>
      </c>
      <c r="J1466" s="931"/>
      <c r="K1466" s="937"/>
    </row>
    <row r="1467" customFormat="false" ht="15.75" hidden="true" customHeight="false" outlineLevel="0" collapsed="false">
      <c r="A1467" s="937"/>
      <c r="B1467" s="992" t="str">
        <f aca="false">крыша!A589</f>
        <v>Карнизная планка</v>
      </c>
      <c r="C1467" s="993" t="str">
        <f aca="false">крыша!B589</f>
        <v>м.п.</v>
      </c>
      <c r="D1467" s="992" t="n">
        <f aca="false">крыша!C589</f>
        <v>0</v>
      </c>
      <c r="E1467" s="992" t="n">
        <f aca="false">крыша!D589</f>
        <v>190</v>
      </c>
      <c r="F1467" s="992"/>
      <c r="G1467" s="967" t="n">
        <f aca="false">IF(F1467&gt;0,D1467*F1467,E1467*D1467)</f>
        <v>0</v>
      </c>
      <c r="H1467" s="975" t="n">
        <f aca="false">D1467*E1467*$H$1451</f>
        <v>0</v>
      </c>
      <c r="I1467" s="936" t="n">
        <f aca="false">IF(G1467&gt;H1467,G1467,H1467)*$H$1451</f>
        <v>0</v>
      </c>
      <c r="J1467" s="931"/>
      <c r="K1467" s="937"/>
    </row>
    <row r="1468" customFormat="false" ht="15.75" hidden="true" customHeight="false" outlineLevel="0" collapsed="false">
      <c r="A1468" s="937"/>
      <c r="B1468" s="992" t="str">
        <f aca="false">крыша!A590</f>
        <v>Торцевая планка</v>
      </c>
      <c r="C1468" s="993" t="str">
        <f aca="false">крыша!B590</f>
        <v>м.п.</v>
      </c>
      <c r="D1468" s="992" t="n">
        <f aca="false">крыша!C590</f>
        <v>0</v>
      </c>
      <c r="E1468" s="992" t="n">
        <f aca="false">крыша!D590</f>
        <v>190</v>
      </c>
      <c r="F1468" s="992"/>
      <c r="G1468" s="967" t="n">
        <f aca="false">IF(F1468&gt;0,D1468*F1468,E1468*D1468)</f>
        <v>0</v>
      </c>
      <c r="H1468" s="975" t="n">
        <f aca="false">D1468*E1468*$H$1451</f>
        <v>0</v>
      </c>
      <c r="I1468" s="936" t="n">
        <f aca="false">IF(G1468&gt;H1468,G1468,H1468)*$H$1451</f>
        <v>0</v>
      </c>
      <c r="J1468" s="931"/>
      <c r="K1468" s="937"/>
    </row>
    <row r="1469" customFormat="false" ht="15.75" hidden="true" customHeight="false" outlineLevel="0" collapsed="false">
      <c r="A1469" s="937"/>
      <c r="B1469" s="992" t="str">
        <f aca="false">крыша!A591</f>
        <v>Конек</v>
      </c>
      <c r="C1469" s="993" t="str">
        <f aca="false">крыша!B591</f>
        <v>м.п.</v>
      </c>
      <c r="D1469" s="992" t="n">
        <f aca="false">крыша!C591</f>
        <v>0</v>
      </c>
      <c r="E1469" s="992" t="n">
        <f aca="false">крыша!D591</f>
        <v>200</v>
      </c>
      <c r="F1469" s="992"/>
      <c r="G1469" s="967" t="n">
        <f aca="false">IF(F1469&gt;0,D1469*F1469,E1469*D1469)</f>
        <v>0</v>
      </c>
      <c r="H1469" s="975" t="n">
        <f aca="false">D1469*E1469*$H$1451</f>
        <v>0</v>
      </c>
      <c r="I1469" s="936" t="n">
        <f aca="false">IF(G1469&gt;H1469,G1469,H1469)*$H$1451</f>
        <v>0</v>
      </c>
      <c r="J1469" s="931"/>
      <c r="K1469" s="937"/>
    </row>
    <row r="1470" customFormat="false" ht="15.75" hidden="true" customHeight="false" outlineLevel="0" collapsed="false">
      <c r="A1470" s="937"/>
      <c r="B1470" s="992" t="str">
        <f aca="false">крыша!A592</f>
        <v>Ендова нижняя</v>
      </c>
      <c r="C1470" s="993" t="str">
        <f aca="false">крыша!B592</f>
        <v>м.п.</v>
      </c>
      <c r="D1470" s="992" t="n">
        <f aca="false">крыша!C592</f>
        <v>0</v>
      </c>
      <c r="E1470" s="992" t="n">
        <f aca="false">крыша!D592</f>
        <v>160</v>
      </c>
      <c r="F1470" s="992"/>
      <c r="G1470" s="967" t="n">
        <f aca="false">IF(F1470&gt;0,D1470*F1470,E1470*D1470)</f>
        <v>0</v>
      </c>
      <c r="H1470" s="975" t="n">
        <f aca="false">D1470*E1470*$H$1451</f>
        <v>0</v>
      </c>
      <c r="I1470" s="936" t="n">
        <f aca="false">IF(G1470&gt;H1470,G1470,H1470)*$H$1451</f>
        <v>0</v>
      </c>
      <c r="J1470" s="931"/>
      <c r="K1470" s="937"/>
    </row>
    <row r="1471" customFormat="false" ht="15.75" hidden="true" customHeight="false" outlineLevel="0" collapsed="false">
      <c r="A1471" s="937"/>
      <c r="B1471" s="992" t="str">
        <f aca="false">крыша!A593</f>
        <v>Ендова верхняя</v>
      </c>
      <c r="C1471" s="993" t="str">
        <f aca="false">крыша!B593</f>
        <v>м.п.</v>
      </c>
      <c r="D1471" s="992" t="n">
        <f aca="false">крыша!C593</f>
        <v>0</v>
      </c>
      <c r="E1471" s="992" t="n">
        <f aca="false">крыша!D593</f>
        <v>190</v>
      </c>
      <c r="F1471" s="992"/>
      <c r="G1471" s="967" t="n">
        <f aca="false">IF(F1471&gt;0,D1471*F1471,E1471*D1471)</f>
        <v>0</v>
      </c>
      <c r="H1471" s="975" t="n">
        <f aca="false">D1471*E1471*$H$1451</f>
        <v>0</v>
      </c>
      <c r="I1471" s="936" t="n">
        <f aca="false">IF(G1471&gt;H1471,G1471,H1471)*$H$1451</f>
        <v>0</v>
      </c>
      <c r="J1471" s="931"/>
      <c r="K1471" s="937"/>
    </row>
    <row r="1472" customFormat="false" ht="15.75" hidden="true" customHeight="false" outlineLevel="0" collapsed="false">
      <c r="A1472" s="937"/>
      <c r="B1472" s="992" t="str">
        <f aca="false">крыша!A594</f>
        <v>Планка примыкания</v>
      </c>
      <c r="C1472" s="993" t="str">
        <f aca="false">крыша!B594</f>
        <v>м.п.</v>
      </c>
      <c r="D1472" s="992" t="n">
        <f aca="false">крыша!C594</f>
        <v>0</v>
      </c>
      <c r="E1472" s="992" t="n">
        <f aca="false">крыша!D594</f>
        <v>190</v>
      </c>
      <c r="F1472" s="992"/>
      <c r="G1472" s="967" t="n">
        <f aca="false">IF(F1472&gt;0,D1472*F1472,E1472*D1472)</f>
        <v>0</v>
      </c>
      <c r="H1472" s="975" t="n">
        <f aca="false">D1472*E1472*$H$1451</f>
        <v>0</v>
      </c>
      <c r="I1472" s="936" t="n">
        <f aca="false">IF(G1472&gt;H1472,G1472,H1472)*$H$1451</f>
        <v>0</v>
      </c>
      <c r="J1472" s="931"/>
      <c r="K1472" s="937"/>
    </row>
    <row r="1473" customFormat="false" ht="15.75" hidden="true" customHeight="false" outlineLevel="0" collapsed="false">
      <c r="A1473" s="937"/>
      <c r="B1473" s="992" t="str">
        <f aca="false">крыша!A595</f>
        <v>Крепеж для ондулина</v>
      </c>
      <c r="C1473" s="993" t="str">
        <f aca="false">крыша!B595</f>
        <v>шт</v>
      </c>
      <c r="D1473" s="992" t="n">
        <f aca="false">крыша!C595</f>
        <v>0</v>
      </c>
      <c r="E1473" s="992" t="n">
        <f aca="false">крыша!D595</f>
        <v>4.5</v>
      </c>
      <c r="F1473" s="992"/>
      <c r="G1473" s="967" t="n">
        <f aca="false">IF(F1473&gt;0,D1473*F1473,E1473*D1473)</f>
        <v>0</v>
      </c>
      <c r="H1473" s="975" t="n">
        <f aca="false">D1473*E1473*$H$1451</f>
        <v>0</v>
      </c>
      <c r="I1473" s="936" t="n">
        <f aca="false">IF(G1473&gt;H1473,G1473,H1473)*$H$1451</f>
        <v>0</v>
      </c>
      <c r="J1473" s="931"/>
      <c r="K1473" s="937"/>
    </row>
    <row r="1474" customFormat="false" ht="15.75" hidden="true" customHeight="false" outlineLevel="0" collapsed="false">
      <c r="A1474" s="937"/>
      <c r="B1474" s="992" t="str">
        <f aca="false">крыша!A596</f>
        <v>нет</v>
      </c>
      <c r="C1474" s="993" t="str">
        <f aca="false">крыша!B596</f>
        <v>м2</v>
      </c>
      <c r="D1474" s="992" t="n">
        <f aca="false">крыша!C596</f>
        <v>0</v>
      </c>
      <c r="E1474" s="992" t="n">
        <f aca="false">крыша!D596</f>
        <v>0</v>
      </c>
      <c r="F1474" s="992"/>
      <c r="G1474" s="967" t="n">
        <f aca="false">IF(F1474&gt;0,D1474*F1474,E1474*D1474)</f>
        <v>0</v>
      </c>
      <c r="H1474" s="975" t="n">
        <f aca="false">D1474*E1474*$H$1451</f>
        <v>0</v>
      </c>
      <c r="I1474" s="936" t="n">
        <f aca="false">IF(G1474&gt;H1474,G1474,H1474)*$H$1451</f>
        <v>0</v>
      </c>
      <c r="J1474" s="931"/>
      <c r="K1474" s="937"/>
    </row>
    <row r="1475" customFormat="false" ht="15.75" hidden="true" customHeight="false" outlineLevel="0" collapsed="false">
      <c r="A1475" s="937"/>
      <c r="B1475" s="992" t="str">
        <f aca="false">крыша!A597</f>
        <v>Рядовая черепица</v>
      </c>
      <c r="C1475" s="993" t="str">
        <f aca="false">крыша!B597</f>
        <v>м2</v>
      </c>
      <c r="D1475" s="992" t="n">
        <f aca="false">крыша!C597</f>
        <v>0</v>
      </c>
      <c r="E1475" s="992" t="n">
        <f aca="false">крыша!D597</f>
        <v>360</v>
      </c>
      <c r="F1475" s="992"/>
      <c r="G1475" s="967" t="n">
        <f aca="false">IF(F1475&gt;0,D1475*F1475,E1475*D1475)</f>
        <v>0</v>
      </c>
      <c r="H1475" s="975" t="n">
        <f aca="false">D1475*E1475*$H$1451</f>
        <v>0</v>
      </c>
      <c r="I1475" s="936" t="n">
        <f aca="false">IF(G1475&gt;H1475,G1475,H1475)*$H$1451</f>
        <v>0</v>
      </c>
      <c r="J1475" s="931"/>
      <c r="K1475" s="937"/>
    </row>
    <row r="1476" customFormat="false" ht="15.75" hidden="true" customHeight="false" outlineLevel="0" collapsed="false">
      <c r="A1476" s="937"/>
      <c r="B1476" s="992" t="str">
        <f aca="false">крыша!A598</f>
        <v>Металл оцинк защита (карниз)</v>
      </c>
      <c r="C1476" s="993" t="str">
        <f aca="false">крыша!B598</f>
        <v>м.п.</v>
      </c>
      <c r="D1476" s="992" t="n">
        <f aca="false">крыша!C598</f>
        <v>0</v>
      </c>
      <c r="E1476" s="992" t="n">
        <f aca="false">крыша!D598</f>
        <v>200</v>
      </c>
      <c r="F1476" s="992"/>
      <c r="G1476" s="967" t="n">
        <f aca="false">IF(F1476&gt;0,D1476*F1476,E1476*D1476)</f>
        <v>0</v>
      </c>
      <c r="H1476" s="975" t="n">
        <f aca="false">D1476*E1476*$H$1451</f>
        <v>0</v>
      </c>
      <c r="I1476" s="936" t="n">
        <f aca="false">IF(G1476&gt;H1476,G1476,H1476)*$H$1451</f>
        <v>0</v>
      </c>
      <c r="J1476" s="931"/>
      <c r="K1476" s="937"/>
    </row>
    <row r="1477" customFormat="false" ht="15.75" hidden="true" customHeight="false" outlineLevel="0" collapsed="false">
      <c r="A1477" s="937"/>
      <c r="B1477" s="992" t="str">
        <f aca="false">крыша!A599</f>
        <v>Подкладочный ковер</v>
      </c>
      <c r="C1477" s="993" t="str">
        <f aca="false">крыша!B599</f>
        <v>м.п.</v>
      </c>
      <c r="D1477" s="992" t="n">
        <f aca="false">крыша!C599</f>
        <v>0</v>
      </c>
      <c r="E1477" s="992" t="n">
        <f aca="false">крыша!D599</f>
        <v>220</v>
      </c>
      <c r="F1477" s="992"/>
      <c r="G1477" s="967" t="n">
        <f aca="false">IF(F1477&gt;0,D1477*F1477,E1477*D1477)</f>
        <v>0</v>
      </c>
      <c r="H1477" s="975" t="n">
        <f aca="false">D1477*E1477*$H$1451</f>
        <v>0</v>
      </c>
      <c r="I1477" s="936" t="n">
        <f aca="false">IF(G1477&gt;H1477,G1477,H1477)*$H$1451</f>
        <v>0</v>
      </c>
      <c r="J1477" s="931"/>
      <c r="K1477" s="937"/>
    </row>
    <row r="1478" customFormat="false" ht="15.75" hidden="true" customHeight="false" outlineLevel="0" collapsed="false">
      <c r="A1478" s="937"/>
      <c r="B1478" s="992" t="str">
        <f aca="false">крыша!A600</f>
        <v>Карнизная самоклеющаяся черепица</v>
      </c>
      <c r="C1478" s="993" t="str">
        <f aca="false">крыша!B600</f>
        <v>м.п.</v>
      </c>
      <c r="D1478" s="992" t="n">
        <f aca="false">крыша!C600</f>
        <v>0</v>
      </c>
      <c r="E1478" s="992" t="n">
        <f aca="false">крыша!D600</f>
        <v>220</v>
      </c>
      <c r="F1478" s="992"/>
      <c r="G1478" s="967" t="n">
        <f aca="false">IF(F1478&gt;0,D1478*F1478,E1478*D1478)</f>
        <v>0</v>
      </c>
      <c r="H1478" s="975" t="n">
        <f aca="false">D1478*E1478*$H$1451</f>
        <v>0</v>
      </c>
      <c r="I1478" s="936" t="n">
        <f aca="false">IF(G1478&gt;H1478,G1478,H1478)*$H$1451</f>
        <v>0</v>
      </c>
      <c r="J1478" s="931"/>
      <c r="K1478" s="937"/>
    </row>
    <row r="1479" customFormat="false" ht="15.75" hidden="true" customHeight="false" outlineLevel="0" collapsed="false">
      <c r="A1479" s="937"/>
      <c r="B1479" s="992" t="str">
        <f aca="false">крыша!A601</f>
        <v>Спец ковер ендова нижняя</v>
      </c>
      <c r="C1479" s="993" t="str">
        <f aca="false">крыша!B601</f>
        <v>м.п.</v>
      </c>
      <c r="D1479" s="992" t="n">
        <f aca="false">крыша!C601</f>
        <v>0</v>
      </c>
      <c r="E1479" s="992" t="n">
        <f aca="false">крыша!D601</f>
        <v>200</v>
      </c>
      <c r="F1479" s="992"/>
      <c r="G1479" s="967" t="n">
        <f aca="false">IF(F1479&gt;0,D1479*F1479,E1479*D1479)</f>
        <v>0</v>
      </c>
      <c r="H1479" s="975" t="n">
        <f aca="false">D1479*E1479*$H$1451</f>
        <v>0</v>
      </c>
      <c r="I1479" s="936" t="n">
        <f aca="false">IF(G1479&gt;H1479,G1479,H1479)*$H$1451</f>
        <v>0</v>
      </c>
      <c r="J1479" s="931"/>
      <c r="K1479" s="937"/>
    </row>
    <row r="1480" customFormat="false" ht="15.75" hidden="true" customHeight="false" outlineLevel="0" collapsed="false">
      <c r="A1480" s="937"/>
      <c r="B1480" s="992" t="str">
        <f aca="false">крыша!A602</f>
        <v>Коньковой элемент</v>
      </c>
      <c r="C1480" s="993" t="str">
        <f aca="false">крыша!B602</f>
        <v>м.п.</v>
      </c>
      <c r="D1480" s="992" t="n">
        <f aca="false">крыша!C602</f>
        <v>0</v>
      </c>
      <c r="E1480" s="992" t="n">
        <f aca="false">крыша!D602</f>
        <v>250</v>
      </c>
      <c r="F1480" s="992"/>
      <c r="G1480" s="967" t="n">
        <f aca="false">IF(F1480&gt;0,D1480*F1480,E1480*D1480)</f>
        <v>0</v>
      </c>
      <c r="H1480" s="975" t="n">
        <f aca="false">D1480*E1480*$H$1451</f>
        <v>0</v>
      </c>
      <c r="I1480" s="936" t="n">
        <f aca="false">IF(G1480&gt;H1480,G1480,H1480)*$H$1451</f>
        <v>0</v>
      </c>
      <c r="J1480" s="931"/>
      <c r="K1480" s="937"/>
    </row>
    <row r="1481" customFormat="false" ht="15.75" hidden="true" customHeight="false" outlineLevel="0" collapsed="false">
      <c r="A1481" s="937"/>
      <c r="B1481" s="992" t="str">
        <f aca="false">крыша!A603</f>
        <v>Планка премыкания</v>
      </c>
      <c r="C1481" s="993" t="str">
        <f aca="false">крыша!B603</f>
        <v>м.п.</v>
      </c>
      <c r="D1481" s="992" t="n">
        <f aca="false">крыша!C603</f>
        <v>0</v>
      </c>
      <c r="E1481" s="992" t="n">
        <f aca="false">крыша!D603</f>
        <v>200</v>
      </c>
      <c r="F1481" s="992"/>
      <c r="G1481" s="967" t="n">
        <f aca="false">IF(F1481&gt;0,D1481*F1481,E1481*D1481)</f>
        <v>0</v>
      </c>
      <c r="H1481" s="975" t="n">
        <f aca="false">D1481*E1481*$H$1451</f>
        <v>0</v>
      </c>
      <c r="I1481" s="936" t="n">
        <f aca="false">IF(G1481&gt;H1481,G1481,H1481)*$H$1451</f>
        <v>0</v>
      </c>
      <c r="J1481" s="931"/>
      <c r="K1481" s="937"/>
    </row>
    <row r="1482" customFormat="false" ht="15.75" hidden="true" customHeight="false" outlineLevel="0" collapsed="false">
      <c r="A1482" s="937"/>
      <c r="B1482" s="992" t="str">
        <f aca="false">крыша!A604</f>
        <v>Гвозди для крепления подкладочного ковра</v>
      </c>
      <c r="C1482" s="993" t="str">
        <f aca="false">крыша!B604</f>
        <v>шт</v>
      </c>
      <c r="D1482" s="992" t="n">
        <f aca="false">крыша!C604</f>
        <v>0</v>
      </c>
      <c r="E1482" s="992" t="n">
        <f aca="false">крыша!D604</f>
        <v>0.012</v>
      </c>
      <c r="F1482" s="992"/>
      <c r="G1482" s="967" t="n">
        <f aca="false">IF(F1482&gt;0,D1482*F1482,E1482*D1482)</f>
        <v>0</v>
      </c>
      <c r="H1482" s="975" t="n">
        <f aca="false">D1482*E1482*$H$1451</f>
        <v>0</v>
      </c>
      <c r="I1482" s="936" t="n">
        <f aca="false">IF(G1482&gt;H1482,G1482,H1482)*$H$1451</f>
        <v>0</v>
      </c>
      <c r="J1482" s="931"/>
      <c r="K1482" s="937"/>
    </row>
    <row r="1483" customFormat="false" ht="15.75" hidden="true" customHeight="false" outlineLevel="0" collapsed="false">
      <c r="A1483" s="937"/>
      <c r="B1483" s="992" t="str">
        <f aca="false">крыша!A605</f>
        <v>Гвозди для крепления черепицы</v>
      </c>
      <c r="C1483" s="993" t="str">
        <f aca="false">крыша!B605</f>
        <v>шт</v>
      </c>
      <c r="D1483" s="992" t="n">
        <f aca="false">крыша!C605</f>
        <v>0</v>
      </c>
      <c r="E1483" s="992" t="n">
        <f aca="false">крыша!D605</f>
        <v>0.25</v>
      </c>
      <c r="F1483" s="992"/>
      <c r="G1483" s="967" t="n">
        <f aca="false">IF(F1483&gt;0,D1483*F1483,E1483*D1483)</f>
        <v>0</v>
      </c>
      <c r="H1483" s="975" t="n">
        <f aca="false">D1483*E1483*$H$1451</f>
        <v>0</v>
      </c>
      <c r="I1483" s="936" t="n">
        <f aca="false">IF(G1483&gt;H1483,G1483,H1483)*$H$1451</f>
        <v>0</v>
      </c>
      <c r="J1483" s="931"/>
      <c r="K1483" s="937"/>
    </row>
    <row r="1484" customFormat="false" ht="15.75" hidden="true" customHeight="false" outlineLevel="0" collapsed="false">
      <c r="A1484" s="937"/>
      <c r="B1484" s="992" t="str">
        <f aca="false">крыша!A606</f>
        <v>Клей для монтажа черепицы</v>
      </c>
      <c r="C1484" s="993" t="str">
        <f aca="false">крыша!B606</f>
        <v>кг</v>
      </c>
      <c r="D1484" s="992" t="n">
        <f aca="false">крыша!C606</f>
        <v>0</v>
      </c>
      <c r="E1484" s="992" t="n">
        <f aca="false">крыша!D606</f>
        <v>250</v>
      </c>
      <c r="F1484" s="992"/>
      <c r="G1484" s="967" t="n">
        <f aca="false">IF(F1484&gt;0,D1484*F1484,E1484*D1484)</f>
        <v>0</v>
      </c>
      <c r="H1484" s="975" t="n">
        <f aca="false">D1484*E1484*$H$1451</f>
        <v>0</v>
      </c>
      <c r="I1484" s="936" t="n">
        <f aca="false">IF(G1484&gt;H1484,G1484,H1484)*$H$1451</f>
        <v>0</v>
      </c>
      <c r="J1484" s="931"/>
      <c r="K1484" s="937"/>
    </row>
    <row r="1485" customFormat="false" ht="15.75" hidden="true" customHeight="false" outlineLevel="0" collapsed="false">
      <c r="A1485" s="937"/>
      <c r="B1485" s="992" t="str">
        <f aca="false">крыша!A607</f>
        <v>желоб</v>
      </c>
      <c r="C1485" s="993" t="str">
        <f aca="false">крыша!B607</f>
        <v>м.п</v>
      </c>
      <c r="D1485" s="992" t="n">
        <f aca="false">крыша!C607</f>
        <v>0</v>
      </c>
      <c r="E1485" s="992" t="n">
        <f aca="false">крыша!D607</f>
        <v>300</v>
      </c>
      <c r="F1485" s="992"/>
      <c r="G1485" s="967" t="n">
        <f aca="false">IF(F1485&gt;0,D1485*F1485,E1485*D1485)</f>
        <v>0</v>
      </c>
      <c r="H1485" s="975" t="n">
        <f aca="false">D1485*E1485*$H$1451</f>
        <v>0</v>
      </c>
      <c r="I1485" s="936" t="n">
        <f aca="false">IF(G1485&gt;H1485,G1485,H1485)*$H$1451</f>
        <v>0</v>
      </c>
      <c r="J1485" s="931"/>
      <c r="K1485" s="937"/>
    </row>
    <row r="1486" customFormat="false" ht="15.75" hidden="true" customHeight="false" outlineLevel="0" collapsed="false">
      <c r="A1486" s="937"/>
      <c r="B1486" s="992" t="str">
        <f aca="false">крыша!A608</f>
        <v>отвод</v>
      </c>
      <c r="C1486" s="993" t="str">
        <f aca="false">крыша!B608</f>
        <v>шт</v>
      </c>
      <c r="D1486" s="992" t="n">
        <f aca="false">крыша!C608</f>
        <v>4</v>
      </c>
      <c r="E1486" s="992" t="n">
        <f aca="false">крыша!D608</f>
        <v>250</v>
      </c>
      <c r="F1486" s="992"/>
      <c r="G1486" s="967" t="n">
        <f aca="false">IF(F1486&gt;0,D1486*F1486,E1486*D1486)</f>
        <v>1000</v>
      </c>
      <c r="H1486" s="975" t="n">
        <f aca="false">D1486*E1486*$H$1451</f>
        <v>0</v>
      </c>
      <c r="I1486" s="936" t="n">
        <f aca="false">IF(G1486&gt;H1486,G1486,H1486)*$H$1451</f>
        <v>0</v>
      </c>
      <c r="J1486" s="931"/>
      <c r="K1486" s="937"/>
    </row>
    <row r="1487" customFormat="false" ht="15.75" hidden="true" customHeight="false" outlineLevel="0" collapsed="false">
      <c r="A1487" s="937"/>
      <c r="B1487" s="992" t="str">
        <f aca="false">крыша!A609</f>
        <v>труба водосточная</v>
      </c>
      <c r="C1487" s="993" t="str">
        <f aca="false">крыша!B609</f>
        <v>м.п.</v>
      </c>
      <c r="D1487" s="992" t="n">
        <f aca="false">крыша!C609</f>
        <v>0</v>
      </c>
      <c r="E1487" s="992" t="n">
        <f aca="false">крыша!D609</f>
        <v>300</v>
      </c>
      <c r="F1487" s="992"/>
      <c r="G1487" s="967" t="n">
        <f aca="false">IF(F1487&gt;0,D1487*F1487,E1487*D1487)</f>
        <v>0</v>
      </c>
      <c r="H1487" s="975" t="n">
        <f aca="false">D1487*E1487*$H$1451</f>
        <v>0</v>
      </c>
      <c r="I1487" s="936" t="n">
        <f aca="false">IF(G1487&gt;H1487,G1487,H1487)*$H$1451</f>
        <v>0</v>
      </c>
      <c r="J1487" s="931"/>
      <c r="K1487" s="937"/>
    </row>
    <row r="1488" customFormat="false" ht="15.75" hidden="true" customHeight="false" outlineLevel="0" collapsed="false">
      <c r="A1488" s="937"/>
      <c r="B1488" s="992" t="str">
        <f aca="false">крыша!A610</f>
        <v>заглушка для желоба</v>
      </c>
      <c r="C1488" s="993" t="str">
        <f aca="false">крыша!B610</f>
        <v>шт</v>
      </c>
      <c r="D1488" s="992" t="n">
        <f aca="false">крыша!C610</f>
        <v>0</v>
      </c>
      <c r="E1488" s="992" t="n">
        <f aca="false">крыша!D610</f>
        <v>190</v>
      </c>
      <c r="F1488" s="992"/>
      <c r="G1488" s="967" t="n">
        <f aca="false">IF(F1488&gt;0,D1488*F1488,E1488*D1488)</f>
        <v>0</v>
      </c>
      <c r="H1488" s="975" t="n">
        <f aca="false">D1488*E1488*$H$1451</f>
        <v>0</v>
      </c>
      <c r="I1488" s="936" t="n">
        <f aca="false">IF(G1488&gt;H1488,G1488,H1488)*$H$1451</f>
        <v>0</v>
      </c>
      <c r="J1488" s="931"/>
      <c r="K1488" s="937"/>
    </row>
    <row r="1489" customFormat="false" ht="15.75" hidden="true" customHeight="false" outlineLevel="0" collapsed="false">
      <c r="A1489" s="937"/>
      <c r="B1489" s="992" t="str">
        <f aca="false">крыша!A611</f>
        <v>соеденитель для желоба</v>
      </c>
      <c r="C1489" s="993" t="str">
        <f aca="false">крыша!B611</f>
        <v>шт</v>
      </c>
      <c r="D1489" s="992" t="n">
        <f aca="false">крыша!C611</f>
        <v>0</v>
      </c>
      <c r="E1489" s="992" t="n">
        <f aca="false">крыша!D611</f>
        <v>180</v>
      </c>
      <c r="F1489" s="992"/>
      <c r="G1489" s="967" t="n">
        <f aca="false">IF(F1489&gt;0,D1489*F1489,E1489*D1489)</f>
        <v>0</v>
      </c>
      <c r="H1489" s="975" t="n">
        <f aca="false">D1489*E1489*$H$1451</f>
        <v>0</v>
      </c>
      <c r="I1489" s="936" t="n">
        <f aca="false">IF(G1489&gt;H1489,G1489,H1489)*$H$1451</f>
        <v>0</v>
      </c>
      <c r="J1489" s="931"/>
      <c r="K1489" s="937"/>
    </row>
    <row r="1490" customFormat="false" ht="15.75" hidden="true" customHeight="false" outlineLevel="0" collapsed="false">
      <c r="A1490" s="937"/>
      <c r="B1490" s="992" t="str">
        <f aca="false">крыша!A612</f>
        <v>кронштейн для желоба</v>
      </c>
      <c r="C1490" s="993" t="str">
        <f aca="false">крыша!B612</f>
        <v>шт</v>
      </c>
      <c r="D1490" s="992" t="n">
        <f aca="false">крыша!C612</f>
        <v>0</v>
      </c>
      <c r="E1490" s="992" t="n">
        <f aca="false">крыша!D612</f>
        <v>130</v>
      </c>
      <c r="F1490" s="992"/>
      <c r="G1490" s="967" t="n">
        <f aca="false">IF(F1490&gt;0,D1490*F1490,E1490*D1490)</f>
        <v>0</v>
      </c>
      <c r="H1490" s="975" t="n">
        <f aca="false">D1490*E1490*$H$1451</f>
        <v>0</v>
      </c>
      <c r="I1490" s="936" t="n">
        <f aca="false">IF(G1490&gt;H1490,G1490,H1490)*$H$1451</f>
        <v>0</v>
      </c>
      <c r="J1490" s="931"/>
      <c r="K1490" s="937"/>
    </row>
    <row r="1491" customFormat="false" ht="15.75" hidden="true" customHeight="false" outlineLevel="0" collapsed="false">
      <c r="A1491" s="937"/>
      <c r="B1491" s="992" t="str">
        <f aca="false">крыша!A613</f>
        <v>переход из желоба в трубу</v>
      </c>
      <c r="C1491" s="993" t="str">
        <f aca="false">крыша!B613</f>
        <v>шт</v>
      </c>
      <c r="D1491" s="992" t="n">
        <f aca="false">крыша!C613</f>
        <v>2</v>
      </c>
      <c r="E1491" s="992" t="n">
        <f aca="false">крыша!D613</f>
        <v>350</v>
      </c>
      <c r="F1491" s="992"/>
      <c r="G1491" s="967" t="n">
        <f aca="false">IF(F1491&gt;0,D1491*F1491,E1491*D1491)</f>
        <v>700</v>
      </c>
      <c r="H1491" s="975" t="n">
        <f aca="false">D1491*E1491*$H$1451</f>
        <v>0</v>
      </c>
      <c r="I1491" s="936" t="n">
        <f aca="false">IF(G1491&gt;H1491,G1491,H1491)*$H$1451</f>
        <v>0</v>
      </c>
      <c r="J1491" s="931"/>
      <c r="K1491" s="937"/>
    </row>
    <row r="1492" customFormat="false" ht="15.75" hidden="true" customHeight="false" outlineLevel="0" collapsed="false">
      <c r="A1492" s="937"/>
      <c r="B1492" s="992" t="str">
        <f aca="false">крыша!A614</f>
        <v>лента дельта мульти бэнд</v>
      </c>
      <c r="C1492" s="993" t="str">
        <f aca="false">крыша!B614</f>
        <v>шт</v>
      </c>
      <c r="D1492" s="992" t="n">
        <f aca="false">крыша!C614</f>
        <v>0</v>
      </c>
      <c r="E1492" s="992" t="n">
        <f aca="false">крыша!D614</f>
        <v>1200</v>
      </c>
      <c r="F1492" s="992"/>
      <c r="G1492" s="967" t="n">
        <f aca="false">IF(F1492&gt;0,D1492*F1492,E1492*D1492)</f>
        <v>0</v>
      </c>
      <c r="H1492" s="975" t="n">
        <f aca="false">D1492*E1492*$H$1451</f>
        <v>0</v>
      </c>
      <c r="I1492" s="936" t="n">
        <f aca="false">IF(G1492&gt;H1492,G1492,H1492)*$H$1451</f>
        <v>0</v>
      </c>
      <c r="J1492" s="931"/>
      <c r="K1492" s="937"/>
    </row>
    <row r="1493" customFormat="false" ht="15.75" hidden="true" customHeight="false" outlineLevel="0" collapsed="false">
      <c r="A1493" s="937"/>
      <c r="B1493" s="992" t="str">
        <f aca="false">крыша!A615</f>
        <v>лента дельта sb-60</v>
      </c>
      <c r="C1493" s="993" t="str">
        <f aca="false">крыша!B615</f>
        <v>шт</v>
      </c>
      <c r="D1493" s="992" t="n">
        <f aca="false">крыша!C615</f>
        <v>0</v>
      </c>
      <c r="E1493" s="992" t="n">
        <f aca="false">крыша!D615</f>
        <v>1100</v>
      </c>
      <c r="F1493" s="992"/>
      <c r="G1493" s="967" t="n">
        <f aca="false">IF(F1493&gt;0,D1493*F1493,E1493*D1493)</f>
        <v>0</v>
      </c>
      <c r="H1493" s="975" t="n">
        <f aca="false">D1493*E1493*$H$1451</f>
        <v>0</v>
      </c>
      <c r="I1493" s="936" t="n">
        <f aca="false">IF(G1493&gt;H1493,G1493,H1493)*$H$1451</f>
        <v>0</v>
      </c>
      <c r="J1493" s="931"/>
      <c r="K1493" s="937"/>
    </row>
    <row r="1494" customFormat="false" ht="15.75" hidden="true" customHeight="false" outlineLevel="0" collapsed="false">
      <c r="A1494" s="937"/>
      <c r="B1494" s="992" t="str">
        <f aca="false">крыша!A616</f>
        <v>Кровельный саморез</v>
      </c>
      <c r="C1494" s="993" t="str">
        <f aca="false">крыша!B616</f>
        <v>шт</v>
      </c>
      <c r="D1494" s="992" t="n">
        <f aca="false">крыша!C616</f>
        <v>0</v>
      </c>
      <c r="E1494" s="992" t="n">
        <f aca="false">крыша!D616</f>
        <v>2</v>
      </c>
      <c r="F1494" s="992"/>
      <c r="G1494" s="967" t="n">
        <f aca="false">IF(F1494&gt;0,D1494*F1494,E1494*D1494)</f>
        <v>0</v>
      </c>
      <c r="H1494" s="975" t="n">
        <f aca="false">D1494*E1494*$H$1451</f>
        <v>0</v>
      </c>
      <c r="I1494" s="936" t="n">
        <f aca="false">IF(G1494&gt;H1494,G1494,H1494)*$H$1451</f>
        <v>0</v>
      </c>
      <c r="J1494" s="931"/>
      <c r="K1494" s="937"/>
    </row>
    <row r="1495" customFormat="false" ht="15.75" hidden="true" customHeight="false" outlineLevel="0" collapsed="false">
      <c r="A1495" s="937"/>
      <c r="B1495" s="992" t="str">
        <f aca="false">крыша!A617</f>
        <v>Гвозди ершоные 3,4 x 60            </v>
      </c>
      <c r="C1495" s="993" t="str">
        <f aca="false">крыша!B617</f>
        <v>кг</v>
      </c>
      <c r="D1495" s="992" t="n">
        <f aca="false">крыша!C617</f>
        <v>0</v>
      </c>
      <c r="E1495" s="992" t="n">
        <f aca="false">крыша!D617</f>
        <v>75.51</v>
      </c>
      <c r="F1495" s="992"/>
      <c r="G1495" s="967" t="n">
        <f aca="false">IF(F1495&gt;0,D1495*F1495,E1495*D1495)</f>
        <v>0</v>
      </c>
      <c r="H1495" s="975" t="n">
        <f aca="false">D1495*E1495*$H$1451</f>
        <v>0</v>
      </c>
      <c r="I1495" s="936" t="n">
        <f aca="false">IF(G1495&gt;H1495,G1495,H1495)*$H$1451</f>
        <v>0</v>
      </c>
      <c r="J1495" s="931"/>
      <c r="K1495" s="937"/>
    </row>
    <row r="1496" customFormat="false" ht="15.75" hidden="true" customHeight="false" outlineLevel="0" collapsed="false">
      <c r="A1496" s="937"/>
      <c r="B1496" s="992" t="str">
        <f aca="false">крыша!A618</f>
        <v>Гвозди ершоные 2,8 х 90            </v>
      </c>
      <c r="C1496" s="993" t="str">
        <f aca="false">крыша!B618</f>
        <v>кг</v>
      </c>
      <c r="D1496" s="992" t="n">
        <f aca="false">крыша!C618</f>
        <v>0</v>
      </c>
      <c r="E1496" s="992" t="n">
        <f aca="false">крыша!D618</f>
        <v>76.49</v>
      </c>
      <c r="F1496" s="992"/>
      <c r="G1496" s="967" t="n">
        <f aca="false">IF(F1496&gt;0,D1496*F1496,E1496*D1496)</f>
        <v>0</v>
      </c>
      <c r="H1496" s="975" t="n">
        <f aca="false">D1496*E1496*$H$1451</f>
        <v>0</v>
      </c>
      <c r="I1496" s="936" t="n">
        <f aca="false">IF(G1496&gt;H1496,G1496,H1496)*$H$1451</f>
        <v>0</v>
      </c>
      <c r="J1496" s="931"/>
      <c r="K1496" s="937"/>
    </row>
    <row r="1497" customFormat="false" ht="15.75" hidden="true" customHeight="false" outlineLevel="0" collapsed="false">
      <c r="A1497" s="937"/>
      <c r="B1497" s="992" t="str">
        <f aca="false">крыша!A619</f>
        <v>Пластина соеденительная 100х240х2           </v>
      </c>
      <c r="C1497" s="993" t="str">
        <f aca="false">крыша!B619</f>
        <v>шт</v>
      </c>
      <c r="D1497" s="992" t="n">
        <f aca="false">крыша!C619</f>
        <v>2</v>
      </c>
      <c r="E1497" s="992" t="n">
        <f aca="false">крыша!D619</f>
        <v>31.54</v>
      </c>
      <c r="F1497" s="992"/>
      <c r="G1497" s="967" t="n">
        <f aca="false">IF(F1497&gt;0,D1497*F1497,E1497*D1497)</f>
        <v>63.08</v>
      </c>
      <c r="H1497" s="975" t="n">
        <f aca="false">D1497*E1497*$H$1451</f>
        <v>0</v>
      </c>
      <c r="I1497" s="936" t="n">
        <f aca="false">IF(G1497&gt;H1497,G1497,H1497)*$H$1451</f>
        <v>0</v>
      </c>
      <c r="J1497" s="931"/>
      <c r="K1497" s="937"/>
    </row>
    <row r="1498" customFormat="false" ht="15.75" hidden="true" customHeight="false" outlineLevel="0" collapsed="false">
      <c r="A1498" s="937"/>
      <c r="B1498" s="992" t="str">
        <f aca="false">крыша!A620</f>
        <v>Уголок усиленный 90х70х55х2,5        </v>
      </c>
      <c r="C1498" s="993" t="str">
        <f aca="false">крыша!B620</f>
        <v>шт</v>
      </c>
      <c r="D1498" s="992" t="n">
        <f aca="false">крыша!C620</f>
        <v>3</v>
      </c>
      <c r="E1498" s="992" t="n">
        <f aca="false">крыша!D620</f>
        <v>30</v>
      </c>
      <c r="F1498" s="992"/>
      <c r="G1498" s="967" t="n">
        <f aca="false">IF(F1498&gt;0,D1498*F1498,E1498*D1498)</f>
        <v>90</v>
      </c>
      <c r="H1498" s="975" t="n">
        <f aca="false">D1498*E1498*$H$1451</f>
        <v>0</v>
      </c>
      <c r="I1498" s="936" t="n">
        <f aca="false">IF(G1498&gt;H1498,G1498,H1498)*$H$1451</f>
        <v>0</v>
      </c>
      <c r="J1498" s="931"/>
      <c r="K1498" s="937"/>
    </row>
    <row r="1499" customFormat="false" ht="15.75" hidden="true" customHeight="false" outlineLevel="0" collapsed="false">
      <c r="A1499" s="937"/>
      <c r="B1499" s="973" t="s">
        <v>2247</v>
      </c>
      <c r="C1499" s="973"/>
      <c r="D1499" s="973"/>
      <c r="E1499" s="973"/>
      <c r="F1499" s="973"/>
      <c r="G1499" s="970" t="n">
        <f aca="false">SUM(G1453:G1498)*H1451</f>
        <v>0</v>
      </c>
      <c r="H1499" s="970" t="n">
        <f aca="false">SUM(H1453:H1498)</f>
        <v>0</v>
      </c>
      <c r="I1499" s="936" t="n">
        <f aca="false">IF(G1499&gt;H1499,G1499,H1499)*$H$1451</f>
        <v>0</v>
      </c>
      <c r="J1499" s="931"/>
      <c r="K1499" s="937"/>
    </row>
    <row r="1500" customFormat="false" ht="15.75" hidden="true" customHeight="false" outlineLevel="0" collapsed="false">
      <c r="A1500" s="937"/>
      <c r="B1500" s="976" t="s">
        <v>2007</v>
      </c>
      <c r="C1500" s="976"/>
      <c r="D1500" s="976"/>
      <c r="E1500" s="976"/>
      <c r="F1500" s="976"/>
      <c r="G1500" s="977"/>
      <c r="H1500" s="994" t="n">
        <f aca="false">H1451</f>
        <v>0</v>
      </c>
      <c r="I1500" s="1026" t="n">
        <f aca="false">H1500</f>
        <v>0</v>
      </c>
      <c r="J1500" s="931"/>
      <c r="K1500" s="937"/>
    </row>
    <row r="1501" customFormat="false" ht="15.75" hidden="true" customHeight="false" outlineLevel="0" collapsed="false">
      <c r="A1501" s="937"/>
      <c r="B1501" s="995" t="str">
        <f aca="false">крыша!G576</f>
        <v>монтаж мауэрлат</v>
      </c>
      <c r="C1501" s="993" t="str">
        <f aca="false">крыша!I576</f>
        <v>м.п.</v>
      </c>
      <c r="D1501" s="992" t="n">
        <f aca="false">крыша!J576</f>
        <v>0</v>
      </c>
      <c r="E1501" s="1010" t="n">
        <f aca="false">крыша!K576</f>
        <v>250</v>
      </c>
      <c r="F1501" s="1010"/>
      <c r="G1501" s="967" t="n">
        <f aca="false">IF(F1501&gt;0,D1501*F1501,E1501*D1501)</f>
        <v>0</v>
      </c>
      <c r="H1501" s="970" t="n">
        <f aca="false">D1501*E1501*$H$1500</f>
        <v>0</v>
      </c>
      <c r="I1501" s="936" t="n">
        <f aca="false">IF(G1501&gt;H1501,G1501,H1501)*$H$1451</f>
        <v>0</v>
      </c>
      <c r="J1501" s="931"/>
      <c r="L1501" s="926"/>
      <c r="M1501" s="926"/>
      <c r="N1501" s="926"/>
      <c r="O1501" s="926"/>
    </row>
    <row r="1502" customFormat="false" ht="15.75" hidden="true" customHeight="false" outlineLevel="0" collapsed="false">
      <c r="A1502" s="937"/>
      <c r="B1502" s="995" t="str">
        <f aca="false">крыша!G577</f>
        <v>монтаж стропил</v>
      </c>
      <c r="C1502" s="993" t="str">
        <f aca="false">крыша!I577</f>
        <v>м2</v>
      </c>
      <c r="D1502" s="992" t="n">
        <f aca="false">крыша!J577</f>
        <v>0</v>
      </c>
      <c r="E1502" s="1010" t="n">
        <f aca="false">крыша!K577</f>
        <v>450</v>
      </c>
      <c r="F1502" s="1010"/>
      <c r="G1502" s="967" t="n">
        <f aca="false">IF(F1502&gt;0,D1502*F1502,E1502*D1502)</f>
        <v>0</v>
      </c>
      <c r="H1502" s="970" t="n">
        <f aca="false">D1502*E1502*$H$1500</f>
        <v>0</v>
      </c>
      <c r="I1502" s="936" t="n">
        <f aca="false">IF(G1502&gt;H1502,G1502,H1502)*$H$1451</f>
        <v>0</v>
      </c>
      <c r="J1502" s="931"/>
      <c r="L1502" s="926"/>
      <c r="M1502" s="926"/>
      <c r="N1502" s="926"/>
      <c r="O1502" s="926"/>
    </row>
    <row r="1503" customFormat="false" ht="15.75" hidden="true" customHeight="false" outlineLevel="0" collapsed="false">
      <c r="A1503" s="937"/>
      <c r="B1503" s="995" t="str">
        <f aca="false">крыша!G578</f>
        <v>обрешетка</v>
      </c>
      <c r="C1503" s="993" t="str">
        <f aca="false">крыша!I578</f>
        <v>м2</v>
      </c>
      <c r="D1503" s="992" t="n">
        <f aca="false">крыша!J578</f>
        <v>0</v>
      </c>
      <c r="E1503" s="1010" t="n">
        <f aca="false">крыша!K578</f>
        <v>100</v>
      </c>
      <c r="F1503" s="1010"/>
      <c r="G1503" s="967" t="n">
        <f aca="false">IF(F1503&gt;0,D1503*F1503,E1503*D1503)</f>
        <v>0</v>
      </c>
      <c r="H1503" s="970" t="n">
        <f aca="false">D1503*E1503*$H$1500</f>
        <v>0</v>
      </c>
      <c r="I1503" s="936" t="n">
        <f aca="false">IF(G1503&gt;H1503,G1503,H1503)*$H$1451</f>
        <v>0</v>
      </c>
      <c r="J1503" s="931"/>
      <c r="L1503" s="926"/>
      <c r="M1503" s="926"/>
      <c r="N1503" s="926"/>
      <c r="O1503" s="926"/>
    </row>
    <row r="1504" customFormat="false" ht="15.75" hidden="true" customHeight="false" outlineLevel="0" collapsed="false">
      <c r="A1504" s="937"/>
      <c r="B1504" s="995" t="str">
        <f aca="false">крыша!G579</f>
        <v>контробеш</v>
      </c>
      <c r="C1504" s="993" t="str">
        <f aca="false">крыша!I579</f>
        <v>м2</v>
      </c>
      <c r="D1504" s="992" t="n">
        <f aca="false">крыша!J579</f>
        <v>0</v>
      </c>
      <c r="E1504" s="1010" t="n">
        <f aca="false">крыша!K579</f>
        <v>100</v>
      </c>
      <c r="F1504" s="1010"/>
      <c r="G1504" s="967" t="n">
        <f aca="false">IF(F1504&gt;0,D1504*F1504,E1504*D1504)</f>
        <v>0</v>
      </c>
      <c r="H1504" s="970" t="n">
        <f aca="false">D1504*E1504*$H$1500</f>
        <v>0</v>
      </c>
      <c r="I1504" s="936" t="n">
        <f aca="false">IF(G1504&gt;H1504,G1504,H1504)*$H$1451</f>
        <v>0</v>
      </c>
      <c r="J1504" s="931"/>
      <c r="L1504" s="926"/>
      <c r="M1504" s="926"/>
      <c r="N1504" s="926"/>
      <c r="O1504" s="926"/>
    </row>
    <row r="1505" customFormat="false" ht="15.75" hidden="true" customHeight="false" outlineLevel="0" collapsed="false">
      <c r="A1505" s="937"/>
      <c r="B1505" s="995" t="str">
        <f aca="false">крыша!G580</f>
        <v>мембрана</v>
      </c>
      <c r="C1505" s="993" t="str">
        <f aca="false">крыша!I580</f>
        <v>м2</v>
      </c>
      <c r="D1505" s="992" t="n">
        <f aca="false">крыша!J580</f>
        <v>0</v>
      </c>
      <c r="E1505" s="1010" t="n">
        <f aca="false">крыша!K580</f>
        <v>100</v>
      </c>
      <c r="F1505" s="1010"/>
      <c r="G1505" s="967" t="n">
        <f aca="false">IF(F1505&gt;0,D1505*F1505,E1505*D1505)</f>
        <v>0</v>
      </c>
      <c r="H1505" s="970" t="n">
        <f aca="false">D1505*E1505*$H$1500</f>
        <v>0</v>
      </c>
      <c r="I1505" s="936" t="n">
        <f aca="false">IF(G1505&gt;H1505,G1505,H1505)*$H$1451</f>
        <v>0</v>
      </c>
      <c r="J1505" s="931"/>
      <c r="L1505" s="926"/>
      <c r="M1505" s="926"/>
      <c r="N1505" s="926"/>
      <c r="O1505" s="926"/>
    </row>
    <row r="1506" customFormat="false" ht="15.75" hidden="true" customHeight="false" outlineLevel="0" collapsed="false">
      <c r="A1506" s="937"/>
      <c r="B1506" s="995" t="str">
        <f aca="false">крыша!G581</f>
        <v>пароизоляц</v>
      </c>
      <c r="C1506" s="993" t="str">
        <f aca="false">крыша!I581</f>
        <v>м2</v>
      </c>
      <c r="D1506" s="992" t="n">
        <f aca="false">крыша!J581</f>
        <v>0</v>
      </c>
      <c r="E1506" s="1010" t="n">
        <f aca="false">крыша!K581</f>
        <v>100</v>
      </c>
      <c r="F1506" s="1010"/>
      <c r="G1506" s="967" t="n">
        <f aca="false">IF(F1506&gt;0,D1506*F1506,E1506*D1506)</f>
        <v>0</v>
      </c>
      <c r="H1506" s="970" t="n">
        <f aca="false">D1506*E1506*$H$1500</f>
        <v>0</v>
      </c>
      <c r="I1506" s="936" t="n">
        <f aca="false">IF(G1506&gt;H1506,G1506,H1506)*$H$1451</f>
        <v>0</v>
      </c>
      <c r="J1506" s="931"/>
      <c r="L1506" s="926"/>
      <c r="M1506" s="926"/>
      <c r="N1506" s="926"/>
      <c r="O1506" s="926"/>
    </row>
    <row r="1507" customFormat="false" ht="15.75" hidden="true" customHeight="false" outlineLevel="0" collapsed="false">
      <c r="A1507" s="937"/>
      <c r="B1507" s="995" t="str">
        <f aca="false">крыша!G582</f>
        <v>утеплитель</v>
      </c>
      <c r="C1507" s="993" t="str">
        <f aca="false">крыша!I582</f>
        <v>м2</v>
      </c>
      <c r="D1507" s="992" t="n">
        <f aca="false">крыша!J582</f>
        <v>0</v>
      </c>
      <c r="E1507" s="1010" t="n">
        <f aca="false">крыша!K582</f>
        <v>200</v>
      </c>
      <c r="F1507" s="1010"/>
      <c r="G1507" s="967" t="n">
        <f aca="false">IF(F1507&gt;0,D1507*F1507,E1507*D1507)</f>
        <v>0</v>
      </c>
      <c r="H1507" s="970" t="n">
        <f aca="false">D1507*E1507*$H$1500</f>
        <v>0</v>
      </c>
      <c r="I1507" s="936" t="n">
        <f aca="false">IF(G1507&gt;H1507,G1507,H1507)*$H$1451</f>
        <v>0</v>
      </c>
      <c r="J1507" s="931"/>
      <c r="L1507" s="926"/>
      <c r="M1507" s="926"/>
      <c r="N1507" s="926"/>
      <c r="O1507" s="926"/>
    </row>
    <row r="1508" customFormat="false" ht="15.75" hidden="true" customHeight="false" outlineLevel="0" collapsed="false">
      <c r="A1508" s="937"/>
      <c r="B1508" s="995" t="str">
        <f aca="false">крыша!G583</f>
        <v>Монтаж металлочерепицы</v>
      </c>
      <c r="C1508" s="993" t="str">
        <f aca="false">крыша!I583</f>
        <v>м2</v>
      </c>
      <c r="D1508" s="992" t="n">
        <f aca="false">крыша!J583</f>
        <v>0</v>
      </c>
      <c r="E1508" s="1010" t="n">
        <f aca="false">крыша!K583</f>
        <v>300</v>
      </c>
      <c r="F1508" s="1010"/>
      <c r="G1508" s="967" t="n">
        <f aca="false">IF(F1508&gt;0,D1508*F1508,E1508*D1508)</f>
        <v>0</v>
      </c>
      <c r="H1508" s="970" t="n">
        <f aca="false">D1508*E1508*$H$1500</f>
        <v>0</v>
      </c>
      <c r="I1508" s="936" t="n">
        <f aca="false">IF(G1508&gt;H1508,G1508,H1508)*$H$1451</f>
        <v>0</v>
      </c>
      <c r="J1508" s="931"/>
      <c r="L1508" s="926"/>
      <c r="M1508" s="926"/>
      <c r="N1508" s="926"/>
      <c r="O1508" s="926"/>
    </row>
    <row r="1509" customFormat="false" ht="15.75" hidden="true" customHeight="false" outlineLevel="0" collapsed="false">
      <c r="A1509" s="937"/>
      <c r="B1509" s="995" t="str">
        <f aca="false">крыша!G584</f>
        <v>карнизная планка</v>
      </c>
      <c r="C1509" s="993" t="str">
        <f aca="false">крыша!I584</f>
        <v>м2</v>
      </c>
      <c r="D1509" s="992" t="n">
        <f aca="false">крыша!J584</f>
        <v>0</v>
      </c>
      <c r="E1509" s="1010" t="n">
        <f aca="false">крыша!K584</f>
        <v>100</v>
      </c>
      <c r="F1509" s="1010"/>
      <c r="G1509" s="967" t="n">
        <f aca="false">IF(F1509&gt;0,D1509*F1509,E1509*D1509)</f>
        <v>0</v>
      </c>
      <c r="H1509" s="970" t="n">
        <f aca="false">D1509*E1509*$H$1500</f>
        <v>0</v>
      </c>
      <c r="I1509" s="936" t="n">
        <f aca="false">IF(G1509&gt;H1509,G1509,H1509)*$H$1451</f>
        <v>0</v>
      </c>
      <c r="J1509" s="931"/>
      <c r="L1509" s="926"/>
      <c r="M1509" s="926"/>
      <c r="N1509" s="926"/>
      <c r="O1509" s="926"/>
    </row>
    <row r="1510" customFormat="false" ht="15.75" hidden="true" customHeight="false" outlineLevel="0" collapsed="false">
      <c r="A1510" s="937"/>
      <c r="B1510" s="995" t="str">
        <f aca="false">крыша!G585</f>
        <v>желоб водосточный</v>
      </c>
      <c r="C1510" s="993" t="str">
        <f aca="false">крыша!I585</f>
        <v>м.п.</v>
      </c>
      <c r="D1510" s="992" t="n">
        <f aca="false">крыша!J585</f>
        <v>0</v>
      </c>
      <c r="E1510" s="1010" t="n">
        <f aca="false">крыша!K585</f>
        <v>300</v>
      </c>
      <c r="F1510" s="1010"/>
      <c r="G1510" s="967" t="n">
        <f aca="false">IF(F1510&gt;0,D1510*F1510,E1510*D1510)</f>
        <v>0</v>
      </c>
      <c r="H1510" s="970" t="n">
        <f aca="false">D1510*E1510*$H$1500</f>
        <v>0</v>
      </c>
      <c r="I1510" s="936" t="n">
        <f aca="false">IF(G1510&gt;H1510,G1510,H1510)*$H$1451</f>
        <v>0</v>
      </c>
      <c r="J1510" s="931"/>
      <c r="L1510" s="926"/>
      <c r="M1510" s="926"/>
      <c r="N1510" s="926"/>
      <c r="O1510" s="926"/>
    </row>
    <row r="1511" customFormat="false" ht="15.75" hidden="true" customHeight="false" outlineLevel="0" collapsed="false">
      <c r="A1511" s="937"/>
      <c r="B1511" s="995" t="str">
        <f aca="false">крыша!G586</f>
        <v>труба водосточная</v>
      </c>
      <c r="C1511" s="993" t="str">
        <f aca="false">крыша!I586</f>
        <v>м.п.</v>
      </c>
      <c r="D1511" s="992" t="n">
        <f aca="false">крыша!J586</f>
        <v>0</v>
      </c>
      <c r="E1511" s="1010" t="n">
        <f aca="false">крыша!K586</f>
        <v>300</v>
      </c>
      <c r="F1511" s="1010"/>
      <c r="G1511" s="967" t="n">
        <f aca="false">IF(F1511&gt;0,D1511*F1511,E1511*D1511)</f>
        <v>0</v>
      </c>
      <c r="H1511" s="970" t="n">
        <f aca="false">D1511*E1511*$H$1500</f>
        <v>0</v>
      </c>
      <c r="I1511" s="936" t="n">
        <f aca="false">IF(G1511&gt;H1511,G1511,H1511)*$H$1451</f>
        <v>0</v>
      </c>
      <c r="J1511" s="931"/>
      <c r="L1511" s="926"/>
      <c r="M1511" s="926"/>
      <c r="N1511" s="926"/>
      <c r="O1511" s="926"/>
    </row>
    <row r="1512" customFormat="false" ht="15.75" hidden="true" customHeight="false" outlineLevel="0" collapsed="false">
      <c r="A1512" s="937"/>
      <c r="B1512" s="995" t="str">
        <f aca="false">крыша!G587</f>
        <v>ендова внутр/наружн</v>
      </c>
      <c r="C1512" s="993" t="str">
        <f aca="false">крыша!I587</f>
        <v>м.п.</v>
      </c>
      <c r="D1512" s="992" t="n">
        <f aca="false">крыша!J587</f>
        <v>0</v>
      </c>
      <c r="E1512" s="1010" t="n">
        <f aca="false">крыша!K587</f>
        <v>300</v>
      </c>
      <c r="F1512" s="1010"/>
      <c r="G1512" s="967" t="n">
        <f aca="false">IF(F1512&gt;0,D1512*F1512,E1512*D1512)</f>
        <v>0</v>
      </c>
      <c r="H1512" s="970" t="n">
        <f aca="false">D1512*E1512*$H$1500</f>
        <v>0</v>
      </c>
      <c r="I1512" s="936" t="n">
        <f aca="false">IF(G1512&gt;H1512,G1512,H1512)*$H$1451</f>
        <v>0</v>
      </c>
      <c r="J1512" s="931"/>
      <c r="L1512" s="926"/>
      <c r="M1512" s="926"/>
      <c r="N1512" s="926"/>
      <c r="O1512" s="926"/>
    </row>
    <row r="1513" customFormat="false" ht="15.75" hidden="true" customHeight="false" outlineLevel="0" collapsed="false">
      <c r="A1513" s="937"/>
      <c r="B1513" s="995" t="str">
        <f aca="false">крыша!G588</f>
        <v>Монтаж фанеры/osb</v>
      </c>
      <c r="C1513" s="993" t="str">
        <f aca="false">крыша!I588</f>
        <v>м2</v>
      </c>
      <c r="D1513" s="992" t="n">
        <f aca="false">крыша!J588</f>
        <v>0</v>
      </c>
      <c r="E1513" s="1010" t="n">
        <f aca="false">крыша!K588</f>
        <v>200</v>
      </c>
      <c r="F1513" s="1010"/>
      <c r="G1513" s="967" t="n">
        <f aca="false">IF(F1513&gt;0,D1513*F1513,E1513*D1513)</f>
        <v>0</v>
      </c>
      <c r="H1513" s="970" t="n">
        <f aca="false">D1513*E1513*$H$1500</f>
        <v>0</v>
      </c>
      <c r="I1513" s="936" t="n">
        <f aca="false">IF(G1513&gt;H1513,G1513,H1513)*$H$1451</f>
        <v>0</v>
      </c>
      <c r="J1513" s="931"/>
      <c r="L1513" s="926"/>
      <c r="M1513" s="926"/>
      <c r="N1513" s="926"/>
      <c r="O1513" s="926"/>
    </row>
    <row r="1514" customFormat="false" ht="15.75" hidden="true" customHeight="false" outlineLevel="0" collapsed="false">
      <c r="A1514" s="937"/>
      <c r="B1514" s="995" t="str">
        <f aca="false">крыша!G589</f>
        <v>монтаж подкладочного ковра</v>
      </c>
      <c r="C1514" s="993" t="str">
        <f aca="false">крыша!I589</f>
        <v>м2</v>
      </c>
      <c r="D1514" s="992" t="n">
        <f aca="false">крыша!J589</f>
        <v>0</v>
      </c>
      <c r="E1514" s="1010" t="n">
        <f aca="false">крыша!K589</f>
        <v>150</v>
      </c>
      <c r="F1514" s="1010"/>
      <c r="G1514" s="967" t="n">
        <f aca="false">IF(F1514&gt;0,D1514*F1514,E1514*D1514)</f>
        <v>0</v>
      </c>
      <c r="H1514" s="970" t="n">
        <f aca="false">D1514*E1514*$H$1500</f>
        <v>0</v>
      </c>
      <c r="I1514" s="936" t="n">
        <f aca="false">IF(G1514&gt;H1514,G1514,H1514)*$H$1451</f>
        <v>0</v>
      </c>
      <c r="J1514" s="931"/>
      <c r="L1514" s="926"/>
      <c r="M1514" s="926"/>
      <c r="N1514" s="926"/>
      <c r="O1514" s="926"/>
    </row>
    <row r="1515" customFormat="false" ht="15.75" hidden="true" customHeight="false" outlineLevel="0" collapsed="false">
      <c r="A1515" s="937"/>
      <c r="B1515" s="995" t="str">
        <f aca="false">крыша!G590</f>
        <v>Монтаж мягкой кровли</v>
      </c>
      <c r="C1515" s="993" t="str">
        <f aca="false">крыша!I590</f>
        <v>м2</v>
      </c>
      <c r="D1515" s="992" t="n">
        <f aca="false">крыша!J590</f>
        <v>0</v>
      </c>
      <c r="E1515" s="1010" t="n">
        <f aca="false">крыша!K590</f>
        <v>350</v>
      </c>
      <c r="F1515" s="1010"/>
      <c r="G1515" s="967" t="n">
        <f aca="false">IF(F1515&gt;0,D1515*F1515,E1515*D1515)</f>
        <v>0</v>
      </c>
      <c r="H1515" s="970" t="n">
        <f aca="false">D1515*E1515*$H$1500</f>
        <v>0</v>
      </c>
      <c r="I1515" s="936" t="n">
        <f aca="false">IF(G1515&gt;H1515,G1515,H1515)*$H$1451</f>
        <v>0</v>
      </c>
      <c r="J1515" s="931"/>
      <c r="L1515" s="926"/>
      <c r="M1515" s="926"/>
      <c r="N1515" s="926"/>
      <c r="O1515" s="926"/>
    </row>
    <row r="1516" customFormat="false" ht="15.75" hidden="true" customHeight="false" outlineLevel="0" collapsed="false">
      <c r="A1516" s="937"/>
      <c r="B1516" s="973" t="s">
        <v>2248</v>
      </c>
      <c r="C1516" s="973"/>
      <c r="D1516" s="973"/>
      <c r="E1516" s="973"/>
      <c r="F1516" s="973"/>
      <c r="G1516" s="970" t="n">
        <f aca="false">SUM(G1501:G1515)*H1500</f>
        <v>0</v>
      </c>
      <c r="H1516" s="970" t="n">
        <f aca="false">SUM(H1501:H1515)</f>
        <v>0</v>
      </c>
      <c r="I1516" s="936" t="n">
        <f aca="false">IF(G1516&gt;H1516,G1516,H1516)*$H$1451</f>
        <v>0</v>
      </c>
      <c r="J1516" s="931"/>
      <c r="K1516" s="937"/>
    </row>
    <row r="1517" customFormat="false" ht="21" hidden="true" customHeight="false" outlineLevel="0" collapsed="false">
      <c r="A1517" s="937"/>
      <c r="B1517" s="989" t="s">
        <v>2274</v>
      </c>
      <c r="C1517" s="989"/>
      <c r="D1517" s="989"/>
      <c r="E1517" s="989"/>
      <c r="F1517" s="1012"/>
      <c r="G1517" s="977"/>
      <c r="H1517" s="982" t="n">
        <f aca="false">дома!D2019*дома!G2093</f>
        <v>0</v>
      </c>
      <c r="I1517" s="1026" t="n">
        <f aca="false">H1517</f>
        <v>0</v>
      </c>
      <c r="J1517" s="931"/>
      <c r="K1517" s="937"/>
    </row>
    <row r="1518" customFormat="false" ht="15.75" hidden="true" customHeight="false" outlineLevel="0" collapsed="false">
      <c r="A1518" s="931"/>
      <c r="B1518" s="1008" t="s">
        <v>2246</v>
      </c>
      <c r="C1518" s="1008"/>
      <c r="D1518" s="1008"/>
      <c r="E1518" s="1008"/>
      <c r="F1518" s="1013"/>
      <c r="G1518" s="977"/>
      <c r="H1518" s="1009" t="n">
        <f aca="false">H1517</f>
        <v>0</v>
      </c>
      <c r="I1518" s="1026" t="n">
        <f aca="false">H1518</f>
        <v>0</v>
      </c>
      <c r="J1518" s="931"/>
      <c r="K1518" s="937"/>
    </row>
    <row r="1519" customFormat="false" ht="15.75" hidden="true" customHeight="false" outlineLevel="0" collapsed="false">
      <c r="A1519" s="937"/>
      <c r="B1519" s="967" t="str">
        <f aca="false">дома!A2136</f>
        <v>Доска сухая, 200*50мм</v>
      </c>
      <c r="C1519" s="968" t="str">
        <f aca="false">дома!B2136</f>
        <v>м3</v>
      </c>
      <c r="D1519" s="967" t="n">
        <f aca="false">дома!C2136</f>
        <v>0</v>
      </c>
      <c r="E1519" s="986" t="n">
        <f aca="false">дома!D2136</f>
        <v>9000</v>
      </c>
      <c r="F1519" s="986"/>
      <c r="G1519" s="967" t="n">
        <f aca="false">IF(F1519&gt;0,D1519*F1519,E1519*D1519)</f>
        <v>0</v>
      </c>
      <c r="H1519" s="970" t="n">
        <f aca="false">D1519*E1519*$H$1518</f>
        <v>0</v>
      </c>
      <c r="I1519" s="936" t="n">
        <f aca="false">IF(G1519&gt;H1519,G1519,H1519)*$H$1517</f>
        <v>0</v>
      </c>
      <c r="J1519" s="931"/>
      <c r="K1519" s="937"/>
    </row>
    <row r="1520" customFormat="false" ht="15.75" hidden="true" customHeight="false" outlineLevel="0" collapsed="false">
      <c r="A1520" s="937"/>
      <c r="B1520" s="967" t="str">
        <f aca="false">дома!A2137</f>
        <v>Сосна влаж,100*25мм</v>
      </c>
      <c r="C1520" s="968" t="str">
        <f aca="false">дома!B2137</f>
        <v>м3</v>
      </c>
      <c r="D1520" s="967" t="n">
        <f aca="false">дома!C2137</f>
        <v>0</v>
      </c>
      <c r="E1520" s="986" t="n">
        <f aca="false">дома!D2137</f>
        <v>6500</v>
      </c>
      <c r="F1520" s="986"/>
      <c r="G1520" s="967" t="n">
        <f aca="false">IF(F1520&gt;0,D1520*F1520,E1520*D1520)</f>
        <v>0</v>
      </c>
      <c r="H1520" s="970" t="n">
        <f aca="false">D1520*E1520*$H$1518</f>
        <v>0</v>
      </c>
      <c r="I1520" s="936" t="n">
        <f aca="false">IF(G1520&gt;H1520,G1520,H1520)*$H$1517</f>
        <v>0</v>
      </c>
      <c r="J1520" s="931"/>
      <c r="K1520" s="937"/>
    </row>
    <row r="1521" customFormat="false" ht="15.75" hidden="true" customHeight="false" outlineLevel="0" collapsed="false">
      <c r="A1521" s="937"/>
      <c r="B1521" s="967" t="str">
        <f aca="false">дома!A2138</f>
        <v>Доска сухая, калибр., 35*45мм</v>
      </c>
      <c r="C1521" s="968" t="str">
        <f aca="false">дома!B2138</f>
        <v>шт</v>
      </c>
      <c r="D1521" s="967" t="n">
        <f aca="false">дома!C2138</f>
        <v>0</v>
      </c>
      <c r="E1521" s="986" t="n">
        <f aca="false">дома!D2138</f>
        <v>12500</v>
      </c>
      <c r="F1521" s="986"/>
      <c r="G1521" s="967" t="n">
        <f aca="false">IF(F1521&gt;0,D1521*F1521,E1521*D1521)</f>
        <v>0</v>
      </c>
      <c r="H1521" s="970" t="n">
        <f aca="false">D1521*E1521*$H$1518</f>
        <v>0</v>
      </c>
      <c r="I1521" s="936" t="n">
        <f aca="false">IF(G1521&gt;H1521,G1521,H1521)*$H$1517</f>
        <v>0</v>
      </c>
      <c r="J1521" s="931"/>
      <c r="K1521" s="937"/>
    </row>
    <row r="1522" customFormat="false" ht="15.75" hidden="true" customHeight="false" outlineLevel="0" collapsed="false">
      <c r="A1522" s="937"/>
      <c r="B1522" s="967" t="str">
        <f aca="false">дома!A2139</f>
        <v>нет ветроизоляции</v>
      </c>
      <c r="C1522" s="968" t="str">
        <f aca="false">дома!B2139</f>
        <v>м2</v>
      </c>
      <c r="D1522" s="967" t="n">
        <f aca="false">дома!C2139</f>
        <v>0</v>
      </c>
      <c r="E1522" s="967" t="n">
        <f aca="false">дома!D2139</f>
        <v>0</v>
      </c>
      <c r="F1522" s="967"/>
      <c r="G1522" s="967" t="n">
        <f aca="false">IF(F1522&gt;0,D1522*F1522,E1522*D1522)</f>
        <v>0</v>
      </c>
      <c r="H1522" s="970" t="n">
        <f aca="false">D1522*E1522*$H$1518</f>
        <v>0</v>
      </c>
      <c r="I1522" s="936" t="n">
        <f aca="false">IF(G1522&gt;H1522,G1522,H1522)*$H$1517</f>
        <v>0</v>
      </c>
      <c r="J1522" s="931"/>
      <c r="K1522" s="937"/>
    </row>
    <row r="1523" customFormat="false" ht="15.75" hidden="true" customHeight="false" outlineLevel="0" collapsed="false">
      <c r="A1523" s="937"/>
      <c r="B1523" s="967" t="str">
        <f aca="false">дома!A2140</f>
        <v>металлочерепица</v>
      </c>
      <c r="C1523" s="968" t="str">
        <f aca="false">дома!B2140</f>
        <v>м2</v>
      </c>
      <c r="D1523" s="967" t="n">
        <f aca="false">дома!C2140</f>
        <v>0</v>
      </c>
      <c r="E1523" s="986" t="n">
        <f aca="false">дома!D2140</f>
        <v>250</v>
      </c>
      <c r="F1523" s="986"/>
      <c r="G1523" s="967" t="n">
        <f aca="false">IF(F1523&gt;0,D1523*F1523,E1523*D1523)</f>
        <v>0</v>
      </c>
      <c r="H1523" s="970" t="n">
        <f aca="false">D1523*E1523*$H$1518</f>
        <v>0</v>
      </c>
      <c r="I1523" s="936" t="n">
        <f aca="false">IF(G1523&gt;H1523,G1523,H1523)*$H$1517</f>
        <v>0</v>
      </c>
      <c r="J1523" s="931"/>
      <c r="K1523" s="937"/>
    </row>
    <row r="1524" customFormat="false" ht="15.75" hidden="true" customHeight="false" outlineLevel="0" collapsed="false">
      <c r="A1524" s="937"/>
      <c r="B1524" s="967" t="str">
        <f aca="false">дома!A2141</f>
        <v>карнизная планка</v>
      </c>
      <c r="C1524" s="968" t="str">
        <f aca="false">дома!B2141</f>
        <v>м.п.</v>
      </c>
      <c r="D1524" s="967" t="n">
        <f aca="false">дома!C2141</f>
        <v>0</v>
      </c>
      <c r="E1524" s="986" t="n">
        <f aca="false">дома!D2141</f>
        <v>200</v>
      </c>
      <c r="F1524" s="986"/>
      <c r="G1524" s="967" t="n">
        <f aca="false">IF(F1524&gt;0,D1524*F1524,E1524*D1524)</f>
        <v>0</v>
      </c>
      <c r="H1524" s="970" t="n">
        <f aca="false">D1524*E1524*$H$1518</f>
        <v>0</v>
      </c>
      <c r="I1524" s="936" t="n">
        <f aca="false">IF(G1524&gt;H1524,G1524,H1524)*$H$1517</f>
        <v>0</v>
      </c>
      <c r="J1524" s="931"/>
      <c r="K1524" s="937"/>
    </row>
    <row r="1525" customFormat="false" ht="15.75" hidden="true" customHeight="false" outlineLevel="0" collapsed="false">
      <c r="A1525" s="937"/>
      <c r="B1525" s="967" t="str">
        <f aca="false">дома!A2142</f>
        <v>торцевая планка</v>
      </c>
      <c r="C1525" s="968" t="str">
        <f aca="false">дома!B2142</f>
        <v>м.п.</v>
      </c>
      <c r="D1525" s="967" t="n">
        <f aca="false">дома!C2142</f>
        <v>0</v>
      </c>
      <c r="E1525" s="986" t="n">
        <f aca="false">дома!D2142</f>
        <v>200</v>
      </c>
      <c r="F1525" s="986"/>
      <c r="G1525" s="967" t="n">
        <f aca="false">IF(F1525&gt;0,D1525*F1525,E1525*D1525)</f>
        <v>0</v>
      </c>
      <c r="H1525" s="970" t="n">
        <f aca="false">D1525*E1525*$H$1518</f>
        <v>0</v>
      </c>
      <c r="I1525" s="936" t="n">
        <f aca="false">IF(G1525&gt;H1525,G1525,H1525)*$H$1517</f>
        <v>0</v>
      </c>
      <c r="J1525" s="931"/>
      <c r="K1525" s="937"/>
    </row>
    <row r="1526" customFormat="false" ht="15.75" hidden="true" customHeight="false" outlineLevel="0" collapsed="false">
      <c r="A1526" s="937"/>
      <c r="B1526" s="967" t="str">
        <f aca="false">дома!A2143</f>
        <v>конек</v>
      </c>
      <c r="C1526" s="968" t="str">
        <f aca="false">дома!B2143</f>
        <v>м.п.</v>
      </c>
      <c r="D1526" s="967" t="n">
        <f aca="false">дома!C2143</f>
        <v>0</v>
      </c>
      <c r="E1526" s="986" t="n">
        <f aca="false">дома!D2143</f>
        <v>230</v>
      </c>
      <c r="F1526" s="986"/>
      <c r="G1526" s="967" t="n">
        <f aca="false">IF(F1526&gt;0,D1526*F1526,E1526*D1526)</f>
        <v>0</v>
      </c>
      <c r="H1526" s="970" t="n">
        <f aca="false">D1526*E1526*$H$1518</f>
        <v>0</v>
      </c>
      <c r="I1526" s="936" t="n">
        <f aca="false">IF(G1526&gt;H1526,G1526,H1526)*$H$1517</f>
        <v>0</v>
      </c>
      <c r="J1526" s="931"/>
      <c r="K1526" s="937"/>
    </row>
    <row r="1527" customFormat="false" ht="15.75" hidden="true" customHeight="false" outlineLevel="0" collapsed="false">
      <c r="A1527" s="937"/>
      <c r="B1527" s="967" t="str">
        <f aca="false">дома!A2144</f>
        <v>ондулин</v>
      </c>
      <c r="C1527" s="968" t="str">
        <f aca="false">дома!B2144</f>
        <v>м2</v>
      </c>
      <c r="D1527" s="967" t="n">
        <f aca="false">дома!C2144</f>
        <v>0</v>
      </c>
      <c r="E1527" s="967" t="n">
        <f aca="false">дома!D2144</f>
        <v>180</v>
      </c>
      <c r="F1527" s="967"/>
      <c r="G1527" s="967" t="n">
        <f aca="false">IF(F1527&gt;0,D1527*F1527,E1527*D1527)</f>
        <v>0</v>
      </c>
      <c r="H1527" s="970" t="n">
        <f aca="false">D1527*E1527*$H$1518</f>
        <v>0</v>
      </c>
      <c r="I1527" s="936" t="n">
        <f aca="false">IF(G1527&gt;H1527,G1527,H1527)*$H$1517</f>
        <v>0</v>
      </c>
      <c r="J1527" s="931"/>
      <c r="K1527" s="937"/>
    </row>
    <row r="1528" customFormat="false" ht="15.75" hidden="true" customHeight="false" outlineLevel="0" collapsed="false">
      <c r="A1528" s="937"/>
      <c r="B1528" s="967" t="str">
        <f aca="false">дома!A2145</f>
        <v>Карнизная планка</v>
      </c>
      <c r="C1528" s="968" t="str">
        <f aca="false">дома!B2145</f>
        <v>м.п.</v>
      </c>
      <c r="D1528" s="967" t="n">
        <f aca="false">дома!C2145</f>
        <v>0</v>
      </c>
      <c r="E1528" s="967" t="n">
        <f aca="false">дома!D2145</f>
        <v>190</v>
      </c>
      <c r="F1528" s="967"/>
      <c r="G1528" s="967" t="n">
        <f aca="false">IF(F1528&gt;0,D1528*F1528,E1528*D1528)</f>
        <v>0</v>
      </c>
      <c r="H1528" s="970" t="n">
        <f aca="false">D1528*E1528*$H$1518</f>
        <v>0</v>
      </c>
      <c r="I1528" s="936" t="n">
        <f aca="false">IF(G1528&gt;H1528,G1528,H1528)*$H$1517</f>
        <v>0</v>
      </c>
      <c r="J1528" s="931"/>
      <c r="K1528" s="937"/>
    </row>
    <row r="1529" customFormat="false" ht="15.75" hidden="true" customHeight="false" outlineLevel="0" collapsed="false">
      <c r="A1529" s="937"/>
      <c r="B1529" s="967" t="str">
        <f aca="false">дома!A2146</f>
        <v>Торцевая планка</v>
      </c>
      <c r="C1529" s="968" t="str">
        <f aca="false">дома!B2146</f>
        <v>м.п.</v>
      </c>
      <c r="D1529" s="967" t="n">
        <f aca="false">дома!C2146</f>
        <v>0</v>
      </c>
      <c r="E1529" s="967" t="n">
        <f aca="false">дома!D2146</f>
        <v>190</v>
      </c>
      <c r="F1529" s="967"/>
      <c r="G1529" s="967" t="n">
        <f aca="false">IF(F1529&gt;0,D1529*F1529,E1529*D1529)</f>
        <v>0</v>
      </c>
      <c r="H1529" s="970" t="n">
        <f aca="false">D1529*E1529*$H$1518</f>
        <v>0</v>
      </c>
      <c r="I1529" s="936" t="n">
        <f aca="false">IF(G1529&gt;H1529,G1529,H1529)*$H$1517</f>
        <v>0</v>
      </c>
      <c r="J1529" s="931"/>
      <c r="K1529" s="937"/>
    </row>
    <row r="1530" customFormat="false" ht="15.75" hidden="true" customHeight="false" outlineLevel="0" collapsed="false">
      <c r="A1530" s="937"/>
      <c r="B1530" s="967" t="str">
        <f aca="false">дома!A2147</f>
        <v>Конек</v>
      </c>
      <c r="C1530" s="968" t="str">
        <f aca="false">дома!B2147</f>
        <v>м.п.</v>
      </c>
      <c r="D1530" s="967" t="n">
        <f aca="false">дома!C2147</f>
        <v>0</v>
      </c>
      <c r="E1530" s="967" t="n">
        <f aca="false">дома!D2147</f>
        <v>200</v>
      </c>
      <c r="F1530" s="967"/>
      <c r="G1530" s="967" t="n">
        <f aca="false">IF(F1530&gt;0,D1530*F1530,E1530*D1530)</f>
        <v>0</v>
      </c>
      <c r="H1530" s="970" t="n">
        <f aca="false">D1530*E1530*$H$1518</f>
        <v>0</v>
      </c>
      <c r="I1530" s="936" t="n">
        <f aca="false">IF(G1530&gt;H1530,G1530,H1530)*$H$1517</f>
        <v>0</v>
      </c>
      <c r="J1530" s="931"/>
      <c r="K1530" s="937"/>
    </row>
    <row r="1531" customFormat="false" ht="15.75" hidden="true" customHeight="false" outlineLevel="0" collapsed="false">
      <c r="A1531" s="937"/>
      <c r="B1531" s="967" t="str">
        <f aca="false">дома!A2148</f>
        <v>Ендова нижняя</v>
      </c>
      <c r="C1531" s="968" t="str">
        <f aca="false">дома!B2148</f>
        <v>м.п.</v>
      </c>
      <c r="D1531" s="967" t="n">
        <f aca="false">дома!C2148</f>
        <v>0</v>
      </c>
      <c r="E1531" s="967" t="n">
        <f aca="false">дома!D2148</f>
        <v>160</v>
      </c>
      <c r="F1531" s="967"/>
      <c r="G1531" s="967" t="n">
        <f aca="false">IF(F1531&gt;0,D1531*F1531,E1531*D1531)</f>
        <v>0</v>
      </c>
      <c r="H1531" s="970" t="n">
        <f aca="false">D1531*E1531*$H$1518</f>
        <v>0</v>
      </c>
      <c r="I1531" s="936" t="n">
        <f aca="false">IF(G1531&gt;H1531,G1531,H1531)*$H$1517</f>
        <v>0</v>
      </c>
      <c r="J1531" s="931"/>
      <c r="K1531" s="937"/>
    </row>
    <row r="1532" customFormat="false" ht="15.75" hidden="true" customHeight="false" outlineLevel="0" collapsed="false">
      <c r="A1532" s="937"/>
      <c r="B1532" s="967" t="str">
        <f aca="false">дома!A2149</f>
        <v>Ендова верхняя</v>
      </c>
      <c r="C1532" s="968" t="str">
        <f aca="false">дома!B2149</f>
        <v>м.п.</v>
      </c>
      <c r="D1532" s="967" t="n">
        <f aca="false">дома!C2149</f>
        <v>0</v>
      </c>
      <c r="E1532" s="967" t="n">
        <f aca="false">дома!D2149</f>
        <v>190</v>
      </c>
      <c r="F1532" s="967"/>
      <c r="G1532" s="967" t="n">
        <f aca="false">IF(F1532&gt;0,D1532*F1532,E1532*D1532)</f>
        <v>0</v>
      </c>
      <c r="H1532" s="970" t="n">
        <f aca="false">D1532*E1532*$H$1518</f>
        <v>0</v>
      </c>
      <c r="I1532" s="936" t="n">
        <f aca="false">IF(G1532&gt;H1532,G1532,H1532)*$H$1517</f>
        <v>0</v>
      </c>
      <c r="J1532" s="931"/>
      <c r="K1532" s="937"/>
    </row>
    <row r="1533" customFormat="false" ht="15.75" hidden="true" customHeight="false" outlineLevel="0" collapsed="false">
      <c r="A1533" s="937"/>
      <c r="B1533" s="967" t="str">
        <f aca="false">дома!A2150</f>
        <v>Планка примыкания</v>
      </c>
      <c r="C1533" s="968" t="str">
        <f aca="false">дома!B2150</f>
        <v>м.п.</v>
      </c>
      <c r="D1533" s="967" t="n">
        <f aca="false">дома!C2150</f>
        <v>0</v>
      </c>
      <c r="E1533" s="967" t="n">
        <f aca="false">дома!D2150</f>
        <v>190</v>
      </c>
      <c r="F1533" s="967"/>
      <c r="G1533" s="967" t="n">
        <f aca="false">IF(F1533&gt;0,D1533*F1533,E1533*D1533)</f>
        <v>0</v>
      </c>
      <c r="H1533" s="970" t="n">
        <f aca="false">D1533*E1533*$H$1518</f>
        <v>0</v>
      </c>
      <c r="I1533" s="936" t="n">
        <f aca="false">IF(G1533&gt;H1533,G1533,H1533)*$H$1517</f>
        <v>0</v>
      </c>
      <c r="J1533" s="931"/>
      <c r="K1533" s="937"/>
    </row>
    <row r="1534" customFormat="false" ht="15.75" hidden="true" customHeight="false" outlineLevel="0" collapsed="false">
      <c r="A1534" s="937"/>
      <c r="B1534" s="967" t="str">
        <f aca="false">дома!A2151</f>
        <v>Крепеж для ондулина</v>
      </c>
      <c r="C1534" s="968" t="str">
        <f aca="false">дома!B2151</f>
        <v>шт</v>
      </c>
      <c r="D1534" s="967" t="n">
        <f aca="false">дома!C2151</f>
        <v>0</v>
      </c>
      <c r="E1534" s="967" t="n">
        <f aca="false">дома!D2151</f>
        <v>4.5</v>
      </c>
      <c r="F1534" s="967"/>
      <c r="G1534" s="967" t="n">
        <f aca="false">IF(F1534&gt;0,D1534*F1534,E1534*D1534)</f>
        <v>0</v>
      </c>
      <c r="H1534" s="970" t="n">
        <f aca="false">D1534*E1534*$H$1518</f>
        <v>0</v>
      </c>
      <c r="I1534" s="936" t="n">
        <f aca="false">IF(G1534&gt;H1534,G1534,H1534)*$H$1517</f>
        <v>0</v>
      </c>
      <c r="J1534" s="931"/>
      <c r="K1534" s="937"/>
    </row>
    <row r="1535" customFormat="false" ht="15.75" hidden="true" customHeight="false" outlineLevel="0" collapsed="false">
      <c r="A1535" s="937"/>
      <c r="B1535" s="967" t="str">
        <f aca="false">дома!A2152</f>
        <v>нет</v>
      </c>
      <c r="C1535" s="968" t="str">
        <f aca="false">дома!B2152</f>
        <v>м2</v>
      </c>
      <c r="D1535" s="967" t="n">
        <f aca="false">дома!C2152</f>
        <v>21.4120474499754</v>
      </c>
      <c r="E1535" s="967" t="n">
        <f aca="false">дома!D2152</f>
        <v>0</v>
      </c>
      <c r="F1535" s="967"/>
      <c r="G1535" s="967" t="n">
        <f aca="false">IF(F1535&gt;0,D1535*F1535,E1535*D1535)</f>
        <v>0</v>
      </c>
      <c r="H1535" s="970" t="n">
        <f aca="false">D1535*E1535*$H$1518</f>
        <v>0</v>
      </c>
      <c r="I1535" s="936" t="n">
        <f aca="false">IF(G1535&gt;H1535,G1535,H1535)*$H$1517</f>
        <v>0</v>
      </c>
      <c r="J1535" s="931"/>
      <c r="K1535" s="937"/>
    </row>
    <row r="1536" customFormat="false" ht="15.75" hidden="true" customHeight="false" outlineLevel="0" collapsed="false">
      <c r="A1536" s="937"/>
      <c r="B1536" s="967" t="str">
        <f aca="false">дома!A2153</f>
        <v>Рядовая черепица</v>
      </c>
      <c r="C1536" s="968" t="str">
        <f aca="false">дома!B2153</f>
        <v>м2</v>
      </c>
      <c r="D1536" s="967" t="n">
        <f aca="false">дома!C2153</f>
        <v>0</v>
      </c>
      <c r="E1536" s="967" t="n">
        <f aca="false">дома!D2153</f>
        <v>360</v>
      </c>
      <c r="F1536" s="967"/>
      <c r="G1536" s="967" t="n">
        <f aca="false">IF(F1536&gt;0,D1536*F1536,E1536*D1536)</f>
        <v>0</v>
      </c>
      <c r="H1536" s="970" t="n">
        <f aca="false">D1536*E1536*$H$1518</f>
        <v>0</v>
      </c>
      <c r="I1536" s="936" t="n">
        <f aca="false">IF(G1536&gt;H1536,G1536,H1536)*$H$1517</f>
        <v>0</v>
      </c>
      <c r="J1536" s="931"/>
      <c r="K1536" s="937"/>
    </row>
    <row r="1537" customFormat="false" ht="15.75" hidden="true" customHeight="false" outlineLevel="0" collapsed="false">
      <c r="A1537" s="937"/>
      <c r="B1537" s="967" t="str">
        <f aca="false">дома!A2154</f>
        <v>Металл оцинк защита (карниз)</v>
      </c>
      <c r="C1537" s="968" t="str">
        <f aca="false">дома!B2154</f>
        <v>м.п.</v>
      </c>
      <c r="D1537" s="967" t="n">
        <f aca="false">дома!C2154</f>
        <v>0</v>
      </c>
      <c r="E1537" s="967" t="n">
        <f aca="false">дома!D2154</f>
        <v>200</v>
      </c>
      <c r="F1537" s="967"/>
      <c r="G1537" s="967" t="n">
        <f aca="false">IF(F1537&gt;0,D1537*F1537,E1537*D1537)</f>
        <v>0</v>
      </c>
      <c r="H1537" s="970" t="n">
        <f aca="false">D1537*E1537*$H$1518</f>
        <v>0</v>
      </c>
      <c r="I1537" s="936" t="n">
        <f aca="false">IF(G1537&gt;H1537,G1537,H1537)*$H$1517</f>
        <v>0</v>
      </c>
      <c r="J1537" s="931"/>
      <c r="K1537" s="937"/>
    </row>
    <row r="1538" customFormat="false" ht="15.75" hidden="true" customHeight="false" outlineLevel="0" collapsed="false">
      <c r="A1538" s="937"/>
      <c r="B1538" s="967" t="str">
        <f aca="false">дома!A2155</f>
        <v>Подкладочный ковер</v>
      </c>
      <c r="C1538" s="968" t="str">
        <f aca="false">дома!B2155</f>
        <v>м.п.</v>
      </c>
      <c r="D1538" s="967" t="n">
        <f aca="false">дома!C2155</f>
        <v>0</v>
      </c>
      <c r="E1538" s="967" t="n">
        <f aca="false">дома!D2155</f>
        <v>220</v>
      </c>
      <c r="F1538" s="967"/>
      <c r="G1538" s="967" t="n">
        <f aca="false">IF(F1538&gt;0,D1538*F1538,E1538*D1538)</f>
        <v>0</v>
      </c>
      <c r="H1538" s="970" t="n">
        <f aca="false">D1538*E1538*$H$1518</f>
        <v>0</v>
      </c>
      <c r="I1538" s="936" t="n">
        <f aca="false">IF(G1538&gt;H1538,G1538,H1538)*$H$1517</f>
        <v>0</v>
      </c>
      <c r="J1538" s="931"/>
      <c r="K1538" s="937"/>
    </row>
    <row r="1539" customFormat="false" ht="15.75" hidden="true" customHeight="false" outlineLevel="0" collapsed="false">
      <c r="A1539" s="937"/>
      <c r="B1539" s="967" t="str">
        <f aca="false">дома!A2156</f>
        <v>Карнизная самоклеющаяся черепица</v>
      </c>
      <c r="C1539" s="968" t="str">
        <f aca="false">дома!B2156</f>
        <v>м.п.</v>
      </c>
      <c r="D1539" s="967" t="n">
        <f aca="false">дома!C2156</f>
        <v>0</v>
      </c>
      <c r="E1539" s="967" t="n">
        <f aca="false">дома!D2156</f>
        <v>220</v>
      </c>
      <c r="F1539" s="967"/>
      <c r="G1539" s="967" t="n">
        <f aca="false">IF(F1539&gt;0,D1539*F1539,E1539*D1539)</f>
        <v>0</v>
      </c>
      <c r="H1539" s="970" t="n">
        <f aca="false">D1539*E1539*$H$1518</f>
        <v>0</v>
      </c>
      <c r="I1539" s="936" t="n">
        <f aca="false">IF(G1539&gt;H1539,G1539,H1539)*$H$1517</f>
        <v>0</v>
      </c>
      <c r="J1539" s="931"/>
      <c r="K1539" s="937"/>
    </row>
    <row r="1540" customFormat="false" ht="15.75" hidden="true" customHeight="false" outlineLevel="0" collapsed="false">
      <c r="A1540" s="937"/>
      <c r="B1540" s="967" t="str">
        <f aca="false">дома!A2157</f>
        <v>Спец ковер ендова нижняя</v>
      </c>
      <c r="C1540" s="968" t="str">
        <f aca="false">дома!B2157</f>
        <v>м.п.</v>
      </c>
      <c r="D1540" s="967" t="n">
        <f aca="false">дома!C2157</f>
        <v>0</v>
      </c>
      <c r="E1540" s="967" t="n">
        <f aca="false">дома!D2157</f>
        <v>200</v>
      </c>
      <c r="F1540" s="967"/>
      <c r="G1540" s="967" t="n">
        <f aca="false">IF(F1540&gt;0,D1540*F1540,E1540*D1540)</f>
        <v>0</v>
      </c>
      <c r="H1540" s="970" t="n">
        <f aca="false">D1540*E1540*$H$1518</f>
        <v>0</v>
      </c>
      <c r="I1540" s="936" t="n">
        <f aca="false">IF(G1540&gt;H1540,G1540,H1540)*$H$1517</f>
        <v>0</v>
      </c>
      <c r="J1540" s="931"/>
      <c r="K1540" s="937"/>
    </row>
    <row r="1541" customFormat="false" ht="15.75" hidden="true" customHeight="false" outlineLevel="0" collapsed="false">
      <c r="A1541" s="937"/>
      <c r="B1541" s="967" t="str">
        <f aca="false">дома!A2158</f>
        <v>Коньковой элемент</v>
      </c>
      <c r="C1541" s="968" t="str">
        <f aca="false">дома!B2158</f>
        <v>м.п.</v>
      </c>
      <c r="D1541" s="967" t="n">
        <f aca="false">дома!C2158</f>
        <v>0</v>
      </c>
      <c r="E1541" s="967" t="n">
        <f aca="false">дома!D2158</f>
        <v>250</v>
      </c>
      <c r="F1541" s="967"/>
      <c r="G1541" s="967" t="n">
        <f aca="false">IF(F1541&gt;0,D1541*F1541,E1541*D1541)</f>
        <v>0</v>
      </c>
      <c r="H1541" s="970" t="n">
        <f aca="false">D1541*E1541*$H$1518</f>
        <v>0</v>
      </c>
      <c r="I1541" s="936" t="n">
        <f aca="false">IF(G1541&gt;H1541,G1541,H1541)*$H$1517</f>
        <v>0</v>
      </c>
      <c r="J1541" s="931"/>
      <c r="K1541" s="937"/>
    </row>
    <row r="1542" customFormat="false" ht="15.75" hidden="true" customHeight="false" outlineLevel="0" collapsed="false">
      <c r="A1542" s="937"/>
      <c r="B1542" s="967" t="str">
        <f aca="false">дома!A2159</f>
        <v>Планка премыкания</v>
      </c>
      <c r="C1542" s="968" t="str">
        <f aca="false">дома!B2159</f>
        <v>м.п.</v>
      </c>
      <c r="D1542" s="967" t="n">
        <f aca="false">дома!C2159</f>
        <v>0</v>
      </c>
      <c r="E1542" s="967" t="n">
        <f aca="false">дома!D2159</f>
        <v>200</v>
      </c>
      <c r="F1542" s="967"/>
      <c r="G1542" s="967" t="n">
        <f aca="false">IF(F1542&gt;0,D1542*F1542,E1542*D1542)</f>
        <v>0</v>
      </c>
      <c r="H1542" s="970" t="n">
        <f aca="false">D1542*E1542*$H$1518</f>
        <v>0</v>
      </c>
      <c r="I1542" s="936" t="n">
        <f aca="false">IF(G1542&gt;H1542,G1542,H1542)*$H$1517</f>
        <v>0</v>
      </c>
      <c r="J1542" s="931"/>
      <c r="K1542" s="937"/>
    </row>
    <row r="1543" customFormat="false" ht="15.75" hidden="true" customHeight="false" outlineLevel="0" collapsed="false">
      <c r="A1543" s="937"/>
      <c r="B1543" s="967" t="str">
        <f aca="false">дома!A2160</f>
        <v>Гвозди для крепления подкладочного ковра</v>
      </c>
      <c r="C1543" s="968" t="str">
        <f aca="false">дома!B2160</f>
        <v>шт</v>
      </c>
      <c r="D1543" s="967" t="n">
        <f aca="false">дома!C2160</f>
        <v>0</v>
      </c>
      <c r="E1543" s="967" t="n">
        <f aca="false">дома!D2160</f>
        <v>0.012</v>
      </c>
      <c r="F1543" s="967"/>
      <c r="G1543" s="967" t="n">
        <f aca="false">IF(F1543&gt;0,D1543*F1543,E1543*D1543)</f>
        <v>0</v>
      </c>
      <c r="H1543" s="970" t="n">
        <f aca="false">D1543*E1543*$H$1518</f>
        <v>0</v>
      </c>
      <c r="I1543" s="936" t="n">
        <f aca="false">IF(G1543&gt;H1543,G1543,H1543)*$H$1517</f>
        <v>0</v>
      </c>
      <c r="J1543" s="931"/>
      <c r="K1543" s="937"/>
    </row>
    <row r="1544" customFormat="false" ht="15.75" hidden="true" customHeight="false" outlineLevel="0" collapsed="false">
      <c r="A1544" s="937"/>
      <c r="B1544" s="967" t="str">
        <f aca="false">дома!A2161</f>
        <v>Гвозди для крепления черепицы</v>
      </c>
      <c r="C1544" s="968" t="str">
        <f aca="false">дома!B2161</f>
        <v>шт</v>
      </c>
      <c r="D1544" s="967" t="n">
        <f aca="false">дома!C2161</f>
        <v>0</v>
      </c>
      <c r="E1544" s="967" t="n">
        <f aca="false">дома!D2161</f>
        <v>0.25</v>
      </c>
      <c r="F1544" s="967"/>
      <c r="G1544" s="967" t="n">
        <f aca="false">IF(F1544&gt;0,D1544*F1544,E1544*D1544)</f>
        <v>0</v>
      </c>
      <c r="H1544" s="970" t="n">
        <f aca="false">D1544*E1544*$H$1518</f>
        <v>0</v>
      </c>
      <c r="I1544" s="936" t="n">
        <f aca="false">IF(G1544&gt;H1544,G1544,H1544)*$H$1517</f>
        <v>0</v>
      </c>
      <c r="J1544" s="931"/>
      <c r="K1544" s="937"/>
    </row>
    <row r="1545" customFormat="false" ht="15.75" hidden="true" customHeight="false" outlineLevel="0" collapsed="false">
      <c r="A1545" s="937"/>
      <c r="B1545" s="967" t="str">
        <f aca="false">дома!A2162</f>
        <v>Клей для монтажа черепицы</v>
      </c>
      <c r="C1545" s="968" t="str">
        <f aca="false">дома!B2162</f>
        <v>кг</v>
      </c>
      <c r="D1545" s="967" t="n">
        <f aca="false">дома!C2162</f>
        <v>0</v>
      </c>
      <c r="E1545" s="967" t="n">
        <f aca="false">дома!D2162</f>
        <v>250</v>
      </c>
      <c r="F1545" s="967"/>
      <c r="G1545" s="967" t="n">
        <f aca="false">IF(F1545&gt;0,D1545*F1545,E1545*D1545)</f>
        <v>0</v>
      </c>
      <c r="H1545" s="970" t="n">
        <f aca="false">D1545*E1545*$H$1518</f>
        <v>0</v>
      </c>
      <c r="I1545" s="936" t="n">
        <f aca="false">IF(G1545&gt;H1545,G1545,H1545)*$H$1517</f>
        <v>0</v>
      </c>
      <c r="J1545" s="931"/>
      <c r="K1545" s="937"/>
    </row>
    <row r="1546" customFormat="false" ht="15.75" hidden="true" customHeight="false" outlineLevel="0" collapsed="false">
      <c r="A1546" s="937"/>
      <c r="B1546" s="967" t="str">
        <f aca="false">дома!A2163</f>
        <v>желоб</v>
      </c>
      <c r="C1546" s="968" t="str">
        <f aca="false">дома!B2163</f>
        <v>м.п</v>
      </c>
      <c r="D1546" s="967" t="n">
        <f aca="false">дома!C2163</f>
        <v>7.6</v>
      </c>
      <c r="E1546" s="986" t="n">
        <f aca="false">дома!D2163</f>
        <v>300</v>
      </c>
      <c r="F1546" s="986"/>
      <c r="G1546" s="967" t="n">
        <f aca="false">IF(F1546&gt;0,D1546*F1546,E1546*D1546)</f>
        <v>2280</v>
      </c>
      <c r="H1546" s="970" t="n">
        <f aca="false">D1546*E1546*$H$1518</f>
        <v>0</v>
      </c>
      <c r="I1546" s="936" t="n">
        <f aca="false">IF(G1546&gt;H1546,G1546,H1546)*$H$1517</f>
        <v>0</v>
      </c>
      <c r="J1546" s="931"/>
      <c r="K1546" s="937"/>
    </row>
    <row r="1547" customFormat="false" ht="15.75" hidden="true" customHeight="false" outlineLevel="0" collapsed="false">
      <c r="A1547" s="937"/>
      <c r="B1547" s="967" t="str">
        <f aca="false">дома!A2164</f>
        <v>отвод</v>
      </c>
      <c r="C1547" s="968" t="str">
        <f aca="false">дома!B2164</f>
        <v>шт</v>
      </c>
      <c r="D1547" s="967" t="n">
        <f aca="false">дома!C2164</f>
        <v>0</v>
      </c>
      <c r="E1547" s="986" t="n">
        <f aca="false">дома!D2164</f>
        <v>250</v>
      </c>
      <c r="F1547" s="986"/>
      <c r="G1547" s="967" t="n">
        <f aca="false">IF(F1547&gt;0,D1547*F1547,E1547*D1547)</f>
        <v>0</v>
      </c>
      <c r="H1547" s="970" t="n">
        <f aca="false">D1547*E1547*$H$1518</f>
        <v>0</v>
      </c>
      <c r="I1547" s="936" t="n">
        <f aca="false">IF(G1547&gt;H1547,G1547,H1547)*$H$1517</f>
        <v>0</v>
      </c>
      <c r="J1547" s="931"/>
      <c r="K1547" s="937"/>
    </row>
    <row r="1548" customFormat="false" ht="15.75" hidden="true" customHeight="false" outlineLevel="0" collapsed="false">
      <c r="A1548" s="937"/>
      <c r="B1548" s="967" t="str">
        <f aca="false">дома!A2165</f>
        <v>труба водосточная</v>
      </c>
      <c r="C1548" s="968" t="str">
        <f aca="false">дома!B2165</f>
        <v>м.п.</v>
      </c>
      <c r="D1548" s="967" t="n">
        <f aca="false">дома!C2165</f>
        <v>3.7</v>
      </c>
      <c r="E1548" s="986" t="n">
        <f aca="false">дома!D2165</f>
        <v>300</v>
      </c>
      <c r="F1548" s="986"/>
      <c r="G1548" s="967" t="n">
        <f aca="false">IF(F1548&gt;0,D1548*F1548,E1548*D1548)</f>
        <v>1110</v>
      </c>
      <c r="H1548" s="970" t="n">
        <f aca="false">D1548*E1548*$H$1518</f>
        <v>0</v>
      </c>
      <c r="I1548" s="936" t="n">
        <f aca="false">IF(G1548&gt;H1548,G1548,H1548)*$H$1517</f>
        <v>0</v>
      </c>
      <c r="J1548" s="931"/>
      <c r="K1548" s="937"/>
    </row>
    <row r="1549" customFormat="false" ht="15.75" hidden="true" customHeight="false" outlineLevel="0" collapsed="false">
      <c r="A1549" s="937"/>
      <c r="B1549" s="967" t="str">
        <f aca="false">дома!A2166</f>
        <v>заглушка для желоба</v>
      </c>
      <c r="C1549" s="968" t="str">
        <f aca="false">дома!B2166</f>
        <v>шт</v>
      </c>
      <c r="D1549" s="967" t="n">
        <f aca="false">дома!C2166</f>
        <v>0</v>
      </c>
      <c r="E1549" s="986" t="n">
        <f aca="false">дома!D2166</f>
        <v>190</v>
      </c>
      <c r="F1549" s="986"/>
      <c r="G1549" s="967" t="n">
        <f aca="false">IF(F1549&gt;0,D1549*F1549,E1549*D1549)</f>
        <v>0</v>
      </c>
      <c r="H1549" s="970" t="n">
        <f aca="false">D1549*E1549*$H$1518</f>
        <v>0</v>
      </c>
      <c r="I1549" s="936" t="n">
        <f aca="false">IF(G1549&gt;H1549,G1549,H1549)*$H$1517</f>
        <v>0</v>
      </c>
      <c r="J1549" s="931"/>
      <c r="K1549" s="937"/>
    </row>
    <row r="1550" customFormat="false" ht="15.75" hidden="true" customHeight="false" outlineLevel="0" collapsed="false">
      <c r="A1550" s="937"/>
      <c r="B1550" s="967" t="str">
        <f aca="false">дома!A2167</f>
        <v>соеденитель для желоба</v>
      </c>
      <c r="C1550" s="968" t="str">
        <f aca="false">дома!B2167</f>
        <v>шт</v>
      </c>
      <c r="D1550" s="967" t="n">
        <f aca="false">дома!C2167</f>
        <v>0</v>
      </c>
      <c r="E1550" s="986" t="n">
        <f aca="false">дома!D2167</f>
        <v>180</v>
      </c>
      <c r="F1550" s="986"/>
      <c r="G1550" s="967" t="n">
        <f aca="false">IF(F1550&gt;0,D1550*F1550,E1550*D1550)</f>
        <v>0</v>
      </c>
      <c r="H1550" s="970" t="n">
        <f aca="false">D1550*E1550*$H$1518</f>
        <v>0</v>
      </c>
      <c r="I1550" s="936" t="n">
        <f aca="false">IF(G1550&gt;H1550,G1550,H1550)*$H$1517</f>
        <v>0</v>
      </c>
      <c r="J1550" s="931"/>
      <c r="K1550" s="937"/>
    </row>
    <row r="1551" customFormat="false" ht="15.75" hidden="true" customHeight="false" outlineLevel="0" collapsed="false">
      <c r="A1551" s="937"/>
      <c r="B1551" s="967" t="str">
        <f aca="false">дома!A2168</f>
        <v>кронштейн для желоба</v>
      </c>
      <c r="C1551" s="968" t="str">
        <f aca="false">дома!B2168</f>
        <v>шт</v>
      </c>
      <c r="D1551" s="967" t="n">
        <f aca="false">дома!C2168</f>
        <v>0</v>
      </c>
      <c r="E1551" s="986" t="n">
        <f aca="false">дома!D2168</f>
        <v>130</v>
      </c>
      <c r="F1551" s="986"/>
      <c r="G1551" s="967" t="n">
        <f aca="false">IF(F1551&gt;0,D1551*F1551,E1551*D1551)</f>
        <v>0</v>
      </c>
      <c r="H1551" s="970" t="n">
        <f aca="false">D1551*E1551*$H$1518</f>
        <v>0</v>
      </c>
      <c r="I1551" s="936" t="n">
        <f aca="false">IF(G1551&gt;H1551,G1551,H1551)*$H$1517</f>
        <v>0</v>
      </c>
      <c r="J1551" s="931"/>
      <c r="K1551" s="937"/>
    </row>
    <row r="1552" customFormat="false" ht="15.75" hidden="true" customHeight="false" outlineLevel="0" collapsed="false">
      <c r="A1552" s="937"/>
      <c r="B1552" s="967" t="str">
        <f aca="false">дома!A2169</f>
        <v>переход из желоба в трубу</v>
      </c>
      <c r="C1552" s="968" t="str">
        <f aca="false">дома!B2169</f>
        <v>шт</v>
      </c>
      <c r="D1552" s="967" t="n">
        <f aca="false">дома!C2169</f>
        <v>0</v>
      </c>
      <c r="E1552" s="986" t="n">
        <f aca="false">дома!D2169</f>
        <v>350</v>
      </c>
      <c r="F1552" s="986"/>
      <c r="G1552" s="967" t="n">
        <f aca="false">IF(F1552&gt;0,D1552*F1552,E1552*D1552)</f>
        <v>0</v>
      </c>
      <c r="H1552" s="970" t="n">
        <f aca="false">D1552*E1552*$H$1518</f>
        <v>0</v>
      </c>
      <c r="I1552" s="936" t="n">
        <f aca="false">IF(G1552&gt;H1552,G1552,H1552)*$H$1517</f>
        <v>0</v>
      </c>
      <c r="J1552" s="931"/>
      <c r="K1552" s="937"/>
    </row>
    <row r="1553" customFormat="false" ht="15.75" hidden="true" customHeight="false" outlineLevel="0" collapsed="false">
      <c r="A1553" s="937"/>
      <c r="B1553" s="967" t="str">
        <f aca="false">дома!A2170</f>
        <v>лента дельта мульти бэнд</v>
      </c>
      <c r="C1553" s="968" t="str">
        <f aca="false">дома!B2170</f>
        <v>шт</v>
      </c>
      <c r="D1553" s="967" t="n">
        <f aca="false">дома!C2170</f>
        <v>0</v>
      </c>
      <c r="E1553" s="986" t="n">
        <f aca="false">дома!D2170</f>
        <v>1200</v>
      </c>
      <c r="F1553" s="986"/>
      <c r="G1553" s="967" t="n">
        <f aca="false">IF(F1553&gt;0,D1553*F1553,E1553*D1553)</f>
        <v>0</v>
      </c>
      <c r="H1553" s="970" t="n">
        <f aca="false">D1553*E1553*$H$1518</f>
        <v>0</v>
      </c>
      <c r="I1553" s="936" t="n">
        <f aca="false">IF(G1553&gt;H1553,G1553,H1553)*$H$1517</f>
        <v>0</v>
      </c>
      <c r="J1553" s="931"/>
      <c r="K1553" s="937"/>
    </row>
    <row r="1554" customFormat="false" ht="15.75" hidden="true" customHeight="false" outlineLevel="0" collapsed="false">
      <c r="A1554" s="937"/>
      <c r="B1554" s="967" t="str">
        <f aca="false">дома!A2171</f>
        <v>лента дельта sb-60</v>
      </c>
      <c r="C1554" s="968" t="str">
        <f aca="false">дома!B2171</f>
        <v>шт</v>
      </c>
      <c r="D1554" s="967" t="n">
        <f aca="false">дома!C2171</f>
        <v>0</v>
      </c>
      <c r="E1554" s="986" t="n">
        <f aca="false">дома!D2171</f>
        <v>1100</v>
      </c>
      <c r="F1554" s="986"/>
      <c r="G1554" s="967" t="n">
        <f aca="false">IF(F1554&gt;0,D1554*F1554,E1554*D1554)</f>
        <v>0</v>
      </c>
      <c r="H1554" s="970" t="n">
        <f aca="false">D1554*E1554*$H$1518</f>
        <v>0</v>
      </c>
      <c r="I1554" s="936" t="n">
        <f aca="false">IF(G1554&gt;H1554,G1554,H1554)*$H$1517</f>
        <v>0</v>
      </c>
      <c r="J1554" s="931"/>
      <c r="K1554" s="937"/>
    </row>
    <row r="1555" customFormat="false" ht="15.75" hidden="true" customHeight="false" outlineLevel="0" collapsed="false">
      <c r="A1555" s="937"/>
      <c r="B1555" s="967" t="str">
        <f aca="false">дома!A2172</f>
        <v>Кровельный саморез</v>
      </c>
      <c r="C1555" s="968" t="str">
        <f aca="false">дома!B2172</f>
        <v>шт</v>
      </c>
      <c r="D1555" s="967" t="n">
        <f aca="false">дома!C2172</f>
        <v>0</v>
      </c>
      <c r="E1555" s="986" t="n">
        <f aca="false">дома!D2172</f>
        <v>2</v>
      </c>
      <c r="F1555" s="986"/>
      <c r="G1555" s="967" t="n">
        <f aca="false">IF(F1555&gt;0,D1555*F1555,E1555*D1555)</f>
        <v>0</v>
      </c>
      <c r="H1555" s="970" t="n">
        <f aca="false">D1555*E1555*$H$1518</f>
        <v>0</v>
      </c>
      <c r="I1555" s="936" t="n">
        <f aca="false">IF(G1555&gt;H1555,G1555,H1555)*$H$1517</f>
        <v>0</v>
      </c>
      <c r="J1555" s="931"/>
      <c r="K1555" s="937"/>
    </row>
    <row r="1556" customFormat="false" ht="15.75" hidden="true" customHeight="false" outlineLevel="0" collapsed="false">
      <c r="A1556" s="937"/>
      <c r="B1556" s="967" t="str">
        <f aca="false">дома!A2173</f>
        <v>Гвозди ершоные 3,4 x 60            </v>
      </c>
      <c r="C1556" s="968" t="str">
        <f aca="false">дома!B2173</f>
        <v>кг</v>
      </c>
      <c r="D1556" s="967" t="n">
        <f aca="false">дома!C2173</f>
        <v>0</v>
      </c>
      <c r="E1556" s="986" t="n">
        <f aca="false">дома!D2173</f>
        <v>75.51</v>
      </c>
      <c r="F1556" s="986"/>
      <c r="G1556" s="967" t="n">
        <f aca="false">IF(F1556&gt;0,D1556*F1556,E1556*D1556)</f>
        <v>0</v>
      </c>
      <c r="H1556" s="970" t="n">
        <f aca="false">D1556*E1556*$H$1518</f>
        <v>0</v>
      </c>
      <c r="I1556" s="936" t="n">
        <f aca="false">IF(G1556&gt;H1556,G1556,H1556)*$H$1517</f>
        <v>0</v>
      </c>
      <c r="J1556" s="931"/>
      <c r="K1556" s="937"/>
    </row>
    <row r="1557" customFormat="false" ht="15.75" hidden="true" customHeight="false" outlineLevel="0" collapsed="false">
      <c r="A1557" s="937"/>
      <c r="B1557" s="967" t="str">
        <f aca="false">дома!A2174</f>
        <v>Гвозди ершоные 2,8 х 90            </v>
      </c>
      <c r="C1557" s="968" t="str">
        <f aca="false">дома!B2174</f>
        <v>шт</v>
      </c>
      <c r="D1557" s="967" t="n">
        <f aca="false">дома!C2174</f>
        <v>0</v>
      </c>
      <c r="E1557" s="986" t="n">
        <f aca="false">дома!D2174</f>
        <v>76.49</v>
      </c>
      <c r="F1557" s="986"/>
      <c r="G1557" s="967" t="n">
        <f aca="false">IF(F1557&gt;0,D1557*F1557,E1557*D1557)</f>
        <v>0</v>
      </c>
      <c r="H1557" s="970" t="n">
        <f aca="false">D1557*E1557*$H$1518</f>
        <v>0</v>
      </c>
      <c r="I1557" s="936" t="n">
        <f aca="false">IF(G1557&gt;H1557,G1557,H1557)*$H$1517</f>
        <v>0</v>
      </c>
      <c r="J1557" s="931"/>
      <c r="K1557" s="937"/>
    </row>
    <row r="1558" customFormat="false" ht="15.75" hidden="true" customHeight="false" outlineLevel="0" collapsed="false">
      <c r="A1558" s="937"/>
      <c r="B1558" s="967" t="str">
        <f aca="false">дома!A2175</f>
        <v>Пластина соеденительная 100х240х2           </v>
      </c>
      <c r="C1558" s="968" t="str">
        <f aca="false">дома!B2175</f>
        <v>шт</v>
      </c>
      <c r="D1558" s="967" t="n">
        <f aca="false">дома!C2175</f>
        <v>0</v>
      </c>
      <c r="E1558" s="986" t="n">
        <f aca="false">дома!D2175</f>
        <v>31.54</v>
      </c>
      <c r="F1558" s="986"/>
      <c r="G1558" s="967" t="n">
        <f aca="false">IF(F1558&gt;0,D1558*F1558,E1558*D1558)</f>
        <v>0</v>
      </c>
      <c r="H1558" s="970" t="n">
        <f aca="false">D1558*E1558*$H$1518</f>
        <v>0</v>
      </c>
      <c r="I1558" s="936" t="n">
        <f aca="false">IF(G1558&gt;H1558,G1558,H1558)*$H$1517</f>
        <v>0</v>
      </c>
      <c r="J1558" s="931"/>
      <c r="K1558" s="937"/>
    </row>
    <row r="1559" customFormat="false" ht="15.75" hidden="true" customHeight="false" outlineLevel="0" collapsed="false">
      <c r="A1559" s="937"/>
      <c r="B1559" s="967" t="str">
        <f aca="false">дома!A2176</f>
        <v>Уголок усиленный 90х70х55х2,5        </v>
      </c>
      <c r="C1559" s="968" t="str">
        <f aca="false">дома!B2176</f>
        <v>шт</v>
      </c>
      <c r="D1559" s="967" t="n">
        <f aca="false">дома!C2176</f>
        <v>0</v>
      </c>
      <c r="E1559" s="986" t="n">
        <f aca="false">дома!D2176</f>
        <v>30</v>
      </c>
      <c r="F1559" s="986"/>
      <c r="G1559" s="967" t="n">
        <f aca="false">IF(F1559&gt;0,D1559*F1559,E1559*D1559)</f>
        <v>0</v>
      </c>
      <c r="H1559" s="970" t="n">
        <f aca="false">D1559*E1559*$H$1518</f>
        <v>0</v>
      </c>
      <c r="I1559" s="936" t="n">
        <f aca="false">IF(G1559&gt;H1559,G1559,H1559)*$H$1517</f>
        <v>0</v>
      </c>
      <c r="J1559" s="931"/>
      <c r="K1559" s="937"/>
    </row>
    <row r="1560" customFormat="false" ht="15.75" hidden="true" customHeight="false" outlineLevel="0" collapsed="false">
      <c r="A1560" s="937"/>
      <c r="B1560" s="973" t="s">
        <v>2247</v>
      </c>
      <c r="C1560" s="973"/>
      <c r="D1560" s="973"/>
      <c r="E1560" s="973"/>
      <c r="F1560" s="973"/>
      <c r="G1560" s="970" t="n">
        <f aca="false">SUM(G1519:G1559)*H1517</f>
        <v>0</v>
      </c>
      <c r="H1560" s="970" t="n">
        <f aca="false">SUM(H1519:H1559)</f>
        <v>0</v>
      </c>
      <c r="I1560" s="936" t="n">
        <f aca="false">IF(G1560&gt;H1560,G1560,H1560)*$H$1517</f>
        <v>0</v>
      </c>
      <c r="J1560" s="931"/>
      <c r="K1560" s="937"/>
    </row>
    <row r="1561" customFormat="false" ht="15.75" hidden="true" customHeight="false" outlineLevel="0" collapsed="false">
      <c r="A1561" s="937"/>
      <c r="B1561" s="1044" t="s">
        <v>2007</v>
      </c>
      <c r="C1561" s="1044"/>
      <c r="D1561" s="1044"/>
      <c r="E1561" s="1044"/>
      <c r="F1561" s="1045"/>
      <c r="G1561" s="977"/>
      <c r="H1561" s="994" t="n">
        <f aca="false">H1517</f>
        <v>0</v>
      </c>
      <c r="I1561" s="1026" t="n">
        <f aca="false">H1561</f>
        <v>0</v>
      </c>
      <c r="J1561" s="931"/>
      <c r="K1561" s="937"/>
    </row>
    <row r="1562" customFormat="false" ht="15.75" hidden="true" customHeight="false" outlineLevel="0" collapsed="false">
      <c r="A1562" s="937"/>
      <c r="B1562" s="967" t="str">
        <f aca="false">дома!G2136</f>
        <v>монтаж стропил</v>
      </c>
      <c r="C1562" s="968" t="str">
        <f aca="false">дома!J2136</f>
        <v>м2</v>
      </c>
      <c r="D1562" s="967" t="n">
        <f aca="false">дома!K2136</f>
        <v>0</v>
      </c>
      <c r="E1562" s="986" t="n">
        <f aca="false">дома!L2136</f>
        <v>450</v>
      </c>
      <c r="F1562" s="986"/>
      <c r="G1562" s="967" t="n">
        <f aca="false">IF(F1562&gt;0,D1562*F1562,E1562*D1562)</f>
        <v>0</v>
      </c>
      <c r="H1562" s="970" t="n">
        <f aca="false">D1562*E1562*$H$1561</f>
        <v>0</v>
      </c>
      <c r="I1562" s="936" t="n">
        <f aca="false">IF(G1562&gt;H1562,G1562,H1562)*$H$1517</f>
        <v>0</v>
      </c>
      <c r="J1562" s="931"/>
      <c r="K1562" s="937"/>
    </row>
    <row r="1563" customFormat="false" ht="15.75" hidden="true" customHeight="false" outlineLevel="0" collapsed="false">
      <c r="A1563" s="937"/>
      <c r="B1563" s="967" t="str">
        <f aca="false">дома!G2137</f>
        <v>обрешетка</v>
      </c>
      <c r="C1563" s="968" t="str">
        <f aca="false">дома!J2137</f>
        <v>м2</v>
      </c>
      <c r="D1563" s="967" t="n">
        <f aca="false">дома!K2137</f>
        <v>0</v>
      </c>
      <c r="E1563" s="986" t="n">
        <f aca="false">дома!L2137</f>
        <v>100</v>
      </c>
      <c r="F1563" s="986"/>
      <c r="G1563" s="967" t="n">
        <f aca="false">IF(F1563&gt;0,D1563*F1563,E1563*D1563)</f>
        <v>0</v>
      </c>
      <c r="H1563" s="970" t="n">
        <f aca="false">D1563*E1563*$H$1561</f>
        <v>0</v>
      </c>
      <c r="I1563" s="936" t="n">
        <f aca="false">IF(G1563&gt;H1563,G1563,H1563)*$H$1517</f>
        <v>0</v>
      </c>
      <c r="J1563" s="931"/>
      <c r="K1563" s="937"/>
    </row>
    <row r="1564" customFormat="false" ht="15.75" hidden="true" customHeight="false" outlineLevel="0" collapsed="false">
      <c r="A1564" s="937"/>
      <c r="B1564" s="967" t="str">
        <f aca="false">дома!G2138</f>
        <v>контробеш</v>
      </c>
      <c r="C1564" s="968" t="str">
        <f aca="false">дома!J2138</f>
        <v>м2</v>
      </c>
      <c r="D1564" s="967" t="n">
        <f aca="false">дома!K2138</f>
        <v>0</v>
      </c>
      <c r="E1564" s="986" t="n">
        <f aca="false">дома!L2138</f>
        <v>100</v>
      </c>
      <c r="F1564" s="986"/>
      <c r="G1564" s="967" t="n">
        <f aca="false">IF(F1564&gt;0,D1564*F1564,E1564*D1564)</f>
        <v>0</v>
      </c>
      <c r="H1564" s="970" t="n">
        <f aca="false">D1564*E1564*$H$1561</f>
        <v>0</v>
      </c>
      <c r="I1564" s="936" t="n">
        <f aca="false">IF(G1564&gt;H1564,G1564,H1564)*$H$1517</f>
        <v>0</v>
      </c>
      <c r="J1564" s="931"/>
      <c r="K1564" s="937"/>
    </row>
    <row r="1565" customFormat="false" ht="15.75" hidden="true" customHeight="false" outlineLevel="0" collapsed="false">
      <c r="A1565" s="937"/>
      <c r="B1565" s="967" t="str">
        <f aca="false">дома!G2139</f>
        <v>мембрана</v>
      </c>
      <c r="C1565" s="968" t="str">
        <f aca="false">дома!J2139</f>
        <v>м2</v>
      </c>
      <c r="D1565" s="967" t="n">
        <f aca="false">дома!K2139</f>
        <v>0</v>
      </c>
      <c r="E1565" s="986" t="n">
        <f aca="false">дома!L2139</f>
        <v>100</v>
      </c>
      <c r="F1565" s="986"/>
      <c r="G1565" s="967" t="n">
        <f aca="false">IF(F1565&gt;0,D1565*F1565,E1565*D1565)</f>
        <v>0</v>
      </c>
      <c r="H1565" s="970" t="n">
        <f aca="false">D1565*E1565*$H$1561</f>
        <v>0</v>
      </c>
      <c r="I1565" s="936" t="n">
        <f aca="false">IF(G1565&gt;H1565,G1565,H1565)*$H$1517</f>
        <v>0</v>
      </c>
      <c r="J1565" s="931"/>
      <c r="K1565" s="937"/>
    </row>
    <row r="1566" customFormat="false" ht="15.75" hidden="true" customHeight="false" outlineLevel="0" collapsed="false">
      <c r="A1566" s="937"/>
      <c r="B1566" s="967" t="str">
        <f aca="false">дома!G2140</f>
        <v>Монтаж металлочерепицы</v>
      </c>
      <c r="C1566" s="968" t="str">
        <f aca="false">дома!J2140</f>
        <v>м2</v>
      </c>
      <c r="D1566" s="967" t="n">
        <f aca="false">дома!K2140</f>
        <v>0</v>
      </c>
      <c r="E1566" s="986" t="n">
        <f aca="false">дома!L2140</f>
        <v>300</v>
      </c>
      <c r="F1566" s="986"/>
      <c r="G1566" s="967" t="n">
        <f aca="false">IF(F1566&gt;0,D1566*F1566,E1566*D1566)</f>
        <v>0</v>
      </c>
      <c r="H1566" s="970" t="n">
        <f aca="false">D1566*E1566*$H$1561</f>
        <v>0</v>
      </c>
      <c r="I1566" s="936" t="n">
        <f aca="false">IF(G1566&gt;H1566,G1566,H1566)*$H$1517</f>
        <v>0</v>
      </c>
      <c r="J1566" s="931"/>
      <c r="K1566" s="937"/>
    </row>
    <row r="1567" customFormat="false" ht="15.75" hidden="true" customHeight="false" outlineLevel="0" collapsed="false">
      <c r="A1567" s="937"/>
      <c r="B1567" s="967" t="str">
        <f aca="false">дома!G2141</f>
        <v>карнизная планка</v>
      </c>
      <c r="C1567" s="968" t="str">
        <f aca="false">дома!J2141</f>
        <v>м2</v>
      </c>
      <c r="D1567" s="967" t="n">
        <f aca="false">дома!K2141</f>
        <v>0</v>
      </c>
      <c r="E1567" s="986" t="n">
        <f aca="false">дома!L2141</f>
        <v>100</v>
      </c>
      <c r="F1567" s="986"/>
      <c r="G1567" s="967" t="n">
        <f aca="false">IF(F1567&gt;0,D1567*F1567,E1567*D1567)</f>
        <v>0</v>
      </c>
      <c r="H1567" s="970" t="n">
        <f aca="false">D1567*E1567*$H$1561</f>
        <v>0</v>
      </c>
      <c r="I1567" s="936" t="n">
        <f aca="false">IF(G1567&gt;H1567,G1567,H1567)*$H$1517</f>
        <v>0</v>
      </c>
      <c r="J1567" s="931"/>
      <c r="K1567" s="937"/>
    </row>
    <row r="1568" customFormat="false" ht="15.75" hidden="true" customHeight="false" outlineLevel="0" collapsed="false">
      <c r="A1568" s="937"/>
      <c r="B1568" s="967" t="str">
        <f aca="false">дома!G2142</f>
        <v>торцевая планка</v>
      </c>
      <c r="C1568" s="968" t="str">
        <f aca="false">дома!J2142</f>
        <v>м2</v>
      </c>
      <c r="D1568" s="967" t="n">
        <f aca="false">дома!K2142</f>
        <v>0</v>
      </c>
      <c r="E1568" s="986" t="n">
        <f aca="false">дома!L2142</f>
        <v>100</v>
      </c>
      <c r="F1568" s="986"/>
      <c r="G1568" s="967" t="n">
        <f aca="false">IF(F1568&gt;0,D1568*F1568,E1568*D1568)</f>
        <v>0</v>
      </c>
      <c r="H1568" s="970" t="n">
        <f aca="false">D1568*E1568*$H$1561</f>
        <v>0</v>
      </c>
      <c r="I1568" s="936" t="n">
        <f aca="false">IF(G1568&gt;H1568,G1568,H1568)*$H$1517</f>
        <v>0</v>
      </c>
      <c r="J1568" s="931"/>
      <c r="K1568" s="937"/>
    </row>
    <row r="1569" customFormat="false" ht="15.75" hidden="true" customHeight="false" outlineLevel="0" collapsed="false">
      <c r="A1569" s="937"/>
      <c r="B1569" s="967" t="str">
        <f aca="false">дома!G2143</f>
        <v>желоб водосточный</v>
      </c>
      <c r="C1569" s="968" t="str">
        <f aca="false">дома!J2143</f>
        <v>м.п.</v>
      </c>
      <c r="D1569" s="967" t="n">
        <f aca="false">дома!K2143</f>
        <v>0</v>
      </c>
      <c r="E1569" s="986" t="n">
        <f aca="false">дома!L2143</f>
        <v>300</v>
      </c>
      <c r="F1569" s="986"/>
      <c r="G1569" s="967" t="n">
        <f aca="false">IF(F1569&gt;0,D1569*F1569,E1569*D1569)</f>
        <v>0</v>
      </c>
      <c r="H1569" s="970" t="n">
        <f aca="false">D1569*E1569*$H$1561</f>
        <v>0</v>
      </c>
      <c r="I1569" s="936" t="n">
        <f aca="false">IF(G1569&gt;H1569,G1569,H1569)*$H$1517</f>
        <v>0</v>
      </c>
      <c r="J1569" s="931"/>
      <c r="K1569" s="937"/>
    </row>
    <row r="1570" customFormat="false" ht="15.75" hidden="true" customHeight="false" outlineLevel="0" collapsed="false">
      <c r="A1570" s="937"/>
      <c r="B1570" s="967" t="str">
        <f aca="false">дома!G2144</f>
        <v>труба водосточная</v>
      </c>
      <c r="C1570" s="968" t="str">
        <f aca="false">дома!J2144</f>
        <v>м.п.</v>
      </c>
      <c r="D1570" s="967" t="n">
        <f aca="false">дома!K2144</f>
        <v>0</v>
      </c>
      <c r="E1570" s="986" t="n">
        <f aca="false">дома!L2144</f>
        <v>300</v>
      </c>
      <c r="F1570" s="986"/>
      <c r="G1570" s="967" t="n">
        <f aca="false">IF(F1570&gt;0,D1570*F1570,E1570*D1570)</f>
        <v>0</v>
      </c>
      <c r="H1570" s="970" t="n">
        <f aca="false">D1570*E1570*$H$1561</f>
        <v>0</v>
      </c>
      <c r="I1570" s="936" t="n">
        <f aca="false">IF(G1570&gt;H1570,G1570,H1570)*$H$1517</f>
        <v>0</v>
      </c>
      <c r="J1570" s="931"/>
      <c r="K1570" s="937"/>
    </row>
    <row r="1571" customFormat="false" ht="15.75" hidden="true" customHeight="false" outlineLevel="0" collapsed="false">
      <c r="A1571" s="937"/>
      <c r="B1571" s="967" t="str">
        <f aca="false">дома!G2145</f>
        <v>Монтаж ондулина</v>
      </c>
      <c r="C1571" s="968" t="str">
        <f aca="false">дома!J2145</f>
        <v>м2</v>
      </c>
      <c r="D1571" s="967" t="n">
        <f aca="false">дома!K2145</f>
        <v>0</v>
      </c>
      <c r="E1571" s="986" t="n">
        <f aca="false">дома!L2145</f>
        <v>300</v>
      </c>
      <c r="F1571" s="986"/>
      <c r="G1571" s="967" t="n">
        <f aca="false">IF(F1571&gt;0,D1571*F1571,E1571*D1571)</f>
        <v>0</v>
      </c>
      <c r="H1571" s="970" t="n">
        <f aca="false">D1571*E1571*$H$1561</f>
        <v>0</v>
      </c>
      <c r="I1571" s="936" t="n">
        <f aca="false">IF(G1571&gt;H1571,G1571,H1571)*$H$1517</f>
        <v>0</v>
      </c>
      <c r="J1571" s="931"/>
      <c r="K1571" s="937"/>
    </row>
    <row r="1572" customFormat="false" ht="15.75" hidden="true" customHeight="false" outlineLevel="0" collapsed="false">
      <c r="A1572" s="937"/>
      <c r="B1572" s="967" t="str">
        <f aca="false">дома!G2146</f>
        <v>Монтаж фанеры/osb</v>
      </c>
      <c r="C1572" s="968" t="str">
        <f aca="false">дома!J2146</f>
        <v>м2</v>
      </c>
      <c r="D1572" s="967" t="n">
        <f aca="false">дома!K2146</f>
        <v>0</v>
      </c>
      <c r="E1572" s="986" t="n">
        <f aca="false">дома!L2146</f>
        <v>200</v>
      </c>
      <c r="F1572" s="986"/>
      <c r="G1572" s="967" t="n">
        <f aca="false">IF(F1572&gt;0,D1572*F1572,E1572*D1572)</f>
        <v>0</v>
      </c>
      <c r="H1572" s="970" t="n">
        <f aca="false">D1572*E1572*$H$1561</f>
        <v>0</v>
      </c>
      <c r="I1572" s="936" t="n">
        <f aca="false">IF(G1572&gt;H1572,G1572,H1572)*$H$1517</f>
        <v>0</v>
      </c>
      <c r="J1572" s="931"/>
      <c r="K1572" s="937"/>
    </row>
    <row r="1573" customFormat="false" ht="15.75" hidden="true" customHeight="false" outlineLevel="0" collapsed="false">
      <c r="A1573" s="937"/>
      <c r="B1573" s="967" t="str">
        <f aca="false">дома!G2147</f>
        <v>монтаж подкладочного ковра</v>
      </c>
      <c r="C1573" s="968" t="str">
        <f aca="false">дома!J2147</f>
        <v>м2</v>
      </c>
      <c r="D1573" s="967" t="n">
        <f aca="false">дома!K2147</f>
        <v>0</v>
      </c>
      <c r="E1573" s="986" t="n">
        <f aca="false">дома!L2147</f>
        <v>150</v>
      </c>
      <c r="F1573" s="986"/>
      <c r="G1573" s="967" t="n">
        <f aca="false">IF(F1573&gt;0,D1573*F1573,E1573*D1573)</f>
        <v>0</v>
      </c>
      <c r="H1573" s="970" t="n">
        <f aca="false">D1573*E1573*$H$1561</f>
        <v>0</v>
      </c>
      <c r="I1573" s="936" t="n">
        <f aca="false">IF(G1573&gt;H1573,G1573,H1573)*$H$1517</f>
        <v>0</v>
      </c>
      <c r="J1573" s="931"/>
      <c r="K1573" s="937"/>
    </row>
    <row r="1574" customFormat="false" ht="15.75" hidden="true" customHeight="false" outlineLevel="0" collapsed="false">
      <c r="A1574" s="937"/>
      <c r="B1574" s="967" t="str">
        <f aca="false">дома!G2148</f>
        <v>Монтаж мягкой кровли</v>
      </c>
      <c r="C1574" s="968" t="str">
        <f aca="false">дома!J2148</f>
        <v>м2</v>
      </c>
      <c r="D1574" s="967" t="n">
        <f aca="false">дома!K2148</f>
        <v>0</v>
      </c>
      <c r="E1574" s="986" t="n">
        <f aca="false">дома!L2148</f>
        <v>350</v>
      </c>
      <c r="F1574" s="986"/>
      <c r="G1574" s="967" t="n">
        <f aca="false">IF(F1574&gt;0,D1574*F1574,E1574*D1574)</f>
        <v>0</v>
      </c>
      <c r="H1574" s="970" t="n">
        <f aca="false">D1574*E1574*$H$1561</f>
        <v>0</v>
      </c>
      <c r="I1574" s="936" t="n">
        <f aca="false">IF(G1574&gt;H1574,G1574,H1574)*$H$1517</f>
        <v>0</v>
      </c>
      <c r="J1574" s="931"/>
      <c r="K1574" s="937"/>
    </row>
    <row r="1575" customFormat="false" ht="15.75" hidden="true" customHeight="false" outlineLevel="0" collapsed="false">
      <c r="A1575" s="937"/>
      <c r="B1575" s="973" t="s">
        <v>2248</v>
      </c>
      <c r="C1575" s="973"/>
      <c r="D1575" s="973"/>
      <c r="E1575" s="973"/>
      <c r="F1575" s="973"/>
      <c r="G1575" s="970" t="n">
        <f aca="false">SUM(G1562:G1574)*H1561</f>
        <v>0</v>
      </c>
      <c r="H1575" s="970" t="n">
        <f aca="false">SUM(H1562:H1574)</f>
        <v>0</v>
      </c>
      <c r="I1575" s="936" t="n">
        <f aca="false">IF(G1575&gt;H1575,G1575,H1575)*$H$1517</f>
        <v>0</v>
      </c>
      <c r="J1575" s="931"/>
      <c r="K1575" s="937"/>
    </row>
    <row r="1576" customFormat="false" ht="21" hidden="true" customHeight="false" outlineLevel="0" collapsed="false">
      <c r="A1576" s="937"/>
      <c r="B1576" s="989" t="s">
        <v>2275</v>
      </c>
      <c r="C1576" s="989"/>
      <c r="D1576" s="989"/>
      <c r="E1576" s="989"/>
      <c r="F1576" s="1033"/>
      <c r="G1576" s="977"/>
      <c r="H1576" s="1000" t="n">
        <f aca="false">VLOOKUP('Ввод данных'!C96,связи1!A2:B3,2,0)</f>
        <v>0</v>
      </c>
      <c r="I1576" s="1026" t="n">
        <f aca="false">H1576</f>
        <v>0</v>
      </c>
      <c r="J1576" s="931"/>
      <c r="K1576" s="937"/>
    </row>
    <row r="1577" customFormat="false" ht="15.75" hidden="true" customHeight="false" outlineLevel="0" collapsed="false">
      <c r="A1577" s="937"/>
      <c r="B1577" s="1008" t="s">
        <v>2246</v>
      </c>
      <c r="C1577" s="1008"/>
      <c r="D1577" s="1008"/>
      <c r="E1577" s="1008"/>
      <c r="F1577" s="1024"/>
      <c r="G1577" s="977"/>
      <c r="H1577" s="1000" t="n">
        <f aca="false">H1576</f>
        <v>0</v>
      </c>
      <c r="I1577" s="1026" t="n">
        <f aca="false">H1577</f>
        <v>0</v>
      </c>
      <c r="J1577" s="931"/>
      <c r="K1577" s="937"/>
    </row>
    <row r="1578" customFormat="false" ht="15.75" hidden="true" customHeight="false" outlineLevel="0" collapsed="false">
      <c r="A1578" s="937"/>
      <c r="B1578" s="1002" t="str">
        <f aca="false">дома!A2278</f>
        <v>Доска сухая, 150*50мм</v>
      </c>
      <c r="C1578" s="1003" t="str">
        <f aca="false">дома!B2278</f>
        <v>м3</v>
      </c>
      <c r="D1578" s="953" t="n">
        <f aca="false">дома!C2278</f>
        <v>0.205269268270725</v>
      </c>
      <c r="E1578" s="1004" t="n">
        <f aca="false">дома!D2278</f>
        <v>9000</v>
      </c>
      <c r="F1578" s="1004"/>
      <c r="G1578" s="967" t="n">
        <f aca="false">IF(F1578&gt;0,D1578*F1578,E1578*D1578)</f>
        <v>1847.42341443653</v>
      </c>
      <c r="H1578" s="970" t="n">
        <f aca="false">D1578*E1578*$H$1576</f>
        <v>0</v>
      </c>
      <c r="I1578" s="936" t="n">
        <f aca="false">IF(G1578&gt;H1578,G1578,H1578)*$H$1576</f>
        <v>0</v>
      </c>
      <c r="J1578" s="931"/>
      <c r="K1578" s="937"/>
    </row>
    <row r="1579" customFormat="false" ht="15.75" hidden="true" customHeight="false" outlineLevel="0" collapsed="false">
      <c r="A1579" s="937"/>
      <c r="B1579" s="1002" t="str">
        <f aca="false">дома!A2279</f>
        <v>Сосна влаж,100*25мм</v>
      </c>
      <c r="C1579" s="1003" t="str">
        <f aca="false">дома!B2279</f>
        <v>м3</v>
      </c>
      <c r="D1579" s="953" t="n">
        <f aca="false">дома!C2279</f>
        <v>0.0676107863314507</v>
      </c>
      <c r="E1579" s="1004" t="n">
        <f aca="false">дома!D2279</f>
        <v>6500</v>
      </c>
      <c r="F1579" s="1004"/>
      <c r="G1579" s="967" t="n">
        <f aca="false">IF(F1579&gt;0,D1579*F1579,E1579*D1579)</f>
        <v>439.470111154429</v>
      </c>
      <c r="H1579" s="970" t="n">
        <f aca="false">D1579*E1579*$H$1576</f>
        <v>0</v>
      </c>
      <c r="I1579" s="936" t="n">
        <f aca="false">IF(G1579&gt;H1579,G1579,H1579)*$H$1576</f>
        <v>0</v>
      </c>
      <c r="J1579" s="931"/>
      <c r="K1579" s="937"/>
    </row>
    <row r="1580" customFormat="false" ht="15.75" hidden="true" customHeight="false" outlineLevel="0" collapsed="false">
      <c r="A1580" s="937"/>
      <c r="B1580" s="1002" t="str">
        <f aca="false">дома!A2280</f>
        <v>нет</v>
      </c>
      <c r="C1580" s="1003" t="str">
        <f aca="false">дома!B2280</f>
        <v>м2</v>
      </c>
      <c r="D1580" s="953" t="n">
        <f aca="false">дома!C2280</f>
        <v>0</v>
      </c>
      <c r="E1580" s="1004" t="n">
        <f aca="false">дома!D2280</f>
        <v>0</v>
      </c>
      <c r="F1580" s="1004"/>
      <c r="G1580" s="967" t="n">
        <f aca="false">IF(F1580&gt;0,D1580*F1580,E1580*D1580)</f>
        <v>0</v>
      </c>
      <c r="H1580" s="970" t="n">
        <f aca="false">D1580*E1580*$H$1576</f>
        <v>0</v>
      </c>
      <c r="I1580" s="936" t="n">
        <f aca="false">IF(G1580&gt;H1580,G1580,H1580)*$H$1576</f>
        <v>0</v>
      </c>
      <c r="J1580" s="931"/>
      <c r="K1580" s="937"/>
    </row>
    <row r="1581" customFormat="false" ht="15.75" hidden="true" customHeight="false" outlineLevel="0" collapsed="false">
      <c r="A1581" s="937"/>
      <c r="B1581" s="1002" t="str">
        <f aca="false">дома!A2281</f>
        <v>нет</v>
      </c>
      <c r="C1581" s="1003" t="str">
        <f aca="false">дома!B2281</f>
        <v>м2</v>
      </c>
      <c r="D1581" s="953" t="n">
        <f aca="false">дома!C2281</f>
        <v>10.8177258130321</v>
      </c>
      <c r="E1581" s="1004" t="n">
        <f aca="false">дома!D2281</f>
        <v>0</v>
      </c>
      <c r="F1581" s="1004"/>
      <c r="G1581" s="967" t="n">
        <f aca="false">IF(F1581&gt;0,D1581*F1581,E1581*D1581)</f>
        <v>0</v>
      </c>
      <c r="H1581" s="970" t="n">
        <f aca="false">D1581*E1581*$H$1576</f>
        <v>0</v>
      </c>
      <c r="I1581" s="936" t="n">
        <f aca="false">IF(G1581&gt;H1581,G1581,H1581)*$H$1576</f>
        <v>0</v>
      </c>
      <c r="J1581" s="931"/>
      <c r="K1581" s="937"/>
    </row>
    <row r="1582" customFormat="false" ht="15.75" hidden="true" customHeight="false" outlineLevel="0" collapsed="false">
      <c r="A1582" s="937"/>
      <c r="B1582" s="1002" t="str">
        <f aca="false">дома!A2282</f>
        <v>Мембраны Tyvek Solid</v>
      </c>
      <c r="C1582" s="1003" t="str">
        <f aca="false">дома!B2282</f>
        <v>м2</v>
      </c>
      <c r="D1582" s="953" t="n">
        <f aca="false">дома!C2282</f>
        <v>10.8177258130321</v>
      </c>
      <c r="E1582" s="1004" t="n">
        <f aca="false">дома!D2282</f>
        <v>99</v>
      </c>
      <c r="F1582" s="1004"/>
      <c r="G1582" s="967" t="n">
        <f aca="false">IF(F1582&gt;0,D1582*F1582,E1582*D1582)</f>
        <v>1070.95485549018</v>
      </c>
      <c r="H1582" s="970" t="n">
        <f aca="false">D1582*E1582*$H$1576</f>
        <v>0</v>
      </c>
      <c r="I1582" s="936" t="n">
        <f aca="false">IF(G1582&gt;H1582,G1582,H1582)*$H$1576</f>
        <v>0</v>
      </c>
      <c r="J1582" s="931"/>
      <c r="K1582" s="937"/>
    </row>
    <row r="1583" customFormat="false" ht="15.75" hidden="true" customHeight="false" outlineLevel="0" collapsed="false">
      <c r="A1583" s="937"/>
      <c r="B1583" s="1002" t="str">
        <f aca="false">дома!A2283</f>
        <v>металлочерепица</v>
      </c>
      <c r="C1583" s="1003" t="str">
        <f aca="false">дома!B2283</f>
        <v>м2</v>
      </c>
      <c r="D1583" s="953" t="n">
        <f aca="false">дома!C2283</f>
        <v>10.8177258130321</v>
      </c>
      <c r="E1583" s="1004" t="n">
        <f aca="false">дома!D2283</f>
        <v>250</v>
      </c>
      <c r="F1583" s="1004"/>
      <c r="G1583" s="967" t="n">
        <f aca="false">IF(F1583&gt;0,D1583*F1583,E1583*D1583)</f>
        <v>2704.43145325803</v>
      </c>
      <c r="H1583" s="970" t="n">
        <f aca="false">D1583*E1583*$H$1576</f>
        <v>0</v>
      </c>
      <c r="I1583" s="936" t="n">
        <f aca="false">IF(G1583&gt;H1583,G1583,H1583)*$H$1576</f>
        <v>0</v>
      </c>
      <c r="J1583" s="931"/>
      <c r="K1583" s="937"/>
    </row>
    <row r="1584" customFormat="false" ht="15.75" hidden="true" customHeight="false" outlineLevel="0" collapsed="false">
      <c r="A1584" s="937"/>
      <c r="B1584" s="1002" t="str">
        <f aca="false">дома!A2284</f>
        <v>карнизная планка</v>
      </c>
      <c r="C1584" s="1003" t="str">
        <f aca="false">дома!B2284</f>
        <v>м.п.</v>
      </c>
      <c r="D1584" s="953" t="n">
        <f aca="false">дома!C2284</f>
        <v>4.18</v>
      </c>
      <c r="E1584" s="1004" t="n">
        <f aca="false">дома!D2284</f>
        <v>200</v>
      </c>
      <c r="F1584" s="1004"/>
      <c r="G1584" s="967" t="n">
        <f aca="false">IF(F1584&gt;0,D1584*F1584,E1584*D1584)</f>
        <v>836</v>
      </c>
      <c r="H1584" s="970" t="n">
        <f aca="false">D1584*E1584*$H$1576</f>
        <v>0</v>
      </c>
      <c r="I1584" s="936" t="n">
        <f aca="false">IF(G1584&gt;H1584,G1584,H1584)*$H$1576</f>
        <v>0</v>
      </c>
      <c r="J1584" s="931"/>
      <c r="K1584" s="937"/>
    </row>
    <row r="1585" customFormat="false" ht="15.75" hidden="true" customHeight="false" outlineLevel="0" collapsed="false">
      <c r="A1585" s="937"/>
      <c r="B1585" s="1002" t="str">
        <f aca="false">дома!A2285</f>
        <v>торцевая планка</v>
      </c>
      <c r="C1585" s="1003" t="str">
        <f aca="false">дома!B2285</f>
        <v>м.п.</v>
      </c>
      <c r="D1585" s="953" t="n">
        <f aca="false">дома!C2285</f>
        <v>5.21907824312953</v>
      </c>
      <c r="E1585" s="1004" t="n">
        <f aca="false">дома!D2285</f>
        <v>200</v>
      </c>
      <c r="F1585" s="1004"/>
      <c r="G1585" s="967" t="n">
        <f aca="false">IF(F1585&gt;0,D1585*F1585,E1585*D1585)</f>
        <v>1043.81564862591</v>
      </c>
      <c r="H1585" s="970" t="n">
        <f aca="false">D1585*E1585*$H$1576</f>
        <v>0</v>
      </c>
      <c r="I1585" s="936" t="n">
        <f aca="false">IF(G1585&gt;H1585,G1585,H1585)*$H$1576</f>
        <v>0</v>
      </c>
      <c r="J1585" s="931"/>
      <c r="K1585" s="937"/>
    </row>
    <row r="1586" customFormat="false" ht="15.75" hidden="true" customHeight="false" outlineLevel="0" collapsed="false">
      <c r="A1586" s="937"/>
      <c r="B1586" s="1002" t="str">
        <f aca="false">дома!A2286</f>
        <v>конек</v>
      </c>
      <c r="C1586" s="1003" t="str">
        <f aca="false">дома!B2286</f>
        <v>м.п.</v>
      </c>
      <c r="D1586" s="953" t="n">
        <f aca="false">дома!C2286</f>
        <v>0</v>
      </c>
      <c r="E1586" s="1004" t="n">
        <f aca="false">дома!D2286</f>
        <v>230</v>
      </c>
      <c r="F1586" s="1004"/>
      <c r="G1586" s="967" t="n">
        <f aca="false">IF(F1586&gt;0,D1586*F1586,E1586*D1586)</f>
        <v>0</v>
      </c>
      <c r="H1586" s="970" t="n">
        <f aca="false">D1586*E1586*$H$1576</f>
        <v>0</v>
      </c>
      <c r="I1586" s="936" t="n">
        <f aca="false">IF(G1586&gt;H1586,G1586,H1586)*$H$1576</f>
        <v>0</v>
      </c>
      <c r="J1586" s="931"/>
      <c r="K1586" s="937"/>
    </row>
    <row r="1587" customFormat="false" ht="15.75" hidden="true" customHeight="false" outlineLevel="0" collapsed="false">
      <c r="A1587" s="937"/>
      <c r="B1587" s="1002" t="str">
        <f aca="false">дома!A2287</f>
        <v>ондулин</v>
      </c>
      <c r="C1587" s="1003" t="str">
        <f aca="false">дома!B2287</f>
        <v>м2</v>
      </c>
      <c r="D1587" s="953" t="n">
        <f aca="false">дома!C2287</f>
        <v>0</v>
      </c>
      <c r="E1587" s="1004" t="n">
        <f aca="false">дома!D2287</f>
        <v>180</v>
      </c>
      <c r="F1587" s="1004"/>
      <c r="G1587" s="967" t="n">
        <f aca="false">IF(F1587&gt;0,D1587*F1587,E1587*D1587)</f>
        <v>0</v>
      </c>
      <c r="H1587" s="970" t="n">
        <f aca="false">D1587*E1587*$H$1576</f>
        <v>0</v>
      </c>
      <c r="I1587" s="936" t="n">
        <f aca="false">IF(G1587&gt;H1587,G1587,H1587)*$H$1576</f>
        <v>0</v>
      </c>
      <c r="J1587" s="931"/>
      <c r="K1587" s="937"/>
    </row>
    <row r="1588" customFormat="false" ht="15.75" hidden="true" customHeight="false" outlineLevel="0" collapsed="false">
      <c r="A1588" s="937"/>
      <c r="B1588" s="1002" t="str">
        <f aca="false">дома!A2288</f>
        <v>Карнизная планка</v>
      </c>
      <c r="C1588" s="1003" t="str">
        <f aca="false">дома!B2288</f>
        <v>м.п.</v>
      </c>
      <c r="D1588" s="953" t="n">
        <f aca="false">дома!C2288</f>
        <v>0</v>
      </c>
      <c r="E1588" s="1004" t="n">
        <f aca="false">дома!D2288</f>
        <v>190</v>
      </c>
      <c r="F1588" s="1004"/>
      <c r="G1588" s="967" t="n">
        <f aca="false">IF(F1588&gt;0,D1588*F1588,E1588*D1588)</f>
        <v>0</v>
      </c>
      <c r="H1588" s="970" t="n">
        <f aca="false">D1588*E1588*$H$1576</f>
        <v>0</v>
      </c>
      <c r="I1588" s="936" t="n">
        <f aca="false">IF(G1588&gt;H1588,G1588,H1588)*$H$1576</f>
        <v>0</v>
      </c>
      <c r="J1588" s="931"/>
      <c r="K1588" s="937"/>
    </row>
    <row r="1589" customFormat="false" ht="15.75" hidden="true" customHeight="false" outlineLevel="0" collapsed="false">
      <c r="A1589" s="937"/>
      <c r="B1589" s="1002" t="str">
        <f aca="false">дома!A2289</f>
        <v>Торцевая планка</v>
      </c>
      <c r="C1589" s="1003" t="str">
        <f aca="false">дома!B2289</f>
        <v>м.п.</v>
      </c>
      <c r="D1589" s="953" t="n">
        <f aca="false">дома!C2289</f>
        <v>0</v>
      </c>
      <c r="E1589" s="1004" t="n">
        <f aca="false">дома!D2289</f>
        <v>190</v>
      </c>
      <c r="F1589" s="1004"/>
      <c r="G1589" s="967" t="n">
        <f aca="false">IF(F1589&gt;0,D1589*F1589,E1589*D1589)</f>
        <v>0</v>
      </c>
      <c r="H1589" s="970" t="n">
        <f aca="false">D1589*E1589*$H$1576</f>
        <v>0</v>
      </c>
      <c r="I1589" s="936" t="n">
        <f aca="false">IF(G1589&gt;H1589,G1589,H1589)*$H$1576</f>
        <v>0</v>
      </c>
      <c r="J1589" s="931"/>
      <c r="K1589" s="937"/>
    </row>
    <row r="1590" customFormat="false" ht="15.75" hidden="true" customHeight="false" outlineLevel="0" collapsed="false">
      <c r="A1590" s="937"/>
      <c r="B1590" s="1002" t="str">
        <f aca="false">дома!A2290</f>
        <v>Конек</v>
      </c>
      <c r="C1590" s="1003" t="str">
        <f aca="false">дома!B2290</f>
        <v>м.п.</v>
      </c>
      <c r="D1590" s="953" t="n">
        <f aca="false">дома!C2290</f>
        <v>0</v>
      </c>
      <c r="E1590" s="1004" t="n">
        <f aca="false">дома!D2290</f>
        <v>200</v>
      </c>
      <c r="F1590" s="1004"/>
      <c r="G1590" s="967" t="n">
        <f aca="false">IF(F1590&gt;0,D1590*F1590,E1590*D1590)</f>
        <v>0</v>
      </c>
      <c r="H1590" s="970" t="n">
        <f aca="false">D1590*E1590*$H$1576</f>
        <v>0</v>
      </c>
      <c r="I1590" s="936" t="n">
        <f aca="false">IF(G1590&gt;H1590,G1590,H1590)*$H$1576</f>
        <v>0</v>
      </c>
      <c r="J1590" s="931"/>
      <c r="K1590" s="937"/>
    </row>
    <row r="1591" customFormat="false" ht="15.75" hidden="true" customHeight="false" outlineLevel="0" collapsed="false">
      <c r="A1591" s="937"/>
      <c r="B1591" s="1002" t="str">
        <f aca="false">дома!A2291</f>
        <v>Ендова нижняя</v>
      </c>
      <c r="C1591" s="1003" t="str">
        <f aca="false">дома!B2291</f>
        <v>м.п.</v>
      </c>
      <c r="D1591" s="953" t="n">
        <f aca="false">дома!C2291</f>
        <v>0</v>
      </c>
      <c r="E1591" s="1004" t="n">
        <f aca="false">дома!D2291</f>
        <v>160</v>
      </c>
      <c r="F1591" s="1004"/>
      <c r="G1591" s="967" t="n">
        <f aca="false">IF(F1591&gt;0,D1591*F1591,E1591*D1591)</f>
        <v>0</v>
      </c>
      <c r="H1591" s="970" t="n">
        <f aca="false">D1591*E1591*$H$1576</f>
        <v>0</v>
      </c>
      <c r="I1591" s="936" t="n">
        <f aca="false">IF(G1591&gt;H1591,G1591,H1591)*$H$1576</f>
        <v>0</v>
      </c>
      <c r="J1591" s="931"/>
      <c r="K1591" s="937"/>
    </row>
    <row r="1592" customFormat="false" ht="15.75" hidden="true" customHeight="false" outlineLevel="0" collapsed="false">
      <c r="A1592" s="937"/>
      <c r="B1592" s="1002" t="str">
        <f aca="false">дома!A2292</f>
        <v>Ендова верхняя</v>
      </c>
      <c r="C1592" s="1003" t="str">
        <f aca="false">дома!B2292</f>
        <v>м.п.</v>
      </c>
      <c r="D1592" s="953" t="n">
        <f aca="false">дома!C2292</f>
        <v>0</v>
      </c>
      <c r="E1592" s="1004" t="n">
        <f aca="false">дома!D2292</f>
        <v>190</v>
      </c>
      <c r="F1592" s="1004"/>
      <c r="G1592" s="967" t="n">
        <f aca="false">IF(F1592&gt;0,D1592*F1592,E1592*D1592)</f>
        <v>0</v>
      </c>
      <c r="H1592" s="970" t="n">
        <f aca="false">D1592*E1592*$H$1576</f>
        <v>0</v>
      </c>
      <c r="I1592" s="936" t="n">
        <f aca="false">IF(G1592&gt;H1592,G1592,H1592)*$H$1576</f>
        <v>0</v>
      </c>
      <c r="J1592" s="931"/>
      <c r="K1592" s="937"/>
    </row>
    <row r="1593" customFormat="false" ht="15.75" hidden="true" customHeight="false" outlineLevel="0" collapsed="false">
      <c r="A1593" s="937"/>
      <c r="B1593" s="1002" t="str">
        <f aca="false">дома!A2293</f>
        <v>Планка примыкания</v>
      </c>
      <c r="C1593" s="1003" t="str">
        <f aca="false">дома!B2293</f>
        <v>м.п.</v>
      </c>
      <c r="D1593" s="953" t="n">
        <f aca="false">дома!C2293</f>
        <v>0</v>
      </c>
      <c r="E1593" s="1004" t="n">
        <f aca="false">дома!D2293</f>
        <v>190</v>
      </c>
      <c r="F1593" s="1004"/>
      <c r="G1593" s="967" t="n">
        <f aca="false">IF(F1593&gt;0,D1593*F1593,E1593*D1593)</f>
        <v>0</v>
      </c>
      <c r="H1593" s="970" t="n">
        <f aca="false">D1593*E1593*$H$1576</f>
        <v>0</v>
      </c>
      <c r="I1593" s="936" t="n">
        <f aca="false">IF(G1593&gt;H1593,G1593,H1593)*$H$1576</f>
        <v>0</v>
      </c>
      <c r="J1593" s="931"/>
      <c r="K1593" s="937"/>
    </row>
    <row r="1594" customFormat="false" ht="15.75" hidden="true" customHeight="false" outlineLevel="0" collapsed="false">
      <c r="A1594" s="937"/>
      <c r="B1594" s="1002" t="str">
        <f aca="false">дома!A2294</f>
        <v>Крепеж для ондулина</v>
      </c>
      <c r="C1594" s="1003" t="str">
        <f aca="false">дома!B2294</f>
        <v>шт</v>
      </c>
      <c r="D1594" s="953" t="n">
        <f aca="false">дома!C2294</f>
        <v>0</v>
      </c>
      <c r="E1594" s="1004" t="n">
        <f aca="false">дома!D2294</f>
        <v>4.5</v>
      </c>
      <c r="F1594" s="1004"/>
      <c r="G1594" s="967" t="n">
        <f aca="false">IF(F1594&gt;0,D1594*F1594,E1594*D1594)</f>
        <v>0</v>
      </c>
      <c r="H1594" s="970" t="n">
        <f aca="false">D1594*E1594*$H$1576</f>
        <v>0</v>
      </c>
      <c r="I1594" s="936" t="n">
        <f aca="false">IF(G1594&gt;H1594,G1594,H1594)*$H$1576</f>
        <v>0</v>
      </c>
      <c r="J1594" s="931"/>
      <c r="K1594" s="937"/>
    </row>
    <row r="1595" customFormat="false" ht="15.75" hidden="true" customHeight="false" outlineLevel="0" collapsed="false">
      <c r="A1595" s="937"/>
      <c r="B1595" s="1002" t="str">
        <f aca="false">дома!A2295</f>
        <v>Рядовая черепица</v>
      </c>
      <c r="C1595" s="1003" t="str">
        <f aca="false">дома!B2295</f>
        <v>м2</v>
      </c>
      <c r="D1595" s="953" t="n">
        <f aca="false">дома!C2295</f>
        <v>0</v>
      </c>
      <c r="E1595" s="1004" t="n">
        <f aca="false">дома!D2295</f>
        <v>360</v>
      </c>
      <c r="F1595" s="1004"/>
      <c r="G1595" s="967" t="n">
        <f aca="false">IF(F1595&gt;0,D1595*F1595,E1595*D1595)</f>
        <v>0</v>
      </c>
      <c r="H1595" s="970" t="n">
        <f aca="false">D1595*E1595*$H$1576</f>
        <v>0</v>
      </c>
      <c r="I1595" s="936" t="n">
        <f aca="false">IF(G1595&gt;H1595,G1595,H1595)*$H$1576</f>
        <v>0</v>
      </c>
      <c r="J1595" s="931"/>
      <c r="K1595" s="937"/>
    </row>
    <row r="1596" customFormat="false" ht="15.75" hidden="true" customHeight="false" outlineLevel="0" collapsed="false">
      <c r="A1596" s="937"/>
      <c r="B1596" s="1002" t="str">
        <f aca="false">дома!A2296</f>
        <v>Металл оцинк защита (карниз)</v>
      </c>
      <c r="C1596" s="1003" t="str">
        <f aca="false">дома!B2296</f>
        <v>м.п.</v>
      </c>
      <c r="D1596" s="953" t="n">
        <f aca="false">дома!C2296</f>
        <v>0</v>
      </c>
      <c r="E1596" s="1004" t="n">
        <f aca="false">дома!D2296</f>
        <v>200</v>
      </c>
      <c r="F1596" s="1004"/>
      <c r="G1596" s="967" t="n">
        <f aca="false">IF(F1596&gt;0,D1596*F1596,E1596*D1596)</f>
        <v>0</v>
      </c>
      <c r="H1596" s="970" t="n">
        <f aca="false">D1596*E1596*$H$1576</f>
        <v>0</v>
      </c>
      <c r="I1596" s="936" t="n">
        <f aca="false">IF(G1596&gt;H1596,G1596,H1596)*$H$1576</f>
        <v>0</v>
      </c>
      <c r="J1596" s="931"/>
      <c r="K1596" s="937"/>
    </row>
    <row r="1597" customFormat="false" ht="15.75" hidden="true" customHeight="false" outlineLevel="0" collapsed="false">
      <c r="A1597" s="937"/>
      <c r="B1597" s="1002" t="str">
        <f aca="false">дома!A2297</f>
        <v>Подкладочный ковер</v>
      </c>
      <c r="C1597" s="1003" t="str">
        <f aca="false">дома!B2297</f>
        <v>м.п.</v>
      </c>
      <c r="D1597" s="953" t="n">
        <f aca="false">дома!C2297</f>
        <v>0</v>
      </c>
      <c r="E1597" s="1004" t="n">
        <f aca="false">дома!D2297</f>
        <v>220</v>
      </c>
      <c r="F1597" s="1004"/>
      <c r="G1597" s="967" t="n">
        <f aca="false">IF(F1597&gt;0,D1597*F1597,E1597*D1597)</f>
        <v>0</v>
      </c>
      <c r="H1597" s="970" t="n">
        <f aca="false">D1597*E1597*$H$1576</f>
        <v>0</v>
      </c>
      <c r="I1597" s="936" t="n">
        <f aca="false">IF(G1597&gt;H1597,G1597,H1597)*$H$1576</f>
        <v>0</v>
      </c>
      <c r="J1597" s="931"/>
      <c r="K1597" s="937"/>
    </row>
    <row r="1598" customFormat="false" ht="15.75" hidden="true" customHeight="false" outlineLevel="0" collapsed="false">
      <c r="A1598" s="937"/>
      <c r="B1598" s="1002" t="str">
        <f aca="false">дома!A2298</f>
        <v>Карнизная самоклеющаяся черепица</v>
      </c>
      <c r="C1598" s="1003" t="str">
        <f aca="false">дома!B2298</f>
        <v>м.п.</v>
      </c>
      <c r="D1598" s="953" t="n">
        <f aca="false">дома!C2298</f>
        <v>0</v>
      </c>
      <c r="E1598" s="1004" t="n">
        <f aca="false">дома!D2298</f>
        <v>220</v>
      </c>
      <c r="F1598" s="1004"/>
      <c r="G1598" s="967" t="n">
        <f aca="false">IF(F1598&gt;0,D1598*F1598,E1598*D1598)</f>
        <v>0</v>
      </c>
      <c r="H1598" s="970" t="n">
        <f aca="false">D1598*E1598*$H$1576</f>
        <v>0</v>
      </c>
      <c r="I1598" s="936" t="n">
        <f aca="false">IF(G1598&gt;H1598,G1598,H1598)*$H$1576</f>
        <v>0</v>
      </c>
      <c r="J1598" s="931"/>
      <c r="K1598" s="937"/>
    </row>
    <row r="1599" customFormat="false" ht="15.75" hidden="true" customHeight="false" outlineLevel="0" collapsed="false">
      <c r="A1599" s="937"/>
      <c r="B1599" s="1002" t="str">
        <f aca="false">дома!A2299</f>
        <v>Спец ковер ендова нижняя</v>
      </c>
      <c r="C1599" s="1003" t="str">
        <f aca="false">дома!B2299</f>
        <v>м.п.</v>
      </c>
      <c r="D1599" s="953" t="n">
        <f aca="false">дома!C2299</f>
        <v>0</v>
      </c>
      <c r="E1599" s="1004" t="n">
        <f aca="false">дома!D2299</f>
        <v>200</v>
      </c>
      <c r="F1599" s="1004"/>
      <c r="G1599" s="967" t="n">
        <f aca="false">IF(F1599&gt;0,D1599*F1599,E1599*D1599)</f>
        <v>0</v>
      </c>
      <c r="H1599" s="970" t="n">
        <f aca="false">D1599*E1599*$H$1576</f>
        <v>0</v>
      </c>
      <c r="I1599" s="936" t="n">
        <f aca="false">IF(G1599&gt;H1599,G1599,H1599)*$H$1576</f>
        <v>0</v>
      </c>
      <c r="J1599" s="931"/>
      <c r="K1599" s="937"/>
    </row>
    <row r="1600" customFormat="false" ht="15.75" hidden="true" customHeight="false" outlineLevel="0" collapsed="false">
      <c r="A1600" s="937"/>
      <c r="B1600" s="1002" t="str">
        <f aca="false">дома!A2300</f>
        <v>Коньковой элемент</v>
      </c>
      <c r="C1600" s="1003" t="str">
        <f aca="false">дома!B2300</f>
        <v>м.п.</v>
      </c>
      <c r="D1600" s="953" t="n">
        <f aca="false">дома!C2300</f>
        <v>0</v>
      </c>
      <c r="E1600" s="1004" t="n">
        <f aca="false">дома!D2300</f>
        <v>250</v>
      </c>
      <c r="F1600" s="1004"/>
      <c r="G1600" s="967" t="n">
        <f aca="false">IF(F1600&gt;0,D1600*F1600,E1600*D1600)</f>
        <v>0</v>
      </c>
      <c r="H1600" s="970" t="n">
        <f aca="false">D1600*E1600*$H$1576</f>
        <v>0</v>
      </c>
      <c r="I1600" s="936" t="n">
        <f aca="false">IF(G1600&gt;H1600,G1600,H1600)*$H$1576</f>
        <v>0</v>
      </c>
      <c r="J1600" s="931"/>
      <c r="K1600" s="937"/>
    </row>
    <row r="1601" customFormat="false" ht="15.75" hidden="true" customHeight="false" outlineLevel="0" collapsed="false">
      <c r="A1601" s="937"/>
      <c r="B1601" s="1002" t="str">
        <f aca="false">дома!A2301</f>
        <v>Планка премыкания</v>
      </c>
      <c r="C1601" s="1003" t="str">
        <f aca="false">дома!B2301</f>
        <v>м.п.</v>
      </c>
      <c r="D1601" s="953" t="n">
        <f aca="false">дома!C2301</f>
        <v>0</v>
      </c>
      <c r="E1601" s="1004" t="n">
        <f aca="false">дома!D2301</f>
        <v>200</v>
      </c>
      <c r="F1601" s="1004"/>
      <c r="G1601" s="967" t="n">
        <f aca="false">IF(F1601&gt;0,D1601*F1601,E1601*D1601)</f>
        <v>0</v>
      </c>
      <c r="H1601" s="970" t="n">
        <f aca="false">D1601*E1601*$H$1576</f>
        <v>0</v>
      </c>
      <c r="I1601" s="936" t="n">
        <f aca="false">IF(G1601&gt;H1601,G1601,H1601)*$H$1576</f>
        <v>0</v>
      </c>
      <c r="J1601" s="931"/>
      <c r="K1601" s="937"/>
    </row>
    <row r="1602" customFormat="false" ht="15.75" hidden="true" customHeight="false" outlineLevel="0" collapsed="false">
      <c r="A1602" s="937"/>
      <c r="B1602" s="1002" t="str">
        <f aca="false">дома!A2302</f>
        <v>Гвозди для крепления подкладочного ковра</v>
      </c>
      <c r="C1602" s="1003" t="str">
        <f aca="false">дома!B2302</f>
        <v>шт</v>
      </c>
      <c r="D1602" s="953" t="n">
        <f aca="false">дома!C2302</f>
        <v>0</v>
      </c>
      <c r="E1602" s="1004" t="n">
        <f aca="false">дома!D2302</f>
        <v>0.012</v>
      </c>
      <c r="F1602" s="1004"/>
      <c r="G1602" s="967" t="n">
        <f aca="false">IF(F1602&gt;0,D1602*F1602,E1602*D1602)</f>
        <v>0</v>
      </c>
      <c r="H1602" s="970" t="n">
        <f aca="false">D1602*E1602*$H$1576</f>
        <v>0</v>
      </c>
      <c r="I1602" s="936" t="n">
        <f aca="false">IF(G1602&gt;H1602,G1602,H1602)*$H$1576</f>
        <v>0</v>
      </c>
      <c r="J1602" s="931"/>
      <c r="K1602" s="937"/>
    </row>
    <row r="1603" customFormat="false" ht="15.75" hidden="true" customHeight="false" outlineLevel="0" collapsed="false">
      <c r="A1603" s="937"/>
      <c r="B1603" s="1002" t="str">
        <f aca="false">дома!A2303</f>
        <v>Гвозди для крепления черепицы</v>
      </c>
      <c r="C1603" s="1003" t="str">
        <f aca="false">дома!B2303</f>
        <v>шт</v>
      </c>
      <c r="D1603" s="953" t="n">
        <f aca="false">дома!C2303</f>
        <v>0</v>
      </c>
      <c r="E1603" s="1004" t="n">
        <f aca="false">дома!D2303</f>
        <v>0.25</v>
      </c>
      <c r="F1603" s="1004"/>
      <c r="G1603" s="967" t="n">
        <f aca="false">IF(F1603&gt;0,D1603*F1603,E1603*D1603)</f>
        <v>0</v>
      </c>
      <c r="H1603" s="970" t="n">
        <f aca="false">D1603*E1603*$H$1576</f>
        <v>0</v>
      </c>
      <c r="I1603" s="936" t="n">
        <f aca="false">IF(G1603&gt;H1603,G1603,H1603)*$H$1576</f>
        <v>0</v>
      </c>
      <c r="J1603" s="931"/>
      <c r="K1603" s="937"/>
    </row>
    <row r="1604" customFormat="false" ht="15.75" hidden="true" customHeight="false" outlineLevel="0" collapsed="false">
      <c r="A1604" s="937"/>
      <c r="B1604" s="1002" t="str">
        <f aca="false">дома!A2304</f>
        <v>Клей для монтажа черепицы</v>
      </c>
      <c r="C1604" s="1003" t="str">
        <f aca="false">дома!B2304</f>
        <v>кг</v>
      </c>
      <c r="D1604" s="953" t="n">
        <f aca="false">дома!C2304</f>
        <v>0</v>
      </c>
      <c r="E1604" s="1004" t="n">
        <f aca="false">дома!D2304</f>
        <v>250</v>
      </c>
      <c r="F1604" s="1004"/>
      <c r="G1604" s="967" t="n">
        <f aca="false">IF(F1604&gt;0,D1604*F1604,E1604*D1604)</f>
        <v>0</v>
      </c>
      <c r="H1604" s="970" t="n">
        <f aca="false">D1604*E1604*$H$1576</f>
        <v>0</v>
      </c>
      <c r="I1604" s="936" t="n">
        <f aca="false">IF(G1604&gt;H1604,G1604,H1604)*$H$1576</f>
        <v>0</v>
      </c>
      <c r="J1604" s="931"/>
      <c r="K1604" s="937"/>
    </row>
    <row r="1605" customFormat="false" ht="15.75" hidden="true" customHeight="false" outlineLevel="0" collapsed="false">
      <c r="A1605" s="937"/>
      <c r="B1605" s="1002" t="str">
        <f aca="false">дома!A2305</f>
        <v>желоб</v>
      </c>
      <c r="C1605" s="1003" t="str">
        <f aca="false">дома!B2305</f>
        <v>м.п</v>
      </c>
      <c r="D1605" s="953" t="n">
        <f aca="false">дома!C2305</f>
        <v>4.18</v>
      </c>
      <c r="E1605" s="1004" t="n">
        <f aca="false">дома!D2305</f>
        <v>300</v>
      </c>
      <c r="F1605" s="1004"/>
      <c r="G1605" s="967" t="n">
        <f aca="false">IF(F1605&gt;0,D1605*F1605,E1605*D1605)</f>
        <v>1254</v>
      </c>
      <c r="H1605" s="970" t="n">
        <f aca="false">D1605*E1605*$H$1576</f>
        <v>0</v>
      </c>
      <c r="I1605" s="936" t="n">
        <f aca="false">IF(G1605&gt;H1605,G1605,H1605)*$H$1576</f>
        <v>0</v>
      </c>
      <c r="J1605" s="931"/>
      <c r="K1605" s="937"/>
    </row>
    <row r="1606" customFormat="false" ht="15.75" hidden="true" customHeight="false" outlineLevel="0" collapsed="false">
      <c r="A1606" s="937"/>
      <c r="B1606" s="1002" t="str">
        <f aca="false">дома!A2306</f>
        <v>отвод</v>
      </c>
      <c r="C1606" s="1003" t="str">
        <f aca="false">дома!B2306</f>
        <v>шт</v>
      </c>
      <c r="D1606" s="953" t="n">
        <f aca="false">дома!C2306</f>
        <v>2</v>
      </c>
      <c r="E1606" s="1004" t="n">
        <f aca="false">дома!D2306</f>
        <v>250</v>
      </c>
      <c r="F1606" s="1004"/>
      <c r="G1606" s="967" t="n">
        <f aca="false">IF(F1606&gt;0,D1606*F1606,E1606*D1606)</f>
        <v>500</v>
      </c>
      <c r="H1606" s="970" t="n">
        <f aca="false">D1606*E1606*$H$1576</f>
        <v>0</v>
      </c>
      <c r="I1606" s="936" t="n">
        <f aca="false">IF(G1606&gt;H1606,G1606,H1606)*$H$1576</f>
        <v>0</v>
      </c>
      <c r="J1606" s="931"/>
      <c r="K1606" s="937"/>
    </row>
    <row r="1607" customFormat="false" ht="15.75" hidden="true" customHeight="false" outlineLevel="0" collapsed="false">
      <c r="A1607" s="937"/>
      <c r="B1607" s="1002" t="str">
        <f aca="false">дома!A2307</f>
        <v>труба водосточная</v>
      </c>
      <c r="C1607" s="1003" t="str">
        <f aca="false">дома!B2307</f>
        <v>м.п.</v>
      </c>
      <c r="D1607" s="953" t="n">
        <f aca="false">дома!C2307</f>
        <v>0</v>
      </c>
      <c r="E1607" s="1004" t="n">
        <f aca="false">дома!D2307</f>
        <v>300</v>
      </c>
      <c r="F1607" s="1004"/>
      <c r="G1607" s="967" t="n">
        <f aca="false">IF(F1607&gt;0,D1607*F1607,E1607*D1607)</f>
        <v>0</v>
      </c>
      <c r="H1607" s="970" t="n">
        <f aca="false">D1607*E1607*$H$1576</f>
        <v>0</v>
      </c>
      <c r="I1607" s="936" t="n">
        <f aca="false">IF(G1607&gt;H1607,G1607,H1607)*$H$1576</f>
        <v>0</v>
      </c>
      <c r="J1607" s="931"/>
      <c r="K1607" s="937"/>
    </row>
    <row r="1608" customFormat="false" ht="15.75" hidden="true" customHeight="false" outlineLevel="0" collapsed="false">
      <c r="A1608" s="937"/>
      <c r="B1608" s="1002" t="str">
        <f aca="false">дома!A2308</f>
        <v>заглушка для желоба</v>
      </c>
      <c r="C1608" s="1003" t="str">
        <f aca="false">дома!B2308</f>
        <v>шт</v>
      </c>
      <c r="D1608" s="953" t="n">
        <f aca="false">дома!C2308</f>
        <v>2</v>
      </c>
      <c r="E1608" s="1004" t="n">
        <f aca="false">дома!D2308</f>
        <v>190</v>
      </c>
      <c r="F1608" s="1004"/>
      <c r="G1608" s="967" t="n">
        <f aca="false">IF(F1608&gt;0,D1608*F1608,E1608*D1608)</f>
        <v>380</v>
      </c>
      <c r="H1608" s="970" t="n">
        <f aca="false">D1608*E1608*$H$1576</f>
        <v>0</v>
      </c>
      <c r="I1608" s="936" t="n">
        <f aca="false">IF(G1608&gt;H1608,G1608,H1608)*$H$1576</f>
        <v>0</v>
      </c>
      <c r="J1608" s="931"/>
      <c r="K1608" s="937"/>
    </row>
    <row r="1609" customFormat="false" ht="15.75" hidden="true" customHeight="false" outlineLevel="0" collapsed="false">
      <c r="A1609" s="937"/>
      <c r="B1609" s="1002" t="str">
        <f aca="false">дома!A2309</f>
        <v>соеденитель для желоба</v>
      </c>
      <c r="C1609" s="1003" t="str">
        <f aca="false">дома!B2309</f>
        <v>шт</v>
      </c>
      <c r="D1609" s="953" t="n">
        <f aca="false">дома!C2309</f>
        <v>2</v>
      </c>
      <c r="E1609" s="1004" t="n">
        <f aca="false">дома!D2309</f>
        <v>180</v>
      </c>
      <c r="F1609" s="1004"/>
      <c r="G1609" s="967" t="n">
        <f aca="false">IF(F1609&gt;0,D1609*F1609,E1609*D1609)</f>
        <v>360</v>
      </c>
      <c r="H1609" s="970" t="n">
        <f aca="false">D1609*E1609*$H$1576</f>
        <v>0</v>
      </c>
      <c r="I1609" s="936" t="n">
        <f aca="false">IF(G1609&gt;H1609,G1609,H1609)*$H$1576</f>
        <v>0</v>
      </c>
      <c r="J1609" s="931"/>
      <c r="K1609" s="937"/>
    </row>
    <row r="1610" customFormat="false" ht="15.75" hidden="true" customHeight="false" outlineLevel="0" collapsed="false">
      <c r="A1610" s="937"/>
      <c r="B1610" s="1002" t="str">
        <f aca="false">дома!A2310</f>
        <v>кронштейн для желоба</v>
      </c>
      <c r="C1610" s="1003" t="str">
        <f aca="false">дома!B2310</f>
        <v>шт</v>
      </c>
      <c r="D1610" s="953" t="n">
        <f aca="false">дома!C2310</f>
        <v>10.45</v>
      </c>
      <c r="E1610" s="1004" t="n">
        <f aca="false">дома!D2310</f>
        <v>130</v>
      </c>
      <c r="F1610" s="1004"/>
      <c r="G1610" s="967" t="n">
        <f aca="false">IF(F1610&gt;0,D1610*F1610,E1610*D1610)</f>
        <v>1358.5</v>
      </c>
      <c r="H1610" s="970" t="n">
        <f aca="false">D1610*E1610*$H$1576</f>
        <v>0</v>
      </c>
      <c r="I1610" s="936" t="n">
        <f aca="false">IF(G1610&gt;H1610,G1610,H1610)*$H$1576</f>
        <v>0</v>
      </c>
      <c r="J1610" s="931"/>
      <c r="K1610" s="937"/>
    </row>
    <row r="1611" customFormat="false" ht="15.75" hidden="true" customHeight="false" outlineLevel="0" collapsed="false">
      <c r="A1611" s="937"/>
      <c r="B1611" s="1002" t="str">
        <f aca="false">дома!A2311</f>
        <v>переход из желоба в трубу</v>
      </c>
      <c r="C1611" s="1003" t="str">
        <f aca="false">дома!B2311</f>
        <v>шт</v>
      </c>
      <c r="D1611" s="953" t="n">
        <f aca="false">дома!C2311</f>
        <v>2</v>
      </c>
      <c r="E1611" s="1004" t="n">
        <f aca="false">дома!D2311</f>
        <v>350</v>
      </c>
      <c r="F1611" s="1004"/>
      <c r="G1611" s="967" t="n">
        <f aca="false">IF(F1611&gt;0,D1611*F1611,E1611*D1611)</f>
        <v>700</v>
      </c>
      <c r="H1611" s="970" t="n">
        <f aca="false">D1611*E1611*$H$1576</f>
        <v>0</v>
      </c>
      <c r="I1611" s="936" t="n">
        <f aca="false">IF(G1611&gt;H1611,G1611,H1611)*$H$1576</f>
        <v>0</v>
      </c>
      <c r="J1611" s="931"/>
      <c r="K1611" s="937"/>
    </row>
    <row r="1612" customFormat="false" ht="15.75" hidden="true" customHeight="false" outlineLevel="0" collapsed="false">
      <c r="A1612" s="937"/>
      <c r="B1612" s="1002" t="str">
        <f aca="false">дома!A2312</f>
        <v>лента дельта мульти бэнд</v>
      </c>
      <c r="C1612" s="1003" t="str">
        <f aca="false">дома!B2312</f>
        <v>шт</v>
      </c>
      <c r="D1612" s="953" t="n">
        <f aca="false">дома!C2312</f>
        <v>0.257564900310288</v>
      </c>
      <c r="E1612" s="1004" t="n">
        <f aca="false">дома!D2312</f>
        <v>1200</v>
      </c>
      <c r="F1612" s="1004"/>
      <c r="G1612" s="967" t="n">
        <f aca="false">IF(F1612&gt;0,D1612*F1612,E1612*D1612)</f>
        <v>309.077880372346</v>
      </c>
      <c r="H1612" s="970" t="n">
        <f aca="false">D1612*E1612*$H$1576</f>
        <v>0</v>
      </c>
      <c r="I1612" s="936" t="n">
        <f aca="false">IF(G1612&gt;H1612,G1612,H1612)*$H$1576</f>
        <v>0</v>
      </c>
      <c r="J1612" s="931"/>
      <c r="K1612" s="937"/>
    </row>
    <row r="1613" customFormat="false" ht="15.75" hidden="true" customHeight="false" outlineLevel="0" collapsed="false">
      <c r="A1613" s="937"/>
      <c r="B1613" s="1002" t="str">
        <f aca="false">дома!A2313</f>
        <v>лента дельта sb-60</v>
      </c>
      <c r="C1613" s="1003" t="str">
        <f aca="false">дома!B2313</f>
        <v>шт</v>
      </c>
      <c r="D1613" s="953" t="n">
        <f aca="false">дома!C2313</f>
        <v>0.200328255796891</v>
      </c>
      <c r="E1613" s="1004" t="n">
        <f aca="false">дома!D2313</f>
        <v>1100</v>
      </c>
      <c r="F1613" s="1004"/>
      <c r="G1613" s="967" t="n">
        <f aca="false">IF(F1613&gt;0,D1613*F1613,E1613*D1613)</f>
        <v>220.36108137658</v>
      </c>
      <c r="H1613" s="970" t="n">
        <f aca="false">D1613*E1613*$H$1576</f>
        <v>0</v>
      </c>
      <c r="I1613" s="936" t="n">
        <f aca="false">IF(G1613&gt;H1613,G1613,H1613)*$H$1576</f>
        <v>0</v>
      </c>
      <c r="J1613" s="931"/>
      <c r="K1613" s="937"/>
    </row>
    <row r="1614" customFormat="false" ht="15.75" hidden="true" customHeight="false" outlineLevel="0" collapsed="false">
      <c r="A1614" s="937"/>
      <c r="B1614" s="1002" t="str">
        <f aca="false">дома!A2314</f>
        <v>Кровельный саморез</v>
      </c>
      <c r="C1614" s="1003" t="str">
        <f aca="false">дома!B2314</f>
        <v>шт</v>
      </c>
      <c r="D1614" s="953" t="n">
        <f aca="false">дома!C2314</f>
        <v>108.177258130321</v>
      </c>
      <c r="E1614" s="1004" t="n">
        <f aca="false">дома!D2314</f>
        <v>2</v>
      </c>
      <c r="F1614" s="1004"/>
      <c r="G1614" s="967" t="n">
        <f aca="false">IF(F1614&gt;0,D1614*F1614,E1614*D1614)</f>
        <v>216.354516260642</v>
      </c>
      <c r="H1614" s="970" t="n">
        <f aca="false">D1614*E1614*$H$1576</f>
        <v>0</v>
      </c>
      <c r="I1614" s="936" t="n">
        <f aca="false">IF(G1614&gt;H1614,G1614,H1614)*$H$1576</f>
        <v>0</v>
      </c>
      <c r="J1614" s="931"/>
      <c r="K1614" s="937"/>
    </row>
    <row r="1615" customFormat="false" ht="15.75" hidden="true" customHeight="false" outlineLevel="0" collapsed="false">
      <c r="A1615" s="937"/>
      <c r="B1615" s="973" t="s">
        <v>2247</v>
      </c>
      <c r="C1615" s="973"/>
      <c r="D1615" s="973"/>
      <c r="E1615" s="973"/>
      <c r="F1615" s="973"/>
      <c r="G1615" s="970" t="n">
        <f aca="false">SUM(G1578:G1614)*H1576</f>
        <v>0</v>
      </c>
      <c r="H1615" s="970" t="n">
        <f aca="false">SUM(H1578:H1614)</f>
        <v>0</v>
      </c>
      <c r="I1615" s="936" t="n">
        <f aca="false">IF(G1615&gt;H1615,G1615,H1615)*$H$1576</f>
        <v>0</v>
      </c>
      <c r="J1615" s="931"/>
      <c r="K1615" s="937"/>
    </row>
    <row r="1616" customFormat="false" ht="15.75" hidden="true" customHeight="false" outlineLevel="0" collapsed="false">
      <c r="A1616" s="937"/>
      <c r="B1616" s="1044" t="s">
        <v>2007</v>
      </c>
      <c r="C1616" s="1044"/>
      <c r="D1616" s="1044"/>
      <c r="E1616" s="1044"/>
      <c r="F1616" s="1046"/>
      <c r="G1616" s="977"/>
      <c r="H1616" s="1000" t="n">
        <f aca="false">H1576</f>
        <v>0</v>
      </c>
      <c r="I1616" s="1026" t="n">
        <f aca="false">H1616</f>
        <v>0</v>
      </c>
      <c r="J1616" s="931"/>
      <c r="K1616" s="937"/>
    </row>
    <row r="1617" customFormat="false" ht="15.75" hidden="true" customHeight="false" outlineLevel="0" collapsed="false">
      <c r="A1617" s="937"/>
      <c r="B1617" s="1002" t="str">
        <f aca="false">дома!G2278</f>
        <v>монтаж стропил</v>
      </c>
      <c r="C1617" s="1003" t="str">
        <f aca="false">дома!J2278</f>
        <v>м2</v>
      </c>
      <c r="D1617" s="953" t="n">
        <f aca="false">дома!K2278</f>
        <v>9.01477151086009</v>
      </c>
      <c r="E1617" s="1004" t="n">
        <f aca="false">дома!L2278</f>
        <v>450</v>
      </c>
      <c r="F1617" s="1004"/>
      <c r="G1617" s="967" t="n">
        <f aca="false">IF(F1617&gt;0,D1617*F1617,E1617*D1617)</f>
        <v>4056.64717988704</v>
      </c>
      <c r="H1617" s="970" t="n">
        <f aca="false">D1617*E1617*$H$1616</f>
        <v>0</v>
      </c>
      <c r="I1617" s="936" t="n">
        <f aca="false">IF(G1617&gt;H1617,G1617,H1617)*$H$1576</f>
        <v>0</v>
      </c>
      <c r="J1617" s="931"/>
      <c r="K1617" s="937"/>
    </row>
    <row r="1618" customFormat="false" ht="15.75" hidden="true" customHeight="false" outlineLevel="0" collapsed="false">
      <c r="A1618" s="937"/>
      <c r="B1618" s="1002" t="str">
        <f aca="false">дома!G2279</f>
        <v>обрешетка</v>
      </c>
      <c r="C1618" s="1003" t="str">
        <f aca="false">дома!J2279</f>
        <v>м2</v>
      </c>
      <c r="D1618" s="953" t="n">
        <f aca="false">дома!K2279</f>
        <v>9.01477151086009</v>
      </c>
      <c r="E1618" s="1004" t="n">
        <f aca="false">дома!L2279</f>
        <v>100</v>
      </c>
      <c r="F1618" s="1004"/>
      <c r="G1618" s="967" t="n">
        <f aca="false">IF(F1618&gt;0,D1618*F1618,E1618*D1618)</f>
        <v>901.477151086009</v>
      </c>
      <c r="H1618" s="970" t="n">
        <f aca="false">D1618*E1618*$H$1616</f>
        <v>0</v>
      </c>
      <c r="I1618" s="936" t="n">
        <f aca="false">IF(G1618&gt;H1618,G1618,H1618)*$H$1576</f>
        <v>0</v>
      </c>
      <c r="J1618" s="931"/>
      <c r="K1618" s="937"/>
    </row>
    <row r="1619" customFormat="false" ht="15.75" hidden="true" customHeight="false" outlineLevel="0" collapsed="false">
      <c r="A1619" s="937"/>
      <c r="B1619" s="1002" t="str">
        <f aca="false">дома!G2280</f>
        <v>контробеш</v>
      </c>
      <c r="C1619" s="1003" t="str">
        <f aca="false">дома!J2280</f>
        <v>м2</v>
      </c>
      <c r="D1619" s="953" t="n">
        <f aca="false">дома!K2280</f>
        <v>0</v>
      </c>
      <c r="E1619" s="1004" t="n">
        <f aca="false">дома!L2280</f>
        <v>100</v>
      </c>
      <c r="F1619" s="1004"/>
      <c r="G1619" s="967" t="n">
        <f aca="false">IF(F1619&gt;0,D1619*F1619,E1619*D1619)</f>
        <v>0</v>
      </c>
      <c r="H1619" s="970" t="n">
        <f aca="false">D1619*E1619*$H$1616</f>
        <v>0</v>
      </c>
      <c r="I1619" s="936" t="n">
        <f aca="false">IF(G1619&gt;H1619,G1619,H1619)*$H$1576</f>
        <v>0</v>
      </c>
      <c r="J1619" s="931"/>
      <c r="K1619" s="937"/>
    </row>
    <row r="1620" customFormat="false" ht="15.75" hidden="true" customHeight="false" outlineLevel="0" collapsed="false">
      <c r="A1620" s="937"/>
      <c r="B1620" s="1002" t="str">
        <f aca="false">дома!G2281</f>
        <v>мембрана</v>
      </c>
      <c r="C1620" s="1003" t="str">
        <f aca="false">дома!J2281</f>
        <v>м2</v>
      </c>
      <c r="D1620" s="953" t="n">
        <f aca="false">дома!K2281</f>
        <v>9.01477151086009</v>
      </c>
      <c r="E1620" s="1004" t="n">
        <f aca="false">дома!L2281</f>
        <v>100</v>
      </c>
      <c r="F1620" s="1004"/>
      <c r="G1620" s="967" t="n">
        <f aca="false">IF(F1620&gt;0,D1620*F1620,E1620*D1620)</f>
        <v>901.477151086009</v>
      </c>
      <c r="H1620" s="970" t="n">
        <f aca="false">D1620*E1620*$H$1616</f>
        <v>0</v>
      </c>
      <c r="I1620" s="936" t="n">
        <f aca="false">IF(G1620&gt;H1620,G1620,H1620)*$H$1576</f>
        <v>0</v>
      </c>
      <c r="J1620" s="931"/>
      <c r="K1620" s="937"/>
    </row>
    <row r="1621" customFormat="false" ht="15.75" hidden="true" customHeight="false" outlineLevel="0" collapsed="false">
      <c r="A1621" s="937"/>
      <c r="B1621" s="1002" t="str">
        <f aca="false">дома!G2282</f>
        <v>Монтаж металлочерепицы</v>
      </c>
      <c r="C1621" s="1003" t="str">
        <f aca="false">дома!J2282</f>
        <v>м2</v>
      </c>
      <c r="D1621" s="953" t="n">
        <f aca="false">дома!K2282</f>
        <v>9.01477151086009</v>
      </c>
      <c r="E1621" s="1004" t="n">
        <f aca="false">дома!L2282</f>
        <v>300</v>
      </c>
      <c r="F1621" s="1004"/>
      <c r="G1621" s="967" t="n">
        <f aca="false">IF(F1621&gt;0,D1621*F1621,E1621*D1621)</f>
        <v>2704.43145325803</v>
      </c>
      <c r="H1621" s="970" t="n">
        <f aca="false">D1621*E1621*$H$1616</f>
        <v>0</v>
      </c>
      <c r="I1621" s="936" t="n">
        <f aca="false">IF(G1621&gt;H1621,G1621,H1621)*$H$1576</f>
        <v>0</v>
      </c>
      <c r="J1621" s="931"/>
      <c r="K1621" s="937"/>
    </row>
    <row r="1622" customFormat="false" ht="15.75" hidden="true" customHeight="false" outlineLevel="0" collapsed="false">
      <c r="A1622" s="937"/>
      <c r="B1622" s="1002" t="str">
        <f aca="false">дома!G2283</f>
        <v>карнизная планка</v>
      </c>
      <c r="C1622" s="1003" t="str">
        <f aca="false">дома!J2283</f>
        <v>м2</v>
      </c>
      <c r="D1622" s="953" t="n">
        <f aca="false">дома!K2283</f>
        <v>4.18</v>
      </c>
      <c r="E1622" s="1004" t="n">
        <f aca="false">дома!L2283</f>
        <v>100</v>
      </c>
      <c r="F1622" s="1004"/>
      <c r="G1622" s="967" t="n">
        <f aca="false">IF(F1622&gt;0,D1622*F1622,E1622*D1622)</f>
        <v>418</v>
      </c>
      <c r="H1622" s="970" t="n">
        <f aca="false">D1622*E1622*$H$1616</f>
        <v>0</v>
      </c>
      <c r="I1622" s="936" t="n">
        <f aca="false">IF(G1622&gt;H1622,G1622,H1622)*$H$1576</f>
        <v>0</v>
      </c>
      <c r="J1622" s="931"/>
      <c r="K1622" s="937"/>
    </row>
    <row r="1623" customFormat="false" ht="15.75" hidden="true" customHeight="false" outlineLevel="0" collapsed="false">
      <c r="A1623" s="937"/>
      <c r="B1623" s="1002" t="str">
        <f aca="false">дома!G2284</f>
        <v>торцевая планка</v>
      </c>
      <c r="C1623" s="1003" t="str">
        <f aca="false">дома!J2284</f>
        <v>м2</v>
      </c>
      <c r="D1623" s="953" t="n">
        <f aca="false">дома!K2284</f>
        <v>5.21907824312953</v>
      </c>
      <c r="E1623" s="1004" t="n">
        <f aca="false">дома!L2284</f>
        <v>100</v>
      </c>
      <c r="F1623" s="1004"/>
      <c r="G1623" s="967" t="n">
        <f aca="false">IF(F1623&gt;0,D1623*F1623,E1623*D1623)</f>
        <v>521.907824312953</v>
      </c>
      <c r="H1623" s="970" t="n">
        <f aca="false">D1623*E1623*$H$1616</f>
        <v>0</v>
      </c>
      <c r="I1623" s="936" t="n">
        <f aca="false">IF(G1623&gt;H1623,G1623,H1623)*$H$1576</f>
        <v>0</v>
      </c>
      <c r="J1623" s="931"/>
      <c r="K1623" s="937"/>
    </row>
    <row r="1624" customFormat="false" ht="15.75" hidden="true" customHeight="false" outlineLevel="0" collapsed="false">
      <c r="A1624" s="937"/>
      <c r="B1624" s="1002" t="str">
        <f aca="false">дома!G2285</f>
        <v>желоб водосточный</v>
      </c>
      <c r="C1624" s="1003" t="str">
        <f aca="false">дома!J2285</f>
        <v>м.п.</v>
      </c>
      <c r="D1624" s="953" t="n">
        <f aca="false">дома!K2285</f>
        <v>4.18</v>
      </c>
      <c r="E1624" s="1004" t="n">
        <f aca="false">дома!L2285</f>
        <v>300</v>
      </c>
      <c r="F1624" s="1004"/>
      <c r="G1624" s="967" t="n">
        <f aca="false">IF(F1624&gt;0,D1624*F1624,E1624*D1624)</f>
        <v>1254</v>
      </c>
      <c r="H1624" s="970" t="n">
        <f aca="false">D1624*E1624*$H$1616</f>
        <v>0</v>
      </c>
      <c r="I1624" s="936" t="n">
        <f aca="false">IF(G1624&gt;H1624,G1624,H1624)*$H$1576</f>
        <v>0</v>
      </c>
      <c r="J1624" s="931"/>
      <c r="K1624" s="937"/>
    </row>
    <row r="1625" customFormat="false" ht="15.75" hidden="true" customHeight="false" outlineLevel="0" collapsed="false">
      <c r="A1625" s="937"/>
      <c r="B1625" s="1002" t="str">
        <f aca="false">дома!G2286</f>
        <v>труба водосточная</v>
      </c>
      <c r="C1625" s="1003" t="str">
        <f aca="false">дома!J2286</f>
        <v>м.п.</v>
      </c>
      <c r="D1625" s="953" t="n">
        <f aca="false">дома!K2286</f>
        <v>0</v>
      </c>
      <c r="E1625" s="1004" t="n">
        <f aca="false">дома!L2286</f>
        <v>300</v>
      </c>
      <c r="F1625" s="1004"/>
      <c r="G1625" s="967" t="n">
        <f aca="false">IF(F1625&gt;0,D1625*F1625,E1625*D1625)</f>
        <v>0</v>
      </c>
      <c r="H1625" s="970" t="n">
        <f aca="false">D1625*E1625*$H$1616</f>
        <v>0</v>
      </c>
      <c r="I1625" s="936" t="n">
        <f aca="false">IF(G1625&gt;H1625,G1625,H1625)*$H$1576</f>
        <v>0</v>
      </c>
      <c r="J1625" s="931"/>
      <c r="K1625" s="937"/>
    </row>
    <row r="1626" customFormat="false" ht="15.75" hidden="true" customHeight="false" outlineLevel="0" collapsed="false">
      <c r="A1626" s="937"/>
      <c r="B1626" s="1002" t="str">
        <f aca="false">дома!G2287</f>
        <v>Монтаж ондулина</v>
      </c>
      <c r="C1626" s="1003" t="str">
        <f aca="false">дома!J2287</f>
        <v>м2</v>
      </c>
      <c r="D1626" s="953" t="n">
        <f aca="false">дома!K2287</f>
        <v>0</v>
      </c>
      <c r="E1626" s="1004" t="n">
        <f aca="false">дома!L2287</f>
        <v>300</v>
      </c>
      <c r="F1626" s="1004"/>
      <c r="G1626" s="967" t="n">
        <f aca="false">IF(F1626&gt;0,D1626*F1626,E1626*D1626)</f>
        <v>0</v>
      </c>
      <c r="H1626" s="970" t="n">
        <f aca="false">D1626*E1626*$H$1616</f>
        <v>0</v>
      </c>
      <c r="I1626" s="936" t="n">
        <f aca="false">IF(G1626&gt;H1626,G1626,H1626)*$H$1576</f>
        <v>0</v>
      </c>
      <c r="J1626" s="931"/>
      <c r="K1626" s="937"/>
    </row>
    <row r="1627" customFormat="false" ht="15.75" hidden="true" customHeight="false" outlineLevel="0" collapsed="false">
      <c r="A1627" s="937"/>
      <c r="B1627" s="1002" t="str">
        <f aca="false">дома!G2288</f>
        <v>Монтаж фанеры/osb</v>
      </c>
      <c r="C1627" s="1003" t="str">
        <f aca="false">дома!J2288</f>
        <v>м2</v>
      </c>
      <c r="D1627" s="953" t="n">
        <f aca="false">дома!K2288</f>
        <v>0</v>
      </c>
      <c r="E1627" s="1004" t="n">
        <f aca="false">дома!L2288</f>
        <v>200</v>
      </c>
      <c r="F1627" s="1004"/>
      <c r="G1627" s="967" t="n">
        <f aca="false">IF(F1627&gt;0,D1627*F1627,E1627*D1627)</f>
        <v>0</v>
      </c>
      <c r="H1627" s="970" t="n">
        <f aca="false">D1627*E1627*$H$1616</f>
        <v>0</v>
      </c>
      <c r="I1627" s="936" t="n">
        <f aca="false">IF(G1627&gt;H1627,G1627,H1627)*$H$1576</f>
        <v>0</v>
      </c>
      <c r="J1627" s="931"/>
      <c r="K1627" s="937"/>
    </row>
    <row r="1628" customFormat="false" ht="15.75" hidden="true" customHeight="false" outlineLevel="0" collapsed="false">
      <c r="A1628" s="937"/>
      <c r="B1628" s="1002" t="str">
        <f aca="false">дома!G2289</f>
        <v>монтаж подкладочного ковра</v>
      </c>
      <c r="C1628" s="1003" t="str">
        <f aca="false">дома!J2289</f>
        <v>м2</v>
      </c>
      <c r="D1628" s="953" t="n">
        <f aca="false">дома!K2289</f>
        <v>0</v>
      </c>
      <c r="E1628" s="1004" t="n">
        <f aca="false">дома!L2289</f>
        <v>150</v>
      </c>
      <c r="F1628" s="1004"/>
      <c r="G1628" s="967" t="n">
        <f aca="false">IF(F1628&gt;0,D1628*F1628,E1628*D1628)</f>
        <v>0</v>
      </c>
      <c r="H1628" s="970" t="n">
        <f aca="false">D1628*E1628*$H$1616</f>
        <v>0</v>
      </c>
      <c r="I1628" s="936" t="n">
        <f aca="false">IF(G1628&gt;H1628,G1628,H1628)*$H$1576</f>
        <v>0</v>
      </c>
      <c r="J1628" s="931"/>
      <c r="K1628" s="937"/>
    </row>
    <row r="1629" customFormat="false" ht="15.75" hidden="true" customHeight="false" outlineLevel="0" collapsed="false">
      <c r="A1629" s="937"/>
      <c r="B1629" s="1002" t="str">
        <f aca="false">дома!G2290</f>
        <v>Монтаж мягкой кровли</v>
      </c>
      <c r="C1629" s="1003" t="str">
        <f aca="false">дома!J2290</f>
        <v>м2</v>
      </c>
      <c r="D1629" s="953" t="n">
        <f aca="false">дома!K2290</f>
        <v>0</v>
      </c>
      <c r="E1629" s="1004" t="n">
        <f aca="false">дома!L2290</f>
        <v>350</v>
      </c>
      <c r="F1629" s="1004"/>
      <c r="G1629" s="967" t="n">
        <f aca="false">IF(F1629&gt;0,D1629*F1629,E1629*D1629)</f>
        <v>0</v>
      </c>
      <c r="H1629" s="970" t="n">
        <f aca="false">D1629*E1629*$H$1616</f>
        <v>0</v>
      </c>
      <c r="I1629" s="936" t="n">
        <f aca="false">IF(G1629&gt;H1629,G1629,H1629)*$H$1576</f>
        <v>0</v>
      </c>
      <c r="J1629" s="931"/>
      <c r="K1629" s="937"/>
    </row>
    <row r="1630" customFormat="false" ht="15.75" hidden="true" customHeight="false" outlineLevel="0" collapsed="false">
      <c r="A1630" s="937"/>
      <c r="B1630" s="1002" t="str">
        <f aca="false">дома!G2291</f>
        <v>Монтаж планки примыкания</v>
      </c>
      <c r="C1630" s="1003" t="str">
        <f aca="false">дома!J2291</f>
        <v>м.п.</v>
      </c>
      <c r="D1630" s="953" t="n">
        <f aca="false">дома!K2291</f>
        <v>0</v>
      </c>
      <c r="E1630" s="1004" t="n">
        <f aca="false">дома!L2291</f>
        <v>200</v>
      </c>
      <c r="F1630" s="1004"/>
      <c r="G1630" s="967" t="n">
        <f aca="false">IF(F1630&gt;0,D1630*F1630,E1630*D1630)</f>
        <v>0</v>
      </c>
      <c r="H1630" s="970" t="n">
        <f aca="false">D1630*E1630*$H$1616</f>
        <v>0</v>
      </c>
      <c r="I1630" s="936" t="n">
        <f aca="false">IF(G1630&gt;H1630,G1630,H1630)*$H$1576</f>
        <v>0</v>
      </c>
      <c r="J1630" s="931"/>
      <c r="K1630" s="937"/>
    </row>
    <row r="1631" customFormat="false" ht="15.75" hidden="true" customHeight="false" outlineLevel="0" collapsed="false">
      <c r="A1631" s="937"/>
      <c r="B1631" s="973" t="s">
        <v>2248</v>
      </c>
      <c r="C1631" s="973"/>
      <c r="D1631" s="973"/>
      <c r="E1631" s="973"/>
      <c r="F1631" s="973"/>
      <c r="G1631" s="970" t="n">
        <f aca="false">SUM(G1617:G1630)*H1616</f>
        <v>0</v>
      </c>
      <c r="H1631" s="970" t="n">
        <f aca="false">SUM(H1617:H1630)</f>
        <v>0</v>
      </c>
      <c r="I1631" s="936" t="n">
        <f aca="false">IF(G1631&gt;H1631,G1631,H1631)*$H$1576</f>
        <v>0</v>
      </c>
      <c r="J1631" s="931"/>
      <c r="K1631" s="937"/>
    </row>
    <row r="1632" customFormat="false" ht="21" hidden="true" customHeight="false" outlineLevel="0" collapsed="false">
      <c r="A1632" s="937"/>
      <c r="B1632" s="989" t="s">
        <v>2276</v>
      </c>
      <c r="C1632" s="989"/>
      <c r="D1632" s="989"/>
      <c r="E1632" s="989"/>
      <c r="F1632" s="989"/>
      <c r="G1632" s="977"/>
      <c r="H1632" s="1007" t="n">
        <f aca="false">VLOOKUP('Ввод данных'!F1234,связи1!A2:B3,2,0)</f>
        <v>0</v>
      </c>
      <c r="I1632" s="1026" t="n">
        <f aca="false">H1632</f>
        <v>0</v>
      </c>
      <c r="J1632" s="931"/>
      <c r="K1632" s="937"/>
    </row>
    <row r="1633" customFormat="false" ht="15.75" hidden="true" customHeight="false" outlineLevel="0" collapsed="false">
      <c r="A1633" s="931"/>
      <c r="B1633" s="1008" t="s">
        <v>2246</v>
      </c>
      <c r="C1633" s="1008"/>
      <c r="D1633" s="1008"/>
      <c r="E1633" s="1008"/>
      <c r="F1633" s="1008"/>
      <c r="G1633" s="977"/>
      <c r="H1633" s="1009" t="n">
        <f aca="false">H1632</f>
        <v>0</v>
      </c>
      <c r="I1633" s="1026" t="n">
        <f aca="false">H1633</f>
        <v>0</v>
      </c>
      <c r="J1633" s="931"/>
      <c r="K1633" s="937"/>
    </row>
    <row r="1634" customFormat="false" ht="15.75" hidden="true" customHeight="false" outlineLevel="0" collapsed="false">
      <c r="A1634" s="931"/>
      <c r="B1634" s="992" t="str">
        <f aca="false">отделка!A393</f>
        <v>окна   </v>
      </c>
      <c r="C1634" s="993" t="str">
        <f aca="false">отделка!B393</f>
        <v>м2</v>
      </c>
      <c r="D1634" s="992" t="n">
        <f aca="false">отделка!C393</f>
        <v>1.2</v>
      </c>
      <c r="E1634" s="992" t="n">
        <f aca="false">отделка!D393</f>
        <v>3500</v>
      </c>
      <c r="F1634" s="992"/>
      <c r="G1634" s="967" t="n">
        <f aca="false">IF(F1634&gt;0,D1634*F1634,E1634*D1634)</f>
        <v>4200</v>
      </c>
      <c r="H1634" s="975" t="n">
        <f aca="false">D1634*E1634*$H$1633</f>
        <v>0</v>
      </c>
      <c r="I1634" s="936" t="n">
        <f aca="false">IF(G1634&gt;H1634,G1634,H1634)*$H$1632</f>
        <v>0</v>
      </c>
      <c r="J1634" s="931"/>
      <c r="K1634" s="937"/>
    </row>
    <row r="1635" customFormat="false" ht="15.75" hidden="true" customHeight="false" outlineLevel="0" collapsed="false">
      <c r="A1635" s="937"/>
      <c r="B1635" s="992" t="str">
        <f aca="false">отделка!A394</f>
        <v>подоконник</v>
      </c>
      <c r="C1635" s="993" t="str">
        <f aca="false">отделка!B394</f>
        <v>м.п.</v>
      </c>
      <c r="D1635" s="992" t="n">
        <f aca="false">отделка!C394</f>
        <v>1</v>
      </c>
      <c r="E1635" s="992" t="n">
        <f aca="false">отделка!D394</f>
        <v>200</v>
      </c>
      <c r="F1635" s="992"/>
      <c r="G1635" s="967" t="n">
        <f aca="false">IF(F1635&gt;0,D1635*F1635,E1635*D1635)</f>
        <v>200</v>
      </c>
      <c r="H1635" s="975" t="n">
        <f aca="false">D1635*E1635*$H$1633</f>
        <v>0</v>
      </c>
      <c r="I1635" s="936" t="n">
        <f aca="false">IF(G1635&gt;H1635,G1635,H1635)*$H$1632</f>
        <v>0</v>
      </c>
      <c r="J1635" s="931"/>
      <c r="K1635" s="937"/>
    </row>
    <row r="1636" customFormat="false" ht="15.75" hidden="true" customHeight="false" outlineLevel="0" collapsed="false">
      <c r="A1636" s="937"/>
      <c r="B1636" s="992" t="str">
        <f aca="false">отделка!A395</f>
        <v>направляющие для откосов внутр</v>
      </c>
      <c r="C1636" s="993" t="str">
        <f aca="false">отделка!B395</f>
        <v>шт</v>
      </c>
      <c r="D1636" s="992" t="n">
        <f aca="false">отделка!C395</f>
        <v>3.4</v>
      </c>
      <c r="E1636" s="992" t="n">
        <f aca="false">отделка!D395</f>
        <v>50</v>
      </c>
      <c r="F1636" s="992"/>
      <c r="G1636" s="967" t="n">
        <f aca="false">IF(F1636&gt;0,D1636*F1636,E1636*D1636)</f>
        <v>170</v>
      </c>
      <c r="H1636" s="975" t="n">
        <f aca="false">D1636*E1636*$H$1633</f>
        <v>0</v>
      </c>
      <c r="I1636" s="936" t="n">
        <f aca="false">IF(G1636&gt;H1636,G1636,H1636)*$H$1632</f>
        <v>0</v>
      </c>
      <c r="J1636" s="931"/>
      <c r="K1636" s="937"/>
    </row>
    <row r="1637" customFormat="false" ht="15.75" hidden="true" customHeight="false" outlineLevel="0" collapsed="false">
      <c r="A1637" s="937"/>
      <c r="B1637" s="992" t="str">
        <f aca="false">отделка!A396</f>
        <v>откосы внутр</v>
      </c>
      <c r="C1637" s="993" t="str">
        <f aca="false">отделка!B396</f>
        <v>шт</v>
      </c>
      <c r="D1637" s="992" t="n">
        <f aca="false">отделка!C396</f>
        <v>3.4</v>
      </c>
      <c r="E1637" s="992" t="n">
        <f aca="false">отделка!D396</f>
        <v>100</v>
      </c>
      <c r="F1637" s="992"/>
      <c r="G1637" s="967" t="n">
        <f aca="false">IF(F1637&gt;0,D1637*F1637,E1637*D1637)</f>
        <v>340</v>
      </c>
      <c r="H1637" s="975" t="n">
        <f aca="false">D1637*E1637*$H$1633</f>
        <v>0</v>
      </c>
      <c r="I1637" s="936" t="n">
        <f aca="false">IF(G1637&gt;H1637,G1637,H1637)*$H$1632</f>
        <v>0</v>
      </c>
      <c r="J1637" s="931"/>
      <c r="K1637" s="937"/>
    </row>
    <row r="1638" customFormat="false" ht="15.75" hidden="true" customHeight="false" outlineLevel="0" collapsed="false">
      <c r="A1638" s="937"/>
      <c r="B1638" s="992" t="str">
        <f aca="false">отделка!A397</f>
        <v>уголок для откосов внутр</v>
      </c>
      <c r="C1638" s="993" t="str">
        <f aca="false">отделка!B397</f>
        <v>шт</v>
      </c>
      <c r="D1638" s="992" t="n">
        <f aca="false">отделка!C397</f>
        <v>3.4</v>
      </c>
      <c r="E1638" s="992" t="n">
        <f aca="false">отделка!D397</f>
        <v>50</v>
      </c>
      <c r="F1638" s="992"/>
      <c r="G1638" s="967" t="n">
        <f aca="false">IF(F1638&gt;0,D1638*F1638,E1638*D1638)</f>
        <v>170</v>
      </c>
      <c r="H1638" s="975" t="n">
        <f aca="false">D1638*E1638*$H$1633</f>
        <v>0</v>
      </c>
      <c r="I1638" s="936" t="n">
        <f aca="false">IF(G1638&gt;H1638,G1638,H1638)*$H$1632</f>
        <v>0</v>
      </c>
      <c r="J1638" s="931"/>
      <c r="K1638" s="937"/>
    </row>
    <row r="1639" customFormat="false" ht="15.75" hidden="true" customHeight="false" outlineLevel="0" collapsed="false">
      <c r="A1639" s="937"/>
      <c r="B1639" s="992" t="str">
        <f aca="false">отделка!A398</f>
        <v>отлив</v>
      </c>
      <c r="C1639" s="993" t="str">
        <f aca="false">отделка!B398</f>
        <v>шт</v>
      </c>
      <c r="D1639" s="992" t="n">
        <f aca="false">отделка!C398</f>
        <v>0</v>
      </c>
      <c r="E1639" s="992" t="n">
        <f aca="false">отделка!D398</f>
        <v>130</v>
      </c>
      <c r="F1639" s="992"/>
      <c r="G1639" s="967" t="n">
        <f aca="false">IF(F1639&gt;0,D1639*F1639,E1639*D1639)</f>
        <v>0</v>
      </c>
      <c r="H1639" s="975" t="n">
        <f aca="false">D1639*E1639*$H$1633</f>
        <v>0</v>
      </c>
      <c r="I1639" s="936" t="n">
        <f aca="false">IF(G1639&gt;H1639,G1639,H1639)*$H$1632</f>
        <v>0</v>
      </c>
      <c r="J1639" s="931"/>
      <c r="K1639" s="937"/>
    </row>
    <row r="1640" customFormat="false" ht="15.75" hidden="true" customHeight="false" outlineLevel="0" collapsed="false">
      <c r="A1640" s="937"/>
      <c r="B1640" s="992" t="str">
        <f aca="false">отделка!A399</f>
        <v>откосы нар</v>
      </c>
      <c r="C1640" s="993" t="str">
        <f aca="false">отделка!B399</f>
        <v>шт</v>
      </c>
      <c r="D1640" s="992" t="n">
        <f aca="false">отделка!C399</f>
        <v>0</v>
      </c>
      <c r="E1640" s="992" t="n">
        <f aca="false">отделка!D399</f>
        <v>150</v>
      </c>
      <c r="F1640" s="992"/>
      <c r="G1640" s="967" t="n">
        <f aca="false">IF(F1640&gt;0,D1640*F1640,E1640*D1640)</f>
        <v>0</v>
      </c>
      <c r="H1640" s="975" t="n">
        <f aca="false">D1640*E1640*$H$1633</f>
        <v>0</v>
      </c>
      <c r="I1640" s="936" t="n">
        <f aca="false">IF(G1640&gt;H1640,G1640,H1640)*$H$1632</f>
        <v>0</v>
      </c>
      <c r="J1640" s="931"/>
      <c r="K1640" s="937"/>
    </row>
    <row r="1641" customFormat="false" ht="15.75" hidden="true" customHeight="false" outlineLevel="0" collapsed="false">
      <c r="A1641" s="937"/>
      <c r="B1641" s="992" t="str">
        <f aca="false">отделка!A400</f>
        <v>направляющие для откосов нар</v>
      </c>
      <c r="C1641" s="993" t="str">
        <f aca="false">отделка!B400</f>
        <v>шт</v>
      </c>
      <c r="D1641" s="992" t="n">
        <f aca="false">отделка!C400</f>
        <v>0</v>
      </c>
      <c r="E1641" s="992" t="n">
        <f aca="false">отделка!D400</f>
        <v>80</v>
      </c>
      <c r="F1641" s="992"/>
      <c r="G1641" s="967" t="n">
        <f aca="false">IF(F1641&gt;0,D1641*F1641,E1641*D1641)</f>
        <v>0</v>
      </c>
      <c r="H1641" s="975" t="n">
        <f aca="false">D1641*E1641*$H$1633</f>
        <v>0</v>
      </c>
      <c r="I1641" s="936" t="n">
        <f aca="false">IF(G1641&gt;H1641,G1641,H1641)*$H$1632</f>
        <v>0</v>
      </c>
      <c r="J1641" s="931"/>
      <c r="K1641" s="937"/>
    </row>
    <row r="1642" customFormat="false" ht="15.75" hidden="true" customHeight="false" outlineLevel="0" collapsed="false">
      <c r="A1642" s="937"/>
      <c r="B1642" s="992" t="str">
        <f aca="false">отделка!A401</f>
        <v>уголок для откосов нар</v>
      </c>
      <c r="C1642" s="993" t="str">
        <f aca="false">отделка!B401</f>
        <v>шт</v>
      </c>
      <c r="D1642" s="992" t="n">
        <f aca="false">отделка!C401</f>
        <v>0</v>
      </c>
      <c r="E1642" s="992" t="n">
        <f aca="false">отделка!D401</f>
        <v>60</v>
      </c>
      <c r="F1642" s="992"/>
      <c r="G1642" s="967" t="n">
        <f aca="false">IF(F1642&gt;0,D1642*F1642,E1642*D1642)</f>
        <v>0</v>
      </c>
      <c r="H1642" s="975" t="n">
        <f aca="false">D1642*E1642*$H$1633</f>
        <v>0</v>
      </c>
      <c r="I1642" s="936" t="n">
        <f aca="false">IF(G1642&gt;H1642,G1642,H1642)*$H$1632</f>
        <v>0</v>
      </c>
      <c r="J1642" s="931"/>
      <c r="K1642" s="937"/>
    </row>
    <row r="1643" customFormat="false" ht="15.75" hidden="true" customHeight="false" outlineLevel="0" collapsed="false">
      <c r="A1643" s="937"/>
      <c r="B1643" s="992" t="str">
        <f aca="false">отделка!A402</f>
        <v>ветроизоляция окон</v>
      </c>
      <c r="C1643" s="993" t="str">
        <f aca="false">отделка!B402</f>
        <v>м.п.</v>
      </c>
      <c r="D1643" s="992" t="n">
        <f aca="false">отделка!C402</f>
        <v>0</v>
      </c>
      <c r="E1643" s="992" t="n">
        <f aca="false">отделка!D402</f>
        <v>40</v>
      </c>
      <c r="F1643" s="992"/>
      <c r="G1643" s="967" t="n">
        <f aca="false">IF(F1643&gt;0,D1643*F1643,E1643*D1643)</f>
        <v>0</v>
      </c>
      <c r="H1643" s="975" t="n">
        <f aca="false">D1643*E1643*$H$1633</f>
        <v>0</v>
      </c>
      <c r="I1643" s="936" t="n">
        <f aca="false">IF(G1643&gt;H1643,G1643,H1643)*$H$1632</f>
        <v>0</v>
      </c>
      <c r="J1643" s="931"/>
      <c r="K1643" s="937"/>
    </row>
    <row r="1644" customFormat="false" ht="15.75" hidden="true" customHeight="false" outlineLevel="0" collapsed="false">
      <c r="A1644" s="937"/>
      <c r="B1644" s="992" t="str">
        <f aca="false">отделка!A403</f>
        <v>пароизоляция окон</v>
      </c>
      <c r="C1644" s="993" t="str">
        <f aca="false">отделка!B403</f>
        <v>шт</v>
      </c>
      <c r="D1644" s="992" t="n">
        <f aca="false">отделка!C403</f>
        <v>3.4</v>
      </c>
      <c r="E1644" s="992" t="n">
        <f aca="false">отделка!D403</f>
        <v>40</v>
      </c>
      <c r="F1644" s="992"/>
      <c r="G1644" s="967" t="n">
        <f aca="false">IF(F1644&gt;0,D1644*F1644,E1644*D1644)</f>
        <v>136</v>
      </c>
      <c r="H1644" s="975" t="n">
        <f aca="false">D1644*E1644*$H$1633</f>
        <v>0</v>
      </c>
      <c r="I1644" s="936" t="n">
        <f aca="false">IF(G1644&gt;H1644,G1644,H1644)*$H$1632</f>
        <v>0</v>
      </c>
      <c r="J1644" s="931"/>
      <c r="K1644" s="937"/>
    </row>
    <row r="1645" customFormat="false" ht="15.75" hidden="true" customHeight="false" outlineLevel="0" collapsed="false">
      <c r="A1645" s="937"/>
      <c r="B1645" s="992" t="str">
        <f aca="false">отделка!A404</f>
        <v>крепления</v>
      </c>
      <c r="C1645" s="993" t="str">
        <f aca="false">отделка!B404</f>
        <v>шт</v>
      </c>
      <c r="D1645" s="992" t="n">
        <f aca="false">отделка!C404</f>
        <v>8</v>
      </c>
      <c r="E1645" s="992" t="n">
        <f aca="false">отделка!D404</f>
        <v>15</v>
      </c>
      <c r="F1645" s="992"/>
      <c r="G1645" s="967" t="n">
        <f aca="false">IF(F1645&gt;0,D1645*F1645,E1645*D1645)</f>
        <v>120</v>
      </c>
      <c r="H1645" s="975" t="n">
        <f aca="false">D1645*E1645*$H$1633</f>
        <v>0</v>
      </c>
      <c r="I1645" s="936" t="n">
        <f aca="false">IF(G1645&gt;H1645,G1645,H1645)*$H$1632</f>
        <v>0</v>
      </c>
      <c r="J1645" s="931"/>
      <c r="K1645" s="937"/>
    </row>
    <row r="1646" customFormat="false" ht="15.75" hidden="true" customHeight="false" outlineLevel="0" collapsed="false">
      <c r="A1646" s="937"/>
      <c r="B1646" s="992" t="str">
        <f aca="false">отделка!A405</f>
        <v>Пена монтажная, всесезонняя 800мл</v>
      </c>
      <c r="C1646" s="993" t="str">
        <f aca="false">отделка!B405</f>
        <v>шт</v>
      </c>
      <c r="D1646" s="992" t="n">
        <f aca="false">отделка!C405</f>
        <v>1</v>
      </c>
      <c r="E1646" s="992" t="n">
        <f aca="false">отделка!D405</f>
        <v>300</v>
      </c>
      <c r="F1646" s="992"/>
      <c r="G1646" s="967" t="n">
        <f aca="false">IF(F1646&gt;0,D1646*F1646,E1646*D1646)</f>
        <v>300</v>
      </c>
      <c r="H1646" s="975" t="n">
        <f aca="false">D1646*E1646*$H$1633</f>
        <v>0</v>
      </c>
      <c r="I1646" s="936" t="n">
        <f aca="false">IF(G1646&gt;H1646,G1646,H1646)*$H$1632</f>
        <v>0</v>
      </c>
      <c r="J1646" s="931"/>
      <c r="K1646" s="937"/>
    </row>
    <row r="1647" customFormat="false" ht="15.75" hidden="true" customHeight="false" outlineLevel="0" collapsed="false">
      <c r="A1647" s="937"/>
      <c r="B1647" s="992" t="str">
        <f aca="false">отделка!A406</f>
        <v>Французские окна</v>
      </c>
      <c r="C1647" s="993" t="str">
        <f aca="false">отделка!B406</f>
        <v>м2</v>
      </c>
      <c r="D1647" s="992" t="n">
        <f aca="false">отделка!C406</f>
        <v>0</v>
      </c>
      <c r="E1647" s="992" t="n">
        <f aca="false">отделка!D406</f>
        <v>6000</v>
      </c>
      <c r="F1647" s="992"/>
      <c r="G1647" s="967" t="n">
        <f aca="false">IF(F1647&gt;0,D1647*F1647,E1647*D1647)</f>
        <v>0</v>
      </c>
      <c r="H1647" s="975" t="n">
        <f aca="false">D1647*E1647*$H$1633</f>
        <v>0</v>
      </c>
      <c r="I1647" s="936" t="n">
        <f aca="false">IF(G1647&gt;H1647,G1647,H1647)*$H$1632</f>
        <v>0</v>
      </c>
      <c r="J1647" s="931"/>
      <c r="K1647" s="937"/>
    </row>
    <row r="1648" customFormat="false" ht="15.75" hidden="true" customHeight="false" outlineLevel="0" collapsed="false">
      <c r="A1648" s="937"/>
      <c r="B1648" s="992" t="str">
        <f aca="false">отделка!A407</f>
        <v>анкерный болт для крепления окно фр</v>
      </c>
      <c r="C1648" s="993" t="str">
        <f aca="false">отделка!B407</f>
        <v>шт</v>
      </c>
      <c r="D1648" s="992" t="n">
        <f aca="false">отделка!C407</f>
        <v>0</v>
      </c>
      <c r="E1648" s="992" t="n">
        <f aca="false">отделка!D407</f>
        <v>20</v>
      </c>
      <c r="F1648" s="992"/>
      <c r="G1648" s="967" t="n">
        <f aca="false">IF(F1648&gt;0,D1648*F1648,E1648*D1648)</f>
        <v>0</v>
      </c>
      <c r="H1648" s="975" t="n">
        <f aca="false">D1648*E1648*$H$1633</f>
        <v>0</v>
      </c>
      <c r="I1648" s="936" t="n">
        <f aca="false">IF(G1648&gt;H1648,G1648,H1648)*$H$1632</f>
        <v>0</v>
      </c>
      <c r="J1648" s="931"/>
      <c r="K1648" s="937"/>
    </row>
    <row r="1649" customFormat="false" ht="15.75" hidden="true" customHeight="false" outlineLevel="0" collapsed="false">
      <c r="A1649" s="937"/>
      <c r="B1649" s="992" t="str">
        <f aca="false">отделка!A408</f>
        <v>Пена монтажная, всесезонняя 800мл</v>
      </c>
      <c r="C1649" s="993" t="str">
        <f aca="false">отделка!B408</f>
        <v>шт</v>
      </c>
      <c r="D1649" s="992" t="n">
        <f aca="false">отделка!C408</f>
        <v>0</v>
      </c>
      <c r="E1649" s="992" t="n">
        <f aca="false">отделка!D408</f>
        <v>300</v>
      </c>
      <c r="F1649" s="992"/>
      <c r="G1649" s="967" t="n">
        <f aca="false">IF(F1649&gt;0,D1649*F1649,E1649*D1649)</f>
        <v>0</v>
      </c>
      <c r="H1649" s="975" t="n">
        <f aca="false">D1649*E1649*$H$1633</f>
        <v>0</v>
      </c>
      <c r="I1649" s="936" t="n">
        <f aca="false">IF(G1649&gt;H1649,G1649,H1649)*$H$1632</f>
        <v>0</v>
      </c>
      <c r="J1649" s="931"/>
      <c r="K1649" s="937"/>
    </row>
    <row r="1650" customFormat="false" ht="15.75" hidden="true" customHeight="false" outlineLevel="0" collapsed="false">
      <c r="A1650" s="937"/>
      <c r="B1650" s="992" t="str">
        <f aca="false">отделка!A409</f>
        <v>пластины для крепления</v>
      </c>
      <c r="C1650" s="993" t="str">
        <f aca="false">отделка!B409</f>
        <v>шт</v>
      </c>
      <c r="D1650" s="992" t="n">
        <f aca="false">отделка!C409</f>
        <v>0</v>
      </c>
      <c r="E1650" s="992" t="n">
        <f aca="false">отделка!D409</f>
        <v>25</v>
      </c>
      <c r="F1650" s="992"/>
      <c r="G1650" s="967" t="n">
        <f aca="false">IF(F1650&gt;0,D1650*F1650,E1650*D1650)</f>
        <v>0</v>
      </c>
      <c r="H1650" s="975" t="n">
        <f aca="false">D1650*E1650*$H$1633</f>
        <v>0</v>
      </c>
      <c r="I1650" s="936" t="n">
        <f aca="false">IF(G1650&gt;H1650,G1650,H1650)*$H$1632</f>
        <v>0</v>
      </c>
      <c r="J1650" s="931"/>
      <c r="K1650" s="937"/>
    </row>
    <row r="1651" customFormat="false" ht="15.75" hidden="true" customHeight="false" outlineLevel="0" collapsed="false">
      <c r="A1651" s="937"/>
      <c r="B1651" s="992" t="str">
        <f aca="false">отделка!A410</f>
        <v>Двери входные</v>
      </c>
      <c r="C1651" s="993" t="str">
        <f aca="false">отделка!B410</f>
        <v>шт</v>
      </c>
      <c r="D1651" s="992" t="n">
        <f aca="false">отделка!C410</f>
        <v>1</v>
      </c>
      <c r="E1651" s="992" t="n">
        <f aca="false">отделка!D410</f>
        <v>12000</v>
      </c>
      <c r="F1651" s="992"/>
      <c r="G1651" s="967" t="n">
        <f aca="false">IF(F1651&gt;0,D1651*F1651,E1651*D1651)</f>
        <v>12000</v>
      </c>
      <c r="H1651" s="975" t="n">
        <f aca="false">D1651*E1651*$H$1633</f>
        <v>0</v>
      </c>
      <c r="I1651" s="936" t="n">
        <f aca="false">IF(G1651&gt;H1651,G1651,H1651)*$H$1632</f>
        <v>0</v>
      </c>
      <c r="J1651" s="931"/>
      <c r="K1651" s="937"/>
    </row>
    <row r="1652" customFormat="false" ht="15.75" hidden="true" customHeight="false" outlineLevel="0" collapsed="false">
      <c r="A1652" s="937"/>
      <c r="B1652" s="992" t="str">
        <f aca="false">отделка!A411</f>
        <v>Анкер болт, 12*200</v>
      </c>
      <c r="C1652" s="993" t="str">
        <f aca="false">отделка!B411</f>
        <v>шт</v>
      </c>
      <c r="D1652" s="992" t="n">
        <f aca="false">отделка!C411</f>
        <v>6</v>
      </c>
      <c r="E1652" s="992" t="n">
        <f aca="false">отделка!D411</f>
        <v>0</v>
      </c>
      <c r="F1652" s="992"/>
      <c r="G1652" s="967" t="n">
        <f aca="false">IF(F1652&gt;0,D1652*F1652,E1652*D1652)</f>
        <v>0</v>
      </c>
      <c r="H1652" s="975" t="n">
        <f aca="false">D1652*E1652*$H$1633</f>
        <v>0</v>
      </c>
      <c r="I1652" s="936" t="n">
        <f aca="false">IF(G1652&gt;H1652,G1652,H1652)*$H$1632</f>
        <v>0</v>
      </c>
      <c r="J1652" s="931"/>
      <c r="K1652" s="937"/>
    </row>
    <row r="1653" customFormat="false" ht="15.75" hidden="true" customHeight="false" outlineLevel="0" collapsed="false">
      <c r="A1653" s="937"/>
      <c r="B1653" s="992" t="str">
        <f aca="false">отделка!A412</f>
        <v>Пена монтажная</v>
      </c>
      <c r="C1653" s="993" t="str">
        <f aca="false">отделка!B412</f>
        <v>шт</v>
      </c>
      <c r="D1653" s="992" t="n">
        <f aca="false">отделка!C412</f>
        <v>1</v>
      </c>
      <c r="E1653" s="992" t="n">
        <f aca="false">отделка!D412</f>
        <v>0</v>
      </c>
      <c r="F1653" s="992"/>
      <c r="G1653" s="967" t="n">
        <f aca="false">IF(F1653&gt;0,D1653*F1653,E1653*D1653)</f>
        <v>0</v>
      </c>
      <c r="H1653" s="975" t="n">
        <f aca="false">D1653*E1653*$H$1633</f>
        <v>0</v>
      </c>
      <c r="I1653" s="936" t="n">
        <f aca="false">IF(G1653&gt;H1653,G1653,H1653)*$H$1632</f>
        <v>0</v>
      </c>
      <c r="J1653" s="931"/>
      <c r="K1653" s="937"/>
    </row>
    <row r="1654" customFormat="false" ht="15.75" hidden="true" customHeight="false" outlineLevel="0" collapsed="false">
      <c r="A1654" s="937"/>
      <c r="B1654" s="973" t="s">
        <v>2247</v>
      </c>
      <c r="C1654" s="973"/>
      <c r="D1654" s="973"/>
      <c r="E1654" s="973"/>
      <c r="F1654" s="973"/>
      <c r="G1654" s="970" t="n">
        <f aca="false">SUM(G1634:G1653)*H1632</f>
        <v>0</v>
      </c>
      <c r="H1654" s="970" t="n">
        <f aca="false">SUM(H1634:H1653)</f>
        <v>0</v>
      </c>
      <c r="I1654" s="936" t="n">
        <f aca="false">IF(G1654&gt;H1654,G1654,H1654)*$H$1632</f>
        <v>0</v>
      </c>
      <c r="J1654" s="931"/>
      <c r="K1654" s="937"/>
    </row>
    <row r="1655" customFormat="false" ht="15.75" hidden="true" customHeight="false" outlineLevel="0" collapsed="false">
      <c r="A1655" s="937"/>
      <c r="B1655" s="976" t="s">
        <v>2007</v>
      </c>
      <c r="C1655" s="976"/>
      <c r="D1655" s="976"/>
      <c r="E1655" s="976"/>
      <c r="F1655" s="976"/>
      <c r="G1655" s="977"/>
      <c r="H1655" s="994" t="n">
        <f aca="false">H1632</f>
        <v>0</v>
      </c>
      <c r="I1655" s="1026" t="n">
        <f aca="false">H1655</f>
        <v>0</v>
      </c>
      <c r="J1655" s="931"/>
      <c r="K1655" s="937"/>
    </row>
    <row r="1656" customFormat="false" ht="15.75" hidden="true" customHeight="false" outlineLevel="0" collapsed="false">
      <c r="A1656" s="931"/>
      <c r="B1656" s="995" t="s">
        <v>2109</v>
      </c>
      <c r="C1656" s="993" t="s">
        <v>48</v>
      </c>
      <c r="D1656" s="992" t="n">
        <f aca="false">отделка!J393</f>
        <v>1</v>
      </c>
      <c r="E1656" s="986" t="n">
        <f aca="false">отделка!K393</f>
        <v>1000</v>
      </c>
      <c r="F1656" s="986"/>
      <c r="G1656" s="967" t="n">
        <f aca="false">IF(F1656&gt;0,D1656*F1656,E1656*D1656)</f>
        <v>1000</v>
      </c>
      <c r="H1656" s="970" t="n">
        <f aca="false">D1656*E1656*$H$1655</f>
        <v>0</v>
      </c>
      <c r="I1656" s="936" t="n">
        <f aca="false">IF(G1656&gt;H1656,G1656,H1656)*$H$1632</f>
        <v>0</v>
      </c>
      <c r="J1656" s="931"/>
      <c r="K1656" s="937"/>
    </row>
    <row r="1657" customFormat="false" ht="15.75" hidden="true" customHeight="false" outlineLevel="0" collapsed="false">
      <c r="A1657" s="937"/>
      <c r="B1657" s="995" t="s">
        <v>2110</v>
      </c>
      <c r="C1657" s="993" t="s">
        <v>48</v>
      </c>
      <c r="D1657" s="992" t="n">
        <f aca="false">отделка!J394</f>
        <v>1</v>
      </c>
      <c r="E1657" s="986" t="n">
        <f aca="false">отделка!K394</f>
        <v>400</v>
      </c>
      <c r="F1657" s="986"/>
      <c r="G1657" s="967" t="n">
        <f aca="false">IF(F1657&gt;0,D1657*F1657,E1657*D1657)</f>
        <v>400</v>
      </c>
      <c r="H1657" s="970" t="n">
        <f aca="false">D1657*E1657*$H$1655</f>
        <v>0</v>
      </c>
      <c r="I1657" s="936" t="n">
        <f aca="false">IF(G1657&gt;H1657,G1657,H1657)*$H$1632</f>
        <v>0</v>
      </c>
      <c r="L1657" s="926"/>
      <c r="M1657" s="926"/>
      <c r="N1657" s="926"/>
    </row>
    <row r="1658" customFormat="false" ht="15.75" hidden="true" customHeight="false" outlineLevel="0" collapsed="false">
      <c r="A1658" s="937"/>
      <c r="B1658" s="995" t="s">
        <v>2277</v>
      </c>
      <c r="C1658" s="993" t="s">
        <v>48</v>
      </c>
      <c r="D1658" s="992" t="n">
        <f aca="false">отделка!J395</f>
        <v>3.4</v>
      </c>
      <c r="E1658" s="986" t="n">
        <f aca="false">отделка!K395</f>
        <v>150</v>
      </c>
      <c r="F1658" s="986"/>
      <c r="G1658" s="967" t="n">
        <f aca="false">IF(F1658&gt;0,D1658*F1658,E1658*D1658)</f>
        <v>510</v>
      </c>
      <c r="H1658" s="970" t="n">
        <f aca="false">D1658*E1658*$H$1655</f>
        <v>0</v>
      </c>
      <c r="I1658" s="936" t="n">
        <f aca="false">IF(G1658&gt;H1658,G1658,H1658)*$H$1632</f>
        <v>0</v>
      </c>
      <c r="L1658" s="926"/>
      <c r="M1658" s="926"/>
      <c r="N1658" s="926"/>
    </row>
    <row r="1659" customFormat="false" ht="15.75" hidden="true" customHeight="false" outlineLevel="0" collapsed="false">
      <c r="A1659" s="937"/>
      <c r="B1659" s="995" t="s">
        <v>2278</v>
      </c>
      <c r="C1659" s="993" t="s">
        <v>48</v>
      </c>
      <c r="D1659" s="992" t="n">
        <f aca="false">отделка!J396</f>
        <v>3.4</v>
      </c>
      <c r="E1659" s="986" t="n">
        <f aca="false">отделка!K396</f>
        <v>50</v>
      </c>
      <c r="F1659" s="986"/>
      <c r="G1659" s="967" t="n">
        <f aca="false">IF(F1659&gt;0,D1659*F1659,E1659*D1659)</f>
        <v>170</v>
      </c>
      <c r="H1659" s="970" t="n">
        <f aca="false">D1659*E1659*$H$1655</f>
        <v>0</v>
      </c>
      <c r="I1659" s="936" t="n">
        <f aca="false">IF(G1659&gt;H1659,G1659,H1659)*$H$1632</f>
        <v>0</v>
      </c>
      <c r="L1659" s="926"/>
      <c r="M1659" s="926"/>
      <c r="N1659" s="926"/>
    </row>
    <row r="1660" customFormat="false" ht="15.75" hidden="true" customHeight="false" outlineLevel="0" collapsed="false">
      <c r="A1660" s="937"/>
      <c r="B1660" s="995" t="s">
        <v>2279</v>
      </c>
      <c r="C1660" s="993" t="s">
        <v>48</v>
      </c>
      <c r="D1660" s="992" t="n">
        <f aca="false">отделка!J397</f>
        <v>3.4</v>
      </c>
      <c r="E1660" s="986" t="n">
        <f aca="false">отделка!K397</f>
        <v>50</v>
      </c>
      <c r="F1660" s="986"/>
      <c r="G1660" s="967" t="n">
        <f aca="false">IF(F1660&gt;0,D1660*F1660,E1660*D1660)</f>
        <v>170</v>
      </c>
      <c r="H1660" s="970" t="n">
        <f aca="false">D1660*E1660*$H$1655</f>
        <v>0</v>
      </c>
      <c r="I1660" s="936" t="n">
        <f aca="false">IF(G1660&gt;H1660,G1660,H1660)*$H$1632</f>
        <v>0</v>
      </c>
      <c r="J1660" s="931"/>
      <c r="K1660" s="937"/>
    </row>
    <row r="1661" customFormat="false" ht="15.75" hidden="true" customHeight="false" outlineLevel="0" collapsed="false">
      <c r="A1661" s="937"/>
      <c r="B1661" s="995" t="s">
        <v>2114</v>
      </c>
      <c r="C1661" s="993" t="s">
        <v>48</v>
      </c>
      <c r="D1661" s="992" t="n">
        <f aca="false">отделка!J398</f>
        <v>0</v>
      </c>
      <c r="E1661" s="986" t="n">
        <f aca="false">отделка!K398</f>
        <v>150</v>
      </c>
      <c r="F1661" s="986"/>
      <c r="G1661" s="967" t="n">
        <f aca="false">IF(F1661&gt;0,D1661*F1661,E1661*D1661)</f>
        <v>0</v>
      </c>
      <c r="H1661" s="970" t="n">
        <f aca="false">D1661*E1661*$H$1655</f>
        <v>0</v>
      </c>
      <c r="I1661" s="936" t="n">
        <f aca="false">IF(G1661&gt;H1661,G1661,H1661)*$H$1632</f>
        <v>0</v>
      </c>
      <c r="J1661" s="931"/>
      <c r="K1661" s="937"/>
    </row>
    <row r="1662" customFormat="false" ht="15.75" hidden="true" customHeight="false" outlineLevel="0" collapsed="false">
      <c r="A1662" s="937"/>
      <c r="B1662" s="995" t="s">
        <v>2280</v>
      </c>
      <c r="C1662" s="993" t="s">
        <v>48</v>
      </c>
      <c r="D1662" s="992" t="n">
        <f aca="false">отделка!J399</f>
        <v>0</v>
      </c>
      <c r="E1662" s="986" t="n">
        <f aca="false">отделка!K399</f>
        <v>250</v>
      </c>
      <c r="F1662" s="986"/>
      <c r="G1662" s="967" t="n">
        <f aca="false">IF(F1662&gt;0,D1662*F1662,E1662*D1662)</f>
        <v>0</v>
      </c>
      <c r="H1662" s="970" t="n">
        <f aca="false">D1662*E1662*$H$1655</f>
        <v>0</v>
      </c>
      <c r="I1662" s="936" t="n">
        <f aca="false">IF(G1662&gt;H1662,G1662,H1662)*$H$1632</f>
        <v>0</v>
      </c>
      <c r="J1662" s="931"/>
      <c r="K1662" s="937"/>
    </row>
    <row r="1663" customFormat="false" ht="15.75" hidden="true" customHeight="false" outlineLevel="0" collapsed="false">
      <c r="A1663" s="937"/>
      <c r="B1663" s="995" t="s">
        <v>2281</v>
      </c>
      <c r="C1663" s="993" t="s">
        <v>48</v>
      </c>
      <c r="D1663" s="992" t="n">
        <f aca="false">отделка!J400</f>
        <v>0</v>
      </c>
      <c r="E1663" s="986" t="n">
        <f aca="false">отделка!K400</f>
        <v>50</v>
      </c>
      <c r="F1663" s="986"/>
      <c r="G1663" s="967" t="n">
        <f aca="false">IF(F1663&gt;0,D1663*F1663,E1663*D1663)</f>
        <v>0</v>
      </c>
      <c r="H1663" s="970" t="n">
        <f aca="false">D1663*E1663*$H$1655</f>
        <v>0</v>
      </c>
      <c r="I1663" s="936" t="n">
        <f aca="false">IF(G1663&gt;H1663,G1663,H1663)*$H$1632</f>
        <v>0</v>
      </c>
      <c r="J1663" s="931"/>
      <c r="K1663" s="937"/>
    </row>
    <row r="1664" customFormat="false" ht="15.75" hidden="true" customHeight="false" outlineLevel="0" collapsed="false">
      <c r="A1664" s="937"/>
      <c r="B1664" s="995" t="s">
        <v>2282</v>
      </c>
      <c r="C1664" s="993" t="s">
        <v>48</v>
      </c>
      <c r="D1664" s="992" t="n">
        <f aca="false">отделка!J401</f>
        <v>0</v>
      </c>
      <c r="E1664" s="986" t="n">
        <f aca="false">отделка!K401</f>
        <v>50</v>
      </c>
      <c r="F1664" s="986"/>
      <c r="G1664" s="967" t="n">
        <f aca="false">IF(F1664&gt;0,D1664*F1664,E1664*D1664)</f>
        <v>0</v>
      </c>
      <c r="H1664" s="970" t="n">
        <f aca="false">D1664*E1664*$H$1655</f>
        <v>0</v>
      </c>
      <c r="I1664" s="936" t="n">
        <f aca="false">IF(G1664&gt;H1664,G1664,H1664)*$H$1632</f>
        <v>0</v>
      </c>
      <c r="J1664" s="931"/>
      <c r="K1664" s="937"/>
    </row>
    <row r="1665" customFormat="false" ht="15.75" hidden="true" customHeight="false" outlineLevel="0" collapsed="false">
      <c r="A1665" s="937"/>
      <c r="B1665" s="995" t="s">
        <v>2118</v>
      </c>
      <c r="C1665" s="993" t="s">
        <v>15</v>
      </c>
      <c r="D1665" s="992" t="n">
        <f aca="false">отделка!J402</f>
        <v>0</v>
      </c>
      <c r="E1665" s="986" t="n">
        <f aca="false">отделка!K402</f>
        <v>50</v>
      </c>
      <c r="F1665" s="986"/>
      <c r="G1665" s="967" t="n">
        <f aca="false">IF(F1665&gt;0,D1665*F1665,E1665*D1665)</f>
        <v>0</v>
      </c>
      <c r="H1665" s="970" t="n">
        <f aca="false">D1665*E1665*$H$1655</f>
        <v>0</v>
      </c>
      <c r="I1665" s="936" t="n">
        <f aca="false">IF(G1665&gt;H1665,G1665,H1665)*$H$1632</f>
        <v>0</v>
      </c>
      <c r="J1665" s="931"/>
      <c r="K1665" s="937"/>
    </row>
    <row r="1666" customFormat="false" ht="15.75" hidden="true" customHeight="false" outlineLevel="0" collapsed="false">
      <c r="A1666" s="937"/>
      <c r="B1666" s="995" t="s">
        <v>2119</v>
      </c>
      <c r="C1666" s="993" t="s">
        <v>15</v>
      </c>
      <c r="D1666" s="992" t="n">
        <f aca="false">отделка!J403</f>
        <v>3.4</v>
      </c>
      <c r="E1666" s="986" t="n">
        <f aca="false">отделка!K403</f>
        <v>50</v>
      </c>
      <c r="F1666" s="986"/>
      <c r="G1666" s="967" t="n">
        <f aca="false">IF(F1666&gt;0,D1666*F1666,E1666*D1666)</f>
        <v>170</v>
      </c>
      <c r="H1666" s="970" t="n">
        <f aca="false">D1666*E1666*$H$1655</f>
        <v>0</v>
      </c>
      <c r="I1666" s="936" t="n">
        <f aca="false">IF(G1666&gt;H1666,G1666,H1666)*$H$1632</f>
        <v>0</v>
      </c>
      <c r="J1666" s="931"/>
      <c r="K1666" s="937"/>
    </row>
    <row r="1667" customFormat="false" ht="15.75" hidden="true" customHeight="false" outlineLevel="0" collapsed="false">
      <c r="A1667" s="937"/>
      <c r="B1667" s="995" t="str">
        <f aca="false">'Смета Внутр'!B1651</f>
        <v>Двери входные</v>
      </c>
      <c r="C1667" s="993" t="s">
        <v>48</v>
      </c>
      <c r="D1667" s="992" t="n">
        <f aca="false">отделка!J404</f>
        <v>1</v>
      </c>
      <c r="E1667" s="986" t="n">
        <f aca="false">отделка!K404</f>
        <v>2000</v>
      </c>
      <c r="F1667" s="986"/>
      <c r="G1667" s="967" t="n">
        <f aca="false">IF(F1667&gt;0,D1667*F1667,E1667*D1667)</f>
        <v>2000</v>
      </c>
      <c r="H1667" s="970" t="n">
        <f aca="false">D1667*E1667*$H$1655</f>
        <v>0</v>
      </c>
      <c r="I1667" s="936" t="n">
        <f aca="false">IF(G1667&gt;H1667,G1667,H1667)*$H$1632</f>
        <v>0</v>
      </c>
      <c r="J1667" s="931"/>
      <c r="K1667" s="937"/>
    </row>
    <row r="1668" customFormat="false" ht="15.75" hidden="true" customHeight="false" outlineLevel="0" collapsed="false">
      <c r="A1668" s="937"/>
      <c r="B1668" s="980" t="s">
        <v>2283</v>
      </c>
      <c r="C1668" s="968" t="s">
        <v>48</v>
      </c>
      <c r="D1668" s="992" t="n">
        <f aca="false">отделка!J405</f>
        <v>0</v>
      </c>
      <c r="E1668" s="986" t="n">
        <f aca="false">отделка!K405</f>
        <v>4500</v>
      </c>
      <c r="F1668" s="986"/>
      <c r="G1668" s="967" t="n">
        <f aca="false">IF(F1668&gt;0,D1668*F1668,E1668*D1668)</f>
        <v>0</v>
      </c>
      <c r="H1668" s="970" t="n">
        <f aca="false">D1668*E1668*$H$1655</f>
        <v>0</v>
      </c>
      <c r="I1668" s="936" t="n">
        <f aca="false">IF(G1668&gt;H1668,G1668,H1668)*$H$1632</f>
        <v>0</v>
      </c>
      <c r="J1668" s="931"/>
      <c r="K1668" s="937"/>
    </row>
    <row r="1669" customFormat="false" ht="15.75" hidden="true" customHeight="false" outlineLevel="0" collapsed="false">
      <c r="A1669" s="937"/>
      <c r="B1669" s="973" t="s">
        <v>2248</v>
      </c>
      <c r="C1669" s="973"/>
      <c r="D1669" s="973"/>
      <c r="E1669" s="973"/>
      <c r="F1669" s="973"/>
      <c r="G1669" s="970" t="n">
        <f aca="false">SUM(G1656:G1668)*H1655</f>
        <v>0</v>
      </c>
      <c r="H1669" s="970" t="n">
        <f aca="false">SUM(H1656:H1668)</f>
        <v>0</v>
      </c>
      <c r="I1669" s="936" t="n">
        <f aca="false">IF(G1669&gt;H1669,G1669,H1669)*$H$1632</f>
        <v>0</v>
      </c>
      <c r="J1669" s="931"/>
      <c r="K1669" s="937"/>
    </row>
    <row r="1670" customFormat="false" ht="21" hidden="true" customHeight="false" outlineLevel="0" collapsed="false">
      <c r="A1670" s="937"/>
      <c r="B1670" s="989" t="s">
        <v>798</v>
      </c>
      <c r="C1670" s="989"/>
      <c r="D1670" s="989"/>
      <c r="E1670" s="989"/>
      <c r="F1670" s="989"/>
      <c r="G1670" s="977"/>
      <c r="H1670" s="1007" t="n">
        <f aca="false">VLOOKUP('Ввод данных'!F1247,связи1!A2:B3,2,0)</f>
        <v>0</v>
      </c>
      <c r="I1670" s="1026" t="n">
        <f aca="false">H1670</f>
        <v>0</v>
      </c>
      <c r="J1670" s="931"/>
      <c r="K1670" s="937"/>
    </row>
    <row r="1671" customFormat="false" ht="15.75" hidden="true" customHeight="false" outlineLevel="0" collapsed="false">
      <c r="A1671" s="931"/>
      <c r="B1671" s="1008" t="s">
        <v>2246</v>
      </c>
      <c r="C1671" s="1008"/>
      <c r="D1671" s="1008"/>
      <c r="E1671" s="1008"/>
      <c r="F1671" s="1008"/>
      <c r="G1671" s="977"/>
      <c r="H1671" s="1009" t="n">
        <f aca="false">H1670</f>
        <v>0</v>
      </c>
      <c r="I1671" s="1026" t="n">
        <f aca="false">H1671</f>
        <v>0</v>
      </c>
      <c r="J1671" s="931"/>
      <c r="K1671" s="937"/>
    </row>
    <row r="1672" customFormat="false" ht="15.75" hidden="true" customHeight="false" outlineLevel="0" collapsed="false">
      <c r="A1672" s="931"/>
      <c r="B1672" s="992" t="s">
        <v>1853</v>
      </c>
      <c r="C1672" s="993" t="s">
        <v>48</v>
      </c>
      <c r="D1672" s="992" t="n">
        <f aca="false">отделка!C426</f>
        <v>18</v>
      </c>
      <c r="E1672" s="986" t="n">
        <f aca="false">отделка!D426</f>
        <v>400</v>
      </c>
      <c r="F1672" s="986"/>
      <c r="G1672" s="967" t="n">
        <f aca="false">IF(F1672&gt;0,D1672*F1672,E1672*D1672)</f>
        <v>7200</v>
      </c>
      <c r="H1672" s="975" t="n">
        <f aca="false">D1672*E1672*$H$1671</f>
        <v>0</v>
      </c>
      <c r="I1672" s="936" t="n">
        <f aca="false">IF(G1672&gt;H1672,G1672,H1672)*$H$1670</f>
        <v>0</v>
      </c>
      <c r="J1672" s="931"/>
      <c r="K1672" s="937"/>
    </row>
    <row r="1673" customFormat="false" ht="15.75" hidden="true" customHeight="false" outlineLevel="0" collapsed="false">
      <c r="A1673" s="937"/>
      <c r="B1673" s="992" t="s">
        <v>1854</v>
      </c>
      <c r="C1673" s="993" t="s">
        <v>48</v>
      </c>
      <c r="D1673" s="992" t="n">
        <f aca="false">отделка!C427</f>
        <v>1</v>
      </c>
      <c r="E1673" s="986" t="n">
        <f aca="false">отделка!D427</f>
        <v>2000</v>
      </c>
      <c r="F1673" s="986"/>
      <c r="G1673" s="967" t="n">
        <f aca="false">IF(F1673&gt;0,D1673*F1673,E1673*D1673)</f>
        <v>2000</v>
      </c>
      <c r="H1673" s="975" t="n">
        <f aca="false">D1673*E1673*$H$1671</f>
        <v>0</v>
      </c>
      <c r="I1673" s="936" t="n">
        <f aca="false">IF(G1673&gt;H1673,G1673,H1673)*$H$1670</f>
        <v>0</v>
      </c>
      <c r="J1673" s="931"/>
      <c r="K1673" s="937"/>
    </row>
    <row r="1674" customFormat="false" ht="15.75" hidden="true" customHeight="false" outlineLevel="0" collapsed="false">
      <c r="A1674" s="937"/>
      <c r="B1674" s="992" t="s">
        <v>1855</v>
      </c>
      <c r="C1674" s="993" t="s">
        <v>48</v>
      </c>
      <c r="D1674" s="992" t="n">
        <f aca="false">отделка!C428</f>
        <v>4</v>
      </c>
      <c r="E1674" s="986" t="n">
        <f aca="false">отделка!D428</f>
        <v>1000</v>
      </c>
      <c r="F1674" s="986"/>
      <c r="G1674" s="967" t="n">
        <f aca="false">IF(F1674&gt;0,D1674*F1674,E1674*D1674)</f>
        <v>4000</v>
      </c>
      <c r="H1674" s="975" t="n">
        <f aca="false">D1674*E1674*$H$1671</f>
        <v>0</v>
      </c>
      <c r="I1674" s="936" t="n">
        <f aca="false">IF(G1674&gt;H1674,G1674,H1674)*$H$1670</f>
        <v>0</v>
      </c>
      <c r="J1674" s="931"/>
      <c r="K1674" s="937"/>
    </row>
    <row r="1675" customFormat="false" ht="15.75" hidden="true" customHeight="false" outlineLevel="0" collapsed="false">
      <c r="A1675" s="937"/>
      <c r="B1675" s="992" t="s">
        <v>1856</v>
      </c>
      <c r="C1675" s="993" t="s">
        <v>48</v>
      </c>
      <c r="D1675" s="992" t="n">
        <f aca="false">отделка!C429</f>
        <v>1</v>
      </c>
      <c r="E1675" s="986" t="n">
        <f aca="false">отделка!D429</f>
        <v>900</v>
      </c>
      <c r="F1675" s="986"/>
      <c r="G1675" s="967" t="n">
        <f aca="false">IF(F1675&gt;0,D1675*F1675,E1675*D1675)</f>
        <v>900</v>
      </c>
      <c r="H1675" s="975" t="n">
        <f aca="false">D1675*E1675*$H$1671</f>
        <v>0</v>
      </c>
      <c r="I1675" s="936" t="n">
        <f aca="false">IF(G1675&gt;H1675,G1675,H1675)*$H$1670</f>
        <v>0</v>
      </c>
      <c r="J1675" s="931"/>
      <c r="K1675" s="937"/>
    </row>
    <row r="1676" customFormat="false" ht="15.75" hidden="true" customHeight="false" outlineLevel="0" collapsed="false">
      <c r="A1676" s="937"/>
      <c r="B1676" s="992" t="s">
        <v>1857</v>
      </c>
      <c r="C1676" s="993" t="s">
        <v>48</v>
      </c>
      <c r="D1676" s="992" t="n">
        <f aca="false">отделка!C430</f>
        <v>2</v>
      </c>
      <c r="E1676" s="986" t="n">
        <f aca="false">отделка!D430</f>
        <v>500</v>
      </c>
      <c r="F1676" s="986"/>
      <c r="G1676" s="967" t="n">
        <f aca="false">IF(F1676&gt;0,D1676*F1676,E1676*D1676)</f>
        <v>1000</v>
      </c>
      <c r="H1676" s="975" t="n">
        <f aca="false">D1676*E1676*$H$1671</f>
        <v>0</v>
      </c>
      <c r="I1676" s="936" t="n">
        <f aca="false">IF(G1676&gt;H1676,G1676,H1676)*$H$1670</f>
        <v>0</v>
      </c>
      <c r="J1676" s="931"/>
      <c r="K1676" s="937"/>
    </row>
    <row r="1677" customFormat="false" ht="15.75" hidden="true" customHeight="false" outlineLevel="0" collapsed="false">
      <c r="A1677" s="937"/>
      <c r="B1677" s="992" t="s">
        <v>1858</v>
      </c>
      <c r="C1677" s="993" t="s">
        <v>48</v>
      </c>
      <c r="D1677" s="992" t="n">
        <f aca="false">отделка!C431</f>
        <v>4</v>
      </c>
      <c r="E1677" s="986" t="n">
        <f aca="false">отделка!D431</f>
        <v>1500</v>
      </c>
      <c r="F1677" s="986"/>
      <c r="G1677" s="967" t="n">
        <f aca="false">IF(F1677&gt;0,D1677*F1677,E1677*D1677)</f>
        <v>6000</v>
      </c>
      <c r="H1677" s="975" t="n">
        <f aca="false">D1677*E1677*$H$1671</f>
        <v>0</v>
      </c>
      <c r="I1677" s="936" t="n">
        <f aca="false">IF(G1677&gt;H1677,G1677,H1677)*$H$1670</f>
        <v>0</v>
      </c>
      <c r="J1677" s="931"/>
      <c r="K1677" s="937"/>
    </row>
    <row r="1678" customFormat="false" ht="15.75" hidden="true" customHeight="false" outlineLevel="0" collapsed="false">
      <c r="A1678" s="937"/>
      <c r="B1678" s="992" t="s">
        <v>1859</v>
      </c>
      <c r="C1678" s="993" t="s">
        <v>48</v>
      </c>
      <c r="D1678" s="992" t="n">
        <f aca="false">отделка!C432</f>
        <v>108</v>
      </c>
      <c r="E1678" s="986" t="n">
        <f aca="false">отделка!D432</f>
        <v>15</v>
      </c>
      <c r="F1678" s="986"/>
      <c r="G1678" s="967" t="n">
        <f aca="false">IF(F1678&gt;0,D1678*F1678,E1678*D1678)</f>
        <v>1620</v>
      </c>
      <c r="H1678" s="975" t="n">
        <f aca="false">D1678*E1678*$H$1671</f>
        <v>0</v>
      </c>
      <c r="I1678" s="936" t="n">
        <f aca="false">IF(G1678&gt;H1678,G1678,H1678)*$H$1670</f>
        <v>0</v>
      </c>
      <c r="J1678" s="931"/>
      <c r="K1678" s="937"/>
    </row>
    <row r="1679" customFormat="false" ht="15.75" hidden="true" customHeight="false" outlineLevel="0" collapsed="false">
      <c r="A1679" s="937"/>
      <c r="B1679" s="992" t="s">
        <v>1860</v>
      </c>
      <c r="C1679" s="993" t="s">
        <v>48</v>
      </c>
      <c r="D1679" s="992" t="n">
        <f aca="false">отделка!C433</f>
        <v>8</v>
      </c>
      <c r="E1679" s="986" t="n">
        <f aca="false">отделка!D433</f>
        <v>20</v>
      </c>
      <c r="F1679" s="986"/>
      <c r="G1679" s="967" t="n">
        <f aca="false">IF(F1679&gt;0,D1679*F1679,E1679*D1679)</f>
        <v>160</v>
      </c>
      <c r="H1679" s="975" t="n">
        <f aca="false">D1679*E1679*$H$1671</f>
        <v>0</v>
      </c>
      <c r="I1679" s="936" t="n">
        <f aca="false">IF(G1679&gt;H1679,G1679,H1679)*$H$1670</f>
        <v>0</v>
      </c>
      <c r="J1679" s="931"/>
      <c r="K1679" s="937"/>
    </row>
    <row r="1680" customFormat="false" ht="15.75" hidden="true" customHeight="false" outlineLevel="0" collapsed="false">
      <c r="A1680" s="937"/>
      <c r="B1680" s="992" t="s">
        <v>1861</v>
      </c>
      <c r="C1680" s="993" t="s">
        <v>48</v>
      </c>
      <c r="D1680" s="992" t="n">
        <f aca="false">отделка!C434</f>
        <v>4</v>
      </c>
      <c r="E1680" s="986" t="n">
        <f aca="false">отделка!D434</f>
        <v>200</v>
      </c>
      <c r="F1680" s="986"/>
      <c r="G1680" s="967" t="n">
        <f aca="false">IF(F1680&gt;0,D1680*F1680,E1680*D1680)</f>
        <v>800</v>
      </c>
      <c r="H1680" s="975" t="n">
        <f aca="false">D1680*E1680*$H$1671</f>
        <v>0</v>
      </c>
      <c r="I1680" s="936" t="n">
        <f aca="false">IF(G1680&gt;H1680,G1680,H1680)*$H$1670</f>
        <v>0</v>
      </c>
      <c r="J1680" s="931"/>
      <c r="K1680" s="937"/>
    </row>
    <row r="1681" customFormat="false" ht="15.75" hidden="true" customHeight="false" outlineLevel="0" collapsed="false">
      <c r="A1681" s="937"/>
      <c r="B1681" s="992" t="s">
        <v>1862</v>
      </c>
      <c r="C1681" s="993" t="s">
        <v>48</v>
      </c>
      <c r="D1681" s="992" t="n">
        <f aca="false">отделка!C435</f>
        <v>25</v>
      </c>
      <c r="E1681" s="986" t="n">
        <f aca="false">отделка!D435</f>
        <v>100</v>
      </c>
      <c r="F1681" s="986"/>
      <c r="G1681" s="967" t="n">
        <f aca="false">IF(F1681&gt;0,D1681*F1681,E1681*D1681)</f>
        <v>2500</v>
      </c>
      <c r="H1681" s="975" t="n">
        <f aca="false">D1681*E1681*$H$1671</f>
        <v>0</v>
      </c>
      <c r="I1681" s="936" t="n">
        <f aca="false">IF(G1681&gt;H1681,G1681,H1681)*$H$1670</f>
        <v>0</v>
      </c>
      <c r="J1681" s="931"/>
      <c r="K1681" s="937"/>
    </row>
    <row r="1682" customFormat="false" ht="15.75" hidden="true" customHeight="false" outlineLevel="0" collapsed="false">
      <c r="A1682" s="937"/>
      <c r="B1682" s="973" t="s">
        <v>2247</v>
      </c>
      <c r="C1682" s="973"/>
      <c r="D1682" s="973"/>
      <c r="E1682" s="973"/>
      <c r="F1682" s="973"/>
      <c r="G1682" s="970" t="n">
        <f aca="false">SUM(G1672:G1681)*H1670</f>
        <v>0</v>
      </c>
      <c r="H1682" s="970" t="n">
        <f aca="false">SUM(H1672:H1681)</f>
        <v>0</v>
      </c>
      <c r="I1682" s="936" t="n">
        <f aca="false">IF(G1682&gt;H1682,G1682,H1682)*$H$1670</f>
        <v>0</v>
      </c>
      <c r="J1682" s="931"/>
      <c r="K1682" s="937"/>
    </row>
    <row r="1683" customFormat="false" ht="15.75" hidden="true" customHeight="false" outlineLevel="0" collapsed="false">
      <c r="A1683" s="937"/>
      <c r="B1683" s="976" t="s">
        <v>2007</v>
      </c>
      <c r="C1683" s="976"/>
      <c r="D1683" s="976"/>
      <c r="E1683" s="976"/>
      <c r="F1683" s="976"/>
      <c r="G1683" s="977"/>
      <c r="H1683" s="994" t="n">
        <f aca="false">H1670</f>
        <v>0</v>
      </c>
      <c r="I1683" s="1026" t="n">
        <f aca="false">H1683</f>
        <v>0</v>
      </c>
      <c r="J1683" s="931"/>
      <c r="K1683" s="937"/>
    </row>
    <row r="1684" customFormat="false" ht="15.75" hidden="true" customHeight="false" outlineLevel="0" collapsed="false">
      <c r="A1684" s="931"/>
      <c r="B1684" s="995" t="s">
        <v>2284</v>
      </c>
      <c r="C1684" s="993" t="s">
        <v>48</v>
      </c>
      <c r="D1684" s="992" t="n">
        <f aca="false">отделка!I426</f>
        <v>1</v>
      </c>
      <c r="E1684" s="986" t="n">
        <f aca="false">отделка!J426</f>
        <v>20000</v>
      </c>
      <c r="F1684" s="986"/>
      <c r="G1684" s="967" t="n">
        <f aca="false">IF(F1684&gt;0,D1684*F1684,E1684*D1684)</f>
        <v>20000</v>
      </c>
      <c r="H1684" s="975" t="n">
        <f aca="false">D1684*E1684*$H$1683</f>
        <v>0</v>
      </c>
      <c r="I1684" s="936" t="n">
        <f aca="false">IF(G1684&gt;H1684,G1684,H1684)*$H$1670</f>
        <v>0</v>
      </c>
      <c r="J1684" s="931"/>
      <c r="K1684" s="937"/>
    </row>
    <row r="1685" customFormat="false" ht="15.75" hidden="true" customHeight="false" outlineLevel="0" collapsed="false">
      <c r="A1685" s="937"/>
      <c r="B1685" s="973" t="s">
        <v>2248</v>
      </c>
      <c r="C1685" s="973"/>
      <c r="D1685" s="973"/>
      <c r="E1685" s="973"/>
      <c r="F1685" s="973"/>
      <c r="G1685" s="970" t="n">
        <f aca="false">SUM(G1684:G1684)*H1683</f>
        <v>0</v>
      </c>
      <c r="H1685" s="970" t="n">
        <f aca="false">SUM(H1684:H1684)</f>
        <v>0</v>
      </c>
      <c r="I1685" s="936" t="n">
        <f aca="false">IF(G1685&gt;H1685,G1685,H1685)*$H$1670</f>
        <v>0</v>
      </c>
      <c r="J1685" s="931"/>
      <c r="K1685" s="937"/>
    </row>
    <row r="1686" customFormat="false" ht="21" hidden="true" customHeight="false" outlineLevel="0" collapsed="false">
      <c r="A1686" s="937"/>
      <c r="B1686" s="1047" t="s">
        <v>2122</v>
      </c>
      <c r="C1686" s="1047"/>
      <c r="D1686" s="1047"/>
      <c r="E1686" s="1047"/>
      <c r="F1686" s="1047"/>
      <c r="G1686" s="977"/>
      <c r="H1686" s="1018" t="n">
        <f aca="false">VLOOKUP('Ввод данных'!D1212,связи1!A2:B3,2,0)</f>
        <v>0</v>
      </c>
      <c r="I1686" s="1026" t="n">
        <f aca="false">H1686</f>
        <v>0</v>
      </c>
      <c r="J1686" s="931"/>
      <c r="K1686" s="937"/>
    </row>
    <row r="1687" customFormat="false" ht="15.75" hidden="true" customHeight="false" outlineLevel="0" collapsed="false">
      <c r="A1687" s="937"/>
      <c r="B1687" s="1034" t="s">
        <v>2246</v>
      </c>
      <c r="C1687" s="1034"/>
      <c r="D1687" s="1034"/>
      <c r="E1687" s="1034"/>
      <c r="F1687" s="1034"/>
      <c r="G1687" s="977"/>
      <c r="H1687" s="1048" t="n">
        <f aca="false">H1686</f>
        <v>0</v>
      </c>
      <c r="I1687" s="1026" t="n">
        <f aca="false">H1687</f>
        <v>0</v>
      </c>
      <c r="J1687" s="931"/>
      <c r="K1687" s="937"/>
    </row>
    <row r="1688" customFormat="false" ht="15.75" hidden="true" customHeight="false" outlineLevel="0" collapsed="false">
      <c r="A1688" s="937"/>
      <c r="B1688" s="967" t="str">
        <f aca="false">отделка!A721</f>
        <v>MR10 78X160</v>
      </c>
      <c r="C1688" s="968" t="s">
        <v>48</v>
      </c>
      <c r="D1688" s="1049" t="n">
        <f aca="false">отделка!C721</f>
        <v>1</v>
      </c>
      <c r="E1688" s="1050" t="n">
        <f aca="false">отделка!D721</f>
        <v>22353</v>
      </c>
      <c r="F1688" s="1050"/>
      <c r="G1688" s="967" t="n">
        <f aca="false">IF(F1688&gt;0,D1688*F1688,E1688*D1688)</f>
        <v>22353</v>
      </c>
      <c r="H1688" s="970" t="n">
        <f aca="false">D1688*E1688*$H$1686</f>
        <v>0</v>
      </c>
      <c r="I1688" s="936" t="n">
        <f aca="false">IF(G1688&gt;H1688,G1688,H1688)*$H$1686</f>
        <v>0</v>
      </c>
      <c r="J1688" s="931"/>
      <c r="K1688" s="937"/>
    </row>
    <row r="1689" customFormat="false" ht="15.75" hidden="true" customHeight="false" outlineLevel="0" collapsed="false">
      <c r="A1689" s="937"/>
      <c r="B1689" s="967" t="str">
        <f aca="false">отделка!A722</f>
        <v>MR08 78X140</v>
      </c>
      <c r="C1689" s="968" t="s">
        <v>48</v>
      </c>
      <c r="D1689" s="1049" t="n">
        <f aca="false">отделка!C722</f>
        <v>2</v>
      </c>
      <c r="E1689" s="1050" t="n">
        <f aca="false">отделка!D722</f>
        <v>21506</v>
      </c>
      <c r="F1689" s="1050"/>
      <c r="G1689" s="967" t="n">
        <f aca="false">IF(F1689&gt;0,D1689*F1689,E1689*D1689)</f>
        <v>43012</v>
      </c>
      <c r="H1689" s="970" t="n">
        <f aca="false">D1689*E1689*$H$1686</f>
        <v>0</v>
      </c>
      <c r="I1689" s="936" t="n">
        <f aca="false">IF(G1689&gt;H1689,G1689,H1689)*$H$1686</f>
        <v>0</v>
      </c>
      <c r="J1689" s="931"/>
      <c r="K1689" s="937"/>
    </row>
    <row r="1690" customFormat="false" ht="15.75" hidden="true" customHeight="false" outlineLevel="0" collapsed="false">
      <c r="A1690" s="937"/>
      <c r="B1690" s="967" t="str">
        <f aca="false">отделка!A723</f>
        <v>MR10 78X160</v>
      </c>
      <c r="C1690" s="968" t="s">
        <v>48</v>
      </c>
      <c r="D1690" s="1049" t="n">
        <f aca="false">отделка!C723</f>
        <v>5</v>
      </c>
      <c r="E1690" s="1050" t="n">
        <f aca="false">отделка!D723</f>
        <v>22353</v>
      </c>
      <c r="F1690" s="1050"/>
      <c r="G1690" s="967" t="n">
        <f aca="false">IF(F1690&gt;0,D1690*F1690,E1690*D1690)</f>
        <v>111765</v>
      </c>
      <c r="H1690" s="970" t="n">
        <f aca="false">D1690*E1690*$H$1686</f>
        <v>0</v>
      </c>
      <c r="I1690" s="936" t="n">
        <f aca="false">IF(G1690&gt;H1690,G1690,H1690)*$H$1686</f>
        <v>0</v>
      </c>
      <c r="J1690" s="931"/>
      <c r="K1690" s="937"/>
    </row>
    <row r="1691" customFormat="false" ht="15.75" hidden="true" customHeight="false" outlineLevel="0" collapsed="false">
      <c r="A1691" s="937"/>
      <c r="B1691" s="967" t="str">
        <f aca="false">отделка!A724</f>
        <v>MR04 78X98</v>
      </c>
      <c r="C1691" s="968" t="s">
        <v>48</v>
      </c>
      <c r="D1691" s="1049" t="n">
        <f aca="false">отделка!C724</f>
        <v>0</v>
      </c>
      <c r="E1691" s="1050" t="n">
        <f aca="false">отделка!D724</f>
        <v>18658</v>
      </c>
      <c r="F1691" s="1050"/>
      <c r="G1691" s="967" t="n">
        <f aca="false">IF(F1691&gt;0,D1691*F1691,E1691*D1691)</f>
        <v>0</v>
      </c>
      <c r="H1691" s="970" t="n">
        <f aca="false">D1691*E1691*$H$1686</f>
        <v>0</v>
      </c>
      <c r="I1691" s="936" t="n">
        <f aca="false">IF(G1691&gt;H1691,G1691,H1691)*$H$1686</f>
        <v>0</v>
      </c>
      <c r="J1691" s="931"/>
      <c r="K1691" s="937"/>
    </row>
    <row r="1692" customFormat="false" ht="15.75" hidden="true" customHeight="false" outlineLevel="0" collapsed="false">
      <c r="A1692" s="937"/>
      <c r="B1692" s="973" t="s">
        <v>2247</v>
      </c>
      <c r="C1692" s="973"/>
      <c r="D1692" s="973"/>
      <c r="E1692" s="973"/>
      <c r="F1692" s="973"/>
      <c r="G1692" s="970" t="n">
        <f aca="false">SUM(G1688:G1691)*H1686</f>
        <v>0</v>
      </c>
      <c r="H1692" s="970" t="n">
        <f aca="false">SUM(H1688:H1691)</f>
        <v>0</v>
      </c>
      <c r="I1692" s="936" t="n">
        <f aca="false">IF(G1692&gt;H1692,G1692,H1692)*$H$1686</f>
        <v>0</v>
      </c>
      <c r="J1692" s="931"/>
      <c r="K1692" s="937"/>
    </row>
    <row r="1693" customFormat="false" ht="15.75" hidden="true" customHeight="false" outlineLevel="0" collapsed="false">
      <c r="A1693" s="937"/>
      <c r="B1693" s="976" t="s">
        <v>2007</v>
      </c>
      <c r="C1693" s="976"/>
      <c r="D1693" s="976"/>
      <c r="E1693" s="976"/>
      <c r="F1693" s="1035"/>
      <c r="G1693" s="977"/>
      <c r="H1693" s="1000" t="n">
        <f aca="false">H1687</f>
        <v>0</v>
      </c>
      <c r="I1693" s="1026" t="n">
        <f aca="false">H1693</f>
        <v>0</v>
      </c>
      <c r="J1693" s="931"/>
      <c r="K1693" s="937"/>
    </row>
    <row r="1694" customFormat="false" ht="15.75" hidden="true" customHeight="false" outlineLevel="0" collapsed="false">
      <c r="A1694" s="937"/>
      <c r="B1694" s="1049" t="str">
        <f aca="false">отделка!G721</f>
        <v>MR10 78X160</v>
      </c>
      <c r="C1694" s="968" t="s">
        <v>48</v>
      </c>
      <c r="D1694" s="967" t="n">
        <f aca="false">отделка!I721</f>
        <v>1</v>
      </c>
      <c r="E1694" s="986" t="n">
        <f aca="false">отделка!J721</f>
        <v>4200</v>
      </c>
      <c r="F1694" s="986"/>
      <c r="G1694" s="967" t="n">
        <f aca="false">IF(F1694&gt;0,D1694*F1694,E1694*D1694)</f>
        <v>4200</v>
      </c>
      <c r="H1694" s="970" t="n">
        <f aca="false">D1694*E1694*$H$1686</f>
        <v>0</v>
      </c>
      <c r="I1694" s="936" t="n">
        <f aca="false">IF(G1694&gt;H1694,G1694,H1694)*$H$1686</f>
        <v>0</v>
      </c>
      <c r="J1694" s="931"/>
      <c r="K1694" s="937"/>
    </row>
    <row r="1695" customFormat="false" ht="15.75" hidden="true" customHeight="false" outlineLevel="0" collapsed="false">
      <c r="A1695" s="937"/>
      <c r="B1695" s="1049" t="str">
        <f aca="false">отделка!G722</f>
        <v>MR08 78X140</v>
      </c>
      <c r="C1695" s="968" t="s">
        <v>48</v>
      </c>
      <c r="D1695" s="967" t="n">
        <f aca="false">отделка!I722</f>
        <v>2</v>
      </c>
      <c r="E1695" s="986" t="n">
        <f aca="false">отделка!J722</f>
        <v>4000</v>
      </c>
      <c r="F1695" s="986"/>
      <c r="G1695" s="967" t="n">
        <f aca="false">IF(F1695&gt;0,D1695*F1695,E1695*D1695)</f>
        <v>8000</v>
      </c>
      <c r="H1695" s="970" t="n">
        <f aca="false">D1695*E1695*$H$1686</f>
        <v>0</v>
      </c>
      <c r="I1695" s="936" t="n">
        <f aca="false">IF(G1695&gt;H1695,G1695,H1695)*$H$1686</f>
        <v>0</v>
      </c>
      <c r="J1695" s="931"/>
      <c r="K1695" s="937"/>
    </row>
    <row r="1696" customFormat="false" ht="15.75" hidden="true" customHeight="false" outlineLevel="0" collapsed="false">
      <c r="A1696" s="937"/>
      <c r="B1696" s="1049" t="str">
        <f aca="false">отделка!G723</f>
        <v>MR10 78X160</v>
      </c>
      <c r="C1696" s="968" t="s">
        <v>48</v>
      </c>
      <c r="D1696" s="967" t="n">
        <f aca="false">отделка!I723</f>
        <v>5</v>
      </c>
      <c r="E1696" s="986" t="n">
        <f aca="false">отделка!J723</f>
        <v>4200</v>
      </c>
      <c r="F1696" s="986"/>
      <c r="G1696" s="967" t="n">
        <f aca="false">IF(F1696&gt;0,D1696*F1696,E1696*D1696)</f>
        <v>21000</v>
      </c>
      <c r="H1696" s="970" t="n">
        <f aca="false">D1696*E1696*$H$1686</f>
        <v>0</v>
      </c>
      <c r="I1696" s="936" t="n">
        <f aca="false">IF(G1696&gt;H1696,G1696,H1696)*$H$1686</f>
        <v>0</v>
      </c>
      <c r="J1696" s="931"/>
      <c r="K1696" s="937"/>
    </row>
    <row r="1697" customFormat="false" ht="15.75" hidden="true" customHeight="false" outlineLevel="0" collapsed="false">
      <c r="A1697" s="937"/>
      <c r="B1697" s="1049" t="str">
        <f aca="false">отделка!G724</f>
        <v>MR04 78X98</v>
      </c>
      <c r="C1697" s="968" t="s">
        <v>48</v>
      </c>
      <c r="D1697" s="967" t="n">
        <f aca="false">отделка!I724</f>
        <v>0</v>
      </c>
      <c r="E1697" s="986" t="n">
        <f aca="false">отделка!J724</f>
        <v>3700</v>
      </c>
      <c r="F1697" s="986"/>
      <c r="G1697" s="967" t="n">
        <f aca="false">IF(F1697&gt;0,D1697*F1697,E1697*D1697)</f>
        <v>0</v>
      </c>
      <c r="H1697" s="970" t="n">
        <f aca="false">D1697*E1697*$H$1686</f>
        <v>0</v>
      </c>
      <c r="I1697" s="936" t="n">
        <f aca="false">IF(G1697&gt;H1697,G1697,H1697)*$H$1686</f>
        <v>0</v>
      </c>
      <c r="J1697" s="931"/>
      <c r="K1697" s="937"/>
    </row>
    <row r="1698" customFormat="false" ht="15.75" hidden="true" customHeight="false" outlineLevel="0" collapsed="false">
      <c r="A1698" s="937"/>
      <c r="B1698" s="973" t="s">
        <v>2248</v>
      </c>
      <c r="C1698" s="973"/>
      <c r="D1698" s="973"/>
      <c r="E1698" s="973"/>
      <c r="F1698" s="973"/>
      <c r="G1698" s="970" t="n">
        <f aca="false">SUM(G1694:G1697)*H1693</f>
        <v>0</v>
      </c>
      <c r="H1698" s="970" t="n">
        <f aca="false">SUM(H1694:H1697)</f>
        <v>0</v>
      </c>
      <c r="I1698" s="936" t="n">
        <f aca="false">IF(G1698&gt;H1698,G1698,H1698)*$H$1686</f>
        <v>0</v>
      </c>
      <c r="J1698" s="931"/>
      <c r="K1698" s="937"/>
    </row>
    <row r="1699" customFormat="false" ht="21" hidden="false" customHeight="false" outlineLevel="0" collapsed="false">
      <c r="A1699" s="937"/>
      <c r="B1699" s="989" t="s">
        <v>802</v>
      </c>
      <c r="C1699" s="989"/>
      <c r="D1699" s="989"/>
      <c r="E1699" s="989"/>
      <c r="F1699" s="989"/>
      <c r="G1699" s="977"/>
      <c r="H1699" s="1007" t="n">
        <f aca="false">VLOOKUP('Ввод данных'!F1300,связи1!A2:B3,2,0)</f>
        <v>1</v>
      </c>
      <c r="I1699" s="1026" t="n">
        <f aca="false">H1699</f>
        <v>1</v>
      </c>
      <c r="J1699" s="931"/>
      <c r="K1699" s="937"/>
    </row>
    <row r="1700" customFormat="false" ht="15.75" hidden="false" customHeight="false" outlineLevel="0" collapsed="false">
      <c r="A1700" s="931"/>
      <c r="B1700" s="1008" t="s">
        <v>2246</v>
      </c>
      <c r="C1700" s="1008"/>
      <c r="D1700" s="1008"/>
      <c r="E1700" s="1008"/>
      <c r="F1700" s="1008"/>
      <c r="G1700" s="977"/>
      <c r="H1700" s="1009" t="n">
        <f aca="false">H1699</f>
        <v>1</v>
      </c>
      <c r="I1700" s="1026" t="n">
        <f aca="false">H1700</f>
        <v>1</v>
      </c>
      <c r="J1700" s="931"/>
      <c r="K1700" s="937"/>
    </row>
    <row r="1701" customFormat="false" ht="15.75" hidden="false" customHeight="false" outlineLevel="0" collapsed="false">
      <c r="A1701" s="931"/>
      <c r="B1701" s="993" t="s">
        <v>2285</v>
      </c>
      <c r="C1701" s="993"/>
      <c r="D1701" s="993"/>
      <c r="E1701" s="993"/>
      <c r="F1701" s="993"/>
      <c r="G1701" s="1051" t="n">
        <f aca="false">IF(F1701&gt;0,D1701*F1701,E1701*D1701)</f>
        <v>0</v>
      </c>
      <c r="H1701" s="1051" t="n">
        <f aca="false">IF(SUM(H1702:H1725)&gt;0,1,0)</f>
        <v>1</v>
      </c>
      <c r="I1701" s="936" t="n">
        <f aca="false">IF(G1701&gt;H1701,G1701,H1701)*$H$1699</f>
        <v>1</v>
      </c>
      <c r="J1701" s="931"/>
      <c r="K1701" s="937"/>
    </row>
    <row r="1702" customFormat="false" ht="15.75" hidden="true" customHeight="false" outlineLevel="0" collapsed="false">
      <c r="A1702" s="937"/>
      <c r="B1702" s="992" t="str">
        <f aca="false">отделка!A509</f>
        <v>нет</v>
      </c>
      <c r="C1702" s="993" t="str">
        <f aca="false">отделка!B509</f>
        <v>м.п.</v>
      </c>
      <c r="D1702" s="992" t="n">
        <f aca="false">отделка!C509</f>
        <v>357.5815</v>
      </c>
      <c r="E1702" s="992" t="n">
        <f aca="false">отделка!D509</f>
        <v>0</v>
      </c>
      <c r="F1702" s="992"/>
      <c r="G1702" s="967" t="n">
        <f aca="false">IF(F1702&gt;0,D1702*F1702,E1702*D1702)</f>
        <v>0</v>
      </c>
      <c r="H1702" s="970" t="n">
        <f aca="false">D1702*E1702*$H$1700</f>
        <v>0</v>
      </c>
      <c r="I1702" s="936" t="n">
        <f aca="false">IF(G1702&gt;H1702,G1702,H1702)*$H$1699</f>
        <v>0</v>
      </c>
      <c r="J1702" s="931"/>
      <c r="K1702" s="937"/>
    </row>
    <row r="1703" customFormat="false" ht="15.75" hidden="true" customHeight="false" outlineLevel="0" collapsed="false">
      <c r="A1703" s="937"/>
      <c r="B1703" s="992" t="str">
        <f aca="false">отделка!A510</f>
        <v>Нет кронштейна</v>
      </c>
      <c r="C1703" s="993" t="str">
        <f aca="false">отделка!B510</f>
        <v>шт</v>
      </c>
      <c r="D1703" s="992" t="n">
        <f aca="false">отделка!C510</f>
        <v>858.1956</v>
      </c>
      <c r="E1703" s="992" t="n">
        <f aca="false">отделка!D510</f>
        <v>0</v>
      </c>
      <c r="F1703" s="992"/>
      <c r="G1703" s="967" t="n">
        <f aca="false">IF(F1703&gt;0,D1703*F1703,E1703*D1703)</f>
        <v>0</v>
      </c>
      <c r="H1703" s="970" t="n">
        <f aca="false">D1703*E1703*$H$1700</f>
        <v>0</v>
      </c>
      <c r="I1703" s="936" t="n">
        <f aca="false">IF(G1703&gt;H1703,G1703,H1703)*$H$1699</f>
        <v>0</v>
      </c>
      <c r="J1703" s="931"/>
      <c r="K1703" s="937"/>
    </row>
    <row r="1704" customFormat="false" ht="15.75" hidden="true" customHeight="false" outlineLevel="0" collapsed="false">
      <c r="A1704" s="937"/>
      <c r="B1704" s="992" t="str">
        <f aca="false">отделка!A511</f>
        <v>Саморезы 3,5 x 45            </v>
      </c>
      <c r="C1704" s="993" t="str">
        <f aca="false">отделка!B511</f>
        <v>шт</v>
      </c>
      <c r="D1704" s="992" t="n">
        <f aca="false">отделка!C511</f>
        <v>0</v>
      </c>
      <c r="E1704" s="992" t="n">
        <f aca="false">отделка!D511</f>
        <v>0.25</v>
      </c>
      <c r="F1704" s="992"/>
      <c r="G1704" s="967" t="n">
        <f aca="false">IF(F1704&gt;0,D1704*F1704,E1704*D1704)</f>
        <v>0</v>
      </c>
      <c r="H1704" s="970" t="n">
        <f aca="false">D1704*E1704*$H$1700</f>
        <v>0</v>
      </c>
      <c r="I1704" s="936" t="n">
        <f aca="false">IF(G1704&gt;H1704,G1704,H1704)*$H$1699</f>
        <v>0</v>
      </c>
      <c r="J1704" s="931"/>
      <c r="K1704" s="937"/>
    </row>
    <row r="1705" customFormat="false" ht="15.75" hidden="true" customHeight="false" outlineLevel="0" collapsed="false">
      <c r="A1705" s="937"/>
      <c r="B1705" s="992" t="str">
        <f aca="false">отделка!A512</f>
        <v>Болты анкерные с гайкой 10,0 х 97           </v>
      </c>
      <c r="C1705" s="993" t="str">
        <f aca="false">отделка!B512</f>
        <v>шт</v>
      </c>
      <c r="D1705" s="992" t="n">
        <f aca="false">отделка!C512</f>
        <v>0</v>
      </c>
      <c r="E1705" s="992" t="n">
        <f aca="false">отделка!D512</f>
        <v>7.4</v>
      </c>
      <c r="F1705" s="992"/>
      <c r="G1705" s="967" t="n">
        <f aca="false">IF(F1705&gt;0,D1705*F1705,E1705*D1705)</f>
        <v>0</v>
      </c>
      <c r="H1705" s="970" t="n">
        <f aca="false">D1705*E1705*$H$1700</f>
        <v>0</v>
      </c>
      <c r="I1705" s="936" t="n">
        <f aca="false">IF(G1705&gt;H1705,G1705,H1705)*$H$1699</f>
        <v>0</v>
      </c>
      <c r="J1705" s="931"/>
      <c r="K1705" s="937"/>
    </row>
    <row r="1706" customFormat="false" ht="15.75" hidden="false" customHeight="false" outlineLevel="0" collapsed="false">
      <c r="A1706" s="937"/>
      <c r="B1706" s="992" t="n">
        <f aca="false">отделка!A513</f>
        <v>0</v>
      </c>
      <c r="C1706" s="993" t="str">
        <f aca="false">отделка!B513</f>
        <v>м2</v>
      </c>
      <c r="D1706" s="992" t="n">
        <f aca="false">отделка!C513</f>
        <v>0</v>
      </c>
      <c r="E1706" s="992" t="n">
        <f aca="false">отделка!D513</f>
        <v>0</v>
      </c>
      <c r="F1706" s="992"/>
      <c r="G1706" s="967" t="n">
        <f aca="false">IF(F1706&gt;0,D1706*F1706,E1706*D1706)</f>
        <v>0</v>
      </c>
      <c r="H1706" s="970" t="n">
        <f aca="false">D1706*E1706*$H$1700</f>
        <v>0</v>
      </c>
      <c r="I1706" s="936" t="n">
        <f aca="false">IF(G1706&gt;H1706,G1706,H1706)*$H$1699</f>
        <v>0</v>
      </c>
      <c r="J1706" s="931"/>
      <c r="K1706" s="937"/>
    </row>
    <row r="1707" customFormat="false" ht="15.75" hidden="false" customHeight="false" outlineLevel="0" collapsed="false">
      <c r="A1707" s="937"/>
      <c r="B1707" s="992" t="str">
        <f aca="false">отделка!A514</f>
        <v>Цемент, мешок, 50кг</v>
      </c>
      <c r="C1707" s="993" t="str">
        <f aca="false">отделка!B514</f>
        <v>меш</v>
      </c>
      <c r="D1707" s="992" t="n">
        <f aca="false">отделка!C514</f>
        <v>0</v>
      </c>
      <c r="E1707" s="992" t="n">
        <f aca="false">отделка!D514</f>
        <v>250</v>
      </c>
      <c r="F1707" s="992"/>
      <c r="G1707" s="967" t="n">
        <f aca="false">IF(F1707&gt;0,D1707*F1707,E1707*D1707)</f>
        <v>0</v>
      </c>
      <c r="H1707" s="970" t="n">
        <f aca="false">D1707*E1707*$H$1700</f>
        <v>0</v>
      </c>
      <c r="I1707" s="936" t="n">
        <f aca="false">IF(G1707&gt;H1707,G1707,H1707)*$H$1699</f>
        <v>0</v>
      </c>
      <c r="J1707" s="931"/>
      <c r="K1707" s="937"/>
    </row>
    <row r="1708" customFormat="false" ht="15.75" hidden="false" customHeight="false" outlineLevel="0" collapsed="false">
      <c r="A1708" s="937"/>
      <c r="B1708" s="992" t="str">
        <f aca="false">отделка!A515</f>
        <v>Песок, м3</v>
      </c>
      <c r="C1708" s="993" t="str">
        <f aca="false">отделка!B515</f>
        <v>м3</v>
      </c>
      <c r="D1708" s="992" t="n">
        <f aca="false">отделка!C515</f>
        <v>0</v>
      </c>
      <c r="E1708" s="992" t="n">
        <f aca="false">отделка!D515</f>
        <v>250</v>
      </c>
      <c r="F1708" s="992"/>
      <c r="G1708" s="967" t="n">
        <f aca="false">IF(F1708&gt;0,D1708*F1708,E1708*D1708)</f>
        <v>0</v>
      </c>
      <c r="H1708" s="970" t="n">
        <f aca="false">D1708*E1708*$H$1700</f>
        <v>0</v>
      </c>
      <c r="I1708" s="936" t="n">
        <f aca="false">IF(G1708&gt;H1708,G1708,H1708)*$H$1699</f>
        <v>0</v>
      </c>
      <c r="J1708" s="931"/>
      <c r="K1708" s="937"/>
    </row>
    <row r="1709" customFormat="false" ht="15.75" hidden="false" customHeight="false" outlineLevel="0" collapsed="false">
      <c r="A1709" s="937"/>
      <c r="B1709" s="992" t="str">
        <f aca="false">отделка!A516</f>
        <v>Кладочная сетка, 100*100/150*150/200*200мм</v>
      </c>
      <c r="C1709" s="993" t="str">
        <f aca="false">отделка!B516</f>
        <v>м2</v>
      </c>
      <c r="D1709" s="992" t="n">
        <f aca="false">отделка!C516</f>
        <v>0</v>
      </c>
      <c r="E1709" s="992" t="n">
        <f aca="false">отделка!D516</f>
        <v>70</v>
      </c>
      <c r="F1709" s="992"/>
      <c r="G1709" s="967" t="n">
        <f aca="false">IF(F1709&gt;0,D1709*F1709,E1709*D1709)</f>
        <v>0</v>
      </c>
      <c r="H1709" s="970" t="n">
        <f aca="false">D1709*E1709*$H$1700</f>
        <v>0</v>
      </c>
      <c r="I1709" s="936" t="n">
        <f aca="false">IF(G1709&gt;H1709,G1709,H1709)*$H$1699</f>
        <v>0</v>
      </c>
      <c r="J1709" s="931"/>
      <c r="K1709" s="937"/>
    </row>
    <row r="1710" customFormat="false" ht="15.75" hidden="true" customHeight="false" outlineLevel="0" collapsed="false">
      <c r="A1710" s="937"/>
      <c r="B1710" s="992" t="str">
        <f aca="false">отделка!A517</f>
        <v>сайдинг виниловый</v>
      </c>
      <c r="C1710" s="993" t="str">
        <f aca="false">отделка!B517</f>
        <v>м2</v>
      </c>
      <c r="D1710" s="992" t="n">
        <f aca="false">отделка!C517</f>
        <v>0</v>
      </c>
      <c r="E1710" s="992" t="n">
        <f aca="false">отделка!D517</f>
        <v>350</v>
      </c>
      <c r="F1710" s="992"/>
      <c r="G1710" s="967" t="n">
        <f aca="false">IF(F1710&gt;0,D1710*F1710,E1710*D1710)</f>
        <v>0</v>
      </c>
      <c r="H1710" s="970" t="n">
        <f aca="false">D1710*E1710*$H$1700</f>
        <v>0</v>
      </c>
      <c r="I1710" s="936" t="n">
        <f aca="false">IF(G1710&gt;H1710,G1710,H1710)*$H$1699</f>
        <v>0</v>
      </c>
      <c r="J1710" s="931"/>
      <c r="K1710" s="937"/>
    </row>
    <row r="1711" customFormat="false" ht="15.75" hidden="true" customHeight="false" outlineLevel="0" collapsed="false">
      <c r="A1711" s="937"/>
      <c r="B1711" s="992" t="str">
        <f aca="false">отделка!A518</f>
        <v>доборные элементы для винил сайдинга</v>
      </c>
      <c r="C1711" s="993" t="str">
        <f aca="false">отделка!B518</f>
        <v>шт</v>
      </c>
      <c r="D1711" s="992" t="n">
        <f aca="false">отделка!C518</f>
        <v>0</v>
      </c>
      <c r="E1711" s="992" t="n">
        <f aca="false">отделка!D518</f>
        <v>300</v>
      </c>
      <c r="F1711" s="992"/>
      <c r="G1711" s="967" t="n">
        <f aca="false">IF(F1711&gt;0,D1711*F1711,E1711*D1711)</f>
        <v>0</v>
      </c>
      <c r="H1711" s="970" t="n">
        <f aca="false">D1711*E1711*$H$1700</f>
        <v>0</v>
      </c>
      <c r="I1711" s="936" t="n">
        <f aca="false">IF(G1711&gt;H1711,G1711,H1711)*$H$1699</f>
        <v>0</v>
      </c>
      <c r="J1711" s="931"/>
      <c r="K1711" s="937"/>
    </row>
    <row r="1712" customFormat="false" ht="15.75" hidden="true" customHeight="false" outlineLevel="0" collapsed="false">
      <c r="A1712" s="937"/>
      <c r="B1712" s="992" t="str">
        <f aca="false">отделка!A519</f>
        <v>сайдинг металлический</v>
      </c>
      <c r="C1712" s="993" t="str">
        <f aca="false">отделка!B519</f>
        <v>м2</v>
      </c>
      <c r="D1712" s="992" t="n">
        <f aca="false">отделка!C519</f>
        <v>0</v>
      </c>
      <c r="E1712" s="992" t="n">
        <f aca="false">отделка!D519</f>
        <v>550</v>
      </c>
      <c r="F1712" s="992"/>
      <c r="G1712" s="967" t="n">
        <f aca="false">IF(F1712&gt;0,D1712*F1712,E1712*D1712)</f>
        <v>0</v>
      </c>
      <c r="H1712" s="970" t="n">
        <f aca="false">D1712*E1712*$H$1700</f>
        <v>0</v>
      </c>
      <c r="I1712" s="936" t="n">
        <f aca="false">IF(G1712&gt;H1712,G1712,H1712)*$H$1699</f>
        <v>0</v>
      </c>
      <c r="J1712" s="931"/>
      <c r="K1712" s="937"/>
    </row>
    <row r="1713" customFormat="false" ht="15.75" hidden="true" customHeight="false" outlineLevel="0" collapsed="false">
      <c r="A1713" s="937"/>
      <c r="B1713" s="992" t="str">
        <f aca="false">отделка!A520</f>
        <v>доборные элементы для метал сайдинга</v>
      </c>
      <c r="C1713" s="993" t="str">
        <f aca="false">отделка!B520</f>
        <v>шт</v>
      </c>
      <c r="D1713" s="992" t="n">
        <f aca="false">отделка!C520</f>
        <v>0</v>
      </c>
      <c r="E1713" s="992" t="n">
        <f aca="false">отделка!D520</f>
        <v>350</v>
      </c>
      <c r="F1713" s="992"/>
      <c r="G1713" s="967" t="n">
        <f aca="false">IF(F1713&gt;0,D1713*F1713,E1713*D1713)</f>
        <v>0</v>
      </c>
      <c r="H1713" s="970" t="n">
        <f aca="false">D1713*E1713*$H$1700</f>
        <v>0</v>
      </c>
      <c r="I1713" s="936" t="n">
        <f aca="false">IF(G1713&gt;H1713,G1713,H1713)*$H$1699</f>
        <v>0</v>
      </c>
      <c r="J1713" s="931"/>
      <c r="K1713" s="937"/>
    </row>
    <row r="1714" customFormat="false" ht="15.75" hidden="true" customHeight="false" outlineLevel="0" collapsed="false">
      <c r="A1714" s="937"/>
      <c r="B1714" s="992" t="n">
        <f aca="false">отделка!A521</f>
        <v>0</v>
      </c>
      <c r="C1714" s="993" t="str">
        <f aca="false">отделка!B521</f>
        <v>м2</v>
      </c>
      <c r="D1714" s="992" t="n">
        <f aca="false">отделка!C521</f>
        <v>0</v>
      </c>
      <c r="E1714" s="992" t="n">
        <f aca="false">отделка!D521</f>
        <v>0</v>
      </c>
      <c r="F1714" s="992"/>
      <c r="G1714" s="967" t="n">
        <f aca="false">IF(F1714&gt;0,D1714*F1714,E1714*D1714)</f>
        <v>0</v>
      </c>
      <c r="H1714" s="970" t="n">
        <f aca="false">D1714*E1714*$H$1700</f>
        <v>0</v>
      </c>
      <c r="I1714" s="936" t="n">
        <f aca="false">IF(G1714&gt;H1714,G1714,H1714)*$H$1699</f>
        <v>0</v>
      </c>
      <c r="J1714" s="931"/>
      <c r="K1714" s="937"/>
    </row>
    <row r="1715" customFormat="false" ht="15.75" hidden="true" customHeight="false" outlineLevel="0" collapsed="false">
      <c r="A1715" s="937"/>
      <c r="B1715" s="992" t="str">
        <f aca="false">отделка!A523</f>
        <v>крепления для планкена, змейка</v>
      </c>
      <c r="C1715" s="993" t="str">
        <f aca="false">отделка!B523</f>
        <v>шт</v>
      </c>
      <c r="D1715" s="992" t="n">
        <f aca="false">отделка!C523</f>
        <v>0</v>
      </c>
      <c r="E1715" s="992" t="n">
        <f aca="false">отделка!D523</f>
        <v>15</v>
      </c>
      <c r="F1715" s="992"/>
      <c r="G1715" s="967" t="n">
        <f aca="false">IF(F1715&gt;0,D1715*F1715,E1715*D1715)</f>
        <v>0</v>
      </c>
      <c r="H1715" s="970" t="n">
        <f aca="false">D1715*E1715*$H$1700</f>
        <v>0</v>
      </c>
      <c r="I1715" s="936" t="n">
        <f aca="false">IF(G1715&gt;H1715,G1715,H1715)*$H$1699</f>
        <v>0</v>
      </c>
      <c r="J1715" s="931"/>
      <c r="K1715" s="937"/>
    </row>
    <row r="1716" customFormat="false" ht="15.75" hidden="true" customHeight="false" outlineLevel="0" collapsed="false">
      <c r="A1716" s="937"/>
      <c r="B1716" s="992" t="n">
        <f aca="false">отделка!A524</f>
        <v>0</v>
      </c>
      <c r="C1716" s="993" t="str">
        <f aca="false">отделка!B524</f>
        <v>м2</v>
      </c>
      <c r="D1716" s="992" t="n">
        <f aca="false">отделка!C524</f>
        <v>0</v>
      </c>
      <c r="E1716" s="992" t="n">
        <f aca="false">отделка!D524</f>
        <v>1000</v>
      </c>
      <c r="F1716" s="992"/>
      <c r="G1716" s="967" t="n">
        <f aca="false">IF(F1716&gt;0,D1716*F1716,E1716*D1716)</f>
        <v>0</v>
      </c>
      <c r="H1716" s="970" t="n">
        <f aca="false">D1716*E1716*$H$1700</f>
        <v>0</v>
      </c>
      <c r="I1716" s="936" t="n">
        <f aca="false">IF(G1716&gt;H1716,G1716,H1716)*$H$1699</f>
        <v>0</v>
      </c>
      <c r="J1716" s="931"/>
      <c r="K1716" s="937"/>
    </row>
    <row r="1717" customFormat="false" ht="15.75" hidden="true" customHeight="false" outlineLevel="0" collapsed="false">
      <c r="A1717" s="937"/>
      <c r="B1717" s="992" t="n">
        <f aca="false">отделка!A525</f>
        <v>0</v>
      </c>
      <c r="C1717" s="993" t="str">
        <f aca="false">отделка!B525</f>
        <v>м2</v>
      </c>
      <c r="D1717" s="992" t="n">
        <f aca="false">отделка!C525</f>
        <v>0</v>
      </c>
      <c r="E1717" s="992" t="n">
        <f aca="false">отделка!D525</f>
        <v>0</v>
      </c>
      <c r="F1717" s="992"/>
      <c r="G1717" s="967" t="n">
        <f aca="false">IF(F1717&gt;0,D1717*F1717,E1717*D1717)</f>
        <v>0</v>
      </c>
      <c r="H1717" s="970" t="n">
        <f aca="false">D1717*E1717*$H$1700</f>
        <v>0</v>
      </c>
      <c r="I1717" s="936" t="n">
        <f aca="false">IF(G1717&gt;H1717,G1717,H1717)*$H$1699</f>
        <v>0</v>
      </c>
      <c r="J1717" s="931"/>
      <c r="K1717" s="937"/>
    </row>
    <row r="1718" customFormat="false" ht="15.75" hidden="true" customHeight="false" outlineLevel="0" collapsed="false">
      <c r="A1718" s="937"/>
      <c r="B1718" s="992" t="str">
        <f aca="false">отделка!A526</f>
        <v>клей для камня </v>
      </c>
      <c r="C1718" s="993" t="str">
        <f aca="false">отделка!B526</f>
        <v>меш</v>
      </c>
      <c r="D1718" s="992" t="n">
        <f aca="false">отделка!C526</f>
        <v>0</v>
      </c>
      <c r="E1718" s="992" t="n">
        <f aca="false">отделка!D526</f>
        <v>250</v>
      </c>
      <c r="F1718" s="992"/>
      <c r="G1718" s="967" t="n">
        <f aca="false">IF(F1718&gt;0,D1718*F1718,E1718*D1718)</f>
        <v>0</v>
      </c>
      <c r="H1718" s="970" t="n">
        <f aca="false">D1718*E1718*$H$1700</f>
        <v>0</v>
      </c>
      <c r="I1718" s="936" t="n">
        <f aca="false">IF(G1718&gt;H1718,G1718,H1718)*$H$1699</f>
        <v>0</v>
      </c>
      <c r="J1718" s="931"/>
      <c r="K1718" s="937"/>
    </row>
    <row r="1719" customFormat="false" ht="15.75" hidden="true" customHeight="false" outlineLevel="0" collapsed="false">
      <c r="A1719" s="937"/>
      <c r="B1719" s="992" t="str">
        <f aca="false">отделка!A527</f>
        <v>Нет грунтовки</v>
      </c>
      <c r="C1719" s="993" t="str">
        <f aca="false">отделка!B527</f>
        <v>л</v>
      </c>
      <c r="D1719" s="992" t="n">
        <f aca="false">отделка!C527</f>
        <v>0</v>
      </c>
      <c r="E1719" s="992" t="n">
        <f aca="false">отделка!D527</f>
        <v>0</v>
      </c>
      <c r="F1719" s="992"/>
      <c r="G1719" s="967" t="n">
        <f aca="false">IF(F1719&gt;0,D1719*F1719,E1719*D1719)</f>
        <v>0</v>
      </c>
      <c r="H1719" s="970" t="n">
        <f aca="false">D1719*E1719*$H$1700</f>
        <v>0</v>
      </c>
      <c r="I1719" s="936" t="n">
        <f aca="false">IF(G1719&gt;H1719,G1719,H1719)*$H$1699</f>
        <v>0</v>
      </c>
      <c r="J1719" s="931"/>
      <c r="K1719" s="937"/>
    </row>
    <row r="1720" customFormat="false" ht="15.75" hidden="true" customHeight="false" outlineLevel="0" collapsed="false">
      <c r="A1720" s="937"/>
      <c r="B1720" s="992" t="str">
        <f aca="false">отделка!A528</f>
        <v>Нет пропитки</v>
      </c>
      <c r="C1720" s="993" t="str">
        <f aca="false">отделка!B528</f>
        <v>л</v>
      </c>
      <c r="D1720" s="992" t="n">
        <f aca="false">отделка!C528</f>
        <v>0</v>
      </c>
      <c r="E1720" s="992" t="n">
        <f aca="false">отделка!D528</f>
        <v>0</v>
      </c>
      <c r="F1720" s="992"/>
      <c r="G1720" s="967" t="n">
        <f aca="false">IF(F1720&gt;0,D1720*F1720,E1720*D1720)</f>
        <v>0</v>
      </c>
      <c r="H1720" s="970" t="n">
        <f aca="false">D1720*E1720*$H$1700</f>
        <v>0</v>
      </c>
      <c r="I1720" s="936" t="n">
        <f aca="false">IF(G1720&gt;H1720,G1720,H1720)*$H$1699</f>
        <v>0</v>
      </c>
      <c r="J1720" s="931"/>
      <c r="K1720" s="937"/>
    </row>
    <row r="1721" customFormat="false" ht="15.75" hidden="true" customHeight="false" outlineLevel="0" collapsed="false">
      <c r="A1721" s="937"/>
      <c r="B1721" s="992" t="str">
        <f aca="false">отделка!A529</f>
        <v>Нет лака</v>
      </c>
      <c r="C1721" s="993" t="str">
        <f aca="false">отделка!B529</f>
        <v>л</v>
      </c>
      <c r="D1721" s="992" t="n">
        <f aca="false">отделка!C529</f>
        <v>0</v>
      </c>
      <c r="E1721" s="992" t="n">
        <f aca="false">отделка!D529</f>
        <v>0</v>
      </c>
      <c r="F1721" s="992"/>
      <c r="G1721" s="967" t="n">
        <f aca="false">IF(F1721&gt;0,D1721*F1721,E1721*D1721)</f>
        <v>0</v>
      </c>
      <c r="H1721" s="970" t="n">
        <f aca="false">D1721*E1721*$H$1700</f>
        <v>0</v>
      </c>
      <c r="I1721" s="936" t="n">
        <f aca="false">IF(G1721&gt;H1721,G1721,H1721)*$H$1699</f>
        <v>0</v>
      </c>
      <c r="J1721" s="931"/>
      <c r="K1721" s="937"/>
    </row>
    <row r="1722" customFormat="false" ht="15.75" hidden="true" customHeight="false" outlineLevel="0" collapsed="false">
      <c r="A1722" s="937"/>
      <c r="B1722" s="992" t="str">
        <f aca="false">отделка!A530</f>
        <v>Нет</v>
      </c>
      <c r="C1722" s="993" t="str">
        <f aca="false">отделка!B530</f>
        <v>м3</v>
      </c>
      <c r="D1722" s="992" t="n">
        <f aca="false">отделка!C530</f>
        <v>0</v>
      </c>
      <c r="E1722" s="992" t="n">
        <f aca="false">отделка!D530</f>
        <v>0</v>
      </c>
      <c r="F1722" s="992"/>
      <c r="G1722" s="967" t="n">
        <f aca="false">IF(F1722&gt;0,D1722*F1722,E1722*D1722)</f>
        <v>0</v>
      </c>
      <c r="H1722" s="970" t="n">
        <f aca="false">D1722*E1722*$H$1700</f>
        <v>0</v>
      </c>
      <c r="I1722" s="936" t="n">
        <f aca="false">IF(G1722&gt;H1722,G1722,H1722)*$H$1699</f>
        <v>0</v>
      </c>
      <c r="J1722" s="931"/>
      <c r="K1722" s="937"/>
    </row>
    <row r="1723" customFormat="false" ht="15.75" hidden="true" customHeight="false" outlineLevel="0" collapsed="false">
      <c r="A1723" s="937"/>
      <c r="B1723" s="992" t="str">
        <f aca="false">отделка!A531</f>
        <v>Декоративная штукатурка кароед 2 мм</v>
      </c>
      <c r="C1723" s="993" t="str">
        <f aca="false">отделка!B531</f>
        <v>меш</v>
      </c>
      <c r="D1723" s="992" t="n">
        <f aca="false">отделка!C531</f>
        <v>23</v>
      </c>
      <c r="E1723" s="992" t="n">
        <f aca="false">отделка!D531</f>
        <v>470</v>
      </c>
      <c r="F1723" s="992"/>
      <c r="G1723" s="967" t="n">
        <f aca="false">IF(F1723&gt;0,D1723*F1723,E1723*D1723)</f>
        <v>10810</v>
      </c>
      <c r="H1723" s="970" t="n">
        <f aca="false">D1723*E1723*$H$1700</f>
        <v>10810</v>
      </c>
      <c r="I1723" s="936" t="n">
        <f aca="false">IF(G1723&gt;H1723,G1723,H1723)*$H$1699</f>
        <v>10810</v>
      </c>
      <c r="J1723" s="931"/>
      <c r="K1723" s="937"/>
    </row>
    <row r="1724" customFormat="false" ht="15.75" hidden="true" customHeight="false" outlineLevel="0" collapsed="false">
      <c r="A1724" s="937"/>
      <c r="B1724" s="992" t="str">
        <f aca="false">отделка!A532</f>
        <v>Сетка штукатурная ПВС 40 Оцинкованная рулон</v>
      </c>
      <c r="C1724" s="993" t="str">
        <f aca="false">отделка!B532</f>
        <v>м2</v>
      </c>
      <c r="D1724" s="992" t="n">
        <f aca="false">отделка!C532</f>
        <v>226.759</v>
      </c>
      <c r="E1724" s="992" t="n">
        <f aca="false">отделка!D532</f>
        <v>15</v>
      </c>
      <c r="F1724" s="992"/>
      <c r="G1724" s="967" t="n">
        <f aca="false">IF(F1724&gt;0,D1724*F1724,E1724*D1724)</f>
        <v>3401.385</v>
      </c>
      <c r="H1724" s="970" t="n">
        <f aca="false">D1724*E1724*$H$1700</f>
        <v>3401.385</v>
      </c>
      <c r="I1724" s="936" t="n">
        <f aca="false">IF(G1724&gt;H1724,G1724,H1724)*$H$1699</f>
        <v>3401.385</v>
      </c>
      <c r="J1724" s="931"/>
      <c r="K1724" s="937"/>
    </row>
    <row r="1725" customFormat="false" ht="15.75" hidden="true" customHeight="false" outlineLevel="0" collapsed="false">
      <c r="A1725" s="937"/>
      <c r="B1725" s="992" t="str">
        <f aca="false">отделка!A533</f>
        <v>Штукатурка для наружних работ</v>
      </c>
      <c r="C1725" s="993" t="s">
        <v>820</v>
      </c>
      <c r="D1725" s="992" t="n">
        <f aca="false">отделка!C533</f>
        <v>23</v>
      </c>
      <c r="E1725" s="992" t="n">
        <f aca="false">отделка!D533</f>
        <v>390</v>
      </c>
      <c r="F1725" s="992"/>
      <c r="G1725" s="967" t="n">
        <f aca="false">IF(F1725&gt;0,D1725*F1725,E1725*D1725)</f>
        <v>8970</v>
      </c>
      <c r="H1725" s="970" t="n">
        <f aca="false">D1725*E1725*$H$1700</f>
        <v>8970</v>
      </c>
      <c r="I1725" s="936" t="n">
        <f aca="false">IF(G1725&gt;H1725,G1725,H1725)*$H$1699</f>
        <v>8970</v>
      </c>
      <c r="J1725" s="931"/>
      <c r="K1725" s="937"/>
    </row>
    <row r="1726" customFormat="false" ht="15.75" hidden="true" customHeight="false" outlineLevel="0" collapsed="false">
      <c r="A1726" s="937"/>
      <c r="B1726" s="993" t="s">
        <v>2159</v>
      </c>
      <c r="C1726" s="993"/>
      <c r="D1726" s="993"/>
      <c r="E1726" s="993"/>
      <c r="F1726" s="993"/>
      <c r="G1726" s="967" t="n">
        <f aca="false">IF(F1726&gt;0,D1726*F1726,E1726*D1726)</f>
        <v>0</v>
      </c>
      <c r="H1726" s="1051" t="n">
        <f aca="false">IF(SUM(H1727:H1737)&gt;0,1,0)</f>
        <v>0</v>
      </c>
      <c r="I1726" s="936" t="n">
        <f aca="false">IF(G1726&gt;H1726,G1726,H1726)*$H$1699</f>
        <v>0</v>
      </c>
      <c r="J1726" s="931"/>
      <c r="K1726" s="937"/>
    </row>
    <row r="1727" customFormat="false" ht="15.75" hidden="true" customHeight="false" outlineLevel="0" collapsed="false">
      <c r="A1727" s="937"/>
      <c r="B1727" s="992" t="str">
        <f aca="false">отделка!A535</f>
        <v>отлив металлический</v>
      </c>
      <c r="C1727" s="993" t="str">
        <f aca="false">отделка!B535</f>
        <v>м.п.</v>
      </c>
      <c r="D1727" s="992" t="n">
        <f aca="false">отделка!C535</f>
        <v>0</v>
      </c>
      <c r="E1727" s="992" t="n">
        <f aca="false">отделка!D535</f>
        <v>100</v>
      </c>
      <c r="F1727" s="992"/>
      <c r="G1727" s="967" t="n">
        <f aca="false">IF(F1727&gt;0,D1727*F1727,E1727*D1727)</f>
        <v>0</v>
      </c>
      <c r="H1727" s="970" t="n">
        <f aca="false">D1727*E1727*$H$1700</f>
        <v>0</v>
      </c>
      <c r="I1727" s="936" t="n">
        <f aca="false">IF(G1727&gt;H1727,G1727,H1727)*$H$1699</f>
        <v>0</v>
      </c>
      <c r="J1727" s="931"/>
      <c r="K1727" s="937"/>
    </row>
    <row r="1728" customFormat="false" ht="15.75" hidden="true" customHeight="false" outlineLevel="0" collapsed="false">
      <c r="A1728" s="937"/>
      <c r="B1728" s="992" t="str">
        <f aca="false">отделка!A536</f>
        <v>сайдинг металлический</v>
      </c>
      <c r="C1728" s="993" t="str">
        <f aca="false">отделка!B536</f>
        <v>м2</v>
      </c>
      <c r="D1728" s="992" t="n">
        <f aca="false">отделка!C536</f>
        <v>0</v>
      </c>
      <c r="E1728" s="992" t="n">
        <f aca="false">отделка!D536</f>
        <v>550</v>
      </c>
      <c r="F1728" s="992"/>
      <c r="G1728" s="967" t="n">
        <f aca="false">IF(F1728&gt;0,D1728*F1728,E1728*D1728)</f>
        <v>0</v>
      </c>
      <c r="H1728" s="970" t="n">
        <f aca="false">D1728*E1728*$H$1700</f>
        <v>0</v>
      </c>
      <c r="I1728" s="936" t="n">
        <f aca="false">IF(G1728&gt;H1728,G1728,H1728)*$H$1699</f>
        <v>0</v>
      </c>
      <c r="J1728" s="931"/>
      <c r="K1728" s="937"/>
    </row>
    <row r="1729" customFormat="false" ht="15.75" hidden="true" customHeight="false" outlineLevel="0" collapsed="false">
      <c r="A1729" s="937"/>
      <c r="B1729" s="992" t="str">
        <f aca="false">отделка!A537</f>
        <v>камень природный</v>
      </c>
      <c r="C1729" s="993" t="str">
        <f aca="false">отделка!B537</f>
        <v>м2</v>
      </c>
      <c r="D1729" s="992" t="n">
        <f aca="false">отделка!C537</f>
        <v>0</v>
      </c>
      <c r="E1729" s="992" t="n">
        <f aca="false">отделка!D537</f>
        <v>600</v>
      </c>
      <c r="F1729" s="992"/>
      <c r="G1729" s="967" t="n">
        <f aca="false">IF(F1729&gt;0,D1729*F1729,E1729*D1729)</f>
        <v>0</v>
      </c>
      <c r="H1729" s="970" t="n">
        <f aca="false">D1729*E1729*$H$1700</f>
        <v>0</v>
      </c>
      <c r="I1729" s="936" t="n">
        <f aca="false">IF(G1729&gt;H1729,G1729,H1729)*$H$1699</f>
        <v>0</v>
      </c>
      <c r="J1729" s="931"/>
      <c r="K1729" s="937"/>
    </row>
    <row r="1730" customFormat="false" ht="15.75" hidden="true" customHeight="false" outlineLevel="0" collapsed="false">
      <c r="A1730" s="937"/>
      <c r="B1730" s="992" t="str">
        <f aca="false">отделка!A538</f>
        <v>камень искуственный</v>
      </c>
      <c r="C1730" s="993" t="str">
        <f aca="false">отделка!B538</f>
        <v>м2</v>
      </c>
      <c r="D1730" s="992" t="n">
        <f aca="false">отделка!C538</f>
        <v>0</v>
      </c>
      <c r="E1730" s="992" t="n">
        <f aca="false">отделка!D538</f>
        <v>1000</v>
      </c>
      <c r="F1730" s="992"/>
      <c r="G1730" s="967" t="n">
        <f aca="false">IF(F1730&gt;0,D1730*F1730,E1730*D1730)</f>
        <v>0</v>
      </c>
      <c r="H1730" s="970" t="n">
        <f aca="false">D1730*E1730*$H$1700</f>
        <v>0</v>
      </c>
      <c r="I1730" s="936" t="n">
        <f aca="false">IF(G1730&gt;H1730,G1730,H1730)*$H$1699</f>
        <v>0</v>
      </c>
      <c r="J1730" s="931"/>
      <c r="K1730" s="937"/>
    </row>
    <row r="1731" customFormat="false" ht="15.75" hidden="true" customHeight="false" outlineLevel="0" collapsed="false">
      <c r="A1731" s="937"/>
      <c r="B1731" s="992" t="str">
        <f aca="false">отделка!A539</f>
        <v>клей для камня </v>
      </c>
      <c r="C1731" s="993" t="str">
        <f aca="false">отделка!B539</f>
        <v>меш</v>
      </c>
      <c r="D1731" s="992" t="n">
        <f aca="false">отделка!C539</f>
        <v>0</v>
      </c>
      <c r="E1731" s="992" t="n">
        <f aca="false">отделка!D539</f>
        <v>250</v>
      </c>
      <c r="F1731" s="992"/>
      <c r="G1731" s="967" t="n">
        <f aca="false">IF(F1731&gt;0,D1731*F1731,E1731*D1731)</f>
        <v>0</v>
      </c>
      <c r="H1731" s="970" t="n">
        <f aca="false">D1731*E1731*$H$1700</f>
        <v>0</v>
      </c>
      <c r="I1731" s="936" t="n">
        <f aca="false">IF(G1731&gt;H1731,G1731,H1731)*$H$1699</f>
        <v>0</v>
      </c>
      <c r="J1731" s="931"/>
      <c r="K1731" s="937"/>
    </row>
    <row r="1732" customFormat="false" ht="15.75" hidden="true" customHeight="false" outlineLevel="0" collapsed="false">
      <c r="A1732" s="937"/>
      <c r="B1732" s="992" t="str">
        <f aca="false">отделка!A540</f>
        <v>Нет грунтовки</v>
      </c>
      <c r="C1732" s="993" t="str">
        <f aca="false">отделка!B540</f>
        <v>л</v>
      </c>
      <c r="D1732" s="992" t="n">
        <f aca="false">отделка!C540</f>
        <v>0</v>
      </c>
      <c r="E1732" s="992" t="n">
        <f aca="false">отделка!D540</f>
        <v>0</v>
      </c>
      <c r="F1732" s="992"/>
      <c r="G1732" s="967" t="n">
        <f aca="false">IF(F1732&gt;0,D1732*F1732,E1732*D1732)</f>
        <v>0</v>
      </c>
      <c r="H1732" s="970" t="n">
        <f aca="false">D1732*E1732*$H$1700</f>
        <v>0</v>
      </c>
      <c r="I1732" s="936" t="n">
        <f aca="false">IF(G1732&gt;H1732,G1732,H1732)*$H$1699</f>
        <v>0</v>
      </c>
      <c r="J1732" s="931"/>
      <c r="K1732" s="937"/>
    </row>
    <row r="1733" customFormat="false" ht="15.75" hidden="true" customHeight="false" outlineLevel="0" collapsed="false">
      <c r="A1733" s="937"/>
      <c r="B1733" s="992" t="str">
        <f aca="false">отделка!A541</f>
        <v>нет</v>
      </c>
      <c r="C1733" s="993" t="str">
        <f aca="false">отделка!B541</f>
        <v>м.п.</v>
      </c>
      <c r="D1733" s="992" t="n">
        <f aca="false">отделка!C541</f>
        <v>38.88</v>
      </c>
      <c r="E1733" s="992" t="n">
        <f aca="false">отделка!D541</f>
        <v>0</v>
      </c>
      <c r="F1733" s="992"/>
      <c r="G1733" s="967" t="n">
        <f aca="false">IF(F1733&gt;0,D1733*F1733,E1733*D1733)</f>
        <v>0</v>
      </c>
      <c r="H1733" s="970" t="n">
        <f aca="false">D1733*E1733*$H$1700</f>
        <v>0</v>
      </c>
      <c r="I1733" s="936" t="n">
        <f aca="false">IF(G1733&gt;H1733,G1733,H1733)*$H$1699</f>
        <v>0</v>
      </c>
      <c r="J1733" s="931"/>
      <c r="K1733" s="937"/>
    </row>
    <row r="1734" customFormat="false" ht="15.75" hidden="true" customHeight="false" outlineLevel="0" collapsed="false">
      <c r="A1734" s="937"/>
      <c r="B1734" s="992" t="str">
        <f aca="false">отделка!A542</f>
        <v>Фасадный кронштейн КК 120</v>
      </c>
      <c r="C1734" s="993" t="str">
        <f aca="false">отделка!B542</f>
        <v>шт</v>
      </c>
      <c r="D1734" s="992" t="n">
        <f aca="false">отделка!C542</f>
        <v>0</v>
      </c>
      <c r="E1734" s="992" t="n">
        <f aca="false">отделка!D542</f>
        <v>19</v>
      </c>
      <c r="F1734" s="992"/>
      <c r="G1734" s="967" t="n">
        <f aca="false">IF(F1734&gt;0,D1734*F1734,E1734*D1734)</f>
        <v>0</v>
      </c>
      <c r="H1734" s="970" t="n">
        <f aca="false">D1734*E1734*$H$1700</f>
        <v>0</v>
      </c>
      <c r="I1734" s="936" t="n">
        <f aca="false">IF(G1734&gt;H1734,G1734,H1734)*$H$1699</f>
        <v>0</v>
      </c>
      <c r="J1734" s="931"/>
      <c r="K1734" s="937"/>
    </row>
    <row r="1735" customFormat="false" ht="15.75" hidden="true" customHeight="false" outlineLevel="0" collapsed="false">
      <c r="A1735" s="937"/>
      <c r="B1735" s="992" t="str">
        <f aca="false">отделка!A543</f>
        <v>Болты анкерные с гайкой 10,0 х 97           </v>
      </c>
      <c r="C1735" s="993" t="str">
        <f aca="false">отделка!B543</f>
        <v>шт</v>
      </c>
      <c r="D1735" s="992" t="n">
        <f aca="false">отделка!C543</f>
        <v>0</v>
      </c>
      <c r="E1735" s="992" t="n">
        <f aca="false">отделка!D543</f>
        <v>7.4</v>
      </c>
      <c r="F1735" s="992"/>
      <c r="G1735" s="967" t="n">
        <f aca="false">IF(F1735&gt;0,D1735*F1735,E1735*D1735)</f>
        <v>0</v>
      </c>
      <c r="H1735" s="970" t="n">
        <f aca="false">D1735*E1735*$H$1700</f>
        <v>0</v>
      </c>
      <c r="I1735" s="936" t="n">
        <f aca="false">IF(G1735&gt;H1735,G1735,H1735)*$H$1699</f>
        <v>0</v>
      </c>
      <c r="J1735" s="931"/>
      <c r="K1735" s="937"/>
    </row>
    <row r="1736" customFormat="false" ht="15.75" hidden="true" customHeight="false" outlineLevel="0" collapsed="false">
      <c r="A1736" s="937"/>
      <c r="B1736" s="992" t="str">
        <f aca="false">отделка!A544</f>
        <v>Саморезы 3,5 x 45            </v>
      </c>
      <c r="C1736" s="993" t="s">
        <v>48</v>
      </c>
      <c r="D1736" s="992" t="n">
        <f aca="false">отделка!C544</f>
        <v>0</v>
      </c>
      <c r="E1736" s="992" t="n">
        <f aca="false">отделка!D544</f>
        <v>0.25</v>
      </c>
      <c r="F1736" s="992"/>
      <c r="G1736" s="967" t="n">
        <f aca="false">IF(F1736&gt;0,D1736*F1736,E1736*D1736)</f>
        <v>0</v>
      </c>
      <c r="H1736" s="970" t="n">
        <f aca="false">D1736*E1736*$H$1700</f>
        <v>0</v>
      </c>
      <c r="I1736" s="936" t="n">
        <f aca="false">IF(G1736&gt;H1736,G1736,H1736)*$H$1699</f>
        <v>0</v>
      </c>
      <c r="J1736" s="931"/>
      <c r="K1736" s="937"/>
    </row>
    <row r="1737" customFormat="false" ht="15.75" hidden="true" customHeight="false" outlineLevel="0" collapsed="false">
      <c r="A1737" s="937"/>
      <c r="B1737" s="992" t="str">
        <f aca="false">отделка!A545</f>
        <v>Плоский шифер 8 мм</v>
      </c>
      <c r="C1737" s="993" t="str">
        <f aca="false">отделка!B545</f>
        <v>м2</v>
      </c>
      <c r="D1737" s="992" t="n">
        <f aca="false">отделка!C545</f>
        <v>0</v>
      </c>
      <c r="E1737" s="992" t="n">
        <f aca="false">отделка!D545</f>
        <v>85</v>
      </c>
      <c r="F1737" s="992"/>
      <c r="G1737" s="967" t="n">
        <f aca="false">IF(F1737&gt;0,D1737*F1737,E1737*D1737)</f>
        <v>0</v>
      </c>
      <c r="H1737" s="970" t="n">
        <f aca="false">D1737*E1737*$H$1700</f>
        <v>0</v>
      </c>
      <c r="I1737" s="936" t="n">
        <f aca="false">IF(G1737&gt;H1737,G1737,H1737)*$H$1699</f>
        <v>0</v>
      </c>
      <c r="J1737" s="931"/>
      <c r="K1737" s="937"/>
    </row>
    <row r="1738" customFormat="false" ht="15.75" hidden="true" customHeight="false" outlineLevel="0" collapsed="false">
      <c r="A1738" s="937"/>
      <c r="B1738" s="993" t="s">
        <v>2286</v>
      </c>
      <c r="C1738" s="993"/>
      <c r="D1738" s="993"/>
      <c r="E1738" s="993"/>
      <c r="F1738" s="993"/>
      <c r="G1738" s="967" t="n">
        <f aca="false">IF(F1738&gt;0,D1738*F1738,E1738*D1738)</f>
        <v>0</v>
      </c>
      <c r="H1738" s="1051" t="n">
        <f aca="false">IF(SUM(H1739:H1745)&gt;0,1,0)</f>
        <v>0</v>
      </c>
      <c r="I1738" s="936" t="n">
        <f aca="false">IF(G1738&gt;H1738,G1738,H1738)*$H$1699</f>
        <v>0</v>
      </c>
      <c r="J1738" s="931"/>
      <c r="K1738" s="937"/>
    </row>
    <row r="1739" customFormat="false" ht="15.75" hidden="true" customHeight="false" outlineLevel="0" collapsed="false">
      <c r="A1739" s="937"/>
      <c r="B1739" s="992" t="str">
        <f aca="false">отделка!A547</f>
        <v>планкен</v>
      </c>
      <c r="C1739" s="993" t="str">
        <f aca="false">отделка!B547</f>
        <v>м2</v>
      </c>
      <c r="D1739" s="992" t="n">
        <f aca="false">отделка!C547</f>
        <v>0</v>
      </c>
      <c r="E1739" s="992" t="n">
        <f aca="false">отделка!D547</f>
        <v>0</v>
      </c>
      <c r="F1739" s="992"/>
      <c r="G1739" s="967" t="n">
        <f aca="false">IF(F1739&gt;0,D1739*F1739,E1739*D1739)</f>
        <v>0</v>
      </c>
      <c r="H1739" s="970" t="n">
        <f aca="false">D1739*E1739*$H$1700</f>
        <v>0</v>
      </c>
      <c r="I1739" s="936" t="n">
        <f aca="false">IF(G1739&gt;H1739,G1739,H1739)*$H$1699</f>
        <v>0</v>
      </c>
      <c r="J1739" s="931"/>
      <c r="K1739" s="937"/>
    </row>
    <row r="1740" customFormat="false" ht="15.75" hidden="true" customHeight="false" outlineLevel="0" collapsed="false">
      <c r="A1740" s="937"/>
      <c r="B1740" s="992" t="str">
        <f aca="false">отделка!A548</f>
        <v>Доска сухая, калибр., 35*45мм</v>
      </c>
      <c r="C1740" s="993" t="str">
        <f aca="false">отделка!B548</f>
        <v>м.п.</v>
      </c>
      <c r="D1740" s="992" t="n">
        <f aca="false">отделка!C548</f>
        <v>0</v>
      </c>
      <c r="E1740" s="992" t="n">
        <f aca="false">отделка!D548</f>
        <v>19.6875</v>
      </c>
      <c r="F1740" s="992"/>
      <c r="G1740" s="967" t="n">
        <f aca="false">IF(F1740&gt;0,D1740*F1740,E1740*D1740)</f>
        <v>0</v>
      </c>
      <c r="H1740" s="970" t="n">
        <f aca="false">D1740*E1740*$H$1700</f>
        <v>0</v>
      </c>
      <c r="I1740" s="936" t="n">
        <f aca="false">IF(G1740&gt;H1740,G1740,H1740)*$H$1699</f>
        <v>0</v>
      </c>
      <c r="J1740" s="931"/>
      <c r="K1740" s="937"/>
    </row>
    <row r="1741" customFormat="false" ht="15.75" hidden="true" customHeight="false" outlineLevel="0" collapsed="false">
      <c r="A1741" s="937"/>
      <c r="B1741" s="992" t="str">
        <f aca="false">отделка!A549</f>
        <v>сайдинг</v>
      </c>
      <c r="C1741" s="993" t="str">
        <f aca="false">отделка!B549</f>
        <v>м2</v>
      </c>
      <c r="D1741" s="992" t="n">
        <f aca="false">отделка!C549</f>
        <v>0</v>
      </c>
      <c r="E1741" s="992" t="n">
        <f aca="false">отделка!D549</f>
        <v>350</v>
      </c>
      <c r="F1741" s="992"/>
      <c r="G1741" s="967" t="n">
        <f aca="false">IF(F1741&gt;0,D1741*F1741,E1741*D1741)</f>
        <v>0</v>
      </c>
      <c r="H1741" s="970" t="n">
        <f aca="false">D1741*E1741*$H$1700</f>
        <v>0</v>
      </c>
      <c r="I1741" s="936" t="n">
        <f aca="false">IF(G1741&gt;H1741,G1741,H1741)*$H$1699</f>
        <v>0</v>
      </c>
      <c r="J1741" s="931"/>
      <c r="K1741" s="937"/>
    </row>
    <row r="1742" customFormat="false" ht="15.75" hidden="true" customHeight="false" outlineLevel="0" collapsed="false">
      <c r="A1742" s="937"/>
      <c r="B1742" s="992" t="str">
        <f aca="false">отделка!A550</f>
        <v>торцевая планка винил</v>
      </c>
      <c r="C1742" s="993" t="str">
        <f aca="false">отделка!B550</f>
        <v>м.п.</v>
      </c>
      <c r="D1742" s="992" t="n">
        <f aca="false">отделка!C550</f>
        <v>0</v>
      </c>
      <c r="E1742" s="992" t="n">
        <f aca="false">отделка!D550</f>
        <v>60</v>
      </c>
      <c r="F1742" s="992"/>
      <c r="G1742" s="967" t="n">
        <f aca="false">IF(F1742&gt;0,D1742*F1742,E1742*D1742)</f>
        <v>0</v>
      </c>
      <c r="H1742" s="970" t="n">
        <f aca="false">D1742*E1742*$H$1700</f>
        <v>0</v>
      </c>
      <c r="I1742" s="936" t="n">
        <f aca="false">IF(G1742&gt;H1742,G1742,H1742)*$H$1699</f>
        <v>0</v>
      </c>
      <c r="J1742" s="931"/>
      <c r="K1742" s="937"/>
    </row>
    <row r="1743" customFormat="false" ht="15.75" hidden="true" customHeight="false" outlineLevel="0" collapsed="false">
      <c r="A1743" s="937"/>
      <c r="B1743" s="992" t="str">
        <f aca="false">отделка!A551</f>
        <v>стартовый профиль для сайдинга</v>
      </c>
      <c r="C1743" s="993" t="str">
        <f aca="false">отделка!B551</f>
        <v>м.п.</v>
      </c>
      <c r="D1743" s="992" t="n">
        <f aca="false">отделка!C551</f>
        <v>0</v>
      </c>
      <c r="E1743" s="992" t="n">
        <f aca="false">отделка!D551</f>
        <v>40</v>
      </c>
      <c r="F1743" s="992"/>
      <c r="G1743" s="967" t="n">
        <f aca="false">IF(F1743&gt;0,D1743*F1743,E1743*D1743)</f>
        <v>0</v>
      </c>
      <c r="H1743" s="970" t="n">
        <f aca="false">D1743*E1743*$H$1700</f>
        <v>0</v>
      </c>
      <c r="I1743" s="936" t="n">
        <f aca="false">IF(G1743&gt;H1743,G1743,H1743)*$H$1699</f>
        <v>0</v>
      </c>
      <c r="J1743" s="931"/>
      <c r="K1743" s="937"/>
    </row>
    <row r="1744" customFormat="false" ht="15.75" hidden="true" customHeight="false" outlineLevel="0" collapsed="false">
      <c r="A1744" s="937"/>
      <c r="B1744" s="992" t="str">
        <f aca="false">отделка!A552</f>
        <v>Саморезы 3,5 x 45            </v>
      </c>
      <c r="C1744" s="993" t="str">
        <f aca="false">отделка!B552</f>
        <v>шт</v>
      </c>
      <c r="D1744" s="992" t="n">
        <f aca="false">отделка!C552</f>
        <v>0</v>
      </c>
      <c r="E1744" s="992" t="n">
        <f aca="false">отделка!D552</f>
        <v>0.25</v>
      </c>
      <c r="F1744" s="992"/>
      <c r="G1744" s="967" t="n">
        <f aca="false">IF(F1744&gt;0,D1744*F1744,E1744*D1744)</f>
        <v>0</v>
      </c>
      <c r="H1744" s="970" t="n">
        <f aca="false">D1744*E1744*$H$1700</f>
        <v>0</v>
      </c>
      <c r="I1744" s="936" t="n">
        <f aca="false">IF(G1744&gt;H1744,G1744,H1744)*$H$1699</f>
        <v>0</v>
      </c>
      <c r="J1744" s="931"/>
      <c r="K1744" s="937"/>
    </row>
    <row r="1745" customFormat="false" ht="15.75" hidden="true" customHeight="false" outlineLevel="0" collapsed="false">
      <c r="A1745" s="937"/>
      <c r="B1745" s="992" t="str">
        <f aca="false">отделка!A553</f>
        <v>Саморезы 4,2 х 75            </v>
      </c>
      <c r="C1745" s="993" t="str">
        <f aca="false">отделка!B553</f>
        <v>шт</v>
      </c>
      <c r="D1745" s="992" t="n">
        <f aca="false">отделка!C553</f>
        <v>0</v>
      </c>
      <c r="E1745" s="992" t="n">
        <f aca="false">отделка!D553</f>
        <v>0.45</v>
      </c>
      <c r="F1745" s="992"/>
      <c r="G1745" s="967" t="n">
        <f aca="false">IF(F1745&gt;0,D1745*F1745,E1745*D1745)</f>
        <v>0</v>
      </c>
      <c r="H1745" s="970" t="n">
        <f aca="false">D1745*E1745*$H$1700</f>
        <v>0</v>
      </c>
      <c r="I1745" s="936" t="n">
        <f aca="false">IF(G1745&gt;H1745,G1745,H1745)*$H$1699</f>
        <v>0</v>
      </c>
      <c r="J1745" s="931"/>
      <c r="K1745" s="937"/>
    </row>
    <row r="1746" customFormat="false" ht="15.75" hidden="false" customHeight="false" outlineLevel="0" collapsed="false">
      <c r="A1746" s="937"/>
      <c r="B1746" s="973" t="s">
        <v>2247</v>
      </c>
      <c r="C1746" s="973"/>
      <c r="D1746" s="973"/>
      <c r="E1746" s="973"/>
      <c r="F1746" s="973"/>
      <c r="G1746" s="970" t="n">
        <f aca="false">SUM(G1702:G1745)*H1699</f>
        <v>23181.385</v>
      </c>
      <c r="H1746" s="970" t="n">
        <f aca="false">SUM(H1702:H1745)</f>
        <v>23181.385</v>
      </c>
      <c r="I1746" s="936" t="n">
        <f aca="false">IF(G1746&gt;H1746,G1746,H1746)*$H$1699</f>
        <v>23181.385</v>
      </c>
      <c r="J1746" s="931"/>
      <c r="K1746" s="937"/>
    </row>
    <row r="1747" customFormat="false" ht="15.75" hidden="false" customHeight="false" outlineLevel="0" collapsed="false">
      <c r="A1747" s="937"/>
      <c r="B1747" s="976" t="s">
        <v>2007</v>
      </c>
      <c r="C1747" s="976"/>
      <c r="D1747" s="976"/>
      <c r="E1747" s="976"/>
      <c r="F1747" s="976"/>
      <c r="G1747" s="977"/>
      <c r="H1747" s="994" t="n">
        <f aca="false">H1699</f>
        <v>1</v>
      </c>
      <c r="I1747" s="1026" t="n">
        <f aca="false">H1747</f>
        <v>1</v>
      </c>
      <c r="L1747" s="926"/>
      <c r="M1747" s="926"/>
      <c r="N1747" s="926"/>
    </row>
    <row r="1748" customFormat="false" ht="15.75" hidden="false" customHeight="false" outlineLevel="0" collapsed="false">
      <c r="A1748" s="931"/>
      <c r="B1748" s="993" t="s">
        <v>837</v>
      </c>
      <c r="C1748" s="993"/>
      <c r="D1748" s="993"/>
      <c r="E1748" s="993"/>
      <c r="F1748" s="993"/>
      <c r="G1748" s="1051" t="n">
        <f aca="false">IF(F1748&gt;0,D1748*F1748,E1748*D1748)</f>
        <v>0</v>
      </c>
      <c r="H1748" s="1051" t="n">
        <f aca="false">IF(SUM(H1749:H1762)&gt;0,1,0)</f>
        <v>1</v>
      </c>
      <c r="I1748" s="936" t="n">
        <f aca="false">IF(G1748&gt;H1748,G1748,H1748)*$H$1699</f>
        <v>1</v>
      </c>
      <c r="L1748" s="926"/>
      <c r="M1748" s="926"/>
      <c r="N1748" s="926"/>
    </row>
    <row r="1749" customFormat="false" ht="15.75" hidden="false" customHeight="false" outlineLevel="0" collapsed="false">
      <c r="A1749" s="937"/>
      <c r="B1749" s="995" t="str">
        <f aca="false">отделка!G509</f>
        <v>кладка кирпича облицов</v>
      </c>
      <c r="C1749" s="993" t="str">
        <f aca="false">отделка!I509</f>
        <v>м2</v>
      </c>
      <c r="D1749" s="992" t="n">
        <f aca="false">отделка!J509</f>
        <v>0</v>
      </c>
      <c r="E1749" s="1010" t="n">
        <f aca="false">отделка!K509</f>
        <v>500</v>
      </c>
      <c r="F1749" s="1010"/>
      <c r="G1749" s="967" t="n">
        <f aca="false">IF(F1749&gt;0,D1749*F1749,E1749*D1749)</f>
        <v>0</v>
      </c>
      <c r="H1749" s="970" t="n">
        <f aca="false">D1749*E1749*$H$1747</f>
        <v>0</v>
      </c>
      <c r="I1749" s="936" t="n">
        <f aca="false">IF(G1749&gt;H1749,G1749,H1749)*$H$1699</f>
        <v>0</v>
      </c>
      <c r="L1749" s="926"/>
      <c r="M1749" s="926"/>
      <c r="N1749" s="926"/>
    </row>
    <row r="1750" customFormat="false" ht="15.75" hidden="true" customHeight="false" outlineLevel="0" collapsed="false">
      <c r="A1750" s="937"/>
      <c r="B1750" s="995" t="str">
        <f aca="false">отделка!G510</f>
        <v>монтаж подсистемы</v>
      </c>
      <c r="C1750" s="993" t="str">
        <f aca="false">отделка!I510</f>
        <v>м2</v>
      </c>
      <c r="D1750" s="992" t="n">
        <f aca="false">отделка!J510</f>
        <v>0</v>
      </c>
      <c r="E1750" s="1010" t="n">
        <f aca="false">отделка!K510</f>
        <v>200</v>
      </c>
      <c r="F1750" s="1010"/>
      <c r="G1750" s="967" t="n">
        <f aca="false">IF(F1750&gt;0,D1750*F1750,E1750*D1750)</f>
        <v>0</v>
      </c>
      <c r="H1750" s="970" t="n">
        <f aca="false">D1750*E1750*$H$1747</f>
        <v>0</v>
      </c>
      <c r="I1750" s="936" t="n">
        <f aca="false">IF(G1750&gt;H1750,G1750,H1750)*$H$1699</f>
        <v>0</v>
      </c>
      <c r="J1750" s="931"/>
      <c r="K1750" s="937"/>
    </row>
    <row r="1751" customFormat="false" ht="15.75" hidden="true" customHeight="false" outlineLevel="0" collapsed="false">
      <c r="A1751" s="937"/>
      <c r="B1751" s="995" t="str">
        <f aca="false">отделка!G511</f>
        <v>сайдинг виниловый</v>
      </c>
      <c r="C1751" s="993" t="str">
        <f aca="false">отделка!I511</f>
        <v>м2</v>
      </c>
      <c r="D1751" s="992" t="n">
        <f aca="false">отделка!J511</f>
        <v>0</v>
      </c>
      <c r="E1751" s="1010" t="n">
        <f aca="false">отделка!K511</f>
        <v>300</v>
      </c>
      <c r="F1751" s="1010"/>
      <c r="G1751" s="967" t="n">
        <f aca="false">IF(F1751&gt;0,D1751*F1751,E1751*D1751)</f>
        <v>0</v>
      </c>
      <c r="H1751" s="970" t="n">
        <f aca="false">D1751*E1751*$H$1747</f>
        <v>0</v>
      </c>
      <c r="I1751" s="936" t="n">
        <f aca="false">IF(G1751&gt;H1751,G1751,H1751)*$H$1699</f>
        <v>0</v>
      </c>
      <c r="J1751" s="931"/>
      <c r="K1751" s="937"/>
    </row>
    <row r="1752" customFormat="false" ht="15.75" hidden="true" customHeight="false" outlineLevel="0" collapsed="false">
      <c r="A1752" s="937"/>
      <c r="B1752" s="995" t="str">
        <f aca="false">отделка!G512</f>
        <v>сайдинг металл</v>
      </c>
      <c r="C1752" s="993" t="str">
        <f aca="false">отделка!I512</f>
        <v>м2</v>
      </c>
      <c r="D1752" s="992" t="n">
        <f aca="false">отделка!J512</f>
        <v>0</v>
      </c>
      <c r="E1752" s="1010" t="n">
        <f aca="false">отделка!K512</f>
        <v>350</v>
      </c>
      <c r="F1752" s="1010"/>
      <c r="G1752" s="967" t="n">
        <f aca="false">IF(F1752&gt;0,D1752*F1752,E1752*D1752)</f>
        <v>0</v>
      </c>
      <c r="H1752" s="970" t="n">
        <f aca="false">D1752*E1752*$H$1747</f>
        <v>0</v>
      </c>
      <c r="I1752" s="936" t="n">
        <f aca="false">IF(G1752&gt;H1752,G1752,H1752)*$H$1699</f>
        <v>0</v>
      </c>
      <c r="J1752" s="931"/>
      <c r="K1752" s="937"/>
    </row>
    <row r="1753" customFormat="false" ht="15.75" hidden="true" customHeight="false" outlineLevel="0" collapsed="false">
      <c r="A1753" s="937"/>
      <c r="B1753" s="995" t="str">
        <f aca="false">отделка!G513</f>
        <v>планкен</v>
      </c>
      <c r="C1753" s="993" t="str">
        <f aca="false">отделка!I513</f>
        <v>м2</v>
      </c>
      <c r="D1753" s="992" t="n">
        <f aca="false">отделка!J513</f>
        <v>0</v>
      </c>
      <c r="E1753" s="1010" t="n">
        <f aca="false">отделка!K513</f>
        <v>500</v>
      </c>
      <c r="F1753" s="1010"/>
      <c r="G1753" s="967" t="n">
        <f aca="false">IF(F1753&gt;0,D1753*F1753,E1753*D1753)</f>
        <v>0</v>
      </c>
      <c r="H1753" s="970" t="n">
        <f aca="false">D1753*E1753*$H$1747</f>
        <v>0</v>
      </c>
      <c r="I1753" s="936" t="n">
        <f aca="false">IF(G1753&gt;H1753,G1753,H1753)*$H$1699</f>
        <v>0</v>
      </c>
      <c r="J1753" s="931"/>
      <c r="K1753" s="937"/>
    </row>
    <row r="1754" customFormat="false" ht="15.75" hidden="true" customHeight="false" outlineLevel="0" collapsed="false">
      <c r="A1754" s="937"/>
      <c r="B1754" s="995" t="str">
        <f aca="false">отделка!G514</f>
        <v>камень</v>
      </c>
      <c r="C1754" s="993" t="str">
        <f aca="false">отделка!I514</f>
        <v>м2</v>
      </c>
      <c r="D1754" s="992" t="n">
        <f aca="false">отделка!J514</f>
        <v>0</v>
      </c>
      <c r="E1754" s="1010" t="n">
        <f aca="false">отделка!K514</f>
        <v>600</v>
      </c>
      <c r="F1754" s="1010"/>
      <c r="G1754" s="967" t="n">
        <f aca="false">IF(F1754&gt;0,D1754*F1754,E1754*D1754)</f>
        <v>0</v>
      </c>
      <c r="H1754" s="970" t="n">
        <f aca="false">D1754*E1754*$H$1747</f>
        <v>0</v>
      </c>
      <c r="I1754" s="936" t="n">
        <f aca="false">IF(G1754&gt;H1754,G1754,H1754)*$H$1699</f>
        <v>0</v>
      </c>
      <c r="J1754" s="931"/>
      <c r="K1754" s="937"/>
    </row>
    <row r="1755" customFormat="false" ht="15.75" hidden="true" customHeight="false" outlineLevel="0" collapsed="false">
      <c r="A1755" s="937"/>
      <c r="B1755" s="995" t="str">
        <f aca="false">отделка!G515</f>
        <v>окрашивание поверхности</v>
      </c>
      <c r="C1755" s="993" t="str">
        <f aca="false">отделка!I515</f>
        <v>м2</v>
      </c>
      <c r="D1755" s="992" t="n">
        <f aca="false">отделка!J515</f>
        <v>0</v>
      </c>
      <c r="E1755" s="1010" t="n">
        <f aca="false">отделка!K515</f>
        <v>200</v>
      </c>
      <c r="F1755" s="1010"/>
      <c r="G1755" s="967" t="n">
        <f aca="false">IF(F1755&gt;0,D1755*F1755,E1755*D1755)</f>
        <v>0</v>
      </c>
      <c r="H1755" s="970" t="n">
        <f aca="false">D1755*E1755*$H$1747</f>
        <v>0</v>
      </c>
      <c r="I1755" s="936" t="n">
        <f aca="false">IF(G1755&gt;H1755,G1755,H1755)*$H$1699</f>
        <v>0</v>
      </c>
      <c r="J1755" s="931"/>
      <c r="K1755" s="937"/>
    </row>
    <row r="1756" customFormat="false" ht="15.75" hidden="true" customHeight="false" outlineLevel="0" collapsed="false">
      <c r="A1756" s="937"/>
      <c r="B1756" s="995" t="str">
        <f aca="false">отделка!G516</f>
        <v>лакирование пов-ти</v>
      </c>
      <c r="C1756" s="993" t="str">
        <f aca="false">отделка!I516</f>
        <v>м2</v>
      </c>
      <c r="D1756" s="992" t="n">
        <f aca="false">отделка!J516</f>
        <v>0</v>
      </c>
      <c r="E1756" s="1010" t="n">
        <f aca="false">отделка!K516</f>
        <v>300</v>
      </c>
      <c r="F1756" s="1010"/>
      <c r="G1756" s="967" t="n">
        <f aca="false">IF(F1756&gt;0,D1756*F1756,E1756*D1756)</f>
        <v>0</v>
      </c>
      <c r="H1756" s="970" t="n">
        <f aca="false">D1756*E1756*$H$1747</f>
        <v>0</v>
      </c>
      <c r="I1756" s="936" t="n">
        <f aca="false">IF(G1756&gt;H1756,G1756,H1756)*$H$1699</f>
        <v>0</v>
      </c>
      <c r="J1756" s="931"/>
      <c r="K1756" s="937"/>
    </row>
    <row r="1757" customFormat="false" ht="15.75" hidden="true" customHeight="false" outlineLevel="0" collapsed="false">
      <c r="A1757" s="937"/>
      <c r="B1757" s="995" t="str">
        <f aca="false">отделка!G517</f>
        <v>монтаж плоский шифер</v>
      </c>
      <c r="C1757" s="993" t="str">
        <f aca="false">отделка!I517</f>
        <v>м2</v>
      </c>
      <c r="D1757" s="992" t="n">
        <f aca="false">отделка!J517</f>
        <v>0</v>
      </c>
      <c r="E1757" s="1010" t="n">
        <f aca="false">отделка!K517</f>
        <v>120</v>
      </c>
      <c r="F1757" s="1010"/>
      <c r="G1757" s="967" t="n">
        <f aca="false">IF(F1757&gt;0,D1757*F1757,E1757*D1757)</f>
        <v>0</v>
      </c>
      <c r="H1757" s="970" t="n">
        <f aca="false">D1757*E1757*$H$1747</f>
        <v>0</v>
      </c>
      <c r="I1757" s="936" t="n">
        <f aca="false">IF(G1757&gt;H1757,G1757,H1757)*$H$1699</f>
        <v>0</v>
      </c>
      <c r="J1757" s="931"/>
      <c r="K1757" s="937"/>
    </row>
    <row r="1758" customFormat="false" ht="15.75" hidden="true" customHeight="false" outlineLevel="0" collapsed="false">
      <c r="A1758" s="937"/>
      <c r="B1758" s="995" t="str">
        <f aca="false">отделка!G518</f>
        <v>имитация бруса</v>
      </c>
      <c r="C1758" s="993" t="s">
        <v>820</v>
      </c>
      <c r="D1758" s="992" t="n">
        <f aca="false">отделка!J518</f>
        <v>0</v>
      </c>
      <c r="E1758" s="1010" t="n">
        <f aca="false">отделка!K518</f>
        <v>400</v>
      </c>
      <c r="F1758" s="1010"/>
      <c r="G1758" s="967" t="n">
        <f aca="false">IF(F1758&gt;0,D1758*F1758,E1758*D1758)</f>
        <v>0</v>
      </c>
      <c r="H1758" s="970" t="n">
        <f aca="false">D1758*E1758*$H$1747</f>
        <v>0</v>
      </c>
      <c r="I1758" s="936" t="n">
        <f aca="false">IF(G1758&gt;H1758,G1758,H1758)*$H$1699</f>
        <v>0</v>
      </c>
      <c r="J1758" s="931"/>
      <c r="K1758" s="937"/>
    </row>
    <row r="1759" customFormat="false" ht="15.75" hidden="true" customHeight="false" outlineLevel="0" collapsed="false">
      <c r="A1759" s="937"/>
      <c r="B1759" s="995" t="str">
        <f aca="false">отделка!G519</f>
        <v>Утепление наружних стен</v>
      </c>
      <c r="C1759" s="993" t="str">
        <f aca="false">отделка!I519</f>
        <v>м2</v>
      </c>
      <c r="D1759" s="992" t="n">
        <f aca="false">отделка!J519</f>
        <v>0</v>
      </c>
      <c r="E1759" s="1010" t="n">
        <f aca="false">отделка!K519</f>
        <v>200</v>
      </c>
      <c r="F1759" s="1010"/>
      <c r="G1759" s="967" t="n">
        <f aca="false">IF(F1759&gt;0,D1759*F1759,E1759*D1759)</f>
        <v>0</v>
      </c>
      <c r="H1759" s="970" t="n">
        <f aca="false">D1759*E1759*$H$1747</f>
        <v>0</v>
      </c>
      <c r="I1759" s="936" t="n">
        <f aca="false">IF(G1759&gt;H1759,G1759,H1759)*$H$1699</f>
        <v>0</v>
      </c>
      <c r="J1759" s="931"/>
      <c r="K1759" s="937"/>
    </row>
    <row r="1760" customFormat="false" ht="15.75" hidden="true" customHeight="false" outlineLevel="0" collapsed="false">
      <c r="A1760" s="937"/>
      <c r="B1760" s="995" t="str">
        <f aca="false">отделка!G520</f>
        <v>Оштукатуривание поверхности, подготовка</v>
      </c>
      <c r="C1760" s="993" t="str">
        <f aca="false">отделка!I520</f>
        <v>м2</v>
      </c>
      <c r="D1760" s="992" t="n">
        <f aca="false">отделка!J520</f>
        <v>174.43</v>
      </c>
      <c r="E1760" s="1010" t="n">
        <f aca="false">отделка!K520</f>
        <v>400</v>
      </c>
      <c r="F1760" s="1010"/>
      <c r="G1760" s="967" t="n">
        <f aca="false">IF(F1760&gt;0,D1760*F1760,E1760*D1760)</f>
        <v>69772</v>
      </c>
      <c r="H1760" s="970" t="n">
        <f aca="false">D1760*E1760*$H$1747</f>
        <v>69772</v>
      </c>
      <c r="I1760" s="936" t="n">
        <f aca="false">IF(G1760&gt;H1760,G1760,H1760)*$H$1699</f>
        <v>69772</v>
      </c>
      <c r="J1760" s="931"/>
      <c r="K1760" s="937"/>
    </row>
    <row r="1761" customFormat="false" ht="15.75" hidden="true" customHeight="false" outlineLevel="0" collapsed="false">
      <c r="A1761" s="937"/>
      <c r="B1761" s="995" t="str">
        <f aca="false">отделка!G521</f>
        <v>Наклейка сетки</v>
      </c>
      <c r="C1761" s="993" t="str">
        <f aca="false">отделка!I521</f>
        <v>м2</v>
      </c>
      <c r="D1761" s="992" t="n">
        <f aca="false">отделка!J521</f>
        <v>174.43</v>
      </c>
      <c r="E1761" s="1010" t="n">
        <f aca="false">отделка!K521</f>
        <v>200</v>
      </c>
      <c r="F1761" s="1010"/>
      <c r="G1761" s="967" t="n">
        <f aca="false">IF(F1761&gt;0,D1761*F1761,E1761*D1761)</f>
        <v>34886</v>
      </c>
      <c r="H1761" s="970" t="n">
        <f aca="false">D1761*E1761*$H$1747</f>
        <v>34886</v>
      </c>
      <c r="I1761" s="936" t="n">
        <f aca="false">IF(G1761&gt;H1761,G1761,H1761)*$H$1699</f>
        <v>34886</v>
      </c>
      <c r="J1761" s="931"/>
      <c r="K1761" s="937"/>
    </row>
    <row r="1762" customFormat="false" ht="15.75" hidden="true" customHeight="false" outlineLevel="0" collapsed="false">
      <c r="A1762" s="937"/>
      <c r="B1762" s="995" t="str">
        <f aca="false">отделка!G522</f>
        <v>Нанесение декоративной штукатурки</v>
      </c>
      <c r="C1762" s="993" t="str">
        <f aca="false">отделка!I522</f>
        <v>м2</v>
      </c>
      <c r="D1762" s="992" t="n">
        <f aca="false">отделка!J522</f>
        <v>174.43</v>
      </c>
      <c r="E1762" s="1010" t="n">
        <f aca="false">отделка!K522</f>
        <v>600</v>
      </c>
      <c r="F1762" s="1010"/>
      <c r="G1762" s="967" t="n">
        <f aca="false">IF(F1762&gt;0,D1762*F1762,E1762*D1762)</f>
        <v>104658</v>
      </c>
      <c r="H1762" s="970" t="n">
        <f aca="false">D1762*E1762*$H$1747</f>
        <v>104658</v>
      </c>
      <c r="I1762" s="936" t="n">
        <f aca="false">IF(G1762&gt;H1762,G1762,H1762)*$H$1699</f>
        <v>104658</v>
      </c>
      <c r="J1762" s="931"/>
      <c r="K1762" s="937"/>
    </row>
    <row r="1763" customFormat="false" ht="15.75" hidden="true" customHeight="false" outlineLevel="0" collapsed="false">
      <c r="A1763" s="937"/>
      <c r="B1763" s="993" t="s">
        <v>2159</v>
      </c>
      <c r="C1763" s="993"/>
      <c r="D1763" s="993"/>
      <c r="E1763" s="993"/>
      <c r="F1763" s="993"/>
      <c r="G1763" s="967" t="n">
        <f aca="false">IF(F1763&gt;0,D1763*F1763,E1763*D1763)</f>
        <v>0</v>
      </c>
      <c r="H1763" s="1051" t="n">
        <f aca="false">IF(SUM(H1764:H1769)&gt;0,1,0)</f>
        <v>0</v>
      </c>
      <c r="I1763" s="936" t="n">
        <f aca="false">IF(G1763&gt;H1763,G1763,H1763)*$H$1699</f>
        <v>0</v>
      </c>
      <c r="J1763" s="931"/>
      <c r="K1763" s="937"/>
    </row>
    <row r="1764" customFormat="false" ht="15.75" hidden="true" customHeight="false" outlineLevel="0" collapsed="false">
      <c r="A1764" s="937"/>
      <c r="B1764" s="995" t="s">
        <v>2145</v>
      </c>
      <c r="C1764" s="993" t="s">
        <v>820</v>
      </c>
      <c r="D1764" s="992" t="n">
        <f aca="false">отделка!J524</f>
        <v>0</v>
      </c>
      <c r="E1764" s="986" t="n">
        <f aca="false">отделка!K524</f>
        <v>200</v>
      </c>
      <c r="F1764" s="986"/>
      <c r="G1764" s="967" t="n">
        <f aca="false">IF(F1764&gt;0,D1764*F1764,E1764*D1764)</f>
        <v>0</v>
      </c>
      <c r="H1764" s="970" t="n">
        <f aca="false">D1764*E1764*$H$1747</f>
        <v>0</v>
      </c>
      <c r="I1764" s="936" t="n">
        <f aca="false">IF(G1764&gt;H1764,G1764,H1764)*$H$1699</f>
        <v>0</v>
      </c>
      <c r="J1764" s="931"/>
      <c r="K1764" s="937"/>
    </row>
    <row r="1765" customFormat="false" ht="15.75" hidden="true" customHeight="false" outlineLevel="0" collapsed="false">
      <c r="A1765" s="937"/>
      <c r="B1765" s="995" t="s">
        <v>2160</v>
      </c>
      <c r="C1765" s="993" t="s">
        <v>15</v>
      </c>
      <c r="D1765" s="992" t="n">
        <f aca="false">отделка!J525</f>
        <v>0</v>
      </c>
      <c r="E1765" s="986" t="n">
        <f aca="false">отделка!K525</f>
        <v>120</v>
      </c>
      <c r="F1765" s="986"/>
      <c r="G1765" s="967" t="n">
        <f aca="false">IF(F1765&gt;0,D1765*F1765,E1765*D1765)</f>
        <v>0</v>
      </c>
      <c r="H1765" s="970" t="n">
        <f aca="false">D1765*E1765*$H$1747</f>
        <v>0</v>
      </c>
      <c r="I1765" s="936" t="n">
        <f aca="false">IF(G1765&gt;H1765,G1765,H1765)*$H$1699</f>
        <v>0</v>
      </c>
      <c r="J1765" s="931"/>
      <c r="K1765" s="937"/>
    </row>
    <row r="1766" customFormat="false" ht="15.75" hidden="true" customHeight="false" outlineLevel="0" collapsed="false">
      <c r="A1766" s="937"/>
      <c r="B1766" s="995" t="s">
        <v>2150</v>
      </c>
      <c r="C1766" s="993" t="s">
        <v>820</v>
      </c>
      <c r="D1766" s="992" t="n">
        <f aca="false">отделка!J526</f>
        <v>0</v>
      </c>
      <c r="E1766" s="986" t="n">
        <f aca="false">отделка!K526</f>
        <v>120</v>
      </c>
      <c r="F1766" s="986"/>
      <c r="G1766" s="967" t="n">
        <f aca="false">IF(F1766&gt;0,D1766*F1766,E1766*D1766)</f>
        <v>0</v>
      </c>
      <c r="H1766" s="970" t="n">
        <f aca="false">D1766*E1766*$H$1747</f>
        <v>0</v>
      </c>
      <c r="I1766" s="936" t="n">
        <f aca="false">IF(G1766&gt;H1766,G1766,H1766)*$H$1699</f>
        <v>0</v>
      </c>
      <c r="J1766" s="931"/>
      <c r="K1766" s="937"/>
    </row>
    <row r="1767" customFormat="false" ht="15.75" hidden="true" customHeight="false" outlineLevel="0" collapsed="false">
      <c r="A1767" s="937"/>
      <c r="B1767" s="995" t="s">
        <v>2161</v>
      </c>
      <c r="C1767" s="993" t="s">
        <v>820</v>
      </c>
      <c r="D1767" s="992" t="n">
        <f aca="false">отделка!J527</f>
        <v>0</v>
      </c>
      <c r="E1767" s="986" t="n">
        <f aca="false">отделка!K527</f>
        <v>350</v>
      </c>
      <c r="F1767" s="986"/>
      <c r="G1767" s="967" t="n">
        <f aca="false">IF(F1767&gt;0,D1767*F1767,E1767*D1767)</f>
        <v>0</v>
      </c>
      <c r="H1767" s="970" t="n">
        <f aca="false">D1767*E1767*$H$1747</f>
        <v>0</v>
      </c>
      <c r="I1767" s="936" t="n">
        <f aca="false">IF(G1767&gt;H1767,G1767,H1767)*$H$1699</f>
        <v>0</v>
      </c>
      <c r="J1767" s="931"/>
      <c r="K1767" s="937"/>
    </row>
    <row r="1768" customFormat="false" ht="15.75" hidden="true" customHeight="false" outlineLevel="0" collapsed="false">
      <c r="A1768" s="937"/>
      <c r="B1768" s="995" t="s">
        <v>2162</v>
      </c>
      <c r="C1768" s="993" t="s">
        <v>820</v>
      </c>
      <c r="D1768" s="992" t="n">
        <f aca="false">отделка!J528</f>
        <v>0</v>
      </c>
      <c r="E1768" s="986" t="n">
        <f aca="false">отделка!K528</f>
        <v>900</v>
      </c>
      <c r="F1768" s="986"/>
      <c r="G1768" s="967" t="n">
        <f aca="false">IF(F1768&gt;0,D1768*F1768,E1768*D1768)</f>
        <v>0</v>
      </c>
      <c r="H1768" s="970" t="n">
        <f aca="false">D1768*E1768*$H$1747</f>
        <v>0</v>
      </c>
      <c r="I1768" s="936" t="n">
        <f aca="false">IF(G1768&gt;H1768,G1768,H1768)*$H$1699</f>
        <v>0</v>
      </c>
      <c r="J1768" s="931"/>
      <c r="K1768" s="937"/>
    </row>
    <row r="1769" customFormat="false" ht="15.75" hidden="true" customHeight="false" outlineLevel="0" collapsed="false">
      <c r="A1769" s="937"/>
      <c r="B1769" s="995" t="s">
        <v>2163</v>
      </c>
      <c r="C1769" s="993" t="s">
        <v>820</v>
      </c>
      <c r="D1769" s="992" t="n">
        <f aca="false">отделка!J529</f>
        <v>0</v>
      </c>
      <c r="E1769" s="986" t="n">
        <f aca="false">отделка!K529</f>
        <v>800</v>
      </c>
      <c r="F1769" s="986"/>
      <c r="G1769" s="967" t="n">
        <f aca="false">IF(F1769&gt;0,D1769*F1769,E1769*D1769)</f>
        <v>0</v>
      </c>
      <c r="H1769" s="970" t="n">
        <f aca="false">D1769*E1769*$H$1747</f>
        <v>0</v>
      </c>
      <c r="I1769" s="936" t="n">
        <f aca="false">IF(G1769&gt;H1769,G1769,H1769)*$H$1699</f>
        <v>0</v>
      </c>
      <c r="J1769" s="931"/>
      <c r="K1769" s="937"/>
    </row>
    <row r="1770" customFormat="false" ht="15.75" hidden="true" customHeight="false" outlineLevel="0" collapsed="false">
      <c r="A1770" s="937"/>
      <c r="B1770" s="993" t="s">
        <v>2164</v>
      </c>
      <c r="C1770" s="993"/>
      <c r="D1770" s="993"/>
      <c r="E1770" s="993"/>
      <c r="F1770" s="993"/>
      <c r="G1770" s="967" t="n">
        <f aca="false">IF(F1770&gt;0,D1770*F1770,E1770*D1770)</f>
        <v>0</v>
      </c>
      <c r="H1770" s="1051" t="n">
        <f aca="false">IF(SUM(H1771:H1773)&gt;0,1,0)</f>
        <v>0</v>
      </c>
      <c r="I1770" s="936" t="n">
        <f aca="false">IF(G1770&gt;H1770,G1770,H1770)*$H$1699</f>
        <v>0</v>
      </c>
      <c r="J1770" s="931"/>
      <c r="K1770" s="937"/>
    </row>
    <row r="1771" customFormat="false" ht="15.75" hidden="true" customHeight="false" outlineLevel="0" collapsed="false">
      <c r="A1771" s="937"/>
      <c r="B1771" s="995" t="s">
        <v>1870</v>
      </c>
      <c r="C1771" s="993" t="s">
        <v>820</v>
      </c>
      <c r="D1771" s="992" t="n">
        <f aca="false">отделка!J531</f>
        <v>0</v>
      </c>
      <c r="E1771" s="986" t="n">
        <f aca="false">отделка!K531</f>
        <v>600</v>
      </c>
      <c r="F1771" s="986"/>
      <c r="G1771" s="967" t="n">
        <f aca="false">IF(F1771&gt;0,D1771*F1771,E1771*D1771)</f>
        <v>0</v>
      </c>
      <c r="H1771" s="970" t="n">
        <f aca="false">D1771*E1771*$H$1747</f>
        <v>0</v>
      </c>
      <c r="I1771" s="936" t="n">
        <f aca="false">IF(G1771&gt;H1771,G1771,H1771)*$H$1699</f>
        <v>0</v>
      </c>
      <c r="J1771" s="931"/>
      <c r="K1771" s="937"/>
    </row>
    <row r="1772" customFormat="false" ht="15.75" hidden="true" customHeight="false" outlineLevel="0" collapsed="false">
      <c r="A1772" s="937"/>
      <c r="B1772" s="995" t="s">
        <v>2165</v>
      </c>
      <c r="C1772" s="993" t="s">
        <v>820</v>
      </c>
      <c r="D1772" s="992" t="n">
        <f aca="false">отделка!J532</f>
        <v>0</v>
      </c>
      <c r="E1772" s="986" t="n">
        <f aca="false">отделка!K532</f>
        <v>500</v>
      </c>
      <c r="F1772" s="986"/>
      <c r="G1772" s="967" t="n">
        <f aca="false">IF(F1772&gt;0,D1772*F1772,E1772*D1772)</f>
        <v>0</v>
      </c>
      <c r="H1772" s="970" t="n">
        <f aca="false">D1772*E1772*$H$1747</f>
        <v>0</v>
      </c>
      <c r="I1772" s="936" t="n">
        <f aca="false">IF(G1772&gt;H1772,G1772,H1772)*$H$1699</f>
        <v>0</v>
      </c>
      <c r="J1772" s="931"/>
      <c r="K1772" s="937"/>
    </row>
    <row r="1773" customFormat="false" ht="15.75" hidden="true" customHeight="false" outlineLevel="0" collapsed="false">
      <c r="A1773" s="937"/>
      <c r="B1773" s="995" t="s">
        <v>2166</v>
      </c>
      <c r="C1773" s="993" t="s">
        <v>820</v>
      </c>
      <c r="D1773" s="992" t="n">
        <f aca="false">отделка!J533</f>
        <v>0</v>
      </c>
      <c r="E1773" s="986" t="n">
        <f aca="false">отделка!K533</f>
        <v>100</v>
      </c>
      <c r="F1773" s="986"/>
      <c r="G1773" s="967" t="n">
        <f aca="false">IF(F1773&gt;0,D1773*F1773,E1773*D1773)</f>
        <v>0</v>
      </c>
      <c r="H1773" s="970" t="n">
        <f aca="false">D1773*E1773*$H$1747</f>
        <v>0</v>
      </c>
      <c r="I1773" s="936" t="n">
        <f aca="false">IF(G1773&gt;H1773,G1773,H1773)*$H$1699</f>
        <v>0</v>
      </c>
      <c r="J1773" s="931"/>
      <c r="K1773" s="937"/>
    </row>
    <row r="1774" customFormat="false" ht="15.75" hidden="false" customHeight="false" outlineLevel="0" collapsed="false">
      <c r="A1774" s="937"/>
      <c r="B1774" s="973" t="s">
        <v>2248</v>
      </c>
      <c r="C1774" s="973"/>
      <c r="D1774" s="973"/>
      <c r="E1774" s="973"/>
      <c r="F1774" s="973"/>
      <c r="G1774" s="970" t="n">
        <f aca="false">SUM(G1748:G1773)*H1747</f>
        <v>209316</v>
      </c>
      <c r="H1774" s="970" t="n">
        <f aca="false">SUM(H1748:H1773)</f>
        <v>209317</v>
      </c>
      <c r="I1774" s="936" t="n">
        <f aca="false">IF(G1774&gt;H1774,G1774,H1774)*$H$1699</f>
        <v>209317</v>
      </c>
      <c r="J1774" s="931"/>
      <c r="K1774" s="937"/>
    </row>
    <row r="1775" customFormat="false" ht="21" hidden="false" customHeight="false" outlineLevel="0" collapsed="false">
      <c r="A1775" s="937"/>
      <c r="B1775" s="989" t="s">
        <v>2287</v>
      </c>
      <c r="C1775" s="989"/>
      <c r="D1775" s="989"/>
      <c r="E1775" s="989"/>
      <c r="F1775" s="989"/>
      <c r="G1775" s="977"/>
      <c r="H1775" s="1007" t="n">
        <f aca="false">VLOOKUP('Ввод данных'!F1346,связи1!A2:B3,2,0)</f>
        <v>1</v>
      </c>
      <c r="I1775" s="1026" t="n">
        <f aca="false">H1775</f>
        <v>1</v>
      </c>
      <c r="J1775" s="931"/>
      <c r="K1775" s="937"/>
    </row>
    <row r="1776" customFormat="false" ht="15.75" hidden="false" customHeight="false" outlineLevel="0" collapsed="false">
      <c r="A1776" s="931"/>
      <c r="B1776" s="1008" t="s">
        <v>2246</v>
      </c>
      <c r="C1776" s="1008"/>
      <c r="D1776" s="1008"/>
      <c r="E1776" s="1008"/>
      <c r="F1776" s="1008"/>
      <c r="G1776" s="977"/>
      <c r="H1776" s="1009" t="n">
        <f aca="false">H1775</f>
        <v>1</v>
      </c>
      <c r="I1776" s="1026" t="n">
        <f aca="false">H1776</f>
        <v>1</v>
      </c>
      <c r="J1776" s="931"/>
      <c r="K1776" s="937"/>
    </row>
    <row r="1777" customFormat="false" ht="15.75" hidden="false" customHeight="false" outlineLevel="0" collapsed="false">
      <c r="A1777" s="931"/>
      <c r="B1777" s="993" t="s">
        <v>2288</v>
      </c>
      <c r="C1777" s="993"/>
      <c r="D1777" s="993"/>
      <c r="E1777" s="993"/>
      <c r="F1777" s="993"/>
      <c r="G1777" s="967" t="n">
        <f aca="false">IF(F1777&gt;0,D1777*F1777,E1777*D1777)</f>
        <v>0</v>
      </c>
      <c r="H1777" s="1051" t="n">
        <f aca="false">IF(SUM(H1778:H1801)&gt;0,1,0)</f>
        <v>1</v>
      </c>
      <c r="I1777" s="936" t="n">
        <f aca="false">IF(G1777&gt;H1777,G1777,H1777)*$H$1775</f>
        <v>1</v>
      </c>
      <c r="J1777" s="931"/>
      <c r="K1777" s="937"/>
    </row>
    <row r="1778" customFormat="false" ht="15.75" hidden="true" customHeight="false" outlineLevel="0" collapsed="false">
      <c r="A1778" s="937"/>
      <c r="B1778" s="992" t="s">
        <v>1879</v>
      </c>
      <c r="C1778" s="993" t="s">
        <v>820</v>
      </c>
      <c r="D1778" s="992" t="n">
        <f aca="false">отделка!C630</f>
        <v>0</v>
      </c>
      <c r="E1778" s="986" t="n">
        <f aca="false">отделка!D630</f>
        <v>90</v>
      </c>
      <c r="F1778" s="986"/>
      <c r="G1778" s="967" t="n">
        <f aca="false">IF(F1778&gt;0,D1778*F1778,E1778*D1778)</f>
        <v>0</v>
      </c>
      <c r="H1778" s="970" t="n">
        <f aca="false">D1778*E1778*$H$1776</f>
        <v>0</v>
      </c>
      <c r="I1778" s="936" t="n">
        <f aca="false">IF(G1778&gt;H1778,G1778,H1778)*$H$1775</f>
        <v>0</v>
      </c>
      <c r="J1778" s="931"/>
      <c r="K1778" s="937"/>
    </row>
    <row r="1779" customFormat="false" ht="15.75" hidden="true" customHeight="false" outlineLevel="0" collapsed="false">
      <c r="A1779" s="937"/>
      <c r="B1779" s="992" t="s">
        <v>1880</v>
      </c>
      <c r="C1779" s="993" t="s">
        <v>48</v>
      </c>
      <c r="D1779" s="992" t="n">
        <f aca="false">отделка!C631</f>
        <v>0</v>
      </c>
      <c r="E1779" s="986" t="n">
        <f aca="false">отделка!D631</f>
        <v>100</v>
      </c>
      <c r="F1779" s="986"/>
      <c r="G1779" s="967" t="n">
        <f aca="false">IF(F1779&gt;0,D1779*F1779,E1779*D1779)</f>
        <v>0</v>
      </c>
      <c r="H1779" s="970" t="n">
        <f aca="false">D1779*E1779*$H$1776</f>
        <v>0</v>
      </c>
      <c r="I1779" s="936" t="n">
        <f aca="false">IF(G1779&gt;H1779,G1779,H1779)*$H$1775</f>
        <v>0</v>
      </c>
      <c r="J1779" s="931"/>
      <c r="K1779" s="937"/>
    </row>
    <row r="1780" customFormat="false" ht="15.75" hidden="true" customHeight="false" outlineLevel="0" collapsed="false">
      <c r="A1780" s="937"/>
      <c r="B1780" s="992" t="s">
        <v>1881</v>
      </c>
      <c r="C1780" s="993" t="s">
        <v>48</v>
      </c>
      <c r="D1780" s="992" t="n">
        <f aca="false">отделка!C632</f>
        <v>0</v>
      </c>
      <c r="E1780" s="986" t="n">
        <f aca="false">отделка!D632</f>
        <v>100</v>
      </c>
      <c r="F1780" s="986"/>
      <c r="G1780" s="967" t="n">
        <f aca="false">IF(F1780&gt;0,D1780*F1780,E1780*D1780)</f>
        <v>0</v>
      </c>
      <c r="H1780" s="970" t="n">
        <f aca="false">D1780*E1780*$H$1776</f>
        <v>0</v>
      </c>
      <c r="I1780" s="936" t="n">
        <f aca="false">IF(G1780&gt;H1780,G1780,H1780)*$H$1775</f>
        <v>0</v>
      </c>
      <c r="J1780" s="931"/>
      <c r="K1780" s="937"/>
    </row>
    <row r="1781" customFormat="false" ht="15.75" hidden="true" customHeight="false" outlineLevel="0" collapsed="false">
      <c r="A1781" s="937"/>
      <c r="B1781" s="992" t="s">
        <v>1882</v>
      </c>
      <c r="C1781" s="993" t="s">
        <v>48</v>
      </c>
      <c r="D1781" s="992" t="n">
        <f aca="false">отделка!C633</f>
        <v>0</v>
      </c>
      <c r="E1781" s="986" t="n">
        <f aca="false">отделка!D633</f>
        <v>9</v>
      </c>
      <c r="F1781" s="986"/>
      <c r="G1781" s="967" t="n">
        <f aca="false">IF(F1781&gt;0,D1781*F1781,E1781*D1781)</f>
        <v>0</v>
      </c>
      <c r="H1781" s="970" t="n">
        <f aca="false">D1781*E1781*$H$1776</f>
        <v>0</v>
      </c>
      <c r="I1781" s="936" t="n">
        <f aca="false">IF(G1781&gt;H1781,G1781,H1781)*$H$1775</f>
        <v>0</v>
      </c>
      <c r="J1781" s="931"/>
      <c r="K1781" s="937"/>
    </row>
    <row r="1782" customFormat="false" ht="15.75" hidden="true" customHeight="false" outlineLevel="0" collapsed="false">
      <c r="A1782" s="937"/>
      <c r="B1782" s="992" t="s">
        <v>1883</v>
      </c>
      <c r="C1782" s="993" t="s">
        <v>48</v>
      </c>
      <c r="D1782" s="992" t="n">
        <f aca="false">отделка!C634</f>
        <v>0</v>
      </c>
      <c r="E1782" s="986" t="n">
        <f aca="false">отделка!D634</f>
        <v>0.025</v>
      </c>
      <c r="F1782" s="986"/>
      <c r="G1782" s="967" t="n">
        <f aca="false">IF(F1782&gt;0,D1782*F1782,E1782*D1782)</f>
        <v>0</v>
      </c>
      <c r="H1782" s="970" t="n">
        <f aca="false">D1782*E1782*$H$1776</f>
        <v>0</v>
      </c>
      <c r="I1782" s="936" t="n">
        <f aca="false">IF(G1782&gt;H1782,G1782,H1782)*$H$1775</f>
        <v>0</v>
      </c>
      <c r="J1782" s="931"/>
      <c r="K1782" s="937"/>
    </row>
    <row r="1783" customFormat="false" ht="15.75" hidden="true" customHeight="false" outlineLevel="0" collapsed="false">
      <c r="A1783" s="937"/>
      <c r="B1783" s="992" t="s">
        <v>1884</v>
      </c>
      <c r="C1783" s="993" t="s">
        <v>48</v>
      </c>
      <c r="D1783" s="992" t="n">
        <f aca="false">отделка!C635</f>
        <v>0</v>
      </c>
      <c r="E1783" s="986" t="n">
        <f aca="false">отделка!D635</f>
        <v>0.025</v>
      </c>
      <c r="F1783" s="986"/>
      <c r="G1783" s="967" t="n">
        <f aca="false">IF(F1783&gt;0,D1783*F1783,E1783*D1783)</f>
        <v>0</v>
      </c>
      <c r="H1783" s="970" t="n">
        <f aca="false">D1783*E1783*$H$1776</f>
        <v>0</v>
      </c>
      <c r="I1783" s="936" t="n">
        <f aca="false">IF(G1783&gt;H1783,G1783,H1783)*$H$1775</f>
        <v>0</v>
      </c>
      <c r="J1783" s="931"/>
      <c r="K1783" s="937"/>
    </row>
    <row r="1784" customFormat="false" ht="15.75" hidden="true" customHeight="false" outlineLevel="0" collapsed="false">
      <c r="A1784" s="937"/>
      <c r="B1784" s="992" t="s">
        <v>1885</v>
      </c>
      <c r="C1784" s="993" t="s">
        <v>48</v>
      </c>
      <c r="D1784" s="992" t="n">
        <f aca="false">отделка!C636</f>
        <v>0</v>
      </c>
      <c r="E1784" s="986" t="n">
        <f aca="false">отделка!D636</f>
        <v>500</v>
      </c>
      <c r="F1784" s="986"/>
      <c r="G1784" s="967" t="n">
        <f aca="false">IF(F1784&gt;0,D1784*F1784,E1784*D1784)</f>
        <v>0</v>
      </c>
      <c r="H1784" s="970" t="n">
        <f aca="false">D1784*E1784*$H$1776</f>
        <v>0</v>
      </c>
      <c r="I1784" s="936" t="n">
        <f aca="false">IF(G1784&gt;H1784,G1784,H1784)*$H$1775</f>
        <v>0</v>
      </c>
      <c r="J1784" s="931"/>
      <c r="K1784" s="937"/>
    </row>
    <row r="1785" customFormat="false" ht="15.75" hidden="true" customHeight="false" outlineLevel="0" collapsed="false">
      <c r="A1785" s="937"/>
      <c r="B1785" s="992" t="s">
        <v>1886</v>
      </c>
      <c r="C1785" s="993" t="s">
        <v>48</v>
      </c>
      <c r="D1785" s="992" t="n">
        <f aca="false">отделка!C637</f>
        <v>0</v>
      </c>
      <c r="E1785" s="986" t="n">
        <f aca="false">отделка!D637</f>
        <v>500</v>
      </c>
      <c r="F1785" s="986"/>
      <c r="G1785" s="967" t="n">
        <f aca="false">IF(F1785&gt;0,D1785*F1785,E1785*D1785)</f>
        <v>0</v>
      </c>
      <c r="H1785" s="970" t="n">
        <f aca="false">D1785*E1785*$H$1776</f>
        <v>0</v>
      </c>
      <c r="I1785" s="936" t="n">
        <f aca="false">IF(G1785&gt;H1785,G1785,H1785)*$H$1775</f>
        <v>0</v>
      </c>
      <c r="J1785" s="931"/>
      <c r="K1785" s="937"/>
    </row>
    <row r="1786" customFormat="false" ht="15.75" hidden="true" customHeight="false" outlineLevel="0" collapsed="false">
      <c r="A1786" s="937"/>
      <c r="B1786" s="992" t="s">
        <v>1887</v>
      </c>
      <c r="C1786" s="993" t="s">
        <v>48</v>
      </c>
      <c r="D1786" s="992" t="n">
        <f aca="false">отделка!C638</f>
        <v>0</v>
      </c>
      <c r="E1786" s="986" t="n">
        <f aca="false">отделка!D638</f>
        <v>400</v>
      </c>
      <c r="F1786" s="986"/>
      <c r="G1786" s="967" t="n">
        <f aca="false">IF(F1786&gt;0,D1786*F1786,E1786*D1786)</f>
        <v>0</v>
      </c>
      <c r="H1786" s="970" t="n">
        <f aca="false">D1786*E1786*$H$1776</f>
        <v>0</v>
      </c>
      <c r="I1786" s="936" t="n">
        <f aca="false">IF(G1786&gt;H1786,G1786,H1786)*$H$1775</f>
        <v>0</v>
      </c>
      <c r="J1786" s="931"/>
      <c r="K1786" s="937"/>
    </row>
    <row r="1787" customFormat="false" ht="15.75" hidden="true" customHeight="false" outlineLevel="0" collapsed="false">
      <c r="A1787" s="937"/>
      <c r="B1787" s="992" t="s">
        <v>1888</v>
      </c>
      <c r="C1787" s="993" t="s">
        <v>48</v>
      </c>
      <c r="D1787" s="992" t="n">
        <f aca="false">отделка!C639</f>
        <v>0</v>
      </c>
      <c r="E1787" s="986" t="n">
        <f aca="false">отделка!D639</f>
        <v>100</v>
      </c>
      <c r="F1787" s="986"/>
      <c r="G1787" s="967" t="n">
        <f aca="false">IF(F1787&gt;0,D1787*F1787,E1787*D1787)</f>
        <v>0</v>
      </c>
      <c r="H1787" s="970" t="n">
        <f aca="false">D1787*E1787*$H$1776</f>
        <v>0</v>
      </c>
      <c r="I1787" s="936" t="n">
        <f aca="false">IF(G1787&gt;H1787,G1787,H1787)*$H$1775</f>
        <v>0</v>
      </c>
      <c r="J1787" s="931"/>
      <c r="K1787" s="937"/>
    </row>
    <row r="1788" customFormat="false" ht="15.75" hidden="true" customHeight="false" outlineLevel="0" collapsed="false">
      <c r="A1788" s="937"/>
      <c r="B1788" s="992" t="s">
        <v>841</v>
      </c>
      <c r="C1788" s="993" t="s">
        <v>820</v>
      </c>
      <c r="D1788" s="992" t="n">
        <f aca="false">отделка!C640</f>
        <v>0</v>
      </c>
      <c r="E1788" s="986" t="n">
        <f aca="false">отделка!D640</f>
        <v>30</v>
      </c>
      <c r="F1788" s="986"/>
      <c r="G1788" s="967" t="n">
        <f aca="false">IF(F1788&gt;0,D1788*F1788,E1788*D1788)</f>
        <v>0</v>
      </c>
      <c r="H1788" s="970" t="n">
        <f aca="false">D1788*E1788*$H$1776</f>
        <v>0</v>
      </c>
      <c r="I1788" s="936" t="n">
        <f aca="false">IF(G1788&gt;H1788,G1788,H1788)*$H$1775</f>
        <v>0</v>
      </c>
      <c r="J1788" s="931"/>
      <c r="K1788" s="937"/>
    </row>
    <row r="1789" customFormat="false" ht="15.75" hidden="true" customHeight="false" outlineLevel="0" collapsed="false">
      <c r="A1789" s="937"/>
      <c r="B1789" s="992" t="s">
        <v>1889</v>
      </c>
      <c r="C1789" s="993" t="s">
        <v>48</v>
      </c>
      <c r="D1789" s="992" t="n">
        <f aca="false">отделка!C641</f>
        <v>0</v>
      </c>
      <c r="E1789" s="986" t="n">
        <f aca="false">отделка!D641</f>
        <v>120</v>
      </c>
      <c r="F1789" s="986"/>
      <c r="G1789" s="967" t="n">
        <f aca="false">IF(F1789&gt;0,D1789*F1789,E1789*D1789)</f>
        <v>0</v>
      </c>
      <c r="H1789" s="970" t="n">
        <f aca="false">D1789*E1789*$H$1776</f>
        <v>0</v>
      </c>
      <c r="I1789" s="936" t="n">
        <f aca="false">IF(G1789&gt;H1789,G1789,H1789)*$H$1775</f>
        <v>0</v>
      </c>
      <c r="J1789" s="931"/>
      <c r="K1789" s="937"/>
    </row>
    <row r="1790" customFormat="false" ht="15.75" hidden="true" customHeight="false" outlineLevel="0" collapsed="false">
      <c r="A1790" s="937"/>
      <c r="B1790" s="992" t="s">
        <v>1890</v>
      </c>
      <c r="C1790" s="993" t="s">
        <v>48</v>
      </c>
      <c r="D1790" s="992" t="n">
        <f aca="false">отделка!C642</f>
        <v>0</v>
      </c>
      <c r="E1790" s="986" t="n">
        <f aca="false">отделка!D642</f>
        <v>900</v>
      </c>
      <c r="F1790" s="986"/>
      <c r="G1790" s="967" t="n">
        <f aca="false">IF(F1790&gt;0,D1790*F1790,E1790*D1790)</f>
        <v>0</v>
      </c>
      <c r="H1790" s="970" t="n">
        <f aca="false">D1790*E1790*$H$1776</f>
        <v>0</v>
      </c>
      <c r="I1790" s="936" t="n">
        <f aca="false">IF(G1790&gt;H1790,G1790,H1790)*$H$1775</f>
        <v>0</v>
      </c>
      <c r="J1790" s="931"/>
      <c r="K1790" s="937"/>
    </row>
    <row r="1791" customFormat="false" ht="15.75" hidden="false" customHeight="false" outlineLevel="0" collapsed="false">
      <c r="A1791" s="937"/>
      <c r="B1791" s="1052" t="s">
        <v>843</v>
      </c>
      <c r="C1791" s="993" t="s">
        <v>820</v>
      </c>
      <c r="D1791" s="992" t="n">
        <f aca="false">отделка!C643</f>
        <v>263.26</v>
      </c>
      <c r="E1791" s="986" t="n">
        <f aca="false">отделка!D643</f>
        <v>350</v>
      </c>
      <c r="F1791" s="986"/>
      <c r="G1791" s="967" t="n">
        <f aca="false">IF(F1791&gt;0,D1791*F1791,E1791*D1791)</f>
        <v>92141</v>
      </c>
      <c r="H1791" s="970" t="n">
        <f aca="false">D1791*E1791*$H$1776</f>
        <v>92141</v>
      </c>
      <c r="I1791" s="936" t="n">
        <f aca="false">IF(G1791&gt;H1791,G1791,H1791)*$H$1775</f>
        <v>92141</v>
      </c>
      <c r="J1791" s="931"/>
      <c r="K1791" s="937"/>
    </row>
    <row r="1792" customFormat="false" ht="15.75" hidden="true" customHeight="false" outlineLevel="0" collapsed="false">
      <c r="A1792" s="937"/>
      <c r="B1792" s="1052" t="s">
        <v>1891</v>
      </c>
      <c r="C1792" s="993" t="s">
        <v>820</v>
      </c>
      <c r="D1792" s="992" t="n">
        <f aca="false">отделка!C644</f>
        <v>0</v>
      </c>
      <c r="E1792" s="986" t="n">
        <f aca="false">отделка!D644</f>
        <v>500</v>
      </c>
      <c r="F1792" s="986"/>
      <c r="G1792" s="967" t="n">
        <f aca="false">IF(F1792&gt;0,D1792*F1792,E1792*D1792)</f>
        <v>0</v>
      </c>
      <c r="H1792" s="970" t="n">
        <f aca="false">D1792*E1792*$H$1776</f>
        <v>0</v>
      </c>
      <c r="I1792" s="936" t="n">
        <f aca="false">IF(G1792&gt;H1792,G1792,H1792)*$H$1775</f>
        <v>0</v>
      </c>
      <c r="J1792" s="931"/>
      <c r="K1792" s="937"/>
    </row>
    <row r="1793" customFormat="false" ht="15.75" hidden="true" customHeight="false" outlineLevel="0" collapsed="false">
      <c r="A1793" s="937"/>
      <c r="B1793" s="1052" t="s">
        <v>847</v>
      </c>
      <c r="C1793" s="993" t="s">
        <v>820</v>
      </c>
      <c r="D1793" s="992" t="n">
        <f aca="false">отделка!C645</f>
        <v>0</v>
      </c>
      <c r="E1793" s="986" t="n">
        <f aca="false">отделка!D645</f>
        <v>250</v>
      </c>
      <c r="F1793" s="986"/>
      <c r="G1793" s="967" t="n">
        <f aca="false">IF(F1793&gt;0,D1793*F1793,E1793*D1793)</f>
        <v>0</v>
      </c>
      <c r="H1793" s="970" t="n">
        <f aca="false">D1793*E1793*$H$1776</f>
        <v>0</v>
      </c>
      <c r="I1793" s="936" t="n">
        <f aca="false">IF(G1793&gt;H1793,G1793,H1793)*$H$1775</f>
        <v>0</v>
      </c>
      <c r="J1793" s="931"/>
      <c r="K1793" s="937"/>
    </row>
    <row r="1794" customFormat="false" ht="15.75" hidden="true" customHeight="false" outlineLevel="0" collapsed="false">
      <c r="A1794" s="937"/>
      <c r="B1794" s="1052" t="s">
        <v>1892</v>
      </c>
      <c r="C1794" s="993" t="s">
        <v>15</v>
      </c>
      <c r="D1794" s="992" t="n">
        <f aca="false">отделка!C646</f>
        <v>0</v>
      </c>
      <c r="E1794" s="986" t="n">
        <f aca="false">отделка!D646</f>
        <v>6</v>
      </c>
      <c r="F1794" s="986"/>
      <c r="G1794" s="967" t="n">
        <f aca="false">IF(F1794&gt;0,D1794*F1794,E1794*D1794)</f>
        <v>0</v>
      </c>
      <c r="H1794" s="970" t="n">
        <f aca="false">D1794*E1794*$H$1776</f>
        <v>0</v>
      </c>
      <c r="I1794" s="936" t="n">
        <f aca="false">IF(G1794&gt;H1794,G1794,H1794)*$H$1775</f>
        <v>0</v>
      </c>
      <c r="J1794" s="931"/>
      <c r="K1794" s="937"/>
    </row>
    <row r="1795" customFormat="false" ht="15.75" hidden="true" customHeight="false" outlineLevel="0" collapsed="false">
      <c r="A1795" s="937"/>
      <c r="B1795" s="1052" t="s">
        <v>1893</v>
      </c>
      <c r="C1795" s="993" t="s">
        <v>48</v>
      </c>
      <c r="D1795" s="992" t="n">
        <f aca="false">отделка!C647</f>
        <v>0</v>
      </c>
      <c r="E1795" s="986" t="n">
        <f aca="false">отделка!D647</f>
        <v>8</v>
      </c>
      <c r="F1795" s="986"/>
      <c r="G1795" s="967" t="n">
        <f aca="false">IF(F1795&gt;0,D1795*F1795,E1795*D1795)</f>
        <v>0</v>
      </c>
      <c r="H1795" s="970" t="n">
        <f aca="false">D1795*E1795*$H$1776</f>
        <v>0</v>
      </c>
      <c r="I1795" s="936" t="n">
        <f aca="false">IF(G1795&gt;H1795,G1795,H1795)*$H$1775</f>
        <v>0</v>
      </c>
      <c r="J1795" s="931"/>
      <c r="K1795" s="937"/>
    </row>
    <row r="1796" customFormat="false" ht="15.75" hidden="true" customHeight="false" outlineLevel="0" collapsed="false">
      <c r="A1796" s="937"/>
      <c r="B1796" s="1052" t="s">
        <v>1894</v>
      </c>
      <c r="C1796" s="993" t="s">
        <v>48</v>
      </c>
      <c r="D1796" s="992" t="n">
        <f aca="false">отделка!C648</f>
        <v>0</v>
      </c>
      <c r="E1796" s="986" t="n">
        <f aca="false">отделка!D648</f>
        <v>0.02</v>
      </c>
      <c r="F1796" s="986"/>
      <c r="G1796" s="967" t="n">
        <f aca="false">IF(F1796&gt;0,D1796*F1796,E1796*D1796)</f>
        <v>0</v>
      </c>
      <c r="H1796" s="970" t="n">
        <f aca="false">D1796*E1796*$H$1776</f>
        <v>0</v>
      </c>
      <c r="I1796" s="936" t="n">
        <f aca="false">IF(G1796&gt;H1796,G1796,H1796)*$H$1775</f>
        <v>0</v>
      </c>
      <c r="J1796" s="931"/>
      <c r="K1796" s="937"/>
    </row>
    <row r="1797" customFormat="false" ht="15.75" hidden="false" customHeight="false" outlineLevel="0" collapsed="false">
      <c r="A1797" s="937"/>
      <c r="B1797" s="992" t="s">
        <v>1895</v>
      </c>
      <c r="C1797" s="993" t="s">
        <v>48</v>
      </c>
      <c r="D1797" s="992" t="n">
        <f aca="false">отделка!C649</f>
        <v>5265.2</v>
      </c>
      <c r="E1797" s="986" t="n">
        <f aca="false">отделка!D649</f>
        <v>0.02</v>
      </c>
      <c r="F1797" s="986"/>
      <c r="G1797" s="967" t="n">
        <f aca="false">IF(F1797&gt;0,D1797*F1797,E1797*D1797)</f>
        <v>105.304</v>
      </c>
      <c r="H1797" s="970" t="n">
        <f aca="false">D1797*E1797*$H$1776</f>
        <v>105.304</v>
      </c>
      <c r="I1797" s="936" t="n">
        <f aca="false">IF(G1797&gt;H1797,G1797,H1797)*$H$1775</f>
        <v>105.304</v>
      </c>
      <c r="J1797" s="931"/>
      <c r="K1797" s="937"/>
    </row>
    <row r="1798" customFormat="false" ht="15.75" hidden="true" customHeight="false" outlineLevel="0" collapsed="false">
      <c r="A1798" s="937"/>
      <c r="B1798" s="992" t="str">
        <f aca="false">отделка!G534</f>
        <v>Монтаж евровагонка</v>
      </c>
      <c r="C1798" s="993" t="str">
        <f aca="false">отделка!I534</f>
        <v>м2</v>
      </c>
      <c r="D1798" s="992" t="n">
        <f aca="false">отделка!J534</f>
        <v>0</v>
      </c>
      <c r="E1798" s="1010" t="n">
        <f aca="false">отделка!K534</f>
        <v>400</v>
      </c>
      <c r="F1798" s="1010"/>
      <c r="G1798" s="967" t="n">
        <f aca="false">IF(F1798&gt;0,D1798*F1798,E1798*D1798)</f>
        <v>0</v>
      </c>
      <c r="H1798" s="970" t="n">
        <f aca="false">D1798*E1798*$H$1776</f>
        <v>0</v>
      </c>
      <c r="I1798" s="936" t="n">
        <f aca="false">IF(G1798&gt;H1798,G1798,H1798)*$H$1775</f>
        <v>0</v>
      </c>
      <c r="J1798" s="931"/>
      <c r="K1798" s="937"/>
    </row>
    <row r="1799" customFormat="false" ht="15.75" hidden="true" customHeight="false" outlineLevel="0" collapsed="false">
      <c r="A1799" s="937"/>
      <c r="B1799" s="992" t="str">
        <f aca="false">отделка!G535</f>
        <v>Монтаж вагонка штиль</v>
      </c>
      <c r="C1799" s="993" t="str">
        <f aca="false">отделка!I535</f>
        <v>м2</v>
      </c>
      <c r="D1799" s="992" t="n">
        <f aca="false">отделка!J535</f>
        <v>0</v>
      </c>
      <c r="E1799" s="1010" t="n">
        <f aca="false">отделка!K535</f>
        <v>400</v>
      </c>
      <c r="F1799" s="1010"/>
      <c r="G1799" s="967" t="n">
        <f aca="false">IF(F1799&gt;0,D1799*F1799,E1799*D1799)</f>
        <v>0</v>
      </c>
      <c r="H1799" s="970" t="n">
        <f aca="false">D1799*E1799*$H$1776</f>
        <v>0</v>
      </c>
      <c r="I1799" s="936" t="n">
        <f aca="false">IF(G1799&gt;H1799,G1799,H1799)*$H$1775</f>
        <v>0</v>
      </c>
      <c r="J1799" s="931"/>
      <c r="K1799" s="937"/>
    </row>
    <row r="1800" customFormat="false" ht="15.75" hidden="true" customHeight="false" outlineLevel="0" collapsed="false">
      <c r="A1800" s="937"/>
      <c r="B1800" s="992" t="str">
        <f aca="false">отделка!G536</f>
        <v>Монтаж софт лайн</v>
      </c>
      <c r="C1800" s="993" t="str">
        <f aca="false">отделка!I536</f>
        <v>м2</v>
      </c>
      <c r="D1800" s="992" t="n">
        <f aca="false">отделка!J536</f>
        <v>0</v>
      </c>
      <c r="E1800" s="1010" t="n">
        <f aca="false">отделка!K536</f>
        <v>400</v>
      </c>
      <c r="F1800" s="1010"/>
      <c r="G1800" s="967" t="n">
        <f aca="false">IF(F1800&gt;0,D1800*F1800,E1800*D1800)</f>
        <v>0</v>
      </c>
      <c r="H1800" s="970" t="n">
        <f aca="false">D1800*E1800*$H$1776</f>
        <v>0</v>
      </c>
      <c r="I1800" s="936" t="n">
        <f aca="false">IF(G1800&gt;H1800,G1800,H1800)*$H$1775</f>
        <v>0</v>
      </c>
      <c r="J1800" s="931"/>
      <c r="K1800" s="937"/>
    </row>
    <row r="1801" customFormat="false" ht="15.75" hidden="true" customHeight="false" outlineLevel="0" collapsed="false">
      <c r="A1801" s="937"/>
      <c r="B1801" s="992" t="str">
        <f aca="false">отделка!G537</f>
        <v>Монтаж блокхаус</v>
      </c>
      <c r="C1801" s="993" t="str">
        <f aca="false">отделка!I537</f>
        <v>м2</v>
      </c>
      <c r="D1801" s="992" t="n">
        <f aca="false">отделка!J537</f>
        <v>0</v>
      </c>
      <c r="E1801" s="1010" t="n">
        <f aca="false">отделка!K537</f>
        <v>400</v>
      </c>
      <c r="F1801" s="1010"/>
      <c r="G1801" s="967" t="n">
        <f aca="false">IF(F1801&gt;0,D1801*F1801,E1801*D1801)</f>
        <v>0</v>
      </c>
      <c r="H1801" s="970" t="n">
        <f aca="false">D1801*E1801*$H$1776</f>
        <v>0</v>
      </c>
      <c r="I1801" s="936" t="n">
        <f aca="false">IF(G1801&gt;H1801,G1801,H1801)*$H$1775</f>
        <v>0</v>
      </c>
      <c r="J1801" s="931"/>
      <c r="K1801" s="937"/>
    </row>
    <row r="1802" customFormat="false" ht="15.75" hidden="false" customHeight="false" outlineLevel="0" collapsed="false">
      <c r="A1802" s="937"/>
      <c r="B1802" s="993" t="s">
        <v>742</v>
      </c>
      <c r="C1802" s="993"/>
      <c r="D1802" s="993"/>
      <c r="E1802" s="993"/>
      <c r="F1802" s="993"/>
      <c r="G1802" s="967" t="n">
        <f aca="false">IF(F1802&gt;0,D1802*F1802,E1802*D1802)</f>
        <v>0</v>
      </c>
      <c r="H1802" s="1051" t="n">
        <f aca="false">IF(SUM(H1803:H1825)&gt;0,1,0)</f>
        <v>1</v>
      </c>
      <c r="I1802" s="936" t="n">
        <f aca="false">IF(G1802&gt;H1802,G1802,H1802)*$H$1775</f>
        <v>1</v>
      </c>
      <c r="J1802" s="931"/>
      <c r="K1802" s="937"/>
    </row>
    <row r="1803" customFormat="false" ht="15.75" hidden="true" customHeight="false" outlineLevel="0" collapsed="false">
      <c r="A1803" s="937"/>
      <c r="B1803" s="992" t="s">
        <v>1897</v>
      </c>
      <c r="C1803" s="993" t="s">
        <v>820</v>
      </c>
      <c r="D1803" s="992" t="n">
        <f aca="false">отделка!C651</f>
        <v>0</v>
      </c>
      <c r="E1803" s="986" t="n">
        <f aca="false">отделка!D651</f>
        <v>80</v>
      </c>
      <c r="F1803" s="986"/>
      <c r="G1803" s="967" t="n">
        <f aca="false">IF(F1803&gt;0,D1803*F1803,E1803*D1803)</f>
        <v>0</v>
      </c>
      <c r="H1803" s="970" t="n">
        <f aca="false">D1803*E1803*$H$1776</f>
        <v>0</v>
      </c>
      <c r="I1803" s="936" t="n">
        <f aca="false">IF(G1803&gt;H1803,G1803,H1803)*$H$1775</f>
        <v>0</v>
      </c>
      <c r="J1803" s="931"/>
      <c r="K1803" s="937"/>
    </row>
    <row r="1804" customFormat="false" ht="15.75" hidden="true" customHeight="false" outlineLevel="0" collapsed="false">
      <c r="A1804" s="937"/>
      <c r="B1804" s="992" t="s">
        <v>1880</v>
      </c>
      <c r="C1804" s="993" t="s">
        <v>48</v>
      </c>
      <c r="D1804" s="992" t="n">
        <f aca="false">отделка!C652</f>
        <v>0</v>
      </c>
      <c r="E1804" s="986" t="n">
        <f aca="false">отделка!D652</f>
        <v>100</v>
      </c>
      <c r="F1804" s="986"/>
      <c r="G1804" s="967" t="n">
        <f aca="false">IF(F1804&gt;0,D1804*F1804,E1804*D1804)</f>
        <v>0</v>
      </c>
      <c r="H1804" s="970" t="n">
        <f aca="false">D1804*E1804*$H$1776</f>
        <v>0</v>
      </c>
      <c r="I1804" s="936" t="n">
        <f aca="false">IF(G1804&gt;H1804,G1804,H1804)*$H$1775</f>
        <v>0</v>
      </c>
      <c r="J1804" s="931"/>
      <c r="K1804" s="937"/>
    </row>
    <row r="1805" customFormat="false" ht="15.75" hidden="true" customHeight="false" outlineLevel="0" collapsed="false">
      <c r="A1805" s="937"/>
      <c r="B1805" s="992" t="s">
        <v>1881</v>
      </c>
      <c r="C1805" s="993" t="s">
        <v>48</v>
      </c>
      <c r="D1805" s="992" t="n">
        <f aca="false">отделка!C653</f>
        <v>0</v>
      </c>
      <c r="E1805" s="986" t="n">
        <f aca="false">отделка!D653</f>
        <v>100</v>
      </c>
      <c r="F1805" s="986"/>
      <c r="G1805" s="967" t="n">
        <f aca="false">IF(F1805&gt;0,D1805*F1805,E1805*D1805)</f>
        <v>0</v>
      </c>
      <c r="H1805" s="970" t="n">
        <f aca="false">D1805*E1805*$H$1776</f>
        <v>0</v>
      </c>
      <c r="I1805" s="936" t="n">
        <f aca="false">IF(G1805&gt;H1805,G1805,H1805)*$H$1775</f>
        <v>0</v>
      </c>
      <c r="J1805" s="931"/>
      <c r="K1805" s="937"/>
    </row>
    <row r="1806" customFormat="false" ht="15.75" hidden="true" customHeight="false" outlineLevel="0" collapsed="false">
      <c r="A1806" s="937"/>
      <c r="B1806" s="992" t="s">
        <v>1882</v>
      </c>
      <c r="C1806" s="993" t="s">
        <v>48</v>
      </c>
      <c r="D1806" s="992" t="n">
        <f aca="false">отделка!C654</f>
        <v>0</v>
      </c>
      <c r="E1806" s="986" t="n">
        <f aca="false">отделка!D654</f>
        <v>9</v>
      </c>
      <c r="F1806" s="986"/>
      <c r="G1806" s="967" t="n">
        <f aca="false">IF(F1806&gt;0,D1806*F1806,E1806*D1806)</f>
        <v>0</v>
      </c>
      <c r="H1806" s="970" t="n">
        <f aca="false">D1806*E1806*$H$1776</f>
        <v>0</v>
      </c>
      <c r="I1806" s="936" t="n">
        <f aca="false">IF(G1806&gt;H1806,G1806,H1806)*$H$1775</f>
        <v>0</v>
      </c>
      <c r="J1806" s="931"/>
      <c r="K1806" s="937"/>
    </row>
    <row r="1807" customFormat="false" ht="15.75" hidden="true" customHeight="false" outlineLevel="0" collapsed="false">
      <c r="A1807" s="937"/>
      <c r="B1807" s="992" t="s">
        <v>1883</v>
      </c>
      <c r="C1807" s="993" t="s">
        <v>48</v>
      </c>
      <c r="D1807" s="992" t="n">
        <f aca="false">отделка!C655</f>
        <v>0</v>
      </c>
      <c r="E1807" s="986" t="n">
        <f aca="false">отделка!D655</f>
        <v>0.025</v>
      </c>
      <c r="F1807" s="986"/>
      <c r="G1807" s="967" t="n">
        <f aca="false">IF(F1807&gt;0,D1807*F1807,E1807*D1807)</f>
        <v>0</v>
      </c>
      <c r="H1807" s="970" t="n">
        <f aca="false">D1807*E1807*$H$1776</f>
        <v>0</v>
      </c>
      <c r="I1807" s="936" t="n">
        <f aca="false">IF(G1807&gt;H1807,G1807,H1807)*$H$1775</f>
        <v>0</v>
      </c>
      <c r="J1807" s="931"/>
      <c r="K1807" s="937"/>
    </row>
    <row r="1808" customFormat="false" ht="15.75" hidden="true" customHeight="false" outlineLevel="0" collapsed="false">
      <c r="A1808" s="937"/>
      <c r="B1808" s="992" t="s">
        <v>1884</v>
      </c>
      <c r="C1808" s="993" t="s">
        <v>48</v>
      </c>
      <c r="D1808" s="992" t="n">
        <f aca="false">отделка!C656</f>
        <v>0</v>
      </c>
      <c r="E1808" s="986" t="n">
        <f aca="false">отделка!D656</f>
        <v>0.025</v>
      </c>
      <c r="F1808" s="986"/>
      <c r="G1808" s="967" t="n">
        <f aca="false">IF(F1808&gt;0,D1808*F1808,E1808*D1808)</f>
        <v>0</v>
      </c>
      <c r="H1808" s="970" t="n">
        <f aca="false">D1808*E1808*$H$1776</f>
        <v>0</v>
      </c>
      <c r="I1808" s="936" t="n">
        <f aca="false">IF(G1808&gt;H1808,G1808,H1808)*$H$1775</f>
        <v>0</v>
      </c>
      <c r="J1808" s="931"/>
      <c r="K1808" s="937"/>
    </row>
    <row r="1809" customFormat="false" ht="15.75" hidden="true" customHeight="false" outlineLevel="0" collapsed="false">
      <c r="A1809" s="937"/>
      <c r="B1809" s="992" t="s">
        <v>1885</v>
      </c>
      <c r="C1809" s="993" t="s">
        <v>48</v>
      </c>
      <c r="D1809" s="992" t="n">
        <f aca="false">отделка!C657</f>
        <v>0</v>
      </c>
      <c r="E1809" s="986" t="n">
        <f aca="false">отделка!D657</f>
        <v>500</v>
      </c>
      <c r="F1809" s="986"/>
      <c r="G1809" s="967" t="n">
        <f aca="false">IF(F1809&gt;0,D1809*F1809,E1809*D1809)</f>
        <v>0</v>
      </c>
      <c r="H1809" s="970" t="n">
        <f aca="false">D1809*E1809*$H$1776</f>
        <v>0</v>
      </c>
      <c r="I1809" s="936" t="n">
        <f aca="false">IF(G1809&gt;H1809,G1809,H1809)*$H$1775</f>
        <v>0</v>
      </c>
      <c r="J1809" s="931"/>
      <c r="K1809" s="937"/>
    </row>
    <row r="1810" customFormat="false" ht="15.75" hidden="true" customHeight="false" outlineLevel="0" collapsed="false">
      <c r="A1810" s="937"/>
      <c r="B1810" s="992" t="s">
        <v>1886</v>
      </c>
      <c r="C1810" s="993" t="s">
        <v>48</v>
      </c>
      <c r="D1810" s="992" t="n">
        <f aca="false">отделка!C658</f>
        <v>0</v>
      </c>
      <c r="E1810" s="986" t="n">
        <f aca="false">отделка!D658</f>
        <v>500</v>
      </c>
      <c r="F1810" s="986"/>
      <c r="G1810" s="967" t="n">
        <f aca="false">IF(F1810&gt;0,D1810*F1810,E1810*D1810)</f>
        <v>0</v>
      </c>
      <c r="H1810" s="970" t="n">
        <f aca="false">D1810*E1810*$H$1776</f>
        <v>0</v>
      </c>
      <c r="I1810" s="936" t="n">
        <f aca="false">IF(G1810&gt;H1810,G1810,H1810)*$H$1775</f>
        <v>0</v>
      </c>
      <c r="J1810" s="931"/>
      <c r="K1810" s="937"/>
    </row>
    <row r="1811" customFormat="false" ht="15.75" hidden="true" customHeight="false" outlineLevel="0" collapsed="false">
      <c r="A1811" s="937"/>
      <c r="B1811" s="992" t="s">
        <v>1887</v>
      </c>
      <c r="C1811" s="993" t="s">
        <v>48</v>
      </c>
      <c r="D1811" s="992" t="n">
        <f aca="false">отделка!C659</f>
        <v>0</v>
      </c>
      <c r="E1811" s="986" t="n">
        <f aca="false">отделка!D659</f>
        <v>400</v>
      </c>
      <c r="F1811" s="986"/>
      <c r="G1811" s="967" t="n">
        <f aca="false">IF(F1811&gt;0,D1811*F1811,E1811*D1811)</f>
        <v>0</v>
      </c>
      <c r="H1811" s="970" t="n">
        <f aca="false">D1811*E1811*$H$1776</f>
        <v>0</v>
      </c>
      <c r="I1811" s="936" t="n">
        <f aca="false">IF(G1811&gt;H1811,G1811,H1811)*$H$1775</f>
        <v>0</v>
      </c>
      <c r="J1811" s="931"/>
      <c r="K1811" s="937"/>
    </row>
    <row r="1812" customFormat="false" ht="15.75" hidden="true" customHeight="false" outlineLevel="0" collapsed="false">
      <c r="A1812" s="937"/>
      <c r="B1812" s="992" t="s">
        <v>1888</v>
      </c>
      <c r="C1812" s="993" t="s">
        <v>48</v>
      </c>
      <c r="D1812" s="992" t="n">
        <f aca="false">отделка!C660</f>
        <v>0</v>
      </c>
      <c r="E1812" s="986" t="n">
        <f aca="false">отделка!D660</f>
        <v>100</v>
      </c>
      <c r="F1812" s="986"/>
      <c r="G1812" s="967" t="n">
        <f aca="false">IF(F1812&gt;0,D1812*F1812,E1812*D1812)</f>
        <v>0</v>
      </c>
      <c r="H1812" s="970" t="n">
        <f aca="false">D1812*E1812*$H$1776</f>
        <v>0</v>
      </c>
      <c r="I1812" s="936" t="n">
        <f aca="false">IF(G1812&gt;H1812,G1812,H1812)*$H$1775</f>
        <v>0</v>
      </c>
      <c r="J1812" s="931"/>
      <c r="K1812" s="937"/>
    </row>
    <row r="1813" customFormat="false" ht="15.75" hidden="true" customHeight="false" outlineLevel="0" collapsed="false">
      <c r="A1813" s="937"/>
      <c r="B1813" s="992" t="s">
        <v>1898</v>
      </c>
      <c r="C1813" s="993" t="s">
        <v>48</v>
      </c>
      <c r="D1813" s="992" t="n">
        <f aca="false">отделка!C661</f>
        <v>0</v>
      </c>
      <c r="E1813" s="986" t="n">
        <f aca="false">отделка!D661</f>
        <v>1200</v>
      </c>
      <c r="F1813" s="986"/>
      <c r="G1813" s="967" t="n">
        <f aca="false">IF(F1813&gt;0,D1813*F1813,E1813*D1813)</f>
        <v>0</v>
      </c>
      <c r="H1813" s="970" t="n">
        <f aca="false">D1813*E1813*$H$1776</f>
        <v>0</v>
      </c>
      <c r="I1813" s="936" t="n">
        <f aca="false">IF(G1813&gt;H1813,G1813,H1813)*$H$1775</f>
        <v>0</v>
      </c>
      <c r="J1813" s="931"/>
      <c r="K1813" s="937"/>
    </row>
    <row r="1814" customFormat="false" ht="15.75" hidden="true" customHeight="false" outlineLevel="0" collapsed="false">
      <c r="A1814" s="937"/>
      <c r="B1814" s="992" t="s">
        <v>1899</v>
      </c>
      <c r="C1814" s="993" t="s">
        <v>15</v>
      </c>
      <c r="D1814" s="992" t="n">
        <f aca="false">отделка!C662</f>
        <v>0</v>
      </c>
      <c r="E1814" s="986" t="n">
        <f aca="false">отделка!D662</f>
        <v>10</v>
      </c>
      <c r="F1814" s="986"/>
      <c r="G1814" s="967" t="n">
        <f aca="false">IF(F1814&gt;0,D1814*F1814,E1814*D1814)</f>
        <v>0</v>
      </c>
      <c r="H1814" s="970" t="n">
        <f aca="false">D1814*E1814*$H$1776</f>
        <v>0</v>
      </c>
      <c r="I1814" s="936" t="n">
        <f aca="false">IF(G1814&gt;H1814,G1814,H1814)*$H$1775</f>
        <v>0</v>
      </c>
      <c r="J1814" s="931"/>
      <c r="K1814" s="937"/>
    </row>
    <row r="1815" customFormat="false" ht="15.75" hidden="true" customHeight="false" outlineLevel="0" collapsed="false">
      <c r="A1815" s="937"/>
      <c r="B1815" s="992" t="s">
        <v>1900</v>
      </c>
      <c r="C1815" s="993" t="s">
        <v>48</v>
      </c>
      <c r="D1815" s="992" t="n">
        <f aca="false">отделка!C663</f>
        <v>0</v>
      </c>
      <c r="E1815" s="986" t="n">
        <f aca="false">отделка!D663</f>
        <v>100</v>
      </c>
      <c r="F1815" s="986"/>
      <c r="G1815" s="967" t="n">
        <f aca="false">IF(F1815&gt;0,D1815*F1815,E1815*D1815)</f>
        <v>0</v>
      </c>
      <c r="H1815" s="970" t="n">
        <f aca="false">D1815*E1815*$H$1776</f>
        <v>0</v>
      </c>
      <c r="I1815" s="936" t="n">
        <f aca="false">IF(G1815&gt;H1815,G1815,H1815)*$H$1775</f>
        <v>0</v>
      </c>
      <c r="J1815" s="931"/>
      <c r="K1815" s="937"/>
    </row>
    <row r="1816" customFormat="false" ht="15.75" hidden="true" customHeight="false" outlineLevel="0" collapsed="false">
      <c r="A1816" s="937"/>
      <c r="B1816" s="992" t="s">
        <v>1901</v>
      </c>
      <c r="C1816" s="993" t="s">
        <v>48</v>
      </c>
      <c r="D1816" s="992" t="n">
        <f aca="false">отделка!C664</f>
        <v>0</v>
      </c>
      <c r="E1816" s="986" t="n">
        <f aca="false">отделка!D664</f>
        <v>190</v>
      </c>
      <c r="F1816" s="986"/>
      <c r="G1816" s="967" t="n">
        <f aca="false">IF(F1816&gt;0,D1816*F1816,E1816*D1816)</f>
        <v>0</v>
      </c>
      <c r="H1816" s="970" t="n">
        <f aca="false">D1816*E1816*$H$1776</f>
        <v>0</v>
      </c>
      <c r="I1816" s="936" t="n">
        <f aca="false">IF(G1816&gt;H1816,G1816,H1816)*$H$1775</f>
        <v>0</v>
      </c>
      <c r="J1816" s="931"/>
      <c r="K1816" s="937"/>
    </row>
    <row r="1817" customFormat="false" ht="15.75" hidden="true" customHeight="false" outlineLevel="0" collapsed="false">
      <c r="A1817" s="937"/>
      <c r="B1817" s="992" t="s">
        <v>1902</v>
      </c>
      <c r="C1817" s="993" t="s">
        <v>820</v>
      </c>
      <c r="D1817" s="992" t="n">
        <f aca="false">отделка!C665</f>
        <v>0</v>
      </c>
      <c r="E1817" s="986" t="n">
        <f aca="false">отделка!D665</f>
        <v>120</v>
      </c>
      <c r="F1817" s="986"/>
      <c r="G1817" s="967" t="n">
        <f aca="false">IF(F1817&gt;0,D1817*F1817,E1817*D1817)</f>
        <v>0</v>
      </c>
      <c r="H1817" s="970" t="n">
        <f aca="false">D1817*E1817*$H$1776</f>
        <v>0</v>
      </c>
      <c r="I1817" s="936" t="n">
        <f aca="false">IF(G1817&gt;H1817,G1817,H1817)*$H$1775</f>
        <v>0</v>
      </c>
      <c r="J1817" s="931"/>
      <c r="K1817" s="937"/>
    </row>
    <row r="1818" customFormat="false" ht="15.75" hidden="true" customHeight="false" outlineLevel="0" collapsed="false">
      <c r="A1818" s="937"/>
      <c r="B1818" s="992" t="s">
        <v>1903</v>
      </c>
      <c r="C1818" s="993" t="s">
        <v>820</v>
      </c>
      <c r="D1818" s="992" t="n">
        <f aca="false">отделка!C666</f>
        <v>0</v>
      </c>
      <c r="E1818" s="986" t="n">
        <f aca="false">отделка!D666</f>
        <v>400</v>
      </c>
      <c r="F1818" s="986"/>
      <c r="G1818" s="967" t="n">
        <f aca="false">IF(F1818&gt;0,D1818*F1818,E1818*D1818)</f>
        <v>0</v>
      </c>
      <c r="H1818" s="970" t="n">
        <f aca="false">D1818*E1818*$H$1776</f>
        <v>0</v>
      </c>
      <c r="I1818" s="936" t="n">
        <f aca="false">IF(G1818&gt;H1818,G1818,H1818)*$H$1775</f>
        <v>0</v>
      </c>
      <c r="J1818" s="931"/>
      <c r="K1818" s="937"/>
    </row>
    <row r="1819" customFormat="false" ht="15.75" hidden="true" customHeight="false" outlineLevel="0" collapsed="false">
      <c r="A1819" s="937"/>
      <c r="B1819" s="1052" t="s">
        <v>843</v>
      </c>
      <c r="C1819" s="993" t="s">
        <v>820</v>
      </c>
      <c r="D1819" s="992" t="n">
        <f aca="false">отделка!C667</f>
        <v>0</v>
      </c>
      <c r="E1819" s="986" t="n">
        <f aca="false">отделка!D667</f>
        <v>350</v>
      </c>
      <c r="F1819" s="986"/>
      <c r="G1819" s="967" t="n">
        <f aca="false">IF(F1819&gt;0,D1819*F1819,E1819*D1819)</f>
        <v>0</v>
      </c>
      <c r="H1819" s="970" t="n">
        <f aca="false">D1819*E1819*$H$1776</f>
        <v>0</v>
      </c>
      <c r="I1819" s="936" t="n">
        <f aca="false">IF(G1819&gt;H1819,G1819,H1819)*$H$1775</f>
        <v>0</v>
      </c>
      <c r="J1819" s="931"/>
      <c r="K1819" s="937"/>
    </row>
    <row r="1820" customFormat="false" ht="15.75" hidden="true" customHeight="false" outlineLevel="0" collapsed="false">
      <c r="A1820" s="937"/>
      <c r="B1820" s="1052" t="s">
        <v>1891</v>
      </c>
      <c r="C1820" s="993" t="s">
        <v>820</v>
      </c>
      <c r="D1820" s="992" t="n">
        <f aca="false">отделка!C668</f>
        <v>0</v>
      </c>
      <c r="E1820" s="986" t="n">
        <f aca="false">отделка!D668</f>
        <v>500</v>
      </c>
      <c r="F1820" s="986"/>
      <c r="G1820" s="967" t="n">
        <f aca="false">IF(F1820&gt;0,D1820*F1820,E1820*D1820)</f>
        <v>0</v>
      </c>
      <c r="H1820" s="970" t="n">
        <f aca="false">D1820*E1820*$H$1776</f>
        <v>0</v>
      </c>
      <c r="I1820" s="936" t="n">
        <f aca="false">IF(G1820&gt;H1820,G1820,H1820)*$H$1775</f>
        <v>0</v>
      </c>
      <c r="J1820" s="931"/>
      <c r="K1820" s="937"/>
    </row>
    <row r="1821" customFormat="false" ht="15.75" hidden="false" customHeight="false" outlineLevel="0" collapsed="false">
      <c r="A1821" s="937"/>
      <c r="B1821" s="1052" t="s">
        <v>847</v>
      </c>
      <c r="C1821" s="993" t="s">
        <v>820</v>
      </c>
      <c r="D1821" s="992" t="n">
        <f aca="false">отделка!C669</f>
        <v>88.7321893085902</v>
      </c>
      <c r="E1821" s="986" t="n">
        <f aca="false">отделка!D669</f>
        <v>250</v>
      </c>
      <c r="F1821" s="986"/>
      <c r="G1821" s="967" t="n">
        <f aca="false">IF(F1821&gt;0,D1821*F1821,E1821*D1821)</f>
        <v>22183.0473271476</v>
      </c>
      <c r="H1821" s="970" t="n">
        <f aca="false">D1821*E1821*$H$1776</f>
        <v>22183.0473271476</v>
      </c>
      <c r="I1821" s="936" t="n">
        <f aca="false">IF(G1821&gt;H1821,G1821,H1821)*$H$1775</f>
        <v>22183.0473271476</v>
      </c>
      <c r="J1821" s="931"/>
      <c r="K1821" s="937"/>
    </row>
    <row r="1822" customFormat="false" ht="15.75" hidden="true" customHeight="false" outlineLevel="0" collapsed="false">
      <c r="A1822" s="937"/>
      <c r="B1822" s="1052" t="s">
        <v>1892</v>
      </c>
      <c r="C1822" s="993" t="s">
        <v>15</v>
      </c>
      <c r="D1822" s="992" t="n">
        <f aca="false">отделка!C670</f>
        <v>0</v>
      </c>
      <c r="E1822" s="986" t="n">
        <f aca="false">отделка!D670</f>
        <v>6</v>
      </c>
      <c r="F1822" s="986"/>
      <c r="G1822" s="967" t="n">
        <f aca="false">IF(F1822&gt;0,D1822*F1822,E1822*D1822)</f>
        <v>0</v>
      </c>
      <c r="H1822" s="970" t="n">
        <f aca="false">D1822*E1822*$H$1776</f>
        <v>0</v>
      </c>
      <c r="I1822" s="936" t="n">
        <f aca="false">IF(G1822&gt;H1822,G1822,H1822)*$H$1775</f>
        <v>0</v>
      </c>
      <c r="J1822" s="931"/>
      <c r="K1822" s="937"/>
    </row>
    <row r="1823" customFormat="false" ht="15.75" hidden="true" customHeight="false" outlineLevel="0" collapsed="false">
      <c r="A1823" s="937"/>
      <c r="B1823" s="1052" t="s">
        <v>1893</v>
      </c>
      <c r="C1823" s="993" t="s">
        <v>48</v>
      </c>
      <c r="D1823" s="992" t="n">
        <f aca="false">отделка!C671</f>
        <v>0</v>
      </c>
      <c r="E1823" s="986" t="n">
        <f aca="false">отделка!D671</f>
        <v>8</v>
      </c>
      <c r="F1823" s="986"/>
      <c r="G1823" s="967" t="n">
        <f aca="false">IF(F1823&gt;0,D1823*F1823,E1823*D1823)</f>
        <v>0</v>
      </c>
      <c r="H1823" s="970" t="n">
        <f aca="false">D1823*E1823*$H$1776</f>
        <v>0</v>
      </c>
      <c r="I1823" s="936" t="n">
        <f aca="false">IF(G1823&gt;H1823,G1823,H1823)*$H$1775</f>
        <v>0</v>
      </c>
      <c r="J1823" s="931"/>
      <c r="K1823" s="937"/>
    </row>
    <row r="1824" customFormat="false" ht="15.75" hidden="true" customHeight="false" outlineLevel="0" collapsed="false">
      <c r="A1824" s="937"/>
      <c r="B1824" s="1052" t="s">
        <v>1894</v>
      </c>
      <c r="C1824" s="993" t="s">
        <v>48</v>
      </c>
      <c r="D1824" s="992" t="n">
        <f aca="false">отделка!C672</f>
        <v>0</v>
      </c>
      <c r="E1824" s="986" t="n">
        <f aca="false">отделка!D672</f>
        <v>0.02</v>
      </c>
      <c r="F1824" s="986"/>
      <c r="G1824" s="967" t="n">
        <f aca="false">IF(F1824&gt;0,D1824*F1824,E1824*D1824)</f>
        <v>0</v>
      </c>
      <c r="H1824" s="970" t="n">
        <f aca="false">D1824*E1824*$H$1776</f>
        <v>0</v>
      </c>
      <c r="I1824" s="936" t="n">
        <f aca="false">IF(G1824&gt;H1824,G1824,H1824)*$H$1775</f>
        <v>0</v>
      </c>
      <c r="J1824" s="931"/>
      <c r="K1824" s="937"/>
    </row>
    <row r="1825" customFormat="false" ht="15.75" hidden="false" customHeight="false" outlineLevel="0" collapsed="false">
      <c r="A1825" s="937"/>
      <c r="B1825" s="992" t="s">
        <v>1895</v>
      </c>
      <c r="C1825" s="993" t="s">
        <v>48</v>
      </c>
      <c r="D1825" s="992" t="n">
        <f aca="false">отделка!C673</f>
        <v>1774.6437861718</v>
      </c>
      <c r="E1825" s="986" t="n">
        <f aca="false">отделка!D673</f>
        <v>0.02</v>
      </c>
      <c r="F1825" s="986"/>
      <c r="G1825" s="967" t="n">
        <f aca="false">IF(F1825&gt;0,D1825*F1825,E1825*D1825)</f>
        <v>35.4928757234361</v>
      </c>
      <c r="H1825" s="970" t="n">
        <f aca="false">D1825*E1825*$H$1776</f>
        <v>35.4928757234361</v>
      </c>
      <c r="I1825" s="936" t="n">
        <f aca="false">IF(G1825&gt;H1825,G1825,H1825)*$H$1775</f>
        <v>35.4928757234361</v>
      </c>
      <c r="J1825" s="931"/>
      <c r="K1825" s="937"/>
    </row>
    <row r="1826" customFormat="false" ht="15.75" hidden="true" customHeight="false" outlineLevel="0" collapsed="false">
      <c r="A1826" s="937"/>
      <c r="B1826" s="993" t="s">
        <v>2289</v>
      </c>
      <c r="C1826" s="993"/>
      <c r="D1826" s="993"/>
      <c r="E1826" s="993"/>
      <c r="F1826" s="993"/>
      <c r="G1826" s="967" t="n">
        <f aca="false">IF(F1826&gt;0,D1826*F1826,E1826*D1826)</f>
        <v>0</v>
      </c>
      <c r="H1826" s="1051" t="n">
        <f aca="false">IF(SUM(H1827:H1836)&gt;0,1,0)</f>
        <v>0</v>
      </c>
      <c r="I1826" s="936" t="n">
        <f aca="false">IF(G1826&gt;H1826,G1826,H1826)*$H$1775</f>
        <v>0</v>
      </c>
      <c r="J1826" s="931"/>
      <c r="K1826" s="937"/>
    </row>
    <row r="1827" customFormat="false" ht="15.75" hidden="true" customHeight="false" outlineLevel="0" collapsed="false">
      <c r="A1827" s="937"/>
      <c r="B1827" s="992" t="s">
        <v>1905</v>
      </c>
      <c r="C1827" s="993" t="s">
        <v>820</v>
      </c>
      <c r="D1827" s="992" t="n">
        <f aca="false">отделка!C675</f>
        <v>0</v>
      </c>
      <c r="E1827" s="986" t="n">
        <f aca="false">отделка!D675</f>
        <v>50</v>
      </c>
      <c r="F1827" s="986"/>
      <c r="G1827" s="967" t="n">
        <f aca="false">IF(F1827&gt;0,D1827*F1827,E1827*D1827)</f>
        <v>0</v>
      </c>
      <c r="H1827" s="970" t="n">
        <f aca="false">D1827*E1827*$H$1776</f>
        <v>0</v>
      </c>
      <c r="I1827" s="936" t="n">
        <f aca="false">IF(G1827&gt;H1827,G1827,H1827)*$H$1775</f>
        <v>0</v>
      </c>
      <c r="J1827" s="931"/>
      <c r="K1827" s="937"/>
    </row>
    <row r="1828" customFormat="false" ht="15.75" hidden="true" customHeight="false" outlineLevel="0" collapsed="false">
      <c r="A1828" s="937"/>
      <c r="B1828" s="992" t="s">
        <v>1906</v>
      </c>
      <c r="C1828" s="993" t="s">
        <v>820</v>
      </c>
      <c r="D1828" s="992" t="n">
        <f aca="false">отделка!C676</f>
        <v>0</v>
      </c>
      <c r="E1828" s="986" t="n">
        <f aca="false">отделка!D676</f>
        <v>350</v>
      </c>
      <c r="F1828" s="986"/>
      <c r="G1828" s="967" t="n">
        <f aca="false">IF(F1828&gt;0,D1828*F1828,E1828*D1828)</f>
        <v>0</v>
      </c>
      <c r="H1828" s="970" t="n">
        <f aca="false">D1828*E1828*$H$1776</f>
        <v>0</v>
      </c>
      <c r="I1828" s="936" t="n">
        <f aca="false">IF(G1828&gt;H1828,G1828,H1828)*$H$1775</f>
        <v>0</v>
      </c>
      <c r="J1828" s="931"/>
      <c r="K1828" s="937"/>
    </row>
    <row r="1829" customFormat="false" ht="15.75" hidden="true" customHeight="false" outlineLevel="0" collapsed="false">
      <c r="A1829" s="937"/>
      <c r="B1829" s="992" t="s">
        <v>1907</v>
      </c>
      <c r="C1829" s="993" t="s">
        <v>820</v>
      </c>
      <c r="D1829" s="992" t="n">
        <f aca="false">отделка!C677</f>
        <v>0</v>
      </c>
      <c r="E1829" s="986" t="n">
        <f aca="false">отделка!D677</f>
        <v>450</v>
      </c>
      <c r="F1829" s="986"/>
      <c r="G1829" s="967" t="n">
        <f aca="false">IF(F1829&gt;0,D1829*F1829,E1829*D1829)</f>
        <v>0</v>
      </c>
      <c r="H1829" s="970" t="n">
        <f aca="false">D1829*E1829*$H$1776</f>
        <v>0</v>
      </c>
      <c r="I1829" s="936" t="n">
        <f aca="false">IF(G1829&gt;H1829,G1829,H1829)*$H$1775</f>
        <v>0</v>
      </c>
      <c r="J1829" s="931"/>
      <c r="K1829" s="937"/>
    </row>
    <row r="1830" customFormat="false" ht="15.75" hidden="true" customHeight="false" outlineLevel="0" collapsed="false">
      <c r="A1830" s="937"/>
      <c r="B1830" s="992" t="s">
        <v>1908</v>
      </c>
      <c r="C1830" s="993" t="s">
        <v>48</v>
      </c>
      <c r="D1830" s="992" t="n">
        <f aca="false">отделка!C678</f>
        <v>0</v>
      </c>
      <c r="E1830" s="986" t="n">
        <f aca="false">отделка!D678</f>
        <v>35</v>
      </c>
      <c r="F1830" s="986"/>
      <c r="G1830" s="967" t="n">
        <f aca="false">IF(F1830&gt;0,D1830*F1830,E1830*D1830)</f>
        <v>0</v>
      </c>
      <c r="H1830" s="970" t="n">
        <f aca="false">D1830*E1830*$H$1776</f>
        <v>0</v>
      </c>
      <c r="I1830" s="936" t="n">
        <f aca="false">IF(G1830&gt;H1830,G1830,H1830)*$H$1775</f>
        <v>0</v>
      </c>
      <c r="J1830" s="931"/>
      <c r="K1830" s="937"/>
    </row>
    <row r="1831" customFormat="false" ht="15.75" hidden="true" customHeight="false" outlineLevel="0" collapsed="false">
      <c r="A1831" s="937"/>
      <c r="B1831" s="992" t="s">
        <v>1909</v>
      </c>
      <c r="C1831" s="993" t="s">
        <v>15</v>
      </c>
      <c r="D1831" s="992" t="n">
        <f aca="false">отделка!C679</f>
        <v>0</v>
      </c>
      <c r="E1831" s="986" t="n">
        <f aca="false">отделка!D679</f>
        <v>35</v>
      </c>
      <c r="F1831" s="986"/>
      <c r="G1831" s="967" t="n">
        <f aca="false">IF(F1831&gt;0,D1831*F1831,E1831*D1831)</f>
        <v>0</v>
      </c>
      <c r="H1831" s="970" t="n">
        <f aca="false">D1831*E1831*$H$1776</f>
        <v>0</v>
      </c>
      <c r="I1831" s="936" t="n">
        <f aca="false">IF(G1831&gt;H1831,G1831,H1831)*$H$1775</f>
        <v>0</v>
      </c>
      <c r="J1831" s="931"/>
      <c r="K1831" s="937"/>
    </row>
    <row r="1832" customFormat="false" ht="15.75" hidden="true" customHeight="false" outlineLevel="0" collapsed="false">
      <c r="A1832" s="937"/>
      <c r="B1832" s="992" t="s">
        <v>1910</v>
      </c>
      <c r="C1832" s="993" t="s">
        <v>820</v>
      </c>
      <c r="D1832" s="992" t="n">
        <f aca="false">отделка!C680</f>
        <v>0</v>
      </c>
      <c r="E1832" s="986" t="n">
        <f aca="false">отделка!D680</f>
        <v>500</v>
      </c>
      <c r="F1832" s="986"/>
      <c r="G1832" s="967" t="n">
        <f aca="false">IF(F1832&gt;0,D1832*F1832,E1832*D1832)</f>
        <v>0</v>
      </c>
      <c r="H1832" s="970" t="n">
        <f aca="false">D1832*E1832*$H$1776</f>
        <v>0</v>
      </c>
      <c r="I1832" s="936" t="n">
        <f aca="false">IF(G1832&gt;H1832,G1832,H1832)*$H$1775</f>
        <v>0</v>
      </c>
      <c r="J1832" s="931"/>
      <c r="K1832" s="937"/>
    </row>
    <row r="1833" customFormat="false" ht="15.75" hidden="true" customHeight="false" outlineLevel="0" collapsed="false">
      <c r="A1833" s="937"/>
      <c r="B1833" s="992" t="s">
        <v>1911</v>
      </c>
      <c r="C1833" s="993" t="s">
        <v>48</v>
      </c>
      <c r="D1833" s="992" t="n">
        <f aca="false">отделка!C681</f>
        <v>0</v>
      </c>
      <c r="E1833" s="986" t="n">
        <f aca="false">отделка!D681</f>
        <v>250</v>
      </c>
      <c r="F1833" s="986"/>
      <c r="G1833" s="967" t="n">
        <f aca="false">IF(F1833&gt;0,D1833*F1833,E1833*D1833)</f>
        <v>0</v>
      </c>
      <c r="H1833" s="970" t="n">
        <f aca="false">D1833*E1833*$H$1776</f>
        <v>0</v>
      </c>
      <c r="I1833" s="936" t="n">
        <f aca="false">IF(G1833&gt;H1833,G1833,H1833)*$H$1775</f>
        <v>0</v>
      </c>
      <c r="J1833" s="931"/>
      <c r="K1833" s="937"/>
    </row>
    <row r="1834" customFormat="false" ht="15.75" hidden="true" customHeight="false" outlineLevel="0" collapsed="false">
      <c r="A1834" s="937"/>
      <c r="B1834" s="992" t="s">
        <v>1885</v>
      </c>
      <c r="C1834" s="993" t="s">
        <v>48</v>
      </c>
      <c r="D1834" s="992" t="n">
        <f aca="false">отделка!C682</f>
        <v>0</v>
      </c>
      <c r="E1834" s="986" t="n">
        <f aca="false">отделка!D682</f>
        <v>500</v>
      </c>
      <c r="F1834" s="986"/>
      <c r="G1834" s="967" t="n">
        <f aca="false">IF(F1834&gt;0,D1834*F1834,E1834*D1834)</f>
        <v>0</v>
      </c>
      <c r="H1834" s="970" t="n">
        <f aca="false">D1834*E1834*$H$1776</f>
        <v>0</v>
      </c>
      <c r="I1834" s="936" t="n">
        <f aca="false">IF(G1834&gt;H1834,G1834,H1834)*$H$1775</f>
        <v>0</v>
      </c>
      <c r="J1834" s="931"/>
      <c r="K1834" s="937"/>
    </row>
    <row r="1835" customFormat="false" ht="15.75" hidden="true" customHeight="false" outlineLevel="0" collapsed="false">
      <c r="A1835" s="937"/>
      <c r="B1835" s="992" t="s">
        <v>1912</v>
      </c>
      <c r="C1835" s="993" t="s">
        <v>48</v>
      </c>
      <c r="D1835" s="992" t="n">
        <f aca="false">отделка!C683</f>
        <v>0</v>
      </c>
      <c r="E1835" s="986" t="n">
        <f aca="false">отделка!D683</f>
        <v>200</v>
      </c>
      <c r="F1835" s="986"/>
      <c r="G1835" s="967" t="n">
        <f aca="false">IF(F1835&gt;0,D1835*F1835,E1835*D1835)</f>
        <v>0</v>
      </c>
      <c r="H1835" s="970" t="n">
        <f aca="false">D1835*E1835*$H$1776</f>
        <v>0</v>
      </c>
      <c r="I1835" s="936" t="n">
        <f aca="false">IF(G1835&gt;H1835,G1835,H1835)*$H$1775</f>
        <v>0</v>
      </c>
      <c r="J1835" s="931"/>
      <c r="K1835" s="937"/>
    </row>
    <row r="1836" customFormat="false" ht="15.75" hidden="true" customHeight="false" outlineLevel="0" collapsed="false">
      <c r="A1836" s="937"/>
      <c r="B1836" s="992" t="s">
        <v>1913</v>
      </c>
      <c r="C1836" s="993" t="s">
        <v>48</v>
      </c>
      <c r="D1836" s="992" t="n">
        <f aca="false">отделка!C684</f>
        <v>0</v>
      </c>
      <c r="E1836" s="986" t="n">
        <f aca="false">отделка!D684</f>
        <v>400</v>
      </c>
      <c r="F1836" s="986"/>
      <c r="G1836" s="967" t="n">
        <f aca="false">IF(F1836&gt;0,D1836*F1836,E1836*D1836)</f>
        <v>0</v>
      </c>
      <c r="H1836" s="970" t="n">
        <f aca="false">D1836*E1836*$H$1776</f>
        <v>0</v>
      </c>
      <c r="I1836" s="936" t="n">
        <f aca="false">IF(G1836&gt;H1836,G1836,H1836)*$H$1775</f>
        <v>0</v>
      </c>
      <c r="J1836" s="931"/>
      <c r="K1836" s="937"/>
    </row>
    <row r="1837" customFormat="false" ht="15.75" hidden="true" customHeight="false" outlineLevel="0" collapsed="false">
      <c r="A1837" s="937"/>
      <c r="B1837" s="993" t="s">
        <v>852</v>
      </c>
      <c r="C1837" s="993"/>
      <c r="D1837" s="993"/>
      <c r="E1837" s="993"/>
      <c r="F1837" s="1053"/>
      <c r="G1837" s="967" t="n">
        <f aca="false">IF(F1837&gt;0,D1837*F1837,E1837*D1837)</f>
        <v>0</v>
      </c>
      <c r="H1837" s="1051" t="n">
        <f aca="false">IF(SUM(H1838:H1848)&gt;0,1,0)</f>
        <v>0</v>
      </c>
      <c r="I1837" s="936" t="n">
        <f aca="false">IF(G1837&gt;H1837,G1837,H1837)*$H$1775</f>
        <v>0</v>
      </c>
      <c r="J1837" s="931"/>
      <c r="K1837" s="937"/>
    </row>
    <row r="1838" customFormat="false" ht="15.75" hidden="true" customHeight="false" outlineLevel="0" collapsed="false">
      <c r="A1838" s="937"/>
      <c r="B1838" s="992" t="s">
        <v>1914</v>
      </c>
      <c r="C1838" s="993" t="s">
        <v>820</v>
      </c>
      <c r="D1838" s="992" t="n">
        <f aca="false">отделка!C686</f>
        <v>0</v>
      </c>
      <c r="E1838" s="986" t="n">
        <f aca="false">отделка!D686</f>
        <v>500</v>
      </c>
      <c r="F1838" s="986"/>
      <c r="G1838" s="967" t="n">
        <f aca="false">IF(F1838&gt;0,D1838*F1838,E1838*D1838)</f>
        <v>0</v>
      </c>
      <c r="H1838" s="970" t="n">
        <f aca="false">D1838*E1838*$H$1776</f>
        <v>0</v>
      </c>
      <c r="I1838" s="936" t="n">
        <f aca="false">IF(G1838&gt;H1838,G1838,H1838)*$H$1775</f>
        <v>0</v>
      </c>
      <c r="J1838" s="931"/>
      <c r="K1838" s="937"/>
    </row>
    <row r="1839" customFormat="false" ht="15.75" hidden="true" customHeight="false" outlineLevel="0" collapsed="false">
      <c r="A1839" s="937"/>
      <c r="B1839" s="992" t="s">
        <v>1915</v>
      </c>
      <c r="C1839" s="993" t="s">
        <v>820</v>
      </c>
      <c r="D1839" s="992" t="n">
        <f aca="false">отделка!C687</f>
        <v>0</v>
      </c>
      <c r="E1839" s="986" t="n">
        <f aca="false">отделка!D687</f>
        <v>500</v>
      </c>
      <c r="F1839" s="986"/>
      <c r="G1839" s="967" t="n">
        <f aca="false">IF(F1839&gt;0,D1839*F1839,E1839*D1839)</f>
        <v>0</v>
      </c>
      <c r="H1839" s="970" t="n">
        <f aca="false">D1839*E1839*$H$1776</f>
        <v>0</v>
      </c>
      <c r="I1839" s="936" t="n">
        <f aca="false">IF(G1839&gt;H1839,G1839,H1839)*$H$1775</f>
        <v>0</v>
      </c>
      <c r="J1839" s="931"/>
      <c r="K1839" s="937"/>
    </row>
    <row r="1840" customFormat="false" ht="15.75" hidden="true" customHeight="false" outlineLevel="0" collapsed="false">
      <c r="A1840" s="937"/>
      <c r="B1840" s="992" t="s">
        <v>1916</v>
      </c>
      <c r="C1840" s="993" t="s">
        <v>820</v>
      </c>
      <c r="D1840" s="992" t="n">
        <f aca="false">отделка!C688</f>
        <v>0</v>
      </c>
      <c r="E1840" s="986" t="n">
        <f aca="false">отделка!D688</f>
        <v>500</v>
      </c>
      <c r="F1840" s="986"/>
      <c r="G1840" s="967" t="n">
        <f aca="false">IF(F1840&gt;0,D1840*F1840,E1840*D1840)</f>
        <v>0</v>
      </c>
      <c r="H1840" s="970" t="n">
        <f aca="false">D1840*E1840*$H$1776</f>
        <v>0</v>
      </c>
      <c r="I1840" s="936" t="n">
        <f aca="false">IF(G1840&gt;H1840,G1840,H1840)*$H$1775</f>
        <v>0</v>
      </c>
      <c r="J1840" s="931"/>
      <c r="K1840" s="937"/>
    </row>
    <row r="1841" customFormat="false" ht="15.75" hidden="true" customHeight="false" outlineLevel="0" collapsed="false">
      <c r="A1841" s="937"/>
      <c r="B1841" s="992" t="s">
        <v>1911</v>
      </c>
      <c r="C1841" s="993" t="s">
        <v>48</v>
      </c>
      <c r="D1841" s="992" t="n">
        <f aca="false">отделка!C689</f>
        <v>0</v>
      </c>
      <c r="E1841" s="986" t="n">
        <f aca="false">отделка!D689</f>
        <v>250</v>
      </c>
      <c r="F1841" s="986"/>
      <c r="G1841" s="967" t="n">
        <f aca="false">IF(F1841&gt;0,D1841*F1841,E1841*D1841)</f>
        <v>0</v>
      </c>
      <c r="H1841" s="970" t="n">
        <f aca="false">D1841*E1841*$H$1776</f>
        <v>0</v>
      </c>
      <c r="I1841" s="936" t="n">
        <f aca="false">IF(G1841&gt;H1841,G1841,H1841)*$H$1775</f>
        <v>0</v>
      </c>
      <c r="J1841" s="931"/>
      <c r="K1841" s="937"/>
    </row>
    <row r="1842" customFormat="false" ht="15.75" hidden="true" customHeight="false" outlineLevel="0" collapsed="false">
      <c r="A1842" s="937"/>
      <c r="B1842" s="992" t="s">
        <v>1885</v>
      </c>
      <c r="C1842" s="993" t="s">
        <v>48</v>
      </c>
      <c r="D1842" s="992" t="n">
        <f aca="false">отделка!C690</f>
        <v>0</v>
      </c>
      <c r="E1842" s="986" t="n">
        <f aca="false">отделка!D690</f>
        <v>500</v>
      </c>
      <c r="F1842" s="986"/>
      <c r="G1842" s="967" t="n">
        <f aca="false">IF(F1842&gt;0,D1842*F1842,E1842*D1842)</f>
        <v>0</v>
      </c>
      <c r="H1842" s="970" t="n">
        <f aca="false">D1842*E1842*$H$1776</f>
        <v>0</v>
      </c>
      <c r="I1842" s="936" t="n">
        <f aca="false">IF(G1842&gt;H1842,G1842,H1842)*$H$1775</f>
        <v>0</v>
      </c>
      <c r="J1842" s="931"/>
      <c r="K1842" s="937"/>
    </row>
    <row r="1843" customFormat="false" ht="15.75" hidden="true" customHeight="false" outlineLevel="0" collapsed="false">
      <c r="A1843" s="937"/>
      <c r="B1843" s="992" t="s">
        <v>1917</v>
      </c>
      <c r="C1843" s="993" t="s">
        <v>48</v>
      </c>
      <c r="D1843" s="992" t="n">
        <f aca="false">отделка!C691</f>
        <v>0</v>
      </c>
      <c r="E1843" s="986" t="n">
        <f aca="false">отделка!D691</f>
        <v>200</v>
      </c>
      <c r="F1843" s="986"/>
      <c r="G1843" s="967" t="n">
        <f aca="false">IF(F1843&gt;0,D1843*F1843,E1843*D1843)</f>
        <v>0</v>
      </c>
      <c r="H1843" s="970" t="n">
        <f aca="false">D1843*E1843*$H$1776</f>
        <v>0</v>
      </c>
      <c r="I1843" s="936" t="n">
        <f aca="false">IF(G1843&gt;H1843,G1843,H1843)*$H$1775</f>
        <v>0</v>
      </c>
      <c r="J1843" s="931"/>
      <c r="K1843" s="937"/>
    </row>
    <row r="1844" customFormat="false" ht="15.75" hidden="true" customHeight="false" outlineLevel="0" collapsed="false">
      <c r="A1844" s="937"/>
      <c r="B1844" s="992" t="s">
        <v>1913</v>
      </c>
      <c r="C1844" s="993" t="s">
        <v>48</v>
      </c>
      <c r="D1844" s="992" t="n">
        <f aca="false">отделка!C692</f>
        <v>0</v>
      </c>
      <c r="E1844" s="986" t="n">
        <f aca="false">отделка!D692</f>
        <v>400</v>
      </c>
      <c r="F1844" s="986"/>
      <c r="G1844" s="967" t="n">
        <f aca="false">IF(F1844&gt;0,D1844*F1844,E1844*D1844)</f>
        <v>0</v>
      </c>
      <c r="H1844" s="970" t="n">
        <f aca="false">D1844*E1844*$H$1776</f>
        <v>0</v>
      </c>
      <c r="I1844" s="936" t="n">
        <f aca="false">IF(G1844&gt;H1844,G1844,H1844)*$H$1775</f>
        <v>0</v>
      </c>
      <c r="J1844" s="931"/>
      <c r="K1844" s="937"/>
    </row>
    <row r="1845" customFormat="false" ht="15.75" hidden="true" customHeight="false" outlineLevel="0" collapsed="false">
      <c r="A1845" s="937"/>
      <c r="B1845" s="992" t="s">
        <v>1918</v>
      </c>
      <c r="C1845" s="993" t="s">
        <v>820</v>
      </c>
      <c r="D1845" s="992" t="n">
        <f aca="false">отделка!C693</f>
        <v>0</v>
      </c>
      <c r="E1845" s="986" t="n">
        <f aca="false">отделка!D693</f>
        <v>250</v>
      </c>
      <c r="F1845" s="986"/>
      <c r="G1845" s="967" t="n">
        <f aca="false">IF(F1845&gt;0,D1845*F1845,E1845*D1845)</f>
        <v>0</v>
      </c>
      <c r="H1845" s="970" t="n">
        <f aca="false">D1845*E1845*$H$1776</f>
        <v>0</v>
      </c>
      <c r="I1845" s="936" t="n">
        <f aca="false">IF(G1845&gt;H1845,G1845,H1845)*$H$1775</f>
        <v>0</v>
      </c>
      <c r="J1845" s="931"/>
      <c r="K1845" s="937"/>
    </row>
    <row r="1846" customFormat="false" ht="15.75" hidden="true" customHeight="false" outlineLevel="0" collapsed="false">
      <c r="A1846" s="937"/>
      <c r="B1846" s="992" t="s">
        <v>1919</v>
      </c>
      <c r="C1846" s="993" t="s">
        <v>820</v>
      </c>
      <c r="D1846" s="992" t="n">
        <f aca="false">отделка!C694</f>
        <v>0</v>
      </c>
      <c r="E1846" s="986" t="n">
        <f aca="false">отделка!D694</f>
        <v>250</v>
      </c>
      <c r="F1846" s="986"/>
      <c r="G1846" s="967" t="n">
        <f aca="false">IF(F1846&gt;0,D1846*F1846,E1846*D1846)</f>
        <v>0</v>
      </c>
      <c r="H1846" s="970" t="n">
        <f aca="false">D1846*E1846*$H$1776</f>
        <v>0</v>
      </c>
      <c r="I1846" s="936" t="n">
        <f aca="false">IF(G1846&gt;H1846,G1846,H1846)*$H$1775</f>
        <v>0</v>
      </c>
      <c r="J1846" s="931"/>
      <c r="K1846" s="937"/>
    </row>
    <row r="1847" customFormat="false" ht="15.75" hidden="true" customHeight="false" outlineLevel="0" collapsed="false">
      <c r="A1847" s="937"/>
      <c r="B1847" s="992" t="s">
        <v>1920</v>
      </c>
      <c r="C1847" s="993" t="s">
        <v>48</v>
      </c>
      <c r="D1847" s="992" t="n">
        <f aca="false">отделка!C695</f>
        <v>0</v>
      </c>
      <c r="E1847" s="986" t="n">
        <f aca="false">отделка!D695</f>
        <v>120</v>
      </c>
      <c r="F1847" s="986"/>
      <c r="G1847" s="967" t="n">
        <f aca="false">IF(F1847&gt;0,D1847*F1847,E1847*D1847)</f>
        <v>0</v>
      </c>
      <c r="H1847" s="970" t="n">
        <f aca="false">D1847*E1847*$H$1776</f>
        <v>0</v>
      </c>
      <c r="I1847" s="936" t="n">
        <f aca="false">IF(G1847&gt;H1847,G1847,H1847)*$H$1775</f>
        <v>0</v>
      </c>
      <c r="J1847" s="931"/>
      <c r="K1847" s="937"/>
    </row>
    <row r="1848" customFormat="false" ht="15.75" hidden="true" customHeight="false" outlineLevel="0" collapsed="false">
      <c r="A1848" s="937"/>
      <c r="B1848" s="992" t="s">
        <v>1903</v>
      </c>
      <c r="C1848" s="993" t="s">
        <v>820</v>
      </c>
      <c r="D1848" s="992" t="n">
        <f aca="false">отделка!C696</f>
        <v>0</v>
      </c>
      <c r="E1848" s="986" t="n">
        <f aca="false">отделка!D696</f>
        <v>400</v>
      </c>
      <c r="F1848" s="986"/>
      <c r="G1848" s="967" t="n">
        <f aca="false">IF(F1848&gt;0,D1848*F1848,E1848*D1848)</f>
        <v>0</v>
      </c>
      <c r="H1848" s="970" t="n">
        <f aca="false">D1848*E1848*$H$1776</f>
        <v>0</v>
      </c>
      <c r="I1848" s="936" t="n">
        <f aca="false">IF(G1848&gt;H1848,G1848,H1848)*$H$1775</f>
        <v>0</v>
      </c>
      <c r="J1848" s="931"/>
      <c r="K1848" s="937"/>
    </row>
    <row r="1849" customFormat="false" ht="15.75" hidden="true" customHeight="false" outlineLevel="0" collapsed="false">
      <c r="A1849" s="937"/>
      <c r="B1849" s="993" t="s">
        <v>1921</v>
      </c>
      <c r="C1849" s="993"/>
      <c r="D1849" s="993"/>
      <c r="E1849" s="993"/>
      <c r="F1849" s="993"/>
      <c r="G1849" s="967" t="n">
        <f aca="false">IF(F1849&gt;0,D1849*F1849,E1849*D1849)</f>
        <v>0</v>
      </c>
      <c r="H1849" s="1051" t="n">
        <f aca="false">IF(SUM(H1850:H1855)&gt;0,1,0)</f>
        <v>0</v>
      </c>
      <c r="I1849" s="936" t="n">
        <f aca="false">IF(G1849&gt;H1849,G1849,H1849)*$H$1775</f>
        <v>0</v>
      </c>
      <c r="J1849" s="931"/>
      <c r="K1849" s="937"/>
    </row>
    <row r="1850" customFormat="false" ht="15.75" hidden="true" customHeight="false" outlineLevel="0" collapsed="false">
      <c r="A1850" s="937"/>
      <c r="B1850" s="992" t="s">
        <v>1922</v>
      </c>
      <c r="C1850" s="993" t="s">
        <v>48</v>
      </c>
      <c r="D1850" s="992" t="n">
        <f aca="false">отделка!C698</f>
        <v>0</v>
      </c>
      <c r="E1850" s="986" t="n">
        <f aca="false">отделка!D698</f>
        <v>1900</v>
      </c>
      <c r="F1850" s="986"/>
      <c r="G1850" s="967" t="n">
        <f aca="false">IF(F1850&gt;0,D1850*F1850,E1850*D1850)</f>
        <v>0</v>
      </c>
      <c r="H1850" s="970" t="n">
        <f aca="false">D1850*E1850*$H$1776</f>
        <v>0</v>
      </c>
      <c r="I1850" s="936" t="n">
        <f aca="false">IF(G1850&gt;H1850,G1850,H1850)*$H$1775</f>
        <v>0</v>
      </c>
      <c r="J1850" s="931"/>
      <c r="K1850" s="937"/>
    </row>
    <row r="1851" customFormat="false" ht="15.75" hidden="true" customHeight="false" outlineLevel="0" collapsed="false">
      <c r="A1851" s="937"/>
      <c r="B1851" s="992" t="s">
        <v>1923</v>
      </c>
      <c r="C1851" s="993" t="s">
        <v>48</v>
      </c>
      <c r="D1851" s="992" t="n">
        <f aca="false">отделка!C699</f>
        <v>0</v>
      </c>
      <c r="E1851" s="986" t="n">
        <f aca="false">отделка!D699</f>
        <v>250</v>
      </c>
      <c r="F1851" s="986"/>
      <c r="G1851" s="967" t="n">
        <f aca="false">IF(F1851&gt;0,D1851*F1851,E1851*D1851)</f>
        <v>0</v>
      </c>
      <c r="H1851" s="970" t="n">
        <f aca="false">D1851*E1851*$H$1776</f>
        <v>0</v>
      </c>
      <c r="I1851" s="936" t="n">
        <f aca="false">IF(G1851&gt;H1851,G1851,H1851)*$H$1775</f>
        <v>0</v>
      </c>
      <c r="J1851" s="931"/>
      <c r="K1851" s="937"/>
    </row>
    <row r="1852" customFormat="false" ht="15.75" hidden="true" customHeight="false" outlineLevel="0" collapsed="false">
      <c r="A1852" s="937"/>
      <c r="B1852" s="992" t="s">
        <v>1924</v>
      </c>
      <c r="C1852" s="993" t="s">
        <v>48</v>
      </c>
      <c r="D1852" s="992" t="n">
        <f aca="false">отделка!C700</f>
        <v>0</v>
      </c>
      <c r="E1852" s="986" t="n">
        <f aca="false">отделка!D700</f>
        <v>100</v>
      </c>
      <c r="F1852" s="986"/>
      <c r="G1852" s="967" t="n">
        <f aca="false">IF(F1852&gt;0,D1852*F1852,E1852*D1852)</f>
        <v>0</v>
      </c>
      <c r="H1852" s="970" t="n">
        <f aca="false">D1852*E1852*$H$1776</f>
        <v>0</v>
      </c>
      <c r="I1852" s="936" t="n">
        <f aca="false">IF(G1852&gt;H1852,G1852,H1852)*$H$1775</f>
        <v>0</v>
      </c>
      <c r="J1852" s="931"/>
      <c r="K1852" s="937"/>
    </row>
    <row r="1853" customFormat="false" ht="15.75" hidden="true" customHeight="false" outlineLevel="0" collapsed="false">
      <c r="A1853" s="937"/>
      <c r="B1853" s="992" t="s">
        <v>1925</v>
      </c>
      <c r="C1853" s="993" t="s">
        <v>48</v>
      </c>
      <c r="D1853" s="992" t="n">
        <f aca="false">отделка!C701</f>
        <v>0</v>
      </c>
      <c r="E1853" s="986" t="n">
        <f aca="false">отделка!D701</f>
        <v>100</v>
      </c>
      <c r="F1853" s="986"/>
      <c r="G1853" s="967" t="n">
        <f aca="false">IF(F1853&gt;0,D1853*F1853,E1853*D1853)</f>
        <v>0</v>
      </c>
      <c r="H1853" s="970" t="n">
        <f aca="false">D1853*E1853*$H$1776</f>
        <v>0</v>
      </c>
      <c r="I1853" s="936" t="n">
        <f aca="false">IF(G1853&gt;H1853,G1853,H1853)*$H$1775</f>
        <v>0</v>
      </c>
      <c r="J1853" s="931"/>
      <c r="K1853" s="937"/>
    </row>
    <row r="1854" customFormat="false" ht="15.75" hidden="true" customHeight="false" outlineLevel="0" collapsed="false">
      <c r="A1854" s="937"/>
      <c r="B1854" s="992" t="s">
        <v>1926</v>
      </c>
      <c r="C1854" s="993" t="s">
        <v>48</v>
      </c>
      <c r="D1854" s="992" t="n">
        <f aca="false">отделка!C702</f>
        <v>0</v>
      </c>
      <c r="E1854" s="986" t="n">
        <f aca="false">отделка!D702</f>
        <v>250</v>
      </c>
      <c r="F1854" s="986"/>
      <c r="G1854" s="967" t="n">
        <f aca="false">IF(F1854&gt;0,D1854*F1854,E1854*D1854)</f>
        <v>0</v>
      </c>
      <c r="H1854" s="970" t="n">
        <f aca="false">D1854*E1854*$H$1776</f>
        <v>0</v>
      </c>
      <c r="I1854" s="936" t="n">
        <f aca="false">IF(G1854&gt;H1854,G1854,H1854)*$H$1775</f>
        <v>0</v>
      </c>
      <c r="J1854" s="931"/>
      <c r="K1854" s="937"/>
    </row>
    <row r="1855" customFormat="false" ht="15.75" hidden="true" customHeight="false" outlineLevel="0" collapsed="false">
      <c r="A1855" s="937"/>
      <c r="B1855" s="992" t="s">
        <v>1927</v>
      </c>
      <c r="C1855" s="993" t="s">
        <v>48</v>
      </c>
      <c r="D1855" s="992" t="n">
        <f aca="false">отделка!C703</f>
        <v>0</v>
      </c>
      <c r="E1855" s="986" t="n">
        <f aca="false">отделка!D703</f>
        <v>500</v>
      </c>
      <c r="F1855" s="986"/>
      <c r="G1855" s="967" t="n">
        <f aca="false">IF(F1855&gt;0,D1855*F1855,E1855*D1855)</f>
        <v>0</v>
      </c>
      <c r="H1855" s="970" t="n">
        <f aca="false">D1855*E1855*$H$1776</f>
        <v>0</v>
      </c>
      <c r="I1855" s="936" t="n">
        <f aca="false">IF(G1855&gt;H1855,G1855,H1855)*$H$1775</f>
        <v>0</v>
      </c>
      <c r="J1855" s="931"/>
      <c r="K1855" s="937"/>
    </row>
    <row r="1856" customFormat="false" ht="15.75" hidden="false" customHeight="false" outlineLevel="0" collapsed="false">
      <c r="A1856" s="937"/>
      <c r="B1856" s="973" t="s">
        <v>2247</v>
      </c>
      <c r="C1856" s="973"/>
      <c r="D1856" s="973"/>
      <c r="E1856" s="973"/>
      <c r="F1856" s="973"/>
      <c r="G1856" s="970" t="n">
        <f aca="false">SUM(G1778:G1855)*H1775</f>
        <v>114464.844202871</v>
      </c>
      <c r="H1856" s="970" t="n">
        <f aca="false">SUM(H1778:H1855)</f>
        <v>114465.844202871</v>
      </c>
      <c r="I1856" s="936" t="n">
        <f aca="false">IF(G1856&gt;H1856,G1856,H1856)*$H$1775</f>
        <v>114465.844202871</v>
      </c>
      <c r="J1856" s="931"/>
      <c r="K1856" s="937"/>
    </row>
    <row r="1857" customFormat="false" ht="15.75" hidden="false" customHeight="false" outlineLevel="0" collapsed="false">
      <c r="A1857" s="937"/>
      <c r="B1857" s="976" t="s">
        <v>2007</v>
      </c>
      <c r="C1857" s="976"/>
      <c r="D1857" s="976"/>
      <c r="E1857" s="976"/>
      <c r="F1857" s="976"/>
      <c r="G1857" s="977"/>
      <c r="H1857" s="994" t="n">
        <f aca="false">H1775</f>
        <v>1</v>
      </c>
      <c r="I1857" s="1026" t="n">
        <f aca="false">H1857</f>
        <v>1</v>
      </c>
      <c r="J1857" s="931"/>
      <c r="K1857" s="937"/>
    </row>
    <row r="1858" customFormat="false" ht="15.75" hidden="false" customHeight="false" outlineLevel="0" collapsed="false">
      <c r="A1858" s="931"/>
      <c r="B1858" s="993" t="s">
        <v>837</v>
      </c>
      <c r="C1858" s="993"/>
      <c r="D1858" s="993"/>
      <c r="E1858" s="993"/>
      <c r="F1858" s="993"/>
      <c r="G1858" s="967" t="n">
        <f aca="false">IF(F1858&gt;0,D1858*F1858,E1858*D1858)</f>
        <v>0</v>
      </c>
      <c r="H1858" s="1051" t="n">
        <f aca="false">IF(SUM(H1859:H1868)&gt;0,1,0)</f>
        <v>1</v>
      </c>
      <c r="I1858" s="936" t="n">
        <f aca="false">IF(G1858&gt;H1858,G1858,H1858)*$H$1775</f>
        <v>1</v>
      </c>
      <c r="L1858" s="926"/>
      <c r="M1858" s="926"/>
      <c r="N1858" s="926"/>
    </row>
    <row r="1859" customFormat="false" ht="15.75" hidden="true" customHeight="false" outlineLevel="0" collapsed="false">
      <c r="A1859" s="937"/>
      <c r="B1859" s="995" t="s">
        <v>2168</v>
      </c>
      <c r="C1859" s="993" t="s">
        <v>820</v>
      </c>
      <c r="D1859" s="992" t="n">
        <f aca="false">отделка!J630</f>
        <v>0</v>
      </c>
      <c r="E1859" s="986" t="n">
        <f aca="false">отделка!K630</f>
        <v>100</v>
      </c>
      <c r="F1859" s="986"/>
      <c r="G1859" s="967" t="n">
        <f aca="false">IF(F1859&gt;0,D1859*F1859,E1859*D1859)</f>
        <v>0</v>
      </c>
      <c r="H1859" s="970" t="n">
        <f aca="false">D1859*E1859*$H$1857</f>
        <v>0</v>
      </c>
      <c r="I1859" s="936" t="n">
        <f aca="false">IF(G1859&gt;H1859,G1859,H1859)*$H$1775</f>
        <v>0</v>
      </c>
      <c r="L1859" s="926"/>
      <c r="M1859" s="926"/>
      <c r="N1859" s="926"/>
    </row>
    <row r="1860" customFormat="false" ht="15.75" hidden="true" customHeight="false" outlineLevel="0" collapsed="false">
      <c r="A1860" s="937"/>
      <c r="B1860" s="995" t="s">
        <v>2145</v>
      </c>
      <c r="C1860" s="993" t="s">
        <v>820</v>
      </c>
      <c r="D1860" s="992" t="n">
        <f aca="false">отделка!J631</f>
        <v>0</v>
      </c>
      <c r="E1860" s="986" t="n">
        <f aca="false">отделка!K631</f>
        <v>90</v>
      </c>
      <c r="F1860" s="986"/>
      <c r="G1860" s="967" t="n">
        <f aca="false">IF(F1860&gt;0,D1860*F1860,E1860*D1860)</f>
        <v>0</v>
      </c>
      <c r="H1860" s="970" t="n">
        <f aca="false">D1860*E1860*$H$1857</f>
        <v>0</v>
      </c>
      <c r="I1860" s="936" t="n">
        <f aca="false">IF(G1860&gt;H1860,G1860,H1860)*$H$1775</f>
        <v>0</v>
      </c>
      <c r="L1860" s="926"/>
      <c r="M1860" s="926"/>
      <c r="N1860" s="926"/>
    </row>
    <row r="1861" customFormat="false" ht="15.75" hidden="true" customHeight="false" outlineLevel="0" collapsed="false">
      <c r="A1861" s="937"/>
      <c r="B1861" s="995" t="s">
        <v>2169</v>
      </c>
      <c r="C1861" s="993" t="s">
        <v>820</v>
      </c>
      <c r="D1861" s="992" t="n">
        <f aca="false">отделка!J632</f>
        <v>0</v>
      </c>
      <c r="E1861" s="986" t="n">
        <f aca="false">отделка!K632</f>
        <v>50</v>
      </c>
      <c r="F1861" s="986"/>
      <c r="G1861" s="967" t="n">
        <f aca="false">IF(F1861&gt;0,D1861*F1861,E1861*D1861)</f>
        <v>0</v>
      </c>
      <c r="H1861" s="970" t="n">
        <f aca="false">D1861*E1861*$H$1857</f>
        <v>0</v>
      </c>
      <c r="I1861" s="936" t="n">
        <f aca="false">IF(G1861&gt;H1861,G1861,H1861)*$H$1775</f>
        <v>0</v>
      </c>
      <c r="J1861" s="931"/>
      <c r="K1861" s="937"/>
    </row>
    <row r="1862" customFormat="false" ht="15.75" hidden="true" customHeight="false" outlineLevel="0" collapsed="false">
      <c r="A1862" s="937"/>
      <c r="B1862" s="992" t="s">
        <v>2170</v>
      </c>
      <c r="C1862" s="993" t="s">
        <v>820</v>
      </c>
      <c r="D1862" s="992" t="n">
        <f aca="false">отделка!J633</f>
        <v>0</v>
      </c>
      <c r="E1862" s="986" t="n">
        <f aca="false">отделка!K633</f>
        <v>100</v>
      </c>
      <c r="F1862" s="986"/>
      <c r="G1862" s="967" t="n">
        <f aca="false">IF(F1862&gt;0,D1862*F1862,E1862*D1862)</f>
        <v>0</v>
      </c>
      <c r="H1862" s="970" t="n">
        <f aca="false">D1862*E1862*$H$1857</f>
        <v>0</v>
      </c>
      <c r="I1862" s="936" t="n">
        <f aca="false">IF(G1862&gt;H1862,G1862,H1862)*$H$1775</f>
        <v>0</v>
      </c>
      <c r="J1862" s="931"/>
      <c r="K1862" s="937"/>
    </row>
    <row r="1863" customFormat="false" ht="15.75" hidden="true" customHeight="false" outlineLevel="0" collapsed="false">
      <c r="A1863" s="937"/>
      <c r="B1863" s="992" t="s">
        <v>2171</v>
      </c>
      <c r="C1863" s="993" t="s">
        <v>820</v>
      </c>
      <c r="D1863" s="992" t="n">
        <f aca="false">отделка!J634</f>
        <v>0</v>
      </c>
      <c r="E1863" s="986" t="n">
        <f aca="false">отделка!K634</f>
        <v>120</v>
      </c>
      <c r="F1863" s="986"/>
      <c r="G1863" s="967" t="n">
        <f aca="false">IF(F1863&gt;0,D1863*F1863,E1863*D1863)</f>
        <v>0</v>
      </c>
      <c r="H1863" s="970" t="n">
        <f aca="false">D1863*E1863*$H$1857</f>
        <v>0</v>
      </c>
      <c r="I1863" s="936" t="n">
        <f aca="false">IF(G1863&gt;H1863,G1863,H1863)*$H$1775</f>
        <v>0</v>
      </c>
      <c r="J1863" s="931"/>
      <c r="K1863" s="937"/>
    </row>
    <row r="1864" customFormat="false" ht="15.75" hidden="true" customHeight="false" outlineLevel="0" collapsed="false">
      <c r="A1864" s="937"/>
      <c r="B1864" s="992" t="s">
        <v>2172</v>
      </c>
      <c r="C1864" s="993" t="s">
        <v>820</v>
      </c>
      <c r="D1864" s="992" t="n">
        <f aca="false">отделка!J635</f>
        <v>0</v>
      </c>
      <c r="E1864" s="986" t="n">
        <f aca="false">отделка!K635</f>
        <v>100</v>
      </c>
      <c r="F1864" s="986"/>
      <c r="G1864" s="967" t="n">
        <f aca="false">IF(F1864&gt;0,D1864*F1864,E1864*D1864)</f>
        <v>0</v>
      </c>
      <c r="H1864" s="970" t="n">
        <f aca="false">D1864*E1864*$H$1857</f>
        <v>0</v>
      </c>
      <c r="I1864" s="936" t="n">
        <f aca="false">IF(G1864&gt;H1864,G1864,H1864)*$H$1775</f>
        <v>0</v>
      </c>
      <c r="J1864" s="931"/>
      <c r="K1864" s="937"/>
    </row>
    <row r="1865" customFormat="false" ht="15.75" hidden="false" customHeight="false" outlineLevel="0" collapsed="false">
      <c r="A1865" s="937"/>
      <c r="B1865" s="1052" t="s">
        <v>843</v>
      </c>
      <c r="C1865" s="993" t="s">
        <v>820</v>
      </c>
      <c r="D1865" s="992" t="n">
        <f aca="false">отделка!J636</f>
        <v>263.26</v>
      </c>
      <c r="E1865" s="986" t="n">
        <f aca="false">отделка!K636</f>
        <v>400</v>
      </c>
      <c r="F1865" s="986"/>
      <c r="G1865" s="967" t="n">
        <f aca="false">IF(F1865&gt;0,D1865*F1865,E1865*D1865)</f>
        <v>105304</v>
      </c>
      <c r="H1865" s="970" t="n">
        <f aca="false">D1865*E1865*$H$1857</f>
        <v>105304</v>
      </c>
      <c r="I1865" s="936" t="n">
        <f aca="false">IF(G1865&gt;H1865,G1865,H1865)*$H$1775</f>
        <v>105304</v>
      </c>
      <c r="J1865" s="931"/>
      <c r="K1865" s="937"/>
    </row>
    <row r="1866" customFormat="false" ht="15.75" hidden="true" customHeight="false" outlineLevel="0" collapsed="false">
      <c r="A1866" s="937"/>
      <c r="B1866" s="1052" t="s">
        <v>1891</v>
      </c>
      <c r="C1866" s="993" t="s">
        <v>820</v>
      </c>
      <c r="D1866" s="992" t="n">
        <f aca="false">отделка!J637</f>
        <v>0</v>
      </c>
      <c r="E1866" s="986" t="n">
        <f aca="false">отделка!K637</f>
        <v>400</v>
      </c>
      <c r="F1866" s="986"/>
      <c r="G1866" s="967" t="n">
        <f aca="false">IF(F1866&gt;0,D1866*F1866,E1866*D1866)</f>
        <v>0</v>
      </c>
      <c r="H1866" s="970" t="n">
        <f aca="false">D1866*E1866*$H$1857</f>
        <v>0</v>
      </c>
      <c r="I1866" s="936" t="n">
        <f aca="false">IF(G1866&gt;H1866,G1866,H1866)*$H$1775</f>
        <v>0</v>
      </c>
      <c r="J1866" s="931"/>
      <c r="K1866" s="937"/>
    </row>
    <row r="1867" customFormat="false" ht="15.75" hidden="true" customHeight="false" outlineLevel="0" collapsed="false">
      <c r="A1867" s="937"/>
      <c r="B1867" s="1052" t="s">
        <v>847</v>
      </c>
      <c r="C1867" s="993" t="s">
        <v>820</v>
      </c>
      <c r="D1867" s="992" t="n">
        <f aca="false">отделка!J638</f>
        <v>0</v>
      </c>
      <c r="E1867" s="986" t="n">
        <f aca="false">отделка!K638</f>
        <v>400</v>
      </c>
      <c r="F1867" s="986"/>
      <c r="G1867" s="967" t="n">
        <f aca="false">IF(F1867&gt;0,D1867*F1867,E1867*D1867)</f>
        <v>0</v>
      </c>
      <c r="H1867" s="970" t="n">
        <f aca="false">D1867*E1867*$H$1857</f>
        <v>0</v>
      </c>
      <c r="I1867" s="936" t="n">
        <f aca="false">IF(G1867&gt;H1867,G1867,H1867)*$H$1775</f>
        <v>0</v>
      </c>
      <c r="J1867" s="931"/>
      <c r="K1867" s="937"/>
    </row>
    <row r="1868" customFormat="false" ht="15.75" hidden="true" customHeight="false" outlineLevel="0" collapsed="false">
      <c r="A1868" s="937"/>
      <c r="B1868" s="1052" t="s">
        <v>1892</v>
      </c>
      <c r="C1868" s="993" t="s">
        <v>820</v>
      </c>
      <c r="D1868" s="992" t="n">
        <f aca="false">отделка!J639</f>
        <v>0</v>
      </c>
      <c r="E1868" s="986" t="n">
        <f aca="false">отделка!K639</f>
        <v>100</v>
      </c>
      <c r="F1868" s="986"/>
      <c r="G1868" s="967" t="n">
        <f aca="false">IF(F1868&gt;0,D1868*F1868,E1868*D1868)</f>
        <v>0</v>
      </c>
      <c r="H1868" s="970" t="n">
        <f aca="false">D1868*E1868*$H$1857</f>
        <v>0</v>
      </c>
      <c r="I1868" s="936" t="n">
        <f aca="false">IF(G1868&gt;H1868,G1868,H1868)*$H$1775</f>
        <v>0</v>
      </c>
      <c r="J1868" s="931"/>
      <c r="K1868" s="937"/>
    </row>
    <row r="1869" customFormat="false" ht="15.75" hidden="false" customHeight="false" outlineLevel="0" collapsed="false">
      <c r="A1869" s="937"/>
      <c r="B1869" s="993" t="s">
        <v>844</v>
      </c>
      <c r="C1869" s="993"/>
      <c r="D1869" s="993"/>
      <c r="E1869" s="993"/>
      <c r="F1869" s="993"/>
      <c r="G1869" s="967" t="n">
        <f aca="false">IF(F1869&gt;0,D1869*F1869,E1869*D1869)</f>
        <v>0</v>
      </c>
      <c r="H1869" s="1051" t="n">
        <f aca="false">IF(SUM(H1870:H1882)&gt;0,1,0)</f>
        <v>1</v>
      </c>
      <c r="I1869" s="936" t="n">
        <f aca="false">IF(G1869&gt;H1869,G1869,H1869)*$H$1775</f>
        <v>1</v>
      </c>
      <c r="J1869" s="931"/>
      <c r="K1869" s="937"/>
    </row>
    <row r="1870" customFormat="false" ht="15.75" hidden="true" customHeight="false" outlineLevel="0" collapsed="false">
      <c r="A1870" s="937"/>
      <c r="B1870" s="995" t="s">
        <v>2173</v>
      </c>
      <c r="C1870" s="993" t="s">
        <v>820</v>
      </c>
      <c r="D1870" s="992" t="n">
        <f aca="false">отделка!J641</f>
        <v>0</v>
      </c>
      <c r="E1870" s="986" t="n">
        <f aca="false">отделка!K641</f>
        <v>150</v>
      </c>
      <c r="F1870" s="986"/>
      <c r="G1870" s="967" t="n">
        <f aca="false">IF(F1870&gt;0,D1870*F1870,E1870*D1870)</f>
        <v>0</v>
      </c>
      <c r="H1870" s="970" t="n">
        <f aca="false">D1870*E1870*$H$1857</f>
        <v>0</v>
      </c>
      <c r="I1870" s="936" t="n">
        <f aca="false">IF(G1870&gt;H1870,G1870,H1870)*$H$1775</f>
        <v>0</v>
      </c>
      <c r="J1870" s="931"/>
      <c r="K1870" s="937"/>
    </row>
    <row r="1871" customFormat="false" ht="15.75" hidden="true" customHeight="false" outlineLevel="0" collapsed="false">
      <c r="A1871" s="937"/>
      <c r="B1871" s="995" t="s">
        <v>2145</v>
      </c>
      <c r="C1871" s="993" t="s">
        <v>820</v>
      </c>
      <c r="D1871" s="992" t="n">
        <f aca="false">отделка!J642</f>
        <v>0</v>
      </c>
      <c r="E1871" s="986" t="n">
        <f aca="false">отделка!K642</f>
        <v>120</v>
      </c>
      <c r="F1871" s="986"/>
      <c r="G1871" s="967" t="n">
        <f aca="false">IF(F1871&gt;0,D1871*F1871,E1871*D1871)</f>
        <v>0</v>
      </c>
      <c r="H1871" s="970" t="n">
        <f aca="false">D1871*E1871*$H$1857</f>
        <v>0</v>
      </c>
      <c r="I1871" s="936" t="n">
        <f aca="false">IF(G1871&gt;H1871,G1871,H1871)*$H$1775</f>
        <v>0</v>
      </c>
      <c r="J1871" s="931"/>
      <c r="K1871" s="937"/>
    </row>
    <row r="1872" customFormat="false" ht="15.75" hidden="true" customHeight="false" outlineLevel="0" collapsed="false">
      <c r="A1872" s="937"/>
      <c r="B1872" s="995" t="s">
        <v>2174</v>
      </c>
      <c r="C1872" s="993" t="s">
        <v>820</v>
      </c>
      <c r="D1872" s="992" t="n">
        <f aca="false">отделка!J643</f>
        <v>0</v>
      </c>
      <c r="E1872" s="986" t="n">
        <f aca="false">отделка!K643</f>
        <v>80</v>
      </c>
      <c r="F1872" s="986"/>
      <c r="G1872" s="967" t="n">
        <f aca="false">IF(F1872&gt;0,D1872*F1872,E1872*D1872)</f>
        <v>0</v>
      </c>
      <c r="H1872" s="970" t="n">
        <f aca="false">D1872*E1872*$H$1857</f>
        <v>0</v>
      </c>
      <c r="I1872" s="936" t="n">
        <f aca="false">IF(G1872&gt;H1872,G1872,H1872)*$H$1775</f>
        <v>0</v>
      </c>
      <c r="J1872" s="931"/>
      <c r="K1872" s="937"/>
    </row>
    <row r="1873" customFormat="false" ht="15.75" hidden="true" customHeight="false" outlineLevel="0" collapsed="false">
      <c r="A1873" s="937"/>
      <c r="B1873" s="995" t="s">
        <v>2175</v>
      </c>
      <c r="C1873" s="993" t="s">
        <v>820</v>
      </c>
      <c r="D1873" s="992" t="n">
        <f aca="false">отделка!J644</f>
        <v>0</v>
      </c>
      <c r="E1873" s="986" t="n">
        <f aca="false">отделка!K644</f>
        <v>100</v>
      </c>
      <c r="F1873" s="986"/>
      <c r="G1873" s="967" t="n">
        <f aca="false">IF(F1873&gt;0,D1873*F1873,E1873*D1873)</f>
        <v>0</v>
      </c>
      <c r="H1873" s="970" t="n">
        <f aca="false">D1873*E1873*$H$1857</f>
        <v>0</v>
      </c>
      <c r="I1873" s="936" t="n">
        <f aca="false">IF(G1873&gt;H1873,G1873,H1873)*$H$1775</f>
        <v>0</v>
      </c>
      <c r="J1873" s="931"/>
      <c r="K1873" s="937"/>
    </row>
    <row r="1874" customFormat="false" ht="15.75" hidden="true" customHeight="false" outlineLevel="0" collapsed="false">
      <c r="A1874" s="937"/>
      <c r="B1874" s="995" t="s">
        <v>2176</v>
      </c>
      <c r="C1874" s="993" t="s">
        <v>820</v>
      </c>
      <c r="D1874" s="992" t="n">
        <f aca="false">отделка!J645</f>
        <v>0</v>
      </c>
      <c r="E1874" s="986" t="n">
        <f aca="false">отделка!K645</f>
        <v>150</v>
      </c>
      <c r="F1874" s="986"/>
      <c r="G1874" s="967" t="n">
        <f aca="false">IF(F1874&gt;0,D1874*F1874,E1874*D1874)</f>
        <v>0</v>
      </c>
      <c r="H1874" s="970" t="n">
        <f aca="false">D1874*E1874*$H$1857</f>
        <v>0</v>
      </c>
      <c r="I1874" s="936" t="n">
        <f aca="false">IF(G1874&gt;H1874,G1874,H1874)*$H$1775</f>
        <v>0</v>
      </c>
      <c r="J1874" s="931"/>
      <c r="K1874" s="937"/>
    </row>
    <row r="1875" customFormat="false" ht="15.75" hidden="true" customHeight="false" outlineLevel="0" collapsed="false">
      <c r="A1875" s="937"/>
      <c r="B1875" s="995" t="s">
        <v>1903</v>
      </c>
      <c r="C1875" s="993" t="s">
        <v>820</v>
      </c>
      <c r="D1875" s="992" t="n">
        <f aca="false">отделка!J646</f>
        <v>0</v>
      </c>
      <c r="E1875" s="986" t="n">
        <f aca="false">отделка!K646</f>
        <v>300</v>
      </c>
      <c r="F1875" s="986"/>
      <c r="G1875" s="967" t="n">
        <f aca="false">IF(F1875&gt;0,D1875*F1875,E1875*D1875)</f>
        <v>0</v>
      </c>
      <c r="H1875" s="970" t="n">
        <f aca="false">D1875*E1875*$H$1857</f>
        <v>0</v>
      </c>
      <c r="I1875" s="936" t="n">
        <f aca="false">IF(G1875&gt;H1875,G1875,H1875)*$H$1775</f>
        <v>0</v>
      </c>
      <c r="J1875" s="931"/>
      <c r="K1875" s="937"/>
    </row>
    <row r="1876" customFormat="false" ht="15.75" hidden="true" customHeight="false" outlineLevel="0" collapsed="false">
      <c r="A1876" s="937"/>
      <c r="B1876" s="995" t="s">
        <v>2177</v>
      </c>
      <c r="C1876" s="993" t="s">
        <v>15</v>
      </c>
      <c r="D1876" s="992" t="n">
        <f aca="false">отделка!J647</f>
        <v>0</v>
      </c>
      <c r="E1876" s="986" t="n">
        <f aca="false">отделка!K647</f>
        <v>50</v>
      </c>
      <c r="F1876" s="986"/>
      <c r="G1876" s="967" t="n">
        <f aca="false">IF(F1876&gt;0,D1876*F1876,E1876*D1876)</f>
        <v>0</v>
      </c>
      <c r="H1876" s="970" t="n">
        <f aca="false">D1876*E1876*$H$1857</f>
        <v>0</v>
      </c>
      <c r="I1876" s="936" t="n">
        <f aca="false">IF(G1876&gt;H1876,G1876,H1876)*$H$1775</f>
        <v>0</v>
      </c>
      <c r="J1876" s="931"/>
      <c r="K1876" s="937"/>
    </row>
    <row r="1877" customFormat="false" ht="15.75" hidden="true" customHeight="false" outlineLevel="0" collapsed="false">
      <c r="A1877" s="937"/>
      <c r="B1877" s="995" t="s">
        <v>2178</v>
      </c>
      <c r="C1877" s="993" t="s">
        <v>15</v>
      </c>
      <c r="D1877" s="992" t="n">
        <f aca="false">отделка!J648</f>
        <v>0</v>
      </c>
      <c r="E1877" s="986" t="n">
        <f aca="false">отделка!K648</f>
        <v>50</v>
      </c>
      <c r="F1877" s="986"/>
      <c r="G1877" s="967" t="n">
        <f aca="false">IF(F1877&gt;0,D1877*F1877,E1877*D1877)</f>
        <v>0</v>
      </c>
      <c r="H1877" s="970" t="n">
        <f aca="false">D1877*E1877*$H$1857</f>
        <v>0</v>
      </c>
      <c r="I1877" s="936" t="n">
        <f aca="false">IF(G1877&gt;H1877,G1877,H1877)*$H$1775</f>
        <v>0</v>
      </c>
      <c r="J1877" s="931"/>
      <c r="K1877" s="937"/>
    </row>
    <row r="1878" customFormat="false" ht="15.75" hidden="true" customHeight="false" outlineLevel="0" collapsed="false">
      <c r="A1878" s="937"/>
      <c r="B1878" s="995" t="s">
        <v>2179</v>
      </c>
      <c r="C1878" s="993" t="s">
        <v>15</v>
      </c>
      <c r="D1878" s="992" t="n">
        <f aca="false">отделка!J649</f>
        <v>0</v>
      </c>
      <c r="E1878" s="986" t="n">
        <f aca="false">отделка!K649</f>
        <v>50</v>
      </c>
      <c r="F1878" s="986"/>
      <c r="G1878" s="967" t="n">
        <f aca="false">IF(F1878&gt;0,D1878*F1878,E1878*D1878)</f>
        <v>0</v>
      </c>
      <c r="H1878" s="970" t="n">
        <f aca="false">D1878*E1878*$H$1857</f>
        <v>0</v>
      </c>
      <c r="I1878" s="936" t="n">
        <f aca="false">IF(G1878&gt;H1878,G1878,H1878)*$H$1775</f>
        <v>0</v>
      </c>
      <c r="J1878" s="931"/>
      <c r="K1878" s="937"/>
    </row>
    <row r="1879" customFormat="false" ht="15.75" hidden="true" customHeight="false" outlineLevel="0" collapsed="false">
      <c r="A1879" s="937"/>
      <c r="B1879" s="1054" t="s">
        <v>843</v>
      </c>
      <c r="C1879" s="993" t="s">
        <v>820</v>
      </c>
      <c r="D1879" s="992" t="n">
        <f aca="false">отделка!J650</f>
        <v>0</v>
      </c>
      <c r="E1879" s="986" t="n">
        <f aca="false">отделка!K650</f>
        <v>400</v>
      </c>
      <c r="F1879" s="986"/>
      <c r="G1879" s="967" t="n">
        <f aca="false">IF(F1879&gt;0,D1879*F1879,E1879*D1879)</f>
        <v>0</v>
      </c>
      <c r="H1879" s="970" t="n">
        <f aca="false">D1879*E1879*$H$1857</f>
        <v>0</v>
      </c>
      <c r="I1879" s="936" t="n">
        <f aca="false">IF(G1879&gt;H1879,G1879,H1879)*$H$1775</f>
        <v>0</v>
      </c>
      <c r="J1879" s="931"/>
      <c r="K1879" s="937"/>
    </row>
    <row r="1880" customFormat="false" ht="15.75" hidden="true" customHeight="false" outlineLevel="0" collapsed="false">
      <c r="A1880" s="937"/>
      <c r="B1880" s="1054" t="s">
        <v>1891</v>
      </c>
      <c r="C1880" s="993" t="s">
        <v>820</v>
      </c>
      <c r="D1880" s="992" t="n">
        <f aca="false">отделка!J651</f>
        <v>0</v>
      </c>
      <c r="E1880" s="986" t="n">
        <f aca="false">отделка!K651</f>
        <v>400</v>
      </c>
      <c r="F1880" s="986"/>
      <c r="G1880" s="967" t="n">
        <f aca="false">IF(F1880&gt;0,D1880*F1880,E1880*D1880)</f>
        <v>0</v>
      </c>
      <c r="H1880" s="970" t="n">
        <f aca="false">D1880*E1880*$H$1857</f>
        <v>0</v>
      </c>
      <c r="I1880" s="936" t="n">
        <f aca="false">IF(G1880&gt;H1880,G1880,H1880)*$H$1775</f>
        <v>0</v>
      </c>
      <c r="J1880" s="931"/>
      <c r="K1880" s="937"/>
    </row>
    <row r="1881" customFormat="false" ht="15.75" hidden="false" customHeight="false" outlineLevel="0" collapsed="false">
      <c r="A1881" s="937"/>
      <c r="B1881" s="1054" t="s">
        <v>847</v>
      </c>
      <c r="C1881" s="993" t="s">
        <v>820</v>
      </c>
      <c r="D1881" s="992" t="n">
        <f aca="false">отделка!J652</f>
        <v>88.7321893085902</v>
      </c>
      <c r="E1881" s="986" t="n">
        <f aca="false">отделка!K652</f>
        <v>400</v>
      </c>
      <c r="F1881" s="986"/>
      <c r="G1881" s="967" t="n">
        <f aca="false">IF(F1881&gt;0,D1881*F1881,E1881*D1881)</f>
        <v>35492.8757234361</v>
      </c>
      <c r="H1881" s="970" t="n">
        <f aca="false">D1881*E1881*$H$1857</f>
        <v>35492.8757234361</v>
      </c>
      <c r="I1881" s="936" t="n">
        <f aca="false">IF(G1881&gt;H1881,G1881,H1881)*$H$1775</f>
        <v>35492.8757234361</v>
      </c>
      <c r="J1881" s="931"/>
      <c r="K1881" s="937"/>
    </row>
    <row r="1882" customFormat="false" ht="15.75" hidden="true" customHeight="false" outlineLevel="0" collapsed="false">
      <c r="A1882" s="937"/>
      <c r="B1882" s="1054" t="s">
        <v>1892</v>
      </c>
      <c r="C1882" s="993" t="s">
        <v>820</v>
      </c>
      <c r="D1882" s="992" t="n">
        <f aca="false">отделка!J653</f>
        <v>0</v>
      </c>
      <c r="E1882" s="986" t="n">
        <f aca="false">отделка!K653</f>
        <v>100</v>
      </c>
      <c r="F1882" s="986"/>
      <c r="G1882" s="967" t="n">
        <f aca="false">IF(F1882&gt;0,D1882*F1882,E1882*D1882)</f>
        <v>0</v>
      </c>
      <c r="H1882" s="970" t="n">
        <f aca="false">D1882*E1882*$H$1857</f>
        <v>0</v>
      </c>
      <c r="I1882" s="936" t="n">
        <f aca="false">IF(G1882&gt;H1882,G1882,H1882)*$H$1775</f>
        <v>0</v>
      </c>
      <c r="J1882" s="931"/>
      <c r="K1882" s="937"/>
    </row>
    <row r="1883" customFormat="false" ht="15.75" hidden="true" customHeight="false" outlineLevel="0" collapsed="false">
      <c r="A1883" s="937"/>
      <c r="B1883" s="993" t="s">
        <v>848</v>
      </c>
      <c r="C1883" s="993"/>
      <c r="D1883" s="993"/>
      <c r="E1883" s="993"/>
      <c r="F1883" s="993"/>
      <c r="G1883" s="967" t="n">
        <f aca="false">IF(F1883&gt;0,D1883*F1883,E1883*D1883)</f>
        <v>0</v>
      </c>
      <c r="H1883" s="1051" t="n">
        <f aca="false">IF(SUM(H1884:H1888)&gt;0,1,0)</f>
        <v>0</v>
      </c>
      <c r="I1883" s="936" t="n">
        <f aca="false">IF(G1883&gt;H1883,G1883,H1883)*$H$1775</f>
        <v>0</v>
      </c>
      <c r="J1883" s="931"/>
      <c r="K1883" s="937"/>
    </row>
    <row r="1884" customFormat="false" ht="15.75" hidden="true" customHeight="false" outlineLevel="0" collapsed="false">
      <c r="A1884" s="937"/>
      <c r="B1884" s="995" t="s">
        <v>2180</v>
      </c>
      <c r="C1884" s="993" t="s">
        <v>820</v>
      </c>
      <c r="D1884" s="992" t="n">
        <f aca="false">отделка!J655</f>
        <v>0</v>
      </c>
      <c r="E1884" s="986" t="n">
        <f aca="false">отделка!K655</f>
        <v>30</v>
      </c>
      <c r="F1884" s="986"/>
      <c r="G1884" s="967" t="n">
        <f aca="false">IF(F1884&gt;0,D1884*F1884,E1884*D1884)</f>
        <v>0</v>
      </c>
      <c r="H1884" s="970" t="n">
        <f aca="false">D1884*E1884*$H$1857</f>
        <v>0</v>
      </c>
      <c r="I1884" s="936" t="n">
        <f aca="false">IF(G1884&gt;H1884,G1884,H1884)*$H$1775</f>
        <v>0</v>
      </c>
      <c r="J1884" s="931"/>
      <c r="K1884" s="937"/>
    </row>
    <row r="1885" customFormat="false" ht="15.75" hidden="true" customHeight="false" outlineLevel="0" collapsed="false">
      <c r="A1885" s="937"/>
      <c r="B1885" s="995" t="s">
        <v>1906</v>
      </c>
      <c r="C1885" s="993" t="s">
        <v>820</v>
      </c>
      <c r="D1885" s="992" t="n">
        <f aca="false">отделка!J656</f>
        <v>0</v>
      </c>
      <c r="E1885" s="986" t="n">
        <f aca="false">отделка!K656</f>
        <v>150</v>
      </c>
      <c r="F1885" s="986"/>
      <c r="G1885" s="967" t="n">
        <f aca="false">IF(F1885&gt;0,D1885*F1885,E1885*D1885)</f>
        <v>0</v>
      </c>
      <c r="H1885" s="970" t="n">
        <f aca="false">D1885*E1885*$H$1857</f>
        <v>0</v>
      </c>
      <c r="I1885" s="936" t="n">
        <f aca="false">IF(G1885&gt;H1885,G1885,H1885)*$H$1775</f>
        <v>0</v>
      </c>
      <c r="J1885" s="931"/>
      <c r="K1885" s="937"/>
    </row>
    <row r="1886" customFormat="false" ht="15.75" hidden="true" customHeight="false" outlineLevel="0" collapsed="false">
      <c r="A1886" s="937"/>
      <c r="B1886" s="995" t="s">
        <v>1907</v>
      </c>
      <c r="C1886" s="993" t="s">
        <v>820</v>
      </c>
      <c r="D1886" s="992" t="n">
        <f aca="false">отделка!J657</f>
        <v>0</v>
      </c>
      <c r="E1886" s="986" t="n">
        <f aca="false">отделка!K657</f>
        <v>150</v>
      </c>
      <c r="F1886" s="986"/>
      <c r="G1886" s="967" t="n">
        <f aca="false">IF(F1886&gt;0,D1886*F1886,E1886*D1886)</f>
        <v>0</v>
      </c>
      <c r="H1886" s="970" t="n">
        <f aca="false">D1886*E1886*$H$1857</f>
        <v>0</v>
      </c>
      <c r="I1886" s="936" t="n">
        <f aca="false">IF(G1886&gt;H1886,G1886,H1886)*$H$1775</f>
        <v>0</v>
      </c>
      <c r="J1886" s="931"/>
      <c r="K1886" s="937"/>
    </row>
    <row r="1887" customFormat="false" ht="15.75" hidden="true" customHeight="false" outlineLevel="0" collapsed="false">
      <c r="A1887" s="937"/>
      <c r="B1887" s="995" t="s">
        <v>1909</v>
      </c>
      <c r="C1887" s="993" t="s">
        <v>15</v>
      </c>
      <c r="D1887" s="992" t="n">
        <f aca="false">отделка!J658</f>
        <v>0</v>
      </c>
      <c r="E1887" s="986" t="n">
        <f aca="false">отделка!K658</f>
        <v>150</v>
      </c>
      <c r="F1887" s="986"/>
      <c r="G1887" s="967" t="n">
        <f aca="false">IF(F1887&gt;0,D1887*F1887,E1887*D1887)</f>
        <v>0</v>
      </c>
      <c r="H1887" s="970" t="n">
        <f aca="false">D1887*E1887*$H$1857</f>
        <v>0</v>
      </c>
      <c r="I1887" s="936" t="n">
        <f aca="false">IF(G1887&gt;H1887,G1887,H1887)*$H$1775</f>
        <v>0</v>
      </c>
      <c r="J1887" s="931"/>
      <c r="K1887" s="937"/>
    </row>
    <row r="1888" customFormat="false" ht="15.75" hidden="true" customHeight="false" outlineLevel="0" collapsed="false">
      <c r="A1888" s="937"/>
      <c r="B1888" s="995" t="s">
        <v>1910</v>
      </c>
      <c r="C1888" s="993" t="s">
        <v>820</v>
      </c>
      <c r="D1888" s="992" t="n">
        <f aca="false">отделка!J659</f>
        <v>0</v>
      </c>
      <c r="E1888" s="986" t="n">
        <f aca="false">отделка!K659</f>
        <v>600</v>
      </c>
      <c r="F1888" s="986"/>
      <c r="G1888" s="967" t="n">
        <f aca="false">IF(F1888&gt;0,D1888*F1888,E1888*D1888)</f>
        <v>0</v>
      </c>
      <c r="H1888" s="970" t="n">
        <f aca="false">D1888*E1888*$H$1857</f>
        <v>0</v>
      </c>
      <c r="I1888" s="936" t="n">
        <f aca="false">IF(G1888&gt;H1888,G1888,H1888)*$H$1775</f>
        <v>0</v>
      </c>
      <c r="J1888" s="931"/>
      <c r="K1888" s="937"/>
    </row>
    <row r="1889" customFormat="false" ht="15.75" hidden="true" customHeight="false" outlineLevel="0" collapsed="false">
      <c r="A1889" s="937"/>
      <c r="B1889" s="993" t="s">
        <v>852</v>
      </c>
      <c r="C1889" s="993"/>
      <c r="D1889" s="993"/>
      <c r="E1889" s="993"/>
      <c r="F1889" s="993"/>
      <c r="G1889" s="967" t="n">
        <f aca="false">IF(F1889&gt;0,D1889*F1889,E1889*D1889)</f>
        <v>0</v>
      </c>
      <c r="H1889" s="1051" t="n">
        <f aca="false">IF(SUM(H1890:H1895)&gt;0,1,0)</f>
        <v>0</v>
      </c>
      <c r="I1889" s="936" t="n">
        <f aca="false">IF(G1889&gt;H1889,G1889,H1889)*$H$1775</f>
        <v>0</v>
      </c>
      <c r="J1889" s="931"/>
      <c r="K1889" s="937"/>
    </row>
    <row r="1890" customFormat="false" ht="15.75" hidden="true" customHeight="false" outlineLevel="0" collapsed="false">
      <c r="A1890" s="937"/>
      <c r="B1890" s="995" t="s">
        <v>1914</v>
      </c>
      <c r="C1890" s="993" t="s">
        <v>820</v>
      </c>
      <c r="D1890" s="992" t="n">
        <f aca="false">отделка!J661</f>
        <v>0</v>
      </c>
      <c r="E1890" s="986" t="n">
        <f aca="false">отделка!K661</f>
        <v>600</v>
      </c>
      <c r="F1890" s="986"/>
      <c r="G1890" s="967" t="n">
        <f aca="false">IF(F1890&gt;0,D1890*F1890,E1890*D1890)</f>
        <v>0</v>
      </c>
      <c r="H1890" s="970" t="n">
        <f aca="false">D1890*E1890*$H$1857</f>
        <v>0</v>
      </c>
      <c r="I1890" s="936" t="n">
        <f aca="false">IF(G1890&gt;H1890,G1890,H1890)*$H$1775</f>
        <v>0</v>
      </c>
      <c r="J1890" s="931"/>
      <c r="K1890" s="937"/>
    </row>
    <row r="1891" customFormat="false" ht="15.75" hidden="true" customHeight="false" outlineLevel="0" collapsed="false">
      <c r="A1891" s="937"/>
      <c r="B1891" s="995" t="s">
        <v>1915</v>
      </c>
      <c r="C1891" s="993" t="s">
        <v>820</v>
      </c>
      <c r="D1891" s="992" t="n">
        <f aca="false">отделка!J662</f>
        <v>0</v>
      </c>
      <c r="E1891" s="986" t="n">
        <f aca="false">отделка!K662</f>
        <v>600</v>
      </c>
      <c r="F1891" s="986"/>
      <c r="G1891" s="967" t="n">
        <f aca="false">IF(F1891&gt;0,D1891*F1891,E1891*D1891)</f>
        <v>0</v>
      </c>
      <c r="H1891" s="970" t="n">
        <f aca="false">D1891*E1891*$H$1857</f>
        <v>0</v>
      </c>
      <c r="I1891" s="936" t="n">
        <f aca="false">IF(G1891&gt;H1891,G1891,H1891)*$H$1775</f>
        <v>0</v>
      </c>
      <c r="J1891" s="931"/>
      <c r="K1891" s="937"/>
    </row>
    <row r="1892" customFormat="false" ht="15.75" hidden="true" customHeight="false" outlineLevel="0" collapsed="false">
      <c r="A1892" s="937"/>
      <c r="B1892" s="995" t="s">
        <v>1916</v>
      </c>
      <c r="C1892" s="993" t="s">
        <v>820</v>
      </c>
      <c r="D1892" s="992" t="n">
        <f aca="false">отделка!J663</f>
        <v>0</v>
      </c>
      <c r="E1892" s="986" t="n">
        <f aca="false">отделка!K663</f>
        <v>600</v>
      </c>
      <c r="F1892" s="986"/>
      <c r="G1892" s="967" t="n">
        <f aca="false">IF(F1892&gt;0,D1892*F1892,E1892*D1892)</f>
        <v>0</v>
      </c>
      <c r="H1892" s="970" t="n">
        <f aca="false">D1892*E1892*$H$1857</f>
        <v>0</v>
      </c>
      <c r="I1892" s="936" t="n">
        <f aca="false">IF(G1892&gt;H1892,G1892,H1892)*$H$1775</f>
        <v>0</v>
      </c>
      <c r="J1892" s="931"/>
      <c r="K1892" s="937"/>
    </row>
    <row r="1893" customFormat="false" ht="15.75" hidden="true" customHeight="false" outlineLevel="0" collapsed="false">
      <c r="A1893" s="937"/>
      <c r="B1893" s="995" t="s">
        <v>2181</v>
      </c>
      <c r="C1893" s="993" t="s">
        <v>820</v>
      </c>
      <c r="D1893" s="992" t="n">
        <f aca="false">отделка!J664</f>
        <v>0</v>
      </c>
      <c r="E1893" s="986" t="n">
        <f aca="false">отделка!K664</f>
        <v>150</v>
      </c>
      <c r="F1893" s="986"/>
      <c r="G1893" s="967" t="n">
        <f aca="false">IF(F1893&gt;0,D1893*F1893,E1893*D1893)</f>
        <v>0</v>
      </c>
      <c r="H1893" s="970" t="n">
        <f aca="false">D1893*E1893*$H$1857</f>
        <v>0</v>
      </c>
      <c r="I1893" s="936" t="n">
        <f aca="false">IF(G1893&gt;H1893,G1893,H1893)*$H$1775</f>
        <v>0</v>
      </c>
      <c r="J1893" s="931"/>
      <c r="K1893" s="937"/>
    </row>
    <row r="1894" customFormat="false" ht="15.75" hidden="true" customHeight="false" outlineLevel="0" collapsed="false">
      <c r="A1894" s="937"/>
      <c r="B1894" s="995" t="s">
        <v>2182</v>
      </c>
      <c r="C1894" s="993" t="s">
        <v>820</v>
      </c>
      <c r="D1894" s="992" t="n">
        <f aca="false">отделка!J665</f>
        <v>0</v>
      </c>
      <c r="E1894" s="986" t="n">
        <f aca="false">отделка!K665</f>
        <v>150</v>
      </c>
      <c r="F1894" s="986"/>
      <c r="G1894" s="967" t="n">
        <f aca="false">IF(F1894&gt;0,D1894*F1894,E1894*D1894)</f>
        <v>0</v>
      </c>
      <c r="H1894" s="970" t="n">
        <f aca="false">D1894*E1894*$H$1857</f>
        <v>0</v>
      </c>
      <c r="I1894" s="936" t="n">
        <f aca="false">IF(G1894&gt;H1894,G1894,H1894)*$H$1775</f>
        <v>0</v>
      </c>
      <c r="J1894" s="931"/>
      <c r="K1894" s="937"/>
    </row>
    <row r="1895" customFormat="false" ht="15.75" hidden="true" customHeight="false" outlineLevel="0" collapsed="false">
      <c r="A1895" s="937"/>
      <c r="B1895" s="995" t="s">
        <v>1903</v>
      </c>
      <c r="C1895" s="993" t="s">
        <v>820</v>
      </c>
      <c r="D1895" s="992" t="n">
        <f aca="false">отделка!J666</f>
        <v>0</v>
      </c>
      <c r="E1895" s="986" t="n">
        <f aca="false">отделка!K666</f>
        <v>300</v>
      </c>
      <c r="F1895" s="986"/>
      <c r="G1895" s="967" t="n">
        <f aca="false">IF(F1895&gt;0,D1895*F1895,E1895*D1895)</f>
        <v>0</v>
      </c>
      <c r="H1895" s="970" t="n">
        <f aca="false">D1895*E1895*$H$1857</f>
        <v>0</v>
      </c>
      <c r="I1895" s="936" t="n">
        <f aca="false">IF(G1895&gt;H1895,G1895,H1895)*$H$1775</f>
        <v>0</v>
      </c>
      <c r="J1895" s="931"/>
      <c r="K1895" s="937"/>
    </row>
    <row r="1896" customFormat="false" ht="15.75" hidden="true" customHeight="false" outlineLevel="0" collapsed="false">
      <c r="A1896" s="937"/>
      <c r="B1896" s="993" t="s">
        <v>1921</v>
      </c>
      <c r="C1896" s="993"/>
      <c r="D1896" s="993"/>
      <c r="E1896" s="993"/>
      <c r="F1896" s="993"/>
      <c r="G1896" s="967" t="n">
        <f aca="false">IF(F1896&gt;0,D1896*F1896,E1896*D1896)</f>
        <v>0</v>
      </c>
      <c r="H1896" s="1051" t="n">
        <f aca="false">IF(SUM(H1897:H1901)&gt;0,1,0)</f>
        <v>0</v>
      </c>
      <c r="I1896" s="936" t="n">
        <f aca="false">IF(G1896&gt;H1896,G1896,H1896)*$H$1775</f>
        <v>0</v>
      </c>
      <c r="J1896" s="931"/>
      <c r="K1896" s="937"/>
    </row>
    <row r="1897" customFormat="false" ht="15.75" hidden="true" customHeight="false" outlineLevel="0" collapsed="false">
      <c r="A1897" s="937"/>
      <c r="B1897" s="995" t="s">
        <v>2290</v>
      </c>
      <c r="C1897" s="993" t="s">
        <v>48</v>
      </c>
      <c r="D1897" s="992" t="n">
        <f aca="false">отделка!J668</f>
        <v>0</v>
      </c>
      <c r="E1897" s="986" t="n">
        <f aca="false">отделка!K668</f>
        <v>1200</v>
      </c>
      <c r="F1897" s="986"/>
      <c r="G1897" s="967" t="n">
        <f aca="false">IF(F1897&gt;0,D1897*F1897,E1897*D1897)</f>
        <v>0</v>
      </c>
      <c r="H1897" s="970" t="n">
        <f aca="false">D1897*E1897*$H$1857</f>
        <v>0</v>
      </c>
      <c r="I1897" s="936" t="n">
        <f aca="false">IF(G1897&gt;H1897,G1897,H1897)*$H$1775</f>
        <v>0</v>
      </c>
      <c r="J1897" s="931"/>
      <c r="K1897" s="937"/>
    </row>
    <row r="1898" customFormat="false" ht="15.75" hidden="true" customHeight="false" outlineLevel="0" collapsed="false">
      <c r="A1898" s="937"/>
      <c r="B1898" s="995" t="s">
        <v>2185</v>
      </c>
      <c r="C1898" s="993" t="s">
        <v>48</v>
      </c>
      <c r="D1898" s="992" t="n">
        <f aca="false">отделка!J669</f>
        <v>0</v>
      </c>
      <c r="E1898" s="986" t="n">
        <f aca="false">отделка!K669</f>
        <v>250</v>
      </c>
      <c r="F1898" s="986"/>
      <c r="G1898" s="967" t="n">
        <f aca="false">IF(F1898&gt;0,D1898*F1898,E1898*D1898)</f>
        <v>0</v>
      </c>
      <c r="H1898" s="970" t="n">
        <f aca="false">D1898*E1898*$H$1857</f>
        <v>0</v>
      </c>
      <c r="I1898" s="936" t="n">
        <f aca="false">IF(G1898&gt;H1898,G1898,H1898)*$H$1775</f>
        <v>0</v>
      </c>
      <c r="J1898" s="931"/>
      <c r="K1898" s="937"/>
    </row>
    <row r="1899" customFormat="false" ht="15.75" hidden="true" customHeight="false" outlineLevel="0" collapsed="false">
      <c r="A1899" s="937"/>
      <c r="B1899" s="995" t="s">
        <v>2186</v>
      </c>
      <c r="C1899" s="993" t="s">
        <v>48</v>
      </c>
      <c r="D1899" s="992" t="n">
        <f aca="false">отделка!J670</f>
        <v>0</v>
      </c>
      <c r="E1899" s="986" t="n">
        <f aca="false">отделка!K670</f>
        <v>250</v>
      </c>
      <c r="F1899" s="986"/>
      <c r="G1899" s="967" t="n">
        <f aca="false">IF(F1899&gt;0,D1899*F1899,E1899*D1899)</f>
        <v>0</v>
      </c>
      <c r="H1899" s="970" t="n">
        <f aca="false">D1899*E1899*$H$1857</f>
        <v>0</v>
      </c>
      <c r="I1899" s="936" t="n">
        <f aca="false">IF(G1899&gt;H1899,G1899,H1899)*$H$1775</f>
        <v>0</v>
      </c>
      <c r="J1899" s="931"/>
      <c r="K1899" s="937"/>
    </row>
    <row r="1900" customFormat="false" ht="15.75" hidden="true" customHeight="false" outlineLevel="0" collapsed="false">
      <c r="A1900" s="937"/>
      <c r="B1900" s="995" t="s">
        <v>2187</v>
      </c>
      <c r="C1900" s="993" t="s">
        <v>48</v>
      </c>
      <c r="D1900" s="992" t="n">
        <f aca="false">отделка!J671</f>
        <v>0</v>
      </c>
      <c r="E1900" s="986" t="n">
        <f aca="false">отделка!K671</f>
        <v>100</v>
      </c>
      <c r="F1900" s="986"/>
      <c r="G1900" s="967" t="n">
        <f aca="false">IF(F1900&gt;0,D1900*F1900,E1900*D1900)</f>
        <v>0</v>
      </c>
      <c r="H1900" s="970" t="n">
        <f aca="false">D1900*E1900*$H$1857</f>
        <v>0</v>
      </c>
      <c r="I1900" s="936" t="n">
        <f aca="false">IF(G1900&gt;H1900,G1900,H1900)*$H$1775</f>
        <v>0</v>
      </c>
      <c r="J1900" s="931"/>
      <c r="K1900" s="937"/>
    </row>
    <row r="1901" customFormat="false" ht="15.75" hidden="true" customHeight="false" outlineLevel="0" collapsed="false">
      <c r="A1901" s="937"/>
      <c r="B1901" s="995" t="s">
        <v>2188</v>
      </c>
      <c r="C1901" s="993" t="s">
        <v>48</v>
      </c>
      <c r="D1901" s="992" t="n">
        <f aca="false">отделка!J672</f>
        <v>0</v>
      </c>
      <c r="E1901" s="986" t="n">
        <f aca="false">отделка!K672</f>
        <v>80</v>
      </c>
      <c r="F1901" s="986"/>
      <c r="G1901" s="967" t="n">
        <f aca="false">IF(F1901&gt;0,D1901*F1901,E1901*D1901)</f>
        <v>0</v>
      </c>
      <c r="H1901" s="970" t="n">
        <f aca="false">D1901*E1901*$H$1857</f>
        <v>0</v>
      </c>
      <c r="I1901" s="936" t="n">
        <f aca="false">IF(G1901&gt;H1901,G1901,H1901)*$H$1775</f>
        <v>0</v>
      </c>
      <c r="J1901" s="931"/>
      <c r="K1901" s="937"/>
    </row>
    <row r="1902" customFormat="false" ht="15.75" hidden="false" customHeight="false" outlineLevel="0" collapsed="false">
      <c r="A1902" s="937"/>
      <c r="B1902" s="973" t="s">
        <v>2248</v>
      </c>
      <c r="C1902" s="973"/>
      <c r="D1902" s="973"/>
      <c r="E1902" s="973"/>
      <c r="F1902" s="973"/>
      <c r="G1902" s="970" t="n">
        <f aca="false">SUM(G1859:G1901)*H1857</f>
        <v>140796.875723436</v>
      </c>
      <c r="H1902" s="970" t="n">
        <f aca="false">SUM(H1859:H1901)</f>
        <v>140797.875723436</v>
      </c>
      <c r="I1902" s="936" t="n">
        <f aca="false">IF(G1902&gt;H1902,G1902,H1902)*$H$1775</f>
        <v>140797.875723436</v>
      </c>
      <c r="J1902" s="931"/>
      <c r="K1902" s="937"/>
    </row>
    <row r="1903" customFormat="false" ht="21" hidden="true" customHeight="false" outlineLevel="0" collapsed="false">
      <c r="A1903" s="937"/>
      <c r="B1903" s="989" t="s">
        <v>866</v>
      </c>
      <c r="C1903" s="989"/>
      <c r="D1903" s="989"/>
      <c r="E1903" s="989"/>
      <c r="F1903" s="989"/>
      <c r="G1903" s="977"/>
      <c r="H1903" s="1007" t="n">
        <f aca="false">VLOOKUP('Ввод данных'!F1378,связи1!A2:B3,2,0)</f>
        <v>0</v>
      </c>
      <c r="I1903" s="1026" t="n">
        <f aca="false">H1903</f>
        <v>0</v>
      </c>
      <c r="J1903" s="931"/>
      <c r="K1903" s="937"/>
    </row>
    <row r="1904" customFormat="false" ht="15.75" hidden="true" customHeight="false" outlineLevel="0" collapsed="false">
      <c r="A1904" s="931"/>
      <c r="B1904" s="1008" t="s">
        <v>2246</v>
      </c>
      <c r="C1904" s="1008"/>
      <c r="D1904" s="1008"/>
      <c r="E1904" s="1008"/>
      <c r="F1904" s="1008"/>
      <c r="G1904" s="977"/>
      <c r="H1904" s="1009" t="n">
        <f aca="false">H1903</f>
        <v>0</v>
      </c>
      <c r="I1904" s="1026" t="n">
        <f aca="false">H1904</f>
        <v>0</v>
      </c>
      <c r="J1904" s="931"/>
      <c r="K1904" s="937"/>
    </row>
    <row r="1905" customFormat="false" ht="15.75" hidden="true" customHeight="false" outlineLevel="0" collapsed="false">
      <c r="A1905" s="931"/>
      <c r="B1905" s="992" t="str">
        <f aca="false">инженерка!A366</f>
        <v>Кабель ВВГнг(А)-LS 3х2,5 0,66</v>
      </c>
      <c r="C1905" s="993" t="str">
        <f aca="false">инженерка!B366</f>
        <v>м.п.</v>
      </c>
      <c r="D1905" s="992" t="n">
        <f aca="false">инженерка!C366</f>
        <v>180.64</v>
      </c>
      <c r="E1905" s="992" t="n">
        <f aca="false">инженерка!D366</f>
        <v>47.36</v>
      </c>
      <c r="F1905" s="992"/>
      <c r="G1905" s="967" t="n">
        <f aca="false">IF(F1905&gt;0,D1905*F1905,E1905*D1905)</f>
        <v>8555.1104</v>
      </c>
      <c r="H1905" s="970" t="n">
        <f aca="false">D1905*E1905*$H$1904</f>
        <v>0</v>
      </c>
      <c r="I1905" s="936" t="n">
        <f aca="false">IF(G1905&gt;H1905,G1905,H1905)*$H$1903</f>
        <v>0</v>
      </c>
      <c r="J1905" s="931"/>
      <c r="K1905" s="937"/>
    </row>
    <row r="1906" customFormat="false" ht="15.75" hidden="true" customHeight="false" outlineLevel="0" collapsed="false">
      <c r="A1906" s="937"/>
      <c r="B1906" s="992" t="str">
        <f aca="false">инженерка!A367</f>
        <v>Труба ПВХ гофрировонная гибкая 20</v>
      </c>
      <c r="C1906" s="993" t="str">
        <f aca="false">инженерка!B367</f>
        <v>м.п.</v>
      </c>
      <c r="D1906" s="992" t="n">
        <f aca="false">инженерка!C367</f>
        <v>198.704</v>
      </c>
      <c r="E1906" s="992" t="n">
        <f aca="false">инженерка!D367</f>
        <v>5.02</v>
      </c>
      <c r="F1906" s="992"/>
      <c r="G1906" s="967" t="n">
        <f aca="false">IF(F1906&gt;0,D1906*F1906,E1906*D1906)</f>
        <v>997.49408</v>
      </c>
      <c r="H1906" s="970" t="n">
        <f aca="false">D1906*E1906*$H$1904</f>
        <v>0</v>
      </c>
      <c r="I1906" s="936" t="n">
        <f aca="false">IF(G1906&gt;H1906,G1906,H1906)*$H$1903</f>
        <v>0</v>
      </c>
      <c r="J1906" s="931"/>
      <c r="K1906" s="937"/>
    </row>
    <row r="1907" customFormat="false" ht="15.75" hidden="true" customHeight="false" outlineLevel="0" collapsed="false">
      <c r="A1907" s="937"/>
      <c r="B1907" s="992" t="str">
        <f aca="false">инженерка!A368</f>
        <v>Кабель ВВГнг(А)-LS 3х1,5 0,66</v>
      </c>
      <c r="C1907" s="993" t="str">
        <f aca="false">инженерка!B368</f>
        <v>м.п.</v>
      </c>
      <c r="D1907" s="992" t="n">
        <f aca="false">инженерка!C368</f>
        <v>327.36</v>
      </c>
      <c r="E1907" s="992" t="n">
        <f aca="false">инженерка!D368</f>
        <v>29.81</v>
      </c>
      <c r="F1907" s="992"/>
      <c r="G1907" s="967" t="n">
        <f aca="false">IF(F1907&gt;0,D1907*F1907,E1907*D1907)</f>
        <v>9758.6016</v>
      </c>
      <c r="H1907" s="970" t="n">
        <f aca="false">D1907*E1907*$H$1904</f>
        <v>0</v>
      </c>
      <c r="I1907" s="936" t="n">
        <f aca="false">IF(G1907&gt;H1907,G1907,H1907)*$H$1903</f>
        <v>0</v>
      </c>
      <c r="J1907" s="931"/>
      <c r="K1907" s="937"/>
    </row>
    <row r="1908" customFormat="false" ht="15.75" hidden="true" customHeight="false" outlineLevel="0" collapsed="false">
      <c r="A1908" s="937"/>
      <c r="B1908" s="992" t="str">
        <f aca="false">инженерка!A369</f>
        <v>Труба ПВХ гофрировонная гибкая 25</v>
      </c>
      <c r="C1908" s="993" t="str">
        <f aca="false">инженерка!B369</f>
        <v>м.п.</v>
      </c>
      <c r="D1908" s="992" t="n">
        <f aca="false">инженерка!C369</f>
        <v>360.096</v>
      </c>
      <c r="E1908" s="992" t="n">
        <f aca="false">инженерка!D369</f>
        <v>6.38</v>
      </c>
      <c r="F1908" s="992"/>
      <c r="G1908" s="967" t="n">
        <f aca="false">IF(F1908&gt;0,D1908*F1908,E1908*D1908)</f>
        <v>2297.41248</v>
      </c>
      <c r="H1908" s="970" t="n">
        <f aca="false">D1908*E1908*$H$1904</f>
        <v>0</v>
      </c>
      <c r="I1908" s="936" t="n">
        <f aca="false">IF(G1908&gt;H1908,G1908,H1908)*$H$1903</f>
        <v>0</v>
      </c>
      <c r="J1908" s="931"/>
      <c r="K1908" s="937"/>
    </row>
    <row r="1909" customFormat="false" ht="15.75" hidden="true" customHeight="false" outlineLevel="0" collapsed="false">
      <c r="A1909" s="937"/>
      <c r="B1909" s="992" t="str">
        <f aca="false">инженерка!A370</f>
        <v>Кабель ВВГнг(А)-LS 3х4 0,66</v>
      </c>
      <c r="C1909" s="993" t="str">
        <f aca="false">инженерка!B370</f>
        <v>м.п.</v>
      </c>
      <c r="D1909" s="992" t="n">
        <f aca="false">инженерка!C370</f>
        <v>60</v>
      </c>
      <c r="E1909" s="992" t="n">
        <f aca="false">инженерка!D370</f>
        <v>68</v>
      </c>
      <c r="F1909" s="992"/>
      <c r="G1909" s="967" t="n">
        <f aca="false">IF(F1909&gt;0,D1909*F1909,E1909*D1909)</f>
        <v>4080</v>
      </c>
      <c r="H1909" s="970" t="n">
        <f aca="false">D1909*E1909*$H$1904</f>
        <v>0</v>
      </c>
      <c r="I1909" s="936" t="n">
        <f aca="false">IF(G1909&gt;H1909,G1909,H1909)*$H$1903</f>
        <v>0</v>
      </c>
      <c r="J1909" s="931"/>
      <c r="K1909" s="937"/>
    </row>
    <row r="1910" customFormat="false" ht="15.75" hidden="true" customHeight="false" outlineLevel="0" collapsed="false">
      <c r="A1910" s="937"/>
      <c r="B1910" s="992" t="str">
        <f aca="false">инженерка!A371</f>
        <v>Труба ПВХ гофрировонная гибкая 32</v>
      </c>
      <c r="C1910" s="993" t="str">
        <f aca="false">инженерка!B371</f>
        <v>м.п.</v>
      </c>
      <c r="D1910" s="992" t="n">
        <f aca="false">инженерка!C371</f>
        <v>66</v>
      </c>
      <c r="E1910" s="992" t="n">
        <f aca="false">инженерка!D371</f>
        <v>6.38</v>
      </c>
      <c r="F1910" s="992"/>
      <c r="G1910" s="967" t="n">
        <f aca="false">IF(F1910&gt;0,D1910*F1910,E1910*D1910)</f>
        <v>421.08</v>
      </c>
      <c r="H1910" s="970" t="n">
        <f aca="false">D1910*E1910*$H$1904</f>
        <v>0</v>
      </c>
      <c r="I1910" s="936" t="n">
        <f aca="false">IF(G1910&gt;H1910,G1910,H1910)*$H$1903</f>
        <v>0</v>
      </c>
      <c r="J1910" s="931"/>
      <c r="K1910" s="937"/>
    </row>
    <row r="1911" customFormat="false" ht="15.75" hidden="true" customHeight="false" outlineLevel="0" collapsed="false">
      <c r="A1911" s="937"/>
      <c r="B1911" s="992" t="str">
        <f aca="false">инженерка!A372</f>
        <v>крепления для гофры</v>
      </c>
      <c r="C1911" s="993" t="str">
        <f aca="false">инженерка!B372</f>
        <v>шт</v>
      </c>
      <c r="D1911" s="992" t="n">
        <f aca="false">инженерка!C372</f>
        <v>607</v>
      </c>
      <c r="E1911" s="992" t="n">
        <f aca="false">инженерка!D372</f>
        <v>1</v>
      </c>
      <c r="F1911" s="992"/>
      <c r="G1911" s="967" t="n">
        <f aca="false">IF(F1911&gt;0,D1911*F1911,E1911*D1911)</f>
        <v>607</v>
      </c>
      <c r="H1911" s="970" t="n">
        <f aca="false">D1911*E1911*$H$1904</f>
        <v>0</v>
      </c>
      <c r="I1911" s="936" t="n">
        <f aca="false">IF(G1911&gt;H1911,G1911,H1911)*$H$1903</f>
        <v>0</v>
      </c>
      <c r="J1911" s="931"/>
      <c r="K1911" s="937"/>
    </row>
    <row r="1912" customFormat="false" ht="15.75" hidden="true" customHeight="false" outlineLevel="0" collapsed="false">
      <c r="A1912" s="937"/>
      <c r="B1912" s="992" t="str">
        <f aca="false">инженерка!A373</f>
        <v>саморез для крепления гофры</v>
      </c>
      <c r="C1912" s="993" t="str">
        <f aca="false">инженерка!B373</f>
        <v>шт</v>
      </c>
      <c r="D1912" s="992" t="n">
        <f aca="false">инженерка!C373</f>
        <v>1214</v>
      </c>
      <c r="E1912" s="992" t="n">
        <f aca="false">инженерка!D373</f>
        <v>0.25</v>
      </c>
      <c r="F1912" s="992"/>
      <c r="G1912" s="967" t="n">
        <f aca="false">IF(F1912&gt;0,D1912*F1912,E1912*D1912)</f>
        <v>303.5</v>
      </c>
      <c r="H1912" s="970" t="n">
        <f aca="false">D1912*E1912*$H$1904</f>
        <v>0</v>
      </c>
      <c r="I1912" s="936" t="n">
        <f aca="false">IF(G1912&gt;H1912,G1912,H1912)*$H$1903</f>
        <v>0</v>
      </c>
      <c r="J1912" s="931"/>
      <c r="K1912" s="937"/>
    </row>
    <row r="1913" customFormat="false" ht="15.75" hidden="true" customHeight="false" outlineLevel="0" collapsed="false">
      <c r="A1913" s="937"/>
      <c r="B1913" s="992" t="str">
        <f aca="false">инженерка!A374</f>
        <v>Коробка распределения</v>
      </c>
      <c r="C1913" s="993" t="str">
        <f aca="false">инженерка!B374</f>
        <v>шт</v>
      </c>
      <c r="D1913" s="992" t="n">
        <f aca="false">инженерка!C374</f>
        <v>12</v>
      </c>
      <c r="E1913" s="992" t="n">
        <f aca="false">инженерка!D374</f>
        <v>20</v>
      </c>
      <c r="F1913" s="992"/>
      <c r="G1913" s="967" t="n">
        <f aca="false">IF(F1913&gt;0,D1913*F1913,E1913*D1913)</f>
        <v>240</v>
      </c>
      <c r="H1913" s="970" t="n">
        <f aca="false">D1913*E1913*$H$1904</f>
        <v>0</v>
      </c>
      <c r="I1913" s="936" t="n">
        <f aca="false">IF(G1913&gt;H1913,G1913,H1913)*$H$1903</f>
        <v>0</v>
      </c>
      <c r="J1913" s="931"/>
      <c r="K1913" s="937"/>
    </row>
    <row r="1914" customFormat="false" ht="15.75" hidden="true" customHeight="false" outlineLevel="0" collapsed="false">
      <c r="A1914" s="937"/>
      <c r="B1914" s="992" t="str">
        <f aca="false">инженерка!A375</f>
        <v>Вага</v>
      </c>
      <c r="C1914" s="993" t="str">
        <f aca="false">инженерка!B375</f>
        <v>шт</v>
      </c>
      <c r="D1914" s="992" t="n">
        <f aca="false">инженерка!C375</f>
        <v>480</v>
      </c>
      <c r="E1914" s="992" t="n">
        <f aca="false">инженерка!D375</f>
        <v>10</v>
      </c>
      <c r="F1914" s="992"/>
      <c r="G1914" s="967" t="n">
        <f aca="false">IF(F1914&gt;0,D1914*F1914,E1914*D1914)</f>
        <v>4800</v>
      </c>
      <c r="H1914" s="970" t="n">
        <f aca="false">D1914*E1914*$H$1904</f>
        <v>0</v>
      </c>
      <c r="I1914" s="936" t="n">
        <f aca="false">IF(G1914&gt;H1914,G1914,H1914)*$H$1903</f>
        <v>0</v>
      </c>
      <c r="J1914" s="931"/>
      <c r="K1914" s="937"/>
    </row>
    <row r="1915" customFormat="false" ht="15.75" hidden="true" customHeight="false" outlineLevel="0" collapsed="false">
      <c r="A1915" s="937"/>
      <c r="B1915" s="992" t="str">
        <f aca="false">инженерка!A376</f>
        <v>Щиток электрический</v>
      </c>
      <c r="C1915" s="993" t="str">
        <f aca="false">инженерка!B376</f>
        <v>шт</v>
      </c>
      <c r="D1915" s="992" t="n">
        <f aca="false">инженерка!C376</f>
        <v>1</v>
      </c>
      <c r="E1915" s="992" t="n">
        <f aca="false">инженерка!D376</f>
        <v>1200</v>
      </c>
      <c r="F1915" s="992"/>
      <c r="G1915" s="967" t="n">
        <f aca="false">IF(F1915&gt;0,D1915*F1915,E1915*D1915)</f>
        <v>1200</v>
      </c>
      <c r="H1915" s="970" t="n">
        <f aca="false">D1915*E1915*$H$1904</f>
        <v>0</v>
      </c>
      <c r="I1915" s="936" t="n">
        <f aca="false">IF(G1915&gt;H1915,G1915,H1915)*$H$1903</f>
        <v>0</v>
      </c>
      <c r="J1915" s="931"/>
      <c r="K1915" s="937"/>
    </row>
    <row r="1916" customFormat="false" ht="15.75" hidden="true" customHeight="false" outlineLevel="0" collapsed="false">
      <c r="A1916" s="937"/>
      <c r="B1916" s="992" t="str">
        <f aca="false">инженерка!A377</f>
        <v>автомат, 3 полюса, 32амп</v>
      </c>
      <c r="C1916" s="993" t="str">
        <f aca="false">инженерка!B377</f>
        <v>шт</v>
      </c>
      <c r="D1916" s="992" t="n">
        <f aca="false">инженерка!C377</f>
        <v>2</v>
      </c>
      <c r="E1916" s="992" t="n">
        <f aca="false">инженерка!D377</f>
        <v>180</v>
      </c>
      <c r="F1916" s="992"/>
      <c r="G1916" s="967" t="n">
        <f aca="false">IF(F1916&gt;0,D1916*F1916,E1916*D1916)</f>
        <v>360</v>
      </c>
      <c r="H1916" s="970" t="n">
        <f aca="false">D1916*E1916*$H$1904</f>
        <v>0</v>
      </c>
      <c r="I1916" s="936" t="n">
        <f aca="false">IF(G1916&gt;H1916,G1916,H1916)*$H$1903</f>
        <v>0</v>
      </c>
      <c r="J1916" s="931"/>
      <c r="K1916" s="937"/>
    </row>
    <row r="1917" customFormat="false" ht="15.75" hidden="true" customHeight="false" outlineLevel="0" collapsed="false">
      <c r="A1917" s="937"/>
      <c r="B1917" s="992" t="str">
        <f aca="false">инженерка!A378</f>
        <v>автомат, 1 полюс, 16амп</v>
      </c>
      <c r="C1917" s="993" t="str">
        <f aca="false">инженерка!B378</f>
        <v>шт</v>
      </c>
      <c r="D1917" s="992" t="n">
        <f aca="false">инженерка!C378</f>
        <v>20</v>
      </c>
      <c r="E1917" s="992" t="n">
        <f aca="false">инженерка!D378</f>
        <v>70</v>
      </c>
      <c r="F1917" s="992"/>
      <c r="G1917" s="967" t="n">
        <f aca="false">IF(F1917&gt;0,D1917*F1917,E1917*D1917)</f>
        <v>1400</v>
      </c>
      <c r="H1917" s="970" t="n">
        <f aca="false">D1917*E1917*$H$1904</f>
        <v>0</v>
      </c>
      <c r="I1917" s="936" t="n">
        <f aca="false">IF(G1917&gt;H1917,G1917,H1917)*$H$1903</f>
        <v>0</v>
      </c>
      <c r="J1917" s="931"/>
      <c r="K1917" s="937"/>
    </row>
    <row r="1918" customFormat="false" ht="15.75" hidden="true" customHeight="false" outlineLevel="0" collapsed="false">
      <c r="A1918" s="937"/>
      <c r="B1918" s="992" t="str">
        <f aca="false">инженерка!A379</f>
        <v>автомат, 1 полюс, 25 амп</v>
      </c>
      <c r="C1918" s="993" t="str">
        <f aca="false">инженерка!B379</f>
        <v>шт</v>
      </c>
      <c r="D1918" s="992" t="n">
        <f aca="false">инженерка!C379</f>
        <v>2</v>
      </c>
      <c r="E1918" s="992" t="n">
        <f aca="false">инженерка!D379</f>
        <v>167</v>
      </c>
      <c r="F1918" s="992"/>
      <c r="G1918" s="967" t="n">
        <f aca="false">IF(F1918&gt;0,D1918*F1918,E1918*D1918)</f>
        <v>334</v>
      </c>
      <c r="H1918" s="970" t="n">
        <f aca="false">D1918*E1918*$H$1904</f>
        <v>0</v>
      </c>
      <c r="I1918" s="936" t="n">
        <f aca="false">IF(G1918&gt;H1918,G1918,H1918)*$H$1903</f>
        <v>0</v>
      </c>
      <c r="J1918" s="931"/>
      <c r="K1918" s="937"/>
    </row>
    <row r="1919" customFormat="false" ht="15.75" hidden="true" customHeight="false" outlineLevel="0" collapsed="false">
      <c r="A1919" s="937"/>
      <c r="B1919" s="992" t="str">
        <f aca="false">инженерка!A380</f>
        <v>Коробка электрическая</v>
      </c>
      <c r="C1919" s="993" t="str">
        <f aca="false">инженерка!B380</f>
        <v>шт</v>
      </c>
      <c r="D1919" s="992" t="n">
        <f aca="false">инженерка!C380</f>
        <v>60</v>
      </c>
      <c r="E1919" s="992" t="n">
        <f aca="false">инженерка!D380</f>
        <v>6</v>
      </c>
      <c r="F1919" s="992"/>
      <c r="G1919" s="967" t="n">
        <f aca="false">IF(F1919&gt;0,D1919*F1919,E1919*D1919)</f>
        <v>360</v>
      </c>
      <c r="H1919" s="970" t="n">
        <f aca="false">D1919*E1919*$H$1904</f>
        <v>0</v>
      </c>
      <c r="I1919" s="936" t="n">
        <f aca="false">IF(G1919&gt;H1919,G1919,H1919)*$H$1903</f>
        <v>0</v>
      </c>
      <c r="J1919" s="931"/>
      <c r="K1919" s="937"/>
    </row>
    <row r="1920" customFormat="false" ht="15.75" hidden="true" customHeight="false" outlineLevel="0" collapsed="false">
      <c r="A1920" s="937"/>
      <c r="B1920" s="992" t="str">
        <f aca="false">инженерка!A381</f>
        <v>Розетка 2</v>
      </c>
      <c r="C1920" s="993" t="str">
        <f aca="false">инженерка!B381</f>
        <v>шт</v>
      </c>
      <c r="D1920" s="992" t="n">
        <f aca="false">инженерка!C381</f>
        <v>40</v>
      </c>
      <c r="E1920" s="992" t="n">
        <f aca="false">инженерка!D381</f>
        <v>100</v>
      </c>
      <c r="F1920" s="992"/>
      <c r="G1920" s="967" t="n">
        <f aca="false">IF(F1920&gt;0,D1920*F1920,E1920*D1920)</f>
        <v>4000</v>
      </c>
      <c r="H1920" s="970" t="n">
        <f aca="false">D1920*E1920*$H$1904</f>
        <v>0</v>
      </c>
      <c r="I1920" s="936" t="n">
        <f aca="false">IF(G1920&gt;H1920,G1920,H1920)*$H$1903</f>
        <v>0</v>
      </c>
      <c r="J1920" s="931"/>
      <c r="K1920" s="937"/>
    </row>
    <row r="1921" customFormat="false" ht="15.75" hidden="true" customHeight="false" outlineLevel="0" collapsed="false">
      <c r="A1921" s="937"/>
      <c r="B1921" s="992" t="str">
        <f aca="false">инженерка!A382</f>
        <v>Выключатель 3</v>
      </c>
      <c r="C1921" s="993" t="str">
        <f aca="false">инженерка!B382</f>
        <v>шт</v>
      </c>
      <c r="D1921" s="992" t="n">
        <f aca="false">инженерка!C382</f>
        <v>20</v>
      </c>
      <c r="E1921" s="992" t="n">
        <f aca="false">инженерка!D382</f>
        <v>100</v>
      </c>
      <c r="F1921" s="992"/>
      <c r="G1921" s="967" t="n">
        <f aca="false">IF(F1921&gt;0,D1921*F1921,E1921*D1921)</f>
        <v>2000</v>
      </c>
      <c r="H1921" s="970" t="n">
        <f aca="false">D1921*E1921*$H$1904</f>
        <v>0</v>
      </c>
      <c r="I1921" s="936" t="n">
        <f aca="false">IF(G1921&gt;H1921,G1921,H1921)*$H$1903</f>
        <v>0</v>
      </c>
      <c r="J1921" s="931"/>
      <c r="K1921" s="937"/>
    </row>
    <row r="1922" customFormat="false" ht="15.75" hidden="true" customHeight="false" outlineLevel="0" collapsed="false">
      <c r="A1922" s="937"/>
      <c r="B1922" s="973" t="s">
        <v>2247</v>
      </c>
      <c r="C1922" s="973"/>
      <c r="D1922" s="973"/>
      <c r="E1922" s="973"/>
      <c r="F1922" s="973"/>
      <c r="G1922" s="970" t="n">
        <f aca="false">SUM(G1905:G1921)*H1903</f>
        <v>0</v>
      </c>
      <c r="H1922" s="970" t="n">
        <f aca="false">SUM(H1905:H1921)</f>
        <v>0</v>
      </c>
      <c r="I1922" s="936" t="n">
        <f aca="false">IF(G1922&gt;H1922,G1922,H1922)*$H$1903</f>
        <v>0</v>
      </c>
      <c r="J1922" s="931"/>
      <c r="K1922" s="937"/>
    </row>
    <row r="1923" customFormat="false" ht="15.75" hidden="true" customHeight="false" outlineLevel="0" collapsed="false">
      <c r="A1923" s="937"/>
      <c r="B1923" s="976" t="s">
        <v>2007</v>
      </c>
      <c r="C1923" s="976"/>
      <c r="D1923" s="976"/>
      <c r="E1923" s="976"/>
      <c r="F1923" s="976"/>
      <c r="G1923" s="977"/>
      <c r="H1923" s="994" t="n">
        <f aca="false">H1903</f>
        <v>0</v>
      </c>
      <c r="I1923" s="1026" t="n">
        <f aca="false">H1923</f>
        <v>0</v>
      </c>
      <c r="J1923" s="931"/>
      <c r="K1923" s="937"/>
    </row>
    <row r="1924" customFormat="false" ht="15.75" hidden="true" customHeight="false" outlineLevel="0" collapsed="false">
      <c r="A1924" s="931"/>
      <c r="B1924" s="995" t="str">
        <f aca="false">инженерка!G366</f>
        <v>монтаж кабеля</v>
      </c>
      <c r="C1924" s="1015" t="s">
        <v>15</v>
      </c>
      <c r="D1924" s="992" t="n">
        <f aca="false">инженерка!I366</f>
        <v>568</v>
      </c>
      <c r="E1924" s="1010" t="n">
        <f aca="false">инженерка!J366</f>
        <v>100</v>
      </c>
      <c r="F1924" s="1010"/>
      <c r="G1924" s="967" t="n">
        <f aca="false">IF(F1924&gt;0,D1924*F1924,E1924*D1924)</f>
        <v>56800</v>
      </c>
      <c r="H1924" s="970" t="n">
        <f aca="false">D1924*E1924*$H$1923</f>
        <v>0</v>
      </c>
      <c r="I1924" s="936" t="n">
        <f aca="false">IF(G1924&gt;H1924,G1924,H1924)*$H$1903</f>
        <v>0</v>
      </c>
      <c r="J1924" s="931"/>
      <c r="K1924" s="937"/>
    </row>
    <row r="1925" customFormat="false" ht="15.75" hidden="true" customHeight="false" outlineLevel="0" collapsed="false">
      <c r="A1925" s="937"/>
      <c r="B1925" s="995" t="str">
        <f aca="false">инженерка!G367</f>
        <v>монтаж гофры</v>
      </c>
      <c r="C1925" s="1015" t="s">
        <v>15</v>
      </c>
      <c r="D1925" s="992" t="n">
        <f aca="false">инженерка!I367</f>
        <v>568</v>
      </c>
      <c r="E1925" s="1010" t="n">
        <f aca="false">инженерка!J367</f>
        <v>50</v>
      </c>
      <c r="F1925" s="1010"/>
      <c r="G1925" s="967" t="n">
        <f aca="false">IF(F1925&gt;0,D1925*F1925,E1925*D1925)</f>
        <v>28400</v>
      </c>
      <c r="H1925" s="970" t="n">
        <f aca="false">D1925*E1925*$H$1923</f>
        <v>0</v>
      </c>
      <c r="I1925" s="936" t="n">
        <f aca="false">IF(G1925&gt;H1925,G1925,H1925)*$H$1903</f>
        <v>0</v>
      </c>
      <c r="L1925" s="926"/>
      <c r="M1925" s="926"/>
      <c r="N1925" s="926"/>
    </row>
    <row r="1926" customFormat="false" ht="15.75" hidden="true" customHeight="false" outlineLevel="0" collapsed="false">
      <c r="A1926" s="937"/>
      <c r="B1926" s="995" t="str">
        <f aca="false">инженерка!G368</f>
        <v>монтаж коробок распр</v>
      </c>
      <c r="C1926" s="1015" t="s">
        <v>1485</v>
      </c>
      <c r="D1926" s="992" t="n">
        <f aca="false">инженерка!I368</f>
        <v>12</v>
      </c>
      <c r="E1926" s="1010" t="n">
        <f aca="false">инженерка!J368</f>
        <v>500</v>
      </c>
      <c r="F1926" s="1010"/>
      <c r="G1926" s="967" t="n">
        <f aca="false">IF(F1926&gt;0,D1926*F1926,E1926*D1926)</f>
        <v>6000</v>
      </c>
      <c r="H1926" s="970" t="n">
        <f aca="false">D1926*E1926*$H$1923</f>
        <v>0</v>
      </c>
      <c r="I1926" s="936" t="n">
        <f aca="false">IF(G1926&gt;H1926,G1926,H1926)*$H$1903</f>
        <v>0</v>
      </c>
      <c r="L1926" s="926"/>
      <c r="M1926" s="926"/>
      <c r="N1926" s="926"/>
    </row>
    <row r="1927" customFormat="false" ht="15.75" hidden="true" customHeight="false" outlineLevel="0" collapsed="false">
      <c r="A1927" s="937"/>
      <c r="B1927" s="995" t="str">
        <f aca="false">инженерка!G369</f>
        <v>монтаж коробок роз</v>
      </c>
      <c r="C1927" s="1015" t="s">
        <v>1485</v>
      </c>
      <c r="D1927" s="992" t="n">
        <f aca="false">инженерка!I369</f>
        <v>40</v>
      </c>
      <c r="E1927" s="1010" t="n">
        <f aca="false">инженерка!J369</f>
        <v>200</v>
      </c>
      <c r="F1927" s="1010"/>
      <c r="G1927" s="967" t="n">
        <f aca="false">IF(F1927&gt;0,D1927*F1927,E1927*D1927)</f>
        <v>8000</v>
      </c>
      <c r="H1927" s="970" t="n">
        <f aca="false">D1927*E1927*$H$1923</f>
        <v>0</v>
      </c>
      <c r="I1927" s="936" t="n">
        <f aca="false">IF(G1927&gt;H1927,G1927,H1927)*$H$1903</f>
        <v>0</v>
      </c>
      <c r="L1927" s="926"/>
      <c r="M1927" s="926"/>
      <c r="N1927" s="926"/>
    </row>
    <row r="1928" customFormat="false" ht="15.75" hidden="true" customHeight="false" outlineLevel="0" collapsed="false">
      <c r="A1928" s="937"/>
      <c r="B1928" s="995" t="str">
        <f aca="false">инженерка!G370</f>
        <v>монтаж коробок выкл</v>
      </c>
      <c r="C1928" s="1015" t="s">
        <v>1485</v>
      </c>
      <c r="D1928" s="992" t="n">
        <f aca="false">инженерка!I370</f>
        <v>20</v>
      </c>
      <c r="E1928" s="1010" t="n">
        <f aca="false">инженерка!J370</f>
        <v>200</v>
      </c>
      <c r="F1928" s="1010"/>
      <c r="G1928" s="967" t="n">
        <f aca="false">IF(F1928&gt;0,D1928*F1928,E1928*D1928)</f>
        <v>4000</v>
      </c>
      <c r="H1928" s="970" t="n">
        <f aca="false">D1928*E1928*$H$1923</f>
        <v>0</v>
      </c>
      <c r="I1928" s="936" t="n">
        <f aca="false">IF(G1928&gt;H1928,G1928,H1928)*$H$1903</f>
        <v>0</v>
      </c>
      <c r="L1928" s="926"/>
      <c r="M1928" s="926"/>
      <c r="N1928" s="926"/>
    </row>
    <row r="1929" customFormat="false" ht="15.75" hidden="true" customHeight="false" outlineLevel="0" collapsed="false">
      <c r="A1929" s="937"/>
      <c r="B1929" s="995" t="str">
        <f aca="false">инженерка!G371</f>
        <v>монтаж щитка</v>
      </c>
      <c r="C1929" s="1015" t="s">
        <v>1485</v>
      </c>
      <c r="D1929" s="992" t="n">
        <f aca="false">инженерка!I371</f>
        <v>1</v>
      </c>
      <c r="E1929" s="1010" t="n">
        <f aca="false">инженерка!J371</f>
        <v>6000</v>
      </c>
      <c r="F1929" s="1010"/>
      <c r="G1929" s="967" t="n">
        <f aca="false">IF(F1929&gt;0,D1929*F1929,E1929*D1929)</f>
        <v>6000</v>
      </c>
      <c r="H1929" s="970" t="n">
        <f aca="false">D1929*E1929*$H$1923</f>
        <v>0</v>
      </c>
      <c r="I1929" s="936" t="n">
        <f aca="false">IF(G1929&gt;H1929,G1929,H1929)*$H$1903</f>
        <v>0</v>
      </c>
      <c r="L1929" s="926"/>
      <c r="M1929" s="926"/>
      <c r="N1929" s="926"/>
    </row>
    <row r="1930" customFormat="false" ht="15.75" hidden="true" customHeight="false" outlineLevel="0" collapsed="false">
      <c r="A1930" s="937"/>
      <c r="B1930" s="995" t="str">
        <f aca="false">инженерка!G372</f>
        <v>установка розеток</v>
      </c>
      <c r="C1930" s="1015" t="s">
        <v>1485</v>
      </c>
      <c r="D1930" s="992" t="n">
        <f aca="false">инженерка!I372</f>
        <v>40</v>
      </c>
      <c r="E1930" s="1010" t="n">
        <f aca="false">инженерка!J372</f>
        <v>250</v>
      </c>
      <c r="F1930" s="1010"/>
      <c r="G1930" s="967" t="n">
        <f aca="false">IF(F1930&gt;0,D1930*F1930,E1930*D1930)</f>
        <v>10000</v>
      </c>
      <c r="H1930" s="970" t="n">
        <f aca="false">D1930*E1930*$H$1923</f>
        <v>0</v>
      </c>
      <c r="I1930" s="936" t="n">
        <f aca="false">IF(G1930&gt;H1930,G1930,H1930)*$H$1903</f>
        <v>0</v>
      </c>
      <c r="L1930" s="926"/>
      <c r="M1930" s="926"/>
      <c r="N1930" s="926"/>
    </row>
    <row r="1931" customFormat="false" ht="15.75" hidden="true" customHeight="false" outlineLevel="0" collapsed="false">
      <c r="A1931" s="937"/>
      <c r="B1931" s="995" t="str">
        <f aca="false">инженерка!G373</f>
        <v>установка выключателей</v>
      </c>
      <c r="C1931" s="1015" t="s">
        <v>1485</v>
      </c>
      <c r="D1931" s="992" t="n">
        <f aca="false">инженерка!I373</f>
        <v>20</v>
      </c>
      <c r="E1931" s="1010" t="n">
        <f aca="false">инженерка!J373</f>
        <v>250</v>
      </c>
      <c r="F1931" s="1010"/>
      <c r="G1931" s="967" t="n">
        <f aca="false">IF(F1931&gt;0,D1931*F1931,E1931*D1931)</f>
        <v>5000</v>
      </c>
      <c r="H1931" s="970" t="n">
        <f aca="false">D1931*E1931*$H$1923</f>
        <v>0</v>
      </c>
      <c r="I1931" s="936" t="n">
        <f aca="false">IF(G1931&gt;H1931,G1931,H1931)*$H$1903</f>
        <v>0</v>
      </c>
      <c r="J1931" s="931"/>
      <c r="K1931" s="937"/>
    </row>
    <row r="1932" customFormat="false" ht="15.75" hidden="true" customHeight="false" outlineLevel="0" collapsed="false">
      <c r="A1932" s="937"/>
      <c r="B1932" s="973" t="s">
        <v>2248</v>
      </c>
      <c r="C1932" s="973"/>
      <c r="D1932" s="973"/>
      <c r="E1932" s="973"/>
      <c r="F1932" s="973"/>
      <c r="G1932" s="970" t="n">
        <f aca="false">SUM(G1924:G1931)*H1923</f>
        <v>0</v>
      </c>
      <c r="H1932" s="970" t="n">
        <f aca="false">SUM(H1924:H1931)</f>
        <v>0</v>
      </c>
      <c r="I1932" s="936" t="n">
        <f aca="false">IF(G1932&gt;H1932,G1932,H1932)*$H$1903</f>
        <v>0</v>
      </c>
      <c r="J1932" s="931"/>
      <c r="K1932" s="937"/>
    </row>
    <row r="1933" customFormat="false" ht="21" hidden="true" customHeight="false" outlineLevel="0" collapsed="false">
      <c r="A1933" s="937"/>
      <c r="B1933" s="989" t="s">
        <v>1790</v>
      </c>
      <c r="C1933" s="989"/>
      <c r="D1933" s="989"/>
      <c r="E1933" s="989"/>
      <c r="F1933" s="989"/>
      <c r="G1933" s="977"/>
      <c r="H1933" s="1007" t="n">
        <f aca="false">VLOOKUP('Ввод данных'!F1394,связи1!A2:B3,2,0)</f>
        <v>0</v>
      </c>
      <c r="I1933" s="1026" t="n">
        <f aca="false">H1933</f>
        <v>0</v>
      </c>
      <c r="J1933" s="931"/>
      <c r="K1933" s="937"/>
    </row>
    <row r="1934" customFormat="false" ht="15.75" hidden="true" customHeight="false" outlineLevel="0" collapsed="false">
      <c r="A1934" s="931"/>
      <c r="B1934" s="1008" t="s">
        <v>2246</v>
      </c>
      <c r="C1934" s="1008"/>
      <c r="D1934" s="1008"/>
      <c r="E1934" s="1008"/>
      <c r="F1934" s="1008"/>
      <c r="G1934" s="977"/>
      <c r="H1934" s="1009" t="n">
        <f aca="false">H1933</f>
        <v>0</v>
      </c>
      <c r="I1934" s="1026" t="n">
        <f aca="false">H1934</f>
        <v>0</v>
      </c>
      <c r="J1934" s="931"/>
      <c r="K1934" s="937"/>
    </row>
    <row r="1935" customFormat="false" ht="15.75" hidden="true" customHeight="false" outlineLevel="0" collapsed="false">
      <c r="A1935" s="931"/>
      <c r="B1935" s="992" t="str">
        <f aca="false">инженерка!A399</f>
        <v>труба диам 25/32 отопление</v>
      </c>
      <c r="C1935" s="993" t="str">
        <f aca="false">инженерка!B399</f>
        <v>м.п.</v>
      </c>
      <c r="D1935" s="992" t="n">
        <f aca="false">инженерка!C399</f>
        <v>210.08</v>
      </c>
      <c r="E1935" s="992" t="n">
        <f aca="false">инженерка!D399</f>
        <v>40</v>
      </c>
      <c r="F1935" s="992"/>
      <c r="G1935" s="967" t="n">
        <f aca="false">IF(F1935&gt;0,D1935*F1935,E1935*D1935)</f>
        <v>8403.2</v>
      </c>
      <c r="H1935" s="975" t="n">
        <f aca="false">D1935*E1935*$H$1934</f>
        <v>0</v>
      </c>
      <c r="I1935" s="936" t="n">
        <f aca="false">IF(G1935&gt;H1935,G1935,H1935)*$H$1933</f>
        <v>0</v>
      </c>
      <c r="J1935" s="931"/>
      <c r="K1935" s="937"/>
    </row>
    <row r="1936" customFormat="false" ht="15.75" hidden="true" customHeight="false" outlineLevel="0" collapsed="false">
      <c r="A1936" s="937"/>
      <c r="B1936" s="992" t="str">
        <f aca="false">инженерка!A400</f>
        <v>соеденители для трубы</v>
      </c>
      <c r="C1936" s="993" t="str">
        <f aca="false">инженерка!B400</f>
        <v>шт</v>
      </c>
      <c r="D1936" s="992" t="n">
        <f aca="false">инженерка!C400</f>
        <v>70.0266666666667</v>
      </c>
      <c r="E1936" s="992" t="n">
        <f aca="false">инженерка!D400</f>
        <v>10</v>
      </c>
      <c r="F1936" s="992"/>
      <c r="G1936" s="967" t="n">
        <f aca="false">IF(F1936&gt;0,D1936*F1936,E1936*D1936)</f>
        <v>700.266666666667</v>
      </c>
      <c r="H1936" s="975" t="n">
        <f aca="false">D1936*E1936*$H$1934</f>
        <v>0</v>
      </c>
      <c r="I1936" s="936" t="n">
        <f aca="false">IF(G1936&gt;H1936,G1936,H1936)*$H$1933</f>
        <v>0</v>
      </c>
      <c r="J1936" s="931"/>
      <c r="K1936" s="937"/>
    </row>
    <row r="1937" customFormat="false" ht="15.75" hidden="true" customHeight="false" outlineLevel="0" collapsed="false">
      <c r="A1937" s="937"/>
      <c r="B1937" s="992" t="str">
        <f aca="false">инженерка!A401</f>
        <v>уголок 90 град</v>
      </c>
      <c r="C1937" s="993" t="str">
        <f aca="false">инженерка!B401</f>
        <v>шт</v>
      </c>
      <c r="D1937" s="992" t="n">
        <f aca="false">инженерка!C401</f>
        <v>84.032</v>
      </c>
      <c r="E1937" s="992" t="n">
        <f aca="false">инженерка!D401</f>
        <v>10</v>
      </c>
      <c r="F1937" s="992"/>
      <c r="G1937" s="967" t="n">
        <f aca="false">IF(F1937&gt;0,D1937*F1937,E1937*D1937)</f>
        <v>840.32</v>
      </c>
      <c r="H1937" s="975" t="n">
        <f aca="false">D1937*E1937*$H$1934</f>
        <v>0</v>
      </c>
      <c r="I1937" s="936" t="n">
        <f aca="false">IF(G1937&gt;H1937,G1937,H1937)*$H$1933</f>
        <v>0</v>
      </c>
      <c r="J1937" s="931"/>
      <c r="K1937" s="937"/>
    </row>
    <row r="1938" customFormat="false" ht="15.75" hidden="true" customHeight="false" outlineLevel="0" collapsed="false">
      <c r="A1938" s="937"/>
      <c r="B1938" s="992" t="str">
        <f aca="false">инженерка!A402</f>
        <v>радиаторы, 1 секция</v>
      </c>
      <c r="C1938" s="993" t="str">
        <f aca="false">инженерка!B402</f>
        <v>шт</v>
      </c>
      <c r="D1938" s="992" t="n">
        <f aca="false">инженерка!C402</f>
        <v>64</v>
      </c>
      <c r="E1938" s="992" t="n">
        <f aca="false">инженерка!D402</f>
        <v>300</v>
      </c>
      <c r="F1938" s="992"/>
      <c r="G1938" s="967" t="n">
        <f aca="false">IF(F1938&gt;0,D1938*F1938,E1938*D1938)</f>
        <v>19200</v>
      </c>
      <c r="H1938" s="975" t="n">
        <f aca="false">D1938*E1938*$H$1934</f>
        <v>0</v>
      </c>
      <c r="I1938" s="936" t="n">
        <f aca="false">IF(G1938&gt;H1938,G1938,H1938)*$H$1933</f>
        <v>0</v>
      </c>
      <c r="J1938" s="931"/>
      <c r="K1938" s="937"/>
    </row>
    <row r="1939" customFormat="false" ht="15.75" hidden="true" customHeight="false" outlineLevel="0" collapsed="false">
      <c r="A1939" s="937"/>
      <c r="B1939" s="992" t="str">
        <f aca="false">инженерка!A403</f>
        <v>комплектующие для радиаторов</v>
      </c>
      <c r="C1939" s="993" t="str">
        <f aca="false">инженерка!B403</f>
        <v>шт</v>
      </c>
      <c r="D1939" s="992" t="n">
        <f aca="false">инженерка!C403</f>
        <v>64</v>
      </c>
      <c r="E1939" s="992" t="n">
        <f aca="false">инженерка!D403</f>
        <v>250</v>
      </c>
      <c r="F1939" s="992"/>
      <c r="G1939" s="967" t="n">
        <f aca="false">IF(F1939&gt;0,D1939*F1939,E1939*D1939)</f>
        <v>16000</v>
      </c>
      <c r="H1939" s="975" t="n">
        <f aca="false">D1939*E1939*$H$1934</f>
        <v>0</v>
      </c>
      <c r="I1939" s="936" t="n">
        <f aca="false">IF(G1939&gt;H1939,G1939,H1939)*$H$1933</f>
        <v>0</v>
      </c>
      <c r="J1939" s="931"/>
      <c r="K1939" s="937"/>
    </row>
    <row r="1940" customFormat="false" ht="15.75" hidden="true" customHeight="false" outlineLevel="0" collapsed="false">
      <c r="A1940" s="937"/>
      <c r="B1940" s="992" t="str">
        <f aca="false">инженерка!A404</f>
        <v>кран американка ду 25/32 для радиаторов</v>
      </c>
      <c r="C1940" s="993" t="str">
        <f aca="false">инженерка!B404</f>
        <v>шт</v>
      </c>
      <c r="D1940" s="992" t="n">
        <f aca="false">инженерка!C404</f>
        <v>128</v>
      </c>
      <c r="E1940" s="992" t="n">
        <f aca="false">инженерка!D404</f>
        <v>300</v>
      </c>
      <c r="F1940" s="992"/>
      <c r="G1940" s="967" t="n">
        <f aca="false">IF(F1940&gt;0,D1940*F1940,E1940*D1940)</f>
        <v>38400</v>
      </c>
      <c r="H1940" s="975" t="n">
        <f aca="false">D1940*E1940*$H$1934</f>
        <v>0</v>
      </c>
      <c r="I1940" s="936" t="n">
        <f aca="false">IF(G1940&gt;H1940,G1940,H1940)*$H$1933</f>
        <v>0</v>
      </c>
      <c r="J1940" s="931"/>
      <c r="K1940" s="937"/>
    </row>
    <row r="1941" customFormat="false" ht="15.75" hidden="true" customHeight="false" outlineLevel="0" collapsed="false">
      <c r="A1941" s="937"/>
      <c r="B1941" s="992" t="str">
        <f aca="false">инженерка!A405</f>
        <v>кран гайка/резьба ду 25/32</v>
      </c>
      <c r="C1941" s="993" t="str">
        <f aca="false">инженерка!B405</f>
        <v>шт</v>
      </c>
      <c r="D1941" s="992" t="n">
        <f aca="false">инженерка!C405</f>
        <v>128</v>
      </c>
      <c r="E1941" s="992" t="n">
        <f aca="false">инженерка!D405</f>
        <v>200</v>
      </c>
      <c r="F1941" s="992"/>
      <c r="G1941" s="967" t="n">
        <f aca="false">IF(F1941&gt;0,D1941*F1941,E1941*D1941)</f>
        <v>25600</v>
      </c>
      <c r="H1941" s="975" t="n">
        <f aca="false">D1941*E1941*$H$1934</f>
        <v>0</v>
      </c>
      <c r="I1941" s="936" t="n">
        <f aca="false">IF(G1941&gt;H1941,G1941,H1941)*$H$1933</f>
        <v>0</v>
      </c>
      <c r="J1941" s="931"/>
      <c r="K1941" s="937"/>
    </row>
    <row r="1942" customFormat="false" ht="15.75" hidden="true" customHeight="false" outlineLevel="0" collapsed="false">
      <c r="A1942" s="937"/>
      <c r="B1942" s="992" t="str">
        <f aca="false">инженерка!A406</f>
        <v>труба диам 20 вода</v>
      </c>
      <c r="C1942" s="993" t="str">
        <f aca="false">инженерка!B406</f>
        <v>м.п.</v>
      </c>
      <c r="D1942" s="992" t="n">
        <f aca="false">инженерка!C406</f>
        <v>30</v>
      </c>
      <c r="E1942" s="992" t="n">
        <f aca="false">инженерка!D406</f>
        <v>36</v>
      </c>
      <c r="F1942" s="992"/>
      <c r="G1942" s="967" t="n">
        <f aca="false">IF(F1942&gt;0,D1942*F1942,E1942*D1942)</f>
        <v>1080</v>
      </c>
      <c r="H1942" s="975" t="n">
        <f aca="false">D1942*E1942*$H$1934</f>
        <v>0</v>
      </c>
      <c r="I1942" s="936" t="n">
        <f aca="false">IF(G1942&gt;H1942,G1942,H1942)*$H$1933</f>
        <v>0</v>
      </c>
      <c r="J1942" s="931"/>
      <c r="K1942" s="937"/>
    </row>
    <row r="1943" customFormat="false" ht="15.75" hidden="true" customHeight="false" outlineLevel="0" collapsed="false">
      <c r="A1943" s="937"/>
      <c r="B1943" s="992" t="str">
        <f aca="false">инженерка!A407</f>
        <v>комплектующие для хол и гор водоснаб</v>
      </c>
      <c r="C1943" s="993" t="str">
        <f aca="false">инженерка!B407</f>
        <v>шт</v>
      </c>
      <c r="D1943" s="992" t="n">
        <f aca="false">инженерка!C407</f>
        <v>1</v>
      </c>
      <c r="E1943" s="992" t="n">
        <f aca="false">инженерка!D407</f>
        <v>100</v>
      </c>
      <c r="F1943" s="992"/>
      <c r="G1943" s="967" t="n">
        <f aca="false">IF(F1943&gt;0,D1943*F1943,E1943*D1943)</f>
        <v>100</v>
      </c>
      <c r="H1943" s="975" t="n">
        <f aca="false">D1943*E1943*$H$1934</f>
        <v>0</v>
      </c>
      <c r="I1943" s="936" t="n">
        <f aca="false">IF(G1943&gt;H1943,G1943,H1943)*$H$1933</f>
        <v>0</v>
      </c>
      <c r="J1943" s="931"/>
      <c r="K1943" s="937"/>
    </row>
    <row r="1944" customFormat="false" ht="15.75" hidden="true" customHeight="false" outlineLevel="0" collapsed="false">
      <c r="A1944" s="937"/>
      <c r="B1944" s="992" t="str">
        <f aca="false">инженерка!A408</f>
        <v>соеденители для трубы</v>
      </c>
      <c r="C1944" s="993" t="str">
        <f aca="false">инженерка!B408</f>
        <v>шт</v>
      </c>
      <c r="D1944" s="992" t="n">
        <f aca="false">инженерка!C408</f>
        <v>10</v>
      </c>
      <c r="E1944" s="992" t="n">
        <f aca="false">инженерка!D408</f>
        <v>10</v>
      </c>
      <c r="F1944" s="992"/>
      <c r="G1944" s="967" t="n">
        <f aca="false">IF(F1944&gt;0,D1944*F1944,E1944*D1944)</f>
        <v>100</v>
      </c>
      <c r="H1944" s="975" t="n">
        <f aca="false">D1944*E1944*$H$1934</f>
        <v>0</v>
      </c>
      <c r="I1944" s="936" t="n">
        <f aca="false">IF(G1944&gt;H1944,G1944,H1944)*$H$1933</f>
        <v>0</v>
      </c>
      <c r="J1944" s="931"/>
      <c r="K1944" s="937"/>
    </row>
    <row r="1945" customFormat="false" ht="15.75" hidden="true" customHeight="false" outlineLevel="0" collapsed="false">
      <c r="A1945" s="937"/>
      <c r="B1945" s="992" t="str">
        <f aca="false">инженерка!A409</f>
        <v>уголок 90 град</v>
      </c>
      <c r="C1945" s="993" t="str">
        <f aca="false">инженерка!B409</f>
        <v>шт</v>
      </c>
      <c r="D1945" s="992" t="n">
        <f aca="false">инженерка!C409</f>
        <v>15</v>
      </c>
      <c r="E1945" s="992" t="n">
        <f aca="false">инженерка!D409</f>
        <v>10</v>
      </c>
      <c r="F1945" s="992"/>
      <c r="G1945" s="967" t="n">
        <f aca="false">IF(F1945&gt;0,D1945*F1945,E1945*D1945)</f>
        <v>150</v>
      </c>
      <c r="H1945" s="975" t="n">
        <f aca="false">D1945*E1945*$H$1934</f>
        <v>0</v>
      </c>
      <c r="I1945" s="936" t="n">
        <f aca="false">IF(G1945&gt;H1945,G1945,H1945)*$H$1933</f>
        <v>0</v>
      </c>
      <c r="J1945" s="931"/>
      <c r="K1945" s="937"/>
    </row>
    <row r="1946" customFormat="false" ht="15.75" hidden="true" customHeight="false" outlineLevel="0" collapsed="false">
      <c r="A1946" s="937"/>
      <c r="B1946" s="973" t="s">
        <v>2247</v>
      </c>
      <c r="C1946" s="973"/>
      <c r="D1946" s="973"/>
      <c r="E1946" s="973"/>
      <c r="F1946" s="973"/>
      <c r="G1946" s="970" t="n">
        <f aca="false">SUM(G1935:G1945)*H1933</f>
        <v>0</v>
      </c>
      <c r="H1946" s="970" t="n">
        <f aca="false">SUM(H1935:H1945)</f>
        <v>0</v>
      </c>
      <c r="I1946" s="936" t="n">
        <f aca="false">IF(G1946&gt;H1946,G1946,H1946)*$H$1933</f>
        <v>0</v>
      </c>
      <c r="J1946" s="931"/>
      <c r="K1946" s="937"/>
    </row>
    <row r="1947" customFormat="false" ht="15.75" hidden="true" customHeight="false" outlineLevel="0" collapsed="false">
      <c r="A1947" s="937"/>
      <c r="B1947" s="976" t="s">
        <v>2007</v>
      </c>
      <c r="C1947" s="976"/>
      <c r="D1947" s="976"/>
      <c r="E1947" s="976"/>
      <c r="F1947" s="976"/>
      <c r="G1947" s="977"/>
      <c r="H1947" s="994" t="n">
        <f aca="false">H1933</f>
        <v>0</v>
      </c>
      <c r="I1947" s="1026" t="n">
        <f aca="false">H1947</f>
        <v>0</v>
      </c>
      <c r="J1947" s="931"/>
      <c r="K1947" s="937"/>
    </row>
    <row r="1948" customFormat="false" ht="15.75" hidden="true" customHeight="false" outlineLevel="0" collapsed="false">
      <c r="A1948" s="931"/>
      <c r="B1948" s="995" t="s">
        <v>2201</v>
      </c>
      <c r="C1948" s="1015" t="s">
        <v>15</v>
      </c>
      <c r="D1948" s="992" t="n">
        <f aca="false">инженерка!I399</f>
        <v>240.08</v>
      </c>
      <c r="E1948" s="986" t="n">
        <f aca="false">инженерка!J399</f>
        <v>200</v>
      </c>
      <c r="F1948" s="986"/>
      <c r="G1948" s="967" t="n">
        <f aca="false">IF(F1948&gt;0,D1948*F1948,E1948*D1948)</f>
        <v>48016</v>
      </c>
      <c r="H1948" s="975" t="n">
        <f aca="false">D1948*E1948*$H$1947</f>
        <v>0</v>
      </c>
      <c r="I1948" s="936" t="n">
        <f aca="false">IF(G1948&gt;H1948,G1948,H1948)*$H$1933</f>
        <v>0</v>
      </c>
      <c r="J1948" s="931"/>
      <c r="K1948" s="937"/>
    </row>
    <row r="1949" customFormat="false" ht="15.75" hidden="true" customHeight="false" outlineLevel="0" collapsed="false">
      <c r="A1949" s="937"/>
      <c r="B1949" s="995" t="s">
        <v>2202</v>
      </c>
      <c r="C1949" s="1015" t="s">
        <v>48</v>
      </c>
      <c r="D1949" s="992" t="n">
        <f aca="false">инженерка!I400</f>
        <v>5</v>
      </c>
      <c r="E1949" s="986" t="n">
        <f aca="false">инженерка!J400</f>
        <v>1000</v>
      </c>
      <c r="F1949" s="986"/>
      <c r="G1949" s="967" t="n">
        <f aca="false">IF(F1949&gt;0,D1949*F1949,E1949*D1949)</f>
        <v>5000</v>
      </c>
      <c r="H1949" s="975" t="n">
        <f aca="false">D1949*E1949*$H$1947</f>
        <v>0</v>
      </c>
      <c r="I1949" s="936" t="n">
        <f aca="false">IF(G1949&gt;H1949,G1949,H1949)*$H$1933</f>
        <v>0</v>
      </c>
      <c r="J1949" s="931"/>
      <c r="K1949" s="937"/>
    </row>
    <row r="1950" customFormat="false" ht="15.75" hidden="true" customHeight="false" outlineLevel="0" collapsed="false">
      <c r="A1950" s="937"/>
      <c r="B1950" s="995" t="s">
        <v>2201</v>
      </c>
      <c r="C1950" s="1015" t="s">
        <v>15</v>
      </c>
      <c r="D1950" s="992" t="n">
        <f aca="false">инженерка!I401</f>
        <v>30</v>
      </c>
      <c r="E1950" s="986" t="n">
        <f aca="false">инженерка!J401</f>
        <v>200</v>
      </c>
      <c r="F1950" s="986"/>
      <c r="G1950" s="967" t="n">
        <f aca="false">IF(F1950&gt;0,D1950*F1950,E1950*D1950)</f>
        <v>6000</v>
      </c>
      <c r="H1950" s="975" t="n">
        <f aca="false">D1950*E1950*$H$1947</f>
        <v>0</v>
      </c>
      <c r="I1950" s="936" t="n">
        <f aca="false">IF(G1950&gt;H1950,G1950,H1950)*$H$1933</f>
        <v>0</v>
      </c>
      <c r="J1950" s="931"/>
      <c r="K1950" s="937"/>
    </row>
    <row r="1951" customFormat="false" ht="15.75" hidden="true" customHeight="false" outlineLevel="0" collapsed="false">
      <c r="A1951" s="937"/>
      <c r="B1951" s="973" t="s">
        <v>2248</v>
      </c>
      <c r="C1951" s="973"/>
      <c r="D1951" s="973"/>
      <c r="E1951" s="973"/>
      <c r="F1951" s="973"/>
      <c r="G1951" s="970" t="n">
        <f aca="false">SUM(G1948:G1950)*H1947</f>
        <v>0</v>
      </c>
      <c r="H1951" s="970" t="n">
        <f aca="false">SUM(H1948:H1950)</f>
        <v>0</v>
      </c>
      <c r="I1951" s="936" t="n">
        <f aca="false">IF(G1951&gt;H1951,G1951,H1951)*$H$1933</f>
        <v>0</v>
      </c>
      <c r="J1951" s="931"/>
      <c r="K1951" s="937"/>
    </row>
    <row r="1952" customFormat="false" ht="21" hidden="true" customHeight="false" outlineLevel="0" collapsed="false">
      <c r="A1952" s="937"/>
      <c r="B1952" s="989" t="s">
        <v>894</v>
      </c>
      <c r="C1952" s="989"/>
      <c r="D1952" s="989"/>
      <c r="E1952" s="989"/>
      <c r="F1952" s="989"/>
      <c r="G1952" s="977"/>
      <c r="H1952" s="1007" t="n">
        <f aca="false">VLOOKUP('Ввод данных'!F1409,связи1!A2:B3,2,0)</f>
        <v>0</v>
      </c>
      <c r="I1952" s="1026" t="n">
        <f aca="false">H1952</f>
        <v>0</v>
      </c>
      <c r="J1952" s="931"/>
      <c r="K1952" s="937"/>
    </row>
    <row r="1953" customFormat="false" ht="15.75" hidden="true" customHeight="false" outlineLevel="0" collapsed="false">
      <c r="A1953" s="931"/>
      <c r="B1953" s="1008" t="s">
        <v>2246</v>
      </c>
      <c r="C1953" s="1008"/>
      <c r="D1953" s="1008"/>
      <c r="E1953" s="1008"/>
      <c r="F1953" s="1008"/>
      <c r="G1953" s="977"/>
      <c r="H1953" s="1009" t="n">
        <f aca="false">H1952</f>
        <v>0</v>
      </c>
      <c r="I1953" s="1026" t="n">
        <f aca="false">H1953</f>
        <v>0</v>
      </c>
      <c r="J1953" s="931"/>
      <c r="K1953" s="937"/>
    </row>
    <row r="1954" customFormat="false" ht="15.75" hidden="true" customHeight="false" outlineLevel="0" collapsed="false">
      <c r="A1954" s="931"/>
      <c r="B1954" s="992" t="str">
        <f aca="false">инженерка!A427</f>
        <v>насос малыш</v>
      </c>
      <c r="C1954" s="993" t="str">
        <f aca="false">инженерка!B427</f>
        <v>шт</v>
      </c>
      <c r="D1954" s="992" t="n">
        <f aca="false">инженерка!C427</f>
        <v>1</v>
      </c>
      <c r="E1954" s="992" t="n">
        <f aca="false">инженерка!D427</f>
        <v>2500</v>
      </c>
      <c r="F1954" s="992"/>
      <c r="G1954" s="967" t="n">
        <f aca="false">IF(F1954&gt;0,D1954*F1954,E1954*D1954)</f>
        <v>2500</v>
      </c>
      <c r="H1954" s="970" t="n">
        <f aca="false">D1954*E1954*$H$1953</f>
        <v>0</v>
      </c>
      <c r="I1954" s="936" t="n">
        <f aca="false">IF(G1954&gt;H1954,G1954,H1954)*$H$1952</f>
        <v>0</v>
      </c>
      <c r="J1954" s="931"/>
      <c r="K1954" s="937"/>
    </row>
    <row r="1955" customFormat="false" ht="15.75" hidden="true" customHeight="false" outlineLevel="0" collapsed="false">
      <c r="A1955" s="937"/>
      <c r="B1955" s="992" t="str">
        <f aca="false">инженерка!A428</f>
        <v>шланг для насоса</v>
      </c>
      <c r="C1955" s="993" t="str">
        <f aca="false">инженерка!B428</f>
        <v>м.п.</v>
      </c>
      <c r="D1955" s="992" t="n">
        <f aca="false">инженерка!C428</f>
        <v>50.4</v>
      </c>
      <c r="E1955" s="992" t="n">
        <f aca="false">инженерка!D428</f>
        <v>19</v>
      </c>
      <c r="F1955" s="992"/>
      <c r="G1955" s="967" t="n">
        <f aca="false">IF(F1955&gt;0,D1955*F1955,E1955*D1955)</f>
        <v>957.6</v>
      </c>
      <c r="H1955" s="970" t="n">
        <f aca="false">D1955*E1955*$H$1953</f>
        <v>0</v>
      </c>
      <c r="I1955" s="936" t="n">
        <f aca="false">IF(G1955&gt;H1955,G1955,H1955)*$H$1952</f>
        <v>0</v>
      </c>
      <c r="J1955" s="931"/>
      <c r="K1955" s="937"/>
    </row>
    <row r="1956" customFormat="false" ht="15.75" hidden="true" customHeight="false" outlineLevel="0" collapsed="false">
      <c r="A1956" s="937"/>
      <c r="B1956" s="992" t="str">
        <f aca="false">инженерка!A429</f>
        <v>тросик для насоса</v>
      </c>
      <c r="C1956" s="993" t="str">
        <f aca="false">инженерка!B429</f>
        <v>м.п.</v>
      </c>
      <c r="D1956" s="992" t="n">
        <f aca="false">инженерка!C429</f>
        <v>50.4</v>
      </c>
      <c r="E1956" s="992" t="n">
        <f aca="false">инженерка!D429</f>
        <v>5</v>
      </c>
      <c r="F1956" s="992"/>
      <c r="G1956" s="967" t="n">
        <f aca="false">IF(F1956&gt;0,D1956*F1956,E1956*D1956)</f>
        <v>252</v>
      </c>
      <c r="H1956" s="970" t="n">
        <f aca="false">D1956*E1956*$H$1953</f>
        <v>0</v>
      </c>
      <c r="I1956" s="936" t="n">
        <f aca="false">IF(G1956&gt;H1956,G1956,H1956)*$H$1952</f>
        <v>0</v>
      </c>
      <c r="J1956" s="931"/>
      <c r="K1956" s="937"/>
    </row>
    <row r="1957" customFormat="false" ht="15.75" hidden="true" customHeight="false" outlineLevel="0" collapsed="false">
      <c r="A1957" s="937"/>
      <c r="B1957" s="992" t="str">
        <f aca="false">инженерка!A430</f>
        <v>изолента</v>
      </c>
      <c r="C1957" s="993" t="str">
        <f aca="false">инженерка!B430</f>
        <v>рул</v>
      </c>
      <c r="D1957" s="992" t="n">
        <f aca="false">инженерка!C430</f>
        <v>1</v>
      </c>
      <c r="E1957" s="992" t="n">
        <f aca="false">инженерка!D430</f>
        <v>100</v>
      </c>
      <c r="F1957" s="992"/>
      <c r="G1957" s="967" t="n">
        <f aca="false">IF(F1957&gt;0,D1957*F1957,E1957*D1957)</f>
        <v>100</v>
      </c>
      <c r="H1957" s="970" t="n">
        <f aca="false">D1957*E1957*$H$1953</f>
        <v>0</v>
      </c>
      <c r="I1957" s="936" t="n">
        <f aca="false">IF(G1957&gt;H1957,G1957,H1957)*$H$1952</f>
        <v>0</v>
      </c>
      <c r="J1957" s="931"/>
      <c r="K1957" s="937"/>
    </row>
    <row r="1958" customFormat="false" ht="15.75" hidden="true" customHeight="false" outlineLevel="0" collapsed="false">
      <c r="A1958" s="937"/>
      <c r="B1958" s="992" t="str">
        <f aca="false">инженерка!A431</f>
        <v>гидроаккумулятор, 80л</v>
      </c>
      <c r="C1958" s="993" t="str">
        <f aca="false">инженерка!B431</f>
        <v>шт</v>
      </c>
      <c r="D1958" s="992" t="n">
        <f aca="false">инженерка!C431</f>
        <v>1</v>
      </c>
      <c r="E1958" s="992" t="n">
        <f aca="false">инженерка!D431</f>
        <v>8000</v>
      </c>
      <c r="F1958" s="992"/>
      <c r="G1958" s="967" t="n">
        <f aca="false">IF(F1958&gt;0,D1958*F1958,E1958*D1958)</f>
        <v>8000</v>
      </c>
      <c r="H1958" s="970" t="n">
        <f aca="false">D1958*E1958*$H$1953</f>
        <v>0</v>
      </c>
      <c r="I1958" s="936" t="n">
        <f aca="false">IF(G1958&gt;H1958,G1958,H1958)*$H$1952</f>
        <v>0</v>
      </c>
      <c r="J1958" s="931"/>
      <c r="K1958" s="937"/>
    </row>
    <row r="1959" customFormat="false" ht="15.75" hidden="true" customHeight="false" outlineLevel="0" collapsed="false">
      <c r="A1959" s="937"/>
      <c r="B1959" s="992" t="str">
        <f aca="false">инженерка!A432</f>
        <v>автоматика</v>
      </c>
      <c r="C1959" s="993" t="str">
        <f aca="false">инженерка!B432</f>
        <v>шт</v>
      </c>
      <c r="D1959" s="992" t="n">
        <f aca="false">инженерка!C432</f>
        <v>1</v>
      </c>
      <c r="E1959" s="992" t="n">
        <f aca="false">инженерка!D432</f>
        <v>10000</v>
      </c>
      <c r="F1959" s="992"/>
      <c r="G1959" s="967" t="n">
        <f aca="false">IF(F1959&gt;0,D1959*F1959,E1959*D1959)</f>
        <v>10000</v>
      </c>
      <c r="H1959" s="970" t="n">
        <f aca="false">D1959*E1959*$H$1953</f>
        <v>0</v>
      </c>
      <c r="I1959" s="936" t="n">
        <f aca="false">IF(G1959&gt;H1959,G1959,H1959)*$H$1952</f>
        <v>0</v>
      </c>
      <c r="J1959" s="931"/>
      <c r="K1959" s="937"/>
    </row>
    <row r="1960" customFormat="false" ht="15.75" hidden="true" customHeight="false" outlineLevel="0" collapsed="false">
      <c r="A1960" s="937"/>
      <c r="B1960" s="992" t="str">
        <f aca="false">инженерка!A433</f>
        <v>пнд труба</v>
      </c>
      <c r="C1960" s="993" t="str">
        <f aca="false">инженерка!B433</f>
        <v>м.п.</v>
      </c>
      <c r="D1960" s="992" t="n">
        <f aca="false">инженерка!C433</f>
        <v>50.4</v>
      </c>
      <c r="E1960" s="992" t="n">
        <f aca="false">инженерка!D433</f>
        <v>35</v>
      </c>
      <c r="F1960" s="992"/>
      <c r="G1960" s="967" t="n">
        <f aca="false">IF(F1960&gt;0,D1960*F1960,E1960*D1960)</f>
        <v>1764</v>
      </c>
      <c r="H1960" s="970" t="n">
        <f aca="false">D1960*E1960*$H$1953</f>
        <v>0</v>
      </c>
      <c r="I1960" s="936" t="n">
        <f aca="false">IF(G1960&gt;H1960,G1960,H1960)*$H$1952</f>
        <v>0</v>
      </c>
      <c r="J1960" s="931"/>
      <c r="K1960" s="937"/>
    </row>
    <row r="1961" customFormat="false" ht="15.75" hidden="true" customHeight="false" outlineLevel="0" collapsed="false">
      <c r="A1961" s="937"/>
      <c r="B1961" s="992" t="str">
        <f aca="false">инженерка!A434</f>
        <v>скорлупа утепления двойная</v>
      </c>
      <c r="C1961" s="993" t="str">
        <f aca="false">инженерка!B434</f>
        <v>м.п.</v>
      </c>
      <c r="D1961" s="992" t="n">
        <f aca="false">инженерка!C434</f>
        <v>10</v>
      </c>
      <c r="E1961" s="992" t="n">
        <f aca="false">инженерка!D434</f>
        <v>500</v>
      </c>
      <c r="F1961" s="992"/>
      <c r="G1961" s="967" t="n">
        <f aca="false">IF(F1961&gt;0,D1961*F1961,E1961*D1961)</f>
        <v>5000</v>
      </c>
      <c r="H1961" s="970" t="n">
        <f aca="false">D1961*E1961*$H$1953</f>
        <v>0</v>
      </c>
      <c r="I1961" s="936" t="n">
        <f aca="false">IF(G1961&gt;H1961,G1961,H1961)*$H$1952</f>
        <v>0</v>
      </c>
      <c r="J1961" s="931"/>
      <c r="K1961" s="937"/>
    </row>
    <row r="1962" customFormat="false" ht="15.75" hidden="true" customHeight="false" outlineLevel="0" collapsed="false">
      <c r="A1962" s="937"/>
      <c r="B1962" s="992" t="str">
        <f aca="false">инженерка!A435</f>
        <v>скважинный адаптер</v>
      </c>
      <c r="C1962" s="993" t="str">
        <f aca="false">инженерка!B435</f>
        <v>шт</v>
      </c>
      <c r="D1962" s="992" t="n">
        <f aca="false">инженерка!C435</f>
        <v>1</v>
      </c>
      <c r="E1962" s="992" t="n">
        <f aca="false">инженерка!D435</f>
        <v>3000</v>
      </c>
      <c r="F1962" s="992"/>
      <c r="G1962" s="967" t="n">
        <f aca="false">IF(F1962&gt;0,D1962*F1962,E1962*D1962)</f>
        <v>3000</v>
      </c>
      <c r="H1962" s="970" t="n">
        <f aca="false">D1962*E1962*$H$1953</f>
        <v>0</v>
      </c>
      <c r="I1962" s="936" t="n">
        <f aca="false">IF(G1962&gt;H1962,G1962,H1962)*$H$1952</f>
        <v>0</v>
      </c>
      <c r="J1962" s="931"/>
      <c r="K1962" s="937"/>
    </row>
    <row r="1963" customFormat="false" ht="15.75" hidden="true" customHeight="false" outlineLevel="0" collapsed="false">
      <c r="A1963" s="937"/>
      <c r="B1963" s="973" t="s">
        <v>2247</v>
      </c>
      <c r="C1963" s="973"/>
      <c r="D1963" s="973"/>
      <c r="E1963" s="973"/>
      <c r="F1963" s="973"/>
      <c r="G1963" s="970" t="n">
        <f aca="false">SUM(G1954:G1962)*H1952</f>
        <v>0</v>
      </c>
      <c r="H1963" s="970" t="n">
        <f aca="false">SUM(H1954:H1962)</f>
        <v>0</v>
      </c>
      <c r="I1963" s="936" t="n">
        <f aca="false">IF(G1963&gt;H1963,G1963,H1963)*$H$1952</f>
        <v>0</v>
      </c>
      <c r="J1963" s="931"/>
      <c r="K1963" s="937"/>
    </row>
    <row r="1964" customFormat="false" ht="15.75" hidden="true" customHeight="false" outlineLevel="0" collapsed="false">
      <c r="A1964" s="937"/>
      <c r="B1964" s="976" t="s">
        <v>2007</v>
      </c>
      <c r="C1964" s="976"/>
      <c r="D1964" s="976"/>
      <c r="E1964" s="976"/>
      <c r="F1964" s="976"/>
      <c r="G1964" s="977"/>
      <c r="H1964" s="994" t="n">
        <f aca="false">H1952</f>
        <v>0</v>
      </c>
      <c r="I1964" s="1026" t="n">
        <f aca="false">H1964</f>
        <v>0</v>
      </c>
      <c r="J1964" s="931"/>
      <c r="K1964" s="937"/>
    </row>
    <row r="1965" customFormat="false" ht="15.75" hidden="true" customHeight="false" outlineLevel="0" collapsed="false">
      <c r="A1965" s="931"/>
      <c r="B1965" s="995" t="s">
        <v>2204</v>
      </c>
      <c r="C1965" s="1015" t="s">
        <v>48</v>
      </c>
      <c r="D1965" s="992" t="n">
        <f aca="false">инженерка!I427</f>
        <v>1</v>
      </c>
      <c r="E1965" s="986" t="n">
        <f aca="false">инженерка!J427</f>
        <v>1500</v>
      </c>
      <c r="F1965" s="986"/>
      <c r="G1965" s="967" t="n">
        <f aca="false">IF(F1965&gt;0,D1965*F1965,E1965*D1965)</f>
        <v>1500</v>
      </c>
      <c r="H1965" s="970" t="n">
        <f aca="false">D1965*E1965*$H$1964</f>
        <v>0</v>
      </c>
      <c r="I1965" s="936" t="n">
        <f aca="false">IF(G1965&gt;H1965,G1965,H1965)*$H$1952</f>
        <v>0</v>
      </c>
      <c r="J1965" s="931"/>
      <c r="K1965" s="937"/>
    </row>
    <row r="1966" customFormat="false" ht="15.75" hidden="true" customHeight="false" outlineLevel="0" collapsed="false">
      <c r="A1966" s="937"/>
      <c r="B1966" s="995" t="s">
        <v>2205</v>
      </c>
      <c r="C1966" s="1015" t="s">
        <v>48</v>
      </c>
      <c r="D1966" s="992" t="n">
        <f aca="false">инженерка!I428</f>
        <v>1</v>
      </c>
      <c r="E1966" s="986" t="n">
        <f aca="false">инженерка!J428</f>
        <v>1500</v>
      </c>
      <c r="F1966" s="986"/>
      <c r="G1966" s="967" t="n">
        <f aca="false">IF(F1966&gt;0,D1966*F1966,E1966*D1966)</f>
        <v>1500</v>
      </c>
      <c r="H1966" s="970" t="n">
        <f aca="false">D1966*E1966*$H$1964</f>
        <v>0</v>
      </c>
      <c r="I1966" s="936" t="n">
        <f aca="false">IF(G1966&gt;H1966,G1966,H1966)*$H$1952</f>
        <v>0</v>
      </c>
      <c r="J1966" s="931"/>
      <c r="K1966" s="937"/>
    </row>
    <row r="1967" customFormat="false" ht="15.75" hidden="true" customHeight="false" outlineLevel="0" collapsed="false">
      <c r="A1967" s="937"/>
      <c r="B1967" s="995" t="s">
        <v>2291</v>
      </c>
      <c r="C1967" s="1015" t="s">
        <v>48</v>
      </c>
      <c r="D1967" s="992" t="n">
        <f aca="false">инженерка!I429</f>
        <v>1</v>
      </c>
      <c r="E1967" s="986" t="n">
        <f aca="false">инженерка!J429</f>
        <v>3000</v>
      </c>
      <c r="F1967" s="986"/>
      <c r="G1967" s="967" t="n">
        <f aca="false">IF(F1967&gt;0,D1967*F1967,E1967*D1967)</f>
        <v>3000</v>
      </c>
      <c r="H1967" s="970" t="n">
        <f aca="false">D1967*E1967*$H$1964</f>
        <v>0</v>
      </c>
      <c r="I1967" s="936" t="n">
        <f aca="false">IF(G1967&gt;H1967,G1967,H1967)*$H$1952</f>
        <v>0</v>
      </c>
      <c r="J1967" s="931"/>
      <c r="K1967" s="937"/>
    </row>
    <row r="1968" customFormat="false" ht="15.75" hidden="true" customHeight="false" outlineLevel="0" collapsed="false">
      <c r="A1968" s="937"/>
      <c r="B1968" s="995" t="s">
        <v>2292</v>
      </c>
      <c r="C1968" s="1015" t="s">
        <v>48</v>
      </c>
      <c r="D1968" s="992" t="n">
        <f aca="false">инженерка!I430</f>
        <v>1</v>
      </c>
      <c r="E1968" s="986" t="n">
        <f aca="false">инженерка!J430</f>
        <v>2500</v>
      </c>
      <c r="F1968" s="986"/>
      <c r="G1968" s="967" t="n">
        <f aca="false">IF(F1968&gt;0,D1968*F1968,E1968*D1968)</f>
        <v>2500</v>
      </c>
      <c r="H1968" s="970" t="n">
        <f aca="false">D1968*E1968*$H$1964</f>
        <v>0</v>
      </c>
      <c r="I1968" s="936" t="n">
        <f aca="false">IF(G1968&gt;H1968,G1968,H1968)*$H$1952</f>
        <v>0</v>
      </c>
      <c r="L1968" s="926"/>
      <c r="M1968" s="926"/>
      <c r="N1968" s="926"/>
    </row>
    <row r="1969" customFormat="false" ht="15.75" hidden="true" customHeight="false" outlineLevel="0" collapsed="false">
      <c r="A1969" s="937"/>
      <c r="B1969" s="995" t="s">
        <v>2208</v>
      </c>
      <c r="C1969" s="1015" t="s">
        <v>48</v>
      </c>
      <c r="D1969" s="992" t="n">
        <f aca="false">инженерка!I431</f>
        <v>1</v>
      </c>
      <c r="E1969" s="986" t="n">
        <f aca="false">инженерка!J431</f>
        <v>4000</v>
      </c>
      <c r="F1969" s="986"/>
      <c r="G1969" s="967" t="n">
        <f aca="false">IF(F1969&gt;0,D1969*F1969,E1969*D1969)</f>
        <v>4000</v>
      </c>
      <c r="H1969" s="970" t="n">
        <f aca="false">D1969*E1969*$H$1964</f>
        <v>0</v>
      </c>
      <c r="I1969" s="936" t="n">
        <f aca="false">IF(G1969&gt;H1969,G1969,H1969)*$H$1952</f>
        <v>0</v>
      </c>
      <c r="L1969" s="926"/>
      <c r="M1969" s="926"/>
      <c r="N1969" s="926"/>
    </row>
    <row r="1970" customFormat="false" ht="15.75" hidden="true" customHeight="false" outlineLevel="0" collapsed="false">
      <c r="A1970" s="937"/>
      <c r="B1970" s="995" t="s">
        <v>2293</v>
      </c>
      <c r="C1970" s="1015" t="s">
        <v>15</v>
      </c>
      <c r="D1970" s="992" t="n">
        <f aca="false">инженерка!I432</f>
        <v>10</v>
      </c>
      <c r="E1970" s="986" t="n">
        <f aca="false">инженерка!J432</f>
        <v>500</v>
      </c>
      <c r="F1970" s="986"/>
      <c r="G1970" s="967" t="n">
        <f aca="false">IF(F1970&gt;0,D1970*F1970,E1970*D1970)</f>
        <v>5000</v>
      </c>
      <c r="H1970" s="970" t="n">
        <f aca="false">D1970*E1970*$H$1964</f>
        <v>0</v>
      </c>
      <c r="I1970" s="936" t="n">
        <f aca="false">IF(G1970&gt;H1970,G1970,H1970)*$H$1952</f>
        <v>0</v>
      </c>
      <c r="L1970" s="926"/>
      <c r="M1970" s="926"/>
      <c r="N1970" s="926"/>
    </row>
    <row r="1971" customFormat="false" ht="15.75" hidden="true" customHeight="false" outlineLevel="0" collapsed="false">
      <c r="A1971" s="937"/>
      <c r="B1971" s="973" t="s">
        <v>2248</v>
      </c>
      <c r="C1971" s="973"/>
      <c r="D1971" s="973"/>
      <c r="E1971" s="973"/>
      <c r="F1971" s="973"/>
      <c r="G1971" s="970" t="n">
        <f aca="false">SUM(G1965:G1970)*H1964</f>
        <v>0</v>
      </c>
      <c r="H1971" s="970" t="n">
        <f aca="false">SUM(H1965:H1970)</f>
        <v>0</v>
      </c>
      <c r="I1971" s="936" t="n">
        <f aca="false">IF(G1971&gt;H1971,G1971,H1971)*$H$1952</f>
        <v>0</v>
      </c>
      <c r="L1971" s="926"/>
      <c r="M1971" s="926"/>
      <c r="N1971" s="926"/>
    </row>
    <row r="1972" customFormat="false" ht="21" hidden="true" customHeight="false" outlineLevel="0" collapsed="false">
      <c r="A1972" s="937"/>
      <c r="B1972" s="989" t="s">
        <v>900</v>
      </c>
      <c r="C1972" s="989"/>
      <c r="D1972" s="989"/>
      <c r="E1972" s="989"/>
      <c r="F1972" s="1012"/>
      <c r="G1972" s="977"/>
      <c r="H1972" s="1007" t="n">
        <f aca="false">VLOOKUP('Ввод данных'!F1436,связи1!A2:B3,2,0)</f>
        <v>0</v>
      </c>
      <c r="I1972" s="1026" t="n">
        <f aca="false">H1972</f>
        <v>0</v>
      </c>
      <c r="L1972" s="926"/>
      <c r="M1972" s="926"/>
      <c r="N1972" s="926"/>
    </row>
    <row r="1973" customFormat="false" ht="15.75" hidden="true" customHeight="false" outlineLevel="0" collapsed="false">
      <c r="A1973" s="931"/>
      <c r="B1973" s="1008" t="s">
        <v>2246</v>
      </c>
      <c r="C1973" s="1008"/>
      <c r="D1973" s="1008"/>
      <c r="E1973" s="1008"/>
      <c r="F1973" s="1013"/>
      <c r="G1973" s="977"/>
      <c r="H1973" s="1009" t="n">
        <f aca="false">H1972</f>
        <v>0</v>
      </c>
      <c r="I1973" s="1026" t="n">
        <f aca="false">H1973</f>
        <v>0</v>
      </c>
      <c r="L1973" s="926"/>
      <c r="M1973" s="926"/>
      <c r="N1973" s="926"/>
    </row>
    <row r="1974" customFormat="false" ht="15.75" hidden="true" customHeight="false" outlineLevel="0" collapsed="false">
      <c r="A1974" s="931"/>
      <c r="B1974" s="992" t="str">
        <f aca="false">инженерка!A464</f>
        <v>дно бетонное, диаметр 1,5м.п.</v>
      </c>
      <c r="C1974" s="993" t="str">
        <f aca="false">инженерка!B464</f>
        <v>шт</v>
      </c>
      <c r="D1974" s="992" t="n">
        <f aca="false">инженерка!C464</f>
        <v>1</v>
      </c>
      <c r="E1974" s="1010" t="n">
        <f aca="false">инженерка!D464</f>
        <v>2000</v>
      </c>
      <c r="F1974" s="1010"/>
      <c r="G1974" s="967" t="n">
        <f aca="false">IF(F1974&gt;0,D1974*F1974,E1974*D1974)</f>
        <v>2000</v>
      </c>
      <c r="H1974" s="970" t="n">
        <f aca="false">D1974*E1974*$H$1973</f>
        <v>0</v>
      </c>
      <c r="I1974" s="936" t="n">
        <f aca="false">IF(G1974&gt;H1974,G1974,H1974)*$H$1972</f>
        <v>0</v>
      </c>
      <c r="L1974" s="926"/>
      <c r="M1974" s="926"/>
      <c r="N1974" s="926"/>
    </row>
    <row r="1975" customFormat="false" ht="15.75" hidden="true" customHeight="false" outlineLevel="0" collapsed="false">
      <c r="A1975" s="937"/>
      <c r="B1975" s="992" t="str">
        <f aca="false">инженерка!A465</f>
        <v>кольцо бетонное, диаметр 1,5м.п.</v>
      </c>
      <c r="C1975" s="993" t="str">
        <f aca="false">инженерка!B465</f>
        <v>шт</v>
      </c>
      <c r="D1975" s="992" t="n">
        <f aca="false">инженерка!C465</f>
        <v>3</v>
      </c>
      <c r="E1975" s="1010" t="n">
        <f aca="false">инженерка!D465</f>
        <v>2800</v>
      </c>
      <c r="F1975" s="1010"/>
      <c r="G1975" s="967" t="n">
        <f aca="false">IF(F1975&gt;0,D1975*F1975,E1975*D1975)</f>
        <v>8400</v>
      </c>
      <c r="H1975" s="970" t="n">
        <f aca="false">D1975*E1975*$H$1973</f>
        <v>0</v>
      </c>
      <c r="I1975" s="936" t="n">
        <f aca="false">IF(G1975&gt;H1975,G1975,H1975)*$H$1972</f>
        <v>0</v>
      </c>
      <c r="L1975" s="926"/>
      <c r="M1975" s="926"/>
      <c r="N1975" s="926"/>
    </row>
    <row r="1976" customFormat="false" ht="15.75" hidden="true" customHeight="false" outlineLevel="0" collapsed="false">
      <c r="A1976" s="937"/>
      <c r="B1976" s="992" t="str">
        <f aca="false">инженерка!A466</f>
        <v>крышка бетонная, диаметр 1,5м.п.</v>
      </c>
      <c r="C1976" s="993" t="str">
        <f aca="false">инженерка!B466</f>
        <v>шт</v>
      </c>
      <c r="D1976" s="992" t="n">
        <f aca="false">инженерка!C466</f>
        <v>1</v>
      </c>
      <c r="E1976" s="1010" t="n">
        <f aca="false">инженерка!D466</f>
        <v>4000</v>
      </c>
      <c r="F1976" s="1010"/>
      <c r="G1976" s="967" t="n">
        <f aca="false">IF(F1976&gt;0,D1976*F1976,E1976*D1976)</f>
        <v>4000</v>
      </c>
      <c r="H1976" s="970" t="n">
        <f aca="false">D1976*E1976*$H$1973</f>
        <v>0</v>
      </c>
      <c r="I1976" s="936" t="n">
        <f aca="false">IF(G1976&gt;H1976,G1976,H1976)*$H$1972</f>
        <v>0</v>
      </c>
      <c r="L1976" s="926"/>
      <c r="M1976" s="926"/>
      <c r="N1976" s="926"/>
    </row>
    <row r="1977" customFormat="false" ht="15.75" hidden="true" customHeight="false" outlineLevel="0" collapsed="false">
      <c r="A1977" s="937"/>
      <c r="B1977" s="992" t="str">
        <f aca="false">инженерка!A467</f>
        <v>Нет люка для крышки</v>
      </c>
      <c r="C1977" s="993" t="str">
        <f aca="false">инженерка!B467</f>
        <v>шт</v>
      </c>
      <c r="D1977" s="992" t="n">
        <f aca="false">инженерка!C467</f>
        <v>0</v>
      </c>
      <c r="E1977" s="992" t="n">
        <f aca="false">инженерка!D467</f>
        <v>0</v>
      </c>
      <c r="F1977" s="992"/>
      <c r="G1977" s="967" t="n">
        <f aca="false">IF(F1977&gt;0,D1977*F1977,E1977*D1977)</f>
        <v>0</v>
      </c>
      <c r="H1977" s="970" t="n">
        <f aca="false">D1977*E1977*$H$1973</f>
        <v>0</v>
      </c>
      <c r="I1977" s="936" t="n">
        <f aca="false">IF(G1977&gt;H1977,G1977,H1977)*$H$1972</f>
        <v>0</v>
      </c>
      <c r="J1977" s="931"/>
      <c r="K1977" s="937"/>
    </row>
    <row r="1978" customFormat="false" ht="15.75" hidden="true" customHeight="false" outlineLevel="0" collapsed="false">
      <c r="A1978" s="937"/>
      <c r="B1978" s="992" t="str">
        <f aca="false">инженерка!A468</f>
        <v>Горловина для септика бетонная</v>
      </c>
      <c r="C1978" s="993" t="str">
        <f aca="false">инженерка!B468</f>
        <v>шт</v>
      </c>
      <c r="D1978" s="992" t="n">
        <f aca="false">инженерка!C468</f>
        <v>1</v>
      </c>
      <c r="E1978" s="1010" t="n">
        <f aca="false">инженерка!D468</f>
        <v>1000</v>
      </c>
      <c r="F1978" s="1010"/>
      <c r="G1978" s="967" t="n">
        <f aca="false">IF(F1978&gt;0,D1978*F1978,E1978*D1978)</f>
        <v>1000</v>
      </c>
      <c r="H1978" s="970" t="n">
        <f aca="false">D1978*E1978*$H$1973</f>
        <v>0</v>
      </c>
      <c r="I1978" s="936" t="n">
        <f aca="false">IF(G1978&gt;H1978,G1978,H1978)*$H$1972</f>
        <v>0</v>
      </c>
      <c r="J1978" s="931"/>
      <c r="K1978" s="937"/>
    </row>
    <row r="1979" customFormat="false" ht="15.75" hidden="true" customHeight="false" outlineLevel="0" collapsed="false">
      <c r="A1979" s="937"/>
      <c r="B1979" s="992" t="str">
        <f aca="false">инженерка!A469</f>
        <v>Труба канализационная D110</v>
      </c>
      <c r="C1979" s="993" t="str">
        <f aca="false">инженерка!B469</f>
        <v>м.п.</v>
      </c>
      <c r="D1979" s="992" t="n">
        <f aca="false">инженерка!C469</f>
        <v>10</v>
      </c>
      <c r="E1979" s="1010" t="n">
        <f aca="false">инженерка!D469</f>
        <v>70</v>
      </c>
      <c r="F1979" s="1010"/>
      <c r="G1979" s="967" t="n">
        <f aca="false">IF(F1979&gt;0,D1979*F1979,E1979*D1979)</f>
        <v>700</v>
      </c>
      <c r="H1979" s="970" t="n">
        <f aca="false">D1979*E1979*$H$1973</f>
        <v>0</v>
      </c>
      <c r="I1979" s="936" t="n">
        <f aca="false">IF(G1979&gt;H1979,G1979,H1979)*$H$1972</f>
        <v>0</v>
      </c>
      <c r="J1979" s="931"/>
      <c r="K1979" s="937"/>
    </row>
    <row r="1980" customFormat="false" ht="15.75" hidden="true" customHeight="false" outlineLevel="0" collapsed="false">
      <c r="A1980" s="937"/>
      <c r="B1980" s="992" t="str">
        <f aca="false">инженерка!A470</f>
        <v>утепление для канализационной трубы</v>
      </c>
      <c r="C1980" s="993" t="str">
        <f aca="false">инженерка!B470</f>
        <v>м.п.</v>
      </c>
      <c r="D1980" s="992" t="n">
        <f aca="false">инженерка!C470</f>
        <v>8</v>
      </c>
      <c r="E1980" s="1010" t="n">
        <f aca="false">инженерка!D470</f>
        <v>300</v>
      </c>
      <c r="F1980" s="1010"/>
      <c r="G1980" s="967" t="n">
        <f aca="false">IF(F1980&gt;0,D1980*F1980,E1980*D1980)</f>
        <v>2400</v>
      </c>
      <c r="H1980" s="970" t="n">
        <f aca="false">D1980*E1980*$H$1973</f>
        <v>0</v>
      </c>
      <c r="I1980" s="936" t="n">
        <f aca="false">IF(G1980&gt;H1980,G1980,H1980)*$H$1972</f>
        <v>0</v>
      </c>
      <c r="J1980" s="931"/>
      <c r="K1980" s="937"/>
    </row>
    <row r="1981" customFormat="false" ht="15.75" hidden="true" customHeight="false" outlineLevel="0" collapsed="false">
      <c r="A1981" s="937"/>
      <c r="B1981" s="992" t="str">
        <f aca="false">инженерка!A471</f>
        <v>раствор для бетонирования</v>
      </c>
      <c r="C1981" s="993" t="str">
        <f aca="false">инженерка!B471</f>
        <v>шт</v>
      </c>
      <c r="D1981" s="992" t="n">
        <f aca="false">инженерка!C471</f>
        <v>3</v>
      </c>
      <c r="E1981" s="1010" t="n">
        <f aca="false">инженерка!D471</f>
        <v>100</v>
      </c>
      <c r="F1981" s="1010"/>
      <c r="G1981" s="967" t="n">
        <f aca="false">IF(F1981&gt;0,D1981*F1981,E1981*D1981)</f>
        <v>300</v>
      </c>
      <c r="H1981" s="970" t="n">
        <f aca="false">D1981*E1981*$H$1973</f>
        <v>0</v>
      </c>
      <c r="I1981" s="936" t="n">
        <f aca="false">IF(G1981&gt;H1981,G1981,H1981)*$H$1972</f>
        <v>0</v>
      </c>
      <c r="J1981" s="931"/>
      <c r="K1981" s="937"/>
    </row>
    <row r="1982" customFormat="false" ht="15.75" hidden="true" customHeight="false" outlineLevel="0" collapsed="false">
      <c r="A1982" s="937"/>
      <c r="B1982" s="992" t="str">
        <f aca="false">инженерка!A472</f>
        <v>скотч для скорлупы утепления</v>
      </c>
      <c r="C1982" s="993" t="str">
        <f aca="false">инженерка!B472</f>
        <v>шт</v>
      </c>
      <c r="D1982" s="992" t="n">
        <f aca="false">инженерка!C472</f>
        <v>3</v>
      </c>
      <c r="E1982" s="1010" t="n">
        <f aca="false">инженерка!D472</f>
        <v>100</v>
      </c>
      <c r="F1982" s="1010"/>
      <c r="G1982" s="967" t="n">
        <f aca="false">IF(F1982&gt;0,D1982*F1982,E1982*D1982)</f>
        <v>300</v>
      </c>
      <c r="H1982" s="970" t="n">
        <f aca="false">D1982*E1982*$H$1973</f>
        <v>0</v>
      </c>
      <c r="I1982" s="936" t="n">
        <f aca="false">IF(G1982&gt;H1982,G1982,H1982)*$H$1972</f>
        <v>0</v>
      </c>
      <c r="J1982" s="931"/>
      <c r="K1982" s="937"/>
    </row>
    <row r="1983" customFormat="false" ht="15.75" hidden="true" customHeight="false" outlineLevel="0" collapsed="false">
      <c r="A1983" s="937"/>
      <c r="B1983" s="992" t="str">
        <f aca="false">инженерка!A473</f>
        <v>дно бетонное, диаметр 2м.п.</v>
      </c>
      <c r="C1983" s="993" t="str">
        <f aca="false">инженерка!B473</f>
        <v>шт</v>
      </c>
      <c r="D1983" s="992" t="n">
        <f aca="false">инженерка!C473</f>
        <v>1</v>
      </c>
      <c r="E1983" s="992" t="n">
        <f aca="false">инженерка!D473</f>
        <v>2000</v>
      </c>
      <c r="F1983" s="992"/>
      <c r="G1983" s="967" t="n">
        <f aca="false">IF(F1983&gt;0,D1983*F1983,E1983*D1983)</f>
        <v>2000</v>
      </c>
      <c r="H1983" s="970" t="n">
        <f aca="false">D1983*E1983*$H$1973</f>
        <v>0</v>
      </c>
      <c r="I1983" s="936" t="n">
        <f aca="false">IF(G1983&gt;H1983,G1983,H1983)*$H$1972</f>
        <v>0</v>
      </c>
      <c r="J1983" s="931"/>
      <c r="K1983" s="937"/>
    </row>
    <row r="1984" customFormat="false" ht="15.75" hidden="true" customHeight="false" outlineLevel="0" collapsed="false">
      <c r="A1984" s="937"/>
      <c r="B1984" s="992" t="str">
        <f aca="false">инженерка!A474</f>
        <v>кольцо бетонное, диаметр 2м.п.</v>
      </c>
      <c r="C1984" s="993" t="str">
        <f aca="false">инженерка!B474</f>
        <v>шт</v>
      </c>
      <c r="D1984" s="992" t="n">
        <f aca="false">инженерка!C474</f>
        <v>3</v>
      </c>
      <c r="E1984" s="992" t="n">
        <f aca="false">инженерка!D474</f>
        <v>3300</v>
      </c>
      <c r="F1984" s="992"/>
      <c r="G1984" s="967" t="n">
        <f aca="false">IF(F1984&gt;0,D1984*F1984,E1984*D1984)</f>
        <v>9900</v>
      </c>
      <c r="H1984" s="970" t="n">
        <f aca="false">D1984*E1984*$H$1973</f>
        <v>0</v>
      </c>
      <c r="I1984" s="936" t="n">
        <f aca="false">IF(G1984&gt;H1984,G1984,H1984)*$H$1972</f>
        <v>0</v>
      </c>
      <c r="J1984" s="931"/>
      <c r="K1984" s="937"/>
    </row>
    <row r="1985" customFormat="false" ht="15.75" hidden="true" customHeight="false" outlineLevel="0" collapsed="false">
      <c r="A1985" s="937"/>
      <c r="B1985" s="992" t="str">
        <f aca="false">инженерка!A475</f>
        <v>крышка бетонная, диаметр 2м.п.</v>
      </c>
      <c r="C1985" s="993" t="str">
        <f aca="false">инженерка!B475</f>
        <v>шт</v>
      </c>
      <c r="D1985" s="992" t="n">
        <f aca="false">инженерка!C475</f>
        <v>1</v>
      </c>
      <c r="E1985" s="992" t="n">
        <f aca="false">инженерка!D475</f>
        <v>4000</v>
      </c>
      <c r="F1985" s="992"/>
      <c r="G1985" s="967" t="n">
        <f aca="false">IF(F1985&gt;0,D1985*F1985,E1985*D1985)</f>
        <v>4000</v>
      </c>
      <c r="H1985" s="970" t="n">
        <f aca="false">D1985*E1985*$H$1973</f>
        <v>0</v>
      </c>
      <c r="I1985" s="936" t="n">
        <f aca="false">IF(G1985&gt;H1985,G1985,H1985)*$H$1972</f>
        <v>0</v>
      </c>
      <c r="J1985" s="931"/>
      <c r="K1985" s="937"/>
    </row>
    <row r="1986" customFormat="false" ht="15.75" hidden="true" customHeight="false" outlineLevel="0" collapsed="false">
      <c r="A1986" s="937"/>
      <c r="B1986" s="992" t="str">
        <f aca="false">инженерка!A476</f>
        <v>Нет люка для крышки</v>
      </c>
      <c r="C1986" s="993" t="str">
        <f aca="false">инженерка!B476</f>
        <v>шт</v>
      </c>
      <c r="D1986" s="992" t="n">
        <f aca="false">инженерка!C476</f>
        <v>0</v>
      </c>
      <c r="E1986" s="992" t="n">
        <f aca="false">инженерка!D476</f>
        <v>0</v>
      </c>
      <c r="F1986" s="992"/>
      <c r="G1986" s="967" t="n">
        <f aca="false">IF(F1986&gt;0,D1986*F1986,E1986*D1986)</f>
        <v>0</v>
      </c>
      <c r="H1986" s="970" t="n">
        <f aca="false">D1986*E1986*$H$1973</f>
        <v>0</v>
      </c>
      <c r="I1986" s="936" t="n">
        <f aca="false">IF(G1986&gt;H1986,G1986,H1986)*$H$1972</f>
        <v>0</v>
      </c>
      <c r="J1986" s="931"/>
      <c r="K1986" s="937"/>
    </row>
    <row r="1987" customFormat="false" ht="15.75" hidden="true" customHeight="false" outlineLevel="0" collapsed="false">
      <c r="A1987" s="937"/>
      <c r="B1987" s="973" t="s">
        <v>2247</v>
      </c>
      <c r="C1987" s="973"/>
      <c r="D1987" s="973"/>
      <c r="E1987" s="973"/>
      <c r="F1987" s="973"/>
      <c r="G1987" s="970" t="n">
        <f aca="false">SUM(G1974:G1986)*H1972</f>
        <v>0</v>
      </c>
      <c r="H1987" s="970" t="n">
        <f aca="false">SUM(H1974:H1986)</f>
        <v>0</v>
      </c>
      <c r="I1987" s="936" t="n">
        <f aca="false">IF(G1987&gt;H1987,G1987,H1987)*$H$1972</f>
        <v>0</v>
      </c>
      <c r="J1987" s="931"/>
      <c r="K1987" s="937"/>
    </row>
    <row r="1988" customFormat="false" ht="15.75" hidden="true" customHeight="false" outlineLevel="0" collapsed="false">
      <c r="A1988" s="937"/>
      <c r="B1988" s="976" t="s">
        <v>2007</v>
      </c>
      <c r="C1988" s="976"/>
      <c r="D1988" s="976"/>
      <c r="E1988" s="976"/>
      <c r="F1988" s="1014"/>
      <c r="G1988" s="977"/>
      <c r="H1988" s="994" t="n">
        <f aca="false">H1972</f>
        <v>0</v>
      </c>
      <c r="I1988" s="1026" t="n">
        <f aca="false">H1988</f>
        <v>0</v>
      </c>
      <c r="J1988" s="931"/>
      <c r="K1988" s="937"/>
    </row>
    <row r="1989" customFormat="false" ht="15.75" hidden="true" customHeight="false" outlineLevel="0" collapsed="false">
      <c r="A1989" s="931"/>
      <c r="B1989" s="995" t="str">
        <f aca="false">инженерка!G464</f>
        <v>монтаж дна</v>
      </c>
      <c r="C1989" s="1015" t="s">
        <v>48</v>
      </c>
      <c r="D1989" s="992" t="n">
        <f aca="false">инженерка!I464</f>
        <v>2</v>
      </c>
      <c r="E1989" s="1010" t="n">
        <f aca="false">инженерка!J464</f>
        <v>1000</v>
      </c>
      <c r="F1989" s="1010"/>
      <c r="G1989" s="967" t="n">
        <f aca="false">IF(F1989&gt;0,D1989*F1989,E1989*D1989)</f>
        <v>2000</v>
      </c>
      <c r="H1989" s="970" t="n">
        <f aca="false">D1989*E1989*$H$1988</f>
        <v>0</v>
      </c>
      <c r="I1989" s="936" t="n">
        <f aca="false">IF(G1989&gt;H1989,G1989,H1989)*$H$1972</f>
        <v>0</v>
      </c>
      <c r="J1989" s="931"/>
      <c r="K1989" s="937"/>
    </row>
    <row r="1990" customFormat="false" ht="15.75" hidden="true" customHeight="false" outlineLevel="0" collapsed="false">
      <c r="A1990" s="937"/>
      <c r="B1990" s="995" t="str">
        <f aca="false">инженерка!G465</f>
        <v>монтаж колец</v>
      </c>
      <c r="C1990" s="1015" t="s">
        <v>48</v>
      </c>
      <c r="D1990" s="992" t="n">
        <f aca="false">инженерка!I465</f>
        <v>6</v>
      </c>
      <c r="E1990" s="1010" t="n">
        <f aca="false">инженерка!J465</f>
        <v>1000</v>
      </c>
      <c r="F1990" s="1010"/>
      <c r="G1990" s="967" t="n">
        <f aca="false">IF(F1990&gt;0,D1990*F1990,E1990*D1990)</f>
        <v>6000</v>
      </c>
      <c r="H1990" s="970" t="n">
        <f aca="false">D1990*E1990*$H$1988</f>
        <v>0</v>
      </c>
      <c r="I1990" s="936" t="n">
        <f aca="false">IF(G1990&gt;H1990,G1990,H1990)*$H$1972</f>
        <v>0</v>
      </c>
      <c r="J1990" s="931"/>
      <c r="K1990" s="937"/>
    </row>
    <row r="1991" customFormat="false" ht="15.75" hidden="true" customHeight="false" outlineLevel="0" collapsed="false">
      <c r="A1991" s="937"/>
      <c r="B1991" s="995" t="str">
        <f aca="false">инженерка!G466</f>
        <v>монтаж крышки</v>
      </c>
      <c r="C1991" s="1015" t="s">
        <v>48</v>
      </c>
      <c r="D1991" s="992" t="n">
        <f aca="false">инженерка!I466</f>
        <v>2</v>
      </c>
      <c r="E1991" s="1010" t="n">
        <f aca="false">инженерка!J466</f>
        <v>1000</v>
      </c>
      <c r="F1991" s="1010"/>
      <c r="G1991" s="967" t="n">
        <f aca="false">IF(F1991&gt;0,D1991*F1991,E1991*D1991)</f>
        <v>2000</v>
      </c>
      <c r="H1991" s="970" t="n">
        <f aca="false">D1991*E1991*$H$1988</f>
        <v>0</v>
      </c>
      <c r="I1991" s="936" t="n">
        <f aca="false">IF(G1991&gt;H1991,G1991,H1991)*$H$1972</f>
        <v>0</v>
      </c>
      <c r="J1991" s="931"/>
      <c r="K1991" s="937"/>
    </row>
    <row r="1992" customFormat="false" ht="15.75" hidden="true" customHeight="false" outlineLevel="0" collapsed="false">
      <c r="A1992" s="937"/>
      <c r="B1992" s="995" t="str">
        <f aca="false">инженерка!G467</f>
        <v>монтаж люка</v>
      </c>
      <c r="C1992" s="1015" t="s">
        <v>48</v>
      </c>
      <c r="D1992" s="992" t="n">
        <f aca="false">инженерка!I467</f>
        <v>0</v>
      </c>
      <c r="E1992" s="1010" t="n">
        <f aca="false">инженерка!J467</f>
        <v>1000</v>
      </c>
      <c r="F1992" s="1010"/>
      <c r="G1992" s="967" t="n">
        <f aca="false">IF(F1992&gt;0,D1992*F1992,E1992*D1992)</f>
        <v>0</v>
      </c>
      <c r="H1992" s="970" t="n">
        <f aca="false">D1992*E1992*$H$1988</f>
        <v>0</v>
      </c>
      <c r="I1992" s="936" t="n">
        <f aca="false">IF(G1992&gt;H1992,G1992,H1992)*$H$1972</f>
        <v>0</v>
      </c>
      <c r="J1992" s="931"/>
      <c r="K1992" s="937"/>
    </row>
    <row r="1993" customFormat="false" ht="15.75" hidden="true" customHeight="false" outlineLevel="0" collapsed="false">
      <c r="A1993" s="937"/>
      <c r="B1993" s="995" t="str">
        <f aca="false">инженерка!G468</f>
        <v>монтаж горловины</v>
      </c>
      <c r="C1993" s="1015" t="s">
        <v>15</v>
      </c>
      <c r="D1993" s="992" t="n">
        <f aca="false">инженерка!I468</f>
        <v>1</v>
      </c>
      <c r="E1993" s="1010" t="n">
        <f aca="false">инженерка!J468</f>
        <v>800</v>
      </c>
      <c r="F1993" s="1010"/>
      <c r="G1993" s="967" t="n">
        <f aca="false">IF(F1993&gt;0,D1993*F1993,E1993*D1993)</f>
        <v>800</v>
      </c>
      <c r="H1993" s="970" t="n">
        <f aca="false">D1993*E1993*$H$1988</f>
        <v>0</v>
      </c>
      <c r="I1993" s="936" t="n">
        <f aca="false">IF(G1993&gt;H1993,G1993,H1993)*$H$1972</f>
        <v>0</v>
      </c>
      <c r="J1993" s="931"/>
      <c r="K1993" s="937"/>
    </row>
    <row r="1994" customFormat="false" ht="15.75" hidden="true" customHeight="false" outlineLevel="0" collapsed="false">
      <c r="A1994" s="937"/>
      <c r="B1994" s="995" t="str">
        <f aca="false">инженерка!G469</f>
        <v>м/ж ут-ной канал</v>
      </c>
      <c r="C1994" s="1015" t="s">
        <v>48</v>
      </c>
      <c r="D1994" s="992" t="n">
        <f aca="false">инженерка!I469</f>
        <v>10</v>
      </c>
      <c r="E1994" s="1010" t="n">
        <f aca="false">инженерка!J469</f>
        <v>500</v>
      </c>
      <c r="F1994" s="1010"/>
      <c r="G1994" s="967" t="n">
        <f aca="false">IF(F1994&gt;0,D1994*F1994,E1994*D1994)</f>
        <v>5000</v>
      </c>
      <c r="H1994" s="970" t="n">
        <f aca="false">D1994*E1994*$H$1988</f>
        <v>0</v>
      </c>
      <c r="I1994" s="936" t="n">
        <f aca="false">IF(G1994&gt;H1994,G1994,H1994)*$H$1972</f>
        <v>0</v>
      </c>
      <c r="J1994" s="931"/>
      <c r="K1994" s="937"/>
    </row>
    <row r="1995" customFormat="false" ht="15.75" hidden="true" customHeight="false" outlineLevel="0" collapsed="false">
      <c r="A1995" s="937"/>
      <c r="B1995" s="995" t="str">
        <f aca="false">инженерка!G470</f>
        <v>бетонирование</v>
      </c>
      <c r="C1995" s="1015" t="s">
        <v>48</v>
      </c>
      <c r="D1995" s="992" t="n">
        <f aca="false">инженерка!I470</f>
        <v>1</v>
      </c>
      <c r="E1995" s="1010" t="n">
        <f aca="false">инженерка!J470</f>
        <v>2500</v>
      </c>
      <c r="F1995" s="1010"/>
      <c r="G1995" s="967" t="n">
        <f aca="false">IF(F1995&gt;0,D1995*F1995,E1995*D1995)</f>
        <v>2500</v>
      </c>
      <c r="H1995" s="970" t="n">
        <f aca="false">D1995*E1995*$H$1988</f>
        <v>0</v>
      </c>
      <c r="I1995" s="936" t="n">
        <f aca="false">IF(G1995&gt;H1995,G1995,H1995)*$H$1972</f>
        <v>0</v>
      </c>
      <c r="J1995" s="931"/>
      <c r="K1995" s="937"/>
    </row>
    <row r="1996" customFormat="false" ht="15.75" hidden="true" customHeight="false" outlineLevel="0" collapsed="false">
      <c r="A1996" s="937"/>
      <c r="B1996" s="973" t="s">
        <v>2248</v>
      </c>
      <c r="C1996" s="973"/>
      <c r="D1996" s="973"/>
      <c r="E1996" s="973"/>
      <c r="F1996" s="973"/>
      <c r="G1996" s="970" t="n">
        <f aca="false">SUM(G1989:G1995)*H1988</f>
        <v>0</v>
      </c>
      <c r="H1996" s="970" t="n">
        <f aca="false">SUM(H1989:H1995)</f>
        <v>0</v>
      </c>
      <c r="I1996" s="936" t="n">
        <f aca="false">IF(G1996&gt;H1996,G1996,H1996)*$H$1972</f>
        <v>0</v>
      </c>
      <c r="J1996" s="931"/>
      <c r="K1996" s="937"/>
    </row>
    <row r="1997" customFormat="false" ht="21" hidden="true" customHeight="false" outlineLevel="0" collapsed="false">
      <c r="A1997" s="937"/>
      <c r="B1997" s="989" t="s">
        <v>918</v>
      </c>
      <c r="C1997" s="989"/>
      <c r="D1997" s="989"/>
      <c r="E1997" s="989"/>
      <c r="F1997" s="989"/>
      <c r="G1997" s="977"/>
      <c r="H1997" s="1007" t="n">
        <f aca="false">VLOOKUP('Ввод данных'!F1456,связи1!A2:B3,2,0)</f>
        <v>0</v>
      </c>
      <c r="I1997" s="1026" t="n">
        <f aca="false">H1997</f>
        <v>0</v>
      </c>
      <c r="J1997" s="931"/>
      <c r="K1997" s="937"/>
    </row>
    <row r="1998" customFormat="false" ht="15.75" hidden="true" customHeight="false" outlineLevel="0" collapsed="false">
      <c r="A1998" s="931"/>
      <c r="B1998" s="1008" t="s">
        <v>2246</v>
      </c>
      <c r="C1998" s="1008"/>
      <c r="D1998" s="1008"/>
      <c r="E1998" s="1008"/>
      <c r="F1998" s="1008"/>
      <c r="G1998" s="977"/>
      <c r="H1998" s="1009" t="n">
        <f aca="false">H1997</f>
        <v>0</v>
      </c>
      <c r="I1998" s="1026" t="n">
        <f aca="false">H1998</f>
        <v>0</v>
      </c>
      <c r="J1998" s="931"/>
      <c r="K1998" s="937"/>
    </row>
    <row r="1999" customFormat="false" ht="15.75" hidden="true" customHeight="false" outlineLevel="0" collapsed="false">
      <c r="A1999" s="931"/>
      <c r="B1999" s="992" t="str">
        <f aca="false">инженерка!A496</f>
        <v>котел</v>
      </c>
      <c r="C1999" s="993" t="str">
        <f aca="false">инженерка!B496</f>
        <v>шт</v>
      </c>
      <c r="D1999" s="992" t="n">
        <f aca="false">инженерка!C496</f>
        <v>1</v>
      </c>
      <c r="E1999" s="992" t="n">
        <f aca="false">инженерка!D496</f>
        <v>30000</v>
      </c>
      <c r="F1999" s="992"/>
      <c r="G1999" s="967" t="n">
        <f aca="false">IF(F1999&gt;0,D1999*F1999,E1999*D1999)</f>
        <v>30000</v>
      </c>
      <c r="H1999" s="970" t="n">
        <f aca="false">D1999*E1999*$H$1998</f>
        <v>0</v>
      </c>
      <c r="I1999" s="936" t="n">
        <f aca="false">IF(G1999&gt;H1999,G1999,H1999)*$H$1997</f>
        <v>0</v>
      </c>
      <c r="J1999" s="931"/>
      <c r="K1999" s="937"/>
    </row>
    <row r="2000" customFormat="false" ht="15.75" hidden="true" customHeight="false" outlineLevel="0" collapsed="false">
      <c r="A2000" s="937"/>
      <c r="B2000" s="992" t="str">
        <f aca="false">инженерка!A497</f>
        <v>бойлер</v>
      </c>
      <c r="C2000" s="993" t="str">
        <f aca="false">инженерка!B497</f>
        <v>шт</v>
      </c>
      <c r="D2000" s="992" t="n">
        <f aca="false">инженерка!C497</f>
        <v>1</v>
      </c>
      <c r="E2000" s="992" t="n">
        <f aca="false">инженерка!D497</f>
        <v>10000</v>
      </c>
      <c r="F2000" s="992"/>
      <c r="G2000" s="967" t="n">
        <f aca="false">IF(F2000&gt;0,D2000*F2000,E2000*D2000)</f>
        <v>10000</v>
      </c>
      <c r="H2000" s="970" t="n">
        <f aca="false">D2000*E2000*$H$1998</f>
        <v>0</v>
      </c>
      <c r="I2000" s="936" t="n">
        <f aca="false">IF(G2000&gt;H2000,G2000,H2000)*$H$1997</f>
        <v>0</v>
      </c>
      <c r="J2000" s="931"/>
      <c r="K2000" s="937"/>
    </row>
    <row r="2001" customFormat="false" ht="15.75" hidden="true" customHeight="false" outlineLevel="0" collapsed="false">
      <c r="A2001" s="937"/>
      <c r="B2001" s="992" t="str">
        <f aca="false">инженерка!A498</f>
        <v>гребенка</v>
      </c>
      <c r="C2001" s="993" t="str">
        <f aca="false">инженерка!B498</f>
        <v>шт</v>
      </c>
      <c r="D2001" s="992" t="n">
        <f aca="false">инженерка!C498</f>
        <v>1</v>
      </c>
      <c r="E2001" s="992" t="n">
        <f aca="false">инженерка!D498</f>
        <v>5000</v>
      </c>
      <c r="F2001" s="992"/>
      <c r="G2001" s="967" t="n">
        <f aca="false">IF(F2001&gt;0,D2001*F2001,E2001*D2001)</f>
        <v>5000</v>
      </c>
      <c r="H2001" s="970" t="n">
        <f aca="false">D2001*E2001*$H$1998</f>
        <v>0</v>
      </c>
      <c r="I2001" s="936" t="n">
        <f aca="false">IF(G2001&gt;H2001,G2001,H2001)*$H$1997</f>
        <v>0</v>
      </c>
      <c r="J2001" s="931"/>
      <c r="K2001" s="937"/>
    </row>
    <row r="2002" customFormat="false" ht="15.75" hidden="true" customHeight="false" outlineLevel="0" collapsed="false">
      <c r="A2002" s="937"/>
      <c r="B2002" s="992" t="str">
        <f aca="false">инженерка!A499</f>
        <v>насос на отопление</v>
      </c>
      <c r="C2002" s="993" t="str">
        <f aca="false">инженерка!B499</f>
        <v>шт</v>
      </c>
      <c r="D2002" s="992" t="n">
        <f aca="false">инженерка!C499</f>
        <v>1</v>
      </c>
      <c r="E2002" s="992" t="n">
        <f aca="false">инженерка!D499</f>
        <v>3500</v>
      </c>
      <c r="F2002" s="992"/>
      <c r="G2002" s="967" t="n">
        <f aca="false">IF(F2002&gt;0,D2002*F2002,E2002*D2002)</f>
        <v>3500</v>
      </c>
      <c r="H2002" s="970" t="n">
        <f aca="false">D2002*E2002*$H$1998</f>
        <v>0</v>
      </c>
      <c r="I2002" s="936" t="n">
        <f aca="false">IF(G2002&gt;H2002,G2002,H2002)*$H$1997</f>
        <v>0</v>
      </c>
      <c r="J2002" s="931"/>
      <c r="K2002" s="937"/>
    </row>
    <row r="2003" customFormat="false" ht="15.75" hidden="true" customHeight="false" outlineLevel="0" collapsed="false">
      <c r="A2003" s="937"/>
      <c r="B2003" s="992" t="str">
        <f aca="false">инженерка!A500</f>
        <v>насос на горячее водоснабжение</v>
      </c>
      <c r="C2003" s="993" t="str">
        <f aca="false">инженерка!B500</f>
        <v>шт</v>
      </c>
      <c r="D2003" s="992" t="n">
        <f aca="false">инженерка!C500</f>
        <v>1</v>
      </c>
      <c r="E2003" s="992" t="n">
        <f aca="false">инженерка!D500</f>
        <v>2500</v>
      </c>
      <c r="F2003" s="992"/>
      <c r="G2003" s="967" t="n">
        <f aca="false">IF(F2003&gt;0,D2003*F2003,E2003*D2003)</f>
        <v>2500</v>
      </c>
      <c r="H2003" s="970" t="n">
        <f aca="false">D2003*E2003*$H$1998</f>
        <v>0</v>
      </c>
      <c r="I2003" s="936" t="n">
        <f aca="false">IF(G2003&gt;H2003,G2003,H2003)*$H$1997</f>
        <v>0</v>
      </c>
      <c r="J2003" s="931"/>
      <c r="K2003" s="937"/>
    </row>
    <row r="2004" customFormat="false" ht="15.75" hidden="true" customHeight="false" outlineLevel="0" collapsed="false">
      <c r="A2004" s="937"/>
      <c r="B2004" s="992" t="str">
        <f aca="false">инженерка!A501</f>
        <v>датчик давления</v>
      </c>
      <c r="C2004" s="993" t="str">
        <f aca="false">инженерка!B501</f>
        <v>шт</v>
      </c>
      <c r="D2004" s="992" t="n">
        <f aca="false">инженерка!C501</f>
        <v>2</v>
      </c>
      <c r="E2004" s="992" t="n">
        <f aca="false">инженерка!D501</f>
        <v>700</v>
      </c>
      <c r="F2004" s="992"/>
      <c r="G2004" s="967" t="n">
        <f aca="false">IF(F2004&gt;0,D2004*F2004,E2004*D2004)</f>
        <v>1400</v>
      </c>
      <c r="H2004" s="970" t="n">
        <f aca="false">D2004*E2004*$H$1998</f>
        <v>0</v>
      </c>
      <c r="I2004" s="936" t="n">
        <f aca="false">IF(G2004&gt;H2004,G2004,H2004)*$H$1997</f>
        <v>0</v>
      </c>
      <c r="J2004" s="931"/>
      <c r="K2004" s="937"/>
    </row>
    <row r="2005" customFormat="false" ht="15.75" hidden="true" customHeight="false" outlineLevel="0" collapsed="false">
      <c r="A2005" s="937"/>
      <c r="B2005" s="992" t="str">
        <f aca="false">инженерка!A502</f>
        <v>сбросной клапан</v>
      </c>
      <c r="C2005" s="993" t="str">
        <f aca="false">инженерка!B502</f>
        <v>шт</v>
      </c>
      <c r="D2005" s="992" t="n">
        <f aca="false">инженерка!C502</f>
        <v>1</v>
      </c>
      <c r="E2005" s="992" t="n">
        <f aca="false">инженерка!D502</f>
        <v>1500</v>
      </c>
      <c r="F2005" s="992"/>
      <c r="G2005" s="967" t="n">
        <f aca="false">IF(F2005&gt;0,D2005*F2005,E2005*D2005)</f>
        <v>1500</v>
      </c>
      <c r="H2005" s="970" t="n">
        <f aca="false">D2005*E2005*$H$1998</f>
        <v>0</v>
      </c>
      <c r="I2005" s="936" t="n">
        <f aca="false">IF(G2005&gt;H2005,G2005,H2005)*$H$1997</f>
        <v>0</v>
      </c>
      <c r="J2005" s="931"/>
      <c r="K2005" s="937"/>
    </row>
    <row r="2006" customFormat="false" ht="15.75" hidden="true" customHeight="false" outlineLevel="0" collapsed="false">
      <c r="A2006" s="937"/>
      <c r="B2006" s="992" t="str">
        <f aca="false">инженерка!A503</f>
        <v>труба, черная ду 32</v>
      </c>
      <c r="C2006" s="993" t="str">
        <f aca="false">инженерка!B503</f>
        <v>м.п.</v>
      </c>
      <c r="D2006" s="992" t="n">
        <f aca="false">инженерка!C503</f>
        <v>20</v>
      </c>
      <c r="E2006" s="992" t="n">
        <f aca="false">инженерка!D503</f>
        <v>100</v>
      </c>
      <c r="F2006" s="992"/>
      <c r="G2006" s="967" t="n">
        <f aca="false">IF(F2006&gt;0,D2006*F2006,E2006*D2006)</f>
        <v>2000</v>
      </c>
      <c r="H2006" s="970" t="n">
        <f aca="false">D2006*E2006*$H$1998</f>
        <v>0</v>
      </c>
      <c r="I2006" s="936" t="n">
        <f aca="false">IF(G2006&gt;H2006,G2006,H2006)*$H$1997</f>
        <v>0</v>
      </c>
      <c r="J2006" s="931"/>
      <c r="K2006" s="937"/>
    </row>
    <row r="2007" customFormat="false" ht="15.75" hidden="true" customHeight="false" outlineLevel="0" collapsed="false">
      <c r="A2007" s="937"/>
      <c r="B2007" s="992" t="str">
        <f aca="false">инженерка!A504</f>
        <v>угол ду 32</v>
      </c>
      <c r="C2007" s="993" t="str">
        <f aca="false">инженерка!B504</f>
        <v>шт</v>
      </c>
      <c r="D2007" s="992" t="n">
        <f aca="false">инженерка!C504</f>
        <v>10</v>
      </c>
      <c r="E2007" s="992" t="n">
        <f aca="false">инженерка!D504</f>
        <v>12</v>
      </c>
      <c r="F2007" s="992"/>
      <c r="G2007" s="967" t="n">
        <f aca="false">IF(F2007&gt;0,D2007*F2007,E2007*D2007)</f>
        <v>120</v>
      </c>
      <c r="H2007" s="970" t="n">
        <f aca="false">D2007*E2007*$H$1998</f>
        <v>0</v>
      </c>
      <c r="I2007" s="936" t="n">
        <f aca="false">IF(G2007&gt;H2007,G2007,H2007)*$H$1997</f>
        <v>0</v>
      </c>
      <c r="J2007" s="931"/>
      <c r="K2007" s="937"/>
    </row>
    <row r="2008" customFormat="false" ht="15.75" hidden="true" customHeight="false" outlineLevel="0" collapsed="false">
      <c r="A2008" s="937"/>
      <c r="B2008" s="992" t="str">
        <f aca="false">инженерка!A505</f>
        <v>бочонок ду 32</v>
      </c>
      <c r="C2008" s="993" t="str">
        <f aca="false">инженерка!B505</f>
        <v>шт</v>
      </c>
      <c r="D2008" s="992" t="n">
        <f aca="false">инженерка!C505</f>
        <v>10</v>
      </c>
      <c r="E2008" s="992" t="n">
        <f aca="false">инженерка!D505</f>
        <v>16</v>
      </c>
      <c r="F2008" s="992"/>
      <c r="G2008" s="967" t="n">
        <f aca="false">IF(F2008&gt;0,D2008*F2008,E2008*D2008)</f>
        <v>160</v>
      </c>
      <c r="H2008" s="970" t="n">
        <f aca="false">D2008*E2008*$H$1998</f>
        <v>0</v>
      </c>
      <c r="I2008" s="936" t="n">
        <f aca="false">IF(G2008&gt;H2008,G2008,H2008)*$H$1997</f>
        <v>0</v>
      </c>
      <c r="J2008" s="931"/>
      <c r="K2008" s="937"/>
    </row>
    <row r="2009" customFormat="false" ht="15.75" hidden="true" customHeight="false" outlineLevel="0" collapsed="false">
      <c r="A2009" s="937"/>
      <c r="B2009" s="992" t="str">
        <f aca="false">инженерка!A506</f>
        <v>резьба ду 32</v>
      </c>
      <c r="C2009" s="993" t="str">
        <f aca="false">инженерка!B506</f>
        <v>шт</v>
      </c>
      <c r="D2009" s="992" t="n">
        <f aca="false">инженерка!C506</f>
        <v>10</v>
      </c>
      <c r="E2009" s="992" t="n">
        <f aca="false">инженерка!D506</f>
        <v>12</v>
      </c>
      <c r="F2009" s="992"/>
      <c r="G2009" s="967" t="n">
        <f aca="false">IF(F2009&gt;0,D2009*F2009,E2009*D2009)</f>
        <v>120</v>
      </c>
      <c r="H2009" s="970" t="n">
        <f aca="false">D2009*E2009*$H$1998</f>
        <v>0</v>
      </c>
      <c r="I2009" s="936" t="n">
        <f aca="false">IF(G2009&gt;H2009,G2009,H2009)*$H$1997</f>
        <v>0</v>
      </c>
      <c r="J2009" s="931"/>
      <c r="K2009" s="937"/>
    </row>
    <row r="2010" customFormat="false" ht="15.75" hidden="true" customHeight="false" outlineLevel="0" collapsed="false">
      <c r="A2010" s="937"/>
      <c r="B2010" s="992" t="str">
        <f aca="false">инженерка!A507</f>
        <v>переод с ду 32на 20</v>
      </c>
      <c r="C2010" s="993" t="str">
        <f aca="false">инженерка!B507</f>
        <v>шт</v>
      </c>
      <c r="D2010" s="992" t="n">
        <f aca="false">инженерка!C507</f>
        <v>5</v>
      </c>
      <c r="E2010" s="992" t="n">
        <f aca="false">инженерка!D507</f>
        <v>16</v>
      </c>
      <c r="F2010" s="992"/>
      <c r="G2010" s="967" t="n">
        <f aca="false">IF(F2010&gt;0,D2010*F2010,E2010*D2010)</f>
        <v>80</v>
      </c>
      <c r="H2010" s="970" t="n">
        <f aca="false">D2010*E2010*$H$1998</f>
        <v>0</v>
      </c>
      <c r="I2010" s="936" t="n">
        <f aca="false">IF(G2010&gt;H2010,G2010,H2010)*$H$1997</f>
        <v>0</v>
      </c>
      <c r="J2010" s="931"/>
      <c r="K2010" s="937"/>
    </row>
    <row r="2011" customFormat="false" ht="15.75" hidden="true" customHeight="false" outlineLevel="0" collapsed="false">
      <c r="A2011" s="937"/>
      <c r="B2011" s="992" t="str">
        <f aca="false">инженерка!A508</f>
        <v>электроды, пачка</v>
      </c>
      <c r="C2011" s="993" t="str">
        <f aca="false">инженерка!B508</f>
        <v>шт</v>
      </c>
      <c r="D2011" s="992" t="n">
        <f aca="false">инженерка!C508</f>
        <v>1</v>
      </c>
      <c r="E2011" s="992" t="n">
        <f aca="false">инженерка!D508</f>
        <v>800</v>
      </c>
      <c r="F2011" s="992"/>
      <c r="G2011" s="967" t="n">
        <f aca="false">IF(F2011&gt;0,D2011*F2011,E2011*D2011)</f>
        <v>800</v>
      </c>
      <c r="H2011" s="970" t="n">
        <f aca="false">D2011*E2011*$H$1998</f>
        <v>0</v>
      </c>
      <c r="I2011" s="936" t="n">
        <f aca="false">IF(G2011&gt;H2011,G2011,H2011)*$H$1997</f>
        <v>0</v>
      </c>
      <c r="J2011" s="931"/>
      <c r="K2011" s="937"/>
    </row>
    <row r="2012" customFormat="false" ht="15.75" hidden="true" customHeight="false" outlineLevel="0" collapsed="false">
      <c r="A2012" s="937"/>
      <c r="B2012" s="992" t="str">
        <f aca="false">инженерка!A509</f>
        <v>лен</v>
      </c>
      <c r="C2012" s="993" t="str">
        <f aca="false">инженерка!B509</f>
        <v>рулон</v>
      </c>
      <c r="D2012" s="992" t="n">
        <f aca="false">инженерка!C509</f>
        <v>1</v>
      </c>
      <c r="E2012" s="992" t="n">
        <f aca="false">инженерка!D509</f>
        <v>200</v>
      </c>
      <c r="F2012" s="992"/>
      <c r="G2012" s="967" t="n">
        <f aca="false">IF(F2012&gt;0,D2012*F2012,E2012*D2012)</f>
        <v>200</v>
      </c>
      <c r="H2012" s="970" t="n">
        <f aca="false">D2012*E2012*$H$1998</f>
        <v>0</v>
      </c>
      <c r="I2012" s="936" t="n">
        <f aca="false">IF(G2012&gt;H2012,G2012,H2012)*$H$1997</f>
        <v>0</v>
      </c>
      <c r="J2012" s="931"/>
      <c r="K2012" s="937"/>
    </row>
    <row r="2013" customFormat="false" ht="15.75" hidden="true" customHeight="false" outlineLevel="0" collapsed="false">
      <c r="A2013" s="937"/>
      <c r="B2013" s="973" t="s">
        <v>2247</v>
      </c>
      <c r="C2013" s="973"/>
      <c r="D2013" s="973"/>
      <c r="E2013" s="973"/>
      <c r="F2013" s="973"/>
      <c r="G2013" s="970" t="n">
        <f aca="false">SUM(G1999:G2012)*H1997</f>
        <v>0</v>
      </c>
      <c r="H2013" s="970" t="n">
        <f aca="false">SUM(H1999:H2012)</f>
        <v>0</v>
      </c>
      <c r="I2013" s="936" t="n">
        <f aca="false">IF(G2013&gt;H2013,G2013,H2013)*$H$1997</f>
        <v>0</v>
      </c>
      <c r="J2013" s="931"/>
      <c r="K2013" s="937"/>
    </row>
    <row r="2014" customFormat="false" ht="15.75" hidden="true" customHeight="false" outlineLevel="0" collapsed="false">
      <c r="A2014" s="937"/>
      <c r="B2014" s="976" t="s">
        <v>2007</v>
      </c>
      <c r="C2014" s="976"/>
      <c r="D2014" s="976"/>
      <c r="E2014" s="976"/>
      <c r="F2014" s="976"/>
      <c r="G2014" s="977"/>
      <c r="H2014" s="994" t="n">
        <f aca="false">H1997</f>
        <v>0</v>
      </c>
      <c r="I2014" s="1026" t="n">
        <f aca="false">H2014</f>
        <v>0</v>
      </c>
      <c r="J2014" s="931"/>
      <c r="K2014" s="937"/>
    </row>
    <row r="2015" customFormat="false" ht="15.75" hidden="true" customHeight="false" outlineLevel="0" collapsed="false">
      <c r="A2015" s="931"/>
      <c r="B2015" s="995" t="s">
        <v>2219</v>
      </c>
      <c r="C2015" s="1015" t="s">
        <v>48</v>
      </c>
      <c r="D2015" s="992" t="n">
        <f aca="false">инженерка!I496</f>
        <v>1</v>
      </c>
      <c r="E2015" s="986" t="n">
        <f aca="false">инженерка!J496</f>
        <v>3500</v>
      </c>
      <c r="F2015" s="986"/>
      <c r="G2015" s="967" t="n">
        <f aca="false">IF(F2015&gt;0,D2015*F2015,E2015*D2015)</f>
        <v>3500</v>
      </c>
      <c r="H2015" s="970" t="n">
        <f aca="false">D2015*E2015*$H$2014</f>
        <v>0</v>
      </c>
      <c r="I2015" s="936" t="n">
        <f aca="false">IF(G2015&gt;H2015,G2015,H2015)*$H$1997</f>
        <v>0</v>
      </c>
      <c r="J2015" s="931"/>
      <c r="K2015" s="937"/>
    </row>
    <row r="2016" customFormat="false" ht="15.75" hidden="true" customHeight="false" outlineLevel="0" collapsed="false">
      <c r="A2016" s="937"/>
      <c r="B2016" s="995" t="s">
        <v>2220</v>
      </c>
      <c r="C2016" s="1015" t="s">
        <v>48</v>
      </c>
      <c r="D2016" s="992" t="n">
        <f aca="false">инженерка!I497</f>
        <v>1</v>
      </c>
      <c r="E2016" s="986" t="n">
        <f aca="false">инженерка!J497</f>
        <v>2500</v>
      </c>
      <c r="F2016" s="986"/>
      <c r="G2016" s="967" t="n">
        <f aca="false">IF(F2016&gt;0,D2016*F2016,E2016*D2016)</f>
        <v>2500</v>
      </c>
      <c r="H2016" s="970" t="n">
        <f aca="false">D2016*E2016*$H$2014</f>
        <v>0</v>
      </c>
      <c r="I2016" s="936" t="n">
        <f aca="false">IF(G2016&gt;H2016,G2016,H2016)*$H$1997</f>
        <v>0</v>
      </c>
      <c r="J2016" s="931"/>
      <c r="K2016" s="937"/>
    </row>
    <row r="2017" customFormat="false" ht="15.75" hidden="true" customHeight="false" outlineLevel="0" collapsed="false">
      <c r="A2017" s="937"/>
      <c r="B2017" s="995" t="s">
        <v>2221</v>
      </c>
      <c r="C2017" s="1015" t="s">
        <v>48</v>
      </c>
      <c r="D2017" s="992" t="n">
        <f aca="false">инженерка!I498</f>
        <v>1</v>
      </c>
      <c r="E2017" s="986" t="n">
        <f aca="false">инженерка!J498</f>
        <v>2000</v>
      </c>
      <c r="F2017" s="986"/>
      <c r="G2017" s="967" t="n">
        <f aca="false">IF(F2017&gt;0,D2017*F2017,E2017*D2017)</f>
        <v>2000</v>
      </c>
      <c r="H2017" s="970" t="n">
        <f aca="false">D2017*E2017*$H$2014</f>
        <v>0</v>
      </c>
      <c r="I2017" s="936" t="n">
        <f aca="false">IF(G2017&gt;H2017,G2017,H2017)*$H$1997</f>
        <v>0</v>
      </c>
      <c r="L2017" s="926"/>
      <c r="M2017" s="926"/>
      <c r="N2017" s="926"/>
    </row>
    <row r="2018" customFormat="false" ht="15.75" hidden="true" customHeight="false" outlineLevel="0" collapsed="false">
      <c r="A2018" s="937"/>
      <c r="B2018" s="995" t="s">
        <v>2222</v>
      </c>
      <c r="C2018" s="1015" t="s">
        <v>48</v>
      </c>
      <c r="D2018" s="992" t="n">
        <f aca="false">инженерка!I499</f>
        <v>1</v>
      </c>
      <c r="E2018" s="986" t="n">
        <f aca="false">инженерка!J499</f>
        <v>1000</v>
      </c>
      <c r="F2018" s="986"/>
      <c r="G2018" s="967" t="n">
        <f aca="false">IF(F2018&gt;0,D2018*F2018,E2018*D2018)</f>
        <v>1000</v>
      </c>
      <c r="H2018" s="970" t="n">
        <f aca="false">D2018*E2018*$H$2014</f>
        <v>0</v>
      </c>
      <c r="I2018" s="936" t="n">
        <f aca="false">IF(G2018&gt;H2018,G2018,H2018)*$H$1997</f>
        <v>0</v>
      </c>
      <c r="L2018" s="926"/>
      <c r="M2018" s="926"/>
      <c r="N2018" s="926"/>
    </row>
    <row r="2019" customFormat="false" ht="15.75" hidden="true" customHeight="false" outlineLevel="0" collapsed="false">
      <c r="A2019" s="937"/>
      <c r="B2019" s="995" t="s">
        <v>2223</v>
      </c>
      <c r="C2019" s="1015" t="s">
        <v>48</v>
      </c>
      <c r="D2019" s="992" t="n">
        <f aca="false">инженерка!I500</f>
        <v>1</v>
      </c>
      <c r="E2019" s="986" t="n">
        <f aca="false">инженерка!J500</f>
        <v>1000</v>
      </c>
      <c r="F2019" s="986"/>
      <c r="G2019" s="967" t="n">
        <f aca="false">IF(F2019&gt;0,D2019*F2019,E2019*D2019)</f>
        <v>1000</v>
      </c>
      <c r="H2019" s="970" t="n">
        <f aca="false">D2019*E2019*$H$2014</f>
        <v>0</v>
      </c>
      <c r="I2019" s="936" t="n">
        <f aca="false">IF(G2019&gt;H2019,G2019,H2019)*$H$1997</f>
        <v>0</v>
      </c>
      <c r="L2019" s="926"/>
      <c r="M2019" s="926"/>
      <c r="N2019" s="926"/>
    </row>
    <row r="2020" customFormat="false" ht="15.75" hidden="true" customHeight="false" outlineLevel="0" collapsed="false">
      <c r="A2020" s="937"/>
      <c r="B2020" s="995" t="s">
        <v>2224</v>
      </c>
      <c r="C2020" s="1015" t="s">
        <v>48</v>
      </c>
      <c r="D2020" s="992" t="n">
        <f aca="false">инженерка!I501</f>
        <v>1</v>
      </c>
      <c r="E2020" s="986" t="n">
        <f aca="false">инженерка!J501</f>
        <v>900</v>
      </c>
      <c r="F2020" s="986"/>
      <c r="G2020" s="967" t="n">
        <f aca="false">IF(F2020&gt;0,D2020*F2020,E2020*D2020)</f>
        <v>900</v>
      </c>
      <c r="H2020" s="970" t="n">
        <f aca="false">D2020*E2020*$H$2014</f>
        <v>0</v>
      </c>
      <c r="I2020" s="936" t="n">
        <f aca="false">IF(G2020&gt;H2020,G2020,H2020)*$H$1997</f>
        <v>0</v>
      </c>
      <c r="L2020" s="926"/>
      <c r="M2020" s="926"/>
      <c r="N2020" s="926"/>
    </row>
    <row r="2021" customFormat="false" ht="15.75" hidden="true" customHeight="false" outlineLevel="0" collapsed="false">
      <c r="A2021" s="937"/>
      <c r="B2021" s="995" t="s">
        <v>2225</v>
      </c>
      <c r="C2021" s="1015" t="s">
        <v>48</v>
      </c>
      <c r="D2021" s="992" t="n">
        <f aca="false">инженерка!I502</f>
        <v>2</v>
      </c>
      <c r="E2021" s="986" t="n">
        <f aca="false">инженерка!J502</f>
        <v>700</v>
      </c>
      <c r="F2021" s="986"/>
      <c r="G2021" s="967" t="n">
        <f aca="false">IF(F2021&gt;0,D2021*F2021,E2021*D2021)</f>
        <v>1400</v>
      </c>
      <c r="H2021" s="970" t="n">
        <f aca="false">D2021*E2021*$H$2014</f>
        <v>0</v>
      </c>
      <c r="I2021" s="936" t="n">
        <f aca="false">IF(G2021&gt;H2021,G2021,H2021)*$H$1997</f>
        <v>0</v>
      </c>
      <c r="L2021" s="926"/>
      <c r="M2021" s="926"/>
      <c r="N2021" s="926"/>
    </row>
    <row r="2022" customFormat="false" ht="15.75" hidden="true" customHeight="false" outlineLevel="0" collapsed="false">
      <c r="A2022" s="937"/>
      <c r="B2022" s="995" t="s">
        <v>2226</v>
      </c>
      <c r="C2022" s="1015" t="s">
        <v>15</v>
      </c>
      <c r="D2022" s="992" t="n">
        <f aca="false">инженерка!I503</f>
        <v>20</v>
      </c>
      <c r="E2022" s="986" t="n">
        <f aca="false">инженерка!J503</f>
        <v>500</v>
      </c>
      <c r="F2022" s="986"/>
      <c r="G2022" s="967" t="n">
        <f aca="false">IF(F2022&gt;0,D2022*F2022,E2022*D2022)</f>
        <v>10000</v>
      </c>
      <c r="H2022" s="970" t="n">
        <f aca="false">D2022*E2022*$H$2014</f>
        <v>0</v>
      </c>
      <c r="I2022" s="936" t="n">
        <f aca="false">IF(G2022&gt;H2022,G2022,H2022)*$H$1997</f>
        <v>0</v>
      </c>
      <c r="L2022" s="926"/>
      <c r="M2022" s="926"/>
      <c r="N2022" s="926"/>
    </row>
    <row r="2023" customFormat="false" ht="15.75" hidden="true" customHeight="false" outlineLevel="0" collapsed="false">
      <c r="A2023" s="937"/>
      <c r="B2023" s="973" t="s">
        <v>2248</v>
      </c>
      <c r="C2023" s="973"/>
      <c r="D2023" s="973"/>
      <c r="E2023" s="973"/>
      <c r="F2023" s="973"/>
      <c r="G2023" s="970" t="n">
        <f aca="false">SUM(G2015:G2022)*H2014</f>
        <v>0</v>
      </c>
      <c r="H2023" s="970" t="n">
        <f aca="false">SUM(H2015:H2022)</f>
        <v>0</v>
      </c>
      <c r="I2023" s="936" t="n">
        <f aca="false">IF(G2023&gt;H2023,G2023,H2023)*$H$1997</f>
        <v>0</v>
      </c>
      <c r="L2023" s="926"/>
      <c r="M2023" s="926"/>
      <c r="N2023" s="926"/>
    </row>
    <row r="2024" customFormat="false" ht="21" hidden="true" customHeight="false" outlineLevel="0" collapsed="false">
      <c r="A2024" s="937"/>
      <c r="B2024" s="998" t="s">
        <v>225</v>
      </c>
      <c r="C2024" s="998"/>
      <c r="D2024" s="998"/>
      <c r="E2024" s="998"/>
      <c r="F2024" s="1023"/>
      <c r="G2024" s="977"/>
      <c r="H2024" s="1000" t="n">
        <f aca="false">IF(SUM(H2025:H2111)&gt;0,1,0)</f>
        <v>0</v>
      </c>
      <c r="I2024" s="1026" t="n">
        <f aca="false">H2024</f>
        <v>0</v>
      </c>
      <c r="L2024" s="926"/>
      <c r="M2024" s="926"/>
      <c r="N2024" s="926"/>
    </row>
    <row r="2025" customFormat="false" ht="15.75" hidden="true" customHeight="false" outlineLevel="0" collapsed="false">
      <c r="A2025" s="937"/>
      <c r="B2025" s="1055" t="str">
        <f aca="false">фундамент!A678</f>
        <v>Нет техники</v>
      </c>
      <c r="C2025" s="1027" t="s">
        <v>109</v>
      </c>
      <c r="D2025" s="1056" t="n">
        <f aca="false">фундамент!C678</f>
        <v>0</v>
      </c>
      <c r="E2025" s="1056" t="n">
        <f aca="false">фундамент!D678</f>
        <v>0</v>
      </c>
      <c r="F2025" s="1056"/>
      <c r="G2025" s="967" t="n">
        <f aca="false">IF(F2025&gt;0,D2025*F2025,E2025*D2025)*IF(H2025&gt;0,1,0)</f>
        <v>0</v>
      </c>
      <c r="H2025" s="953" t="n">
        <f aca="false">фундамент!E678</f>
        <v>0</v>
      </c>
      <c r="I2025" s="936" t="n">
        <f aca="false">IF(G2025&gt;H2025,G2025,H2025)</f>
        <v>0</v>
      </c>
      <c r="L2025" s="926"/>
      <c r="M2025" s="926"/>
      <c r="N2025" s="926"/>
    </row>
    <row r="2026" customFormat="false" ht="15.75" hidden="true" customHeight="false" outlineLevel="0" collapsed="false">
      <c r="A2026" s="937"/>
      <c r="B2026" s="1055" t="str">
        <f aca="false">фундамент!A679</f>
        <v>Нет техники</v>
      </c>
      <c r="C2026" s="1027" t="s">
        <v>109</v>
      </c>
      <c r="D2026" s="1056" t="n">
        <f aca="false">фундамент!C679</f>
        <v>0</v>
      </c>
      <c r="E2026" s="1056" t="n">
        <f aca="false">фундамент!D679</f>
        <v>0</v>
      </c>
      <c r="F2026" s="1056"/>
      <c r="G2026" s="967" t="n">
        <f aca="false">IF(F2026&gt;0,D2026*F2026,E2026*D2026)*IF(H2026&gt;0,1,0)</f>
        <v>0</v>
      </c>
      <c r="H2026" s="953" t="n">
        <f aca="false">фундамент!E679</f>
        <v>0</v>
      </c>
      <c r="I2026" s="936" t="n">
        <f aca="false">IF(G2026&gt;H2026,G2026,H2026)</f>
        <v>0</v>
      </c>
      <c r="L2026" s="926"/>
      <c r="M2026" s="926"/>
      <c r="N2026" s="926"/>
    </row>
    <row r="2027" customFormat="false" ht="15.75" hidden="true" customHeight="false" outlineLevel="0" collapsed="false">
      <c r="A2027" s="937"/>
      <c r="B2027" s="1055" t="str">
        <f aca="false">фундамент!A680</f>
        <v>Нет техники</v>
      </c>
      <c r="C2027" s="1027" t="s">
        <v>109</v>
      </c>
      <c r="D2027" s="1056" t="n">
        <f aca="false">фундамент!C680</f>
        <v>0</v>
      </c>
      <c r="E2027" s="1056" t="n">
        <f aca="false">фундамент!D680</f>
        <v>0</v>
      </c>
      <c r="F2027" s="1056"/>
      <c r="G2027" s="967" t="n">
        <f aca="false">IF(F2027&gt;0,D2027*F2027,E2027*D2027)*IF(H2027&gt;0,1,0)</f>
        <v>0</v>
      </c>
      <c r="H2027" s="953" t="n">
        <f aca="false">фундамент!E680</f>
        <v>0</v>
      </c>
      <c r="I2027" s="936" t="n">
        <f aca="false">IF(G2027&gt;H2027,G2027,H2027)</f>
        <v>0</v>
      </c>
      <c r="L2027" s="926"/>
      <c r="M2027" s="926"/>
      <c r="N2027" s="926"/>
    </row>
    <row r="2028" customFormat="false" ht="15.75" hidden="true" customHeight="false" outlineLevel="0" collapsed="false">
      <c r="A2028" s="937"/>
      <c r="B2028" s="1055" t="str">
        <f aca="false">фундамент!A681</f>
        <v>Нет техники</v>
      </c>
      <c r="C2028" s="1027" t="s">
        <v>109</v>
      </c>
      <c r="D2028" s="1056" t="n">
        <f aca="false">фундамент!C681</f>
        <v>0</v>
      </c>
      <c r="E2028" s="1056" t="n">
        <f aca="false">фундамент!D681</f>
        <v>0</v>
      </c>
      <c r="F2028" s="1056"/>
      <c r="G2028" s="967" t="n">
        <f aca="false">IF(F2028&gt;0,D2028*F2028,E2028*D2028)*IF(H2028&gt;0,1,0)</f>
        <v>0</v>
      </c>
      <c r="H2028" s="953" t="n">
        <f aca="false">фундамент!E681</f>
        <v>0</v>
      </c>
      <c r="I2028" s="936" t="n">
        <f aca="false">IF(G2028&gt;H2028,G2028,H2028)</f>
        <v>0</v>
      </c>
      <c r="L2028" s="926"/>
      <c r="M2028" s="926"/>
      <c r="N2028" s="926"/>
    </row>
    <row r="2029" customFormat="false" ht="15.75" hidden="true" customHeight="false" outlineLevel="0" collapsed="false">
      <c r="A2029" s="937"/>
      <c r="B2029" s="992" t="str">
        <f aca="false">фундамент!A362</f>
        <v>Нет техники</v>
      </c>
      <c r="C2029" s="1027" t="s">
        <v>109</v>
      </c>
      <c r="D2029" s="992" t="n">
        <f aca="false">фундамент!C362</f>
        <v>4</v>
      </c>
      <c r="E2029" s="992" t="n">
        <f aca="false">фундамент!D362</f>
        <v>0</v>
      </c>
      <c r="F2029" s="992"/>
      <c r="G2029" s="967" t="n">
        <f aca="false">IF(F2029&gt;0,D2029*F2029,E2029*D2029)*IF(H2029&gt;0,1,0)</f>
        <v>0</v>
      </c>
      <c r="H2029" s="970" t="n">
        <f aca="false">D2029*E2029*$H$179</f>
        <v>0</v>
      </c>
      <c r="I2029" s="936" t="n">
        <f aca="false">IF(G2029&gt;H2029,G2029,H2029)</f>
        <v>0</v>
      </c>
      <c r="J2029" s="931"/>
      <c r="K2029" s="937"/>
    </row>
    <row r="2030" customFormat="false" ht="15.75" hidden="true" customHeight="false" outlineLevel="0" collapsed="false">
      <c r="A2030" s="937"/>
      <c r="B2030" s="992" t="str">
        <f aca="false">фундамент!A363</f>
        <v>Нет техники</v>
      </c>
      <c r="C2030" s="1027" t="s">
        <v>109</v>
      </c>
      <c r="D2030" s="992" t="n">
        <f aca="false">фундамент!C363</f>
        <v>4</v>
      </c>
      <c r="E2030" s="992" t="n">
        <f aca="false">фундамент!D363</f>
        <v>0</v>
      </c>
      <c r="F2030" s="992"/>
      <c r="G2030" s="967" t="n">
        <f aca="false">IF(F2030&gt;0,D2030*F2030,E2030*D2030)*IF(H2030&gt;0,1,0)</f>
        <v>0</v>
      </c>
      <c r="H2030" s="970" t="n">
        <f aca="false">D2030*E2030*$H$179</f>
        <v>0</v>
      </c>
      <c r="I2030" s="936" t="n">
        <f aca="false">IF(G2030&gt;H2030,G2030,H2030)</f>
        <v>0</v>
      </c>
      <c r="J2030" s="931"/>
      <c r="K2030" s="937"/>
    </row>
    <row r="2031" customFormat="false" ht="15.75" hidden="true" customHeight="false" outlineLevel="0" collapsed="false">
      <c r="A2031" s="937"/>
      <c r="B2031" s="992" t="str">
        <f aca="false">фундамент!A364</f>
        <v>Нет техники</v>
      </c>
      <c r="C2031" s="1027" t="s">
        <v>109</v>
      </c>
      <c r="D2031" s="992" t="n">
        <f aca="false">фундамент!C364</f>
        <v>6</v>
      </c>
      <c r="E2031" s="992" t="n">
        <f aca="false">фундамент!D364</f>
        <v>0</v>
      </c>
      <c r="F2031" s="992"/>
      <c r="G2031" s="967" t="n">
        <f aca="false">IF(F2031&gt;0,D2031*F2031,E2031*D2031)*IF(H2031&gt;0,1,0)</f>
        <v>0</v>
      </c>
      <c r="H2031" s="970" t="n">
        <f aca="false">D2031*E2031*$H$179</f>
        <v>0</v>
      </c>
      <c r="I2031" s="936" t="n">
        <f aca="false">IF(G2031&gt;H2031,G2031,H2031)</f>
        <v>0</v>
      </c>
      <c r="J2031" s="931"/>
      <c r="K2031" s="937"/>
    </row>
    <row r="2032" customFormat="false" ht="15.75" hidden="true" customHeight="false" outlineLevel="0" collapsed="false">
      <c r="A2032" s="937"/>
      <c r="B2032" s="992" t="str">
        <f aca="false">фундамент!A365</f>
        <v>Нет техники</v>
      </c>
      <c r="C2032" s="1027" t="s">
        <v>109</v>
      </c>
      <c r="D2032" s="992" t="n">
        <f aca="false">фундамент!C365</f>
        <v>4</v>
      </c>
      <c r="E2032" s="992" t="n">
        <f aca="false">фундамент!D365</f>
        <v>0</v>
      </c>
      <c r="F2032" s="992"/>
      <c r="G2032" s="967" t="n">
        <f aca="false">IF(F2032&gt;0,D2032*F2032,E2032*D2032)*IF(H2032&gt;0,1,0)</f>
        <v>0</v>
      </c>
      <c r="H2032" s="970" t="n">
        <f aca="false">D2032*E2032*$H$179</f>
        <v>0</v>
      </c>
      <c r="I2032" s="936" t="n">
        <f aca="false">IF(G2032&gt;H2032,G2032,H2032)</f>
        <v>0</v>
      </c>
      <c r="J2032" s="931"/>
      <c r="K2032" s="937"/>
    </row>
    <row r="2033" customFormat="false" ht="15.75" hidden="true" customHeight="false" outlineLevel="0" collapsed="false">
      <c r="A2033" s="937"/>
      <c r="B2033" s="992" t="str">
        <f aca="false">фундамент!A366</f>
        <v>Нет техники</v>
      </c>
      <c r="C2033" s="1027" t="s">
        <v>109</v>
      </c>
      <c r="D2033" s="992" t="n">
        <f aca="false">фундамент!C366</f>
        <v>0</v>
      </c>
      <c r="E2033" s="992" t="n">
        <f aca="false">фундамент!D366</f>
        <v>0</v>
      </c>
      <c r="F2033" s="992"/>
      <c r="G2033" s="967" t="n">
        <f aca="false">IF(F2033&gt;0,D2033*F2033,E2033*D2033)*IF(H2033&gt;0,1,0)</f>
        <v>0</v>
      </c>
      <c r="H2033" s="970" t="n">
        <f aca="false">D2033*E2033*$H$179</f>
        <v>0</v>
      </c>
      <c r="I2033" s="936" t="n">
        <f aca="false">IF(G2033&gt;H2033,G2033,H2033)</f>
        <v>0</v>
      </c>
      <c r="J2033" s="931"/>
      <c r="K2033" s="937"/>
    </row>
    <row r="2034" customFormat="false" ht="15.75" hidden="true" customHeight="false" outlineLevel="0" collapsed="false">
      <c r="A2034" s="937"/>
      <c r="B2034" s="992" t="str">
        <f aca="false">фундамент!A429</f>
        <v>Нет техники</v>
      </c>
      <c r="C2034" s="1027" t="s">
        <v>109</v>
      </c>
      <c r="D2034" s="992" t="n">
        <f aca="false">фундамент!C429</f>
        <v>4</v>
      </c>
      <c r="E2034" s="992" t="n">
        <f aca="false">фундамент!D429</f>
        <v>0</v>
      </c>
      <c r="F2034" s="992"/>
      <c r="G2034" s="967" t="n">
        <f aca="false">IF(F2034&gt;0,D2034*F2034,E2034*D2034)*IF(H2034&gt;0,1,0)</f>
        <v>0</v>
      </c>
      <c r="H2034" s="970" t="n">
        <f aca="false">D2034*E2034*$H$213</f>
        <v>0</v>
      </c>
      <c r="I2034" s="936" t="n">
        <f aca="false">IF(G2034&gt;H2034,G2034,H2034)</f>
        <v>0</v>
      </c>
      <c r="J2034" s="931"/>
      <c r="K2034" s="937"/>
    </row>
    <row r="2035" customFormat="false" ht="15.75" hidden="true" customHeight="false" outlineLevel="0" collapsed="false">
      <c r="A2035" s="937"/>
      <c r="B2035" s="992" t="str">
        <f aca="false">фундамент!A430</f>
        <v>Нет техники</v>
      </c>
      <c r="C2035" s="1027" t="s">
        <v>109</v>
      </c>
      <c r="D2035" s="992" t="n">
        <f aca="false">фундамент!C430</f>
        <v>4</v>
      </c>
      <c r="E2035" s="992" t="n">
        <f aca="false">фундамент!D430</f>
        <v>0</v>
      </c>
      <c r="F2035" s="992"/>
      <c r="G2035" s="967" t="n">
        <f aca="false">IF(F2035&gt;0,D2035*F2035,E2035*D2035)*IF(H2035&gt;0,1,0)</f>
        <v>0</v>
      </c>
      <c r="H2035" s="970" t="n">
        <f aca="false">D2035*E2035*$H$213</f>
        <v>0</v>
      </c>
      <c r="I2035" s="936" t="n">
        <f aca="false">IF(G2035&gt;H2035,G2035,H2035)</f>
        <v>0</v>
      </c>
      <c r="J2035" s="931"/>
      <c r="K2035" s="937"/>
    </row>
    <row r="2036" customFormat="false" ht="15.75" hidden="true" customHeight="false" outlineLevel="0" collapsed="false">
      <c r="A2036" s="937"/>
      <c r="B2036" s="992" t="str">
        <f aca="false">фундамент!A431</f>
        <v>Нет техники</v>
      </c>
      <c r="C2036" s="1027" t="s">
        <v>109</v>
      </c>
      <c r="D2036" s="992" t="n">
        <f aca="false">фундамент!C431</f>
        <v>6</v>
      </c>
      <c r="E2036" s="992" t="n">
        <f aca="false">фундамент!D431</f>
        <v>0</v>
      </c>
      <c r="F2036" s="992"/>
      <c r="G2036" s="967" t="n">
        <f aca="false">IF(F2036&gt;0,D2036*F2036,E2036*D2036)*IF(H2036&gt;0,1,0)</f>
        <v>0</v>
      </c>
      <c r="H2036" s="970" t="n">
        <f aca="false">D2036*E2036*$H$213</f>
        <v>0</v>
      </c>
      <c r="I2036" s="936" t="n">
        <f aca="false">IF(G2036&gt;H2036,G2036,H2036)</f>
        <v>0</v>
      </c>
      <c r="J2036" s="931"/>
      <c r="K2036" s="937"/>
    </row>
    <row r="2037" customFormat="false" ht="15.75" hidden="true" customHeight="false" outlineLevel="0" collapsed="false">
      <c r="A2037" s="937"/>
      <c r="B2037" s="992" t="str">
        <f aca="false">фундамент!A432</f>
        <v>Нет техники</v>
      </c>
      <c r="C2037" s="1027" t="s">
        <v>109</v>
      </c>
      <c r="D2037" s="992" t="n">
        <f aca="false">фундамент!C432</f>
        <v>4</v>
      </c>
      <c r="E2037" s="992" t="n">
        <f aca="false">фундамент!D432</f>
        <v>0</v>
      </c>
      <c r="F2037" s="992"/>
      <c r="G2037" s="967" t="n">
        <f aca="false">IF(F2037&gt;0,D2037*F2037,E2037*D2037)*IF(H2037&gt;0,1,0)</f>
        <v>0</v>
      </c>
      <c r="H2037" s="970" t="n">
        <f aca="false">D2037*E2037*$H$213</f>
        <v>0</v>
      </c>
      <c r="I2037" s="936" t="n">
        <f aca="false">IF(G2037&gt;H2037,G2037,H2037)</f>
        <v>0</v>
      </c>
      <c r="J2037" s="931"/>
      <c r="K2037" s="937"/>
    </row>
    <row r="2038" customFormat="false" ht="15.75" hidden="true" customHeight="false" outlineLevel="0" collapsed="false">
      <c r="A2038" s="937"/>
      <c r="B2038" s="992" t="str">
        <f aca="false">фундамент!A433</f>
        <v>Нет техники</v>
      </c>
      <c r="C2038" s="1027" t="s">
        <v>109</v>
      </c>
      <c r="D2038" s="992" t="n">
        <f aca="false">фундамент!C433</f>
        <v>0</v>
      </c>
      <c r="E2038" s="992" t="n">
        <f aca="false">фундамент!D433</f>
        <v>0</v>
      </c>
      <c r="F2038" s="992"/>
      <c r="G2038" s="967" t="n">
        <f aca="false">IF(F2038&gt;0,D2038*F2038,E2038*D2038)*IF(H2038&gt;0,1,0)</f>
        <v>0</v>
      </c>
      <c r="H2038" s="970" t="n">
        <f aca="false">D2038*E2038*$H$213</f>
        <v>0</v>
      </c>
      <c r="I2038" s="936" t="n">
        <f aca="false">IF(G2038&gt;H2038,G2038,H2038)</f>
        <v>0</v>
      </c>
      <c r="J2038" s="931"/>
      <c r="K2038" s="937"/>
    </row>
    <row r="2039" customFormat="false" ht="15.75" hidden="true" customHeight="false" outlineLevel="0" collapsed="false">
      <c r="A2039" s="937"/>
      <c r="B2039" s="992" t="str">
        <f aca="false">фундамент!A501</f>
        <v>Нет техники</v>
      </c>
      <c r="C2039" s="1027" t="s">
        <v>109</v>
      </c>
      <c r="D2039" s="992" t="n">
        <f aca="false">фундамент!C501</f>
        <v>3</v>
      </c>
      <c r="E2039" s="992" t="n">
        <f aca="false">фундамент!D501</f>
        <v>0</v>
      </c>
      <c r="F2039" s="992"/>
      <c r="G2039" s="967" t="n">
        <f aca="false">IF(F2039&gt;0,D2039*F2039,E2039*D2039)*IF(H2039&gt;0,1,0)</f>
        <v>0</v>
      </c>
      <c r="H2039" s="970" t="n">
        <f aca="false">D2039*E2039*$H$252</f>
        <v>0</v>
      </c>
      <c r="I2039" s="936" t="n">
        <f aca="false">IF(G2039&gt;H2039,G2039,H2039)</f>
        <v>0</v>
      </c>
      <c r="J2039" s="931"/>
      <c r="K2039" s="937"/>
    </row>
    <row r="2040" customFormat="false" ht="15.75" hidden="true" customHeight="false" outlineLevel="0" collapsed="false">
      <c r="A2040" s="937"/>
      <c r="B2040" s="992" t="str">
        <f aca="false">фундамент!A502</f>
        <v>Нет техники</v>
      </c>
      <c r="C2040" s="1027" t="s">
        <v>109</v>
      </c>
      <c r="D2040" s="992" t="n">
        <f aca="false">фундамент!C502</f>
        <v>0</v>
      </c>
      <c r="E2040" s="992" t="n">
        <f aca="false">фундамент!D502</f>
        <v>0</v>
      </c>
      <c r="F2040" s="992"/>
      <c r="G2040" s="967" t="n">
        <f aca="false">IF(F2040&gt;0,D2040*F2040,E2040*D2040)*IF(H2040&gt;0,1,0)</f>
        <v>0</v>
      </c>
      <c r="H2040" s="970" t="n">
        <f aca="false">D2040*E2040*$H$252</f>
        <v>0</v>
      </c>
      <c r="I2040" s="936" t="n">
        <f aca="false">IF(G2040&gt;H2040,G2040,H2040)</f>
        <v>0</v>
      </c>
      <c r="J2040" s="931"/>
      <c r="K2040" s="937"/>
    </row>
    <row r="2041" customFormat="false" ht="15.75" hidden="true" customHeight="false" outlineLevel="0" collapsed="false">
      <c r="A2041" s="937"/>
      <c r="B2041" s="992" t="str">
        <f aca="false">фундамент!A503</f>
        <v>Нет техники</v>
      </c>
      <c r="C2041" s="1027" t="s">
        <v>109</v>
      </c>
      <c r="D2041" s="992" t="n">
        <f aca="false">фундамент!C503</f>
        <v>0</v>
      </c>
      <c r="E2041" s="992" t="n">
        <f aca="false">фундамент!D503</f>
        <v>0</v>
      </c>
      <c r="F2041" s="992"/>
      <c r="G2041" s="967" t="n">
        <f aca="false">IF(F2041&gt;0,D2041*F2041,E2041*D2041)*IF(H2041&gt;0,1,0)</f>
        <v>0</v>
      </c>
      <c r="H2041" s="970" t="n">
        <f aca="false">D2041*E2041*$H$252</f>
        <v>0</v>
      </c>
      <c r="I2041" s="936" t="n">
        <f aca="false">IF(G2041&gt;H2041,G2041,H2041)</f>
        <v>0</v>
      </c>
      <c r="J2041" s="931"/>
      <c r="K2041" s="937"/>
    </row>
    <row r="2042" customFormat="false" ht="15.75" hidden="true" customHeight="false" outlineLevel="0" collapsed="false">
      <c r="A2042" s="937"/>
      <c r="B2042" s="992" t="str">
        <f aca="false">фундамент!A504</f>
        <v>Нет техники</v>
      </c>
      <c r="C2042" s="1027" t="s">
        <v>109</v>
      </c>
      <c r="D2042" s="992" t="n">
        <f aca="false">фундамент!C504</f>
        <v>0</v>
      </c>
      <c r="E2042" s="992" t="n">
        <f aca="false">фундамент!D504</f>
        <v>0</v>
      </c>
      <c r="F2042" s="992"/>
      <c r="G2042" s="967" t="n">
        <f aca="false">IF(F2042&gt;0,D2042*F2042,E2042*D2042)*IF(H2042&gt;0,1,0)</f>
        <v>0</v>
      </c>
      <c r="H2042" s="970" t="n">
        <f aca="false">D2042*E2042*$H$252</f>
        <v>0</v>
      </c>
      <c r="I2042" s="936" t="n">
        <f aca="false">IF(G2042&gt;H2042,G2042,H2042)</f>
        <v>0</v>
      </c>
      <c r="J2042" s="931"/>
      <c r="K2042" s="937"/>
    </row>
    <row r="2043" customFormat="false" ht="15.75" hidden="true" customHeight="false" outlineLevel="0" collapsed="false">
      <c r="A2043" s="937"/>
      <c r="B2043" s="992" t="str">
        <f aca="false">фундамент!A505</f>
        <v>Нет техники</v>
      </c>
      <c r="C2043" s="1027" t="s">
        <v>109</v>
      </c>
      <c r="D2043" s="992" t="n">
        <f aca="false">фундамент!C505</f>
        <v>0</v>
      </c>
      <c r="E2043" s="992" t="n">
        <f aca="false">фундамент!D505</f>
        <v>0</v>
      </c>
      <c r="F2043" s="992"/>
      <c r="G2043" s="967" t="n">
        <f aca="false">IF(F2043&gt;0,D2043*F2043,E2043*D2043)*IF(H2043&gt;0,1,0)</f>
        <v>0</v>
      </c>
      <c r="H2043" s="970" t="n">
        <f aca="false">D2043*E2043*$H$252</f>
        <v>0</v>
      </c>
      <c r="I2043" s="936" t="n">
        <f aca="false">IF(G2043&gt;H2043,G2043,H2043)</f>
        <v>0</v>
      </c>
      <c r="J2043" s="931"/>
      <c r="K2043" s="937"/>
    </row>
    <row r="2044" customFormat="false" ht="15.75" hidden="true" customHeight="false" outlineLevel="0" collapsed="false">
      <c r="A2044" s="937"/>
      <c r="B2044" s="992" t="str">
        <f aca="false">дома!A1416</f>
        <v>Нет техники</v>
      </c>
      <c r="C2044" s="1027" t="s">
        <v>109</v>
      </c>
      <c r="D2044" s="992" t="n">
        <f aca="false">дома!C1416</f>
        <v>0</v>
      </c>
      <c r="E2044" s="992" t="n">
        <f aca="false">дома!D1416</f>
        <v>0</v>
      </c>
      <c r="F2044" s="992"/>
      <c r="G2044" s="967" t="n">
        <f aca="false">IF(F2044&gt;0,D2044*F2044,E2044*D2044)*IF(H2044&gt;0,1,0)</f>
        <v>0</v>
      </c>
      <c r="H2044" s="970" t="n">
        <f aca="false">D2044*E2044*$H$298</f>
        <v>0</v>
      </c>
      <c r="I2044" s="936" t="n">
        <f aca="false">IF(G2044&gt;H2044,G2044,H2044)</f>
        <v>0</v>
      </c>
      <c r="J2044" s="931"/>
      <c r="K2044" s="937"/>
    </row>
    <row r="2045" customFormat="false" ht="15.75" hidden="true" customHeight="false" outlineLevel="0" collapsed="false">
      <c r="A2045" s="937"/>
      <c r="B2045" s="992" t="str">
        <f aca="false">дома!A1486</f>
        <v>Газель</v>
      </c>
      <c r="C2045" s="1027" t="s">
        <v>109</v>
      </c>
      <c r="D2045" s="992" t="n">
        <f aca="false">дома!C1486</f>
        <v>0</v>
      </c>
      <c r="E2045" s="967" t="n">
        <f aca="false">дома!D1486</f>
        <v>500</v>
      </c>
      <c r="F2045" s="967"/>
      <c r="G2045" s="967" t="n">
        <f aca="false">IF(F2045&gt;0,D2045*F2045,E2045*D2045)*IF(H2045&gt;0,1,0)</f>
        <v>0</v>
      </c>
      <c r="H2045" s="970" t="n">
        <f aca="false">D2045*E2045*$H$327</f>
        <v>0</v>
      </c>
      <c r="I2045" s="936" t="n">
        <f aca="false">IF(G2045&gt;H2045,G2045,H2045)</f>
        <v>0</v>
      </c>
      <c r="J2045" s="931"/>
      <c r="K2045" s="937"/>
    </row>
    <row r="2046" customFormat="false" ht="15.75" hidden="true" customHeight="false" outlineLevel="0" collapsed="false">
      <c r="A2046" s="937"/>
      <c r="B2046" s="992" t="str">
        <f aca="false">дома!A1584</f>
        <v>Нет техники</v>
      </c>
      <c r="C2046" s="1027" t="s">
        <v>109</v>
      </c>
      <c r="D2046" s="992" t="n">
        <f aca="false">дома!C1584</f>
        <v>0</v>
      </c>
      <c r="E2046" s="992" t="n">
        <f aca="false">дома!I1584</f>
        <v>0</v>
      </c>
      <c r="F2046" s="992"/>
      <c r="G2046" s="967" t="n">
        <f aca="false">IF(F2046&gt;0,D2046*F2046,E2046*D2046)*IF(H2046&gt;0,1,0)</f>
        <v>0</v>
      </c>
      <c r="H2046" s="970" t="n">
        <f aca="false">D2046*E2046*$H$363</f>
        <v>0</v>
      </c>
      <c r="I2046" s="936" t="n">
        <f aca="false">IF(G2046&gt;H2046,G2046,H2046)</f>
        <v>0</v>
      </c>
      <c r="J2046" s="931"/>
      <c r="K2046" s="937"/>
    </row>
    <row r="2047" customFormat="false" ht="15.75" hidden="true" customHeight="false" outlineLevel="0" collapsed="false">
      <c r="A2047" s="937"/>
      <c r="B2047" s="992" t="str">
        <f aca="false">дома!A1577</f>
        <v>Нет техники</v>
      </c>
      <c r="C2047" s="1027" t="s">
        <v>109</v>
      </c>
      <c r="D2047" s="992" t="n">
        <f aca="false">дома!C1577</f>
        <v>0</v>
      </c>
      <c r="E2047" s="992" t="n">
        <f aca="false">дома!I1577</f>
        <v>0</v>
      </c>
      <c r="F2047" s="992"/>
      <c r="G2047" s="967" t="n">
        <f aca="false">IF(F2047&gt;0,D2047*F2047,E2047*D2047)*IF(H2047&gt;0,1,0)</f>
        <v>0</v>
      </c>
      <c r="H2047" s="970" t="n">
        <f aca="false">D2047*E2047*$H$363</f>
        <v>0</v>
      </c>
      <c r="I2047" s="936" t="n">
        <f aca="false">IF(G2047&gt;H2047,G2047,H2047)</f>
        <v>0</v>
      </c>
      <c r="J2047" s="931"/>
      <c r="K2047" s="937"/>
    </row>
    <row r="2048" customFormat="false" ht="15.75" hidden="true" customHeight="false" outlineLevel="0" collapsed="false">
      <c r="A2048" s="937"/>
      <c r="B2048" s="992" t="str">
        <f aca="false">дома!A1578</f>
        <v>Нет техники</v>
      </c>
      <c r="C2048" s="1027" t="s">
        <v>109</v>
      </c>
      <c r="D2048" s="992" t="n">
        <f aca="false">дома!C1578</f>
        <v>0</v>
      </c>
      <c r="E2048" s="992" t="n">
        <f aca="false">дома!I1578</f>
        <v>0</v>
      </c>
      <c r="F2048" s="992"/>
      <c r="G2048" s="967" t="n">
        <f aca="false">IF(F2048&gt;0,D2048*F2048,E2048*D2048)*IF(H2048&gt;0,1,0)</f>
        <v>0</v>
      </c>
      <c r="H2048" s="970" t="n">
        <f aca="false">D2048*E2048*$H$363</f>
        <v>0</v>
      </c>
      <c r="I2048" s="936" t="n">
        <f aca="false">IF(G2048&gt;H2048,G2048,H2048)</f>
        <v>0</v>
      </c>
      <c r="J2048" s="931"/>
      <c r="K2048" s="937"/>
    </row>
    <row r="2049" customFormat="false" ht="15.75" hidden="true" customHeight="false" outlineLevel="0" collapsed="false">
      <c r="A2049" s="937"/>
      <c r="B2049" s="995" t="str">
        <f aca="false">дома!A1660</f>
        <v>Нет техники</v>
      </c>
      <c r="C2049" s="1027" t="s">
        <v>109</v>
      </c>
      <c r="D2049" s="992" t="n">
        <f aca="false">дома!C1660</f>
        <v>0</v>
      </c>
      <c r="E2049" s="967" t="n">
        <f aca="false">дома!I1659</f>
        <v>3000</v>
      </c>
      <c r="F2049" s="967"/>
      <c r="G2049" s="967" t="n">
        <f aca="false">IF(F2049&gt;0,D2049*F2049,E2049*D2049)*IF(H2049&gt;0,1,0)</f>
        <v>0</v>
      </c>
      <c r="H2049" s="970" t="n">
        <f aca="false">D2049*E2049*$H$429</f>
        <v>0</v>
      </c>
      <c r="I2049" s="936" t="n">
        <f aca="false">IF(G2049&gt;H2049,G2049,H2049)</f>
        <v>0</v>
      </c>
      <c r="J2049" s="931"/>
      <c r="K2049" s="937"/>
    </row>
    <row r="2050" customFormat="false" ht="15.75" hidden="true" customHeight="false" outlineLevel="0" collapsed="false">
      <c r="A2050" s="937"/>
      <c r="B2050" s="995" t="str">
        <f aca="false">дома!A1653</f>
        <v>Нет техники</v>
      </c>
      <c r="C2050" s="1027" t="s">
        <v>109</v>
      </c>
      <c r="D2050" s="992" t="n">
        <f aca="false">дома!C1653</f>
        <v>0</v>
      </c>
      <c r="E2050" s="967" t="n">
        <f aca="false">дома!I1652</f>
        <v>3000</v>
      </c>
      <c r="F2050" s="967"/>
      <c r="G2050" s="967" t="n">
        <f aca="false">IF(F2050&gt;0,D2050*F2050,E2050*D2050)*IF(H2050&gt;0,1,0)</f>
        <v>0</v>
      </c>
      <c r="H2050" s="970" t="n">
        <f aca="false">D2050*E2050*$H$429</f>
        <v>0</v>
      </c>
      <c r="I2050" s="936" t="n">
        <f aca="false">IF(G2050&gt;H2050,G2050,H2050)</f>
        <v>0</v>
      </c>
      <c r="J2050" s="931"/>
      <c r="K2050" s="937"/>
    </row>
    <row r="2051" customFormat="false" ht="15.75" hidden="true" customHeight="false" outlineLevel="0" collapsed="false">
      <c r="A2051" s="937"/>
      <c r="B2051" s="995" t="str">
        <f aca="false">дома!A1654</f>
        <v>Нет техники</v>
      </c>
      <c r="C2051" s="1027" t="s">
        <v>109</v>
      </c>
      <c r="D2051" s="992" t="n">
        <f aca="false">дома!C1654</f>
        <v>0</v>
      </c>
      <c r="E2051" s="967" t="n">
        <f aca="false">дома!I1653</f>
        <v>0</v>
      </c>
      <c r="F2051" s="967"/>
      <c r="G2051" s="967" t="n">
        <f aca="false">IF(F2051&gt;0,D2051*F2051,E2051*D2051)*IF(H2051&gt;0,1,0)</f>
        <v>0</v>
      </c>
      <c r="H2051" s="970" t="n">
        <f aca="false">D2051*E2051*$H$429</f>
        <v>0</v>
      </c>
      <c r="I2051" s="936" t="n">
        <f aca="false">IF(G2051&gt;H2051,G2051,H2051)</f>
        <v>0</v>
      </c>
      <c r="J2051" s="931"/>
      <c r="K2051" s="937"/>
    </row>
    <row r="2052" customFormat="false" ht="15.75" hidden="true" customHeight="false" outlineLevel="0" collapsed="false">
      <c r="A2052" s="937"/>
      <c r="B2052" s="1002" t="str">
        <f aca="false">дома!A1741</f>
        <v>Нет техники</v>
      </c>
      <c r="C2052" s="1027" t="s">
        <v>109</v>
      </c>
      <c r="D2052" s="953" t="n">
        <f aca="false">дома!C1741</f>
        <v>0</v>
      </c>
      <c r="E2052" s="953" t="n">
        <f aca="false">дома!I1741</f>
        <v>0</v>
      </c>
      <c r="F2052" s="953"/>
      <c r="G2052" s="967" t="n">
        <f aca="false">IF(F2052&gt;0,D2052*F2052,E2052*D2052)*IF(H2052&gt;0,1,0)</f>
        <v>0</v>
      </c>
      <c r="H2052" s="953" t="n">
        <f aca="false">D2052*E2052*$H$488</f>
        <v>0</v>
      </c>
      <c r="I2052" s="936" t="n">
        <f aca="false">IF(G2052&gt;H2052,G2052,H2052)</f>
        <v>0</v>
      </c>
      <c r="J2052" s="931"/>
      <c r="K2052" s="937"/>
    </row>
    <row r="2053" customFormat="false" ht="15.75" hidden="true" customHeight="false" outlineLevel="0" collapsed="false">
      <c r="A2053" s="937"/>
      <c r="B2053" s="1002" t="str">
        <f aca="false">дома!A1731</f>
        <v>Нет техники</v>
      </c>
      <c r="C2053" s="1027" t="s">
        <v>109</v>
      </c>
      <c r="D2053" s="953" t="n">
        <f aca="false">дома!C1731</f>
        <v>0</v>
      </c>
      <c r="E2053" s="953" t="n">
        <f aca="false">дома!I1731</f>
        <v>0</v>
      </c>
      <c r="F2053" s="953"/>
      <c r="G2053" s="967" t="n">
        <f aca="false">IF(F2053&gt;0,D2053*F2053,E2053*D2053)*IF(H2053&gt;0,1,0)</f>
        <v>0</v>
      </c>
      <c r="H2053" s="953" t="n">
        <f aca="false">D2053*E2053*$H$488</f>
        <v>0</v>
      </c>
      <c r="I2053" s="936" t="n">
        <f aca="false">IF(G2053&gt;H2053,G2053,H2053)</f>
        <v>0</v>
      </c>
      <c r="J2053" s="931"/>
      <c r="K2053" s="937"/>
    </row>
    <row r="2054" customFormat="false" ht="15.75" hidden="true" customHeight="false" outlineLevel="0" collapsed="false">
      <c r="A2054" s="937"/>
      <c r="B2054" s="1002" t="str">
        <f aca="false">дома!A1732</f>
        <v>Нет техники</v>
      </c>
      <c r="C2054" s="1027" t="s">
        <v>109</v>
      </c>
      <c r="D2054" s="953" t="n">
        <f aca="false">дома!C1732</f>
        <v>0</v>
      </c>
      <c r="E2054" s="953" t="n">
        <f aca="false">дома!I1732</f>
        <v>0</v>
      </c>
      <c r="F2054" s="953"/>
      <c r="G2054" s="967" t="n">
        <f aca="false">IF(F2054&gt;0,D2054*F2054,E2054*D2054)*IF(H2054&gt;0,1,0)</f>
        <v>0</v>
      </c>
      <c r="H2054" s="953" t="n">
        <f aca="false">D2054*E2054*$H$488</f>
        <v>0</v>
      </c>
      <c r="I2054" s="936" t="n">
        <f aca="false">IF(G2054&gt;H2054,G2054,H2054)</f>
        <v>0</v>
      </c>
      <c r="J2054" s="931"/>
      <c r="K2054" s="937"/>
    </row>
    <row r="2055" customFormat="false" ht="15.75" hidden="true" customHeight="false" outlineLevel="0" collapsed="false">
      <c r="A2055" s="937"/>
      <c r="B2055" s="1002" t="str">
        <f aca="false">дома!A1811</f>
        <v>Нет техники</v>
      </c>
      <c r="C2055" s="1027" t="s">
        <v>109</v>
      </c>
      <c r="D2055" s="953" t="n">
        <f aca="false">дома!C1811</f>
        <v>0</v>
      </c>
      <c r="E2055" s="953" t="n">
        <f aca="false">дома!D1811</f>
        <v>0</v>
      </c>
      <c r="F2055" s="953"/>
      <c r="G2055" s="967" t="n">
        <f aca="false">IF(F2055&gt;0,D2055*F2055,E2055*D2055)*IF(H2055&gt;0,1,0)</f>
        <v>0</v>
      </c>
      <c r="H2055" s="953" t="n">
        <f aca="false">D2055*E2055*$H$540</f>
        <v>0</v>
      </c>
      <c r="I2055" s="936" t="n">
        <f aca="false">IF(G2055&gt;H2055,G2055,H2055)</f>
        <v>0</v>
      </c>
      <c r="J2055" s="931"/>
      <c r="K2055" s="937"/>
    </row>
    <row r="2056" customFormat="false" ht="15.75" hidden="true" customHeight="false" outlineLevel="0" collapsed="false">
      <c r="A2056" s="937"/>
      <c r="B2056" s="1002" t="str">
        <f aca="false">дома!A1812</f>
        <v>Нет техники</v>
      </c>
      <c r="C2056" s="1027" t="s">
        <v>109</v>
      </c>
      <c r="D2056" s="953" t="n">
        <f aca="false">дома!C1812</f>
        <v>0</v>
      </c>
      <c r="E2056" s="953" t="n">
        <f aca="false">дома!D1812</f>
        <v>0</v>
      </c>
      <c r="F2056" s="953"/>
      <c r="G2056" s="967" t="n">
        <f aca="false">IF(F2056&gt;0,D2056*F2056,E2056*D2056)*IF(H2056&gt;0,1,0)</f>
        <v>0</v>
      </c>
      <c r="H2056" s="953" t="n">
        <f aca="false">D2056*E2056*$H$540</f>
        <v>0</v>
      </c>
      <c r="I2056" s="936" t="n">
        <f aca="false">IF(G2056&gt;H2056,G2056,H2056)</f>
        <v>0</v>
      </c>
      <c r="J2056" s="931"/>
      <c r="K2056" s="937"/>
    </row>
    <row r="2057" customFormat="false" ht="15.75" hidden="true" customHeight="false" outlineLevel="0" collapsed="false">
      <c r="A2057" s="937"/>
      <c r="B2057" s="967" t="str">
        <f aca="false">дома!A2010</f>
        <v>Нет техники</v>
      </c>
      <c r="C2057" s="1027" t="s">
        <v>109</v>
      </c>
      <c r="D2057" s="967" t="n">
        <f aca="false">дома!C2010</f>
        <v>0</v>
      </c>
      <c r="E2057" s="967" t="n">
        <f aca="false">дома!D2010</f>
        <v>0</v>
      </c>
      <c r="F2057" s="967"/>
      <c r="G2057" s="967" t="n">
        <f aca="false">IF(F2057&gt;0,D2057*F2057,E2057*D2057)*IF(H2057&gt;0,1,0)</f>
        <v>0</v>
      </c>
      <c r="H2057" s="967" t="n">
        <f aca="false">D2057*E2057*$H$577</f>
        <v>0</v>
      </c>
      <c r="I2057" s="936" t="n">
        <f aca="false">IF(G2057&gt;H2057,G2057,H2057)</f>
        <v>0</v>
      </c>
      <c r="J2057" s="931"/>
      <c r="K2057" s="937"/>
    </row>
    <row r="2058" customFormat="false" ht="15.75" hidden="true" customHeight="false" outlineLevel="0" collapsed="false">
      <c r="A2058" s="937"/>
      <c r="B2058" s="967" t="str">
        <f aca="false">дома!A2011</f>
        <v>Нет техники</v>
      </c>
      <c r="C2058" s="1027" t="s">
        <v>109</v>
      </c>
      <c r="D2058" s="967" t="n">
        <f aca="false">дома!C2011</f>
        <v>0</v>
      </c>
      <c r="E2058" s="967" t="n">
        <f aca="false">дома!D2011</f>
        <v>0</v>
      </c>
      <c r="F2058" s="967"/>
      <c r="G2058" s="967" t="n">
        <f aca="false">IF(F2058&gt;0,D2058*F2058,E2058*D2058)*IF(H2058&gt;0,1,0)</f>
        <v>0</v>
      </c>
      <c r="H2058" s="967" t="n">
        <f aca="false">D2058*E2058*$H$577</f>
        <v>0</v>
      </c>
      <c r="I2058" s="936" t="n">
        <f aca="false">IF(G2058&gt;H2058,G2058,H2058)</f>
        <v>0</v>
      </c>
      <c r="J2058" s="931"/>
      <c r="K2058" s="937"/>
    </row>
    <row r="2059" customFormat="false" ht="16.5" hidden="true" customHeight="true" outlineLevel="0" collapsed="false">
      <c r="A2059" s="937"/>
      <c r="B2059" s="967" t="str">
        <f aca="false">дома!A1964</f>
        <v>Нет техники</v>
      </c>
      <c r="C2059" s="1027" t="s">
        <v>109</v>
      </c>
      <c r="D2059" s="967" t="n">
        <f aca="false">дома!C1964</f>
        <v>0</v>
      </c>
      <c r="E2059" s="967" t="n">
        <f aca="false">дома!D1964</f>
        <v>0</v>
      </c>
      <c r="F2059" s="967"/>
      <c r="G2059" s="967" t="n">
        <f aca="false">IF(F2059&gt;0,D2059*F2059,E2059*D2059)*IF(H2059&gt;0,1,0)</f>
        <v>0</v>
      </c>
      <c r="H2059" s="970" t="n">
        <f aca="false">D2059*E2059*$H$615</f>
        <v>0</v>
      </c>
      <c r="I2059" s="936" t="n">
        <f aca="false">IF(G2059&gt;H2059,G2059,H2059)</f>
        <v>0</v>
      </c>
      <c r="J2059" s="931"/>
      <c r="K2059" s="937"/>
    </row>
    <row r="2060" customFormat="false" ht="15.75" hidden="true" customHeight="false" outlineLevel="0" collapsed="false">
      <c r="A2060" s="937"/>
      <c r="B2060" s="967" t="str">
        <f aca="false">дома!A1965</f>
        <v>Нет техники</v>
      </c>
      <c r="C2060" s="1027" t="s">
        <v>109</v>
      </c>
      <c r="D2060" s="967" t="n">
        <f aca="false">дома!C1965</f>
        <v>0</v>
      </c>
      <c r="E2060" s="967" t="n">
        <f aca="false">дома!D1965</f>
        <v>0</v>
      </c>
      <c r="F2060" s="967"/>
      <c r="G2060" s="967" t="n">
        <f aca="false">IF(F2060&gt;0,D2060*F2060,E2060*D2060)*IF(H2060&gt;0,1,0)</f>
        <v>0</v>
      </c>
      <c r="H2060" s="970" t="n">
        <f aca="false">D2060*E2060*$H$615</f>
        <v>0</v>
      </c>
      <c r="I2060" s="936" t="n">
        <f aca="false">IF(G2060&gt;H2060,G2060,H2060)</f>
        <v>0</v>
      </c>
      <c r="J2060" s="931"/>
      <c r="K2060" s="937"/>
    </row>
    <row r="2061" customFormat="false" ht="15.75" hidden="true" customHeight="false" outlineLevel="0" collapsed="false">
      <c r="A2061" s="937"/>
      <c r="B2061" s="967" t="str">
        <f aca="false">дома!A1856</f>
        <v>Нет техники</v>
      </c>
      <c r="C2061" s="1027" t="s">
        <v>109</v>
      </c>
      <c r="D2061" s="967" t="n">
        <f aca="false">дома!C1856</f>
        <v>0</v>
      </c>
      <c r="E2061" s="967" t="n">
        <f aca="false">дома!D1856</f>
        <v>0</v>
      </c>
      <c r="F2061" s="967"/>
      <c r="G2061" s="967" t="n">
        <f aca="false">IF(F2061&gt;0,D2061*F2061,E2061*D2061)*IF(H2061&gt;0,1,0)</f>
        <v>0</v>
      </c>
      <c r="H2061" s="970" t="n">
        <f aca="false">D2061*E2061*$H$652</f>
        <v>0</v>
      </c>
      <c r="I2061" s="936" t="n">
        <f aca="false">IF(G2061&gt;H2061,G2061,H2061)</f>
        <v>0</v>
      </c>
      <c r="J2061" s="931"/>
      <c r="K2061" s="937"/>
    </row>
    <row r="2062" customFormat="false" ht="15.75" hidden="true" customHeight="false" outlineLevel="0" collapsed="false">
      <c r="A2062" s="937"/>
      <c r="B2062" s="967" t="str">
        <f aca="false">дома!A1857</f>
        <v>Нет техники</v>
      </c>
      <c r="C2062" s="1027" t="s">
        <v>109</v>
      </c>
      <c r="D2062" s="967" t="n">
        <f aca="false">дома!C1857</f>
        <v>0</v>
      </c>
      <c r="E2062" s="967" t="n">
        <f aca="false">дома!D1857</f>
        <v>0</v>
      </c>
      <c r="F2062" s="967"/>
      <c r="G2062" s="967" t="n">
        <f aca="false">IF(F2062&gt;0,D2062*F2062,E2062*D2062)*IF(H2062&gt;0,1,0)</f>
        <v>0</v>
      </c>
      <c r="H2062" s="970" t="n">
        <f aca="false">D2062*E2062*$H$652</f>
        <v>0</v>
      </c>
      <c r="I2062" s="936" t="n">
        <f aca="false">IF(G2062&gt;H2062,G2062,H2062)</f>
        <v>0</v>
      </c>
      <c r="J2062" s="931"/>
      <c r="K2062" s="937"/>
    </row>
    <row r="2063" customFormat="false" ht="15.75" hidden="true" customHeight="false" outlineLevel="0" collapsed="false">
      <c r="A2063" s="937"/>
      <c r="B2063" s="967" t="str">
        <f aca="false">дома!A1903</f>
        <v>Нет техники</v>
      </c>
      <c r="C2063" s="1027" t="s">
        <v>109</v>
      </c>
      <c r="D2063" s="967" t="n">
        <f aca="false">дома!C1903</f>
        <v>0</v>
      </c>
      <c r="E2063" s="967" t="n">
        <f aca="false">дома!D1903</f>
        <v>0</v>
      </c>
      <c r="F2063" s="967"/>
      <c r="G2063" s="967" t="n">
        <f aca="false">IF(F2063&gt;0,D2063*F2063,E2063*D2063)*IF(H2063&gt;0,1,0)</f>
        <v>0</v>
      </c>
      <c r="H2063" s="970" t="n">
        <f aca="false">D2063*E2063*$H$689</f>
        <v>0</v>
      </c>
      <c r="I2063" s="936" t="n">
        <f aca="false">IF(G2063&gt;H2063,G2063,H2063)</f>
        <v>0</v>
      </c>
      <c r="J2063" s="931"/>
      <c r="K2063" s="937"/>
    </row>
    <row r="2064" customFormat="false" ht="15.75" hidden="true" customHeight="false" outlineLevel="0" collapsed="false">
      <c r="A2064" s="937"/>
      <c r="B2064" s="967" t="str">
        <f aca="false">дома!A1904</f>
        <v>Нет техники</v>
      </c>
      <c r="C2064" s="1027" t="s">
        <v>109</v>
      </c>
      <c r="D2064" s="967" t="n">
        <f aca="false">дома!C1904</f>
        <v>0</v>
      </c>
      <c r="E2064" s="967" t="n">
        <f aca="false">дома!D1904</f>
        <v>0</v>
      </c>
      <c r="F2064" s="967"/>
      <c r="G2064" s="967" t="n">
        <f aca="false">IF(F2064&gt;0,D2064*F2064,E2064*D2064)*IF(H2064&gt;0,1,0)</f>
        <v>0</v>
      </c>
      <c r="H2064" s="970" t="n">
        <f aca="false">D2064*E2064*$H$689</f>
        <v>0</v>
      </c>
      <c r="I2064" s="936" t="n">
        <f aca="false">IF(G2064&gt;H2064,G2064,H2064)</f>
        <v>0</v>
      </c>
      <c r="J2064" s="931"/>
      <c r="K2064" s="937"/>
    </row>
    <row r="2065" customFormat="false" ht="15.75" hidden="true" customHeight="false" outlineLevel="0" collapsed="false">
      <c r="A2065" s="937"/>
      <c r="B2065" s="980" t="str">
        <f aca="false">перекрытие!A229</f>
        <v>Газель</v>
      </c>
      <c r="C2065" s="1027" t="s">
        <v>109</v>
      </c>
      <c r="D2065" s="967" t="n">
        <f aca="false">перекрытие!D229</f>
        <v>0</v>
      </c>
      <c r="E2065" s="986" t="n">
        <f aca="false">перекрытие!E229</f>
        <v>1700</v>
      </c>
      <c r="F2065" s="986"/>
      <c r="G2065" s="967" t="n">
        <f aca="false">IF(F2065&gt;0,D2065*F2065,E2065*D2065)*IF(H2065&gt;0,1,0)</f>
        <v>0</v>
      </c>
      <c r="H2065" s="967" t="n">
        <f aca="false">перекрытие!F229*$H$725</f>
        <v>0</v>
      </c>
      <c r="I2065" s="936" t="n">
        <f aca="false">IF(G2065&gt;H2065,G2065,H2065)</f>
        <v>0</v>
      </c>
      <c r="J2065" s="931"/>
      <c r="K2065" s="937"/>
    </row>
    <row r="2066" customFormat="false" ht="15.75" hidden="true" customHeight="false" outlineLevel="0" collapsed="false">
      <c r="A2066" s="937"/>
      <c r="B2066" s="980" t="str">
        <f aca="false">перекрытие!A230</f>
        <v>Доставка материала Фура</v>
      </c>
      <c r="C2066" s="1027" t="s">
        <v>109</v>
      </c>
      <c r="D2066" s="967" t="n">
        <f aca="false">перекрытие!D230</f>
        <v>0</v>
      </c>
      <c r="E2066" s="967" t="n">
        <f aca="false">перекрытие!E230</f>
        <v>2500</v>
      </c>
      <c r="F2066" s="967"/>
      <c r="G2066" s="967" t="n">
        <f aca="false">IF(F2066&gt;0,D2066*F2066,E2066*D2066)*IF(H2066&gt;0,1,0)</f>
        <v>0</v>
      </c>
      <c r="H2066" s="967" t="n">
        <f aca="false">перекрытие!F230*$H$725</f>
        <v>0</v>
      </c>
      <c r="I2066" s="936" t="n">
        <f aca="false">IF(G2066&gt;H2066,G2066,H2066)</f>
        <v>0</v>
      </c>
      <c r="J2066" s="931"/>
      <c r="K2066" s="937"/>
    </row>
    <row r="2067" customFormat="false" ht="15.75" hidden="true" customHeight="false" outlineLevel="0" collapsed="false">
      <c r="A2067" s="937"/>
      <c r="B2067" s="980" t="str">
        <f aca="false">перекрытие!A231</f>
        <v>Воровайка</v>
      </c>
      <c r="C2067" s="1027" t="s">
        <v>109</v>
      </c>
      <c r="D2067" s="967" t="n">
        <f aca="false">перекрытие!D231</f>
        <v>0</v>
      </c>
      <c r="E2067" s="986" t="n">
        <f aca="false">перекрытие!E231</f>
        <v>3500</v>
      </c>
      <c r="F2067" s="986"/>
      <c r="G2067" s="967" t="n">
        <f aca="false">IF(F2067&gt;0,D2067*F2067,E2067*D2067)*IF(H2067&gt;0,1,0)</f>
        <v>0</v>
      </c>
      <c r="H2067" s="967" t="n">
        <f aca="false">перекрытие!F231*$H$725</f>
        <v>0</v>
      </c>
      <c r="I2067" s="936" t="n">
        <f aca="false">IF(G2067&gt;H2067,G2067,H2067)</f>
        <v>0</v>
      </c>
      <c r="J2067" s="931"/>
      <c r="K2067" s="937"/>
    </row>
    <row r="2068" customFormat="false" ht="15.75" hidden="true" customHeight="false" outlineLevel="0" collapsed="false">
      <c r="A2068" s="937"/>
      <c r="B2068" s="992" t="str">
        <f aca="false">крыша!A314</f>
        <v>Нет техники</v>
      </c>
      <c r="C2068" s="1027" t="s">
        <v>109</v>
      </c>
      <c r="D2068" s="992" t="n">
        <f aca="false">крыша!C314</f>
        <v>4</v>
      </c>
      <c r="E2068" s="992" t="n">
        <f aca="false">крыша!D314</f>
        <v>0</v>
      </c>
      <c r="F2068" s="992"/>
      <c r="G2068" s="967" t="n">
        <f aca="false">IF(F2068&gt;0,D2068*F2068,E2068*D2068)*IF(H2068&gt;0,1,0)</f>
        <v>0</v>
      </c>
      <c r="H2068" s="970" t="n">
        <f aca="false">D2068*E2068*$H$1112</f>
        <v>0</v>
      </c>
      <c r="I2068" s="936" t="n">
        <f aca="false">IF(G2068&gt;H2068,G2068,H2068)</f>
        <v>0</v>
      </c>
      <c r="J2068" s="931"/>
      <c r="K2068" s="937"/>
    </row>
    <row r="2069" customFormat="false" ht="15.75" hidden="true" customHeight="false" outlineLevel="0" collapsed="false">
      <c r="A2069" s="937"/>
      <c r="B2069" s="992" t="str">
        <f aca="false">крыша!A315</f>
        <v>Нет техники</v>
      </c>
      <c r="C2069" s="1027" t="s">
        <v>109</v>
      </c>
      <c r="D2069" s="992" t="n">
        <f aca="false">крыша!C315</f>
        <v>0</v>
      </c>
      <c r="E2069" s="992" t="n">
        <f aca="false">крыша!D315</f>
        <v>0</v>
      </c>
      <c r="F2069" s="992"/>
      <c r="G2069" s="967" t="n">
        <f aca="false">IF(F2069&gt;0,D2069*F2069,E2069*D2069)*IF(H2069&gt;0,1,0)</f>
        <v>0</v>
      </c>
      <c r="H2069" s="970" t="n">
        <f aca="false">D2069*E2069*$H$1112</f>
        <v>0</v>
      </c>
      <c r="I2069" s="936" t="n">
        <f aca="false">IF(G2069&gt;H2069,G2069,H2069)</f>
        <v>0</v>
      </c>
      <c r="J2069" s="931"/>
      <c r="K2069" s="937"/>
    </row>
    <row r="2070" customFormat="false" ht="15.75" hidden="true" customHeight="false" outlineLevel="0" collapsed="false">
      <c r="A2070" s="937"/>
      <c r="B2070" s="992" t="str">
        <f aca="false">крыша!A392</f>
        <v>Нет техники</v>
      </c>
      <c r="C2070" s="1027" t="s">
        <v>109</v>
      </c>
      <c r="D2070" s="992" t="n">
        <f aca="false">крыша!C392</f>
        <v>4</v>
      </c>
      <c r="E2070" s="992" t="n">
        <f aca="false">крыша!D392</f>
        <v>0</v>
      </c>
      <c r="F2070" s="992"/>
      <c r="G2070" s="967" t="n">
        <f aca="false">IF(F2070&gt;0,D2070*F2070,E2070*D2070)*IF(H2070&gt;0,1,0)</f>
        <v>0</v>
      </c>
      <c r="H2070" s="970" t="n">
        <f aca="false">D2070*E2070*$H$1186</f>
        <v>0</v>
      </c>
      <c r="I2070" s="936" t="n">
        <f aca="false">IF(G2070&gt;H2070,G2070,H2070)</f>
        <v>0</v>
      </c>
      <c r="J2070" s="931"/>
      <c r="K2070" s="937"/>
    </row>
    <row r="2071" customFormat="false" ht="15.75" hidden="true" customHeight="false" outlineLevel="0" collapsed="false">
      <c r="A2071" s="937"/>
      <c r="B2071" s="992" t="str">
        <f aca="false">крыша!A393</f>
        <v>Нет техники</v>
      </c>
      <c r="C2071" s="1027" t="s">
        <v>109</v>
      </c>
      <c r="D2071" s="992" t="n">
        <f aca="false">крыша!C393</f>
        <v>0</v>
      </c>
      <c r="E2071" s="992" t="n">
        <f aca="false">крыша!D393</f>
        <v>0</v>
      </c>
      <c r="F2071" s="992"/>
      <c r="G2071" s="967" t="n">
        <f aca="false">IF(F2071&gt;0,D2071*F2071,E2071*D2071)*IF(H2071&gt;0,1,0)</f>
        <v>0</v>
      </c>
      <c r="H2071" s="970" t="n">
        <f aca="false">D2071*E2071*$H$1186</f>
        <v>0</v>
      </c>
      <c r="I2071" s="936" t="n">
        <f aca="false">IF(G2071&gt;H2071,G2071,H2071)</f>
        <v>0</v>
      </c>
      <c r="J2071" s="931"/>
      <c r="K2071" s="937"/>
    </row>
    <row r="2072" customFormat="false" ht="15.75" hidden="true" customHeight="false" outlineLevel="0" collapsed="false">
      <c r="A2072" s="937"/>
      <c r="B2072" s="992" t="str">
        <f aca="false">крыша!A481</f>
        <v>Нет техники</v>
      </c>
      <c r="C2072" s="1027" t="s">
        <v>109</v>
      </c>
      <c r="D2072" s="992" t="n">
        <f aca="false">крыша!C481</f>
        <v>0</v>
      </c>
      <c r="E2072" s="992" t="n">
        <f aca="false">крыша!D481</f>
        <v>0</v>
      </c>
      <c r="F2072" s="992"/>
      <c r="G2072" s="967" t="n">
        <f aca="false">IF(F2072&gt;0,D2072*F2072,E2072*D2072)*IF(H2072&gt;0,1,0)</f>
        <v>0</v>
      </c>
      <c r="H2072" s="970" t="n">
        <f aca="false">D2072*E2072*$H$1252</f>
        <v>0</v>
      </c>
      <c r="I2072" s="936" t="n">
        <f aca="false">IF(G2072&gt;H2072,G2072,H2072)</f>
        <v>0</v>
      </c>
      <c r="J2072" s="931"/>
      <c r="K2072" s="937"/>
    </row>
    <row r="2073" customFormat="false" ht="15.75" hidden="true" customHeight="false" outlineLevel="0" collapsed="false">
      <c r="A2073" s="937"/>
      <c r="B2073" s="992" t="str">
        <f aca="false">крыша!A482</f>
        <v>Нет техники</v>
      </c>
      <c r="C2073" s="1027" t="s">
        <v>109</v>
      </c>
      <c r="D2073" s="992" t="n">
        <f aca="false">крыша!C482</f>
        <v>0</v>
      </c>
      <c r="E2073" s="992" t="n">
        <f aca="false">крыша!D482</f>
        <v>0</v>
      </c>
      <c r="F2073" s="992"/>
      <c r="G2073" s="967" t="n">
        <f aca="false">IF(F2073&gt;0,D2073*F2073,E2073*D2073)*IF(H2073&gt;0,1,0)</f>
        <v>0</v>
      </c>
      <c r="H2073" s="970" t="n">
        <f aca="false">D2073*E2073*$H$1252</f>
        <v>0</v>
      </c>
      <c r="I2073" s="936" t="n">
        <f aca="false">IF(G2073&gt;H2073,G2073,H2073)</f>
        <v>0</v>
      </c>
      <c r="J2073" s="931"/>
      <c r="K2073" s="937"/>
    </row>
    <row r="2074" customFormat="false" ht="15.75" hidden="true" customHeight="false" outlineLevel="0" collapsed="false">
      <c r="A2074" s="937"/>
      <c r="B2074" s="992" t="str">
        <f aca="false">крыша!A548</f>
        <v>Нет техники</v>
      </c>
      <c r="C2074" s="1027" t="s">
        <v>109</v>
      </c>
      <c r="D2074" s="992" t="n">
        <f aca="false">крыша!C548</f>
        <v>4</v>
      </c>
      <c r="E2074" s="992" t="n">
        <f aca="false">крыша!D548</f>
        <v>0</v>
      </c>
      <c r="F2074" s="992"/>
      <c r="G2074" s="967" t="n">
        <f aca="false">IF(F2074&gt;0,D2074*F2074,E2074*D2074)*IF(H2074&gt;0,1,0)</f>
        <v>0</v>
      </c>
      <c r="H2074" s="970" t="n">
        <f aca="false">D2074*E2074*$H$1325</f>
        <v>0</v>
      </c>
      <c r="I2074" s="936" t="n">
        <f aca="false">IF(G2074&gt;H2074,G2074,H2074)</f>
        <v>0</v>
      </c>
      <c r="J2074" s="931"/>
      <c r="K2074" s="937"/>
    </row>
    <row r="2075" customFormat="false" ht="15.75" hidden="true" customHeight="false" outlineLevel="0" collapsed="false">
      <c r="A2075" s="937"/>
      <c r="B2075" s="992" t="str">
        <f aca="false">крыша!A549</f>
        <v>Нет техники</v>
      </c>
      <c r="C2075" s="1027" t="s">
        <v>109</v>
      </c>
      <c r="D2075" s="992" t="n">
        <f aca="false">крыша!C549</f>
        <v>0</v>
      </c>
      <c r="E2075" s="992" t="n">
        <f aca="false">крыша!D549</f>
        <v>0</v>
      </c>
      <c r="F2075" s="992"/>
      <c r="G2075" s="967" t="n">
        <f aca="false">IF(F2075&gt;0,D2075*F2075,E2075*D2075)*IF(H2075&gt;0,1,0)</f>
        <v>0</v>
      </c>
      <c r="H2075" s="970" t="n">
        <f aca="false">D2075*E2075*$H$1325</f>
        <v>0</v>
      </c>
      <c r="I2075" s="936" t="n">
        <f aca="false">IF(G2075&gt;H2075,G2075,H2075)</f>
        <v>0</v>
      </c>
      <c r="J2075" s="931"/>
      <c r="K2075" s="937"/>
    </row>
    <row r="2076" customFormat="false" ht="15.75" hidden="true" customHeight="false" outlineLevel="0" collapsed="false">
      <c r="A2076" s="937"/>
      <c r="B2076" s="992" t="str">
        <f aca="false">пристройка!A258</f>
        <v>Нет техники</v>
      </c>
      <c r="C2076" s="1027" t="s">
        <v>109</v>
      </c>
      <c r="D2076" s="992" t="n">
        <f aca="false">пристройка!C258</f>
        <v>0</v>
      </c>
      <c r="E2076" s="992" t="n">
        <f aca="false">пристройка!D258</f>
        <v>0</v>
      </c>
      <c r="F2076" s="992"/>
      <c r="G2076" s="967" t="n">
        <f aca="false">IF(F2076&gt;0,D2076*F2076,E2076*D2076)*IF(H2076&gt;0,1,0)</f>
        <v>0</v>
      </c>
      <c r="H2076" s="970" t="n">
        <f aca="false">D2076*E2076*$H$1383</f>
        <v>0</v>
      </c>
      <c r="I2076" s="936" t="n">
        <f aca="false">IF(G2076&gt;H2076,G2076,H2076)</f>
        <v>0</v>
      </c>
      <c r="J2076" s="931"/>
      <c r="K2076" s="937"/>
    </row>
    <row r="2077" customFormat="false" ht="15.75" hidden="true" customHeight="false" outlineLevel="0" collapsed="false">
      <c r="A2077" s="937"/>
      <c r="B2077" s="992" t="str">
        <f aca="false">пристройка!A259</f>
        <v>Нет техники</v>
      </c>
      <c r="C2077" s="1027" t="s">
        <v>109</v>
      </c>
      <c r="D2077" s="992" t="n">
        <f aca="false">пристройка!C259</f>
        <v>0</v>
      </c>
      <c r="E2077" s="992" t="n">
        <f aca="false">пристройка!D259</f>
        <v>0</v>
      </c>
      <c r="F2077" s="992"/>
      <c r="G2077" s="967" t="n">
        <f aca="false">IF(F2077&gt;0,D2077*F2077,E2077*D2077)*IF(H2077&gt;0,1,0)</f>
        <v>0</v>
      </c>
      <c r="H2077" s="970" t="n">
        <f aca="false">D2077*E2077*$H$1383</f>
        <v>0</v>
      </c>
      <c r="I2077" s="936" t="n">
        <f aca="false">IF(G2077&gt;H2077,G2077,H2077)</f>
        <v>0</v>
      </c>
      <c r="J2077" s="931"/>
      <c r="K2077" s="937"/>
    </row>
    <row r="2078" customFormat="false" ht="15.75" hidden="true" customHeight="false" outlineLevel="0" collapsed="false">
      <c r="A2078" s="937"/>
      <c r="B2078" s="992" t="str">
        <f aca="false">крыша!A621</f>
        <v>Нет техники</v>
      </c>
      <c r="C2078" s="1027" t="s">
        <v>109</v>
      </c>
      <c r="D2078" s="992" t="n">
        <f aca="false">крыша!C621</f>
        <v>0</v>
      </c>
      <c r="E2078" s="992" t="n">
        <f aca="false">крыша!D621</f>
        <v>0</v>
      </c>
      <c r="F2078" s="992"/>
      <c r="G2078" s="967" t="n">
        <f aca="false">IF(F2078&gt;0,D2078*F2078,E2078*D2078)*IF(H2078&gt;0,1,0)</f>
        <v>0</v>
      </c>
      <c r="H2078" s="970" t="n">
        <f aca="false">D2078*E2078*$H$1451</f>
        <v>0</v>
      </c>
      <c r="I2078" s="936" t="n">
        <f aca="false">IF(G2078&gt;H2078,G2078,H2078)</f>
        <v>0</v>
      </c>
      <c r="J2078" s="931"/>
      <c r="K2078" s="937"/>
    </row>
    <row r="2079" customFormat="false" ht="15.75" hidden="true" customHeight="false" outlineLevel="0" collapsed="false">
      <c r="A2079" s="937"/>
      <c r="B2079" s="992" t="str">
        <f aca="false">крыша!A622</f>
        <v>Нет техники</v>
      </c>
      <c r="C2079" s="1027" t="s">
        <v>109</v>
      </c>
      <c r="D2079" s="992" t="n">
        <f aca="false">крыша!C622</f>
        <v>0</v>
      </c>
      <c r="E2079" s="992" t="n">
        <f aca="false">крыша!D622</f>
        <v>0</v>
      </c>
      <c r="F2079" s="992"/>
      <c r="G2079" s="967" t="n">
        <f aca="false">IF(F2079&gt;0,D2079*F2079,E2079*D2079)*IF(H2079&gt;0,1,0)</f>
        <v>0</v>
      </c>
      <c r="H2079" s="970" t="n">
        <f aca="false">D2079*E2079*$H$1451</f>
        <v>0</v>
      </c>
      <c r="I2079" s="936" t="n">
        <f aca="false">IF(G2079&gt;H2079,G2079,H2079)</f>
        <v>0</v>
      </c>
      <c r="J2079" s="931"/>
      <c r="K2079" s="937"/>
    </row>
    <row r="2080" customFormat="false" ht="15.75" hidden="true" customHeight="false" outlineLevel="0" collapsed="false">
      <c r="A2080" s="937"/>
      <c r="B2080" s="967" t="str">
        <f aca="false">дома!A2177</f>
        <v>Нет техники</v>
      </c>
      <c r="C2080" s="1027" t="s">
        <v>109</v>
      </c>
      <c r="D2080" s="967" t="n">
        <f aca="false">дома!C2177</f>
        <v>1</v>
      </c>
      <c r="E2080" s="967" t="n">
        <f aca="false">дома!D2177</f>
        <v>0</v>
      </c>
      <c r="F2080" s="967"/>
      <c r="G2080" s="967" t="n">
        <f aca="false">IF(F2080&gt;0,D2080*F2080,E2080*D2080)*IF(H2080&gt;0,1,0)</f>
        <v>0</v>
      </c>
      <c r="H2080" s="970" t="n">
        <f aca="false">D2080*E2080*$H$1518</f>
        <v>0</v>
      </c>
      <c r="I2080" s="936" t="n">
        <f aca="false">IF(G2080&gt;H2080,G2080,H2080)</f>
        <v>0</v>
      </c>
      <c r="J2080" s="931"/>
      <c r="K2080" s="937"/>
    </row>
    <row r="2081" customFormat="false" ht="15.75" hidden="true" customHeight="false" outlineLevel="0" collapsed="false">
      <c r="A2081" s="937"/>
      <c r="B2081" s="967" t="str">
        <f aca="false">дома!A2178</f>
        <v>Нет техники</v>
      </c>
      <c r="C2081" s="1027" t="s">
        <v>109</v>
      </c>
      <c r="D2081" s="967" t="n">
        <f aca="false">дома!C2178</f>
        <v>0</v>
      </c>
      <c r="E2081" s="967" t="n">
        <f aca="false">дома!D2178</f>
        <v>0</v>
      </c>
      <c r="F2081" s="967"/>
      <c r="G2081" s="967" t="n">
        <f aca="false">IF(F2081&gt;0,D2081*F2081,E2081*D2081)*IF(H2081&gt;0,1,0)</f>
        <v>0</v>
      </c>
      <c r="H2081" s="970" t="n">
        <f aca="false">D2081*E2081*$H$1518</f>
        <v>0</v>
      </c>
      <c r="I2081" s="936" t="n">
        <f aca="false">IF(G2081&gt;H2081,G2081,H2081)</f>
        <v>0</v>
      </c>
      <c r="J2081" s="931"/>
      <c r="K2081" s="937"/>
    </row>
    <row r="2082" customFormat="false" ht="15.75" hidden="true" customHeight="false" outlineLevel="0" collapsed="false">
      <c r="A2082" s="937"/>
      <c r="B2082" s="1028" t="str">
        <f aca="false">дома!A2062</f>
        <v>Нет техники</v>
      </c>
      <c r="C2082" s="1027" t="s">
        <v>109</v>
      </c>
      <c r="D2082" s="1030" t="n">
        <f aca="false">дома!C2062</f>
        <v>1</v>
      </c>
      <c r="E2082" s="1030" t="n">
        <f aca="false">дома!D2062</f>
        <v>0</v>
      </c>
      <c r="F2082" s="1030"/>
      <c r="G2082" s="967" t="n">
        <f aca="false">IF(F2082&gt;0,D2082*F2082,E2082*D2082)*IF(H2082&gt;0,1,0)</f>
        <v>0</v>
      </c>
      <c r="H2082" s="1057" t="n">
        <f aca="false">D2082*E2082*$H$952</f>
        <v>0</v>
      </c>
      <c r="I2082" s="936" t="n">
        <f aca="false">IF(G2082&gt;H2082,G2082,H2082)</f>
        <v>0</v>
      </c>
      <c r="J2082" s="931"/>
      <c r="K2082" s="937"/>
    </row>
    <row r="2083" customFormat="false" ht="15.75" hidden="true" customHeight="false" outlineLevel="0" collapsed="false">
      <c r="A2083" s="937"/>
      <c r="B2083" s="1028" t="str">
        <f aca="false">дома!A2063</f>
        <v>Нет техники</v>
      </c>
      <c r="C2083" s="1027" t="s">
        <v>109</v>
      </c>
      <c r="D2083" s="1030" t="n">
        <f aca="false">дома!C2063</f>
        <v>0</v>
      </c>
      <c r="E2083" s="1030" t="n">
        <f aca="false">дома!D2063</f>
        <v>0</v>
      </c>
      <c r="F2083" s="1030"/>
      <c r="G2083" s="967" t="n">
        <f aca="false">IF(F2083&gt;0,D2083*F2083,E2083*D2083)*IF(H2083&gt;0,1,0)</f>
        <v>0</v>
      </c>
      <c r="H2083" s="1057" t="n">
        <f aca="false">D2083*E2083*$H$952</f>
        <v>0</v>
      </c>
      <c r="I2083" s="936" t="n">
        <f aca="false">IF(G2083&gt;H2083,G2083,H2083)</f>
        <v>0</v>
      </c>
      <c r="J2083" s="931"/>
      <c r="K2083" s="937"/>
    </row>
    <row r="2084" customFormat="false" ht="15.75" hidden="true" customHeight="false" outlineLevel="0" collapsed="false">
      <c r="A2084" s="937"/>
      <c r="B2084" s="992" t="str">
        <f aca="false">инженерка!A477</f>
        <v>Экскаватор погрузчик</v>
      </c>
      <c r="C2084" s="1027" t="s">
        <v>109</v>
      </c>
      <c r="D2084" s="992" t="n">
        <f aca="false">инженерка!C477</f>
        <v>5</v>
      </c>
      <c r="E2084" s="992" t="n">
        <f aca="false">инженерка!D477</f>
        <v>2200</v>
      </c>
      <c r="F2084" s="992"/>
      <c r="G2084" s="967" t="n">
        <f aca="false">IF(F2084&gt;0,D2084*F2084,E2084*D2084)*IF(H2084&gt;0,1,0)</f>
        <v>0</v>
      </c>
      <c r="H2084" s="970" t="n">
        <f aca="false">D2084*E2084*$H$1973</f>
        <v>0</v>
      </c>
      <c r="I2084" s="936" t="n">
        <f aca="false">IF(G2084&gt;H2084,G2084,H2084)</f>
        <v>0</v>
      </c>
      <c r="J2084" s="931"/>
      <c r="K2084" s="937"/>
    </row>
    <row r="2085" customFormat="false" ht="15.75" hidden="true" customHeight="false" outlineLevel="0" collapsed="false">
      <c r="A2085" s="937"/>
      <c r="B2085" s="992" t="str">
        <f aca="false">инженерка!A478</f>
        <v>Манипулятор 5т</v>
      </c>
      <c r="C2085" s="1027" t="s">
        <v>109</v>
      </c>
      <c r="D2085" s="992" t="n">
        <f aca="false">инженерка!C478</f>
        <v>3</v>
      </c>
      <c r="E2085" s="992" t="n">
        <f aca="false">инженерка!D478</f>
        <v>2500</v>
      </c>
      <c r="F2085" s="992"/>
      <c r="G2085" s="967" t="n">
        <f aca="false">IF(F2085&gt;0,D2085*F2085,E2085*D2085)*IF(H2085&gt;0,1,0)</f>
        <v>0</v>
      </c>
      <c r="H2085" s="970" t="n">
        <f aca="false">D2085*E2085*$H$1973</f>
        <v>0</v>
      </c>
      <c r="I2085" s="936" t="n">
        <f aca="false">IF(G2085&gt;H2085,G2085,H2085)</f>
        <v>0</v>
      </c>
      <c r="J2085" s="931"/>
      <c r="K2085" s="937"/>
    </row>
    <row r="2086" customFormat="false" ht="15.75" hidden="true" customHeight="false" outlineLevel="0" collapsed="false">
      <c r="A2086" s="937"/>
      <c r="B2086" s="992" t="str">
        <f aca="false">инженерка!A383</f>
        <v>Нет техники</v>
      </c>
      <c r="C2086" s="1027" t="s">
        <v>109</v>
      </c>
      <c r="D2086" s="992" t="n">
        <f aca="false">инженерка!C383</f>
        <v>4</v>
      </c>
      <c r="E2086" s="992" t="n">
        <f aca="false">инженерка!D383</f>
        <v>0</v>
      </c>
      <c r="F2086" s="992"/>
      <c r="G2086" s="967" t="n">
        <f aca="false">IF(F2086&gt;0,D2086*F2086,E2086*D2086)*IF(H2086&gt;0,1,0)</f>
        <v>0</v>
      </c>
      <c r="H2086" s="970" t="n">
        <f aca="false">D2086*E2086*$H$1904</f>
        <v>0</v>
      </c>
      <c r="I2086" s="936" t="n">
        <f aca="false">IF(G2086&gt;H2086,G2086,H2086)</f>
        <v>0</v>
      </c>
      <c r="J2086" s="931"/>
      <c r="K2086" s="937"/>
    </row>
    <row r="2087" customFormat="false" ht="15.75" hidden="true" customHeight="false" outlineLevel="0" collapsed="false">
      <c r="A2087" s="937"/>
      <c r="B2087" s="992" t="str">
        <f aca="false">инженерка!A384</f>
        <v>Нет техники</v>
      </c>
      <c r="C2087" s="1027" t="s">
        <v>109</v>
      </c>
      <c r="D2087" s="992" t="n">
        <f aca="false">инженерка!C384</f>
        <v>0</v>
      </c>
      <c r="E2087" s="992" t="n">
        <f aca="false">инженерка!D384</f>
        <v>0</v>
      </c>
      <c r="F2087" s="992"/>
      <c r="G2087" s="967" t="n">
        <f aca="false">IF(F2087&gt;0,D2087*F2087,E2087*D2087)*IF(H2087&gt;0,1,0)</f>
        <v>0</v>
      </c>
      <c r="H2087" s="970" t="n">
        <f aca="false">D2087*E2087*$H$1904</f>
        <v>0</v>
      </c>
      <c r="I2087" s="936" t="n">
        <f aca="false">IF(G2087&gt;H2087,G2087,H2087)</f>
        <v>0</v>
      </c>
      <c r="J2087" s="931"/>
      <c r="K2087" s="937"/>
    </row>
    <row r="2088" customFormat="false" ht="15.75" hidden="true" customHeight="false" outlineLevel="0" collapsed="false">
      <c r="A2088" s="937"/>
      <c r="B2088" s="992" t="str">
        <f aca="false">инженерка!A410</f>
        <v>Нет техники</v>
      </c>
      <c r="C2088" s="1027" t="s">
        <v>109</v>
      </c>
      <c r="D2088" s="992" t="n">
        <f aca="false">инженерка!C410</f>
        <v>0</v>
      </c>
      <c r="E2088" s="992" t="n">
        <f aca="false">инженерка!D410</f>
        <v>0</v>
      </c>
      <c r="F2088" s="992"/>
      <c r="G2088" s="967" t="n">
        <f aca="false">IF(F2088&gt;0,D2088*F2088,E2088*D2088)*IF(H2088&gt;0,1,0)</f>
        <v>0</v>
      </c>
      <c r="H2088" s="975" t="n">
        <f aca="false">D2088*E2088*$H$1934</f>
        <v>0</v>
      </c>
      <c r="I2088" s="936" t="n">
        <f aca="false">IF(G2088&gt;H2088,G2088,H2088)</f>
        <v>0</v>
      </c>
      <c r="J2088" s="931"/>
      <c r="K2088" s="937"/>
    </row>
    <row r="2089" customFormat="false" ht="15.75" hidden="true" customHeight="false" outlineLevel="0" collapsed="false">
      <c r="A2089" s="937"/>
      <c r="B2089" s="992" t="str">
        <f aca="false">инженерка!A411</f>
        <v>Нет техники</v>
      </c>
      <c r="C2089" s="1027" t="s">
        <v>109</v>
      </c>
      <c r="D2089" s="992" t="n">
        <f aca="false">инженерка!C411</f>
        <v>0</v>
      </c>
      <c r="E2089" s="992" t="n">
        <f aca="false">инженерка!D411</f>
        <v>0</v>
      </c>
      <c r="F2089" s="992"/>
      <c r="G2089" s="967" t="n">
        <f aca="false">IF(F2089&gt;0,D2089*F2089,E2089*D2089)*IF(H2089&gt;0,1,0)</f>
        <v>0</v>
      </c>
      <c r="H2089" s="975" t="n">
        <f aca="false">D2089*E2089*$H$1934</f>
        <v>0</v>
      </c>
      <c r="I2089" s="936" t="n">
        <f aca="false">IF(G2089&gt;H2089,G2089,H2089)</f>
        <v>0</v>
      </c>
      <c r="J2089" s="931"/>
      <c r="K2089" s="937"/>
    </row>
    <row r="2090" customFormat="false" ht="15.75" hidden="true" customHeight="false" outlineLevel="0" collapsed="false">
      <c r="A2090" s="937"/>
      <c r="B2090" s="992" t="str">
        <f aca="false">инженерка!A436</f>
        <v>Нет техники</v>
      </c>
      <c r="C2090" s="1027" t="s">
        <v>109</v>
      </c>
      <c r="D2090" s="992" t="n">
        <f aca="false">инженерка!C436</f>
        <v>4</v>
      </c>
      <c r="E2090" s="992" t="n">
        <f aca="false">инженерка!D436</f>
        <v>0</v>
      </c>
      <c r="F2090" s="992"/>
      <c r="G2090" s="967" t="n">
        <f aca="false">IF(F2090&gt;0,D2090*F2090,E2090*D2090)*IF(H2090&gt;0,1,0)</f>
        <v>0</v>
      </c>
      <c r="H2090" s="970" t="n">
        <f aca="false">D2090*E2090*$H$1953</f>
        <v>0</v>
      </c>
      <c r="I2090" s="936" t="n">
        <f aca="false">IF(G2090&gt;H2090,G2090,H2090)</f>
        <v>0</v>
      </c>
      <c r="J2090" s="931"/>
      <c r="K2090" s="937"/>
    </row>
    <row r="2091" customFormat="false" ht="15.75" hidden="true" customHeight="false" outlineLevel="0" collapsed="false">
      <c r="A2091" s="937"/>
      <c r="B2091" s="992" t="str">
        <f aca="false">инженерка!A437</f>
        <v>Нет техники</v>
      </c>
      <c r="C2091" s="1027" t="s">
        <v>109</v>
      </c>
      <c r="D2091" s="992" t="n">
        <f aca="false">инженерка!C437</f>
        <v>0</v>
      </c>
      <c r="E2091" s="992" t="n">
        <f aca="false">инженерка!D437</f>
        <v>0</v>
      </c>
      <c r="F2091" s="992"/>
      <c r="G2091" s="967" t="n">
        <f aca="false">IF(F2091&gt;0,D2091*F2091,E2091*D2091)*IF(H2091&gt;0,1,0)</f>
        <v>0</v>
      </c>
      <c r="H2091" s="970" t="n">
        <f aca="false">D2091*E2091*$H$1953</f>
        <v>0</v>
      </c>
      <c r="I2091" s="936" t="n">
        <f aca="false">IF(G2091&gt;H2091,G2091,H2091)</f>
        <v>0</v>
      </c>
      <c r="L2091" s="926"/>
      <c r="M2091" s="926"/>
      <c r="N2091" s="926"/>
    </row>
    <row r="2092" customFormat="false" ht="15.75" hidden="true" customHeight="false" outlineLevel="0" collapsed="false">
      <c r="A2092" s="937"/>
      <c r="B2092" s="992" t="str">
        <f aca="false">инженерка!A510</f>
        <v>Нет техники</v>
      </c>
      <c r="C2092" s="1027" t="s">
        <v>109</v>
      </c>
      <c r="D2092" s="992" t="n">
        <f aca="false">инженерка!C510</f>
        <v>4</v>
      </c>
      <c r="E2092" s="992" t="n">
        <f aca="false">инженерка!D510</f>
        <v>0</v>
      </c>
      <c r="F2092" s="992"/>
      <c r="G2092" s="967" t="n">
        <f aca="false">IF(F2092&gt;0,D2092*F2092,E2092*D2092)*IF(H2092&gt;0,1,0)</f>
        <v>0</v>
      </c>
      <c r="H2092" s="970" t="n">
        <f aca="false">D2092*E2092*$H$1998</f>
        <v>0</v>
      </c>
      <c r="I2092" s="936" t="n">
        <f aca="false">IF(G2092&gt;H2092,G2092,H2092)</f>
        <v>0</v>
      </c>
      <c r="L2092" s="926"/>
      <c r="M2092" s="926"/>
      <c r="N2092" s="926"/>
    </row>
    <row r="2093" customFormat="false" ht="15.75" hidden="true" customHeight="false" outlineLevel="0" collapsed="false">
      <c r="A2093" s="937"/>
      <c r="B2093" s="992" t="str">
        <f aca="false">инженерка!A511</f>
        <v>Нет техники</v>
      </c>
      <c r="C2093" s="1027" t="s">
        <v>109</v>
      </c>
      <c r="D2093" s="992" t="n">
        <f aca="false">инженерка!C511</f>
        <v>0</v>
      </c>
      <c r="E2093" s="992" t="n">
        <f aca="false">инженерка!D511</f>
        <v>0</v>
      </c>
      <c r="F2093" s="992"/>
      <c r="G2093" s="967" t="n">
        <f aca="false">IF(F2093&gt;0,D2093*F2093,E2093*D2093)*IF(H2093&gt;0,1,0)</f>
        <v>0</v>
      </c>
      <c r="H2093" s="970" t="n">
        <f aca="false">D2093*E2093*$H$1998</f>
        <v>0</v>
      </c>
      <c r="I2093" s="936" t="n">
        <f aca="false">IF(G2093&gt;H2093,G2093,H2093)</f>
        <v>0</v>
      </c>
      <c r="L2093" s="926"/>
      <c r="M2093" s="926"/>
      <c r="N2093" s="926"/>
    </row>
    <row r="2094" customFormat="false" ht="15.75" hidden="true" customHeight="false" outlineLevel="0" collapsed="false">
      <c r="A2094" s="937"/>
      <c r="B2094" s="1002" t="str">
        <f aca="false">крыша!A699</f>
        <v>Нет техники</v>
      </c>
      <c r="C2094" s="1027" t="s">
        <v>109</v>
      </c>
      <c r="D2094" s="953" t="n">
        <f aca="false">крыша!C699</f>
        <v>0</v>
      </c>
      <c r="E2094" s="1004" t="n">
        <f aca="false">крыша!D699</f>
        <v>0</v>
      </c>
      <c r="F2094" s="1004"/>
      <c r="G2094" s="967" t="n">
        <f aca="false">IF(F2094&gt;0,D2094*F2094,E2094*D2094)*IF(H2094&gt;0,1,0)</f>
        <v>0</v>
      </c>
      <c r="H2094" s="970" t="n">
        <f aca="false">D2094*E2094*$H$1037</f>
        <v>0</v>
      </c>
      <c r="I2094" s="936" t="n">
        <f aca="false">IF(G2094&gt;H2094,G2094,H2094)</f>
        <v>0</v>
      </c>
      <c r="L2094" s="926"/>
      <c r="M2094" s="926"/>
      <c r="N2094" s="926"/>
    </row>
    <row r="2095" customFormat="false" ht="15.75" hidden="true" customHeight="false" outlineLevel="0" collapsed="false">
      <c r="A2095" s="937"/>
      <c r="B2095" s="1002" t="str">
        <f aca="false">крыша!A700</f>
        <v>Нет техники</v>
      </c>
      <c r="C2095" s="1027" t="s">
        <v>109</v>
      </c>
      <c r="D2095" s="953" t="n">
        <f aca="false">крыша!C700</f>
        <v>0</v>
      </c>
      <c r="E2095" s="1004" t="n">
        <f aca="false">крыша!D700</f>
        <v>0</v>
      </c>
      <c r="F2095" s="1004"/>
      <c r="G2095" s="967" t="n">
        <f aca="false">IF(F2095&gt;0,D2095*F2095,E2095*D2095)*IF(H2095&gt;0,1,0)</f>
        <v>0</v>
      </c>
      <c r="H2095" s="970" t="n">
        <f aca="false">D2095*E2095*$H$1037</f>
        <v>0</v>
      </c>
      <c r="I2095" s="936" t="n">
        <f aca="false">IF(G2095&gt;H2095,G2095,H2095)</f>
        <v>0</v>
      </c>
      <c r="J2095" s="931"/>
      <c r="K2095" s="937"/>
    </row>
    <row r="2096" customFormat="false" ht="15.75" hidden="true" customHeight="false" outlineLevel="0" collapsed="false">
      <c r="A2096" s="937"/>
      <c r="B2096" s="992" t="str">
        <f aca="false">фундамент!A277</f>
        <v>Нет техники</v>
      </c>
      <c r="C2096" s="1027" t="s">
        <v>109</v>
      </c>
      <c r="D2096" s="992" t="n">
        <f aca="false">фундамент!C277</f>
        <v>1</v>
      </c>
      <c r="E2096" s="992" t="n">
        <f aca="false">фундамент!D277</f>
        <v>0</v>
      </c>
      <c r="F2096" s="992"/>
      <c r="G2096" s="967" t="n">
        <f aca="false">IF(F2096&gt;0,D2096*F2096,E2096*D2096)*IF(H2096&gt;0,1,0)</f>
        <v>0</v>
      </c>
      <c r="H2096" s="970" t="n">
        <f aca="false">D2096*E2096*$H$125</f>
        <v>0</v>
      </c>
      <c r="I2096" s="936" t="n">
        <f aca="false">IF(G2096&gt;H2096,G2096,H2096)</f>
        <v>0</v>
      </c>
      <c r="J2096" s="931"/>
      <c r="K2096" s="937"/>
    </row>
    <row r="2097" customFormat="false" ht="15.75" hidden="true" customHeight="false" outlineLevel="0" collapsed="false">
      <c r="A2097" s="937"/>
      <c r="B2097" s="992" t="str">
        <f aca="false">фундамент!A278</f>
        <v>Нет техники</v>
      </c>
      <c r="C2097" s="1027" t="s">
        <v>109</v>
      </c>
      <c r="D2097" s="992" t="n">
        <f aca="false">фундамент!C278</f>
        <v>0</v>
      </c>
      <c r="E2097" s="992" t="n">
        <f aca="false">фундамент!D278</f>
        <v>0</v>
      </c>
      <c r="F2097" s="992"/>
      <c r="G2097" s="967" t="n">
        <f aca="false">IF(F2097&gt;0,D2097*F2097,E2097*D2097)*IF(H2097&gt;0,1,0)</f>
        <v>0</v>
      </c>
      <c r="H2097" s="970" t="n">
        <f aca="false">D2097*E2097*$H$125</f>
        <v>0</v>
      </c>
      <c r="I2097" s="936" t="n">
        <f aca="false">IF(G2097&gt;H2097,G2097,H2097)</f>
        <v>0</v>
      </c>
      <c r="J2097" s="931"/>
      <c r="K2097" s="937"/>
    </row>
    <row r="2098" customFormat="false" ht="15.75" hidden="true" customHeight="false" outlineLevel="0" collapsed="false">
      <c r="A2098" s="937"/>
      <c r="B2098" s="992" t="str">
        <f aca="false">фундамент!A279</f>
        <v>Нет техники</v>
      </c>
      <c r="C2098" s="1027" t="s">
        <v>109</v>
      </c>
      <c r="D2098" s="992" t="n">
        <f aca="false">фундамент!C279</f>
        <v>0</v>
      </c>
      <c r="E2098" s="992" t="n">
        <f aca="false">фундамент!D279</f>
        <v>0</v>
      </c>
      <c r="F2098" s="992"/>
      <c r="G2098" s="967" t="n">
        <f aca="false">IF(F2098&gt;0,D2098*F2098,E2098*D2098)*IF(H2098&gt;0,1,0)</f>
        <v>0</v>
      </c>
      <c r="H2098" s="970" t="n">
        <f aca="false">D2098*E2098*$H$125</f>
        <v>0</v>
      </c>
      <c r="I2098" s="936" t="n">
        <f aca="false">IF(G2098&gt;H2098,G2098,H2098)</f>
        <v>0</v>
      </c>
      <c r="J2098" s="931"/>
      <c r="K2098" s="937"/>
    </row>
    <row r="2099" customFormat="false" ht="15.75" hidden="true" customHeight="false" outlineLevel="0" collapsed="false">
      <c r="A2099" s="937"/>
      <c r="B2099" s="992" t="str">
        <f aca="false">отделка!A413</f>
        <v>Нет техники</v>
      </c>
      <c r="C2099" s="1027" t="s">
        <v>109</v>
      </c>
      <c r="D2099" s="992" t="n">
        <f aca="false">отделка!C413</f>
        <v>0</v>
      </c>
      <c r="E2099" s="992" t="n">
        <f aca="false">отделка!D413</f>
        <v>0</v>
      </c>
      <c r="F2099" s="992"/>
      <c r="G2099" s="967" t="n">
        <f aca="false">IF(F2099&gt;0,D2099*F2099,E2099*D2099)*IF(H2099&gt;0,1,0)</f>
        <v>0</v>
      </c>
      <c r="H2099" s="975" t="n">
        <f aca="false">D2099*E2099*$H$1633</f>
        <v>0</v>
      </c>
      <c r="I2099" s="936" t="n">
        <f aca="false">IF(G2099&gt;H2099,G2099,H2099)</f>
        <v>0</v>
      </c>
      <c r="J2099" s="931"/>
      <c r="K2099" s="937"/>
    </row>
    <row r="2100" customFormat="false" ht="15.75" hidden="true" customHeight="false" outlineLevel="0" collapsed="false">
      <c r="A2100" s="937"/>
      <c r="B2100" s="992" t="str">
        <f aca="false">отделка!A414</f>
        <v>Нет техники</v>
      </c>
      <c r="C2100" s="1027" t="s">
        <v>109</v>
      </c>
      <c r="D2100" s="992" t="n">
        <f aca="false">отделка!C414</f>
        <v>3</v>
      </c>
      <c r="E2100" s="992" t="n">
        <f aca="false">отделка!D414</f>
        <v>0</v>
      </c>
      <c r="F2100" s="992"/>
      <c r="G2100" s="967" t="n">
        <f aca="false">IF(F2100&gt;0,D2100*F2100,E2100*D2100)*IF(H2100&gt;0,1,0)</f>
        <v>0</v>
      </c>
      <c r="H2100" s="975" t="n">
        <f aca="false">D2100*E2100*$H$1633</f>
        <v>0</v>
      </c>
      <c r="I2100" s="936" t="n">
        <f aca="false">IF(G2100&gt;H2100,G2100,H2100)</f>
        <v>0</v>
      </c>
      <c r="J2100" s="931"/>
      <c r="K2100" s="937"/>
    </row>
    <row r="2101" customFormat="false" ht="15.75" hidden="true" customHeight="false" outlineLevel="0" collapsed="false">
      <c r="A2101" s="937"/>
      <c r="B2101" s="992" t="str">
        <f aca="false">отделка!A436</f>
        <v>Нет техники</v>
      </c>
      <c r="C2101" s="1027" t="s">
        <v>109</v>
      </c>
      <c r="D2101" s="992" t="n">
        <f aca="false">отделка!C436</f>
        <v>0</v>
      </c>
      <c r="E2101" s="992" t="n">
        <f aca="false">отделка!D436</f>
        <v>0</v>
      </c>
      <c r="F2101" s="992"/>
      <c r="G2101" s="967" t="n">
        <f aca="false">IF(F2101&gt;0,D2101*F2101,E2101*D2101)*IF(H2101&gt;0,1,0)</f>
        <v>0</v>
      </c>
      <c r="H2101" s="975" t="n">
        <f aca="false">D2101*E2101*$H$1671</f>
        <v>0</v>
      </c>
      <c r="I2101" s="936" t="n">
        <f aca="false">IF(G2101&gt;H2101,G2101,H2101)</f>
        <v>0</v>
      </c>
      <c r="J2101" s="931"/>
      <c r="K2101" s="937"/>
    </row>
    <row r="2102" customFormat="false" ht="15.75" hidden="true" customHeight="false" outlineLevel="0" collapsed="false">
      <c r="A2102" s="937"/>
      <c r="B2102" s="992" t="str">
        <f aca="false">отделка!A437</f>
        <v>Нет техники</v>
      </c>
      <c r="C2102" s="1027" t="s">
        <v>109</v>
      </c>
      <c r="D2102" s="992" t="n">
        <f aca="false">отделка!C437</f>
        <v>3</v>
      </c>
      <c r="E2102" s="992" t="n">
        <f aca="false">отделка!D437</f>
        <v>0</v>
      </c>
      <c r="F2102" s="992"/>
      <c r="G2102" s="967" t="n">
        <f aca="false">IF(F2102&gt;0,D2102*F2102,E2102*D2102)*IF(H2102&gt;0,1,0)</f>
        <v>0</v>
      </c>
      <c r="H2102" s="975" t="n">
        <f aca="false">D2102*E2102*$H$1671</f>
        <v>0</v>
      </c>
      <c r="I2102" s="936" t="n">
        <f aca="false">IF(G2102&gt;H2102,G2102,H2102)</f>
        <v>0</v>
      </c>
      <c r="L2102" s="926"/>
      <c r="M2102" s="926"/>
      <c r="N2102" s="926"/>
    </row>
    <row r="2103" customFormat="false" ht="15.75" hidden="true" customHeight="false" outlineLevel="0" collapsed="false">
      <c r="A2103" s="937"/>
      <c r="B2103" s="992" t="str">
        <f aca="false">отделка!A554</f>
        <v>Нет техники</v>
      </c>
      <c r="C2103" s="1027" t="s">
        <v>109</v>
      </c>
      <c r="D2103" s="992" t="n">
        <f aca="false">отделка!C554</f>
        <v>0</v>
      </c>
      <c r="E2103" s="992" t="n">
        <f aca="false">отделка!D554</f>
        <v>0</v>
      </c>
      <c r="F2103" s="992"/>
      <c r="G2103" s="967" t="n">
        <f aca="false">IF(F2103&gt;0,D2103*F2103,E2103*D2103)*IF(H2103&gt;0,1,0)</f>
        <v>0</v>
      </c>
      <c r="H2103" s="970" t="n">
        <f aca="false">D2103*E2103*$H$1700</f>
        <v>0</v>
      </c>
      <c r="I2103" s="936" t="n">
        <f aca="false">IF(G2103&gt;H2103,G2103,H2103)</f>
        <v>0</v>
      </c>
      <c r="L2103" s="926"/>
      <c r="M2103" s="926"/>
      <c r="N2103" s="926"/>
    </row>
    <row r="2104" customFormat="false" ht="15.75" hidden="true" customHeight="false" outlineLevel="0" collapsed="false">
      <c r="A2104" s="937"/>
      <c r="B2104" s="992" t="str">
        <f aca="false">отделка!A555</f>
        <v>Нет техники</v>
      </c>
      <c r="C2104" s="1027" t="s">
        <v>109</v>
      </c>
      <c r="D2104" s="992" t="n">
        <f aca="false">отделка!C555</f>
        <v>0</v>
      </c>
      <c r="E2104" s="992" t="n">
        <f aca="false">отделка!D555</f>
        <v>0</v>
      </c>
      <c r="F2104" s="992"/>
      <c r="G2104" s="967" t="n">
        <f aca="false">IF(F2104&gt;0,D2104*F2104,E2104*D2104)*IF(H2104&gt;0,1,0)</f>
        <v>0</v>
      </c>
      <c r="H2104" s="970" t="n">
        <f aca="false">D2104*E2104*$H$1700</f>
        <v>0</v>
      </c>
      <c r="I2104" s="936" t="n">
        <f aca="false">IF(G2104&gt;H2104,G2104,H2104)</f>
        <v>0</v>
      </c>
      <c r="L2104" s="926"/>
      <c r="M2104" s="926"/>
      <c r="N2104" s="926"/>
    </row>
    <row r="2105" customFormat="false" ht="15.75" hidden="true" customHeight="false" outlineLevel="0" collapsed="false">
      <c r="A2105" s="937"/>
      <c r="B2105" s="992" t="str">
        <f aca="false">отделка!A704</f>
        <v>Нет техники</v>
      </c>
      <c r="C2105" s="1027" t="s">
        <v>109</v>
      </c>
      <c r="D2105" s="992" t="n">
        <f aca="false">отделка!C704</f>
        <v>0</v>
      </c>
      <c r="E2105" s="992" t="n">
        <f aca="false">отделка!D704</f>
        <v>0</v>
      </c>
      <c r="F2105" s="992"/>
      <c r="G2105" s="967" t="n">
        <f aca="false">IF(F2105&gt;0,D2105*F2105,E2105*D2105)*IF(H2105&gt;0,1,0)</f>
        <v>0</v>
      </c>
      <c r="H2105" s="970" t="n">
        <f aca="false">D2105*E2105*$H$1776</f>
        <v>0</v>
      </c>
      <c r="I2105" s="936" t="n">
        <f aca="false">IF(G2105&gt;H2105,G2105,H2105)</f>
        <v>0</v>
      </c>
      <c r="L2105" s="926"/>
      <c r="M2105" s="926"/>
      <c r="N2105" s="926"/>
    </row>
    <row r="2106" customFormat="false" ht="15.75" hidden="true" customHeight="false" outlineLevel="0" collapsed="false">
      <c r="A2106" s="937"/>
      <c r="B2106" s="992" t="str">
        <f aca="false">отделка!A705</f>
        <v>Нет техники</v>
      </c>
      <c r="C2106" s="1027" t="s">
        <v>109</v>
      </c>
      <c r="D2106" s="992" t="n">
        <f aca="false">отделка!C705</f>
        <v>0</v>
      </c>
      <c r="E2106" s="992" t="n">
        <f aca="false">отделка!D705</f>
        <v>0</v>
      </c>
      <c r="F2106" s="992"/>
      <c r="G2106" s="967" t="n">
        <f aca="false">IF(F2106&gt;0,D2106*F2106,E2106*D2106)*IF(H2106&gt;0,1,0)</f>
        <v>0</v>
      </c>
      <c r="H2106" s="970" t="n">
        <f aca="false">D2106*E2106*$H$1776</f>
        <v>0</v>
      </c>
      <c r="I2106" s="936" t="n">
        <f aca="false">IF(G2106&gt;H2106,G2106,H2106)</f>
        <v>0</v>
      </c>
      <c r="L2106" s="926"/>
      <c r="M2106" s="926"/>
      <c r="N2106" s="926"/>
    </row>
    <row r="2107" customFormat="false" ht="15.75" hidden="true" customHeight="false" outlineLevel="0" collapsed="false">
      <c r="A2107" s="937"/>
      <c r="B2107" s="1058" t="str">
        <f aca="false">дома!A2210</f>
        <v>Нет техники</v>
      </c>
      <c r="C2107" s="1027" t="s">
        <v>109</v>
      </c>
      <c r="D2107" s="1058" t="n">
        <f aca="false">дома!C2210</f>
        <v>0</v>
      </c>
      <c r="E2107" s="1058" t="n">
        <f aca="false">дома!D2210</f>
        <v>0</v>
      </c>
      <c r="F2107" s="1058"/>
      <c r="G2107" s="967" t="n">
        <f aca="false">IF(F2107&gt;0,D2107*F2107,E2107*D2107)*IF(H2107&gt;0,1,0)</f>
        <v>0</v>
      </c>
      <c r="H2107" s="970" t="n">
        <f aca="false">D2107*E2107*$H$1015</f>
        <v>0</v>
      </c>
      <c r="I2107" s="936" t="n">
        <f aca="false">IF(G2107&gt;H2107,G2107,H2107)</f>
        <v>0</v>
      </c>
      <c r="L2107" s="926"/>
      <c r="M2107" s="926"/>
      <c r="N2107" s="926"/>
    </row>
    <row r="2108" customFormat="false" ht="15.75" hidden="true" customHeight="false" outlineLevel="0" collapsed="false">
      <c r="A2108" s="937"/>
      <c r="B2108" s="1058" t="str">
        <f aca="false">дома!A2211</f>
        <v>Нет техники</v>
      </c>
      <c r="C2108" s="1027" t="s">
        <v>109</v>
      </c>
      <c r="D2108" s="1058" t="n">
        <f aca="false">дома!C2211</f>
        <v>0</v>
      </c>
      <c r="E2108" s="1058" t="n">
        <f aca="false">дома!D2211</f>
        <v>0</v>
      </c>
      <c r="F2108" s="1058"/>
      <c r="G2108" s="967" t="n">
        <f aca="false">IF(F2108&gt;0,D2108*F2108,E2108*D2108)*IF(H2108&gt;0,1,0)</f>
        <v>0</v>
      </c>
      <c r="H2108" s="970" t="n">
        <f aca="false">D2108*E2108*$H$1015</f>
        <v>0</v>
      </c>
      <c r="I2108" s="936" t="n">
        <f aca="false">IF(G2108&gt;H2108,G2108,H2108)</f>
        <v>0</v>
      </c>
      <c r="J2108" s="653"/>
      <c r="K2108" s="653"/>
      <c r="L2108" s="653"/>
      <c r="M2108" s="653"/>
      <c r="N2108" s="653"/>
    </row>
    <row r="2109" customFormat="false" ht="15.75" hidden="true" customHeight="false" outlineLevel="0" collapsed="false">
      <c r="A2109" s="937"/>
      <c r="B2109" s="1002" t="str">
        <f aca="false">дома!A2315</f>
        <v>Экскаватор погрузчик, бурение</v>
      </c>
      <c r="C2109" s="1003" t="str">
        <f aca="false">дома!B2315</f>
        <v>ед.</v>
      </c>
      <c r="D2109" s="953" t="n">
        <f aca="false">дома!C2315</f>
        <v>0</v>
      </c>
      <c r="E2109" s="1004" t="n">
        <f aca="false">дома!D2315</f>
        <v>300</v>
      </c>
      <c r="F2109" s="1004"/>
      <c r="G2109" s="967" t="n">
        <f aca="false">IF(F2109&gt;0,D2109*F2109,E2109*D2109)*IF(H2109&gt;0,1,0)</f>
        <v>0</v>
      </c>
      <c r="H2109" s="970" t="n">
        <f aca="false">D2109*E2109*$H$1576</f>
        <v>0</v>
      </c>
      <c r="I2109" s="936" t="n">
        <f aca="false">IF(G2109&gt;H2109,G2109,H2109)</f>
        <v>0</v>
      </c>
      <c r="J2109" s="653"/>
      <c r="K2109" s="653"/>
      <c r="L2109" s="653"/>
      <c r="M2109" s="653"/>
      <c r="N2109" s="653"/>
    </row>
    <row r="2110" customFormat="false" ht="15.75" hidden="true" customHeight="false" outlineLevel="0" collapsed="false">
      <c r="A2110" s="937"/>
      <c r="B2110" s="1002" t="str">
        <f aca="false">дома!A2316</f>
        <v>Нет техники</v>
      </c>
      <c r="C2110" s="1003" t="str">
        <f aca="false">дома!B2316</f>
        <v>ед.</v>
      </c>
      <c r="D2110" s="953" t="n">
        <f aca="false">дома!C2316</f>
        <v>0</v>
      </c>
      <c r="E2110" s="1004" t="n">
        <f aca="false">дома!D2316</f>
        <v>0</v>
      </c>
      <c r="F2110" s="1004"/>
      <c r="G2110" s="967" t="n">
        <f aca="false">IF(F2110&gt;0,D2110*F2110,E2110*D2110)*IF(H2110&gt;0,1,0)</f>
        <v>0</v>
      </c>
      <c r="H2110" s="970" t="n">
        <f aca="false">D2110*E2110*$H$1576</f>
        <v>0</v>
      </c>
      <c r="I2110" s="936" t="n">
        <f aca="false">IF(G2110&gt;H2110,G2110,H2110)</f>
        <v>0</v>
      </c>
      <c r="J2110" s="653"/>
      <c r="K2110" s="653"/>
      <c r="L2110" s="653"/>
      <c r="M2110" s="653"/>
      <c r="N2110" s="653"/>
    </row>
    <row r="2111" customFormat="false" ht="17.25" hidden="true" customHeight="true" outlineLevel="0" collapsed="false">
      <c r="A2111" s="937"/>
      <c r="B2111" s="1010" t="s">
        <v>2294</v>
      </c>
      <c r="C2111" s="1010"/>
      <c r="D2111" s="1010"/>
      <c r="E2111" s="1010"/>
      <c r="F2111" s="1059"/>
      <c r="G2111" s="970" t="n">
        <f aca="false">SUM(G2025:G2110)</f>
        <v>0</v>
      </c>
      <c r="H2111" s="970" t="n">
        <f aca="false">SUM(H2025:H2110)</f>
        <v>0</v>
      </c>
      <c r="I2111" s="936" t="n">
        <f aca="false">IF(G2111&gt;H2111,G2111,H2111)</f>
        <v>0</v>
      </c>
      <c r="L2111" s="926"/>
      <c r="M2111" s="926"/>
      <c r="N2111" s="926"/>
    </row>
    <row r="2112" customFormat="false" ht="21" hidden="false" customHeight="false" outlineLevel="0" collapsed="false">
      <c r="A2112" s="937"/>
      <c r="B2112" s="1060" t="s">
        <v>2295</v>
      </c>
      <c r="C2112" s="1060"/>
      <c r="D2112" s="1060"/>
      <c r="E2112" s="1060"/>
      <c r="F2112" s="1061"/>
      <c r="G2112" s="977"/>
      <c r="H2112" s="1062" t="n">
        <f aca="false">H2148</f>
        <v>22000</v>
      </c>
      <c r="I2112" s="1026" t="n">
        <f aca="false">H2112</f>
        <v>22000</v>
      </c>
      <c r="L2112" s="926"/>
      <c r="M2112" s="926"/>
      <c r="N2112" s="926"/>
    </row>
    <row r="2113" customFormat="false" ht="15.75" hidden="true" customHeight="false" outlineLevel="0" collapsed="false">
      <c r="A2113" s="937"/>
      <c r="B2113" s="992" t="str">
        <f aca="false">инженерка!A512</f>
        <v>расходные материалы котельная</v>
      </c>
      <c r="C2113" s="993" t="str">
        <f aca="false">инженерка!B512</f>
        <v>рублей</v>
      </c>
      <c r="D2113" s="992" t="n">
        <f aca="false">инженерка!C512</f>
        <v>1</v>
      </c>
      <c r="E2113" s="992" t="n">
        <f aca="false">инженерка!D512</f>
        <v>5000</v>
      </c>
      <c r="F2113" s="992"/>
      <c r="G2113" s="967" t="n">
        <f aca="false">IF(F2113&gt;0,D2113*F2113,E2113*D2113)*IF(H2113&gt;0,1,0)</f>
        <v>0</v>
      </c>
      <c r="H2113" s="970" t="n">
        <f aca="false">D2113*E2113*$H$1998</f>
        <v>0</v>
      </c>
      <c r="I2113" s="936" t="n">
        <f aca="false">IF(G2113&gt;H2113,G2113,H2113)</f>
        <v>0</v>
      </c>
      <c r="L2113" s="926"/>
      <c r="M2113" s="926"/>
      <c r="N2113" s="926"/>
    </row>
    <row r="2114" customFormat="false" ht="15.75" hidden="true" customHeight="false" outlineLevel="0" collapsed="false">
      <c r="A2114" s="937"/>
      <c r="B2114" s="992" t="str">
        <f aca="false">инженерка!A438</f>
        <v>расходные материалы скважина</v>
      </c>
      <c r="C2114" s="993" t="str">
        <f aca="false">инженерка!B438</f>
        <v>рублей</v>
      </c>
      <c r="D2114" s="992" t="n">
        <f aca="false">инженерка!C438</f>
        <v>1</v>
      </c>
      <c r="E2114" s="992" t="n">
        <f aca="false">инженерка!D438</f>
        <v>5000</v>
      </c>
      <c r="F2114" s="992"/>
      <c r="G2114" s="967" t="n">
        <f aca="false">IF(F2114&gt;0,D2114*F2114,E2114*D2114)*IF(H2114&gt;0,1,0)</f>
        <v>0</v>
      </c>
      <c r="H2114" s="970" t="n">
        <f aca="false">D2114*E2114*$H$1953</f>
        <v>0</v>
      </c>
      <c r="I2114" s="936" t="n">
        <f aca="false">IF(G2114&gt;H2114,G2114,H2114)</f>
        <v>0</v>
      </c>
      <c r="L2114" s="926"/>
      <c r="M2114" s="926"/>
      <c r="N2114" s="926"/>
    </row>
    <row r="2115" customFormat="false" ht="15.75" hidden="true" customHeight="false" outlineLevel="0" collapsed="false">
      <c r="A2115" s="937"/>
      <c r="B2115" s="992" t="str">
        <f aca="false">инженерка!A412</f>
        <v>расходные материалы для отопления</v>
      </c>
      <c r="C2115" s="993" t="str">
        <f aca="false">инженерка!B412</f>
        <v>рублей</v>
      </c>
      <c r="D2115" s="992" t="n">
        <f aca="false">инженерка!C412</f>
        <v>1</v>
      </c>
      <c r="E2115" s="992" t="n">
        <f aca="false">инженерка!D412</f>
        <v>5000</v>
      </c>
      <c r="F2115" s="992"/>
      <c r="G2115" s="967" t="n">
        <f aca="false">IF(F2115&gt;0,D2115*F2115,E2115*D2115)*IF(H2115&gt;0,1,0)</f>
        <v>0</v>
      </c>
      <c r="H2115" s="975" t="n">
        <f aca="false">D2115*E2115*$H$1934</f>
        <v>0</v>
      </c>
      <c r="I2115" s="936" t="n">
        <f aca="false">IF(G2115&gt;H2115,G2115,H2115)</f>
        <v>0</v>
      </c>
      <c r="L2115" s="926"/>
      <c r="M2115" s="926"/>
      <c r="N2115" s="926"/>
    </row>
    <row r="2116" customFormat="false" ht="15.75" hidden="true" customHeight="false" outlineLevel="0" collapsed="false">
      <c r="A2116" s="937"/>
      <c r="B2116" s="992" t="str">
        <f aca="false">инженерка!A385</f>
        <v>расходные материалы для электрики</v>
      </c>
      <c r="C2116" s="993" t="str">
        <f aca="false">инженерка!B385</f>
        <v>рублей</v>
      </c>
      <c r="D2116" s="992" t="n">
        <f aca="false">инженерка!C385</f>
        <v>1</v>
      </c>
      <c r="E2116" s="992" t="n">
        <f aca="false">инженерка!D385</f>
        <v>5000</v>
      </c>
      <c r="F2116" s="992"/>
      <c r="G2116" s="967" t="n">
        <f aca="false">IF(F2116&gt;0,D2116*F2116,E2116*D2116)*IF(H2116&gt;0,1,0)</f>
        <v>0</v>
      </c>
      <c r="H2116" s="970" t="n">
        <f aca="false">D2116*E2116*$H$1904</f>
        <v>0</v>
      </c>
      <c r="I2116" s="936" t="n">
        <f aca="false">IF(G2116&gt;H2116,G2116,H2116)</f>
        <v>0</v>
      </c>
      <c r="L2116" s="926"/>
      <c r="M2116" s="926"/>
      <c r="N2116" s="926"/>
    </row>
    <row r="2117" customFormat="false" ht="15.75" hidden="true" customHeight="false" outlineLevel="0" collapsed="false">
      <c r="A2117" s="937"/>
      <c r="B2117" s="992" t="str">
        <f aca="false">фундамент!A506</f>
        <v>расходные материалы плита ушп</v>
      </c>
      <c r="C2117" s="993" t="str">
        <f aca="false">фундамент!B506</f>
        <v>рублей</v>
      </c>
      <c r="D2117" s="992" t="n">
        <f aca="false">фундамент!C506</f>
        <v>1</v>
      </c>
      <c r="E2117" s="1010" t="n">
        <f aca="false">фундамент!D506</f>
        <v>12000</v>
      </c>
      <c r="F2117" s="1010"/>
      <c r="G2117" s="967" t="n">
        <f aca="false">IF(F2117&gt;0,D2117*F2117,E2117*D2117)*IF(H2117&gt;0,1,0)</f>
        <v>0</v>
      </c>
      <c r="H2117" s="970" t="n">
        <f aca="false">D2117*E2117*$H$252</f>
        <v>0</v>
      </c>
      <c r="I2117" s="936" t="n">
        <f aca="false">IF(G2117&gt;H2117,G2117,H2117)</f>
        <v>0</v>
      </c>
      <c r="J2117" s="931"/>
      <c r="K2117" s="937"/>
    </row>
    <row r="2118" customFormat="false" ht="15.75" hidden="true" customHeight="false" outlineLevel="0" collapsed="false">
      <c r="A2118" s="937"/>
      <c r="B2118" s="992" t="str">
        <f aca="false">фундамент!A361</f>
        <v>расходные материалы свайноростверковый фундамент</v>
      </c>
      <c r="C2118" s="993" t="s">
        <v>113</v>
      </c>
      <c r="D2118" s="992" t="n">
        <f aca="false">фундамент!C361</f>
        <v>1</v>
      </c>
      <c r="E2118" s="992" t="n">
        <f aca="false">фундамент!D361</f>
        <v>8000</v>
      </c>
      <c r="F2118" s="992"/>
      <c r="G2118" s="967" t="n">
        <f aca="false">IF(F2118&gt;0,D2118*F2118,E2118*D2118)*IF(H2118&gt;0,1,0)</f>
        <v>0</v>
      </c>
      <c r="H2118" s="970" t="n">
        <f aca="false">D2118*E2118*$H$179</f>
        <v>0</v>
      </c>
      <c r="I2118" s="936" t="n">
        <f aca="false">IF(G2118&gt;H2118,G2118,H2118)</f>
        <v>0</v>
      </c>
      <c r="J2118" s="931"/>
      <c r="K2118" s="937"/>
    </row>
    <row r="2119" customFormat="false" ht="15.75" hidden="true" customHeight="false" outlineLevel="0" collapsed="false">
      <c r="A2119" s="937"/>
      <c r="B2119" s="992" t="str">
        <f aca="false">фундамент!A428</f>
        <v>расходные материалы свайноростверковый фундамент</v>
      </c>
      <c r="C2119" s="993" t="s">
        <v>113</v>
      </c>
      <c r="D2119" s="992" t="n">
        <f aca="false">фундамент!C428</f>
        <v>1</v>
      </c>
      <c r="E2119" s="992" t="n">
        <f aca="false">фундамент!D428</f>
        <v>8000</v>
      </c>
      <c r="F2119" s="992"/>
      <c r="G2119" s="967" t="n">
        <f aca="false">IF(F2119&gt;0,D2119*F2119,E2119*D2119)*IF(H2119&gt;0,1,0)</f>
        <v>8000</v>
      </c>
      <c r="H2119" s="970" t="n">
        <f aca="false">D2119*E2119*$H$213</f>
        <v>8000</v>
      </c>
      <c r="I2119" s="936" t="n">
        <f aca="false">IF(G2119&gt;H2119,G2119,H2119)</f>
        <v>8000</v>
      </c>
      <c r="J2119" s="931"/>
      <c r="K2119" s="937"/>
    </row>
    <row r="2120" customFormat="false" ht="15.75" hidden="true" customHeight="false" outlineLevel="0" collapsed="false">
      <c r="A2120" s="937"/>
      <c r="B2120" s="992" t="str">
        <f aca="false">дома!A1415</f>
        <v>расходные материалы сип панели</v>
      </c>
      <c r="C2120" s="993" t="s">
        <v>113</v>
      </c>
      <c r="D2120" s="992" t="n">
        <f aca="false">дома!C1415</f>
        <v>1</v>
      </c>
      <c r="E2120" s="992" t="n">
        <f aca="false">дома!D1415</f>
        <v>3000</v>
      </c>
      <c r="F2120" s="992"/>
      <c r="G2120" s="967" t="n">
        <f aca="false">IF(F2120&gt;0,D2120*F2120,E2120*D2120)*IF(H2120&gt;0,1,0)</f>
        <v>0</v>
      </c>
      <c r="H2120" s="970" t="n">
        <f aca="false">D2120*E2120*$H$298</f>
        <v>0</v>
      </c>
      <c r="I2120" s="936" t="n">
        <f aca="false">IF(G2120&gt;H2120,G2120,H2120)</f>
        <v>0</v>
      </c>
      <c r="J2120" s="931"/>
      <c r="K2120" s="937"/>
    </row>
    <row r="2121" customFormat="false" ht="15.75" hidden="true" customHeight="false" outlineLevel="0" collapsed="false">
      <c r="A2121" s="937"/>
      <c r="B2121" s="992" t="str">
        <f aca="false">дома!A1485</f>
        <v>расходные материалы каркасный дом</v>
      </c>
      <c r="C2121" s="993" t="s">
        <v>113</v>
      </c>
      <c r="D2121" s="992" t="n">
        <f aca="false">дома!C1485</f>
        <v>1</v>
      </c>
      <c r="E2121" s="967" t="n">
        <f aca="false">дома!D1485</f>
        <v>3000</v>
      </c>
      <c r="F2121" s="967"/>
      <c r="G2121" s="967" t="n">
        <f aca="false">IF(F2121&gt;0,D2121*F2121,E2121*D2121)*IF(H2121&gt;0,1,0)</f>
        <v>0</v>
      </c>
      <c r="H2121" s="970" t="n">
        <f aca="false">D2121*E2121*$H$327</f>
        <v>0</v>
      </c>
      <c r="I2121" s="936" t="n">
        <f aca="false">IF(G2121&gt;H2121,G2121,H2121)</f>
        <v>0</v>
      </c>
      <c r="J2121" s="931"/>
      <c r="K2121" s="937"/>
    </row>
    <row r="2122" customFormat="false" ht="15.75" hidden="true" customHeight="false" outlineLevel="0" collapsed="false">
      <c r="A2122" s="937"/>
      <c r="B2122" s="992" t="str">
        <f aca="false">дома!A1583</f>
        <v>расходные материалы каменные дома</v>
      </c>
      <c r="C2122" s="993" t="s">
        <v>113</v>
      </c>
      <c r="D2122" s="992" t="n">
        <f aca="false">дома!C1583</f>
        <v>1</v>
      </c>
      <c r="E2122" s="992" t="n">
        <f aca="false">дома!I1583</f>
        <v>3000</v>
      </c>
      <c r="F2122" s="992"/>
      <c r="G2122" s="967" t="n">
        <f aca="false">IF(F2122&gt;0,D2122*F2122,E2122*D2122)*IF(H2122&gt;0,1,0)</f>
        <v>0</v>
      </c>
      <c r="H2122" s="970" t="n">
        <f aca="false">D2122*E2122*$H$363</f>
        <v>0</v>
      </c>
      <c r="I2122" s="936" t="n">
        <f aca="false">IF(G2122&gt;H2122,G2122,H2122)</f>
        <v>0</v>
      </c>
      <c r="J2122" s="931"/>
      <c r="K2122" s="937"/>
    </row>
    <row r="2123" customFormat="false" ht="15.75" hidden="true" customHeight="false" outlineLevel="0" collapsed="false">
      <c r="A2123" s="937"/>
      <c r="B2123" s="995" t="str">
        <f aca="false">дома!A1659</f>
        <v>расходные материалы каменные дома</v>
      </c>
      <c r="C2123" s="993" t="s">
        <v>113</v>
      </c>
      <c r="D2123" s="992" t="n">
        <f aca="false">дома!C1659</f>
        <v>1</v>
      </c>
      <c r="E2123" s="967" t="n">
        <f aca="false">дома!I1657</f>
        <v>0</v>
      </c>
      <c r="F2123" s="967"/>
      <c r="G2123" s="967" t="n">
        <f aca="false">IF(F2123&gt;0,D2123*F2123,E2123*D2123)*IF(H2123&gt;0,1,0)</f>
        <v>0</v>
      </c>
      <c r="H2123" s="970" t="n">
        <f aca="false">D2123*E2123*$H$429</f>
        <v>0</v>
      </c>
      <c r="I2123" s="936" t="n">
        <f aca="false">IF(G2123&gt;H2123,G2123,H2123)</f>
        <v>0</v>
      </c>
      <c r="J2123" s="931"/>
      <c r="K2123" s="937"/>
    </row>
    <row r="2124" customFormat="false" ht="15.75" hidden="false" customHeight="false" outlineLevel="0" collapsed="false">
      <c r="A2124" s="937"/>
      <c r="B2124" s="1002" t="str">
        <f aca="false">дома!A1740</f>
        <v>расходные материалы каменные дома</v>
      </c>
      <c r="C2124" s="993" t="s">
        <v>113</v>
      </c>
      <c r="D2124" s="953" t="n">
        <f aca="false">дома!C1740</f>
        <v>1</v>
      </c>
      <c r="E2124" s="953" t="n">
        <f aca="false">дома!I1740</f>
        <v>3000</v>
      </c>
      <c r="F2124" s="953"/>
      <c r="G2124" s="967" t="n">
        <f aca="false">IF(F2124&gt;0,D2124*F2124,E2124*D2124)*IF(H2124&gt;0,1,0)</f>
        <v>3000</v>
      </c>
      <c r="H2124" s="953" t="n">
        <f aca="false">D2124*E2124*$H$488</f>
        <v>3000</v>
      </c>
      <c r="I2124" s="936" t="n">
        <f aca="false">IF(G2124&gt;H2124,G2124,H2124)</f>
        <v>3000</v>
      </c>
      <c r="J2124" s="931"/>
      <c r="K2124" s="937"/>
    </row>
    <row r="2125" customFormat="false" ht="15.75" hidden="true" customHeight="false" outlineLevel="0" collapsed="false">
      <c r="A2125" s="937"/>
      <c r="B2125" s="1002" t="str">
        <f aca="false">дома!A1810</f>
        <v>расходные материалы дома из леса</v>
      </c>
      <c r="C2125" s="993" t="s">
        <v>113</v>
      </c>
      <c r="D2125" s="953" t="n">
        <f aca="false">дома!C1810</f>
        <v>1</v>
      </c>
      <c r="E2125" s="953" t="n">
        <f aca="false">дома!D1810</f>
        <v>3000</v>
      </c>
      <c r="F2125" s="953"/>
      <c r="G2125" s="967" t="n">
        <f aca="false">IF(F2125&gt;0,D2125*F2125,E2125*D2125)*IF(H2125&gt;0,1,0)</f>
        <v>0</v>
      </c>
      <c r="H2125" s="953" t="n">
        <f aca="false">D2125*E2125*$H$540</f>
        <v>0</v>
      </c>
      <c r="I2125" s="936" t="n">
        <f aca="false">IF(G2125&gt;H2125,G2125,H2125)</f>
        <v>0</v>
      </c>
      <c r="J2125" s="931"/>
      <c r="K2125" s="937"/>
    </row>
    <row r="2126" customFormat="false" ht="15.75" hidden="true" customHeight="false" outlineLevel="0" collapsed="false">
      <c r="A2126" s="937"/>
      <c r="B2126" s="967" t="str">
        <f aca="false">дома!A2009</f>
        <v>расходные материалы дома из леса</v>
      </c>
      <c r="C2126" s="993" t="s">
        <v>113</v>
      </c>
      <c r="D2126" s="967" t="n">
        <f aca="false">дома!C2009</f>
        <v>1</v>
      </c>
      <c r="E2126" s="986" t="n">
        <f aca="false">дома!D2009</f>
        <v>3000</v>
      </c>
      <c r="F2126" s="986"/>
      <c r="G2126" s="967" t="n">
        <f aca="false">IF(F2126&gt;0,D2126*F2126,E2126*D2126)*IF(H2126&gt;0,1,0)</f>
        <v>0</v>
      </c>
      <c r="H2126" s="967" t="n">
        <f aca="false">D2126*E2126*$H$577</f>
        <v>0</v>
      </c>
      <c r="I2126" s="936" t="n">
        <f aca="false">IF(G2126&gt;H2126,G2126,H2126)</f>
        <v>0</v>
      </c>
      <c r="J2126" s="931"/>
      <c r="K2126" s="937"/>
    </row>
    <row r="2127" customFormat="false" ht="15.75" hidden="true" customHeight="false" outlineLevel="0" collapsed="false">
      <c r="A2127" s="937"/>
      <c r="B2127" s="967" t="str">
        <f aca="false">дома!A1963</f>
        <v>расходные материалы дома из леса</v>
      </c>
      <c r="C2127" s="993" t="s">
        <v>113</v>
      </c>
      <c r="D2127" s="967" t="n">
        <f aca="false">дома!C1963</f>
        <v>1</v>
      </c>
      <c r="E2127" s="967" t="n">
        <f aca="false">дома!D1963</f>
        <v>3000</v>
      </c>
      <c r="F2127" s="967"/>
      <c r="G2127" s="967" t="n">
        <f aca="false">IF(F2127&gt;0,D2127*F2127,E2127*D2127)*IF(H2127&gt;0,1,0)</f>
        <v>0</v>
      </c>
      <c r="H2127" s="970" t="n">
        <f aca="false">D2127*E2127*$H$615</f>
        <v>0</v>
      </c>
      <c r="I2127" s="936" t="n">
        <f aca="false">IF(G2127&gt;H2127,G2127,H2127)</f>
        <v>0</v>
      </c>
      <c r="J2127" s="931"/>
      <c r="K2127" s="937"/>
    </row>
    <row r="2128" customFormat="false" ht="15.75" hidden="true" customHeight="false" outlineLevel="0" collapsed="false">
      <c r="A2128" s="937"/>
      <c r="B2128" s="967" t="str">
        <f aca="false">дома!A1855</f>
        <v>расходные материалы дома из леса</v>
      </c>
      <c r="C2128" s="993" t="s">
        <v>113</v>
      </c>
      <c r="D2128" s="967" t="n">
        <f aca="false">дома!C1855</f>
        <v>1</v>
      </c>
      <c r="E2128" s="967" t="n">
        <f aca="false">дома!D1855</f>
        <v>3000</v>
      </c>
      <c r="F2128" s="967"/>
      <c r="G2128" s="967" t="n">
        <f aca="false">IF(F2128&gt;0,D2128*F2128,E2128*D2128)*IF(H2128&gt;0,1,0)</f>
        <v>0</v>
      </c>
      <c r="H2128" s="970" t="n">
        <f aca="false">D2128*E2128*$H$652</f>
        <v>0</v>
      </c>
      <c r="I2128" s="936" t="n">
        <f aca="false">IF(G2128&gt;H2128,G2128,H2128)</f>
        <v>0</v>
      </c>
      <c r="J2128" s="931"/>
      <c r="K2128" s="937"/>
    </row>
    <row r="2129" customFormat="false" ht="15.75" hidden="true" customHeight="false" outlineLevel="0" collapsed="false">
      <c r="A2129" s="937"/>
      <c r="B2129" s="967" t="str">
        <f aca="false">дома!A1902</f>
        <v>расходные материалы дома из леса</v>
      </c>
      <c r="C2129" s="993" t="s">
        <v>113</v>
      </c>
      <c r="D2129" s="967" t="n">
        <f aca="false">дома!C1902</f>
        <v>1</v>
      </c>
      <c r="E2129" s="967" t="n">
        <f aca="false">дома!D1902</f>
        <v>3000</v>
      </c>
      <c r="F2129" s="967"/>
      <c r="G2129" s="967" t="n">
        <f aca="false">IF(F2129&gt;0,D2129*F2129,E2129*D2129)*IF(H2129&gt;0,1,0)</f>
        <v>0</v>
      </c>
      <c r="H2129" s="970" t="n">
        <f aca="false">D2129*E2129*$H$689</f>
        <v>0</v>
      </c>
      <c r="I2129" s="936" t="n">
        <f aca="false">IF(G2129&gt;H2129,G2129,H2129)</f>
        <v>0</v>
      </c>
      <c r="J2129" s="931"/>
      <c r="K2129" s="937"/>
    </row>
    <row r="2130" customFormat="false" ht="15.75" hidden="true" customHeight="false" outlineLevel="0" collapsed="false">
      <c r="A2130" s="937"/>
      <c r="B2130" s="992" t="str">
        <f aca="false">крыша!A623</f>
        <v>расходные материалы эркер</v>
      </c>
      <c r="C2130" s="993" t="str">
        <f aca="false">крыша!B623</f>
        <v>рублей</v>
      </c>
      <c r="D2130" s="992" t="n">
        <f aca="false">крыша!C623</f>
        <v>1</v>
      </c>
      <c r="E2130" s="992" t="n">
        <f aca="false">крыша!D623</f>
        <v>0</v>
      </c>
      <c r="F2130" s="992"/>
      <c r="G2130" s="967" t="n">
        <f aca="false">IF(F2130&gt;0,D2130*F2130,E2130*D2130)*IF(H2130&gt;0,1,0)</f>
        <v>0</v>
      </c>
      <c r="H2130" s="970" t="n">
        <f aca="false">D2130*E2130*$H$1451</f>
        <v>0</v>
      </c>
      <c r="I2130" s="936" t="n">
        <f aca="false">IF(G2130&gt;H2130,G2130,H2130)</f>
        <v>0</v>
      </c>
      <c r="J2130" s="931"/>
      <c r="K2130" s="937"/>
    </row>
    <row r="2131" customFormat="false" ht="15.75" hidden="true" customHeight="false" outlineLevel="0" collapsed="false">
      <c r="A2131" s="937"/>
      <c r="B2131" s="992" t="str">
        <f aca="false">крыша!A316</f>
        <v>расходные материалы двускатная кровля</v>
      </c>
      <c r="C2131" s="993" t="str">
        <f aca="false">крыша!B316</f>
        <v>рублей</v>
      </c>
      <c r="D2131" s="992" t="n">
        <f aca="false">крыша!C316</f>
        <v>1</v>
      </c>
      <c r="E2131" s="1010" t="n">
        <f aca="false">крыша!D316</f>
        <v>3000</v>
      </c>
      <c r="F2131" s="1010"/>
      <c r="G2131" s="967" t="n">
        <f aca="false">IF(F2131&gt;0,D2131*F2131,E2131*D2131)*IF(H2131&gt;0,1,0)</f>
        <v>3000</v>
      </c>
      <c r="H2131" s="970" t="n">
        <f aca="false">D2131*E2131*$H$1112</f>
        <v>3000</v>
      </c>
      <c r="I2131" s="936" t="n">
        <f aca="false">IF(G2131&gt;H2131,G2131,H2131)</f>
        <v>3000</v>
      </c>
      <c r="J2131" s="931"/>
      <c r="K2131" s="937"/>
    </row>
    <row r="2132" customFormat="false" ht="15.75" hidden="true" customHeight="false" outlineLevel="0" collapsed="false">
      <c r="A2132" s="937"/>
      <c r="B2132" s="992" t="str">
        <f aca="false">крыша!A394</f>
        <v>расходные материалы вальмовая кровля</v>
      </c>
      <c r="C2132" s="993" t="str">
        <f aca="false">крыша!B394</f>
        <v>рублей</v>
      </c>
      <c r="D2132" s="992" t="n">
        <f aca="false">крыша!C394</f>
        <v>1</v>
      </c>
      <c r="E2132" s="992" t="n">
        <f aca="false">крыша!D394</f>
        <v>3000</v>
      </c>
      <c r="F2132" s="992"/>
      <c r="G2132" s="967" t="n">
        <f aca="false">IF(F2132&gt;0,D2132*F2132,E2132*D2132)*IF(H2132&gt;0,1,0)</f>
        <v>0</v>
      </c>
      <c r="H2132" s="970" t="n">
        <f aca="false">D2132*E2132*$H$1186</f>
        <v>0</v>
      </c>
      <c r="I2132" s="936" t="n">
        <f aca="false">IF(G2132&gt;H2132,G2132,H2132)</f>
        <v>0</v>
      </c>
      <c r="J2132" s="931"/>
      <c r="K2132" s="937"/>
    </row>
    <row r="2133" customFormat="false" ht="15.75" hidden="false" customHeight="false" outlineLevel="0" collapsed="false">
      <c r="A2133" s="937"/>
      <c r="B2133" s="992" t="str">
        <f aca="false">крыша!A483</f>
        <v>расходные материалы полувальмовая кровля</v>
      </c>
      <c r="C2133" s="993" t="str">
        <f aca="false">крыша!B483</f>
        <v>рублей</v>
      </c>
      <c r="D2133" s="992" t="n">
        <f aca="false">крыша!C483</f>
        <v>1</v>
      </c>
      <c r="E2133" s="992" t="n">
        <f aca="false">крыша!D483</f>
        <v>3000</v>
      </c>
      <c r="F2133" s="992"/>
      <c r="G2133" s="967" t="n">
        <f aca="false">IF(F2133&gt;0,D2133*F2133,E2133*D2133)*IF(H2133&gt;0,1,0)</f>
        <v>0</v>
      </c>
      <c r="H2133" s="970" t="n">
        <f aca="false">D2133*E2133*$H$1252</f>
        <v>0</v>
      </c>
      <c r="I2133" s="936" t="n">
        <f aca="false">IF(G2133&gt;H2133,G2133,H2133)</f>
        <v>0</v>
      </c>
      <c r="J2133" s="931"/>
      <c r="K2133" s="937"/>
    </row>
    <row r="2134" customFormat="false" ht="15.75" hidden="true" customHeight="false" outlineLevel="0" collapsed="false">
      <c r="A2134" s="937"/>
      <c r="B2134" s="992" t="str">
        <f aca="false">крыша!A550</f>
        <v>расходные материалы элементы кровель</v>
      </c>
      <c r="C2134" s="993" t="str">
        <f aca="false">крыша!B550</f>
        <v>рублей</v>
      </c>
      <c r="D2134" s="992" t="n">
        <f aca="false">крыша!C550</f>
        <v>1</v>
      </c>
      <c r="E2134" s="992" t="n">
        <f aca="false">крыша!D550</f>
        <v>10000</v>
      </c>
      <c r="F2134" s="992"/>
      <c r="G2134" s="967" t="n">
        <f aca="false">IF(F2134&gt;0,D2134*F2134,E2134*D2134)*IF(H2134&gt;0,1,0)</f>
        <v>0</v>
      </c>
      <c r="H2134" s="970" t="n">
        <f aca="false">D2134*E2134*$H$1325</f>
        <v>0</v>
      </c>
      <c r="I2134" s="936" t="n">
        <f aca="false">IF(G2134&gt;H2134,G2134,H2134)</f>
        <v>0</v>
      </c>
      <c r="J2134" s="931"/>
      <c r="K2134" s="937"/>
    </row>
    <row r="2135" customFormat="false" ht="15.75" hidden="true" customHeight="false" outlineLevel="0" collapsed="false">
      <c r="A2135" s="937"/>
      <c r="B2135" s="992" t="str">
        <f aca="false">пристройка!A260</f>
        <v>расходные материалы пристройки</v>
      </c>
      <c r="C2135" s="993" t="str">
        <f aca="false">пристройка!B260</f>
        <v>рублей</v>
      </c>
      <c r="D2135" s="992" t="n">
        <f aca="false">пристройка!C260</f>
        <v>1</v>
      </c>
      <c r="E2135" s="1010" t="n">
        <f aca="false">пристройка!D260</f>
        <v>3000</v>
      </c>
      <c r="F2135" s="1010"/>
      <c r="G2135" s="967" t="n">
        <f aca="false">IF(F2135&gt;0,D2135*F2135,E2135*D2135)*IF(H2135&gt;0,1,0)</f>
        <v>0</v>
      </c>
      <c r="H2135" s="970" t="n">
        <f aca="false">D2135*E2135*$H$1383</f>
        <v>0</v>
      </c>
      <c r="I2135" s="936" t="n">
        <f aca="false">IF(G2135&gt;H2135,G2135,H2135)</f>
        <v>0</v>
      </c>
      <c r="J2135" s="931"/>
      <c r="K2135" s="937"/>
    </row>
    <row r="2136" customFormat="false" ht="15.75" hidden="true" customHeight="false" outlineLevel="0" collapsed="false">
      <c r="A2136" s="937"/>
      <c r="B2136" s="1028" t="str">
        <f aca="false">дома!A2064</f>
        <v>расходные материалы веранда</v>
      </c>
      <c r="C2136" s="1029" t="str">
        <f aca="false">дома!B2064</f>
        <v>рублей</v>
      </c>
      <c r="D2136" s="1030" t="n">
        <f aca="false">дома!C2064</f>
        <v>1</v>
      </c>
      <c r="E2136" s="1031" t="n">
        <f aca="false">дома!D2064</f>
        <v>0</v>
      </c>
      <c r="F2136" s="1031"/>
      <c r="G2136" s="967" t="n">
        <f aca="false">IF(F2136&gt;0,D2136*F2136,E2136*D2136)*IF(H2136&gt;0,1,0)</f>
        <v>0</v>
      </c>
      <c r="H2136" s="1057" t="n">
        <f aca="false">D2136*E2136*$H$952</f>
        <v>0</v>
      </c>
      <c r="I2136" s="936" t="n">
        <f aca="false">IF(G2136&gt;H2136,G2136,H2136)</f>
        <v>0</v>
      </c>
      <c r="J2136" s="931"/>
      <c r="K2136" s="937"/>
    </row>
    <row r="2137" customFormat="false" ht="15.75" hidden="true" customHeight="false" outlineLevel="0" collapsed="false">
      <c r="A2137" s="937"/>
      <c r="B2137" s="992" t="str">
        <f aca="false">инженерка!A479</f>
        <v>расходные материалы для септика</v>
      </c>
      <c r="C2137" s="993" t="str">
        <f aca="false">инженерка!B479</f>
        <v>рублей</v>
      </c>
      <c r="D2137" s="992" t="n">
        <f aca="false">инженерка!C479</f>
        <v>1</v>
      </c>
      <c r="E2137" s="1010" t="n">
        <f aca="false">инженерка!D479</f>
        <v>5000</v>
      </c>
      <c r="F2137" s="1010"/>
      <c r="G2137" s="967" t="n">
        <f aca="false">IF(F2137&gt;0,D2137*F2137,E2137*D2137)*IF(H2137&gt;0,1,0)</f>
        <v>0</v>
      </c>
      <c r="H2137" s="970" t="n">
        <f aca="false">D2137*E2137*$H$1973</f>
        <v>0</v>
      </c>
      <c r="I2137" s="936" t="n">
        <f aca="false">IF(G2137&gt;H2137,G2137,H2137)</f>
        <v>0</v>
      </c>
      <c r="J2137" s="931"/>
      <c r="K2137" s="937"/>
    </row>
    <row r="2138" customFormat="false" ht="15.75" hidden="true" customHeight="false" outlineLevel="0" collapsed="false">
      <c r="A2138" s="937"/>
      <c r="B2138" s="1002" t="str">
        <f aca="false">крыша!A701</f>
        <v>расходные материалы односкатная кровля</v>
      </c>
      <c r="C2138" s="1003" t="str">
        <f aca="false">крыша!B701</f>
        <v>рублей</v>
      </c>
      <c r="D2138" s="953" t="n">
        <f aca="false">крыша!C701</f>
        <v>1</v>
      </c>
      <c r="E2138" s="1004" t="n">
        <f aca="false">крыша!D701</f>
        <v>3000</v>
      </c>
      <c r="F2138" s="1004"/>
      <c r="G2138" s="967" t="n">
        <f aca="false">IF(F2138&gt;0,D2138*F2138,E2138*D2138)*IF(H2138&gt;0,1,0)</f>
        <v>0</v>
      </c>
      <c r="H2138" s="970" t="n">
        <f aca="false">D2138*E2138*$H$1037</f>
        <v>0</v>
      </c>
      <c r="I2138" s="936" t="n">
        <f aca="false">IF(G2138&gt;H2138,G2138,H2138)</f>
        <v>0</v>
      </c>
      <c r="J2138" s="931"/>
      <c r="K2138" s="937"/>
    </row>
    <row r="2139" customFormat="false" ht="15.75" hidden="true" customHeight="false" outlineLevel="0" collapsed="false">
      <c r="A2139" s="937"/>
      <c r="B2139" s="992" t="str">
        <f aca="false">фундамент!A280</f>
        <v>Расходные материалы винтовые сваи</v>
      </c>
      <c r="C2139" s="993" t="str">
        <f aca="false">фундамент!B280</f>
        <v>рублей</v>
      </c>
      <c r="D2139" s="992" t="n">
        <f aca="false">фундамент!C280</f>
        <v>1</v>
      </c>
      <c r="E2139" s="992" t="n">
        <f aca="false">фундамент!D280</f>
        <v>6000</v>
      </c>
      <c r="F2139" s="992"/>
      <c r="G2139" s="967" t="n">
        <f aca="false">IF(F2139&gt;0,D2139*F2139,E2139*D2139)*IF(H2139&gt;0,1,0)</f>
        <v>0</v>
      </c>
      <c r="H2139" s="970" t="n">
        <f aca="false">D2139*E2139*$H$125</f>
        <v>0</v>
      </c>
      <c r="I2139" s="936" t="n">
        <f aca="false">IF(G2139&gt;H2139,G2139,H2139)</f>
        <v>0</v>
      </c>
      <c r="J2139" s="931"/>
      <c r="K2139" s="937"/>
    </row>
    <row r="2140" customFormat="false" ht="15.75" hidden="true" customHeight="false" outlineLevel="0" collapsed="false">
      <c r="A2140" s="937"/>
      <c r="B2140" s="992" t="str">
        <f aca="false">отделка!A415</f>
        <v>расходные материалы окна</v>
      </c>
      <c r="C2140" s="993" t="str">
        <f aca="false">отделка!B415</f>
        <v>рублей</v>
      </c>
      <c r="D2140" s="992" t="n">
        <f aca="false">отделка!C415</f>
        <v>1</v>
      </c>
      <c r="E2140" s="992" t="n">
        <f aca="false">отделка!D415</f>
        <v>5000</v>
      </c>
      <c r="F2140" s="992"/>
      <c r="G2140" s="967" t="n">
        <f aca="false">IF(F2140&gt;0,D2140*F2140,E2140*D2140)*IF(H2140&gt;0,1,0)</f>
        <v>0</v>
      </c>
      <c r="H2140" s="975" t="n">
        <f aca="false">D2140*E2140*$H$1633</f>
        <v>0</v>
      </c>
      <c r="I2140" s="936" t="n">
        <f aca="false">IF(G2140&gt;H2140,G2140,H2140)</f>
        <v>0</v>
      </c>
      <c r="J2140" s="931"/>
      <c r="K2140" s="937"/>
    </row>
    <row r="2141" customFormat="false" ht="15.75" hidden="true" customHeight="false" outlineLevel="0" collapsed="false">
      <c r="A2141" s="937"/>
      <c r="B2141" s="992" t="str">
        <f aca="false">отделка!A438</f>
        <v>расходные материалы лестница</v>
      </c>
      <c r="C2141" s="993" t="str">
        <f aca="false">отделка!B438</f>
        <v>рублей</v>
      </c>
      <c r="D2141" s="992" t="n">
        <f aca="false">отделка!C438</f>
        <v>1</v>
      </c>
      <c r="E2141" s="992" t="n">
        <f aca="false">отделка!D438</f>
        <v>5000</v>
      </c>
      <c r="F2141" s="992"/>
      <c r="G2141" s="967" t="n">
        <f aca="false">IF(F2141&gt;0,D2141*F2141,E2141*D2141)*IF(H2141&gt;0,1,0)</f>
        <v>0</v>
      </c>
      <c r="H2141" s="975" t="n">
        <f aca="false">D2141*E2141*$H$1671</f>
        <v>0</v>
      </c>
      <c r="I2141" s="936" t="n">
        <f aca="false">IF(G2141&gt;H2141,G2141,H2141)</f>
        <v>0</v>
      </c>
      <c r="J2141" s="931"/>
      <c r="K2141" s="937"/>
    </row>
    <row r="2142" customFormat="false" ht="15.75" hidden="false" customHeight="false" outlineLevel="0" collapsed="false">
      <c r="A2142" s="937"/>
      <c r="B2142" s="992" t="str">
        <f aca="false">отделка!A556</f>
        <v>расходные материалы отделка внешняя</v>
      </c>
      <c r="C2142" s="993" t="str">
        <f aca="false">отделка!B556</f>
        <v>рублей</v>
      </c>
      <c r="D2142" s="992" t="n">
        <f aca="false">отделка!C556</f>
        <v>1</v>
      </c>
      <c r="E2142" s="992" t="n">
        <f aca="false">отделка!D556</f>
        <v>3000</v>
      </c>
      <c r="F2142" s="992"/>
      <c r="G2142" s="967" t="n">
        <f aca="false">IF(F2142&gt;0,D2142*F2142,E2142*D2142)*IF(H2142&gt;0,1,0)</f>
        <v>3000</v>
      </c>
      <c r="H2142" s="970" t="n">
        <f aca="false">D2142*E2142*$H$1700</f>
        <v>3000</v>
      </c>
      <c r="I2142" s="936" t="n">
        <f aca="false">IF(G2142&gt;H2142,G2142,H2142)</f>
        <v>3000</v>
      </c>
      <c r="L2142" s="926"/>
      <c r="M2142" s="926"/>
      <c r="N2142" s="926"/>
    </row>
    <row r="2143" customFormat="false" ht="15.75" hidden="false" customHeight="false" outlineLevel="0" collapsed="false">
      <c r="A2143" s="937"/>
      <c r="B2143" s="992" t="str">
        <f aca="false">отделка!A706</f>
        <v>расходные материалы чистовая отделка</v>
      </c>
      <c r="C2143" s="993" t="str">
        <f aca="false">отделка!B706</f>
        <v>рублей</v>
      </c>
      <c r="D2143" s="992" t="n">
        <f aca="false">отделка!C706</f>
        <v>1</v>
      </c>
      <c r="E2143" s="992" t="n">
        <f aca="false">отделка!D706</f>
        <v>5000</v>
      </c>
      <c r="F2143" s="992"/>
      <c r="G2143" s="967" t="n">
        <f aca="false">IF(F2143&gt;0,D2143*F2143,E2143*D2143)*IF(H2143&gt;0,1,0)</f>
        <v>5000</v>
      </c>
      <c r="H2143" s="970" t="n">
        <f aca="false">D2143*E2143*$H$1776</f>
        <v>5000</v>
      </c>
      <c r="I2143" s="936" t="n">
        <f aca="false">IF(G2143&gt;H2143,G2143,H2143)</f>
        <v>5000</v>
      </c>
      <c r="L2143" s="926"/>
      <c r="M2143" s="926"/>
      <c r="N2143" s="926"/>
    </row>
    <row r="2144" customFormat="false" ht="15.75" hidden="true" customHeight="false" outlineLevel="0" collapsed="false">
      <c r="A2144" s="937"/>
      <c r="B2144" s="1058" t="str">
        <f aca="false">дома!A2212</f>
        <v>расходные материалы балкон</v>
      </c>
      <c r="C2144" s="1063" t="str">
        <f aca="false">дома!B2212</f>
        <v>рублей</v>
      </c>
      <c r="D2144" s="1058" t="n">
        <f aca="false">дома!C2212</f>
        <v>0</v>
      </c>
      <c r="E2144" s="1058" t="n">
        <f aca="false">дома!D2212</f>
        <v>0</v>
      </c>
      <c r="F2144" s="1058"/>
      <c r="G2144" s="967" t="n">
        <f aca="false">IF(F2144&gt;0,D2144*F2144,E2144*D2144)*IF(H2144&gt;0,1,0)</f>
        <v>0</v>
      </c>
      <c r="H2144" s="970" t="n">
        <f aca="false">D2144*E2144*$H$1015</f>
        <v>0</v>
      </c>
      <c r="I2144" s="936" t="n">
        <f aca="false">IF(G2144&gt;H2144,G2144,H2144)</f>
        <v>0</v>
      </c>
      <c r="L2144" s="926"/>
      <c r="M2144" s="926"/>
      <c r="N2144" s="926"/>
    </row>
    <row r="2145" customFormat="false" ht="15.75" hidden="true" customHeight="false" outlineLevel="0" collapsed="false">
      <c r="A2145" s="937"/>
      <c r="B2145" s="992" t="str">
        <f aca="false">перекрытие!A226</f>
        <v>расходные материалы перекрытие</v>
      </c>
      <c r="C2145" s="993" t="str">
        <f aca="false">перекрытие!B226</f>
        <v>рублей</v>
      </c>
      <c r="D2145" s="992" t="n">
        <f aca="false">перекрытие!D226</f>
        <v>1</v>
      </c>
      <c r="E2145" s="1010" t="n">
        <f aca="false">перекрытие!E226</f>
        <v>0</v>
      </c>
      <c r="F2145" s="1010"/>
      <c r="G2145" s="967" t="n">
        <f aca="false">IF(F2145&gt;0,D2145*F2145,E2145*D2145)*IF(H2145&gt;0,1,0)</f>
        <v>0</v>
      </c>
      <c r="H2145" s="967" t="n">
        <f aca="false">перекрытие!F226*$H$725</f>
        <v>0</v>
      </c>
      <c r="I2145" s="936" t="n">
        <f aca="false">IF(G2145&gt;H2145,G2145,H2145)</f>
        <v>0</v>
      </c>
      <c r="L2145" s="926"/>
      <c r="M2145" s="926"/>
      <c r="N2145" s="926"/>
    </row>
    <row r="2146" customFormat="false" ht="15.75" hidden="true" customHeight="false" outlineLevel="0" collapsed="false">
      <c r="A2146" s="937"/>
      <c r="B2146" s="992" t="str">
        <f aca="false">фундамент!A682</f>
        <v>расходные материалы цокольный этаж</v>
      </c>
      <c r="C2146" s="993" t="str">
        <f aca="false">фундамент!B682</f>
        <v>рублей</v>
      </c>
      <c r="D2146" s="992" t="n">
        <f aca="false">фундамент!C682</f>
        <v>0</v>
      </c>
      <c r="E2146" s="992" t="n">
        <f aca="false">фундамент!D682</f>
        <v>5000</v>
      </c>
      <c r="F2146" s="992"/>
      <c r="G2146" s="967" t="n">
        <f aca="false">IF(F2146&gt;0,D2146*F2146,E2146*D2146)*IF(H2146&gt;0,1,0)</f>
        <v>0</v>
      </c>
      <c r="H2146" s="967" t="n">
        <f aca="false">фундамент!E682</f>
        <v>0</v>
      </c>
      <c r="I2146" s="936" t="n">
        <f aca="false">IF(G2146&gt;H2146,G2146,H2146)</f>
        <v>0</v>
      </c>
      <c r="L2146" s="926"/>
      <c r="M2146" s="926"/>
      <c r="N2146" s="926"/>
    </row>
    <row r="2147" customFormat="false" ht="15.75" hidden="true" customHeight="false" outlineLevel="0" collapsed="false">
      <c r="A2147" s="937"/>
      <c r="B2147" s="1002" t="str">
        <f aca="false">дома!A2317</f>
        <v>Расходные материалы крыльцо</v>
      </c>
      <c r="C2147" s="1003" t="str">
        <f aca="false">дома!B2317</f>
        <v>рублей</v>
      </c>
      <c r="D2147" s="953" t="n">
        <f aca="false">дома!C2317</f>
        <v>1</v>
      </c>
      <c r="E2147" s="1004" t="n">
        <f aca="false">дома!D2317</f>
        <v>1000</v>
      </c>
      <c r="F2147" s="1004"/>
      <c r="G2147" s="967" t="n">
        <f aca="false">IF(F2147&gt;0,D2147*F2147,E2147*D2147)*IF(H2147&gt;0,1,0)</f>
        <v>0</v>
      </c>
      <c r="H2147" s="970" t="n">
        <f aca="false">D2147*E2147*$H$1576</f>
        <v>0</v>
      </c>
      <c r="I2147" s="936" t="n">
        <f aca="false">IF(G2147&gt;H2147,G2147,H2147)</f>
        <v>0</v>
      </c>
      <c r="L2147" s="926"/>
      <c r="M2147" s="926"/>
      <c r="N2147" s="926"/>
    </row>
    <row r="2148" customFormat="false" ht="15.75" hidden="false" customHeight="false" outlineLevel="0" collapsed="false">
      <c r="A2148" s="937"/>
      <c r="B2148" s="1010" t="s">
        <v>2294</v>
      </c>
      <c r="C2148" s="1010"/>
      <c r="D2148" s="1010"/>
      <c r="E2148" s="1010"/>
      <c r="F2148" s="1059"/>
      <c r="G2148" s="1064" t="n">
        <f aca="false">SUM(G2113:G2147)</f>
        <v>22000</v>
      </c>
      <c r="H2148" s="1064" t="n">
        <f aca="false">SUM(H2113:H2147)</f>
        <v>22000</v>
      </c>
      <c r="I2148" s="936" t="n">
        <f aca="false">IF(G2148&gt;H2148,G2148,H2148)</f>
        <v>22000</v>
      </c>
      <c r="L2148" s="926"/>
      <c r="M2148" s="926"/>
      <c r="N2148" s="926"/>
    </row>
    <row r="2149" customFormat="false" ht="21" hidden="true" customHeight="false" outlineLevel="0" collapsed="false">
      <c r="A2149" s="937"/>
      <c r="B2149" s="1060" t="s">
        <v>714</v>
      </c>
      <c r="C2149" s="1060"/>
      <c r="D2149" s="1060"/>
      <c r="E2149" s="1060"/>
      <c r="F2149" s="1065"/>
      <c r="G2149" s="977"/>
      <c r="H2149" s="1062" t="n">
        <f aca="false">H2160</f>
        <v>0</v>
      </c>
      <c r="I2149" s="1026" t="n">
        <f aca="false">H2149</f>
        <v>0</v>
      </c>
      <c r="L2149" s="926"/>
      <c r="M2149" s="926"/>
      <c r="N2149" s="926"/>
    </row>
    <row r="2150" customFormat="false" ht="15.75" hidden="true" customHeight="false" outlineLevel="0" collapsed="false">
      <c r="A2150" s="937"/>
      <c r="B2150" s="992" t="str">
        <f aca="false">дома!A1412</f>
        <v>Командировочные расходы</v>
      </c>
      <c r="C2150" s="993" t="str">
        <f aca="false">дома!B1412</f>
        <v>рублей</v>
      </c>
      <c r="D2150" s="992" t="n">
        <f aca="false">дома!C1412</f>
        <v>1</v>
      </c>
      <c r="E2150" s="992" t="n">
        <f aca="false">дома!D1412</f>
        <v>0</v>
      </c>
      <c r="F2150" s="992"/>
      <c r="G2150" s="967" t="n">
        <f aca="false">IF(F2150&gt;0,D2150*F2150,E2150*D2150)*IF(H2150&gt;0,1,0)</f>
        <v>0</v>
      </c>
      <c r="H2150" s="975" t="n">
        <f aca="false">D2150*E2150*$H$298</f>
        <v>0</v>
      </c>
      <c r="I2150" s="936" t="n">
        <f aca="false">IF(G2150&gt;H2150,G2150,H2150)</f>
        <v>0</v>
      </c>
      <c r="L2150" s="926"/>
      <c r="M2150" s="926"/>
      <c r="N2150" s="926"/>
    </row>
    <row r="2151" customFormat="false" ht="15.75" hidden="true" customHeight="false" outlineLevel="0" collapsed="false">
      <c r="A2151" s="937"/>
      <c r="B2151" s="992" t="str">
        <f aca="false">дома!A1484</f>
        <v>Командировочные расходы</v>
      </c>
      <c r="C2151" s="993" t="str">
        <f aca="false">дома!B1484</f>
        <v>рублей</v>
      </c>
      <c r="D2151" s="992" t="n">
        <f aca="false">дома!C1484</f>
        <v>1</v>
      </c>
      <c r="E2151" s="992" t="n">
        <f aca="false">дома!D1484</f>
        <v>0</v>
      </c>
      <c r="F2151" s="992"/>
      <c r="G2151" s="967" t="n">
        <f aca="false">IF(F2151&gt;0,D2151*F2151,E2151*D2151)*IF(H2151&gt;0,1,0)</f>
        <v>0</v>
      </c>
      <c r="H2151" s="975" t="n">
        <f aca="false">D2151*E2151*$H$327</f>
        <v>0</v>
      </c>
      <c r="I2151" s="936" t="n">
        <f aca="false">IF(G2151&gt;H2151,G2151,H2151)</f>
        <v>0</v>
      </c>
      <c r="L2151" s="926"/>
      <c r="M2151" s="926"/>
      <c r="N2151" s="926"/>
    </row>
    <row r="2152" customFormat="false" ht="15.75" hidden="true" customHeight="false" outlineLevel="0" collapsed="false">
      <c r="A2152" s="937"/>
      <c r="B2152" s="992" t="str">
        <f aca="false">дома!A1582</f>
        <v>Командировочные расходы</v>
      </c>
      <c r="C2152" s="993" t="str">
        <f aca="false">дома!B1582</f>
        <v>рублей</v>
      </c>
      <c r="D2152" s="992" t="n">
        <f aca="false">дома!C1582</f>
        <v>1</v>
      </c>
      <c r="E2152" s="992" t="n">
        <f aca="false">дома!I1582</f>
        <v>0</v>
      </c>
      <c r="F2152" s="992"/>
      <c r="G2152" s="967" t="n">
        <f aca="false">IF(F2152&gt;0,D2152*F2152,E2152*D2152)*IF(H2152&gt;0,1,0)</f>
        <v>0</v>
      </c>
      <c r="H2152" s="975" t="n">
        <f aca="false">D2152*E2152*$H$363</f>
        <v>0</v>
      </c>
      <c r="I2152" s="936" t="n">
        <f aca="false">IF(G2152&gt;H2152,G2152,H2152)</f>
        <v>0</v>
      </c>
      <c r="L2152" s="926"/>
      <c r="M2152" s="926"/>
      <c r="N2152" s="926"/>
    </row>
    <row r="2153" customFormat="false" ht="15.75" hidden="true" customHeight="false" outlineLevel="0" collapsed="false">
      <c r="A2153" s="937"/>
      <c r="B2153" s="992" t="str">
        <f aca="false">дома!A1658</f>
        <v>Командировочные расходы</v>
      </c>
      <c r="C2153" s="993" t="str">
        <f aca="false">дома!B1658</f>
        <v>рублей</v>
      </c>
      <c r="D2153" s="992" t="n">
        <f aca="false">дома!C1658</f>
        <v>1</v>
      </c>
      <c r="E2153" s="992" t="n">
        <f aca="false">дома!I1658</f>
        <v>0</v>
      </c>
      <c r="F2153" s="992"/>
      <c r="G2153" s="967" t="n">
        <f aca="false">IF(F2153&gt;0,D2153*F2153,E2153*D2153)*IF(H2153&gt;0,1,0)</f>
        <v>0</v>
      </c>
      <c r="H2153" s="975" t="n">
        <f aca="false">D2153*E2153*$H$429</f>
        <v>0</v>
      </c>
      <c r="I2153" s="936" t="n">
        <f aca="false">IF(G2153&gt;H2153,G2153,H2153)</f>
        <v>0</v>
      </c>
      <c r="J2153" s="931"/>
      <c r="K2153" s="937"/>
    </row>
    <row r="2154" customFormat="false" ht="15.75" hidden="true" customHeight="false" outlineLevel="0" collapsed="false">
      <c r="A2154" s="937"/>
      <c r="B2154" s="1002" t="str">
        <f aca="false">дома!A1739</f>
        <v>Командировочные расходы</v>
      </c>
      <c r="C2154" s="1003" t="str">
        <f aca="false">дома!B1739</f>
        <v>рублей</v>
      </c>
      <c r="D2154" s="953" t="n">
        <f aca="false">дома!C1739</f>
        <v>1</v>
      </c>
      <c r="E2154" s="1004" t="n">
        <f aca="false">дома!I1739</f>
        <v>0</v>
      </c>
      <c r="F2154" s="1004"/>
      <c r="G2154" s="967" t="n">
        <f aca="false">IF(F2154&gt;0,D2154*F2154,E2154*D2154)*IF(H2154&gt;0,1,0)</f>
        <v>0</v>
      </c>
      <c r="H2154" s="1004" t="n">
        <f aca="false">D2154*E2154*$H$488</f>
        <v>0</v>
      </c>
      <c r="I2154" s="936" t="n">
        <f aca="false">IF(G2154&gt;H2154,G2154,H2154)</f>
        <v>0</v>
      </c>
      <c r="J2154" s="931"/>
      <c r="K2154" s="937"/>
    </row>
    <row r="2155" customFormat="false" ht="15.75" hidden="true" customHeight="false" outlineLevel="0" collapsed="false">
      <c r="A2155" s="937"/>
      <c r="B2155" s="1002" t="str">
        <f aca="false">дома!A1809</f>
        <v>Командировочные расходы</v>
      </c>
      <c r="C2155" s="1003" t="str">
        <f aca="false">дома!B1809</f>
        <v>рублей</v>
      </c>
      <c r="D2155" s="953" t="n">
        <f aca="false">дома!C1809</f>
        <v>1</v>
      </c>
      <c r="E2155" s="1004" t="n">
        <f aca="false">дома!D1809</f>
        <v>0</v>
      </c>
      <c r="F2155" s="1004"/>
      <c r="G2155" s="967" t="n">
        <f aca="false">IF(F2155&gt;0,D2155*F2155,E2155*D2155)*IF(H2155&gt;0,1,0)</f>
        <v>0</v>
      </c>
      <c r="H2155" s="1004" t="n">
        <f aca="false">D2155*E2155*$H$540</f>
        <v>0</v>
      </c>
      <c r="I2155" s="936" t="n">
        <f aca="false">IF(G2155&gt;H2155,G2155,H2155)</f>
        <v>0</v>
      </c>
      <c r="J2155" s="931"/>
      <c r="K2155" s="937"/>
    </row>
    <row r="2156" customFormat="false" ht="15.75" hidden="true" customHeight="false" outlineLevel="0" collapsed="false">
      <c r="A2156" s="937"/>
      <c r="B2156" s="967" t="str">
        <f aca="false">дома!A2008</f>
        <v>Командировочные расходы</v>
      </c>
      <c r="C2156" s="968" t="str">
        <f aca="false">дома!B2008</f>
        <v>рублей</v>
      </c>
      <c r="D2156" s="967" t="n">
        <f aca="false">дома!C2008</f>
        <v>1</v>
      </c>
      <c r="E2156" s="986" t="n">
        <f aca="false">дома!D2008</f>
        <v>0</v>
      </c>
      <c r="F2156" s="986"/>
      <c r="G2156" s="967" t="n">
        <f aca="false">IF(F2156&gt;0,D2156*F2156,E2156*D2156)*IF(H2156&gt;0,1,0)</f>
        <v>0</v>
      </c>
      <c r="H2156" s="967" t="n">
        <f aca="false">D2156*E2156*$H$577</f>
        <v>0</v>
      </c>
      <c r="I2156" s="936" t="n">
        <f aca="false">IF(G2156&gt;H2156,G2156,H2156)</f>
        <v>0</v>
      </c>
      <c r="J2156" s="931"/>
      <c r="K2156" s="937"/>
    </row>
    <row r="2157" customFormat="false" ht="15.75" hidden="true" customHeight="false" outlineLevel="0" collapsed="false">
      <c r="A2157" s="937"/>
      <c r="B2157" s="967" t="str">
        <f aca="false">дома!A1962</f>
        <v>Командировочные расходы</v>
      </c>
      <c r="C2157" s="968" t="str">
        <f aca="false">дома!B1962</f>
        <v>рублей</v>
      </c>
      <c r="D2157" s="967" t="n">
        <f aca="false">дома!C1962</f>
        <v>1</v>
      </c>
      <c r="E2157" s="986" t="n">
        <f aca="false">дома!D1962</f>
        <v>0</v>
      </c>
      <c r="F2157" s="986"/>
      <c r="G2157" s="967" t="n">
        <f aca="false">IF(F2157&gt;0,D2157*F2157,E2157*D2157)*IF(H2157&gt;0,1,0)</f>
        <v>0</v>
      </c>
      <c r="H2157" s="970" t="n">
        <f aca="false">D2157*E2157*$H$615</f>
        <v>0</v>
      </c>
      <c r="I2157" s="936" t="n">
        <f aca="false">IF(G2157&gt;H2157,G2157,H2157)</f>
        <v>0</v>
      </c>
      <c r="J2157" s="931"/>
      <c r="K2157" s="937"/>
    </row>
    <row r="2158" customFormat="false" ht="15.75" hidden="true" customHeight="false" outlineLevel="0" collapsed="false">
      <c r="A2158" s="937"/>
      <c r="B2158" s="967" t="str">
        <f aca="false">дома!A1854</f>
        <v>Командировочные расходы</v>
      </c>
      <c r="C2158" s="968" t="str">
        <f aca="false">дома!B1854</f>
        <v>рублей</v>
      </c>
      <c r="D2158" s="967" t="n">
        <f aca="false">дома!C1854</f>
        <v>1</v>
      </c>
      <c r="E2158" s="986" t="n">
        <f aca="false">дома!D1854</f>
        <v>0</v>
      </c>
      <c r="F2158" s="986"/>
      <c r="G2158" s="967" t="n">
        <f aca="false">IF(F2158&gt;0,D2158*F2158,E2158*D2158)*IF(H2158&gt;0,1,0)</f>
        <v>0</v>
      </c>
      <c r="H2158" s="975" t="n">
        <f aca="false">D2158*E2158*$H$652</f>
        <v>0</v>
      </c>
      <c r="I2158" s="936" t="n">
        <f aca="false">IF(G2158&gt;H2158,G2158,H2158)</f>
        <v>0</v>
      </c>
      <c r="J2158" s="931"/>
      <c r="K2158" s="937"/>
    </row>
    <row r="2159" customFormat="false" ht="15.75" hidden="true" customHeight="false" outlineLevel="0" collapsed="false">
      <c r="A2159" s="937"/>
      <c r="B2159" s="967" t="str">
        <f aca="false">дома!A1901</f>
        <v>Командировочные расходы</v>
      </c>
      <c r="C2159" s="968" t="str">
        <f aca="false">дома!B1901</f>
        <v>рублей</v>
      </c>
      <c r="D2159" s="967" t="n">
        <f aca="false">дома!C1901</f>
        <v>1</v>
      </c>
      <c r="E2159" s="986" t="n">
        <f aca="false">дома!D1901</f>
        <v>0</v>
      </c>
      <c r="F2159" s="986"/>
      <c r="G2159" s="967" t="n">
        <f aca="false">IF(F2159&gt;0,D2159*F2159,E2159*D2159)*IF(H2159&gt;0,1,0)</f>
        <v>0</v>
      </c>
      <c r="H2159" s="975" t="n">
        <f aca="false">D2159*E2159*$H$689</f>
        <v>0</v>
      </c>
      <c r="I2159" s="936" t="n">
        <f aca="false">IF(G2159&gt;H2159,G2159,H2159)</f>
        <v>0</v>
      </c>
      <c r="J2159" s="931"/>
      <c r="K2159" s="937"/>
    </row>
    <row r="2160" customFormat="false" ht="15.75" hidden="true" customHeight="false" outlineLevel="0" collapsed="false">
      <c r="A2160" s="937"/>
      <c r="B2160" s="1010" t="s">
        <v>2294</v>
      </c>
      <c r="C2160" s="1010"/>
      <c r="D2160" s="1010"/>
      <c r="E2160" s="1010"/>
      <c r="F2160" s="1059"/>
      <c r="G2160" s="1064" t="n">
        <f aca="false">SUM(G2150:G2159)</f>
        <v>0</v>
      </c>
      <c r="H2160" s="1064" t="n">
        <f aca="false">SUM(H2150:H2159)</f>
        <v>0</v>
      </c>
      <c r="I2160" s="936" t="n">
        <f aca="false">IF(G2160&gt;H2160,G2160,H2160)</f>
        <v>0</v>
      </c>
      <c r="J2160" s="931"/>
      <c r="K2160" s="937"/>
    </row>
    <row r="2161" customFormat="false" ht="15.75" hidden="false" customHeight="false" outlineLevel="0" collapsed="false">
      <c r="A2161" s="937"/>
      <c r="B2161" s="965"/>
      <c r="C2161" s="1066"/>
      <c r="D2161" s="1067"/>
      <c r="E2161" s="1068"/>
      <c r="F2161" s="1068"/>
      <c r="G2161" s="1068"/>
      <c r="H2161" s="1069"/>
      <c r="I2161" s="936"/>
      <c r="J2161" s="931"/>
      <c r="K2161" s="937"/>
    </row>
    <row r="2162" customFormat="false" ht="15.75" hidden="false" customHeight="false" outlineLevel="0" collapsed="false">
      <c r="A2162" s="931"/>
      <c r="B2162" s="1070" t="s">
        <v>2296</v>
      </c>
      <c r="C2162" s="1070"/>
      <c r="D2162" s="1070"/>
      <c r="E2162" s="1070"/>
      <c r="F2162" s="1071"/>
      <c r="G2162" s="1072" t="n">
        <f aca="false">G24+G55+G88+G113+G132+G195+G232+G276+G317+G346+G414+G474+G530+G565+G602+G639+G676+G713+G907+G979+G1028+G1165+G1232+G1303+G1366+G1431+G1499+G1560+G1654+G1682+G1692+G1746+G1856+G1922+G1946+G1963+G1987+G2013+G2148+G1091+G150+G168+G1615+G1011</f>
        <v>1428059.26070287</v>
      </c>
      <c r="H2162" s="1072" t="n">
        <f aca="false">H24+H55+H88+H113+H132+H195+H232+H276+H317+H346+H414+H474+H530+H565+H602+H639+H676+H713+H907+H979+H1028+H1165+H1232+H1303+H1366+H1431+H1499+H1560+H1654+H1682+H1692+H1746+H1856+H1922+H1946+H1963+H1987+H2013+H2148+H1091+H150+H168+H1615+H1011</f>
        <v>1428060.26070287</v>
      </c>
      <c r="I2162" s="931"/>
      <c r="J2162" s="931"/>
      <c r="K2162" s="937"/>
    </row>
    <row r="2163" customFormat="false" ht="15.75" hidden="false" customHeight="false" outlineLevel="0" collapsed="false">
      <c r="A2163" s="931"/>
      <c r="B2163" s="1070" t="s">
        <v>2297</v>
      </c>
      <c r="C2163" s="1070"/>
      <c r="D2163" s="1070"/>
      <c r="E2163" s="1070"/>
      <c r="F2163" s="1071"/>
      <c r="G2163" s="1072" t="n">
        <f aca="false">G34+G71+G99+G123+G141+G211+G250+G296+G325+G362+G427+G487+G613+G650+G687+G724+G990+G1184+G1250+G1323+G1381+G1450+G1575+G1669+G1685+G1774+G1902+G1932+G1951+G1971+G1996+G2023+G1036+G1698+G1516+G767+G576+G539+G950+G1110+G159+G177+G1631+G1014</f>
        <v>1074454.29690744</v>
      </c>
      <c r="H2163" s="1072" t="n">
        <f aca="false">H34+H71+H99+H123+H141+H211+H250+H296+H325+H362+H427+H487+H613+H650+H687+H724+H990+H1184+H1250+H1323+H1381+H1450+H1575+H1669+H1685+H1774+H1902+H1932+H1951+H1971+H1996+H2023+H1036+H1698+H1516+H767+H576+H539+H950+H1110+H159+H177+H1631+H1014</f>
        <v>1074456.29690744</v>
      </c>
      <c r="I2163" s="931"/>
      <c r="J2163" s="931"/>
      <c r="K2163" s="937"/>
    </row>
    <row r="2164" customFormat="false" ht="15.75" hidden="false" customHeight="false" outlineLevel="0" collapsed="false">
      <c r="A2164" s="931"/>
      <c r="B2164" s="1073"/>
      <c r="C2164" s="1074"/>
      <c r="D2164" s="1075"/>
      <c r="E2164" s="1071" t="s">
        <v>2298</v>
      </c>
      <c r="F2164" s="1071"/>
      <c r="G2164" s="1072" t="n">
        <f aca="false">G2111</f>
        <v>0</v>
      </c>
      <c r="H2164" s="1072" t="n">
        <f aca="false">H2111</f>
        <v>0</v>
      </c>
      <c r="I2164" s="931"/>
      <c r="J2164" s="931"/>
      <c r="K2164" s="937"/>
    </row>
    <row r="2165" customFormat="false" ht="15.75" hidden="false" customHeight="false" outlineLevel="0" collapsed="false">
      <c r="A2165" s="931"/>
      <c r="B2165" s="1073"/>
      <c r="C2165" s="1076" t="s">
        <v>2299</v>
      </c>
      <c r="D2165" s="1076"/>
      <c r="E2165" s="1076"/>
      <c r="F2165" s="1077"/>
      <c r="G2165" s="1072" t="n">
        <f aca="false">G2160</f>
        <v>0</v>
      </c>
      <c r="H2165" s="1072" t="n">
        <f aca="false">H2160</f>
        <v>0</v>
      </c>
      <c r="I2165" s="931"/>
      <c r="J2165" s="931"/>
      <c r="K2165" s="937"/>
    </row>
    <row r="2166" customFormat="false" ht="15.75" hidden="false" customHeight="false" outlineLevel="0" collapsed="false">
      <c r="A2166" s="931"/>
      <c r="B2166" s="1070" t="s">
        <v>2300</v>
      </c>
      <c r="C2166" s="1070"/>
      <c r="D2166" s="1070"/>
      <c r="E2166" s="1070"/>
      <c r="F2166" s="1071"/>
      <c r="G2166" s="1072" t="n">
        <f aca="false">G2162+G2163+G2164+G2165</f>
        <v>2502513.55761031</v>
      </c>
      <c r="H2166" s="1072" t="n">
        <f aca="false">H2162+H2163+H2164+H2165</f>
        <v>2502516.55761031</v>
      </c>
      <c r="I2166" s="931"/>
      <c r="J2166" s="931"/>
      <c r="K2166" s="937"/>
    </row>
    <row r="2167" customFormat="false" ht="15.75" hidden="false" customHeight="false" outlineLevel="0" collapsed="false">
      <c r="A2167" s="931"/>
      <c r="B2167" s="1078" t="s">
        <v>2301</v>
      </c>
      <c r="C2167" s="1078"/>
      <c r="D2167" s="1078"/>
      <c r="E2167" s="1078"/>
      <c r="F2167" s="1078"/>
      <c r="G2167" s="1078"/>
      <c r="H2167" s="1078"/>
      <c r="I2167" s="931"/>
      <c r="J2167" s="931"/>
      <c r="K2167" s="937"/>
    </row>
    <row r="2168" customFormat="false" ht="15.75" hidden="false" customHeight="false" outlineLevel="0" collapsed="false">
      <c r="A2168" s="931"/>
      <c r="B2168" s="931" t="s">
        <v>2302</v>
      </c>
      <c r="C2168" s="1079"/>
      <c r="D2168" s="959"/>
      <c r="E2168" s="1080"/>
      <c r="F2168" s="1080"/>
      <c r="G2168" s="1080"/>
      <c r="H2168" s="1081"/>
      <c r="I2168" s="931"/>
      <c r="J2168" s="931"/>
      <c r="K2168" s="937"/>
    </row>
    <row r="2169" customFormat="false" ht="15.75" hidden="false" customHeight="false" outlineLevel="0" collapsed="false">
      <c r="A2169" s="931"/>
      <c r="B2169" s="1078" t="s">
        <v>2303</v>
      </c>
      <c r="C2169" s="1078"/>
      <c r="D2169" s="1078"/>
      <c r="E2169" s="1080"/>
      <c r="F2169" s="1080"/>
      <c r="G2169" s="1080"/>
      <c r="H2169" s="1081"/>
      <c r="I2169" s="931"/>
      <c r="J2169" s="931"/>
      <c r="K2169" s="937"/>
    </row>
    <row r="2170" customFormat="false" ht="15.75" hidden="false" customHeight="false" outlineLevel="0" collapsed="false">
      <c r="A2170" s="931"/>
      <c r="B2170" s="1078" t="s">
        <v>2304</v>
      </c>
      <c r="C2170" s="1078"/>
      <c r="D2170" s="1078"/>
      <c r="E2170" s="1082"/>
      <c r="F2170" s="1082"/>
      <c r="G2170" s="1082"/>
      <c r="H2170" s="1081"/>
      <c r="I2170" s="931"/>
      <c r="J2170" s="931"/>
      <c r="K2170" s="937"/>
    </row>
    <row r="2171" customFormat="false" ht="15.75" hidden="false" customHeight="false" outlineLevel="0" collapsed="false">
      <c r="A2171" s="931"/>
      <c r="B2171" s="931"/>
      <c r="C2171" s="1079"/>
      <c r="D2171" s="959"/>
      <c r="E2171" s="1082"/>
      <c r="F2171" s="1082"/>
      <c r="G2171" s="1082"/>
      <c r="H2171" s="1081"/>
      <c r="I2171" s="931"/>
      <c r="J2171" s="931"/>
      <c r="K2171" s="937"/>
    </row>
    <row r="2172" customFormat="false" ht="15.75" hidden="false" customHeight="false" outlineLevel="0" collapsed="false">
      <c r="A2172" s="931"/>
      <c r="B2172" s="931"/>
      <c r="C2172" s="1079"/>
      <c r="D2172" s="959"/>
      <c r="E2172" s="938"/>
      <c r="F2172" s="938"/>
      <c r="G2172" s="938"/>
      <c r="H2172" s="1081"/>
      <c r="I2172" s="931"/>
      <c r="J2172" s="931"/>
      <c r="K2172" s="937"/>
    </row>
    <row r="2173" customFormat="false" ht="15.75" hidden="false" customHeight="false" outlineLevel="0" collapsed="false">
      <c r="A2173" s="931"/>
      <c r="B2173" s="931"/>
      <c r="C2173" s="1079"/>
      <c r="D2173" s="959"/>
      <c r="E2173" s="938"/>
      <c r="F2173" s="938"/>
      <c r="G2173" s="938"/>
      <c r="H2173" s="1081"/>
      <c r="I2173" s="931"/>
      <c r="J2173" s="931"/>
      <c r="K2173" s="937"/>
    </row>
    <row r="2174" customFormat="false" ht="15.75" hidden="false" customHeight="false" outlineLevel="0" collapsed="false">
      <c r="A2174" s="931"/>
      <c r="B2174" s="931"/>
      <c r="C2174" s="1079"/>
      <c r="D2174" s="959"/>
      <c r="E2174" s="938"/>
      <c r="F2174" s="938"/>
      <c r="G2174" s="938"/>
      <c r="H2174" s="1081"/>
      <c r="I2174" s="931"/>
      <c r="J2174" s="931"/>
      <c r="K2174" s="937"/>
    </row>
    <row r="2175" customFormat="false" ht="15.75" hidden="false" customHeight="false" outlineLevel="0" collapsed="false">
      <c r="A2175" s="931"/>
      <c r="B2175" s="931"/>
      <c r="C2175" s="1079"/>
      <c r="D2175" s="959"/>
      <c r="E2175" s="938"/>
      <c r="F2175" s="938"/>
      <c r="G2175" s="938"/>
      <c r="H2175" s="1081"/>
      <c r="I2175" s="931"/>
      <c r="J2175" s="931"/>
      <c r="K2175" s="937"/>
    </row>
    <row r="2176" customFormat="false" ht="15.75" hidden="false" customHeight="false" outlineLevel="0" collapsed="false">
      <c r="A2176" s="931"/>
      <c r="B2176" s="931"/>
      <c r="C2176" s="1079"/>
      <c r="D2176" s="959"/>
      <c r="E2176" s="938"/>
      <c r="F2176" s="938"/>
      <c r="G2176" s="938"/>
      <c r="H2176" s="1081"/>
      <c r="I2176" s="931"/>
      <c r="J2176" s="931"/>
      <c r="K2176" s="937"/>
    </row>
    <row r="2177" customFormat="false" ht="15.75" hidden="false" customHeight="false" outlineLevel="0" collapsed="false">
      <c r="A2177" s="931"/>
      <c r="B2177" s="931"/>
      <c r="C2177" s="1079"/>
      <c r="D2177" s="959"/>
      <c r="E2177" s="938"/>
      <c r="F2177" s="938"/>
      <c r="G2177" s="938"/>
      <c r="H2177" s="1081"/>
      <c r="I2177" s="931"/>
      <c r="J2177" s="931"/>
      <c r="K2177" s="937"/>
    </row>
    <row r="2178" customFormat="false" ht="15.75" hidden="false" customHeight="false" outlineLevel="0" collapsed="false">
      <c r="A2178" s="931"/>
      <c r="B2178" s="931"/>
      <c r="C2178" s="1079"/>
      <c r="D2178" s="959"/>
      <c r="E2178" s="938"/>
      <c r="F2178" s="938"/>
      <c r="G2178" s="938"/>
      <c r="H2178" s="1081"/>
      <c r="I2178" s="931"/>
      <c r="J2178" s="931"/>
      <c r="K2178" s="937"/>
    </row>
    <row r="2179" customFormat="false" ht="15.75" hidden="false" customHeight="false" outlineLevel="0" collapsed="false">
      <c r="A2179" s="931"/>
      <c r="B2179" s="931"/>
      <c r="C2179" s="1079"/>
      <c r="D2179" s="959"/>
      <c r="E2179" s="938"/>
      <c r="F2179" s="938"/>
      <c r="G2179" s="938"/>
      <c r="H2179" s="1081"/>
      <c r="I2179" s="931"/>
      <c r="J2179" s="931"/>
      <c r="K2179" s="937"/>
    </row>
    <row r="2180" customFormat="false" ht="15.75" hidden="false" customHeight="false" outlineLevel="0" collapsed="false">
      <c r="A2180" s="931"/>
      <c r="B2180" s="931"/>
      <c r="C2180" s="1079"/>
      <c r="D2180" s="959"/>
      <c r="E2180" s="938"/>
      <c r="F2180" s="938"/>
      <c r="G2180" s="938"/>
      <c r="H2180" s="1081"/>
      <c r="I2180" s="931"/>
      <c r="J2180" s="931"/>
      <c r="K2180" s="937"/>
    </row>
    <row r="2181" customFormat="false" ht="15.75" hidden="false" customHeight="false" outlineLevel="0" collapsed="false">
      <c r="A2181" s="931"/>
      <c r="B2181" s="931"/>
      <c r="C2181" s="1079"/>
      <c r="D2181" s="959"/>
      <c r="E2181" s="938"/>
      <c r="F2181" s="938"/>
      <c r="G2181" s="938"/>
      <c r="H2181" s="1081"/>
      <c r="I2181" s="931"/>
      <c r="J2181" s="931"/>
      <c r="K2181" s="937"/>
    </row>
    <row r="2182" customFormat="false" ht="15.75" hidden="false" customHeight="false" outlineLevel="0" collapsed="false">
      <c r="A2182" s="931"/>
      <c r="B2182" s="931"/>
      <c r="C2182" s="1079"/>
      <c r="D2182" s="959"/>
      <c r="E2182" s="938"/>
      <c r="F2182" s="938"/>
      <c r="G2182" s="938"/>
      <c r="H2182" s="1081"/>
      <c r="I2182" s="931"/>
      <c r="J2182" s="931"/>
      <c r="K2182" s="937"/>
    </row>
    <row r="2183" customFormat="false" ht="15.75" hidden="false" customHeight="false" outlineLevel="0" collapsed="false">
      <c r="A2183" s="931"/>
      <c r="B2183" s="931"/>
      <c r="C2183" s="1079"/>
      <c r="D2183" s="959"/>
      <c r="E2183" s="938"/>
      <c r="F2183" s="938"/>
      <c r="G2183" s="938"/>
      <c r="H2183" s="1081"/>
      <c r="I2183" s="931"/>
      <c r="J2183" s="931"/>
      <c r="K2183" s="937"/>
    </row>
    <row r="2184" customFormat="false" ht="15.75" hidden="false" customHeight="false" outlineLevel="0" collapsed="false">
      <c r="A2184" s="931"/>
      <c r="B2184" s="931"/>
      <c r="C2184" s="1079"/>
      <c r="D2184" s="959"/>
      <c r="E2184" s="938"/>
      <c r="F2184" s="938"/>
      <c r="G2184" s="938"/>
      <c r="H2184" s="1081"/>
      <c r="I2184" s="931"/>
      <c r="J2184" s="931"/>
      <c r="K2184" s="937"/>
    </row>
    <row r="2185" customFormat="false" ht="15.75" hidden="false" customHeight="false" outlineLevel="0" collapsed="false">
      <c r="A2185" s="931"/>
      <c r="B2185" s="931"/>
      <c r="C2185" s="1079"/>
      <c r="D2185" s="959"/>
      <c r="E2185" s="938"/>
      <c r="F2185" s="938"/>
      <c r="G2185" s="938"/>
      <c r="H2185" s="1081"/>
      <c r="I2185" s="931"/>
      <c r="J2185" s="931"/>
      <c r="K2185" s="937"/>
    </row>
    <row r="2186" customFormat="false" ht="15.75" hidden="false" customHeight="false" outlineLevel="0" collapsed="false">
      <c r="A2186" s="931"/>
      <c r="B2186" s="931"/>
      <c r="C2186" s="1079"/>
      <c r="D2186" s="959"/>
      <c r="E2186" s="938"/>
      <c r="F2186" s="938"/>
      <c r="G2186" s="938"/>
      <c r="H2186" s="1081"/>
      <c r="I2186" s="931"/>
      <c r="J2186" s="931"/>
      <c r="K2186" s="937"/>
    </row>
    <row r="2187" customFormat="false" ht="15.75" hidden="false" customHeight="false" outlineLevel="0" collapsed="false">
      <c r="A2187" s="931"/>
      <c r="B2187" s="931"/>
      <c r="C2187" s="1079"/>
      <c r="D2187" s="959"/>
      <c r="E2187" s="938"/>
      <c r="F2187" s="938"/>
      <c r="G2187" s="938"/>
      <c r="H2187" s="1081"/>
      <c r="I2187" s="931"/>
      <c r="J2187" s="931"/>
      <c r="K2187" s="937"/>
    </row>
    <row r="2188" customFormat="false" ht="15.75" hidden="false" customHeight="false" outlineLevel="0" collapsed="false">
      <c r="A2188" s="931"/>
      <c r="B2188" s="931"/>
      <c r="C2188" s="1079"/>
      <c r="D2188" s="959"/>
      <c r="E2188" s="938"/>
      <c r="F2188" s="938"/>
      <c r="G2188" s="938"/>
      <c r="H2188" s="1081"/>
      <c r="I2188" s="931"/>
      <c r="J2188" s="931"/>
      <c r="K2188" s="937"/>
    </row>
    <row r="2189" customFormat="false" ht="15.75" hidden="false" customHeight="false" outlineLevel="0" collapsed="false">
      <c r="A2189" s="931"/>
      <c r="B2189" s="931"/>
      <c r="C2189" s="1079"/>
      <c r="D2189" s="959"/>
      <c r="E2189" s="938"/>
      <c r="F2189" s="938"/>
      <c r="G2189" s="938"/>
      <c r="H2189" s="1081"/>
      <c r="I2189" s="931"/>
      <c r="J2189" s="931"/>
      <c r="K2189" s="937"/>
    </row>
    <row r="2190" customFormat="false" ht="15.75" hidden="false" customHeight="false" outlineLevel="0" collapsed="false">
      <c r="A2190" s="931"/>
      <c r="B2190" s="931"/>
      <c r="C2190" s="1079"/>
      <c r="D2190" s="959"/>
      <c r="E2190" s="938"/>
      <c r="F2190" s="938"/>
      <c r="G2190" s="938"/>
      <c r="H2190" s="1081"/>
      <c r="I2190" s="931"/>
      <c r="J2190" s="931"/>
      <c r="K2190" s="937"/>
    </row>
    <row r="2191" customFormat="false" ht="15.75" hidden="false" customHeight="false" outlineLevel="0" collapsed="false">
      <c r="A2191" s="931"/>
      <c r="B2191" s="931"/>
      <c r="C2191" s="1079"/>
      <c r="D2191" s="959"/>
      <c r="E2191" s="938"/>
      <c r="F2191" s="938"/>
      <c r="G2191" s="938"/>
      <c r="H2191" s="1081"/>
      <c r="I2191" s="931"/>
      <c r="J2191" s="931"/>
      <c r="K2191" s="937"/>
    </row>
    <row r="2192" customFormat="false" ht="15.75" hidden="false" customHeight="false" outlineLevel="0" collapsed="false">
      <c r="A2192" s="931"/>
      <c r="B2192" s="931"/>
      <c r="C2192" s="1079"/>
      <c r="D2192" s="959"/>
      <c r="E2192" s="938"/>
      <c r="F2192" s="938"/>
      <c r="G2192" s="938"/>
      <c r="H2192" s="1081"/>
      <c r="I2192" s="931"/>
      <c r="J2192" s="931"/>
      <c r="K2192" s="937"/>
    </row>
    <row r="2193" customFormat="false" ht="15.75" hidden="false" customHeight="false" outlineLevel="0" collapsed="false">
      <c r="A2193" s="931"/>
      <c r="B2193" s="931"/>
      <c r="C2193" s="1079"/>
      <c r="D2193" s="959"/>
      <c r="E2193" s="938"/>
      <c r="F2193" s="938"/>
      <c r="G2193" s="938"/>
      <c r="H2193" s="1081"/>
      <c r="I2193" s="931"/>
      <c r="J2193" s="931"/>
      <c r="K2193" s="937"/>
    </row>
    <row r="2194" customFormat="false" ht="15.75" hidden="false" customHeight="false" outlineLevel="0" collapsed="false">
      <c r="A2194" s="931"/>
      <c r="B2194" s="931"/>
      <c r="C2194" s="1079"/>
      <c r="D2194" s="959"/>
      <c r="E2194" s="938"/>
      <c r="F2194" s="938"/>
      <c r="G2194" s="938"/>
      <c r="H2194" s="1081"/>
      <c r="I2194" s="931"/>
      <c r="J2194" s="931"/>
      <c r="K2194" s="937"/>
    </row>
    <row r="2195" customFormat="false" ht="15.75" hidden="false" customHeight="false" outlineLevel="0" collapsed="false">
      <c r="A2195" s="931"/>
      <c r="B2195" s="931"/>
      <c r="C2195" s="1079"/>
      <c r="D2195" s="959"/>
      <c r="E2195" s="938"/>
      <c r="F2195" s="938"/>
      <c r="G2195" s="938"/>
      <c r="H2195" s="1081"/>
      <c r="I2195" s="931"/>
      <c r="J2195" s="931"/>
      <c r="K2195" s="937"/>
    </row>
    <row r="2196" customFormat="false" ht="15.75" hidden="false" customHeight="false" outlineLevel="0" collapsed="false">
      <c r="A2196" s="931"/>
      <c r="B2196" s="931"/>
      <c r="C2196" s="1079"/>
      <c r="D2196" s="959"/>
      <c r="E2196" s="938"/>
      <c r="F2196" s="938"/>
      <c r="G2196" s="938"/>
      <c r="H2196" s="1081"/>
      <c r="I2196" s="931"/>
      <c r="J2196" s="931"/>
      <c r="K2196" s="937"/>
    </row>
    <row r="2197" customFormat="false" ht="15.75" hidden="false" customHeight="false" outlineLevel="0" collapsed="false">
      <c r="A2197" s="931"/>
      <c r="B2197" s="931"/>
      <c r="C2197" s="1079"/>
      <c r="D2197" s="959"/>
      <c r="E2197" s="938"/>
      <c r="F2197" s="938"/>
      <c r="G2197" s="938"/>
      <c r="H2197" s="1081"/>
      <c r="I2197" s="931"/>
      <c r="J2197" s="931"/>
      <c r="K2197" s="937"/>
    </row>
    <row r="2198" customFormat="false" ht="15.75" hidden="false" customHeight="false" outlineLevel="0" collapsed="false">
      <c r="A2198" s="931"/>
      <c r="B2198" s="931"/>
      <c r="C2198" s="1079"/>
      <c r="D2198" s="959"/>
      <c r="E2198" s="938"/>
      <c r="F2198" s="938"/>
      <c r="G2198" s="938"/>
      <c r="H2198" s="1081"/>
      <c r="I2198" s="931"/>
      <c r="J2198" s="931"/>
      <c r="K2198" s="937"/>
    </row>
    <row r="2199" customFormat="false" ht="15.75" hidden="false" customHeight="false" outlineLevel="0" collapsed="false">
      <c r="A2199" s="931"/>
      <c r="B2199" s="931"/>
      <c r="C2199" s="1079"/>
      <c r="D2199" s="959"/>
      <c r="E2199" s="938"/>
      <c r="F2199" s="938"/>
      <c r="G2199" s="938"/>
      <c r="H2199" s="1081"/>
      <c r="I2199" s="931"/>
      <c r="J2199" s="931"/>
      <c r="K2199" s="937"/>
    </row>
    <row r="2200" customFormat="false" ht="15.75" hidden="false" customHeight="false" outlineLevel="0" collapsed="false">
      <c r="A2200" s="931"/>
      <c r="B2200" s="931"/>
      <c r="C2200" s="1079"/>
      <c r="D2200" s="959"/>
      <c r="E2200" s="938"/>
      <c r="F2200" s="938"/>
      <c r="G2200" s="938"/>
      <c r="H2200" s="1081"/>
      <c r="I2200" s="931"/>
      <c r="J2200" s="931"/>
      <c r="K2200" s="937"/>
    </row>
    <row r="2201" customFormat="false" ht="15.75" hidden="false" customHeight="false" outlineLevel="0" collapsed="false">
      <c r="A2201" s="931"/>
      <c r="B2201" s="931"/>
      <c r="C2201" s="1079"/>
      <c r="D2201" s="959"/>
      <c r="E2201" s="938"/>
      <c r="F2201" s="938"/>
      <c r="G2201" s="938"/>
      <c r="H2201" s="1081"/>
      <c r="I2201" s="931"/>
      <c r="J2201" s="931"/>
      <c r="K2201" s="937"/>
    </row>
    <row r="2202" customFormat="false" ht="15.75" hidden="false" customHeight="false" outlineLevel="0" collapsed="false">
      <c r="A2202" s="931"/>
      <c r="B2202" s="931"/>
      <c r="C2202" s="1079"/>
      <c r="D2202" s="959"/>
      <c r="E2202" s="938"/>
      <c r="F2202" s="938"/>
      <c r="G2202" s="938"/>
      <c r="H2202" s="1081"/>
      <c r="I2202" s="931"/>
      <c r="J2202" s="931"/>
      <c r="K2202" s="937"/>
    </row>
    <row r="2203" customFormat="false" ht="15.75" hidden="false" customHeight="false" outlineLevel="0" collapsed="false">
      <c r="A2203" s="931"/>
      <c r="B2203" s="931"/>
      <c r="C2203" s="1079"/>
      <c r="D2203" s="959"/>
      <c r="E2203" s="938"/>
      <c r="F2203" s="938"/>
      <c r="G2203" s="938"/>
      <c r="H2203" s="1081"/>
      <c r="I2203" s="931"/>
      <c r="J2203" s="931"/>
      <c r="K2203" s="937"/>
    </row>
    <row r="2204" customFormat="false" ht="15.75" hidden="false" customHeight="false" outlineLevel="0" collapsed="false">
      <c r="A2204" s="931"/>
      <c r="B2204" s="931"/>
      <c r="C2204" s="1079"/>
      <c r="D2204" s="959"/>
      <c r="E2204" s="938"/>
      <c r="F2204" s="938"/>
      <c r="G2204" s="938"/>
      <c r="H2204" s="1081"/>
      <c r="I2204" s="931"/>
      <c r="J2204" s="931"/>
      <c r="K2204" s="937"/>
    </row>
    <row r="2205" customFormat="false" ht="15.75" hidden="false" customHeight="false" outlineLevel="0" collapsed="false">
      <c r="A2205" s="931"/>
      <c r="B2205" s="931"/>
      <c r="C2205" s="1079"/>
      <c r="D2205" s="959"/>
      <c r="E2205" s="938"/>
      <c r="F2205" s="938"/>
      <c r="G2205" s="938"/>
      <c r="H2205" s="1081"/>
      <c r="I2205" s="931"/>
      <c r="J2205" s="931"/>
      <c r="K2205" s="937"/>
    </row>
    <row r="2206" customFormat="false" ht="15.75" hidden="false" customHeight="false" outlineLevel="0" collapsed="false">
      <c r="A2206" s="931"/>
      <c r="B2206" s="931"/>
      <c r="C2206" s="1079"/>
      <c r="D2206" s="959"/>
      <c r="E2206" s="938"/>
      <c r="F2206" s="938"/>
      <c r="G2206" s="938"/>
      <c r="H2206" s="1081"/>
      <c r="I2206" s="931"/>
      <c r="J2206" s="931"/>
      <c r="K2206" s="937"/>
    </row>
    <row r="2207" customFormat="false" ht="15.75" hidden="false" customHeight="false" outlineLevel="0" collapsed="false">
      <c r="A2207" s="931"/>
      <c r="B2207" s="931"/>
      <c r="C2207" s="1079"/>
      <c r="D2207" s="959"/>
      <c r="E2207" s="938"/>
      <c r="F2207" s="938"/>
      <c r="G2207" s="938"/>
      <c r="H2207" s="1081"/>
      <c r="I2207" s="931"/>
      <c r="J2207" s="931"/>
      <c r="K2207" s="937"/>
    </row>
    <row r="2208" customFormat="false" ht="15.75" hidden="false" customHeight="false" outlineLevel="0" collapsed="false">
      <c r="A2208" s="931"/>
      <c r="B2208" s="931"/>
      <c r="C2208" s="1079"/>
      <c r="D2208" s="959"/>
      <c r="E2208" s="938"/>
      <c r="F2208" s="938"/>
      <c r="G2208" s="938"/>
      <c r="H2208" s="1081"/>
      <c r="I2208" s="931"/>
      <c r="J2208" s="931"/>
      <c r="K2208" s="937"/>
    </row>
    <row r="2209" customFormat="false" ht="15.75" hidden="false" customHeight="false" outlineLevel="0" collapsed="false">
      <c r="A2209" s="931"/>
      <c r="B2209" s="931"/>
      <c r="C2209" s="1079"/>
      <c r="D2209" s="959"/>
      <c r="E2209" s="938"/>
      <c r="F2209" s="938"/>
      <c r="G2209" s="938"/>
      <c r="H2209" s="1081"/>
      <c r="I2209" s="931"/>
      <c r="J2209" s="931"/>
      <c r="K2209" s="937"/>
    </row>
    <row r="2210" customFormat="false" ht="15.75" hidden="false" customHeight="false" outlineLevel="0" collapsed="false">
      <c r="A2210" s="931"/>
      <c r="B2210" s="931"/>
      <c r="C2210" s="1079"/>
      <c r="D2210" s="959"/>
      <c r="E2210" s="938"/>
      <c r="F2210" s="938"/>
      <c r="G2210" s="938"/>
      <c r="H2210" s="1081"/>
      <c r="I2210" s="931"/>
      <c r="J2210" s="931"/>
      <c r="K2210" s="937"/>
    </row>
  </sheetData>
  <autoFilter ref="H12:H2160"/>
  <mergeCells count="251">
    <mergeCell ref="D3:G3"/>
    <mergeCell ref="D4:G4"/>
    <mergeCell ref="D5:G5"/>
    <mergeCell ref="D6:G6"/>
    <mergeCell ref="D7:G7"/>
    <mergeCell ref="B9:H9"/>
    <mergeCell ref="B10:H10"/>
    <mergeCell ref="B13:E13"/>
    <mergeCell ref="B14:E14"/>
    <mergeCell ref="B24:E24"/>
    <mergeCell ref="B25:E25"/>
    <mergeCell ref="B34:E34"/>
    <mergeCell ref="B35:E35"/>
    <mergeCell ref="B36:E36"/>
    <mergeCell ref="B55:E55"/>
    <mergeCell ref="B56:E56"/>
    <mergeCell ref="B71:E71"/>
    <mergeCell ref="B72:E72"/>
    <mergeCell ref="B73:E73"/>
    <mergeCell ref="B88:E88"/>
    <mergeCell ref="B89:E89"/>
    <mergeCell ref="B99:E99"/>
    <mergeCell ref="B100:E100"/>
    <mergeCell ref="B101:E101"/>
    <mergeCell ref="B113:E113"/>
    <mergeCell ref="B114:E114"/>
    <mergeCell ref="B123:E123"/>
    <mergeCell ref="B124:E124"/>
    <mergeCell ref="B125:E125"/>
    <mergeCell ref="B132:E132"/>
    <mergeCell ref="B133:E133"/>
    <mergeCell ref="B141:E141"/>
    <mergeCell ref="B142:E142"/>
    <mergeCell ref="B143:E143"/>
    <mergeCell ref="B150:E150"/>
    <mergeCell ref="B151:E151"/>
    <mergeCell ref="B159:E159"/>
    <mergeCell ref="B160:E160"/>
    <mergeCell ref="B161:E161"/>
    <mergeCell ref="B168:E168"/>
    <mergeCell ref="B169:E169"/>
    <mergeCell ref="B177:E177"/>
    <mergeCell ref="B178:E178"/>
    <mergeCell ref="B179:E179"/>
    <mergeCell ref="B195:E195"/>
    <mergeCell ref="B196:E196"/>
    <mergeCell ref="B211:E211"/>
    <mergeCell ref="B212:E212"/>
    <mergeCell ref="B213:E213"/>
    <mergeCell ref="B232:E232"/>
    <mergeCell ref="B233:E233"/>
    <mergeCell ref="B250:E250"/>
    <mergeCell ref="B251:E251"/>
    <mergeCell ref="B252:E252"/>
    <mergeCell ref="B276:E276"/>
    <mergeCell ref="B277:E277"/>
    <mergeCell ref="B296:E296"/>
    <mergeCell ref="B297:E297"/>
    <mergeCell ref="B298:E298"/>
    <mergeCell ref="B317:E317"/>
    <mergeCell ref="B318:E318"/>
    <mergeCell ref="B325:E325"/>
    <mergeCell ref="B326:E326"/>
    <mergeCell ref="B327:E327"/>
    <mergeCell ref="B346:E346"/>
    <mergeCell ref="B347:E347"/>
    <mergeCell ref="B362:E362"/>
    <mergeCell ref="B363:E363"/>
    <mergeCell ref="B364:E364"/>
    <mergeCell ref="B414:E414"/>
    <mergeCell ref="B415:E415"/>
    <mergeCell ref="B427:E427"/>
    <mergeCell ref="B428:E428"/>
    <mergeCell ref="B429:E429"/>
    <mergeCell ref="B474:E474"/>
    <mergeCell ref="B475:E475"/>
    <mergeCell ref="B487:E487"/>
    <mergeCell ref="B488:E488"/>
    <mergeCell ref="B489:E489"/>
    <mergeCell ref="B530:E530"/>
    <mergeCell ref="B531:E531"/>
    <mergeCell ref="B539:E539"/>
    <mergeCell ref="B540:E540"/>
    <mergeCell ref="B541:E541"/>
    <mergeCell ref="B565:E565"/>
    <mergeCell ref="B566:E566"/>
    <mergeCell ref="B576:E576"/>
    <mergeCell ref="B577:E577"/>
    <mergeCell ref="B578:E578"/>
    <mergeCell ref="B602:E602"/>
    <mergeCell ref="B603:E603"/>
    <mergeCell ref="B613:E613"/>
    <mergeCell ref="B614:E614"/>
    <mergeCell ref="B615:E615"/>
    <mergeCell ref="B639:E639"/>
    <mergeCell ref="B640:E640"/>
    <mergeCell ref="B650:E650"/>
    <mergeCell ref="B651:E651"/>
    <mergeCell ref="B652:E652"/>
    <mergeCell ref="B676:E676"/>
    <mergeCell ref="B677:E677"/>
    <mergeCell ref="B687:E687"/>
    <mergeCell ref="B688:E688"/>
    <mergeCell ref="B689:E689"/>
    <mergeCell ref="B713:E713"/>
    <mergeCell ref="B714:E714"/>
    <mergeCell ref="B724:E724"/>
    <mergeCell ref="B725:E725"/>
    <mergeCell ref="B726:E726"/>
    <mergeCell ref="B907:E907"/>
    <mergeCell ref="B908:E908"/>
    <mergeCell ref="B950:E950"/>
    <mergeCell ref="B951:E951"/>
    <mergeCell ref="B952:E952"/>
    <mergeCell ref="B979:E979"/>
    <mergeCell ref="B980:E980"/>
    <mergeCell ref="B990:E990"/>
    <mergeCell ref="B991:E991"/>
    <mergeCell ref="B992:E992"/>
    <mergeCell ref="B1011:E1011"/>
    <mergeCell ref="B1012:E1012"/>
    <mergeCell ref="B1014:E1014"/>
    <mergeCell ref="B1015:E1015"/>
    <mergeCell ref="B1016:E1016"/>
    <mergeCell ref="B1028:E1028"/>
    <mergeCell ref="B1029:E1029"/>
    <mergeCell ref="B1036:E1036"/>
    <mergeCell ref="B1037:E1037"/>
    <mergeCell ref="B1038:E1038"/>
    <mergeCell ref="B1091:E1091"/>
    <mergeCell ref="B1092:E1092"/>
    <mergeCell ref="B1110:E1110"/>
    <mergeCell ref="B1111:E1111"/>
    <mergeCell ref="B1112:E1112"/>
    <mergeCell ref="B1165:E1165"/>
    <mergeCell ref="B1166:E1166"/>
    <mergeCell ref="B1184:E1184"/>
    <mergeCell ref="B1185:E1185"/>
    <mergeCell ref="B1186:E1186"/>
    <mergeCell ref="B1232:E1232"/>
    <mergeCell ref="B1233:E1233"/>
    <mergeCell ref="B1250:E1250"/>
    <mergeCell ref="B1251:E1251"/>
    <mergeCell ref="B1252:E1252"/>
    <mergeCell ref="B1303:E1303"/>
    <mergeCell ref="B1304:E1304"/>
    <mergeCell ref="B1323:E1323"/>
    <mergeCell ref="B1324:E1324"/>
    <mergeCell ref="B1325:E1325"/>
    <mergeCell ref="B1366:E1366"/>
    <mergeCell ref="B1367:E1367"/>
    <mergeCell ref="B1381:E1381"/>
    <mergeCell ref="B1382:E1382"/>
    <mergeCell ref="B1383:E1383"/>
    <mergeCell ref="B1431:E1431"/>
    <mergeCell ref="B1432:E1432"/>
    <mergeCell ref="B1450:E1450"/>
    <mergeCell ref="B1451:E1451"/>
    <mergeCell ref="B1452:E1452"/>
    <mergeCell ref="B1499:E1499"/>
    <mergeCell ref="B1500:E1500"/>
    <mergeCell ref="B1516:E1516"/>
    <mergeCell ref="B1517:E1517"/>
    <mergeCell ref="B1518:E1518"/>
    <mergeCell ref="B1560:E1560"/>
    <mergeCell ref="B1561:E1561"/>
    <mergeCell ref="B1575:E1575"/>
    <mergeCell ref="B1576:E1576"/>
    <mergeCell ref="B1577:E1577"/>
    <mergeCell ref="B1615:E1615"/>
    <mergeCell ref="B1616:E1616"/>
    <mergeCell ref="B1631:E1631"/>
    <mergeCell ref="B1632:E1632"/>
    <mergeCell ref="B1633:E1633"/>
    <mergeCell ref="B1654:E1654"/>
    <mergeCell ref="B1655:E1655"/>
    <mergeCell ref="B1669:E1669"/>
    <mergeCell ref="B1670:E1670"/>
    <mergeCell ref="B1671:E1671"/>
    <mergeCell ref="B1682:E1682"/>
    <mergeCell ref="B1683:E1683"/>
    <mergeCell ref="B1685:E1685"/>
    <mergeCell ref="B1686:E1686"/>
    <mergeCell ref="B1687:E1687"/>
    <mergeCell ref="B1692:E1692"/>
    <mergeCell ref="B1693:E1693"/>
    <mergeCell ref="B1698:E1698"/>
    <mergeCell ref="B1699:E1699"/>
    <mergeCell ref="B1700:E1700"/>
    <mergeCell ref="B1701:E1701"/>
    <mergeCell ref="B1726:E1726"/>
    <mergeCell ref="B1738:E1738"/>
    <mergeCell ref="B1746:E1746"/>
    <mergeCell ref="B1747:E1747"/>
    <mergeCell ref="B1748:E1748"/>
    <mergeCell ref="B1763:E1763"/>
    <mergeCell ref="B1770:E1770"/>
    <mergeCell ref="B1774:E1774"/>
    <mergeCell ref="B1775:E1775"/>
    <mergeCell ref="B1776:E1776"/>
    <mergeCell ref="B1777:E1777"/>
    <mergeCell ref="B1802:E1802"/>
    <mergeCell ref="B1826:E1826"/>
    <mergeCell ref="B1837:E1837"/>
    <mergeCell ref="B1849:E1849"/>
    <mergeCell ref="B1856:E1856"/>
    <mergeCell ref="B1857:E1857"/>
    <mergeCell ref="B1858:E1858"/>
    <mergeCell ref="B1869:E1869"/>
    <mergeCell ref="B1883:E1883"/>
    <mergeCell ref="B1889:E1889"/>
    <mergeCell ref="B1896:E1896"/>
    <mergeCell ref="B1902:E1902"/>
    <mergeCell ref="B1903:E1903"/>
    <mergeCell ref="B1904:E1904"/>
    <mergeCell ref="B1922:E1922"/>
    <mergeCell ref="B1923:E1923"/>
    <mergeCell ref="B1932:E1932"/>
    <mergeCell ref="B1933:E1933"/>
    <mergeCell ref="B1934:E1934"/>
    <mergeCell ref="B1946:E1946"/>
    <mergeCell ref="B1947:E1947"/>
    <mergeCell ref="B1951:E1951"/>
    <mergeCell ref="B1952:E1952"/>
    <mergeCell ref="B1953:E1953"/>
    <mergeCell ref="B1963:E1963"/>
    <mergeCell ref="B1964:E1964"/>
    <mergeCell ref="B1971:E1971"/>
    <mergeCell ref="B1972:E1972"/>
    <mergeCell ref="B1973:E1973"/>
    <mergeCell ref="B1987:E1987"/>
    <mergeCell ref="B1988:E1988"/>
    <mergeCell ref="B1996:E1996"/>
    <mergeCell ref="B1997:E1997"/>
    <mergeCell ref="B1998:E1998"/>
    <mergeCell ref="B2013:E2013"/>
    <mergeCell ref="B2014:E2014"/>
    <mergeCell ref="B2023:E2023"/>
    <mergeCell ref="B2024:E2024"/>
    <mergeCell ref="B2111:E2111"/>
    <mergeCell ref="B2112:E2112"/>
    <mergeCell ref="B2148:E2148"/>
    <mergeCell ref="B2149:E2149"/>
    <mergeCell ref="B2160:E2160"/>
    <mergeCell ref="B2162:E2162"/>
    <mergeCell ref="B2163:E2163"/>
    <mergeCell ref="C2165:E2165"/>
    <mergeCell ref="B2166:E2166"/>
    <mergeCell ref="B2167:H2167"/>
    <mergeCell ref="B2169:D2169"/>
    <mergeCell ref="B2170:D2170"/>
  </mergeCells>
  <printOptions headings="false" gridLines="false" gridLinesSet="true" horizontalCentered="false" verticalCentered="false"/>
  <pageMargins left="0.708333333333333" right="0.708333333333333" top="0.747916666666667" bottom="0.747916666666667" header="0.511805555555555" footer="0.511805555555555"/>
  <pageSetup paperSize="9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00B0F0"/>
    <pageSetUpPr fitToPage="false"/>
  </sheetPr>
  <dimension ref="A1:N217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9" activeCellId="0" sqref="B9"/>
    </sheetView>
  </sheetViews>
  <sheetFormatPr defaultColWidth="9.15625" defaultRowHeight="15" zeroHeight="false" outlineLevelRow="0" outlineLevelCol="0"/>
  <cols>
    <col collapsed="false" customWidth="true" hidden="false" outlineLevel="0" max="1" min="1" style="1083" width="5.14"/>
    <col collapsed="false" customWidth="true" hidden="false" outlineLevel="0" max="2" min="2" style="1083" width="57.15"/>
    <col collapsed="false" customWidth="true" hidden="false" outlineLevel="0" max="3" min="3" style="1084" width="9.71"/>
    <col collapsed="false" customWidth="true" hidden="false" outlineLevel="0" max="4" min="4" style="1085" width="9.71"/>
    <col collapsed="false" customWidth="true" hidden="false" outlineLevel="0" max="5" min="5" style="1083" width="12.71"/>
    <col collapsed="false" customWidth="true" hidden="false" outlineLevel="0" max="6" min="6" style="1086" width="14.57"/>
    <col collapsed="false" customWidth="false" hidden="false" outlineLevel="0" max="1024" min="7" style="1083" width="9.14"/>
  </cols>
  <sheetData>
    <row r="1" customFormat="false" ht="15.75" hidden="false" customHeight="false" outlineLevel="0" collapsed="false">
      <c r="A1" s="1087"/>
      <c r="B1" s="1087"/>
      <c r="C1" s="1088"/>
      <c r="D1" s="1089"/>
      <c r="E1" s="1087"/>
      <c r="F1" s="1090" t="s">
        <v>2231</v>
      </c>
      <c r="G1" s="1087"/>
      <c r="H1" s="1087"/>
      <c r="I1" s="1087"/>
      <c r="J1" s="1087"/>
      <c r="K1" s="1087"/>
      <c r="L1" s="1087"/>
      <c r="M1" s="1087"/>
      <c r="N1" s="1087"/>
    </row>
    <row r="2" customFormat="false" ht="15" hidden="false" customHeight="false" outlineLevel="0" collapsed="false">
      <c r="A2" s="1087"/>
      <c r="B2" s="1087"/>
      <c r="C2" s="1088"/>
      <c r="D2" s="1089"/>
      <c r="E2" s="1087"/>
      <c r="F2" s="1091"/>
      <c r="G2" s="1087"/>
      <c r="H2" s="1092"/>
      <c r="I2" s="1092"/>
      <c r="J2" s="1092"/>
      <c r="K2" s="1092"/>
      <c r="L2" s="1092"/>
      <c r="M2" s="1092"/>
      <c r="N2" s="1092"/>
    </row>
    <row r="3" customFormat="false" ht="15.75" hidden="false" customHeight="false" outlineLevel="0" collapsed="false">
      <c r="A3" s="1087"/>
      <c r="B3" s="22" t="s">
        <v>927</v>
      </c>
      <c r="C3" s="1093" t="str">
        <f aca="false">'Смета Внутр'!D3</f>
        <v>Длина дома, м.п.</v>
      </c>
      <c r="D3" s="1093"/>
      <c r="E3" s="1093"/>
      <c r="F3" s="1094" t="n">
        <f aca="false">'Смета Внутр'!H3</f>
        <v>8</v>
      </c>
      <c r="G3" s="1087"/>
      <c r="H3" s="1092"/>
      <c r="I3" s="1092"/>
      <c r="J3" s="1092"/>
      <c r="K3" s="1092"/>
      <c r="L3" s="1092"/>
      <c r="M3" s="1092"/>
      <c r="N3" s="1092"/>
    </row>
    <row r="4" customFormat="false" ht="15.75" hidden="false" customHeight="false" outlineLevel="0" collapsed="false">
      <c r="A4" s="1087"/>
      <c r="B4" s="22" t="s">
        <v>7</v>
      </c>
      <c r="C4" s="1093" t="str">
        <f aca="false">'Смета Внутр'!D4</f>
        <v>Ширина дома, м.п.</v>
      </c>
      <c r="D4" s="1093"/>
      <c r="E4" s="1093"/>
      <c r="F4" s="1094" t="n">
        <f aca="false">'Смета Внутр'!H4</f>
        <v>8</v>
      </c>
      <c r="G4" s="1087"/>
      <c r="H4" s="1092"/>
      <c r="I4" s="1092"/>
      <c r="J4" s="1092"/>
      <c r="K4" s="1092"/>
      <c r="L4" s="1092"/>
      <c r="M4" s="1092"/>
      <c r="N4" s="1092"/>
    </row>
    <row r="5" customFormat="false" ht="15.75" hidden="false" customHeight="false" outlineLevel="0" collapsed="false">
      <c r="A5" s="1087"/>
      <c r="B5" s="22" t="s">
        <v>8</v>
      </c>
      <c r="C5" s="1093" t="str">
        <f aca="false">'Смета Внутр'!D5</f>
        <v>Этажность дома</v>
      </c>
      <c r="D5" s="1093"/>
      <c r="E5" s="1093"/>
      <c r="F5" s="1094" t="n">
        <f aca="false">'Смета Внутр'!H5</f>
        <v>2</v>
      </c>
      <c r="G5" s="1087"/>
      <c r="H5" s="1092"/>
      <c r="I5" s="1092"/>
      <c r="J5" s="1092"/>
      <c r="K5" s="1092"/>
      <c r="L5" s="1092"/>
      <c r="M5" s="1092"/>
      <c r="N5" s="1092"/>
    </row>
    <row r="6" customFormat="false" ht="15.75" hidden="false" customHeight="false" outlineLevel="0" collapsed="false">
      <c r="A6" s="1087"/>
      <c r="B6" s="22" t="s">
        <v>928</v>
      </c>
      <c r="C6" s="1093" t="str">
        <f aca="false">'Смета Внутр'!D6</f>
        <v>S строения общая, м2</v>
      </c>
      <c r="D6" s="1093"/>
      <c r="E6" s="1093"/>
      <c r="F6" s="1094" t="n">
        <f aca="false">'Смета Внутр'!H6</f>
        <v>128</v>
      </c>
      <c r="G6" s="1087"/>
      <c r="H6" s="1092"/>
      <c r="I6" s="1092"/>
      <c r="J6" s="1092"/>
      <c r="K6" s="1092"/>
      <c r="L6" s="1092"/>
      <c r="M6" s="1092"/>
      <c r="N6" s="1092"/>
    </row>
    <row r="7" customFormat="false" ht="15.75" hidden="false" customHeight="false" outlineLevel="0" collapsed="false">
      <c r="A7" s="1087"/>
      <c r="B7" s="22" t="s">
        <v>929</v>
      </c>
      <c r="C7" s="1093" t="str">
        <f aca="false">'Смета Внутр'!D7</f>
        <v>S строения чистая, м2</v>
      </c>
      <c r="D7" s="1093"/>
      <c r="E7" s="1093"/>
      <c r="F7" s="1094" t="n">
        <f aca="false">'Смета Внутр'!H7</f>
        <v>94.7321893085902</v>
      </c>
      <c r="G7" s="1087"/>
      <c r="H7" s="1092"/>
      <c r="I7" s="1092"/>
      <c r="J7" s="1092"/>
      <c r="K7" s="1092"/>
      <c r="L7" s="1092"/>
      <c r="M7" s="1092"/>
      <c r="N7" s="1092"/>
    </row>
    <row r="8" customFormat="false" ht="15" hidden="false" customHeight="false" outlineLevel="0" collapsed="false">
      <c r="A8" s="1087"/>
      <c r="B8" s="1087"/>
      <c r="C8" s="1095"/>
      <c r="D8" s="1088"/>
      <c r="E8" s="1095"/>
      <c r="F8" s="1094"/>
      <c r="G8" s="1087"/>
      <c r="H8" s="1092"/>
      <c r="I8" s="1092"/>
      <c r="J8" s="1092"/>
      <c r="K8" s="1092"/>
      <c r="L8" s="1092"/>
      <c r="M8" s="1092"/>
      <c r="N8" s="1092"/>
    </row>
    <row r="9" customFormat="false" ht="15" hidden="false" customHeight="false" outlineLevel="0" collapsed="false">
      <c r="A9" s="1087"/>
      <c r="B9" s="1096" t="str">
        <f aca="false">'Смета Внутр'!B9</f>
        <v>СМЕТНЫЙ РАСЧЕТ №4</v>
      </c>
      <c r="C9" s="1096"/>
      <c r="D9" s="1096"/>
      <c r="E9" s="1096"/>
      <c r="F9" s="1096"/>
      <c r="G9" s="1087"/>
      <c r="H9" s="1092"/>
      <c r="I9" s="1092"/>
      <c r="J9" s="1092"/>
      <c r="K9" s="1092"/>
      <c r="L9" s="1092"/>
      <c r="M9" s="1092"/>
      <c r="N9" s="1092"/>
    </row>
    <row r="10" customFormat="false" ht="15" hidden="false" customHeight="false" outlineLevel="0" collapsed="false">
      <c r="A10" s="1087"/>
      <c r="B10" s="1096" t="str">
        <f aca="false">'Смета Внутр'!B10</f>
        <v>Приложение №3 К договору №12 от "22"07. 2017г.</v>
      </c>
      <c r="C10" s="1096"/>
      <c r="D10" s="1096"/>
      <c r="E10" s="1096"/>
      <c r="F10" s="1096"/>
      <c r="G10" s="1087"/>
      <c r="H10" s="1092"/>
      <c r="I10" s="1092"/>
      <c r="J10" s="1092"/>
      <c r="K10" s="1092"/>
      <c r="L10" s="1092"/>
      <c r="M10" s="1092"/>
      <c r="N10" s="1092"/>
    </row>
    <row r="11" customFormat="false" ht="15" hidden="false" customHeight="false" outlineLevel="0" collapsed="false">
      <c r="A11" s="1087"/>
      <c r="B11" s="1087"/>
      <c r="C11" s="1088"/>
      <c r="D11" s="1089"/>
      <c r="E11" s="1087"/>
      <c r="F11" s="1091"/>
      <c r="G11" s="1087"/>
      <c r="H11" s="1087"/>
      <c r="I11" s="1087"/>
      <c r="J11" s="1087"/>
      <c r="K11" s="1087"/>
      <c r="L11" s="1087"/>
      <c r="M11" s="1087"/>
      <c r="N11" s="1087"/>
    </row>
    <row r="12" customFormat="false" ht="15" hidden="false" customHeight="false" outlineLevel="0" collapsed="false">
      <c r="B12" s="1097" t="str">
        <f aca="false">'Смета Внутр'!B12</f>
        <v>Наименование работ и затрат</v>
      </c>
      <c r="C12" s="1098" t="str">
        <f aca="false">'Смета Внутр'!C12</f>
        <v>ед. изм.</v>
      </c>
      <c r="D12" s="1099" t="str">
        <f aca="false">'Смета Внутр'!D12</f>
        <v>кол-во</v>
      </c>
      <c r="E12" s="1097" t="str">
        <f aca="false">'Смета Внутр'!E12</f>
        <v>Цена ед.изм.</v>
      </c>
      <c r="F12" s="1100" t="str">
        <f aca="false">'Смета Внутр'!H12</f>
        <v>Цена по прайсу</v>
      </c>
    </row>
    <row r="13" s="118" customFormat="true" ht="18.75" hidden="false" customHeight="false" outlineLevel="0" collapsed="false">
      <c r="B13" s="1101" t="str">
        <f aca="false">'Смета Внутр'!B13</f>
        <v>Фундамент ленточный, под стены цоколя</v>
      </c>
      <c r="C13" s="1101"/>
      <c r="D13" s="1101"/>
      <c r="E13" s="1101"/>
      <c r="F13" s="1102" t="n">
        <f aca="false">'Смета Внутр'!H13</f>
        <v>0</v>
      </c>
    </row>
    <row r="14" s="118" customFormat="true" ht="15" hidden="false" customHeight="false" outlineLevel="0" collapsed="false">
      <c r="B14" s="1103" t="str">
        <f aca="false">'Смета Внутр'!B14</f>
        <v>Материалы</v>
      </c>
      <c r="C14" s="1103"/>
      <c r="D14" s="1103"/>
      <c r="E14" s="1103"/>
      <c r="F14" s="1102" t="n">
        <f aca="false">'Смета Внутр'!H14</f>
        <v>0</v>
      </c>
    </row>
    <row r="15" s="118" customFormat="true" ht="15" hidden="false" customHeight="false" outlineLevel="0" collapsed="false">
      <c r="B15" s="1104" t="str">
        <f aca="false">'Смета Внутр'!B15</f>
        <v>Сосна влаж,150*40мм</v>
      </c>
      <c r="C15" s="1105" t="str">
        <f aca="false">'Смета Внутр'!C15</f>
        <v>м3</v>
      </c>
      <c r="D15" s="1106" t="n">
        <f aca="false">'Смета Внутр'!D15</f>
        <v>0</v>
      </c>
      <c r="E15" s="1104"/>
      <c r="F15" s="1107" t="n">
        <f aca="false">'Смета Внутр'!H15</f>
        <v>0</v>
      </c>
    </row>
    <row r="16" s="118" customFormat="true" ht="15" hidden="false" customHeight="false" outlineLevel="0" collapsed="false">
      <c r="B16" s="1104" t="str">
        <f aca="false">'Смета Внутр'!B16</f>
        <v>Пленка гидроизоляционная </v>
      </c>
      <c r="C16" s="1105" t="str">
        <f aca="false">'Смета Внутр'!C16</f>
        <v>м2</v>
      </c>
      <c r="D16" s="1106" t="n">
        <f aca="false">'Смета Внутр'!D16</f>
        <v>0</v>
      </c>
      <c r="E16" s="1104"/>
      <c r="F16" s="1107" t="n">
        <f aca="false">'Смета Внутр'!H16</f>
        <v>0</v>
      </c>
    </row>
    <row r="17" s="118" customFormat="true" ht="15" hidden="false" customHeight="false" outlineLevel="0" collapsed="false">
      <c r="B17" s="1104" t="str">
        <f aca="false">'Смета Внутр'!B17</f>
        <v>Гидроизол</v>
      </c>
      <c r="C17" s="1105" t="str">
        <f aca="false">'Смета Внутр'!C17</f>
        <v>м2</v>
      </c>
      <c r="D17" s="1106" t="n">
        <f aca="false">'Смета Внутр'!D17</f>
        <v>0</v>
      </c>
      <c r="E17" s="1104"/>
      <c r="F17" s="1107" t="n">
        <f aca="false">'Смета Внутр'!H17</f>
        <v>0</v>
      </c>
    </row>
    <row r="18" s="118" customFormat="true" ht="15" hidden="false" customHeight="false" outlineLevel="0" collapsed="false">
      <c r="B18" s="1104" t="str">
        <f aca="false">'Смета Внутр'!B18</f>
        <v>Арматура стальная Ø 12</v>
      </c>
      <c r="C18" s="1105" t="str">
        <f aca="false">'Смета Внутр'!C18</f>
        <v>м.п</v>
      </c>
      <c r="D18" s="1106" t="n">
        <f aca="false">'Смета Внутр'!D18</f>
        <v>0</v>
      </c>
      <c r="E18" s="1104"/>
      <c r="F18" s="1107" t="n">
        <f aca="false">'Смета Внутр'!H18</f>
        <v>0</v>
      </c>
    </row>
    <row r="19" s="118" customFormat="true" ht="15" hidden="false" customHeight="false" outlineLevel="0" collapsed="false">
      <c r="B19" s="1104" t="str">
        <f aca="false">'Смета Внутр'!B19</f>
        <v>Нет арматуры</v>
      </c>
      <c r="C19" s="1105" t="str">
        <f aca="false">'Смета Внутр'!C19</f>
        <v>м.п</v>
      </c>
      <c r="D19" s="1106" t="n">
        <f aca="false">'Смета Внутр'!D19</f>
        <v>0</v>
      </c>
      <c r="E19" s="1104"/>
      <c r="F19" s="1107" t="n">
        <f aca="false">'Смета Внутр'!H19</f>
        <v>0</v>
      </c>
    </row>
    <row r="20" s="118" customFormat="true" ht="15" hidden="false" customHeight="false" outlineLevel="0" collapsed="false">
      <c r="B20" s="1104" t="str">
        <f aca="false">'Смета Внутр'!B20</f>
        <v>Вязальная проволока</v>
      </c>
      <c r="C20" s="1105" t="str">
        <f aca="false">'Смета Внутр'!C20</f>
        <v>кг</v>
      </c>
      <c r="D20" s="1106" t="n">
        <f aca="false">'Смета Внутр'!D20</f>
        <v>0</v>
      </c>
      <c r="E20" s="1104"/>
      <c r="F20" s="1107" t="n">
        <f aca="false">'Смета Внутр'!H20</f>
        <v>0</v>
      </c>
    </row>
    <row r="21" s="118" customFormat="true" ht="15" hidden="false" customHeight="false" outlineLevel="0" collapsed="false">
      <c r="B21" s="1104" t="str">
        <f aca="false">'Смета Внутр'!B21</f>
        <v>Гвозди строительные 3,5 x 90            </v>
      </c>
      <c r="C21" s="1105" t="str">
        <f aca="false">'Смета Внутр'!C21</f>
        <v>кг</v>
      </c>
      <c r="D21" s="1106" t="n">
        <f aca="false">'Смета Внутр'!D21</f>
        <v>0</v>
      </c>
      <c r="E21" s="1104"/>
      <c r="F21" s="1107" t="n">
        <f aca="false">'Смета Внутр'!H21</f>
        <v>0</v>
      </c>
    </row>
    <row r="22" s="118" customFormat="true" ht="15" hidden="false" customHeight="false" outlineLevel="0" collapsed="false">
      <c r="B22" s="1104" t="str">
        <f aca="false">'Смета Внутр'!B22</f>
        <v>ПГС, машина 13м3</v>
      </c>
      <c r="C22" s="1105" t="str">
        <f aca="false">'Смета Внутр'!C22</f>
        <v>маш</v>
      </c>
      <c r="D22" s="1106" t="n">
        <f aca="false">'Смета Внутр'!D22</f>
        <v>0</v>
      </c>
      <c r="E22" s="1104"/>
      <c r="F22" s="1107" t="n">
        <f aca="false">'Смета Внутр'!H22</f>
        <v>0</v>
      </c>
    </row>
    <row r="23" s="118" customFormat="true" ht="15" hidden="false" customHeight="false" outlineLevel="0" collapsed="false">
      <c r="B23" s="1104" t="str">
        <f aca="false">'Смета Внутр'!B23</f>
        <v>Бетон, м200</v>
      </c>
      <c r="C23" s="1105" t="str">
        <f aca="false">'Смета Внутр'!C23</f>
        <v>м3</v>
      </c>
      <c r="D23" s="1106" t="n">
        <f aca="false">'Смета Внутр'!D23</f>
        <v>0</v>
      </c>
      <c r="E23" s="1104"/>
      <c r="F23" s="1107" t="n">
        <f aca="false">'Смета Внутр'!H23</f>
        <v>0</v>
      </c>
    </row>
    <row r="24" s="118" customFormat="true" ht="15" hidden="false" customHeight="false" outlineLevel="0" collapsed="false">
      <c r="B24" s="1108" t="str">
        <f aca="false">'Смета Внутр'!B24</f>
        <v>Итого материалы</v>
      </c>
      <c r="C24" s="1108"/>
      <c r="D24" s="1108"/>
      <c r="E24" s="1108"/>
      <c r="F24" s="1109" t="n">
        <f aca="false">'Смета Внутр'!G24</f>
        <v>0</v>
      </c>
    </row>
    <row r="25" s="118" customFormat="true" ht="15" hidden="false" customHeight="false" outlineLevel="0" collapsed="false">
      <c r="B25" s="1110" t="str">
        <f aca="false">'Смета Внутр'!B25</f>
        <v>Работы</v>
      </c>
      <c r="C25" s="1110"/>
      <c r="D25" s="1110"/>
      <c r="E25" s="1110"/>
      <c r="F25" s="1102" t="n">
        <f aca="false">'Смета Внутр'!H25</f>
        <v>0</v>
      </c>
    </row>
    <row r="26" s="118" customFormat="true" ht="15" hidden="false" customHeight="false" outlineLevel="0" collapsed="false">
      <c r="B26" s="1104" t="str">
        <f aca="false">'Смета Внутр'!B26</f>
        <v>сборка опалубки</v>
      </c>
      <c r="C26" s="1105" t="str">
        <f aca="false">'Смета Внутр'!C26</f>
        <v>м2</v>
      </c>
      <c r="D26" s="1106" t="n">
        <f aca="false">'Смета Внутр'!D26</f>
        <v>0</v>
      </c>
      <c r="E26" s="1104"/>
      <c r="F26" s="1107" t="n">
        <f aca="false">'Смета Внутр'!H26</f>
        <v>0</v>
      </c>
    </row>
    <row r="27" s="118" customFormat="true" ht="15" hidden="false" customHeight="false" outlineLevel="0" collapsed="false">
      <c r="B27" s="1104" t="str">
        <f aca="false">'Смета Внутр'!B27</f>
        <v>разборка опалубки</v>
      </c>
      <c r="C27" s="1105" t="str">
        <f aca="false">'Смета Внутр'!C27</f>
        <v>м2</v>
      </c>
      <c r="D27" s="1106" t="n">
        <f aca="false">'Смета Внутр'!D27</f>
        <v>0</v>
      </c>
      <c r="E27" s="1104"/>
      <c r="F27" s="1107" t="n">
        <f aca="false">'Смета Внутр'!H27</f>
        <v>0</v>
      </c>
    </row>
    <row r="28" s="118" customFormat="true" ht="15" hidden="false" customHeight="false" outlineLevel="0" collapsed="false">
      <c r="B28" s="1104" t="str">
        <f aca="false">'Смета Внутр'!B28</f>
        <v>трамбовка</v>
      </c>
      <c r="C28" s="1105" t="str">
        <f aca="false">'Смета Внутр'!C28</f>
        <v>м2</v>
      </c>
      <c r="D28" s="1106" t="n">
        <f aca="false">'Смета Внутр'!D28</f>
        <v>0</v>
      </c>
      <c r="E28" s="1104"/>
      <c r="F28" s="1107" t="n">
        <f aca="false">'Смета Внутр'!H28</f>
        <v>0</v>
      </c>
    </row>
    <row r="29" s="118" customFormat="true" ht="15" hidden="false" customHeight="false" outlineLevel="0" collapsed="false">
      <c r="B29" s="1104" t="str">
        <f aca="false">'Смета Внутр'!B29</f>
        <v>настил пленки</v>
      </c>
      <c r="C29" s="1105" t="str">
        <f aca="false">'Смета Внутр'!C29</f>
        <v>м2</v>
      </c>
      <c r="D29" s="1106" t="n">
        <f aca="false">'Смета Внутр'!D29</f>
        <v>0</v>
      </c>
      <c r="E29" s="1104"/>
      <c r="F29" s="1107" t="n">
        <f aca="false">'Смета Внутр'!H29</f>
        <v>0</v>
      </c>
    </row>
    <row r="30" s="118" customFormat="true" ht="15" hidden="false" customHeight="false" outlineLevel="0" collapsed="false">
      <c r="B30" s="1104" t="str">
        <f aca="false">'Смета Внутр'!B30</f>
        <v>армирование</v>
      </c>
      <c r="C30" s="1105" t="str">
        <f aca="false">'Смета Внутр'!C30</f>
        <v>м.п</v>
      </c>
      <c r="D30" s="1106" t="n">
        <f aca="false">'Смета Внутр'!D30</f>
        <v>0</v>
      </c>
      <c r="E30" s="1104"/>
      <c r="F30" s="1107" t="n">
        <f aca="false">'Смета Внутр'!H30</f>
        <v>0</v>
      </c>
    </row>
    <row r="31" s="118" customFormat="true" ht="15" hidden="false" customHeight="false" outlineLevel="0" collapsed="false">
      <c r="B31" s="1104" t="str">
        <f aca="false">'Смета Внутр'!B31</f>
        <v>армирование</v>
      </c>
      <c r="C31" s="1105" t="str">
        <f aca="false">'Смета Внутр'!C31</f>
        <v>м.п.</v>
      </c>
      <c r="D31" s="1106" t="n">
        <f aca="false">'Смета Внутр'!D31</f>
        <v>0</v>
      </c>
      <c r="E31" s="1104"/>
      <c r="F31" s="1107" t="n">
        <f aca="false">'Смета Внутр'!H31</f>
        <v>0</v>
      </c>
    </row>
    <row r="32" s="118" customFormat="true" ht="15" hidden="false" customHeight="false" outlineLevel="0" collapsed="false">
      <c r="B32" s="1104" t="str">
        <f aca="false">'Смета Внутр'!B32</f>
        <v>настил гидроизола</v>
      </c>
      <c r="C32" s="1105" t="str">
        <f aca="false">'Смета Внутр'!C32</f>
        <v>м2</v>
      </c>
      <c r="D32" s="1106" t="n">
        <f aca="false">'Смета Внутр'!D32</f>
        <v>0</v>
      </c>
      <c r="E32" s="1104"/>
      <c r="F32" s="1107" t="n">
        <f aca="false">'Смета Внутр'!H32</f>
        <v>0</v>
      </c>
    </row>
    <row r="33" s="118" customFormat="true" ht="15" hidden="false" customHeight="false" outlineLevel="0" collapsed="false">
      <c r="B33" s="1104" t="str">
        <f aca="false">'Смета Внутр'!B33</f>
        <v>приемка бетона</v>
      </c>
      <c r="C33" s="1105" t="str">
        <f aca="false">'Смета Внутр'!C33</f>
        <v>м3</v>
      </c>
      <c r="D33" s="1106" t="n">
        <f aca="false">'Смета Внутр'!D33</f>
        <v>0</v>
      </c>
      <c r="E33" s="1104"/>
      <c r="F33" s="1107" t="n">
        <f aca="false">'Смета Внутр'!H33</f>
        <v>0</v>
      </c>
    </row>
    <row r="34" s="118" customFormat="true" ht="15" hidden="false" customHeight="false" outlineLevel="0" collapsed="false">
      <c r="B34" s="1108" t="str">
        <f aca="false">'Смета Внутр'!B34</f>
        <v>Итого работы</v>
      </c>
      <c r="C34" s="1108"/>
      <c r="D34" s="1108"/>
      <c r="E34" s="1108"/>
      <c r="F34" s="1109" t="n">
        <f aca="false">'Смета Внутр'!G34</f>
        <v>0</v>
      </c>
    </row>
    <row r="35" s="118" customFormat="true" ht="18.75" hidden="false" customHeight="false" outlineLevel="0" collapsed="false">
      <c r="B35" s="1111" t="str">
        <f aca="false">'Смета Внутр'!B35</f>
        <v>Стяжка в цокольном этаже</v>
      </c>
      <c r="C35" s="1111"/>
      <c r="D35" s="1111"/>
      <c r="E35" s="1111"/>
      <c r="F35" s="1102" t="n">
        <f aca="false">'Смета Внутр'!H35</f>
        <v>0</v>
      </c>
    </row>
    <row r="36" s="118" customFormat="true" ht="15" hidden="false" customHeight="false" outlineLevel="0" collapsed="false">
      <c r="B36" s="1103" t="str">
        <f aca="false">'Смета Внутр'!B36</f>
        <v>Материалы</v>
      </c>
      <c r="C36" s="1103"/>
      <c r="D36" s="1103"/>
      <c r="E36" s="1103"/>
      <c r="F36" s="1102" t="n">
        <f aca="false">'Смета Внутр'!H36</f>
        <v>0</v>
      </c>
    </row>
    <row r="37" s="118" customFormat="true" ht="15" hidden="false" customHeight="false" outlineLevel="0" collapsed="false">
      <c r="B37" s="1104" t="str">
        <f aca="false">'Смета Внутр'!B37</f>
        <v>Скальник, 1 маш 13м3</v>
      </c>
      <c r="C37" s="1105" t="str">
        <f aca="false">'Смета Внутр'!C37</f>
        <v>маш</v>
      </c>
      <c r="D37" s="1106" t="n">
        <f aca="false">'Смета Внутр'!D37</f>
        <v>0</v>
      </c>
      <c r="E37" s="1104"/>
      <c r="F37" s="1107" t="n">
        <f aca="false">'Смета Внутр'!H37</f>
        <v>0</v>
      </c>
    </row>
    <row r="38" s="118" customFormat="true" ht="15" hidden="false" customHeight="false" outlineLevel="0" collapsed="false">
      <c r="B38" s="1104" t="str">
        <f aca="false">'Смета Внутр'!B38</f>
        <v>ПГС, машина 13м3</v>
      </c>
      <c r="C38" s="1105" t="str">
        <f aca="false">'Смета Внутр'!C38</f>
        <v>маш</v>
      </c>
      <c r="D38" s="1106" t="n">
        <f aca="false">'Смета Внутр'!D38</f>
        <v>0</v>
      </c>
      <c r="E38" s="1104"/>
      <c r="F38" s="1107" t="n">
        <f aca="false">'Смета Внутр'!H38</f>
        <v>0</v>
      </c>
    </row>
    <row r="39" s="118" customFormat="true" ht="15" hidden="false" customHeight="false" outlineLevel="0" collapsed="false">
      <c r="B39" s="1104" t="str">
        <f aca="false">'Смета Внутр'!B39</f>
        <v>Песок, машина 13м3</v>
      </c>
      <c r="C39" s="1105" t="str">
        <f aca="false">'Смета Внутр'!C39</f>
        <v>маш</v>
      </c>
      <c r="D39" s="1106" t="n">
        <f aca="false">'Смета Внутр'!D39</f>
        <v>0</v>
      </c>
      <c r="E39" s="1104"/>
      <c r="F39" s="1107" t="n">
        <f aca="false">'Смета Внутр'!H39</f>
        <v>0</v>
      </c>
    </row>
    <row r="40" s="118" customFormat="true" ht="15" hidden="false" customHeight="false" outlineLevel="0" collapsed="false">
      <c r="B40" s="1104" t="str">
        <f aca="false">'Смета Внутр'!B40</f>
        <v>Геотекстиль</v>
      </c>
      <c r="C40" s="1105" t="str">
        <f aca="false">'Смета Внутр'!C40</f>
        <v>м2</v>
      </c>
      <c r="D40" s="1106" t="n">
        <f aca="false">'Смета Внутр'!D40</f>
        <v>0</v>
      </c>
      <c r="E40" s="1104"/>
      <c r="F40" s="1107" t="n">
        <f aca="false">'Смета Внутр'!H40</f>
        <v>0</v>
      </c>
    </row>
    <row r="41" s="118" customFormat="true" ht="15" hidden="false" customHeight="false" outlineLevel="0" collapsed="false">
      <c r="B41" s="1104" t="str">
        <f aca="false">'Смета Внутр'!B41</f>
        <v>Плитный,28кг/м3, технониколь, 100мм</v>
      </c>
      <c r="C41" s="1105" t="str">
        <f aca="false">'Смета Внутр'!C41</f>
        <v>м3</v>
      </c>
      <c r="D41" s="1106" t="n">
        <f aca="false">'Смета Внутр'!D41</f>
        <v>0</v>
      </c>
      <c r="E41" s="1104"/>
      <c r="F41" s="1107" t="n">
        <f aca="false">'Смета Внутр'!H41</f>
        <v>0</v>
      </c>
    </row>
    <row r="42" s="118" customFormat="true" ht="15" hidden="false" customHeight="false" outlineLevel="0" collapsed="false">
      <c r="B42" s="1104" t="str">
        <f aca="false">'Смета Внутр'!B42</f>
        <v>Пленка гидроизоляционная </v>
      </c>
      <c r="C42" s="1105" t="str">
        <f aca="false">'Смета Внутр'!C42</f>
        <v>м2</v>
      </c>
      <c r="D42" s="1106" t="n">
        <f aca="false">'Смета Внутр'!D42</f>
        <v>0</v>
      </c>
      <c r="E42" s="1104"/>
      <c r="F42" s="1107" t="n">
        <f aca="false">'Смета Внутр'!H42</f>
        <v>0</v>
      </c>
    </row>
    <row r="43" s="118" customFormat="true" ht="15" hidden="false" customHeight="false" outlineLevel="0" collapsed="false">
      <c r="B43" s="1104" t="str">
        <f aca="false">'Смета Внутр'!B43</f>
        <v>Кладочная сетка, 100*100/150*150/200*200мм</v>
      </c>
      <c r="C43" s="1105" t="str">
        <f aca="false">'Смета Внутр'!C43</f>
        <v>м2</v>
      </c>
      <c r="D43" s="1106" t="n">
        <f aca="false">'Смета Внутр'!D43</f>
        <v>0</v>
      </c>
      <c r="E43" s="1104"/>
      <c r="F43" s="1107" t="n">
        <f aca="false">'Смета Внутр'!H43</f>
        <v>0</v>
      </c>
    </row>
    <row r="44" s="118" customFormat="true" ht="15" hidden="false" customHeight="false" outlineLevel="0" collapsed="false">
      <c r="B44" s="1104" t="str">
        <f aca="false">'Смета Внутр'!B44</f>
        <v>Стяжки пластиковые</v>
      </c>
      <c r="C44" s="1105" t="str">
        <f aca="false">'Смета Внутр'!C44</f>
        <v>шт</v>
      </c>
      <c r="D44" s="1106" t="n">
        <f aca="false">'Смета Внутр'!D44</f>
        <v>0</v>
      </c>
      <c r="E44" s="1104"/>
      <c r="F44" s="1107" t="n">
        <f aca="false">'Смета Внутр'!H44</f>
        <v>0</v>
      </c>
    </row>
    <row r="45" s="118" customFormat="true" ht="15" hidden="false" customHeight="false" outlineLevel="0" collapsed="false">
      <c r="B45" s="1104" t="str">
        <f aca="false">'Смета Внутр'!B45</f>
        <v>Стяжки пластиковые</v>
      </c>
      <c r="C45" s="1105" t="str">
        <f aca="false">'Смета Внутр'!C45</f>
        <v>шт</v>
      </c>
      <c r="D45" s="1106" t="n">
        <f aca="false">'Смета Внутр'!D45</f>
        <v>0</v>
      </c>
      <c r="E45" s="1104"/>
      <c r="F45" s="1107" t="n">
        <f aca="false">'Смета Внутр'!H45</f>
        <v>0</v>
      </c>
    </row>
    <row r="46" s="118" customFormat="true" ht="15" hidden="false" customHeight="false" outlineLevel="0" collapsed="false">
      <c r="B46" s="1104" t="str">
        <f aca="false">'Смета Внутр'!B46</f>
        <v>Труба теплого пола 3</v>
      </c>
      <c r="C46" s="1105" t="str">
        <f aca="false">'Смета Внутр'!C46</f>
        <v>м.п</v>
      </c>
      <c r="D46" s="1106" t="n">
        <f aca="false">'Смета Внутр'!D46</f>
        <v>0</v>
      </c>
      <c r="E46" s="1104"/>
      <c r="F46" s="1107" t="n">
        <f aca="false">'Смета Внутр'!H46</f>
        <v>0</v>
      </c>
    </row>
    <row r="47" s="118" customFormat="true" ht="15" hidden="false" customHeight="false" outlineLevel="0" collapsed="false">
      <c r="B47" s="1104" t="str">
        <f aca="false">'Смета Внутр'!B47</f>
        <v>Коллектор 6</v>
      </c>
      <c r="C47" s="1105" t="str">
        <f aca="false">'Смета Внутр'!C47</f>
        <v>шт</v>
      </c>
      <c r="D47" s="1106" t="n">
        <f aca="false">'Смета Внутр'!D47</f>
        <v>0</v>
      </c>
      <c r="E47" s="1104"/>
      <c r="F47" s="1107" t="n">
        <f aca="false">'Смета Внутр'!H47</f>
        <v>0</v>
      </c>
    </row>
    <row r="48" s="118" customFormat="true" ht="15" hidden="false" customHeight="false" outlineLevel="0" collapsed="false">
      <c r="B48" s="1104" t="str">
        <f aca="false">'Смета Внутр'!B48</f>
        <v>Арматура стальная Ø 10 </v>
      </c>
      <c r="C48" s="1105" t="str">
        <f aca="false">'Смета Внутр'!C48</f>
        <v>м.п.</v>
      </c>
      <c r="D48" s="1106" t="n">
        <f aca="false">'Смета Внутр'!D48</f>
        <v>0</v>
      </c>
      <c r="E48" s="1104"/>
      <c r="F48" s="1107" t="n">
        <f aca="false">'Смета Внутр'!H48</f>
        <v>0</v>
      </c>
    </row>
    <row r="49" s="118" customFormat="true" ht="15" hidden="false" customHeight="false" outlineLevel="0" collapsed="false">
      <c r="B49" s="1104" t="str">
        <f aca="false">'Смета Внутр'!B49</f>
        <v>Вязальная проволока</v>
      </c>
      <c r="C49" s="1105" t="str">
        <f aca="false">'Смета Внутр'!C49</f>
        <v>кг</v>
      </c>
      <c r="D49" s="1106" t="n">
        <f aca="false">'Смета Внутр'!D49</f>
        <v>0</v>
      </c>
      <c r="E49" s="1104"/>
      <c r="F49" s="1107" t="n">
        <f aca="false">'Смета Внутр'!H49</f>
        <v>0</v>
      </c>
    </row>
    <row r="50" s="118" customFormat="true" ht="15" hidden="false" customHeight="false" outlineLevel="0" collapsed="false">
      <c r="B50" s="1104" t="str">
        <f aca="false">'Смета Внутр'!B50</f>
        <v>Подставка под арматурный каркас</v>
      </c>
      <c r="C50" s="1105" t="str">
        <f aca="false">'Смета Внутр'!C50</f>
        <v>шт</v>
      </c>
      <c r="D50" s="1106" t="n">
        <f aca="false">'Смета Внутр'!D50</f>
        <v>0</v>
      </c>
      <c r="E50" s="1104"/>
      <c r="F50" s="1107" t="n">
        <f aca="false">'Смета Внутр'!H50</f>
        <v>0</v>
      </c>
    </row>
    <row r="51" s="118" customFormat="true" ht="15" hidden="false" customHeight="false" outlineLevel="0" collapsed="false">
      <c r="B51" s="1104" t="str">
        <f aca="false">'Смета Внутр'!B51</f>
        <v>труба дренажная d90 с перфорацией, в фильтре</v>
      </c>
      <c r="C51" s="1105" t="str">
        <f aca="false">'Смета Внутр'!C51</f>
        <v>шт</v>
      </c>
      <c r="D51" s="1106" t="n">
        <f aca="false">'Смета Внутр'!D51</f>
        <v>0</v>
      </c>
      <c r="E51" s="1104"/>
      <c r="F51" s="1107" t="n">
        <f aca="false">'Смета Внутр'!H51</f>
        <v>0</v>
      </c>
    </row>
    <row r="52" s="118" customFormat="true" ht="15" hidden="false" customHeight="false" outlineLevel="0" collapsed="false">
      <c r="B52" s="1104" t="str">
        <f aca="false">'Смета Внутр'!B52</f>
        <v>Дренажный колодец D400</v>
      </c>
      <c r="C52" s="1105" t="str">
        <f aca="false">'Смета Внутр'!C52</f>
        <v>шт</v>
      </c>
      <c r="D52" s="1106" t="n">
        <f aca="false">'Смета Внутр'!D52</f>
        <v>0</v>
      </c>
      <c r="E52" s="1104"/>
      <c r="F52" s="1107" t="n">
        <f aca="false">'Смета Внутр'!H52</f>
        <v>0</v>
      </c>
    </row>
    <row r="53" s="118" customFormat="true" ht="15" hidden="false" customHeight="false" outlineLevel="0" collapsed="false">
      <c r="B53" s="1104" t="str">
        <f aca="false">'Смета Внутр'!B53</f>
        <v>Демпферная лента</v>
      </c>
      <c r="C53" s="1105" t="str">
        <f aca="false">'Смета Внутр'!C53</f>
        <v>м.п.</v>
      </c>
      <c r="D53" s="1106" t="n">
        <f aca="false">'Смета Внутр'!D53</f>
        <v>0</v>
      </c>
      <c r="E53" s="1104"/>
      <c r="F53" s="1107" t="n">
        <f aca="false">'Смета Внутр'!H53</f>
        <v>0</v>
      </c>
    </row>
    <row r="54" s="118" customFormat="true" ht="15" hidden="false" customHeight="false" outlineLevel="0" collapsed="false">
      <c r="B54" s="1104" t="str">
        <f aca="false">'Смета Внутр'!B54</f>
        <v>Бетон, м350</v>
      </c>
      <c r="C54" s="1105" t="str">
        <f aca="false">'Смета Внутр'!C54</f>
        <v>м3</v>
      </c>
      <c r="D54" s="1106" t="n">
        <f aca="false">'Смета Внутр'!D54</f>
        <v>0</v>
      </c>
      <c r="E54" s="1104"/>
      <c r="F54" s="1107" t="n">
        <f aca="false">'Смета Внутр'!H54</f>
        <v>0</v>
      </c>
    </row>
    <row r="55" s="118" customFormat="true" ht="15" hidden="false" customHeight="false" outlineLevel="0" collapsed="false">
      <c r="B55" s="1112" t="str">
        <f aca="false">'Смета Внутр'!B55</f>
        <v>Итого материалы</v>
      </c>
      <c r="C55" s="1112"/>
      <c r="D55" s="1112"/>
      <c r="E55" s="1112"/>
      <c r="F55" s="1109" t="n">
        <f aca="false">'Смета Внутр'!G55</f>
        <v>0</v>
      </c>
    </row>
    <row r="56" s="118" customFormat="true" ht="15" hidden="false" customHeight="false" outlineLevel="0" collapsed="false">
      <c r="B56" s="1110" t="str">
        <f aca="false">'Смета Внутр'!B56</f>
        <v>Работы</v>
      </c>
      <c r="C56" s="1110"/>
      <c r="D56" s="1110"/>
      <c r="E56" s="1110"/>
      <c r="F56" s="1102" t="n">
        <f aca="false">'Смета Внутр'!H56</f>
        <v>0</v>
      </c>
    </row>
    <row r="57" s="118" customFormat="true" ht="15" hidden="false" customHeight="false" outlineLevel="0" collapsed="false">
      <c r="B57" s="1104" t="str">
        <f aca="false">'Смета Внутр'!B57</f>
        <v>трамбовка скальник</v>
      </c>
      <c r="C57" s="1105" t="str">
        <f aca="false">'Смета Внутр'!C57</f>
        <v>м2</v>
      </c>
      <c r="D57" s="1106" t="n">
        <f aca="false">'Смета Внутр'!D57</f>
        <v>0</v>
      </c>
      <c r="E57" s="1104"/>
      <c r="F57" s="1107" t="n">
        <f aca="false">'Смета Внутр'!H57</f>
        <v>0</v>
      </c>
    </row>
    <row r="58" s="118" customFormat="true" ht="15" hidden="false" customHeight="false" outlineLevel="0" collapsed="false">
      <c r="B58" s="1104" t="str">
        <f aca="false">'Смета Внутр'!B58</f>
        <v>трамбовка пгс</v>
      </c>
      <c r="C58" s="1105" t="str">
        <f aca="false">'Смета Внутр'!C58</f>
        <v>м2</v>
      </c>
      <c r="D58" s="1106" t="n">
        <f aca="false">'Смета Внутр'!D58</f>
        <v>0</v>
      </c>
      <c r="E58" s="1104"/>
      <c r="F58" s="1107" t="n">
        <f aca="false">'Смета Внутр'!H58</f>
        <v>0</v>
      </c>
    </row>
    <row r="59" s="118" customFormat="true" ht="15" hidden="false" customHeight="false" outlineLevel="0" collapsed="false">
      <c r="B59" s="1104" t="str">
        <f aca="false">'Смета Внутр'!B59</f>
        <v>трамбовка песок</v>
      </c>
      <c r="C59" s="1105" t="str">
        <f aca="false">'Смета Внутр'!C59</f>
        <v>м2</v>
      </c>
      <c r="D59" s="1106" t="n">
        <f aca="false">'Смета Внутр'!D59</f>
        <v>0</v>
      </c>
      <c r="E59" s="1104"/>
      <c r="F59" s="1107" t="n">
        <f aca="false">'Смета Внутр'!H59</f>
        <v>0</v>
      </c>
    </row>
    <row r="60" s="118" customFormat="true" ht="15" hidden="false" customHeight="false" outlineLevel="0" collapsed="false">
      <c r="B60" s="1104" t="str">
        <f aca="false">'Смета Внутр'!B60</f>
        <v>укладка геотекстиля</v>
      </c>
      <c r="C60" s="1105" t="str">
        <f aca="false">'Смета Внутр'!C60</f>
        <v>м2</v>
      </c>
      <c r="D60" s="1106" t="n">
        <f aca="false">'Смета Внутр'!D60</f>
        <v>0</v>
      </c>
      <c r="E60" s="1104"/>
      <c r="F60" s="1107" t="n">
        <f aca="false">'Смета Внутр'!H60</f>
        <v>0</v>
      </c>
    </row>
    <row r="61" s="118" customFormat="true" ht="15" hidden="false" customHeight="false" outlineLevel="0" collapsed="false">
      <c r="B61" s="1104" t="str">
        <f aca="false">'Смета Внутр'!B61</f>
        <v>укладка карбона</v>
      </c>
      <c r="C61" s="1105" t="str">
        <f aca="false">'Смета Внутр'!C61</f>
        <v>м2</v>
      </c>
      <c r="D61" s="1106" t="n">
        <f aca="false">'Смета Внутр'!D61</f>
        <v>0</v>
      </c>
      <c r="E61" s="1104"/>
      <c r="F61" s="1107" t="n">
        <f aca="false">'Смета Внутр'!H61</f>
        <v>0</v>
      </c>
    </row>
    <row r="62" s="118" customFormat="true" ht="15" hidden="false" customHeight="false" outlineLevel="0" collapsed="false">
      <c r="B62" s="1104" t="str">
        <f aca="false">'Смета Внутр'!B62</f>
        <v>укладка пленки</v>
      </c>
      <c r="C62" s="1105" t="str">
        <f aca="false">'Смета Внутр'!C62</f>
        <v>м2</v>
      </c>
      <c r="D62" s="1106" t="n">
        <f aca="false">'Смета Внутр'!D62</f>
        <v>0</v>
      </c>
      <c r="E62" s="1104"/>
      <c r="F62" s="1107" t="n">
        <f aca="false">'Смета Внутр'!H62</f>
        <v>0</v>
      </c>
    </row>
    <row r="63" s="118" customFormat="true" ht="15" hidden="false" customHeight="false" outlineLevel="0" collapsed="false">
      <c r="B63" s="1104" t="str">
        <f aca="false">'Смета Внутр'!B63</f>
        <v>укладка сетки</v>
      </c>
      <c r="C63" s="1105" t="str">
        <f aca="false">'Смета Внутр'!C63</f>
        <v>м2</v>
      </c>
      <c r="D63" s="1106" t="n">
        <f aca="false">'Смета Внутр'!D63</f>
        <v>0</v>
      </c>
      <c r="E63" s="1104"/>
      <c r="F63" s="1107" t="n">
        <f aca="false">'Смета Внутр'!H63</f>
        <v>0</v>
      </c>
    </row>
    <row r="64" s="118" customFormat="true" ht="15" hidden="false" customHeight="false" outlineLevel="0" collapsed="false">
      <c r="B64" s="1104" t="str">
        <f aca="false">'Смета Внутр'!B64</f>
        <v>укладка теп. Пола</v>
      </c>
      <c r="C64" s="1105" t="str">
        <f aca="false">'Смета Внутр'!C64</f>
        <v>м2</v>
      </c>
      <c r="D64" s="1106" t="n">
        <f aca="false">'Смета Внутр'!D64</f>
        <v>0</v>
      </c>
      <c r="E64" s="1104"/>
      <c r="F64" s="1107" t="n">
        <f aca="false">'Смета Внутр'!H64</f>
        <v>0</v>
      </c>
    </row>
    <row r="65" s="118" customFormat="true" ht="15" hidden="false" customHeight="false" outlineLevel="0" collapsed="false">
      <c r="B65" s="1104" t="str">
        <f aca="false">'Смета Внутр'!B65</f>
        <v>монтаж коллектора</v>
      </c>
      <c r="C65" s="1105" t="str">
        <f aca="false">'Смета Внутр'!C65</f>
        <v>шт</v>
      </c>
      <c r="D65" s="1106" t="n">
        <f aca="false">'Смета Внутр'!D65</f>
        <v>0</v>
      </c>
      <c r="E65" s="1104"/>
      <c r="F65" s="1107" t="n">
        <f aca="false">'Смета Внутр'!H65</f>
        <v>0</v>
      </c>
    </row>
    <row r="66" s="118" customFormat="true" ht="15" hidden="false" customHeight="false" outlineLevel="0" collapsed="false">
      <c r="B66" s="1104" t="str">
        <f aca="false">'Смета Внутр'!B66</f>
        <v>армирование </v>
      </c>
      <c r="C66" s="1105" t="str">
        <f aca="false">'Смета Внутр'!C66</f>
        <v>м2</v>
      </c>
      <c r="D66" s="1106" t="n">
        <f aca="false">'Смета Внутр'!D66</f>
        <v>0</v>
      </c>
      <c r="E66" s="1104"/>
      <c r="F66" s="1107" t="n">
        <f aca="false">'Смета Внутр'!H66</f>
        <v>0</v>
      </c>
    </row>
    <row r="67" s="118" customFormat="true" ht="15" hidden="false" customHeight="false" outlineLevel="0" collapsed="false">
      <c r="B67" s="1104" t="str">
        <f aca="false">'Смета Внутр'!B67</f>
        <v>монтаж дренажн труб</v>
      </c>
      <c r="C67" s="1105" t="str">
        <f aca="false">'Смета Внутр'!C67</f>
        <v>м.п.</v>
      </c>
      <c r="D67" s="1106" t="n">
        <f aca="false">'Смета Внутр'!D67</f>
        <v>0</v>
      </c>
      <c r="E67" s="1104"/>
      <c r="F67" s="1107" t="n">
        <f aca="false">'Смета Внутр'!H67</f>
        <v>0</v>
      </c>
    </row>
    <row r="68" s="118" customFormat="true" ht="15" hidden="false" customHeight="false" outlineLevel="0" collapsed="false">
      <c r="B68" s="1104" t="str">
        <f aca="false">'Смета Внутр'!B68</f>
        <v>монтаж дренаж колодец</v>
      </c>
      <c r="C68" s="1105" t="str">
        <f aca="false">'Смета Внутр'!C68</f>
        <v>шт</v>
      </c>
      <c r="D68" s="1106" t="n">
        <f aca="false">'Смета Внутр'!D68</f>
        <v>0</v>
      </c>
      <c r="E68" s="1104"/>
      <c r="F68" s="1107" t="n">
        <f aca="false">'Смета Внутр'!H68</f>
        <v>0</v>
      </c>
    </row>
    <row r="69" s="118" customFormat="true" ht="15" hidden="false" customHeight="false" outlineLevel="0" collapsed="false">
      <c r="B69" s="1104" t="str">
        <f aca="false">'Смета Внутр'!B69</f>
        <v>приемка бетона на пол</v>
      </c>
      <c r="C69" s="1105" t="str">
        <f aca="false">'Смета Внутр'!C69</f>
        <v>м2</v>
      </c>
      <c r="D69" s="1106" t="n">
        <f aca="false">'Смета Внутр'!D69</f>
        <v>0</v>
      </c>
      <c r="E69" s="1104"/>
      <c r="F69" s="1107" t="n">
        <f aca="false">'Смета Внутр'!H69</f>
        <v>0</v>
      </c>
    </row>
    <row r="70" s="118" customFormat="true" ht="15" hidden="false" customHeight="false" outlineLevel="0" collapsed="false">
      <c r="B70" s="1104" t="str">
        <f aca="false">'Смета Внутр'!B70</f>
        <v>демпферная лента</v>
      </c>
      <c r="C70" s="1105" t="str">
        <f aca="false">'Смета Внутр'!C70</f>
        <v>м.п.</v>
      </c>
      <c r="D70" s="1106" t="n">
        <f aca="false">'Смета Внутр'!D70</f>
        <v>0</v>
      </c>
      <c r="E70" s="1104"/>
      <c r="F70" s="1107" t="n">
        <f aca="false">'Смета Внутр'!H70</f>
        <v>0</v>
      </c>
    </row>
    <row r="71" s="118" customFormat="true" ht="15" hidden="false" customHeight="false" outlineLevel="0" collapsed="false">
      <c r="B71" s="1108" t="str">
        <f aca="false">'Смета Внутр'!B71</f>
        <v>Итого работы</v>
      </c>
      <c r="C71" s="1108"/>
      <c r="D71" s="1108"/>
      <c r="E71" s="1108"/>
      <c r="F71" s="1109" t="n">
        <f aca="false">'Смета Внутр'!G71</f>
        <v>0</v>
      </c>
    </row>
    <row r="72" s="118" customFormat="true" ht="18.75" hidden="false" customHeight="false" outlineLevel="0" collapsed="false">
      <c r="B72" s="1111" t="str">
        <f aca="false">'Смета Внутр'!B72</f>
        <v>Цокольный этаж из блоков ФБС</v>
      </c>
      <c r="C72" s="1111"/>
      <c r="D72" s="1111"/>
      <c r="E72" s="1111"/>
      <c r="F72" s="1102" t="n">
        <f aca="false">'Смета Внутр'!H72</f>
        <v>0</v>
      </c>
    </row>
    <row r="73" s="118" customFormat="true" ht="15" hidden="false" customHeight="false" outlineLevel="0" collapsed="false">
      <c r="B73" s="1110" t="str">
        <f aca="false">'Смета Внутр'!B73</f>
        <v>Материалы</v>
      </c>
      <c r="C73" s="1110"/>
      <c r="D73" s="1110"/>
      <c r="E73" s="1110"/>
      <c r="F73" s="1102" t="n">
        <f aca="false">'Смета Внутр'!H73</f>
        <v>0</v>
      </c>
    </row>
    <row r="74" s="118" customFormat="true" ht="15" hidden="false" customHeight="false" outlineLevel="0" collapsed="false">
      <c r="B74" s="1104" t="str">
        <f aca="false">'Смета Внутр'!B74</f>
        <v>Праймер для обработки </v>
      </c>
      <c r="C74" s="1105" t="str">
        <f aca="false">'Смета Внутр'!C74</f>
        <v>л</v>
      </c>
      <c r="D74" s="1106" t="n">
        <f aca="false">'Смета Внутр'!D74</f>
        <v>0</v>
      </c>
      <c r="E74" s="1104"/>
      <c r="F74" s="1107" t="n">
        <f aca="false">'Смета Внутр'!H74</f>
        <v>0</v>
      </c>
    </row>
    <row r="75" s="118" customFormat="true" ht="15" hidden="false" customHeight="false" outlineLevel="0" collapsed="false">
      <c r="B75" s="1104" t="str">
        <f aca="false">'Смета Внутр'!B75</f>
        <v>Гидроизол</v>
      </c>
      <c r="C75" s="1105" t="str">
        <f aca="false">'Смета Внутр'!C75</f>
        <v>м2</v>
      </c>
      <c r="D75" s="1106" t="n">
        <f aca="false">'Смета Внутр'!D75</f>
        <v>0</v>
      </c>
      <c r="E75" s="1104"/>
      <c r="F75" s="1107" t="n">
        <f aca="false">'Смета Внутр'!H75</f>
        <v>0</v>
      </c>
    </row>
    <row r="76" s="118" customFormat="true" ht="15" hidden="false" customHeight="false" outlineLevel="0" collapsed="false">
      <c r="B76" s="1104" t="str">
        <f aca="false">'Смета Внутр'!B76</f>
        <v>Мастика битумная</v>
      </c>
      <c r="C76" s="1105" t="str">
        <f aca="false">'Смета Внутр'!C76</f>
        <v>кг</v>
      </c>
      <c r="D76" s="1106" t="n">
        <f aca="false">'Смета Внутр'!D76</f>
        <v>0</v>
      </c>
      <c r="E76" s="1104"/>
      <c r="F76" s="1107" t="n">
        <f aca="false">'Смета Внутр'!H76</f>
        <v>0</v>
      </c>
    </row>
    <row r="77" s="118" customFormat="true" ht="15" hidden="false" customHeight="false" outlineLevel="0" collapsed="false">
      <c r="B77" s="1104" t="str">
        <f aca="false">'Смета Внутр'!B77</f>
        <v>Блоки ФБС</v>
      </c>
      <c r="C77" s="1105" t="str">
        <f aca="false">'Смета Внутр'!C77</f>
        <v>м3</v>
      </c>
      <c r="D77" s="1106" t="n">
        <f aca="false">'Смета Внутр'!D77</f>
        <v>0</v>
      </c>
      <c r="E77" s="1104"/>
      <c r="F77" s="1107" t="n">
        <f aca="false">'Смета Внутр'!H77</f>
        <v>0</v>
      </c>
    </row>
    <row r="78" s="118" customFormat="true" ht="15" hidden="false" customHeight="false" outlineLevel="0" collapsed="false">
      <c r="B78" s="1104" t="str">
        <f aca="false">'Смета Внутр'!B78</f>
        <v>Кладочная сетка, 100*100/150*150/200*200мм</v>
      </c>
      <c r="C78" s="1105" t="str">
        <f aca="false">'Смета Внутр'!C78</f>
        <v>м2</v>
      </c>
      <c r="D78" s="1106" t="n">
        <f aca="false">'Смета Внутр'!D78</f>
        <v>0</v>
      </c>
      <c r="E78" s="1104"/>
      <c r="F78" s="1107" t="n">
        <f aca="false">'Смета Внутр'!H78</f>
        <v>0</v>
      </c>
    </row>
    <row r="79" s="118" customFormat="true" ht="15" hidden="false" customHeight="false" outlineLevel="0" collapsed="false">
      <c r="B79" s="1104" t="str">
        <f aca="false">'Смета Внутр'!B79</f>
        <v>Вязальная проволока</v>
      </c>
      <c r="C79" s="1105" t="str">
        <f aca="false">'Смета Внутр'!C79</f>
        <v>кг</v>
      </c>
      <c r="D79" s="1106" t="n">
        <f aca="false">'Смета Внутр'!D79</f>
        <v>0</v>
      </c>
      <c r="E79" s="1104"/>
      <c r="F79" s="1107" t="n">
        <f aca="false">'Смета Внутр'!H79</f>
        <v>0</v>
      </c>
    </row>
    <row r="80" s="118" customFormat="true" ht="15" hidden="false" customHeight="false" outlineLevel="0" collapsed="false">
      <c r="B80" s="1104" t="str">
        <f aca="false">'Смета Внутр'!B80</f>
        <v>Раствор, м250</v>
      </c>
      <c r="C80" s="1105" t="str">
        <f aca="false">'Смета Внутр'!C80</f>
        <v>м3</v>
      </c>
      <c r="D80" s="1106" t="n">
        <f aca="false">'Смета Внутр'!D80</f>
        <v>0</v>
      </c>
      <c r="E80" s="1104"/>
      <c r="F80" s="1107" t="n">
        <f aca="false">'Смета Внутр'!H80</f>
        <v>0</v>
      </c>
    </row>
    <row r="81" s="118" customFormat="true" ht="15" hidden="false" customHeight="false" outlineLevel="0" collapsed="false">
      <c r="B81" s="1104" t="str">
        <f aca="false">'Смета Внутр'!B81</f>
        <v>Сосна влаж,150*40мм</v>
      </c>
      <c r="C81" s="1105" t="str">
        <f aca="false">'Смета Внутр'!C81</f>
        <v>м3</v>
      </c>
      <c r="D81" s="1106" t="n">
        <f aca="false">'Смета Внутр'!D81</f>
        <v>0</v>
      </c>
      <c r="E81" s="1104"/>
      <c r="F81" s="1107" t="n">
        <f aca="false">'Смета Внутр'!H81</f>
        <v>0</v>
      </c>
    </row>
    <row r="82" s="118" customFormat="true" ht="15" hidden="false" customHeight="false" outlineLevel="0" collapsed="false">
      <c r="B82" s="1104" t="str">
        <f aca="false">'Смета Внутр'!B82</f>
        <v>Арматура стальная Ø 10 </v>
      </c>
      <c r="C82" s="1105" t="str">
        <f aca="false">'Смета Внутр'!C82</f>
        <v>м.п.</v>
      </c>
      <c r="D82" s="1106" t="n">
        <f aca="false">'Смета Внутр'!D82</f>
        <v>0</v>
      </c>
      <c r="E82" s="1104"/>
      <c r="F82" s="1107" t="n">
        <f aca="false">'Смета Внутр'!H82</f>
        <v>0</v>
      </c>
    </row>
    <row r="83" s="118" customFormat="true" ht="15" hidden="false" customHeight="false" outlineLevel="0" collapsed="false">
      <c r="B83" s="1104" t="str">
        <f aca="false">'Смета Внутр'!B83</f>
        <v>Нет арматуры</v>
      </c>
      <c r="C83" s="1105" t="str">
        <f aca="false">'Смета Внутр'!C83</f>
        <v>м.п.</v>
      </c>
      <c r="D83" s="1106" t="n">
        <f aca="false">'Смета Внутр'!D83</f>
        <v>0</v>
      </c>
      <c r="E83" s="1104"/>
      <c r="F83" s="1107" t="n">
        <f aca="false">'Смета Внутр'!H83</f>
        <v>0</v>
      </c>
    </row>
    <row r="84" s="118" customFormat="true" ht="15" hidden="false" customHeight="false" outlineLevel="0" collapsed="false">
      <c r="B84" s="1104" t="str">
        <f aca="false">'Смета Внутр'!B84</f>
        <v>Бетон, м300</v>
      </c>
      <c r="C84" s="1105" t="str">
        <f aca="false">'Смета Внутр'!C84</f>
        <v>м3</v>
      </c>
      <c r="D84" s="1106" t="n">
        <f aca="false">'Смета Внутр'!D84</f>
        <v>0</v>
      </c>
      <c r="E84" s="1104"/>
      <c r="F84" s="1107" t="n">
        <f aca="false">'Смета Внутр'!H84</f>
        <v>0</v>
      </c>
    </row>
    <row r="85" s="118" customFormat="true" ht="15" hidden="false" customHeight="false" outlineLevel="0" collapsed="false">
      <c r="B85" s="1104" t="str">
        <f aca="false">'Смета Внутр'!B85</f>
        <v>Праймер для обработки </v>
      </c>
      <c r="C85" s="1105" t="str">
        <f aca="false">'Смета Внутр'!C85</f>
        <v>л</v>
      </c>
      <c r="D85" s="1106" t="n">
        <f aca="false">'Смета Внутр'!D85</f>
        <v>0</v>
      </c>
      <c r="E85" s="1104"/>
      <c r="F85" s="1107" t="n">
        <f aca="false">'Смета Внутр'!H85</f>
        <v>0</v>
      </c>
    </row>
    <row r="86" s="118" customFormat="true" ht="15" hidden="false" customHeight="false" outlineLevel="0" collapsed="false">
      <c r="B86" s="1104" t="str">
        <f aca="false">'Смета Внутр'!B86</f>
        <v>Плитный,28кг/м3, технониколь, 100мм</v>
      </c>
      <c r="C86" s="1105" t="str">
        <f aca="false">'Смета Внутр'!C86</f>
        <v>м3</v>
      </c>
      <c r="D86" s="1106" t="n">
        <f aca="false">'Смета Внутр'!D86</f>
        <v>0</v>
      </c>
      <c r="E86" s="1104"/>
      <c r="F86" s="1107" t="n">
        <f aca="false">'Смета Внутр'!H86</f>
        <v>0</v>
      </c>
    </row>
    <row r="87" s="118" customFormat="true" ht="15" hidden="false" customHeight="false" outlineLevel="0" collapsed="false">
      <c r="B87" s="1104" t="str">
        <f aca="false">'Смета Внутр'!B87</f>
        <v>Грибок для крепления утеплителя</v>
      </c>
      <c r="C87" s="1105" t="str">
        <f aca="false">'Смета Внутр'!C87</f>
        <v>шт</v>
      </c>
      <c r="D87" s="1106" t="n">
        <f aca="false">'Смета Внутр'!D87</f>
        <v>0</v>
      </c>
      <c r="E87" s="1104"/>
      <c r="F87" s="1107" t="n">
        <f aca="false">'Смета Внутр'!H87</f>
        <v>0</v>
      </c>
    </row>
    <row r="88" s="118" customFormat="true" ht="15" hidden="false" customHeight="false" outlineLevel="0" collapsed="false">
      <c r="B88" s="1108" t="str">
        <f aca="false">'Смета Внутр'!B88</f>
        <v>Итого материалы</v>
      </c>
      <c r="C88" s="1108"/>
      <c r="D88" s="1108"/>
      <c r="E88" s="1108"/>
      <c r="F88" s="1109" t="n">
        <f aca="false">'Смета Внутр'!G88</f>
        <v>0</v>
      </c>
    </row>
    <row r="89" s="118" customFormat="true" ht="15" hidden="false" customHeight="false" outlineLevel="0" collapsed="false">
      <c r="B89" s="1110" t="str">
        <f aca="false">'Смета Внутр'!B89</f>
        <v>Работы</v>
      </c>
      <c r="C89" s="1110"/>
      <c r="D89" s="1110"/>
      <c r="E89" s="1110"/>
      <c r="F89" s="1102" t="n">
        <f aca="false">'Смета Внутр'!H89</f>
        <v>0</v>
      </c>
    </row>
    <row r="90" s="118" customFormat="true" ht="15" hidden="false" customHeight="false" outlineLevel="0" collapsed="false">
      <c r="B90" s="1104" t="str">
        <f aca="false">'Смета Внутр'!B90</f>
        <v>обработка праймер</v>
      </c>
      <c r="C90" s="1105" t="str">
        <f aca="false">'Смета Внутр'!C90</f>
        <v>м2</v>
      </c>
      <c r="D90" s="1106" t="n">
        <f aca="false">'Смета Внутр'!D90</f>
        <v>0</v>
      </c>
      <c r="E90" s="1104"/>
      <c r="F90" s="1107" t="n">
        <f aca="false">'Смета Внутр'!H90</f>
        <v>0</v>
      </c>
    </row>
    <row r="91" s="118" customFormat="true" ht="15" hidden="false" customHeight="false" outlineLevel="0" collapsed="false">
      <c r="B91" s="1104" t="str">
        <f aca="false">'Смета Внутр'!B91</f>
        <v>настил гидроизола</v>
      </c>
      <c r="C91" s="1105" t="str">
        <f aca="false">'Смета Внутр'!C91</f>
        <v>м2</v>
      </c>
      <c r="D91" s="1106" t="n">
        <f aca="false">'Смета Внутр'!D91</f>
        <v>0</v>
      </c>
      <c r="E91" s="1104"/>
      <c r="F91" s="1107" t="n">
        <f aca="false">'Смета Внутр'!H91</f>
        <v>0</v>
      </c>
    </row>
    <row r="92" s="118" customFormat="true" ht="15" hidden="false" customHeight="false" outlineLevel="0" collapsed="false">
      <c r="B92" s="1104" t="str">
        <f aca="false">'Смета Внутр'!B92</f>
        <v>Кладка блоков ФБС</v>
      </c>
      <c r="C92" s="1105" t="str">
        <f aca="false">'Смета Внутр'!C92</f>
        <v>м3</v>
      </c>
      <c r="D92" s="1106" t="n">
        <f aca="false">'Смета Внутр'!D92</f>
        <v>0</v>
      </c>
      <c r="E92" s="1104"/>
      <c r="F92" s="1107" t="n">
        <f aca="false">'Смета Внутр'!H92</f>
        <v>0</v>
      </c>
    </row>
    <row r="93" s="118" customFormat="true" ht="15" hidden="false" customHeight="false" outlineLevel="0" collapsed="false">
      <c r="B93" s="1104" t="str">
        <f aca="false">'Смета Внутр'!B93</f>
        <v>укладка сетки</v>
      </c>
      <c r="C93" s="1105" t="str">
        <f aca="false">'Смета Внутр'!C93</f>
        <v>м2</v>
      </c>
      <c r="D93" s="1106" t="n">
        <f aca="false">'Смета Внутр'!D93</f>
        <v>0</v>
      </c>
      <c r="E93" s="1104"/>
      <c r="F93" s="1107" t="n">
        <f aca="false">'Смета Внутр'!H93</f>
        <v>0</v>
      </c>
    </row>
    <row r="94" s="118" customFormat="true" ht="15" hidden="false" customHeight="false" outlineLevel="0" collapsed="false">
      <c r="B94" s="1104" t="str">
        <f aca="false">'Смета Внутр'!B94</f>
        <v>гидроизоляция стен</v>
      </c>
      <c r="C94" s="1105" t="str">
        <f aca="false">'Смета Внутр'!C94</f>
        <v>м2</v>
      </c>
      <c r="D94" s="1106" t="n">
        <f aca="false">'Смета Внутр'!D94</f>
        <v>0</v>
      </c>
      <c r="E94" s="1104"/>
      <c r="F94" s="1107" t="n">
        <f aca="false">'Смета Внутр'!H94</f>
        <v>0</v>
      </c>
    </row>
    <row r="95" s="118" customFormat="true" ht="15" hidden="false" customHeight="false" outlineLevel="0" collapsed="false">
      <c r="B95" s="1104" t="str">
        <f aca="false">'Смета Внутр'!B95</f>
        <v>Монтаж утеплителя стен наружних</v>
      </c>
      <c r="C95" s="1105" t="str">
        <f aca="false">'Смета Внутр'!C95</f>
        <v>м2</v>
      </c>
      <c r="D95" s="1106" t="n">
        <f aca="false">'Смета Внутр'!D95</f>
        <v>0</v>
      </c>
      <c r="E95" s="1104"/>
      <c r="F95" s="1107" t="n">
        <f aca="false">'Смета Внутр'!H95</f>
        <v>0</v>
      </c>
    </row>
    <row r="96" s="118" customFormat="true" ht="15" hidden="false" customHeight="false" outlineLevel="0" collapsed="false">
      <c r="B96" s="1104" t="str">
        <f aca="false">'Смета Внутр'!B96</f>
        <v>сборка опалубки</v>
      </c>
      <c r="C96" s="1105" t="str">
        <f aca="false">'Смета Внутр'!C96</f>
        <v>м2</v>
      </c>
      <c r="D96" s="1106" t="n">
        <f aca="false">'Смета Внутр'!D96</f>
        <v>0</v>
      </c>
      <c r="E96" s="1104"/>
      <c r="F96" s="1107" t="n">
        <f aca="false">'Смета Внутр'!H96</f>
        <v>0</v>
      </c>
    </row>
    <row r="97" s="118" customFormat="true" ht="15" hidden="false" customHeight="false" outlineLevel="0" collapsed="false">
      <c r="B97" s="1104" t="str">
        <f aca="false">'Смета Внутр'!B97</f>
        <v>разборка опалубки</v>
      </c>
      <c r="C97" s="1105" t="str">
        <f aca="false">'Смета Внутр'!C97</f>
        <v>м2</v>
      </c>
      <c r="D97" s="1106" t="n">
        <f aca="false">'Смета Внутр'!D97</f>
        <v>0</v>
      </c>
      <c r="E97" s="1104"/>
      <c r="F97" s="1107" t="n">
        <f aca="false">'Смета Внутр'!H97</f>
        <v>0</v>
      </c>
    </row>
    <row r="98" s="118" customFormat="true" ht="15" hidden="false" customHeight="false" outlineLevel="0" collapsed="false">
      <c r="B98" s="1104" t="str">
        <f aca="false">'Смета Внутр'!B98</f>
        <v>приемка бетона</v>
      </c>
      <c r="C98" s="1105" t="str">
        <f aca="false">'Смета Внутр'!C98</f>
        <v>м3</v>
      </c>
      <c r="D98" s="1106" t="n">
        <f aca="false">'Смета Внутр'!D98</f>
        <v>0</v>
      </c>
      <c r="E98" s="1104"/>
      <c r="F98" s="1107" t="n">
        <f aca="false">'Смета Внутр'!H98</f>
        <v>0</v>
      </c>
    </row>
    <row r="99" s="118" customFormat="true" ht="15" hidden="false" customHeight="false" outlineLevel="0" collapsed="false">
      <c r="B99" s="1112" t="str">
        <f aca="false">'Смета Внутр'!B99</f>
        <v>Итого работы</v>
      </c>
      <c r="C99" s="1112"/>
      <c r="D99" s="1112"/>
      <c r="E99" s="1112"/>
      <c r="F99" s="1109" t="n">
        <f aca="false">'Смета Внутр'!G99</f>
        <v>0</v>
      </c>
    </row>
    <row r="100" s="118" customFormat="true" ht="18.75" hidden="false" customHeight="false" outlineLevel="0" collapsed="false">
      <c r="B100" s="1111" t="str">
        <f aca="false">'Смета Внутр'!B100</f>
        <v>Цокольный этаж из Монолит (бетон)</v>
      </c>
      <c r="C100" s="1111"/>
      <c r="D100" s="1111"/>
      <c r="E100" s="1111"/>
      <c r="F100" s="1102" t="n">
        <f aca="false">'Смета Внутр'!H100</f>
        <v>0</v>
      </c>
    </row>
    <row r="101" s="118" customFormat="true" ht="15" hidden="false" customHeight="false" outlineLevel="0" collapsed="false">
      <c r="B101" s="1103" t="str">
        <f aca="false">'Смета Внутр'!B101</f>
        <v>Материалы</v>
      </c>
      <c r="C101" s="1103"/>
      <c r="D101" s="1103"/>
      <c r="E101" s="1103"/>
      <c r="F101" s="1102" t="n">
        <f aca="false">'Смета Внутр'!H101</f>
        <v>0</v>
      </c>
    </row>
    <row r="102" s="118" customFormat="true" ht="15" hidden="false" customHeight="false" outlineLevel="0" collapsed="false">
      <c r="B102" s="1104" t="str">
        <f aca="false">'Смета Внутр'!B102</f>
        <v>Праймер для обработки </v>
      </c>
      <c r="C102" s="1105" t="str">
        <f aca="false">'Смета Внутр'!C102</f>
        <v>л</v>
      </c>
      <c r="D102" s="1106" t="n">
        <f aca="false">'Смета Внутр'!D102</f>
        <v>0</v>
      </c>
      <c r="E102" s="1104"/>
      <c r="F102" s="1107" t="n">
        <f aca="false">'Смета Внутр'!H102</f>
        <v>0</v>
      </c>
    </row>
    <row r="103" s="118" customFormat="true" ht="15" hidden="false" customHeight="false" outlineLevel="0" collapsed="false">
      <c r="B103" s="1104" t="str">
        <f aca="false">'Смета Внутр'!B103</f>
        <v>Гидроизол</v>
      </c>
      <c r="C103" s="1105" t="str">
        <f aca="false">'Смета Внутр'!C103</f>
        <v>м2</v>
      </c>
      <c r="D103" s="1106" t="n">
        <f aca="false">'Смета Внутр'!D103</f>
        <v>0</v>
      </c>
      <c r="E103" s="1104"/>
      <c r="F103" s="1107" t="n">
        <f aca="false">'Смета Внутр'!H103</f>
        <v>0</v>
      </c>
    </row>
    <row r="104" s="118" customFormat="true" ht="15" hidden="false" customHeight="false" outlineLevel="0" collapsed="false">
      <c r="B104" s="1104" t="str">
        <f aca="false">'Смета Внутр'!B104</f>
        <v>Мастика битумная</v>
      </c>
      <c r="C104" s="1105" t="str">
        <f aca="false">'Смета Внутр'!C104</f>
        <v>кг</v>
      </c>
      <c r="D104" s="1106" t="n">
        <f aca="false">'Смета Внутр'!D104</f>
        <v>0</v>
      </c>
      <c r="E104" s="1104"/>
      <c r="F104" s="1107" t="n">
        <f aca="false">'Смета Внутр'!H104</f>
        <v>0</v>
      </c>
    </row>
    <row r="105" s="118" customFormat="true" ht="15" hidden="false" customHeight="false" outlineLevel="0" collapsed="false">
      <c r="B105" s="1104" t="str">
        <f aca="false">'Смета Внутр'!B105</f>
        <v>Сосна влаж,150*40мм</v>
      </c>
      <c r="C105" s="1105" t="str">
        <f aca="false">'Смета Внутр'!C105</f>
        <v>м3</v>
      </c>
      <c r="D105" s="1106" t="n">
        <f aca="false">'Смета Внутр'!D105</f>
        <v>0</v>
      </c>
      <c r="E105" s="1104"/>
      <c r="F105" s="1107" t="n">
        <f aca="false">'Смета Внутр'!H105</f>
        <v>0</v>
      </c>
    </row>
    <row r="106" s="118" customFormat="true" ht="15" hidden="false" customHeight="false" outlineLevel="0" collapsed="false">
      <c r="B106" s="1104" t="str">
        <f aca="false">'Смета Внутр'!B106</f>
        <v>Крепления для опалубки</v>
      </c>
      <c r="C106" s="1105" t="str">
        <f aca="false">'Смета Внутр'!C106</f>
        <v>шт</v>
      </c>
      <c r="D106" s="1106" t="n">
        <f aca="false">'Смета Внутр'!D106</f>
        <v>0</v>
      </c>
      <c r="E106" s="1104"/>
      <c r="F106" s="1107" t="n">
        <f aca="false">'Смета Внутр'!H106</f>
        <v>0</v>
      </c>
    </row>
    <row r="107" s="118" customFormat="true" ht="15" hidden="false" customHeight="false" outlineLevel="0" collapsed="false">
      <c r="B107" s="1104" t="str">
        <f aca="false">'Смета Внутр'!B107</f>
        <v>Арматура стальная Ø 12</v>
      </c>
      <c r="C107" s="1105" t="str">
        <f aca="false">'Смета Внутр'!C107</f>
        <v>м.п.</v>
      </c>
      <c r="D107" s="1106" t="n">
        <f aca="false">'Смета Внутр'!D107</f>
        <v>0</v>
      </c>
      <c r="E107" s="1104"/>
      <c r="F107" s="1107" t="n">
        <f aca="false">'Смета Внутр'!H107</f>
        <v>0</v>
      </c>
    </row>
    <row r="108" s="118" customFormat="true" ht="15" hidden="false" customHeight="false" outlineLevel="0" collapsed="false">
      <c r="B108" s="1104" t="str">
        <f aca="false">'Смета Внутр'!B108</f>
        <v>Вязальная проволока</v>
      </c>
      <c r="C108" s="1105" t="str">
        <f aca="false">'Смета Внутр'!C108</f>
        <v>кг</v>
      </c>
      <c r="D108" s="1106" t="n">
        <f aca="false">'Смета Внутр'!D108</f>
        <v>0</v>
      </c>
      <c r="E108" s="1104"/>
      <c r="F108" s="1107" t="n">
        <f aca="false">'Смета Внутр'!H108</f>
        <v>0</v>
      </c>
    </row>
    <row r="109" s="118" customFormat="true" ht="15" hidden="false" customHeight="false" outlineLevel="0" collapsed="false">
      <c r="B109" s="1104" t="str">
        <f aca="false">'Смета Внутр'!B109</f>
        <v>Бетон, м300</v>
      </c>
      <c r="C109" s="1105" t="str">
        <f aca="false">'Смета Внутр'!C109</f>
        <v>м3</v>
      </c>
      <c r="D109" s="1106" t="n">
        <f aca="false">'Смета Внутр'!D109</f>
        <v>0</v>
      </c>
      <c r="E109" s="1104"/>
      <c r="F109" s="1107" t="n">
        <f aca="false">'Смета Внутр'!H109</f>
        <v>0</v>
      </c>
    </row>
    <row r="110" s="118" customFormat="true" ht="15" hidden="false" customHeight="false" outlineLevel="0" collapsed="false">
      <c r="B110" s="1104" t="str">
        <f aca="false">'Смета Внутр'!B110</f>
        <v>Праймер для обработки </v>
      </c>
      <c r="C110" s="1105" t="str">
        <f aca="false">'Смета Внутр'!C110</f>
        <v>кг</v>
      </c>
      <c r="D110" s="1106" t="n">
        <f aca="false">'Смета Внутр'!D110</f>
        <v>0</v>
      </c>
      <c r="E110" s="1104"/>
      <c r="F110" s="1107" t="n">
        <f aca="false">'Смета Внутр'!H110</f>
        <v>0</v>
      </c>
    </row>
    <row r="111" s="118" customFormat="true" ht="15" hidden="false" customHeight="false" outlineLevel="0" collapsed="false">
      <c r="B111" s="1104" t="str">
        <f aca="false">'Смета Внутр'!B111</f>
        <v>Плитный,28кг/м3, технониколь, 100мм</v>
      </c>
      <c r="C111" s="1105" t="str">
        <f aca="false">'Смета Внутр'!C111</f>
        <v>м3</v>
      </c>
      <c r="D111" s="1106" t="n">
        <f aca="false">'Смета Внутр'!D111</f>
        <v>0</v>
      </c>
      <c r="E111" s="1104"/>
      <c r="F111" s="1107" t="n">
        <f aca="false">'Смета Внутр'!H111</f>
        <v>0</v>
      </c>
    </row>
    <row r="112" s="118" customFormat="true" ht="15" hidden="false" customHeight="false" outlineLevel="0" collapsed="false">
      <c r="B112" s="1104" t="str">
        <f aca="false">'Смета Внутр'!B112</f>
        <v>Грибок для крепления утеплителя</v>
      </c>
      <c r="C112" s="1105" t="str">
        <f aca="false">'Смета Внутр'!C112</f>
        <v>шт</v>
      </c>
      <c r="D112" s="1106" t="n">
        <f aca="false">'Смета Внутр'!D112</f>
        <v>0</v>
      </c>
      <c r="E112" s="1104"/>
      <c r="F112" s="1107" t="n">
        <f aca="false">'Смета Внутр'!H112</f>
        <v>0</v>
      </c>
    </row>
    <row r="113" s="118" customFormat="true" ht="15" hidden="false" customHeight="false" outlineLevel="0" collapsed="false">
      <c r="B113" s="1108" t="str">
        <f aca="false">'Смета Внутр'!B113</f>
        <v>Итого материалы</v>
      </c>
      <c r="C113" s="1108"/>
      <c r="D113" s="1108"/>
      <c r="E113" s="1108"/>
      <c r="F113" s="1109" t="n">
        <f aca="false">'Смета Внутр'!G113</f>
        <v>0</v>
      </c>
    </row>
    <row r="114" s="118" customFormat="true" ht="15" hidden="false" customHeight="false" outlineLevel="0" collapsed="false">
      <c r="B114" s="1110" t="str">
        <f aca="false">'Смета Внутр'!B114</f>
        <v>Работы</v>
      </c>
      <c r="C114" s="1110"/>
      <c r="D114" s="1110"/>
      <c r="E114" s="1110"/>
      <c r="F114" s="1102" t="n">
        <f aca="false">'Смета Внутр'!H114</f>
        <v>0</v>
      </c>
    </row>
    <row r="115" s="118" customFormat="true" ht="15" hidden="false" customHeight="false" outlineLevel="0" collapsed="false">
      <c r="B115" s="1104" t="str">
        <f aca="false">'Смета Внутр'!B115</f>
        <v>обработка праймер</v>
      </c>
      <c r="C115" s="1105" t="str">
        <f aca="false">'Смета Внутр'!C115</f>
        <v>м2</v>
      </c>
      <c r="D115" s="1106" t="n">
        <f aca="false">'Смета Внутр'!D115</f>
        <v>0</v>
      </c>
      <c r="E115" s="1104"/>
      <c r="F115" s="1107" t="n">
        <f aca="false">'Смета Внутр'!H115</f>
        <v>0</v>
      </c>
    </row>
    <row r="116" s="118" customFormat="true" ht="15" hidden="false" customHeight="false" outlineLevel="0" collapsed="false">
      <c r="B116" s="1104" t="str">
        <f aca="false">'Смета Внутр'!B116</f>
        <v>настил гидроизола</v>
      </c>
      <c r="C116" s="1105" t="str">
        <f aca="false">'Смета Внутр'!C116</f>
        <v>м2</v>
      </c>
      <c r="D116" s="1106" t="n">
        <f aca="false">'Смета Внутр'!D116</f>
        <v>0</v>
      </c>
      <c r="E116" s="1104"/>
      <c r="F116" s="1107" t="n">
        <f aca="false">'Смета Внутр'!H116</f>
        <v>0</v>
      </c>
    </row>
    <row r="117" s="118" customFormat="true" ht="15" hidden="false" customHeight="false" outlineLevel="0" collapsed="false">
      <c r="B117" s="1104" t="str">
        <f aca="false">'Смета Внутр'!B117</f>
        <v>вязка арматуры</v>
      </c>
      <c r="C117" s="1105" t="str">
        <f aca="false">'Смета Внутр'!C117</f>
        <v>м.п.</v>
      </c>
      <c r="D117" s="1106" t="n">
        <f aca="false">'Смета Внутр'!D117</f>
        <v>0</v>
      </c>
      <c r="E117" s="1104"/>
      <c r="F117" s="1107" t="n">
        <f aca="false">'Смета Внутр'!H117</f>
        <v>0</v>
      </c>
    </row>
    <row r="118" s="118" customFormat="true" ht="15" hidden="false" customHeight="false" outlineLevel="0" collapsed="false">
      <c r="B118" s="1104" t="str">
        <f aca="false">'Смета Внутр'!B118</f>
        <v>сборка опалубки</v>
      </c>
      <c r="C118" s="1105" t="str">
        <f aca="false">'Смета Внутр'!C118</f>
        <v>м2</v>
      </c>
      <c r="D118" s="1106" t="n">
        <f aca="false">'Смета Внутр'!D118</f>
        <v>0</v>
      </c>
      <c r="E118" s="1104"/>
      <c r="F118" s="1107" t="n">
        <f aca="false">'Смета Внутр'!H118</f>
        <v>0</v>
      </c>
    </row>
    <row r="119" s="118" customFormat="true" ht="15" hidden="false" customHeight="false" outlineLevel="0" collapsed="false">
      <c r="B119" s="1104" t="str">
        <f aca="false">'Смета Внутр'!B119</f>
        <v>разборка опалубки</v>
      </c>
      <c r="C119" s="1105" t="str">
        <f aca="false">'Смета Внутр'!C119</f>
        <v>м2</v>
      </c>
      <c r="D119" s="1106" t="n">
        <f aca="false">'Смета Внутр'!D119</f>
        <v>0</v>
      </c>
      <c r="E119" s="1104"/>
      <c r="F119" s="1107" t="n">
        <f aca="false">'Смета Внутр'!H119</f>
        <v>0</v>
      </c>
    </row>
    <row r="120" s="118" customFormat="true" ht="15" hidden="false" customHeight="false" outlineLevel="0" collapsed="false">
      <c r="B120" s="1104" t="str">
        <f aca="false">'Смета Внутр'!B120</f>
        <v>приемка бетона</v>
      </c>
      <c r="C120" s="1105" t="str">
        <f aca="false">'Смета Внутр'!C120</f>
        <v>м3</v>
      </c>
      <c r="D120" s="1106" t="n">
        <f aca="false">'Смета Внутр'!D120</f>
        <v>0</v>
      </c>
      <c r="E120" s="1104"/>
      <c r="F120" s="1107" t="n">
        <f aca="false">'Смета Внутр'!H120</f>
        <v>0</v>
      </c>
    </row>
    <row r="121" s="118" customFormat="true" ht="15" hidden="false" customHeight="false" outlineLevel="0" collapsed="false">
      <c r="B121" s="1104" t="str">
        <f aca="false">'Смета Внутр'!B121</f>
        <v>гидроизоляция стен</v>
      </c>
      <c r="C121" s="1105" t="str">
        <f aca="false">'Смета Внутр'!C121</f>
        <v>м2</v>
      </c>
      <c r="D121" s="1106" t="n">
        <f aca="false">'Смета Внутр'!D121</f>
        <v>0</v>
      </c>
      <c r="E121" s="1104"/>
      <c r="F121" s="1107" t="n">
        <f aca="false">'Смета Внутр'!H121</f>
        <v>0</v>
      </c>
    </row>
    <row r="122" s="118" customFormat="true" ht="15" hidden="false" customHeight="false" outlineLevel="0" collapsed="false">
      <c r="B122" s="1104" t="str">
        <f aca="false">'Смета Внутр'!B122</f>
        <v>утепление фундамента</v>
      </c>
      <c r="C122" s="1105" t="str">
        <f aca="false">'Смета Внутр'!C122</f>
        <v>м2</v>
      </c>
      <c r="D122" s="1106" t="n">
        <f aca="false">'Смета Внутр'!D122</f>
        <v>0</v>
      </c>
      <c r="E122" s="1104"/>
      <c r="F122" s="1107" t="n">
        <f aca="false">'Смета Внутр'!H122</f>
        <v>0</v>
      </c>
    </row>
    <row r="123" s="118" customFormat="true" ht="15" hidden="false" customHeight="false" outlineLevel="0" collapsed="false">
      <c r="B123" s="1108" t="str">
        <f aca="false">'Смета Внутр'!B123</f>
        <v>Итого работы</v>
      </c>
      <c r="C123" s="1108"/>
      <c r="D123" s="1108"/>
      <c r="E123" s="1108"/>
      <c r="F123" s="1109" t="n">
        <f aca="false">'Смета Внутр'!G123</f>
        <v>0</v>
      </c>
    </row>
    <row r="124" customFormat="false" ht="18.75" hidden="false" customHeight="false" outlineLevel="0" collapsed="false">
      <c r="B124" s="1113" t="str">
        <f aca="false">'Смета Внутр'!B124</f>
        <v>Винтовые сваи для дома</v>
      </c>
      <c r="C124" s="1113"/>
      <c r="D124" s="1113"/>
      <c r="E124" s="1113"/>
      <c r="F124" s="1114" t="n">
        <f aca="false">'Смета Внутр'!H124</f>
        <v>0</v>
      </c>
    </row>
    <row r="125" customFormat="false" ht="15" hidden="false" customHeight="false" outlineLevel="0" collapsed="false">
      <c r="B125" s="1115" t="str">
        <f aca="false">'Смета Внутр'!B125</f>
        <v>Материалы</v>
      </c>
      <c r="C125" s="1115"/>
      <c r="D125" s="1115"/>
      <c r="E125" s="1115"/>
      <c r="F125" s="1114" t="n">
        <f aca="false">'Смета Внутр'!H125</f>
        <v>0</v>
      </c>
    </row>
    <row r="126" customFormat="false" ht="15" hidden="false" customHeight="false" outlineLevel="0" collapsed="false">
      <c r="B126" s="1097" t="str">
        <f aca="false">'Смета Внутр'!B126</f>
        <v>пробное забуривание</v>
      </c>
      <c r="C126" s="1098" t="str">
        <f aca="false">'Смета Внутр'!C126</f>
        <v>шт</v>
      </c>
      <c r="D126" s="1099" t="n">
        <f aca="false">'Смета Внутр'!D126</f>
        <v>1</v>
      </c>
      <c r="E126" s="1097"/>
      <c r="F126" s="1116" t="n">
        <f aca="false">'Смета Внутр'!H126</f>
        <v>0</v>
      </c>
    </row>
    <row r="127" customFormat="false" ht="15" hidden="false" customHeight="false" outlineLevel="0" collapsed="false">
      <c r="B127" s="1097" t="str">
        <f aca="false">'Смета Внутр'!B127</f>
        <v>108мм, 2,5м длина, 1 лопасть</v>
      </c>
      <c r="C127" s="1098" t="str">
        <f aca="false">'Смета Внутр'!C127</f>
        <v>шт</v>
      </c>
      <c r="D127" s="1099" t="n">
        <f aca="false">'Смета Внутр'!D127</f>
        <v>21</v>
      </c>
      <c r="E127" s="1097"/>
      <c r="F127" s="1116" t="n">
        <f aca="false">'Смета Внутр'!H127</f>
        <v>0</v>
      </c>
    </row>
    <row r="128" customFormat="false" ht="15" hidden="false" customHeight="false" outlineLevel="0" collapsed="false">
      <c r="B128" s="1097" t="str">
        <f aca="false">'Смета Внутр'!B128</f>
        <v>Оголовкок для свай 200*200</v>
      </c>
      <c r="C128" s="1098" t="str">
        <f aca="false">'Смета Внутр'!C128</f>
        <v>шт</v>
      </c>
      <c r="D128" s="1099" t="n">
        <f aca="false">'Смета Внутр'!D128</f>
        <v>21</v>
      </c>
      <c r="E128" s="1097"/>
      <c r="F128" s="1116" t="n">
        <f aca="false">'Смета Внутр'!H128</f>
        <v>0</v>
      </c>
    </row>
    <row r="129" customFormat="false" ht="15" hidden="false" customHeight="false" outlineLevel="0" collapsed="false">
      <c r="B129" s="1097" t="str">
        <f aca="false">'Смета Внутр'!B129</f>
        <v>обвязка металлом</v>
      </c>
      <c r="C129" s="1098" t="str">
        <f aca="false">'Смета Внутр'!C129</f>
        <v>м.п.</v>
      </c>
      <c r="D129" s="1099" t="n">
        <f aca="false">'Смета Внутр'!D129</f>
        <v>48</v>
      </c>
      <c r="E129" s="1097"/>
      <c r="F129" s="1116" t="n">
        <f aca="false">'Смета Внутр'!H129</f>
        <v>0</v>
      </c>
    </row>
    <row r="130" customFormat="false" ht="15" hidden="false" customHeight="false" outlineLevel="0" collapsed="false">
      <c r="B130" s="1097" t="str">
        <f aca="false">'Смета Внутр'!B130</f>
        <v>Раствор, м200</v>
      </c>
      <c r="C130" s="1098" t="str">
        <f aca="false">'Смета Внутр'!C130</f>
        <v>м3</v>
      </c>
      <c r="D130" s="1099" t="n">
        <f aca="false">'Смета Внутр'!D130</f>
        <v>0.949536</v>
      </c>
      <c r="E130" s="1097"/>
      <c r="F130" s="1116" t="n">
        <f aca="false">'Смета Внутр'!H130</f>
        <v>0</v>
      </c>
    </row>
    <row r="131" customFormat="false" ht="15" hidden="false" customHeight="false" outlineLevel="0" collapsed="false">
      <c r="B131" s="1097" t="str">
        <f aca="false">'Смета Внутр'!B131</f>
        <v>Электроды ок 47</v>
      </c>
      <c r="C131" s="1098" t="str">
        <f aca="false">'Смета Внутр'!C131</f>
        <v>шт</v>
      </c>
      <c r="D131" s="1099" t="n">
        <f aca="false">'Смета Внутр'!D131</f>
        <v>21</v>
      </c>
      <c r="E131" s="1097"/>
      <c r="F131" s="1116" t="n">
        <f aca="false">'Смета Внутр'!H131</f>
        <v>0</v>
      </c>
    </row>
    <row r="132" customFormat="false" ht="15" hidden="false" customHeight="false" outlineLevel="0" collapsed="false">
      <c r="B132" s="1117" t="str">
        <f aca="false">'Смета Внутр'!B132</f>
        <v>Итого материалы</v>
      </c>
      <c r="C132" s="1117"/>
      <c r="D132" s="1117"/>
      <c r="E132" s="1117"/>
      <c r="F132" s="1118" t="n">
        <f aca="false">'Смета Внутр'!G132</f>
        <v>0</v>
      </c>
    </row>
    <row r="133" customFormat="false" ht="15" hidden="false" customHeight="false" outlineLevel="0" collapsed="false">
      <c r="B133" s="1119" t="str">
        <f aca="false">'Смета Внутр'!B133</f>
        <v>Работы</v>
      </c>
      <c r="C133" s="1119"/>
      <c r="D133" s="1119"/>
      <c r="E133" s="1119"/>
      <c r="F133" s="1114" t="n">
        <f aca="false">'Смета Внутр'!H133</f>
        <v>0</v>
      </c>
    </row>
    <row r="134" customFormat="false" ht="15" hidden="false" customHeight="false" outlineLevel="0" collapsed="false">
      <c r="B134" s="1097" t="str">
        <f aca="false">'Смета Внутр'!B134</f>
        <v>разбивка осей</v>
      </c>
      <c r="C134" s="1098" t="str">
        <f aca="false">'Смета Внутр'!C134</f>
        <v>шт</v>
      </c>
      <c r="D134" s="1099" t="n">
        <f aca="false">'Смета Внутр'!D134</f>
        <v>1</v>
      </c>
      <c r="E134" s="1097"/>
      <c r="F134" s="1116" t="n">
        <f aca="false">'Смета Внутр'!H134</f>
        <v>0</v>
      </c>
    </row>
    <row r="135" customFormat="false" ht="15" hidden="false" customHeight="false" outlineLevel="0" collapsed="false">
      <c r="B135" s="1097" t="str">
        <f aca="false">'Смета Внутр'!B135</f>
        <v>монтаж свай</v>
      </c>
      <c r="C135" s="1098" t="str">
        <f aca="false">'Смета Внутр'!C135</f>
        <v>шт</v>
      </c>
      <c r="D135" s="1099" t="n">
        <f aca="false">'Смета Внутр'!D135</f>
        <v>21</v>
      </c>
      <c r="E135" s="1097"/>
      <c r="F135" s="1116" t="n">
        <f aca="false">'Смета Внутр'!H135</f>
        <v>0</v>
      </c>
    </row>
    <row r="136" customFormat="false" ht="15" hidden="false" customHeight="false" outlineLevel="0" collapsed="false">
      <c r="B136" s="1097" t="str">
        <f aca="false">'Смета Внутр'!B136</f>
        <v>монтаж оголовков</v>
      </c>
      <c r="C136" s="1098" t="str">
        <f aca="false">'Смета Внутр'!C136</f>
        <v>шт</v>
      </c>
      <c r="D136" s="1099" t="n">
        <f aca="false">'Смета Внутр'!D136</f>
        <v>21</v>
      </c>
      <c r="E136" s="1097"/>
      <c r="F136" s="1116" t="n">
        <f aca="false">'Смета Внутр'!H136</f>
        <v>0</v>
      </c>
    </row>
    <row r="137" customFormat="false" ht="15" hidden="false" customHeight="false" outlineLevel="0" collapsed="false">
      <c r="B137" s="1097" t="str">
        <f aca="false">'Смета Внутр'!B137</f>
        <v>обвязка металлом</v>
      </c>
      <c r="C137" s="1098" t="str">
        <f aca="false">'Смета Внутр'!C137</f>
        <v>м.п.</v>
      </c>
      <c r="D137" s="1099" t="n">
        <f aca="false">'Смета Внутр'!D137</f>
        <v>48</v>
      </c>
      <c r="E137" s="1097"/>
      <c r="F137" s="1116" t="n">
        <f aca="false">'Смета Внутр'!H137</f>
        <v>0</v>
      </c>
    </row>
    <row r="138" customFormat="false" ht="15" hidden="false" customHeight="false" outlineLevel="0" collapsed="false">
      <c r="B138" s="1097" t="str">
        <f aca="false">'Смета Внутр'!B138</f>
        <v>заливка бетоном</v>
      </c>
      <c r="C138" s="1098" t="str">
        <f aca="false">'Смета Внутр'!C138</f>
        <v>шт</v>
      </c>
      <c r="D138" s="1099" t="n">
        <f aca="false">'Смета Внутр'!D138</f>
        <v>21</v>
      </c>
      <c r="E138" s="1097"/>
      <c r="F138" s="1116" t="n">
        <f aca="false">'Смета Внутр'!H138</f>
        <v>0</v>
      </c>
    </row>
    <row r="139" customFormat="false" ht="15" hidden="false" customHeight="false" outlineLevel="0" collapsed="false">
      <c r="B139" s="1097" t="str">
        <f aca="false">'Смета Внутр'!B139</f>
        <v>Обрезка винтовых свай по невелиру</v>
      </c>
      <c r="C139" s="1098" t="str">
        <f aca="false">'Смета Внутр'!C139</f>
        <v>шт</v>
      </c>
      <c r="D139" s="1099" t="n">
        <f aca="false">'Смета Внутр'!D139</f>
        <v>21</v>
      </c>
      <c r="E139" s="1097"/>
      <c r="F139" s="1116" t="n">
        <f aca="false">'Смета Внутр'!H139</f>
        <v>0</v>
      </c>
    </row>
    <row r="140" customFormat="false" ht="15" hidden="false" customHeight="false" outlineLevel="0" collapsed="false">
      <c r="B140" s="1097" t="str">
        <f aca="false">'Смета Внутр'!B140</f>
        <v>Наварка оголовка</v>
      </c>
      <c r="C140" s="1098" t="str">
        <f aca="false">'Смета Внутр'!C140</f>
        <v>шт</v>
      </c>
      <c r="D140" s="1099" t="n">
        <f aca="false">'Смета Внутр'!D140</f>
        <v>21</v>
      </c>
      <c r="E140" s="1097"/>
      <c r="F140" s="1116" t="n">
        <f aca="false">'Смета Внутр'!H140</f>
        <v>0</v>
      </c>
    </row>
    <row r="141" customFormat="false" ht="15" hidden="false" customHeight="false" outlineLevel="0" collapsed="false">
      <c r="B141" s="1117" t="str">
        <f aca="false">'Смета Внутр'!B141</f>
        <v>Итого работы</v>
      </c>
      <c r="C141" s="1117"/>
      <c r="D141" s="1117"/>
      <c r="E141" s="1117"/>
      <c r="F141" s="1118" t="n">
        <f aca="false">'Смета Внутр'!G141</f>
        <v>0</v>
      </c>
    </row>
    <row r="142" s="118" customFormat="true" ht="18.75" hidden="false" customHeight="false" outlineLevel="0" collapsed="false">
      <c r="B142" s="1111" t="str">
        <f aca="false">'Смета Внутр'!B142</f>
        <v>Винтовые сваи для террасы</v>
      </c>
      <c r="C142" s="1111"/>
      <c r="D142" s="1111"/>
      <c r="E142" s="1111"/>
      <c r="F142" s="1102" t="n">
        <f aca="false">'Смета Внутр'!H142</f>
        <v>0</v>
      </c>
    </row>
    <row r="143" s="118" customFormat="true" ht="15" hidden="false" customHeight="false" outlineLevel="0" collapsed="false">
      <c r="B143" s="1103" t="str">
        <f aca="false">'Смета Внутр'!B143</f>
        <v>Материалы</v>
      </c>
      <c r="C143" s="1103"/>
      <c r="D143" s="1103"/>
      <c r="E143" s="1103"/>
      <c r="F143" s="1102" t="n">
        <f aca="false">'Смета Внутр'!H143</f>
        <v>0</v>
      </c>
    </row>
    <row r="144" s="118" customFormat="true" ht="15" hidden="false" customHeight="false" outlineLevel="0" collapsed="false">
      <c r="B144" s="1104" t="str">
        <f aca="false">'Смета Внутр'!B144</f>
        <v>пробное забуривание</v>
      </c>
      <c r="C144" s="1105" t="str">
        <f aca="false">'Смета Внутр'!C144</f>
        <v>шт</v>
      </c>
      <c r="D144" s="1106" t="n">
        <f aca="false">'Смета Внутр'!D144</f>
        <v>1</v>
      </c>
      <c r="E144" s="1104"/>
      <c r="F144" s="1107" t="n">
        <f aca="false">'Смета Внутр'!H144</f>
        <v>0</v>
      </c>
    </row>
    <row r="145" s="118" customFormat="true" ht="15" hidden="false" customHeight="false" outlineLevel="0" collapsed="false">
      <c r="B145" s="1104" t="str">
        <f aca="false">'Смета Внутр'!B145</f>
        <v>76мм, 3,5м длина, 2 лопасть</v>
      </c>
      <c r="C145" s="1105" t="str">
        <f aca="false">'Смета Внутр'!C145</f>
        <v>шт</v>
      </c>
      <c r="D145" s="1106" t="n">
        <f aca="false">'Смета Внутр'!D145</f>
        <v>8</v>
      </c>
      <c r="E145" s="1104"/>
      <c r="F145" s="1107" t="n">
        <f aca="false">'Смета Внутр'!H145</f>
        <v>0</v>
      </c>
    </row>
    <row r="146" s="118" customFormat="true" ht="15" hidden="false" customHeight="false" outlineLevel="0" collapsed="false">
      <c r="B146" s="1104" t="str">
        <f aca="false">'Смета Внутр'!B146</f>
        <v>Оголовкок для свай 200*200</v>
      </c>
      <c r="C146" s="1105" t="str">
        <f aca="false">'Смета Внутр'!C146</f>
        <v>шт</v>
      </c>
      <c r="D146" s="1106" t="n">
        <f aca="false">'Смета Внутр'!D146</f>
        <v>8</v>
      </c>
      <c r="E146" s="1104"/>
      <c r="F146" s="1107" t="n">
        <f aca="false">'Смета Внутр'!H146</f>
        <v>0</v>
      </c>
    </row>
    <row r="147" s="118" customFormat="true" ht="15" hidden="false" customHeight="false" outlineLevel="0" collapsed="false">
      <c r="B147" s="1104" t="str">
        <f aca="false">'Смета Внутр'!B147</f>
        <v>обвязка металлом, 20/40/3000</v>
      </c>
      <c r="C147" s="1105" t="str">
        <f aca="false">'Смета Внутр'!C147</f>
        <v>м.п.</v>
      </c>
      <c r="D147" s="1106" t="n">
        <f aca="false">'Смета Внутр'!D147</f>
        <v>8</v>
      </c>
      <c r="E147" s="1104"/>
      <c r="F147" s="1107" t="n">
        <f aca="false">'Смета Внутр'!H147</f>
        <v>0</v>
      </c>
    </row>
    <row r="148" s="118" customFormat="true" ht="15" hidden="false" customHeight="false" outlineLevel="0" collapsed="false">
      <c r="B148" s="1104" t="str">
        <f aca="false">'Смета Внутр'!B148</f>
        <v>Раствор, м200</v>
      </c>
      <c r="C148" s="1105" t="str">
        <f aca="false">'Смета Внутр'!C148</f>
        <v>м3</v>
      </c>
      <c r="D148" s="1106" t="n">
        <f aca="false">'Смета Внутр'!D148</f>
        <v>0.361728</v>
      </c>
      <c r="E148" s="1104"/>
      <c r="F148" s="1107" t="n">
        <f aca="false">'Смета Внутр'!H148</f>
        <v>0</v>
      </c>
    </row>
    <row r="149" s="118" customFormat="true" ht="15" hidden="false" customHeight="false" outlineLevel="0" collapsed="false">
      <c r="B149" s="1104" t="str">
        <f aca="false">'Смета Внутр'!B149</f>
        <v>Электроды ок 47</v>
      </c>
      <c r="C149" s="1105" t="str">
        <f aca="false">'Смета Внутр'!C149</f>
        <v>шт</v>
      </c>
      <c r="D149" s="1106" t="n">
        <f aca="false">'Смета Внутр'!D149</f>
        <v>8</v>
      </c>
      <c r="E149" s="1104"/>
      <c r="F149" s="1107" t="n">
        <f aca="false">'Смета Внутр'!H149</f>
        <v>0</v>
      </c>
    </row>
    <row r="150" s="118" customFormat="true" ht="15" hidden="false" customHeight="false" outlineLevel="0" collapsed="false">
      <c r="B150" s="1108" t="str">
        <f aca="false">'Смета Внутр'!B150</f>
        <v>Итого материалы</v>
      </c>
      <c r="C150" s="1108"/>
      <c r="D150" s="1108"/>
      <c r="E150" s="1108"/>
      <c r="F150" s="1109" t="n">
        <f aca="false">'Смета Внутр'!G150</f>
        <v>0</v>
      </c>
    </row>
    <row r="151" s="118" customFormat="true" ht="15" hidden="false" customHeight="false" outlineLevel="0" collapsed="false">
      <c r="B151" s="1110" t="str">
        <f aca="false">'Смета Внутр'!B151</f>
        <v>Работы</v>
      </c>
      <c r="C151" s="1110"/>
      <c r="D151" s="1110"/>
      <c r="E151" s="1110"/>
      <c r="F151" s="1102" t="n">
        <f aca="false">'Смета Внутр'!H151</f>
        <v>0</v>
      </c>
    </row>
    <row r="152" s="118" customFormat="true" ht="15" hidden="false" customHeight="false" outlineLevel="0" collapsed="false">
      <c r="B152" s="1104" t="str">
        <f aca="false">'Смета Внутр'!B152</f>
        <v>разбивка осей</v>
      </c>
      <c r="C152" s="1105" t="str">
        <f aca="false">'Смета Внутр'!C152</f>
        <v>шт</v>
      </c>
      <c r="D152" s="1106" t="n">
        <f aca="false">'Смета Внутр'!D152</f>
        <v>1</v>
      </c>
      <c r="E152" s="1104"/>
      <c r="F152" s="1107" t="n">
        <f aca="false">'Смета Внутр'!H152</f>
        <v>0</v>
      </c>
    </row>
    <row r="153" s="118" customFormat="true" ht="15" hidden="false" customHeight="false" outlineLevel="0" collapsed="false">
      <c r="B153" s="1104" t="str">
        <f aca="false">'Смета Внутр'!B153</f>
        <v>монтаж свай гидравликой</v>
      </c>
      <c r="C153" s="1105" t="str">
        <f aca="false">'Смета Внутр'!C153</f>
        <v>шт</v>
      </c>
      <c r="D153" s="1106" t="n">
        <f aca="false">'Смета Внутр'!D153</f>
        <v>1</v>
      </c>
      <c r="E153" s="1104"/>
      <c r="F153" s="1107" t="n">
        <f aca="false">'Смета Внутр'!H153</f>
        <v>0</v>
      </c>
    </row>
    <row r="154" s="118" customFormat="true" ht="15" hidden="false" customHeight="false" outlineLevel="0" collapsed="false">
      <c r="B154" s="1104" t="str">
        <f aca="false">'Смета Внутр'!B154</f>
        <v>монтаж оголовков</v>
      </c>
      <c r="C154" s="1105" t="str">
        <f aca="false">'Смета Внутр'!C154</f>
        <v>шт</v>
      </c>
      <c r="D154" s="1106" t="n">
        <f aca="false">'Смета Внутр'!D154</f>
        <v>8</v>
      </c>
      <c r="E154" s="1104"/>
      <c r="F154" s="1107" t="n">
        <f aca="false">'Смета Внутр'!H154</f>
        <v>0</v>
      </c>
    </row>
    <row r="155" s="118" customFormat="true" ht="15" hidden="false" customHeight="false" outlineLevel="0" collapsed="false">
      <c r="B155" s="1104" t="str">
        <f aca="false">'Смета Внутр'!B155</f>
        <v>обвязка металлом</v>
      </c>
      <c r="C155" s="1105" t="str">
        <f aca="false">'Смета Внутр'!C155</f>
        <v>м.п.</v>
      </c>
      <c r="D155" s="1106" t="n">
        <f aca="false">'Смета Внутр'!D155</f>
        <v>8</v>
      </c>
      <c r="E155" s="1104"/>
      <c r="F155" s="1107" t="n">
        <f aca="false">'Смета Внутр'!H155</f>
        <v>0</v>
      </c>
    </row>
    <row r="156" s="118" customFormat="true" ht="15" hidden="false" customHeight="false" outlineLevel="0" collapsed="false">
      <c r="B156" s="1104" t="str">
        <f aca="false">'Смета Внутр'!B156</f>
        <v>заливка бетоном</v>
      </c>
      <c r="C156" s="1105" t="str">
        <f aca="false">'Смета Внутр'!C156</f>
        <v>шт</v>
      </c>
      <c r="D156" s="1106" t="n">
        <f aca="false">'Смета Внутр'!D156</f>
        <v>8</v>
      </c>
      <c r="E156" s="1104"/>
      <c r="F156" s="1107" t="n">
        <f aca="false">'Смета Внутр'!H156</f>
        <v>0</v>
      </c>
    </row>
    <row r="157" s="118" customFormat="true" ht="15" hidden="false" customHeight="false" outlineLevel="0" collapsed="false">
      <c r="B157" s="1104" t="str">
        <f aca="false">'Смета Внутр'!B157</f>
        <v>Обрезка винтовых свай по невелиру</v>
      </c>
      <c r="C157" s="1105" t="str">
        <f aca="false">'Смета Внутр'!C157</f>
        <v>шт</v>
      </c>
      <c r="D157" s="1106" t="n">
        <f aca="false">'Смета Внутр'!D157</f>
        <v>8</v>
      </c>
      <c r="E157" s="1104"/>
      <c r="F157" s="1107" t="n">
        <f aca="false">'Смета Внутр'!H157</f>
        <v>0</v>
      </c>
    </row>
    <row r="158" s="118" customFormat="true" ht="15" hidden="false" customHeight="false" outlineLevel="0" collapsed="false">
      <c r="B158" s="1104" t="str">
        <f aca="false">'Смета Внутр'!B158</f>
        <v>Наварка оголовка</v>
      </c>
      <c r="C158" s="1105" t="str">
        <f aca="false">'Смета Внутр'!C158</f>
        <v>шт</v>
      </c>
      <c r="D158" s="1106" t="n">
        <f aca="false">'Смета Внутр'!D158</f>
        <v>8</v>
      </c>
      <c r="E158" s="1104"/>
      <c r="F158" s="1107" t="n">
        <f aca="false">'Смета Внутр'!H158</f>
        <v>0</v>
      </c>
    </row>
    <row r="159" s="118" customFormat="true" ht="15" hidden="false" customHeight="false" outlineLevel="0" collapsed="false">
      <c r="B159" s="1108" t="str">
        <f aca="false">'Смета Внутр'!B159</f>
        <v>Итого работы</v>
      </c>
      <c r="C159" s="1108"/>
      <c r="D159" s="1108"/>
      <c r="E159" s="1108"/>
      <c r="F159" s="1109" t="n">
        <f aca="false">'Смета Внутр'!G159</f>
        <v>0</v>
      </c>
    </row>
    <row r="160" s="118" customFormat="true" ht="18.75" hidden="false" customHeight="false" outlineLevel="0" collapsed="false">
      <c r="B160" s="1111" t="str">
        <f aca="false">'Смета Внутр'!B160</f>
        <v>Винтовые сваи для крыльца</v>
      </c>
      <c r="C160" s="1111"/>
      <c r="D160" s="1111"/>
      <c r="E160" s="1111"/>
      <c r="F160" s="1102" t="n">
        <f aca="false">'Смета Внутр'!H160</f>
        <v>0</v>
      </c>
    </row>
    <row r="161" s="118" customFormat="true" ht="15" hidden="false" customHeight="false" outlineLevel="0" collapsed="false">
      <c r="B161" s="1103" t="str">
        <f aca="false">'Смета Внутр'!B161</f>
        <v>Материалы</v>
      </c>
      <c r="C161" s="1103"/>
      <c r="D161" s="1103"/>
      <c r="E161" s="1103"/>
      <c r="F161" s="1102" t="n">
        <f aca="false">'Смета Внутр'!H161</f>
        <v>0</v>
      </c>
    </row>
    <row r="162" s="118" customFormat="true" ht="15" hidden="false" customHeight="false" outlineLevel="0" collapsed="false">
      <c r="B162" s="1104" t="str">
        <f aca="false">'Смета Внутр'!B162</f>
        <v>пробное забуривание</v>
      </c>
      <c r="C162" s="1105" t="str">
        <f aca="false">'Смета Внутр'!C162</f>
        <v>шт</v>
      </c>
      <c r="D162" s="1106" t="n">
        <f aca="false">'Смета Внутр'!D162</f>
        <v>1</v>
      </c>
      <c r="E162" s="1104"/>
      <c r="F162" s="1107" t="n">
        <f aca="false">'Смета Внутр'!H162</f>
        <v>0</v>
      </c>
    </row>
    <row r="163" s="118" customFormat="true" ht="15" hidden="false" customHeight="false" outlineLevel="0" collapsed="false">
      <c r="B163" s="1104" t="str">
        <f aca="false">'Смета Внутр'!B163</f>
        <v>89мм, 3м длина, 1 лопасть</v>
      </c>
      <c r="C163" s="1105" t="str">
        <f aca="false">'Смета Внутр'!C163</f>
        <v>шт</v>
      </c>
      <c r="D163" s="1106" t="n">
        <f aca="false">'Смета Внутр'!D163</f>
        <v>5</v>
      </c>
      <c r="E163" s="1104"/>
      <c r="F163" s="1107" t="n">
        <f aca="false">'Смета Внутр'!H163</f>
        <v>0</v>
      </c>
    </row>
    <row r="164" s="118" customFormat="true" ht="15" hidden="false" customHeight="false" outlineLevel="0" collapsed="false">
      <c r="B164" s="1104" t="str">
        <f aca="false">'Смета Внутр'!B164</f>
        <v>Оголовкок для свай 200*200</v>
      </c>
      <c r="C164" s="1105" t="str">
        <f aca="false">'Смета Внутр'!C164</f>
        <v>шт</v>
      </c>
      <c r="D164" s="1106" t="n">
        <f aca="false">'Смета Внутр'!D164</f>
        <v>5</v>
      </c>
      <c r="E164" s="1104"/>
      <c r="F164" s="1107" t="n">
        <f aca="false">'Смета Внутр'!H164</f>
        <v>0</v>
      </c>
    </row>
    <row r="165" s="118" customFormat="true" ht="15" hidden="false" customHeight="false" outlineLevel="0" collapsed="false">
      <c r="B165" s="1104" t="str">
        <f aca="false">'Смета Внутр'!B165</f>
        <v>обвязка металлом, 20/40/3000</v>
      </c>
      <c r="C165" s="1105" t="str">
        <f aca="false">'Смета Внутр'!C165</f>
        <v>м.п.</v>
      </c>
      <c r="D165" s="1106" t="n">
        <f aca="false">'Смета Внутр'!D165</f>
        <v>5</v>
      </c>
      <c r="E165" s="1104"/>
      <c r="F165" s="1107" t="n">
        <f aca="false">'Смета Внутр'!H165</f>
        <v>0</v>
      </c>
    </row>
    <row r="166" s="118" customFormat="true" ht="15" hidden="false" customHeight="false" outlineLevel="0" collapsed="false">
      <c r="B166" s="1104" t="str">
        <f aca="false">'Смета Внутр'!B166</f>
        <v>Раствор, м200</v>
      </c>
      <c r="C166" s="1105" t="str">
        <f aca="false">'Смета Внутр'!C166</f>
        <v>м3</v>
      </c>
      <c r="D166" s="1106" t="n">
        <f aca="false">'Смета Внутр'!D166</f>
        <v>0.22608</v>
      </c>
      <c r="E166" s="1104"/>
      <c r="F166" s="1107" t="n">
        <f aca="false">'Смета Внутр'!H166</f>
        <v>0</v>
      </c>
    </row>
    <row r="167" s="118" customFormat="true" ht="15" hidden="false" customHeight="false" outlineLevel="0" collapsed="false">
      <c r="B167" s="1104" t="str">
        <f aca="false">'Смета Внутр'!B167</f>
        <v>Электроды ок 47</v>
      </c>
      <c r="C167" s="1105" t="str">
        <f aca="false">'Смета Внутр'!C167</f>
        <v>шт</v>
      </c>
      <c r="D167" s="1106" t="n">
        <f aca="false">'Смета Внутр'!D167</f>
        <v>5</v>
      </c>
      <c r="E167" s="1104"/>
      <c r="F167" s="1107" t="n">
        <f aca="false">'Смета Внутр'!H167</f>
        <v>0</v>
      </c>
    </row>
    <row r="168" s="118" customFormat="true" ht="15" hidden="false" customHeight="false" outlineLevel="0" collapsed="false">
      <c r="B168" s="1108" t="str">
        <f aca="false">'Смета Внутр'!B168</f>
        <v>Итого материалы</v>
      </c>
      <c r="C168" s="1108"/>
      <c r="D168" s="1108"/>
      <c r="E168" s="1108"/>
      <c r="F168" s="1109" t="n">
        <f aca="false">'Смета Внутр'!G168</f>
        <v>0</v>
      </c>
    </row>
    <row r="169" s="118" customFormat="true" ht="15" hidden="false" customHeight="false" outlineLevel="0" collapsed="false">
      <c r="B169" s="1110" t="str">
        <f aca="false">'Смета Внутр'!B169</f>
        <v>Работы</v>
      </c>
      <c r="C169" s="1110"/>
      <c r="D169" s="1110"/>
      <c r="E169" s="1110"/>
      <c r="F169" s="1102" t="n">
        <f aca="false">'Смета Внутр'!H169</f>
        <v>0</v>
      </c>
    </row>
    <row r="170" s="118" customFormat="true" ht="15" hidden="false" customHeight="false" outlineLevel="0" collapsed="false">
      <c r="B170" s="1104" t="str">
        <f aca="false">'Смета Внутр'!B170</f>
        <v>разбивка осей</v>
      </c>
      <c r="C170" s="1105" t="str">
        <f aca="false">'Смета Внутр'!C170</f>
        <v>шт</v>
      </c>
      <c r="D170" s="1106" t="n">
        <f aca="false">'Смета Внутр'!D170</f>
        <v>1</v>
      </c>
      <c r="E170" s="1104"/>
      <c r="F170" s="1107" t="n">
        <f aca="false">'Смета Внутр'!H170</f>
        <v>0</v>
      </c>
    </row>
    <row r="171" s="118" customFormat="true" ht="15" hidden="false" customHeight="false" outlineLevel="0" collapsed="false">
      <c r="B171" s="1104" t="str">
        <f aca="false">'Смета Внутр'!B171</f>
        <v>монтаж свай гидравликой</v>
      </c>
      <c r="C171" s="1105" t="str">
        <f aca="false">'Смета Внутр'!C171</f>
        <v>шт</v>
      </c>
      <c r="D171" s="1106" t="n">
        <f aca="false">'Смета Внутр'!D171</f>
        <v>5</v>
      </c>
      <c r="E171" s="1104"/>
      <c r="F171" s="1107" t="n">
        <f aca="false">'Смета Внутр'!H171</f>
        <v>0</v>
      </c>
    </row>
    <row r="172" s="118" customFormat="true" ht="15" hidden="false" customHeight="false" outlineLevel="0" collapsed="false">
      <c r="B172" s="1104" t="str">
        <f aca="false">'Смета Внутр'!B172</f>
        <v>монтаж оголовков</v>
      </c>
      <c r="C172" s="1105" t="str">
        <f aca="false">'Смета Внутр'!C172</f>
        <v>шт</v>
      </c>
      <c r="D172" s="1106" t="n">
        <f aca="false">'Смета Внутр'!D172</f>
        <v>5</v>
      </c>
      <c r="E172" s="1104"/>
      <c r="F172" s="1107" t="n">
        <f aca="false">'Смета Внутр'!H172</f>
        <v>0</v>
      </c>
    </row>
    <row r="173" s="118" customFormat="true" ht="15" hidden="false" customHeight="false" outlineLevel="0" collapsed="false">
      <c r="B173" s="1104" t="str">
        <f aca="false">'Смета Внутр'!B173</f>
        <v>обвязка металлом</v>
      </c>
      <c r="C173" s="1105" t="str">
        <f aca="false">'Смета Внутр'!C173</f>
        <v>м.п.</v>
      </c>
      <c r="D173" s="1106" t="n">
        <f aca="false">'Смета Внутр'!D173</f>
        <v>5</v>
      </c>
      <c r="E173" s="1104"/>
      <c r="F173" s="1107" t="n">
        <f aca="false">'Смета Внутр'!H173</f>
        <v>0</v>
      </c>
    </row>
    <row r="174" s="118" customFormat="true" ht="15" hidden="false" customHeight="false" outlineLevel="0" collapsed="false">
      <c r="B174" s="1104" t="str">
        <f aca="false">'Смета Внутр'!B174</f>
        <v>заливка бетоном</v>
      </c>
      <c r="C174" s="1105" t="str">
        <f aca="false">'Смета Внутр'!C174</f>
        <v>шт</v>
      </c>
      <c r="D174" s="1106" t="n">
        <f aca="false">'Смета Внутр'!D174</f>
        <v>5</v>
      </c>
      <c r="E174" s="1104"/>
      <c r="F174" s="1107" t="n">
        <f aca="false">'Смета Внутр'!H174</f>
        <v>0</v>
      </c>
    </row>
    <row r="175" s="118" customFormat="true" ht="15" hidden="false" customHeight="false" outlineLevel="0" collapsed="false">
      <c r="B175" s="1104" t="str">
        <f aca="false">'Смета Внутр'!B175</f>
        <v>Обрезка винтовых свай по невелиру</v>
      </c>
      <c r="C175" s="1105" t="str">
        <f aca="false">'Смета Внутр'!C175</f>
        <v>шт</v>
      </c>
      <c r="D175" s="1106" t="n">
        <f aca="false">'Смета Внутр'!D175</f>
        <v>5</v>
      </c>
      <c r="E175" s="1104"/>
      <c r="F175" s="1107" t="n">
        <f aca="false">'Смета Внутр'!H175</f>
        <v>0</v>
      </c>
    </row>
    <row r="176" s="118" customFormat="true" ht="15" hidden="false" customHeight="false" outlineLevel="0" collapsed="false">
      <c r="B176" s="1104" t="str">
        <f aca="false">'Смета Внутр'!B176</f>
        <v>Наварка оголовка</v>
      </c>
      <c r="C176" s="1105" t="str">
        <f aca="false">'Смета Внутр'!C176</f>
        <v>шт</v>
      </c>
      <c r="D176" s="1106" t="n">
        <f aca="false">'Смета Внутр'!D176</f>
        <v>5</v>
      </c>
      <c r="E176" s="1104"/>
      <c r="F176" s="1107" t="n">
        <f aca="false">'Смета Внутр'!H176</f>
        <v>0</v>
      </c>
    </row>
    <row r="177" s="118" customFormat="true" ht="15" hidden="false" customHeight="false" outlineLevel="0" collapsed="false">
      <c r="B177" s="1108" t="str">
        <f aca="false">'Смета Внутр'!B177</f>
        <v>Итого работы</v>
      </c>
      <c r="C177" s="1108"/>
      <c r="D177" s="1108"/>
      <c r="E177" s="1108"/>
      <c r="F177" s="1109" t="n">
        <f aca="false">'Смета Внутр'!G177</f>
        <v>0</v>
      </c>
    </row>
    <row r="178" s="118" customFormat="true" ht="18.75" hidden="false" customHeight="false" outlineLevel="0" collapsed="false">
      <c r="B178" s="1111" t="str">
        <f aca="false">'Смета Внутр'!B178</f>
        <v>Ленточный фундамент</v>
      </c>
      <c r="C178" s="1111"/>
      <c r="D178" s="1111"/>
      <c r="E178" s="1111"/>
      <c r="F178" s="1120" t="n">
        <f aca="false">'Смета Внутр'!H178</f>
        <v>0</v>
      </c>
    </row>
    <row r="179" s="118" customFormat="true" ht="15" hidden="false" customHeight="false" outlineLevel="0" collapsed="false">
      <c r="B179" s="1103" t="str">
        <f aca="false">'Смета Внутр'!B179</f>
        <v>Материалы</v>
      </c>
      <c r="C179" s="1103"/>
      <c r="D179" s="1103"/>
      <c r="E179" s="1103"/>
      <c r="F179" s="1120" t="n">
        <f aca="false">'Смета Внутр'!H179</f>
        <v>0</v>
      </c>
    </row>
    <row r="180" s="118" customFormat="true" ht="15" hidden="false" customHeight="false" outlineLevel="0" collapsed="false">
      <c r="B180" s="1104" t="str">
        <f aca="false">'Смета Внутр'!B180</f>
        <v>Сосна влаж,150*40мм</v>
      </c>
      <c r="C180" s="1105" t="str">
        <f aca="false">'Смета Внутр'!C180</f>
        <v>м3</v>
      </c>
      <c r="D180" s="1106" t="n">
        <f aca="false">'Смета Внутр'!D180</f>
        <v>3.29472</v>
      </c>
      <c r="E180" s="1104"/>
      <c r="F180" s="1121" t="n">
        <f aca="false">'Смета Внутр'!H180</f>
        <v>0</v>
      </c>
    </row>
    <row r="181" s="118" customFormat="true" ht="15" hidden="false" customHeight="false" outlineLevel="0" collapsed="false">
      <c r="B181" s="1104" t="str">
        <f aca="false">'Смета Внутр'!B181</f>
        <v>Пленка гидроизоляционная </v>
      </c>
      <c r="C181" s="1105" t="str">
        <f aca="false">'Смета Внутр'!C181</f>
        <v>м2</v>
      </c>
      <c r="D181" s="1106" t="n">
        <f aca="false">'Смета Внутр'!D181</f>
        <v>82.368</v>
      </c>
      <c r="E181" s="1104"/>
      <c r="F181" s="1121" t="n">
        <f aca="false">'Смета Внутр'!H181</f>
        <v>0</v>
      </c>
    </row>
    <row r="182" s="118" customFormat="true" ht="15" hidden="false" customHeight="false" outlineLevel="0" collapsed="false">
      <c r="B182" s="1104" t="str">
        <f aca="false">'Смета Внутр'!B182</f>
        <v>Арматура стальная Ø 8</v>
      </c>
      <c r="C182" s="1105" t="str">
        <f aca="false">'Смета Внутр'!C182</f>
        <v>м.п</v>
      </c>
      <c r="D182" s="1106" t="n">
        <f aca="false">'Смета Внутр'!D182</f>
        <v>380.16</v>
      </c>
      <c r="E182" s="1104"/>
      <c r="F182" s="1121" t="n">
        <f aca="false">'Смета Внутр'!H182</f>
        <v>0</v>
      </c>
    </row>
    <row r="183" s="118" customFormat="true" ht="15" hidden="false" customHeight="false" outlineLevel="0" collapsed="false">
      <c r="B183" s="1104" t="str">
        <f aca="false">'Смета Внутр'!B183</f>
        <v>Арматура стальная Ø 6</v>
      </c>
      <c r="C183" s="1105" t="str">
        <f aca="false">'Смета Внутр'!C183</f>
        <v>м.п</v>
      </c>
      <c r="D183" s="1106" t="n">
        <f aca="false">'Смета Внутр'!D183</f>
        <v>261.36</v>
      </c>
      <c r="E183" s="1104"/>
      <c r="F183" s="1121" t="n">
        <f aca="false">'Смета Внутр'!H183</f>
        <v>0</v>
      </c>
    </row>
    <row r="184" s="118" customFormat="true" ht="15" hidden="false" customHeight="false" outlineLevel="0" collapsed="false">
      <c r="B184" s="1104" t="str">
        <f aca="false">'Смета Внутр'!B184</f>
        <v>Вязальная проволока</v>
      </c>
      <c r="C184" s="1105" t="str">
        <f aca="false">'Смета Внутр'!C184</f>
        <v>кг</v>
      </c>
      <c r="D184" s="1106" t="n">
        <f aca="false">'Смета Внутр'!D184</f>
        <v>14.11344</v>
      </c>
      <c r="E184" s="1104"/>
      <c r="F184" s="1121" t="n">
        <f aca="false">'Смета Внутр'!H184</f>
        <v>0</v>
      </c>
    </row>
    <row r="185" s="118" customFormat="true" ht="15" hidden="false" customHeight="false" outlineLevel="0" collapsed="false">
      <c r="B185" s="1104" t="str">
        <f aca="false">'Смета Внутр'!B185</f>
        <v>Гвозди строительные 3,5 x 90            </v>
      </c>
      <c r="C185" s="1105" t="str">
        <f aca="false">'Смета Внутр'!C185</f>
        <v>кг</v>
      </c>
      <c r="D185" s="1106" t="n">
        <f aca="false">'Смета Внутр'!D185</f>
        <v>18.12096</v>
      </c>
      <c r="E185" s="1104"/>
      <c r="F185" s="1121" t="n">
        <f aca="false">'Смета Внутр'!H185</f>
        <v>0</v>
      </c>
    </row>
    <row r="186" s="118" customFormat="true" ht="15" hidden="false" customHeight="false" outlineLevel="0" collapsed="false">
      <c r="B186" s="1104" t="str">
        <f aca="false">'Смета Внутр'!B186</f>
        <v>Гидроизол</v>
      </c>
      <c r="C186" s="1105" t="str">
        <f aca="false">'Смета Внутр'!C186</f>
        <v>м2</v>
      </c>
      <c r="D186" s="1106" t="n">
        <f aca="false">'Смета Внутр'!D186</f>
        <v>15.84</v>
      </c>
      <c r="E186" s="1104"/>
      <c r="F186" s="1121" t="n">
        <f aca="false">'Смета Внутр'!H186</f>
        <v>0</v>
      </c>
    </row>
    <row r="187" s="118" customFormat="true" ht="15" hidden="false" customHeight="false" outlineLevel="0" collapsed="false">
      <c r="B187" s="1104" t="str">
        <f aca="false">'Смета Внутр'!B187</f>
        <v>ПГС, машина 13м3</v>
      </c>
      <c r="C187" s="1105" t="str">
        <f aca="false">'Смета Внутр'!C187</f>
        <v>маш</v>
      </c>
      <c r="D187" s="1106" t="n">
        <f aca="false">'Смета Внутр'!D187</f>
        <v>0.528</v>
      </c>
      <c r="E187" s="1104"/>
      <c r="F187" s="1121" t="n">
        <f aca="false">'Смета Внутр'!H187</f>
        <v>0</v>
      </c>
    </row>
    <row r="188" s="118" customFormat="true" ht="15" hidden="false" customHeight="false" outlineLevel="0" collapsed="false">
      <c r="B188" s="1104" t="str">
        <f aca="false">'Смета Внутр'!B188</f>
        <v>Бетон, м250</v>
      </c>
      <c r="C188" s="1105" t="str">
        <f aca="false">'Смета Внутр'!C188</f>
        <v>м3</v>
      </c>
      <c r="D188" s="1106" t="n">
        <f aca="false">'Смета Внутр'!D188</f>
        <v>9.504</v>
      </c>
      <c r="E188" s="1104"/>
      <c r="F188" s="1121" t="n">
        <f aca="false">'Смета Внутр'!H188</f>
        <v>0</v>
      </c>
    </row>
    <row r="189" s="118" customFormat="true" ht="15" hidden="false" customHeight="false" outlineLevel="0" collapsed="false">
      <c r="B189" s="1104" t="str">
        <f aca="false">'Смета Внутр'!B189</f>
        <v>Нет</v>
      </c>
      <c r="C189" s="1105" t="str">
        <f aca="false">'Смета Внутр'!C189</f>
        <v>м3</v>
      </c>
      <c r="D189" s="1106" t="n">
        <f aca="false">'Смета Внутр'!D189</f>
        <v>0</v>
      </c>
      <c r="E189" s="1104"/>
      <c r="F189" s="1107" t="n">
        <f aca="false">'Смета Внутр'!H189</f>
        <v>0</v>
      </c>
    </row>
    <row r="190" s="118" customFormat="true" ht="15" hidden="false" customHeight="false" outlineLevel="0" collapsed="false">
      <c r="B190" s="1104" t="str">
        <f aca="false">'Смета Внутр'!B190</f>
        <v>Грибок для крепления утеплителя</v>
      </c>
      <c r="C190" s="1105" t="str">
        <f aca="false">'Смета Внутр'!C190</f>
        <v>шт</v>
      </c>
      <c r="D190" s="1106" t="n">
        <f aca="false">'Смета Внутр'!D190</f>
        <v>0</v>
      </c>
      <c r="E190" s="1104"/>
      <c r="F190" s="1107" t="n">
        <f aca="false">'Смета Внутр'!H190</f>
        <v>0</v>
      </c>
    </row>
    <row r="191" s="118" customFormat="true" ht="15" hidden="false" customHeight="false" outlineLevel="0" collapsed="false">
      <c r="B191" s="1104" t="str">
        <f aca="false">'Смета Внутр'!B191</f>
        <v>Нет</v>
      </c>
      <c r="C191" s="1105" t="str">
        <f aca="false">'Смета Внутр'!C191</f>
        <v>м3</v>
      </c>
      <c r="D191" s="1106" t="n">
        <f aca="false">'Смета Внутр'!D191</f>
        <v>0</v>
      </c>
      <c r="E191" s="1104"/>
      <c r="F191" s="1107" t="n">
        <f aca="false">'Смета Внутр'!H191</f>
        <v>0</v>
      </c>
    </row>
    <row r="192" s="118" customFormat="true" ht="15" hidden="false" customHeight="false" outlineLevel="0" collapsed="false">
      <c r="B192" s="1104" t="str">
        <f aca="false">'Смета Внутр'!B192</f>
        <v>ПГС, машина 5м3</v>
      </c>
      <c r="C192" s="1105" t="str">
        <f aca="false">'Смета Внутр'!C192</f>
        <v>маш</v>
      </c>
      <c r="D192" s="1106" t="n">
        <f aca="false">'Смета Внутр'!D192</f>
        <v>0</v>
      </c>
      <c r="E192" s="1104"/>
      <c r="F192" s="1107" t="n">
        <f aca="false">'Смета Внутр'!H192</f>
        <v>0</v>
      </c>
    </row>
    <row r="193" s="118" customFormat="true" ht="15" hidden="false" customHeight="false" outlineLevel="0" collapsed="false">
      <c r="B193" s="1104" t="str">
        <f aca="false">'Смета Внутр'!B193</f>
        <v>Кладочная сетка, 100*100/150*150/200*200мм</v>
      </c>
      <c r="C193" s="1105" t="str">
        <f aca="false">'Смета Внутр'!C193</f>
        <v>м2</v>
      </c>
      <c r="D193" s="1106" t="n">
        <f aca="false">'Смета Внутр'!D193</f>
        <v>0</v>
      </c>
      <c r="E193" s="1104"/>
      <c r="F193" s="1107" t="n">
        <f aca="false">'Смета Внутр'!H193</f>
        <v>0</v>
      </c>
    </row>
    <row r="194" s="118" customFormat="true" ht="15" hidden="false" customHeight="false" outlineLevel="0" collapsed="false">
      <c r="B194" s="1104" t="str">
        <f aca="false">'Смета Внутр'!B194</f>
        <v>Бетон, м200</v>
      </c>
      <c r="C194" s="1105" t="str">
        <f aca="false">'Смета Внутр'!C194</f>
        <v>м3</v>
      </c>
      <c r="D194" s="1106" t="n">
        <f aca="false">'Смета Внутр'!D194</f>
        <v>0</v>
      </c>
      <c r="E194" s="1104"/>
      <c r="F194" s="1107" t="n">
        <f aca="false">'Смета Внутр'!H194</f>
        <v>0</v>
      </c>
    </row>
    <row r="195" s="118" customFormat="true" ht="15" hidden="false" customHeight="false" outlineLevel="0" collapsed="false">
      <c r="B195" s="1108" t="str">
        <f aca="false">'Смета Внутр'!B195</f>
        <v>Итого материалы</v>
      </c>
      <c r="C195" s="1108"/>
      <c r="D195" s="1108"/>
      <c r="E195" s="1108"/>
      <c r="F195" s="1122" t="n">
        <f aca="false">'Смета Внутр'!G195</f>
        <v>0</v>
      </c>
    </row>
    <row r="196" s="118" customFormat="true" ht="15" hidden="false" customHeight="false" outlineLevel="0" collapsed="false">
      <c r="B196" s="1110" t="str">
        <f aca="false">'Смета Внутр'!B196</f>
        <v>Работы</v>
      </c>
      <c r="C196" s="1110"/>
      <c r="D196" s="1110"/>
      <c r="E196" s="1110"/>
      <c r="F196" s="1120" t="n">
        <f aca="false">'Смета Внутр'!H196</f>
        <v>0</v>
      </c>
    </row>
    <row r="197" s="118" customFormat="true" ht="15" hidden="false" customHeight="false" outlineLevel="0" collapsed="false">
      <c r="B197" s="1104" t="str">
        <f aca="false">'Смета Внутр'!B197</f>
        <v>разбивка осей</v>
      </c>
      <c r="C197" s="1105" t="str">
        <f aca="false">'Смета Внутр'!C197</f>
        <v>шт</v>
      </c>
      <c r="D197" s="1106" t="n">
        <f aca="false">'Смета Внутр'!D197</f>
        <v>1.05</v>
      </c>
      <c r="E197" s="1104"/>
      <c r="F197" s="1121" t="n">
        <f aca="false">'Смета Внутр'!H197</f>
        <v>0</v>
      </c>
    </row>
    <row r="198" s="118" customFormat="true" ht="15" hidden="false" customHeight="false" outlineLevel="0" collapsed="false">
      <c r="B198" s="1104" t="str">
        <f aca="false">'Смета Внутр'!B198</f>
        <v>сборка опалубки</v>
      </c>
      <c r="C198" s="1105" t="str">
        <f aca="false">'Смета Внутр'!C198</f>
        <v>м2</v>
      </c>
      <c r="D198" s="1106" t="n">
        <f aca="false">'Смета Внутр'!D198</f>
        <v>60.48</v>
      </c>
      <c r="E198" s="1104"/>
      <c r="F198" s="1121" t="n">
        <f aca="false">'Смета Внутр'!H198</f>
        <v>0</v>
      </c>
    </row>
    <row r="199" s="118" customFormat="true" ht="15" hidden="false" customHeight="false" outlineLevel="0" collapsed="false">
      <c r="B199" s="1104" t="str">
        <f aca="false">'Смета Внутр'!B199</f>
        <v>разборка опалубки</v>
      </c>
      <c r="C199" s="1105" t="str">
        <f aca="false">'Смета Внутр'!C199</f>
        <v>м2</v>
      </c>
      <c r="D199" s="1106" t="n">
        <f aca="false">'Смета Внутр'!D199</f>
        <v>63.504</v>
      </c>
      <c r="E199" s="1104"/>
      <c r="F199" s="1121" t="n">
        <f aca="false">'Смета Внутр'!H199</f>
        <v>0</v>
      </c>
    </row>
    <row r="200" s="118" customFormat="true" ht="15" hidden="false" customHeight="false" outlineLevel="0" collapsed="false">
      <c r="B200" s="1104" t="str">
        <f aca="false">'Смета Внутр'!B200</f>
        <v>настил пленки</v>
      </c>
      <c r="C200" s="1105" t="str">
        <f aca="false">'Смета Внутр'!C200</f>
        <v>м2</v>
      </c>
      <c r="D200" s="1106" t="n">
        <f aca="false">'Смета Внутр'!D200</f>
        <v>66.6792</v>
      </c>
      <c r="E200" s="1104"/>
      <c r="F200" s="1121" t="n">
        <f aca="false">'Смета Внутр'!H200</f>
        <v>0</v>
      </c>
    </row>
    <row r="201" s="118" customFormat="true" ht="15" hidden="false" customHeight="false" outlineLevel="0" collapsed="false">
      <c r="B201" s="1104" t="str">
        <f aca="false">'Смета Внутр'!B201</f>
        <v>армирование</v>
      </c>
      <c r="C201" s="1105" t="str">
        <f aca="false">'Смета Внутр'!C201</f>
        <v>м.п</v>
      </c>
      <c r="D201" s="1106" t="n">
        <f aca="false">'Смета Внутр'!D201</f>
        <v>362.88</v>
      </c>
      <c r="E201" s="1104"/>
      <c r="F201" s="1121" t="n">
        <f aca="false">'Смета Внутр'!H201</f>
        <v>0</v>
      </c>
    </row>
    <row r="202" s="118" customFormat="true" ht="15" hidden="false" customHeight="false" outlineLevel="0" collapsed="false">
      <c r="B202" s="1104" t="str">
        <f aca="false">'Смета Внутр'!B202</f>
        <v>армирование</v>
      </c>
      <c r="C202" s="1105" t="str">
        <f aca="false">'Смета Внутр'!C202</f>
        <v>м.п.</v>
      </c>
      <c r="D202" s="1106" t="n">
        <f aca="false">'Смета Внутр'!D202</f>
        <v>166.32</v>
      </c>
      <c r="E202" s="1104"/>
      <c r="F202" s="1121" t="n">
        <f aca="false">'Смета Внутр'!H202</f>
        <v>0</v>
      </c>
    </row>
    <row r="203" s="118" customFormat="true" ht="15" hidden="false" customHeight="false" outlineLevel="0" collapsed="false">
      <c r="B203" s="1104" t="str">
        <f aca="false">'Смета Внутр'!B203</f>
        <v>настил гидроизола</v>
      </c>
      <c r="C203" s="1105" t="str">
        <f aca="false">'Смета Внутр'!C203</f>
        <v>м2</v>
      </c>
      <c r="D203" s="1106" t="n">
        <f aca="false">'Смета Внутр'!D203</f>
        <v>15.12</v>
      </c>
      <c r="E203" s="1104"/>
      <c r="F203" s="1121" t="n">
        <f aca="false">'Смета Внутр'!H203</f>
        <v>0</v>
      </c>
    </row>
    <row r="204" s="118" customFormat="true" ht="15" hidden="false" customHeight="false" outlineLevel="0" collapsed="false">
      <c r="B204" s="1104" t="str">
        <f aca="false">'Смета Внутр'!B204</f>
        <v>трамбовка</v>
      </c>
      <c r="C204" s="1105" t="str">
        <f aca="false">'Смета Внутр'!C204</f>
        <v>м2</v>
      </c>
      <c r="D204" s="1106" t="n">
        <f aca="false">'Смета Внутр'!D204</f>
        <v>15.876</v>
      </c>
      <c r="E204" s="1104"/>
      <c r="F204" s="1121" t="n">
        <f aca="false">'Смета Внутр'!H204</f>
        <v>0</v>
      </c>
    </row>
    <row r="205" s="118" customFormat="true" ht="15" hidden="false" customHeight="false" outlineLevel="0" collapsed="false">
      <c r="B205" s="1104" t="str">
        <f aca="false">'Смета Внутр'!B205</f>
        <v>приемка бетона</v>
      </c>
      <c r="C205" s="1105" t="str">
        <f aca="false">'Смета Внутр'!C205</f>
        <v>м3</v>
      </c>
      <c r="D205" s="1106" t="n">
        <f aca="false">'Смета Внутр'!D205</f>
        <v>9.072</v>
      </c>
      <c r="E205" s="1104"/>
      <c r="F205" s="1121" t="n">
        <f aca="false">'Смета Внутр'!H205</f>
        <v>0</v>
      </c>
    </row>
    <row r="206" s="118" customFormat="true" ht="15" hidden="false" customHeight="false" outlineLevel="0" collapsed="false">
      <c r="B206" s="1104" t="str">
        <f aca="false">'Смета Внутр'!B206</f>
        <v>утепление фундамента</v>
      </c>
      <c r="C206" s="1105" t="str">
        <f aca="false">'Смета Внутр'!C206</f>
        <v>м2</v>
      </c>
      <c r="D206" s="1106" t="n">
        <f aca="false">'Смета Внутр'!D206</f>
        <v>0</v>
      </c>
      <c r="E206" s="1104"/>
      <c r="F206" s="1107" t="n">
        <f aca="false">'Смета Внутр'!H206</f>
        <v>0</v>
      </c>
    </row>
    <row r="207" s="118" customFormat="true" ht="15" hidden="false" customHeight="false" outlineLevel="0" collapsed="false">
      <c r="B207" s="1104" t="str">
        <f aca="false">'Смета Внутр'!B207</f>
        <v>утепление отмостки</v>
      </c>
      <c r="C207" s="1105" t="str">
        <f aca="false">'Смета Внутр'!C207</f>
        <v>м2</v>
      </c>
      <c r="D207" s="1106" t="n">
        <f aca="false">'Смета Внутр'!D207</f>
        <v>0</v>
      </c>
      <c r="E207" s="1104"/>
      <c r="F207" s="1107" t="n">
        <f aca="false">'Смета Внутр'!H207</f>
        <v>0</v>
      </c>
    </row>
    <row r="208" s="118" customFormat="true" ht="15" hidden="false" customHeight="false" outlineLevel="0" collapsed="false">
      <c r="B208" s="1104" t="str">
        <f aca="false">'Смета Внутр'!B208</f>
        <v>трамбовка пгс</v>
      </c>
      <c r="C208" s="1105" t="str">
        <f aca="false">'Смета Внутр'!C208</f>
        <v>м2</v>
      </c>
      <c r="D208" s="1106" t="n">
        <f aca="false">'Смета Внутр'!D208</f>
        <v>0</v>
      </c>
      <c r="E208" s="1104"/>
      <c r="F208" s="1107" t="n">
        <f aca="false">'Смета Внутр'!H208</f>
        <v>0</v>
      </c>
    </row>
    <row r="209" s="118" customFormat="true" ht="15" hidden="false" customHeight="false" outlineLevel="0" collapsed="false">
      <c r="B209" s="1104" t="str">
        <f aca="false">'Смета Внутр'!B209</f>
        <v>кладка сетки</v>
      </c>
      <c r="C209" s="1105" t="str">
        <f aca="false">'Смета Внутр'!C209</f>
        <v>м2</v>
      </c>
      <c r="D209" s="1106" t="n">
        <f aca="false">'Смета Внутр'!D209</f>
        <v>0</v>
      </c>
      <c r="E209" s="1104"/>
      <c r="F209" s="1107" t="n">
        <f aca="false">'Смета Внутр'!H209</f>
        <v>0</v>
      </c>
    </row>
    <row r="210" s="118" customFormat="true" ht="15" hidden="false" customHeight="false" outlineLevel="0" collapsed="false">
      <c r="B210" s="1104" t="str">
        <f aca="false">'Смета Внутр'!B210</f>
        <v>приемка бетона</v>
      </c>
      <c r="C210" s="1105" t="str">
        <f aca="false">'Смета Внутр'!C210</f>
        <v>м3</v>
      </c>
      <c r="D210" s="1106" t="n">
        <f aca="false">'Смета Внутр'!D210</f>
        <v>0</v>
      </c>
      <c r="E210" s="1104"/>
      <c r="F210" s="1107" t="n">
        <f aca="false">'Смета Внутр'!H210</f>
        <v>0</v>
      </c>
    </row>
    <row r="211" s="118" customFormat="true" ht="15" hidden="false" customHeight="false" outlineLevel="0" collapsed="false">
      <c r="B211" s="1108" t="str">
        <f aca="false">'Смета Внутр'!B211</f>
        <v>Итого работы</v>
      </c>
      <c r="C211" s="1108"/>
      <c r="D211" s="1108"/>
      <c r="E211" s="1108"/>
      <c r="F211" s="1122" t="n">
        <f aca="false">'Смета Внутр'!G211</f>
        <v>0</v>
      </c>
    </row>
    <row r="212" s="118" customFormat="true" ht="18.75" hidden="false" customHeight="false" outlineLevel="0" collapsed="false">
      <c r="B212" s="1111" t="str">
        <f aca="false">'Смета Внутр'!B212</f>
        <v>Свайноростверковый фундамент</v>
      </c>
      <c r="C212" s="1111"/>
      <c r="D212" s="1111"/>
      <c r="E212" s="1111"/>
      <c r="F212" s="1102" t="n">
        <f aca="false">'Смета Внутр'!H212</f>
        <v>1</v>
      </c>
    </row>
    <row r="213" s="118" customFormat="true" ht="15" hidden="false" customHeight="false" outlineLevel="0" collapsed="false">
      <c r="B213" s="1103" t="str">
        <f aca="false">'Смета Внутр'!B213</f>
        <v>Материалы</v>
      </c>
      <c r="C213" s="1103"/>
      <c r="D213" s="1103"/>
      <c r="E213" s="1103"/>
      <c r="F213" s="1102" t="n">
        <f aca="false">'Смета Внутр'!H213</f>
        <v>1</v>
      </c>
    </row>
    <row r="214" s="118" customFormat="true" ht="15" hidden="false" customHeight="false" outlineLevel="0" collapsed="false">
      <c r="B214" s="1104" t="str">
        <f aca="false">'Смета Внутр'!B214</f>
        <v>Экскаватор погрузчик, бурение</v>
      </c>
      <c r="C214" s="1105" t="str">
        <f aca="false">'Смета Внутр'!C214</f>
        <v>шт</v>
      </c>
      <c r="D214" s="1106" t="n">
        <f aca="false">'Смета Внутр'!D214</f>
        <v>69.3</v>
      </c>
      <c r="E214" s="1104"/>
      <c r="F214" s="1107" t="n">
        <f aca="false">'Смета Внутр'!H214</f>
        <v>20790</v>
      </c>
    </row>
    <row r="215" s="118" customFormat="true" ht="15" hidden="false" customHeight="false" outlineLevel="0" collapsed="false">
      <c r="B215" s="1104" t="str">
        <f aca="false">'Смета Внутр'!B215</f>
        <v>Бетон, м300</v>
      </c>
      <c r="C215" s="1105" t="str">
        <f aca="false">'Смета Внутр'!C215</f>
        <v>м3</v>
      </c>
      <c r="D215" s="1106" t="n">
        <f aca="false">'Смета Внутр'!D215</f>
        <v>4.896045</v>
      </c>
      <c r="E215" s="1104"/>
      <c r="F215" s="1107" t="n">
        <f aca="false">'Смета Внутр'!H215</f>
        <v>14688.135</v>
      </c>
    </row>
    <row r="216" s="118" customFormat="true" ht="15" hidden="false" customHeight="false" outlineLevel="0" collapsed="false">
      <c r="B216" s="1104" t="str">
        <f aca="false">'Смета Внутр'!B216</f>
        <v>Арматурный скелет для свай</v>
      </c>
      <c r="C216" s="1105" t="str">
        <f aca="false">'Смета Внутр'!C216</f>
        <v>м.п.</v>
      </c>
      <c r="D216" s="1106" t="n">
        <f aca="false">'Смета Внутр'!D216</f>
        <v>228.69</v>
      </c>
      <c r="E216" s="1104"/>
      <c r="F216" s="1107" t="n">
        <f aca="false">'Смета Внутр'!H216</f>
        <v>114345</v>
      </c>
    </row>
    <row r="217" s="118" customFormat="true" ht="15" hidden="false" customHeight="false" outlineLevel="0" collapsed="false">
      <c r="B217" s="1104" t="str">
        <f aca="false">'Смета Внутр'!B217</f>
        <v>Сосна влаж,150*40мм</v>
      </c>
      <c r="C217" s="1105" t="str">
        <f aca="false">'Смета Внутр'!C217</f>
        <v>м3</v>
      </c>
      <c r="D217" s="1106" t="n">
        <f aca="false">'Смета Внутр'!D217</f>
        <v>3.29472</v>
      </c>
      <c r="E217" s="1104"/>
      <c r="F217" s="1107" t="n">
        <f aca="false">'Смета Внутр'!H217</f>
        <v>21415.68</v>
      </c>
    </row>
    <row r="218" s="118" customFormat="true" ht="15" hidden="false" customHeight="false" outlineLevel="0" collapsed="false">
      <c r="B218" s="1104" t="str">
        <f aca="false">'Смета Внутр'!B218</f>
        <v>Пленка гидроизоляционная </v>
      </c>
      <c r="C218" s="1105" t="str">
        <f aca="false">'Смета Внутр'!C218</f>
        <v>м2</v>
      </c>
      <c r="D218" s="1106" t="n">
        <f aca="false">'Смета Внутр'!D218</f>
        <v>82.368</v>
      </c>
      <c r="E218" s="1104"/>
      <c r="F218" s="1107" t="n">
        <f aca="false">'Смета Внутр'!H218</f>
        <v>1235.52</v>
      </c>
    </row>
    <row r="219" s="118" customFormat="true" ht="15" hidden="false" customHeight="false" outlineLevel="0" collapsed="false">
      <c r="B219" s="1104" t="str">
        <f aca="false">'Смета Внутр'!B219</f>
        <v>Арматура стальная Ø 8</v>
      </c>
      <c r="C219" s="1105" t="str">
        <f aca="false">'Смета Внутр'!C219</f>
        <v>м.п</v>
      </c>
      <c r="D219" s="1106" t="n">
        <f aca="false">'Смета Внутр'!D219</f>
        <v>380.16</v>
      </c>
      <c r="E219" s="1104"/>
      <c r="F219" s="1107" t="n">
        <f aca="false">'Смета Внутр'!H219</f>
        <v>6096.62592</v>
      </c>
    </row>
    <row r="220" s="118" customFormat="true" ht="15" hidden="false" customHeight="false" outlineLevel="0" collapsed="false">
      <c r="B220" s="1104" t="str">
        <f aca="false">'Смета Внутр'!B220</f>
        <v>Арматура стальная Ø 6</v>
      </c>
      <c r="C220" s="1105" t="str">
        <f aca="false">'Смета Внутр'!C220</f>
        <v>м.п</v>
      </c>
      <c r="D220" s="1106" t="n">
        <f aca="false">'Смета Внутр'!D220</f>
        <v>261.36</v>
      </c>
      <c r="E220" s="1104"/>
      <c r="F220" s="1107" t="n">
        <f aca="false">'Смета Внутр'!H220</f>
        <v>2355.689952</v>
      </c>
    </row>
    <row r="221" s="118" customFormat="true" ht="15" hidden="false" customHeight="false" outlineLevel="0" collapsed="false">
      <c r="B221" s="1104" t="str">
        <f aca="false">'Смета Внутр'!B221</f>
        <v>Вязальная проволока</v>
      </c>
      <c r="C221" s="1105" t="str">
        <f aca="false">'Смета Внутр'!C221</f>
        <v>кг</v>
      </c>
      <c r="D221" s="1106" t="n">
        <f aca="false">'Смета Внутр'!D221</f>
        <v>14.11344</v>
      </c>
      <c r="E221" s="1104"/>
      <c r="F221" s="1107" t="n">
        <f aca="false">'Смета Внутр'!H221</f>
        <v>1129.0752</v>
      </c>
    </row>
    <row r="222" s="118" customFormat="true" ht="15" hidden="false" customHeight="false" outlineLevel="0" collapsed="false">
      <c r="B222" s="1104" t="str">
        <f aca="false">'Смета Внутр'!B222</f>
        <v>Гвозди строительные 3,5 x 90            </v>
      </c>
      <c r="C222" s="1105" t="str">
        <f aca="false">'Смета Внутр'!C222</f>
        <v>кг</v>
      </c>
      <c r="D222" s="1106" t="n">
        <f aca="false">'Смета Внутр'!D222</f>
        <v>18.12096</v>
      </c>
      <c r="E222" s="1104"/>
      <c r="F222" s="1107" t="n">
        <f aca="false">'Смета Внутр'!H222</f>
        <v>1268.4672</v>
      </c>
    </row>
    <row r="223" s="118" customFormat="true" ht="15" hidden="false" customHeight="false" outlineLevel="0" collapsed="false">
      <c r="B223" s="1104" t="str">
        <f aca="false">'Смета Внутр'!B223</f>
        <v>Гидроизол</v>
      </c>
      <c r="C223" s="1105" t="str">
        <f aca="false">'Смета Внутр'!C223</f>
        <v>м2</v>
      </c>
      <c r="D223" s="1106" t="n">
        <f aca="false">'Смета Внутр'!D223</f>
        <v>15.84</v>
      </c>
      <c r="E223" s="1104"/>
      <c r="F223" s="1107" t="n">
        <f aca="false">'Смета Внутр'!H223</f>
        <v>1108.8</v>
      </c>
    </row>
    <row r="224" s="118" customFormat="true" ht="15" hidden="false" customHeight="false" outlineLevel="0" collapsed="false">
      <c r="B224" s="1104" t="str">
        <f aca="false">'Смета Внутр'!B224</f>
        <v>ПГС, машина 13м3</v>
      </c>
      <c r="C224" s="1105" t="str">
        <f aca="false">'Смета Внутр'!C224</f>
        <v>маш</v>
      </c>
      <c r="D224" s="1106" t="n">
        <f aca="false">'Смета Внутр'!D224</f>
        <v>0.528</v>
      </c>
      <c r="E224" s="1104"/>
      <c r="F224" s="1107" t="n">
        <f aca="false">'Смета Внутр'!H224</f>
        <v>5280</v>
      </c>
    </row>
    <row r="225" s="118" customFormat="true" ht="15" hidden="false" customHeight="false" outlineLevel="0" collapsed="false">
      <c r="B225" s="1104" t="str">
        <f aca="false">'Смета Внутр'!B225</f>
        <v>Бетон, м250</v>
      </c>
      <c r="C225" s="1105" t="str">
        <f aca="false">'Смета Внутр'!C225</f>
        <v>м3</v>
      </c>
      <c r="D225" s="1106" t="n">
        <f aca="false">'Смета Внутр'!D225</f>
        <v>9.504</v>
      </c>
      <c r="E225" s="1104"/>
      <c r="F225" s="1107" t="n">
        <f aca="false">'Смета Внутр'!H225</f>
        <v>26136</v>
      </c>
    </row>
    <row r="226" s="118" customFormat="true" ht="15" hidden="false" customHeight="false" outlineLevel="0" collapsed="false">
      <c r="B226" s="1104" t="str">
        <f aca="false">'Смета Внутр'!B226</f>
        <v>Нет</v>
      </c>
      <c r="C226" s="1105" t="str">
        <f aca="false">'Смета Внутр'!C226</f>
        <v>м3</v>
      </c>
      <c r="D226" s="1106" t="n">
        <f aca="false">'Смета Внутр'!D226</f>
        <v>0</v>
      </c>
      <c r="E226" s="1104"/>
      <c r="F226" s="1107" t="n">
        <f aca="false">'Смета Внутр'!H226</f>
        <v>0</v>
      </c>
    </row>
    <row r="227" s="118" customFormat="true" ht="15" hidden="false" customHeight="false" outlineLevel="0" collapsed="false">
      <c r="B227" s="1104" t="str">
        <f aca="false">'Смета Внутр'!B227</f>
        <v>Грибок для крепления утеплителя</v>
      </c>
      <c r="C227" s="1105" t="str">
        <f aca="false">'Смета Внутр'!C227</f>
        <v>шт</v>
      </c>
      <c r="D227" s="1106" t="n">
        <f aca="false">'Смета Внутр'!D227</f>
        <v>0</v>
      </c>
      <c r="E227" s="1104"/>
      <c r="F227" s="1107" t="n">
        <f aca="false">'Смета Внутр'!H227</f>
        <v>0</v>
      </c>
    </row>
    <row r="228" s="118" customFormat="true" ht="15" hidden="false" customHeight="false" outlineLevel="0" collapsed="false">
      <c r="B228" s="1104" t="str">
        <f aca="false">'Смета Внутр'!B228</f>
        <v>Нет</v>
      </c>
      <c r="C228" s="1105" t="str">
        <f aca="false">'Смета Внутр'!C228</f>
        <v>м3</v>
      </c>
      <c r="D228" s="1106" t="n">
        <f aca="false">'Смета Внутр'!D228</f>
        <v>0</v>
      </c>
      <c r="E228" s="1104"/>
      <c r="F228" s="1107" t="n">
        <f aca="false">'Смета Внутр'!H228</f>
        <v>0</v>
      </c>
    </row>
    <row r="229" s="118" customFormat="true" ht="15" hidden="false" customHeight="false" outlineLevel="0" collapsed="false">
      <c r="B229" s="1104" t="str">
        <f aca="false">'Смета Внутр'!B229</f>
        <v>ПГС, машина 5м3</v>
      </c>
      <c r="C229" s="1105" t="str">
        <f aca="false">'Смета Внутр'!C229</f>
        <v>маш</v>
      </c>
      <c r="D229" s="1106" t="n">
        <f aca="false">'Смета Внутр'!D229</f>
        <v>0</v>
      </c>
      <c r="E229" s="1104"/>
      <c r="F229" s="1107" t="n">
        <f aca="false">'Смета Внутр'!H229</f>
        <v>0</v>
      </c>
    </row>
    <row r="230" s="118" customFormat="true" ht="15" hidden="false" customHeight="false" outlineLevel="0" collapsed="false">
      <c r="B230" s="1104" t="str">
        <f aca="false">'Смета Внутр'!B230</f>
        <v>Кладочная сетка, 100*100/150*150/200*200мм</v>
      </c>
      <c r="C230" s="1105" t="str">
        <f aca="false">'Смета Внутр'!C230</f>
        <v>м2</v>
      </c>
      <c r="D230" s="1106" t="n">
        <f aca="false">'Смета Внутр'!D230</f>
        <v>0</v>
      </c>
      <c r="E230" s="1104"/>
      <c r="F230" s="1107" t="n">
        <f aca="false">'Смета Внутр'!H230</f>
        <v>0</v>
      </c>
    </row>
    <row r="231" s="118" customFormat="true" ht="15" hidden="false" customHeight="false" outlineLevel="0" collapsed="false">
      <c r="B231" s="1104" t="str">
        <f aca="false">'Смета Внутр'!B231</f>
        <v>Бетон, м200</v>
      </c>
      <c r="C231" s="1105" t="str">
        <f aca="false">'Смета Внутр'!C231</f>
        <v>м3</v>
      </c>
      <c r="D231" s="1106" t="n">
        <f aca="false">'Смета Внутр'!D231</f>
        <v>0</v>
      </c>
      <c r="E231" s="1104"/>
      <c r="F231" s="1107" t="n">
        <f aca="false">'Смета Внутр'!H231</f>
        <v>0</v>
      </c>
    </row>
    <row r="232" s="118" customFormat="true" ht="15" hidden="false" customHeight="false" outlineLevel="0" collapsed="false">
      <c r="B232" s="1108" t="str">
        <f aca="false">'Смета Внутр'!B232</f>
        <v>Итого материалы</v>
      </c>
      <c r="C232" s="1108"/>
      <c r="D232" s="1108"/>
      <c r="E232" s="1108"/>
      <c r="F232" s="1109" t="n">
        <f aca="false">'Смета Внутр'!G232</f>
        <v>215848.993272</v>
      </c>
    </row>
    <row r="233" s="118" customFormat="true" ht="15" hidden="false" customHeight="false" outlineLevel="0" collapsed="false">
      <c r="B233" s="1110" t="str">
        <f aca="false">'Смета Внутр'!B233</f>
        <v>Работы</v>
      </c>
      <c r="C233" s="1110"/>
      <c r="D233" s="1110"/>
      <c r="E233" s="1110"/>
      <c r="F233" s="1102" t="n">
        <f aca="false">'Смета Внутр'!H233</f>
        <v>1</v>
      </c>
    </row>
    <row r="234" s="118" customFormat="true" ht="15" hidden="false" customHeight="false" outlineLevel="0" collapsed="false">
      <c r="B234" s="1104" t="str">
        <f aca="false">'Смета Внутр'!B234</f>
        <v>приемка бетона</v>
      </c>
      <c r="C234" s="1105" t="str">
        <f aca="false">'Смета Внутр'!C234</f>
        <v>м3</v>
      </c>
      <c r="D234" s="1106" t="n">
        <f aca="false">'Смета Внутр'!D234</f>
        <v>4.6734975</v>
      </c>
      <c r="E234" s="1104"/>
      <c r="F234" s="1107" t="n">
        <f aca="false">'Смета Внутр'!H234</f>
        <v>5608.197</v>
      </c>
    </row>
    <row r="235" s="118" customFormat="true" ht="15" hidden="false" customHeight="false" outlineLevel="0" collapsed="false">
      <c r="B235" s="1104" t="str">
        <f aca="false">'Смета Внутр'!B235</f>
        <v>армирование свай скелет из арматуры</v>
      </c>
      <c r="C235" s="1105" t="str">
        <f aca="false">'Смета Внутр'!C235</f>
        <v>м.п.</v>
      </c>
      <c r="D235" s="1106" t="n">
        <f aca="false">'Смета Внутр'!D235</f>
        <v>66.15</v>
      </c>
      <c r="E235" s="1104"/>
      <c r="F235" s="1107" t="n">
        <f aca="false">'Смета Внутр'!H235</f>
        <v>33075</v>
      </c>
    </row>
    <row r="236" s="118" customFormat="true" ht="15" hidden="false" customHeight="false" outlineLevel="0" collapsed="false">
      <c r="B236" s="1104" t="str">
        <f aca="false">'Смета Внутр'!B236</f>
        <v>разбивка осей</v>
      </c>
      <c r="C236" s="1105" t="str">
        <f aca="false">'Смета Внутр'!C236</f>
        <v>шт</v>
      </c>
      <c r="D236" s="1106" t="n">
        <f aca="false">'Смета Внутр'!D236</f>
        <v>1.05</v>
      </c>
      <c r="E236" s="1104"/>
      <c r="F236" s="1107" t="n">
        <f aca="false">'Смета Внутр'!H236</f>
        <v>7350</v>
      </c>
    </row>
    <row r="237" s="118" customFormat="true" ht="15" hidden="false" customHeight="false" outlineLevel="0" collapsed="false">
      <c r="B237" s="1104" t="str">
        <f aca="false">'Смета Внутр'!B237</f>
        <v>сборка опалубки</v>
      </c>
      <c r="C237" s="1105" t="str">
        <f aca="false">'Смета Внутр'!C237</f>
        <v>м2</v>
      </c>
      <c r="D237" s="1106" t="n">
        <f aca="false">'Смета Внутр'!D237</f>
        <v>60.48</v>
      </c>
      <c r="E237" s="1104"/>
      <c r="F237" s="1107" t="n">
        <f aca="false">'Смета Внутр'!H237</f>
        <v>18144</v>
      </c>
    </row>
    <row r="238" s="118" customFormat="true" ht="15" hidden="false" customHeight="false" outlineLevel="0" collapsed="false">
      <c r="B238" s="1104" t="str">
        <f aca="false">'Смета Внутр'!B238</f>
        <v>разборка опалубки</v>
      </c>
      <c r="C238" s="1105" t="str">
        <f aca="false">'Смета Внутр'!C238</f>
        <v>м2</v>
      </c>
      <c r="D238" s="1106" t="n">
        <f aca="false">'Смета Внутр'!D238</f>
        <v>63.504</v>
      </c>
      <c r="E238" s="1104"/>
      <c r="F238" s="1107" t="n">
        <f aca="false">'Смета Внутр'!H238</f>
        <v>6350.4</v>
      </c>
    </row>
    <row r="239" s="118" customFormat="true" ht="15" hidden="false" customHeight="false" outlineLevel="0" collapsed="false">
      <c r="B239" s="1104" t="str">
        <f aca="false">'Смета Внутр'!B239</f>
        <v>настил пленки</v>
      </c>
      <c r="C239" s="1105" t="str">
        <f aca="false">'Смета Внутр'!C239</f>
        <v>м2</v>
      </c>
      <c r="D239" s="1106" t="n">
        <f aca="false">'Смета Внутр'!D239</f>
        <v>66.6792</v>
      </c>
      <c r="E239" s="1104"/>
      <c r="F239" s="1107" t="n">
        <f aca="false">'Смета Внутр'!H239</f>
        <v>666.792</v>
      </c>
    </row>
    <row r="240" s="118" customFormat="true" ht="15" hidden="false" customHeight="false" outlineLevel="0" collapsed="false">
      <c r="B240" s="1104" t="str">
        <f aca="false">'Смета Внутр'!B240</f>
        <v>армирование</v>
      </c>
      <c r="C240" s="1105" t="str">
        <f aca="false">'Смета Внутр'!C240</f>
        <v>м.п</v>
      </c>
      <c r="D240" s="1106" t="n">
        <f aca="false">'Смета Внутр'!D240</f>
        <v>362.88</v>
      </c>
      <c r="E240" s="1104"/>
      <c r="F240" s="1107" t="n">
        <f aca="false">'Смета Внутр'!H240</f>
        <v>10886.4</v>
      </c>
    </row>
    <row r="241" s="118" customFormat="true" ht="15" hidden="false" customHeight="false" outlineLevel="0" collapsed="false">
      <c r="B241" s="1104" t="str">
        <f aca="false">'Смета Внутр'!B241</f>
        <v>армирование</v>
      </c>
      <c r="C241" s="1105" t="str">
        <f aca="false">'Смета Внутр'!C241</f>
        <v>м.п.</v>
      </c>
      <c r="D241" s="1106" t="n">
        <f aca="false">'Смета Внутр'!D241</f>
        <v>166.32</v>
      </c>
      <c r="E241" s="1104"/>
      <c r="F241" s="1107" t="n">
        <f aca="false">'Смета Внутр'!H241</f>
        <v>4989.6</v>
      </c>
    </row>
    <row r="242" s="118" customFormat="true" ht="15" hidden="false" customHeight="false" outlineLevel="0" collapsed="false">
      <c r="B242" s="1104" t="str">
        <f aca="false">'Смета Внутр'!B242</f>
        <v>настил гидроизола</v>
      </c>
      <c r="C242" s="1105" t="str">
        <f aca="false">'Смета Внутр'!C242</f>
        <v>м2</v>
      </c>
      <c r="D242" s="1106" t="n">
        <f aca="false">'Смета Внутр'!D242</f>
        <v>15.12</v>
      </c>
      <c r="E242" s="1104"/>
      <c r="F242" s="1107" t="n">
        <f aca="false">'Смета Внутр'!H242</f>
        <v>1512</v>
      </c>
    </row>
    <row r="243" s="118" customFormat="true" ht="15" hidden="false" customHeight="false" outlineLevel="0" collapsed="false">
      <c r="B243" s="1104" t="str">
        <f aca="false">'Смета Внутр'!B243</f>
        <v>трамбовка</v>
      </c>
      <c r="C243" s="1105" t="str">
        <f aca="false">'Смета Внутр'!C243</f>
        <v>м2</v>
      </c>
      <c r="D243" s="1106" t="n">
        <f aca="false">'Смета Внутр'!D243</f>
        <v>15.876</v>
      </c>
      <c r="E243" s="1104"/>
      <c r="F243" s="1107" t="n">
        <f aca="false">'Смета Внутр'!H243</f>
        <v>9525.6</v>
      </c>
    </row>
    <row r="244" s="118" customFormat="true" ht="15" hidden="false" customHeight="false" outlineLevel="0" collapsed="false">
      <c r="B244" s="1104" t="str">
        <f aca="false">'Смета Внутр'!B244</f>
        <v>приемка бетона</v>
      </c>
      <c r="C244" s="1105" t="str">
        <f aca="false">'Смета Внутр'!C244</f>
        <v>м3</v>
      </c>
      <c r="D244" s="1106" t="n">
        <f aca="false">'Смета Внутр'!D244</f>
        <v>9.072</v>
      </c>
      <c r="E244" s="1104"/>
      <c r="F244" s="1107" t="n">
        <f aca="false">'Смета Внутр'!H244</f>
        <v>10886.4</v>
      </c>
    </row>
    <row r="245" s="118" customFormat="true" ht="15" hidden="false" customHeight="false" outlineLevel="0" collapsed="false">
      <c r="B245" s="1104" t="str">
        <f aca="false">'Смета Внутр'!B245</f>
        <v>утепление фундамента</v>
      </c>
      <c r="C245" s="1105" t="str">
        <f aca="false">'Смета Внутр'!C245</f>
        <v>м2</v>
      </c>
      <c r="D245" s="1106" t="n">
        <f aca="false">'Смета Внутр'!D245</f>
        <v>0</v>
      </c>
      <c r="E245" s="1104"/>
      <c r="F245" s="1107" t="n">
        <f aca="false">'Смета Внутр'!H245</f>
        <v>0</v>
      </c>
    </row>
    <row r="246" s="118" customFormat="true" ht="15" hidden="false" customHeight="false" outlineLevel="0" collapsed="false">
      <c r="B246" s="1104" t="str">
        <f aca="false">'Смета Внутр'!B246</f>
        <v>утепление отмостки</v>
      </c>
      <c r="C246" s="1105" t="str">
        <f aca="false">'Смета Внутр'!C246</f>
        <v>м2</v>
      </c>
      <c r="D246" s="1106" t="n">
        <f aca="false">'Смета Внутр'!D246</f>
        <v>0</v>
      </c>
      <c r="E246" s="1104"/>
      <c r="F246" s="1107" t="n">
        <f aca="false">'Смета Внутр'!H246</f>
        <v>0</v>
      </c>
    </row>
    <row r="247" s="118" customFormat="true" ht="15" hidden="false" customHeight="false" outlineLevel="0" collapsed="false">
      <c r="B247" s="1104" t="str">
        <f aca="false">'Смета Внутр'!B247</f>
        <v>трамбовка пгс</v>
      </c>
      <c r="C247" s="1105" t="str">
        <f aca="false">'Смета Внутр'!C247</f>
        <v>м2</v>
      </c>
      <c r="D247" s="1106" t="n">
        <f aca="false">'Смета Внутр'!D247</f>
        <v>0</v>
      </c>
      <c r="E247" s="1104"/>
      <c r="F247" s="1107" t="n">
        <f aca="false">'Смета Внутр'!H247</f>
        <v>0</v>
      </c>
    </row>
    <row r="248" s="118" customFormat="true" ht="15" hidden="false" customHeight="false" outlineLevel="0" collapsed="false">
      <c r="B248" s="1104" t="str">
        <f aca="false">'Смета Внутр'!B248</f>
        <v>кладка сетки</v>
      </c>
      <c r="C248" s="1105" t="str">
        <f aca="false">'Смета Внутр'!C248</f>
        <v>м2</v>
      </c>
      <c r="D248" s="1106" t="n">
        <f aca="false">'Смета Внутр'!D248</f>
        <v>0</v>
      </c>
      <c r="E248" s="1104"/>
      <c r="F248" s="1107" t="n">
        <f aca="false">'Смета Внутр'!H248</f>
        <v>0</v>
      </c>
    </row>
    <row r="249" s="118" customFormat="true" ht="15" hidden="false" customHeight="false" outlineLevel="0" collapsed="false">
      <c r="B249" s="1104" t="str">
        <f aca="false">'Смета Внутр'!B249</f>
        <v>приемка бетона</v>
      </c>
      <c r="C249" s="1105" t="str">
        <f aca="false">'Смета Внутр'!C249</f>
        <v>м2</v>
      </c>
      <c r="D249" s="1106" t="n">
        <f aca="false">'Смета Внутр'!D249</f>
        <v>0</v>
      </c>
      <c r="E249" s="1104"/>
      <c r="F249" s="1107" t="n">
        <f aca="false">'Смета Внутр'!H249</f>
        <v>0</v>
      </c>
    </row>
    <row r="250" s="118" customFormat="true" ht="15" hidden="false" customHeight="false" outlineLevel="0" collapsed="false">
      <c r="B250" s="1108" t="str">
        <f aca="false">'Смета Внутр'!B250</f>
        <v>Итого работы</v>
      </c>
      <c r="C250" s="1108"/>
      <c r="D250" s="1108"/>
      <c r="E250" s="1108"/>
      <c r="F250" s="1109" t="n">
        <f aca="false">'Смета Внутр'!G250</f>
        <v>108994.389</v>
      </c>
    </row>
    <row r="251" s="118" customFormat="true" ht="18.75" hidden="false" customHeight="false" outlineLevel="0" collapsed="false">
      <c r="B251" s="1111" t="str">
        <f aca="false">'Смета Внутр'!B251</f>
        <v>Плита УШП, технология Дороселл</v>
      </c>
      <c r="C251" s="1111"/>
      <c r="D251" s="1111"/>
      <c r="E251" s="1111"/>
      <c r="F251" s="1102" t="n">
        <f aca="false">'Смета Внутр'!H251</f>
        <v>0</v>
      </c>
    </row>
    <row r="252" s="118" customFormat="true" ht="15" hidden="false" customHeight="false" outlineLevel="0" collapsed="false">
      <c r="B252" s="1103" t="str">
        <f aca="false">'Смета Внутр'!B252</f>
        <v>Материалы</v>
      </c>
      <c r="C252" s="1103"/>
      <c r="D252" s="1103"/>
      <c r="E252" s="1103"/>
      <c r="F252" s="1102" t="n">
        <f aca="false">'Смета Внутр'!H252</f>
        <v>0</v>
      </c>
    </row>
    <row r="253" s="118" customFormat="true" ht="15" hidden="false" customHeight="false" outlineLevel="0" collapsed="false">
      <c r="B253" s="1104" t="str">
        <f aca="false">'Смета Внутр'!B253</f>
        <v>Скальник, 1 маш 13м3</v>
      </c>
      <c r="C253" s="1105" t="str">
        <f aca="false">'Смета Внутр'!C253</f>
        <v>маш</v>
      </c>
      <c r="D253" s="1106" t="n">
        <f aca="false">'Смета Внутр'!D253</f>
        <v>0.984615384615385</v>
      </c>
      <c r="E253" s="1104"/>
      <c r="F253" s="1107" t="n">
        <f aca="false">'Смета Внутр'!H253</f>
        <v>0</v>
      </c>
    </row>
    <row r="254" s="118" customFormat="true" ht="15" hidden="false" customHeight="false" outlineLevel="0" collapsed="false">
      <c r="B254" s="1104" t="str">
        <f aca="false">'Смета Внутр'!B254</f>
        <v>ПГС, машина 13м3</v>
      </c>
      <c r="C254" s="1105" t="str">
        <f aca="false">'Смета Внутр'!C254</f>
        <v>маш</v>
      </c>
      <c r="D254" s="1106" t="n">
        <f aca="false">'Смета Внутр'!D254</f>
        <v>0.984615384615385</v>
      </c>
      <c r="E254" s="1104"/>
      <c r="F254" s="1107" t="n">
        <f aca="false">'Смета Внутр'!H254</f>
        <v>0</v>
      </c>
    </row>
    <row r="255" s="118" customFormat="true" ht="15" hidden="false" customHeight="false" outlineLevel="0" collapsed="false">
      <c r="B255" s="1104" t="str">
        <f aca="false">'Смета Внутр'!B255</f>
        <v>Песок, машина 13м3</v>
      </c>
      <c r="C255" s="1105" t="str">
        <f aca="false">'Смета Внутр'!C255</f>
        <v>маш</v>
      </c>
      <c r="D255" s="1106" t="n">
        <f aca="false">'Смета Внутр'!D255</f>
        <v>0.492307692307692</v>
      </c>
      <c r="E255" s="1104"/>
      <c r="F255" s="1107" t="n">
        <f aca="false">'Смета Внутр'!H255</f>
        <v>0</v>
      </c>
    </row>
    <row r="256" s="118" customFormat="true" ht="15" hidden="false" customHeight="false" outlineLevel="0" collapsed="false">
      <c r="B256" s="1104" t="str">
        <f aca="false">'Смета Внутр'!B256</f>
        <v>Сосна влаж,180*40мм</v>
      </c>
      <c r="C256" s="1105" t="str">
        <f aca="false">'Смета Внутр'!C256</f>
        <v>м3</v>
      </c>
      <c r="D256" s="1106" t="n">
        <f aca="false">'Смета Внутр'!D256</f>
        <v>0.416</v>
      </c>
      <c r="E256" s="1104"/>
      <c r="F256" s="1107" t="n">
        <f aca="false">'Смета Внутр'!H256</f>
        <v>0</v>
      </c>
    </row>
    <row r="257" s="118" customFormat="true" ht="15" hidden="false" customHeight="false" outlineLevel="0" collapsed="false">
      <c r="B257" s="1104" t="str">
        <f aca="false">'Смета Внутр'!B257</f>
        <v>Пенопласт ПСБ-С-35</v>
      </c>
      <c r="C257" s="1105" t="str">
        <f aca="false">'Смета Внутр'!C257</f>
        <v>м3</v>
      </c>
      <c r="D257" s="1106" t="n">
        <f aca="false">'Смета Внутр'!D257</f>
        <v>0</v>
      </c>
      <c r="E257" s="1104"/>
      <c r="F257" s="1107" t="n">
        <f aca="false">'Смета Внутр'!H257</f>
        <v>0</v>
      </c>
    </row>
    <row r="258" s="118" customFormat="true" ht="15" hidden="false" customHeight="false" outlineLevel="0" collapsed="false">
      <c r="B258" s="1104" t="str">
        <f aca="false">'Смета Внутр'!B258</f>
        <v>Пенопласт ПСБ-С-35</v>
      </c>
      <c r="C258" s="1105" t="str">
        <f aca="false">'Смета Внутр'!C258</f>
        <v>м3</v>
      </c>
      <c r="D258" s="1106" t="n">
        <f aca="false">'Смета Внутр'!D258</f>
        <v>0</v>
      </c>
      <c r="E258" s="1104"/>
      <c r="F258" s="1107" t="n">
        <f aca="false">'Смета Внутр'!H258</f>
        <v>0</v>
      </c>
    </row>
    <row r="259" s="118" customFormat="true" ht="15" hidden="false" customHeight="false" outlineLevel="0" collapsed="false">
      <c r="B259" s="1104" t="str">
        <f aca="false">'Смета Внутр'!B259</f>
        <v>Пленка гидроизоляционная </v>
      </c>
      <c r="C259" s="1105" t="str">
        <f aca="false">'Смета Внутр'!C259</f>
        <v>м2</v>
      </c>
      <c r="D259" s="1106" t="n">
        <f aca="false">'Смета Внутр'!D259</f>
        <v>83.2</v>
      </c>
      <c r="E259" s="1104"/>
      <c r="F259" s="1107" t="n">
        <f aca="false">'Смета Внутр'!H259</f>
        <v>0</v>
      </c>
    </row>
    <row r="260" s="118" customFormat="true" ht="15" hidden="false" customHeight="false" outlineLevel="0" collapsed="false">
      <c r="B260" s="1104" t="str">
        <f aca="false">'Смета Внутр'!B260</f>
        <v>Кладочная сетка, 100*100/150*150/200*200мм</v>
      </c>
      <c r="C260" s="1105" t="str">
        <f aca="false">'Смета Внутр'!C260</f>
        <v>м2</v>
      </c>
      <c r="D260" s="1106" t="n">
        <f aca="false">'Смета Внутр'!D260</f>
        <v>64</v>
      </c>
      <c r="E260" s="1104"/>
      <c r="F260" s="1107" t="n">
        <f aca="false">'Смета Внутр'!H260</f>
        <v>0</v>
      </c>
    </row>
    <row r="261" s="118" customFormat="true" ht="15" hidden="false" customHeight="false" outlineLevel="0" collapsed="false">
      <c r="B261" s="1104" t="str">
        <f aca="false">'Смета Внутр'!B261</f>
        <v>Стяжки пластиковые</v>
      </c>
      <c r="C261" s="1105" t="str">
        <f aca="false">'Смета Внутр'!C261</f>
        <v>шт</v>
      </c>
      <c r="D261" s="1106" t="n">
        <f aca="false">'Смета Внутр'!D261</f>
        <v>192</v>
      </c>
      <c r="E261" s="1104"/>
      <c r="F261" s="1107" t="n">
        <f aca="false">'Смета Внутр'!H261</f>
        <v>0</v>
      </c>
    </row>
    <row r="262" s="118" customFormat="true" ht="15" hidden="false" customHeight="false" outlineLevel="0" collapsed="false">
      <c r="B262" s="1104" t="str">
        <f aca="false">'Смета Внутр'!B262</f>
        <v>Бетон, м350</v>
      </c>
      <c r="C262" s="1105" t="str">
        <f aca="false">'Смета Внутр'!C262</f>
        <v>м3</v>
      </c>
      <c r="D262" s="1106" t="n">
        <f aca="false">'Смета Внутр'!D262</f>
        <v>16</v>
      </c>
      <c r="E262" s="1104"/>
      <c r="F262" s="1107" t="n">
        <f aca="false">'Смета Внутр'!H262</f>
        <v>0</v>
      </c>
    </row>
    <row r="263" s="118" customFormat="true" ht="15" hidden="false" customHeight="false" outlineLevel="0" collapsed="false">
      <c r="B263" s="1104" t="str">
        <f aca="false">'Смета Внутр'!B263</f>
        <v>Бетон, м250</v>
      </c>
      <c r="C263" s="1105" t="str">
        <f aca="false">'Смета Внутр'!C263</f>
        <v>м3</v>
      </c>
      <c r="D263" s="1106" t="n">
        <f aca="false">'Смета Внутр'!D263</f>
        <v>0</v>
      </c>
      <c r="E263" s="1104"/>
      <c r="F263" s="1107" t="n">
        <f aca="false">'Смета Внутр'!H263</f>
        <v>0</v>
      </c>
    </row>
    <row r="264" s="118" customFormat="true" ht="15" hidden="false" customHeight="false" outlineLevel="0" collapsed="false">
      <c r="B264" s="1104" t="str">
        <f aca="false">'Смета Внутр'!B264</f>
        <v>Труба теплого пола 3</v>
      </c>
      <c r="C264" s="1105" t="str">
        <f aca="false">'Смета Внутр'!C264</f>
        <v>м.п</v>
      </c>
      <c r="D264" s="1106" t="n">
        <f aca="false">'Смета Внутр'!D264</f>
        <v>0</v>
      </c>
      <c r="E264" s="1104"/>
      <c r="F264" s="1107" t="n">
        <f aca="false">'Смета Внутр'!H264</f>
        <v>0</v>
      </c>
    </row>
    <row r="265" s="118" customFormat="true" ht="15" hidden="false" customHeight="false" outlineLevel="0" collapsed="false">
      <c r="B265" s="1104" t="str">
        <f aca="false">'Смета Внутр'!B265</f>
        <v>Коллектор 1</v>
      </c>
      <c r="C265" s="1105" t="str">
        <f aca="false">'Смета Внутр'!C265</f>
        <v>шт</v>
      </c>
      <c r="D265" s="1106" t="n">
        <f aca="false">'Смета Внутр'!D265</f>
        <v>0</v>
      </c>
      <c r="E265" s="1104"/>
      <c r="F265" s="1107" t="n">
        <f aca="false">'Смета Внутр'!H265</f>
        <v>0</v>
      </c>
    </row>
    <row r="266" s="118" customFormat="true" ht="15" hidden="false" customHeight="false" outlineLevel="0" collapsed="false">
      <c r="B266" s="1104" t="str">
        <f aca="false">'Смета Внутр'!B266</f>
        <v>Арматура стальная Ø 12</v>
      </c>
      <c r="C266" s="1105" t="str">
        <f aca="false">'Смета Внутр'!C266</f>
        <v>м.п.</v>
      </c>
      <c r="D266" s="1106" t="n">
        <f aca="false">'Смета Внутр'!D266</f>
        <v>211.2</v>
      </c>
      <c r="E266" s="1104"/>
      <c r="F266" s="1107" t="n">
        <f aca="false">'Смета Внутр'!H266</f>
        <v>0</v>
      </c>
    </row>
    <row r="267" s="118" customFormat="true" ht="15" hidden="false" customHeight="false" outlineLevel="0" collapsed="false">
      <c r="B267" s="1104" t="str">
        <f aca="false">'Смета Внутр'!B267</f>
        <v>Арматура стальная Ø 10 </v>
      </c>
      <c r="C267" s="1105" t="str">
        <f aca="false">'Смета Внутр'!C267</f>
        <v>м.п.</v>
      </c>
      <c r="D267" s="1106" t="n">
        <f aca="false">'Смета Внутр'!D267</f>
        <v>640</v>
      </c>
      <c r="E267" s="1104"/>
      <c r="F267" s="1107" t="n">
        <f aca="false">'Смета Внутр'!H267</f>
        <v>0</v>
      </c>
    </row>
    <row r="268" s="118" customFormat="true" ht="15" hidden="false" customHeight="false" outlineLevel="0" collapsed="false">
      <c r="B268" s="1104" t="str">
        <f aca="false">'Смета Внутр'!B268</f>
        <v>Арматура стальная Ø 6</v>
      </c>
      <c r="C268" s="1105" t="str">
        <f aca="false">'Смета Внутр'!C268</f>
        <v>м.п.</v>
      </c>
      <c r="D268" s="1106" t="n">
        <f aca="false">'Смета Внутр'!D268</f>
        <v>0</v>
      </c>
      <c r="E268" s="1104"/>
      <c r="F268" s="1107" t="n">
        <f aca="false">'Смета Внутр'!H268</f>
        <v>0</v>
      </c>
    </row>
    <row r="269" s="118" customFormat="true" ht="15" hidden="false" customHeight="false" outlineLevel="0" collapsed="false">
      <c r="B269" s="1104" t="str">
        <f aca="false">'Смета Внутр'!B269</f>
        <v>Вязальная проволока</v>
      </c>
      <c r="C269" s="1105" t="str">
        <f aca="false">'Смета Внутр'!C269</f>
        <v>кг</v>
      </c>
      <c r="D269" s="1106" t="n">
        <f aca="false">'Смета Внутр'!D269</f>
        <v>17.024</v>
      </c>
      <c r="E269" s="1104"/>
      <c r="F269" s="1107" t="n">
        <f aca="false">'Смета Внутр'!H269</f>
        <v>0</v>
      </c>
    </row>
    <row r="270" s="118" customFormat="true" ht="15" hidden="false" customHeight="false" outlineLevel="0" collapsed="false">
      <c r="B270" s="1104" t="str">
        <f aca="false">'Смета Внутр'!B270</f>
        <v>Подставка под арматурный каркас</v>
      </c>
      <c r="C270" s="1105" t="str">
        <f aca="false">'Смета Внутр'!C270</f>
        <v>шт</v>
      </c>
      <c r="D270" s="1106" t="n">
        <f aca="false">'Смета Внутр'!D270</f>
        <v>192</v>
      </c>
      <c r="E270" s="1104"/>
      <c r="F270" s="1107" t="n">
        <f aca="false">'Смета Внутр'!H270</f>
        <v>0</v>
      </c>
    </row>
    <row r="271" s="118" customFormat="true" ht="15" hidden="false" customHeight="false" outlineLevel="0" collapsed="false">
      <c r="B271" s="1104" t="str">
        <f aca="false">'Смета Внутр'!B271</f>
        <v>Гвозди строительные 3,5 x 90            </v>
      </c>
      <c r="C271" s="1105" t="str">
        <f aca="false">'Смета Внутр'!C271</f>
        <v>кг</v>
      </c>
      <c r="D271" s="1106" t="n">
        <f aca="false">'Смета Внутр'!D271</f>
        <v>2.08</v>
      </c>
      <c r="E271" s="1104"/>
      <c r="F271" s="1107" t="n">
        <f aca="false">'Смета Внутр'!H271</f>
        <v>0</v>
      </c>
    </row>
    <row r="272" s="118" customFormat="true" ht="15" hidden="false" customHeight="false" outlineLevel="0" collapsed="false">
      <c r="B272" s="1104" t="str">
        <f aca="false">'Смета Внутр'!B272</f>
        <v>Геотекстиль</v>
      </c>
      <c r="C272" s="1105" t="str">
        <f aca="false">'Смета Внутр'!C272</f>
        <v>м2</v>
      </c>
      <c r="D272" s="1106" t="n">
        <f aca="false">'Смета Внутр'!D272</f>
        <v>73.6</v>
      </c>
      <c r="E272" s="1104"/>
      <c r="F272" s="1107" t="n">
        <f aca="false">'Смета Внутр'!H272</f>
        <v>0</v>
      </c>
    </row>
    <row r="273" s="118" customFormat="true" ht="15" hidden="false" customHeight="false" outlineLevel="0" collapsed="false">
      <c r="B273" s="1104" t="str">
        <f aca="false">'Смета Внутр'!B273</f>
        <v>Труба гофрированная одностенная d110</v>
      </c>
      <c r="C273" s="1105" t="str">
        <f aca="false">'Смета Внутр'!C273</f>
        <v>м.п.</v>
      </c>
      <c r="D273" s="1106" t="n">
        <f aca="false">'Смета Внутр'!D273</f>
        <v>53</v>
      </c>
      <c r="E273" s="1104"/>
      <c r="F273" s="1107" t="n">
        <f aca="false">'Смета Внутр'!H273</f>
        <v>0</v>
      </c>
    </row>
    <row r="274" s="118" customFormat="true" ht="15" hidden="false" customHeight="false" outlineLevel="0" collapsed="false">
      <c r="B274" s="1104" t="str">
        <f aca="false">'Смета Внутр'!B274</f>
        <v>Дренажный колодец D300</v>
      </c>
      <c r="C274" s="1105" t="str">
        <f aca="false">'Смета Внутр'!C274</f>
        <v>шт</v>
      </c>
      <c r="D274" s="1106" t="n">
        <f aca="false">'Смета Внутр'!D274</f>
        <v>6</v>
      </c>
      <c r="E274" s="1104"/>
      <c r="F274" s="1107" t="n">
        <f aca="false">'Смета Внутр'!H274</f>
        <v>0</v>
      </c>
    </row>
    <row r="275" s="118" customFormat="true" ht="15" hidden="false" customHeight="false" outlineLevel="0" collapsed="false">
      <c r="B275" s="1104" t="str">
        <f aca="false">'Смета Внутр'!B275</f>
        <v>Труба канализационная D110</v>
      </c>
      <c r="C275" s="1105" t="str">
        <f aca="false">'Смета Внутр'!C275</f>
        <v>шт</v>
      </c>
      <c r="D275" s="1106" t="n">
        <f aca="false">'Смета Внутр'!D275</f>
        <v>10</v>
      </c>
      <c r="E275" s="1104"/>
      <c r="F275" s="1107" t="n">
        <f aca="false">'Смета Внутр'!H275</f>
        <v>0</v>
      </c>
    </row>
    <row r="276" s="118" customFormat="true" ht="15" hidden="false" customHeight="false" outlineLevel="0" collapsed="false">
      <c r="B276" s="1108" t="str">
        <f aca="false">'Смета Внутр'!B276</f>
        <v>Итого материалы</v>
      </c>
      <c r="C276" s="1108"/>
      <c r="D276" s="1108"/>
      <c r="E276" s="1108"/>
      <c r="F276" s="1109" t="n">
        <f aca="false">'Смета Внутр'!G276</f>
        <v>0</v>
      </c>
    </row>
    <row r="277" s="118" customFormat="true" ht="15" hidden="false" customHeight="false" outlineLevel="0" collapsed="false">
      <c r="B277" s="1110" t="str">
        <f aca="false">'Смета Внутр'!B277</f>
        <v>Работы</v>
      </c>
      <c r="C277" s="1110"/>
      <c r="D277" s="1110"/>
      <c r="E277" s="1110"/>
      <c r="F277" s="1102" t="n">
        <f aca="false">'Смета Внутр'!H277</f>
        <v>0</v>
      </c>
    </row>
    <row r="278" s="118" customFormat="true" ht="15" hidden="false" customHeight="false" outlineLevel="0" collapsed="false">
      <c r="B278" s="1104" t="str">
        <f aca="false">'Смета Внутр'!B278</f>
        <v>разбивка осей фундамента</v>
      </c>
      <c r="C278" s="1105" t="str">
        <f aca="false">'Смета Внутр'!C278</f>
        <v>шт</v>
      </c>
      <c r="D278" s="1106" t="n">
        <f aca="false">'Смета Внутр'!D278</f>
        <v>1</v>
      </c>
      <c r="E278" s="1104"/>
      <c r="F278" s="1107" t="n">
        <f aca="false">'Смета Внутр'!H278</f>
        <v>0</v>
      </c>
    </row>
    <row r="279" s="118" customFormat="true" ht="15" hidden="false" customHeight="false" outlineLevel="0" collapsed="false">
      <c r="B279" s="1104" t="str">
        <f aca="false">'Смета Внутр'!B279</f>
        <v>трамбовка пгс</v>
      </c>
      <c r="C279" s="1105" t="str">
        <f aca="false">'Смета Внутр'!C279</f>
        <v>м2</v>
      </c>
      <c r="D279" s="1106" t="n">
        <f aca="false">'Смета Внутр'!D279</f>
        <v>64</v>
      </c>
      <c r="E279" s="1104"/>
      <c r="F279" s="1107" t="n">
        <f aca="false">'Смета Внутр'!H279</f>
        <v>0</v>
      </c>
    </row>
    <row r="280" s="118" customFormat="true" ht="15" hidden="false" customHeight="false" outlineLevel="0" collapsed="false">
      <c r="B280" s="1104" t="str">
        <f aca="false">'Смета Внутр'!B280</f>
        <v>трамбовка скальник</v>
      </c>
      <c r="C280" s="1105" t="str">
        <f aca="false">'Смета Внутр'!C280</f>
        <v>м2</v>
      </c>
      <c r="D280" s="1106" t="n">
        <f aca="false">'Смета Внутр'!D280</f>
        <v>64</v>
      </c>
      <c r="E280" s="1104"/>
      <c r="F280" s="1107" t="n">
        <f aca="false">'Смета Внутр'!H280</f>
        <v>0</v>
      </c>
    </row>
    <row r="281" s="118" customFormat="true" ht="15" hidden="false" customHeight="false" outlineLevel="0" collapsed="false">
      <c r="B281" s="1104" t="str">
        <f aca="false">'Смета Внутр'!B281</f>
        <v>трамбовка песок</v>
      </c>
      <c r="C281" s="1105" t="str">
        <f aca="false">'Смета Внутр'!C281</f>
        <v>м2</v>
      </c>
      <c r="D281" s="1106" t="n">
        <f aca="false">'Смета Внутр'!D281</f>
        <v>64</v>
      </c>
      <c r="E281" s="1104"/>
      <c r="F281" s="1107" t="n">
        <f aca="false">'Смета Внутр'!H281</f>
        <v>0</v>
      </c>
    </row>
    <row r="282" s="118" customFormat="true" ht="15" hidden="false" customHeight="false" outlineLevel="0" collapsed="false">
      <c r="B282" s="1104" t="str">
        <f aca="false">'Смета Внутр'!B282</f>
        <v>сборка/разборка опалубки</v>
      </c>
      <c r="C282" s="1105" t="str">
        <f aca="false">'Смета Внутр'!C282</f>
        <v>м2</v>
      </c>
      <c r="D282" s="1106" t="n">
        <f aca="false">'Смета Внутр'!D282</f>
        <v>0</v>
      </c>
      <c r="E282" s="1104"/>
      <c r="F282" s="1107" t="n">
        <f aca="false">'Смета Внутр'!H282</f>
        <v>0</v>
      </c>
    </row>
    <row r="283" s="118" customFormat="true" ht="15" hidden="false" customHeight="false" outlineLevel="0" collapsed="false">
      <c r="B283" s="1104" t="str">
        <f aca="false">'Смета Внутр'!B283</f>
        <v>укладка утеплителя под плиту</v>
      </c>
      <c r="C283" s="1105" t="str">
        <f aca="false">'Смета Внутр'!C283</f>
        <v>м2</v>
      </c>
      <c r="D283" s="1106" t="n">
        <f aca="false">'Смета Внутр'!D283</f>
        <v>64</v>
      </c>
      <c r="E283" s="1104"/>
      <c r="F283" s="1107" t="n">
        <f aca="false">'Смета Внутр'!H283</f>
        <v>0</v>
      </c>
    </row>
    <row r="284" s="118" customFormat="true" ht="15" hidden="false" customHeight="false" outlineLevel="0" collapsed="false">
      <c r="B284" s="1104" t="str">
        <f aca="false">'Смета Внутр'!B284</f>
        <v>укладка утеплителя под отмостка</v>
      </c>
      <c r="C284" s="1105" t="str">
        <f aca="false">'Смета Внутр'!C284</f>
        <v>м2</v>
      </c>
      <c r="D284" s="1106" t="n">
        <f aca="false">'Смета Внутр'!D284</f>
        <v>0</v>
      </c>
      <c r="E284" s="1104"/>
      <c r="F284" s="1107" t="n">
        <f aca="false">'Смета Внутр'!H284</f>
        <v>0</v>
      </c>
    </row>
    <row r="285" s="118" customFormat="true" ht="15" hidden="false" customHeight="false" outlineLevel="0" collapsed="false">
      <c r="B285" s="1104" t="str">
        <f aca="false">'Смета Внутр'!B285</f>
        <v>укладка пленки</v>
      </c>
      <c r="C285" s="1105" t="str">
        <f aca="false">'Смета Внутр'!C285</f>
        <v>м2</v>
      </c>
      <c r="D285" s="1106" t="n">
        <f aca="false">'Смета Внутр'!D285</f>
        <v>64</v>
      </c>
      <c r="E285" s="1104"/>
      <c r="F285" s="1107" t="n">
        <f aca="false">'Смета Внутр'!H285</f>
        <v>0</v>
      </c>
    </row>
    <row r="286" s="118" customFormat="true" ht="15" hidden="false" customHeight="false" outlineLevel="0" collapsed="false">
      <c r="B286" s="1104" t="str">
        <f aca="false">'Смета Внутр'!B286</f>
        <v>кладка сетки</v>
      </c>
      <c r="C286" s="1105" t="str">
        <f aca="false">'Смета Внутр'!C286</f>
        <v>м2</v>
      </c>
      <c r="D286" s="1106" t="n">
        <f aca="false">'Смета Внутр'!D286</f>
        <v>64</v>
      </c>
      <c r="E286" s="1104"/>
      <c r="F286" s="1107" t="n">
        <f aca="false">'Смета Внутр'!H286</f>
        <v>0</v>
      </c>
    </row>
    <row r="287" s="118" customFormat="true" ht="15" hidden="false" customHeight="false" outlineLevel="0" collapsed="false">
      <c r="B287" s="1104" t="str">
        <f aca="false">'Смета Внутр'!B287</f>
        <v>укладка теп. Пола</v>
      </c>
      <c r="C287" s="1105" t="str">
        <f aca="false">'Смета Внутр'!C287</f>
        <v>м2</v>
      </c>
      <c r="D287" s="1106" t="n">
        <f aca="false">'Смета Внутр'!D287</f>
        <v>0</v>
      </c>
      <c r="E287" s="1104"/>
      <c r="F287" s="1107" t="n">
        <f aca="false">'Смета Внутр'!H287</f>
        <v>0</v>
      </c>
    </row>
    <row r="288" s="118" customFormat="true" ht="15" hidden="false" customHeight="false" outlineLevel="0" collapsed="false">
      <c r="B288" s="1104" t="str">
        <f aca="false">'Смета Внутр'!B288</f>
        <v>Заливка бетоном перекрытия/плиты</v>
      </c>
      <c r="C288" s="1105" t="str">
        <f aca="false">'Смета Внутр'!C288</f>
        <v>м2</v>
      </c>
      <c r="D288" s="1106" t="n">
        <f aca="false">'Смета Внутр'!D288</f>
        <v>64</v>
      </c>
      <c r="E288" s="1104"/>
      <c r="F288" s="1107" t="n">
        <f aca="false">'Смета Внутр'!H288</f>
        <v>0</v>
      </c>
    </row>
    <row r="289" s="118" customFormat="true" ht="15" hidden="false" customHeight="false" outlineLevel="0" collapsed="false">
      <c r="B289" s="1104" t="str">
        <f aca="false">'Смета Внутр'!B289</f>
        <v>заливка бетоном отмостки</v>
      </c>
      <c r="C289" s="1105" t="str">
        <f aca="false">'Смета Внутр'!C289</f>
        <v>м2</v>
      </c>
      <c r="D289" s="1106" t="n">
        <f aca="false">'Смета Внутр'!D289</f>
        <v>0</v>
      </c>
      <c r="E289" s="1104"/>
      <c r="F289" s="1107" t="n">
        <f aca="false">'Смета Внутр'!H289</f>
        <v>0</v>
      </c>
    </row>
    <row r="290" s="118" customFormat="true" ht="15" hidden="false" customHeight="false" outlineLevel="0" collapsed="false">
      <c r="B290" s="1104" t="str">
        <f aca="false">'Смета Внутр'!B290</f>
        <v>армирование пол</v>
      </c>
      <c r="C290" s="1105" t="str">
        <f aca="false">'Смета Внутр'!C290</f>
        <v>м2</v>
      </c>
      <c r="D290" s="1106" t="n">
        <f aca="false">'Смета Внутр'!D290</f>
        <v>64</v>
      </c>
      <c r="E290" s="1104"/>
      <c r="F290" s="1107" t="n">
        <f aca="false">'Смета Внутр'!H290</f>
        <v>0</v>
      </c>
    </row>
    <row r="291" s="118" customFormat="true" ht="15" hidden="false" customHeight="false" outlineLevel="0" collapsed="false">
      <c r="B291" s="1104" t="str">
        <f aca="false">'Смета Внутр'!B291</f>
        <v>армирование отмостки</v>
      </c>
      <c r="C291" s="1105" t="str">
        <f aca="false">'Смета Внутр'!C291</f>
        <v>м2</v>
      </c>
      <c r="D291" s="1106" t="n">
        <f aca="false">'Смета Внутр'!D291</f>
        <v>0</v>
      </c>
      <c r="E291" s="1104"/>
      <c r="F291" s="1107" t="n">
        <f aca="false">'Смета Внутр'!H291</f>
        <v>0</v>
      </c>
    </row>
    <row r="292" s="118" customFormat="true" ht="15" hidden="false" customHeight="false" outlineLevel="0" collapsed="false">
      <c r="B292" s="1104" t="str">
        <f aca="false">'Смета Внутр'!B292</f>
        <v>монтаж канализации</v>
      </c>
      <c r="C292" s="1105" t="str">
        <f aca="false">'Смета Внутр'!C292</f>
        <v>м.п.</v>
      </c>
      <c r="D292" s="1106" t="n">
        <f aca="false">'Смета Внутр'!D292</f>
        <v>10</v>
      </c>
      <c r="E292" s="1104"/>
      <c r="F292" s="1107" t="n">
        <f aca="false">'Смета Внутр'!H292</f>
        <v>0</v>
      </c>
    </row>
    <row r="293" s="118" customFormat="true" ht="15" hidden="false" customHeight="false" outlineLevel="0" collapsed="false">
      <c r="B293" s="1104" t="str">
        <f aca="false">'Смета Внутр'!B293</f>
        <v>укладка геотекстиля</v>
      </c>
      <c r="C293" s="1105" t="str">
        <f aca="false">'Смета Внутр'!C293</f>
        <v>м2</v>
      </c>
      <c r="D293" s="1106" t="n">
        <f aca="false">'Смета Внутр'!D293</f>
        <v>64</v>
      </c>
      <c r="E293" s="1104"/>
      <c r="F293" s="1107" t="n">
        <f aca="false">'Смета Внутр'!H293</f>
        <v>0</v>
      </c>
    </row>
    <row r="294" s="118" customFormat="true" ht="15" hidden="false" customHeight="false" outlineLevel="0" collapsed="false">
      <c r="B294" s="1104" t="str">
        <f aca="false">'Смета Внутр'!B294</f>
        <v>укладка дренажа</v>
      </c>
      <c r="C294" s="1105" t="str">
        <f aca="false">'Смета Внутр'!C294</f>
        <v>м2</v>
      </c>
      <c r="D294" s="1106" t="n">
        <f aca="false">'Смета Внутр'!D294</f>
        <v>53</v>
      </c>
      <c r="E294" s="1104"/>
      <c r="F294" s="1107" t="n">
        <f aca="false">'Смета Внутр'!H294</f>
        <v>0</v>
      </c>
    </row>
    <row r="295" s="118" customFormat="true" ht="15" hidden="false" customHeight="false" outlineLevel="0" collapsed="false">
      <c r="B295" s="1104" t="str">
        <f aca="false">'Смета Внутр'!B295</f>
        <v>монтаж дренажного колодца</v>
      </c>
      <c r="C295" s="1105" t="str">
        <f aca="false">'Смета Внутр'!C295</f>
        <v>шт</v>
      </c>
      <c r="D295" s="1106" t="n">
        <f aca="false">'Смета Внутр'!D295</f>
        <v>6</v>
      </c>
      <c r="E295" s="1104"/>
      <c r="F295" s="1107" t="n">
        <f aca="false">'Смета Внутр'!H295</f>
        <v>0</v>
      </c>
    </row>
    <row r="296" s="118" customFormat="true" ht="15" hidden="false" customHeight="false" outlineLevel="0" collapsed="false">
      <c r="B296" s="1108" t="str">
        <f aca="false">'Смета Внутр'!B296</f>
        <v>Итого работы</v>
      </c>
      <c r="C296" s="1108"/>
      <c r="D296" s="1108"/>
      <c r="E296" s="1108"/>
      <c r="F296" s="1109" t="n">
        <f aca="false">'Смета Внутр'!G296</f>
        <v>0</v>
      </c>
    </row>
    <row r="297" s="118" customFormat="true" ht="18.75" hidden="false" customHeight="false" outlineLevel="0" collapsed="false">
      <c r="B297" s="1111" t="str">
        <f aca="false">'Смета Внутр'!B297</f>
        <v>Сип-Панели</v>
      </c>
      <c r="C297" s="1111"/>
      <c r="D297" s="1111"/>
      <c r="E297" s="1111"/>
      <c r="F297" s="1102" t="n">
        <f aca="false">'Смета Внутр'!H297</f>
        <v>0</v>
      </c>
    </row>
    <row r="298" s="118" customFormat="true" ht="15" hidden="false" customHeight="false" outlineLevel="0" collapsed="false">
      <c r="B298" s="1103" t="str">
        <f aca="false">'Смета Внутр'!B298</f>
        <v>Материалы</v>
      </c>
      <c r="C298" s="1103"/>
      <c r="D298" s="1103"/>
      <c r="E298" s="1103"/>
      <c r="F298" s="1102" t="n">
        <f aca="false">'Смета Внутр'!H298</f>
        <v>0</v>
      </c>
    </row>
    <row r="299" s="118" customFormat="true" ht="15" hidden="false" customHeight="false" outlineLevel="0" collapsed="false">
      <c r="B299" s="1104" t="str">
        <f aca="false">'Смета Внутр'!B299</f>
        <v>Доска сухая калиброванная, 190*45мм</v>
      </c>
      <c r="C299" s="1105" t="str">
        <f aca="false">'Смета Внутр'!C299</f>
        <v>м3</v>
      </c>
      <c r="D299" s="1106" t="n">
        <f aca="false">'Смета Внутр'!D299</f>
        <v>0.790875</v>
      </c>
      <c r="E299" s="1104"/>
      <c r="F299" s="1107" t="n">
        <f aca="false">'Смета Внутр'!H299</f>
        <v>0</v>
      </c>
    </row>
    <row r="300" s="118" customFormat="true" ht="15" hidden="false" customHeight="false" outlineLevel="0" collapsed="false">
      <c r="B300" s="1104" t="str">
        <f aca="false">'Смета Внутр'!B300</f>
        <v>обработка мастикой</v>
      </c>
      <c r="C300" s="1105" t="str">
        <f aca="false">'Смета Внутр'!C300</f>
        <v>л</v>
      </c>
      <c r="D300" s="1106" t="n">
        <f aca="false">'Смета Внутр'!D300</f>
        <v>5.536125</v>
      </c>
      <c r="E300" s="1104"/>
      <c r="F300" s="1107" t="n">
        <f aca="false">'Смета Внутр'!H300</f>
        <v>0</v>
      </c>
    </row>
    <row r="301" s="118" customFormat="true" ht="15" hidden="false" customHeight="false" outlineLevel="0" collapsed="false">
      <c r="B301" s="1104" t="str">
        <f aca="false">'Смета Внутр'!B301</f>
        <v>Sip панель 2800*1250*174мм</v>
      </c>
      <c r="C301" s="1105" t="str">
        <f aca="false">'Смета Внутр'!C301</f>
        <v>м2</v>
      </c>
      <c r="D301" s="1106" t="n">
        <f aca="false">'Смета Внутр'!D301</f>
        <v>-2.64</v>
      </c>
      <c r="E301" s="1104"/>
      <c r="F301" s="1107" t="n">
        <f aca="false">'Смета Внутр'!H301</f>
        <v>0</v>
      </c>
    </row>
    <row r="302" s="118" customFormat="true" ht="15" hidden="false" customHeight="false" outlineLevel="0" collapsed="false">
      <c r="B302" s="1104" t="str">
        <f aca="false">'Смета Внутр'!B302</f>
        <v>Sip панель 2800*1250*174мм</v>
      </c>
      <c r="C302" s="1105" t="str">
        <f aca="false">'Смета Внутр'!C302</f>
        <v>м2</v>
      </c>
      <c r="D302" s="1106" t="n">
        <f aca="false">'Смета Внутр'!D302</f>
        <v>0</v>
      </c>
      <c r="E302" s="1104"/>
      <c r="F302" s="1107" t="n">
        <f aca="false">'Смета Внутр'!H302</f>
        <v>0</v>
      </c>
    </row>
    <row r="303" s="118" customFormat="true" ht="15" hidden="false" customHeight="false" outlineLevel="0" collapsed="false">
      <c r="B303" s="1104" t="str">
        <f aca="false">'Смета Внутр'!B303</f>
        <v>Sip панель 2800*1250*124мм</v>
      </c>
      <c r="C303" s="1105" t="str">
        <f aca="false">'Смета Внутр'!C303</f>
        <v>м2</v>
      </c>
      <c r="D303" s="1106" t="n">
        <f aca="false">'Смета Внутр'!D303</f>
        <v>0</v>
      </c>
      <c r="E303" s="1104"/>
      <c r="F303" s="1107" t="n">
        <f aca="false">'Смета Внутр'!H303</f>
        <v>0</v>
      </c>
    </row>
    <row r="304" s="118" customFormat="true" ht="15" hidden="false" customHeight="false" outlineLevel="0" collapsed="false">
      <c r="B304" s="1104" t="str">
        <f aca="false">'Смета Внутр'!B304</f>
        <v>Болты анкерные с гайкой 12,0 х 280          </v>
      </c>
      <c r="C304" s="1105" t="str">
        <f aca="false">'Смета Внутр'!C304</f>
        <v>шт</v>
      </c>
      <c r="D304" s="1106" t="n">
        <f aca="false">'Смета Внутр'!D304</f>
        <v>96</v>
      </c>
      <c r="E304" s="1104"/>
      <c r="F304" s="1107" t="n">
        <f aca="false">'Смета Внутр'!H304</f>
        <v>0</v>
      </c>
    </row>
    <row r="305" s="118" customFormat="true" ht="15" hidden="false" customHeight="false" outlineLevel="0" collapsed="false">
      <c r="B305" s="1104" t="str">
        <f aca="false">'Смета Внутр'!B305</f>
        <v>обвязка наружние стены верх низ</v>
      </c>
      <c r="C305" s="1105" t="str">
        <f aca="false">'Смета Внутр'!C305</f>
        <v>м3</v>
      </c>
      <c r="D305" s="1106" t="n">
        <f aca="false">'Смета Внутр'!D305</f>
        <v>0.96</v>
      </c>
      <c r="E305" s="1104"/>
      <c r="F305" s="1107" t="n">
        <f aca="false">'Смета Внутр'!H305</f>
        <v>0</v>
      </c>
    </row>
    <row r="306" s="118" customFormat="true" ht="15" hidden="false" customHeight="false" outlineLevel="0" collapsed="false">
      <c r="B306" s="1104" t="str">
        <f aca="false">'Смета Внутр'!B306</f>
        <v>обвязка несущие перегородки верх низ</v>
      </c>
      <c r="C306" s="1105" t="str">
        <f aca="false">'Смета Внутр'!C306</f>
        <v>м3</v>
      </c>
      <c r="D306" s="1106" t="n">
        <f aca="false">'Смета Внутр'!D306</f>
        <v>0.4275</v>
      </c>
      <c r="E306" s="1104"/>
      <c r="F306" s="1107" t="n">
        <f aca="false">'Смета Внутр'!H306</f>
        <v>0</v>
      </c>
    </row>
    <row r="307" s="118" customFormat="true" ht="15" hidden="false" customHeight="false" outlineLevel="0" collapsed="false">
      <c r="B307" s="1104" t="str">
        <f aca="false">'Смета Внутр'!B307</f>
        <v>обвязка несущие перегородки верх низ</v>
      </c>
      <c r="C307" s="1105" t="str">
        <f aca="false">'Смета Внутр'!C307</f>
        <v>м3</v>
      </c>
      <c r="D307" s="1106" t="n">
        <f aca="false">'Смета Внутр'!D307</f>
        <v>0.117</v>
      </c>
      <c r="E307" s="1104"/>
      <c r="F307" s="1107" t="n">
        <f aca="false">'Смета Внутр'!H307</f>
        <v>0</v>
      </c>
    </row>
    <row r="308" s="118" customFormat="true" ht="15" hidden="false" customHeight="false" outlineLevel="0" collapsed="false">
      <c r="B308" s="1104" t="str">
        <f aca="false">'Смета Внутр'!B308</f>
        <v>стойки наружние стены</v>
      </c>
      <c r="C308" s="1105" t="str">
        <f aca="false">'Смета Внутр'!C308</f>
        <v>м3</v>
      </c>
      <c r="D308" s="1106" t="n">
        <f aca="false">'Смета Внутр'!D308</f>
        <v>0</v>
      </c>
      <c r="E308" s="1104"/>
      <c r="F308" s="1107" t="n">
        <f aca="false">'Смета Внутр'!H308</f>
        <v>0</v>
      </c>
    </row>
    <row r="309" s="118" customFormat="true" ht="15" hidden="false" customHeight="false" outlineLevel="0" collapsed="false">
      <c r="B309" s="1104" t="str">
        <f aca="false">'Смета Внутр'!B309</f>
        <v>стойки перегородки несущие</v>
      </c>
      <c r="C309" s="1105" t="str">
        <f aca="false">'Смета Внутр'!C309</f>
        <v>м3</v>
      </c>
      <c r="D309" s="1106" t="n">
        <f aca="false">'Смета Внутр'!D309</f>
        <v>0</v>
      </c>
      <c r="E309" s="1104"/>
      <c r="F309" s="1107" t="n">
        <f aca="false">'Смета Внутр'!H309</f>
        <v>0</v>
      </c>
    </row>
    <row r="310" s="118" customFormat="true" ht="15" hidden="false" customHeight="false" outlineLevel="0" collapsed="false">
      <c r="B310" s="1104" t="str">
        <f aca="false">'Смета Внутр'!B310</f>
        <v>Стойки перегородки простые</v>
      </c>
      <c r="C310" s="1105" t="str">
        <f aca="false">'Смета Внутр'!C310</f>
        <v>м3</v>
      </c>
      <c r="D310" s="1106" t="n">
        <f aca="false">'Смета Внутр'!D310</f>
        <v>0</v>
      </c>
      <c r="E310" s="1104"/>
      <c r="F310" s="1107" t="n">
        <f aca="false">'Смета Внутр'!H310</f>
        <v>0</v>
      </c>
    </row>
    <row r="311" s="118" customFormat="true" ht="15" hidden="false" customHeight="false" outlineLevel="0" collapsed="false">
      <c r="B311" s="1104" t="str">
        <f aca="false">'Смета Внутр'!B311</f>
        <v>брус, обвязка кровли, сип панели</v>
      </c>
      <c r="C311" s="1105" t="str">
        <f aca="false">'Смета Внутр'!C311</f>
        <v>м3</v>
      </c>
      <c r="D311" s="1106" t="n">
        <f aca="false">'Смета Внутр'!D311</f>
        <v>-0.276509716980849</v>
      </c>
      <c r="E311" s="1104"/>
      <c r="F311" s="1107" t="n">
        <f aca="false">'Смета Внутр'!H311</f>
        <v>0</v>
      </c>
    </row>
    <row r="312" s="118" customFormat="true" ht="15" hidden="false" customHeight="false" outlineLevel="0" collapsed="false">
      <c r="B312" s="1104" t="str">
        <f aca="false">'Смета Внутр'!B312</f>
        <v>торцевая доска, кровля, сип панели</v>
      </c>
      <c r="C312" s="1105" t="str">
        <f aca="false">'Смета Внутр'!C312</f>
        <v>м3</v>
      </c>
      <c r="D312" s="1106" t="n">
        <f aca="false">'Смета Внутр'!D312</f>
        <v>0.276509716980849</v>
      </c>
      <c r="E312" s="1104"/>
      <c r="F312" s="1107" t="n">
        <f aca="false">'Смета Внутр'!H312</f>
        <v>0</v>
      </c>
    </row>
    <row r="313" s="118" customFormat="true" ht="15" hidden="false" customHeight="false" outlineLevel="0" collapsed="false">
      <c r="B313" s="1104" t="str">
        <f aca="false">'Смета Внутр'!B313</f>
        <v>Нет </v>
      </c>
      <c r="C313" s="1105" t="str">
        <f aca="false">'Смета Внутр'!C313</f>
        <v>м2</v>
      </c>
      <c r="D313" s="1106" t="n">
        <f aca="false">'Смета Внутр'!D313</f>
        <v>105.780913567754</v>
      </c>
      <c r="E313" s="1104"/>
      <c r="F313" s="1107" t="n">
        <f aca="false">'Смета Внутр'!H313</f>
        <v>0</v>
      </c>
    </row>
    <row r="314" s="118" customFormat="true" ht="15" hidden="false" customHeight="false" outlineLevel="0" collapsed="false">
      <c r="B314" s="1104" t="str">
        <f aca="false">'Смета Внутр'!B314</f>
        <v>Пена монтажная, всесезонняя 800мл</v>
      </c>
      <c r="C314" s="1105" t="str">
        <f aca="false">'Смета Внутр'!C314</f>
        <v>шт</v>
      </c>
      <c r="D314" s="1106" t="n">
        <f aca="false">'Смета Внутр'!D314</f>
        <v>12.8</v>
      </c>
      <c r="E314" s="1104"/>
      <c r="F314" s="1107" t="n">
        <f aca="false">'Смета Внутр'!H314</f>
        <v>0</v>
      </c>
    </row>
    <row r="315" s="118" customFormat="true" ht="15" hidden="false" customHeight="false" outlineLevel="0" collapsed="false">
      <c r="B315" s="1104" t="str">
        <f aca="false">'Смета Внутр'!B315</f>
        <v>Саморезы 3,5 x 55            </v>
      </c>
      <c r="C315" s="1105" t="str">
        <f aca="false">'Смета Внутр'!C315</f>
        <v>кг</v>
      </c>
      <c r="D315" s="1106" t="n">
        <f aca="false">'Смета Внутр'!D315</f>
        <v>11.3187275711836</v>
      </c>
      <c r="E315" s="1104"/>
      <c r="F315" s="1107" t="n">
        <f aca="false">'Смета Внутр'!H315</f>
        <v>0</v>
      </c>
    </row>
    <row r="316" s="118" customFormat="true" ht="15" hidden="false" customHeight="false" outlineLevel="0" collapsed="false">
      <c r="B316" s="1104" t="str">
        <f aca="false">'Смета Внутр'!B316</f>
        <v>Саморезы 4,2 x 90            </v>
      </c>
      <c r="C316" s="1105" t="str">
        <f aca="false">'Смета Внутр'!C316</f>
        <v>шт</v>
      </c>
      <c r="D316" s="1106" t="n">
        <f aca="false">'Смета Внутр'!D316</f>
        <v>11.3187275711836</v>
      </c>
      <c r="E316" s="1104"/>
      <c r="F316" s="1107" t="n">
        <f aca="false">'Смета Внутр'!H316</f>
        <v>0</v>
      </c>
    </row>
    <row r="317" s="118" customFormat="true" ht="15" hidden="false" customHeight="false" outlineLevel="0" collapsed="false">
      <c r="B317" s="1108" t="str">
        <f aca="false">'Смета Внутр'!B317</f>
        <v>Итого материалы</v>
      </c>
      <c r="C317" s="1108"/>
      <c r="D317" s="1108"/>
      <c r="E317" s="1108"/>
      <c r="F317" s="1109" t="n">
        <f aca="false">'Смета Внутр'!G317</f>
        <v>0</v>
      </c>
    </row>
    <row r="318" s="118" customFormat="true" ht="15" hidden="false" customHeight="false" outlineLevel="0" collapsed="false">
      <c r="B318" s="1110" t="str">
        <f aca="false">'Смета Внутр'!B318</f>
        <v>Работы</v>
      </c>
      <c r="C318" s="1110"/>
      <c r="D318" s="1110"/>
      <c r="E318" s="1110"/>
      <c r="F318" s="1102" t="n">
        <f aca="false">'Смета Внутр'!H318</f>
        <v>0</v>
      </c>
    </row>
    <row r="319" s="118" customFormat="true" ht="15" hidden="false" customHeight="false" outlineLevel="0" collapsed="false">
      <c r="B319" s="1104" t="str">
        <f aca="false">'Смета Внутр'!B319</f>
        <v>монтаж обвязочного бруса</v>
      </c>
      <c r="C319" s="1105" t="str">
        <f aca="false">'Смета Внутр'!C319</f>
        <v>м.п.</v>
      </c>
      <c r="D319" s="1106" t="n">
        <f aca="false">'Смета Внутр'!D319</f>
        <v>48</v>
      </c>
      <c r="E319" s="1104"/>
      <c r="F319" s="1107" t="n">
        <f aca="false">'Смета Внутр'!H319</f>
        <v>0</v>
      </c>
    </row>
    <row r="320" s="118" customFormat="true" ht="15" hidden="false" customHeight="false" outlineLevel="0" collapsed="false">
      <c r="B320" s="1104" t="str">
        <f aca="false">'Смета Внутр'!B320</f>
        <v>обработка мастикой</v>
      </c>
      <c r="C320" s="1105" t="str">
        <f aca="false">'Смета Внутр'!C320</f>
        <v>м.п.</v>
      </c>
      <c r="D320" s="1106" t="n">
        <f aca="false">'Смета Внутр'!D320</f>
        <v>48</v>
      </c>
      <c r="E320" s="1104"/>
      <c r="F320" s="1107" t="n">
        <f aca="false">'Смета Внутр'!H320</f>
        <v>0</v>
      </c>
    </row>
    <row r="321" s="118" customFormat="true" ht="15" hidden="false" customHeight="false" outlineLevel="0" collapsed="false">
      <c r="B321" s="1104" t="str">
        <f aca="false">'Смета Внутр'!B321</f>
        <v>монтаж наружних стен сиппанели</v>
      </c>
      <c r="C321" s="1105" t="str">
        <f aca="false">'Смета Внутр'!C321</f>
        <v>м2</v>
      </c>
      <c r="D321" s="1106" t="n">
        <f aca="false">'Смета Внутр'!D321</f>
        <v>0</v>
      </c>
      <c r="E321" s="1104"/>
      <c r="F321" s="1107" t="n">
        <f aca="false">'Смета Внутр'!H321</f>
        <v>0</v>
      </c>
    </row>
    <row r="322" s="118" customFormat="true" ht="15" hidden="false" customHeight="false" outlineLevel="0" collapsed="false">
      <c r="B322" s="1104" t="str">
        <f aca="false">'Смета Внутр'!B322</f>
        <v>Монтаж несущих перегородок сип панели</v>
      </c>
      <c r="C322" s="1105" t="str">
        <f aca="false">'Смета Внутр'!C322</f>
        <v>м2</v>
      </c>
      <c r="D322" s="1106" t="n">
        <f aca="false">'Смета Внутр'!D322</f>
        <v>0</v>
      </c>
      <c r="E322" s="1104"/>
      <c r="F322" s="1107" t="n">
        <f aca="false">'Смета Внутр'!H322</f>
        <v>0</v>
      </c>
    </row>
    <row r="323" s="118" customFormat="true" ht="15" hidden="false" customHeight="false" outlineLevel="0" collapsed="false">
      <c r="B323" s="1104" t="str">
        <f aca="false">'Смета Внутр'!B323</f>
        <v>Монтаж перегородок сип панели</v>
      </c>
      <c r="C323" s="1105" t="str">
        <f aca="false">'Смета Внутр'!C323</f>
        <v>м2</v>
      </c>
      <c r="D323" s="1106" t="n">
        <f aca="false">'Смета Внутр'!D323</f>
        <v>0</v>
      </c>
      <c r="E323" s="1104"/>
      <c r="F323" s="1107" t="n">
        <f aca="false">'Смета Внутр'!H323</f>
        <v>0</v>
      </c>
    </row>
    <row r="324" s="118" customFormat="true" ht="15" hidden="false" customHeight="false" outlineLevel="0" collapsed="false">
      <c r="B324" s="1104" t="str">
        <f aca="false">'Смета Внутр'!B324</f>
        <v>монтаж покрытия кровли</v>
      </c>
      <c r="C324" s="1105" t="str">
        <f aca="false">'Смета Внутр'!C324</f>
        <v>м2</v>
      </c>
      <c r="D324" s="1106" t="n">
        <f aca="false">'Смета Внутр'!D324</f>
        <v>0</v>
      </c>
      <c r="E324" s="1104"/>
      <c r="F324" s="1107" t="n">
        <f aca="false">'Смета Внутр'!H324</f>
        <v>0</v>
      </c>
    </row>
    <row r="325" s="118" customFormat="true" ht="15" hidden="false" customHeight="false" outlineLevel="0" collapsed="false">
      <c r="B325" s="1108" t="str">
        <f aca="false">'Смета Внутр'!B325</f>
        <v>Итого работы</v>
      </c>
      <c r="C325" s="1108"/>
      <c r="D325" s="1108"/>
      <c r="E325" s="1108"/>
      <c r="F325" s="1109" t="n">
        <f aca="false">'Смета Внутр'!G325</f>
        <v>0</v>
      </c>
    </row>
    <row r="326" s="118" customFormat="true" ht="18.75" hidden="false" customHeight="false" outlineLevel="0" collapsed="false">
      <c r="B326" s="1111" t="str">
        <f aca="false">'Смета Внутр'!B326</f>
        <v>Каркасный дом</v>
      </c>
      <c r="C326" s="1111"/>
      <c r="D326" s="1111"/>
      <c r="E326" s="1111"/>
      <c r="F326" s="1120" t="n">
        <f aca="false">'Смета Внутр'!H326</f>
        <v>0</v>
      </c>
    </row>
    <row r="327" s="118" customFormat="true" ht="15" hidden="false" customHeight="false" outlineLevel="0" collapsed="false">
      <c r="B327" s="1103" t="str">
        <f aca="false">'Смета Внутр'!B327</f>
        <v>Материалы</v>
      </c>
      <c r="C327" s="1103"/>
      <c r="D327" s="1103"/>
      <c r="E327" s="1103"/>
      <c r="F327" s="1120" t="n">
        <f aca="false">'Смета Внутр'!H327</f>
        <v>0</v>
      </c>
    </row>
    <row r="328" s="118" customFormat="true" ht="15" hidden="false" customHeight="false" outlineLevel="0" collapsed="false">
      <c r="B328" s="1104" t="str">
        <f aca="false">'Смета Внутр'!B328</f>
        <v>Доска сухая калиброванная, 190*45мм</v>
      </c>
      <c r="C328" s="1105" t="str">
        <f aca="false">'Смета Внутр'!C328</f>
        <v>м3</v>
      </c>
      <c r="D328" s="1106" t="n">
        <f aca="false">'Смета Внутр'!D328</f>
        <v>0.8699625</v>
      </c>
      <c r="E328" s="1104"/>
      <c r="F328" s="1121" t="n">
        <f aca="false">'Смета Внутр'!H328</f>
        <v>0</v>
      </c>
    </row>
    <row r="329" s="118" customFormat="true" ht="15" hidden="false" customHeight="false" outlineLevel="0" collapsed="false">
      <c r="B329" s="1104" t="str">
        <f aca="false">'Смета Внутр'!B329</f>
        <v>Болты анкерные с гайкой 12,0 х 280          </v>
      </c>
      <c r="C329" s="1105" t="str">
        <f aca="false">'Смета Внутр'!C329</f>
        <v>шт</v>
      </c>
      <c r="D329" s="1106" t="n">
        <f aca="false">'Смета Внутр'!D329</f>
        <v>101.75</v>
      </c>
      <c r="E329" s="1104"/>
      <c r="F329" s="1121" t="n">
        <f aca="false">'Смета Внутр'!H329</f>
        <v>0</v>
      </c>
    </row>
    <row r="330" s="118" customFormat="true" ht="15" hidden="false" customHeight="false" outlineLevel="0" collapsed="false">
      <c r="B330" s="1104" t="str">
        <f aca="false">'Смета Внутр'!B330</f>
        <v>Доска сухая калиброванная, 145*45мм</v>
      </c>
      <c r="C330" s="1105" t="str">
        <f aca="false">'Смета Внутр'!C330</f>
        <v>м3</v>
      </c>
      <c r="D330" s="1106" t="n">
        <f aca="false">'Смета Внутр'!D330</f>
        <v>0</v>
      </c>
      <c r="E330" s="1104"/>
      <c r="F330" s="1121" t="n">
        <f aca="false">'Смета Внутр'!H330</f>
        <v>0</v>
      </c>
    </row>
    <row r="331" s="118" customFormat="true" ht="15" hidden="false" customHeight="false" outlineLevel="0" collapsed="false">
      <c r="B331" s="1104" t="str">
        <f aca="false">'Смета Внутр'!B331</f>
        <v>Доска сухая калиброванная, 145*45мм</v>
      </c>
      <c r="C331" s="1105" t="str">
        <f aca="false">'Смета Внутр'!C331</f>
        <v>м3</v>
      </c>
      <c r="D331" s="1106" t="n">
        <f aca="false">'Смета Внутр'!D331</f>
        <v>0</v>
      </c>
      <c r="E331" s="1104"/>
      <c r="F331" s="1121" t="n">
        <f aca="false">'Смета Внутр'!H331</f>
        <v>0</v>
      </c>
    </row>
    <row r="332" s="118" customFormat="true" ht="15" hidden="false" customHeight="false" outlineLevel="0" collapsed="false">
      <c r="B332" s="1104" t="str">
        <f aca="false">'Смета Внутр'!B332</f>
        <v>Доска сухая калиброванная, 100*45мм</v>
      </c>
      <c r="C332" s="1105" t="str">
        <f aca="false">'Смета Внутр'!C332</f>
        <v>м3</v>
      </c>
      <c r="D332" s="1106" t="n">
        <f aca="false">'Смета Внутр'!D332</f>
        <v>0</v>
      </c>
      <c r="E332" s="1104"/>
      <c r="F332" s="1107" t="n">
        <f aca="false">'Смета Внутр'!H332</f>
        <v>0</v>
      </c>
    </row>
    <row r="333" s="118" customFormat="true" ht="15" hidden="false" customHeight="false" outlineLevel="0" collapsed="false">
      <c r="B333" s="1104" t="str">
        <f aca="false">'Смета Внутр'!B333</f>
        <v>Фанера Хвойная, марка ФСФ, 21 мм </v>
      </c>
      <c r="C333" s="1105" t="str">
        <f aca="false">'Смета Внутр'!C333</f>
        <v>м2</v>
      </c>
      <c r="D333" s="1106" t="n">
        <f aca="false">'Смета Внутр'!D333</f>
        <v>104.205408239449</v>
      </c>
      <c r="E333" s="1104"/>
      <c r="F333" s="1121" t="n">
        <f aca="false">'Смета Внутр'!H333</f>
        <v>0</v>
      </c>
    </row>
    <row r="334" s="118" customFormat="true" ht="15" hidden="false" customHeight="false" outlineLevel="0" collapsed="false">
      <c r="B334" s="1104" t="str">
        <f aca="false">'Смета Внутр'!B334</f>
        <v>нет</v>
      </c>
      <c r="C334" s="1105" t="str">
        <f aca="false">'Смета Внутр'!C334</f>
        <v>м.п.</v>
      </c>
      <c r="D334" s="1106" t="n">
        <f aca="false">'Смета Внутр'!D334</f>
        <v>0</v>
      </c>
      <c r="E334" s="1104"/>
      <c r="F334" s="1121" t="n">
        <f aca="false">'Смета Внутр'!H334</f>
        <v>0</v>
      </c>
    </row>
    <row r="335" s="118" customFormat="true" ht="15" hidden="false" customHeight="false" outlineLevel="0" collapsed="false">
      <c r="B335" s="1104" t="str">
        <f aca="false">'Смета Внутр'!B335</f>
        <v>Плитный,28кг/м3, технониколь, 150мм</v>
      </c>
      <c r="C335" s="1105" t="str">
        <f aca="false">'Смета Внутр'!C335</f>
        <v>м3</v>
      </c>
      <c r="D335" s="1106" t="n">
        <f aca="false">'Смета Внутр'!D335</f>
        <v>0</v>
      </c>
      <c r="E335" s="1104"/>
      <c r="F335" s="1121" t="n">
        <f aca="false">'Смета Внутр'!H335</f>
        <v>0</v>
      </c>
    </row>
    <row r="336" s="118" customFormat="true" ht="15" hidden="false" customHeight="false" outlineLevel="0" collapsed="false">
      <c r="B336" s="1104" t="str">
        <f aca="false">'Смета Внутр'!B336</f>
        <v>Плитный,28кг/м3, технониколь, 50мм</v>
      </c>
      <c r="C336" s="1105" t="str">
        <f aca="false">'Смета Внутр'!C336</f>
        <v>м3</v>
      </c>
      <c r="D336" s="1106" t="n">
        <f aca="false">'Смета Внутр'!D336</f>
        <v>0</v>
      </c>
      <c r="E336" s="1104"/>
      <c r="F336" s="1121" t="n">
        <f aca="false">'Смета Внутр'!H336</f>
        <v>0</v>
      </c>
    </row>
    <row r="337" s="118" customFormat="true" ht="15" hidden="false" customHeight="false" outlineLevel="0" collapsed="false">
      <c r="B337" s="1104" t="str">
        <f aca="false">'Смета Внутр'!B337</f>
        <v>нет</v>
      </c>
      <c r="C337" s="1105" t="str">
        <f aca="false">'Смета Внутр'!C337</f>
        <v>м2</v>
      </c>
      <c r="D337" s="1106" t="n">
        <f aca="false">'Смета Внутр'!D337</f>
        <v>0</v>
      </c>
      <c r="E337" s="1104"/>
      <c r="F337" s="1107" t="n">
        <f aca="false">'Смета Внутр'!H337</f>
        <v>0</v>
      </c>
    </row>
    <row r="338" s="118" customFormat="true" ht="15" hidden="false" customHeight="false" outlineLevel="0" collapsed="false">
      <c r="B338" s="1104" t="str">
        <f aca="false">'Смета Внутр'!B338</f>
        <v>нет</v>
      </c>
      <c r="C338" s="1105" t="str">
        <f aca="false">'Смета Внутр'!C338</f>
        <v>м2</v>
      </c>
      <c r="D338" s="1106" t="n">
        <f aca="false">'Смета Внутр'!D338</f>
        <v>0</v>
      </c>
      <c r="E338" s="1104"/>
      <c r="F338" s="1107" t="n">
        <f aca="false">'Смета Внутр'!H338</f>
        <v>0</v>
      </c>
    </row>
    <row r="339" s="118" customFormat="true" ht="15" hidden="false" customHeight="false" outlineLevel="0" collapsed="false">
      <c r="B339" s="1104" t="str">
        <f aca="false">'Смета Внутр'!B339</f>
        <v>нет</v>
      </c>
      <c r="C339" s="1105" t="str">
        <f aca="false">'Смета Внутр'!C339</f>
        <v>м2</v>
      </c>
      <c r="D339" s="1106" t="n">
        <f aca="false">'Смета Внутр'!D339</f>
        <v>0</v>
      </c>
      <c r="E339" s="1104"/>
      <c r="F339" s="1107" t="n">
        <f aca="false">'Смета Внутр'!H339</f>
        <v>0</v>
      </c>
    </row>
    <row r="340" s="118" customFormat="true" ht="15" hidden="false" customHeight="false" outlineLevel="0" collapsed="false">
      <c r="B340" s="1104" t="str">
        <f aca="false">'Смета Внутр'!B340</f>
        <v>Саморезы 3,5 x 25            </v>
      </c>
      <c r="C340" s="1105" t="str">
        <f aca="false">'Смета Внутр'!C340</f>
        <v>шт</v>
      </c>
      <c r="D340" s="1106" t="n">
        <f aca="false">'Смета Внутр'!D340</f>
        <v>0</v>
      </c>
      <c r="E340" s="1104"/>
      <c r="F340" s="1107" t="n">
        <f aca="false">'Смета Внутр'!H340</f>
        <v>0</v>
      </c>
    </row>
    <row r="341" s="118" customFormat="true" ht="15" hidden="false" customHeight="false" outlineLevel="0" collapsed="false">
      <c r="B341" s="1104" t="str">
        <f aca="false">'Смета Внутр'!B341</f>
        <v>Гвозди ершоные 2,8 х 90            </v>
      </c>
      <c r="C341" s="1105" t="str">
        <f aca="false">'Смета Внутр'!C341</f>
        <v>кг</v>
      </c>
      <c r="D341" s="1106" t="n">
        <f aca="false">'Смета Внутр'!D341</f>
        <v>0</v>
      </c>
      <c r="E341" s="1104"/>
      <c r="F341" s="1121" t="n">
        <f aca="false">'Смета Внутр'!H341</f>
        <v>0</v>
      </c>
    </row>
    <row r="342" s="118" customFormat="true" ht="15" hidden="false" customHeight="false" outlineLevel="0" collapsed="false">
      <c r="B342" s="1104" t="str">
        <f aca="false">'Смета Внутр'!B342</f>
        <v>Гвозди ершоные 3,4 x 60            </v>
      </c>
      <c r="C342" s="1105" t="str">
        <f aca="false">'Смета Внутр'!C342</f>
        <v>кг</v>
      </c>
      <c r="D342" s="1106" t="n">
        <f aca="false">'Смета Внутр'!D342</f>
        <v>0</v>
      </c>
      <c r="E342" s="1104"/>
      <c r="F342" s="1121" t="n">
        <f aca="false">'Смета Внутр'!H342</f>
        <v>0</v>
      </c>
    </row>
    <row r="343" s="118" customFormat="true" ht="15" hidden="false" customHeight="false" outlineLevel="0" collapsed="false">
      <c r="B343" s="1104" t="str">
        <f aca="false">'Смета Внутр'!B343</f>
        <v>Универсальная Optima C</v>
      </c>
      <c r="C343" s="1105" t="str">
        <f aca="false">'Смета Внутр'!C343</f>
        <v>м2</v>
      </c>
      <c r="D343" s="1106" t="n">
        <f aca="false">'Смета Внутр'!D343</f>
        <v>0</v>
      </c>
      <c r="E343" s="1104"/>
      <c r="F343" s="1121" t="n">
        <f aca="false">'Смета Внутр'!H343</f>
        <v>0</v>
      </c>
    </row>
    <row r="344" s="118" customFormat="true" ht="15" hidden="false" customHeight="false" outlineLevel="0" collapsed="false">
      <c r="B344" s="1104" t="str">
        <f aca="false">'Смета Внутр'!B344</f>
        <v>Универсальная Optima C</v>
      </c>
      <c r="C344" s="1105" t="str">
        <f aca="false">'Смета Внутр'!C344</f>
        <v>м2</v>
      </c>
      <c r="D344" s="1106" t="n">
        <f aca="false">'Смета Внутр'!D344</f>
        <v>0</v>
      </c>
      <c r="E344" s="1104"/>
      <c r="F344" s="1121" t="n">
        <f aca="false">'Смета Внутр'!H344</f>
        <v>0</v>
      </c>
    </row>
    <row r="345" s="118" customFormat="true" ht="15" hidden="false" customHeight="false" outlineLevel="0" collapsed="false">
      <c r="B345" s="1104" t="str">
        <f aca="false">'Смета Внутр'!B345</f>
        <v>Скобы для степлера, 1000шт/уп</v>
      </c>
      <c r="C345" s="1105" t="str">
        <f aca="false">'Смета Внутр'!C345</f>
        <v>уп</v>
      </c>
      <c r="D345" s="1106" t="n">
        <f aca="false">'Смета Внутр'!D345</f>
        <v>5.5</v>
      </c>
      <c r="E345" s="1104"/>
      <c r="F345" s="1121" t="n">
        <f aca="false">'Смета Внутр'!H345</f>
        <v>0</v>
      </c>
    </row>
    <row r="346" s="118" customFormat="true" ht="15" hidden="false" customHeight="false" outlineLevel="0" collapsed="false">
      <c r="B346" s="1108" t="str">
        <f aca="false">'Смета Внутр'!B346</f>
        <v>Итого материалы</v>
      </c>
      <c r="C346" s="1108"/>
      <c r="D346" s="1108"/>
      <c r="E346" s="1108"/>
      <c r="F346" s="1122" t="n">
        <f aca="false">'Смета Внутр'!G346</f>
        <v>0</v>
      </c>
    </row>
    <row r="347" s="118" customFormat="true" ht="15" hidden="false" customHeight="false" outlineLevel="0" collapsed="false">
      <c r="B347" s="1110" t="str">
        <f aca="false">'Смета Внутр'!B347</f>
        <v>Работы</v>
      </c>
      <c r="C347" s="1110"/>
      <c r="D347" s="1110"/>
      <c r="E347" s="1110"/>
      <c r="F347" s="1120" t="n">
        <f aca="false">'Смета Внутр'!H347</f>
        <v>0</v>
      </c>
    </row>
    <row r="348" s="118" customFormat="true" ht="15" hidden="false" customHeight="false" outlineLevel="0" collapsed="false">
      <c r="B348" s="1104" t="str">
        <f aca="false">'Смета Внутр'!B348</f>
        <v>монтаж обвязки</v>
      </c>
      <c r="C348" s="1105" t="str">
        <f aca="false">'Смета Внутр'!C348</f>
        <v>м.п.</v>
      </c>
      <c r="D348" s="1106" t="n">
        <f aca="false">'Смета Внутр'!D348</f>
        <v>32</v>
      </c>
      <c r="E348" s="1104"/>
      <c r="F348" s="1121" t="n">
        <f aca="false">'Смета Внутр'!H348</f>
        <v>0</v>
      </c>
    </row>
    <row r="349" s="118" customFormat="true" ht="15" hidden="false" customHeight="false" outlineLevel="0" collapsed="false">
      <c r="B349" s="1104" t="str">
        <f aca="false">'Смета Внутр'!B349</f>
        <v>монтаж стен каркаса</v>
      </c>
      <c r="C349" s="1105" t="str">
        <f aca="false">'Смета Внутр'!C349</f>
        <v>м2</v>
      </c>
      <c r="D349" s="1106" t="n">
        <f aca="false">'Смета Внутр'!D349</f>
        <v>0</v>
      </c>
      <c r="E349" s="1104"/>
      <c r="F349" s="1121" t="n">
        <f aca="false">'Смета Внутр'!H349</f>
        <v>0</v>
      </c>
    </row>
    <row r="350" s="118" customFormat="true" ht="15" hidden="false" customHeight="false" outlineLevel="0" collapsed="false">
      <c r="B350" s="1104" t="str">
        <f aca="false">'Смета Внутр'!B350</f>
        <v>Монтаж несущих перегородок</v>
      </c>
      <c r="C350" s="1105" t="str">
        <f aca="false">'Смета Внутр'!C350</f>
        <v>м2</v>
      </c>
      <c r="D350" s="1106" t="n">
        <f aca="false">'Смета Внутр'!D350</f>
        <v>0</v>
      </c>
      <c r="E350" s="1104"/>
      <c r="F350" s="1121" t="n">
        <f aca="false">'Смета Внутр'!H350</f>
        <v>0</v>
      </c>
    </row>
    <row r="351" s="118" customFormat="true" ht="15" hidden="false" customHeight="false" outlineLevel="0" collapsed="false">
      <c r="B351" s="1104" t="str">
        <f aca="false">'Смета Внутр'!B351</f>
        <v>Монтаж перегородок</v>
      </c>
      <c r="C351" s="1105" t="str">
        <f aca="false">'Смета Внутр'!C351</f>
        <v>м2</v>
      </c>
      <c r="D351" s="1106" t="n">
        <f aca="false">'Смета Внутр'!D351</f>
        <v>0</v>
      </c>
      <c r="E351" s="1104"/>
      <c r="F351" s="1107" t="n">
        <f aca="false">'Смета Внутр'!H351</f>
        <v>0</v>
      </c>
    </row>
    <row r="352" s="118" customFormat="true" ht="15" hidden="false" customHeight="false" outlineLevel="0" collapsed="false">
      <c r="B352" s="1104" t="str">
        <f aca="false">'Смета Внутр'!B352</f>
        <v>Монтаж вентиляционного зазора</v>
      </c>
      <c r="C352" s="1105" t="str">
        <f aca="false">'Смета Внутр'!C352</f>
        <v>м2</v>
      </c>
      <c r="D352" s="1106" t="n">
        <f aca="false">'Смета Внутр'!D352</f>
        <v>0</v>
      </c>
      <c r="E352" s="1104"/>
      <c r="F352" s="1121" t="n">
        <f aca="false">'Смета Внутр'!H352</f>
        <v>0</v>
      </c>
    </row>
    <row r="353" s="118" customFormat="true" ht="15" hidden="false" customHeight="false" outlineLevel="0" collapsed="false">
      <c r="B353" s="1104" t="str">
        <f aca="false">'Смета Внутр'!B353</f>
        <v>Монтаж технологического зазора</v>
      </c>
      <c r="C353" s="1105" t="str">
        <f aca="false">'Смета Внутр'!C353</f>
        <v>м2</v>
      </c>
      <c r="D353" s="1106" t="n">
        <f aca="false">'Смета Внутр'!D353</f>
        <v>0</v>
      </c>
      <c r="E353" s="1104"/>
      <c r="F353" s="1121" t="n">
        <f aca="false">'Смета Внутр'!H353</f>
        <v>0</v>
      </c>
    </row>
    <row r="354" s="118" customFormat="true" ht="15" hidden="false" customHeight="false" outlineLevel="0" collapsed="false">
      <c r="B354" s="1104" t="str">
        <f aca="false">'Смета Внутр'!B354</f>
        <v>монтаж ветроизоляции стен</v>
      </c>
      <c r="C354" s="1105" t="str">
        <f aca="false">'Смета Внутр'!C354</f>
        <v>м2</v>
      </c>
      <c r="D354" s="1106" t="n">
        <f aca="false">'Смета Внутр'!D354</f>
        <v>0</v>
      </c>
      <c r="E354" s="1104"/>
      <c r="F354" s="1121" t="n">
        <f aca="false">'Смета Внутр'!H354</f>
        <v>0</v>
      </c>
    </row>
    <row r="355" s="118" customFormat="true" ht="15" hidden="false" customHeight="false" outlineLevel="0" collapsed="false">
      <c r="B355" s="1104" t="str">
        <f aca="false">'Смета Внутр'!B355</f>
        <v>монтаж пароизоляции стен</v>
      </c>
      <c r="C355" s="1105" t="str">
        <f aca="false">'Смета Внутр'!C355</f>
        <v>м2</v>
      </c>
      <c r="D355" s="1106" t="n">
        <f aca="false">'Смета Внутр'!D355</f>
        <v>0</v>
      </c>
      <c r="E355" s="1104"/>
      <c r="F355" s="1121" t="n">
        <f aca="false">'Смета Внутр'!H355</f>
        <v>0</v>
      </c>
    </row>
    <row r="356" s="118" customFormat="true" ht="15" hidden="false" customHeight="false" outlineLevel="0" collapsed="false">
      <c r="B356" s="1104" t="str">
        <f aca="false">'Смета Внутр'!B356</f>
        <v>монтаж osb/фанера наруж стены</v>
      </c>
      <c r="C356" s="1105" t="str">
        <f aca="false">'Смета Внутр'!C356</f>
        <v>м2</v>
      </c>
      <c r="D356" s="1106" t="n">
        <f aca="false">'Смета Внутр'!D356</f>
        <v>0</v>
      </c>
      <c r="E356" s="1104"/>
      <c r="F356" s="1107" t="n">
        <f aca="false">'Смета Внутр'!H356</f>
        <v>0</v>
      </c>
    </row>
    <row r="357" s="118" customFormat="true" ht="15" hidden="false" customHeight="false" outlineLevel="0" collapsed="false">
      <c r="B357" s="1104" t="str">
        <f aca="false">'Смета Внутр'!B357</f>
        <v>монтаж osb/фанера потолок</v>
      </c>
      <c r="C357" s="1105" t="str">
        <f aca="false">'Смета Внутр'!C357</f>
        <v>м2</v>
      </c>
      <c r="D357" s="1106" t="n">
        <f aca="false">'Смета Внутр'!D357</f>
        <v>0</v>
      </c>
      <c r="E357" s="1104"/>
      <c r="F357" s="1107" t="n">
        <f aca="false">'Смета Внутр'!H357</f>
        <v>0</v>
      </c>
    </row>
    <row r="358" s="118" customFormat="true" ht="15" hidden="false" customHeight="false" outlineLevel="0" collapsed="false">
      <c r="B358" s="1104" t="str">
        <f aca="false">'Смета Внутр'!B358</f>
        <v>монтаж osb/фанера перегородки</v>
      </c>
      <c r="C358" s="1105" t="str">
        <f aca="false">'Смета Внутр'!C358</f>
        <v>м2</v>
      </c>
      <c r="D358" s="1106" t="n">
        <f aca="false">'Смета Внутр'!D358</f>
        <v>0</v>
      </c>
      <c r="E358" s="1104"/>
      <c r="F358" s="1107" t="n">
        <f aca="false">'Смета Внутр'!H358</f>
        <v>0</v>
      </c>
    </row>
    <row r="359" s="118" customFormat="true" ht="15" hidden="false" customHeight="false" outlineLevel="0" collapsed="false">
      <c r="B359" s="1104" t="str">
        <f aca="false">'Смета Внутр'!B359</f>
        <v>монтаж osb/фанера пол</v>
      </c>
      <c r="C359" s="1105" t="str">
        <f aca="false">'Смета Внутр'!C359</f>
        <v>м2</v>
      </c>
      <c r="D359" s="1106" t="n">
        <f aca="false">'Смета Внутр'!D359</f>
        <v>94.7321893085902</v>
      </c>
      <c r="E359" s="1104"/>
      <c r="F359" s="1121" t="n">
        <f aca="false">'Смета Внутр'!H359</f>
        <v>0</v>
      </c>
    </row>
    <row r="360" s="118" customFormat="true" ht="15" hidden="false" customHeight="false" outlineLevel="0" collapsed="false">
      <c r="B360" s="1104" t="str">
        <f aca="false">'Смета Внутр'!B360</f>
        <v>утепление наружних стен</v>
      </c>
      <c r="C360" s="1105" t="str">
        <f aca="false">'Смета Внутр'!C360</f>
        <v>м2</v>
      </c>
      <c r="D360" s="1106" t="n">
        <f aca="false">'Смета Внутр'!D360</f>
        <v>0</v>
      </c>
      <c r="E360" s="1104"/>
      <c r="F360" s="1121" t="n">
        <f aca="false">'Смета Внутр'!H360</f>
        <v>0</v>
      </c>
    </row>
    <row r="361" s="118" customFormat="true" ht="15" hidden="false" customHeight="false" outlineLevel="0" collapsed="false">
      <c r="B361" s="1104" t="str">
        <f aca="false">'Смета Внутр'!B361</f>
        <v>Утепление перегородок</v>
      </c>
      <c r="C361" s="1105" t="str">
        <f aca="false">'Смета Внутр'!C361</f>
        <v>м2</v>
      </c>
      <c r="D361" s="1106" t="n">
        <f aca="false">'Смета Внутр'!D361</f>
        <v>0</v>
      </c>
      <c r="E361" s="1104"/>
      <c r="F361" s="1121" t="n">
        <f aca="false">'Смета Внутр'!H361</f>
        <v>0</v>
      </c>
    </row>
    <row r="362" s="118" customFormat="true" ht="15" hidden="false" customHeight="false" outlineLevel="0" collapsed="false">
      <c r="B362" s="1108" t="str">
        <f aca="false">'Смета Внутр'!B362</f>
        <v>Итого работы</v>
      </c>
      <c r="C362" s="1108"/>
      <c r="D362" s="1108"/>
      <c r="E362" s="1108"/>
      <c r="F362" s="1122" t="n">
        <f aca="false">'Смета Внутр'!G362</f>
        <v>0</v>
      </c>
    </row>
    <row r="363" s="118" customFormat="true" ht="18.75" hidden="false" customHeight="false" outlineLevel="0" collapsed="false">
      <c r="B363" s="1111" t="str">
        <f aca="false">'Смета Внутр'!B363</f>
        <v>Дом из Газобетона</v>
      </c>
      <c r="C363" s="1111"/>
      <c r="D363" s="1111"/>
      <c r="E363" s="1111"/>
      <c r="F363" s="1102" t="n">
        <f aca="false">'Смета Внутр'!H363</f>
        <v>0</v>
      </c>
    </row>
    <row r="364" s="118" customFormat="true" ht="15" hidden="false" customHeight="false" outlineLevel="0" collapsed="false">
      <c r="B364" s="1103" t="str">
        <f aca="false">'Смета Внутр'!B364</f>
        <v>Материалы</v>
      </c>
      <c r="C364" s="1103"/>
      <c r="D364" s="1103"/>
      <c r="E364" s="1103"/>
      <c r="F364" s="1102" t="n">
        <f aca="false">'Смета Внутр'!H364</f>
        <v>0</v>
      </c>
    </row>
    <row r="365" s="118" customFormat="true" ht="15" hidden="false" customHeight="false" outlineLevel="0" collapsed="false">
      <c r="B365" s="1104" t="str">
        <f aca="false">'Смета Внутр'!B365</f>
        <v>Газоблок D400 200х300х390 </v>
      </c>
      <c r="C365" s="1105" t="str">
        <f aca="false">'Смета Внутр'!C365</f>
        <v>м3</v>
      </c>
      <c r="D365" s="1106" t="n">
        <f aca="false">'Смета Внутр'!D365</f>
        <v>-4.992</v>
      </c>
      <c r="E365" s="1104"/>
      <c r="F365" s="1107" t="n">
        <f aca="false">'Смета Внутр'!H365</f>
        <v>0</v>
      </c>
    </row>
    <row r="366" s="118" customFormat="true" ht="15" hidden="false" customHeight="false" outlineLevel="0" collapsed="false">
      <c r="B366" s="1104" t="str">
        <f aca="false">'Смета Внутр'!B366</f>
        <v>Газоблок D400 200х200х390 </v>
      </c>
      <c r="C366" s="1105" t="str">
        <f aca="false">'Смета Внутр'!C366</f>
        <v>м3</v>
      </c>
      <c r="D366" s="1106" t="n">
        <f aca="false">'Смета Внутр'!D366</f>
        <v>0</v>
      </c>
      <c r="E366" s="1104"/>
      <c r="F366" s="1107" t="n">
        <f aca="false">'Смета Внутр'!H366</f>
        <v>0</v>
      </c>
    </row>
    <row r="367" s="118" customFormat="true" ht="15" hidden="false" customHeight="false" outlineLevel="0" collapsed="false">
      <c r="B367" s="1104" t="str">
        <f aca="false">'Смета Внутр'!B367</f>
        <v>Газоблок D400 200х100х390 </v>
      </c>
      <c r="C367" s="1105" t="str">
        <f aca="false">'Смета Внутр'!C367</f>
        <v>м3</v>
      </c>
      <c r="D367" s="1106" t="n">
        <f aca="false">'Смета Внутр'!D367</f>
        <v>0</v>
      </c>
      <c r="E367" s="1104"/>
      <c r="F367" s="1107" t="n">
        <f aca="false">'Смета Внутр'!H367</f>
        <v>0</v>
      </c>
    </row>
    <row r="368" s="118" customFormat="true" ht="15" hidden="false" customHeight="false" outlineLevel="0" collapsed="false">
      <c r="B368" s="1104" t="str">
        <f aca="false">'Смета Внутр'!B368</f>
        <v>Газоблок поясной D400 200х300х390 </v>
      </c>
      <c r="C368" s="1105" t="str">
        <f aca="false">'Смета Внутр'!C368</f>
        <v>м3</v>
      </c>
      <c r="D368" s="1106" t="n">
        <f aca="false">'Смета Внутр'!D368</f>
        <v>4.8048</v>
      </c>
      <c r="E368" s="1104"/>
      <c r="F368" s="1107" t="n">
        <f aca="false">'Смета Внутр'!H368</f>
        <v>0</v>
      </c>
    </row>
    <row r="369" s="118" customFormat="true" ht="15" hidden="false" customHeight="false" outlineLevel="0" collapsed="false">
      <c r="B369" s="1104" t="str">
        <f aca="false">'Смета Внутр'!B369</f>
        <v>Поясной 200х300х600 угловой внешний</v>
      </c>
      <c r="C369" s="1105" t="str">
        <f aca="false">'Смета Внутр'!C369</f>
        <v>м3</v>
      </c>
      <c r="D369" s="1106" t="n">
        <f aca="false">'Смета Внутр'!D369</f>
        <v>0.1872</v>
      </c>
      <c r="E369" s="1104"/>
      <c r="F369" s="1107" t="n">
        <f aca="false">'Смета Внутр'!H369</f>
        <v>0</v>
      </c>
    </row>
    <row r="370" s="118" customFormat="true" ht="15" hidden="false" customHeight="false" outlineLevel="0" collapsed="false">
      <c r="B370" s="1104" t="str">
        <f aca="false">'Смета Внутр'!B370</f>
        <v>Поясной 200х300х600 угловой внутренний</v>
      </c>
      <c r="C370" s="1105" t="str">
        <f aca="false">'Смета Внутр'!C370</f>
        <v>м3</v>
      </c>
      <c r="D370" s="1106" t="n">
        <f aca="false">'Смета Внутр'!D370</f>
        <v>0</v>
      </c>
      <c r="E370" s="1104"/>
      <c r="F370" s="1107" t="n">
        <f aca="false">'Смета Внутр'!H370</f>
        <v>0</v>
      </c>
    </row>
    <row r="371" s="118" customFormat="true" ht="15" hidden="false" customHeight="false" outlineLevel="0" collapsed="false">
      <c r="B371" s="1104" t="str">
        <f aca="false">'Смета Внутр'!B371</f>
        <v>200х300х600 угловой внешний</v>
      </c>
      <c r="C371" s="1105" t="str">
        <f aca="false">'Смета Внутр'!C371</f>
        <v>м3</v>
      </c>
      <c r="D371" s="1106" t="n">
        <f aca="false">'Смета Внутр'!D371</f>
        <v>3.168</v>
      </c>
      <c r="E371" s="1104"/>
      <c r="F371" s="1107" t="n">
        <f aca="false">'Смета Внутр'!H371</f>
        <v>0</v>
      </c>
    </row>
    <row r="372" s="118" customFormat="true" ht="15" hidden="false" customHeight="false" outlineLevel="0" collapsed="false">
      <c r="B372" s="1104" t="str">
        <f aca="false">'Смета Внутр'!B372</f>
        <v>200х300х600 угловой внутренний</v>
      </c>
      <c r="C372" s="1105" t="str">
        <f aca="false">'Смета Внутр'!C372</f>
        <v>м4</v>
      </c>
      <c r="D372" s="1106" t="n">
        <f aca="false">'Смета Внутр'!D372</f>
        <v>0</v>
      </c>
      <c r="E372" s="1104"/>
      <c r="F372" s="1107" t="n">
        <f aca="false">'Смета Внутр'!H372</f>
        <v>0</v>
      </c>
    </row>
    <row r="373" s="118" customFormat="true" ht="15" hidden="false" customHeight="false" outlineLevel="0" collapsed="false">
      <c r="B373" s="1104" t="str">
        <f aca="false">'Смета Внутр'!B373</f>
        <v>Клей монтажный ВК-100</v>
      </c>
      <c r="C373" s="1105" t="str">
        <f aca="false">'Смета Внутр'!C373</f>
        <v>меш</v>
      </c>
      <c r="D373" s="1106" t="n">
        <f aca="false">'Смета Внутр'!D373</f>
        <v>0</v>
      </c>
      <c r="E373" s="1104"/>
      <c r="F373" s="1107" t="n">
        <f aca="false">'Смета Внутр'!H373</f>
        <v>0</v>
      </c>
    </row>
    <row r="374" s="118" customFormat="true" ht="15" hidden="false" customHeight="false" outlineLevel="0" collapsed="false">
      <c r="B374" s="1104" t="e">
        <f aca="false">'Смета Внутр'!B374</f>
        <v>#N/A</v>
      </c>
      <c r="C374" s="1105" t="str">
        <f aca="false">'Смета Внутр'!C374</f>
        <v>меш</v>
      </c>
      <c r="D374" s="1106" t="n">
        <f aca="false">'Смета Внутр'!D374</f>
        <v>-5.77047239682</v>
      </c>
      <c r="E374" s="1104"/>
      <c r="F374" s="1107" t="n">
        <f aca="false">'Смета Внутр'!H374</f>
        <v>0</v>
      </c>
    </row>
    <row r="375" s="118" customFormat="true" ht="15" hidden="false" customHeight="false" outlineLevel="0" collapsed="false">
      <c r="B375" s="1104" t="e">
        <f aca="false">'Смета Внутр'!B375</f>
        <v>#N/A</v>
      </c>
      <c r="C375" s="1105" t="str">
        <f aca="false">'Смета Внутр'!C375</f>
        <v>м3</v>
      </c>
      <c r="D375" s="1106" t="n">
        <f aca="false">'Смета Внутр'!D375</f>
        <v>-1.37392199924286</v>
      </c>
      <c r="E375" s="1104"/>
      <c r="F375" s="1107" t="n">
        <f aca="false">'Смета Внутр'!H375</f>
        <v>0</v>
      </c>
    </row>
    <row r="376" s="118" customFormat="true" ht="15" hidden="false" customHeight="false" outlineLevel="0" collapsed="false">
      <c r="B376" s="1104" t="str">
        <f aca="false">'Смета Внутр'!B376</f>
        <v>Доставка песка</v>
      </c>
      <c r="C376" s="1105" t="str">
        <f aca="false">'Смета Внутр'!C376</f>
        <v>маш</v>
      </c>
      <c r="D376" s="1106" t="n">
        <f aca="false">'Смета Внутр'!D376</f>
        <v>0</v>
      </c>
      <c r="E376" s="1104"/>
      <c r="F376" s="1107" t="n">
        <f aca="false">'Смета Внутр'!H376</f>
        <v>0</v>
      </c>
    </row>
    <row r="377" s="118" customFormat="true" ht="15" hidden="false" customHeight="false" outlineLevel="0" collapsed="false">
      <c r="B377" s="1104" t="e">
        <f aca="false">'Смета Внутр'!B377</f>
        <v>#N/A</v>
      </c>
      <c r="C377" s="1105" t="str">
        <f aca="false">'Смета Внутр'!C377</f>
        <v>м3</v>
      </c>
      <c r="D377" s="1106" t="n">
        <f aca="false">'Смета Внутр'!D377</f>
        <v>-1.37392199924286</v>
      </c>
      <c r="E377" s="1104"/>
      <c r="F377" s="1107" t="n">
        <f aca="false">'Смета Внутр'!H377</f>
        <v>0</v>
      </c>
    </row>
    <row r="378" s="118" customFormat="true" ht="15" hidden="false" customHeight="false" outlineLevel="0" collapsed="false">
      <c r="B378" s="1104" t="str">
        <f aca="false">'Смета Внутр'!B378</f>
        <v>Арматура М6 каждый 3-й ряд, 2 нити</v>
      </c>
      <c r="C378" s="1105" t="str">
        <f aca="false">'Смета Внутр'!C378</f>
        <v>м.п.</v>
      </c>
      <c r="D378" s="1106" t="n">
        <f aca="false">'Смета Внутр'!D378</f>
        <v>597.333333333333</v>
      </c>
      <c r="E378" s="1104"/>
      <c r="F378" s="1107" t="n">
        <f aca="false">'Смета Внутр'!H378</f>
        <v>0</v>
      </c>
    </row>
    <row r="379" s="118" customFormat="true" ht="15" hidden="false" customHeight="false" outlineLevel="0" collapsed="false">
      <c r="B379" s="1104" t="str">
        <f aca="false">'Смета Внутр'!B379</f>
        <v>Арматура М6 каждый 3-й ряд, 2 нити</v>
      </c>
      <c r="C379" s="1105" t="str">
        <f aca="false">'Смета Внутр'!C379</f>
        <v>м.п.</v>
      </c>
      <c r="D379" s="1106" t="n">
        <f aca="false">'Смета Внутр'!D379</f>
        <v>100</v>
      </c>
      <c r="E379" s="1104"/>
      <c r="F379" s="1107" t="n">
        <f aca="false">'Смета Внутр'!H379</f>
        <v>0</v>
      </c>
    </row>
    <row r="380" s="118" customFormat="true" ht="15" hidden="false" customHeight="false" outlineLevel="0" collapsed="false">
      <c r="B380" s="1104" t="str">
        <f aca="false">'Смета Внутр'!B380</f>
        <v>Перемычка оконная, 1-ый эт. Вариант 1</v>
      </c>
      <c r="C380" s="1105" t="str">
        <f aca="false">'Смета Внутр'!C380</f>
        <v>м.п.</v>
      </c>
      <c r="D380" s="1106" t="n">
        <f aca="false">'Смета Внутр'!D380</f>
        <v>1</v>
      </c>
      <c r="E380" s="1104"/>
      <c r="F380" s="1107" t="n">
        <f aca="false">'Смета Внутр'!H380</f>
        <v>0</v>
      </c>
    </row>
    <row r="381" s="118" customFormat="true" ht="15" hidden="false" customHeight="false" outlineLevel="0" collapsed="false">
      <c r="B381" s="1104" t="str">
        <f aca="false">'Смета Внутр'!B381</f>
        <v>Перемычка оконная, 1-ый эт. Вариант 2</v>
      </c>
      <c r="C381" s="1105" t="str">
        <f aca="false">'Смета Внутр'!C381</f>
        <v>м.п.</v>
      </c>
      <c r="D381" s="1106" t="n">
        <f aca="false">'Смета Внутр'!D381</f>
        <v>0</v>
      </c>
      <c r="E381" s="1104"/>
      <c r="F381" s="1107" t="n">
        <f aca="false">'Смета Внутр'!H381</f>
        <v>0</v>
      </c>
    </row>
    <row r="382" s="118" customFormat="true" ht="15" hidden="false" customHeight="false" outlineLevel="0" collapsed="false">
      <c r="B382" s="1104" t="str">
        <f aca="false">'Смета Внутр'!B382</f>
        <v>Перемычка оконная, 1-ый эт. Вариант 3</v>
      </c>
      <c r="C382" s="1105" t="str">
        <f aca="false">'Смета Внутр'!C382</f>
        <v>м.п.</v>
      </c>
      <c r="D382" s="1106" t="n">
        <f aca="false">'Смета Внутр'!D382</f>
        <v>0</v>
      </c>
      <c r="E382" s="1104"/>
      <c r="F382" s="1107" t="n">
        <f aca="false">'Смета Внутр'!H382</f>
        <v>0</v>
      </c>
    </row>
    <row r="383" s="118" customFormat="true" ht="15" hidden="false" customHeight="false" outlineLevel="0" collapsed="false">
      <c r="B383" s="1104" t="str">
        <f aca="false">'Смета Внутр'!B383</f>
        <v>Перемычка оконная, 1-ый эт. Вариант 4</v>
      </c>
      <c r="C383" s="1105" t="str">
        <f aca="false">'Смета Внутр'!C383</f>
        <v>м.п.</v>
      </c>
      <c r="D383" s="1106" t="n">
        <f aca="false">'Смета Внутр'!D383</f>
        <v>0</v>
      </c>
      <c r="E383" s="1104"/>
      <c r="F383" s="1107" t="n">
        <f aca="false">'Смета Внутр'!H383</f>
        <v>0</v>
      </c>
    </row>
    <row r="384" s="118" customFormat="true" ht="15" hidden="false" customHeight="false" outlineLevel="0" collapsed="false">
      <c r="B384" s="1104" t="str">
        <f aca="false">'Смета Внутр'!B384</f>
        <v>Перемычка оконная, 1-ый эт. Вариант 5</v>
      </c>
      <c r="C384" s="1105" t="str">
        <f aca="false">'Смета Внутр'!C384</f>
        <v>м.п.</v>
      </c>
      <c r="D384" s="1106" t="n">
        <f aca="false">'Смета Внутр'!D384</f>
        <v>0</v>
      </c>
      <c r="E384" s="1104"/>
      <c r="F384" s="1107" t="n">
        <f aca="false">'Смета Внутр'!H384</f>
        <v>0</v>
      </c>
    </row>
    <row r="385" s="118" customFormat="true" ht="15" hidden="false" customHeight="false" outlineLevel="0" collapsed="false">
      <c r="B385" s="1104" t="str">
        <f aca="false">'Смета Внутр'!B385</f>
        <v>Перемычка оконная, 2-ый эт. Вариант 6</v>
      </c>
      <c r="C385" s="1105" t="str">
        <f aca="false">'Смета Внутр'!C385</f>
        <v>м.п.</v>
      </c>
      <c r="D385" s="1106" t="n">
        <f aca="false">'Смета Внутр'!D385</f>
        <v>0</v>
      </c>
      <c r="E385" s="1104"/>
      <c r="F385" s="1107" t="n">
        <f aca="false">'Смета Внутр'!H385</f>
        <v>0</v>
      </c>
    </row>
    <row r="386" s="118" customFormat="true" ht="15" hidden="false" customHeight="false" outlineLevel="0" collapsed="false">
      <c r="B386" s="1104" t="str">
        <f aca="false">'Смета Внутр'!B386</f>
        <v>Перемычка оконная, 2-ый эт. Вариант 7</v>
      </c>
      <c r="C386" s="1105" t="str">
        <f aca="false">'Смета Внутр'!C386</f>
        <v>м.п.</v>
      </c>
      <c r="D386" s="1106" t="n">
        <f aca="false">'Смета Внутр'!D386</f>
        <v>0</v>
      </c>
      <c r="E386" s="1104"/>
      <c r="F386" s="1107" t="n">
        <f aca="false">'Смета Внутр'!H386</f>
        <v>0</v>
      </c>
    </row>
    <row r="387" s="118" customFormat="true" ht="15" hidden="false" customHeight="false" outlineLevel="0" collapsed="false">
      <c r="B387" s="1104" t="str">
        <f aca="false">'Смета Внутр'!B387</f>
        <v>Перемычка оконная, 2-ый эт. Вариант 8</v>
      </c>
      <c r="C387" s="1105" t="str">
        <f aca="false">'Смета Внутр'!C387</f>
        <v>м.п.</v>
      </c>
      <c r="D387" s="1106" t="n">
        <f aca="false">'Смета Внутр'!D387</f>
        <v>0</v>
      </c>
      <c r="E387" s="1104"/>
      <c r="F387" s="1107" t="n">
        <f aca="false">'Смета Внутр'!H387</f>
        <v>0</v>
      </c>
    </row>
    <row r="388" s="118" customFormat="true" ht="15" hidden="false" customHeight="false" outlineLevel="0" collapsed="false">
      <c r="B388" s="1104" t="str">
        <f aca="false">'Смета Внутр'!B388</f>
        <v>Перемычка оконная, 2-ый эт. Вариант 9</v>
      </c>
      <c r="C388" s="1105" t="str">
        <f aca="false">'Смета Внутр'!C388</f>
        <v>м.п.</v>
      </c>
      <c r="D388" s="1106" t="n">
        <f aca="false">'Смета Внутр'!D388</f>
        <v>0</v>
      </c>
      <c r="E388" s="1104"/>
      <c r="F388" s="1107" t="n">
        <f aca="false">'Смета Внутр'!H388</f>
        <v>0</v>
      </c>
    </row>
    <row r="389" s="118" customFormat="true" ht="15" hidden="false" customHeight="false" outlineLevel="0" collapsed="false">
      <c r="B389" s="1104" t="str">
        <f aca="false">'Смета Внутр'!B389</f>
        <v>Перемычка оконная, 2-ый эт. Вариант 10</v>
      </c>
      <c r="C389" s="1105" t="str">
        <f aca="false">'Смета Внутр'!C389</f>
        <v>м.п.</v>
      </c>
      <c r="D389" s="1106" t="n">
        <f aca="false">'Смета Внутр'!D389</f>
        <v>0</v>
      </c>
      <c r="E389" s="1104"/>
      <c r="F389" s="1107" t="n">
        <f aca="false">'Смета Внутр'!H389</f>
        <v>0</v>
      </c>
    </row>
    <row r="390" s="118" customFormat="true" ht="15" hidden="false" customHeight="false" outlineLevel="0" collapsed="false">
      <c r="B390" s="1104" t="str">
        <f aca="false">'Смета Внутр'!B390</f>
        <v>Перемычка дверная, 1-ый эт. Вариант 1</v>
      </c>
      <c r="C390" s="1105" t="str">
        <f aca="false">'Смета Внутр'!C390</f>
        <v>м.п.</v>
      </c>
      <c r="D390" s="1106" t="n">
        <f aca="false">'Смета Внутр'!D390</f>
        <v>0</v>
      </c>
      <c r="E390" s="1104"/>
      <c r="F390" s="1107" t="n">
        <f aca="false">'Смета Внутр'!H390</f>
        <v>0</v>
      </c>
    </row>
    <row r="391" s="118" customFormat="true" ht="15" hidden="false" customHeight="false" outlineLevel="0" collapsed="false">
      <c r="B391" s="1104" t="str">
        <f aca="false">'Смета Внутр'!B391</f>
        <v>Перемычка дверная, 2-ый эт. Вариант 2</v>
      </c>
      <c r="C391" s="1105" t="str">
        <f aca="false">'Смета Внутр'!C391</f>
        <v>м.п.</v>
      </c>
      <c r="D391" s="1106" t="n">
        <f aca="false">'Смета Внутр'!D391</f>
        <v>0</v>
      </c>
      <c r="E391" s="1104"/>
      <c r="F391" s="1107" t="n">
        <f aca="false">'Смета Внутр'!H391</f>
        <v>0</v>
      </c>
    </row>
    <row r="392" s="118" customFormat="true" ht="15" hidden="false" customHeight="false" outlineLevel="0" collapsed="false">
      <c r="B392" s="1104" t="str">
        <f aca="false">'Смета Внутр'!B392</f>
        <v>Перемычка оконная 1-ый эт, Вариант 11</v>
      </c>
      <c r="C392" s="1105" t="str">
        <f aca="false">'Смета Внутр'!C392</f>
        <v>м.п.</v>
      </c>
      <c r="D392" s="1106" t="n">
        <f aca="false">'Смета Внутр'!D392</f>
        <v>0</v>
      </c>
      <c r="E392" s="1104"/>
      <c r="F392" s="1107" t="n">
        <f aca="false">'Смета Внутр'!H392</f>
        <v>0</v>
      </c>
    </row>
    <row r="393" s="118" customFormat="true" ht="15" hidden="false" customHeight="false" outlineLevel="0" collapsed="false">
      <c r="B393" s="1104" t="str">
        <f aca="false">'Смета Внутр'!B393</f>
        <v>Перемычка оконная 1-ый эт, Вариант 12</v>
      </c>
      <c r="C393" s="1105" t="str">
        <f aca="false">'Смета Внутр'!C393</f>
        <v>м.п.</v>
      </c>
      <c r="D393" s="1106" t="n">
        <f aca="false">'Смета Внутр'!D393</f>
        <v>0</v>
      </c>
      <c r="E393" s="1104"/>
      <c r="F393" s="1107" t="n">
        <f aca="false">'Смета Внутр'!H393</f>
        <v>0</v>
      </c>
    </row>
    <row r="394" s="118" customFormat="true" ht="15" hidden="false" customHeight="false" outlineLevel="0" collapsed="false">
      <c r="B394" s="1104" t="str">
        <f aca="false">'Смета Внутр'!B394</f>
        <v>Перемычка дверная, 1-ый эт. Вариант 4</v>
      </c>
      <c r="C394" s="1105" t="str">
        <f aca="false">'Смета Внутр'!C394</f>
        <v>м.п.</v>
      </c>
      <c r="D394" s="1106" t="n">
        <f aca="false">'Смета Внутр'!D394</f>
        <v>3</v>
      </c>
      <c r="E394" s="1104"/>
      <c r="F394" s="1107" t="n">
        <f aca="false">'Смета Внутр'!H394</f>
        <v>0</v>
      </c>
    </row>
    <row r="395" s="118" customFormat="true" ht="15" hidden="false" customHeight="false" outlineLevel="0" collapsed="false">
      <c r="B395" s="1104" t="str">
        <f aca="false">'Смета Внутр'!B395</f>
        <v>Перемычка дверная, 1-ый эт. Вариант 5</v>
      </c>
      <c r="C395" s="1105" t="str">
        <f aca="false">'Смета Внутр'!C395</f>
        <v>м.п.</v>
      </c>
      <c r="D395" s="1106" t="n">
        <f aca="false">'Смета Внутр'!D395</f>
        <v>0</v>
      </c>
      <c r="E395" s="1104"/>
      <c r="F395" s="1107" t="n">
        <f aca="false">'Смета Внутр'!H395</f>
        <v>0</v>
      </c>
    </row>
    <row r="396" s="118" customFormat="true" ht="15" hidden="false" customHeight="false" outlineLevel="0" collapsed="false">
      <c r="B396" s="1104" t="str">
        <f aca="false">'Смета Внутр'!B396</f>
        <v>Перемычка дверная, 1-ый эт. Вариант 6</v>
      </c>
      <c r="C396" s="1105" t="str">
        <f aca="false">'Смета Внутр'!C396</f>
        <v>м.п.</v>
      </c>
      <c r="D396" s="1106" t="n">
        <f aca="false">'Смета Внутр'!D396</f>
        <v>0</v>
      </c>
      <c r="E396" s="1104"/>
      <c r="F396" s="1107" t="n">
        <f aca="false">'Смета Внутр'!H396</f>
        <v>0</v>
      </c>
    </row>
    <row r="397" s="118" customFormat="true" ht="15" hidden="false" customHeight="false" outlineLevel="0" collapsed="false">
      <c r="B397" s="1104" t="str">
        <f aca="false">'Смета Внутр'!B397</f>
        <v>Перемычка дверная, 2-ый эт. Вариант 7</v>
      </c>
      <c r="C397" s="1105" t="str">
        <f aca="false">'Смета Внутр'!C397</f>
        <v>м.п.</v>
      </c>
      <c r="D397" s="1106" t="n">
        <f aca="false">'Смета Внутр'!D397</f>
        <v>0</v>
      </c>
      <c r="E397" s="1104"/>
      <c r="F397" s="1107" t="n">
        <f aca="false">'Смета Внутр'!H397</f>
        <v>0</v>
      </c>
    </row>
    <row r="398" s="118" customFormat="true" ht="15" hidden="false" customHeight="false" outlineLevel="0" collapsed="false">
      <c r="B398" s="1104" t="str">
        <f aca="false">'Смета Внутр'!B398</f>
        <v>Перемычка дверная, 2-ый эт. Вариант 8</v>
      </c>
      <c r="C398" s="1105" t="str">
        <f aca="false">'Смета Внутр'!C398</f>
        <v>м.п.</v>
      </c>
      <c r="D398" s="1106" t="n">
        <f aca="false">'Смета Внутр'!D398</f>
        <v>0</v>
      </c>
      <c r="E398" s="1104"/>
      <c r="F398" s="1107" t="n">
        <f aca="false">'Смета Внутр'!H398</f>
        <v>0</v>
      </c>
    </row>
    <row r="399" s="118" customFormat="true" ht="15" hidden="false" customHeight="false" outlineLevel="0" collapsed="false">
      <c r="B399" s="1104" t="str">
        <f aca="false">'Смета Внутр'!B399</f>
        <v>Перемычка дверная, 2-ый эт. Вариант 9</v>
      </c>
      <c r="C399" s="1105" t="str">
        <f aca="false">'Смета Внутр'!C399</f>
        <v>м.п.</v>
      </c>
      <c r="D399" s="1106" t="n">
        <f aca="false">'Смета Внутр'!D399</f>
        <v>0</v>
      </c>
      <c r="E399" s="1104"/>
      <c r="F399" s="1107" t="n">
        <f aca="false">'Смета Внутр'!H399</f>
        <v>0</v>
      </c>
    </row>
    <row r="400" s="118" customFormat="true" ht="15" hidden="false" customHeight="false" outlineLevel="0" collapsed="false">
      <c r="B400" s="1104" t="str">
        <f aca="false">'Смета Внутр'!B400</f>
        <v>Перемычка проема, 1-ый эт. Вариант 10</v>
      </c>
      <c r="C400" s="1105" t="str">
        <f aca="false">'Смета Внутр'!C400</f>
        <v>м.п.</v>
      </c>
      <c r="D400" s="1106" t="n">
        <f aca="false">'Смета Внутр'!D400</f>
        <v>0</v>
      </c>
      <c r="E400" s="1104"/>
      <c r="F400" s="1107" t="n">
        <f aca="false">'Смета Внутр'!H400</f>
        <v>0</v>
      </c>
    </row>
    <row r="401" s="118" customFormat="true" ht="15" hidden="false" customHeight="false" outlineLevel="0" collapsed="false">
      <c r="B401" s="1104" t="str">
        <f aca="false">'Смета Внутр'!B401</f>
        <v>Перемычка проема, 1-ый эт. Вариант 11</v>
      </c>
      <c r="C401" s="1105" t="str">
        <f aca="false">'Смета Внутр'!C401</f>
        <v>м.п.</v>
      </c>
      <c r="D401" s="1106" t="n">
        <f aca="false">'Смета Внутр'!D401</f>
        <v>0</v>
      </c>
      <c r="E401" s="1104"/>
      <c r="F401" s="1107" t="n">
        <f aca="false">'Смета Внутр'!H401</f>
        <v>0</v>
      </c>
    </row>
    <row r="402" s="118" customFormat="true" ht="15" hidden="false" customHeight="false" outlineLevel="0" collapsed="false">
      <c r="B402" s="1104" t="str">
        <f aca="false">'Смета Внутр'!B402</f>
        <v>Перемычка проема, 2-ый эт. Вариант 12</v>
      </c>
      <c r="C402" s="1105" t="str">
        <f aca="false">'Смета Внутр'!C402</f>
        <v>м.п.</v>
      </c>
      <c r="D402" s="1106" t="n">
        <f aca="false">'Смета Внутр'!D402</f>
        <v>0</v>
      </c>
      <c r="E402" s="1104"/>
      <c r="F402" s="1107" t="n">
        <f aca="false">'Смета Внутр'!H402</f>
        <v>0</v>
      </c>
    </row>
    <row r="403" s="118" customFormat="true" ht="15" hidden="false" customHeight="false" outlineLevel="0" collapsed="false">
      <c r="B403" s="1104" t="str">
        <f aca="false">'Смета Внутр'!B403</f>
        <v>Перемычка проема, 2-ый эт. Вариант 13</v>
      </c>
      <c r="C403" s="1105" t="str">
        <f aca="false">'Смета Внутр'!C403</f>
        <v>м.п.</v>
      </c>
      <c r="D403" s="1106" t="n">
        <f aca="false">'Смета Внутр'!D403</f>
        <v>0</v>
      </c>
      <c r="E403" s="1104"/>
      <c r="F403" s="1107" t="n">
        <f aca="false">'Смета Внутр'!H403</f>
        <v>0</v>
      </c>
    </row>
    <row r="404" s="118" customFormat="true" ht="15" hidden="false" customHeight="false" outlineLevel="0" collapsed="false">
      <c r="B404" s="1104" t="str">
        <f aca="false">'Смета Внутр'!B404</f>
        <v>Перемычка дверная, 1-ый эт. Вариант 1</v>
      </c>
      <c r="C404" s="1105" t="str">
        <f aca="false">'Смета Внутр'!C404</f>
        <v>м.п.</v>
      </c>
      <c r="D404" s="1106" t="n">
        <f aca="false">'Смета Внутр'!D404</f>
        <v>0</v>
      </c>
      <c r="E404" s="1104"/>
      <c r="F404" s="1107" t="n">
        <f aca="false">'Смета Внутр'!H404</f>
        <v>0</v>
      </c>
    </row>
    <row r="405" s="118" customFormat="true" ht="15" hidden="false" customHeight="false" outlineLevel="0" collapsed="false">
      <c r="B405" s="1104" t="str">
        <f aca="false">'Смета Внутр'!B405</f>
        <v>Перемычка дверная, 1-ый эт. Вариант 2</v>
      </c>
      <c r="C405" s="1105" t="str">
        <f aca="false">'Смета Внутр'!C405</f>
        <v>м.п.</v>
      </c>
      <c r="D405" s="1106" t="n">
        <f aca="false">'Смета Внутр'!D405</f>
        <v>1</v>
      </c>
      <c r="E405" s="1104"/>
      <c r="F405" s="1107" t="n">
        <f aca="false">'Смета Внутр'!H405</f>
        <v>0</v>
      </c>
    </row>
    <row r="406" s="118" customFormat="true" ht="15" hidden="false" customHeight="false" outlineLevel="0" collapsed="false">
      <c r="B406" s="1104" t="str">
        <f aca="false">'Смета Внутр'!B406</f>
        <v>Перемычка дверная, 1-ый эт. Вариант 3</v>
      </c>
      <c r="C406" s="1105" t="str">
        <f aca="false">'Смета Внутр'!C406</f>
        <v>м.п.</v>
      </c>
      <c r="D406" s="1106" t="n">
        <f aca="false">'Смета Внутр'!D406</f>
        <v>0</v>
      </c>
      <c r="E406" s="1104"/>
      <c r="F406" s="1107" t="n">
        <f aca="false">'Смета Внутр'!H406</f>
        <v>0</v>
      </c>
    </row>
    <row r="407" s="118" customFormat="true" ht="15" hidden="false" customHeight="false" outlineLevel="0" collapsed="false">
      <c r="B407" s="1104" t="str">
        <f aca="false">'Смета Внутр'!B407</f>
        <v>Сосна влаж,200*40мм</v>
      </c>
      <c r="C407" s="1105" t="str">
        <f aca="false">'Смета Внутр'!C407</f>
        <v>м3</v>
      </c>
      <c r="D407" s="1106" t="n">
        <f aca="false">'Смета Внутр'!D407</f>
        <v>1.8512</v>
      </c>
      <c r="E407" s="1104"/>
      <c r="F407" s="1107" t="n">
        <f aca="false">'Смета Внутр'!H407</f>
        <v>0</v>
      </c>
    </row>
    <row r="408" s="118" customFormat="true" ht="15" hidden="false" customHeight="false" outlineLevel="0" collapsed="false">
      <c r="B408" s="1104" t="str">
        <f aca="false">'Смета Внутр'!B408</f>
        <v>Сейсмопояс Арматура М10 4 нити</v>
      </c>
      <c r="C408" s="1105" t="str">
        <f aca="false">'Смета Внутр'!C408</f>
        <v>м.п.</v>
      </c>
      <c r="D408" s="1106" t="n">
        <f aca="false">'Смета Внутр'!D408</f>
        <v>281.6</v>
      </c>
      <c r="E408" s="1104"/>
      <c r="F408" s="1107" t="n">
        <f aca="false">'Смета Внутр'!H408</f>
        <v>0</v>
      </c>
    </row>
    <row r="409" s="118" customFormat="true" ht="15" hidden="false" customHeight="false" outlineLevel="0" collapsed="false">
      <c r="B409" s="1104" t="str">
        <f aca="false">'Смета Внутр'!B409</f>
        <v>Хомут для сейсмопояса Арматура М6, шаг 400мм</v>
      </c>
      <c r="C409" s="1105" t="str">
        <f aca="false">'Смета Внутр'!C409</f>
        <v>м.п.</v>
      </c>
      <c r="D409" s="1106" t="n">
        <f aca="false">'Смета Внутр'!D409</f>
        <v>144</v>
      </c>
      <c r="E409" s="1104"/>
      <c r="F409" s="1107" t="n">
        <f aca="false">'Смета Внутр'!H409</f>
        <v>0</v>
      </c>
    </row>
    <row r="410" s="118" customFormat="true" ht="15" hidden="false" customHeight="false" outlineLevel="0" collapsed="false">
      <c r="B410" s="1104" t="str">
        <f aca="false">'Смета Внутр'!B410</f>
        <v>Бетон, м300</v>
      </c>
      <c r="C410" s="1105" t="str">
        <f aca="false">'Смета Внутр'!C410</f>
        <v>м3</v>
      </c>
      <c r="D410" s="1106" t="n">
        <f aca="false">'Смета Внутр'!D410</f>
        <v>2.8833</v>
      </c>
      <c r="E410" s="1104"/>
      <c r="F410" s="1107" t="n">
        <f aca="false">'Смета Внутр'!H410</f>
        <v>0</v>
      </c>
    </row>
    <row r="411" s="118" customFormat="true" ht="15" hidden="false" customHeight="false" outlineLevel="0" collapsed="false">
      <c r="B411" s="1104" t="str">
        <f aca="false">'Смета Внутр'!B411</f>
        <v>Нет</v>
      </c>
      <c r="C411" s="1105" t="str">
        <f aca="false">'Смета Внутр'!C411</f>
        <v>м3</v>
      </c>
      <c r="D411" s="1106" t="n">
        <f aca="false">'Смета Внутр'!D411</f>
        <v>0</v>
      </c>
      <c r="E411" s="1104"/>
      <c r="F411" s="1107" t="n">
        <f aca="false">'Смета Внутр'!H411</f>
        <v>0</v>
      </c>
    </row>
    <row r="412" s="118" customFormat="true" ht="15" hidden="false" customHeight="false" outlineLevel="0" collapsed="false">
      <c r="B412" s="1104" t="str">
        <f aca="false">'Смета Внутр'!B412</f>
        <v>Грибок для крепления утеплителя</v>
      </c>
      <c r="C412" s="1105" t="str">
        <f aca="false">'Смета Внутр'!C412</f>
        <v>шт</v>
      </c>
      <c r="D412" s="1106" t="n">
        <f aca="false">'Смета Внутр'!D412</f>
        <v>0</v>
      </c>
      <c r="E412" s="1104"/>
      <c r="F412" s="1107" t="n">
        <f aca="false">'Смета Внутр'!H412</f>
        <v>0</v>
      </c>
    </row>
    <row r="413" s="118" customFormat="true" ht="15" hidden="false" customHeight="false" outlineLevel="0" collapsed="false">
      <c r="B413" s="1104" t="str">
        <f aca="false">'Смета Внутр'!B413</f>
        <v>нет ветроизоляции</v>
      </c>
      <c r="C413" s="1105" t="str">
        <f aca="false">'Смета Внутр'!C413</f>
        <v>м2</v>
      </c>
      <c r="D413" s="1106" t="n">
        <f aca="false">'Смета Внутр'!D413</f>
        <v>0</v>
      </c>
      <c r="E413" s="1104"/>
      <c r="F413" s="1107" t="n">
        <f aca="false">'Смета Внутр'!H413</f>
        <v>0</v>
      </c>
    </row>
    <row r="414" s="118" customFormat="true" ht="15" hidden="false" customHeight="false" outlineLevel="0" collapsed="false">
      <c r="B414" s="1108" t="str">
        <f aca="false">'Смета Внутр'!B414</f>
        <v>Итого материалы</v>
      </c>
      <c r="C414" s="1108"/>
      <c r="D414" s="1108"/>
      <c r="E414" s="1108"/>
      <c r="F414" s="1109" t="n">
        <f aca="false">'Смета Внутр'!G414</f>
        <v>0</v>
      </c>
    </row>
    <row r="415" s="118" customFormat="true" ht="15" hidden="false" customHeight="false" outlineLevel="0" collapsed="false">
      <c r="B415" s="1110" t="str">
        <f aca="false">'Смета Внутр'!B415</f>
        <v>Работы</v>
      </c>
      <c r="C415" s="1110"/>
      <c r="D415" s="1110"/>
      <c r="E415" s="1110"/>
      <c r="F415" s="1102" t="n">
        <f aca="false">'Смета Внутр'!H415</f>
        <v>0</v>
      </c>
    </row>
    <row r="416" s="118" customFormat="true" ht="15" hidden="false" customHeight="false" outlineLevel="0" collapsed="false">
      <c r="B416" s="1104" t="str">
        <f aca="false">'Смета Внутр'!B416</f>
        <v>кладка газобетона несущие стены</v>
      </c>
      <c r="C416" s="1105" t="str">
        <f aca="false">'Смета Внутр'!C416</f>
        <v>м3</v>
      </c>
      <c r="D416" s="1106" t="n">
        <f aca="false">'Смета Внутр'!D416</f>
        <v>-4.992</v>
      </c>
      <c r="E416" s="1104"/>
      <c r="F416" s="1107" t="n">
        <f aca="false">'Смета Внутр'!H416</f>
        <v>0</v>
      </c>
    </row>
    <row r="417" s="118" customFormat="true" ht="15" hidden="false" customHeight="false" outlineLevel="0" collapsed="false">
      <c r="B417" s="1104" t="str">
        <f aca="false">'Смета Внутр'!B417</f>
        <v>кладка газобетона несущие перегородки</v>
      </c>
      <c r="C417" s="1105" t="str">
        <f aca="false">'Смета Внутр'!C417</f>
        <v>м3</v>
      </c>
      <c r="D417" s="1106" t="n">
        <f aca="false">'Смета Внутр'!D417</f>
        <v>0</v>
      </c>
      <c r="E417" s="1104"/>
      <c r="F417" s="1107" t="n">
        <f aca="false">'Смета Внутр'!H417</f>
        <v>0</v>
      </c>
    </row>
    <row r="418" s="118" customFormat="true" ht="15" hidden="false" customHeight="false" outlineLevel="0" collapsed="false">
      <c r="B418" s="1104" t="str">
        <f aca="false">'Смета Внутр'!B418</f>
        <v>кладка газобетона перегородки</v>
      </c>
      <c r="C418" s="1105" t="str">
        <f aca="false">'Смета Внутр'!C418</f>
        <v>м2</v>
      </c>
      <c r="D418" s="1106" t="n">
        <f aca="false">'Смета Внутр'!D418</f>
        <v>0</v>
      </c>
      <c r="E418" s="1104"/>
      <c r="F418" s="1107" t="n">
        <f aca="false">'Смета Внутр'!H418</f>
        <v>0</v>
      </c>
    </row>
    <row r="419" s="118" customFormat="true" ht="15" hidden="false" customHeight="false" outlineLevel="0" collapsed="false">
      <c r="B419" s="1104" t="str">
        <f aca="false">'Смета Внутр'!B419</f>
        <v>изготовление и монтаж перемычек для окон и дверей</v>
      </c>
      <c r="C419" s="1105" t="str">
        <f aca="false">'Смета Внутр'!C419</f>
        <v>м.п.</v>
      </c>
      <c r="D419" s="1106" t="n">
        <f aca="false">'Смета Внутр'!D419</f>
        <v>10.49</v>
      </c>
      <c r="E419" s="1104"/>
      <c r="F419" s="1107" t="n">
        <f aca="false">'Смета Внутр'!H419</f>
        <v>0</v>
      </c>
    </row>
    <row r="420" s="118" customFormat="true" ht="15" hidden="false" customHeight="false" outlineLevel="0" collapsed="false">
      <c r="B420" s="1104" t="str">
        <f aca="false">'Смета Внутр'!B420</f>
        <v>Замешивание раствора</v>
      </c>
      <c r="C420" s="1105" t="str">
        <f aca="false">'Смета Внутр'!C420</f>
        <v>м3</v>
      </c>
      <c r="D420" s="1106" t="n">
        <f aca="false">'Смета Внутр'!D420</f>
        <v>-1.37392199924286</v>
      </c>
      <c r="E420" s="1104"/>
      <c r="F420" s="1107" t="n">
        <f aca="false">'Смета Внутр'!H420</f>
        <v>0</v>
      </c>
    </row>
    <row r="421" s="118" customFormat="true" ht="15" hidden="false" customHeight="false" outlineLevel="0" collapsed="false">
      <c r="B421" s="1104" t="str">
        <f aca="false">'Смета Внутр'!B421</f>
        <v>Армирование стен наружних и перегородок</v>
      </c>
      <c r="C421" s="1105" t="str">
        <f aca="false">'Смета Внутр'!C421</f>
        <v>м.п.</v>
      </c>
      <c r="D421" s="1106" t="n">
        <f aca="false">'Смета Внутр'!D421</f>
        <v>348.666666666667</v>
      </c>
      <c r="E421" s="1104"/>
      <c r="F421" s="1107" t="n">
        <f aca="false">'Смета Внутр'!H421</f>
        <v>0</v>
      </c>
    </row>
    <row r="422" s="118" customFormat="true" ht="15" hidden="false" customHeight="false" outlineLevel="0" collapsed="false">
      <c r="B422" s="1104" t="str">
        <f aca="false">'Смета Внутр'!B422</f>
        <v>Установка опалубки для сейсмопояса</v>
      </c>
      <c r="C422" s="1105" t="str">
        <f aca="false">'Смета Внутр'!C422</f>
        <v>м.п.</v>
      </c>
      <c r="D422" s="1106" t="n">
        <f aca="false">'Смета Внутр'!D422</f>
        <v>76.5</v>
      </c>
      <c r="E422" s="1104"/>
      <c r="F422" s="1107" t="n">
        <f aca="false">'Смета Внутр'!H422</f>
        <v>0</v>
      </c>
    </row>
    <row r="423" s="118" customFormat="true" ht="15" hidden="false" customHeight="false" outlineLevel="0" collapsed="false">
      <c r="B423" s="1104" t="str">
        <f aca="false">'Смета Внутр'!B423</f>
        <v>Армирование сейсмопояса</v>
      </c>
      <c r="C423" s="1105" t="str">
        <f aca="false">'Смета Внутр'!C423</f>
        <v>м.п.</v>
      </c>
      <c r="D423" s="1106" t="n">
        <f aca="false">'Смета Внутр'!D423</f>
        <v>76.5</v>
      </c>
      <c r="E423" s="1104"/>
      <c r="F423" s="1107" t="n">
        <f aca="false">'Смета Внутр'!H423</f>
        <v>0</v>
      </c>
    </row>
    <row r="424" s="118" customFormat="true" ht="15" hidden="false" customHeight="false" outlineLevel="0" collapsed="false">
      <c r="B424" s="1104" t="str">
        <f aca="false">'Смета Внутр'!B424</f>
        <v>Заливка бетоном сейсмопояса</v>
      </c>
      <c r="C424" s="1105" t="str">
        <f aca="false">'Смета Внутр'!C424</f>
        <v>м.п.</v>
      </c>
      <c r="D424" s="1106" t="n">
        <f aca="false">'Смета Внутр'!D424</f>
        <v>76.5</v>
      </c>
      <c r="E424" s="1104"/>
      <c r="F424" s="1107" t="n">
        <f aca="false">'Смета Внутр'!H424</f>
        <v>0</v>
      </c>
    </row>
    <row r="425" s="118" customFormat="true" ht="15" hidden="false" customHeight="false" outlineLevel="0" collapsed="false">
      <c r="B425" s="1104" t="str">
        <f aca="false">'Смета Внутр'!B425</f>
        <v>утепление стен снаружи дома</v>
      </c>
      <c r="C425" s="1105" t="str">
        <f aca="false">'Смета Внутр'!C425</f>
        <v>м2</v>
      </c>
      <c r="D425" s="1106" t="n">
        <f aca="false">'Смета Внутр'!D425</f>
        <v>0</v>
      </c>
      <c r="E425" s="1104"/>
      <c r="F425" s="1107" t="n">
        <f aca="false">'Смета Внутр'!H425</f>
        <v>0</v>
      </c>
    </row>
    <row r="426" s="118" customFormat="true" ht="15" hidden="false" customHeight="false" outlineLevel="0" collapsed="false">
      <c r="B426" s="1104" t="str">
        <f aca="false">'Смета Внутр'!B426</f>
        <v>монтаж ветроизоляции стен</v>
      </c>
      <c r="C426" s="1105" t="str">
        <f aca="false">'Смета Внутр'!C426</f>
        <v>м2</v>
      </c>
      <c r="D426" s="1106" t="n">
        <f aca="false">'Смета Внутр'!D426</f>
        <v>0</v>
      </c>
      <c r="E426" s="1104"/>
      <c r="F426" s="1107" t="n">
        <f aca="false">'Смета Внутр'!H426</f>
        <v>0</v>
      </c>
    </row>
    <row r="427" s="118" customFormat="true" ht="15" hidden="false" customHeight="false" outlineLevel="0" collapsed="false">
      <c r="B427" s="1108" t="str">
        <f aca="false">'Смета Внутр'!B427</f>
        <v>Итого работы</v>
      </c>
      <c r="C427" s="1108"/>
      <c r="D427" s="1108"/>
      <c r="E427" s="1108"/>
      <c r="F427" s="1109" t="n">
        <f aca="false">'Смета Внутр'!G427</f>
        <v>0</v>
      </c>
    </row>
    <row r="428" s="118" customFormat="true" ht="18.75" hidden="false" customHeight="false" outlineLevel="0" collapsed="false">
      <c r="B428" s="1111" t="str">
        <f aca="false">'Смета Внутр'!B428</f>
        <v>Дом из Пенобетона</v>
      </c>
      <c r="C428" s="1111"/>
      <c r="D428" s="1111"/>
      <c r="E428" s="1111"/>
      <c r="F428" s="1102" t="n">
        <f aca="false">'Смета Внутр'!H428</f>
        <v>0</v>
      </c>
    </row>
    <row r="429" s="118" customFormat="true" ht="15" hidden="false" customHeight="false" outlineLevel="0" collapsed="false">
      <c r="B429" s="1103" t="str">
        <f aca="false">'Смета Внутр'!B429</f>
        <v>Материалы</v>
      </c>
      <c r="C429" s="1103"/>
      <c r="D429" s="1103"/>
      <c r="E429" s="1103"/>
      <c r="F429" s="1102" t="n">
        <f aca="false">'Смета Внутр'!H429</f>
        <v>0</v>
      </c>
    </row>
    <row r="430" s="118" customFormat="true" ht="15" hidden="false" customHeight="false" outlineLevel="0" collapsed="false">
      <c r="B430" s="1104" t="str">
        <f aca="false">'Смета Внутр'!B430</f>
        <v>Пенобетон 200x300x600</v>
      </c>
      <c r="C430" s="1105" t="str">
        <f aca="false">'Смета Внутр'!C430</f>
        <v>м3</v>
      </c>
      <c r="D430" s="1106" t="n">
        <f aca="false">'Смета Внутр'!D430</f>
        <v>0</v>
      </c>
      <c r="E430" s="1104"/>
      <c r="F430" s="1107" t="n">
        <f aca="false">'Смета Внутр'!H430</f>
        <v>0</v>
      </c>
    </row>
    <row r="431" s="118" customFormat="true" ht="15" hidden="false" customHeight="false" outlineLevel="0" collapsed="false">
      <c r="B431" s="1104" t="str">
        <f aca="false">'Смета Внутр'!B431</f>
        <v>Пенобетон 200x150x600</v>
      </c>
      <c r="C431" s="1105" t="str">
        <f aca="false">'Смета Внутр'!C431</f>
        <v>м3</v>
      </c>
      <c r="D431" s="1106" t="n">
        <f aca="false">'Смета Внутр'!D431</f>
        <v>0</v>
      </c>
      <c r="E431" s="1104"/>
      <c r="F431" s="1107" t="n">
        <f aca="false">'Смета Внутр'!H431</f>
        <v>0</v>
      </c>
    </row>
    <row r="432" s="118" customFormat="true" ht="15" hidden="false" customHeight="false" outlineLevel="0" collapsed="false">
      <c r="B432" s="1104" t="str">
        <f aca="false">'Смета Внутр'!B432</f>
        <v>Пенобетон 200x150x600</v>
      </c>
      <c r="C432" s="1105" t="str">
        <f aca="false">'Смета Внутр'!C432</f>
        <v>м3</v>
      </c>
      <c r="D432" s="1106" t="n">
        <f aca="false">'Смета Внутр'!D432</f>
        <v>0</v>
      </c>
      <c r="E432" s="1104"/>
      <c r="F432" s="1107" t="n">
        <f aca="false">'Смета Внутр'!H432</f>
        <v>0</v>
      </c>
    </row>
    <row r="433" s="118" customFormat="true" ht="15" hidden="false" customHeight="false" outlineLevel="0" collapsed="false">
      <c r="B433" s="1104" t="str">
        <f aca="false">'Смета Внутр'!B433</f>
        <v>Клей монтажный ВК-100</v>
      </c>
      <c r="C433" s="1105" t="str">
        <f aca="false">'Смета Внутр'!C433</f>
        <v>меш</v>
      </c>
      <c r="D433" s="1106" t="n">
        <f aca="false">'Смета Внутр'!D433</f>
        <v>0</v>
      </c>
      <c r="E433" s="1104"/>
      <c r="F433" s="1107" t="n">
        <f aca="false">'Смета Внутр'!H433</f>
        <v>0</v>
      </c>
    </row>
    <row r="434" s="118" customFormat="true" ht="15" hidden="false" customHeight="false" outlineLevel="0" collapsed="false">
      <c r="B434" s="1104" t="e">
        <f aca="false">'Смета Внутр'!B434</f>
        <v>#N/A</v>
      </c>
      <c r="C434" s="1105" t="str">
        <f aca="false">'Смета Внутр'!C434</f>
        <v>меш</v>
      </c>
      <c r="D434" s="1106" t="n">
        <f aca="false">'Смета Внутр'!D434</f>
        <v>0</v>
      </c>
      <c r="E434" s="1104"/>
      <c r="F434" s="1107" t="n">
        <f aca="false">'Смета Внутр'!H434</f>
        <v>0</v>
      </c>
    </row>
    <row r="435" s="118" customFormat="true" ht="15" hidden="false" customHeight="false" outlineLevel="0" collapsed="false">
      <c r="B435" s="1104" t="e">
        <f aca="false">'Смета Внутр'!B435</f>
        <v>#N/A</v>
      </c>
      <c r="C435" s="1105" t="str">
        <f aca="false">'Смета Внутр'!C435</f>
        <v>м3</v>
      </c>
      <c r="D435" s="1106" t="n">
        <f aca="false">'Смета Внутр'!D435</f>
        <v>0</v>
      </c>
      <c r="E435" s="1104"/>
      <c r="F435" s="1107" t="n">
        <f aca="false">'Смета Внутр'!H435</f>
        <v>0</v>
      </c>
    </row>
    <row r="436" s="118" customFormat="true" ht="15" hidden="false" customHeight="false" outlineLevel="0" collapsed="false">
      <c r="B436" s="1104" t="str">
        <f aca="false">'Смета Внутр'!B436</f>
        <v>Доставка песка</v>
      </c>
      <c r="C436" s="1105" t="str">
        <f aca="false">'Смета Внутр'!C436</f>
        <v>маш</v>
      </c>
      <c r="D436" s="1106" t="n">
        <f aca="false">'Смета Внутр'!D436</f>
        <v>0</v>
      </c>
      <c r="E436" s="1104"/>
      <c r="F436" s="1107" t="n">
        <f aca="false">'Смета Внутр'!H436</f>
        <v>0</v>
      </c>
    </row>
    <row r="437" s="118" customFormat="true" ht="15" hidden="false" customHeight="false" outlineLevel="0" collapsed="false">
      <c r="B437" s="1104" t="e">
        <f aca="false">'Смета Внутр'!B437</f>
        <v>#N/A</v>
      </c>
      <c r="C437" s="1105" t="str">
        <f aca="false">'Смета Внутр'!C437</f>
        <v>м3</v>
      </c>
      <c r="D437" s="1106" t="n">
        <f aca="false">'Смета Внутр'!D437</f>
        <v>0</v>
      </c>
      <c r="E437" s="1104"/>
      <c r="F437" s="1107" t="n">
        <f aca="false">'Смета Внутр'!H437</f>
        <v>0</v>
      </c>
    </row>
    <row r="438" s="118" customFormat="true" ht="15" hidden="false" customHeight="false" outlineLevel="0" collapsed="false">
      <c r="B438" s="1104" t="str">
        <f aca="false">'Смета Внутр'!B438</f>
        <v>Арматура М6 каждый 3-й ряд, 2 нити</v>
      </c>
      <c r="C438" s="1105" t="str">
        <f aca="false">'Смета Внутр'!C438</f>
        <v>м.п.</v>
      </c>
      <c r="D438" s="1106" t="n">
        <f aca="false">'Смета Внутр'!D438</f>
        <v>597.333333333333</v>
      </c>
      <c r="E438" s="1104"/>
      <c r="F438" s="1107" t="n">
        <f aca="false">'Смета Внутр'!H438</f>
        <v>0</v>
      </c>
    </row>
    <row r="439" s="118" customFormat="true" ht="15" hidden="false" customHeight="false" outlineLevel="0" collapsed="false">
      <c r="B439" s="1104" t="str">
        <f aca="false">'Смета Внутр'!B439</f>
        <v>Арматура М6 каждый 3-й ряд, 2 нити</v>
      </c>
      <c r="C439" s="1105" t="str">
        <f aca="false">'Смета Внутр'!C439</f>
        <v>м.п.</v>
      </c>
      <c r="D439" s="1106" t="n">
        <f aca="false">'Смета Внутр'!D439</f>
        <v>100</v>
      </c>
      <c r="E439" s="1104"/>
      <c r="F439" s="1107" t="n">
        <f aca="false">'Смета Внутр'!H439</f>
        <v>0</v>
      </c>
    </row>
    <row r="440" s="118" customFormat="true" ht="15" hidden="false" customHeight="false" outlineLevel="0" collapsed="false">
      <c r="B440" s="1104" t="str">
        <f aca="false">'Смета Внутр'!B440</f>
        <v>Перемычка оконная, 1-ый эт. Вариант 1</v>
      </c>
      <c r="C440" s="1105" t="str">
        <f aca="false">'Смета Внутр'!C440</f>
        <v>м.п.</v>
      </c>
      <c r="D440" s="1106" t="n">
        <f aca="false">'Смета Внутр'!D440</f>
        <v>1</v>
      </c>
      <c r="E440" s="1104"/>
      <c r="F440" s="1107" t="n">
        <f aca="false">'Смета Внутр'!H440</f>
        <v>0</v>
      </c>
    </row>
    <row r="441" s="118" customFormat="true" ht="15" hidden="false" customHeight="false" outlineLevel="0" collapsed="false">
      <c r="B441" s="1104" t="str">
        <f aca="false">'Смета Внутр'!B441</f>
        <v>Перемычка оконная, 1-ый эт. Вариант 2</v>
      </c>
      <c r="C441" s="1105" t="str">
        <f aca="false">'Смета Внутр'!C441</f>
        <v>м.п.</v>
      </c>
      <c r="D441" s="1106" t="n">
        <f aca="false">'Смета Внутр'!D441</f>
        <v>0</v>
      </c>
      <c r="E441" s="1104"/>
      <c r="F441" s="1107" t="n">
        <f aca="false">'Смета Внутр'!H441</f>
        <v>0</v>
      </c>
    </row>
    <row r="442" s="118" customFormat="true" ht="15" hidden="false" customHeight="false" outlineLevel="0" collapsed="false">
      <c r="B442" s="1104" t="str">
        <f aca="false">'Смета Внутр'!B442</f>
        <v>Перемычка оконная, 1-ый эт. Вариант 3</v>
      </c>
      <c r="C442" s="1105" t="str">
        <f aca="false">'Смета Внутр'!C442</f>
        <v>м.п.</v>
      </c>
      <c r="D442" s="1106" t="n">
        <f aca="false">'Смета Внутр'!D442</f>
        <v>0</v>
      </c>
      <c r="E442" s="1104"/>
      <c r="F442" s="1107" t="n">
        <f aca="false">'Смета Внутр'!H442</f>
        <v>0</v>
      </c>
    </row>
    <row r="443" s="118" customFormat="true" ht="15" hidden="false" customHeight="false" outlineLevel="0" collapsed="false">
      <c r="B443" s="1104" t="str">
        <f aca="false">'Смета Внутр'!B443</f>
        <v>Перемычка оконная, 1-ый эт. Вариант 4</v>
      </c>
      <c r="C443" s="1105" t="str">
        <f aca="false">'Смета Внутр'!C443</f>
        <v>м.п.</v>
      </c>
      <c r="D443" s="1106" t="n">
        <f aca="false">'Смета Внутр'!D443</f>
        <v>0</v>
      </c>
      <c r="E443" s="1104"/>
      <c r="F443" s="1107" t="n">
        <f aca="false">'Смета Внутр'!H443</f>
        <v>0</v>
      </c>
    </row>
    <row r="444" s="118" customFormat="true" ht="15" hidden="false" customHeight="false" outlineLevel="0" collapsed="false">
      <c r="B444" s="1104" t="str">
        <f aca="false">'Смета Внутр'!B444</f>
        <v>Перемычка оконная, 1-ый эт. Вариант 5</v>
      </c>
      <c r="C444" s="1105" t="str">
        <f aca="false">'Смета Внутр'!C444</f>
        <v>м.п.</v>
      </c>
      <c r="D444" s="1106" t="n">
        <f aca="false">'Смета Внутр'!D444</f>
        <v>0</v>
      </c>
      <c r="E444" s="1104"/>
      <c r="F444" s="1107" t="n">
        <f aca="false">'Смета Внутр'!H444</f>
        <v>0</v>
      </c>
    </row>
    <row r="445" s="118" customFormat="true" ht="15" hidden="false" customHeight="false" outlineLevel="0" collapsed="false">
      <c r="B445" s="1104" t="str">
        <f aca="false">'Смета Внутр'!B445</f>
        <v>Перемычка оконная, 2-ый эт. Вариант 6</v>
      </c>
      <c r="C445" s="1105" t="str">
        <f aca="false">'Смета Внутр'!C445</f>
        <v>м.п.</v>
      </c>
      <c r="D445" s="1106" t="n">
        <f aca="false">'Смета Внутр'!D445</f>
        <v>0</v>
      </c>
      <c r="E445" s="1104"/>
      <c r="F445" s="1107" t="n">
        <f aca="false">'Смета Внутр'!H445</f>
        <v>0</v>
      </c>
    </row>
    <row r="446" s="118" customFormat="true" ht="15" hidden="false" customHeight="false" outlineLevel="0" collapsed="false">
      <c r="B446" s="1104" t="str">
        <f aca="false">'Смета Внутр'!B446</f>
        <v>Перемычка оконная, 2-ый эт. Вариант 7</v>
      </c>
      <c r="C446" s="1105" t="str">
        <f aca="false">'Смета Внутр'!C446</f>
        <v>м.п.</v>
      </c>
      <c r="D446" s="1106" t="n">
        <f aca="false">'Смета Внутр'!D446</f>
        <v>0</v>
      </c>
      <c r="E446" s="1104"/>
      <c r="F446" s="1107" t="n">
        <f aca="false">'Смета Внутр'!H446</f>
        <v>0</v>
      </c>
    </row>
    <row r="447" s="118" customFormat="true" ht="15" hidden="false" customHeight="false" outlineLevel="0" collapsed="false">
      <c r="B447" s="1104" t="str">
        <f aca="false">'Смета Внутр'!B447</f>
        <v>Перемычка оконная, 2-ый эт. Вариант 8</v>
      </c>
      <c r="C447" s="1105" t="str">
        <f aca="false">'Смета Внутр'!C447</f>
        <v>м.п.</v>
      </c>
      <c r="D447" s="1106" t="n">
        <f aca="false">'Смета Внутр'!D447</f>
        <v>0</v>
      </c>
      <c r="E447" s="1104"/>
      <c r="F447" s="1107" t="n">
        <f aca="false">'Смета Внутр'!H447</f>
        <v>0</v>
      </c>
    </row>
    <row r="448" s="118" customFormat="true" ht="15" hidden="false" customHeight="false" outlineLevel="0" collapsed="false">
      <c r="B448" s="1104" t="str">
        <f aca="false">'Смета Внутр'!B448</f>
        <v>Перемычка оконная, 2-ый эт. Вариант 9</v>
      </c>
      <c r="C448" s="1105" t="str">
        <f aca="false">'Смета Внутр'!C448</f>
        <v>м.п.</v>
      </c>
      <c r="D448" s="1106" t="n">
        <f aca="false">'Смета Внутр'!D448</f>
        <v>0</v>
      </c>
      <c r="E448" s="1104"/>
      <c r="F448" s="1107" t="n">
        <f aca="false">'Смета Внутр'!H448</f>
        <v>0</v>
      </c>
    </row>
    <row r="449" s="118" customFormat="true" ht="15" hidden="false" customHeight="false" outlineLevel="0" collapsed="false">
      <c r="B449" s="1104" t="str">
        <f aca="false">'Смета Внутр'!B449</f>
        <v>Перемычка оконная, 2-ый эт. Вариант 10</v>
      </c>
      <c r="C449" s="1105" t="str">
        <f aca="false">'Смета Внутр'!C449</f>
        <v>м.п.</v>
      </c>
      <c r="D449" s="1106" t="n">
        <f aca="false">'Смета Внутр'!D449</f>
        <v>0</v>
      </c>
      <c r="E449" s="1104"/>
      <c r="F449" s="1107" t="n">
        <f aca="false">'Смета Внутр'!H449</f>
        <v>0</v>
      </c>
    </row>
    <row r="450" s="118" customFormat="true" ht="15" hidden="false" customHeight="false" outlineLevel="0" collapsed="false">
      <c r="B450" s="1104" t="str">
        <f aca="false">'Смета Внутр'!B450</f>
        <v>Перемычка дверная, 1-ый эт. Вариант 1</v>
      </c>
      <c r="C450" s="1105" t="str">
        <f aca="false">'Смета Внутр'!C450</f>
        <v>м.п.</v>
      </c>
      <c r="D450" s="1106" t="n">
        <f aca="false">'Смета Внутр'!D450</f>
        <v>0</v>
      </c>
      <c r="E450" s="1104"/>
      <c r="F450" s="1107" t="n">
        <f aca="false">'Смета Внутр'!H450</f>
        <v>0</v>
      </c>
    </row>
    <row r="451" s="118" customFormat="true" ht="15" hidden="false" customHeight="false" outlineLevel="0" collapsed="false">
      <c r="B451" s="1104" t="str">
        <f aca="false">'Смета Внутр'!B451</f>
        <v>Перемычка дверная, 2-ый эт. Вариант 2</v>
      </c>
      <c r="C451" s="1105" t="str">
        <f aca="false">'Смета Внутр'!C451</f>
        <v>м.п.</v>
      </c>
      <c r="D451" s="1106" t="n">
        <f aca="false">'Смета Внутр'!D451</f>
        <v>0</v>
      </c>
      <c r="E451" s="1104"/>
      <c r="F451" s="1107" t="n">
        <f aca="false">'Смета Внутр'!H451</f>
        <v>0</v>
      </c>
    </row>
    <row r="452" s="118" customFormat="true" ht="15" hidden="false" customHeight="false" outlineLevel="0" collapsed="false">
      <c r="B452" s="1104" t="str">
        <f aca="false">'Смета Внутр'!B452</f>
        <v>Перемычка оконная 1-ый эт, Вариант 11</v>
      </c>
      <c r="C452" s="1105" t="str">
        <f aca="false">'Смета Внутр'!C452</f>
        <v>м.п.</v>
      </c>
      <c r="D452" s="1106" t="n">
        <f aca="false">'Смета Внутр'!D452</f>
        <v>0</v>
      </c>
      <c r="E452" s="1104"/>
      <c r="F452" s="1107" t="n">
        <f aca="false">'Смета Внутр'!H452</f>
        <v>0</v>
      </c>
    </row>
    <row r="453" s="118" customFormat="true" ht="15" hidden="false" customHeight="false" outlineLevel="0" collapsed="false">
      <c r="B453" s="1104" t="str">
        <f aca="false">'Смета Внутр'!B453</f>
        <v>Перемычка оконная 1-ый эт, Вариант 12</v>
      </c>
      <c r="C453" s="1105" t="str">
        <f aca="false">'Смета Внутр'!C453</f>
        <v>м.п.</v>
      </c>
      <c r="D453" s="1106" t="n">
        <f aca="false">'Смета Внутр'!D453</f>
        <v>0</v>
      </c>
      <c r="E453" s="1104"/>
      <c r="F453" s="1107" t="n">
        <f aca="false">'Смета Внутр'!H453</f>
        <v>0</v>
      </c>
    </row>
    <row r="454" s="118" customFormat="true" ht="15" hidden="false" customHeight="false" outlineLevel="0" collapsed="false">
      <c r="B454" s="1104" t="str">
        <f aca="false">'Смета Внутр'!B454</f>
        <v>Перемычка дверная, 1-ый эт. Вариант 4</v>
      </c>
      <c r="C454" s="1105" t="str">
        <f aca="false">'Смета Внутр'!C454</f>
        <v>м.п.</v>
      </c>
      <c r="D454" s="1106" t="n">
        <f aca="false">'Смета Внутр'!D454</f>
        <v>3</v>
      </c>
      <c r="E454" s="1104"/>
      <c r="F454" s="1107" t="n">
        <f aca="false">'Смета Внутр'!H454</f>
        <v>0</v>
      </c>
    </row>
    <row r="455" s="118" customFormat="true" ht="15" hidden="false" customHeight="false" outlineLevel="0" collapsed="false">
      <c r="B455" s="1104" t="str">
        <f aca="false">'Смета Внутр'!B455</f>
        <v>Перемычка дверная, 1-ый эт. Вариант 5</v>
      </c>
      <c r="C455" s="1105" t="str">
        <f aca="false">'Смета Внутр'!C455</f>
        <v>м.п.</v>
      </c>
      <c r="D455" s="1106" t="n">
        <f aca="false">'Смета Внутр'!D455</f>
        <v>0</v>
      </c>
      <c r="E455" s="1104"/>
      <c r="F455" s="1107" t="n">
        <f aca="false">'Смета Внутр'!H455</f>
        <v>0</v>
      </c>
    </row>
    <row r="456" s="118" customFormat="true" ht="15" hidden="false" customHeight="false" outlineLevel="0" collapsed="false">
      <c r="B456" s="1104" t="str">
        <f aca="false">'Смета Внутр'!B456</f>
        <v>Перемычка дверная, 1-ый эт. Вариант 6</v>
      </c>
      <c r="C456" s="1105" t="str">
        <f aca="false">'Смета Внутр'!C456</f>
        <v>м.п.</v>
      </c>
      <c r="D456" s="1106" t="n">
        <f aca="false">'Смета Внутр'!D456</f>
        <v>0</v>
      </c>
      <c r="E456" s="1104"/>
      <c r="F456" s="1107" t="n">
        <f aca="false">'Смета Внутр'!H456</f>
        <v>0</v>
      </c>
    </row>
    <row r="457" s="118" customFormat="true" ht="15" hidden="false" customHeight="false" outlineLevel="0" collapsed="false">
      <c r="B457" s="1104" t="str">
        <f aca="false">'Смета Внутр'!B457</f>
        <v>Перемычка дверная, 2-ый эт. Вариант 7</v>
      </c>
      <c r="C457" s="1105" t="str">
        <f aca="false">'Смета Внутр'!C457</f>
        <v>м.п.</v>
      </c>
      <c r="D457" s="1106" t="n">
        <f aca="false">'Смета Внутр'!D457</f>
        <v>0</v>
      </c>
      <c r="E457" s="1104"/>
      <c r="F457" s="1107" t="n">
        <f aca="false">'Смета Внутр'!H457</f>
        <v>0</v>
      </c>
    </row>
    <row r="458" s="118" customFormat="true" ht="15" hidden="false" customHeight="false" outlineLevel="0" collapsed="false">
      <c r="B458" s="1104" t="str">
        <f aca="false">'Смета Внутр'!B458</f>
        <v>Перемычка дверная, 2-ый эт. Вариант 8</v>
      </c>
      <c r="C458" s="1105" t="str">
        <f aca="false">'Смета Внутр'!C458</f>
        <v>м.п.</v>
      </c>
      <c r="D458" s="1106" t="n">
        <f aca="false">'Смета Внутр'!D458</f>
        <v>0</v>
      </c>
      <c r="E458" s="1104"/>
      <c r="F458" s="1107" t="n">
        <f aca="false">'Смета Внутр'!H458</f>
        <v>0</v>
      </c>
    </row>
    <row r="459" s="118" customFormat="true" ht="15" hidden="false" customHeight="false" outlineLevel="0" collapsed="false">
      <c r="B459" s="1104" t="str">
        <f aca="false">'Смета Внутр'!B459</f>
        <v>Перемычка дверная, 2-ый эт. Вариант 9</v>
      </c>
      <c r="C459" s="1105" t="str">
        <f aca="false">'Смета Внутр'!C459</f>
        <v>м.п.</v>
      </c>
      <c r="D459" s="1106" t="n">
        <f aca="false">'Смета Внутр'!D459</f>
        <v>0</v>
      </c>
      <c r="E459" s="1104"/>
      <c r="F459" s="1107" t="n">
        <f aca="false">'Смета Внутр'!H459</f>
        <v>0</v>
      </c>
    </row>
    <row r="460" s="118" customFormat="true" ht="15" hidden="false" customHeight="false" outlineLevel="0" collapsed="false">
      <c r="B460" s="1104" t="str">
        <f aca="false">'Смета Внутр'!B460</f>
        <v>Перемычка проема, 1-ый эт. Вариант 10</v>
      </c>
      <c r="C460" s="1105" t="str">
        <f aca="false">'Смета Внутр'!C460</f>
        <v>м.п.</v>
      </c>
      <c r="D460" s="1106" t="n">
        <f aca="false">'Смета Внутр'!D460</f>
        <v>0</v>
      </c>
      <c r="E460" s="1104"/>
      <c r="F460" s="1107" t="n">
        <f aca="false">'Смета Внутр'!H460</f>
        <v>0</v>
      </c>
    </row>
    <row r="461" s="118" customFormat="true" ht="15" hidden="false" customHeight="false" outlineLevel="0" collapsed="false">
      <c r="B461" s="1104" t="str">
        <f aca="false">'Смета Внутр'!B461</f>
        <v>Перемычка проема, 1-ый эт. Вариант 11</v>
      </c>
      <c r="C461" s="1105" t="str">
        <f aca="false">'Смета Внутр'!C461</f>
        <v>м.п.</v>
      </c>
      <c r="D461" s="1106" t="n">
        <f aca="false">'Смета Внутр'!D461</f>
        <v>0</v>
      </c>
      <c r="E461" s="1104"/>
      <c r="F461" s="1107" t="n">
        <f aca="false">'Смета Внутр'!H461</f>
        <v>0</v>
      </c>
    </row>
    <row r="462" s="118" customFormat="true" ht="15" hidden="false" customHeight="false" outlineLevel="0" collapsed="false">
      <c r="B462" s="1104" t="str">
        <f aca="false">'Смета Внутр'!B462</f>
        <v>Перемычка проема, 2-ый эт. Вариант 12</v>
      </c>
      <c r="C462" s="1105" t="str">
        <f aca="false">'Смета Внутр'!C462</f>
        <v>м.п.</v>
      </c>
      <c r="D462" s="1106" t="n">
        <f aca="false">'Смета Внутр'!D462</f>
        <v>0</v>
      </c>
      <c r="E462" s="1104"/>
      <c r="F462" s="1107" t="n">
        <f aca="false">'Смета Внутр'!H462</f>
        <v>0</v>
      </c>
    </row>
    <row r="463" s="118" customFormat="true" ht="15" hidden="false" customHeight="false" outlineLevel="0" collapsed="false">
      <c r="B463" s="1104" t="str">
        <f aca="false">'Смета Внутр'!B463</f>
        <v>Перемычка проема, 2-ый эт. Вариант 13</v>
      </c>
      <c r="C463" s="1105" t="str">
        <f aca="false">'Смета Внутр'!C463</f>
        <v>м.п.</v>
      </c>
      <c r="D463" s="1106" t="n">
        <f aca="false">'Смета Внутр'!D463</f>
        <v>0</v>
      </c>
      <c r="E463" s="1104"/>
      <c r="F463" s="1107" t="n">
        <f aca="false">'Смета Внутр'!H463</f>
        <v>0</v>
      </c>
    </row>
    <row r="464" s="118" customFormat="true" ht="15" hidden="false" customHeight="false" outlineLevel="0" collapsed="false">
      <c r="B464" s="1104" t="str">
        <f aca="false">'Смета Внутр'!B464</f>
        <v>Перемычка дверная, 1-ый эт. Вариант 1</v>
      </c>
      <c r="C464" s="1105" t="str">
        <f aca="false">'Смета Внутр'!C464</f>
        <v>м.п.</v>
      </c>
      <c r="D464" s="1106" t="n">
        <f aca="false">'Смета Внутр'!D464</f>
        <v>0</v>
      </c>
      <c r="E464" s="1104"/>
      <c r="F464" s="1107" t="n">
        <f aca="false">'Смета Внутр'!H464</f>
        <v>0</v>
      </c>
    </row>
    <row r="465" s="118" customFormat="true" ht="15" hidden="false" customHeight="false" outlineLevel="0" collapsed="false">
      <c r="B465" s="1104" t="str">
        <f aca="false">'Смета Внутр'!B465</f>
        <v>Перемычка дверная, 1-ый эт. Вариант 2</v>
      </c>
      <c r="C465" s="1105" t="str">
        <f aca="false">'Смета Внутр'!C465</f>
        <v>м.п.</v>
      </c>
      <c r="D465" s="1106" t="n">
        <f aca="false">'Смета Внутр'!D465</f>
        <v>1</v>
      </c>
      <c r="E465" s="1104"/>
      <c r="F465" s="1107" t="n">
        <f aca="false">'Смета Внутр'!H465</f>
        <v>0</v>
      </c>
    </row>
    <row r="466" s="118" customFormat="true" ht="15" hidden="false" customHeight="false" outlineLevel="0" collapsed="false">
      <c r="B466" s="1104" t="str">
        <f aca="false">'Смета Внутр'!B466</f>
        <v>Перемычка дверная, 1-ый эт. Вариант 3</v>
      </c>
      <c r="C466" s="1105" t="str">
        <f aca="false">'Смета Внутр'!C466</f>
        <v>м.п.</v>
      </c>
      <c r="D466" s="1106" t="n">
        <f aca="false">'Смета Внутр'!D466</f>
        <v>0</v>
      </c>
      <c r="E466" s="1104"/>
      <c r="F466" s="1107" t="n">
        <f aca="false">'Смета Внутр'!H466</f>
        <v>0</v>
      </c>
    </row>
    <row r="467" s="118" customFormat="true" ht="15" hidden="false" customHeight="false" outlineLevel="0" collapsed="false">
      <c r="B467" s="1104" t="str">
        <f aca="false">'Смета Внутр'!B467</f>
        <v>Сосна влаж,200*40мм</v>
      </c>
      <c r="C467" s="1105" t="str">
        <f aca="false">'Смета Внутр'!C467</f>
        <v>м3</v>
      </c>
      <c r="D467" s="1106" t="n">
        <f aca="false">'Смета Внутр'!D467</f>
        <v>1.8512</v>
      </c>
      <c r="E467" s="1104"/>
      <c r="F467" s="1107" t="n">
        <f aca="false">'Смета Внутр'!H467</f>
        <v>0</v>
      </c>
    </row>
    <row r="468" s="118" customFormat="true" ht="15" hidden="false" customHeight="false" outlineLevel="0" collapsed="false">
      <c r="B468" s="1104" t="str">
        <f aca="false">'Смета Внутр'!B468</f>
        <v>Сейсмопояс Арматура М10 4 нити</v>
      </c>
      <c r="C468" s="1105" t="str">
        <f aca="false">'Смета Внутр'!C468</f>
        <v>м.п.</v>
      </c>
      <c r="D468" s="1106" t="n">
        <f aca="false">'Смета Внутр'!D468</f>
        <v>281.6</v>
      </c>
      <c r="E468" s="1104"/>
      <c r="F468" s="1107" t="n">
        <f aca="false">'Смета Внутр'!H468</f>
        <v>0</v>
      </c>
    </row>
    <row r="469" s="118" customFormat="true" ht="15" hidden="false" customHeight="false" outlineLevel="0" collapsed="false">
      <c r="B469" s="1104" t="str">
        <f aca="false">'Смета Внутр'!B469</f>
        <v>Хомут для сейсмопояса Арматура М6, шаг 400мм</v>
      </c>
      <c r="C469" s="1105" t="str">
        <f aca="false">'Смета Внутр'!C469</f>
        <v>м.п.</v>
      </c>
      <c r="D469" s="1106" t="n">
        <f aca="false">'Смета Внутр'!D469</f>
        <v>144</v>
      </c>
      <c r="E469" s="1104"/>
      <c r="F469" s="1107" t="n">
        <f aca="false">'Смета Внутр'!H469</f>
        <v>0</v>
      </c>
    </row>
    <row r="470" s="118" customFormat="true" ht="15" hidden="false" customHeight="false" outlineLevel="0" collapsed="false">
      <c r="B470" s="1104" t="str">
        <f aca="false">'Смета Внутр'!B470</f>
        <v>Бетон, м300</v>
      </c>
      <c r="C470" s="1105" t="str">
        <f aca="false">'Смета Внутр'!C470</f>
        <v>м3</v>
      </c>
      <c r="D470" s="1106" t="n">
        <f aca="false">'Смета Внутр'!D470</f>
        <v>2.8833</v>
      </c>
      <c r="E470" s="1104"/>
      <c r="F470" s="1107" t="n">
        <f aca="false">'Смета Внутр'!H470</f>
        <v>0</v>
      </c>
    </row>
    <row r="471" s="118" customFormat="true" ht="15" hidden="false" customHeight="false" outlineLevel="0" collapsed="false">
      <c r="B471" s="1104" t="str">
        <f aca="false">'Смета Внутр'!B471</f>
        <v>Нет</v>
      </c>
      <c r="C471" s="1105" t="str">
        <f aca="false">'Смета Внутр'!C471</f>
        <v>м3</v>
      </c>
      <c r="D471" s="1106" t="n">
        <f aca="false">'Смета Внутр'!D471</f>
        <v>0</v>
      </c>
      <c r="E471" s="1104"/>
      <c r="F471" s="1107" t="n">
        <f aca="false">'Смета Внутр'!H471</f>
        <v>0</v>
      </c>
    </row>
    <row r="472" s="118" customFormat="true" ht="15" hidden="false" customHeight="false" outlineLevel="0" collapsed="false">
      <c r="B472" s="1104" t="str">
        <f aca="false">'Смета Внутр'!B472</f>
        <v>Грибок для крепления утеплителя</v>
      </c>
      <c r="C472" s="1105" t="str">
        <f aca="false">'Смета Внутр'!C472</f>
        <v>шт</v>
      </c>
      <c r="D472" s="1106" t="n">
        <f aca="false">'Смета Внутр'!D472</f>
        <v>0</v>
      </c>
      <c r="E472" s="1104"/>
      <c r="F472" s="1107" t="n">
        <f aca="false">'Смета Внутр'!H472</f>
        <v>0</v>
      </c>
    </row>
    <row r="473" s="118" customFormat="true" ht="15" hidden="false" customHeight="false" outlineLevel="0" collapsed="false">
      <c r="B473" s="1104" t="str">
        <f aca="false">'Смета Внутр'!B473</f>
        <v>нет ветроизоляции</v>
      </c>
      <c r="C473" s="1105" t="str">
        <f aca="false">'Смета Внутр'!C473</f>
        <v>м2</v>
      </c>
      <c r="D473" s="1106" t="n">
        <f aca="false">'Смета Внутр'!D473</f>
        <v>0</v>
      </c>
      <c r="E473" s="1104"/>
      <c r="F473" s="1107" t="n">
        <f aca="false">'Смета Внутр'!H473</f>
        <v>0</v>
      </c>
    </row>
    <row r="474" s="118" customFormat="true" ht="15" hidden="false" customHeight="false" outlineLevel="0" collapsed="false">
      <c r="B474" s="1108" t="str">
        <f aca="false">'Смета Внутр'!B474</f>
        <v>Итого материалы</v>
      </c>
      <c r="C474" s="1108"/>
      <c r="D474" s="1108"/>
      <c r="E474" s="1108"/>
      <c r="F474" s="1109" t="n">
        <f aca="false">'Смета Внутр'!G474</f>
        <v>0</v>
      </c>
    </row>
    <row r="475" s="118" customFormat="true" ht="15" hidden="false" customHeight="false" outlineLevel="0" collapsed="false">
      <c r="B475" s="1110" t="str">
        <f aca="false">'Смета Внутр'!B475</f>
        <v>Работы</v>
      </c>
      <c r="C475" s="1110"/>
      <c r="D475" s="1110"/>
      <c r="E475" s="1110"/>
      <c r="F475" s="1102" t="n">
        <f aca="false">'Смета Внутр'!H475</f>
        <v>0</v>
      </c>
    </row>
    <row r="476" s="118" customFormat="true" ht="15" hidden="false" customHeight="false" outlineLevel="0" collapsed="false">
      <c r="B476" s="1104" t="str">
        <f aca="false">'Смета Внутр'!B476</f>
        <v>кладка пенобетона несущие стены</v>
      </c>
      <c r="C476" s="1105" t="str">
        <f aca="false">'Смета Внутр'!C476</f>
        <v>м3</v>
      </c>
      <c r="D476" s="1106" t="n">
        <f aca="false">'Смета Внутр'!D476</f>
        <v>0</v>
      </c>
      <c r="E476" s="1104"/>
      <c r="F476" s="1107" t="n">
        <f aca="false">'Смета Внутр'!H476</f>
        <v>0</v>
      </c>
    </row>
    <row r="477" s="118" customFormat="true" ht="15" hidden="false" customHeight="false" outlineLevel="0" collapsed="false">
      <c r="B477" s="1104" t="str">
        <f aca="false">'Смета Внутр'!B477</f>
        <v>кладка пенобетона несущие перегородки</v>
      </c>
      <c r="C477" s="1105" t="str">
        <f aca="false">'Смета Внутр'!C477</f>
        <v>м3</v>
      </c>
      <c r="D477" s="1106" t="n">
        <f aca="false">'Смета Внутр'!D477</f>
        <v>0</v>
      </c>
      <c r="E477" s="1104"/>
      <c r="F477" s="1107" t="n">
        <f aca="false">'Смета Внутр'!H477</f>
        <v>0</v>
      </c>
    </row>
    <row r="478" s="118" customFormat="true" ht="15" hidden="false" customHeight="false" outlineLevel="0" collapsed="false">
      <c r="B478" s="1104" t="str">
        <f aca="false">'Смета Внутр'!B478</f>
        <v>кладка пенобетона перегородки</v>
      </c>
      <c r="C478" s="1105" t="str">
        <f aca="false">'Смета Внутр'!C478</f>
        <v>м2</v>
      </c>
      <c r="D478" s="1106" t="n">
        <f aca="false">'Смета Внутр'!D478</f>
        <v>0</v>
      </c>
      <c r="E478" s="1104"/>
      <c r="F478" s="1107" t="n">
        <f aca="false">'Смета Внутр'!H478</f>
        <v>0</v>
      </c>
    </row>
    <row r="479" s="118" customFormat="true" ht="15" hidden="false" customHeight="false" outlineLevel="0" collapsed="false">
      <c r="B479" s="1104" t="str">
        <f aca="false">'Смета Внутр'!B479</f>
        <v>изготовление и монтаж перемычек для окон и дверей</v>
      </c>
      <c r="C479" s="1105" t="str">
        <f aca="false">'Смета Внутр'!C479</f>
        <v>м.п.</v>
      </c>
      <c r="D479" s="1106" t="n">
        <f aca="false">'Смета Внутр'!D479</f>
        <v>10.49</v>
      </c>
      <c r="E479" s="1104"/>
      <c r="F479" s="1107" t="n">
        <f aca="false">'Смета Внутр'!H479</f>
        <v>0</v>
      </c>
    </row>
    <row r="480" s="118" customFormat="true" ht="15" hidden="false" customHeight="false" outlineLevel="0" collapsed="false">
      <c r="B480" s="1104" t="str">
        <f aca="false">'Смета Внутр'!B480</f>
        <v>Замешивание раствора</v>
      </c>
      <c r="C480" s="1105" t="str">
        <f aca="false">'Смета Внутр'!C480</f>
        <v>м3</v>
      </c>
      <c r="D480" s="1106" t="n">
        <f aca="false">'Смета Внутр'!D480</f>
        <v>0</v>
      </c>
      <c r="E480" s="1104"/>
      <c r="F480" s="1107" t="n">
        <f aca="false">'Смета Внутр'!H480</f>
        <v>0</v>
      </c>
    </row>
    <row r="481" s="118" customFormat="true" ht="15" hidden="false" customHeight="false" outlineLevel="0" collapsed="false">
      <c r="B481" s="1104" t="str">
        <f aca="false">'Смета Внутр'!B481</f>
        <v>Армирование стен наружних и перегородок</v>
      </c>
      <c r="C481" s="1105" t="str">
        <f aca="false">'Смета Внутр'!C481</f>
        <v>м.п.</v>
      </c>
      <c r="D481" s="1106" t="n">
        <f aca="false">'Смета Внутр'!D481</f>
        <v>348.666666666667</v>
      </c>
      <c r="E481" s="1104"/>
      <c r="F481" s="1107" t="n">
        <f aca="false">'Смета Внутр'!H481</f>
        <v>0</v>
      </c>
    </row>
    <row r="482" s="118" customFormat="true" ht="15" hidden="false" customHeight="false" outlineLevel="0" collapsed="false">
      <c r="B482" s="1104" t="str">
        <f aca="false">'Смета Внутр'!B482</f>
        <v>Установка опалубки для сейсмопояса</v>
      </c>
      <c r="C482" s="1105" t="str">
        <f aca="false">'Смета Внутр'!C482</f>
        <v>м.п.</v>
      </c>
      <c r="D482" s="1106" t="n">
        <f aca="false">'Смета Внутр'!D482</f>
        <v>76.5</v>
      </c>
      <c r="E482" s="1104"/>
      <c r="F482" s="1107" t="n">
        <f aca="false">'Смета Внутр'!H482</f>
        <v>0</v>
      </c>
    </row>
    <row r="483" s="118" customFormat="true" ht="15" hidden="false" customHeight="false" outlineLevel="0" collapsed="false">
      <c r="B483" s="1104" t="str">
        <f aca="false">'Смета Внутр'!B483</f>
        <v>Армирование сейсмопояса</v>
      </c>
      <c r="C483" s="1105" t="str">
        <f aca="false">'Смета Внутр'!C483</f>
        <v>м.п.</v>
      </c>
      <c r="D483" s="1106" t="n">
        <f aca="false">'Смета Внутр'!D483</f>
        <v>76.5</v>
      </c>
      <c r="E483" s="1104"/>
      <c r="F483" s="1107" t="n">
        <f aca="false">'Смета Внутр'!H483</f>
        <v>0</v>
      </c>
    </row>
    <row r="484" s="118" customFormat="true" ht="15" hidden="false" customHeight="false" outlineLevel="0" collapsed="false">
      <c r="B484" s="1104" t="str">
        <f aca="false">'Смета Внутр'!B484</f>
        <v>Заливка бетоном сейсмопояса</v>
      </c>
      <c r="C484" s="1105" t="str">
        <f aca="false">'Смета Внутр'!C484</f>
        <v>м.п.</v>
      </c>
      <c r="D484" s="1106" t="n">
        <f aca="false">'Смета Внутр'!D484</f>
        <v>76.5</v>
      </c>
      <c r="E484" s="1104"/>
      <c r="F484" s="1107" t="n">
        <f aca="false">'Смета Внутр'!H484</f>
        <v>0</v>
      </c>
    </row>
    <row r="485" s="118" customFormat="true" ht="15" hidden="false" customHeight="false" outlineLevel="0" collapsed="false">
      <c r="B485" s="1104" t="str">
        <f aca="false">'Смета Внутр'!B485</f>
        <v>утепление стен снаружи дома</v>
      </c>
      <c r="C485" s="1105" t="str">
        <f aca="false">'Смета Внутр'!C485</f>
        <v>м2</v>
      </c>
      <c r="D485" s="1106" t="n">
        <f aca="false">'Смета Внутр'!D485</f>
        <v>0</v>
      </c>
      <c r="E485" s="1104"/>
      <c r="F485" s="1107" t="n">
        <f aca="false">'Смета Внутр'!H485</f>
        <v>0</v>
      </c>
    </row>
    <row r="486" s="118" customFormat="true" ht="15" hidden="false" customHeight="false" outlineLevel="0" collapsed="false">
      <c r="B486" s="1104" t="str">
        <f aca="false">'Смета Внутр'!B486</f>
        <v>монтаж ветроизоляции стен</v>
      </c>
      <c r="C486" s="1105" t="str">
        <f aca="false">'Смета Внутр'!C486</f>
        <v>м2</v>
      </c>
      <c r="D486" s="1106" t="n">
        <f aca="false">'Смета Внутр'!D486</f>
        <v>0</v>
      </c>
      <c r="E486" s="1104"/>
      <c r="F486" s="1107" t="n">
        <f aca="false">'Смета Внутр'!H486</f>
        <v>0</v>
      </c>
    </row>
    <row r="487" s="118" customFormat="true" ht="15" hidden="false" customHeight="false" outlineLevel="0" collapsed="false">
      <c r="B487" s="1108" t="str">
        <f aca="false">'Смета Внутр'!B487</f>
        <v>Итого работы</v>
      </c>
      <c r="C487" s="1108"/>
      <c r="D487" s="1108"/>
      <c r="E487" s="1108"/>
      <c r="F487" s="1109" t="n">
        <f aca="false">'Смета Внутр'!G487</f>
        <v>0</v>
      </c>
    </row>
    <row r="488" customFormat="false" ht="18.75" hidden="false" customHeight="false" outlineLevel="0" collapsed="false">
      <c r="B488" s="1113" t="str">
        <f aca="false">'Смета Внутр'!B488</f>
        <v>Кирпичный дом</v>
      </c>
      <c r="C488" s="1113"/>
      <c r="D488" s="1113"/>
      <c r="E488" s="1113"/>
      <c r="F488" s="1114" t="n">
        <f aca="false">'Смета Внутр'!H488</f>
        <v>1</v>
      </c>
    </row>
    <row r="489" customFormat="false" ht="15" hidden="false" customHeight="false" outlineLevel="0" collapsed="false">
      <c r="B489" s="1115" t="str">
        <f aca="false">'Смета Внутр'!B489</f>
        <v>Материалы</v>
      </c>
      <c r="C489" s="1115"/>
      <c r="D489" s="1115"/>
      <c r="E489" s="1115"/>
      <c r="F489" s="1114" t="n">
        <f aca="false">'Смета Внутр'!H489</f>
        <v>1</v>
      </c>
    </row>
    <row r="490" customFormat="false" ht="15" hidden="false" customHeight="false" outlineLevel="0" collapsed="false">
      <c r="B490" s="1097" t="str">
        <f aca="false">'Смета Внутр'!B490</f>
        <v>0,7НФ/150/75 Красный</v>
      </c>
      <c r="C490" s="1098" t="str">
        <f aca="false">'Смета Внутр'!C490</f>
        <v>м3</v>
      </c>
      <c r="D490" s="1099" t="n">
        <f aca="false">'Смета Внутр'!D490</f>
        <v>60.52816</v>
      </c>
      <c r="E490" s="1097"/>
      <c r="F490" s="1116" t="n">
        <f aca="false">'Смета Внутр'!H490</f>
        <v>507199.9536912</v>
      </c>
    </row>
    <row r="491" customFormat="false" ht="15" hidden="false" customHeight="false" outlineLevel="0" collapsed="false">
      <c r="B491" s="1097" t="str">
        <f aca="false">'Смета Внутр'!B491</f>
        <v>0,7НФ/150/75 Красный</v>
      </c>
      <c r="C491" s="1098" t="str">
        <f aca="false">'Смета Внутр'!C491</f>
        <v>м3</v>
      </c>
      <c r="D491" s="1099" t="n">
        <f aca="false">'Смета Внутр'!D491</f>
        <v>17.24844</v>
      </c>
      <c r="E491" s="1097"/>
      <c r="F491" s="1116" t="n">
        <f aca="false">'Смета Внутр'!H491</f>
        <v>144534.5103708</v>
      </c>
    </row>
    <row r="492" customFormat="false" ht="15" hidden="false" customHeight="false" outlineLevel="0" collapsed="false">
      <c r="B492" s="1097" t="str">
        <f aca="false">'Смета Внутр'!B492</f>
        <v>0,7НФ/150/75 Красный</v>
      </c>
      <c r="C492" s="1098" t="str">
        <f aca="false">'Смета Внутр'!C492</f>
        <v>м3</v>
      </c>
      <c r="D492" s="1099" t="n">
        <f aca="false">'Смета Внутр'!D492</f>
        <v>3.84384</v>
      </c>
      <c r="E492" s="1097"/>
      <c r="F492" s="1116" t="n">
        <f aca="false">'Смета Внутр'!H492</f>
        <v>32209.7263488</v>
      </c>
    </row>
    <row r="493" customFormat="false" ht="15" hidden="false" customHeight="false" outlineLevel="0" collapsed="false">
      <c r="B493" s="1097" t="str">
        <f aca="false">'Смета Внутр'!B493</f>
        <v>Перемычка оконная, 1-ый эт. Вариант 1</v>
      </c>
      <c r="C493" s="1098" t="str">
        <f aca="false">'Смета Внутр'!C493</f>
        <v>м.п.</v>
      </c>
      <c r="D493" s="1099" t="n">
        <f aca="false">'Смета Внутр'!D493</f>
        <v>1</v>
      </c>
      <c r="E493" s="1097"/>
      <c r="F493" s="1116" t="n">
        <f aca="false">'Смета Внутр'!H493</f>
        <v>1000</v>
      </c>
    </row>
    <row r="494" s="118" customFormat="true" ht="15" hidden="false" customHeight="false" outlineLevel="0" collapsed="false">
      <c r="B494" s="1104" t="str">
        <f aca="false">'Смета Внутр'!B494</f>
        <v>Перемычка оконная, 1-ый эт. Вариант 2</v>
      </c>
      <c r="C494" s="1105" t="str">
        <f aca="false">'Смета Внутр'!C494</f>
        <v>м.п.</v>
      </c>
      <c r="D494" s="1106" t="n">
        <f aca="false">'Смета Внутр'!D494</f>
        <v>0</v>
      </c>
      <c r="E494" s="1104"/>
      <c r="F494" s="1107" t="n">
        <f aca="false">'Смета Внутр'!H494</f>
        <v>0</v>
      </c>
    </row>
    <row r="495" s="118" customFormat="true" ht="15" hidden="false" customHeight="false" outlineLevel="0" collapsed="false">
      <c r="B495" s="1104" t="str">
        <f aca="false">'Смета Внутр'!B495</f>
        <v>Перемычка оконная, 1-ый эт. Вариант 3</v>
      </c>
      <c r="C495" s="1105" t="str">
        <f aca="false">'Смета Внутр'!C495</f>
        <v>м.п.</v>
      </c>
      <c r="D495" s="1106" t="n">
        <f aca="false">'Смета Внутр'!D495</f>
        <v>0</v>
      </c>
      <c r="E495" s="1104"/>
      <c r="F495" s="1107" t="n">
        <f aca="false">'Смета Внутр'!H495</f>
        <v>0</v>
      </c>
    </row>
    <row r="496" s="118" customFormat="true" ht="15" hidden="false" customHeight="false" outlineLevel="0" collapsed="false">
      <c r="B496" s="1104" t="str">
        <f aca="false">'Смета Внутр'!B496</f>
        <v>Перемычка оконная, 1-ый эт. Вариант 4</v>
      </c>
      <c r="C496" s="1105" t="str">
        <f aca="false">'Смета Внутр'!C496</f>
        <v>м.п.</v>
      </c>
      <c r="D496" s="1106" t="n">
        <f aca="false">'Смета Внутр'!D496</f>
        <v>0</v>
      </c>
      <c r="E496" s="1104"/>
      <c r="F496" s="1107" t="n">
        <f aca="false">'Смета Внутр'!H496</f>
        <v>0</v>
      </c>
    </row>
    <row r="497" s="118" customFormat="true" ht="15" hidden="false" customHeight="false" outlineLevel="0" collapsed="false">
      <c r="B497" s="1104" t="str">
        <f aca="false">'Смета Внутр'!B497</f>
        <v>Перемычка оконная, 1-ый эт. Вариант 5</v>
      </c>
      <c r="C497" s="1105" t="str">
        <f aca="false">'Смета Внутр'!C497</f>
        <v>м.п.</v>
      </c>
      <c r="D497" s="1106" t="n">
        <f aca="false">'Смета Внутр'!D497</f>
        <v>0</v>
      </c>
      <c r="E497" s="1104"/>
      <c r="F497" s="1107" t="n">
        <f aca="false">'Смета Внутр'!H497</f>
        <v>0</v>
      </c>
    </row>
    <row r="498" s="118" customFormat="true" ht="15" hidden="false" customHeight="false" outlineLevel="0" collapsed="false">
      <c r="B498" s="1104" t="str">
        <f aca="false">'Смета Внутр'!B498</f>
        <v>Перемычка оконная, 2-ый эт. Вариант 6</v>
      </c>
      <c r="C498" s="1105" t="str">
        <f aca="false">'Смета Внутр'!C498</f>
        <v>м.п.</v>
      </c>
      <c r="D498" s="1106" t="n">
        <f aca="false">'Смета Внутр'!D498</f>
        <v>0</v>
      </c>
      <c r="E498" s="1104"/>
      <c r="F498" s="1107" t="n">
        <f aca="false">'Смета Внутр'!H498</f>
        <v>0</v>
      </c>
    </row>
    <row r="499" s="118" customFormat="true" ht="15" hidden="false" customHeight="false" outlineLevel="0" collapsed="false">
      <c r="B499" s="1104" t="str">
        <f aca="false">'Смета Внутр'!B499</f>
        <v>Перемычка оконная, 2-ый эт. Вариант 7</v>
      </c>
      <c r="C499" s="1105" t="str">
        <f aca="false">'Смета Внутр'!C499</f>
        <v>м.п.</v>
      </c>
      <c r="D499" s="1106" t="n">
        <f aca="false">'Смета Внутр'!D499</f>
        <v>0</v>
      </c>
      <c r="E499" s="1104"/>
      <c r="F499" s="1107" t="n">
        <f aca="false">'Смета Внутр'!H499</f>
        <v>0</v>
      </c>
    </row>
    <row r="500" s="118" customFormat="true" ht="15" hidden="false" customHeight="false" outlineLevel="0" collapsed="false">
      <c r="B500" s="1104" t="str">
        <f aca="false">'Смета Внутр'!B500</f>
        <v>Перемычка оконная, 2-ый эт. Вариант 8</v>
      </c>
      <c r="C500" s="1105" t="str">
        <f aca="false">'Смета Внутр'!C500</f>
        <v>м.п.</v>
      </c>
      <c r="D500" s="1106" t="n">
        <f aca="false">'Смета Внутр'!D500</f>
        <v>0</v>
      </c>
      <c r="E500" s="1104"/>
      <c r="F500" s="1107" t="n">
        <f aca="false">'Смета Внутр'!H500</f>
        <v>0</v>
      </c>
    </row>
    <row r="501" s="118" customFormat="true" ht="15" hidden="false" customHeight="false" outlineLevel="0" collapsed="false">
      <c r="B501" s="1104" t="str">
        <f aca="false">'Смета Внутр'!B501</f>
        <v>Перемычка оконная, 2-ый эт. Вариант 9</v>
      </c>
      <c r="C501" s="1105" t="str">
        <f aca="false">'Смета Внутр'!C501</f>
        <v>м.п.</v>
      </c>
      <c r="D501" s="1106" t="n">
        <f aca="false">'Смета Внутр'!D501</f>
        <v>0</v>
      </c>
      <c r="E501" s="1104"/>
      <c r="F501" s="1107" t="n">
        <f aca="false">'Смета Внутр'!H501</f>
        <v>0</v>
      </c>
    </row>
    <row r="502" s="118" customFormat="true" ht="15" hidden="false" customHeight="false" outlineLevel="0" collapsed="false">
      <c r="B502" s="1104" t="str">
        <f aca="false">'Смета Внутр'!B502</f>
        <v>Перемычка оконная, 2-ый эт. Вариант 10</v>
      </c>
      <c r="C502" s="1105" t="str">
        <f aca="false">'Смета Внутр'!C502</f>
        <v>м.п.</v>
      </c>
      <c r="D502" s="1106" t="n">
        <f aca="false">'Смета Внутр'!D502</f>
        <v>0</v>
      </c>
      <c r="E502" s="1104"/>
      <c r="F502" s="1107" t="n">
        <f aca="false">'Смета Внутр'!H502</f>
        <v>0</v>
      </c>
    </row>
    <row r="503" s="118" customFormat="true" ht="15" hidden="false" customHeight="false" outlineLevel="0" collapsed="false">
      <c r="B503" s="1104" t="str">
        <f aca="false">'Смета Внутр'!B503</f>
        <v>Перемычка дверная, 1-ый эт. Вариант 1</v>
      </c>
      <c r="C503" s="1105" t="str">
        <f aca="false">'Смета Внутр'!C503</f>
        <v>м.п.</v>
      </c>
      <c r="D503" s="1106" t="n">
        <f aca="false">'Смета Внутр'!D503</f>
        <v>0</v>
      </c>
      <c r="E503" s="1104"/>
      <c r="F503" s="1107" t="n">
        <f aca="false">'Смета Внутр'!H503</f>
        <v>0</v>
      </c>
    </row>
    <row r="504" s="118" customFormat="true" ht="15" hidden="false" customHeight="false" outlineLevel="0" collapsed="false">
      <c r="B504" s="1104" t="str">
        <f aca="false">'Смета Внутр'!B504</f>
        <v>Перемычка дверная, 2-ый эт. Вариант 2</v>
      </c>
      <c r="C504" s="1105" t="str">
        <f aca="false">'Смета Внутр'!C504</f>
        <v>м.п.</v>
      </c>
      <c r="D504" s="1106" t="n">
        <f aca="false">'Смета Внутр'!D504</f>
        <v>0</v>
      </c>
      <c r="E504" s="1104"/>
      <c r="F504" s="1107" t="n">
        <f aca="false">'Смета Внутр'!H504</f>
        <v>0</v>
      </c>
    </row>
    <row r="505" s="118" customFormat="true" ht="15" hidden="false" customHeight="false" outlineLevel="0" collapsed="false">
      <c r="B505" s="1104" t="str">
        <f aca="false">'Смета Внутр'!B505</f>
        <v>Перемычка оконная 1-ый эт, Вариант 11</v>
      </c>
      <c r="C505" s="1105" t="str">
        <f aca="false">'Смета Внутр'!C505</f>
        <v>м.п.</v>
      </c>
      <c r="D505" s="1106" t="n">
        <f aca="false">'Смета Внутр'!D505</f>
        <v>0</v>
      </c>
      <c r="E505" s="1104"/>
      <c r="F505" s="1107" t="n">
        <f aca="false">'Смета Внутр'!H505</f>
        <v>0</v>
      </c>
    </row>
    <row r="506" s="118" customFormat="true" ht="15" hidden="false" customHeight="false" outlineLevel="0" collapsed="false">
      <c r="B506" s="1104" t="str">
        <f aca="false">'Смета Внутр'!B506</f>
        <v>Перемычка оконная 1-ый эт, Вариант 12</v>
      </c>
      <c r="C506" s="1105" t="str">
        <f aca="false">'Смета Внутр'!C506</f>
        <v>м.п.</v>
      </c>
      <c r="D506" s="1106" t="n">
        <f aca="false">'Смета Внутр'!D506</f>
        <v>0</v>
      </c>
      <c r="E506" s="1104"/>
      <c r="F506" s="1107" t="n">
        <f aca="false">'Смета Внутр'!H506</f>
        <v>0</v>
      </c>
    </row>
    <row r="507" customFormat="false" ht="15" hidden="false" customHeight="false" outlineLevel="0" collapsed="false">
      <c r="B507" s="1097" t="str">
        <f aca="false">'Смета Внутр'!B507</f>
        <v>Перемычка дверная, 1-ый эт. Вариант 4</v>
      </c>
      <c r="C507" s="1098" t="str">
        <f aca="false">'Смета Внутр'!C507</f>
        <v>м.п.</v>
      </c>
      <c r="D507" s="1099" t="n">
        <f aca="false">'Смета Внутр'!D507</f>
        <v>3</v>
      </c>
      <c r="E507" s="1097"/>
      <c r="F507" s="1116" t="n">
        <f aca="false">'Смета Внутр'!H507</f>
        <v>3000</v>
      </c>
    </row>
    <row r="508" s="118" customFormat="true" ht="15" hidden="false" customHeight="false" outlineLevel="0" collapsed="false">
      <c r="B508" s="1104" t="str">
        <f aca="false">'Смета Внутр'!B508</f>
        <v>Перемычка дверная, 1-ый эт. Вариант 5</v>
      </c>
      <c r="C508" s="1105" t="str">
        <f aca="false">'Смета Внутр'!C508</f>
        <v>м.п.</v>
      </c>
      <c r="D508" s="1106" t="n">
        <f aca="false">'Смета Внутр'!D508</f>
        <v>0</v>
      </c>
      <c r="E508" s="1104"/>
      <c r="F508" s="1107" t="n">
        <f aca="false">'Смета Внутр'!H508</f>
        <v>0</v>
      </c>
    </row>
    <row r="509" s="118" customFormat="true" ht="15" hidden="false" customHeight="false" outlineLevel="0" collapsed="false">
      <c r="B509" s="1104" t="str">
        <f aca="false">'Смета Внутр'!B509</f>
        <v>Перемычка дверная, 1-ый эт. Вариант 6</v>
      </c>
      <c r="C509" s="1105" t="str">
        <f aca="false">'Смета Внутр'!C509</f>
        <v>м.п.</v>
      </c>
      <c r="D509" s="1106" t="n">
        <f aca="false">'Смета Внутр'!D509</f>
        <v>0</v>
      </c>
      <c r="E509" s="1104"/>
      <c r="F509" s="1107" t="n">
        <f aca="false">'Смета Внутр'!H509</f>
        <v>0</v>
      </c>
    </row>
    <row r="510" s="118" customFormat="true" ht="15" hidden="false" customHeight="false" outlineLevel="0" collapsed="false">
      <c r="B510" s="1104" t="str">
        <f aca="false">'Смета Внутр'!B510</f>
        <v>Перемычка дверная, 2-ый эт. Вариант 7</v>
      </c>
      <c r="C510" s="1105" t="str">
        <f aca="false">'Смета Внутр'!C510</f>
        <v>м.п.</v>
      </c>
      <c r="D510" s="1106" t="n">
        <f aca="false">'Смета Внутр'!D510</f>
        <v>0</v>
      </c>
      <c r="E510" s="1104"/>
      <c r="F510" s="1107" t="n">
        <f aca="false">'Смета Внутр'!H510</f>
        <v>0</v>
      </c>
    </row>
    <row r="511" s="118" customFormat="true" ht="15" hidden="false" customHeight="false" outlineLevel="0" collapsed="false">
      <c r="B511" s="1104" t="str">
        <f aca="false">'Смета Внутр'!B511</f>
        <v>Перемычка дверная, 2-ый эт. Вариант 8</v>
      </c>
      <c r="C511" s="1105" t="str">
        <f aca="false">'Смета Внутр'!C511</f>
        <v>м.п.</v>
      </c>
      <c r="D511" s="1106" t="n">
        <f aca="false">'Смета Внутр'!D511</f>
        <v>0</v>
      </c>
      <c r="E511" s="1104"/>
      <c r="F511" s="1107" t="n">
        <f aca="false">'Смета Внутр'!H511</f>
        <v>0</v>
      </c>
    </row>
    <row r="512" s="118" customFormat="true" ht="15" hidden="false" customHeight="false" outlineLevel="0" collapsed="false">
      <c r="B512" s="1104" t="str">
        <f aca="false">'Смета Внутр'!B512</f>
        <v>Перемычка дверная, 2-ый эт. Вариант 9</v>
      </c>
      <c r="C512" s="1105" t="str">
        <f aca="false">'Смета Внутр'!C512</f>
        <v>м.п.</v>
      </c>
      <c r="D512" s="1106" t="n">
        <f aca="false">'Смета Внутр'!D512</f>
        <v>0</v>
      </c>
      <c r="E512" s="1104"/>
      <c r="F512" s="1107" t="n">
        <f aca="false">'Смета Внутр'!H512</f>
        <v>0</v>
      </c>
    </row>
    <row r="513" s="118" customFormat="true" ht="15" hidden="false" customHeight="false" outlineLevel="0" collapsed="false">
      <c r="B513" s="1104" t="str">
        <f aca="false">'Смета Внутр'!B513</f>
        <v>Перемычка проема, 1-ый эт. Вариант 10</v>
      </c>
      <c r="C513" s="1105" t="str">
        <f aca="false">'Смета Внутр'!C513</f>
        <v>м.п.</v>
      </c>
      <c r="D513" s="1106" t="n">
        <f aca="false">'Смета Внутр'!D513</f>
        <v>0</v>
      </c>
      <c r="E513" s="1104"/>
      <c r="F513" s="1107" t="n">
        <f aca="false">'Смета Внутр'!H513</f>
        <v>0</v>
      </c>
    </row>
    <row r="514" s="118" customFormat="true" ht="15" hidden="false" customHeight="false" outlineLevel="0" collapsed="false">
      <c r="B514" s="1104" t="str">
        <f aca="false">'Смета Внутр'!B514</f>
        <v>Перемычка проема, 1-ый эт. Вариант 11</v>
      </c>
      <c r="C514" s="1105" t="str">
        <f aca="false">'Смета Внутр'!C514</f>
        <v>м.п.</v>
      </c>
      <c r="D514" s="1106" t="n">
        <f aca="false">'Смета Внутр'!D514</f>
        <v>0</v>
      </c>
      <c r="E514" s="1104"/>
      <c r="F514" s="1107" t="n">
        <f aca="false">'Смета Внутр'!H514</f>
        <v>0</v>
      </c>
    </row>
    <row r="515" s="118" customFormat="true" ht="15" hidden="false" customHeight="false" outlineLevel="0" collapsed="false">
      <c r="B515" s="1104" t="str">
        <f aca="false">'Смета Внутр'!B515</f>
        <v>Перемычка проема, 2-ый эт. Вариант 12</v>
      </c>
      <c r="C515" s="1105" t="str">
        <f aca="false">'Смета Внутр'!C515</f>
        <v>м.п.</v>
      </c>
      <c r="D515" s="1106" t="n">
        <f aca="false">'Смета Внутр'!D515</f>
        <v>0</v>
      </c>
      <c r="E515" s="1104"/>
      <c r="F515" s="1107" t="n">
        <f aca="false">'Смета Внутр'!H515</f>
        <v>0</v>
      </c>
    </row>
    <row r="516" s="118" customFormat="true" ht="15" hidden="false" customHeight="false" outlineLevel="0" collapsed="false">
      <c r="B516" s="1104" t="str">
        <f aca="false">'Смета Внутр'!B516</f>
        <v>Перемычка проема, 2-ый эт. Вариант 13</v>
      </c>
      <c r="C516" s="1105" t="str">
        <f aca="false">'Смета Внутр'!C516</f>
        <v>м.п.</v>
      </c>
      <c r="D516" s="1106" t="n">
        <f aca="false">'Смета Внутр'!D516</f>
        <v>0</v>
      </c>
      <c r="E516" s="1104"/>
      <c r="F516" s="1107" t="n">
        <f aca="false">'Смета Внутр'!H516</f>
        <v>0</v>
      </c>
    </row>
    <row r="517" s="118" customFormat="true" ht="15" hidden="false" customHeight="false" outlineLevel="0" collapsed="false">
      <c r="B517" s="1104" t="str">
        <f aca="false">'Смета Внутр'!B517</f>
        <v>Перемычка дверная, 1-ый эт. Вариант 1</v>
      </c>
      <c r="C517" s="1105" t="str">
        <f aca="false">'Смета Внутр'!C517</f>
        <v>м.п.</v>
      </c>
      <c r="D517" s="1106" t="n">
        <f aca="false">'Смета Внутр'!D517</f>
        <v>0</v>
      </c>
      <c r="E517" s="1104"/>
      <c r="F517" s="1107" t="n">
        <f aca="false">'Смета Внутр'!H517</f>
        <v>0</v>
      </c>
    </row>
    <row r="518" customFormat="false" ht="15" hidden="false" customHeight="false" outlineLevel="0" collapsed="false">
      <c r="B518" s="1097" t="str">
        <f aca="false">'Смета Внутр'!B518</f>
        <v>Перемычка дверная, 1-ый эт. Вариант 2</v>
      </c>
      <c r="C518" s="1098" t="str">
        <f aca="false">'Смета Внутр'!C518</f>
        <v>м.п.</v>
      </c>
      <c r="D518" s="1099" t="n">
        <f aca="false">'Смета Внутр'!D518</f>
        <v>1</v>
      </c>
      <c r="E518" s="1097"/>
      <c r="F518" s="1116" t="n">
        <f aca="false">'Смета Внутр'!H518</f>
        <v>1000</v>
      </c>
    </row>
    <row r="519" s="118" customFormat="true" ht="15" hidden="false" customHeight="false" outlineLevel="0" collapsed="false">
      <c r="B519" s="1104" t="str">
        <f aca="false">'Смета Внутр'!B519</f>
        <v>Перемычка дверная, 1-ый эт. Вариант 3</v>
      </c>
      <c r="C519" s="1105" t="str">
        <f aca="false">'Смета Внутр'!C519</f>
        <v>м.п.</v>
      </c>
      <c r="D519" s="1106" t="n">
        <f aca="false">'Смета Внутр'!D519</f>
        <v>0</v>
      </c>
      <c r="E519" s="1104"/>
      <c r="F519" s="1107" t="n">
        <f aca="false">'Смета Внутр'!H519</f>
        <v>0</v>
      </c>
    </row>
    <row r="520" customFormat="false" ht="15" hidden="false" customHeight="false" outlineLevel="0" collapsed="false">
      <c r="B520" s="1097" t="str">
        <f aca="false">'Смета Внутр'!B520</f>
        <v>Сосна влаж,200*40мм</v>
      </c>
      <c r="C520" s="1098" t="str">
        <f aca="false">'Смета Внутр'!C520</f>
        <v>м3</v>
      </c>
      <c r="D520" s="1099" t="n">
        <f aca="false">'Смета Внутр'!D520</f>
        <v>1.8512</v>
      </c>
      <c r="E520" s="1097"/>
      <c r="F520" s="1116" t="n">
        <f aca="false">'Смета Внутр'!H520</f>
        <v>12032.8</v>
      </c>
    </row>
    <row r="521" customFormat="false" ht="15" hidden="false" customHeight="false" outlineLevel="0" collapsed="false">
      <c r="B521" s="1097" t="str">
        <f aca="false">'Смета Внутр'!B521</f>
        <v>Сейсмопояс Арматура М10 4 нити</v>
      </c>
      <c r="C521" s="1098" t="str">
        <f aca="false">'Смета Внутр'!C521</f>
        <v>м.п.</v>
      </c>
      <c r="D521" s="1099" t="n">
        <f aca="false">'Смета Внутр'!D521</f>
        <v>281.6</v>
      </c>
      <c r="E521" s="1097"/>
      <c r="F521" s="1116" t="n">
        <f aca="false">'Смета Внутр'!H521</f>
        <v>5924.77952</v>
      </c>
    </row>
    <row r="522" s="118" customFormat="true" ht="15" hidden="false" customHeight="false" outlineLevel="0" collapsed="false">
      <c r="B522" s="1104" t="str">
        <f aca="false">'Смета Внутр'!B522</f>
        <v>Хомут для сейсмопояса Арматура М6, шаг 400мм</v>
      </c>
      <c r="C522" s="1105" t="str">
        <f aca="false">'Смета Внутр'!C522</f>
        <v>м.п.</v>
      </c>
      <c r="D522" s="1106" t="n">
        <f aca="false">'Смета Внутр'!D522</f>
        <v>144</v>
      </c>
      <c r="E522" s="1104"/>
      <c r="F522" s="1107" t="n">
        <f aca="false">'Смета Внутр'!H522</f>
        <v>0</v>
      </c>
    </row>
    <row r="523" customFormat="false" ht="15" hidden="false" customHeight="false" outlineLevel="0" collapsed="false">
      <c r="B523" s="1097" t="str">
        <f aca="false">'Смета Внутр'!B523</f>
        <v>Бетон, м300</v>
      </c>
      <c r="C523" s="1098" t="str">
        <f aca="false">'Смета Внутр'!C523</f>
        <v>м3</v>
      </c>
      <c r="D523" s="1099" t="n">
        <f aca="false">'Смета Внутр'!D523</f>
        <v>2.8833</v>
      </c>
      <c r="E523" s="1097"/>
      <c r="F523" s="1116" t="n">
        <f aca="false">'Смета Внутр'!H523</f>
        <v>8649.9</v>
      </c>
    </row>
    <row r="524" s="118" customFormat="true" ht="15" hidden="false" customHeight="false" outlineLevel="0" collapsed="false">
      <c r="B524" s="1104" t="str">
        <f aca="false">'Смета Внутр'!B524</f>
        <v>Нет</v>
      </c>
      <c r="C524" s="1105" t="str">
        <f aca="false">'Смета Внутр'!C524</f>
        <v>м3</v>
      </c>
      <c r="D524" s="1106" t="n">
        <f aca="false">'Смета Внутр'!D524</f>
        <v>0</v>
      </c>
      <c r="E524" s="1104"/>
      <c r="F524" s="1107" t="n">
        <f aca="false">'Смета Внутр'!H524</f>
        <v>0</v>
      </c>
    </row>
    <row r="525" s="118" customFormat="true" ht="15" hidden="false" customHeight="false" outlineLevel="0" collapsed="false">
      <c r="B525" s="1104" t="str">
        <f aca="false">'Смета Внутр'!B525</f>
        <v>Грибок для крепления утеплителя</v>
      </c>
      <c r="C525" s="1105" t="str">
        <f aca="false">'Смета Внутр'!C525</f>
        <v>шт</v>
      </c>
      <c r="D525" s="1106" t="n">
        <f aca="false">'Смета Внутр'!D525</f>
        <v>0</v>
      </c>
      <c r="E525" s="1104"/>
      <c r="F525" s="1107" t="n">
        <f aca="false">'Смета Внутр'!H525</f>
        <v>0</v>
      </c>
    </row>
    <row r="526" s="118" customFormat="true" ht="15" hidden="false" customHeight="false" outlineLevel="0" collapsed="false">
      <c r="B526" s="1104" t="str">
        <f aca="false">'Смета Внутр'!B526</f>
        <v>нет ветроизоляции</v>
      </c>
      <c r="C526" s="1105" t="str">
        <f aca="false">'Смета Внутр'!C526</f>
        <v>м2</v>
      </c>
      <c r="D526" s="1106" t="n">
        <f aca="false">'Смета Внутр'!D526</f>
        <v>0</v>
      </c>
      <c r="E526" s="1104"/>
      <c r="F526" s="1107" t="n">
        <f aca="false">'Смета Внутр'!H526</f>
        <v>0</v>
      </c>
    </row>
    <row r="527" customFormat="false" ht="15" hidden="false" customHeight="false" outlineLevel="0" collapsed="false">
      <c r="B527" s="1097" t="str">
        <f aca="false">'Смета Внутр'!B527</f>
        <v>Кладочная сетка, 100*100/150*150/200*200мм</v>
      </c>
      <c r="C527" s="1098" t="str">
        <f aca="false">'Смета Внутр'!C527</f>
        <v>м2</v>
      </c>
      <c r="D527" s="1099" t="n">
        <f aca="false">'Смета Внутр'!D527</f>
        <v>175.362</v>
      </c>
      <c r="E527" s="1097"/>
      <c r="F527" s="1116" t="n">
        <f aca="false">'Смета Внутр'!H527</f>
        <v>12275.34</v>
      </c>
    </row>
    <row r="528" customFormat="false" ht="15" hidden="false" customHeight="false" outlineLevel="0" collapsed="false">
      <c r="B528" s="1097" t="str">
        <f aca="false">'Смета Внутр'!B528</f>
        <v>Песок, машина 13м3</v>
      </c>
      <c r="C528" s="1098" t="str">
        <f aca="false">'Смета Внутр'!C528</f>
        <v>шт</v>
      </c>
      <c r="D528" s="1099" t="n">
        <f aca="false">'Смета Внутр'!D528</f>
        <v>1.57119347</v>
      </c>
      <c r="E528" s="1097"/>
      <c r="F528" s="1116" t="n">
        <f aca="false">'Смета Внутр'!H528</f>
        <v>18854.32164</v>
      </c>
    </row>
    <row r="529" customFormat="false" ht="15" hidden="false" customHeight="false" outlineLevel="0" collapsed="false">
      <c r="B529" s="1097" t="str">
        <f aca="false">'Смета Внутр'!B529</f>
        <v>Цемент, мешок, 50кг</v>
      </c>
      <c r="C529" s="1098" t="str">
        <f aca="false">'Смета Внутр'!C529</f>
        <v>меш</v>
      </c>
      <c r="D529" s="1099" t="n">
        <f aca="false">'Смета Внутр'!D529</f>
        <v>48.48254136</v>
      </c>
      <c r="E529" s="1097"/>
      <c r="F529" s="1116" t="n">
        <f aca="false">'Смета Внутр'!H529</f>
        <v>12120.63534</v>
      </c>
    </row>
    <row r="530" customFormat="false" ht="15" hidden="false" customHeight="false" outlineLevel="0" collapsed="false">
      <c r="B530" s="1117" t="str">
        <f aca="false">'Смета Внутр'!B530</f>
        <v>Итого материалы, рублей</v>
      </c>
      <c r="C530" s="1117"/>
      <c r="D530" s="1117"/>
      <c r="E530" s="1117"/>
      <c r="F530" s="1118" t="n">
        <f aca="false">'Смета Внутр'!G530</f>
        <v>758801.9669108</v>
      </c>
    </row>
    <row r="531" customFormat="false" ht="15" hidden="false" customHeight="false" outlineLevel="0" collapsed="false">
      <c r="B531" s="1119" t="str">
        <f aca="false">'Смета Внутр'!B531</f>
        <v>Работы</v>
      </c>
      <c r="C531" s="1119"/>
      <c r="D531" s="1119"/>
      <c r="E531" s="1119"/>
      <c r="F531" s="1123" t="n">
        <f aca="false">'Смета Внутр'!H531</f>
        <v>1</v>
      </c>
    </row>
    <row r="532" customFormat="false" ht="15" hidden="false" customHeight="false" outlineLevel="0" collapsed="false">
      <c r="B532" s="1097" t="str">
        <f aca="false">'Смета Внутр'!B532</f>
        <v>кладка кирпича</v>
      </c>
      <c r="C532" s="1098" t="str">
        <f aca="false">'Смета Внутр'!C532</f>
        <v>м3</v>
      </c>
      <c r="D532" s="1099" t="n">
        <f aca="false">'Смета Внутр'!D532</f>
        <v>81.62044</v>
      </c>
      <c r="E532" s="1097"/>
      <c r="F532" s="1116" t="n">
        <f aca="false">'Смета Внутр'!H532</f>
        <v>285671.54</v>
      </c>
    </row>
    <row r="533" customFormat="false" ht="15" hidden="false" customHeight="false" outlineLevel="0" collapsed="false">
      <c r="B533" s="1097" t="str">
        <f aca="false">'Смета Внутр'!B533</f>
        <v>кладка перегородок из кирпича</v>
      </c>
      <c r="C533" s="1098" t="str">
        <f aca="false">'Смета Внутр'!C533</f>
        <v>м2</v>
      </c>
      <c r="D533" s="1099" t="n">
        <f aca="false">'Смета Внутр'!D533</f>
        <v>21.84</v>
      </c>
      <c r="E533" s="1097"/>
      <c r="F533" s="1116" t="n">
        <f aca="false">'Смета Внутр'!H533</f>
        <v>12012</v>
      </c>
    </row>
    <row r="534" customFormat="false" ht="15" hidden="false" customHeight="false" outlineLevel="0" collapsed="false">
      <c r="B534" s="1097" t="str">
        <f aca="false">'Смета Внутр'!B534</f>
        <v>Армирование сейсмопояса</v>
      </c>
      <c r="C534" s="1098" t="str">
        <f aca="false">'Смета Внутр'!C534</f>
        <v>м2</v>
      </c>
      <c r="D534" s="1099" t="n">
        <f aca="false">'Смета Внутр'!D534</f>
        <v>87.681</v>
      </c>
      <c r="E534" s="1097"/>
      <c r="F534" s="1116" t="n">
        <f aca="false">'Смета Внутр'!H534</f>
        <v>43840.5</v>
      </c>
    </row>
    <row r="535" customFormat="false" ht="15" hidden="false" customHeight="false" outlineLevel="0" collapsed="false">
      <c r="B535" s="1097" t="str">
        <f aca="false">'Смета Внутр'!B535</f>
        <v>Заливка бетоном сейсмопояса</v>
      </c>
      <c r="C535" s="1098" t="str">
        <f aca="false">'Смета Внутр'!C535</f>
        <v>м3</v>
      </c>
      <c r="D535" s="1099" t="n">
        <f aca="false">'Смета Внутр'!D535</f>
        <v>2.8833</v>
      </c>
      <c r="E535" s="1097"/>
      <c r="F535" s="1116" t="n">
        <f aca="false">'Смета Внутр'!H535</f>
        <v>2018.31</v>
      </c>
    </row>
    <row r="536" s="118" customFormat="true" ht="15" hidden="false" customHeight="false" outlineLevel="0" collapsed="false">
      <c r="B536" s="1104" t="str">
        <f aca="false">'Смета Внутр'!B536</f>
        <v>утепление стен снаружи дома</v>
      </c>
      <c r="C536" s="1105" t="str">
        <f aca="false">'Смета Внутр'!C536</f>
        <v>м2</v>
      </c>
      <c r="D536" s="1106" t="n">
        <f aca="false">'Смета Внутр'!D536</f>
        <v>0</v>
      </c>
      <c r="E536" s="1104"/>
      <c r="F536" s="1107" t="n">
        <f aca="false">'Смета Внутр'!H536</f>
        <v>0</v>
      </c>
    </row>
    <row r="537" s="118" customFormat="true" ht="15" hidden="false" customHeight="false" outlineLevel="0" collapsed="false">
      <c r="B537" s="1104" t="str">
        <f aca="false">'Смета Внутр'!B537</f>
        <v>монтаж ветроизоляции стен</v>
      </c>
      <c r="C537" s="1105" t="str">
        <f aca="false">'Смета Внутр'!C537</f>
        <v>м2</v>
      </c>
      <c r="D537" s="1106" t="n">
        <f aca="false">'Смета Внутр'!D537</f>
        <v>0</v>
      </c>
      <c r="E537" s="1104"/>
      <c r="F537" s="1107" t="n">
        <f aca="false">'Смета Внутр'!H537</f>
        <v>0</v>
      </c>
    </row>
    <row r="538" customFormat="false" ht="15" hidden="false" customHeight="false" outlineLevel="0" collapsed="false">
      <c r="B538" s="1097" t="str">
        <f aca="false">'Смета Внутр'!B538</f>
        <v>изготовление и монтаж перемычек для окон и дверей</v>
      </c>
      <c r="C538" s="1098" t="str">
        <f aca="false">'Смета Внутр'!C538</f>
        <v>м.п.</v>
      </c>
      <c r="D538" s="1099" t="n">
        <f aca="false">'Смета Внутр'!D538</f>
        <v>5</v>
      </c>
      <c r="E538" s="1097"/>
      <c r="F538" s="1116" t="n">
        <f aca="false">'Смета Внутр'!H538</f>
        <v>2500</v>
      </c>
    </row>
    <row r="539" customFormat="false" ht="15" hidden="false" customHeight="false" outlineLevel="0" collapsed="false">
      <c r="B539" s="1117" t="str">
        <f aca="false">'Смета Внутр'!B539</f>
        <v>Итого работы, рублей</v>
      </c>
      <c r="C539" s="1117"/>
      <c r="D539" s="1117"/>
      <c r="E539" s="1117"/>
      <c r="F539" s="1118" t="n">
        <f aca="false">'Смета Внутр'!G539</f>
        <v>346042.35</v>
      </c>
    </row>
    <row r="540" s="118" customFormat="true" ht="18.75" hidden="false" customHeight="false" outlineLevel="0" collapsed="false">
      <c r="B540" s="1111" t="str">
        <f aca="false">'Смета Внутр'!B540</f>
        <v>Брусовой дом</v>
      </c>
      <c r="C540" s="1111"/>
      <c r="D540" s="1111"/>
      <c r="E540" s="1111"/>
      <c r="F540" s="1120" t="n">
        <f aca="false">'Смета Внутр'!H540</f>
        <v>0</v>
      </c>
    </row>
    <row r="541" s="118" customFormat="true" ht="15" hidden="false" customHeight="false" outlineLevel="0" collapsed="false">
      <c r="B541" s="1103" t="str">
        <f aca="false">'Смета Внутр'!B541</f>
        <v>Материалы</v>
      </c>
      <c r="C541" s="1103"/>
      <c r="D541" s="1103"/>
      <c r="E541" s="1103"/>
      <c r="F541" s="1120" t="n">
        <f aca="false">'Смета Внутр'!H541</f>
        <v>0</v>
      </c>
    </row>
    <row r="542" s="118" customFormat="true" ht="15" hidden="false" customHeight="false" outlineLevel="0" collapsed="false">
      <c r="B542" s="1104" t="str">
        <f aca="false">'Смета Внутр'!B542</f>
        <v>Листв. влаж, 200*200мм</v>
      </c>
      <c r="C542" s="1105" t="str">
        <f aca="false">'Смета Внутр'!C542</f>
        <v>м3</v>
      </c>
      <c r="D542" s="1106" t="n">
        <f aca="false">'Смета Внутр'!D542</f>
        <v>4.012</v>
      </c>
      <c r="E542" s="1104"/>
      <c r="F542" s="1121" t="n">
        <f aca="false">'Смета Внутр'!H542</f>
        <v>0</v>
      </c>
    </row>
    <row r="543" s="118" customFormat="true" ht="15" hidden="false" customHeight="false" outlineLevel="0" collapsed="false">
      <c r="B543" s="1104" t="str">
        <f aca="false">'Смета Внутр'!B543</f>
        <v>Сосна влаж, 200*150мм</v>
      </c>
      <c r="C543" s="1105" t="str">
        <f aca="false">'Смета Внутр'!C543</f>
        <v>м3</v>
      </c>
      <c r="D543" s="1106" t="n">
        <f aca="false">'Смета Внутр'!D543</f>
        <v>-3.14575</v>
      </c>
      <c r="E543" s="1104"/>
      <c r="F543" s="1121" t="n">
        <f aca="false">'Смета Внутр'!H543</f>
        <v>0</v>
      </c>
    </row>
    <row r="544" s="118" customFormat="true" ht="15" hidden="false" customHeight="false" outlineLevel="0" collapsed="false">
      <c r="B544" s="1104" t="str">
        <f aca="false">'Смета Внутр'!B544</f>
        <v>Сосна влаж, 200*150мм</v>
      </c>
      <c r="C544" s="1105" t="str">
        <f aca="false">'Смета Внутр'!C544</f>
        <v>м3</v>
      </c>
      <c r="D544" s="1106" t="n">
        <f aca="false">'Смета Внутр'!D544</f>
        <v>0</v>
      </c>
      <c r="E544" s="1104"/>
      <c r="F544" s="1121" t="n">
        <f aca="false">'Смета Внутр'!H544</f>
        <v>0</v>
      </c>
    </row>
    <row r="545" s="118" customFormat="true" ht="15" hidden="false" customHeight="false" outlineLevel="0" collapsed="false">
      <c r="B545" s="1104" t="str">
        <f aca="false">'Смета Внутр'!B545</f>
        <v>Сосна влаж, 200*100мм</v>
      </c>
      <c r="C545" s="1105" t="str">
        <f aca="false">'Смета Внутр'!C545</f>
        <v>м2</v>
      </c>
      <c r="D545" s="1106" t="n">
        <f aca="false">'Смета Внутр'!D545</f>
        <v>0</v>
      </c>
      <c r="E545" s="1104"/>
      <c r="F545" s="1121" t="n">
        <f aca="false">'Смета Внутр'!H545</f>
        <v>0</v>
      </c>
    </row>
    <row r="546" s="118" customFormat="true" ht="15" hidden="false" customHeight="false" outlineLevel="0" collapsed="false">
      <c r="B546" s="1104" t="str">
        <f aca="false">'Смета Внутр'!B546</f>
        <v>Шкант</v>
      </c>
      <c r="C546" s="1105" t="str">
        <f aca="false">'Смета Внутр'!C546</f>
        <v>шт</v>
      </c>
      <c r="D546" s="1106" t="n">
        <f aca="false">'Смета Внутр'!D546</f>
        <v>20</v>
      </c>
      <c r="E546" s="1104"/>
      <c r="F546" s="1121" t="n">
        <f aca="false">'Смета Внутр'!H546</f>
        <v>0</v>
      </c>
    </row>
    <row r="547" s="118" customFormat="true" ht="15" hidden="false" customHeight="false" outlineLevel="0" collapsed="false">
      <c r="B547" s="1104" t="str">
        <f aca="false">'Смета Внутр'!B547</f>
        <v>Лен-джут 200х5х20000 мм</v>
      </c>
      <c r="C547" s="1105" t="str">
        <f aca="false">'Смета Внутр'!C547</f>
        <v>шт</v>
      </c>
      <c r="D547" s="1106" t="n">
        <f aca="false">'Смета Внутр'!D547</f>
        <v>0</v>
      </c>
      <c r="E547" s="1104"/>
      <c r="F547" s="1121" t="n">
        <f aca="false">'Смета Внутр'!H547</f>
        <v>0</v>
      </c>
    </row>
    <row r="548" s="118" customFormat="true" ht="15" hidden="false" customHeight="false" outlineLevel="0" collapsed="false">
      <c r="B548" s="1104" t="str">
        <f aca="false">'Смета Внутр'!B548</f>
        <v>Гвозди строительные 3,5 x 90            </v>
      </c>
      <c r="C548" s="1105" t="str">
        <f aca="false">'Смета Внутр'!C548</f>
        <v>шт</v>
      </c>
      <c r="D548" s="1106" t="n">
        <f aca="false">'Смета Внутр'!D548</f>
        <v>4.4</v>
      </c>
      <c r="E548" s="1104"/>
      <c r="F548" s="1121" t="n">
        <f aca="false">'Смета Внутр'!H548</f>
        <v>0</v>
      </c>
    </row>
    <row r="549" s="118" customFormat="true" ht="15" hidden="false" customHeight="false" outlineLevel="0" collapsed="false">
      <c r="B549" s="1104" t="str">
        <f aca="false">'Смета Внутр'!B549</f>
        <v>нет</v>
      </c>
      <c r="C549" s="1105" t="str">
        <f aca="false">'Смета Внутр'!C549</f>
        <v>м3</v>
      </c>
      <c r="D549" s="1106" t="n">
        <f aca="false">'Смета Внутр'!D549</f>
        <v>0</v>
      </c>
      <c r="E549" s="1104"/>
      <c r="F549" s="1121" t="n">
        <f aca="false">'Смета Внутр'!H549</f>
        <v>0</v>
      </c>
    </row>
    <row r="550" s="118" customFormat="true" ht="15" hidden="false" customHeight="false" outlineLevel="0" collapsed="false">
      <c r="B550" s="1104" t="str">
        <f aca="false">'Смета Внутр'!B550</f>
        <v>нет</v>
      </c>
      <c r="C550" s="1105" t="str">
        <f aca="false">'Смета Внутр'!C550</f>
        <v>м3</v>
      </c>
      <c r="D550" s="1106" t="n">
        <f aca="false">'Смета Внутр'!D550</f>
        <v>0</v>
      </c>
      <c r="E550" s="1104"/>
      <c r="F550" s="1121" t="n">
        <f aca="false">'Смета Внутр'!H550</f>
        <v>0</v>
      </c>
    </row>
    <row r="551" s="118" customFormat="true" ht="15" hidden="false" customHeight="false" outlineLevel="0" collapsed="false">
      <c r="B551" s="1104" t="str">
        <f aca="false">'Смета Внутр'!B551</f>
        <v>нет</v>
      </c>
      <c r="C551" s="1105" t="str">
        <f aca="false">'Смета Внутр'!C551</f>
        <v>м3</v>
      </c>
      <c r="D551" s="1106" t="n">
        <f aca="false">'Смета Внутр'!D551</f>
        <v>0</v>
      </c>
      <c r="E551" s="1104"/>
      <c r="F551" s="1121" t="n">
        <f aca="false">'Смета Внутр'!H551</f>
        <v>0</v>
      </c>
    </row>
    <row r="552" s="118" customFormat="true" ht="15" hidden="false" customHeight="false" outlineLevel="0" collapsed="false">
      <c r="B552" s="1104" t="str">
        <f aca="false">'Смета Внутр'!B552</f>
        <v>нет</v>
      </c>
      <c r="C552" s="1105" t="str">
        <f aca="false">'Смета Внутр'!C552</f>
        <v>м.п.</v>
      </c>
      <c r="D552" s="1106" t="n">
        <f aca="false">'Смета Внутр'!D552</f>
        <v>0</v>
      </c>
      <c r="E552" s="1104"/>
      <c r="F552" s="1121" t="n">
        <f aca="false">'Смета Внутр'!H552</f>
        <v>0</v>
      </c>
    </row>
    <row r="553" s="118" customFormat="true" ht="15" hidden="false" customHeight="false" outlineLevel="0" collapsed="false">
      <c r="B553" s="1104" t="str">
        <f aca="false">'Смета Внутр'!B553</f>
        <v>Бензин для пилы</v>
      </c>
      <c r="C553" s="1105" t="str">
        <f aca="false">'Смета Внутр'!C553</f>
        <v>л</v>
      </c>
      <c r="D553" s="1106" t="n">
        <f aca="false">'Смета Внутр'!D553</f>
        <v>0.1588125</v>
      </c>
      <c r="E553" s="1104"/>
      <c r="F553" s="1121" t="n">
        <f aca="false">'Смета Внутр'!H553</f>
        <v>0</v>
      </c>
    </row>
    <row r="554" s="118" customFormat="true" ht="15" hidden="false" customHeight="false" outlineLevel="0" collapsed="false">
      <c r="B554" s="1104" t="str">
        <f aca="false">'Смета Внутр'!B554</f>
        <v>Масло для пилы</v>
      </c>
      <c r="C554" s="1105" t="str">
        <f aca="false">'Смета Внутр'!C554</f>
        <v>л</v>
      </c>
      <c r="D554" s="1106" t="n">
        <f aca="false">'Смета Внутр'!D554</f>
        <v>0.017469375</v>
      </c>
      <c r="E554" s="1104"/>
      <c r="F554" s="1121" t="n">
        <f aca="false">'Смета Внутр'!H554</f>
        <v>0</v>
      </c>
    </row>
    <row r="555" s="118" customFormat="true" ht="15" hidden="false" customHeight="false" outlineLevel="0" collapsed="false">
      <c r="B555" s="1104" t="str">
        <f aca="false">'Смета Внутр'!B555</f>
        <v>Цепь для пилы</v>
      </c>
      <c r="C555" s="1105" t="str">
        <f aca="false">'Смета Внутр'!C555</f>
        <v>шт</v>
      </c>
      <c r="D555" s="1106" t="n">
        <f aca="false">'Смета Внутр'!D555</f>
        <v>1.1</v>
      </c>
      <c r="E555" s="1104"/>
      <c r="F555" s="1121" t="n">
        <f aca="false">'Смета Внутр'!H555</f>
        <v>0</v>
      </c>
    </row>
    <row r="556" s="118" customFormat="true" ht="15" hidden="false" customHeight="false" outlineLevel="0" collapsed="false">
      <c r="B556" s="1104" t="str">
        <f aca="false">'Смета Внутр'!B556</f>
        <v>"Профилюкс" Антисептик ОБЗ-1</v>
      </c>
      <c r="C556" s="1105" t="str">
        <f aca="false">'Смета Внутр'!C556</f>
        <v>л</v>
      </c>
      <c r="D556" s="1106" t="n">
        <f aca="false">'Смета Внутр'!D556</f>
        <v>0</v>
      </c>
      <c r="E556" s="1104"/>
      <c r="F556" s="1121" t="n">
        <f aca="false">'Смета Внутр'!H556</f>
        <v>0</v>
      </c>
    </row>
    <row r="557" s="118" customFormat="true" ht="15" hidden="false" customHeight="false" outlineLevel="0" collapsed="false">
      <c r="B557" s="1104" t="str">
        <f aca="false">'Смета Внутр'!B557</f>
        <v>Нет пропитки</v>
      </c>
      <c r="C557" s="1105" t="str">
        <f aca="false">'Смета Внутр'!C557</f>
        <v>л</v>
      </c>
      <c r="D557" s="1106" t="n">
        <f aca="false">'Смета Внутр'!D557</f>
        <v>0</v>
      </c>
      <c r="E557" s="1104"/>
      <c r="F557" s="1107" t="n">
        <f aca="false">'Смета Внутр'!H557</f>
        <v>0</v>
      </c>
    </row>
    <row r="558" s="118" customFormat="true" ht="15" hidden="false" customHeight="false" outlineLevel="0" collapsed="false">
      <c r="B558" s="1104" t="str">
        <f aca="false">'Смета Внутр'!B558</f>
        <v>Нет пропитки</v>
      </c>
      <c r="C558" s="1105" t="str">
        <f aca="false">'Смета Внутр'!C558</f>
        <v>л</v>
      </c>
      <c r="D558" s="1106" t="n">
        <f aca="false">'Смета Внутр'!D558</f>
        <v>0</v>
      </c>
      <c r="E558" s="1104"/>
      <c r="F558" s="1107" t="n">
        <f aca="false">'Смета Внутр'!H558</f>
        <v>0</v>
      </c>
    </row>
    <row r="559" s="118" customFormat="true" ht="15" hidden="false" customHeight="false" outlineLevel="0" collapsed="false">
      <c r="B559" s="1104" t="str">
        <f aca="false">'Смета Внутр'!B559</f>
        <v>Нет наличника</v>
      </c>
      <c r="C559" s="1105" t="str">
        <f aca="false">'Смета Внутр'!C559</f>
        <v>м.п.</v>
      </c>
      <c r="D559" s="1106" t="n">
        <f aca="false">'Смета Внутр'!D559</f>
        <v>3.57</v>
      </c>
      <c r="E559" s="1104"/>
      <c r="F559" s="1107" t="n">
        <f aca="false">'Смета Внутр'!H559</f>
        <v>0</v>
      </c>
    </row>
    <row r="560" s="118" customFormat="true" ht="15" hidden="false" customHeight="false" outlineLevel="0" collapsed="false">
      <c r="B560" s="1104" t="str">
        <f aca="false">'Смета Внутр'!B560</f>
        <v>Нет наличника</v>
      </c>
      <c r="C560" s="1105" t="str">
        <f aca="false">'Смета Внутр'!C560</f>
        <v>м.п.</v>
      </c>
      <c r="D560" s="1106" t="n">
        <f aca="false">'Смета Внутр'!D560</f>
        <v>3.57</v>
      </c>
      <c r="E560" s="1104"/>
      <c r="F560" s="1107" t="n">
        <f aca="false">'Смета Внутр'!H560</f>
        <v>0</v>
      </c>
    </row>
    <row r="561" s="118" customFormat="true" ht="15" hidden="false" customHeight="false" outlineLevel="0" collapsed="false">
      <c r="B561" s="1104" t="str">
        <f aca="false">'Смета Внутр'!B561</f>
        <v>Нет наждачной бумаги</v>
      </c>
      <c r="C561" s="1105" t="str">
        <f aca="false">'Смета Внутр'!C561</f>
        <v>м</v>
      </c>
      <c r="D561" s="1106" t="n">
        <f aca="false">'Смета Внутр'!D561</f>
        <v>0</v>
      </c>
      <c r="E561" s="1104"/>
      <c r="F561" s="1107" t="n">
        <f aca="false">'Смета Внутр'!H561</f>
        <v>0</v>
      </c>
    </row>
    <row r="562" s="118" customFormat="true" ht="15" hidden="false" customHeight="false" outlineLevel="0" collapsed="false">
      <c r="B562" s="1104" t="str">
        <f aca="false">'Смета Внутр'!B562</f>
        <v>Нет наждачной бумаги</v>
      </c>
      <c r="C562" s="1105" t="str">
        <f aca="false">'Смета Внутр'!C562</f>
        <v>м</v>
      </c>
      <c r="D562" s="1106" t="n">
        <f aca="false">'Смета Внутр'!D562</f>
        <v>0</v>
      </c>
      <c r="E562" s="1104"/>
      <c r="F562" s="1107" t="n">
        <f aca="false">'Смета Внутр'!H562</f>
        <v>0</v>
      </c>
    </row>
    <row r="563" s="118" customFormat="true" ht="15" hidden="false" customHeight="false" outlineLevel="0" collapsed="false">
      <c r="B563" s="1104" t="str">
        <f aca="false">'Смета Внутр'!B563</f>
        <v>Нет наждачной бумаги</v>
      </c>
      <c r="C563" s="1105" t="str">
        <f aca="false">'Смета Внутр'!C563</f>
        <v>м</v>
      </c>
      <c r="D563" s="1106" t="n">
        <f aca="false">'Смета Внутр'!D563</f>
        <v>0</v>
      </c>
      <c r="E563" s="1104"/>
      <c r="F563" s="1107" t="n">
        <f aca="false">'Смета Внутр'!H563</f>
        <v>0</v>
      </c>
    </row>
    <row r="564" s="118" customFormat="true" ht="15" hidden="false" customHeight="false" outlineLevel="0" collapsed="false">
      <c r="B564" s="1104" t="str">
        <f aca="false">'Смета Внутр'!B564</f>
        <v>Нет наждачной бумаги</v>
      </c>
      <c r="C564" s="1105" t="str">
        <f aca="false">'Смета Внутр'!C564</f>
        <v>м</v>
      </c>
      <c r="D564" s="1106" t="n">
        <f aca="false">'Смета Внутр'!D564</f>
        <v>0</v>
      </c>
      <c r="E564" s="1104"/>
      <c r="F564" s="1107" t="n">
        <f aca="false">'Смета Внутр'!H564</f>
        <v>0</v>
      </c>
    </row>
    <row r="565" s="118" customFormat="true" ht="15" hidden="false" customHeight="false" outlineLevel="0" collapsed="false">
      <c r="B565" s="1108" t="str">
        <f aca="false">'Смета Внутр'!B565</f>
        <v>Итого материалы, рублей</v>
      </c>
      <c r="C565" s="1108"/>
      <c r="D565" s="1108"/>
      <c r="E565" s="1108"/>
      <c r="F565" s="1122" t="n">
        <f aca="false">'Смета Внутр'!G565</f>
        <v>0</v>
      </c>
    </row>
    <row r="566" s="118" customFormat="true" ht="15" hidden="false" customHeight="false" outlineLevel="0" collapsed="false">
      <c r="B566" s="1110" t="str">
        <f aca="false">'Смета Внутр'!B566</f>
        <v>Работы</v>
      </c>
      <c r="C566" s="1110"/>
      <c r="D566" s="1110"/>
      <c r="E566" s="1110"/>
      <c r="F566" s="1120" t="n">
        <f aca="false">'Смета Внутр'!H566</f>
        <v>0</v>
      </c>
    </row>
    <row r="567" s="118" customFormat="true" ht="15" hidden="false" customHeight="false" outlineLevel="0" collapsed="false">
      <c r="B567" s="1104" t="str">
        <f aca="false">'Смета Внутр'!B567</f>
        <v>кладка бруса</v>
      </c>
      <c r="C567" s="1105" t="str">
        <f aca="false">'Смета Внутр'!C567</f>
        <v>м3</v>
      </c>
      <c r="D567" s="1106" t="n">
        <f aca="false">'Смета Внутр'!D567</f>
        <v>0.866249999999999</v>
      </c>
      <c r="E567" s="1104"/>
      <c r="F567" s="1121" t="n">
        <f aca="false">'Смета Внутр'!H567</f>
        <v>0</v>
      </c>
    </row>
    <row r="568" s="118" customFormat="true" ht="15" hidden="false" customHeight="false" outlineLevel="0" collapsed="false">
      <c r="B568" s="1104" t="str">
        <f aca="false">'Смета Внутр'!B568</f>
        <v>окосячка проемов, м.п.</v>
      </c>
      <c r="C568" s="1105" t="str">
        <f aca="false">'Смета Внутр'!C568</f>
        <v>м.п.</v>
      </c>
      <c r="D568" s="1106" t="n">
        <f aca="false">'Смета Внутр'!D568</f>
        <v>0</v>
      </c>
      <c r="E568" s="1104"/>
      <c r="F568" s="1121" t="n">
        <f aca="false">'Смета Внутр'!H568</f>
        <v>0</v>
      </c>
    </row>
    <row r="569" s="118" customFormat="true" ht="15" hidden="false" customHeight="false" outlineLevel="0" collapsed="false">
      <c r="B569" s="1104" t="str">
        <f aca="false">'Смета Внутр'!B569</f>
        <v>обработка торцов на брусе</v>
      </c>
      <c r="C569" s="1105" t="str">
        <f aca="false">'Смета Внутр'!C569</f>
        <v>м.п.</v>
      </c>
      <c r="D569" s="1106" t="n">
        <f aca="false">'Смета Внутр'!D569</f>
        <v>20</v>
      </c>
      <c r="E569" s="1104"/>
      <c r="F569" s="1121" t="n">
        <f aca="false">'Смета Внутр'!H569</f>
        <v>0</v>
      </c>
    </row>
    <row r="570" s="118" customFormat="true" ht="15" hidden="false" customHeight="false" outlineLevel="0" collapsed="false">
      <c r="B570" s="1104" t="str">
        <f aca="false">'Смета Внутр'!B570</f>
        <v>Обаботка огнебиозащитой</v>
      </c>
      <c r="C570" s="1105" t="str">
        <f aca="false">'Смета Внутр'!C570</f>
        <v>м.п.</v>
      </c>
      <c r="D570" s="1106" t="n">
        <f aca="false">'Смета Внутр'!D570</f>
        <v>0.866249999999999</v>
      </c>
      <c r="E570" s="1104"/>
      <c r="F570" s="1121" t="n">
        <f aca="false">'Смета Внутр'!H570</f>
        <v>0</v>
      </c>
    </row>
    <row r="571" s="118" customFormat="true" ht="15" hidden="false" customHeight="false" outlineLevel="0" collapsed="false">
      <c r="B571" s="1104" t="str">
        <f aca="false">'Смета Внутр'!B571</f>
        <v>Пропитка стен внешних</v>
      </c>
      <c r="C571" s="1105" t="str">
        <f aca="false">'Смета Внутр'!C571</f>
        <v>м.п.</v>
      </c>
      <c r="D571" s="1106" t="n">
        <f aca="false">'Смета Внутр'!D571</f>
        <v>0</v>
      </c>
      <c r="E571" s="1104"/>
      <c r="F571" s="1107" t="n">
        <f aca="false">'Смета Внутр'!H571</f>
        <v>0</v>
      </c>
    </row>
    <row r="572" s="118" customFormat="true" ht="15" hidden="false" customHeight="false" outlineLevel="0" collapsed="false">
      <c r="B572" s="1104" t="str">
        <f aca="false">'Смета Внутр'!B572</f>
        <v>Пропитка внутенних стен</v>
      </c>
      <c r="C572" s="1105" t="str">
        <f aca="false">'Смета Внутр'!C572</f>
        <v>м.п.</v>
      </c>
      <c r="D572" s="1106" t="n">
        <f aca="false">'Смета Внутр'!D572</f>
        <v>0</v>
      </c>
      <c r="E572" s="1104"/>
      <c r="F572" s="1107" t="n">
        <f aca="false">'Смета Внутр'!H572</f>
        <v>0</v>
      </c>
    </row>
    <row r="573" s="118" customFormat="true" ht="15" hidden="false" customHeight="false" outlineLevel="0" collapsed="false">
      <c r="B573" s="1104" t="str">
        <f aca="false">'Смета Внутр'!B573</f>
        <v>Не считать</v>
      </c>
      <c r="C573" s="1105" t="str">
        <f aca="false">'Смета Внутр'!C573</f>
        <v>м.п.</v>
      </c>
      <c r="D573" s="1106" t="n">
        <f aca="false">'Смета Внутр'!D573</f>
        <v>0</v>
      </c>
      <c r="E573" s="1104"/>
      <c r="F573" s="1107" t="n">
        <f aca="false">'Смета Внутр'!H573</f>
        <v>0</v>
      </c>
    </row>
    <row r="574" s="118" customFormat="true" ht="15" hidden="false" customHeight="false" outlineLevel="0" collapsed="false">
      <c r="B574" s="1104" t="str">
        <f aca="false">'Смета Внутр'!B574</f>
        <v>Монтаж наличника</v>
      </c>
      <c r="C574" s="1105" t="str">
        <f aca="false">'Смета Внутр'!C574</f>
        <v>м.п.</v>
      </c>
      <c r="D574" s="1106" t="n">
        <f aca="false">'Смета Внутр'!D574</f>
        <v>0</v>
      </c>
      <c r="E574" s="1104"/>
      <c r="F574" s="1107" t="n">
        <f aca="false">'Смета Внутр'!H574</f>
        <v>0</v>
      </c>
    </row>
    <row r="575" s="118" customFormat="true" ht="15" hidden="false" customHeight="false" outlineLevel="0" collapsed="false">
      <c r="B575" s="1104" t="str">
        <f aca="false">'Смета Внутр'!B575</f>
        <v>Шлифовка стен дома</v>
      </c>
      <c r="C575" s="1105" t="str">
        <f aca="false">'Смета Внутр'!C575</f>
        <v>м.п.</v>
      </c>
      <c r="D575" s="1106" t="n">
        <f aca="false">'Смета Внутр'!D575</f>
        <v>0</v>
      </c>
      <c r="E575" s="1104"/>
      <c r="F575" s="1107" t="n">
        <f aca="false">'Смета Внутр'!H575</f>
        <v>0</v>
      </c>
    </row>
    <row r="576" s="118" customFormat="true" ht="15" hidden="false" customHeight="false" outlineLevel="0" collapsed="false">
      <c r="B576" s="1108" t="str">
        <f aca="false">'Смета Внутр'!B576</f>
        <v>Итого работы</v>
      </c>
      <c r="C576" s="1108"/>
      <c r="D576" s="1108"/>
      <c r="E576" s="1108"/>
      <c r="F576" s="1122" t="n">
        <f aca="false">'Смета Внутр'!G576</f>
        <v>0</v>
      </c>
    </row>
    <row r="577" s="118" customFormat="true" ht="18.75" hidden="false" customHeight="false" outlineLevel="0" collapsed="false">
      <c r="B577" s="1111" t="str">
        <f aca="false">'Смета Внутр'!B577</f>
        <v>Дом из Дикого леса</v>
      </c>
      <c r="C577" s="1111"/>
      <c r="D577" s="1111"/>
      <c r="E577" s="1111"/>
      <c r="F577" s="1102" t="n">
        <f aca="false">'Смета Внутр'!H577</f>
        <v>0</v>
      </c>
    </row>
    <row r="578" s="118" customFormat="true" ht="15" hidden="false" customHeight="false" outlineLevel="0" collapsed="false">
      <c r="B578" s="1103" t="str">
        <f aca="false">'Смета Внутр'!B578</f>
        <v>Материалы</v>
      </c>
      <c r="C578" s="1103"/>
      <c r="D578" s="1103"/>
      <c r="E578" s="1103"/>
      <c r="F578" s="1102" t="n">
        <f aca="false">'Смета Внутр'!H578</f>
        <v>0</v>
      </c>
    </row>
    <row r="579" s="118" customFormat="true" ht="15" hidden="false" customHeight="false" outlineLevel="0" collapsed="false">
      <c r="B579" s="1104" t="str">
        <f aca="false">'Смета Внутр'!B579</f>
        <v>Оцилиндрованное бревно лиственница 280мм</v>
      </c>
      <c r="C579" s="1105" t="str">
        <f aca="false">'Смета Внутр'!C579</f>
        <v>м3</v>
      </c>
      <c r="D579" s="1106" t="n">
        <f aca="false">'Смета Внутр'!D579</f>
        <v>4.19187802</v>
      </c>
      <c r="E579" s="1104"/>
      <c r="F579" s="1107" t="n">
        <f aca="false">'Смета Внутр'!H579</f>
        <v>0</v>
      </c>
    </row>
    <row r="580" s="118" customFormat="true" ht="15" hidden="false" customHeight="false" outlineLevel="0" collapsed="false">
      <c r="B580" s="1104" t="str">
        <f aca="false">'Смета Внутр'!B580</f>
        <v>Оцилиндрованное бревно сосна 220мм</v>
      </c>
      <c r="C580" s="1105" t="str">
        <f aca="false">'Смета Внутр'!C580</f>
        <v>м3</v>
      </c>
      <c r="D580" s="1106" t="n">
        <f aca="false">'Смета Внутр'!D580</f>
        <v>-3.09205170421053</v>
      </c>
      <c r="E580" s="1104"/>
      <c r="F580" s="1107" t="n">
        <f aca="false">'Смета Внутр'!H580</f>
        <v>0</v>
      </c>
    </row>
    <row r="581" s="118" customFormat="true" ht="15" hidden="false" customHeight="false" outlineLevel="0" collapsed="false">
      <c r="B581" s="1104" t="str">
        <f aca="false">'Смета Внутр'!B581</f>
        <v>Оцилиндрованное бревно сосна 220мм</v>
      </c>
      <c r="C581" s="1105" t="str">
        <f aca="false">'Смета Внутр'!C581</f>
        <v>м3</v>
      </c>
      <c r="D581" s="1106" t="n">
        <f aca="false">'Смета Внутр'!D581</f>
        <v>0</v>
      </c>
      <c r="E581" s="1104"/>
      <c r="F581" s="1107" t="n">
        <f aca="false">'Смета Внутр'!H581</f>
        <v>0</v>
      </c>
    </row>
    <row r="582" s="118" customFormat="true" ht="15" hidden="false" customHeight="false" outlineLevel="0" collapsed="false">
      <c r="B582" s="1104" t="str">
        <f aca="false">'Смета Внутр'!B582</f>
        <v>Оцилиндрованное бревно сосна 220мм</v>
      </c>
      <c r="C582" s="1105" t="str">
        <f aca="false">'Смета Внутр'!C582</f>
        <v>м2</v>
      </c>
      <c r="D582" s="1106" t="n">
        <f aca="false">'Смета Внутр'!D582</f>
        <v>0</v>
      </c>
      <c r="E582" s="1104"/>
      <c r="F582" s="1107" t="n">
        <f aca="false">'Смета Внутр'!H582</f>
        <v>0</v>
      </c>
    </row>
    <row r="583" s="118" customFormat="true" ht="15" hidden="false" customHeight="false" outlineLevel="0" collapsed="false">
      <c r="B583" s="1104" t="str">
        <f aca="false">'Смета Внутр'!B583</f>
        <v>Шкант</v>
      </c>
      <c r="C583" s="1105" t="str">
        <f aca="false">'Смета Внутр'!C583</f>
        <v>шт</v>
      </c>
      <c r="D583" s="1106" t="n">
        <f aca="false">'Смета Внутр'!D583</f>
        <v>0.349944736842105</v>
      </c>
      <c r="E583" s="1104"/>
      <c r="F583" s="1107" t="n">
        <f aca="false">'Смета Внутр'!H583</f>
        <v>0</v>
      </c>
    </row>
    <row r="584" s="118" customFormat="true" ht="15" hidden="false" customHeight="false" outlineLevel="0" collapsed="false">
      <c r="B584" s="1104" t="str">
        <f aca="false">'Смета Внутр'!B584</f>
        <v>Лен-джут 200х5х20000 мм</v>
      </c>
      <c r="C584" s="1105" t="str">
        <f aca="false">'Смета Внутр'!C584</f>
        <v>шт</v>
      </c>
      <c r="D584" s="1106" t="n">
        <f aca="false">'Смета Внутр'!D584</f>
        <v>2</v>
      </c>
      <c r="E584" s="1104"/>
      <c r="F584" s="1107" t="n">
        <f aca="false">'Смета Внутр'!H584</f>
        <v>0</v>
      </c>
    </row>
    <row r="585" s="118" customFormat="true" ht="15" hidden="false" customHeight="false" outlineLevel="0" collapsed="false">
      <c r="B585" s="1104" t="str">
        <f aca="false">'Смета Внутр'!B585</f>
        <v>Гвозди ершоные 2,8 х 90            </v>
      </c>
      <c r="C585" s="1105" t="str">
        <f aca="false">'Смета Внутр'!C585</f>
        <v>шт</v>
      </c>
      <c r="D585" s="1106" t="n">
        <f aca="false">'Смета Внутр'!D585</f>
        <v>4.84</v>
      </c>
      <c r="E585" s="1104"/>
      <c r="F585" s="1107" t="n">
        <f aca="false">'Смета Внутр'!H585</f>
        <v>0</v>
      </c>
    </row>
    <row r="586" s="118" customFormat="true" ht="15" hidden="false" customHeight="false" outlineLevel="0" collapsed="false">
      <c r="B586" s="1104" t="str">
        <f aca="false">'Смета Внутр'!B586</f>
        <v>нет</v>
      </c>
      <c r="C586" s="1105" t="str">
        <f aca="false">'Смета Внутр'!C586</f>
        <v>м3</v>
      </c>
      <c r="D586" s="1106" t="n">
        <f aca="false">'Смета Внутр'!D586</f>
        <v>0</v>
      </c>
      <c r="E586" s="1104"/>
      <c r="F586" s="1107" t="n">
        <f aca="false">'Смета Внутр'!H586</f>
        <v>0</v>
      </c>
    </row>
    <row r="587" s="118" customFormat="true" ht="15" hidden="false" customHeight="false" outlineLevel="0" collapsed="false">
      <c r="B587" s="1104" t="str">
        <f aca="false">'Смета Внутр'!B587</f>
        <v>нет</v>
      </c>
      <c r="C587" s="1105" t="str">
        <f aca="false">'Смета Внутр'!C587</f>
        <v>м3</v>
      </c>
      <c r="D587" s="1106" t="n">
        <f aca="false">'Смета Внутр'!D587</f>
        <v>0</v>
      </c>
      <c r="E587" s="1104"/>
      <c r="F587" s="1107" t="n">
        <f aca="false">'Смета Внутр'!H587</f>
        <v>0</v>
      </c>
    </row>
    <row r="588" s="118" customFormat="true" ht="15" hidden="false" customHeight="false" outlineLevel="0" collapsed="false">
      <c r="B588" s="1104" t="str">
        <f aca="false">'Смета Внутр'!B588</f>
        <v>нет</v>
      </c>
      <c r="C588" s="1105" t="str">
        <f aca="false">'Смета Внутр'!C588</f>
        <v>м3</v>
      </c>
      <c r="D588" s="1106" t="n">
        <f aca="false">'Смета Внутр'!D588</f>
        <v>0</v>
      </c>
      <c r="E588" s="1104"/>
      <c r="F588" s="1107" t="n">
        <f aca="false">'Смета Внутр'!H588</f>
        <v>0</v>
      </c>
    </row>
    <row r="589" s="118" customFormat="true" ht="15" hidden="false" customHeight="false" outlineLevel="0" collapsed="false">
      <c r="B589" s="1104" t="str">
        <f aca="false">'Смета Внутр'!B589</f>
        <v>нет</v>
      </c>
      <c r="C589" s="1105" t="str">
        <f aca="false">'Смета Внутр'!C589</f>
        <v>м.п.</v>
      </c>
      <c r="D589" s="1106" t="n">
        <f aca="false">'Смета Внутр'!D589</f>
        <v>0</v>
      </c>
      <c r="E589" s="1104"/>
      <c r="F589" s="1107" t="n">
        <f aca="false">'Смета Внутр'!H589</f>
        <v>0</v>
      </c>
    </row>
    <row r="590" s="118" customFormat="true" ht="15" hidden="false" customHeight="false" outlineLevel="0" collapsed="false">
      <c r="B590" s="1104" t="str">
        <f aca="false">'Смета Внутр'!B590</f>
        <v>Бензин для пилы</v>
      </c>
      <c r="C590" s="1105" t="str">
        <f aca="false">'Смета Внутр'!C590</f>
        <v>л</v>
      </c>
      <c r="D590" s="1106" t="n">
        <f aca="false">'Смета Внутр'!D590</f>
        <v>0.219965263157895</v>
      </c>
      <c r="E590" s="1104"/>
      <c r="F590" s="1107" t="n">
        <f aca="false">'Смета Внутр'!H590</f>
        <v>0</v>
      </c>
    </row>
    <row r="591" s="118" customFormat="true" ht="15" hidden="false" customHeight="false" outlineLevel="0" collapsed="false">
      <c r="B591" s="1104" t="str">
        <f aca="false">'Смета Внутр'!B591</f>
        <v>Масло для пилы</v>
      </c>
      <c r="C591" s="1105" t="str">
        <f aca="false">'Смета Внутр'!C591</f>
        <v>л</v>
      </c>
      <c r="D591" s="1106" t="n">
        <f aca="false">'Смета Внутр'!D591</f>
        <v>0.0109982631578947</v>
      </c>
      <c r="E591" s="1104"/>
      <c r="F591" s="1107" t="n">
        <f aca="false">'Смета Внутр'!H591</f>
        <v>0</v>
      </c>
    </row>
    <row r="592" s="118" customFormat="true" ht="15" hidden="false" customHeight="false" outlineLevel="0" collapsed="false">
      <c r="B592" s="1104" t="str">
        <f aca="false">'Смета Внутр'!B592</f>
        <v>Цепь для пилы</v>
      </c>
      <c r="C592" s="1105" t="str">
        <f aca="false">'Смета Внутр'!C592</f>
        <v>шт</v>
      </c>
      <c r="D592" s="1106" t="n">
        <f aca="false">'Смета Внутр'!D592</f>
        <v>1</v>
      </c>
      <c r="E592" s="1104"/>
      <c r="F592" s="1107" t="n">
        <f aca="false">'Смета Внутр'!H592</f>
        <v>0</v>
      </c>
    </row>
    <row r="593" s="118" customFormat="true" ht="15" hidden="false" customHeight="false" outlineLevel="0" collapsed="false">
      <c r="B593" s="1104" t="str">
        <f aca="false">'Смета Внутр'!B593</f>
        <v>"Профилюкс" Антисептик ОБЗ-1</v>
      </c>
      <c r="C593" s="1105" t="str">
        <f aca="false">'Смета Внутр'!C593</f>
        <v>л</v>
      </c>
      <c r="D593" s="1106" t="n">
        <f aca="false">'Смета Внутр'!D593</f>
        <v>1.81789473684211</v>
      </c>
      <c r="E593" s="1104"/>
      <c r="F593" s="1107" t="n">
        <f aca="false">'Смета Внутр'!H593</f>
        <v>0</v>
      </c>
    </row>
    <row r="594" s="118" customFormat="true" ht="15" hidden="false" customHeight="false" outlineLevel="0" collapsed="false">
      <c r="B594" s="1104" t="str">
        <f aca="false">'Смета Внутр'!B594</f>
        <v>Нет пропитки</v>
      </c>
      <c r="C594" s="1105" t="str">
        <f aca="false">'Смета Внутр'!C594</f>
        <v>л</v>
      </c>
      <c r="D594" s="1106" t="n">
        <f aca="false">'Смета Внутр'!D594</f>
        <v>1.09073684210526</v>
      </c>
      <c r="E594" s="1104"/>
      <c r="F594" s="1107" t="n">
        <f aca="false">'Смета Внутр'!H594</f>
        <v>0</v>
      </c>
    </row>
    <row r="595" s="118" customFormat="true" ht="15" hidden="false" customHeight="false" outlineLevel="0" collapsed="false">
      <c r="B595" s="1104" t="str">
        <f aca="false">'Смета Внутр'!B595</f>
        <v>Нет пропитки</v>
      </c>
      <c r="C595" s="1105" t="str">
        <f aca="false">'Смета Внутр'!C595</f>
        <v>л</v>
      </c>
      <c r="D595" s="1106" t="n">
        <f aca="false">'Смета Внутр'!D595</f>
        <v>1.09073684210526</v>
      </c>
      <c r="E595" s="1104"/>
      <c r="F595" s="1107" t="n">
        <f aca="false">'Смета Внутр'!H595</f>
        <v>0</v>
      </c>
    </row>
    <row r="596" s="118" customFormat="true" ht="15" hidden="false" customHeight="false" outlineLevel="0" collapsed="false">
      <c r="B596" s="1104" t="str">
        <f aca="false">'Смета Внутр'!B596</f>
        <v>Нет наличника</v>
      </c>
      <c r="C596" s="1105" t="str">
        <f aca="false">'Смета Внутр'!C596</f>
        <v>м.п.</v>
      </c>
      <c r="D596" s="1106" t="n">
        <f aca="false">'Смета Внутр'!D596</f>
        <v>3.57</v>
      </c>
      <c r="E596" s="1104"/>
      <c r="F596" s="1107" t="n">
        <f aca="false">'Смета Внутр'!H596</f>
        <v>0</v>
      </c>
    </row>
    <row r="597" s="118" customFormat="true" ht="15" hidden="false" customHeight="false" outlineLevel="0" collapsed="false">
      <c r="B597" s="1104" t="str">
        <f aca="false">'Смета Внутр'!B597</f>
        <v>Нет наличника</v>
      </c>
      <c r="C597" s="1105" t="str">
        <f aca="false">'Смета Внутр'!C597</f>
        <v>м.п.</v>
      </c>
      <c r="D597" s="1106" t="n">
        <f aca="false">'Смета Внутр'!D597</f>
        <v>3.57</v>
      </c>
      <c r="E597" s="1104"/>
      <c r="F597" s="1107" t="n">
        <f aca="false">'Смета Внутр'!H597</f>
        <v>0</v>
      </c>
    </row>
    <row r="598" s="118" customFormat="true" ht="15" hidden="false" customHeight="false" outlineLevel="0" collapsed="false">
      <c r="B598" s="1104" t="str">
        <f aca="false">'Смета Внутр'!B598</f>
        <v>Нет наждачной бумаги</v>
      </c>
      <c r="C598" s="1105" t="str">
        <f aca="false">'Смета Внутр'!C598</f>
        <v>м</v>
      </c>
      <c r="D598" s="1106" t="n">
        <f aca="false">'Смета Внутр'!D598</f>
        <v>0</v>
      </c>
      <c r="E598" s="1104"/>
      <c r="F598" s="1107" t="n">
        <f aca="false">'Смета Внутр'!H598</f>
        <v>0</v>
      </c>
    </row>
    <row r="599" s="118" customFormat="true" ht="15" hidden="false" customHeight="false" outlineLevel="0" collapsed="false">
      <c r="B599" s="1104" t="str">
        <f aca="false">'Смета Внутр'!B599</f>
        <v>Нет наждачной бумаги</v>
      </c>
      <c r="C599" s="1105" t="str">
        <f aca="false">'Смета Внутр'!C599</f>
        <v>м</v>
      </c>
      <c r="D599" s="1106" t="n">
        <f aca="false">'Смета Внутр'!D599</f>
        <v>0</v>
      </c>
      <c r="E599" s="1104"/>
      <c r="F599" s="1107" t="n">
        <f aca="false">'Смета Внутр'!H599</f>
        <v>0</v>
      </c>
    </row>
    <row r="600" s="118" customFormat="true" ht="15" hidden="false" customHeight="false" outlineLevel="0" collapsed="false">
      <c r="B600" s="1104" t="str">
        <f aca="false">'Смета Внутр'!B600</f>
        <v>Нет наждачной бумаги</v>
      </c>
      <c r="C600" s="1105" t="str">
        <f aca="false">'Смета Внутр'!C600</f>
        <v>м</v>
      </c>
      <c r="D600" s="1106" t="n">
        <f aca="false">'Смета Внутр'!D600</f>
        <v>0</v>
      </c>
      <c r="E600" s="1104"/>
      <c r="F600" s="1107" t="n">
        <f aca="false">'Смета Внутр'!H600</f>
        <v>0</v>
      </c>
    </row>
    <row r="601" s="118" customFormat="true" ht="15" hidden="false" customHeight="false" outlineLevel="0" collapsed="false">
      <c r="B601" s="1104" t="str">
        <f aca="false">'Смета Внутр'!B601</f>
        <v>Нет наждачной бумаги</v>
      </c>
      <c r="C601" s="1105" t="str">
        <f aca="false">'Смета Внутр'!C601</f>
        <v>м</v>
      </c>
      <c r="D601" s="1106" t="n">
        <f aca="false">'Смета Внутр'!D601</f>
        <v>0</v>
      </c>
      <c r="E601" s="1104"/>
      <c r="F601" s="1107" t="n">
        <f aca="false">'Смета Внутр'!H601</f>
        <v>0</v>
      </c>
    </row>
    <row r="602" s="118" customFormat="true" ht="15" hidden="false" customHeight="false" outlineLevel="0" collapsed="false">
      <c r="B602" s="1108" t="str">
        <f aca="false">'Смета Внутр'!B602</f>
        <v>Итого материалы</v>
      </c>
      <c r="C602" s="1108"/>
      <c r="D602" s="1108"/>
      <c r="E602" s="1108"/>
      <c r="F602" s="1109" t="n">
        <f aca="false">'Смета Внутр'!G602</f>
        <v>0</v>
      </c>
    </row>
    <row r="603" s="118" customFormat="true" ht="15" hidden="false" customHeight="false" outlineLevel="0" collapsed="false">
      <c r="B603" s="1110" t="str">
        <f aca="false">'Смета Внутр'!B603</f>
        <v>Работы</v>
      </c>
      <c r="C603" s="1110"/>
      <c r="D603" s="1110"/>
      <c r="E603" s="1110"/>
      <c r="F603" s="1102" t="n">
        <f aca="false">'Смета Внутр'!H603</f>
        <v>0</v>
      </c>
    </row>
    <row r="604" s="118" customFormat="true" ht="15" hidden="false" customHeight="false" outlineLevel="0" collapsed="false">
      <c r="B604" s="1104" t="str">
        <f aca="false">'Смета Внутр'!B604</f>
        <v>кладка Дикого леса</v>
      </c>
      <c r="C604" s="1105" t="str">
        <f aca="false">'Смета Внутр'!C604</f>
        <v>м3</v>
      </c>
      <c r="D604" s="1106" t="n">
        <f aca="false">'Смета Внутр'!D604</f>
        <v>1.09982631578947</v>
      </c>
      <c r="E604" s="1104"/>
      <c r="F604" s="1107" t="n">
        <f aca="false">'Смета Внутр'!H604</f>
        <v>0</v>
      </c>
    </row>
    <row r="605" s="118" customFormat="true" ht="15" hidden="false" customHeight="false" outlineLevel="0" collapsed="false">
      <c r="B605" s="1104" t="str">
        <f aca="false">'Смета Внутр'!B605</f>
        <v>окосячка проемов, м.п.</v>
      </c>
      <c r="C605" s="1105" t="str">
        <f aca="false">'Смета Внутр'!C605</f>
        <v>м.п.</v>
      </c>
      <c r="D605" s="1106" t="n">
        <f aca="false">'Смета Внутр'!D605</f>
        <v>0</v>
      </c>
      <c r="E605" s="1104"/>
      <c r="F605" s="1107" t="n">
        <f aca="false">'Смета Внутр'!H605</f>
        <v>0</v>
      </c>
    </row>
    <row r="606" s="118" customFormat="true" ht="15" hidden="false" customHeight="false" outlineLevel="0" collapsed="false">
      <c r="B606" s="1104" t="str">
        <f aca="false">'Смета Внутр'!B606</f>
        <v>обработка торцов на брусе</v>
      </c>
      <c r="C606" s="1105" t="str">
        <f aca="false">'Смета Внутр'!C606</f>
        <v>м.п.</v>
      </c>
      <c r="D606" s="1106" t="n">
        <f aca="false">'Смета Внутр'!D606</f>
        <v>20</v>
      </c>
      <c r="E606" s="1104"/>
      <c r="F606" s="1107" t="n">
        <f aca="false">'Смета Внутр'!H606</f>
        <v>0</v>
      </c>
    </row>
    <row r="607" s="118" customFormat="true" ht="15" hidden="false" customHeight="false" outlineLevel="0" collapsed="false">
      <c r="B607" s="1104" t="str">
        <f aca="false">'Смета Внутр'!B607</f>
        <v>Обаботка огнебиозащитой</v>
      </c>
      <c r="C607" s="1105" t="str">
        <f aca="false">'Смета Внутр'!C607</f>
        <v>м.п.</v>
      </c>
      <c r="D607" s="1106" t="n">
        <f aca="false">'Смета Внутр'!D607</f>
        <v>1.09982631578947</v>
      </c>
      <c r="E607" s="1104"/>
      <c r="F607" s="1107" t="n">
        <f aca="false">'Смета Внутр'!H607</f>
        <v>0</v>
      </c>
    </row>
    <row r="608" s="118" customFormat="true" ht="15" hidden="false" customHeight="false" outlineLevel="0" collapsed="false">
      <c r="B608" s="1104" t="str">
        <f aca="false">'Смета Внутр'!B608</f>
        <v>Пропитка стен внешних</v>
      </c>
      <c r="C608" s="1105" t="str">
        <f aca="false">'Смета Внутр'!C608</f>
        <v>м.п.</v>
      </c>
      <c r="D608" s="1106" t="n">
        <f aca="false">'Смета Внутр'!D608</f>
        <v>0</v>
      </c>
      <c r="E608" s="1104"/>
      <c r="F608" s="1107" t="n">
        <f aca="false">'Смета Внутр'!H608</f>
        <v>0</v>
      </c>
    </row>
    <row r="609" s="118" customFormat="true" ht="15" hidden="false" customHeight="false" outlineLevel="0" collapsed="false">
      <c r="B609" s="1104" t="str">
        <f aca="false">'Смета Внутр'!B609</f>
        <v>Пропитка внутенних стен</v>
      </c>
      <c r="C609" s="1105" t="str">
        <f aca="false">'Смета Внутр'!C609</f>
        <v>м.п.</v>
      </c>
      <c r="D609" s="1106" t="n">
        <f aca="false">'Смета Внутр'!D609</f>
        <v>0</v>
      </c>
      <c r="E609" s="1104"/>
      <c r="F609" s="1107" t="n">
        <f aca="false">'Смета Внутр'!H609</f>
        <v>0</v>
      </c>
    </row>
    <row r="610" s="118" customFormat="true" ht="15" hidden="false" customHeight="false" outlineLevel="0" collapsed="false">
      <c r="B610" s="1104" t="str">
        <f aca="false">'Смета Внутр'!B610</f>
        <v>Не считать</v>
      </c>
      <c r="C610" s="1105" t="str">
        <f aca="false">'Смета Внутр'!C610</f>
        <v>м.п.</v>
      </c>
      <c r="D610" s="1106" t="n">
        <f aca="false">'Смета Внутр'!D610</f>
        <v>0</v>
      </c>
      <c r="E610" s="1104"/>
      <c r="F610" s="1107" t="n">
        <f aca="false">'Смета Внутр'!H610</f>
        <v>0</v>
      </c>
    </row>
    <row r="611" s="118" customFormat="true" ht="15" hidden="false" customHeight="false" outlineLevel="0" collapsed="false">
      <c r="B611" s="1104" t="str">
        <f aca="false">'Смета Внутр'!B611</f>
        <v>Монтаж наличника</v>
      </c>
      <c r="C611" s="1105" t="str">
        <f aca="false">'Смета Внутр'!C611</f>
        <v>м.п.</v>
      </c>
      <c r="D611" s="1106" t="n">
        <f aca="false">'Смета Внутр'!D611</f>
        <v>0</v>
      </c>
      <c r="E611" s="1104"/>
      <c r="F611" s="1107" t="n">
        <f aca="false">'Смета Внутр'!H611</f>
        <v>0</v>
      </c>
    </row>
    <row r="612" s="118" customFormat="true" ht="15" hidden="false" customHeight="false" outlineLevel="0" collapsed="false">
      <c r="B612" s="1104" t="str">
        <f aca="false">'Смета Внутр'!B612</f>
        <v>Шлифовка стен дома</v>
      </c>
      <c r="C612" s="1105" t="str">
        <f aca="false">'Смета Внутр'!C612</f>
        <v>м.п.</v>
      </c>
      <c r="D612" s="1106" t="n">
        <f aca="false">'Смета Внутр'!D612</f>
        <v>0</v>
      </c>
      <c r="E612" s="1104"/>
      <c r="F612" s="1107" t="n">
        <f aca="false">'Смета Внутр'!H612</f>
        <v>0</v>
      </c>
    </row>
    <row r="613" s="118" customFormat="true" ht="15" hidden="false" customHeight="false" outlineLevel="0" collapsed="false">
      <c r="B613" s="1108" t="str">
        <f aca="false">'Смета Внутр'!B613</f>
        <v>Итого работы</v>
      </c>
      <c r="C613" s="1108"/>
      <c r="D613" s="1108"/>
      <c r="E613" s="1108"/>
      <c r="F613" s="1109" t="n">
        <f aca="false">'Смета Внутр'!G613</f>
        <v>0</v>
      </c>
    </row>
    <row r="614" s="118" customFormat="true" ht="18.75" hidden="false" customHeight="false" outlineLevel="0" collapsed="false">
      <c r="B614" s="1111" t="str">
        <f aca="false">'Смета Внутр'!B614</f>
        <v>Дом из Оцилиндрованного бревна</v>
      </c>
      <c r="C614" s="1111"/>
      <c r="D614" s="1111"/>
      <c r="E614" s="1111"/>
      <c r="F614" s="1102" t="n">
        <f aca="false">'Смета Внутр'!H614</f>
        <v>0</v>
      </c>
    </row>
    <row r="615" s="118" customFormat="true" ht="15" hidden="false" customHeight="false" outlineLevel="0" collapsed="false">
      <c r="B615" s="1103" t="str">
        <f aca="false">'Смета Внутр'!B615</f>
        <v>Материалы</v>
      </c>
      <c r="C615" s="1103"/>
      <c r="D615" s="1103"/>
      <c r="E615" s="1103"/>
      <c r="F615" s="1102" t="n">
        <f aca="false">'Смета Внутр'!H615</f>
        <v>0</v>
      </c>
    </row>
    <row r="616" s="118" customFormat="true" ht="15" hidden="false" customHeight="false" outlineLevel="0" collapsed="false">
      <c r="B616" s="1104" t="str">
        <f aca="false">'Смета Внутр'!B616</f>
        <v>Оцилиндрованное бревно лиственница 280мм</v>
      </c>
      <c r="C616" s="1105" t="str">
        <f aca="false">'Смета Внутр'!C616</f>
        <v>м3</v>
      </c>
      <c r="D616" s="1106" t="n">
        <f aca="false">'Смета Внутр'!D616</f>
        <v>6.79014952</v>
      </c>
      <c r="E616" s="1104"/>
      <c r="F616" s="1107" t="n">
        <f aca="false">'Смета Внутр'!H616</f>
        <v>0</v>
      </c>
    </row>
    <row r="617" s="118" customFormat="true" ht="15" hidden="false" customHeight="false" outlineLevel="0" collapsed="false">
      <c r="B617" s="1104" t="str">
        <f aca="false">'Смета Внутр'!B617</f>
        <v>Оцилиндрованное бревно сосна 220мм</v>
      </c>
      <c r="C617" s="1105" t="str">
        <f aca="false">'Смета Внутр'!C617</f>
        <v>м3</v>
      </c>
      <c r="D617" s="1106" t="n">
        <f aca="false">'Смета Внутр'!D617</f>
        <v>-5.69032320421053</v>
      </c>
      <c r="E617" s="1104"/>
      <c r="F617" s="1107" t="n">
        <f aca="false">'Смета Внутр'!H617</f>
        <v>0</v>
      </c>
    </row>
    <row r="618" s="118" customFormat="true" ht="15" hidden="false" customHeight="false" outlineLevel="0" collapsed="false">
      <c r="B618" s="1104" t="str">
        <f aca="false">'Смета Внутр'!B618</f>
        <v>Оцилиндрованное бревно сосна 220мм</v>
      </c>
      <c r="C618" s="1105" t="str">
        <f aca="false">'Смета Внутр'!C618</f>
        <v>м3</v>
      </c>
      <c r="D618" s="1106" t="n">
        <f aca="false">'Смета Внутр'!D618</f>
        <v>0</v>
      </c>
      <c r="E618" s="1104"/>
      <c r="F618" s="1107" t="n">
        <f aca="false">'Смета Внутр'!H618</f>
        <v>0</v>
      </c>
    </row>
    <row r="619" s="118" customFormat="true" ht="15" hidden="false" customHeight="false" outlineLevel="0" collapsed="false">
      <c r="B619" s="1104" t="str">
        <f aca="false">'Смета Внутр'!B619</f>
        <v>Оцилиндрованное бревно сосна 220мм</v>
      </c>
      <c r="C619" s="1105" t="str">
        <f aca="false">'Смета Внутр'!C619</f>
        <v>м2</v>
      </c>
      <c r="D619" s="1106" t="n">
        <f aca="false">'Смета Внутр'!D619</f>
        <v>0</v>
      </c>
      <c r="E619" s="1104"/>
      <c r="F619" s="1107" t="n">
        <f aca="false">'Смета Внутр'!H619</f>
        <v>0</v>
      </c>
    </row>
    <row r="620" s="118" customFormat="true" ht="15" hidden="false" customHeight="false" outlineLevel="0" collapsed="false">
      <c r="B620" s="1104" t="str">
        <f aca="false">'Смета Внутр'!B620</f>
        <v>Шкант</v>
      </c>
      <c r="C620" s="1105" t="str">
        <f aca="false">'Смета Внутр'!C620</f>
        <v>шт</v>
      </c>
      <c r="D620" s="1106" t="n">
        <f aca="false">'Смета Внутр'!D620</f>
        <v>25</v>
      </c>
      <c r="E620" s="1104"/>
      <c r="F620" s="1107" t="n">
        <f aca="false">'Смета Внутр'!H620</f>
        <v>0</v>
      </c>
    </row>
    <row r="621" s="118" customFormat="true" ht="15" hidden="false" customHeight="false" outlineLevel="0" collapsed="false">
      <c r="B621" s="1104" t="str">
        <f aca="false">'Смета Внутр'!B621</f>
        <v>Лен-джут 200х5х20000 мм</v>
      </c>
      <c r="C621" s="1105" t="str">
        <f aca="false">'Смета Внутр'!C621</f>
        <v>шт</v>
      </c>
      <c r="D621" s="1106" t="n">
        <f aca="false">'Смета Внутр'!D621</f>
        <v>2</v>
      </c>
      <c r="E621" s="1104"/>
      <c r="F621" s="1107" t="n">
        <f aca="false">'Смета Внутр'!H621</f>
        <v>0</v>
      </c>
    </row>
    <row r="622" s="118" customFormat="true" ht="15" hidden="false" customHeight="false" outlineLevel="0" collapsed="false">
      <c r="B622" s="1104" t="str">
        <f aca="false">'Смета Внутр'!B622</f>
        <v>Гвозди ершоные 2,8 х 90            </v>
      </c>
      <c r="C622" s="1105" t="str">
        <f aca="false">'Смета Внутр'!C622</f>
        <v>шт</v>
      </c>
      <c r="D622" s="1106" t="n">
        <f aca="false">'Смета Внутр'!D622</f>
        <v>4.84</v>
      </c>
      <c r="E622" s="1104"/>
      <c r="F622" s="1107" t="n">
        <f aca="false">'Смета Внутр'!H622</f>
        <v>0</v>
      </c>
    </row>
    <row r="623" s="118" customFormat="true" ht="15" hidden="false" customHeight="false" outlineLevel="0" collapsed="false">
      <c r="B623" s="1104" t="str">
        <f aca="false">'Смета Внутр'!B623</f>
        <v>нет</v>
      </c>
      <c r="C623" s="1105" t="str">
        <f aca="false">'Смета Внутр'!C623</f>
        <v>м3</v>
      </c>
      <c r="D623" s="1106" t="n">
        <f aca="false">'Смета Внутр'!D623</f>
        <v>0</v>
      </c>
      <c r="E623" s="1104"/>
      <c r="F623" s="1107" t="n">
        <f aca="false">'Смета Внутр'!H623</f>
        <v>0</v>
      </c>
    </row>
    <row r="624" s="118" customFormat="true" ht="15" hidden="false" customHeight="false" outlineLevel="0" collapsed="false">
      <c r="B624" s="1104" t="str">
        <f aca="false">'Смета Внутр'!B624</f>
        <v>нет</v>
      </c>
      <c r="C624" s="1105" t="str">
        <f aca="false">'Смета Внутр'!C624</f>
        <v>м3</v>
      </c>
      <c r="D624" s="1106" t="n">
        <f aca="false">'Смета Внутр'!D624</f>
        <v>0</v>
      </c>
      <c r="E624" s="1104"/>
      <c r="F624" s="1107" t="n">
        <f aca="false">'Смета Внутр'!H624</f>
        <v>0</v>
      </c>
    </row>
    <row r="625" s="118" customFormat="true" ht="15" hidden="false" customHeight="false" outlineLevel="0" collapsed="false">
      <c r="B625" s="1104" t="str">
        <f aca="false">'Смета Внутр'!B625</f>
        <v>нет</v>
      </c>
      <c r="C625" s="1105" t="str">
        <f aca="false">'Смета Внутр'!C625</f>
        <v>м3</v>
      </c>
      <c r="D625" s="1106" t="n">
        <f aca="false">'Смета Внутр'!D625</f>
        <v>0</v>
      </c>
      <c r="E625" s="1104"/>
      <c r="F625" s="1107" t="n">
        <f aca="false">'Смета Внутр'!H625</f>
        <v>0</v>
      </c>
    </row>
    <row r="626" s="118" customFormat="true" ht="15" hidden="false" customHeight="false" outlineLevel="0" collapsed="false">
      <c r="B626" s="1104" t="str">
        <f aca="false">'Смета Внутр'!B626</f>
        <v>нет</v>
      </c>
      <c r="C626" s="1105" t="str">
        <f aca="false">'Смета Внутр'!C626</f>
        <v>м.п.</v>
      </c>
      <c r="D626" s="1106" t="n">
        <f aca="false">'Смета Внутр'!D626</f>
        <v>0</v>
      </c>
      <c r="E626" s="1104"/>
      <c r="F626" s="1107" t="n">
        <f aca="false">'Смета Внутр'!H626</f>
        <v>0</v>
      </c>
    </row>
    <row r="627" s="118" customFormat="true" ht="15" hidden="false" customHeight="false" outlineLevel="0" collapsed="false">
      <c r="B627" s="1104" t="str">
        <f aca="false">'Смета Внутр'!B627</f>
        <v>Бензин для пилы</v>
      </c>
      <c r="C627" s="1105" t="str">
        <f aca="false">'Смета Внутр'!C627</f>
        <v>л</v>
      </c>
      <c r="D627" s="1106" t="n">
        <f aca="false">'Смета Внутр'!D627</f>
        <v>0.274956578947368</v>
      </c>
      <c r="E627" s="1104"/>
      <c r="F627" s="1107" t="n">
        <f aca="false">'Смета Внутр'!H627</f>
        <v>0</v>
      </c>
    </row>
    <row r="628" s="118" customFormat="true" ht="15" hidden="false" customHeight="false" outlineLevel="0" collapsed="false">
      <c r="B628" s="1104" t="str">
        <f aca="false">'Смета Внутр'!B628</f>
        <v>Масло для пилы</v>
      </c>
      <c r="C628" s="1105" t="str">
        <f aca="false">'Смета Внутр'!C628</f>
        <v>л</v>
      </c>
      <c r="D628" s="1106" t="n">
        <f aca="false">'Смета Внутр'!D628</f>
        <v>0.0137478289473684</v>
      </c>
      <c r="E628" s="1104"/>
      <c r="F628" s="1107" t="n">
        <f aca="false">'Смета Внутр'!H628</f>
        <v>0</v>
      </c>
    </row>
    <row r="629" s="118" customFormat="true" ht="15" hidden="false" customHeight="false" outlineLevel="0" collapsed="false">
      <c r="B629" s="1104" t="str">
        <f aca="false">'Смета Внутр'!B629</f>
        <v>Цепь для пилы</v>
      </c>
      <c r="C629" s="1105" t="str">
        <f aca="false">'Смета Внутр'!C629</f>
        <v>шт</v>
      </c>
      <c r="D629" s="1106" t="n">
        <f aca="false">'Смета Внутр'!D629</f>
        <v>1</v>
      </c>
      <c r="E629" s="1104"/>
      <c r="F629" s="1107" t="n">
        <f aca="false">'Смета Внутр'!H629</f>
        <v>0</v>
      </c>
    </row>
    <row r="630" s="118" customFormat="true" ht="15" hidden="false" customHeight="false" outlineLevel="0" collapsed="false">
      <c r="B630" s="1104" t="str">
        <f aca="false">'Смета Внутр'!B630</f>
        <v>"Профилюкс" Антисептик ОБЗ-1</v>
      </c>
      <c r="C630" s="1105" t="str">
        <f aca="false">'Смета Внутр'!C630</f>
        <v>л</v>
      </c>
      <c r="D630" s="1106" t="n">
        <f aca="false">'Смета Внутр'!D630</f>
        <v>1.81789473684211</v>
      </c>
      <c r="E630" s="1104"/>
      <c r="F630" s="1107" t="n">
        <f aca="false">'Смета Внутр'!H630</f>
        <v>0</v>
      </c>
    </row>
    <row r="631" s="118" customFormat="true" ht="15" hidden="false" customHeight="false" outlineLevel="0" collapsed="false">
      <c r="B631" s="1104" t="str">
        <f aca="false">'Смета Внутр'!B631</f>
        <v>Нет пропитки</v>
      </c>
      <c r="C631" s="1105" t="str">
        <f aca="false">'Смета Внутр'!C631</f>
        <v>л</v>
      </c>
      <c r="D631" s="1106" t="n">
        <f aca="false">'Смета Внутр'!D631</f>
        <v>1.09073684210526</v>
      </c>
      <c r="E631" s="1104"/>
      <c r="F631" s="1107" t="n">
        <f aca="false">'Смета Внутр'!H631</f>
        <v>0</v>
      </c>
    </row>
    <row r="632" s="118" customFormat="true" ht="15" hidden="false" customHeight="false" outlineLevel="0" collapsed="false">
      <c r="B632" s="1104" t="str">
        <f aca="false">'Смета Внутр'!B632</f>
        <v>Нет пропитки</v>
      </c>
      <c r="C632" s="1105" t="str">
        <f aca="false">'Смета Внутр'!C632</f>
        <v>л</v>
      </c>
      <c r="D632" s="1106" t="n">
        <f aca="false">'Смета Внутр'!D632</f>
        <v>1.09073684210526</v>
      </c>
      <c r="E632" s="1104"/>
      <c r="F632" s="1107" t="n">
        <f aca="false">'Смета Внутр'!H632</f>
        <v>0</v>
      </c>
    </row>
    <row r="633" s="118" customFormat="true" ht="15" hidden="false" customHeight="false" outlineLevel="0" collapsed="false">
      <c r="B633" s="1104" t="str">
        <f aca="false">'Смета Внутр'!B633</f>
        <v>Нет наличника</v>
      </c>
      <c r="C633" s="1105" t="str">
        <f aca="false">'Смета Внутр'!C633</f>
        <v>м.п.</v>
      </c>
      <c r="D633" s="1106" t="n">
        <f aca="false">'Смета Внутр'!D633</f>
        <v>3.57</v>
      </c>
      <c r="E633" s="1104"/>
      <c r="F633" s="1107" t="n">
        <f aca="false">'Смета Внутр'!H633</f>
        <v>0</v>
      </c>
    </row>
    <row r="634" s="118" customFormat="true" ht="15" hidden="false" customHeight="false" outlineLevel="0" collapsed="false">
      <c r="B634" s="1104" t="str">
        <f aca="false">'Смета Внутр'!B634</f>
        <v>Нет наличника</v>
      </c>
      <c r="C634" s="1105" t="str">
        <f aca="false">'Смета Внутр'!C634</f>
        <v>м.п.</v>
      </c>
      <c r="D634" s="1106" t="n">
        <f aca="false">'Смета Внутр'!D634</f>
        <v>3.57</v>
      </c>
      <c r="E634" s="1104"/>
      <c r="F634" s="1107" t="n">
        <f aca="false">'Смета Внутр'!H634</f>
        <v>0</v>
      </c>
    </row>
    <row r="635" s="118" customFormat="true" ht="15" hidden="false" customHeight="false" outlineLevel="0" collapsed="false">
      <c r="B635" s="1104" t="str">
        <f aca="false">'Смета Внутр'!B635</f>
        <v>Нет наждачной бумаги</v>
      </c>
      <c r="C635" s="1105" t="str">
        <f aca="false">'Смета Внутр'!C635</f>
        <v>м</v>
      </c>
      <c r="D635" s="1106" t="n">
        <f aca="false">'Смета Внутр'!D635</f>
        <v>0</v>
      </c>
      <c r="E635" s="1104"/>
      <c r="F635" s="1107" t="n">
        <f aca="false">'Смета Внутр'!H635</f>
        <v>0</v>
      </c>
    </row>
    <row r="636" s="118" customFormat="true" ht="15" hidden="false" customHeight="false" outlineLevel="0" collapsed="false">
      <c r="B636" s="1104" t="str">
        <f aca="false">'Смета Внутр'!B636</f>
        <v>Нет наждачной бумаги</v>
      </c>
      <c r="C636" s="1105" t="str">
        <f aca="false">'Смета Внутр'!C636</f>
        <v>м</v>
      </c>
      <c r="D636" s="1106" t="n">
        <f aca="false">'Смета Внутр'!D636</f>
        <v>0</v>
      </c>
      <c r="E636" s="1104"/>
      <c r="F636" s="1107" t="n">
        <f aca="false">'Смета Внутр'!H636</f>
        <v>0</v>
      </c>
    </row>
    <row r="637" s="118" customFormat="true" ht="15" hidden="false" customHeight="false" outlineLevel="0" collapsed="false">
      <c r="B637" s="1104" t="str">
        <f aca="false">'Смета Внутр'!B637</f>
        <v>Нет наждачной бумаги</v>
      </c>
      <c r="C637" s="1105" t="str">
        <f aca="false">'Смета Внутр'!C637</f>
        <v>м</v>
      </c>
      <c r="D637" s="1106" t="n">
        <f aca="false">'Смета Внутр'!D637</f>
        <v>0</v>
      </c>
      <c r="E637" s="1104"/>
      <c r="F637" s="1107" t="n">
        <f aca="false">'Смета Внутр'!H637</f>
        <v>0</v>
      </c>
    </row>
    <row r="638" s="118" customFormat="true" ht="15" hidden="false" customHeight="false" outlineLevel="0" collapsed="false">
      <c r="B638" s="1104" t="str">
        <f aca="false">'Смета Внутр'!B638</f>
        <v>Нет наждачной бумаги</v>
      </c>
      <c r="C638" s="1105" t="str">
        <f aca="false">'Смета Внутр'!C638</f>
        <v>м</v>
      </c>
      <c r="D638" s="1106" t="n">
        <f aca="false">'Смета Внутр'!D638</f>
        <v>0</v>
      </c>
      <c r="E638" s="1104"/>
      <c r="F638" s="1107" t="n">
        <f aca="false">'Смета Внутр'!H638</f>
        <v>0</v>
      </c>
    </row>
    <row r="639" s="118" customFormat="true" ht="15" hidden="false" customHeight="false" outlineLevel="0" collapsed="false">
      <c r="B639" s="1108" t="str">
        <f aca="false">'Смета Внутр'!B639</f>
        <v>Итого материалы</v>
      </c>
      <c r="C639" s="1108"/>
      <c r="D639" s="1108"/>
      <c r="E639" s="1108"/>
      <c r="F639" s="1109" t="n">
        <f aca="false">'Смета Внутр'!G639</f>
        <v>0</v>
      </c>
    </row>
    <row r="640" s="118" customFormat="true" ht="15" hidden="false" customHeight="false" outlineLevel="0" collapsed="false">
      <c r="B640" s="1110" t="str">
        <f aca="false">'Смета Внутр'!B640</f>
        <v>Работы</v>
      </c>
      <c r="C640" s="1110"/>
      <c r="D640" s="1110"/>
      <c r="E640" s="1110"/>
      <c r="F640" s="1102" t="n">
        <f aca="false">'Смета Внутр'!H640</f>
        <v>0</v>
      </c>
    </row>
    <row r="641" s="118" customFormat="true" ht="15" hidden="false" customHeight="false" outlineLevel="0" collapsed="false">
      <c r="B641" s="1104" t="str">
        <f aca="false">'Смета Внутр'!B641</f>
        <v>кладка Оцилиндрованного вревна</v>
      </c>
      <c r="C641" s="1105" t="str">
        <f aca="false">'Смета Внутр'!C641</f>
        <v>м3</v>
      </c>
      <c r="D641" s="1106" t="n">
        <f aca="false">'Смета Внутр'!D641</f>
        <v>1.09982631578947</v>
      </c>
      <c r="E641" s="1104"/>
      <c r="F641" s="1107" t="n">
        <f aca="false">'Смета Внутр'!H641</f>
        <v>0</v>
      </c>
    </row>
    <row r="642" s="118" customFormat="true" ht="15" hidden="false" customHeight="false" outlineLevel="0" collapsed="false">
      <c r="B642" s="1104" t="str">
        <f aca="false">'Смета Внутр'!B642</f>
        <v>окосячка проемов, м.п.</v>
      </c>
      <c r="C642" s="1105" t="str">
        <f aca="false">'Смета Внутр'!C642</f>
        <v>м.п.</v>
      </c>
      <c r="D642" s="1106" t="n">
        <f aca="false">'Смета Внутр'!D642</f>
        <v>0</v>
      </c>
      <c r="E642" s="1104"/>
      <c r="F642" s="1107" t="n">
        <f aca="false">'Смета Внутр'!H642</f>
        <v>0</v>
      </c>
    </row>
    <row r="643" s="118" customFormat="true" ht="15" hidden="false" customHeight="false" outlineLevel="0" collapsed="false">
      <c r="B643" s="1104" t="str">
        <f aca="false">'Смета Внутр'!B643</f>
        <v>обработка торцов на брусе</v>
      </c>
      <c r="C643" s="1105" t="str">
        <f aca="false">'Смета Внутр'!C643</f>
        <v>м.п.</v>
      </c>
      <c r="D643" s="1106" t="n">
        <f aca="false">'Смета Внутр'!D643</f>
        <v>20</v>
      </c>
      <c r="E643" s="1104"/>
      <c r="F643" s="1107" t="n">
        <f aca="false">'Смета Внутр'!H643</f>
        <v>0</v>
      </c>
    </row>
    <row r="644" s="118" customFormat="true" ht="15" hidden="false" customHeight="false" outlineLevel="0" collapsed="false">
      <c r="B644" s="1104" t="str">
        <f aca="false">'Смета Внутр'!B644</f>
        <v>Обаботка огнебиозащитой</v>
      </c>
      <c r="C644" s="1105" t="str">
        <f aca="false">'Смета Внутр'!C644</f>
        <v>м.п.</v>
      </c>
      <c r="D644" s="1106" t="n">
        <f aca="false">'Смета Внутр'!D644</f>
        <v>1.09982631578947</v>
      </c>
      <c r="E644" s="1104"/>
      <c r="F644" s="1107" t="n">
        <f aca="false">'Смета Внутр'!H644</f>
        <v>0</v>
      </c>
    </row>
    <row r="645" s="118" customFormat="true" ht="15" hidden="false" customHeight="false" outlineLevel="0" collapsed="false">
      <c r="B645" s="1104" t="str">
        <f aca="false">'Смета Внутр'!B645</f>
        <v>Пропитка стен внешних</v>
      </c>
      <c r="C645" s="1105" t="str">
        <f aca="false">'Смета Внутр'!C645</f>
        <v>м.п.</v>
      </c>
      <c r="D645" s="1106" t="n">
        <f aca="false">'Смета Внутр'!D645</f>
        <v>0</v>
      </c>
      <c r="E645" s="1104"/>
      <c r="F645" s="1107" t="n">
        <f aca="false">'Смета Внутр'!H645</f>
        <v>0</v>
      </c>
    </row>
    <row r="646" s="118" customFormat="true" ht="15" hidden="false" customHeight="false" outlineLevel="0" collapsed="false">
      <c r="B646" s="1104" t="str">
        <f aca="false">'Смета Внутр'!B646</f>
        <v>Пропитка внутенних стен</v>
      </c>
      <c r="C646" s="1105" t="str">
        <f aca="false">'Смета Внутр'!C646</f>
        <v>м.п.</v>
      </c>
      <c r="D646" s="1106" t="n">
        <f aca="false">'Смета Внутр'!D646</f>
        <v>0</v>
      </c>
      <c r="E646" s="1104"/>
      <c r="F646" s="1107" t="n">
        <f aca="false">'Смета Внутр'!H646</f>
        <v>0</v>
      </c>
    </row>
    <row r="647" s="118" customFormat="true" ht="15" hidden="false" customHeight="false" outlineLevel="0" collapsed="false">
      <c r="B647" s="1104" t="str">
        <f aca="false">'Смета Внутр'!B647</f>
        <v>Не считать</v>
      </c>
      <c r="C647" s="1105" t="str">
        <f aca="false">'Смета Внутр'!C647</f>
        <v>м.п.</v>
      </c>
      <c r="D647" s="1106" t="n">
        <f aca="false">'Смета Внутр'!D647</f>
        <v>0</v>
      </c>
      <c r="E647" s="1104"/>
      <c r="F647" s="1107" t="n">
        <f aca="false">'Смета Внутр'!H647</f>
        <v>0</v>
      </c>
    </row>
    <row r="648" s="118" customFormat="true" ht="15" hidden="false" customHeight="false" outlineLevel="0" collapsed="false">
      <c r="B648" s="1104" t="str">
        <f aca="false">'Смета Внутр'!B648</f>
        <v>Монтаж наличника</v>
      </c>
      <c r="C648" s="1105" t="str">
        <f aca="false">'Смета Внутр'!C648</f>
        <v>м.п.</v>
      </c>
      <c r="D648" s="1106" t="n">
        <f aca="false">'Смета Внутр'!D648</f>
        <v>0</v>
      </c>
      <c r="E648" s="1104"/>
      <c r="F648" s="1107" t="n">
        <f aca="false">'Смета Внутр'!H648</f>
        <v>0</v>
      </c>
    </row>
    <row r="649" s="118" customFormat="true" ht="15" hidden="false" customHeight="false" outlineLevel="0" collapsed="false">
      <c r="B649" s="1104" t="str">
        <f aca="false">'Смета Внутр'!B649</f>
        <v>Шлифовка стен дома</v>
      </c>
      <c r="C649" s="1105" t="str">
        <f aca="false">'Смета Внутр'!C649</f>
        <v>м.п.</v>
      </c>
      <c r="D649" s="1106" t="n">
        <f aca="false">'Смета Внутр'!D649</f>
        <v>0</v>
      </c>
      <c r="E649" s="1104"/>
      <c r="F649" s="1107" t="n">
        <f aca="false">'Смета Внутр'!H649</f>
        <v>0</v>
      </c>
    </row>
    <row r="650" s="118" customFormat="true" ht="15" hidden="false" customHeight="false" outlineLevel="0" collapsed="false">
      <c r="B650" s="1108" t="str">
        <f aca="false">'Смета Внутр'!B650</f>
        <v>Итого работы</v>
      </c>
      <c r="C650" s="1108"/>
      <c r="D650" s="1108"/>
      <c r="E650" s="1108"/>
      <c r="F650" s="1109" t="n">
        <f aca="false">'Смета Внутр'!G650</f>
        <v>0</v>
      </c>
    </row>
    <row r="651" s="118" customFormat="true" ht="18.75" hidden="false" customHeight="false" outlineLevel="0" collapsed="false">
      <c r="B651" s="1111" t="str">
        <f aca="false">'Смета Внутр'!B651</f>
        <v>Дом из Профилированного бруса</v>
      </c>
      <c r="C651" s="1111"/>
      <c r="D651" s="1111"/>
      <c r="E651" s="1111"/>
      <c r="F651" s="1102" t="n">
        <f aca="false">'Смета Внутр'!H651</f>
        <v>0</v>
      </c>
    </row>
    <row r="652" s="118" customFormat="true" ht="15" hidden="false" customHeight="false" outlineLevel="0" collapsed="false">
      <c r="B652" s="1103" t="str">
        <f aca="false">'Смета Внутр'!B652</f>
        <v>Материалы</v>
      </c>
      <c r="C652" s="1103"/>
      <c r="D652" s="1103"/>
      <c r="E652" s="1103"/>
      <c r="F652" s="1102" t="n">
        <f aca="false">'Смета Внутр'!H652</f>
        <v>0</v>
      </c>
    </row>
    <row r="653" s="118" customFormat="true" ht="15" hidden="false" customHeight="false" outlineLevel="0" collapsed="false">
      <c r="B653" s="1104" t="str">
        <f aca="false">'Смета Внутр'!B653</f>
        <v>Листв. влаж, 200*200мм</v>
      </c>
      <c r="C653" s="1105" t="str">
        <f aca="false">'Смета Внутр'!C653</f>
        <v>м3</v>
      </c>
      <c r="D653" s="1106" t="n">
        <f aca="false">'Смета Внутр'!D653</f>
        <v>4.012</v>
      </c>
      <c r="E653" s="1104"/>
      <c r="F653" s="1107" t="n">
        <f aca="false">'Смета Внутр'!H653</f>
        <v>0</v>
      </c>
    </row>
    <row r="654" s="118" customFormat="true" ht="15" hidden="false" customHeight="false" outlineLevel="0" collapsed="false">
      <c r="B654" s="1104" t="str">
        <f aca="false">'Смета Внутр'!B654</f>
        <v>Сосна влаж, 200*150мм</v>
      </c>
      <c r="C654" s="1105" t="str">
        <f aca="false">'Смета Внутр'!C654</f>
        <v>м3</v>
      </c>
      <c r="D654" s="1106" t="n">
        <f aca="false">'Смета Внутр'!D654</f>
        <v>-3.187</v>
      </c>
      <c r="E654" s="1104"/>
      <c r="F654" s="1107" t="n">
        <f aca="false">'Смета Внутр'!H654</f>
        <v>0</v>
      </c>
    </row>
    <row r="655" s="118" customFormat="true" ht="15" hidden="false" customHeight="false" outlineLevel="0" collapsed="false">
      <c r="B655" s="1104" t="str">
        <f aca="false">'Смета Внутр'!B655</f>
        <v>Сосна влаж, 200*150мм</v>
      </c>
      <c r="C655" s="1105" t="str">
        <f aca="false">'Смета Внутр'!C655</f>
        <v>м3</v>
      </c>
      <c r="D655" s="1106" t="n">
        <f aca="false">'Смета Внутр'!D655</f>
        <v>0</v>
      </c>
      <c r="E655" s="1104"/>
      <c r="F655" s="1107" t="n">
        <f aca="false">'Смета Внутр'!H655</f>
        <v>0</v>
      </c>
    </row>
    <row r="656" s="118" customFormat="true" ht="15" hidden="false" customHeight="false" outlineLevel="0" collapsed="false">
      <c r="B656" s="1104" t="str">
        <f aca="false">'Смета Внутр'!B656</f>
        <v>Сосна влаж, 200*100мм</v>
      </c>
      <c r="C656" s="1105" t="str">
        <f aca="false">'Смета Внутр'!C656</f>
        <v>м2</v>
      </c>
      <c r="D656" s="1106" t="n">
        <f aca="false">'Смета Внутр'!D656</f>
        <v>0</v>
      </c>
      <c r="E656" s="1104"/>
      <c r="F656" s="1107" t="n">
        <f aca="false">'Смета Внутр'!H656</f>
        <v>0</v>
      </c>
    </row>
    <row r="657" s="118" customFormat="true" ht="15" hidden="false" customHeight="false" outlineLevel="0" collapsed="false">
      <c r="B657" s="1104" t="str">
        <f aca="false">'Смета Внутр'!B657</f>
        <v>Шкант</v>
      </c>
      <c r="C657" s="1105" t="str">
        <f aca="false">'Смета Внутр'!C657</f>
        <v>шт</v>
      </c>
      <c r="D657" s="1106" t="n">
        <f aca="false">'Смета Внутр'!D657</f>
        <v>19</v>
      </c>
      <c r="E657" s="1104"/>
      <c r="F657" s="1107" t="n">
        <f aca="false">'Смета Внутр'!H657</f>
        <v>0</v>
      </c>
    </row>
    <row r="658" s="118" customFormat="true" ht="15" hidden="false" customHeight="false" outlineLevel="0" collapsed="false">
      <c r="B658" s="1104" t="str">
        <f aca="false">'Смета Внутр'!B658</f>
        <v>Лента уплотнения</v>
      </c>
      <c r="C658" s="1105" t="str">
        <f aca="false">'Смета Внутр'!C658</f>
        <v>шт</v>
      </c>
      <c r="D658" s="1106" t="n">
        <f aca="false">'Смета Внутр'!D658</f>
        <v>0</v>
      </c>
      <c r="E658" s="1104"/>
      <c r="F658" s="1107" t="n">
        <f aca="false">'Смета Внутр'!H658</f>
        <v>0</v>
      </c>
    </row>
    <row r="659" s="118" customFormat="true" ht="15" hidden="false" customHeight="false" outlineLevel="0" collapsed="false">
      <c r="B659" s="1104" t="str">
        <f aca="false">'Смета Внутр'!B659</f>
        <v>Гвозди строительные 3,5 x 90            </v>
      </c>
      <c r="C659" s="1105" t="str">
        <f aca="false">'Смета Внутр'!C659</f>
        <v>шт</v>
      </c>
      <c r="D659" s="1106" t="n">
        <f aca="false">'Смета Внутр'!D659</f>
        <v>4.4</v>
      </c>
      <c r="E659" s="1104"/>
      <c r="F659" s="1107" t="n">
        <f aca="false">'Смета Внутр'!H659</f>
        <v>0</v>
      </c>
    </row>
    <row r="660" s="118" customFormat="true" ht="15" hidden="false" customHeight="false" outlineLevel="0" collapsed="false">
      <c r="B660" s="1104" t="str">
        <f aca="false">'Смета Внутр'!B660</f>
        <v>нет</v>
      </c>
      <c r="C660" s="1105" t="str">
        <f aca="false">'Смета Внутр'!C660</f>
        <v>м3</v>
      </c>
      <c r="D660" s="1106" t="n">
        <f aca="false">'Смета Внутр'!D660</f>
        <v>0</v>
      </c>
      <c r="E660" s="1104"/>
      <c r="F660" s="1107" t="n">
        <f aca="false">'Смета Внутр'!H660</f>
        <v>0</v>
      </c>
    </row>
    <row r="661" s="118" customFormat="true" ht="15" hidden="false" customHeight="false" outlineLevel="0" collapsed="false">
      <c r="B661" s="1104" t="str">
        <f aca="false">'Смета Внутр'!B661</f>
        <v>нет</v>
      </c>
      <c r="C661" s="1105" t="str">
        <f aca="false">'Смета Внутр'!C661</f>
        <v>м3</v>
      </c>
      <c r="D661" s="1106" t="n">
        <f aca="false">'Смета Внутр'!D661</f>
        <v>0</v>
      </c>
      <c r="E661" s="1104"/>
      <c r="F661" s="1107" t="n">
        <f aca="false">'Смета Внутр'!H661</f>
        <v>0</v>
      </c>
    </row>
    <row r="662" s="118" customFormat="true" ht="15" hidden="false" customHeight="false" outlineLevel="0" collapsed="false">
      <c r="B662" s="1104" t="str">
        <f aca="false">'Смета Внутр'!B662</f>
        <v>нет</v>
      </c>
      <c r="C662" s="1105" t="str">
        <f aca="false">'Смета Внутр'!C662</f>
        <v>м3</v>
      </c>
      <c r="D662" s="1106" t="n">
        <f aca="false">'Смета Внутр'!D662</f>
        <v>0</v>
      </c>
      <c r="E662" s="1104"/>
      <c r="F662" s="1107" t="n">
        <f aca="false">'Смета Внутр'!H662</f>
        <v>0</v>
      </c>
    </row>
    <row r="663" s="118" customFormat="true" ht="15" hidden="false" customHeight="false" outlineLevel="0" collapsed="false">
      <c r="B663" s="1104" t="str">
        <f aca="false">'Смета Внутр'!B663</f>
        <v>нет</v>
      </c>
      <c r="C663" s="1105" t="str">
        <f aca="false">'Смета Внутр'!C663</f>
        <v>м.п.</v>
      </c>
      <c r="D663" s="1106" t="n">
        <f aca="false">'Смета Внутр'!D663</f>
        <v>0</v>
      </c>
      <c r="E663" s="1104"/>
      <c r="F663" s="1107" t="n">
        <f aca="false">'Смета Внутр'!H663</f>
        <v>0</v>
      </c>
    </row>
    <row r="664" s="118" customFormat="true" ht="15" hidden="false" customHeight="false" outlineLevel="0" collapsed="false">
      <c r="B664" s="1104" t="str">
        <f aca="false">'Смета Внутр'!B664</f>
        <v>Бензин для пилы</v>
      </c>
      <c r="C664" s="1105" t="str">
        <f aca="false">'Смета Внутр'!C664</f>
        <v>л</v>
      </c>
      <c r="D664" s="1106" t="n">
        <f aca="false">'Смета Внутр'!D664</f>
        <v>0.165</v>
      </c>
      <c r="E664" s="1104"/>
      <c r="F664" s="1107" t="n">
        <f aca="false">'Смета Внутр'!H664</f>
        <v>0</v>
      </c>
    </row>
    <row r="665" s="118" customFormat="true" ht="15" hidden="false" customHeight="false" outlineLevel="0" collapsed="false">
      <c r="B665" s="1104" t="str">
        <f aca="false">'Смета Внутр'!B665</f>
        <v>Масло для пилы</v>
      </c>
      <c r="C665" s="1105" t="str">
        <f aca="false">'Смета Внутр'!C665</f>
        <v>л</v>
      </c>
      <c r="D665" s="1106" t="n">
        <f aca="false">'Смета Внутр'!D665</f>
        <v>0.00825</v>
      </c>
      <c r="E665" s="1104"/>
      <c r="F665" s="1107" t="n">
        <f aca="false">'Смета Внутр'!H665</f>
        <v>0</v>
      </c>
    </row>
    <row r="666" s="118" customFormat="true" ht="15" hidden="false" customHeight="false" outlineLevel="0" collapsed="false">
      <c r="B666" s="1104" t="str">
        <f aca="false">'Смета Внутр'!B666</f>
        <v>Цепь для пилы</v>
      </c>
      <c r="C666" s="1105" t="str">
        <f aca="false">'Смета Внутр'!C666</f>
        <v>шт</v>
      </c>
      <c r="D666" s="1106" t="n">
        <f aca="false">'Смета Внутр'!D666</f>
        <v>1</v>
      </c>
      <c r="E666" s="1104"/>
      <c r="F666" s="1107" t="n">
        <f aca="false">'Смета Внутр'!H666</f>
        <v>0</v>
      </c>
    </row>
    <row r="667" s="118" customFormat="true" ht="15" hidden="false" customHeight="false" outlineLevel="0" collapsed="false">
      <c r="B667" s="1104" t="str">
        <f aca="false">'Смета Внутр'!B667</f>
        <v>"Профилюкс" Антисептик ОБЗ-1</v>
      </c>
      <c r="C667" s="1105" t="str">
        <f aca="false">'Смета Внутр'!C667</f>
        <v>л</v>
      </c>
      <c r="D667" s="1106" t="n">
        <f aca="false">'Смета Внутр'!D667</f>
        <v>0</v>
      </c>
      <c r="E667" s="1104"/>
      <c r="F667" s="1107" t="n">
        <f aca="false">'Смета Внутр'!H667</f>
        <v>0</v>
      </c>
    </row>
    <row r="668" s="118" customFormat="true" ht="15" hidden="false" customHeight="false" outlineLevel="0" collapsed="false">
      <c r="B668" s="1104" t="str">
        <f aca="false">'Смета Внутр'!B668</f>
        <v>Нет пропитки</v>
      </c>
      <c r="C668" s="1105" t="str">
        <f aca="false">'Смета Внутр'!C668</f>
        <v>л</v>
      </c>
      <c r="D668" s="1106" t="n">
        <f aca="false">'Смета Внутр'!D668</f>
        <v>0</v>
      </c>
      <c r="E668" s="1104"/>
      <c r="F668" s="1107" t="n">
        <f aca="false">'Смета Внутр'!H668</f>
        <v>0</v>
      </c>
    </row>
    <row r="669" s="118" customFormat="true" ht="15" hidden="false" customHeight="false" outlineLevel="0" collapsed="false">
      <c r="B669" s="1104" t="str">
        <f aca="false">'Смета Внутр'!B669</f>
        <v>Нет пропитки</v>
      </c>
      <c r="C669" s="1105" t="str">
        <f aca="false">'Смета Внутр'!C669</f>
        <v>л</v>
      </c>
      <c r="D669" s="1106" t="n">
        <f aca="false">'Смета Внутр'!D669</f>
        <v>0</v>
      </c>
      <c r="E669" s="1104"/>
      <c r="F669" s="1107" t="n">
        <f aca="false">'Смета Внутр'!H669</f>
        <v>0</v>
      </c>
    </row>
    <row r="670" s="118" customFormat="true" ht="15" hidden="false" customHeight="false" outlineLevel="0" collapsed="false">
      <c r="B670" s="1104" t="str">
        <f aca="false">'Смета Внутр'!B670</f>
        <v>Нет наличника</v>
      </c>
      <c r="C670" s="1105" t="str">
        <f aca="false">'Смета Внутр'!C670</f>
        <v>м.п.</v>
      </c>
      <c r="D670" s="1106" t="n">
        <f aca="false">'Смета Внутр'!D670</f>
        <v>3.57</v>
      </c>
      <c r="E670" s="1104"/>
      <c r="F670" s="1107" t="n">
        <f aca="false">'Смета Внутр'!H670</f>
        <v>0</v>
      </c>
    </row>
    <row r="671" s="118" customFormat="true" ht="15" hidden="false" customHeight="false" outlineLevel="0" collapsed="false">
      <c r="B671" s="1104" t="str">
        <f aca="false">'Смета Внутр'!B671</f>
        <v>Нет наличника</v>
      </c>
      <c r="C671" s="1105" t="str">
        <f aca="false">'Смета Внутр'!C671</f>
        <v>м.п.</v>
      </c>
      <c r="D671" s="1106" t="n">
        <f aca="false">'Смета Внутр'!D671</f>
        <v>3.57</v>
      </c>
      <c r="E671" s="1104"/>
      <c r="F671" s="1107" t="n">
        <f aca="false">'Смета Внутр'!H671</f>
        <v>0</v>
      </c>
    </row>
    <row r="672" s="118" customFormat="true" ht="15" hidden="false" customHeight="false" outlineLevel="0" collapsed="false">
      <c r="B672" s="1104" t="str">
        <f aca="false">'Смета Внутр'!B672</f>
        <v>Нет наждачной бумаги</v>
      </c>
      <c r="C672" s="1105" t="str">
        <f aca="false">'Смета Внутр'!C672</f>
        <v>м</v>
      </c>
      <c r="D672" s="1106" t="n">
        <f aca="false">'Смета Внутр'!D672</f>
        <v>0</v>
      </c>
      <c r="E672" s="1104"/>
      <c r="F672" s="1107" t="n">
        <f aca="false">'Смета Внутр'!H672</f>
        <v>0</v>
      </c>
    </row>
    <row r="673" s="118" customFormat="true" ht="15" hidden="false" customHeight="false" outlineLevel="0" collapsed="false">
      <c r="B673" s="1104" t="str">
        <f aca="false">'Смета Внутр'!B673</f>
        <v>Нет наждачной бумаги</v>
      </c>
      <c r="C673" s="1105" t="str">
        <f aca="false">'Смета Внутр'!C673</f>
        <v>м</v>
      </c>
      <c r="D673" s="1106" t="n">
        <f aca="false">'Смета Внутр'!D673</f>
        <v>0</v>
      </c>
      <c r="E673" s="1104"/>
      <c r="F673" s="1107" t="n">
        <f aca="false">'Смета Внутр'!H673</f>
        <v>0</v>
      </c>
    </row>
    <row r="674" s="118" customFormat="true" ht="15" hidden="false" customHeight="false" outlineLevel="0" collapsed="false">
      <c r="B674" s="1104" t="str">
        <f aca="false">'Смета Внутр'!B674</f>
        <v>Нет наждачной бумаги</v>
      </c>
      <c r="C674" s="1105" t="str">
        <f aca="false">'Смета Внутр'!C674</f>
        <v>м</v>
      </c>
      <c r="D674" s="1106" t="n">
        <f aca="false">'Смета Внутр'!D674</f>
        <v>0</v>
      </c>
      <c r="E674" s="1104"/>
      <c r="F674" s="1107" t="n">
        <f aca="false">'Смета Внутр'!H674</f>
        <v>0</v>
      </c>
    </row>
    <row r="675" s="118" customFormat="true" ht="15" hidden="false" customHeight="false" outlineLevel="0" collapsed="false">
      <c r="B675" s="1104" t="str">
        <f aca="false">'Смета Внутр'!B675</f>
        <v>Нет наждачной бумаги</v>
      </c>
      <c r="C675" s="1105" t="str">
        <f aca="false">'Смета Внутр'!C675</f>
        <v>м</v>
      </c>
      <c r="D675" s="1106" t="n">
        <f aca="false">'Смета Внутр'!D675</f>
        <v>0</v>
      </c>
      <c r="E675" s="1104"/>
      <c r="F675" s="1107" t="n">
        <f aca="false">'Смета Внутр'!H675</f>
        <v>0</v>
      </c>
    </row>
    <row r="676" s="118" customFormat="true" ht="15" hidden="false" customHeight="false" outlineLevel="0" collapsed="false">
      <c r="B676" s="1108" t="str">
        <f aca="false">'Смета Внутр'!B676</f>
        <v>Итого материалы</v>
      </c>
      <c r="C676" s="1108"/>
      <c r="D676" s="1108"/>
      <c r="E676" s="1108"/>
      <c r="F676" s="1109" t="n">
        <f aca="false">'Смета Внутр'!G676</f>
        <v>0</v>
      </c>
    </row>
    <row r="677" s="118" customFormat="true" ht="15" hidden="false" customHeight="false" outlineLevel="0" collapsed="false">
      <c r="B677" s="1110" t="str">
        <f aca="false">'Смета Внутр'!B677</f>
        <v>Работы</v>
      </c>
      <c r="C677" s="1110"/>
      <c r="D677" s="1110"/>
      <c r="E677" s="1110"/>
      <c r="F677" s="1102" t="n">
        <f aca="false">'Смета Внутр'!H677</f>
        <v>0</v>
      </c>
    </row>
    <row r="678" s="118" customFormat="true" ht="15" hidden="false" customHeight="false" outlineLevel="0" collapsed="false">
      <c r="B678" s="1104" t="str">
        <f aca="false">'Смета Внутр'!B678</f>
        <v>кладка Профилированного бруса</v>
      </c>
      <c r="C678" s="1105" t="str">
        <f aca="false">'Смета Внутр'!C678</f>
        <v>м3</v>
      </c>
      <c r="D678" s="1106" t="n">
        <f aca="false">'Смета Внутр'!D678</f>
        <v>0.825</v>
      </c>
      <c r="E678" s="1104"/>
      <c r="F678" s="1107" t="n">
        <f aca="false">'Смета Внутр'!H678</f>
        <v>0</v>
      </c>
    </row>
    <row r="679" s="118" customFormat="true" ht="15" hidden="false" customHeight="false" outlineLevel="0" collapsed="false">
      <c r="B679" s="1104" t="str">
        <f aca="false">'Смета Внутр'!B679</f>
        <v>окосячка проемов, м.п.</v>
      </c>
      <c r="C679" s="1105" t="str">
        <f aca="false">'Смета Внутр'!C679</f>
        <v>м.п.</v>
      </c>
      <c r="D679" s="1106" t="n">
        <f aca="false">'Смета Внутр'!D679</f>
        <v>0</v>
      </c>
      <c r="E679" s="1104"/>
      <c r="F679" s="1107" t="n">
        <f aca="false">'Смета Внутр'!H679</f>
        <v>0</v>
      </c>
    </row>
    <row r="680" s="118" customFormat="true" ht="15" hidden="false" customHeight="false" outlineLevel="0" collapsed="false">
      <c r="B680" s="1104" t="str">
        <f aca="false">'Смета Внутр'!B680</f>
        <v>обработка торцов на брусе</v>
      </c>
      <c r="C680" s="1105" t="str">
        <f aca="false">'Смета Внутр'!C680</f>
        <v>м.п.</v>
      </c>
      <c r="D680" s="1106" t="n">
        <f aca="false">'Смета Внутр'!D680</f>
        <v>20</v>
      </c>
      <c r="E680" s="1104"/>
      <c r="F680" s="1107" t="n">
        <f aca="false">'Смета Внутр'!H680</f>
        <v>0</v>
      </c>
    </row>
    <row r="681" s="118" customFormat="true" ht="15" hidden="false" customHeight="false" outlineLevel="0" collapsed="false">
      <c r="B681" s="1104" t="str">
        <f aca="false">'Смета Внутр'!B681</f>
        <v>Обаботка огнебиозащитой</v>
      </c>
      <c r="C681" s="1105" t="str">
        <f aca="false">'Смета Внутр'!C681</f>
        <v>м.п.</v>
      </c>
      <c r="D681" s="1106" t="n">
        <f aca="false">'Смета Внутр'!D681</f>
        <v>0.825</v>
      </c>
      <c r="E681" s="1104"/>
      <c r="F681" s="1107" t="n">
        <f aca="false">'Смета Внутр'!H681</f>
        <v>0</v>
      </c>
    </row>
    <row r="682" s="118" customFormat="true" ht="15" hidden="false" customHeight="false" outlineLevel="0" collapsed="false">
      <c r="B682" s="1104" t="str">
        <f aca="false">'Смета Внутр'!B682</f>
        <v>Пропитка стен внешних</v>
      </c>
      <c r="C682" s="1105" t="str">
        <f aca="false">'Смета Внутр'!C682</f>
        <v>м.п.</v>
      </c>
      <c r="D682" s="1106" t="n">
        <f aca="false">'Смета Внутр'!D682</f>
        <v>0</v>
      </c>
      <c r="E682" s="1104"/>
      <c r="F682" s="1107" t="n">
        <f aca="false">'Смета Внутр'!H682</f>
        <v>0</v>
      </c>
    </row>
    <row r="683" s="118" customFormat="true" ht="15" hidden="false" customHeight="false" outlineLevel="0" collapsed="false">
      <c r="B683" s="1104" t="str">
        <f aca="false">'Смета Внутр'!B683</f>
        <v>Пропитка внутенних стен</v>
      </c>
      <c r="C683" s="1105" t="str">
        <f aca="false">'Смета Внутр'!C683</f>
        <v>м.п.</v>
      </c>
      <c r="D683" s="1106" t="n">
        <f aca="false">'Смета Внутр'!D683</f>
        <v>0</v>
      </c>
      <c r="E683" s="1104"/>
      <c r="F683" s="1107" t="n">
        <f aca="false">'Смета Внутр'!H683</f>
        <v>0</v>
      </c>
    </row>
    <row r="684" s="118" customFormat="true" ht="15" hidden="false" customHeight="false" outlineLevel="0" collapsed="false">
      <c r="B684" s="1104" t="str">
        <f aca="false">'Смета Внутр'!B684</f>
        <v>Не считать</v>
      </c>
      <c r="C684" s="1105" t="str">
        <f aca="false">'Смета Внутр'!C684</f>
        <v>м.п.</v>
      </c>
      <c r="D684" s="1106" t="n">
        <f aca="false">'Смета Внутр'!D684</f>
        <v>0</v>
      </c>
      <c r="E684" s="1104"/>
      <c r="F684" s="1107" t="n">
        <f aca="false">'Смета Внутр'!H684</f>
        <v>0</v>
      </c>
    </row>
    <row r="685" s="118" customFormat="true" ht="15" hidden="false" customHeight="false" outlineLevel="0" collapsed="false">
      <c r="B685" s="1104" t="str">
        <f aca="false">'Смета Внутр'!B685</f>
        <v>Монтаж наличника</v>
      </c>
      <c r="C685" s="1105" t="str">
        <f aca="false">'Смета Внутр'!C685</f>
        <v>м.п.</v>
      </c>
      <c r="D685" s="1106" t="n">
        <f aca="false">'Смета Внутр'!D685</f>
        <v>0</v>
      </c>
      <c r="E685" s="1104"/>
      <c r="F685" s="1107" t="n">
        <f aca="false">'Смета Внутр'!H685</f>
        <v>0</v>
      </c>
    </row>
    <row r="686" s="118" customFormat="true" ht="15" hidden="false" customHeight="false" outlineLevel="0" collapsed="false">
      <c r="B686" s="1104" t="str">
        <f aca="false">'Смета Внутр'!B686</f>
        <v>Шлифовка стен дома</v>
      </c>
      <c r="C686" s="1105" t="str">
        <f aca="false">'Смета Внутр'!C686</f>
        <v>м.п.</v>
      </c>
      <c r="D686" s="1106" t="n">
        <f aca="false">'Смета Внутр'!D686</f>
        <v>0</v>
      </c>
      <c r="E686" s="1104"/>
      <c r="F686" s="1107" t="n">
        <f aca="false">'Смета Внутр'!H686</f>
        <v>0</v>
      </c>
    </row>
    <row r="687" s="118" customFormat="true" ht="15" hidden="false" customHeight="false" outlineLevel="0" collapsed="false">
      <c r="B687" s="1108" t="str">
        <f aca="false">'Смета Внутр'!B687</f>
        <v>Итого работы</v>
      </c>
      <c r="C687" s="1108"/>
      <c r="D687" s="1108"/>
      <c r="E687" s="1108"/>
      <c r="F687" s="1109" t="n">
        <f aca="false">'Смета Внутр'!G687</f>
        <v>0</v>
      </c>
    </row>
    <row r="688" s="118" customFormat="true" ht="18.75" hidden="false" customHeight="false" outlineLevel="0" collapsed="false">
      <c r="B688" s="1111" t="str">
        <f aca="false">'Смета Внутр'!B688</f>
        <v>Дом из Клееного бруса</v>
      </c>
      <c r="C688" s="1111"/>
      <c r="D688" s="1111"/>
      <c r="E688" s="1111"/>
      <c r="F688" s="1102" t="n">
        <f aca="false">'Смета Внутр'!H688</f>
        <v>0</v>
      </c>
    </row>
    <row r="689" s="118" customFormat="true" ht="15" hidden="false" customHeight="false" outlineLevel="0" collapsed="false">
      <c r="B689" s="1103" t="str">
        <f aca="false">'Смета Внутр'!B689</f>
        <v>Материалы</v>
      </c>
      <c r="C689" s="1103"/>
      <c r="D689" s="1103"/>
      <c r="E689" s="1103"/>
      <c r="F689" s="1102" t="n">
        <f aca="false">'Смета Внутр'!H689</f>
        <v>0</v>
      </c>
    </row>
    <row r="690" s="118" customFormat="true" ht="15" hidden="false" customHeight="false" outlineLevel="0" collapsed="false">
      <c r="B690" s="1104" t="str">
        <f aca="false">'Смета Внутр'!B690</f>
        <v>Листв. влаж, 200*200мм</v>
      </c>
      <c r="C690" s="1105" t="str">
        <f aca="false">'Смета Внутр'!C690</f>
        <v>м3</v>
      </c>
      <c r="D690" s="1106" t="n">
        <f aca="false">'Смета Внутр'!D690</f>
        <v>4.012</v>
      </c>
      <c r="E690" s="1104"/>
      <c r="F690" s="1107" t="n">
        <f aca="false">'Смета Внутр'!H690</f>
        <v>0</v>
      </c>
    </row>
    <row r="691" s="118" customFormat="true" ht="15" hidden="false" customHeight="false" outlineLevel="0" collapsed="false">
      <c r="B691" s="1104" t="str">
        <f aca="false">'Смета Внутр'!B691</f>
        <v>Сосна влаж, 200*150мм</v>
      </c>
      <c r="C691" s="1105" t="str">
        <f aca="false">'Смета Внутр'!C691</f>
        <v>м3</v>
      </c>
      <c r="D691" s="1106" t="n">
        <f aca="false">'Смета Внутр'!D691</f>
        <v>-3.187</v>
      </c>
      <c r="E691" s="1104"/>
      <c r="F691" s="1107" t="n">
        <f aca="false">'Смета Внутр'!H691</f>
        <v>0</v>
      </c>
    </row>
    <row r="692" s="118" customFormat="true" ht="15" hidden="false" customHeight="false" outlineLevel="0" collapsed="false">
      <c r="B692" s="1104" t="str">
        <f aca="false">'Смета Внутр'!B692</f>
        <v>Сосна влаж, 200*150мм</v>
      </c>
      <c r="C692" s="1105" t="str">
        <f aca="false">'Смета Внутр'!C692</f>
        <v>м3</v>
      </c>
      <c r="D692" s="1106" t="n">
        <f aca="false">'Смета Внутр'!D692</f>
        <v>0</v>
      </c>
      <c r="E692" s="1104"/>
      <c r="F692" s="1107" t="n">
        <f aca="false">'Смета Внутр'!H692</f>
        <v>0</v>
      </c>
    </row>
    <row r="693" s="118" customFormat="true" ht="15" hidden="false" customHeight="false" outlineLevel="0" collapsed="false">
      <c r="B693" s="1104" t="str">
        <f aca="false">'Смета Внутр'!B693</f>
        <v>Сосна влаж, 200*100мм</v>
      </c>
      <c r="C693" s="1105" t="str">
        <f aca="false">'Смета Внутр'!C693</f>
        <v>м2</v>
      </c>
      <c r="D693" s="1106" t="n">
        <f aca="false">'Смета Внутр'!D693</f>
        <v>0</v>
      </c>
      <c r="E693" s="1104"/>
      <c r="F693" s="1107" t="n">
        <f aca="false">'Смета Внутр'!H693</f>
        <v>0</v>
      </c>
    </row>
    <row r="694" s="118" customFormat="true" ht="15" hidden="false" customHeight="false" outlineLevel="0" collapsed="false">
      <c r="B694" s="1104" t="str">
        <f aca="false">'Смета Внутр'!B694</f>
        <v>Шкант</v>
      </c>
      <c r="C694" s="1105" t="str">
        <f aca="false">'Смета Внутр'!C694</f>
        <v>шт</v>
      </c>
      <c r="D694" s="1106" t="n">
        <f aca="false">'Смета Внутр'!D694</f>
        <v>19</v>
      </c>
      <c r="E694" s="1104"/>
      <c r="F694" s="1107" t="n">
        <f aca="false">'Смета Внутр'!H694</f>
        <v>0</v>
      </c>
    </row>
    <row r="695" s="118" customFormat="true" ht="15" hidden="false" customHeight="false" outlineLevel="0" collapsed="false">
      <c r="B695" s="1104" t="str">
        <f aca="false">'Смета Внутр'!B695</f>
        <v>Лента уплотнения</v>
      </c>
      <c r="C695" s="1105" t="str">
        <f aca="false">'Смета Внутр'!C695</f>
        <v>шт</v>
      </c>
      <c r="D695" s="1106" t="n">
        <f aca="false">'Смета Внутр'!D695</f>
        <v>0</v>
      </c>
      <c r="E695" s="1104"/>
      <c r="F695" s="1107" t="n">
        <f aca="false">'Смета Внутр'!H695</f>
        <v>0</v>
      </c>
    </row>
    <row r="696" s="118" customFormat="true" ht="15" hidden="false" customHeight="false" outlineLevel="0" collapsed="false">
      <c r="B696" s="1104" t="str">
        <f aca="false">'Смета Внутр'!B696</f>
        <v>Гвозди строительные 3,5 x 90            </v>
      </c>
      <c r="C696" s="1105" t="str">
        <f aca="false">'Смета Внутр'!C696</f>
        <v>шт</v>
      </c>
      <c r="D696" s="1106" t="n">
        <f aca="false">'Смета Внутр'!D696</f>
        <v>4.4</v>
      </c>
      <c r="E696" s="1104"/>
      <c r="F696" s="1107" t="n">
        <f aca="false">'Смета Внутр'!H696</f>
        <v>0</v>
      </c>
    </row>
    <row r="697" s="118" customFormat="true" ht="15" hidden="false" customHeight="false" outlineLevel="0" collapsed="false">
      <c r="B697" s="1104" t="str">
        <f aca="false">'Смета Внутр'!B697</f>
        <v>нет</v>
      </c>
      <c r="C697" s="1105" t="str">
        <f aca="false">'Смета Внутр'!C697</f>
        <v>м3</v>
      </c>
      <c r="D697" s="1106" t="n">
        <f aca="false">'Смета Внутр'!D697</f>
        <v>0</v>
      </c>
      <c r="E697" s="1104"/>
      <c r="F697" s="1107" t="n">
        <f aca="false">'Смета Внутр'!H697</f>
        <v>0</v>
      </c>
    </row>
    <row r="698" s="118" customFormat="true" ht="15" hidden="false" customHeight="false" outlineLevel="0" collapsed="false">
      <c r="B698" s="1104" t="str">
        <f aca="false">'Смета Внутр'!B698</f>
        <v>нет</v>
      </c>
      <c r="C698" s="1105" t="str">
        <f aca="false">'Смета Внутр'!C698</f>
        <v>м3</v>
      </c>
      <c r="D698" s="1106" t="n">
        <f aca="false">'Смета Внутр'!D698</f>
        <v>0</v>
      </c>
      <c r="E698" s="1104"/>
      <c r="F698" s="1107" t="n">
        <f aca="false">'Смета Внутр'!H698</f>
        <v>0</v>
      </c>
    </row>
    <row r="699" s="118" customFormat="true" ht="15" hidden="false" customHeight="false" outlineLevel="0" collapsed="false">
      <c r="B699" s="1104" t="str">
        <f aca="false">'Смета Внутр'!B699</f>
        <v>нет</v>
      </c>
      <c r="C699" s="1105" t="str">
        <f aca="false">'Смета Внутр'!C699</f>
        <v>м3</v>
      </c>
      <c r="D699" s="1106" t="n">
        <f aca="false">'Смета Внутр'!D699</f>
        <v>0</v>
      </c>
      <c r="E699" s="1104"/>
      <c r="F699" s="1107" t="n">
        <f aca="false">'Смета Внутр'!H699</f>
        <v>0</v>
      </c>
    </row>
    <row r="700" s="118" customFormat="true" ht="15" hidden="false" customHeight="false" outlineLevel="0" collapsed="false">
      <c r="B700" s="1104" t="str">
        <f aca="false">'Смета Внутр'!B700</f>
        <v>нет</v>
      </c>
      <c r="C700" s="1105" t="str">
        <f aca="false">'Смета Внутр'!C700</f>
        <v>м.п.</v>
      </c>
      <c r="D700" s="1106" t="n">
        <f aca="false">'Смета Внутр'!D700</f>
        <v>0</v>
      </c>
      <c r="E700" s="1104"/>
      <c r="F700" s="1107" t="n">
        <f aca="false">'Смета Внутр'!H700</f>
        <v>0</v>
      </c>
    </row>
    <row r="701" s="118" customFormat="true" ht="15" hidden="false" customHeight="false" outlineLevel="0" collapsed="false">
      <c r="B701" s="1104" t="str">
        <f aca="false">'Смета Внутр'!B701</f>
        <v>Бензин для пилы</v>
      </c>
      <c r="C701" s="1105" t="str">
        <f aca="false">'Смета Внутр'!C701</f>
        <v>л</v>
      </c>
      <c r="D701" s="1106" t="n">
        <f aca="false">'Смета Внутр'!D701</f>
        <v>0.165</v>
      </c>
      <c r="E701" s="1104"/>
      <c r="F701" s="1107" t="n">
        <f aca="false">'Смета Внутр'!H701</f>
        <v>0</v>
      </c>
    </row>
    <row r="702" s="118" customFormat="true" ht="15" hidden="false" customHeight="false" outlineLevel="0" collapsed="false">
      <c r="B702" s="1104" t="str">
        <f aca="false">'Смета Внутр'!B702</f>
        <v>Масло для пилы</v>
      </c>
      <c r="C702" s="1105" t="str">
        <f aca="false">'Смета Внутр'!C702</f>
        <v>л</v>
      </c>
      <c r="D702" s="1106" t="n">
        <f aca="false">'Смета Внутр'!D702</f>
        <v>0.00825</v>
      </c>
      <c r="E702" s="1104"/>
      <c r="F702" s="1107" t="n">
        <f aca="false">'Смета Внутр'!H702</f>
        <v>0</v>
      </c>
    </row>
    <row r="703" s="118" customFormat="true" ht="15" hidden="false" customHeight="false" outlineLevel="0" collapsed="false">
      <c r="B703" s="1104" t="str">
        <f aca="false">'Смета Внутр'!B703</f>
        <v>Цепь для пилы</v>
      </c>
      <c r="C703" s="1105" t="str">
        <f aca="false">'Смета Внутр'!C703</f>
        <v>шт</v>
      </c>
      <c r="D703" s="1106" t="n">
        <f aca="false">'Смета Внутр'!D703</f>
        <v>1</v>
      </c>
      <c r="E703" s="1104"/>
      <c r="F703" s="1107" t="n">
        <f aca="false">'Смета Внутр'!H703</f>
        <v>0</v>
      </c>
    </row>
    <row r="704" s="118" customFormat="true" ht="15" hidden="false" customHeight="false" outlineLevel="0" collapsed="false">
      <c r="B704" s="1104" t="str">
        <f aca="false">'Смета Внутр'!B704</f>
        <v>"Профилюкс" Антисептик ОБЗ-1</v>
      </c>
      <c r="C704" s="1105" t="str">
        <f aca="false">'Смета Внутр'!C704</f>
        <v>л</v>
      </c>
      <c r="D704" s="1106" t="n">
        <f aca="false">'Смета Внутр'!D704</f>
        <v>0</v>
      </c>
      <c r="E704" s="1104"/>
      <c r="F704" s="1107" t="n">
        <f aca="false">'Смета Внутр'!H704</f>
        <v>0</v>
      </c>
    </row>
    <row r="705" s="118" customFormat="true" ht="15" hidden="false" customHeight="false" outlineLevel="0" collapsed="false">
      <c r="B705" s="1104" t="str">
        <f aca="false">'Смета Внутр'!B705</f>
        <v>Нет пропитки</v>
      </c>
      <c r="C705" s="1105" t="str">
        <f aca="false">'Смета Внутр'!C705</f>
        <v>л</v>
      </c>
      <c r="D705" s="1106" t="n">
        <f aca="false">'Смета Внутр'!D705</f>
        <v>0</v>
      </c>
      <c r="E705" s="1104"/>
      <c r="F705" s="1107" t="n">
        <f aca="false">'Смета Внутр'!H705</f>
        <v>0</v>
      </c>
    </row>
    <row r="706" s="118" customFormat="true" ht="15" hidden="false" customHeight="false" outlineLevel="0" collapsed="false">
      <c r="B706" s="1104" t="str">
        <f aca="false">'Смета Внутр'!B706</f>
        <v>Нет пропитки</v>
      </c>
      <c r="C706" s="1105" t="str">
        <f aca="false">'Смета Внутр'!C706</f>
        <v>л</v>
      </c>
      <c r="D706" s="1106" t="n">
        <f aca="false">'Смета Внутр'!D706</f>
        <v>0</v>
      </c>
      <c r="E706" s="1104"/>
      <c r="F706" s="1107" t="n">
        <f aca="false">'Смета Внутр'!H706</f>
        <v>0</v>
      </c>
    </row>
    <row r="707" s="118" customFormat="true" ht="15" hidden="false" customHeight="false" outlineLevel="0" collapsed="false">
      <c r="B707" s="1104" t="str">
        <f aca="false">'Смета Внутр'!B707</f>
        <v>Нет наличника</v>
      </c>
      <c r="C707" s="1105" t="str">
        <f aca="false">'Смета Внутр'!C707</f>
        <v>м.п.</v>
      </c>
      <c r="D707" s="1106" t="n">
        <f aca="false">'Смета Внутр'!D707</f>
        <v>3.57</v>
      </c>
      <c r="E707" s="1104"/>
      <c r="F707" s="1107" t="n">
        <f aca="false">'Смета Внутр'!H707</f>
        <v>0</v>
      </c>
    </row>
    <row r="708" s="118" customFormat="true" ht="15" hidden="false" customHeight="false" outlineLevel="0" collapsed="false">
      <c r="B708" s="1104" t="str">
        <f aca="false">'Смета Внутр'!B708</f>
        <v>Нет наличника</v>
      </c>
      <c r="C708" s="1105" t="str">
        <f aca="false">'Смета Внутр'!C708</f>
        <v>м.п.</v>
      </c>
      <c r="D708" s="1106" t="n">
        <f aca="false">'Смета Внутр'!D708</f>
        <v>3.57</v>
      </c>
      <c r="E708" s="1104"/>
      <c r="F708" s="1107" t="n">
        <f aca="false">'Смета Внутр'!H708</f>
        <v>0</v>
      </c>
    </row>
    <row r="709" s="118" customFormat="true" ht="15" hidden="false" customHeight="false" outlineLevel="0" collapsed="false">
      <c r="B709" s="1104" t="str">
        <f aca="false">'Смета Внутр'!B709</f>
        <v>Нет наждачной бумаги</v>
      </c>
      <c r="C709" s="1105" t="str">
        <f aca="false">'Смета Внутр'!C709</f>
        <v>м</v>
      </c>
      <c r="D709" s="1106" t="n">
        <f aca="false">'Смета Внутр'!D709</f>
        <v>0</v>
      </c>
      <c r="E709" s="1104"/>
      <c r="F709" s="1107" t="n">
        <f aca="false">'Смета Внутр'!H709</f>
        <v>0</v>
      </c>
    </row>
    <row r="710" s="118" customFormat="true" ht="15" hidden="false" customHeight="false" outlineLevel="0" collapsed="false">
      <c r="B710" s="1104" t="str">
        <f aca="false">'Смета Внутр'!B710</f>
        <v>Нет наждачной бумаги</v>
      </c>
      <c r="C710" s="1105" t="str">
        <f aca="false">'Смета Внутр'!C710</f>
        <v>м</v>
      </c>
      <c r="D710" s="1106" t="n">
        <f aca="false">'Смета Внутр'!D710</f>
        <v>0</v>
      </c>
      <c r="E710" s="1104"/>
      <c r="F710" s="1107" t="n">
        <f aca="false">'Смета Внутр'!H710</f>
        <v>0</v>
      </c>
    </row>
    <row r="711" s="118" customFormat="true" ht="15" hidden="false" customHeight="false" outlineLevel="0" collapsed="false">
      <c r="B711" s="1104" t="str">
        <f aca="false">'Смета Внутр'!B711</f>
        <v>Нет наждачной бумаги</v>
      </c>
      <c r="C711" s="1105" t="str">
        <f aca="false">'Смета Внутр'!C711</f>
        <v>м</v>
      </c>
      <c r="D711" s="1106" t="n">
        <f aca="false">'Смета Внутр'!D711</f>
        <v>0</v>
      </c>
      <c r="E711" s="1104"/>
      <c r="F711" s="1107" t="n">
        <f aca="false">'Смета Внутр'!H711</f>
        <v>0</v>
      </c>
    </row>
    <row r="712" s="118" customFormat="true" ht="15" hidden="false" customHeight="false" outlineLevel="0" collapsed="false">
      <c r="B712" s="1104" t="str">
        <f aca="false">'Смета Внутр'!B712</f>
        <v>Нет наждачной бумаги</v>
      </c>
      <c r="C712" s="1105" t="str">
        <f aca="false">'Смета Внутр'!C712</f>
        <v>м</v>
      </c>
      <c r="D712" s="1106" t="n">
        <f aca="false">'Смета Внутр'!D712</f>
        <v>0</v>
      </c>
      <c r="E712" s="1104"/>
      <c r="F712" s="1107" t="n">
        <f aca="false">'Смета Внутр'!H712</f>
        <v>0</v>
      </c>
    </row>
    <row r="713" s="118" customFormat="true" ht="15" hidden="false" customHeight="false" outlineLevel="0" collapsed="false">
      <c r="B713" s="1108" t="str">
        <f aca="false">'Смета Внутр'!B713</f>
        <v>Итого материалы</v>
      </c>
      <c r="C713" s="1108"/>
      <c r="D713" s="1108"/>
      <c r="E713" s="1108"/>
      <c r="F713" s="1109" t="n">
        <f aca="false">'Смета Внутр'!G713</f>
        <v>0</v>
      </c>
    </row>
    <row r="714" s="118" customFormat="true" ht="15" hidden="false" customHeight="false" outlineLevel="0" collapsed="false">
      <c r="B714" s="1110" t="str">
        <f aca="false">'Смета Внутр'!B714</f>
        <v>Работы</v>
      </c>
      <c r="C714" s="1110"/>
      <c r="D714" s="1110"/>
      <c r="E714" s="1110"/>
      <c r="F714" s="1102" t="n">
        <f aca="false">'Смета Внутр'!H714</f>
        <v>0</v>
      </c>
    </row>
    <row r="715" s="118" customFormat="true" ht="15" hidden="false" customHeight="false" outlineLevel="0" collapsed="false">
      <c r="B715" s="1104" t="str">
        <f aca="false">'Смета Внутр'!B715</f>
        <v>кладка бруса</v>
      </c>
      <c r="C715" s="1105" t="str">
        <f aca="false">'Смета Внутр'!C715</f>
        <v>м3</v>
      </c>
      <c r="D715" s="1106" t="n">
        <f aca="false">'Смета Внутр'!D715</f>
        <v>0.825</v>
      </c>
      <c r="E715" s="1104"/>
      <c r="F715" s="1107" t="n">
        <f aca="false">'Смета Внутр'!H715</f>
        <v>0</v>
      </c>
    </row>
    <row r="716" s="118" customFormat="true" ht="15" hidden="false" customHeight="false" outlineLevel="0" collapsed="false">
      <c r="B716" s="1104" t="str">
        <f aca="false">'Смета Внутр'!B716</f>
        <v>окосячка проемов, м.п.</v>
      </c>
      <c r="C716" s="1105" t="str">
        <f aca="false">'Смета Внутр'!C716</f>
        <v>м.п.</v>
      </c>
      <c r="D716" s="1106" t="n">
        <f aca="false">'Смета Внутр'!D716</f>
        <v>0</v>
      </c>
      <c r="E716" s="1104"/>
      <c r="F716" s="1107" t="n">
        <f aca="false">'Смета Внутр'!H716</f>
        <v>0</v>
      </c>
    </row>
    <row r="717" s="118" customFormat="true" ht="15" hidden="false" customHeight="false" outlineLevel="0" collapsed="false">
      <c r="B717" s="1104" t="str">
        <f aca="false">'Смета Внутр'!B717</f>
        <v>обработка торцов на брусе</v>
      </c>
      <c r="C717" s="1105" t="str">
        <f aca="false">'Смета Внутр'!C717</f>
        <v>м.п.</v>
      </c>
      <c r="D717" s="1106" t="n">
        <f aca="false">'Смета Внутр'!D717</f>
        <v>20</v>
      </c>
      <c r="E717" s="1104"/>
      <c r="F717" s="1107" t="n">
        <f aca="false">'Смета Внутр'!H717</f>
        <v>0</v>
      </c>
    </row>
    <row r="718" s="118" customFormat="true" ht="15" hidden="false" customHeight="false" outlineLevel="0" collapsed="false">
      <c r="B718" s="1104" t="str">
        <f aca="false">'Смета Внутр'!B718</f>
        <v>Обаботка огнебиозащитой</v>
      </c>
      <c r="C718" s="1105" t="str">
        <f aca="false">'Смета Внутр'!C718</f>
        <v>м.п.</v>
      </c>
      <c r="D718" s="1106" t="n">
        <f aca="false">'Смета Внутр'!D718</f>
        <v>0.825</v>
      </c>
      <c r="E718" s="1104"/>
      <c r="F718" s="1107" t="n">
        <f aca="false">'Смета Внутр'!H718</f>
        <v>0</v>
      </c>
    </row>
    <row r="719" s="118" customFormat="true" ht="15" hidden="false" customHeight="false" outlineLevel="0" collapsed="false">
      <c r="B719" s="1104" t="str">
        <f aca="false">'Смета Внутр'!B719</f>
        <v>Пропитка стен внешних</v>
      </c>
      <c r="C719" s="1105" t="str">
        <f aca="false">'Смета Внутр'!C719</f>
        <v>м.п.</v>
      </c>
      <c r="D719" s="1106" t="n">
        <f aca="false">'Смета Внутр'!D719</f>
        <v>0</v>
      </c>
      <c r="E719" s="1104"/>
      <c r="F719" s="1107" t="n">
        <f aca="false">'Смета Внутр'!H719</f>
        <v>0</v>
      </c>
    </row>
    <row r="720" s="118" customFormat="true" ht="15" hidden="false" customHeight="false" outlineLevel="0" collapsed="false">
      <c r="B720" s="1104" t="str">
        <f aca="false">'Смета Внутр'!B720</f>
        <v>Пропитка внутенних стен</v>
      </c>
      <c r="C720" s="1105" t="str">
        <f aca="false">'Смета Внутр'!C720</f>
        <v>м.п.</v>
      </c>
      <c r="D720" s="1106" t="n">
        <f aca="false">'Смета Внутр'!D720</f>
        <v>0</v>
      </c>
      <c r="E720" s="1104"/>
      <c r="F720" s="1107" t="n">
        <f aca="false">'Смета Внутр'!H720</f>
        <v>0</v>
      </c>
    </row>
    <row r="721" s="118" customFormat="true" ht="15" hidden="false" customHeight="false" outlineLevel="0" collapsed="false">
      <c r="B721" s="1104" t="str">
        <f aca="false">'Смета Внутр'!B721</f>
        <v>Не считать</v>
      </c>
      <c r="C721" s="1105" t="str">
        <f aca="false">'Смета Внутр'!C721</f>
        <v>м.п.</v>
      </c>
      <c r="D721" s="1106" t="n">
        <f aca="false">'Смета Внутр'!D721</f>
        <v>0</v>
      </c>
      <c r="E721" s="1104"/>
      <c r="F721" s="1107" t="n">
        <f aca="false">'Смета Внутр'!H721</f>
        <v>0</v>
      </c>
    </row>
    <row r="722" s="118" customFormat="true" ht="15" hidden="false" customHeight="false" outlineLevel="0" collapsed="false">
      <c r="B722" s="1104" t="str">
        <f aca="false">'Смета Внутр'!B722</f>
        <v>Монтаж наличника</v>
      </c>
      <c r="C722" s="1105" t="str">
        <f aca="false">'Смета Внутр'!C722</f>
        <v>м.п.</v>
      </c>
      <c r="D722" s="1106" t="n">
        <f aca="false">'Смета Внутр'!D722</f>
        <v>0</v>
      </c>
      <c r="E722" s="1104"/>
      <c r="F722" s="1107" t="n">
        <f aca="false">'Смета Внутр'!H722</f>
        <v>0</v>
      </c>
    </row>
    <row r="723" s="118" customFormat="true" ht="15" hidden="false" customHeight="false" outlineLevel="0" collapsed="false">
      <c r="B723" s="1104" t="str">
        <f aca="false">'Смета Внутр'!B723</f>
        <v>Шлифовка стен дома</v>
      </c>
      <c r="C723" s="1105" t="str">
        <f aca="false">'Смета Внутр'!C723</f>
        <v>м.п.</v>
      </c>
      <c r="D723" s="1106" t="n">
        <f aca="false">'Смета Внутр'!D723</f>
        <v>0</v>
      </c>
      <c r="E723" s="1104"/>
      <c r="F723" s="1107" t="n">
        <f aca="false">'Смета Внутр'!H723</f>
        <v>0</v>
      </c>
    </row>
    <row r="724" s="118" customFormat="true" ht="15" hidden="false" customHeight="false" outlineLevel="0" collapsed="false">
      <c r="B724" s="1108" t="str">
        <f aca="false">'Смета Внутр'!B724</f>
        <v>Итого работы</v>
      </c>
      <c r="C724" s="1108"/>
      <c r="D724" s="1108"/>
      <c r="E724" s="1108"/>
      <c r="F724" s="1109" t="n">
        <f aca="false">'Смета Внутр'!G724</f>
        <v>0</v>
      </c>
    </row>
    <row r="725" customFormat="false" ht="18.75" hidden="false" customHeight="false" outlineLevel="0" collapsed="false">
      <c r="B725" s="1113" t="str">
        <f aca="false">'Смета Внутр'!B725</f>
        <v>Перекрытие 0-1-2 этажей</v>
      </c>
      <c r="C725" s="1113"/>
      <c r="D725" s="1113"/>
      <c r="E725" s="1113"/>
      <c r="F725" s="1124" t="n">
        <f aca="false">'Смета Внутр'!H725</f>
        <v>1</v>
      </c>
    </row>
    <row r="726" customFormat="false" ht="15" hidden="false" customHeight="false" outlineLevel="0" collapsed="false">
      <c r="B726" s="1115" t="str">
        <f aca="false">'Смета Внутр'!B726</f>
        <v>Материалы</v>
      </c>
      <c r="C726" s="1115"/>
      <c r="D726" s="1115"/>
      <c r="E726" s="1115"/>
      <c r="F726" s="1124" t="n">
        <f aca="false">'Смета Внутр'!H726</f>
        <v>1</v>
      </c>
    </row>
    <row r="727" s="118" customFormat="true" ht="15" hidden="false" customHeight="false" outlineLevel="0" collapsed="false">
      <c r="B727" s="1104" t="str">
        <f aca="false">'Смета Внутр'!B727</f>
        <v>Плиты перекрытия ЖБИ</v>
      </c>
      <c r="C727" s="1105" t="str">
        <f aca="false">'Смета Внутр'!C727</f>
        <v>м2</v>
      </c>
      <c r="D727" s="1106" t="n">
        <f aca="false">'Смета Внутр'!D727</f>
        <v>0</v>
      </c>
      <c r="E727" s="1104"/>
      <c r="F727" s="1107" t="n">
        <f aca="false">'Смета Внутр'!H727</f>
        <v>0</v>
      </c>
    </row>
    <row r="728" s="118" customFormat="true" ht="15" hidden="false" customHeight="false" outlineLevel="0" collapsed="false">
      <c r="B728" s="1104" t="str">
        <f aca="false">'Смета Внутр'!B728</f>
        <v>Раствор, м250</v>
      </c>
      <c r="C728" s="1105" t="str">
        <f aca="false">'Смета Внутр'!C728</f>
        <v>м3</v>
      </c>
      <c r="D728" s="1106" t="n">
        <f aca="false">'Смета Внутр'!D728</f>
        <v>0</v>
      </c>
      <c r="E728" s="1104"/>
      <c r="F728" s="1107" t="n">
        <f aca="false">'Смета Внутр'!H728</f>
        <v>0</v>
      </c>
    </row>
    <row r="729" s="118" customFormat="true" ht="15" hidden="false" customHeight="false" outlineLevel="0" collapsed="false">
      <c r="B729" s="1104" t="str">
        <f aca="false">'Смета Внутр'!B729</f>
        <v>Монолит, бетон, 300мм, 2 слоя</v>
      </c>
      <c r="C729" s="1105" t="str">
        <f aca="false">'Смета Внутр'!C729</f>
        <v>м2</v>
      </c>
      <c r="D729" s="1106" t="n">
        <f aca="false">'Смета Внутр'!D729</f>
        <v>0</v>
      </c>
      <c r="E729" s="1104"/>
      <c r="F729" s="1107" t="n">
        <f aca="false">'Смета Внутр'!H729</f>
        <v>0</v>
      </c>
    </row>
    <row r="730" s="118" customFormat="true" ht="15" hidden="false" customHeight="false" outlineLevel="0" collapsed="false">
      <c r="B730" s="1104" t="str">
        <f aca="false">'Смета Внутр'!B730</f>
        <v>Монолит, бетон, 300мм, 1 слой</v>
      </c>
      <c r="C730" s="1105" t="str">
        <f aca="false">'Смета Внутр'!C730</f>
        <v>м2</v>
      </c>
      <c r="D730" s="1106" t="n">
        <f aca="false">'Смета Внутр'!D730</f>
        <v>0</v>
      </c>
      <c r="E730" s="1104"/>
      <c r="F730" s="1107" t="n">
        <f aca="false">'Смета Внутр'!H730</f>
        <v>0</v>
      </c>
    </row>
    <row r="731" s="118" customFormat="true" ht="15" hidden="false" customHeight="false" outlineLevel="0" collapsed="false">
      <c r="B731" s="1104" t="str">
        <f aca="false">'Смета Внутр'!B731</f>
        <v>Монолит, бетон, 250мм, 2 слоя</v>
      </c>
      <c r="C731" s="1105" t="str">
        <f aca="false">'Смета Внутр'!C731</f>
        <v>м2</v>
      </c>
      <c r="D731" s="1106" t="n">
        <f aca="false">'Смета Внутр'!D731</f>
        <v>0</v>
      </c>
      <c r="E731" s="1104"/>
      <c r="F731" s="1107" t="n">
        <f aca="false">'Смета Внутр'!H731</f>
        <v>0</v>
      </c>
    </row>
    <row r="732" s="118" customFormat="true" ht="15" hidden="false" customHeight="false" outlineLevel="0" collapsed="false">
      <c r="B732" s="1104" t="str">
        <f aca="false">'Смета Внутр'!B732</f>
        <v>Монолит, бетон, 250мм, 1 слой</v>
      </c>
      <c r="C732" s="1105" t="str">
        <f aca="false">'Смета Внутр'!C732</f>
        <v>м2</v>
      </c>
      <c r="D732" s="1106" t="n">
        <f aca="false">'Смета Внутр'!D732</f>
        <v>0</v>
      </c>
      <c r="E732" s="1104"/>
      <c r="F732" s="1107" t="n">
        <f aca="false">'Смета Внутр'!H732</f>
        <v>0</v>
      </c>
    </row>
    <row r="733" s="118" customFormat="true" ht="15" hidden="false" customHeight="false" outlineLevel="0" collapsed="false">
      <c r="B733" s="1104" t="str">
        <f aca="false">'Смета Внутр'!B733</f>
        <v>Монолит, бетон, 200мм, 2 слоя</v>
      </c>
      <c r="C733" s="1105" t="str">
        <f aca="false">'Смета Внутр'!C733</f>
        <v>м2</v>
      </c>
      <c r="D733" s="1106" t="n">
        <f aca="false">'Смета Внутр'!D733</f>
        <v>0</v>
      </c>
      <c r="E733" s="1104"/>
      <c r="F733" s="1107" t="n">
        <f aca="false">'Смета Внутр'!H733</f>
        <v>0</v>
      </c>
    </row>
    <row r="734" s="118" customFormat="true" ht="15" hidden="false" customHeight="false" outlineLevel="0" collapsed="false">
      <c r="B734" s="1104" t="str">
        <f aca="false">'Смета Внутр'!B734</f>
        <v>Монолит, бетон, 200мм, 1 слой</v>
      </c>
      <c r="C734" s="1105" t="str">
        <f aca="false">'Смета Внутр'!C734</f>
        <v>м2</v>
      </c>
      <c r="D734" s="1106" t="n">
        <f aca="false">'Смета Внутр'!D734</f>
        <v>0</v>
      </c>
      <c r="E734" s="1104"/>
      <c r="F734" s="1107" t="n">
        <f aca="false">'Смета Внутр'!H734</f>
        <v>0</v>
      </c>
    </row>
    <row r="735" s="118" customFormat="true" ht="15" hidden="false" customHeight="false" outlineLevel="0" collapsed="false">
      <c r="B735" s="1104" t="str">
        <f aca="false">'Смета Внутр'!B735</f>
        <v>Монолит, бетон, 150мм, 2 слоя</v>
      </c>
      <c r="C735" s="1105" t="str">
        <f aca="false">'Смета Внутр'!C735</f>
        <v>м2</v>
      </c>
      <c r="D735" s="1106" t="n">
        <f aca="false">'Смета Внутр'!D735</f>
        <v>0</v>
      </c>
      <c r="E735" s="1104"/>
      <c r="F735" s="1107" t="n">
        <f aca="false">'Смета Внутр'!H735</f>
        <v>0</v>
      </c>
    </row>
    <row r="736" s="118" customFormat="true" ht="15" hidden="false" customHeight="false" outlineLevel="0" collapsed="false">
      <c r="B736" s="1104" t="str">
        <f aca="false">'Смета Внутр'!B736</f>
        <v>Монолит, бетон, 150мм, 1 слой</v>
      </c>
      <c r="C736" s="1105" t="str">
        <f aca="false">'Смета Внутр'!C736</f>
        <v>м2</v>
      </c>
      <c r="D736" s="1106" t="n">
        <f aca="false">'Смета Внутр'!D736</f>
        <v>0</v>
      </c>
      <c r="E736" s="1104"/>
      <c r="F736" s="1107" t="n">
        <f aca="false">'Смета Внутр'!H736</f>
        <v>0</v>
      </c>
    </row>
    <row r="737" s="118" customFormat="true" ht="15" hidden="false" customHeight="false" outlineLevel="0" collapsed="false">
      <c r="B737" s="1104" t="str">
        <f aca="false">'Смета Внутр'!B737</f>
        <v>доска для опалубки монолит перекрытий</v>
      </c>
      <c r="C737" s="1105" t="str">
        <f aca="false">'Смета Внутр'!C737</f>
        <v>м3</v>
      </c>
      <c r="D737" s="1106" t="n">
        <f aca="false">'Смета Внутр'!D737</f>
        <v>0</v>
      </c>
      <c r="E737" s="1104"/>
      <c r="F737" s="1107" t="n">
        <f aca="false">'Смета Внутр'!H737</f>
        <v>0</v>
      </c>
    </row>
    <row r="738" s="118" customFormat="true" ht="15" hidden="false" customHeight="false" outlineLevel="0" collapsed="false">
      <c r="B738" s="1104" t="str">
        <f aca="false">'Смета Внутр'!B738</f>
        <v>стойки под опалубку перекрытий</v>
      </c>
      <c r="C738" s="1105" t="str">
        <f aca="false">'Смета Внутр'!C738</f>
        <v>шт</v>
      </c>
      <c r="D738" s="1106" t="n">
        <f aca="false">'Смета Внутр'!D738</f>
        <v>0</v>
      </c>
      <c r="E738" s="1104"/>
      <c r="F738" s="1107" t="n">
        <f aca="false">'Смета Внутр'!H738</f>
        <v>0</v>
      </c>
    </row>
    <row r="739" s="118" customFormat="true" ht="15" hidden="false" customHeight="false" outlineLevel="0" collapsed="false">
      <c r="B739" s="1104" t="str">
        <f aca="false">'Смета Внутр'!B739</f>
        <v>Пленка гидроизоляционная </v>
      </c>
      <c r="C739" s="1105" t="str">
        <f aca="false">'Смета Внутр'!C739</f>
        <v>м2</v>
      </c>
      <c r="D739" s="1106" t="n">
        <f aca="false">'Смета Внутр'!D739</f>
        <v>0</v>
      </c>
      <c r="E739" s="1104"/>
      <c r="F739" s="1107" t="n">
        <f aca="false">'Смета Внутр'!H739</f>
        <v>0</v>
      </c>
    </row>
    <row r="740" s="118" customFormat="true" ht="15" hidden="false" customHeight="false" outlineLevel="0" collapsed="false">
      <c r="B740" s="1104" t="str">
        <f aca="false">'Смета Внутр'!B740</f>
        <v>Арматура М10</v>
      </c>
      <c r="C740" s="1105" t="str">
        <f aca="false">'Смета Внутр'!C740</f>
        <v>м.п.</v>
      </c>
      <c r="D740" s="1106" t="n">
        <f aca="false">'Смета Внутр'!D740</f>
        <v>0</v>
      </c>
      <c r="E740" s="1104"/>
      <c r="F740" s="1107" t="n">
        <f aca="false">'Смета Внутр'!H740</f>
        <v>0</v>
      </c>
    </row>
    <row r="741" s="118" customFormat="true" ht="15" hidden="false" customHeight="false" outlineLevel="0" collapsed="false">
      <c r="B741" s="1104" t="str">
        <f aca="false">'Смета Внутр'!B741</f>
        <v>Вязальная проволока</v>
      </c>
      <c r="C741" s="1105" t="str">
        <f aca="false">'Смета Внутр'!C741</f>
        <v>кг</v>
      </c>
      <c r="D741" s="1106" t="n">
        <f aca="false">'Смета Внутр'!D741</f>
        <v>0</v>
      </c>
      <c r="E741" s="1104"/>
      <c r="F741" s="1107" t="n">
        <f aca="false">'Смета Внутр'!H741</f>
        <v>0</v>
      </c>
    </row>
    <row r="742" s="118" customFormat="true" ht="15" hidden="false" customHeight="false" outlineLevel="0" collapsed="false">
      <c r="B742" s="1104" t="str">
        <f aca="false">'Смета Внутр'!B742</f>
        <v>Подставка под арматурный каркас</v>
      </c>
      <c r="C742" s="1105" t="str">
        <f aca="false">'Смета Внутр'!C742</f>
        <v>шт</v>
      </c>
      <c r="D742" s="1106" t="n">
        <f aca="false">'Смета Внутр'!D742</f>
        <v>0</v>
      </c>
      <c r="E742" s="1104"/>
      <c r="F742" s="1107" t="n">
        <f aca="false">'Смета Внутр'!H742</f>
        <v>0</v>
      </c>
    </row>
    <row r="743" s="118" customFormat="true" ht="15" hidden="false" customHeight="false" outlineLevel="0" collapsed="false">
      <c r="B743" s="1104" t="str">
        <f aca="false">'Смета Внутр'!B743</f>
        <v>бетон, м350</v>
      </c>
      <c r="C743" s="1105" t="str">
        <f aca="false">'Смета Внутр'!C743</f>
        <v>м3</v>
      </c>
      <c r="D743" s="1106" t="n">
        <f aca="false">'Смета Внутр'!D743</f>
        <v>0</v>
      </c>
      <c r="E743" s="1104"/>
      <c r="F743" s="1107" t="n">
        <f aca="false">'Смета Внутр'!H743</f>
        <v>0</v>
      </c>
    </row>
    <row r="744" s="118" customFormat="true" ht="15" hidden="false" customHeight="false" outlineLevel="0" collapsed="false">
      <c r="B744" s="1104" t="str">
        <f aca="false">'Смета Внутр'!B744</f>
        <v>Брус естественной влажности, 200*100мм</v>
      </c>
      <c r="C744" s="1105" t="str">
        <f aca="false">'Смета Внутр'!C744</f>
        <v>м3</v>
      </c>
      <c r="D744" s="1106" t="n">
        <f aca="false">'Смета Внутр'!D744</f>
        <v>0</v>
      </c>
      <c r="E744" s="1104"/>
      <c r="F744" s="1107" t="n">
        <f aca="false">'Смета Внутр'!H744</f>
        <v>0</v>
      </c>
    </row>
    <row r="745" s="118" customFormat="true" ht="15" hidden="false" customHeight="false" outlineLevel="0" collapsed="false">
      <c r="B745" s="1104" t="str">
        <f aca="false">'Смета Внутр'!B745</f>
        <v>Брус естественной влажности, 150*100мм</v>
      </c>
      <c r="C745" s="1105" t="str">
        <f aca="false">'Смета Внутр'!C745</f>
        <v>м3</v>
      </c>
      <c r="D745" s="1106" t="n">
        <f aca="false">'Смета Внутр'!D745</f>
        <v>0</v>
      </c>
      <c r="E745" s="1104"/>
      <c r="F745" s="1107" t="n">
        <f aca="false">'Смета Внутр'!H745</f>
        <v>0</v>
      </c>
    </row>
    <row r="746" s="118" customFormat="true" ht="15" hidden="false" customHeight="false" outlineLevel="0" collapsed="false">
      <c r="B746" s="1104" t="str">
        <f aca="false">'Смета Внутр'!B746</f>
        <v>Брус естественной влажности, 100*100мм</v>
      </c>
      <c r="C746" s="1105" t="str">
        <f aca="false">'Смета Внутр'!C746</f>
        <v>м3</v>
      </c>
      <c r="D746" s="1106" t="n">
        <f aca="false">'Смета Внутр'!D746</f>
        <v>0</v>
      </c>
      <c r="E746" s="1104"/>
      <c r="F746" s="1107" t="n">
        <f aca="false">'Смета Внутр'!H746</f>
        <v>0</v>
      </c>
    </row>
    <row r="747" s="118" customFormat="true" ht="15" hidden="false" customHeight="false" outlineLevel="0" collapsed="false">
      <c r="B747" s="1104" t="str">
        <f aca="false">'Смета Внутр'!B747</f>
        <v>Брус естественной влажности, 150*150мм</v>
      </c>
      <c r="C747" s="1105" t="str">
        <f aca="false">'Смета Внутр'!C747</f>
        <v>м3</v>
      </c>
      <c r="D747" s="1106" t="n">
        <f aca="false">'Смета Внутр'!D747</f>
        <v>0</v>
      </c>
      <c r="E747" s="1104"/>
      <c r="F747" s="1107" t="n">
        <f aca="false">'Смета Внутр'!H747</f>
        <v>0</v>
      </c>
    </row>
    <row r="748" s="118" customFormat="true" ht="15" hidden="false" customHeight="false" outlineLevel="0" collapsed="false">
      <c r="B748" s="1104" t="str">
        <f aca="false">'Смета Внутр'!B748</f>
        <v>Доска естественной влажности, 200*50мм</v>
      </c>
      <c r="C748" s="1105" t="str">
        <f aca="false">'Смета Внутр'!C748</f>
        <v>м3</v>
      </c>
      <c r="D748" s="1106" t="n">
        <f aca="false">'Смета Внутр'!D748</f>
        <v>0</v>
      </c>
      <c r="E748" s="1104"/>
      <c r="F748" s="1107" t="n">
        <f aca="false">'Смета Внутр'!H748</f>
        <v>0</v>
      </c>
    </row>
    <row r="749" s="118" customFormat="true" ht="15" hidden="false" customHeight="false" outlineLevel="0" collapsed="false">
      <c r="B749" s="1104" t="str">
        <f aca="false">'Смета Внутр'!B749</f>
        <v>Доска естественной влажности, 150*50мм</v>
      </c>
      <c r="C749" s="1105" t="str">
        <f aca="false">'Смета Внутр'!C749</f>
        <v>м3</v>
      </c>
      <c r="D749" s="1106" t="n">
        <f aca="false">'Смета Внутр'!D749</f>
        <v>0</v>
      </c>
      <c r="E749" s="1104"/>
      <c r="F749" s="1121" t="n">
        <f aca="false">'Смета Внутр'!H749</f>
        <v>0</v>
      </c>
    </row>
    <row r="750" s="118" customFormat="true" ht="15" hidden="false" customHeight="false" outlineLevel="0" collapsed="false">
      <c r="B750" s="1104" t="str">
        <f aca="false">'Смета Внутр'!B750</f>
        <v>Опора бруса          </v>
      </c>
      <c r="C750" s="1105" t="str">
        <f aca="false">'Смета Внутр'!C750</f>
        <v>шт</v>
      </c>
      <c r="D750" s="1106" t="n">
        <f aca="false">'Смета Внутр'!D750</f>
        <v>0</v>
      </c>
      <c r="E750" s="1104"/>
      <c r="F750" s="1121" t="n">
        <f aca="false">'Смета Внутр'!H750</f>
        <v>0</v>
      </c>
    </row>
    <row r="751" s="118" customFormat="true" ht="15" hidden="false" customHeight="false" outlineLevel="0" collapsed="false">
      <c r="B751" s="1104" t="str">
        <f aca="false">'Смета Внутр'!B751</f>
        <v>Болты анкерные с гайкой 8,0 x 60           </v>
      </c>
      <c r="C751" s="1105" t="str">
        <f aca="false">'Смета Внутр'!C751</f>
        <v>шт</v>
      </c>
      <c r="D751" s="1106" t="n">
        <f aca="false">'Смета Внутр'!D751</f>
        <v>0</v>
      </c>
      <c r="E751" s="1104"/>
      <c r="F751" s="1121" t="n">
        <f aca="false">'Смета Внутр'!H751</f>
        <v>0</v>
      </c>
    </row>
    <row r="752" s="118" customFormat="true" ht="15" hidden="false" customHeight="false" outlineLevel="0" collapsed="false">
      <c r="B752" s="1104" t="str">
        <f aca="false">'Смета Внутр'!B752</f>
        <v>Sip панель 2500*625*124мм</v>
      </c>
      <c r="C752" s="1105" t="str">
        <f aca="false">'Смета Внутр'!C752</f>
        <v>м2</v>
      </c>
      <c r="D752" s="1106" t="n">
        <f aca="false">'Смета Внутр'!D752</f>
        <v>0</v>
      </c>
      <c r="E752" s="1104"/>
      <c r="F752" s="1107" t="n">
        <f aca="false">'Смета Внутр'!H752</f>
        <v>0</v>
      </c>
    </row>
    <row r="753" s="118" customFormat="true" ht="15" hidden="false" customHeight="false" outlineLevel="0" collapsed="false">
      <c r="B753" s="1104" t="str">
        <f aca="false">'Смета Внутр'!B753</f>
        <v>Sip панель 2500*625*174мм</v>
      </c>
      <c r="C753" s="1105" t="str">
        <f aca="false">'Смета Внутр'!C753</f>
        <v>м2</v>
      </c>
      <c r="D753" s="1106" t="n">
        <f aca="false">'Смета Внутр'!D753</f>
        <v>0</v>
      </c>
      <c r="E753" s="1104"/>
      <c r="F753" s="1107" t="n">
        <f aca="false">'Смета Внутр'!H753</f>
        <v>0</v>
      </c>
    </row>
    <row r="754" s="118" customFormat="true" ht="15" hidden="false" customHeight="false" outlineLevel="0" collapsed="false">
      <c r="B754" s="1104" t="str">
        <f aca="false">'Смета Внутр'!B754</f>
        <v>Sip панель 2500*625*224мм</v>
      </c>
      <c r="C754" s="1105" t="str">
        <f aca="false">'Смета Внутр'!C754</f>
        <v>м2</v>
      </c>
      <c r="D754" s="1106" t="n">
        <f aca="false">'Смета Внутр'!D754</f>
        <v>0</v>
      </c>
      <c r="E754" s="1104"/>
      <c r="F754" s="1107" t="n">
        <f aca="false">'Смета Внутр'!H754</f>
        <v>0</v>
      </c>
    </row>
    <row r="755" s="118" customFormat="true" ht="15" hidden="false" customHeight="false" outlineLevel="0" collapsed="false">
      <c r="B755" s="1104" t="str">
        <f aca="false">'Смета Внутр'!B755</f>
        <v>Доска сухая, 100*50мм</v>
      </c>
      <c r="C755" s="1105" t="str">
        <f aca="false">'Смета Внутр'!C755</f>
        <v>м.п.</v>
      </c>
      <c r="D755" s="1106" t="n">
        <f aca="false">'Смета Внутр'!D755</f>
        <v>0</v>
      </c>
      <c r="E755" s="1104"/>
      <c r="F755" s="1107" t="n">
        <f aca="false">'Смета Внутр'!H755</f>
        <v>0</v>
      </c>
    </row>
    <row r="756" s="118" customFormat="true" ht="15" hidden="false" customHeight="false" outlineLevel="0" collapsed="false">
      <c r="B756" s="1104" t="str">
        <f aca="false">'Смета Внутр'!B756</f>
        <v>Доска сухая, 150*50мм</v>
      </c>
      <c r="C756" s="1105" t="str">
        <f aca="false">'Смета Внутр'!C756</f>
        <v>м.п.</v>
      </c>
      <c r="D756" s="1106" t="n">
        <f aca="false">'Смета Внутр'!D756</f>
        <v>0</v>
      </c>
      <c r="E756" s="1104"/>
      <c r="F756" s="1107" t="n">
        <f aca="false">'Смета Внутр'!H756</f>
        <v>0</v>
      </c>
    </row>
    <row r="757" s="118" customFormat="true" ht="15" hidden="false" customHeight="false" outlineLevel="0" collapsed="false">
      <c r="B757" s="1104" t="str">
        <f aca="false">'Смета Внутр'!B757</f>
        <v>Доска сухая, 200*50мм</v>
      </c>
      <c r="C757" s="1105" t="str">
        <f aca="false">'Смета Внутр'!C757</f>
        <v>м.п.</v>
      </c>
      <c r="D757" s="1106" t="n">
        <f aca="false">'Смета Внутр'!D757</f>
        <v>0</v>
      </c>
      <c r="E757" s="1104"/>
      <c r="F757" s="1107" t="n">
        <f aca="false">'Смета Внутр'!H757</f>
        <v>0</v>
      </c>
    </row>
    <row r="758" s="118" customFormat="true" ht="15" hidden="false" customHeight="false" outlineLevel="0" collapsed="false">
      <c r="B758" s="1104" t="str">
        <f aca="false">'Смета Внутр'!B758</f>
        <v>Пена монтажная, всесезонняя 800мл</v>
      </c>
      <c r="C758" s="1105" t="str">
        <f aca="false">'Смета Внутр'!C758</f>
        <v>шт</v>
      </c>
      <c r="D758" s="1106" t="n">
        <f aca="false">'Смета Внутр'!D758</f>
        <v>0</v>
      </c>
      <c r="E758" s="1104"/>
      <c r="F758" s="1107" t="n">
        <f aca="false">'Смета Внутр'!H758</f>
        <v>0</v>
      </c>
    </row>
    <row r="759" s="118" customFormat="true" ht="15" hidden="false" customHeight="false" outlineLevel="0" collapsed="false">
      <c r="B759" s="1104" t="str">
        <f aca="false">'Смета Внутр'!B759</f>
        <v>Гвозди строительные 3,5 x 90            </v>
      </c>
      <c r="C759" s="1105" t="str">
        <f aca="false">'Смета Внутр'!C759</f>
        <v>шт</v>
      </c>
      <c r="D759" s="1106" t="n">
        <f aca="false">'Смета Внутр'!D759</f>
        <v>0</v>
      </c>
      <c r="E759" s="1104"/>
      <c r="F759" s="1107" t="n">
        <f aca="false">'Смета Внутр'!H759</f>
        <v>0</v>
      </c>
    </row>
    <row r="760" s="118" customFormat="true" ht="15" hidden="false" customHeight="false" outlineLevel="0" collapsed="false">
      <c r="B760" s="1104" t="str">
        <f aca="false">'Смета Внутр'!B760</f>
        <v>Саморезы 3,5 x 45            </v>
      </c>
      <c r="C760" s="1105" t="str">
        <f aca="false">'Смета Внутр'!C760</f>
        <v>шт</v>
      </c>
      <c r="D760" s="1106" t="n">
        <f aca="false">'Смета Внутр'!D760</f>
        <v>0</v>
      </c>
      <c r="E760" s="1104"/>
      <c r="F760" s="1107" t="n">
        <f aca="false">'Смета Внутр'!H760</f>
        <v>0</v>
      </c>
    </row>
    <row r="761" s="118" customFormat="true" ht="15" hidden="false" customHeight="false" outlineLevel="0" collapsed="false">
      <c r="B761" s="1104" t="str">
        <f aca="false">'Смета Внутр'!B761</f>
        <v>Доска сухая, 200*50мм</v>
      </c>
      <c r="C761" s="1105" t="str">
        <f aca="false">'Смета Внутр'!C761</f>
        <v>м3</v>
      </c>
      <c r="D761" s="1106" t="n">
        <f aca="false">'Смета Внутр'!D761</f>
        <v>0</v>
      </c>
      <c r="E761" s="1104"/>
      <c r="F761" s="1107" t="n">
        <f aca="false">'Смета Внутр'!H761</f>
        <v>0</v>
      </c>
    </row>
    <row r="762" s="118" customFormat="true" ht="15" hidden="false" customHeight="false" outlineLevel="0" collapsed="false">
      <c r="B762" s="1104" t="str">
        <f aca="false">'Смета Внутр'!B762</f>
        <v>Доска сухая, 150*50мм</v>
      </c>
      <c r="C762" s="1105" t="str">
        <f aca="false">'Смета Внутр'!C762</f>
        <v>м3</v>
      </c>
      <c r="D762" s="1106" t="n">
        <f aca="false">'Смета Внутр'!D762</f>
        <v>0</v>
      </c>
      <c r="E762" s="1104"/>
      <c r="F762" s="1107" t="n">
        <f aca="false">'Смета Внутр'!H762</f>
        <v>0</v>
      </c>
    </row>
    <row r="763" s="118" customFormat="true" ht="15" hidden="false" customHeight="false" outlineLevel="0" collapsed="false">
      <c r="B763" s="1104" t="str">
        <f aca="false">'Смета Внутр'!B763</f>
        <v>Гвозди ершоные 2,8 х 90            </v>
      </c>
      <c r="C763" s="1105" t="str">
        <f aca="false">'Смета Внутр'!C763</f>
        <v>кг</v>
      </c>
      <c r="D763" s="1106" t="n">
        <f aca="false">'Смета Внутр'!D763</f>
        <v>0</v>
      </c>
      <c r="E763" s="1104"/>
      <c r="F763" s="1107" t="n">
        <f aca="false">'Смета Внутр'!H763</f>
        <v>0</v>
      </c>
    </row>
    <row r="764" s="118" customFormat="true" ht="15" hidden="false" customHeight="false" outlineLevel="0" collapsed="false">
      <c r="B764" s="1104" t="str">
        <f aca="false">'Смета Внутр'!B764</f>
        <v>Доска сухая калиброванная, 190*45мм</v>
      </c>
      <c r="C764" s="1105" t="str">
        <f aca="false">'Смета Внутр'!C764</f>
        <v>м3</v>
      </c>
      <c r="D764" s="1106" t="n">
        <f aca="false">'Смета Внутр'!D764</f>
        <v>0</v>
      </c>
      <c r="E764" s="1104"/>
      <c r="F764" s="1107" t="n">
        <f aca="false">'Смета Внутр'!H764</f>
        <v>0</v>
      </c>
    </row>
    <row r="765" s="118" customFormat="true" ht="15" hidden="false" customHeight="false" outlineLevel="0" collapsed="false">
      <c r="B765" s="1104" t="str">
        <f aca="false">'Смета Внутр'!B765</f>
        <v>Доска сухая калиброванная, 145*45мм</v>
      </c>
      <c r="C765" s="1105" t="str">
        <f aca="false">'Смета Внутр'!C765</f>
        <v>м3</v>
      </c>
      <c r="D765" s="1106" t="n">
        <f aca="false">'Смета Внутр'!D765</f>
        <v>0</v>
      </c>
      <c r="E765" s="1104"/>
      <c r="F765" s="1107" t="n">
        <f aca="false">'Смета Внутр'!H765</f>
        <v>0</v>
      </c>
    </row>
    <row r="766" s="118" customFormat="true" ht="15" hidden="false" customHeight="false" outlineLevel="0" collapsed="false">
      <c r="B766" s="1104" t="str">
        <f aca="false">'Смета Внутр'!B766</f>
        <v>Гвозди ершоные 2,8 х 90            </v>
      </c>
      <c r="C766" s="1105" t="str">
        <f aca="false">'Смета Внутр'!C766</f>
        <v>кг</v>
      </c>
      <c r="D766" s="1106" t="n">
        <f aca="false">'Смета Внутр'!D766</f>
        <v>0</v>
      </c>
      <c r="E766" s="1104"/>
      <c r="F766" s="1107" t="n">
        <f aca="false">'Смета Внутр'!H766</f>
        <v>0</v>
      </c>
    </row>
    <row r="767" s="118" customFormat="true" ht="15" hidden="false" customHeight="false" outlineLevel="0" collapsed="false">
      <c r="B767" s="1104" t="str">
        <f aca="false">'Смета Внутр'!B767</f>
        <v>Двутавровая деревянная балка, 400*65мм</v>
      </c>
      <c r="C767" s="1105" t="str">
        <f aca="false">'Смета Внутр'!C767</f>
        <v>м.п.</v>
      </c>
      <c r="D767" s="1106" t="n">
        <f aca="false">'Смета Внутр'!D767</f>
        <v>0</v>
      </c>
      <c r="E767" s="1104"/>
      <c r="F767" s="1107" t="n">
        <f aca="false">'Смета Внутр'!H767</f>
        <v>0</v>
      </c>
    </row>
    <row r="768" s="118" customFormat="true" ht="15" hidden="false" customHeight="false" outlineLevel="0" collapsed="false">
      <c r="B768" s="1104" t="str">
        <f aca="false">'Смета Внутр'!B768</f>
        <v>Двутавровая деревянная балка, 400*90мм</v>
      </c>
      <c r="C768" s="1105" t="str">
        <f aca="false">'Смета Внутр'!C768</f>
        <v>м.п.</v>
      </c>
      <c r="D768" s="1106" t="n">
        <f aca="false">'Смета Внутр'!D768</f>
        <v>0</v>
      </c>
      <c r="E768" s="1104"/>
      <c r="F768" s="1107" t="n">
        <f aca="false">'Смета Внутр'!H768</f>
        <v>0</v>
      </c>
    </row>
    <row r="769" customFormat="false" ht="15" hidden="false" customHeight="false" outlineLevel="0" collapsed="false">
      <c r="B769" s="1097" t="str">
        <f aca="false">'Смета Внутр'!B769</f>
        <v>Двутавровая деревянная балка, 350*65мм</v>
      </c>
      <c r="C769" s="1098" t="str">
        <f aca="false">'Смета Внутр'!C769</f>
        <v>м.п.</v>
      </c>
      <c r="D769" s="1099" t="n">
        <f aca="false">'Смета Внутр'!D769</f>
        <v>138.666666666667</v>
      </c>
      <c r="E769" s="1097"/>
      <c r="F769" s="1116" t="n">
        <f aca="false">'Смета Внутр'!H769</f>
        <v>39797.3333333333</v>
      </c>
    </row>
    <row r="770" s="118" customFormat="true" ht="15" hidden="false" customHeight="false" outlineLevel="0" collapsed="false">
      <c r="B770" s="1104" t="str">
        <f aca="false">'Смета Внутр'!B770</f>
        <v>Двутавровая деревянная балка, 350*90мм</v>
      </c>
      <c r="C770" s="1105" t="str">
        <f aca="false">'Смета Внутр'!C770</f>
        <v>м.п.</v>
      </c>
      <c r="D770" s="1106" t="n">
        <f aca="false">'Смета Внутр'!D770</f>
        <v>0</v>
      </c>
      <c r="E770" s="1104"/>
      <c r="F770" s="1107" t="n">
        <f aca="false">'Смета Внутр'!H770</f>
        <v>0</v>
      </c>
    </row>
    <row r="771" s="118" customFormat="true" ht="15" hidden="false" customHeight="false" outlineLevel="0" collapsed="false">
      <c r="B771" s="1104" t="str">
        <f aca="false">'Смета Внутр'!B771</f>
        <v>Двутавровая деревянная балка, 300*65мм</v>
      </c>
      <c r="C771" s="1105" t="str">
        <f aca="false">'Смета Внутр'!C771</f>
        <v>м.п.</v>
      </c>
      <c r="D771" s="1106" t="n">
        <f aca="false">'Смета Внутр'!D771</f>
        <v>0</v>
      </c>
      <c r="E771" s="1104"/>
      <c r="F771" s="1107" t="n">
        <f aca="false">'Смета Внутр'!H771</f>
        <v>0</v>
      </c>
    </row>
    <row r="772" s="118" customFormat="true" ht="15" hidden="false" customHeight="false" outlineLevel="0" collapsed="false">
      <c r="B772" s="1104" t="str">
        <f aca="false">'Смета Внутр'!B772</f>
        <v>Двутавровая деревянная балка, 300*90мм</v>
      </c>
      <c r="C772" s="1105" t="str">
        <f aca="false">'Смета Внутр'!C772</f>
        <v>м.п.</v>
      </c>
      <c r="D772" s="1106" t="n">
        <f aca="false">'Смета Внутр'!D772</f>
        <v>0</v>
      </c>
      <c r="E772" s="1104"/>
      <c r="F772" s="1107" t="n">
        <f aca="false">'Смета Внутр'!H772</f>
        <v>0</v>
      </c>
    </row>
    <row r="773" s="118" customFormat="true" ht="15" hidden="false" customHeight="false" outlineLevel="0" collapsed="false">
      <c r="B773" s="1104" t="str">
        <f aca="false">'Смета Внутр'!B773</f>
        <v>Двутавровая деревянная балка, 240*65мм</v>
      </c>
      <c r="C773" s="1105" t="str">
        <f aca="false">'Смета Внутр'!C773</f>
        <v>м.п.</v>
      </c>
      <c r="D773" s="1106" t="n">
        <f aca="false">'Смета Внутр'!D773</f>
        <v>0</v>
      </c>
      <c r="E773" s="1104"/>
      <c r="F773" s="1107" t="n">
        <f aca="false">'Смета Внутр'!H773</f>
        <v>0</v>
      </c>
    </row>
    <row r="774" s="118" customFormat="true" ht="15" hidden="false" customHeight="false" outlineLevel="0" collapsed="false">
      <c r="B774" s="1104" t="str">
        <f aca="false">'Смета Внутр'!B774</f>
        <v>Двутавровая деревянная балка, 240*90мм</v>
      </c>
      <c r="C774" s="1105" t="str">
        <f aca="false">'Смета Внутр'!C774</f>
        <v>м.п.</v>
      </c>
      <c r="D774" s="1106" t="n">
        <f aca="false">'Смета Внутр'!D774</f>
        <v>0</v>
      </c>
      <c r="E774" s="1104"/>
      <c r="F774" s="1107" t="n">
        <f aca="false">'Смета Внутр'!H774</f>
        <v>0</v>
      </c>
    </row>
    <row r="775" s="118" customFormat="true" ht="15" hidden="false" customHeight="false" outlineLevel="0" collapsed="false">
      <c r="B775" s="1104" t="str">
        <f aca="false">'Смета Внутр'!B775</f>
        <v>Двутавровая деревянная балка, 200*65мм</v>
      </c>
      <c r="C775" s="1105" t="str">
        <f aca="false">'Смета Внутр'!C775</f>
        <v>м.п.</v>
      </c>
      <c r="D775" s="1106" t="n">
        <f aca="false">'Смета Внутр'!D775</f>
        <v>0</v>
      </c>
      <c r="E775" s="1104"/>
      <c r="F775" s="1107" t="n">
        <f aca="false">'Смета Внутр'!H775</f>
        <v>0</v>
      </c>
    </row>
    <row r="776" s="118" customFormat="true" ht="15" hidden="false" customHeight="false" outlineLevel="0" collapsed="false">
      <c r="B776" s="1104" t="str">
        <f aca="false">'Смета Внутр'!B776</f>
        <v>Двутавровая деревянная балка, 200*90мм</v>
      </c>
      <c r="C776" s="1105" t="str">
        <f aca="false">'Смета Внутр'!C776</f>
        <v>м.п.</v>
      </c>
      <c r="D776" s="1106" t="n">
        <f aca="false">'Смета Внутр'!D776</f>
        <v>0</v>
      </c>
      <c r="E776" s="1104"/>
      <c r="F776" s="1107" t="n">
        <f aca="false">'Смета Внутр'!H776</f>
        <v>0</v>
      </c>
    </row>
    <row r="777" s="118" customFormat="true" ht="15" hidden="false" customHeight="false" outlineLevel="0" collapsed="false">
      <c r="B777" s="1104" t="str">
        <f aca="false">'Смета Внутр'!B777</f>
        <v>Двутавровая деревянная балка, 150*65мм</v>
      </c>
      <c r="C777" s="1105" t="str">
        <f aca="false">'Смета Внутр'!C777</f>
        <v>м.п.</v>
      </c>
      <c r="D777" s="1106" t="n">
        <f aca="false">'Смета Внутр'!D777</f>
        <v>0</v>
      </c>
      <c r="E777" s="1104"/>
      <c r="F777" s="1107" t="n">
        <f aca="false">'Смета Внутр'!H777</f>
        <v>0</v>
      </c>
    </row>
    <row r="778" s="118" customFormat="true" ht="15" hidden="false" customHeight="false" outlineLevel="0" collapsed="false">
      <c r="B778" s="1104" t="str">
        <f aca="false">'Смета Внутр'!B778</f>
        <v>Двутавровая деревянная балка, 150*90мм</v>
      </c>
      <c r="C778" s="1105" t="str">
        <f aca="false">'Смета Внутр'!C778</f>
        <v>м.п.</v>
      </c>
      <c r="D778" s="1106" t="n">
        <f aca="false">'Смета Внутр'!D778</f>
        <v>0</v>
      </c>
      <c r="E778" s="1104"/>
      <c r="F778" s="1107" t="n">
        <f aca="false">'Смета Внутр'!H778</f>
        <v>0</v>
      </c>
    </row>
    <row r="779" customFormat="false" ht="15" hidden="false" customHeight="false" outlineLevel="0" collapsed="false">
      <c r="B779" s="1097" t="str">
        <f aca="false">'Смета Внутр'!B779</f>
        <v>Уголок усиленный 90х70х55х2,5        </v>
      </c>
      <c r="C779" s="1098" t="str">
        <f aca="false">'Смета Внутр'!C779</f>
        <v>шт</v>
      </c>
      <c r="D779" s="1099" t="n">
        <f aca="false">'Смета Внутр'!D779</f>
        <v>157</v>
      </c>
      <c r="E779" s="1097"/>
      <c r="F779" s="1116" t="n">
        <f aca="false">'Смета Внутр'!H779</f>
        <v>4710</v>
      </c>
    </row>
    <row r="780" customFormat="false" ht="15" hidden="false" customHeight="false" outlineLevel="0" collapsed="false">
      <c r="B780" s="1097" t="str">
        <f aca="false">'Смета Внутр'!B780</f>
        <v>Саморезы 3,5 x 55            </v>
      </c>
      <c r="C780" s="1098" t="str">
        <f aca="false">'Смета Внутр'!C780</f>
        <v>шт</v>
      </c>
      <c r="D780" s="1099" t="n">
        <f aca="false">'Смета Внутр'!D780</f>
        <v>628</v>
      </c>
      <c r="E780" s="1097"/>
      <c r="F780" s="1116" t="n">
        <f aca="false">'Смета Внутр'!H780</f>
        <v>188.4</v>
      </c>
    </row>
    <row r="781" s="118" customFormat="true" ht="15" hidden="false" customHeight="false" outlineLevel="0" collapsed="false">
      <c r="B781" s="1104" t="str">
        <f aca="false">'Смета Внутр'!B781</f>
        <v>Нет</v>
      </c>
      <c r="C781" s="1105" t="str">
        <f aca="false">'Смета Внутр'!C781</f>
        <v>м3</v>
      </c>
      <c r="D781" s="1106" t="n">
        <f aca="false">'Смета Внутр'!D781</f>
        <v>0</v>
      </c>
      <c r="E781" s="1104"/>
      <c r="F781" s="1121" t="n">
        <f aca="false">'Смета Внутр'!H781</f>
        <v>0</v>
      </c>
    </row>
    <row r="782" s="118" customFormat="true" ht="15" hidden="false" customHeight="false" outlineLevel="0" collapsed="false">
      <c r="B782" s="1104" t="str">
        <f aca="false">'Смета Внутр'!B782</f>
        <v>нет ветроизоляции</v>
      </c>
      <c r="C782" s="1105" t="str">
        <f aca="false">'Смета Внутр'!C782</f>
        <v>м2</v>
      </c>
      <c r="D782" s="1106" t="n">
        <f aca="false">'Смета Внутр'!D782</f>
        <v>64</v>
      </c>
      <c r="E782" s="1104"/>
      <c r="F782" s="1121" t="n">
        <f aca="false">'Смета Внутр'!H782</f>
        <v>0</v>
      </c>
    </row>
    <row r="783" s="118" customFormat="true" ht="15" hidden="false" customHeight="false" outlineLevel="0" collapsed="false">
      <c r="B783" s="1104" t="str">
        <f aca="false">'Смета Внутр'!B783</f>
        <v>нет пароизоляции</v>
      </c>
      <c r="C783" s="1105" t="str">
        <f aca="false">'Смета Внутр'!C783</f>
        <v>м2</v>
      </c>
      <c r="D783" s="1106" t="n">
        <f aca="false">'Смета Внутр'!D783</f>
        <v>64</v>
      </c>
      <c r="E783" s="1104"/>
      <c r="F783" s="1121" t="n">
        <f aca="false">'Смета Внутр'!H783</f>
        <v>0</v>
      </c>
    </row>
    <row r="784" s="118" customFormat="true" ht="15" hidden="false" customHeight="false" outlineLevel="0" collapsed="false">
      <c r="B784" s="1104" t="str">
        <f aca="false">'Смета Внутр'!B784</f>
        <v>Плита перекрытия ЖБИ</v>
      </c>
      <c r="C784" s="1105" t="str">
        <f aca="false">'Смета Внутр'!C784</f>
        <v>м2</v>
      </c>
      <c r="D784" s="1106" t="n">
        <f aca="false">'Смета Внутр'!D784</f>
        <v>0</v>
      </c>
      <c r="E784" s="1104"/>
      <c r="F784" s="1107" t="n">
        <f aca="false">'Смета Внутр'!H784</f>
        <v>0</v>
      </c>
    </row>
    <row r="785" s="118" customFormat="true" ht="15" hidden="false" customHeight="false" outlineLevel="0" collapsed="false">
      <c r="B785" s="1104" t="str">
        <f aca="false">'Смета Внутр'!B785</f>
        <v>Раствор, м250</v>
      </c>
      <c r="C785" s="1105" t="str">
        <f aca="false">'Смета Внутр'!C785</f>
        <v>м3</v>
      </c>
      <c r="D785" s="1106" t="n">
        <f aca="false">'Смета Внутр'!D785</f>
        <v>0</v>
      </c>
      <c r="E785" s="1104"/>
      <c r="F785" s="1107" t="n">
        <f aca="false">'Смета Внутр'!H785</f>
        <v>0</v>
      </c>
    </row>
    <row r="786" s="118" customFormat="true" ht="15" hidden="false" customHeight="false" outlineLevel="0" collapsed="false">
      <c r="B786" s="1104" t="str">
        <f aca="false">'Смета Внутр'!B786</f>
        <v>Монолит, бетон, 300мм, 2 слоя</v>
      </c>
      <c r="C786" s="1105" t="str">
        <f aca="false">'Смета Внутр'!C786</f>
        <v>м2</v>
      </c>
      <c r="D786" s="1106" t="n">
        <f aca="false">'Смета Внутр'!D786</f>
        <v>0</v>
      </c>
      <c r="E786" s="1104"/>
      <c r="F786" s="1107" t="n">
        <f aca="false">'Смета Внутр'!H786</f>
        <v>0</v>
      </c>
    </row>
    <row r="787" s="118" customFormat="true" ht="15" hidden="false" customHeight="false" outlineLevel="0" collapsed="false">
      <c r="B787" s="1104" t="str">
        <f aca="false">'Смета Внутр'!B787</f>
        <v>Монолит, бетон, 300мм, 1 слой</v>
      </c>
      <c r="C787" s="1105" t="str">
        <f aca="false">'Смета Внутр'!C787</f>
        <v>м2</v>
      </c>
      <c r="D787" s="1106" t="n">
        <f aca="false">'Смета Внутр'!D787</f>
        <v>0</v>
      </c>
      <c r="E787" s="1104"/>
      <c r="F787" s="1107" t="n">
        <f aca="false">'Смета Внутр'!H787</f>
        <v>0</v>
      </c>
    </row>
    <row r="788" s="118" customFormat="true" ht="15" hidden="false" customHeight="false" outlineLevel="0" collapsed="false">
      <c r="B788" s="1104" t="str">
        <f aca="false">'Смета Внутр'!B788</f>
        <v>Монолит, бетон, 250мм, 2 слоя</v>
      </c>
      <c r="C788" s="1105" t="str">
        <f aca="false">'Смета Внутр'!C788</f>
        <v>м2</v>
      </c>
      <c r="D788" s="1106" t="n">
        <f aca="false">'Смета Внутр'!D788</f>
        <v>0</v>
      </c>
      <c r="E788" s="1104"/>
      <c r="F788" s="1107" t="n">
        <f aca="false">'Смета Внутр'!H788</f>
        <v>0</v>
      </c>
    </row>
    <row r="789" s="118" customFormat="true" ht="15" hidden="false" customHeight="false" outlineLevel="0" collapsed="false">
      <c r="B789" s="1104" t="str">
        <f aca="false">'Смета Внутр'!B789</f>
        <v>Монолит, бетон, 250мм, 1 слой</v>
      </c>
      <c r="C789" s="1105" t="str">
        <f aca="false">'Смета Внутр'!C789</f>
        <v>м2</v>
      </c>
      <c r="D789" s="1106" t="n">
        <f aca="false">'Смета Внутр'!D789</f>
        <v>0</v>
      </c>
      <c r="E789" s="1104"/>
      <c r="F789" s="1107" t="n">
        <f aca="false">'Смета Внутр'!H789</f>
        <v>0</v>
      </c>
    </row>
    <row r="790" customFormat="false" ht="15" hidden="false" customHeight="false" outlineLevel="0" collapsed="false">
      <c r="B790" s="1097" t="str">
        <f aca="false">'Смета Внутр'!B790</f>
        <v>Монолит, бетон, 200мм, 2 слоя</v>
      </c>
      <c r="C790" s="1098" t="str">
        <f aca="false">'Смета Внутр'!C790</f>
        <v>м2</v>
      </c>
      <c r="D790" s="1099" t="n">
        <f aca="false">'Смета Внутр'!D790</f>
        <v>64</v>
      </c>
      <c r="E790" s="1097"/>
      <c r="F790" s="1116" t="n">
        <f aca="false">'Смета Внутр'!H790</f>
        <v>64</v>
      </c>
    </row>
    <row r="791" s="118" customFormat="true" ht="15" hidden="false" customHeight="false" outlineLevel="0" collapsed="false">
      <c r="B791" s="1104" t="str">
        <f aca="false">'Смета Внутр'!B791</f>
        <v>Монолит, бетон, 200мм, 1 слой</v>
      </c>
      <c r="C791" s="1105" t="str">
        <f aca="false">'Смета Внутр'!C791</f>
        <v>м2</v>
      </c>
      <c r="D791" s="1106" t="n">
        <f aca="false">'Смета Внутр'!D791</f>
        <v>0</v>
      </c>
      <c r="E791" s="1104"/>
      <c r="F791" s="1107" t="n">
        <f aca="false">'Смета Внутр'!H791</f>
        <v>0</v>
      </c>
    </row>
    <row r="792" s="118" customFormat="true" ht="15" hidden="false" customHeight="false" outlineLevel="0" collapsed="false">
      <c r="B792" s="1104" t="str">
        <f aca="false">'Смета Внутр'!B792</f>
        <v>Монолит, бетон, 150мм, 2 слоя</v>
      </c>
      <c r="C792" s="1105" t="str">
        <f aca="false">'Смета Внутр'!C792</f>
        <v>м2</v>
      </c>
      <c r="D792" s="1106" t="n">
        <f aca="false">'Смета Внутр'!D792</f>
        <v>0</v>
      </c>
      <c r="E792" s="1104"/>
      <c r="F792" s="1107" t="n">
        <f aca="false">'Смета Внутр'!H792</f>
        <v>0</v>
      </c>
    </row>
    <row r="793" s="118" customFormat="true" ht="15" hidden="false" customHeight="false" outlineLevel="0" collapsed="false">
      <c r="B793" s="1104" t="str">
        <f aca="false">'Смета Внутр'!B793</f>
        <v>Монолит, бетон, 150мм, 1 слой</v>
      </c>
      <c r="C793" s="1105" t="str">
        <f aca="false">'Смета Внутр'!C793</f>
        <v>м2</v>
      </c>
      <c r="D793" s="1106" t="n">
        <f aca="false">'Смета Внутр'!D793</f>
        <v>0</v>
      </c>
      <c r="E793" s="1104"/>
      <c r="F793" s="1107" t="n">
        <f aca="false">'Смета Внутр'!H793</f>
        <v>0</v>
      </c>
    </row>
    <row r="794" customFormat="false" ht="15" hidden="false" customHeight="false" outlineLevel="0" collapsed="false">
      <c r="B794" s="1097" t="str">
        <f aca="false">'Смета Внутр'!B794</f>
        <v>доска для опалубки монолит перекрытий</v>
      </c>
      <c r="C794" s="1098" t="str">
        <f aca="false">'Смета Внутр'!C794</f>
        <v>м3</v>
      </c>
      <c r="D794" s="1099" t="n">
        <f aca="false">'Смета Внутр'!D794</f>
        <v>5.126</v>
      </c>
      <c r="E794" s="1097"/>
      <c r="F794" s="1116" t="n">
        <f aca="false">'Смета Внутр'!H794</f>
        <v>33319</v>
      </c>
    </row>
    <row r="795" s="118" customFormat="true" ht="15" hidden="false" customHeight="false" outlineLevel="0" collapsed="false">
      <c r="B795" s="1104" t="str">
        <f aca="false">'Смета Внутр'!B795</f>
        <v>стойки под опалубку перекрытий</v>
      </c>
      <c r="C795" s="1105" t="str">
        <f aca="false">'Смета Внутр'!C795</f>
        <v>шт</v>
      </c>
      <c r="D795" s="1106" t="n">
        <f aca="false">'Смета Внутр'!D795</f>
        <v>64</v>
      </c>
      <c r="E795" s="1104"/>
      <c r="F795" s="1107" t="n">
        <f aca="false">'Смета Внутр'!H795</f>
        <v>0</v>
      </c>
    </row>
    <row r="796" customFormat="false" ht="15" hidden="false" customHeight="false" outlineLevel="0" collapsed="false">
      <c r="B796" s="1097" t="str">
        <f aca="false">'Смета Внутр'!B796</f>
        <v>Пленка гидроизоляционная </v>
      </c>
      <c r="C796" s="1098" t="str">
        <f aca="false">'Смета Внутр'!C796</f>
        <v>м2</v>
      </c>
      <c r="D796" s="1099" t="n">
        <f aca="false">'Смета Внутр'!D796</f>
        <v>83.2</v>
      </c>
      <c r="E796" s="1097"/>
      <c r="F796" s="1116" t="n">
        <f aca="false">'Смета Внутр'!H796</f>
        <v>1248</v>
      </c>
    </row>
    <row r="797" customFormat="false" ht="15" hidden="false" customHeight="false" outlineLevel="0" collapsed="false">
      <c r="B797" s="1097" t="str">
        <f aca="false">'Смета Внутр'!B797</f>
        <v>Арматура М10</v>
      </c>
      <c r="C797" s="1098" t="str">
        <f aca="false">'Смета Внутр'!C797</f>
        <v>м.п.</v>
      </c>
      <c r="D797" s="1099" t="n">
        <f aca="false">'Смета Внутр'!D797</f>
        <v>640</v>
      </c>
      <c r="E797" s="1097"/>
      <c r="F797" s="1116" t="n">
        <f aca="false">'Смета Внутр'!H797</f>
        <v>13465.408</v>
      </c>
    </row>
    <row r="798" customFormat="false" ht="15" hidden="false" customHeight="false" outlineLevel="0" collapsed="false">
      <c r="B798" s="1097" t="str">
        <f aca="false">'Смета Внутр'!B798</f>
        <v>Вязальная проволока</v>
      </c>
      <c r="C798" s="1098" t="str">
        <f aca="false">'Смета Внутр'!C798</f>
        <v>кг</v>
      </c>
      <c r="D798" s="1099" t="n">
        <f aca="false">'Смета Внутр'!D798</f>
        <v>16</v>
      </c>
      <c r="E798" s="1097"/>
      <c r="F798" s="1116" t="n">
        <f aca="false">'Смета Внутр'!H798</f>
        <v>1280</v>
      </c>
    </row>
    <row r="799" customFormat="false" ht="15" hidden="false" customHeight="false" outlineLevel="0" collapsed="false">
      <c r="B799" s="1097" t="str">
        <f aca="false">'Смета Внутр'!B799</f>
        <v>Подставка под арматурный каркас</v>
      </c>
      <c r="C799" s="1098" t="str">
        <f aca="false">'Смета Внутр'!C799</f>
        <v>шт</v>
      </c>
      <c r="D799" s="1099" t="n">
        <f aca="false">'Смета Внутр'!D799</f>
        <v>256</v>
      </c>
      <c r="E799" s="1097"/>
      <c r="F799" s="1116" t="n">
        <f aca="false">'Смета Внутр'!H799</f>
        <v>1280</v>
      </c>
    </row>
    <row r="800" customFormat="false" ht="15" hidden="false" customHeight="false" outlineLevel="0" collapsed="false">
      <c r="B800" s="1097" t="str">
        <f aca="false">'Смета Внутр'!B800</f>
        <v>бетон, м350</v>
      </c>
      <c r="C800" s="1098" t="str">
        <f aca="false">'Смета Внутр'!C800</f>
        <v>м3</v>
      </c>
      <c r="D800" s="1099" t="n">
        <f aca="false">'Смета Внутр'!D800</f>
        <v>12.8</v>
      </c>
      <c r="E800" s="1097"/>
      <c r="F800" s="1116" t="n">
        <f aca="false">'Смета Внутр'!H800</f>
        <v>44800</v>
      </c>
    </row>
    <row r="801" s="118" customFormat="true" ht="15" hidden="false" customHeight="false" outlineLevel="0" collapsed="false">
      <c r="B801" s="1104" t="str">
        <f aca="false">'Смета Внутр'!B801</f>
        <v>Брус естественной влажности, 200*100мм</v>
      </c>
      <c r="C801" s="1105" t="str">
        <f aca="false">'Смета Внутр'!C801</f>
        <v>м3</v>
      </c>
      <c r="D801" s="1106" t="n">
        <f aca="false">'Смета Внутр'!D801</f>
        <v>0</v>
      </c>
      <c r="E801" s="1104"/>
      <c r="F801" s="1107" t="n">
        <f aca="false">'Смета Внутр'!H801</f>
        <v>0</v>
      </c>
    </row>
    <row r="802" s="118" customFormat="true" ht="15" hidden="false" customHeight="false" outlineLevel="0" collapsed="false">
      <c r="B802" s="1104" t="str">
        <f aca="false">'Смета Внутр'!B802</f>
        <v>Брус естественной влажности, 150*100мм</v>
      </c>
      <c r="C802" s="1105" t="str">
        <f aca="false">'Смета Внутр'!C802</f>
        <v>м3</v>
      </c>
      <c r="D802" s="1106" t="n">
        <f aca="false">'Смета Внутр'!D802</f>
        <v>0</v>
      </c>
      <c r="E802" s="1104"/>
      <c r="F802" s="1107" t="n">
        <f aca="false">'Смета Внутр'!H802</f>
        <v>0</v>
      </c>
    </row>
    <row r="803" s="118" customFormat="true" ht="15" hidden="false" customHeight="false" outlineLevel="0" collapsed="false">
      <c r="B803" s="1104" t="str">
        <f aca="false">'Смета Внутр'!B803</f>
        <v>Брус естественной влажности, 100*100мм</v>
      </c>
      <c r="C803" s="1105" t="str">
        <f aca="false">'Смета Внутр'!C803</f>
        <v>м3</v>
      </c>
      <c r="D803" s="1106" t="n">
        <f aca="false">'Смета Внутр'!D803</f>
        <v>0</v>
      </c>
      <c r="E803" s="1104"/>
      <c r="F803" s="1107" t="n">
        <f aca="false">'Смета Внутр'!H803</f>
        <v>0</v>
      </c>
    </row>
    <row r="804" s="118" customFormat="true" ht="15" hidden="false" customHeight="false" outlineLevel="0" collapsed="false">
      <c r="B804" s="1104" t="str">
        <f aca="false">'Смета Внутр'!B804</f>
        <v>Брус естественной влажности, 150*150мм</v>
      </c>
      <c r="C804" s="1105" t="str">
        <f aca="false">'Смета Внутр'!C804</f>
        <v>м3</v>
      </c>
      <c r="D804" s="1106" t="n">
        <f aca="false">'Смета Внутр'!D804</f>
        <v>0</v>
      </c>
      <c r="E804" s="1104"/>
      <c r="F804" s="1107" t="n">
        <f aca="false">'Смета Внутр'!H804</f>
        <v>0</v>
      </c>
    </row>
    <row r="805" s="118" customFormat="true" ht="15" hidden="false" customHeight="false" outlineLevel="0" collapsed="false">
      <c r="B805" s="1104" t="str">
        <f aca="false">'Смета Внутр'!B805</f>
        <v>Доска естественной влажности, 200*50мм</v>
      </c>
      <c r="C805" s="1105" t="str">
        <f aca="false">'Смета Внутр'!C805</f>
        <v>м3</v>
      </c>
      <c r="D805" s="1106" t="n">
        <f aca="false">'Смета Внутр'!D805</f>
        <v>0</v>
      </c>
      <c r="E805" s="1104"/>
      <c r="F805" s="1107" t="n">
        <f aca="false">'Смета Внутр'!H805</f>
        <v>0</v>
      </c>
    </row>
    <row r="806" s="118" customFormat="true" ht="15" hidden="false" customHeight="false" outlineLevel="0" collapsed="false">
      <c r="B806" s="1104" t="str">
        <f aca="false">'Смета Внутр'!B806</f>
        <v>Доска естественной влажности, 150*50мм</v>
      </c>
      <c r="C806" s="1105" t="str">
        <f aca="false">'Смета Внутр'!C806</f>
        <v>м3</v>
      </c>
      <c r="D806" s="1106" t="n">
        <f aca="false">'Смета Внутр'!D806</f>
        <v>0</v>
      </c>
      <c r="E806" s="1104"/>
      <c r="F806" s="1121" t="n">
        <f aca="false">'Смета Внутр'!H806</f>
        <v>0</v>
      </c>
    </row>
    <row r="807" s="118" customFormat="true" ht="15" hidden="false" customHeight="false" outlineLevel="0" collapsed="false">
      <c r="B807" s="1104" t="str">
        <f aca="false">'Смета Внутр'!B807</f>
        <v>Опора бруса          </v>
      </c>
      <c r="C807" s="1105" t="str">
        <f aca="false">'Смета Внутр'!C807</f>
        <v>шт</v>
      </c>
      <c r="D807" s="1106" t="n">
        <f aca="false">'Смета Внутр'!D807</f>
        <v>0</v>
      </c>
      <c r="E807" s="1104"/>
      <c r="F807" s="1121" t="n">
        <f aca="false">'Смета Внутр'!H807</f>
        <v>0</v>
      </c>
    </row>
    <row r="808" s="118" customFormat="true" ht="15" hidden="false" customHeight="false" outlineLevel="0" collapsed="false">
      <c r="B808" s="1104" t="str">
        <f aca="false">'Смета Внутр'!B808</f>
        <v>Болты анкерные с гайкой 8,0 x 60           </v>
      </c>
      <c r="C808" s="1105" t="str">
        <f aca="false">'Смета Внутр'!C808</f>
        <v>шт</v>
      </c>
      <c r="D808" s="1106" t="n">
        <f aca="false">'Смета Внутр'!D808</f>
        <v>0</v>
      </c>
      <c r="E808" s="1104"/>
      <c r="F808" s="1121" t="n">
        <f aca="false">'Смета Внутр'!H808</f>
        <v>0</v>
      </c>
    </row>
    <row r="809" s="118" customFormat="true" ht="15" hidden="false" customHeight="false" outlineLevel="0" collapsed="false">
      <c r="B809" s="1104" t="str">
        <f aca="false">'Смета Внутр'!B809</f>
        <v>Sip панель 2500*625*124мм</v>
      </c>
      <c r="C809" s="1105" t="str">
        <f aca="false">'Смета Внутр'!C809</f>
        <v>м2</v>
      </c>
      <c r="D809" s="1106" t="n">
        <f aca="false">'Смета Внутр'!D809</f>
        <v>0</v>
      </c>
      <c r="E809" s="1104"/>
      <c r="F809" s="1107" t="n">
        <f aca="false">'Смета Внутр'!H809</f>
        <v>0</v>
      </c>
    </row>
    <row r="810" s="118" customFormat="true" ht="15" hidden="false" customHeight="false" outlineLevel="0" collapsed="false">
      <c r="B810" s="1104" t="str">
        <f aca="false">'Смета Внутр'!B810</f>
        <v>Sip панель 2500*625*174мм</v>
      </c>
      <c r="C810" s="1105" t="str">
        <f aca="false">'Смета Внутр'!C810</f>
        <v>м2</v>
      </c>
      <c r="D810" s="1106" t="n">
        <f aca="false">'Смета Внутр'!D810</f>
        <v>0</v>
      </c>
      <c r="E810" s="1104"/>
      <c r="F810" s="1107" t="n">
        <f aca="false">'Смета Внутр'!H810</f>
        <v>0</v>
      </c>
    </row>
    <row r="811" s="118" customFormat="true" ht="15" hidden="false" customHeight="false" outlineLevel="0" collapsed="false">
      <c r="B811" s="1104" t="str">
        <f aca="false">'Смета Внутр'!B811</f>
        <v>Sip панель 2500*625*224мм</v>
      </c>
      <c r="C811" s="1105" t="str">
        <f aca="false">'Смета Внутр'!C811</f>
        <v>м2</v>
      </c>
      <c r="D811" s="1106" t="n">
        <f aca="false">'Смета Внутр'!D811</f>
        <v>0</v>
      </c>
      <c r="E811" s="1104"/>
      <c r="F811" s="1107" t="n">
        <f aca="false">'Смета Внутр'!H811</f>
        <v>0</v>
      </c>
    </row>
    <row r="812" s="118" customFormat="true" ht="15" hidden="false" customHeight="false" outlineLevel="0" collapsed="false">
      <c r="B812" s="1104" t="str">
        <f aca="false">'Смета Внутр'!B812</f>
        <v>Доска сухая, 100*50мм</v>
      </c>
      <c r="C812" s="1105" t="str">
        <f aca="false">'Смета Внутр'!C812</f>
        <v>м.п.</v>
      </c>
      <c r="D812" s="1106" t="n">
        <f aca="false">'Смета Внутр'!D812</f>
        <v>0</v>
      </c>
      <c r="E812" s="1104"/>
      <c r="F812" s="1107" t="n">
        <f aca="false">'Смета Внутр'!H812</f>
        <v>0</v>
      </c>
    </row>
    <row r="813" s="118" customFormat="true" ht="15" hidden="false" customHeight="false" outlineLevel="0" collapsed="false">
      <c r="B813" s="1104" t="str">
        <f aca="false">'Смета Внутр'!B813</f>
        <v>Доска сухая, 150*50мм</v>
      </c>
      <c r="C813" s="1105" t="str">
        <f aca="false">'Смета Внутр'!C813</f>
        <v>м.п.</v>
      </c>
      <c r="D813" s="1106" t="n">
        <f aca="false">'Смета Внутр'!D813</f>
        <v>0</v>
      </c>
      <c r="E813" s="1104"/>
      <c r="F813" s="1107" t="n">
        <f aca="false">'Смета Внутр'!H813</f>
        <v>0</v>
      </c>
    </row>
    <row r="814" s="118" customFormat="true" ht="15" hidden="false" customHeight="false" outlineLevel="0" collapsed="false">
      <c r="B814" s="1104" t="str">
        <f aca="false">'Смета Внутр'!B814</f>
        <v>Доска сухая, 200*50мм</v>
      </c>
      <c r="C814" s="1105" t="str">
        <f aca="false">'Смета Внутр'!C814</f>
        <v>м.п.</v>
      </c>
      <c r="D814" s="1106" t="n">
        <f aca="false">'Смета Внутр'!D814</f>
        <v>0</v>
      </c>
      <c r="E814" s="1104"/>
      <c r="F814" s="1107" t="n">
        <f aca="false">'Смета Внутр'!H814</f>
        <v>0</v>
      </c>
    </row>
    <row r="815" s="118" customFormat="true" ht="15" hidden="false" customHeight="false" outlineLevel="0" collapsed="false">
      <c r="B815" s="1104" t="str">
        <f aca="false">'Смета Внутр'!B815</f>
        <v>Пена монтажная, всесезонняя 800мл</v>
      </c>
      <c r="C815" s="1105" t="str">
        <f aca="false">'Смета Внутр'!C815</f>
        <v>шт</v>
      </c>
      <c r="D815" s="1106" t="n">
        <f aca="false">'Смета Внутр'!D815</f>
        <v>0</v>
      </c>
      <c r="E815" s="1104"/>
      <c r="F815" s="1107" t="n">
        <f aca="false">'Смета Внутр'!H815</f>
        <v>0</v>
      </c>
    </row>
    <row r="816" s="118" customFormat="true" ht="15" hidden="false" customHeight="false" outlineLevel="0" collapsed="false">
      <c r="B816" s="1104" t="str">
        <f aca="false">'Смета Внутр'!B816</f>
        <v>Гвозди строительные 3,5 x 90            </v>
      </c>
      <c r="C816" s="1105" t="str">
        <f aca="false">'Смета Внутр'!C816</f>
        <v>шт</v>
      </c>
      <c r="D816" s="1106" t="n">
        <f aca="false">'Смета Внутр'!D816</f>
        <v>0</v>
      </c>
      <c r="E816" s="1104"/>
      <c r="F816" s="1107" t="n">
        <f aca="false">'Смета Внутр'!H816</f>
        <v>0</v>
      </c>
    </row>
    <row r="817" s="118" customFormat="true" ht="15" hidden="false" customHeight="false" outlineLevel="0" collapsed="false">
      <c r="B817" s="1104" t="str">
        <f aca="false">'Смета Внутр'!B817</f>
        <v>Саморезы 3,5 x 45            </v>
      </c>
      <c r="C817" s="1105" t="str">
        <f aca="false">'Смета Внутр'!C817</f>
        <v>шт</v>
      </c>
      <c r="D817" s="1106" t="n">
        <f aca="false">'Смета Внутр'!D817</f>
        <v>0</v>
      </c>
      <c r="E817" s="1104"/>
      <c r="F817" s="1107" t="n">
        <f aca="false">'Смета Внутр'!H817</f>
        <v>0</v>
      </c>
    </row>
    <row r="818" s="118" customFormat="true" ht="15" hidden="false" customHeight="false" outlineLevel="0" collapsed="false">
      <c r="B818" s="1104" t="str">
        <f aca="false">'Смета Внутр'!B818</f>
        <v>Доска сухая, 200*50мм</v>
      </c>
      <c r="C818" s="1105" t="str">
        <f aca="false">'Смета Внутр'!C818</f>
        <v>м3</v>
      </c>
      <c r="D818" s="1106" t="n">
        <f aca="false">'Смета Внутр'!D818</f>
        <v>0</v>
      </c>
      <c r="E818" s="1104"/>
      <c r="F818" s="1107" t="n">
        <f aca="false">'Смета Внутр'!H818</f>
        <v>0</v>
      </c>
    </row>
    <row r="819" s="118" customFormat="true" ht="15" hidden="false" customHeight="false" outlineLevel="0" collapsed="false">
      <c r="B819" s="1104" t="str">
        <f aca="false">'Смета Внутр'!B819</f>
        <v>Доска сухая, 150*50мм</v>
      </c>
      <c r="C819" s="1105" t="str">
        <f aca="false">'Смета Внутр'!C819</f>
        <v>м3</v>
      </c>
      <c r="D819" s="1106" t="n">
        <f aca="false">'Смета Внутр'!D819</f>
        <v>0</v>
      </c>
      <c r="E819" s="1104"/>
      <c r="F819" s="1107" t="n">
        <f aca="false">'Смета Внутр'!H819</f>
        <v>0</v>
      </c>
    </row>
    <row r="820" s="118" customFormat="true" ht="15" hidden="false" customHeight="false" outlineLevel="0" collapsed="false">
      <c r="B820" s="1104" t="str">
        <f aca="false">'Смета Внутр'!B820</f>
        <v>Гвозди ершоные 2,8 х 90            </v>
      </c>
      <c r="C820" s="1105" t="str">
        <f aca="false">'Смета Внутр'!C820</f>
        <v>кг</v>
      </c>
      <c r="D820" s="1106" t="n">
        <f aca="false">'Смета Внутр'!D820</f>
        <v>0</v>
      </c>
      <c r="E820" s="1104"/>
      <c r="F820" s="1107" t="n">
        <f aca="false">'Смета Внутр'!H820</f>
        <v>0</v>
      </c>
    </row>
    <row r="821" s="118" customFormat="true" ht="15" hidden="false" customHeight="false" outlineLevel="0" collapsed="false">
      <c r="B821" s="1104" t="str">
        <f aca="false">'Смета Внутр'!B821</f>
        <v>Доска сухая калиброванная, 190*45мм</v>
      </c>
      <c r="C821" s="1105" t="str">
        <f aca="false">'Смета Внутр'!C821</f>
        <v>м3</v>
      </c>
      <c r="D821" s="1106" t="n">
        <f aca="false">'Смета Внутр'!D821</f>
        <v>0</v>
      </c>
      <c r="E821" s="1104"/>
      <c r="F821" s="1107" t="n">
        <f aca="false">'Смета Внутр'!H821</f>
        <v>0</v>
      </c>
    </row>
    <row r="822" s="118" customFormat="true" ht="15" hidden="false" customHeight="false" outlineLevel="0" collapsed="false">
      <c r="B822" s="1104" t="str">
        <f aca="false">'Смета Внутр'!B822</f>
        <v>Доска сухая калиброванная, 145*45мм</v>
      </c>
      <c r="C822" s="1105" t="str">
        <f aca="false">'Смета Внутр'!C822</f>
        <v>м3</v>
      </c>
      <c r="D822" s="1106" t="n">
        <f aca="false">'Смета Внутр'!D822</f>
        <v>0</v>
      </c>
      <c r="E822" s="1104"/>
      <c r="F822" s="1107" t="n">
        <f aca="false">'Смета Внутр'!H822</f>
        <v>0</v>
      </c>
    </row>
    <row r="823" s="118" customFormat="true" ht="15" hidden="false" customHeight="false" outlineLevel="0" collapsed="false">
      <c r="B823" s="1104" t="str">
        <f aca="false">'Смета Внутр'!B823</f>
        <v>Гвозди ершоные 2,8 х 90            </v>
      </c>
      <c r="C823" s="1105" t="str">
        <f aca="false">'Смета Внутр'!C823</f>
        <v>кг</v>
      </c>
      <c r="D823" s="1106" t="n">
        <f aca="false">'Смета Внутр'!D823</f>
        <v>0</v>
      </c>
      <c r="E823" s="1104"/>
      <c r="F823" s="1107" t="n">
        <f aca="false">'Смета Внутр'!H823</f>
        <v>0</v>
      </c>
    </row>
    <row r="824" s="118" customFormat="true" ht="15" hidden="false" customHeight="false" outlineLevel="0" collapsed="false">
      <c r="B824" s="1104" t="str">
        <f aca="false">'Смета Внутр'!B824</f>
        <v>Двутавровая деревянная балка, 400*65мм</v>
      </c>
      <c r="C824" s="1105" t="str">
        <f aca="false">'Смета Внутр'!C824</f>
        <v>м.п.</v>
      </c>
      <c r="D824" s="1106" t="n">
        <f aca="false">'Смета Внутр'!D824</f>
        <v>0</v>
      </c>
      <c r="E824" s="1104"/>
      <c r="F824" s="1107" t="n">
        <f aca="false">'Смета Внутр'!H824</f>
        <v>0</v>
      </c>
    </row>
    <row r="825" s="118" customFormat="true" ht="15" hidden="false" customHeight="false" outlineLevel="0" collapsed="false">
      <c r="B825" s="1104" t="str">
        <f aca="false">'Смета Внутр'!B825</f>
        <v>Двутавровая деревянная балка, 400*90мм</v>
      </c>
      <c r="C825" s="1105" t="str">
        <f aca="false">'Смета Внутр'!C825</f>
        <v>м.п.</v>
      </c>
      <c r="D825" s="1106" t="n">
        <f aca="false">'Смета Внутр'!D825</f>
        <v>0</v>
      </c>
      <c r="E825" s="1104"/>
      <c r="F825" s="1107" t="n">
        <f aca="false">'Смета Внутр'!H825</f>
        <v>0</v>
      </c>
    </row>
    <row r="826" s="118" customFormat="true" ht="15" hidden="false" customHeight="false" outlineLevel="0" collapsed="false">
      <c r="B826" s="1104" t="str">
        <f aca="false">'Смета Внутр'!B826</f>
        <v>Двутавровая деревянная балка, 350*65мм</v>
      </c>
      <c r="C826" s="1105" t="str">
        <f aca="false">'Смета Внутр'!C826</f>
        <v>м.п.</v>
      </c>
      <c r="D826" s="1106" t="n">
        <f aca="false">'Смета Внутр'!D826</f>
        <v>0</v>
      </c>
      <c r="E826" s="1104"/>
      <c r="F826" s="1107" t="n">
        <f aca="false">'Смета Внутр'!H826</f>
        <v>0</v>
      </c>
    </row>
    <row r="827" s="118" customFormat="true" ht="15" hidden="false" customHeight="false" outlineLevel="0" collapsed="false">
      <c r="B827" s="1104" t="str">
        <f aca="false">'Смета Внутр'!B827</f>
        <v>Двутавровая деревянная балка, 350*90мм</v>
      </c>
      <c r="C827" s="1105" t="str">
        <f aca="false">'Смета Внутр'!C827</f>
        <v>м.п.</v>
      </c>
      <c r="D827" s="1106" t="n">
        <f aca="false">'Смета Внутр'!D827</f>
        <v>0</v>
      </c>
      <c r="E827" s="1104"/>
      <c r="F827" s="1107" t="n">
        <f aca="false">'Смета Внутр'!H827</f>
        <v>0</v>
      </c>
    </row>
    <row r="828" s="118" customFormat="true" ht="15" hidden="false" customHeight="false" outlineLevel="0" collapsed="false">
      <c r="B828" s="1104" t="str">
        <f aca="false">'Смета Внутр'!B828</f>
        <v>Двутавровая деревянная балка, 300*65мм</v>
      </c>
      <c r="C828" s="1105" t="str">
        <f aca="false">'Смета Внутр'!C828</f>
        <v>м.п.</v>
      </c>
      <c r="D828" s="1106" t="n">
        <f aca="false">'Смета Внутр'!D828</f>
        <v>0</v>
      </c>
      <c r="E828" s="1104"/>
      <c r="F828" s="1107" t="n">
        <f aca="false">'Смета Внутр'!H828</f>
        <v>0</v>
      </c>
    </row>
    <row r="829" s="118" customFormat="true" ht="15" hidden="false" customHeight="false" outlineLevel="0" collapsed="false">
      <c r="B829" s="1104" t="str">
        <f aca="false">'Смета Внутр'!B829</f>
        <v>Двутавровая деревянная балка, 300*90мм</v>
      </c>
      <c r="C829" s="1105" t="str">
        <f aca="false">'Смета Внутр'!C829</f>
        <v>м.п.</v>
      </c>
      <c r="D829" s="1106" t="n">
        <f aca="false">'Смета Внутр'!D829</f>
        <v>0</v>
      </c>
      <c r="E829" s="1104"/>
      <c r="F829" s="1107" t="n">
        <f aca="false">'Смета Внутр'!H829</f>
        <v>0</v>
      </c>
    </row>
    <row r="830" s="118" customFormat="true" ht="15" hidden="false" customHeight="false" outlineLevel="0" collapsed="false">
      <c r="B830" s="1104" t="str">
        <f aca="false">'Смета Внутр'!B830</f>
        <v>Двутавровая деревянная балка, 240*65мм</v>
      </c>
      <c r="C830" s="1105" t="str">
        <f aca="false">'Смета Внутр'!C830</f>
        <v>м.п.</v>
      </c>
      <c r="D830" s="1106" t="n">
        <f aca="false">'Смета Внутр'!D830</f>
        <v>0</v>
      </c>
      <c r="E830" s="1104"/>
      <c r="F830" s="1107" t="n">
        <f aca="false">'Смета Внутр'!H830</f>
        <v>0</v>
      </c>
    </row>
    <row r="831" s="118" customFormat="true" ht="15" hidden="false" customHeight="false" outlineLevel="0" collapsed="false">
      <c r="B831" s="1104" t="str">
        <f aca="false">'Смета Внутр'!B831</f>
        <v>Двутавровая деревянная балка, 240*90мм</v>
      </c>
      <c r="C831" s="1105" t="str">
        <f aca="false">'Смета Внутр'!C831</f>
        <v>м.п.</v>
      </c>
      <c r="D831" s="1106" t="n">
        <f aca="false">'Смета Внутр'!D831</f>
        <v>0</v>
      </c>
      <c r="E831" s="1104"/>
      <c r="F831" s="1107" t="n">
        <f aca="false">'Смета Внутр'!H831</f>
        <v>0</v>
      </c>
    </row>
    <row r="832" s="118" customFormat="true" ht="15" hidden="false" customHeight="false" outlineLevel="0" collapsed="false">
      <c r="B832" s="1104" t="str">
        <f aca="false">'Смета Внутр'!B832</f>
        <v>Двутавровая деревянная балка, 200*65мм</v>
      </c>
      <c r="C832" s="1105" t="str">
        <f aca="false">'Смета Внутр'!C832</f>
        <v>м.п.</v>
      </c>
      <c r="D832" s="1106" t="n">
        <f aca="false">'Смета Внутр'!D832</f>
        <v>0</v>
      </c>
      <c r="E832" s="1104"/>
      <c r="F832" s="1107" t="n">
        <f aca="false">'Смета Внутр'!H832</f>
        <v>0</v>
      </c>
    </row>
    <row r="833" s="118" customFormat="true" ht="15" hidden="false" customHeight="false" outlineLevel="0" collapsed="false">
      <c r="B833" s="1104" t="str">
        <f aca="false">'Смета Внутр'!B833</f>
        <v>Двутавровая деревянная балка, 200*90мм</v>
      </c>
      <c r="C833" s="1105" t="str">
        <f aca="false">'Смета Внутр'!C833</f>
        <v>м.п.</v>
      </c>
      <c r="D833" s="1106" t="n">
        <f aca="false">'Смета Внутр'!D833</f>
        <v>0</v>
      </c>
      <c r="E833" s="1104"/>
      <c r="F833" s="1107" t="n">
        <f aca="false">'Смета Внутр'!H833</f>
        <v>0</v>
      </c>
    </row>
    <row r="834" s="118" customFormat="true" ht="15" hidden="false" customHeight="false" outlineLevel="0" collapsed="false">
      <c r="B834" s="1104" t="str">
        <f aca="false">'Смета Внутр'!B834</f>
        <v>Двутавровая деревянная балка, 150*65мм</v>
      </c>
      <c r="C834" s="1105" t="str">
        <f aca="false">'Смета Внутр'!C834</f>
        <v>м.п.</v>
      </c>
      <c r="D834" s="1106" t="n">
        <f aca="false">'Смета Внутр'!D834</f>
        <v>0</v>
      </c>
      <c r="E834" s="1104"/>
      <c r="F834" s="1107" t="n">
        <f aca="false">'Смета Внутр'!H834</f>
        <v>0</v>
      </c>
    </row>
    <row r="835" s="118" customFormat="true" ht="15" hidden="false" customHeight="false" outlineLevel="0" collapsed="false">
      <c r="B835" s="1104" t="str">
        <f aca="false">'Смета Внутр'!B835</f>
        <v>Двутавровая деревянная балка, 150*90мм</v>
      </c>
      <c r="C835" s="1105" t="str">
        <f aca="false">'Смета Внутр'!C835</f>
        <v>м.п.</v>
      </c>
      <c r="D835" s="1106" t="n">
        <f aca="false">'Смета Внутр'!D835</f>
        <v>0</v>
      </c>
      <c r="E835" s="1104"/>
      <c r="F835" s="1107" t="n">
        <f aca="false">'Смета Внутр'!H835</f>
        <v>0</v>
      </c>
    </row>
    <row r="836" s="118" customFormat="true" ht="15" hidden="false" customHeight="false" outlineLevel="0" collapsed="false">
      <c r="B836" s="1104" t="str">
        <f aca="false">'Смета Внутр'!B836</f>
        <v>Уголок усиленный 90х70х55х2,5        </v>
      </c>
      <c r="C836" s="1105" t="str">
        <f aca="false">'Смета Внутр'!C836</f>
        <v>шт</v>
      </c>
      <c r="D836" s="1106" t="n">
        <f aca="false">'Смета Внутр'!D836</f>
        <v>0</v>
      </c>
      <c r="E836" s="1104"/>
      <c r="F836" s="1107" t="n">
        <f aca="false">'Смета Внутр'!H836</f>
        <v>0</v>
      </c>
    </row>
    <row r="837" s="118" customFormat="true" ht="15" hidden="false" customHeight="false" outlineLevel="0" collapsed="false">
      <c r="B837" s="1104" t="str">
        <f aca="false">'Смета Внутр'!B837</f>
        <v>Саморезы 3,5 x 55            </v>
      </c>
      <c r="C837" s="1105" t="str">
        <f aca="false">'Смета Внутр'!C837</f>
        <v>шт</v>
      </c>
      <c r="D837" s="1106" t="n">
        <f aca="false">'Смета Внутр'!D837</f>
        <v>0</v>
      </c>
      <c r="E837" s="1104"/>
      <c r="F837" s="1107" t="n">
        <f aca="false">'Смета Внутр'!H837</f>
        <v>0</v>
      </c>
    </row>
    <row r="838" customFormat="false" ht="15" hidden="false" customHeight="false" outlineLevel="0" collapsed="false">
      <c r="B838" s="1097" t="str">
        <f aca="false">'Смета Внутр'!B838</f>
        <v>Пенопласт ПСБ-С-35, 100мм</v>
      </c>
      <c r="C838" s="1098" t="str">
        <f aca="false">'Смета Внутр'!C838</f>
        <v>м3</v>
      </c>
      <c r="D838" s="1099" t="n">
        <f aca="false">'Смета Внутр'!D838</f>
        <v>6.4</v>
      </c>
      <c r="E838" s="1097"/>
      <c r="F838" s="1125" t="n">
        <f aca="false">'Смета Внутр'!H838</f>
        <v>21760</v>
      </c>
    </row>
    <row r="839" s="118" customFormat="true" ht="15" hidden="false" customHeight="false" outlineLevel="0" collapsed="false">
      <c r="B839" s="1104" t="str">
        <f aca="false">'Смета Внутр'!B839</f>
        <v>нет ветроизоляции</v>
      </c>
      <c r="C839" s="1105" t="str">
        <f aca="false">'Смета Внутр'!C839</f>
        <v>м2</v>
      </c>
      <c r="D839" s="1106" t="n">
        <f aca="false">'Смета Внутр'!D839</f>
        <v>64</v>
      </c>
      <c r="E839" s="1104"/>
      <c r="F839" s="1121" t="n">
        <f aca="false">'Смета Внутр'!H839</f>
        <v>0</v>
      </c>
    </row>
    <row r="840" s="118" customFormat="true" ht="15" hidden="false" customHeight="false" outlineLevel="0" collapsed="false">
      <c r="B840" s="1104" t="str">
        <f aca="false">'Смета Внутр'!B840</f>
        <v>нет пароизоляции</v>
      </c>
      <c r="C840" s="1105" t="str">
        <f aca="false">'Смета Внутр'!C840</f>
        <v>м2</v>
      </c>
      <c r="D840" s="1106" t="n">
        <f aca="false">'Смета Внутр'!D840</f>
        <v>64</v>
      </c>
      <c r="E840" s="1104"/>
      <c r="F840" s="1121" t="n">
        <f aca="false">'Смета Внутр'!H840</f>
        <v>0</v>
      </c>
    </row>
    <row r="841" s="118" customFormat="true" ht="15" hidden="false" customHeight="false" outlineLevel="0" collapsed="false">
      <c r="B841" s="1104" t="str">
        <f aca="false">'Смета Внутр'!B841</f>
        <v>Плита перекрытия  ЖБИ</v>
      </c>
      <c r="C841" s="1105" t="str">
        <f aca="false">'Смета Внутр'!C841</f>
        <v>м2</v>
      </c>
      <c r="D841" s="1106" t="n">
        <f aca="false">'Смета Внутр'!D841</f>
        <v>0</v>
      </c>
      <c r="E841" s="1104"/>
      <c r="F841" s="1107" t="n">
        <f aca="false">'Смета Внутр'!H841</f>
        <v>0</v>
      </c>
    </row>
    <row r="842" s="118" customFormat="true" ht="15" hidden="false" customHeight="false" outlineLevel="0" collapsed="false">
      <c r="B842" s="1104" t="str">
        <f aca="false">'Смета Внутр'!B842</f>
        <v>Раствор, м250</v>
      </c>
      <c r="C842" s="1105" t="str">
        <f aca="false">'Смета Внутр'!C842</f>
        <v>м3</v>
      </c>
      <c r="D842" s="1106" t="n">
        <f aca="false">'Смета Внутр'!D842</f>
        <v>0</v>
      </c>
      <c r="E842" s="1104"/>
      <c r="F842" s="1107" t="n">
        <f aca="false">'Смета Внутр'!H842</f>
        <v>0</v>
      </c>
    </row>
    <row r="843" s="118" customFormat="true" ht="15" hidden="false" customHeight="false" outlineLevel="0" collapsed="false">
      <c r="B843" s="1104" t="str">
        <f aca="false">'Смета Внутр'!B843</f>
        <v>Монолит, бетон, 300мм, 2 слоя</v>
      </c>
      <c r="C843" s="1105" t="str">
        <f aca="false">'Смета Внутр'!C843</f>
        <v>м2</v>
      </c>
      <c r="D843" s="1106" t="n">
        <f aca="false">'Смета Внутр'!D843</f>
        <v>0</v>
      </c>
      <c r="E843" s="1104"/>
      <c r="F843" s="1107" t="n">
        <f aca="false">'Смета Внутр'!H843</f>
        <v>0</v>
      </c>
    </row>
    <row r="844" s="118" customFormat="true" ht="15" hidden="false" customHeight="false" outlineLevel="0" collapsed="false">
      <c r="B844" s="1104" t="str">
        <f aca="false">'Смета Внутр'!B844</f>
        <v>Монолит, бетон, 300мм, 1 слой</v>
      </c>
      <c r="C844" s="1105" t="str">
        <f aca="false">'Смета Внутр'!C844</f>
        <v>м2</v>
      </c>
      <c r="D844" s="1106" t="n">
        <f aca="false">'Смета Внутр'!D844</f>
        <v>0</v>
      </c>
      <c r="E844" s="1104"/>
      <c r="F844" s="1107" t="n">
        <f aca="false">'Смета Внутр'!H844</f>
        <v>0</v>
      </c>
    </row>
    <row r="845" s="118" customFormat="true" ht="15" hidden="false" customHeight="false" outlineLevel="0" collapsed="false">
      <c r="B845" s="1104" t="str">
        <f aca="false">'Смета Внутр'!B845</f>
        <v>Монолит, бетон, 250мм, 2 слоя</v>
      </c>
      <c r="C845" s="1105" t="str">
        <f aca="false">'Смета Внутр'!C845</f>
        <v>м2</v>
      </c>
      <c r="D845" s="1106" t="n">
        <f aca="false">'Смета Внутр'!D845</f>
        <v>0</v>
      </c>
      <c r="E845" s="1104"/>
      <c r="F845" s="1107" t="n">
        <f aca="false">'Смета Внутр'!H845</f>
        <v>0</v>
      </c>
    </row>
    <row r="846" s="118" customFormat="true" ht="15" hidden="false" customHeight="false" outlineLevel="0" collapsed="false">
      <c r="B846" s="1104" t="str">
        <f aca="false">'Смета Внутр'!B846</f>
        <v>Монолит, бетон, 250мм, 1 слой</v>
      </c>
      <c r="C846" s="1105" t="str">
        <f aca="false">'Смета Внутр'!C846</f>
        <v>м2</v>
      </c>
      <c r="D846" s="1106" t="n">
        <f aca="false">'Смета Внутр'!D846</f>
        <v>0</v>
      </c>
      <c r="E846" s="1104"/>
      <c r="F846" s="1107" t="n">
        <f aca="false">'Смета Внутр'!H846</f>
        <v>0</v>
      </c>
    </row>
    <row r="847" s="118" customFormat="true" ht="15" hidden="false" customHeight="false" outlineLevel="0" collapsed="false">
      <c r="B847" s="1104" t="str">
        <f aca="false">'Смета Внутр'!B847</f>
        <v>Монолит, бетон, 200мм, 2 слоя</v>
      </c>
      <c r="C847" s="1105" t="str">
        <f aca="false">'Смета Внутр'!C847</f>
        <v>м2</v>
      </c>
      <c r="D847" s="1106" t="n">
        <f aca="false">'Смета Внутр'!D847</f>
        <v>0</v>
      </c>
      <c r="E847" s="1104"/>
      <c r="F847" s="1107" t="n">
        <f aca="false">'Смета Внутр'!H847</f>
        <v>0</v>
      </c>
    </row>
    <row r="848" s="118" customFormat="true" ht="15" hidden="false" customHeight="false" outlineLevel="0" collapsed="false">
      <c r="B848" s="1104" t="str">
        <f aca="false">'Смета Внутр'!B848</f>
        <v>Монолит, бетон, 200мм, 1 слой</v>
      </c>
      <c r="C848" s="1105" t="str">
        <f aca="false">'Смета Внутр'!C848</f>
        <v>м2</v>
      </c>
      <c r="D848" s="1106" t="n">
        <f aca="false">'Смета Внутр'!D848</f>
        <v>0</v>
      </c>
      <c r="E848" s="1104"/>
      <c r="F848" s="1107" t="n">
        <f aca="false">'Смета Внутр'!H848</f>
        <v>0</v>
      </c>
    </row>
    <row r="849" s="118" customFormat="true" ht="15" hidden="false" customHeight="false" outlineLevel="0" collapsed="false">
      <c r="B849" s="1104" t="str">
        <f aca="false">'Смета Внутр'!B849</f>
        <v>Монолит, бетон, 150мм, 2 слоя</v>
      </c>
      <c r="C849" s="1105" t="str">
        <f aca="false">'Смета Внутр'!C849</f>
        <v>м2</v>
      </c>
      <c r="D849" s="1106" t="n">
        <f aca="false">'Смета Внутр'!D849</f>
        <v>0</v>
      </c>
      <c r="E849" s="1104"/>
      <c r="F849" s="1107" t="n">
        <f aca="false">'Смета Внутр'!H849</f>
        <v>0</v>
      </c>
    </row>
    <row r="850" s="118" customFormat="true" ht="15" hidden="false" customHeight="false" outlineLevel="0" collapsed="false">
      <c r="B850" s="1104" t="str">
        <f aca="false">'Смета Внутр'!B850</f>
        <v>Монолит, бетон, 150мм, 1 слой</v>
      </c>
      <c r="C850" s="1105" t="str">
        <f aca="false">'Смета Внутр'!C850</f>
        <v>м2</v>
      </c>
      <c r="D850" s="1106" t="n">
        <f aca="false">'Смета Внутр'!D850</f>
        <v>0</v>
      </c>
      <c r="E850" s="1104"/>
      <c r="F850" s="1107" t="n">
        <f aca="false">'Смета Внутр'!H850</f>
        <v>0</v>
      </c>
    </row>
    <row r="851" s="118" customFormat="true" ht="15" hidden="false" customHeight="false" outlineLevel="0" collapsed="false">
      <c r="B851" s="1104" t="str">
        <f aca="false">'Смета Внутр'!B851</f>
        <v>доска для опалубки монолит перекрытий</v>
      </c>
      <c r="C851" s="1105" t="str">
        <f aca="false">'Смета Внутр'!C851</f>
        <v>м3</v>
      </c>
      <c r="D851" s="1106" t="n">
        <f aca="false">'Смета Внутр'!D851</f>
        <v>0</v>
      </c>
      <c r="E851" s="1104"/>
      <c r="F851" s="1107" t="n">
        <f aca="false">'Смета Внутр'!H851</f>
        <v>0</v>
      </c>
    </row>
    <row r="852" s="118" customFormat="true" ht="15" hidden="false" customHeight="false" outlineLevel="0" collapsed="false">
      <c r="B852" s="1104" t="str">
        <f aca="false">'Смета Внутр'!B852</f>
        <v>стойки под опалубку перекрытий</v>
      </c>
      <c r="C852" s="1105" t="str">
        <f aca="false">'Смета Внутр'!C852</f>
        <v>шт</v>
      </c>
      <c r="D852" s="1106" t="n">
        <f aca="false">'Смета Внутр'!D852</f>
        <v>0</v>
      </c>
      <c r="E852" s="1104"/>
      <c r="F852" s="1107" t="n">
        <f aca="false">'Смета Внутр'!H852</f>
        <v>0</v>
      </c>
    </row>
    <row r="853" s="118" customFormat="true" ht="15" hidden="false" customHeight="false" outlineLevel="0" collapsed="false">
      <c r="B853" s="1104" t="str">
        <f aca="false">'Смета Внутр'!B853</f>
        <v>Пленка гидроизоляционная </v>
      </c>
      <c r="C853" s="1105" t="str">
        <f aca="false">'Смета Внутр'!C853</f>
        <v>м2</v>
      </c>
      <c r="D853" s="1106" t="n">
        <f aca="false">'Смета Внутр'!D853</f>
        <v>0</v>
      </c>
      <c r="E853" s="1104"/>
      <c r="F853" s="1107" t="n">
        <f aca="false">'Смета Внутр'!H853</f>
        <v>0</v>
      </c>
    </row>
    <row r="854" s="118" customFormat="true" ht="15" hidden="false" customHeight="false" outlineLevel="0" collapsed="false">
      <c r="B854" s="1104" t="str">
        <f aca="false">'Смета Внутр'!B854</f>
        <v>Арматура М12</v>
      </c>
      <c r="C854" s="1105" t="str">
        <f aca="false">'Смета Внутр'!C854</f>
        <v>м.п.</v>
      </c>
      <c r="D854" s="1106" t="n">
        <f aca="false">'Смета Внутр'!D854</f>
        <v>0</v>
      </c>
      <c r="E854" s="1104"/>
      <c r="F854" s="1107" t="n">
        <f aca="false">'Смета Внутр'!H854</f>
        <v>0</v>
      </c>
    </row>
    <row r="855" s="118" customFormat="true" ht="15" hidden="false" customHeight="false" outlineLevel="0" collapsed="false">
      <c r="B855" s="1104" t="str">
        <f aca="false">'Смета Внутр'!B855</f>
        <v>Вязальная проволока</v>
      </c>
      <c r="C855" s="1105" t="str">
        <f aca="false">'Смета Внутр'!C855</f>
        <v>кг</v>
      </c>
      <c r="D855" s="1106" t="n">
        <f aca="false">'Смета Внутр'!D855</f>
        <v>0</v>
      </c>
      <c r="E855" s="1104"/>
      <c r="F855" s="1107" t="n">
        <f aca="false">'Смета Внутр'!H855</f>
        <v>0</v>
      </c>
    </row>
    <row r="856" s="118" customFormat="true" ht="15" hidden="false" customHeight="false" outlineLevel="0" collapsed="false">
      <c r="B856" s="1104" t="str">
        <f aca="false">'Смета Внутр'!B856</f>
        <v>Подставка под арматурный каркас</v>
      </c>
      <c r="C856" s="1105" t="str">
        <f aca="false">'Смета Внутр'!C856</f>
        <v>шт</v>
      </c>
      <c r="D856" s="1106" t="n">
        <f aca="false">'Смета Внутр'!D856</f>
        <v>0</v>
      </c>
      <c r="E856" s="1104"/>
      <c r="F856" s="1107" t="n">
        <f aca="false">'Смета Внутр'!H856</f>
        <v>0</v>
      </c>
    </row>
    <row r="857" s="118" customFormat="true" ht="15" hidden="false" customHeight="false" outlineLevel="0" collapsed="false">
      <c r="B857" s="1104" t="str">
        <f aca="false">'Смета Внутр'!B857</f>
        <v>бетон, м350</v>
      </c>
      <c r="C857" s="1105" t="str">
        <f aca="false">'Смета Внутр'!C857</f>
        <v>м3</v>
      </c>
      <c r="D857" s="1106" t="n">
        <f aca="false">'Смета Внутр'!D857</f>
        <v>0</v>
      </c>
      <c r="E857" s="1104"/>
      <c r="F857" s="1107" t="n">
        <f aca="false">'Смета Внутр'!H857</f>
        <v>0</v>
      </c>
    </row>
    <row r="858" s="118" customFormat="true" ht="15" hidden="false" customHeight="false" outlineLevel="0" collapsed="false">
      <c r="B858" s="1104" t="str">
        <f aca="false">'Смета Внутр'!B858</f>
        <v>Брус естественной влажности, 200*100мм</v>
      </c>
      <c r="C858" s="1105" t="str">
        <f aca="false">'Смета Внутр'!C858</f>
        <v>м3</v>
      </c>
      <c r="D858" s="1106" t="n">
        <f aca="false">'Смета Внутр'!D858</f>
        <v>0</v>
      </c>
      <c r="E858" s="1104"/>
      <c r="F858" s="1107" t="n">
        <f aca="false">'Смета Внутр'!H858</f>
        <v>0</v>
      </c>
    </row>
    <row r="859" s="118" customFormat="true" ht="15" hidden="false" customHeight="false" outlineLevel="0" collapsed="false">
      <c r="B859" s="1104" t="str">
        <f aca="false">'Смета Внутр'!B859</f>
        <v>Брус естественной влажности, 150*100мм</v>
      </c>
      <c r="C859" s="1105" t="str">
        <f aca="false">'Смета Внутр'!C859</f>
        <v>м3</v>
      </c>
      <c r="D859" s="1106" t="n">
        <f aca="false">'Смета Внутр'!D859</f>
        <v>0</v>
      </c>
      <c r="E859" s="1104"/>
      <c r="F859" s="1107" t="n">
        <f aca="false">'Смета Внутр'!H859</f>
        <v>0</v>
      </c>
    </row>
    <row r="860" s="118" customFormat="true" ht="15" hidden="false" customHeight="false" outlineLevel="0" collapsed="false">
      <c r="B860" s="1104" t="str">
        <f aca="false">'Смета Внутр'!B860</f>
        <v>Брус естественной влажности, 100*100мм</v>
      </c>
      <c r="C860" s="1105" t="str">
        <f aca="false">'Смета Внутр'!C860</f>
        <v>м3</v>
      </c>
      <c r="D860" s="1106" t="n">
        <f aca="false">'Смета Внутр'!D860</f>
        <v>0</v>
      </c>
      <c r="E860" s="1104"/>
      <c r="F860" s="1107" t="n">
        <f aca="false">'Смета Внутр'!H860</f>
        <v>0</v>
      </c>
    </row>
    <row r="861" s="118" customFormat="true" ht="15" hidden="false" customHeight="false" outlineLevel="0" collapsed="false">
      <c r="B861" s="1104" t="str">
        <f aca="false">'Смета Внутр'!B861</f>
        <v>Брус естественной влажности, 150*150мм</v>
      </c>
      <c r="C861" s="1105" t="str">
        <f aca="false">'Смета Внутр'!C861</f>
        <v>м3</v>
      </c>
      <c r="D861" s="1106" t="n">
        <f aca="false">'Смета Внутр'!D861</f>
        <v>0</v>
      </c>
      <c r="E861" s="1104"/>
      <c r="F861" s="1107" t="n">
        <f aca="false">'Смета Внутр'!H861</f>
        <v>0</v>
      </c>
    </row>
    <row r="862" s="118" customFormat="true" ht="15" hidden="false" customHeight="false" outlineLevel="0" collapsed="false">
      <c r="B862" s="1104" t="str">
        <f aca="false">'Смета Внутр'!B862</f>
        <v>Доска естественной влажности, 200*50мм</v>
      </c>
      <c r="C862" s="1105" t="str">
        <f aca="false">'Смета Внутр'!C862</f>
        <v>м3</v>
      </c>
      <c r="D862" s="1106" t="n">
        <f aca="false">'Смета Внутр'!D862</f>
        <v>0</v>
      </c>
      <c r="E862" s="1104"/>
      <c r="F862" s="1107" t="n">
        <f aca="false">'Смета Внутр'!H862</f>
        <v>0</v>
      </c>
    </row>
    <row r="863" s="118" customFormat="true" ht="15" hidden="false" customHeight="false" outlineLevel="0" collapsed="false">
      <c r="B863" s="1104" t="str">
        <f aca="false">'Смета Внутр'!B863</f>
        <v>Доска естественной влажности, 150*50мм</v>
      </c>
      <c r="C863" s="1105" t="str">
        <f aca="false">'Смета Внутр'!C863</f>
        <v>м3</v>
      </c>
      <c r="D863" s="1106" t="n">
        <f aca="false">'Смета Внутр'!D863</f>
        <v>0</v>
      </c>
      <c r="E863" s="1104"/>
      <c r="F863" s="1121" t="n">
        <f aca="false">'Смета Внутр'!H863</f>
        <v>0</v>
      </c>
    </row>
    <row r="864" s="118" customFormat="true" ht="15" hidden="false" customHeight="false" outlineLevel="0" collapsed="false">
      <c r="B864" s="1104" t="str">
        <f aca="false">'Смета Внутр'!B864</f>
        <v>Опора бруса          </v>
      </c>
      <c r="C864" s="1105" t="str">
        <f aca="false">'Смета Внутр'!C864</f>
        <v>шт</v>
      </c>
      <c r="D864" s="1106" t="n">
        <f aca="false">'Смета Внутр'!D864</f>
        <v>0</v>
      </c>
      <c r="E864" s="1104"/>
      <c r="F864" s="1121" t="n">
        <f aca="false">'Смета Внутр'!H864</f>
        <v>0</v>
      </c>
    </row>
    <row r="865" s="118" customFormat="true" ht="15" hidden="false" customHeight="false" outlineLevel="0" collapsed="false">
      <c r="B865" s="1104" t="str">
        <f aca="false">'Смета Внутр'!B865</f>
        <v>Болты анкерные с гайкой 8,0 x 60           </v>
      </c>
      <c r="C865" s="1105" t="str">
        <f aca="false">'Смета Внутр'!C865</f>
        <v>шт</v>
      </c>
      <c r="D865" s="1106" t="n">
        <f aca="false">'Смета Внутр'!D865</f>
        <v>0</v>
      </c>
      <c r="E865" s="1104"/>
      <c r="F865" s="1121" t="n">
        <f aca="false">'Смета Внутр'!H865</f>
        <v>0</v>
      </c>
    </row>
    <row r="866" s="118" customFormat="true" ht="15" hidden="false" customHeight="false" outlineLevel="0" collapsed="false">
      <c r="B866" s="1104" t="str">
        <f aca="false">'Смета Внутр'!B866</f>
        <v>Нет перекрестного пола</v>
      </c>
      <c r="C866" s="1105" t="str">
        <f aca="false">'Смета Внутр'!C866</f>
        <v>м3</v>
      </c>
      <c r="D866" s="1106" t="n">
        <f aca="false">'Смета Внутр'!D866</f>
        <v>0</v>
      </c>
      <c r="E866" s="1104"/>
      <c r="F866" s="1107" t="n">
        <f aca="false">'Смета Внутр'!H866</f>
        <v>0</v>
      </c>
    </row>
    <row r="867" s="118" customFormat="true" ht="15" hidden="false" customHeight="false" outlineLevel="0" collapsed="false">
      <c r="B867" s="1104" t="str">
        <f aca="false">'Смета Внутр'!B867</f>
        <v>Гвозди строительные 3,5 x 90            </v>
      </c>
      <c r="C867" s="1105" t="str">
        <f aca="false">'Смета Внутр'!C867</f>
        <v>кг</v>
      </c>
      <c r="D867" s="1106" t="n">
        <f aca="false">'Смета Внутр'!D867</f>
        <v>0</v>
      </c>
      <c r="E867" s="1104"/>
      <c r="F867" s="1107" t="n">
        <f aca="false">'Смета Внутр'!H867</f>
        <v>0</v>
      </c>
    </row>
    <row r="868" s="118" customFormat="true" ht="15" hidden="false" customHeight="false" outlineLevel="0" collapsed="false">
      <c r="B868" s="1104" t="str">
        <f aca="false">'Смета Внутр'!B868</f>
        <v>Sip панель 2500*625*124мм</v>
      </c>
      <c r="C868" s="1105" t="str">
        <f aca="false">'Смета Внутр'!C868</f>
        <v>м2</v>
      </c>
      <c r="D868" s="1106" t="n">
        <f aca="false">'Смета Внутр'!D868</f>
        <v>0</v>
      </c>
      <c r="E868" s="1104"/>
      <c r="F868" s="1107" t="n">
        <f aca="false">'Смета Внутр'!H868</f>
        <v>0</v>
      </c>
    </row>
    <row r="869" s="118" customFormat="true" ht="15" hidden="false" customHeight="false" outlineLevel="0" collapsed="false">
      <c r="B869" s="1104" t="str">
        <f aca="false">'Смета Внутр'!B869</f>
        <v>Sip панель 2500*625*174мм</v>
      </c>
      <c r="C869" s="1105" t="str">
        <f aca="false">'Смета Внутр'!C869</f>
        <v>м2</v>
      </c>
      <c r="D869" s="1106" t="n">
        <f aca="false">'Смета Внутр'!D869</f>
        <v>0</v>
      </c>
      <c r="E869" s="1104"/>
      <c r="F869" s="1107" t="n">
        <f aca="false">'Смета Внутр'!H869</f>
        <v>0</v>
      </c>
    </row>
    <row r="870" s="118" customFormat="true" ht="15" hidden="false" customHeight="false" outlineLevel="0" collapsed="false">
      <c r="B870" s="1104" t="str">
        <f aca="false">'Смета Внутр'!B870</f>
        <v>Sip панель 2500*625*224мм</v>
      </c>
      <c r="C870" s="1105" t="str">
        <f aca="false">'Смета Внутр'!C870</f>
        <v>м2</v>
      </c>
      <c r="D870" s="1106" t="n">
        <f aca="false">'Смета Внутр'!D870</f>
        <v>0</v>
      </c>
      <c r="E870" s="1104"/>
      <c r="F870" s="1107" t="n">
        <f aca="false">'Смета Внутр'!H870</f>
        <v>0</v>
      </c>
    </row>
    <row r="871" s="118" customFormat="true" ht="15" hidden="false" customHeight="false" outlineLevel="0" collapsed="false">
      <c r="B871" s="1104" t="str">
        <f aca="false">'Смета Внутр'!B871</f>
        <v>Доска сухая, 100*50мм</v>
      </c>
      <c r="C871" s="1105" t="str">
        <f aca="false">'Смета Внутр'!C871</f>
        <v>м.п.</v>
      </c>
      <c r="D871" s="1106" t="n">
        <f aca="false">'Смета Внутр'!D871</f>
        <v>0</v>
      </c>
      <c r="E871" s="1104"/>
      <c r="F871" s="1107" t="n">
        <f aca="false">'Смета Внутр'!H871</f>
        <v>0</v>
      </c>
    </row>
    <row r="872" s="118" customFormat="true" ht="15" hidden="false" customHeight="false" outlineLevel="0" collapsed="false">
      <c r="B872" s="1104" t="str">
        <f aca="false">'Смета Внутр'!B872</f>
        <v>Доска сухая, 150*50мм</v>
      </c>
      <c r="C872" s="1105" t="str">
        <f aca="false">'Смета Внутр'!C872</f>
        <v>м.п.</v>
      </c>
      <c r="D872" s="1106" t="n">
        <f aca="false">'Смета Внутр'!D872</f>
        <v>0</v>
      </c>
      <c r="E872" s="1104"/>
      <c r="F872" s="1107" t="n">
        <f aca="false">'Смета Внутр'!H872</f>
        <v>0</v>
      </c>
    </row>
    <row r="873" s="118" customFormat="true" ht="15" hidden="false" customHeight="false" outlineLevel="0" collapsed="false">
      <c r="B873" s="1104" t="str">
        <f aca="false">'Смета Внутр'!B873</f>
        <v>Доска сухая, 200*50мм</v>
      </c>
      <c r="C873" s="1105" t="str">
        <f aca="false">'Смета Внутр'!C873</f>
        <v>м.п.</v>
      </c>
      <c r="D873" s="1106" t="n">
        <f aca="false">'Смета Внутр'!D873</f>
        <v>0</v>
      </c>
      <c r="E873" s="1104"/>
      <c r="F873" s="1107" t="n">
        <f aca="false">'Смета Внутр'!H873</f>
        <v>0</v>
      </c>
    </row>
    <row r="874" s="118" customFormat="true" ht="15" hidden="false" customHeight="false" outlineLevel="0" collapsed="false">
      <c r="B874" s="1104" t="str">
        <f aca="false">'Смета Внутр'!B874</f>
        <v>Пена монтажная, всесезонняя 800мл</v>
      </c>
      <c r="C874" s="1105" t="str">
        <f aca="false">'Смета Внутр'!C874</f>
        <v>шт</v>
      </c>
      <c r="D874" s="1106" t="n">
        <f aca="false">'Смета Внутр'!D874</f>
        <v>0</v>
      </c>
      <c r="E874" s="1104"/>
      <c r="F874" s="1107" t="n">
        <f aca="false">'Смета Внутр'!H874</f>
        <v>0</v>
      </c>
    </row>
    <row r="875" s="118" customFormat="true" ht="15" hidden="false" customHeight="false" outlineLevel="0" collapsed="false">
      <c r="B875" s="1104" t="str">
        <f aca="false">'Смета Внутр'!B875</f>
        <v>Гвозди строительные 3,5 x 90            </v>
      </c>
      <c r="C875" s="1105" t="str">
        <f aca="false">'Смета Внутр'!C875</f>
        <v>шт</v>
      </c>
      <c r="D875" s="1106" t="n">
        <f aca="false">'Смета Внутр'!D875</f>
        <v>0</v>
      </c>
      <c r="E875" s="1104"/>
      <c r="F875" s="1107" t="n">
        <f aca="false">'Смета Внутр'!H875</f>
        <v>0</v>
      </c>
    </row>
    <row r="876" s="118" customFormat="true" ht="15" hidden="false" customHeight="false" outlineLevel="0" collapsed="false">
      <c r="B876" s="1104" t="str">
        <f aca="false">'Смета Внутр'!B876</f>
        <v>Саморезы 3,5 x 45            </v>
      </c>
      <c r="C876" s="1105" t="str">
        <f aca="false">'Смета Внутр'!C876</f>
        <v>шт</v>
      </c>
      <c r="D876" s="1106" t="n">
        <f aca="false">'Смета Внутр'!D876</f>
        <v>0</v>
      </c>
      <c r="E876" s="1104"/>
      <c r="F876" s="1107" t="n">
        <f aca="false">'Смета Внутр'!H876</f>
        <v>0</v>
      </c>
    </row>
    <row r="877" s="118" customFormat="true" ht="15" hidden="false" customHeight="false" outlineLevel="0" collapsed="false">
      <c r="B877" s="1104" t="str">
        <f aca="false">'Смета Внутр'!B877</f>
        <v>Доска сухая, 200*50мм</v>
      </c>
      <c r="C877" s="1105" t="str">
        <f aca="false">'Смета Внутр'!C877</f>
        <v>м3</v>
      </c>
      <c r="D877" s="1106" t="n">
        <f aca="false">'Смета Внутр'!D877</f>
        <v>0</v>
      </c>
      <c r="E877" s="1104"/>
      <c r="F877" s="1107" t="n">
        <f aca="false">'Смета Внутр'!H877</f>
        <v>0</v>
      </c>
    </row>
    <row r="878" s="118" customFormat="true" ht="15" hidden="false" customHeight="false" outlineLevel="0" collapsed="false">
      <c r="B878" s="1104" t="str">
        <f aca="false">'Смета Внутр'!B878</f>
        <v>Доска сухая, 150*50мм</v>
      </c>
      <c r="C878" s="1105" t="str">
        <f aca="false">'Смета Внутр'!C878</f>
        <v>м3</v>
      </c>
      <c r="D878" s="1106" t="n">
        <f aca="false">'Смета Внутр'!D878</f>
        <v>0</v>
      </c>
      <c r="E878" s="1104"/>
      <c r="F878" s="1107" t="n">
        <f aca="false">'Смета Внутр'!H878</f>
        <v>0</v>
      </c>
    </row>
    <row r="879" s="118" customFormat="true" ht="15" hidden="false" customHeight="false" outlineLevel="0" collapsed="false">
      <c r="B879" s="1104" t="str">
        <f aca="false">'Смета Внутр'!B879</f>
        <v>Гвозди ершоные 2,8 х 90            </v>
      </c>
      <c r="C879" s="1105" t="str">
        <f aca="false">'Смета Внутр'!C879</f>
        <v>кг</v>
      </c>
      <c r="D879" s="1106" t="n">
        <f aca="false">'Смета Внутр'!D879</f>
        <v>0</v>
      </c>
      <c r="E879" s="1104"/>
      <c r="F879" s="1107" t="n">
        <f aca="false">'Смета Внутр'!H879</f>
        <v>0</v>
      </c>
    </row>
    <row r="880" s="118" customFormat="true" ht="15" hidden="false" customHeight="false" outlineLevel="0" collapsed="false">
      <c r="B880" s="1104" t="str">
        <f aca="false">'Смета Внутр'!B880</f>
        <v>Доска сухая калиброванная, 190*45мм</v>
      </c>
      <c r="C880" s="1105" t="str">
        <f aca="false">'Смета Внутр'!C880</f>
        <v>м3</v>
      </c>
      <c r="D880" s="1106" t="n">
        <f aca="false">'Смета Внутр'!D880</f>
        <v>0</v>
      </c>
      <c r="E880" s="1104"/>
      <c r="F880" s="1107" t="n">
        <f aca="false">'Смета Внутр'!H880</f>
        <v>0</v>
      </c>
    </row>
    <row r="881" s="118" customFormat="true" ht="15" hidden="false" customHeight="false" outlineLevel="0" collapsed="false">
      <c r="B881" s="1104" t="str">
        <f aca="false">'Смета Внутр'!B881</f>
        <v>Доска сухая калиброванная, 145*45мм</v>
      </c>
      <c r="C881" s="1105" t="str">
        <f aca="false">'Смета Внутр'!C881</f>
        <v>м3</v>
      </c>
      <c r="D881" s="1106" t="n">
        <f aca="false">'Смета Внутр'!D881</f>
        <v>0</v>
      </c>
      <c r="E881" s="1104"/>
      <c r="F881" s="1107" t="n">
        <f aca="false">'Смета Внутр'!H881</f>
        <v>0</v>
      </c>
    </row>
    <row r="882" s="118" customFormat="true" ht="15" hidden="false" customHeight="false" outlineLevel="0" collapsed="false">
      <c r="B882" s="1104" t="str">
        <f aca="false">'Смета Внутр'!B882</f>
        <v>Гвозди ершоные 2,8 х 90            </v>
      </c>
      <c r="C882" s="1105" t="str">
        <f aca="false">'Смета Внутр'!C882</f>
        <v>кг</v>
      </c>
      <c r="D882" s="1106" t="n">
        <f aca="false">'Смета Внутр'!D882</f>
        <v>0</v>
      </c>
      <c r="E882" s="1104"/>
      <c r="F882" s="1107" t="n">
        <f aca="false">'Смета Внутр'!H882</f>
        <v>0</v>
      </c>
    </row>
    <row r="883" s="118" customFormat="true" ht="15" hidden="false" customHeight="false" outlineLevel="0" collapsed="false">
      <c r="B883" s="1104" t="str">
        <f aca="false">'Смета Внутр'!B883</f>
        <v>Двутавровая деревянная балка, 400*65мм</v>
      </c>
      <c r="C883" s="1105" t="str">
        <f aca="false">'Смета Внутр'!C883</f>
        <v>м.п.</v>
      </c>
      <c r="D883" s="1106" t="n">
        <f aca="false">'Смета Внутр'!D883</f>
        <v>0</v>
      </c>
      <c r="E883" s="1104"/>
      <c r="F883" s="1107" t="n">
        <f aca="false">'Смета Внутр'!H883</f>
        <v>0</v>
      </c>
    </row>
    <row r="884" s="118" customFormat="true" ht="15" hidden="false" customHeight="false" outlineLevel="0" collapsed="false">
      <c r="B884" s="1104" t="str">
        <f aca="false">'Смета Внутр'!B884</f>
        <v>Двутавровая деревянная балка, 400*90мм</v>
      </c>
      <c r="C884" s="1105" t="str">
        <f aca="false">'Смета Внутр'!C884</f>
        <v>м.п.</v>
      </c>
      <c r="D884" s="1106" t="n">
        <f aca="false">'Смета Внутр'!D884</f>
        <v>0</v>
      </c>
      <c r="E884" s="1104"/>
      <c r="F884" s="1107" t="n">
        <f aca="false">'Смета Внутр'!H884</f>
        <v>0</v>
      </c>
    </row>
    <row r="885" s="118" customFormat="true" ht="15" hidden="false" customHeight="false" outlineLevel="0" collapsed="false">
      <c r="B885" s="1104" t="str">
        <f aca="false">'Смета Внутр'!B885</f>
        <v>Двутавровая деревянная балка, 350*65мм</v>
      </c>
      <c r="C885" s="1105" t="str">
        <f aca="false">'Смета Внутр'!C885</f>
        <v>м.п.</v>
      </c>
      <c r="D885" s="1106" t="n">
        <f aca="false">'Смета Внутр'!D885</f>
        <v>0</v>
      </c>
      <c r="E885" s="1104"/>
      <c r="F885" s="1107" t="n">
        <f aca="false">'Смета Внутр'!H885</f>
        <v>0</v>
      </c>
    </row>
    <row r="886" s="118" customFormat="true" ht="15" hidden="false" customHeight="false" outlineLevel="0" collapsed="false">
      <c r="B886" s="1104" t="str">
        <f aca="false">'Смета Внутр'!B886</f>
        <v>Двутавровая деревянная балка, 350*90мм</v>
      </c>
      <c r="C886" s="1105" t="str">
        <f aca="false">'Смета Внутр'!C886</f>
        <v>м.п.</v>
      </c>
      <c r="D886" s="1106" t="n">
        <f aca="false">'Смета Внутр'!D886</f>
        <v>0</v>
      </c>
      <c r="E886" s="1104"/>
      <c r="F886" s="1107" t="n">
        <f aca="false">'Смета Внутр'!H886</f>
        <v>0</v>
      </c>
    </row>
    <row r="887" s="118" customFormat="true" ht="15" hidden="false" customHeight="false" outlineLevel="0" collapsed="false">
      <c r="B887" s="1104" t="str">
        <f aca="false">'Смета Внутр'!B887</f>
        <v>Двутавровая деревянная балка, 300*65мм</v>
      </c>
      <c r="C887" s="1105" t="str">
        <f aca="false">'Смета Внутр'!C887</f>
        <v>м.п.</v>
      </c>
      <c r="D887" s="1106" t="n">
        <f aca="false">'Смета Внутр'!D887</f>
        <v>0</v>
      </c>
      <c r="E887" s="1104"/>
      <c r="F887" s="1107" t="n">
        <f aca="false">'Смета Внутр'!H887</f>
        <v>0</v>
      </c>
    </row>
    <row r="888" s="118" customFormat="true" ht="15" hidden="false" customHeight="false" outlineLevel="0" collapsed="false">
      <c r="B888" s="1104" t="str">
        <f aca="false">'Смета Внутр'!B888</f>
        <v>Двутавровая деревянная балка, 300*90мм</v>
      </c>
      <c r="C888" s="1105" t="str">
        <f aca="false">'Смета Внутр'!C888</f>
        <v>м.п.</v>
      </c>
      <c r="D888" s="1106" t="n">
        <f aca="false">'Смета Внутр'!D888</f>
        <v>0</v>
      </c>
      <c r="E888" s="1104"/>
      <c r="F888" s="1107" t="n">
        <f aca="false">'Смета Внутр'!H888</f>
        <v>0</v>
      </c>
    </row>
    <row r="889" s="118" customFormat="true" ht="15" hidden="false" customHeight="false" outlineLevel="0" collapsed="false">
      <c r="B889" s="1104" t="str">
        <f aca="false">'Смета Внутр'!B889</f>
        <v>Двутавровая деревянная балка, 240*65мм</v>
      </c>
      <c r="C889" s="1105" t="str">
        <f aca="false">'Смета Внутр'!C889</f>
        <v>м.п.</v>
      </c>
      <c r="D889" s="1106" t="n">
        <f aca="false">'Смета Внутр'!D889</f>
        <v>0</v>
      </c>
      <c r="E889" s="1104"/>
      <c r="F889" s="1107" t="n">
        <f aca="false">'Смета Внутр'!H889</f>
        <v>0</v>
      </c>
    </row>
    <row r="890" s="118" customFormat="true" ht="15" hidden="false" customHeight="false" outlineLevel="0" collapsed="false">
      <c r="B890" s="1104" t="str">
        <f aca="false">'Смета Внутр'!B890</f>
        <v>Двутавровая деревянная балка, 240*90мм</v>
      </c>
      <c r="C890" s="1105" t="str">
        <f aca="false">'Смета Внутр'!C890</f>
        <v>м.п.</v>
      </c>
      <c r="D890" s="1106" t="n">
        <f aca="false">'Смета Внутр'!D890</f>
        <v>0</v>
      </c>
      <c r="E890" s="1104"/>
      <c r="F890" s="1107" t="n">
        <f aca="false">'Смета Внутр'!H890</f>
        <v>0</v>
      </c>
    </row>
    <row r="891" s="118" customFormat="true" ht="15" hidden="false" customHeight="false" outlineLevel="0" collapsed="false">
      <c r="B891" s="1104" t="str">
        <f aca="false">'Смета Внутр'!B891</f>
        <v>Двутавровая деревянная балка, 200*65мм</v>
      </c>
      <c r="C891" s="1105" t="str">
        <f aca="false">'Смета Внутр'!C891</f>
        <v>м.п.</v>
      </c>
      <c r="D891" s="1106" t="n">
        <f aca="false">'Смета Внутр'!D891</f>
        <v>0</v>
      </c>
      <c r="E891" s="1104"/>
      <c r="F891" s="1107" t="n">
        <f aca="false">'Смета Внутр'!H891</f>
        <v>0</v>
      </c>
    </row>
    <row r="892" s="118" customFormat="true" ht="15" hidden="false" customHeight="false" outlineLevel="0" collapsed="false">
      <c r="B892" s="1104" t="str">
        <f aca="false">'Смета Внутр'!B892</f>
        <v>Двутавровая деревянная балка, 200*90мм</v>
      </c>
      <c r="C892" s="1105" t="str">
        <f aca="false">'Смета Внутр'!C892</f>
        <v>м.п.</v>
      </c>
      <c r="D892" s="1106" t="n">
        <f aca="false">'Смета Внутр'!D892</f>
        <v>0</v>
      </c>
      <c r="E892" s="1104"/>
      <c r="F892" s="1107" t="n">
        <f aca="false">'Смета Внутр'!H892</f>
        <v>0</v>
      </c>
    </row>
    <row r="893" s="118" customFormat="true" ht="15" hidden="false" customHeight="false" outlineLevel="0" collapsed="false">
      <c r="B893" s="1104" t="str">
        <f aca="false">'Смета Внутр'!B893</f>
        <v>Двутавровая деревянная балка, 150*65мм</v>
      </c>
      <c r="C893" s="1105" t="str">
        <f aca="false">'Смета Внутр'!C893</f>
        <v>м.п.</v>
      </c>
      <c r="D893" s="1106" t="n">
        <f aca="false">'Смета Внутр'!D893</f>
        <v>0</v>
      </c>
      <c r="E893" s="1104"/>
      <c r="F893" s="1107" t="n">
        <f aca="false">'Смета Внутр'!H893</f>
        <v>0</v>
      </c>
    </row>
    <row r="894" s="118" customFormat="true" ht="15" hidden="false" customHeight="false" outlineLevel="0" collapsed="false">
      <c r="B894" s="1104" t="str">
        <f aca="false">'Смета Внутр'!B894</f>
        <v>Двутавровая деревянная балка, 150*90мм</v>
      </c>
      <c r="C894" s="1105" t="str">
        <f aca="false">'Смета Внутр'!C894</f>
        <v>м.п.</v>
      </c>
      <c r="D894" s="1106" t="n">
        <f aca="false">'Смета Внутр'!D894</f>
        <v>0</v>
      </c>
      <c r="E894" s="1104"/>
      <c r="F894" s="1107" t="n">
        <f aca="false">'Смета Внутр'!H894</f>
        <v>0</v>
      </c>
    </row>
    <row r="895" s="118" customFormat="true" ht="15" hidden="false" customHeight="false" outlineLevel="0" collapsed="false">
      <c r="B895" s="1104" t="str">
        <f aca="false">'Смета Внутр'!B895</f>
        <v>Уголок усиленный 90х70х55х2,5        </v>
      </c>
      <c r="C895" s="1105" t="str">
        <f aca="false">'Смета Внутр'!C895</f>
        <v>шт</v>
      </c>
      <c r="D895" s="1106" t="n">
        <f aca="false">'Смета Внутр'!D895</f>
        <v>0</v>
      </c>
      <c r="E895" s="1104"/>
      <c r="F895" s="1107" t="n">
        <f aca="false">'Смета Внутр'!H895</f>
        <v>0</v>
      </c>
    </row>
    <row r="896" s="118" customFormat="true" ht="15" hidden="false" customHeight="false" outlineLevel="0" collapsed="false">
      <c r="B896" s="1104" t="str">
        <f aca="false">'Смета Внутр'!B896</f>
        <v>Саморезы 3,5 x 55            </v>
      </c>
      <c r="C896" s="1105" t="str">
        <f aca="false">'Смета Внутр'!C896</f>
        <v>шт</v>
      </c>
      <c r="D896" s="1106" t="n">
        <f aca="false">'Смета Внутр'!D896</f>
        <v>0</v>
      </c>
      <c r="E896" s="1104"/>
      <c r="F896" s="1107" t="n">
        <f aca="false">'Смета Внутр'!H896</f>
        <v>0</v>
      </c>
    </row>
    <row r="897" s="118" customFormat="true" ht="15" hidden="false" customHeight="false" outlineLevel="0" collapsed="false">
      <c r="B897" s="1104" t="str">
        <f aca="false">'Смета Внутр'!B897</f>
        <v>Нет</v>
      </c>
      <c r="C897" s="1105" t="str">
        <f aca="false">'Смета Внутр'!C897</f>
        <v>м3</v>
      </c>
      <c r="D897" s="1106" t="n">
        <f aca="false">'Смета Внутр'!D897</f>
        <v>0</v>
      </c>
      <c r="E897" s="1104"/>
      <c r="F897" s="1107" t="n">
        <f aca="false">'Смета Внутр'!H897</f>
        <v>0</v>
      </c>
    </row>
    <row r="898" s="118" customFormat="true" ht="15" hidden="false" customHeight="false" outlineLevel="0" collapsed="false">
      <c r="B898" s="1104" t="str">
        <f aca="false">'Смета Внутр'!B898</f>
        <v>нет ветроизоляции</v>
      </c>
      <c r="C898" s="1105" t="str">
        <f aca="false">'Смета Внутр'!C898</f>
        <v>м2</v>
      </c>
      <c r="D898" s="1106" t="n">
        <f aca="false">'Смета Внутр'!D898</f>
        <v>0</v>
      </c>
      <c r="E898" s="1104"/>
      <c r="F898" s="1107" t="n">
        <f aca="false">'Смета Внутр'!H898</f>
        <v>0</v>
      </c>
    </row>
    <row r="899" s="118" customFormat="true" ht="15" hidden="false" customHeight="false" outlineLevel="0" collapsed="false">
      <c r="B899" s="1104" t="str">
        <f aca="false">'Смета Внутр'!B899</f>
        <v>нет пароизоляции</v>
      </c>
      <c r="C899" s="1105" t="str">
        <f aca="false">'Смета Внутр'!C899</f>
        <v>м2</v>
      </c>
      <c r="D899" s="1106" t="n">
        <f aca="false">'Смета Внутр'!D899</f>
        <v>0</v>
      </c>
      <c r="E899" s="1104"/>
      <c r="F899" s="1107" t="n">
        <f aca="false">'Смета Внутр'!H899</f>
        <v>0</v>
      </c>
    </row>
    <row r="900" s="118" customFormat="true" ht="15" hidden="false" customHeight="false" outlineLevel="0" collapsed="false">
      <c r="B900" s="1104" t="str">
        <f aca="false">'Смета Внутр'!B900</f>
        <v>нет</v>
      </c>
      <c r="C900" s="1105" t="str">
        <f aca="false">'Смета Внутр'!C900</f>
        <v>м3</v>
      </c>
      <c r="D900" s="1106" t="n">
        <f aca="false">'Смета Внутр'!D900</f>
        <v>0</v>
      </c>
      <c r="E900" s="1104"/>
      <c r="F900" s="1121" t="n">
        <f aca="false">'Смета Внутр'!H900</f>
        <v>0</v>
      </c>
    </row>
    <row r="901" s="118" customFormat="true" ht="15" hidden="false" customHeight="false" outlineLevel="0" collapsed="false">
      <c r="B901" s="1104" t="str">
        <f aca="false">'Смета Внутр'!B901</f>
        <v>нет</v>
      </c>
      <c r="C901" s="1105" t="str">
        <f aca="false">'Смета Внутр'!C901</f>
        <v>м3</v>
      </c>
      <c r="D901" s="1106" t="n">
        <f aca="false">'Смета Внутр'!D901</f>
        <v>0</v>
      </c>
      <c r="E901" s="1104"/>
      <c r="F901" s="1121" t="n">
        <f aca="false">'Смета Внутр'!H901</f>
        <v>0</v>
      </c>
    </row>
    <row r="902" s="118" customFormat="true" ht="15" hidden="false" customHeight="false" outlineLevel="0" collapsed="false">
      <c r="B902" s="1104" t="str">
        <f aca="false">'Смета Внутр'!B902</f>
        <v>нет</v>
      </c>
      <c r="C902" s="1105" t="str">
        <f aca="false">'Смета Внутр'!C902</f>
        <v>м3</v>
      </c>
      <c r="D902" s="1106" t="n">
        <f aca="false">'Смета Внутр'!D902</f>
        <v>0</v>
      </c>
      <c r="E902" s="1104"/>
      <c r="F902" s="1121" t="n">
        <f aca="false">'Смета Внутр'!H902</f>
        <v>0</v>
      </c>
    </row>
    <row r="903" s="118" customFormat="true" ht="15" hidden="false" customHeight="false" outlineLevel="0" collapsed="false">
      <c r="B903" s="1104" t="str">
        <f aca="false">'Смета Внутр'!B903</f>
        <v>нет</v>
      </c>
      <c r="C903" s="1105" t="str">
        <f aca="false">'Смета Внутр'!C903</f>
        <v>м3</v>
      </c>
      <c r="D903" s="1106" t="n">
        <f aca="false">'Смета Внутр'!D903</f>
        <v>0</v>
      </c>
      <c r="E903" s="1104"/>
      <c r="F903" s="1121" t="n">
        <f aca="false">'Смета Внутр'!H903</f>
        <v>0</v>
      </c>
    </row>
    <row r="904" s="118" customFormat="true" ht="15" hidden="false" customHeight="false" outlineLevel="0" collapsed="false">
      <c r="B904" s="1104" t="str">
        <f aca="false">'Смета Внутр'!B904</f>
        <v>нет</v>
      </c>
      <c r="C904" s="1105" t="str">
        <f aca="false">'Смета Внутр'!C904</f>
        <v>м3</v>
      </c>
      <c r="D904" s="1106" t="n">
        <f aca="false">'Смета Внутр'!D904</f>
        <v>0</v>
      </c>
      <c r="E904" s="1104"/>
      <c r="F904" s="1107" t="n">
        <f aca="false">'Смета Внутр'!H904</f>
        <v>0</v>
      </c>
    </row>
    <row r="905" s="118" customFormat="true" ht="15" hidden="false" customHeight="false" outlineLevel="0" collapsed="false">
      <c r="B905" s="1104" t="str">
        <f aca="false">'Смета Внутр'!B905</f>
        <v>нет</v>
      </c>
      <c r="C905" s="1105" t="str">
        <f aca="false">'Смета Внутр'!C905</f>
        <v>м3</v>
      </c>
      <c r="D905" s="1106" t="n">
        <f aca="false">'Смета Внутр'!D905</f>
        <v>0</v>
      </c>
      <c r="E905" s="1104"/>
      <c r="F905" s="1107" t="n">
        <f aca="false">'Смета Внутр'!H905</f>
        <v>0</v>
      </c>
    </row>
    <row r="906" s="118" customFormat="true" ht="15" hidden="false" customHeight="false" outlineLevel="0" collapsed="false">
      <c r="B906" s="1104" t="str">
        <f aca="false">'Смета Внутр'!B906</f>
        <v>Гвозди ершоные 2,8 х 90            </v>
      </c>
      <c r="C906" s="1105" t="str">
        <f aca="false">'Смета Внутр'!C906</f>
        <v>кг</v>
      </c>
      <c r="D906" s="1106" t="n">
        <f aca="false">'Смета Внутр'!D906</f>
        <v>0</v>
      </c>
      <c r="E906" s="1104"/>
      <c r="F906" s="1121" t="n">
        <f aca="false">'Смета Внутр'!H906</f>
        <v>0</v>
      </c>
    </row>
    <row r="907" customFormat="false" ht="15" hidden="false" customHeight="false" outlineLevel="0" collapsed="false">
      <c r="B907" s="1117" t="str">
        <f aca="false">'Смета Внутр'!B907</f>
        <v>Итого материалы</v>
      </c>
      <c r="C907" s="1117"/>
      <c r="D907" s="1117"/>
      <c r="E907" s="1117"/>
      <c r="F907" s="1100" t="n">
        <f aca="false">'Смета Внутр'!G907</f>
        <v>161912.141333333</v>
      </c>
    </row>
    <row r="908" customFormat="false" ht="15" hidden="false" customHeight="false" outlineLevel="0" collapsed="false">
      <c r="B908" s="1119" t="str">
        <f aca="false">'Смета Внутр'!B908</f>
        <v>Работы</v>
      </c>
      <c r="C908" s="1119"/>
      <c r="D908" s="1119"/>
      <c r="E908" s="1119"/>
      <c r="F908" s="1114" t="n">
        <f aca="false">'Смета Внутр'!H908</f>
        <v>1</v>
      </c>
    </row>
    <row r="909" s="118" customFormat="true" ht="15" hidden="false" customHeight="false" outlineLevel="0" collapsed="false">
      <c r="B909" s="1104" t="str">
        <f aca="false">'Смета Внутр'!B909</f>
        <v>Монтаж плит ЖБИ</v>
      </c>
      <c r="C909" s="1105" t="str">
        <f aca="false">'Смета Внутр'!C909</f>
        <v>м2</v>
      </c>
      <c r="D909" s="1106" t="n">
        <f aca="false">'Смета Внутр'!D909</f>
        <v>0</v>
      </c>
      <c r="E909" s="1104"/>
      <c r="F909" s="1107" t="n">
        <f aca="false">'Смета Внутр'!H909</f>
        <v>0</v>
      </c>
    </row>
    <row r="910" s="118" customFormat="true" ht="15" hidden="false" customHeight="false" outlineLevel="0" collapsed="false">
      <c r="B910" s="1104" t="str">
        <f aca="false">'Смета Внутр'!B910</f>
        <v>Монтаж опалубки</v>
      </c>
      <c r="C910" s="1105" t="str">
        <f aca="false">'Смета Внутр'!C910</f>
        <v>м2</v>
      </c>
      <c r="D910" s="1106" t="n">
        <f aca="false">'Смета Внутр'!D910</f>
        <v>0</v>
      </c>
      <c r="E910" s="1104"/>
      <c r="F910" s="1107" t="n">
        <f aca="false">'Смета Внутр'!H910</f>
        <v>0</v>
      </c>
    </row>
    <row r="911" s="118" customFormat="true" ht="15" hidden="false" customHeight="false" outlineLevel="0" collapsed="false">
      <c r="B911" s="1104" t="str">
        <f aca="false">'Смета Внутр'!B911</f>
        <v>Укладка пленки гидроизоляционной</v>
      </c>
      <c r="C911" s="1105" t="str">
        <f aca="false">'Смета Внутр'!C911</f>
        <v>м2</v>
      </c>
      <c r="D911" s="1106" t="n">
        <f aca="false">'Смета Внутр'!D911</f>
        <v>0</v>
      </c>
      <c r="E911" s="1104"/>
      <c r="F911" s="1107" t="n">
        <f aca="false">'Смета Внутр'!H911</f>
        <v>0</v>
      </c>
    </row>
    <row r="912" s="118" customFormat="true" ht="15" hidden="false" customHeight="false" outlineLevel="0" collapsed="false">
      <c r="B912" s="1104" t="str">
        <f aca="false">'Смета Внутр'!B912</f>
        <v>Армирование перекрытия/плиты</v>
      </c>
      <c r="C912" s="1105" t="str">
        <f aca="false">'Смета Внутр'!C912</f>
        <v>м2</v>
      </c>
      <c r="D912" s="1106" t="n">
        <f aca="false">'Смета Внутр'!D912</f>
        <v>0</v>
      </c>
      <c r="E912" s="1104"/>
      <c r="F912" s="1107" t="n">
        <f aca="false">'Смета Внутр'!H912</f>
        <v>0</v>
      </c>
    </row>
    <row r="913" s="118" customFormat="true" ht="15" hidden="false" customHeight="false" outlineLevel="0" collapsed="false">
      <c r="B913" s="1104" t="str">
        <f aca="false">'Смета Внутр'!B913</f>
        <v>Заливка бетоном перекрытия/плиты</v>
      </c>
      <c r="C913" s="1105" t="str">
        <f aca="false">'Смета Внутр'!C913</f>
        <v>м2</v>
      </c>
      <c r="D913" s="1106" t="n">
        <f aca="false">'Смета Внутр'!D913</f>
        <v>0</v>
      </c>
      <c r="E913" s="1104"/>
      <c r="F913" s="1107" t="n">
        <f aca="false">'Смета Внутр'!H913</f>
        <v>0</v>
      </c>
    </row>
    <row r="914" s="118" customFormat="true" ht="15" hidden="false" customHeight="false" outlineLevel="0" collapsed="false">
      <c r="B914" s="1104" t="str">
        <f aca="false">'Смета Внутр'!B914</f>
        <v>Монтаж перекрытий из бруса</v>
      </c>
      <c r="C914" s="1105" t="str">
        <f aca="false">'Смета Внутр'!C914</f>
        <v>м2</v>
      </c>
      <c r="D914" s="1106" t="n">
        <f aca="false">'Смета Внутр'!D914</f>
        <v>0</v>
      </c>
      <c r="E914" s="1104"/>
      <c r="F914" s="1121" t="n">
        <f aca="false">'Смета Внутр'!H914</f>
        <v>0</v>
      </c>
    </row>
    <row r="915" s="118" customFormat="true" ht="15" hidden="false" customHeight="false" outlineLevel="0" collapsed="false">
      <c r="B915" s="1104" t="str">
        <f aca="false">'Смета Внутр'!B915</f>
        <v>Монтаж перекрытий Сип-панели</v>
      </c>
      <c r="C915" s="1105" t="str">
        <f aca="false">'Смета Внутр'!C915</f>
        <v>м2</v>
      </c>
      <c r="D915" s="1106" t="n">
        <f aca="false">'Смета Внутр'!D915</f>
        <v>0</v>
      </c>
      <c r="E915" s="1104"/>
      <c r="F915" s="1107" t="n">
        <f aca="false">'Смета Внутр'!H915</f>
        <v>0</v>
      </c>
    </row>
    <row r="916" s="118" customFormat="true" ht="15" hidden="false" customHeight="false" outlineLevel="0" collapsed="false">
      <c r="B916" s="1104" t="str">
        <f aca="false">'Смета Внутр'!B916</f>
        <v>Монтаж перекрытий из сухой доски</v>
      </c>
      <c r="C916" s="1105" t="str">
        <f aca="false">'Смета Внутр'!C916</f>
        <v>м2</v>
      </c>
      <c r="D916" s="1106" t="n">
        <f aca="false">'Смета Внутр'!D916</f>
        <v>0</v>
      </c>
      <c r="E916" s="1104"/>
      <c r="F916" s="1107" t="n">
        <f aca="false">'Смета Внутр'!H916</f>
        <v>0</v>
      </c>
    </row>
    <row r="917" customFormat="false" ht="15" hidden="false" customHeight="false" outlineLevel="0" collapsed="false">
      <c r="B917" s="1097" t="str">
        <f aca="false">'Смета Внутр'!B917</f>
        <v>Монтаж перекрытий из двутавровой балки</v>
      </c>
      <c r="C917" s="1098" t="str">
        <f aca="false">'Смета Внутр'!C917</f>
        <v>м2</v>
      </c>
      <c r="D917" s="1099" t="n">
        <f aca="false">'Смета Внутр'!D917</f>
        <v>64</v>
      </c>
      <c r="E917" s="1097"/>
      <c r="F917" s="1116" t="n">
        <f aca="false">'Смета Внутр'!H917</f>
        <v>19200</v>
      </c>
    </row>
    <row r="918" s="118" customFormat="true" ht="15" hidden="false" customHeight="false" outlineLevel="0" collapsed="false">
      <c r="B918" s="1104" t="str">
        <f aca="false">'Смета Внутр'!B918</f>
        <v>Монтаж перекрестного пола</v>
      </c>
      <c r="C918" s="1105" t="str">
        <f aca="false">'Смета Внутр'!C918</f>
        <v>м2</v>
      </c>
      <c r="D918" s="1106" t="n">
        <f aca="false">'Смета Внутр'!D918</f>
        <v>0</v>
      </c>
      <c r="E918" s="1104"/>
      <c r="F918" s="1107" t="n">
        <f aca="false">'Смета Внутр'!H918</f>
        <v>0</v>
      </c>
    </row>
    <row r="919" customFormat="false" ht="15" hidden="false" customHeight="false" outlineLevel="0" collapsed="false">
      <c r="B919" s="1097" t="str">
        <f aca="false">'Смета Внутр'!B919</f>
        <v>Монтаж утеплителя перекрытия</v>
      </c>
      <c r="C919" s="1098" t="str">
        <f aca="false">'Смета Внутр'!C919</f>
        <v>м2</v>
      </c>
      <c r="D919" s="1099" t="n">
        <f aca="false">'Смета Внутр'!D919</f>
        <v>64</v>
      </c>
      <c r="E919" s="1097"/>
      <c r="F919" s="1125" t="n">
        <f aca="false">'Смета Внутр'!H919</f>
        <v>12800</v>
      </c>
    </row>
    <row r="920" s="118" customFormat="true" ht="15" hidden="false" customHeight="false" outlineLevel="0" collapsed="false">
      <c r="B920" s="1104" t="str">
        <f aca="false">'Смета Внутр'!B920</f>
        <v>Монтаж ветроизоляции перекрытий</v>
      </c>
      <c r="C920" s="1105" t="str">
        <f aca="false">'Смета Внутр'!C920</f>
        <v>м2</v>
      </c>
      <c r="D920" s="1106" t="n">
        <f aca="false">'Смета Внутр'!D920</f>
        <v>0</v>
      </c>
      <c r="E920" s="1104"/>
      <c r="F920" s="1121" t="n">
        <f aca="false">'Смета Внутр'!H920</f>
        <v>0</v>
      </c>
    </row>
    <row r="921" s="118" customFormat="true" ht="15" hidden="false" customHeight="false" outlineLevel="0" collapsed="false">
      <c r="B921" s="1104" t="str">
        <f aca="false">'Смета Внутр'!B921</f>
        <v>Монтаж пароизоляции перекрытий</v>
      </c>
      <c r="C921" s="1105" t="str">
        <f aca="false">'Смета Внутр'!C921</f>
        <v>м2</v>
      </c>
      <c r="D921" s="1106" t="n">
        <f aca="false">'Смета Внутр'!D921</f>
        <v>0</v>
      </c>
      <c r="E921" s="1104"/>
      <c r="F921" s="1121" t="n">
        <f aca="false">'Смета Внутр'!H921</f>
        <v>0</v>
      </c>
    </row>
    <row r="922" s="118" customFormat="true" ht="15" hidden="false" customHeight="false" outlineLevel="0" collapsed="false">
      <c r="B922" s="1104" t="str">
        <f aca="false">'Смета Внутр'!B922</f>
        <v>Монтаж плит ЖБИ</v>
      </c>
      <c r="C922" s="1105" t="str">
        <f aca="false">'Смета Внутр'!C922</f>
        <v>м2</v>
      </c>
      <c r="D922" s="1106" t="n">
        <f aca="false">'Смета Внутр'!D922</f>
        <v>0</v>
      </c>
      <c r="E922" s="1104"/>
      <c r="F922" s="1107" t="n">
        <f aca="false">'Смета Внутр'!H922</f>
        <v>0</v>
      </c>
    </row>
    <row r="923" customFormat="false" ht="15" hidden="false" customHeight="false" outlineLevel="0" collapsed="false">
      <c r="B923" s="1097" t="str">
        <f aca="false">'Смета Внутр'!B923</f>
        <v>Монтаж опалубки</v>
      </c>
      <c r="C923" s="1098" t="str">
        <f aca="false">'Смета Внутр'!C923</f>
        <v>м2</v>
      </c>
      <c r="D923" s="1099" t="n">
        <f aca="false">'Смета Внутр'!D923</f>
        <v>64</v>
      </c>
      <c r="E923" s="1097"/>
      <c r="F923" s="1116" t="n">
        <f aca="false">'Смета Внутр'!H923</f>
        <v>12800</v>
      </c>
    </row>
    <row r="924" customFormat="false" ht="15" hidden="false" customHeight="false" outlineLevel="0" collapsed="false">
      <c r="B924" s="1097" t="str">
        <f aca="false">'Смета Внутр'!B924</f>
        <v>Укладка пленки гидроизоляционной</v>
      </c>
      <c r="C924" s="1098" t="str">
        <f aca="false">'Смета Внутр'!C924</f>
        <v>м2</v>
      </c>
      <c r="D924" s="1099" t="n">
        <f aca="false">'Смета Внутр'!D924</f>
        <v>64</v>
      </c>
      <c r="E924" s="1097"/>
      <c r="F924" s="1116" t="n">
        <f aca="false">'Смета Внутр'!H924</f>
        <v>2560</v>
      </c>
    </row>
    <row r="925" customFormat="false" ht="15" hidden="false" customHeight="false" outlineLevel="0" collapsed="false">
      <c r="B925" s="1097" t="str">
        <f aca="false">'Смета Внутр'!B925</f>
        <v>Армирование перекрытия/плиты</v>
      </c>
      <c r="C925" s="1098" t="str">
        <f aca="false">'Смета Внутр'!C925</f>
        <v>м2</v>
      </c>
      <c r="D925" s="1099" t="n">
        <f aca="false">'Смета Внутр'!D925</f>
        <v>64</v>
      </c>
      <c r="E925" s="1097"/>
      <c r="F925" s="1116" t="n">
        <f aca="false">'Смета Внутр'!H925</f>
        <v>19200</v>
      </c>
    </row>
    <row r="926" customFormat="false" ht="15" hidden="false" customHeight="false" outlineLevel="0" collapsed="false">
      <c r="B926" s="1097" t="str">
        <f aca="false">'Смета Внутр'!B926</f>
        <v>Заливка бетоном перекрытия/плиты</v>
      </c>
      <c r="C926" s="1098" t="str">
        <f aca="false">'Смета Внутр'!C926</f>
        <v>м2</v>
      </c>
      <c r="D926" s="1099" t="n">
        <f aca="false">'Смета Внутр'!D926</f>
        <v>64</v>
      </c>
      <c r="E926" s="1097"/>
      <c r="F926" s="1116" t="n">
        <f aca="false">'Смета Внутр'!H926</f>
        <v>22400</v>
      </c>
    </row>
    <row r="927" s="118" customFormat="true" ht="15" hidden="false" customHeight="false" outlineLevel="0" collapsed="false">
      <c r="B927" s="1104" t="str">
        <f aca="false">'Смета Внутр'!B927</f>
        <v>Монтаж перекрытий из бруса</v>
      </c>
      <c r="C927" s="1105" t="str">
        <f aca="false">'Смета Внутр'!C927</f>
        <v>м2</v>
      </c>
      <c r="D927" s="1106" t="n">
        <f aca="false">'Смета Внутр'!D927</f>
        <v>0</v>
      </c>
      <c r="E927" s="1104"/>
      <c r="F927" s="1121" t="n">
        <f aca="false">'Смета Внутр'!H927</f>
        <v>0</v>
      </c>
    </row>
    <row r="928" s="118" customFormat="true" ht="15" hidden="false" customHeight="false" outlineLevel="0" collapsed="false">
      <c r="B928" s="1104" t="str">
        <f aca="false">'Смета Внутр'!B928</f>
        <v>Монтаж перекрытий Сип-панели</v>
      </c>
      <c r="C928" s="1105" t="str">
        <f aca="false">'Смета Внутр'!C928</f>
        <v>м2</v>
      </c>
      <c r="D928" s="1106" t="n">
        <f aca="false">'Смета Внутр'!D928</f>
        <v>0</v>
      </c>
      <c r="E928" s="1104"/>
      <c r="F928" s="1107" t="n">
        <f aca="false">'Смета Внутр'!H928</f>
        <v>0</v>
      </c>
    </row>
    <row r="929" s="118" customFormat="true" ht="15" hidden="false" customHeight="false" outlineLevel="0" collapsed="false">
      <c r="B929" s="1104" t="str">
        <f aca="false">'Смета Внутр'!B929</f>
        <v>Монтаж перекрытий из сухой доски</v>
      </c>
      <c r="C929" s="1105" t="str">
        <f aca="false">'Смета Внутр'!C929</f>
        <v>м2</v>
      </c>
      <c r="D929" s="1106" t="n">
        <f aca="false">'Смета Внутр'!D929</f>
        <v>0</v>
      </c>
      <c r="E929" s="1104"/>
      <c r="F929" s="1107" t="n">
        <f aca="false">'Смета Внутр'!H929</f>
        <v>0</v>
      </c>
    </row>
    <row r="930" s="118" customFormat="true" ht="15" hidden="false" customHeight="false" outlineLevel="0" collapsed="false">
      <c r="B930" s="1104" t="str">
        <f aca="false">'Смета Внутр'!B930</f>
        <v>Монтаж перекрытий из двутавровой балки</v>
      </c>
      <c r="C930" s="1105" t="str">
        <f aca="false">'Смета Внутр'!C930</f>
        <v>м2</v>
      </c>
      <c r="D930" s="1106" t="n">
        <f aca="false">'Смета Внутр'!D930</f>
        <v>0</v>
      </c>
      <c r="E930" s="1104"/>
      <c r="F930" s="1107" t="n">
        <f aca="false">'Смета Внутр'!H930</f>
        <v>0</v>
      </c>
    </row>
    <row r="931" customFormat="false" ht="15" hidden="false" customHeight="false" outlineLevel="0" collapsed="false">
      <c r="B931" s="1097" t="str">
        <f aca="false">'Смета Внутр'!B931</f>
        <v>Монтаж утеплителя перекрытия</v>
      </c>
      <c r="C931" s="1098" t="str">
        <f aca="false">'Смета Внутр'!C931</f>
        <v>м2</v>
      </c>
      <c r="D931" s="1099" t="n">
        <f aca="false">'Смета Внутр'!D931</f>
        <v>64</v>
      </c>
      <c r="E931" s="1097"/>
      <c r="F931" s="1125" t="n">
        <f aca="false">'Смета Внутр'!H931</f>
        <v>12800</v>
      </c>
    </row>
    <row r="932" s="118" customFormat="true" ht="15" hidden="false" customHeight="false" outlineLevel="0" collapsed="false">
      <c r="B932" s="1104" t="str">
        <f aca="false">'Смета Внутр'!B932</f>
        <v>Монтаж ветроизоляции перекрытий</v>
      </c>
      <c r="C932" s="1105" t="str">
        <f aca="false">'Смета Внутр'!C932</f>
        <v>м2</v>
      </c>
      <c r="D932" s="1106" t="n">
        <f aca="false">'Смета Внутр'!D932</f>
        <v>0</v>
      </c>
      <c r="E932" s="1104"/>
      <c r="F932" s="1121" t="n">
        <f aca="false">'Смета Внутр'!H932</f>
        <v>0</v>
      </c>
    </row>
    <row r="933" s="118" customFormat="true" ht="15" hidden="false" customHeight="false" outlineLevel="0" collapsed="false">
      <c r="B933" s="1104" t="str">
        <f aca="false">'Смета Внутр'!B933</f>
        <v>Монтаж пароизоляции перекрытий</v>
      </c>
      <c r="C933" s="1105" t="str">
        <f aca="false">'Смета Внутр'!C933</f>
        <v>м2</v>
      </c>
      <c r="D933" s="1106" t="n">
        <f aca="false">'Смета Внутр'!D933</f>
        <v>0</v>
      </c>
      <c r="E933" s="1104"/>
      <c r="F933" s="1121" t="n">
        <f aca="false">'Смета Внутр'!H933</f>
        <v>0</v>
      </c>
    </row>
    <row r="934" s="118" customFormat="true" ht="15" hidden="false" customHeight="false" outlineLevel="0" collapsed="false">
      <c r="B934" s="1104" t="str">
        <f aca="false">'Смета Внутр'!B934</f>
        <v>Монтаж плит ЖБИ</v>
      </c>
      <c r="C934" s="1105" t="str">
        <f aca="false">'Смета Внутр'!C934</f>
        <v>м2</v>
      </c>
      <c r="D934" s="1106" t="n">
        <f aca="false">'Смета Внутр'!D934</f>
        <v>0</v>
      </c>
      <c r="E934" s="1104"/>
      <c r="F934" s="1107" t="n">
        <f aca="false">'Смета Внутр'!H934</f>
        <v>0</v>
      </c>
    </row>
    <row r="935" s="118" customFormat="true" ht="15" hidden="false" customHeight="false" outlineLevel="0" collapsed="false">
      <c r="B935" s="1104" t="str">
        <f aca="false">'Смета Внутр'!B935</f>
        <v>Монтаж опалубки</v>
      </c>
      <c r="C935" s="1105" t="str">
        <f aca="false">'Смета Внутр'!C935</f>
        <v>м2</v>
      </c>
      <c r="D935" s="1106" t="n">
        <f aca="false">'Смета Внутр'!D935</f>
        <v>0</v>
      </c>
      <c r="E935" s="1104"/>
      <c r="F935" s="1107" t="n">
        <f aca="false">'Смета Внутр'!H935</f>
        <v>0</v>
      </c>
    </row>
    <row r="936" s="118" customFormat="true" ht="15" hidden="false" customHeight="false" outlineLevel="0" collapsed="false">
      <c r="B936" s="1104" t="str">
        <f aca="false">'Смета Внутр'!B936</f>
        <v>Укладка пленки гидроизоляционной</v>
      </c>
      <c r="C936" s="1105" t="str">
        <f aca="false">'Смета Внутр'!C936</f>
        <v>м2</v>
      </c>
      <c r="D936" s="1106" t="n">
        <f aca="false">'Смета Внутр'!D936</f>
        <v>0</v>
      </c>
      <c r="E936" s="1104"/>
      <c r="F936" s="1107" t="n">
        <f aca="false">'Смета Внутр'!H936</f>
        <v>0</v>
      </c>
    </row>
    <row r="937" s="118" customFormat="true" ht="15" hidden="false" customHeight="false" outlineLevel="0" collapsed="false">
      <c r="B937" s="1104" t="str">
        <f aca="false">'Смета Внутр'!B937</f>
        <v>Армирование перекрытия/плиты</v>
      </c>
      <c r="C937" s="1105" t="str">
        <f aca="false">'Смета Внутр'!C937</f>
        <v>м2</v>
      </c>
      <c r="D937" s="1106" t="n">
        <f aca="false">'Смета Внутр'!D937</f>
        <v>0</v>
      </c>
      <c r="E937" s="1104"/>
      <c r="F937" s="1107" t="n">
        <f aca="false">'Смета Внутр'!H937</f>
        <v>0</v>
      </c>
    </row>
    <row r="938" s="118" customFormat="true" ht="15" hidden="false" customHeight="false" outlineLevel="0" collapsed="false">
      <c r="B938" s="1104" t="str">
        <f aca="false">'Смета Внутр'!B938</f>
        <v>Заливка бетоном перекрытия/плиты</v>
      </c>
      <c r="C938" s="1105" t="str">
        <f aca="false">'Смета Внутр'!C938</f>
        <v>м2</v>
      </c>
      <c r="D938" s="1106" t="n">
        <f aca="false">'Смета Внутр'!D938</f>
        <v>0</v>
      </c>
      <c r="E938" s="1104"/>
      <c r="F938" s="1107" t="n">
        <f aca="false">'Смета Внутр'!H938</f>
        <v>0</v>
      </c>
    </row>
    <row r="939" s="118" customFormat="true" ht="15" hidden="false" customHeight="false" outlineLevel="0" collapsed="false">
      <c r="B939" s="1104" t="str">
        <f aca="false">'Смета Внутр'!B939</f>
        <v>Монтаж перекрытий из бруса</v>
      </c>
      <c r="C939" s="1105" t="str">
        <f aca="false">'Смета Внутр'!C939</f>
        <v>м2</v>
      </c>
      <c r="D939" s="1106" t="n">
        <f aca="false">'Смета Внутр'!D939</f>
        <v>0</v>
      </c>
      <c r="E939" s="1104"/>
      <c r="F939" s="1121" t="n">
        <f aca="false">'Смета Внутр'!H939</f>
        <v>0</v>
      </c>
    </row>
    <row r="940" s="118" customFormat="true" ht="15" hidden="false" customHeight="false" outlineLevel="0" collapsed="false">
      <c r="B940" s="1104" t="str">
        <f aca="false">'Смета Внутр'!B940</f>
        <v>Монтаж перекрытий Сип-панели</v>
      </c>
      <c r="C940" s="1105" t="str">
        <f aca="false">'Смета Внутр'!C940</f>
        <v>м2</v>
      </c>
      <c r="D940" s="1106" t="n">
        <f aca="false">'Смета Внутр'!D940</f>
        <v>0</v>
      </c>
      <c r="E940" s="1104"/>
      <c r="F940" s="1107" t="n">
        <f aca="false">'Смета Внутр'!H940</f>
        <v>0</v>
      </c>
    </row>
    <row r="941" s="118" customFormat="true" ht="15" hidden="false" customHeight="false" outlineLevel="0" collapsed="false">
      <c r="B941" s="1104" t="str">
        <f aca="false">'Смета Внутр'!B941</f>
        <v>Монтаж перекрытий из сухой доски</v>
      </c>
      <c r="C941" s="1105" t="str">
        <f aca="false">'Смета Внутр'!C941</f>
        <v>м2</v>
      </c>
      <c r="D941" s="1106" t="n">
        <f aca="false">'Смета Внутр'!D941</f>
        <v>0</v>
      </c>
      <c r="E941" s="1104"/>
      <c r="F941" s="1107" t="n">
        <f aca="false">'Смета Внутр'!H941</f>
        <v>0</v>
      </c>
    </row>
    <row r="942" s="118" customFormat="true" ht="15" hidden="false" customHeight="false" outlineLevel="0" collapsed="false">
      <c r="B942" s="1104" t="str">
        <f aca="false">'Смета Внутр'!B942</f>
        <v>Монтаж перекрытий из двутавровой балки</v>
      </c>
      <c r="C942" s="1105" t="str">
        <f aca="false">'Смета Внутр'!C942</f>
        <v>м2</v>
      </c>
      <c r="D942" s="1106" t="n">
        <f aca="false">'Смета Внутр'!D942</f>
        <v>0</v>
      </c>
      <c r="E942" s="1104"/>
      <c r="F942" s="1107" t="n">
        <f aca="false">'Смета Внутр'!H942</f>
        <v>0</v>
      </c>
    </row>
    <row r="943" s="118" customFormat="true" ht="15" hidden="false" customHeight="false" outlineLevel="0" collapsed="false">
      <c r="B943" s="1104" t="str">
        <f aca="false">'Смета Внутр'!B943</f>
        <v>Монтаж утеплителя перекрытия</v>
      </c>
      <c r="C943" s="1105" t="str">
        <f aca="false">'Смета Внутр'!C943</f>
        <v>м2</v>
      </c>
      <c r="D943" s="1106" t="n">
        <f aca="false">'Смета Внутр'!D943</f>
        <v>0</v>
      </c>
      <c r="E943" s="1104"/>
      <c r="F943" s="1107" t="n">
        <f aca="false">'Смета Внутр'!H943</f>
        <v>0</v>
      </c>
    </row>
    <row r="944" s="118" customFormat="true" ht="15" hidden="false" customHeight="false" outlineLevel="0" collapsed="false">
      <c r="B944" s="1104" t="str">
        <f aca="false">'Смета Внутр'!B944</f>
        <v>Монтаж ветроизоляции перекрытий</v>
      </c>
      <c r="C944" s="1105" t="str">
        <f aca="false">'Смета Внутр'!C944</f>
        <v>м2</v>
      </c>
      <c r="D944" s="1106" t="n">
        <f aca="false">'Смета Внутр'!D944</f>
        <v>0</v>
      </c>
      <c r="E944" s="1104"/>
      <c r="F944" s="1107" t="n">
        <f aca="false">'Смета Внутр'!H944</f>
        <v>0</v>
      </c>
    </row>
    <row r="945" s="118" customFormat="true" ht="15" hidden="false" customHeight="false" outlineLevel="0" collapsed="false">
      <c r="B945" s="1104" t="str">
        <f aca="false">'Смета Внутр'!B945</f>
        <v>Монтаж пароизоляции перекрытий</v>
      </c>
      <c r="C945" s="1105" t="str">
        <f aca="false">'Смета Внутр'!C945</f>
        <v>м2</v>
      </c>
      <c r="D945" s="1106" t="n">
        <f aca="false">'Смета Внутр'!D945</f>
        <v>0</v>
      </c>
      <c r="E945" s="1104"/>
      <c r="F945" s="1107" t="n">
        <f aca="false">'Смета Внутр'!H945</f>
        <v>0</v>
      </c>
    </row>
    <row r="946" s="118" customFormat="true" ht="15" hidden="false" customHeight="false" outlineLevel="0" collapsed="false">
      <c r="B946" s="1104" t="str">
        <f aca="false">'Смета Внутр'!B946</f>
        <v>Монтаж перекрестного пола</v>
      </c>
      <c r="C946" s="1105" t="str">
        <f aca="false">'Смета Внутр'!C946</f>
        <v>м2</v>
      </c>
      <c r="D946" s="1106" t="n">
        <f aca="false">'Смета Внутр'!D946</f>
        <v>0</v>
      </c>
      <c r="E946" s="1104"/>
      <c r="F946" s="1107" t="n">
        <f aca="false">'Смета Внутр'!H946</f>
        <v>0</v>
      </c>
    </row>
    <row r="947" s="118" customFormat="true" ht="15" hidden="false" customHeight="false" outlineLevel="0" collapsed="false">
      <c r="B947" s="1104" t="str">
        <f aca="false">'Смета Внутр'!B947</f>
        <v>Монтаж чернового пола 0 этажа</v>
      </c>
      <c r="C947" s="1105" t="str">
        <f aca="false">'Смета Внутр'!C947</f>
        <v>м2</v>
      </c>
      <c r="D947" s="1106" t="n">
        <f aca="false">'Смета Внутр'!D947</f>
        <v>0</v>
      </c>
      <c r="E947" s="1104"/>
      <c r="F947" s="1121" t="n">
        <f aca="false">'Смета Внутр'!H947</f>
        <v>0</v>
      </c>
    </row>
    <row r="948" s="118" customFormat="true" ht="15" hidden="false" customHeight="false" outlineLevel="0" collapsed="false">
      <c r="B948" s="1104" t="str">
        <f aca="false">'Смета Внутр'!B948</f>
        <v>Монтаж чернового пола 1 этажа</v>
      </c>
      <c r="C948" s="1105" t="str">
        <f aca="false">'Смета Внутр'!C948</f>
        <v>м2</v>
      </c>
      <c r="D948" s="1106" t="n">
        <f aca="false">'Смета Внутр'!D948</f>
        <v>0</v>
      </c>
      <c r="E948" s="1104"/>
      <c r="F948" s="1121" t="n">
        <f aca="false">'Смета Внутр'!H948</f>
        <v>0</v>
      </c>
    </row>
    <row r="949" s="118" customFormat="true" ht="15" hidden="false" customHeight="false" outlineLevel="0" collapsed="false">
      <c r="B949" s="1104" t="str">
        <f aca="false">'Смета Внутр'!B949</f>
        <v>Монтаж чернового пола 2 этажа</v>
      </c>
      <c r="C949" s="1105" t="str">
        <f aca="false">'Смета Внутр'!C949</f>
        <v>м2</v>
      </c>
      <c r="D949" s="1106" t="n">
        <f aca="false">'Смета Внутр'!D949</f>
        <v>0</v>
      </c>
      <c r="E949" s="1104"/>
      <c r="F949" s="1107" t="n">
        <f aca="false">'Смета Внутр'!H949</f>
        <v>0</v>
      </c>
    </row>
    <row r="950" customFormat="false" ht="15" hidden="false" customHeight="false" outlineLevel="0" collapsed="false">
      <c r="B950" s="1117" t="str">
        <f aca="false">'Смета Внутр'!B950</f>
        <v>Итого работы</v>
      </c>
      <c r="C950" s="1117"/>
      <c r="D950" s="1117"/>
      <c r="E950" s="1117"/>
      <c r="F950" s="1100" t="n">
        <f aca="false">'Смета Внутр'!G950</f>
        <v>101760</v>
      </c>
    </row>
    <row r="951" s="118" customFormat="true" ht="18.75" hidden="false" customHeight="false" outlineLevel="0" collapsed="false">
      <c r="B951" s="1111" t="str">
        <f aca="false">'Смета Внутр'!B951</f>
        <v>Веранда/терасса деревянная</v>
      </c>
      <c r="C951" s="1111"/>
      <c r="D951" s="1111"/>
      <c r="E951" s="1111"/>
      <c r="F951" s="1102" t="n">
        <f aca="false">'Смета Внутр'!H951</f>
        <v>0</v>
      </c>
    </row>
    <row r="952" s="118" customFormat="true" ht="15" hidden="false" customHeight="false" outlineLevel="0" collapsed="false">
      <c r="B952" s="1103" t="str">
        <f aca="false">'Смета Внутр'!B952</f>
        <v>Материалы</v>
      </c>
      <c r="C952" s="1103"/>
      <c r="D952" s="1103"/>
      <c r="E952" s="1103"/>
      <c r="F952" s="1102" t="n">
        <f aca="false">'Смета Внутр'!H952</f>
        <v>0</v>
      </c>
    </row>
    <row r="953" s="118" customFormat="true" ht="15" hidden="false" customHeight="false" outlineLevel="0" collapsed="false">
      <c r="B953" s="1104" t="str">
        <f aca="false">'Смета Внутр'!B953</f>
        <v>Листв. влаж, 200*200мм</v>
      </c>
      <c r="C953" s="1105" t="str">
        <f aca="false">'Смета Внутр'!C953</f>
        <v>м3</v>
      </c>
      <c r="D953" s="1106" t="n">
        <f aca="false">'Смета Внутр'!D953</f>
        <v>0</v>
      </c>
      <c r="E953" s="1104"/>
      <c r="F953" s="1107" t="n">
        <f aca="false">'Смета Внутр'!H953</f>
        <v>0</v>
      </c>
    </row>
    <row r="954" s="118" customFormat="true" ht="15" hidden="false" customHeight="false" outlineLevel="0" collapsed="false">
      <c r="B954" s="1104" t="str">
        <f aca="false">'Смета Внутр'!B954</f>
        <v>Листв. влаж, 200*150мм</v>
      </c>
      <c r="C954" s="1105" t="str">
        <f aca="false">'Смета Внутр'!C954</f>
        <v>м3</v>
      </c>
      <c r="D954" s="1106" t="n">
        <f aca="false">'Смета Внутр'!D954</f>
        <v>0.54</v>
      </c>
      <c r="E954" s="1104"/>
      <c r="F954" s="1107" t="n">
        <f aca="false">'Смета Внутр'!H954</f>
        <v>0</v>
      </c>
    </row>
    <row r="955" s="118" customFormat="true" ht="15" hidden="false" customHeight="false" outlineLevel="0" collapsed="false">
      <c r="B955" s="1104" t="str">
        <f aca="false">'Смета Внутр'!B955</f>
        <v>Рубероид</v>
      </c>
      <c r="C955" s="1105" t="str">
        <f aca="false">'Смета Внутр'!C955</f>
        <v>м.п.</v>
      </c>
      <c r="D955" s="1106" t="n">
        <f aca="false">'Смета Внутр'!D955</f>
        <v>0</v>
      </c>
      <c r="E955" s="1104"/>
      <c r="F955" s="1107" t="n">
        <f aca="false">'Смета Внутр'!H955</f>
        <v>0</v>
      </c>
    </row>
    <row r="956" s="118" customFormat="true" ht="15" hidden="false" customHeight="false" outlineLevel="0" collapsed="false">
      <c r="B956" s="1104" t="str">
        <f aca="false">'Смета Внутр'!B956</f>
        <v>Листв. влаж, 200*150мм</v>
      </c>
      <c r="C956" s="1105" t="str">
        <f aca="false">'Смета Внутр'!C956</f>
        <v>м3</v>
      </c>
      <c r="D956" s="1106" t="n">
        <f aca="false">'Смета Внутр'!D956</f>
        <v>0</v>
      </c>
      <c r="E956" s="1104"/>
      <c r="F956" s="1107" t="n">
        <f aca="false">'Смета Внутр'!H956</f>
        <v>0</v>
      </c>
    </row>
    <row r="957" s="118" customFormat="true" ht="15" hidden="false" customHeight="false" outlineLevel="0" collapsed="false">
      <c r="B957" s="1104" t="str">
        <f aca="false">'Смета Внутр'!B957</f>
        <v>Проф.брус вл. 200*150мм</v>
      </c>
      <c r="C957" s="1105" t="str">
        <f aca="false">'Смета Внутр'!C957</f>
        <v>м3</v>
      </c>
      <c r="D957" s="1106" t="n">
        <f aca="false">'Смета Внутр'!D957</f>
        <v>0.5265</v>
      </c>
      <c r="E957" s="1104"/>
      <c r="F957" s="1107" t="n">
        <f aca="false">'Смета Внутр'!H957</f>
        <v>0</v>
      </c>
    </row>
    <row r="958" s="118" customFormat="true" ht="15" hidden="false" customHeight="false" outlineLevel="0" collapsed="false">
      <c r="B958" s="1104" t="str">
        <f aca="false">'Смета Внутр'!B958</f>
        <v>Брус клееный проф 2 ламель кедр Шир. 240 выс. 140</v>
      </c>
      <c r="C958" s="1105" t="str">
        <f aca="false">'Смета Внутр'!C958</f>
        <v>м3</v>
      </c>
      <c r="D958" s="1106" t="n">
        <f aca="false">'Смета Внутр'!D958</f>
        <v>0.3024</v>
      </c>
      <c r="E958" s="1104"/>
      <c r="F958" s="1107" t="n">
        <f aca="false">'Смета Внутр'!H958</f>
        <v>0</v>
      </c>
    </row>
    <row r="959" s="118" customFormat="true" ht="15" hidden="false" customHeight="false" outlineLevel="0" collapsed="false">
      <c r="B959" s="1104" t="str">
        <f aca="false">'Смета Внутр'!B959</f>
        <v>Брус клееный проф 1 ламель кедр Шир. 240 выс. 140</v>
      </c>
      <c r="C959" s="1105" t="str">
        <f aca="false">'Смета Внутр'!C959</f>
        <v>м3</v>
      </c>
      <c r="D959" s="1106" t="n">
        <f aca="false">'Смета Внутр'!D959</f>
        <v>1.008</v>
      </c>
      <c r="E959" s="1104"/>
      <c r="F959" s="1107" t="n">
        <f aca="false">'Смета Внутр'!H959</f>
        <v>0</v>
      </c>
    </row>
    <row r="960" s="118" customFormat="true" ht="15" hidden="false" customHeight="false" outlineLevel="0" collapsed="false">
      <c r="B960" s="1104" t="str">
        <f aca="false">'Смета Внутр'!B960</f>
        <v>Проф.брус вл. 200*180мм</v>
      </c>
      <c r="C960" s="1105" t="str">
        <f aca="false">'Смета Внутр'!C960</f>
        <v>м3</v>
      </c>
      <c r="D960" s="1106" t="n">
        <f aca="false">'Смета Внутр'!D960</f>
        <v>0.504</v>
      </c>
      <c r="E960" s="1104"/>
      <c r="F960" s="1107" t="n">
        <f aca="false">'Смета Внутр'!H960</f>
        <v>0</v>
      </c>
    </row>
    <row r="961" s="118" customFormat="true" ht="15" hidden="false" customHeight="false" outlineLevel="0" collapsed="false">
      <c r="B961" s="1104" t="str">
        <f aca="false">'Смета Внутр'!B961</f>
        <v>Нет накладки</v>
      </c>
      <c r="C961" s="1105" t="str">
        <f aca="false">'Смета Внутр'!C961</f>
        <v>м.п.</v>
      </c>
      <c r="D961" s="1106" t="n">
        <f aca="false">'Смета Внутр'!D961</f>
        <v>9</v>
      </c>
      <c r="E961" s="1104"/>
      <c r="F961" s="1107" t="n">
        <f aca="false">'Смета Внутр'!H961</f>
        <v>0</v>
      </c>
    </row>
    <row r="962" s="118" customFormat="true" ht="15" hidden="false" customHeight="false" outlineLevel="0" collapsed="false">
      <c r="B962" s="1104" t="str">
        <f aca="false">'Смета Внутр'!B962</f>
        <v>Гидрокомпенсатор</v>
      </c>
      <c r="C962" s="1105" t="str">
        <f aca="false">'Смета Внутр'!C962</f>
        <v>шт</v>
      </c>
      <c r="D962" s="1106" t="n">
        <f aca="false">'Смета Внутр'!D962</f>
        <v>9</v>
      </c>
      <c r="E962" s="1104"/>
      <c r="F962" s="1107" t="n">
        <f aca="false">'Смета Внутр'!H962</f>
        <v>0</v>
      </c>
    </row>
    <row r="963" s="118" customFormat="true" ht="15" hidden="false" customHeight="false" outlineLevel="0" collapsed="false">
      <c r="B963" s="1104" t="str">
        <f aca="false">'Смета Внутр'!B963</f>
        <v>Уголок усиленный 90х70х55х2,5        </v>
      </c>
      <c r="C963" s="1105" t="str">
        <f aca="false">'Смета Внутр'!C963</f>
        <v>шт</v>
      </c>
      <c r="D963" s="1106" t="n">
        <f aca="false">'Смета Внутр'!D963</f>
        <v>0</v>
      </c>
      <c r="E963" s="1104"/>
      <c r="F963" s="1107" t="n">
        <f aca="false">'Смета Внутр'!H963</f>
        <v>0</v>
      </c>
    </row>
    <row r="964" s="118" customFormat="true" ht="15" hidden="false" customHeight="false" outlineLevel="0" collapsed="false">
      <c r="B964" s="1104" t="str">
        <f aca="false">'Смета Внутр'!B964</f>
        <v>Нет уголков</v>
      </c>
      <c r="C964" s="1105" t="str">
        <f aca="false">'Смета Внутр'!C964</f>
        <v>шт</v>
      </c>
      <c r="D964" s="1106" t="n">
        <f aca="false">'Смета Внутр'!D964</f>
        <v>0</v>
      </c>
      <c r="E964" s="1104"/>
      <c r="F964" s="1107" t="n">
        <f aca="false">'Смета Внутр'!H964</f>
        <v>0</v>
      </c>
    </row>
    <row r="965" s="118" customFormat="true" ht="15" hidden="false" customHeight="false" outlineLevel="0" collapsed="false">
      <c r="B965" s="1104" t="str">
        <f aca="false">'Смета Внутр'!B965</f>
        <v>Пластина соеденительная 100х240х2           </v>
      </c>
      <c r="C965" s="1105" t="str">
        <f aca="false">'Смета Внутр'!C965</f>
        <v>шт</v>
      </c>
      <c r="D965" s="1106" t="n">
        <f aca="false">'Смета Внутр'!D965</f>
        <v>0</v>
      </c>
      <c r="E965" s="1104"/>
      <c r="F965" s="1107" t="n">
        <f aca="false">'Смета Внутр'!H965</f>
        <v>0</v>
      </c>
    </row>
    <row r="966" s="118" customFormat="true" ht="15" hidden="false" customHeight="false" outlineLevel="0" collapsed="false">
      <c r="B966" s="1104" t="str">
        <f aca="false">'Смета Внутр'!B966</f>
        <v>Нет пластин</v>
      </c>
      <c r="C966" s="1105" t="str">
        <f aca="false">'Смета Внутр'!C966</f>
        <v>шт</v>
      </c>
      <c r="D966" s="1106" t="n">
        <f aca="false">'Смета Внутр'!D966</f>
        <v>0</v>
      </c>
      <c r="E966" s="1104"/>
      <c r="F966" s="1107" t="n">
        <f aca="false">'Смета Внутр'!H966</f>
        <v>0</v>
      </c>
    </row>
    <row r="967" s="118" customFormat="true" ht="15" hidden="false" customHeight="false" outlineLevel="0" collapsed="false">
      <c r="B967" s="1104" t="str">
        <f aca="false">'Смета Внутр'!B967</f>
        <v>Болты анкерные с гайкой 12,0 x 100          </v>
      </c>
      <c r="C967" s="1105" t="str">
        <f aca="false">'Смета Внутр'!C967</f>
        <v>шт</v>
      </c>
      <c r="D967" s="1106" t="n">
        <f aca="false">'Смета Внутр'!D967</f>
        <v>0</v>
      </c>
      <c r="E967" s="1104"/>
      <c r="F967" s="1107" t="n">
        <f aca="false">'Смета Внутр'!H967</f>
        <v>0</v>
      </c>
    </row>
    <row r="968" s="118" customFormat="true" ht="15" hidden="false" customHeight="false" outlineLevel="0" collapsed="false">
      <c r="B968" s="1104" t="str">
        <f aca="false">'Смета Внутр'!B968</f>
        <v>Нет анкерных болтов</v>
      </c>
      <c r="C968" s="1105" t="str">
        <f aca="false">'Смета Внутр'!C968</f>
        <v>шт</v>
      </c>
      <c r="D968" s="1106" t="n">
        <f aca="false">'Смета Внутр'!D968</f>
        <v>0</v>
      </c>
      <c r="E968" s="1104"/>
      <c r="F968" s="1107" t="n">
        <f aca="false">'Смета Внутр'!H968</f>
        <v>0</v>
      </c>
    </row>
    <row r="969" s="118" customFormat="true" ht="15" hidden="false" customHeight="false" outlineLevel="0" collapsed="false">
      <c r="B969" s="1104" t="str">
        <f aca="false">'Смета Внутр'!B969</f>
        <v>Саморезы 3,5 x 45            </v>
      </c>
      <c r="C969" s="1105" t="str">
        <f aca="false">'Смета Внутр'!C969</f>
        <v>кг</v>
      </c>
      <c r="D969" s="1106" t="n">
        <f aca="false">'Смета Внутр'!D969</f>
        <v>0</v>
      </c>
      <c r="E969" s="1104"/>
      <c r="F969" s="1107" t="n">
        <f aca="false">'Смета Внутр'!H969</f>
        <v>0</v>
      </c>
    </row>
    <row r="970" s="118" customFormat="true" ht="15" hidden="false" customHeight="false" outlineLevel="0" collapsed="false">
      <c r="B970" s="1104" t="str">
        <f aca="false">'Смета Внутр'!B970</f>
        <v>Нет саморезов</v>
      </c>
      <c r="C970" s="1105" t="str">
        <f aca="false">'Смета Внутр'!C970</f>
        <v>кг</v>
      </c>
      <c r="D970" s="1106" t="n">
        <f aca="false">'Смета Внутр'!D970</f>
        <v>0</v>
      </c>
      <c r="E970" s="1104"/>
      <c r="F970" s="1107" t="n">
        <f aca="false">'Смета Внутр'!H970</f>
        <v>0</v>
      </c>
    </row>
    <row r="971" s="118" customFormat="true" ht="15" hidden="false" customHeight="false" outlineLevel="0" collapsed="false">
      <c r="B971" s="1104" t="str">
        <f aca="false">'Смета Внутр'!B971</f>
        <v>Гвозди строительные 2,5 x 60            </v>
      </c>
      <c r="C971" s="1105" t="str">
        <f aca="false">'Смета Внутр'!C971</f>
        <v>кг</v>
      </c>
      <c r="D971" s="1106" t="n">
        <f aca="false">'Смета Внутр'!D971</f>
        <v>0</v>
      </c>
      <c r="E971" s="1104"/>
      <c r="F971" s="1107" t="n">
        <f aca="false">'Смета Внутр'!H971</f>
        <v>0</v>
      </c>
    </row>
    <row r="972" s="118" customFormat="true" ht="15" hidden="false" customHeight="false" outlineLevel="0" collapsed="false">
      <c r="B972" s="1104" t="str">
        <f aca="false">'Смета Внутр'!B972</f>
        <v>Гвозди ершоные 3,4 x 60            </v>
      </c>
      <c r="C972" s="1105" t="str">
        <f aca="false">'Смета Внутр'!C972</f>
        <v>кг</v>
      </c>
      <c r="D972" s="1106" t="n">
        <f aca="false">'Смета Внутр'!D972</f>
        <v>0</v>
      </c>
      <c r="E972" s="1104"/>
      <c r="F972" s="1107" t="n">
        <f aca="false">'Смета Внутр'!H972</f>
        <v>0</v>
      </c>
    </row>
    <row r="973" s="118" customFormat="true" ht="15" hidden="false" customHeight="false" outlineLevel="0" collapsed="false">
      <c r="B973" s="1104" t="str">
        <f aca="false">'Смета Внутр'!B973</f>
        <v>Гидроизоляция жидкая резина 1</v>
      </c>
      <c r="C973" s="1105" t="str">
        <f aca="false">'Смета Внутр'!C973</f>
        <v>кг</v>
      </c>
      <c r="D973" s="1106" t="n">
        <f aca="false">'Смета Внутр'!D973</f>
        <v>0</v>
      </c>
      <c r="E973" s="1104"/>
      <c r="F973" s="1107" t="n">
        <f aca="false">'Смета Внутр'!H973</f>
        <v>0</v>
      </c>
    </row>
    <row r="974" s="118" customFormat="true" ht="15" hidden="false" customHeight="false" outlineLevel="0" collapsed="false">
      <c r="B974" s="1104" t="str">
        <f aca="false">'Смета Внутр'!B974</f>
        <v>Kronospan - OSB-3, 22мм</v>
      </c>
      <c r="C974" s="1105" t="str">
        <f aca="false">'Смета Внутр'!C974</f>
        <v>м2</v>
      </c>
      <c r="D974" s="1106" t="n">
        <f aca="false">'Смета Внутр'!D974</f>
        <v>0</v>
      </c>
      <c r="E974" s="1104"/>
      <c r="F974" s="1107" t="n">
        <f aca="false">'Смета Внутр'!H974</f>
        <v>0</v>
      </c>
    </row>
    <row r="975" s="118" customFormat="true" ht="15" hidden="false" customHeight="false" outlineLevel="0" collapsed="false">
      <c r="B975" s="1104" t="str">
        <f aca="false">'Смета Внутр'!B975</f>
        <v>Проф.брус вл. 200*150мм</v>
      </c>
      <c r="C975" s="1105" t="str">
        <f aca="false">'Смета Внутр'!C975</f>
        <v>м3</v>
      </c>
      <c r="D975" s="1106" t="n">
        <f aca="false">'Смета Внутр'!D975</f>
        <v>0.09</v>
      </c>
      <c r="E975" s="1104"/>
      <c r="F975" s="1107" t="n">
        <f aca="false">'Смета Внутр'!H975</f>
        <v>0</v>
      </c>
    </row>
    <row r="976" s="118" customFormat="true" ht="15" hidden="false" customHeight="false" outlineLevel="0" collapsed="false">
      <c r="B976" s="1104" t="str">
        <f aca="false">'Смета Внутр'!B976</f>
        <v>Брус клееный проф 2 ламель кедр Шир. 240 выс. 140</v>
      </c>
      <c r="C976" s="1105" t="str">
        <f aca="false">'Смета Внутр'!C976</f>
        <v>м3</v>
      </c>
      <c r="D976" s="1106" t="n">
        <f aca="false">'Смета Внутр'!D976</f>
        <v>0.12096</v>
      </c>
      <c r="E976" s="1104"/>
      <c r="F976" s="1107" t="n">
        <f aca="false">'Смета Внутр'!H976</f>
        <v>0</v>
      </c>
    </row>
    <row r="977" s="118" customFormat="true" ht="15" hidden="false" customHeight="false" outlineLevel="0" collapsed="false">
      <c r="B977" s="1104" t="str">
        <f aca="false">'Смета Внутр'!B977</f>
        <v>Брус клееный проф 1 ламель кедр Шир. 240 выс. 140</v>
      </c>
      <c r="C977" s="1105" t="str">
        <f aca="false">'Смета Внутр'!C977</f>
        <v>м3</v>
      </c>
      <c r="D977" s="1106" t="n">
        <f aca="false">'Смета Внутр'!D977</f>
        <v>0.4368</v>
      </c>
      <c r="E977" s="1104"/>
      <c r="F977" s="1107" t="n">
        <f aca="false">'Смета Внутр'!H977</f>
        <v>0</v>
      </c>
    </row>
    <row r="978" s="118" customFormat="true" ht="15" hidden="false" customHeight="false" outlineLevel="0" collapsed="false">
      <c r="B978" s="1104" t="str">
        <f aca="false">'Смета Внутр'!B978</f>
        <v>Клееная накладка на перила шир 240мм</v>
      </c>
      <c r="C978" s="1105" t="str">
        <f aca="false">'Смета Внутр'!C978</f>
        <v>м.п.</v>
      </c>
      <c r="D978" s="1106" t="n">
        <f aca="false">'Смета Внутр'!D978</f>
        <v>3.6</v>
      </c>
      <c r="E978" s="1104"/>
      <c r="F978" s="1107" t="n">
        <f aca="false">'Смета Внутр'!H978</f>
        <v>0</v>
      </c>
    </row>
    <row r="979" s="118" customFormat="true" ht="15" hidden="false" customHeight="false" outlineLevel="0" collapsed="false">
      <c r="B979" s="1108" t="str">
        <f aca="false">'Смета Внутр'!B979</f>
        <v>Итого материалы</v>
      </c>
      <c r="C979" s="1108"/>
      <c r="D979" s="1108"/>
      <c r="E979" s="1108"/>
      <c r="F979" s="1109" t="n">
        <f aca="false">'Смета Внутр'!G979</f>
        <v>0</v>
      </c>
    </row>
    <row r="980" s="118" customFormat="true" ht="15" hidden="false" customHeight="false" outlineLevel="0" collapsed="false">
      <c r="B980" s="1110" t="str">
        <f aca="false">'Смета Внутр'!B980</f>
        <v>Работы</v>
      </c>
      <c r="C980" s="1110"/>
      <c r="D980" s="1110"/>
      <c r="E980" s="1110"/>
      <c r="F980" s="1102" t="n">
        <f aca="false">'Смета Внутр'!H980</f>
        <v>0</v>
      </c>
    </row>
    <row r="981" s="118" customFormat="true" ht="15" hidden="false" customHeight="false" outlineLevel="0" collapsed="false">
      <c r="B981" s="1104" t="str">
        <f aca="false">'Смета Внутр'!B981</f>
        <v>монтаж веранды</v>
      </c>
      <c r="C981" s="1105" t="str">
        <f aca="false">'Смета Внутр'!C981</f>
        <v>м2</v>
      </c>
      <c r="D981" s="1106" t="n">
        <f aca="false">'Смета Внутр'!D981</f>
        <v>9</v>
      </c>
      <c r="E981" s="1104"/>
      <c r="F981" s="1107" t="n">
        <f aca="false">'Смета Внутр'!H981</f>
        <v>0</v>
      </c>
    </row>
    <row r="982" s="118" customFormat="true" ht="15" hidden="false" customHeight="false" outlineLevel="0" collapsed="false">
      <c r="B982" s="1104" t="str">
        <f aca="false">'Смета Внутр'!B982</f>
        <v>монтаж лаги, перекрытия</v>
      </c>
      <c r="C982" s="1105" t="str">
        <f aca="false">'Смета Внутр'!C982</f>
        <v>м2</v>
      </c>
      <c r="D982" s="1106" t="n">
        <f aca="false">'Смета Внутр'!D982</f>
        <v>9</v>
      </c>
      <c r="E982" s="1104"/>
      <c r="F982" s="1107" t="n">
        <f aca="false">'Смета Внутр'!H982</f>
        <v>0</v>
      </c>
    </row>
    <row r="983" s="118" customFormat="true" ht="15" hidden="false" customHeight="false" outlineLevel="0" collapsed="false">
      <c r="B983" s="1104" t="str">
        <f aca="false">'Смета Внутр'!B983</f>
        <v>Монтаж накладки на перила</v>
      </c>
      <c r="C983" s="1105" t="str">
        <f aca="false">'Смета Внутр'!C983</f>
        <v>м.п.</v>
      </c>
      <c r="D983" s="1106" t="n">
        <f aca="false">'Смета Внутр'!D983</f>
        <v>9</v>
      </c>
      <c r="E983" s="1104"/>
      <c r="F983" s="1107" t="n">
        <f aca="false">'Смета Внутр'!H983</f>
        <v>0</v>
      </c>
    </row>
    <row r="984" s="118" customFormat="true" ht="15" hidden="false" customHeight="false" outlineLevel="0" collapsed="false">
      <c r="B984" s="1104" t="str">
        <f aca="false">'Смета Внутр'!B984</f>
        <v>Монтаж перил</v>
      </c>
      <c r="C984" s="1105" t="str">
        <f aca="false">'Смета Внутр'!C984</f>
        <v>м.п.</v>
      </c>
      <c r="D984" s="1106" t="n">
        <f aca="false">'Смета Внутр'!D984</f>
        <v>9</v>
      </c>
      <c r="E984" s="1104"/>
      <c r="F984" s="1107" t="n">
        <f aca="false">'Смета Внутр'!H984</f>
        <v>0</v>
      </c>
    </row>
    <row r="985" s="118" customFormat="true" ht="15" hidden="false" customHeight="false" outlineLevel="0" collapsed="false">
      <c r="B985" s="1104" t="str">
        <f aca="false">'Смета Внутр'!B985</f>
        <v>Гидроизоляция рулонная</v>
      </c>
      <c r="C985" s="1105" t="str">
        <f aca="false">'Смета Внутр'!C985</f>
        <v>м2</v>
      </c>
      <c r="D985" s="1106" t="n">
        <f aca="false">'Смета Внутр'!D985</f>
        <v>0</v>
      </c>
      <c r="E985" s="1104"/>
      <c r="F985" s="1107" t="n">
        <f aca="false">'Смета Внутр'!H985</f>
        <v>0</v>
      </c>
    </row>
    <row r="986" s="118" customFormat="true" ht="15" hidden="false" customHeight="false" outlineLevel="0" collapsed="false">
      <c r="B986" s="1104" t="str">
        <f aca="false">'Смета Внутр'!B986</f>
        <v>монтаж OSB пол</v>
      </c>
      <c r="C986" s="1105" t="str">
        <f aca="false">'Смета Внутр'!C986</f>
        <v>м2</v>
      </c>
      <c r="D986" s="1106" t="n">
        <f aca="false">'Смета Внутр'!D986</f>
        <v>0</v>
      </c>
      <c r="E986" s="1104"/>
      <c r="F986" s="1107" t="n">
        <f aca="false">'Смета Внутр'!H986</f>
        <v>0</v>
      </c>
    </row>
    <row r="987" s="118" customFormat="true" ht="15" hidden="false" customHeight="false" outlineLevel="0" collapsed="false">
      <c r="B987" s="1104" t="str">
        <f aca="false">'Смета Внутр'!B987</f>
        <v>Монтаж перил</v>
      </c>
      <c r="C987" s="1105" t="str">
        <f aca="false">'Смета Внутр'!C987</f>
        <v>м.п.</v>
      </c>
      <c r="D987" s="1106" t="n">
        <f aca="false">'Смета Внутр'!D987</f>
        <v>3.6</v>
      </c>
      <c r="E987" s="1104"/>
      <c r="F987" s="1107" t="n">
        <f aca="false">'Смета Внутр'!H987</f>
        <v>0</v>
      </c>
    </row>
    <row r="988" s="118" customFormat="true" ht="15" hidden="false" customHeight="false" outlineLevel="0" collapsed="false">
      <c r="B988" s="1104" t="str">
        <f aca="false">'Смета Внутр'!B988</f>
        <v>Монтаж накладки на перила</v>
      </c>
      <c r="C988" s="1105" t="str">
        <f aca="false">'Смета Внутр'!C988</f>
        <v>м.п.</v>
      </c>
      <c r="D988" s="1106" t="n">
        <f aca="false">'Смета Внутр'!D988</f>
        <v>3.6</v>
      </c>
      <c r="E988" s="1104"/>
      <c r="F988" s="1107" t="n">
        <f aca="false">'Смета Внутр'!H988</f>
        <v>0</v>
      </c>
    </row>
    <row r="989" s="118" customFormat="true" ht="15" hidden="false" customHeight="false" outlineLevel="0" collapsed="false">
      <c r="B989" s="1104" t="str">
        <f aca="false">'Смета Внутр'!B989</f>
        <v>монтаж веранды/крыльцо</v>
      </c>
      <c r="C989" s="1105" t="str">
        <f aca="false">'Смета Внутр'!C989</f>
        <v>м2</v>
      </c>
      <c r="D989" s="1106" t="n">
        <f aca="false">'Смета Внутр'!D989</f>
        <v>0</v>
      </c>
      <c r="E989" s="1104"/>
      <c r="F989" s="1107" t="n">
        <f aca="false">'Смета Внутр'!H989</f>
        <v>0</v>
      </c>
    </row>
    <row r="990" s="118" customFormat="true" ht="15" hidden="false" customHeight="false" outlineLevel="0" collapsed="false">
      <c r="B990" s="1108" t="str">
        <f aca="false">'Смета Внутр'!B990</f>
        <v>Итого работы</v>
      </c>
      <c r="C990" s="1108"/>
      <c r="D990" s="1108"/>
      <c r="E990" s="1108"/>
      <c r="F990" s="1109" t="n">
        <f aca="false">'Смета Внутр'!G990</f>
        <v>0</v>
      </c>
    </row>
    <row r="991" s="118" customFormat="true" ht="18.75" hidden="false" customHeight="false" outlineLevel="0" collapsed="false">
      <c r="B991" s="1111" t="str">
        <f aca="false">'Смета Внутр'!B991</f>
        <v>Крыльцо</v>
      </c>
      <c r="C991" s="1111"/>
      <c r="D991" s="1111"/>
      <c r="E991" s="1111"/>
      <c r="F991" s="1120" t="n">
        <f aca="false">'Смета Внутр'!H991</f>
        <v>0</v>
      </c>
    </row>
    <row r="992" s="118" customFormat="true" ht="15" hidden="false" customHeight="false" outlineLevel="0" collapsed="false">
      <c r="B992" s="1103" t="str">
        <f aca="false">'Смета Внутр'!B992</f>
        <v>Материалы</v>
      </c>
      <c r="C992" s="1103"/>
      <c r="D992" s="1103"/>
      <c r="E992" s="1103"/>
      <c r="F992" s="1120" t="n">
        <f aca="false">'Смета Внутр'!H992</f>
        <v>0</v>
      </c>
    </row>
    <row r="993" s="118" customFormat="true" ht="15" hidden="false" customHeight="false" outlineLevel="0" collapsed="false">
      <c r="B993" s="1104" t="str">
        <f aca="false">'Смета Внутр'!B993</f>
        <v>Листв. влаж, 150*150мм</v>
      </c>
      <c r="C993" s="1105" t="str">
        <f aca="false">'Смета Внутр'!C993</f>
        <v>м3</v>
      </c>
      <c r="D993" s="1106" t="n">
        <f aca="false">'Смета Внутр'!D993</f>
        <v>0.084</v>
      </c>
      <c r="E993" s="1104"/>
      <c r="F993" s="1121" t="n">
        <f aca="false">'Смета Внутр'!H993</f>
        <v>0</v>
      </c>
    </row>
    <row r="994" s="118" customFormat="true" ht="15" hidden="false" customHeight="false" outlineLevel="0" collapsed="false">
      <c r="B994" s="1104" t="str">
        <f aca="false">'Смета Внутр'!B994</f>
        <v>Листв. влаж, 150*100мм</v>
      </c>
      <c r="C994" s="1105" t="str">
        <f aca="false">'Смета Внутр'!C994</f>
        <v>м3</v>
      </c>
      <c r="D994" s="1106" t="n">
        <f aca="false">'Смета Внутр'!D994</f>
        <v>0.09</v>
      </c>
      <c r="E994" s="1104"/>
      <c r="F994" s="1121" t="n">
        <f aca="false">'Смета Внутр'!H994</f>
        <v>0</v>
      </c>
    </row>
    <row r="995" s="118" customFormat="true" ht="15" hidden="false" customHeight="false" outlineLevel="0" collapsed="false">
      <c r="B995" s="1104" t="str">
        <f aca="false">'Смета Внутр'!B995</f>
        <v>Сосна влаж, 150*100мм</v>
      </c>
      <c r="C995" s="1105" t="str">
        <f aca="false">'Смета Внутр'!C995</f>
        <v>м3</v>
      </c>
      <c r="D995" s="1106" t="n">
        <f aca="false">'Смета Внутр'!D995</f>
        <v>0.075</v>
      </c>
      <c r="E995" s="1104"/>
      <c r="F995" s="1121" t="n">
        <f aca="false">'Смета Внутр'!H995</f>
        <v>0</v>
      </c>
    </row>
    <row r="996" s="118" customFormat="true" ht="15" hidden="false" customHeight="false" outlineLevel="0" collapsed="false">
      <c r="B996" s="1104" t="str">
        <f aca="false">'Смета Внутр'!B996</f>
        <v>Нет</v>
      </c>
      <c r="C996" s="1105" t="str">
        <f aca="false">'Смета Внутр'!C996</f>
        <v>м3</v>
      </c>
      <c r="D996" s="1106" t="n">
        <f aca="false">'Смета Внутр'!D996</f>
        <v>11.5</v>
      </c>
      <c r="E996" s="1104"/>
      <c r="F996" s="1121" t="n">
        <f aca="false">'Смета Внутр'!H996</f>
        <v>0</v>
      </c>
    </row>
    <row r="997" s="118" customFormat="true" ht="15" hidden="false" customHeight="false" outlineLevel="0" collapsed="false">
      <c r="B997" s="1104" t="str">
        <f aca="false">'Смета Внутр'!B997</f>
        <v>Листв. влаж, 150*100мм</v>
      </c>
      <c r="C997" s="1105" t="str">
        <f aca="false">'Смета Внутр'!C997</f>
        <v>м3</v>
      </c>
      <c r="D997" s="1106" t="n">
        <f aca="false">'Смета Внутр'!D997</f>
        <v>0.075</v>
      </c>
      <c r="E997" s="1104"/>
      <c r="F997" s="1121" t="n">
        <f aca="false">'Смета Внутр'!H997</f>
        <v>0</v>
      </c>
    </row>
    <row r="998" s="118" customFormat="true" ht="15" hidden="false" customHeight="false" outlineLevel="0" collapsed="false">
      <c r="B998" s="1104" t="str">
        <f aca="false">'Смета Внутр'!B998</f>
        <v>Листв. влаж, 150*150мм</v>
      </c>
      <c r="C998" s="1105" t="str">
        <f aca="false">'Смета Внутр'!C998</f>
        <v>м3</v>
      </c>
      <c r="D998" s="1106" t="n">
        <f aca="false">'Смета Внутр'!D998</f>
        <v>0.225</v>
      </c>
      <c r="E998" s="1104"/>
      <c r="F998" s="1121" t="n">
        <f aca="false">'Смета Внутр'!H998</f>
        <v>0</v>
      </c>
    </row>
    <row r="999" s="118" customFormat="true" ht="15" hidden="false" customHeight="false" outlineLevel="0" collapsed="false">
      <c r="B999" s="1104" t="str">
        <f aca="false">'Смета Внутр'!B999</f>
        <v>Нет накладки</v>
      </c>
      <c r="C999" s="1105" t="str">
        <f aca="false">'Смета Внутр'!C999</f>
        <v>м.п.</v>
      </c>
      <c r="D999" s="1106" t="n">
        <f aca="false">'Смета Внутр'!D999</f>
        <v>5</v>
      </c>
      <c r="E999" s="1104"/>
      <c r="F999" s="1121" t="n">
        <f aca="false">'Смета Внутр'!H999</f>
        <v>0</v>
      </c>
    </row>
    <row r="1000" s="118" customFormat="true" ht="15" hidden="false" customHeight="false" outlineLevel="0" collapsed="false">
      <c r="B1000" s="1104" t="str">
        <f aca="false">'Смета Внутр'!B1000</f>
        <v>Нет</v>
      </c>
      <c r="C1000" s="1105" t="str">
        <f aca="false">'Смета Внутр'!C1000</f>
        <v>м3</v>
      </c>
      <c r="D1000" s="1106" t="n">
        <f aca="false">'Смета Внутр'!D1000</f>
        <v>8</v>
      </c>
      <c r="E1000" s="1104"/>
      <c r="F1000" s="1121" t="n">
        <f aca="false">'Смета Внутр'!H1000</f>
        <v>0</v>
      </c>
    </row>
    <row r="1001" s="118" customFormat="true" ht="15" hidden="false" customHeight="false" outlineLevel="0" collapsed="false">
      <c r="B1001" s="1104" t="str">
        <f aca="false">'Смета Внутр'!B1001</f>
        <v>Уголок усиленный 90х70х55х2,5        </v>
      </c>
      <c r="C1001" s="1105" t="str">
        <f aca="false">'Смета Внутр'!C1001</f>
        <v>шт</v>
      </c>
      <c r="D1001" s="1106" t="n">
        <f aca="false">'Смета Внутр'!D1001</f>
        <v>6</v>
      </c>
      <c r="E1001" s="1104"/>
      <c r="F1001" s="1121" t="n">
        <f aca="false">'Смета Внутр'!H1001</f>
        <v>0</v>
      </c>
    </row>
    <row r="1002" s="118" customFormat="true" ht="15" hidden="false" customHeight="false" outlineLevel="0" collapsed="false">
      <c r="B1002" s="1104" t="str">
        <f aca="false">'Смета Внутр'!B1002</f>
        <v>Нет уголков</v>
      </c>
      <c r="C1002" s="1105" t="str">
        <f aca="false">'Смета Внутр'!C1002</f>
        <v>шт</v>
      </c>
      <c r="D1002" s="1106" t="n">
        <f aca="false">'Смета Внутр'!D1002</f>
        <v>0</v>
      </c>
      <c r="E1002" s="1104"/>
      <c r="F1002" s="1107" t="n">
        <f aca="false">'Смета Внутр'!H1002</f>
        <v>0</v>
      </c>
    </row>
    <row r="1003" s="118" customFormat="true" ht="15" hidden="false" customHeight="false" outlineLevel="0" collapsed="false">
      <c r="B1003" s="1104" t="str">
        <f aca="false">'Смета Внутр'!B1003</f>
        <v>Пластина соеденительная 100х240х2           </v>
      </c>
      <c r="C1003" s="1105" t="str">
        <f aca="false">'Смета Внутр'!C1003</f>
        <v>шт</v>
      </c>
      <c r="D1003" s="1106" t="n">
        <f aca="false">'Смета Внутр'!D1003</f>
        <v>2</v>
      </c>
      <c r="E1003" s="1104"/>
      <c r="F1003" s="1121" t="n">
        <f aca="false">'Смета Внутр'!H1003</f>
        <v>0</v>
      </c>
    </row>
    <row r="1004" s="118" customFormat="true" ht="15" hidden="false" customHeight="false" outlineLevel="0" collapsed="false">
      <c r="B1004" s="1104" t="str">
        <f aca="false">'Смета Внутр'!B1004</f>
        <v>Нет пластин</v>
      </c>
      <c r="C1004" s="1105" t="str">
        <f aca="false">'Смета Внутр'!C1004</f>
        <v>шт</v>
      </c>
      <c r="D1004" s="1106" t="n">
        <f aca="false">'Смета Внутр'!D1004</f>
        <v>0</v>
      </c>
      <c r="E1004" s="1104"/>
      <c r="F1004" s="1107" t="n">
        <f aca="false">'Смета Внутр'!H1004</f>
        <v>0</v>
      </c>
    </row>
    <row r="1005" s="118" customFormat="true" ht="15" hidden="false" customHeight="false" outlineLevel="0" collapsed="false">
      <c r="B1005" s="1104" t="str">
        <f aca="false">'Смета Внутр'!B1005</f>
        <v>Болты анкерные с гайкой 12,0 x 100          </v>
      </c>
      <c r="C1005" s="1105" t="str">
        <f aca="false">'Смета Внутр'!C1005</f>
        <v>шт</v>
      </c>
      <c r="D1005" s="1106" t="n">
        <f aca="false">'Смета Внутр'!D1005</f>
        <v>6</v>
      </c>
      <c r="E1005" s="1104"/>
      <c r="F1005" s="1121" t="n">
        <f aca="false">'Смета Внутр'!H1005</f>
        <v>0</v>
      </c>
    </row>
    <row r="1006" s="118" customFormat="true" ht="15" hidden="false" customHeight="false" outlineLevel="0" collapsed="false">
      <c r="B1006" s="1104" t="str">
        <f aca="false">'Смета Внутр'!B1006</f>
        <v>Нет анкерных болтов</v>
      </c>
      <c r="C1006" s="1105" t="str">
        <f aca="false">'Смета Внутр'!C1006</f>
        <v>шт</v>
      </c>
      <c r="D1006" s="1106" t="n">
        <f aca="false">'Смета Внутр'!D1006</f>
        <v>0</v>
      </c>
      <c r="E1006" s="1104"/>
      <c r="F1006" s="1107" t="n">
        <f aca="false">'Смета Внутр'!H1006</f>
        <v>0</v>
      </c>
    </row>
    <row r="1007" s="118" customFormat="true" ht="15" hidden="false" customHeight="false" outlineLevel="0" collapsed="false">
      <c r="B1007" s="1104" t="str">
        <f aca="false">'Смета Внутр'!B1007</f>
        <v>Саморезы 3,5 x 45            </v>
      </c>
      <c r="C1007" s="1105" t="str">
        <f aca="false">'Смета Внутр'!C1007</f>
        <v>кг</v>
      </c>
      <c r="D1007" s="1106" t="n">
        <f aca="false">'Смета Внутр'!D1007</f>
        <v>0</v>
      </c>
      <c r="E1007" s="1104"/>
      <c r="F1007" s="1107" t="n">
        <f aca="false">'Смета Внутр'!H1007</f>
        <v>0</v>
      </c>
    </row>
    <row r="1008" s="118" customFormat="true" ht="15" hidden="false" customHeight="false" outlineLevel="0" collapsed="false">
      <c r="B1008" s="1104" t="str">
        <f aca="false">'Смета Внутр'!B1008</f>
        <v>Нет саморезов</v>
      </c>
      <c r="C1008" s="1105" t="str">
        <f aca="false">'Смета Внутр'!C1008</f>
        <v>кг</v>
      </c>
      <c r="D1008" s="1106" t="n">
        <f aca="false">'Смета Внутр'!D1008</f>
        <v>0</v>
      </c>
      <c r="E1008" s="1104"/>
      <c r="F1008" s="1107" t="n">
        <f aca="false">'Смета Внутр'!H1008</f>
        <v>0</v>
      </c>
    </row>
    <row r="1009" s="118" customFormat="true" ht="15" hidden="false" customHeight="false" outlineLevel="0" collapsed="false">
      <c r="B1009" s="1104" t="str">
        <f aca="false">'Смета Внутр'!B1009</f>
        <v>Гвозди строительные 2,5 x 60            </v>
      </c>
      <c r="C1009" s="1105" t="str">
        <f aca="false">'Смета Внутр'!C1009</f>
        <v>кг</v>
      </c>
      <c r="D1009" s="1106" t="n">
        <f aca="false">'Смета Внутр'!D1009</f>
        <v>1</v>
      </c>
      <c r="E1009" s="1104"/>
      <c r="F1009" s="1121" t="n">
        <f aca="false">'Смета Внутр'!H1009</f>
        <v>0</v>
      </c>
    </row>
    <row r="1010" s="118" customFormat="true" ht="15" hidden="false" customHeight="false" outlineLevel="0" collapsed="false">
      <c r="B1010" s="1104" t="str">
        <f aca="false">'Смета Внутр'!B1010</f>
        <v>Гвозди ершоные 3,4 x 60            </v>
      </c>
      <c r="C1010" s="1105" t="str">
        <f aca="false">'Смета Внутр'!C1010</f>
        <v>кг</v>
      </c>
      <c r="D1010" s="1106" t="n">
        <f aca="false">'Смета Внутр'!D1010</f>
        <v>1</v>
      </c>
      <c r="E1010" s="1104"/>
      <c r="F1010" s="1121" t="n">
        <f aca="false">'Смета Внутр'!H1010</f>
        <v>0</v>
      </c>
    </row>
    <row r="1011" s="118" customFormat="true" ht="15" hidden="false" customHeight="false" outlineLevel="0" collapsed="false">
      <c r="B1011" s="1108" t="str">
        <f aca="false">'Смета Внутр'!B1011</f>
        <v>Итого материалы</v>
      </c>
      <c r="C1011" s="1108"/>
      <c r="D1011" s="1108"/>
      <c r="E1011" s="1108"/>
      <c r="F1011" s="1122" t="n">
        <f aca="false">'Смета Внутр'!G1011</f>
        <v>0</v>
      </c>
    </row>
    <row r="1012" s="118" customFormat="true" ht="15" hidden="false" customHeight="false" outlineLevel="0" collapsed="false">
      <c r="B1012" s="1110" t="str">
        <f aca="false">'Смета Внутр'!B1012</f>
        <v>Работы</v>
      </c>
      <c r="C1012" s="1110"/>
      <c r="D1012" s="1110"/>
      <c r="E1012" s="1110"/>
      <c r="F1012" s="1120" t="n">
        <f aca="false">'Смета Внутр'!H1012</f>
        <v>0</v>
      </c>
    </row>
    <row r="1013" s="118" customFormat="true" ht="15" hidden="false" customHeight="false" outlineLevel="0" collapsed="false">
      <c r="B1013" s="1104" t="str">
        <f aca="false">'Смета Внутр'!B1013</f>
        <v>монтаж веранды/крыльцо</v>
      </c>
      <c r="C1013" s="1105" t="str">
        <f aca="false">'Смета Внутр'!C1013</f>
        <v>м2</v>
      </c>
      <c r="D1013" s="1106" t="n">
        <f aca="false">'Смета Внутр'!D1013</f>
        <v>3</v>
      </c>
      <c r="E1013" s="1104"/>
      <c r="F1013" s="1121" t="n">
        <f aca="false">'Смета Внутр'!H1013</f>
        <v>0</v>
      </c>
    </row>
    <row r="1014" s="118" customFormat="true" ht="15" hidden="false" customHeight="false" outlineLevel="0" collapsed="false">
      <c r="B1014" s="1108" t="str">
        <f aca="false">'Смета Внутр'!B1014</f>
        <v>Итого, работы</v>
      </c>
      <c r="C1014" s="1108"/>
      <c r="D1014" s="1108"/>
      <c r="E1014" s="1108"/>
      <c r="F1014" s="1122" t="n">
        <f aca="false">'Смета Внутр'!G1014</f>
        <v>0</v>
      </c>
    </row>
    <row r="1015" s="118" customFormat="true" ht="18.75" hidden="false" customHeight="false" outlineLevel="0" collapsed="false">
      <c r="B1015" s="1111" t="str">
        <f aca="false">'Смета Внутр'!B1015</f>
        <v>Балкон</v>
      </c>
      <c r="C1015" s="1111"/>
      <c r="D1015" s="1111"/>
      <c r="E1015" s="1111"/>
      <c r="F1015" s="1102" t="n">
        <f aca="false">'Смета Внутр'!H1015</f>
        <v>0</v>
      </c>
    </row>
    <row r="1016" s="118" customFormat="true" ht="15" hidden="false" customHeight="false" outlineLevel="0" collapsed="false">
      <c r="B1016" s="1103" t="str">
        <f aca="false">'Смета Внутр'!B1016</f>
        <v>Материалы</v>
      </c>
      <c r="C1016" s="1103"/>
      <c r="D1016" s="1103"/>
      <c r="E1016" s="1103"/>
      <c r="F1016" s="1102" t="n">
        <f aca="false">'Смета Внутр'!H1016</f>
        <v>0</v>
      </c>
    </row>
    <row r="1017" s="118" customFormat="true" ht="15" hidden="false" customHeight="false" outlineLevel="0" collapsed="false">
      <c r="B1017" s="1104" t="str">
        <f aca="false">'Смета Внутр'!B1017</f>
        <v>Оцилиндрованное бревно сосна 260мм</v>
      </c>
      <c r="C1017" s="1105" t="str">
        <f aca="false">'Смета Внутр'!C1017</f>
        <v>м3</v>
      </c>
      <c r="D1017" s="1106" t="n">
        <f aca="false">'Смета Внутр'!D1017</f>
        <v>1.17</v>
      </c>
      <c r="E1017" s="1104"/>
      <c r="F1017" s="1107" t="n">
        <f aca="false">'Смета Внутр'!H1017</f>
        <v>0</v>
      </c>
    </row>
    <row r="1018" s="118" customFormat="true" ht="15" hidden="false" customHeight="false" outlineLevel="0" collapsed="false">
      <c r="B1018" s="1104" t="str">
        <f aca="false">'Смета Внутр'!B1018</f>
        <v>Доска естественной влажности, 200*50мм</v>
      </c>
      <c r="C1018" s="1105" t="str">
        <f aca="false">'Смета Внутр'!C1018</f>
        <v>м3</v>
      </c>
      <c r="D1018" s="1106" t="n">
        <f aca="false">'Смета Внутр'!D1018</f>
        <v>0.09</v>
      </c>
      <c r="E1018" s="1104"/>
      <c r="F1018" s="1107" t="n">
        <f aca="false">'Смета Внутр'!H1018</f>
        <v>0</v>
      </c>
    </row>
    <row r="1019" s="118" customFormat="true" ht="15" hidden="false" customHeight="false" outlineLevel="0" collapsed="false">
      <c r="B1019" s="1104" t="str">
        <f aca="false">'Смета Внутр'!B1019</f>
        <v>Бензин для пилы</v>
      </c>
      <c r="C1019" s="1105" t="str">
        <f aca="false">'Смета Внутр'!C1019</f>
        <v>л</v>
      </c>
      <c r="D1019" s="1106" t="n">
        <f aca="false">'Смета Внутр'!D1019</f>
        <v>0.63</v>
      </c>
      <c r="E1019" s="1104"/>
      <c r="F1019" s="1107" t="n">
        <f aca="false">'Смета Внутр'!H1019</f>
        <v>0</v>
      </c>
    </row>
    <row r="1020" s="118" customFormat="true" ht="15" hidden="false" customHeight="false" outlineLevel="0" collapsed="false">
      <c r="B1020" s="1104" t="str">
        <f aca="false">'Смета Внутр'!B1020</f>
        <v>Масло для пилы</v>
      </c>
      <c r="C1020" s="1105" t="str">
        <f aca="false">'Смета Внутр'!C1020</f>
        <v>л</v>
      </c>
      <c r="D1020" s="1106" t="n">
        <f aca="false">'Смета Внутр'!D1020</f>
        <v>0.0525</v>
      </c>
      <c r="E1020" s="1104"/>
      <c r="F1020" s="1107" t="n">
        <f aca="false">'Смета Внутр'!H1020</f>
        <v>0</v>
      </c>
    </row>
    <row r="1021" s="118" customFormat="true" ht="15" hidden="false" customHeight="false" outlineLevel="0" collapsed="false">
      <c r="B1021" s="1104" t="str">
        <f aca="false">'Смета Внутр'!B1021</f>
        <v>Цепь для пилы</v>
      </c>
      <c r="C1021" s="1105" t="str">
        <f aca="false">'Смета Внутр'!C1021</f>
        <v>л</v>
      </c>
      <c r="D1021" s="1106" t="n">
        <f aca="false">'Смета Внутр'!D1021</f>
        <v>1</v>
      </c>
      <c r="E1021" s="1104"/>
      <c r="F1021" s="1107" t="n">
        <f aca="false">'Смета Внутр'!H1021</f>
        <v>0</v>
      </c>
    </row>
    <row r="1022" s="118" customFormat="true" ht="15" hidden="false" customHeight="false" outlineLevel="0" collapsed="false">
      <c r="B1022" s="1104" t="str">
        <f aca="false">'Смета Внутр'!B1022</f>
        <v>Гидроизоляция жидкая резина 1</v>
      </c>
      <c r="C1022" s="1105" t="str">
        <f aca="false">'Смета Внутр'!C1022</f>
        <v>кг</v>
      </c>
      <c r="D1022" s="1106" t="n">
        <f aca="false">'Смета Внутр'!D1022</f>
        <v>0</v>
      </c>
      <c r="E1022" s="1104"/>
      <c r="F1022" s="1107" t="n">
        <f aca="false">'Смета Внутр'!H1022</f>
        <v>0</v>
      </c>
    </row>
    <row r="1023" s="118" customFormat="true" ht="15" hidden="false" customHeight="false" outlineLevel="0" collapsed="false">
      <c r="B1023" s="1104" t="str">
        <f aca="false">'Смета Внутр'!B1023</f>
        <v>Kronospan - OSB-3, 22мм</v>
      </c>
      <c r="C1023" s="1105" t="str">
        <f aca="false">'Смета Внутр'!C1023</f>
        <v>м2</v>
      </c>
      <c r="D1023" s="1106" t="n">
        <f aca="false">'Смета Внутр'!D1023</f>
        <v>0</v>
      </c>
      <c r="E1023" s="1104"/>
      <c r="F1023" s="1107" t="n">
        <f aca="false">'Смета Внутр'!H1023</f>
        <v>0</v>
      </c>
    </row>
    <row r="1024" s="118" customFormat="true" ht="15" hidden="false" customHeight="false" outlineLevel="0" collapsed="false">
      <c r="B1024" s="1104" t="str">
        <f aca="false">'Смета Внутр'!B1024</f>
        <v>Проф.брус вл. 200*150мм</v>
      </c>
      <c r="C1024" s="1105" t="str">
        <f aca="false">'Смета Внутр'!C1024</f>
        <v>м3</v>
      </c>
      <c r="D1024" s="1106" t="n">
        <f aca="false">'Смета Внутр'!D1024</f>
        <v>0</v>
      </c>
      <c r="E1024" s="1104"/>
      <c r="F1024" s="1107" t="n">
        <f aca="false">'Смета Внутр'!H1024</f>
        <v>0</v>
      </c>
    </row>
    <row r="1025" s="118" customFormat="true" ht="15" hidden="false" customHeight="false" outlineLevel="0" collapsed="false">
      <c r="B1025" s="1104" t="str">
        <f aca="false">'Смета Внутр'!B1025</f>
        <v>Брус клееный проф 2 ламель кедр Шир. 240 выс. 140</v>
      </c>
      <c r="C1025" s="1105" t="str">
        <f aca="false">'Смета Внутр'!C1025</f>
        <v>м3</v>
      </c>
      <c r="D1025" s="1106" t="n">
        <f aca="false">'Смета Внутр'!D1025</f>
        <v>0</v>
      </c>
      <c r="E1025" s="1104"/>
      <c r="F1025" s="1107" t="n">
        <f aca="false">'Смета Внутр'!H1025</f>
        <v>0</v>
      </c>
    </row>
    <row r="1026" s="118" customFormat="true" ht="15" hidden="false" customHeight="false" outlineLevel="0" collapsed="false">
      <c r="B1026" s="1104" t="str">
        <f aca="false">'Смета Внутр'!B1026</f>
        <v>Брус клееный проф 1 ламель кедр Шир. 240 выс. 140</v>
      </c>
      <c r="C1026" s="1105" t="str">
        <f aca="false">'Смета Внутр'!C1026</f>
        <v>м3</v>
      </c>
      <c r="D1026" s="1106" t="n">
        <f aca="false">'Смета Внутр'!D1026</f>
        <v>0</v>
      </c>
      <c r="E1026" s="1104"/>
      <c r="F1026" s="1107" t="n">
        <f aca="false">'Смета Внутр'!H1026</f>
        <v>0</v>
      </c>
    </row>
    <row r="1027" s="118" customFormat="true" ht="15" hidden="false" customHeight="false" outlineLevel="0" collapsed="false">
      <c r="B1027" s="1104" t="str">
        <f aca="false">'Смета Внутр'!B1027</f>
        <v>Клееная накладка на перила шир 240мм</v>
      </c>
      <c r="C1027" s="1105" t="str">
        <f aca="false">'Смета Внутр'!C1027</f>
        <v>м.п.</v>
      </c>
      <c r="D1027" s="1106" t="n">
        <f aca="false">'Смета Внутр'!D1027</f>
        <v>0</v>
      </c>
      <c r="E1027" s="1104"/>
      <c r="F1027" s="1107" t="n">
        <f aca="false">'Смета Внутр'!H1027</f>
        <v>0</v>
      </c>
    </row>
    <row r="1028" s="118" customFormat="true" ht="15" hidden="false" customHeight="false" outlineLevel="0" collapsed="false">
      <c r="B1028" s="1108" t="str">
        <f aca="false">'Смета Внутр'!B1028</f>
        <v>Итого материалы</v>
      </c>
      <c r="C1028" s="1108"/>
      <c r="D1028" s="1108"/>
      <c r="E1028" s="1108"/>
      <c r="F1028" s="1109" t="n">
        <f aca="false">'Смета Внутр'!G1028</f>
        <v>0</v>
      </c>
    </row>
    <row r="1029" s="118" customFormat="true" ht="15" hidden="false" customHeight="false" outlineLevel="0" collapsed="false">
      <c r="B1029" s="1110" t="str">
        <f aca="false">'Смета Внутр'!B1029</f>
        <v>Работы</v>
      </c>
      <c r="C1029" s="1110"/>
      <c r="D1029" s="1110"/>
      <c r="E1029" s="1110"/>
      <c r="F1029" s="1102" t="n">
        <f aca="false">'Смета Внутр'!H1029</f>
        <v>0</v>
      </c>
    </row>
    <row r="1030" s="118" customFormat="true" ht="15" hidden="false" customHeight="false" outlineLevel="0" collapsed="false">
      <c r="B1030" s="1104" t="str">
        <f aca="false">'Смета Внутр'!B1030</f>
        <v>кладка бруса</v>
      </c>
      <c r="C1030" s="1105" t="str">
        <f aca="false">'Смета Внутр'!C1030</f>
        <v>м3</v>
      </c>
      <c r="D1030" s="1106" t="n">
        <f aca="false">'Смета Внутр'!D1030</f>
        <v>1.17</v>
      </c>
      <c r="E1030" s="1104"/>
      <c r="F1030" s="1107" t="n">
        <f aca="false">'Смета Внутр'!H1030</f>
        <v>0</v>
      </c>
    </row>
    <row r="1031" s="118" customFormat="true" ht="15" hidden="false" customHeight="false" outlineLevel="0" collapsed="false">
      <c r="B1031" s="1104" t="str">
        <f aca="false">'Смета Внутр'!B1031</f>
        <v>Монтаж перекрытий из бруса</v>
      </c>
      <c r="C1031" s="1105" t="str">
        <f aca="false">'Смета Внутр'!C1031</f>
        <v>м2</v>
      </c>
      <c r="D1031" s="1106" t="n">
        <f aca="false">'Смета Внутр'!D1031</f>
        <v>3</v>
      </c>
      <c r="E1031" s="1104"/>
      <c r="F1031" s="1107" t="n">
        <f aca="false">'Смета Внутр'!H1031</f>
        <v>0</v>
      </c>
    </row>
    <row r="1032" s="118" customFormat="true" ht="15" hidden="false" customHeight="false" outlineLevel="0" collapsed="false">
      <c r="B1032" s="1104" t="str">
        <f aca="false">'Смета Внутр'!B1032</f>
        <v>Гидроизоляция рулонная</v>
      </c>
      <c r="C1032" s="1105" t="str">
        <f aca="false">'Смета Внутр'!C1032</f>
        <v>м2</v>
      </c>
      <c r="D1032" s="1106" t="n">
        <f aca="false">'Смета Внутр'!D1032</f>
        <v>0</v>
      </c>
      <c r="E1032" s="1104"/>
      <c r="F1032" s="1107" t="n">
        <f aca="false">'Смета Внутр'!H1032</f>
        <v>0</v>
      </c>
    </row>
    <row r="1033" s="118" customFormat="true" ht="15" hidden="false" customHeight="false" outlineLevel="0" collapsed="false">
      <c r="B1033" s="1104" t="str">
        <f aca="false">'Смета Внутр'!B1033</f>
        <v>монтаж OSB пол</v>
      </c>
      <c r="C1033" s="1105" t="str">
        <f aca="false">'Смета Внутр'!C1033</f>
        <v>м2</v>
      </c>
      <c r="D1033" s="1106" t="n">
        <f aca="false">'Смета Внутр'!D1033</f>
        <v>0</v>
      </c>
      <c r="E1033" s="1104"/>
      <c r="F1033" s="1107" t="n">
        <f aca="false">'Смета Внутр'!H1033</f>
        <v>0</v>
      </c>
    </row>
    <row r="1034" s="118" customFormat="true" ht="15" hidden="false" customHeight="false" outlineLevel="0" collapsed="false">
      <c r="B1034" s="1104" t="str">
        <f aca="false">'Смета Внутр'!B1034</f>
        <v>Монтаж перил</v>
      </c>
      <c r="C1034" s="1105" t="str">
        <f aca="false">'Смета Внутр'!C1034</f>
        <v>м.п.</v>
      </c>
      <c r="D1034" s="1106" t="n">
        <f aca="false">'Смета Внутр'!D1034</f>
        <v>0</v>
      </c>
      <c r="E1034" s="1104"/>
      <c r="F1034" s="1107" t="n">
        <f aca="false">'Смета Внутр'!H1034</f>
        <v>0</v>
      </c>
    </row>
    <row r="1035" s="118" customFormat="true" ht="15" hidden="false" customHeight="false" outlineLevel="0" collapsed="false">
      <c r="B1035" s="1104" t="str">
        <f aca="false">'Смета Внутр'!B1035</f>
        <v>Монтаж накладки на перила</v>
      </c>
      <c r="C1035" s="1105" t="str">
        <f aca="false">'Смета Внутр'!C1035</f>
        <v>м.п.</v>
      </c>
      <c r="D1035" s="1106" t="n">
        <f aca="false">'Смета Внутр'!D1035</f>
        <v>0</v>
      </c>
      <c r="E1035" s="1104"/>
      <c r="F1035" s="1107" t="n">
        <f aca="false">'Смета Внутр'!H1035</f>
        <v>0</v>
      </c>
    </row>
    <row r="1036" s="118" customFormat="true" ht="15" hidden="false" customHeight="false" outlineLevel="0" collapsed="false">
      <c r="B1036" s="1108" t="str">
        <f aca="false">'Смета Внутр'!B1036</f>
        <v>Итого работы</v>
      </c>
      <c r="C1036" s="1108"/>
      <c r="D1036" s="1108"/>
      <c r="E1036" s="1108"/>
      <c r="F1036" s="1109" t="n">
        <f aca="false">'Смета Внутр'!G1036</f>
        <v>0</v>
      </c>
    </row>
    <row r="1037" customFormat="false" ht="18.75" hidden="false" customHeight="false" outlineLevel="0" collapsed="false">
      <c r="B1037" s="1113" t="str">
        <f aca="false">'Смета Внутр'!B1037</f>
        <v>Кровля односкатная</v>
      </c>
      <c r="C1037" s="1113"/>
      <c r="D1037" s="1113"/>
      <c r="E1037" s="1113"/>
      <c r="F1037" s="1114" t="n">
        <f aca="false">'Смета Внутр'!H1037</f>
        <v>0</v>
      </c>
    </row>
    <row r="1038" customFormat="false" ht="15" hidden="false" customHeight="false" outlineLevel="0" collapsed="false">
      <c r="B1038" s="1115" t="str">
        <f aca="false">'Смета Внутр'!B1038</f>
        <v>Материалы</v>
      </c>
      <c r="C1038" s="1115"/>
      <c r="D1038" s="1115"/>
      <c r="E1038" s="1115"/>
      <c r="F1038" s="1114" t="n">
        <f aca="false">'Смета Внутр'!H1038</f>
        <v>0</v>
      </c>
    </row>
    <row r="1039" s="118" customFormat="true" ht="15" hidden="false" customHeight="false" outlineLevel="0" collapsed="false">
      <c r="B1039" s="1104" t="str">
        <f aca="false">'Смета Внутр'!B1039</f>
        <v>нет</v>
      </c>
      <c r="C1039" s="1105" t="str">
        <f aca="false">'Смета Внутр'!C1039</f>
        <v>м3</v>
      </c>
      <c r="D1039" s="1106" t="n">
        <f aca="false">'Смета Внутр'!D1039</f>
        <v>0</v>
      </c>
      <c r="E1039" s="1104"/>
      <c r="F1039" s="1107" t="n">
        <f aca="false">'Смета Внутр'!H1039</f>
        <v>0</v>
      </c>
    </row>
    <row r="1040" customFormat="false" ht="15" hidden="false" customHeight="false" outlineLevel="0" collapsed="false">
      <c r="B1040" s="1097" t="str">
        <f aca="false">'Смета Внутр'!B1040</f>
        <v>Болты анкерные с гайкой 12,0 х 280          </v>
      </c>
      <c r="C1040" s="1098" t="str">
        <f aca="false">'Смета Внутр'!C1040</f>
        <v>шт</v>
      </c>
      <c r="D1040" s="1099" t="n">
        <f aca="false">'Смета Внутр'!D1040</f>
        <v>36.9990475974507</v>
      </c>
      <c r="E1040" s="1097"/>
      <c r="F1040" s="1116" t="n">
        <f aca="false">'Смета Внутр'!H1040</f>
        <v>0</v>
      </c>
    </row>
    <row r="1041" customFormat="false" ht="15" hidden="false" customHeight="false" outlineLevel="0" collapsed="false">
      <c r="B1041" s="1097" t="str">
        <f aca="false">'Смета Внутр'!B1041</f>
        <v>Доска сырая, 150*50мм</v>
      </c>
      <c r="C1041" s="1098" t="str">
        <f aca="false">'Смета Внутр'!C1041</f>
        <v>м3</v>
      </c>
      <c r="D1041" s="1099" t="n">
        <f aca="false">'Смета Внутр'!D1041</f>
        <v>0.09</v>
      </c>
      <c r="E1041" s="1097"/>
      <c r="F1041" s="1116" t="n">
        <f aca="false">'Смета Внутр'!H1041</f>
        <v>0</v>
      </c>
    </row>
    <row r="1042" customFormat="false" ht="15" hidden="false" customHeight="false" outlineLevel="0" collapsed="false">
      <c r="B1042" s="1097" t="str">
        <f aca="false">'Смета Внутр'!B1042</f>
        <v>бугель, доска </v>
      </c>
      <c r="C1042" s="1098" t="str">
        <f aca="false">'Смета Внутр'!C1042</f>
        <v>м3</v>
      </c>
      <c r="D1042" s="1099" t="n">
        <f aca="false">'Смета Внутр'!D1042</f>
        <v>0</v>
      </c>
      <c r="E1042" s="1097"/>
      <c r="F1042" s="1116" t="n">
        <f aca="false">'Смета Внутр'!H1042</f>
        <v>0</v>
      </c>
    </row>
    <row r="1043" customFormat="false" ht="15" hidden="false" customHeight="false" outlineLevel="0" collapsed="false">
      <c r="B1043" s="1097" t="str">
        <f aca="false">'Смета Внутр'!B1043</f>
        <v>стойка под конек</v>
      </c>
      <c r="C1043" s="1098" t="str">
        <f aca="false">'Смета Внутр'!C1043</f>
        <v>м3</v>
      </c>
      <c r="D1043" s="1099" t="n">
        <f aca="false">'Смета Внутр'!D1043</f>
        <v>0.0612</v>
      </c>
      <c r="E1043" s="1097"/>
      <c r="F1043" s="1116" t="n">
        <f aca="false">'Смета Внутр'!H1043</f>
        <v>0</v>
      </c>
    </row>
    <row r="1044" customFormat="false" ht="15" hidden="false" customHeight="false" outlineLevel="0" collapsed="false">
      <c r="B1044" s="1097" t="str">
        <f aca="false">'Смета Внутр'!B1044</f>
        <v>Сосна влаж,100*25мм</v>
      </c>
      <c r="C1044" s="1098" t="str">
        <f aca="false">'Смета Внутр'!C1044</f>
        <v>м3</v>
      </c>
      <c r="D1044" s="1099" t="n">
        <f aca="false">'Смета Внутр'!D1044</f>
        <v>0.045</v>
      </c>
      <c r="E1044" s="1097"/>
      <c r="F1044" s="1116" t="n">
        <f aca="false">'Смета Внутр'!H1044</f>
        <v>0</v>
      </c>
    </row>
    <row r="1045" customFormat="false" ht="15" hidden="false" customHeight="false" outlineLevel="0" collapsed="false">
      <c r="B1045" s="1097" t="str">
        <f aca="false">'Смета Внутр'!B1045</f>
        <v>Сосна влаж, 50*50мм</v>
      </c>
      <c r="C1045" s="1098" t="str">
        <f aca="false">'Смета Внутр'!C1045</f>
        <v>м3</v>
      </c>
      <c r="D1045" s="1099" t="n">
        <f aca="false">'Смета Внутр'!D1045</f>
        <v>0.0375</v>
      </c>
      <c r="E1045" s="1097"/>
      <c r="F1045" s="1116" t="n">
        <f aca="false">'Смета Внутр'!H1045</f>
        <v>0</v>
      </c>
    </row>
    <row r="1046" s="118" customFormat="true" ht="15" hidden="false" customHeight="false" outlineLevel="0" collapsed="false">
      <c r="B1046" s="1104" t="str">
        <f aca="false">'Смета Внутр'!B1046</f>
        <v>Нет</v>
      </c>
      <c r="C1046" s="1105" t="str">
        <f aca="false">'Смета Внутр'!C1046</f>
        <v>м3</v>
      </c>
      <c r="D1046" s="1106" t="n">
        <f aca="false">'Смета Внутр'!D1046</f>
        <v>0</v>
      </c>
      <c r="E1046" s="1104"/>
      <c r="F1046" s="1107" t="n">
        <f aca="false">'Смета Внутр'!H1046</f>
        <v>0</v>
      </c>
    </row>
    <row r="1047" s="118" customFormat="true" ht="15" hidden="false" customHeight="false" outlineLevel="0" collapsed="false">
      <c r="B1047" s="1104" t="str">
        <f aca="false">'Смета Внутр'!B1047</f>
        <v>Гидрокомпенсатор</v>
      </c>
      <c r="C1047" s="1105" t="str">
        <f aca="false">'Смета Внутр'!C1047</f>
        <v>шт</v>
      </c>
      <c r="D1047" s="1106" t="n">
        <f aca="false">'Смета Внутр'!D1047</f>
        <v>0</v>
      </c>
      <c r="E1047" s="1104"/>
      <c r="F1047" s="1107" t="n">
        <f aca="false">'Смета Внутр'!H1047</f>
        <v>0</v>
      </c>
    </row>
    <row r="1048" customFormat="false" ht="15" hidden="false" customHeight="false" outlineLevel="0" collapsed="false">
      <c r="B1048" s="1097" t="str">
        <f aca="false">'Смета Внутр'!B1048</f>
        <v>Универсальная Optima C</v>
      </c>
      <c r="C1048" s="1098" t="str">
        <f aca="false">'Смета Внутр'!C1048</f>
        <v>м2</v>
      </c>
      <c r="D1048" s="1099" t="n">
        <f aca="false">'Смета Внутр'!D1048</f>
        <v>7.2</v>
      </c>
      <c r="E1048" s="1097"/>
      <c r="F1048" s="1116" t="n">
        <f aca="false">'Смета Внутр'!H1048</f>
        <v>0</v>
      </c>
    </row>
    <row r="1049" customFormat="false" ht="15" hidden="false" customHeight="false" outlineLevel="0" collapsed="false">
      <c r="B1049" s="1097" t="str">
        <f aca="false">'Смета Внутр'!B1049</f>
        <v>Универсальная Optima C</v>
      </c>
      <c r="C1049" s="1098" t="str">
        <f aca="false">'Смета Внутр'!C1049</f>
        <v>м2</v>
      </c>
      <c r="D1049" s="1099" t="n">
        <f aca="false">'Смета Внутр'!D1049</f>
        <v>0</v>
      </c>
      <c r="E1049" s="1097"/>
      <c r="F1049" s="1116" t="n">
        <f aca="false">'Смета Внутр'!H1049</f>
        <v>0</v>
      </c>
    </row>
    <row r="1050" customFormat="false" ht="15" hidden="false" customHeight="false" outlineLevel="0" collapsed="false">
      <c r="B1050" s="1097" t="str">
        <f aca="false">'Смета Внутр'!B1050</f>
        <v>Плитный,28кг/м3, технониколь, 100мм</v>
      </c>
      <c r="C1050" s="1098" t="str">
        <f aca="false">'Смета Внутр'!C1050</f>
        <v>м3</v>
      </c>
      <c r="D1050" s="1099" t="n">
        <f aca="false">'Смета Внутр'!D1050</f>
        <v>0</v>
      </c>
      <c r="E1050" s="1097"/>
      <c r="F1050" s="1116" t="n">
        <f aca="false">'Смета Внутр'!H1050</f>
        <v>0</v>
      </c>
    </row>
    <row r="1051" customFormat="false" ht="15" hidden="false" customHeight="false" outlineLevel="0" collapsed="false">
      <c r="B1051" s="1097" t="str">
        <f aca="false">'Смета Внутр'!B1051</f>
        <v>Металлочерепица</v>
      </c>
      <c r="C1051" s="1098" t="str">
        <f aca="false">'Смета Внутр'!C1051</f>
        <v>м2</v>
      </c>
      <c r="D1051" s="1099" t="n">
        <f aca="false">'Смета Внутр'!D1051</f>
        <v>7.2</v>
      </c>
      <c r="E1051" s="1097"/>
      <c r="F1051" s="1116" t="n">
        <f aca="false">'Смета Внутр'!H1051</f>
        <v>0</v>
      </c>
    </row>
    <row r="1052" customFormat="false" ht="15" hidden="false" customHeight="false" outlineLevel="0" collapsed="false">
      <c r="B1052" s="1097" t="str">
        <f aca="false">'Смета Внутр'!B1052</f>
        <v>Карнизная планка</v>
      </c>
      <c r="C1052" s="1098" t="str">
        <f aca="false">'Смета Внутр'!C1052</f>
        <v>м.п.</v>
      </c>
      <c r="D1052" s="1099" t="n">
        <f aca="false">'Смета Внутр'!D1052</f>
        <v>0</v>
      </c>
      <c r="E1052" s="1097"/>
      <c r="F1052" s="1116" t="n">
        <f aca="false">'Смета Внутр'!H1052</f>
        <v>0</v>
      </c>
    </row>
    <row r="1053" customFormat="false" ht="15" hidden="false" customHeight="false" outlineLevel="0" collapsed="false">
      <c r="B1053" s="1097" t="str">
        <f aca="false">'Смета Внутр'!B1053</f>
        <v>Торцевая планка</v>
      </c>
      <c r="C1053" s="1098" t="str">
        <f aca="false">'Смета Внутр'!C1053</f>
        <v>м.п.</v>
      </c>
      <c r="D1053" s="1099" t="n">
        <f aca="false">'Смета Внутр'!D1053</f>
        <v>0</v>
      </c>
      <c r="E1053" s="1097"/>
      <c r="F1053" s="1116" t="n">
        <f aca="false">'Смета Внутр'!H1053</f>
        <v>0</v>
      </c>
    </row>
    <row r="1054" customFormat="false" ht="15" hidden="false" customHeight="false" outlineLevel="0" collapsed="false">
      <c r="B1054" s="1097" t="str">
        <f aca="false">'Смета Внутр'!B1054</f>
        <v>Конек</v>
      </c>
      <c r="C1054" s="1098" t="str">
        <f aca="false">'Смета Внутр'!C1054</f>
        <v>м.п.</v>
      </c>
      <c r="D1054" s="1099" t="n">
        <f aca="false">'Смета Внутр'!D1054</f>
        <v>0</v>
      </c>
      <c r="E1054" s="1097"/>
      <c r="F1054" s="1116" t="n">
        <f aca="false">'Смета Внутр'!H1054</f>
        <v>0</v>
      </c>
    </row>
    <row r="1055" s="118" customFormat="true" ht="15" hidden="false" customHeight="false" outlineLevel="0" collapsed="false">
      <c r="B1055" s="1104" t="str">
        <f aca="false">'Смета Внутр'!B1055</f>
        <v>ондулин</v>
      </c>
      <c r="C1055" s="1105" t="str">
        <f aca="false">'Смета Внутр'!C1055</f>
        <v>м2</v>
      </c>
      <c r="D1055" s="1106" t="n">
        <f aca="false">'Смета Внутр'!D1055</f>
        <v>0</v>
      </c>
      <c r="E1055" s="1104"/>
      <c r="F1055" s="1107" t="n">
        <f aca="false">'Смета Внутр'!H1055</f>
        <v>0</v>
      </c>
    </row>
    <row r="1056" s="118" customFormat="true" ht="15" hidden="false" customHeight="false" outlineLevel="0" collapsed="false">
      <c r="B1056" s="1104" t="str">
        <f aca="false">'Смета Внутр'!B1056</f>
        <v>Карнизная планка</v>
      </c>
      <c r="C1056" s="1105" t="str">
        <f aca="false">'Смета Внутр'!C1056</f>
        <v>м.п.</v>
      </c>
      <c r="D1056" s="1106" t="n">
        <f aca="false">'Смета Внутр'!D1056</f>
        <v>0</v>
      </c>
      <c r="E1056" s="1104"/>
      <c r="F1056" s="1107" t="n">
        <f aca="false">'Смета Внутр'!H1056</f>
        <v>0</v>
      </c>
    </row>
    <row r="1057" s="118" customFormat="true" ht="15" hidden="false" customHeight="false" outlineLevel="0" collapsed="false">
      <c r="B1057" s="1104" t="str">
        <f aca="false">'Смета Внутр'!B1057</f>
        <v>Торцевая планка</v>
      </c>
      <c r="C1057" s="1105" t="str">
        <f aca="false">'Смета Внутр'!C1057</f>
        <v>м.п.</v>
      </c>
      <c r="D1057" s="1106" t="n">
        <f aca="false">'Смета Внутр'!D1057</f>
        <v>0</v>
      </c>
      <c r="E1057" s="1104"/>
      <c r="F1057" s="1107" t="n">
        <f aca="false">'Смета Внутр'!H1057</f>
        <v>0</v>
      </c>
    </row>
    <row r="1058" s="118" customFormat="true" ht="15" hidden="false" customHeight="false" outlineLevel="0" collapsed="false">
      <c r="B1058" s="1104" t="str">
        <f aca="false">'Смета Внутр'!B1058</f>
        <v>Конек</v>
      </c>
      <c r="C1058" s="1105" t="str">
        <f aca="false">'Смета Внутр'!C1058</f>
        <v>м.п</v>
      </c>
      <c r="D1058" s="1106" t="n">
        <f aca="false">'Смета Внутр'!D1058</f>
        <v>0</v>
      </c>
      <c r="E1058" s="1104"/>
      <c r="F1058" s="1107" t="n">
        <f aca="false">'Смета Внутр'!H1058</f>
        <v>0</v>
      </c>
    </row>
    <row r="1059" s="118" customFormat="true" ht="15" hidden="false" customHeight="false" outlineLevel="0" collapsed="false">
      <c r="B1059" s="1104" t="str">
        <f aca="false">'Смета Внутр'!B1059</f>
        <v>Ендова нижняя</v>
      </c>
      <c r="C1059" s="1105" t="str">
        <f aca="false">'Смета Внутр'!C1059</f>
        <v>м.п.</v>
      </c>
      <c r="D1059" s="1106" t="n">
        <f aca="false">'Смета Внутр'!D1059</f>
        <v>0</v>
      </c>
      <c r="E1059" s="1104"/>
      <c r="F1059" s="1107" t="n">
        <f aca="false">'Смета Внутр'!H1059</f>
        <v>0</v>
      </c>
    </row>
    <row r="1060" s="118" customFormat="true" ht="15" hidden="false" customHeight="false" outlineLevel="0" collapsed="false">
      <c r="B1060" s="1104" t="str">
        <f aca="false">'Смета Внутр'!B1060</f>
        <v>Ендова верхняя</v>
      </c>
      <c r="C1060" s="1105" t="str">
        <f aca="false">'Смета Внутр'!C1060</f>
        <v>м.п.</v>
      </c>
      <c r="D1060" s="1106" t="n">
        <f aca="false">'Смета Внутр'!D1060</f>
        <v>0</v>
      </c>
      <c r="E1060" s="1104"/>
      <c r="F1060" s="1107" t="n">
        <f aca="false">'Смета Внутр'!H1060</f>
        <v>0</v>
      </c>
    </row>
    <row r="1061" s="118" customFormat="true" ht="15" hidden="false" customHeight="false" outlineLevel="0" collapsed="false">
      <c r="B1061" s="1104" t="str">
        <f aca="false">'Смета Внутр'!B1061</f>
        <v>Планка примыкания</v>
      </c>
      <c r="C1061" s="1105" t="str">
        <f aca="false">'Смета Внутр'!C1061</f>
        <v>м.п.</v>
      </c>
      <c r="D1061" s="1106" t="n">
        <f aca="false">'Смета Внутр'!D1061</f>
        <v>0</v>
      </c>
      <c r="E1061" s="1104"/>
      <c r="F1061" s="1107" t="n">
        <f aca="false">'Смета Внутр'!H1061</f>
        <v>0</v>
      </c>
    </row>
    <row r="1062" s="118" customFormat="true" ht="15" hidden="false" customHeight="false" outlineLevel="0" collapsed="false">
      <c r="B1062" s="1104" t="str">
        <f aca="false">'Смета Внутр'!B1062</f>
        <v>Крепеж для ондулина</v>
      </c>
      <c r="C1062" s="1105" t="str">
        <f aca="false">'Смета Внутр'!C1062</f>
        <v>шт</v>
      </c>
      <c r="D1062" s="1106" t="n">
        <f aca="false">'Смета Внутр'!D1062</f>
        <v>0</v>
      </c>
      <c r="E1062" s="1104"/>
      <c r="F1062" s="1107" t="n">
        <f aca="false">'Смета Внутр'!H1062</f>
        <v>0</v>
      </c>
    </row>
    <row r="1063" s="118" customFormat="true" ht="15" hidden="false" customHeight="false" outlineLevel="0" collapsed="false">
      <c r="B1063" s="1104" t="str">
        <f aca="false">'Смета Внутр'!B1063</f>
        <v>нет</v>
      </c>
      <c r="C1063" s="1105" t="str">
        <f aca="false">'Смета Внутр'!C1063</f>
        <v>м2</v>
      </c>
      <c r="D1063" s="1106" t="n">
        <f aca="false">'Смета Внутр'!D1063</f>
        <v>116.359004924529</v>
      </c>
      <c r="E1063" s="1104"/>
      <c r="F1063" s="1107" t="n">
        <f aca="false">'Смета Внутр'!H1063</f>
        <v>0</v>
      </c>
    </row>
    <row r="1064" s="118" customFormat="true" ht="15" hidden="false" customHeight="false" outlineLevel="0" collapsed="false">
      <c r="B1064" s="1104" t="str">
        <f aca="false">'Смета Внутр'!B1064</f>
        <v>Рядовая черепица</v>
      </c>
      <c r="C1064" s="1105" t="str">
        <f aca="false">'Смета Внутр'!C1064</f>
        <v>м2</v>
      </c>
      <c r="D1064" s="1106" t="n">
        <f aca="false">'Смета Внутр'!D1064</f>
        <v>0</v>
      </c>
      <c r="E1064" s="1104"/>
      <c r="F1064" s="1107" t="n">
        <f aca="false">'Смета Внутр'!H1064</f>
        <v>0</v>
      </c>
    </row>
    <row r="1065" s="118" customFormat="true" ht="15" hidden="false" customHeight="false" outlineLevel="0" collapsed="false">
      <c r="B1065" s="1104" t="str">
        <f aca="false">'Смета Внутр'!B1065</f>
        <v>Металл оцинк защита (карниз)</v>
      </c>
      <c r="C1065" s="1105" t="str">
        <f aca="false">'Смета Внутр'!C1065</f>
        <v>м.п.</v>
      </c>
      <c r="D1065" s="1106" t="n">
        <f aca="false">'Смета Внутр'!D1065</f>
        <v>0</v>
      </c>
      <c r="E1065" s="1104"/>
      <c r="F1065" s="1107" t="n">
        <f aca="false">'Смета Внутр'!H1065</f>
        <v>0</v>
      </c>
    </row>
    <row r="1066" s="118" customFormat="true" ht="15" hidden="false" customHeight="false" outlineLevel="0" collapsed="false">
      <c r="B1066" s="1104" t="str">
        <f aca="false">'Смета Внутр'!B1066</f>
        <v>Подкладочный ковер</v>
      </c>
      <c r="C1066" s="1105" t="str">
        <f aca="false">'Смета Внутр'!C1066</f>
        <v>м.п.</v>
      </c>
      <c r="D1066" s="1106" t="n">
        <f aca="false">'Смета Внутр'!D1066</f>
        <v>0</v>
      </c>
      <c r="E1066" s="1104"/>
      <c r="F1066" s="1107" t="n">
        <f aca="false">'Смета Внутр'!H1066</f>
        <v>0</v>
      </c>
    </row>
    <row r="1067" s="118" customFormat="true" ht="15" hidden="false" customHeight="false" outlineLevel="0" collapsed="false">
      <c r="B1067" s="1104" t="str">
        <f aca="false">'Смета Внутр'!B1067</f>
        <v>Карнизная самоклеющаяся черепица</v>
      </c>
      <c r="C1067" s="1105" t="str">
        <f aca="false">'Смета Внутр'!C1067</f>
        <v>м.п.</v>
      </c>
      <c r="D1067" s="1106" t="n">
        <f aca="false">'Смета Внутр'!D1067</f>
        <v>0</v>
      </c>
      <c r="E1067" s="1104"/>
      <c r="F1067" s="1107" t="n">
        <f aca="false">'Смета Внутр'!H1067</f>
        <v>0</v>
      </c>
    </row>
    <row r="1068" s="118" customFormat="true" ht="15" hidden="false" customHeight="false" outlineLevel="0" collapsed="false">
      <c r="B1068" s="1104" t="str">
        <f aca="false">'Смета Внутр'!B1068</f>
        <v>Спец ковер ендова нижняя</v>
      </c>
      <c r="C1068" s="1105" t="str">
        <f aca="false">'Смета Внутр'!C1068</f>
        <v>м.п.</v>
      </c>
      <c r="D1068" s="1106" t="n">
        <f aca="false">'Смета Внутр'!D1068</f>
        <v>0</v>
      </c>
      <c r="E1068" s="1104"/>
      <c r="F1068" s="1107" t="n">
        <f aca="false">'Смета Внутр'!H1068</f>
        <v>0</v>
      </c>
    </row>
    <row r="1069" s="118" customFormat="true" ht="15" hidden="false" customHeight="false" outlineLevel="0" collapsed="false">
      <c r="B1069" s="1104" t="str">
        <f aca="false">'Смета Внутр'!B1069</f>
        <v>Коньковой элемент</v>
      </c>
      <c r="C1069" s="1105" t="str">
        <f aca="false">'Смета Внутр'!C1069</f>
        <v>м.п.</v>
      </c>
      <c r="D1069" s="1106" t="n">
        <f aca="false">'Смета Внутр'!D1069</f>
        <v>0</v>
      </c>
      <c r="E1069" s="1104"/>
      <c r="F1069" s="1107" t="n">
        <f aca="false">'Смета Внутр'!H1069</f>
        <v>0</v>
      </c>
    </row>
    <row r="1070" s="118" customFormat="true" ht="15" hidden="false" customHeight="false" outlineLevel="0" collapsed="false">
      <c r="B1070" s="1104" t="str">
        <f aca="false">'Смета Внутр'!B1070</f>
        <v>Планка премыкания</v>
      </c>
      <c r="C1070" s="1105" t="str">
        <f aca="false">'Смета Внутр'!C1070</f>
        <v>м.п.</v>
      </c>
      <c r="D1070" s="1106" t="n">
        <f aca="false">'Смета Внутр'!D1070</f>
        <v>0</v>
      </c>
      <c r="E1070" s="1104"/>
      <c r="F1070" s="1107" t="n">
        <f aca="false">'Смета Внутр'!H1070</f>
        <v>0</v>
      </c>
    </row>
    <row r="1071" s="118" customFormat="true" ht="15" hidden="false" customHeight="false" outlineLevel="0" collapsed="false">
      <c r="B1071" s="1104" t="str">
        <f aca="false">'Смета Внутр'!B1071</f>
        <v>Гвозди для крепления подкладочного ковра</v>
      </c>
      <c r="C1071" s="1105" t="str">
        <f aca="false">'Смета Внутр'!C1071</f>
        <v>шт</v>
      </c>
      <c r="D1071" s="1106" t="n">
        <f aca="false">'Смета Внутр'!D1071</f>
        <v>0</v>
      </c>
      <c r="E1071" s="1104"/>
      <c r="F1071" s="1107" t="n">
        <f aca="false">'Смета Внутр'!H1071</f>
        <v>0</v>
      </c>
    </row>
    <row r="1072" s="118" customFormat="true" ht="15" hidden="false" customHeight="false" outlineLevel="0" collapsed="false">
      <c r="B1072" s="1104" t="str">
        <f aca="false">'Смета Внутр'!B1072</f>
        <v>Гвозди для крепления черепицы</v>
      </c>
      <c r="C1072" s="1105" t="str">
        <f aca="false">'Смета Внутр'!C1072</f>
        <v>шт</v>
      </c>
      <c r="D1072" s="1106" t="n">
        <f aca="false">'Смета Внутр'!D1072</f>
        <v>0</v>
      </c>
      <c r="E1072" s="1104"/>
      <c r="F1072" s="1107" t="n">
        <f aca="false">'Смета Внутр'!H1072</f>
        <v>0</v>
      </c>
    </row>
    <row r="1073" s="118" customFormat="true" ht="15" hidden="false" customHeight="false" outlineLevel="0" collapsed="false">
      <c r="B1073" s="1104" t="str">
        <f aca="false">'Смета Внутр'!B1073</f>
        <v>Клей для монтажа черепицы</v>
      </c>
      <c r="C1073" s="1105" t="str">
        <f aca="false">'Смета Внутр'!C1073</f>
        <v>кг</v>
      </c>
      <c r="D1073" s="1106" t="n">
        <f aca="false">'Смета Внутр'!D1073</f>
        <v>0</v>
      </c>
      <c r="E1073" s="1104"/>
      <c r="F1073" s="1107" t="n">
        <f aca="false">'Смета Внутр'!H1073</f>
        <v>0</v>
      </c>
    </row>
    <row r="1074" customFormat="false" ht="15" hidden="false" customHeight="false" outlineLevel="0" collapsed="false">
      <c r="B1074" s="1097" t="str">
        <f aca="false">'Смета Внутр'!B1074</f>
        <v>желоб</v>
      </c>
      <c r="C1074" s="1098" t="str">
        <f aca="false">'Смета Внутр'!C1074</f>
        <v>м.п</v>
      </c>
      <c r="D1074" s="1099" t="n">
        <f aca="false">'Смета Внутр'!D1074</f>
        <v>0</v>
      </c>
      <c r="E1074" s="1097"/>
      <c r="F1074" s="1116" t="n">
        <f aca="false">'Смета Внутр'!H1074</f>
        <v>0</v>
      </c>
    </row>
    <row r="1075" customFormat="false" ht="15" hidden="false" customHeight="false" outlineLevel="0" collapsed="false">
      <c r="B1075" s="1097" t="str">
        <f aca="false">'Смета Внутр'!B1075</f>
        <v>отвод</v>
      </c>
      <c r="C1075" s="1098" t="str">
        <f aca="false">'Смета Внутр'!C1075</f>
        <v>шт</v>
      </c>
      <c r="D1075" s="1099" t="n">
        <f aca="false">'Смета Внутр'!D1075</f>
        <v>2</v>
      </c>
      <c r="E1075" s="1097"/>
      <c r="F1075" s="1116" t="n">
        <f aca="false">'Смета Внутр'!H1075</f>
        <v>0</v>
      </c>
    </row>
    <row r="1076" customFormat="false" ht="15" hidden="false" customHeight="false" outlineLevel="0" collapsed="false">
      <c r="B1076" s="1097" t="str">
        <f aca="false">'Смета Внутр'!B1076</f>
        <v>труба водосточная</v>
      </c>
      <c r="C1076" s="1098" t="str">
        <f aca="false">'Смета Внутр'!C1076</f>
        <v>м.п.</v>
      </c>
      <c r="D1076" s="1099" t="n">
        <f aca="false">'Смета Внутр'!D1076</f>
        <v>11.34</v>
      </c>
      <c r="E1076" s="1097"/>
      <c r="F1076" s="1116" t="n">
        <f aca="false">'Смета Внутр'!H1076</f>
        <v>0</v>
      </c>
    </row>
    <row r="1077" customFormat="false" ht="15" hidden="false" customHeight="false" outlineLevel="0" collapsed="false">
      <c r="B1077" s="1097" t="str">
        <f aca="false">'Смета Внутр'!B1077</f>
        <v>заглушка для желоба</v>
      </c>
      <c r="C1077" s="1098" t="str">
        <f aca="false">'Смета Внутр'!C1077</f>
        <v>шт</v>
      </c>
      <c r="D1077" s="1099" t="n">
        <f aca="false">'Смета Внутр'!D1077</f>
        <v>2</v>
      </c>
      <c r="E1077" s="1097"/>
      <c r="F1077" s="1116" t="n">
        <f aca="false">'Смета Внутр'!H1077</f>
        <v>0</v>
      </c>
    </row>
    <row r="1078" customFormat="false" ht="15" hidden="false" customHeight="false" outlineLevel="0" collapsed="false">
      <c r="B1078" s="1097" t="str">
        <f aca="false">'Смета Внутр'!B1078</f>
        <v>соеденитель для желоба</v>
      </c>
      <c r="C1078" s="1098" t="str">
        <f aca="false">'Смета Внутр'!C1078</f>
        <v>шт</v>
      </c>
      <c r="D1078" s="1099" t="n">
        <f aca="false">'Смета Внутр'!D1078</f>
        <v>1</v>
      </c>
      <c r="E1078" s="1097"/>
      <c r="F1078" s="1116" t="n">
        <f aca="false">'Смета Внутр'!H1078</f>
        <v>0</v>
      </c>
    </row>
    <row r="1079" customFormat="false" ht="15" hidden="false" customHeight="false" outlineLevel="0" collapsed="false">
      <c r="B1079" s="1097" t="str">
        <f aca="false">'Смета Внутр'!B1079</f>
        <v>кронштейн для желоба</v>
      </c>
      <c r="C1079" s="1098" t="str">
        <f aca="false">'Смета Внутр'!C1079</f>
        <v>шт</v>
      </c>
      <c r="D1079" s="1099" t="n">
        <f aca="false">'Смета Внутр'!D1079</f>
        <v>4</v>
      </c>
      <c r="E1079" s="1097"/>
      <c r="F1079" s="1116" t="n">
        <f aca="false">'Смета Внутр'!H1079</f>
        <v>0</v>
      </c>
    </row>
    <row r="1080" customFormat="false" ht="15" hidden="false" customHeight="false" outlineLevel="0" collapsed="false">
      <c r="B1080" s="1097" t="str">
        <f aca="false">'Смета Внутр'!B1080</f>
        <v>переход из желоба в трубу</v>
      </c>
      <c r="C1080" s="1098" t="str">
        <f aca="false">'Смета Внутр'!C1080</f>
        <v>шт</v>
      </c>
      <c r="D1080" s="1099" t="n">
        <f aca="false">'Смета Внутр'!D1080</f>
        <v>2</v>
      </c>
      <c r="E1080" s="1097"/>
      <c r="F1080" s="1116" t="n">
        <f aca="false">'Смета Внутр'!H1080</f>
        <v>0</v>
      </c>
    </row>
    <row r="1081" customFormat="false" ht="15" hidden="false" customHeight="false" outlineLevel="0" collapsed="false">
      <c r="B1081" s="1097" t="str">
        <f aca="false">'Смета Внутр'!B1081</f>
        <v>лента дельта мульти бэнд</v>
      </c>
      <c r="C1081" s="1098" t="str">
        <f aca="false">'Смета Внутр'!C1081</f>
        <v>шт</v>
      </c>
      <c r="D1081" s="1099" t="n">
        <f aca="false">'Смета Внутр'!D1081</f>
        <v>0</v>
      </c>
      <c r="E1081" s="1097"/>
      <c r="F1081" s="1116" t="n">
        <f aca="false">'Смета Внутр'!H1081</f>
        <v>0</v>
      </c>
    </row>
    <row r="1082" customFormat="false" ht="15" hidden="false" customHeight="false" outlineLevel="0" collapsed="false">
      <c r="B1082" s="1097" t="str">
        <f aca="false">'Смета Внутр'!B1082</f>
        <v>лента дельта sb-60</v>
      </c>
      <c r="C1082" s="1098" t="str">
        <f aca="false">'Смета Внутр'!C1082</f>
        <v>шт</v>
      </c>
      <c r="D1082" s="1099" t="n">
        <f aca="false">'Смета Внутр'!D1082</f>
        <v>1</v>
      </c>
      <c r="E1082" s="1097"/>
      <c r="F1082" s="1116" t="n">
        <f aca="false">'Смета Внутр'!H1082</f>
        <v>0</v>
      </c>
    </row>
    <row r="1083" s="118" customFormat="true" ht="15" hidden="false" customHeight="false" outlineLevel="0" collapsed="false">
      <c r="B1083" s="1104" t="str">
        <f aca="false">'Смета Внутр'!B1083</f>
        <v>проходка кровельная, канализационная</v>
      </c>
      <c r="C1083" s="1105" t="str">
        <f aca="false">'Смета Внутр'!C1083</f>
        <v>шт</v>
      </c>
      <c r="D1083" s="1106" t="n">
        <f aca="false">'Смета Внутр'!D1083</f>
        <v>0</v>
      </c>
      <c r="E1083" s="1104"/>
      <c r="F1083" s="1107" t="n">
        <f aca="false">'Смета Внутр'!H1083</f>
        <v>0</v>
      </c>
    </row>
    <row r="1084" s="118" customFormat="true" ht="15" hidden="false" customHeight="false" outlineLevel="0" collapsed="false">
      <c r="B1084" s="1104" t="str">
        <f aca="false">'Смета Внутр'!B1084</f>
        <v>проходка кровельная, вентиляционная</v>
      </c>
      <c r="C1084" s="1105" t="str">
        <f aca="false">'Смета Внутр'!C1084</f>
        <v>шт</v>
      </c>
      <c r="D1084" s="1106" t="n">
        <f aca="false">'Смета Внутр'!D1084</f>
        <v>0</v>
      </c>
      <c r="E1084" s="1104"/>
      <c r="F1084" s="1107" t="n">
        <f aca="false">'Смета Внутр'!H1084</f>
        <v>0</v>
      </c>
    </row>
    <row r="1085" s="118" customFormat="true" ht="15" hidden="false" customHeight="false" outlineLevel="0" collapsed="false">
      <c r="B1085" s="1104" t="str">
        <f aca="false">'Смета Внутр'!B1085</f>
        <v>проодка кровельная, труба котел</v>
      </c>
      <c r="C1085" s="1105" t="str">
        <f aca="false">'Смета Внутр'!C1085</f>
        <v>шт</v>
      </c>
      <c r="D1085" s="1106" t="n">
        <f aca="false">'Смета Внутр'!D1085</f>
        <v>0</v>
      </c>
      <c r="E1085" s="1104"/>
      <c r="F1085" s="1107" t="n">
        <f aca="false">'Смета Внутр'!H1085</f>
        <v>0</v>
      </c>
    </row>
    <row r="1086" customFormat="false" ht="15" hidden="false" customHeight="false" outlineLevel="0" collapsed="false">
      <c r="B1086" s="1097" t="str">
        <f aca="false">'Смета Внутр'!B1086</f>
        <v>Кровельный саморез</v>
      </c>
      <c r="C1086" s="1098" t="str">
        <f aca="false">'Смета Внутр'!C1086</f>
        <v>шт</v>
      </c>
      <c r="D1086" s="1099" t="n">
        <f aca="false">'Смета Внутр'!D1086</f>
        <v>86.4</v>
      </c>
      <c r="E1086" s="1097"/>
      <c r="F1086" s="1116" t="n">
        <f aca="false">'Смета Внутр'!H1086</f>
        <v>0</v>
      </c>
    </row>
    <row r="1087" customFormat="false" ht="15" hidden="false" customHeight="false" outlineLevel="0" collapsed="false">
      <c r="B1087" s="1097" t="str">
        <f aca="false">'Смета Внутр'!B1087</f>
        <v>Гвозди ершоные 3,4 x 60            </v>
      </c>
      <c r="C1087" s="1098" t="str">
        <f aca="false">'Смета Внутр'!C1087</f>
        <v>кг</v>
      </c>
      <c r="D1087" s="1099" t="n">
        <f aca="false">'Смета Внутр'!D1087</f>
        <v>0.6</v>
      </c>
      <c r="E1087" s="1097"/>
      <c r="F1087" s="1116" t="n">
        <f aca="false">'Смета Внутр'!H1087</f>
        <v>0</v>
      </c>
    </row>
    <row r="1088" customFormat="false" ht="15" hidden="false" customHeight="false" outlineLevel="0" collapsed="false">
      <c r="B1088" s="1097" t="str">
        <f aca="false">'Смета Внутр'!B1088</f>
        <v>Гвозди ершоные 2,8 х 90            </v>
      </c>
      <c r="C1088" s="1098" t="str">
        <f aca="false">'Смета Внутр'!C1088</f>
        <v>кг</v>
      </c>
      <c r="D1088" s="1099" t="n">
        <f aca="false">'Смета Внутр'!D1088</f>
        <v>0.5661</v>
      </c>
      <c r="E1088" s="1097"/>
      <c r="F1088" s="1116" t="n">
        <f aca="false">'Смета Внутр'!H1088</f>
        <v>0</v>
      </c>
    </row>
    <row r="1089" s="118" customFormat="true" ht="15" hidden="false" customHeight="false" outlineLevel="0" collapsed="false">
      <c r="B1089" s="1104" t="str">
        <f aca="false">'Смета Внутр'!B1089</f>
        <v>Пластина соеденительная 100х240х2           </v>
      </c>
      <c r="C1089" s="1105" t="str">
        <f aca="false">'Смета Внутр'!C1089</f>
        <v>шт</v>
      </c>
      <c r="D1089" s="1106" t="n">
        <f aca="false">'Смета Внутр'!D1089</f>
        <v>0</v>
      </c>
      <c r="E1089" s="1104"/>
      <c r="F1089" s="1107" t="n">
        <f aca="false">'Смета Внутр'!H1089</f>
        <v>0</v>
      </c>
    </row>
    <row r="1090" customFormat="false" ht="15" hidden="false" customHeight="false" outlineLevel="0" collapsed="false">
      <c r="B1090" s="1097" t="str">
        <f aca="false">'Смета Внутр'!B1090</f>
        <v>Уголок усиленный 90х70х55х2,5        </v>
      </c>
      <c r="C1090" s="1098" t="str">
        <f aca="false">'Смета Внутр'!C1090</f>
        <v>шт</v>
      </c>
      <c r="D1090" s="1099" t="n">
        <f aca="false">'Смета Внутр'!D1090</f>
        <v>6</v>
      </c>
      <c r="E1090" s="1097"/>
      <c r="F1090" s="1116" t="n">
        <f aca="false">'Смета Внутр'!H1090</f>
        <v>0</v>
      </c>
    </row>
    <row r="1091" customFormat="false" ht="15" hidden="false" customHeight="false" outlineLevel="0" collapsed="false">
      <c r="B1091" s="1117" t="str">
        <f aca="false">'Смета Внутр'!B1091</f>
        <v>Итого материалы</v>
      </c>
      <c r="C1091" s="1117"/>
      <c r="D1091" s="1117"/>
      <c r="E1091" s="1117"/>
      <c r="F1091" s="1118" t="n">
        <f aca="false">'Смета Внутр'!G1091</f>
        <v>0</v>
      </c>
    </row>
    <row r="1092" customFormat="false" ht="15" hidden="false" customHeight="false" outlineLevel="0" collapsed="false">
      <c r="B1092" s="1119" t="str">
        <f aca="false">'Смета Внутр'!B1092</f>
        <v>Работы</v>
      </c>
      <c r="C1092" s="1119"/>
      <c r="D1092" s="1119"/>
      <c r="E1092" s="1119"/>
      <c r="F1092" s="1114" t="n">
        <f aca="false">'Смета Внутр'!H1092</f>
        <v>0</v>
      </c>
    </row>
    <row r="1093" customFormat="false" ht="15" hidden="false" customHeight="false" outlineLevel="0" collapsed="false">
      <c r="B1093" s="1097" t="str">
        <f aca="false">'Смета Внутр'!B1093</f>
        <v>монтаж мауэрлата</v>
      </c>
      <c r="C1093" s="1098" t="str">
        <f aca="false">'Смета Внутр'!C1093</f>
        <v>м.п.</v>
      </c>
      <c r="D1093" s="1099" t="n">
        <f aca="false">'Смета Внутр'!D1093</f>
        <v>0</v>
      </c>
      <c r="E1093" s="1097"/>
      <c r="F1093" s="1116" t="n">
        <f aca="false">'Смета Внутр'!H1093</f>
        <v>0</v>
      </c>
    </row>
    <row r="1094" customFormat="false" ht="15" hidden="false" customHeight="false" outlineLevel="0" collapsed="false">
      <c r="B1094" s="1097" t="str">
        <f aca="false">'Смета Внутр'!B1094</f>
        <v>монтаж стропил</v>
      </c>
      <c r="C1094" s="1098" t="str">
        <f aca="false">'Смета Внутр'!C1094</f>
        <v>м2</v>
      </c>
      <c r="D1094" s="1099" t="n">
        <f aca="false">'Смета Внутр'!D1094</f>
        <v>6</v>
      </c>
      <c r="E1094" s="1097"/>
      <c r="F1094" s="1116" t="n">
        <f aca="false">'Смета Внутр'!H1094</f>
        <v>0</v>
      </c>
    </row>
    <row r="1095" customFormat="false" ht="15" hidden="false" customHeight="false" outlineLevel="0" collapsed="false">
      <c r="B1095" s="1097" t="str">
        <f aca="false">'Смета Внутр'!B1095</f>
        <v>обрешетка</v>
      </c>
      <c r="C1095" s="1098" t="str">
        <f aca="false">'Смета Внутр'!C1095</f>
        <v>м2</v>
      </c>
      <c r="D1095" s="1099" t="n">
        <f aca="false">'Смета Внутр'!D1095</f>
        <v>6</v>
      </c>
      <c r="E1095" s="1097"/>
      <c r="F1095" s="1116" t="n">
        <f aca="false">'Смета Внутр'!H1095</f>
        <v>0</v>
      </c>
    </row>
    <row r="1096" customFormat="false" ht="15" hidden="false" customHeight="false" outlineLevel="0" collapsed="false">
      <c r="B1096" s="1097" t="str">
        <f aca="false">'Смета Внутр'!B1096</f>
        <v>контробеш</v>
      </c>
      <c r="C1096" s="1098" t="str">
        <f aca="false">'Смета Внутр'!C1096</f>
        <v>м2</v>
      </c>
      <c r="D1096" s="1099" t="n">
        <f aca="false">'Смета Внутр'!D1096</f>
        <v>6</v>
      </c>
      <c r="E1096" s="1097"/>
      <c r="F1096" s="1116" t="n">
        <f aca="false">'Смета Внутр'!H1096</f>
        <v>0</v>
      </c>
    </row>
    <row r="1097" customFormat="false" ht="15" hidden="false" customHeight="false" outlineLevel="0" collapsed="false">
      <c r="B1097" s="1097" t="str">
        <f aca="false">'Смета Внутр'!B1097</f>
        <v>Монтаж металлочерепицы</v>
      </c>
      <c r="C1097" s="1098" t="str">
        <f aca="false">'Смета Внутр'!C1097</f>
        <v>м2</v>
      </c>
      <c r="D1097" s="1099" t="n">
        <f aca="false">'Смета Внутр'!D1097</f>
        <v>6</v>
      </c>
      <c r="E1097" s="1097"/>
      <c r="F1097" s="1116" t="n">
        <f aca="false">'Смета Внутр'!H1097</f>
        <v>0</v>
      </c>
    </row>
    <row r="1098" s="118" customFormat="true" ht="15" hidden="false" customHeight="false" outlineLevel="0" collapsed="false">
      <c r="B1098" s="1104" t="str">
        <f aca="false">'Смета Внутр'!B1098</f>
        <v>Монтаж ондулина</v>
      </c>
      <c r="C1098" s="1105" t="str">
        <f aca="false">'Смета Внутр'!C1098</f>
        <v>м2</v>
      </c>
      <c r="D1098" s="1106" t="n">
        <f aca="false">'Смета Внутр'!D1098</f>
        <v>0</v>
      </c>
      <c r="E1098" s="1104"/>
      <c r="F1098" s="1107" t="n">
        <f aca="false">'Смета Внутр'!H1098</f>
        <v>0</v>
      </c>
    </row>
    <row r="1099" customFormat="false" ht="15" hidden="false" customHeight="false" outlineLevel="0" collapsed="false">
      <c r="B1099" s="1097" t="str">
        <f aca="false">'Смета Внутр'!B1099</f>
        <v>мембрана</v>
      </c>
      <c r="C1099" s="1098" t="str">
        <f aca="false">'Смета Внутр'!C1099</f>
        <v>м2</v>
      </c>
      <c r="D1099" s="1099" t="n">
        <f aca="false">'Смета Внутр'!D1099</f>
        <v>6</v>
      </c>
      <c r="E1099" s="1097"/>
      <c r="F1099" s="1116" t="n">
        <f aca="false">'Смета Внутр'!H1099</f>
        <v>0</v>
      </c>
    </row>
    <row r="1100" customFormat="false" ht="15" hidden="false" customHeight="false" outlineLevel="0" collapsed="false">
      <c r="B1100" s="1097" t="str">
        <f aca="false">'Смета Внутр'!B1100</f>
        <v>пароизоляц</v>
      </c>
      <c r="C1100" s="1098" t="str">
        <f aca="false">'Смета Внутр'!C1100</f>
        <v>м2</v>
      </c>
      <c r="D1100" s="1099" t="n">
        <f aca="false">'Смета Внутр'!D1100</f>
        <v>6</v>
      </c>
      <c r="E1100" s="1097"/>
      <c r="F1100" s="1116" t="n">
        <f aca="false">'Смета Внутр'!H1100</f>
        <v>0</v>
      </c>
    </row>
    <row r="1101" customFormat="false" ht="15" hidden="false" customHeight="false" outlineLevel="0" collapsed="false">
      <c r="B1101" s="1097" t="str">
        <f aca="false">'Смета Внутр'!B1101</f>
        <v>утеплитель</v>
      </c>
      <c r="C1101" s="1098" t="str">
        <f aca="false">'Смета Внутр'!C1101</f>
        <v>м2</v>
      </c>
      <c r="D1101" s="1099" t="n">
        <f aca="false">'Смета Внутр'!D1101</f>
        <v>0</v>
      </c>
      <c r="E1101" s="1097"/>
      <c r="F1101" s="1116" t="n">
        <f aca="false">'Смета Внутр'!H1101</f>
        <v>0</v>
      </c>
    </row>
    <row r="1102" customFormat="false" ht="15" hidden="false" customHeight="false" outlineLevel="0" collapsed="false">
      <c r="B1102" s="1097" t="str">
        <f aca="false">'Смета Внутр'!B1102</f>
        <v>карнизная планка</v>
      </c>
      <c r="C1102" s="1098" t="str">
        <f aca="false">'Смета Внутр'!C1102</f>
        <v>м2</v>
      </c>
      <c r="D1102" s="1099" t="n">
        <f aca="false">'Смета Внутр'!D1102</f>
        <v>0</v>
      </c>
      <c r="E1102" s="1097"/>
      <c r="F1102" s="1116" t="n">
        <f aca="false">'Смета Внутр'!H1102</f>
        <v>0</v>
      </c>
    </row>
    <row r="1103" customFormat="false" ht="15" hidden="false" customHeight="false" outlineLevel="0" collapsed="false">
      <c r="B1103" s="1097" t="str">
        <f aca="false">'Смета Внутр'!B1103</f>
        <v>торцевая планка</v>
      </c>
      <c r="C1103" s="1098" t="str">
        <f aca="false">'Смета Внутр'!C1103</f>
        <v>м2</v>
      </c>
      <c r="D1103" s="1099" t="n">
        <f aca="false">'Смета Внутр'!D1103</f>
        <v>0</v>
      </c>
      <c r="E1103" s="1097"/>
      <c r="F1103" s="1116" t="n">
        <f aca="false">'Смета Внутр'!H1103</f>
        <v>0</v>
      </c>
    </row>
    <row r="1104" customFormat="false" ht="15" hidden="false" customHeight="false" outlineLevel="0" collapsed="false">
      <c r="B1104" s="1097" t="str">
        <f aca="false">'Смета Внутр'!B1104</f>
        <v>конек</v>
      </c>
      <c r="C1104" s="1098" t="str">
        <f aca="false">'Смета Внутр'!C1104</f>
        <v>м.п.</v>
      </c>
      <c r="D1104" s="1099" t="n">
        <f aca="false">'Смета Внутр'!D1104</f>
        <v>0</v>
      </c>
      <c r="E1104" s="1097"/>
      <c r="F1104" s="1116" t="n">
        <f aca="false">'Смета Внутр'!H1104</f>
        <v>0</v>
      </c>
    </row>
    <row r="1105" customFormat="false" ht="15" hidden="false" customHeight="false" outlineLevel="0" collapsed="false">
      <c r="B1105" s="1097" t="str">
        <f aca="false">'Смета Внутр'!B1105</f>
        <v>желоб водосточный</v>
      </c>
      <c r="C1105" s="1098" t="str">
        <f aca="false">'Смета Внутр'!C1105</f>
        <v>м.п.</v>
      </c>
      <c r="D1105" s="1099" t="n">
        <f aca="false">'Смета Внутр'!D1105</f>
        <v>0</v>
      </c>
      <c r="E1105" s="1097"/>
      <c r="F1105" s="1116" t="n">
        <f aca="false">'Смета Внутр'!H1105</f>
        <v>0</v>
      </c>
    </row>
    <row r="1106" customFormat="false" ht="15" hidden="false" customHeight="false" outlineLevel="0" collapsed="false">
      <c r="B1106" s="1097" t="str">
        <f aca="false">'Смета Внутр'!B1106</f>
        <v>труба водосточная</v>
      </c>
      <c r="C1106" s="1098" t="str">
        <f aca="false">'Смета Внутр'!C1106</f>
        <v>м.п.</v>
      </c>
      <c r="D1106" s="1099" t="n">
        <f aca="false">'Смета Внутр'!D1106</f>
        <v>11.34</v>
      </c>
      <c r="E1106" s="1097"/>
      <c r="F1106" s="1116" t="n">
        <f aca="false">'Смета Внутр'!H1106</f>
        <v>0</v>
      </c>
    </row>
    <row r="1107" s="118" customFormat="true" ht="15" hidden="false" customHeight="false" outlineLevel="0" collapsed="false">
      <c r="B1107" s="1104" t="str">
        <f aca="false">'Смета Внутр'!B1107</f>
        <v>Монтаж фанеры/osb</v>
      </c>
      <c r="C1107" s="1105" t="str">
        <f aca="false">'Смета Внутр'!C1107</f>
        <v>м2</v>
      </c>
      <c r="D1107" s="1106" t="n">
        <f aca="false">'Смета Внутр'!D1107</f>
        <v>0</v>
      </c>
      <c r="E1107" s="1104"/>
      <c r="F1107" s="1107" t="n">
        <f aca="false">'Смета Внутр'!H1107</f>
        <v>0</v>
      </c>
    </row>
    <row r="1108" s="118" customFormat="true" ht="15" hidden="false" customHeight="false" outlineLevel="0" collapsed="false">
      <c r="B1108" s="1104" t="str">
        <f aca="false">'Смета Внутр'!B1108</f>
        <v>монтаж подкладочного ковра</v>
      </c>
      <c r="C1108" s="1105" t="str">
        <f aca="false">'Смета Внутр'!C1108</f>
        <v>м2</v>
      </c>
      <c r="D1108" s="1106" t="n">
        <f aca="false">'Смета Внутр'!D1108</f>
        <v>0</v>
      </c>
      <c r="E1108" s="1104"/>
      <c r="F1108" s="1107" t="n">
        <f aca="false">'Смета Внутр'!H1108</f>
        <v>0</v>
      </c>
    </row>
    <row r="1109" s="118" customFormat="true" ht="15" hidden="false" customHeight="false" outlineLevel="0" collapsed="false">
      <c r="B1109" s="1104" t="str">
        <f aca="false">'Смета Внутр'!B1109</f>
        <v>Монтаж мягкой кровли</v>
      </c>
      <c r="C1109" s="1105" t="str">
        <f aca="false">'Смета Внутр'!C1109</f>
        <v>м2</v>
      </c>
      <c r="D1109" s="1106" t="n">
        <f aca="false">'Смета Внутр'!D1109</f>
        <v>0</v>
      </c>
      <c r="E1109" s="1104"/>
      <c r="F1109" s="1107" t="n">
        <f aca="false">'Смета Внутр'!H1109</f>
        <v>0</v>
      </c>
    </row>
    <row r="1110" customFormat="false" ht="15" hidden="false" customHeight="false" outlineLevel="0" collapsed="false">
      <c r="B1110" s="1117" t="str">
        <f aca="false">'Смета Внутр'!B1110</f>
        <v>Итого работы</v>
      </c>
      <c r="C1110" s="1117"/>
      <c r="D1110" s="1117"/>
      <c r="E1110" s="1117"/>
      <c r="F1110" s="1118" t="n">
        <f aca="false">'Смета Внутр'!G1110</f>
        <v>0</v>
      </c>
    </row>
    <row r="1111" s="118" customFormat="true" ht="18.75" hidden="false" customHeight="false" outlineLevel="0" collapsed="false">
      <c r="B1111" s="1111" t="str">
        <f aca="false">'Смета Внутр'!B1111</f>
        <v>Кровля двускатная</v>
      </c>
      <c r="C1111" s="1111"/>
      <c r="D1111" s="1111"/>
      <c r="E1111" s="1111"/>
      <c r="F1111" s="1120" t="n">
        <f aca="false">'Смета Внутр'!H1111</f>
        <v>1</v>
      </c>
    </row>
    <row r="1112" s="118" customFormat="true" ht="15" hidden="false" customHeight="false" outlineLevel="0" collapsed="false">
      <c r="B1112" s="1103" t="str">
        <f aca="false">'Смета Внутр'!B1112</f>
        <v>Материалы</v>
      </c>
      <c r="C1112" s="1103"/>
      <c r="D1112" s="1103"/>
      <c r="E1112" s="1103"/>
      <c r="F1112" s="1120" t="n">
        <f aca="false">'Смета Внутр'!H1112</f>
        <v>1</v>
      </c>
    </row>
    <row r="1113" s="118" customFormat="true" ht="15" hidden="false" customHeight="false" outlineLevel="0" collapsed="false">
      <c r="B1113" s="1104" t="str">
        <f aca="false">'Смета Внутр'!B1113</f>
        <v>нет</v>
      </c>
      <c r="C1113" s="1105" t="str">
        <f aca="false">'Смета Внутр'!C1113</f>
        <v>м3</v>
      </c>
      <c r="D1113" s="1106" t="n">
        <f aca="false">'Смета Внутр'!D1113</f>
        <v>0</v>
      </c>
      <c r="E1113" s="1104"/>
      <c r="F1113" s="1121" t="n">
        <f aca="false">'Смета Внутр'!H1113</f>
        <v>0</v>
      </c>
    </row>
    <row r="1114" s="118" customFormat="true" ht="15" hidden="false" customHeight="false" outlineLevel="0" collapsed="false">
      <c r="B1114" s="1104" t="str">
        <f aca="false">'Смета Внутр'!B1114</f>
        <v>Болты анкерные с гайкой 12,0 х 280          </v>
      </c>
      <c r="C1114" s="1105" t="str">
        <f aca="false">'Смета Внутр'!C1114</f>
        <v>шт</v>
      </c>
      <c r="D1114" s="1106" t="n">
        <f aca="false">'Смета Внутр'!D1114</f>
        <v>36.9990475974507</v>
      </c>
      <c r="E1114" s="1104"/>
      <c r="F1114" s="1121" t="n">
        <f aca="false">'Смета Внутр'!H1114</f>
        <v>1002.67418989091</v>
      </c>
    </row>
    <row r="1115" s="118" customFormat="true" ht="15" hidden="false" customHeight="false" outlineLevel="0" collapsed="false">
      <c r="B1115" s="1104" t="str">
        <f aca="false">'Смета Внутр'!B1115</f>
        <v>Доска сухая, 200*50мм</v>
      </c>
      <c r="C1115" s="1105" t="str">
        <f aca="false">'Смета Внутр'!C1115</f>
        <v>м3</v>
      </c>
      <c r="D1115" s="1106" t="n">
        <f aca="false">'Смета Внутр'!D1115</f>
        <v>1.3582236137642</v>
      </c>
      <c r="E1115" s="1104"/>
      <c r="F1115" s="1121" t="n">
        <f aca="false">'Смета Внутр'!H1115</f>
        <v>12224.0125238778</v>
      </c>
    </row>
    <row r="1116" s="118" customFormat="true" ht="15" hidden="false" customHeight="false" outlineLevel="0" collapsed="false">
      <c r="B1116" s="1104" t="str">
        <f aca="false">'Смета Внутр'!B1116</f>
        <v>бугель, доска </v>
      </c>
      <c r="C1116" s="1105" t="str">
        <f aca="false">'Смета Внутр'!C1116</f>
        <v>м3</v>
      </c>
      <c r="D1116" s="1106" t="n">
        <f aca="false">'Смета Внутр'!D1116</f>
        <v>0.624</v>
      </c>
      <c r="E1116" s="1104"/>
      <c r="F1116" s="1121" t="n">
        <f aca="false">'Смета Внутр'!H1116</f>
        <v>5616</v>
      </c>
    </row>
    <row r="1117" s="118" customFormat="true" ht="15" hidden="false" customHeight="false" outlineLevel="0" collapsed="false">
      <c r="B1117" s="1104" t="str">
        <f aca="false">'Смета Внутр'!B1117</f>
        <v>стойка под конек</v>
      </c>
      <c r="C1117" s="1105" t="str">
        <f aca="false">'Смета Внутр'!C1117</f>
        <v>м3</v>
      </c>
      <c r="D1117" s="1106" t="n">
        <f aca="false">'Смета Внутр'!D1117</f>
        <v>0.75</v>
      </c>
      <c r="E1117" s="1104"/>
      <c r="F1117" s="1121" t="n">
        <f aca="false">'Смета Внутр'!H1117</f>
        <v>6750</v>
      </c>
    </row>
    <row r="1118" s="118" customFormat="true" ht="15" hidden="false" customHeight="false" outlineLevel="0" collapsed="false">
      <c r="B1118" s="1104" t="str">
        <f aca="false">'Смета Внутр'!B1118</f>
        <v>Сосна влаж,100*25мм</v>
      </c>
      <c r="C1118" s="1105" t="str">
        <f aca="false">'Смета Внутр'!C1118</f>
        <v>м3</v>
      </c>
      <c r="D1118" s="1106" t="n">
        <f aca="false">'Смета Внутр'!D1118</f>
        <v>1.05780913567754</v>
      </c>
      <c r="E1118" s="1104"/>
      <c r="F1118" s="1121" t="n">
        <f aca="false">'Смета Внутр'!H1118</f>
        <v>6875.75938190401</v>
      </c>
    </row>
    <row r="1119" s="118" customFormat="true" ht="15" hidden="false" customHeight="false" outlineLevel="0" collapsed="false">
      <c r="B1119" s="1104" t="str">
        <f aca="false">'Смета Внутр'!B1119</f>
        <v>Сосна влаж, 50*50мм</v>
      </c>
      <c r="C1119" s="1105" t="str">
        <f aca="false">'Смета Внутр'!C1119</f>
        <v>шт</v>
      </c>
      <c r="D1119" s="1106" t="n">
        <f aca="false">'Смета Внутр'!D1119</f>
        <v>0.470137393634462</v>
      </c>
      <c r="E1119" s="1104"/>
      <c r="F1119" s="1121" t="n">
        <f aca="false">'Смета Внутр'!H1119</f>
        <v>3055.893058624</v>
      </c>
    </row>
    <row r="1120" s="118" customFormat="true" ht="15" hidden="false" customHeight="false" outlineLevel="0" collapsed="false">
      <c r="B1120" s="1104" t="str">
        <f aca="false">'Смета Внутр'!B1120</f>
        <v>Нет</v>
      </c>
      <c r="C1120" s="1105" t="str">
        <f aca="false">'Смета Внутр'!C1120</f>
        <v>м.п.</v>
      </c>
      <c r="D1120" s="1106" t="n">
        <f aca="false">'Смета Внутр'!D1120</f>
        <v>0</v>
      </c>
      <c r="E1120" s="1104"/>
      <c r="F1120" s="1107" t="n">
        <f aca="false">'Смета Внутр'!H1120</f>
        <v>0</v>
      </c>
    </row>
    <row r="1121" s="118" customFormat="true" ht="15" hidden="false" customHeight="false" outlineLevel="0" collapsed="false">
      <c r="B1121" s="1104" t="str">
        <f aca="false">'Смета Внутр'!B1121</f>
        <v>Гидрокомпенсатор</v>
      </c>
      <c r="C1121" s="1105" t="str">
        <f aca="false">'Смета Внутр'!C1121</f>
        <v>шт.</v>
      </c>
      <c r="D1121" s="1106" t="n">
        <f aca="false">'Смета Внутр'!D1121</f>
        <v>0</v>
      </c>
      <c r="E1121" s="1104"/>
      <c r="F1121" s="1107" t="n">
        <f aca="false">'Смета Внутр'!H1121</f>
        <v>0</v>
      </c>
    </row>
    <row r="1122" s="118" customFormat="true" ht="15" hidden="false" customHeight="false" outlineLevel="0" collapsed="false">
      <c r="B1122" s="1104" t="str">
        <f aca="false">'Смета Внутр'!B1122</f>
        <v>Универсальная Optima C</v>
      </c>
      <c r="C1122" s="1105" t="str">
        <f aca="false">'Смета Внутр'!C1122</f>
        <v>м2</v>
      </c>
      <c r="D1122" s="1106" t="n">
        <f aca="false">'Смета Внутр'!D1122</f>
        <v>126.937096281305</v>
      </c>
      <c r="E1122" s="1104"/>
      <c r="F1122" s="1107" t="n">
        <f aca="false">'Смета Внутр'!H1122</f>
        <v>2411.80482934479</v>
      </c>
    </row>
    <row r="1123" s="118" customFormat="true" ht="15" hidden="false" customHeight="false" outlineLevel="0" collapsed="false">
      <c r="B1123" s="1104" t="str">
        <f aca="false">'Смета Внутр'!B1123</f>
        <v>Универсальная Optima C</v>
      </c>
      <c r="C1123" s="1105" t="str">
        <f aca="false">'Смета Внутр'!C1123</f>
        <v>м2</v>
      </c>
      <c r="D1123" s="1106" t="n">
        <f aca="false">'Смета Внутр'!D1123</f>
        <v>116.359004924529</v>
      </c>
      <c r="E1123" s="1104"/>
      <c r="F1123" s="1107" t="n">
        <f aca="false">'Смета Внутр'!H1123</f>
        <v>2327.18009849059</v>
      </c>
    </row>
    <row r="1124" s="118" customFormat="true" ht="15" hidden="false" customHeight="false" outlineLevel="0" collapsed="false">
      <c r="B1124" s="1104" t="str">
        <f aca="false">'Смета Внутр'!B1124</f>
        <v>Плитный,28кг/м3, технониколь, 100мм</v>
      </c>
      <c r="C1124" s="1105" t="str">
        <f aca="false">'Смета Внутр'!C1124</f>
        <v>м3</v>
      </c>
      <c r="D1124" s="1106" t="n">
        <f aca="false">'Смета Внутр'!D1124</f>
        <v>8.60274787268924</v>
      </c>
      <c r="E1124" s="1104"/>
      <c r="F1124" s="1121" t="n">
        <f aca="false">'Смета Внутр'!H1124</f>
        <v>14624.6713835717</v>
      </c>
    </row>
    <row r="1125" s="118" customFormat="true" ht="15" hidden="false" customHeight="false" outlineLevel="0" collapsed="false">
      <c r="B1125" s="1104" t="str">
        <f aca="false">'Смета Внутр'!B1125</f>
        <v>Металлочерепица</v>
      </c>
      <c r="C1125" s="1105" t="str">
        <f aca="false">'Смета Внутр'!C1125</f>
        <v>м2</v>
      </c>
      <c r="D1125" s="1106" t="n">
        <f aca="false">'Смета Внутр'!D1125</f>
        <v>105.780913567754</v>
      </c>
      <c r="E1125" s="1104"/>
      <c r="F1125" s="1121" t="n">
        <f aca="false">'Смета Внутр'!H1125</f>
        <v>26445.2283919385</v>
      </c>
    </row>
    <row r="1126" s="118" customFormat="true" ht="15" hidden="false" customHeight="false" outlineLevel="0" collapsed="false">
      <c r="B1126" s="1104" t="str">
        <f aca="false">'Смета Внутр'!B1126</f>
        <v>Карнизная планка</v>
      </c>
      <c r="C1126" s="1105" t="str">
        <f aca="false">'Смета Внутр'!C1126</f>
        <v>м.п.</v>
      </c>
      <c r="D1126" s="1106" t="n">
        <f aca="false">'Смета Внутр'!D1126</f>
        <v>18</v>
      </c>
      <c r="E1126" s="1104"/>
      <c r="F1126" s="1121" t="n">
        <f aca="false">'Смета Внутр'!H1126</f>
        <v>3420</v>
      </c>
    </row>
    <row r="1127" s="118" customFormat="true" ht="15" hidden="false" customHeight="false" outlineLevel="0" collapsed="false">
      <c r="B1127" s="1104" t="str">
        <f aca="false">'Смета Внутр'!B1127</f>
        <v>Торцевая планка</v>
      </c>
      <c r="C1127" s="1105" t="str">
        <f aca="false">'Смета Внутр'!C1127</f>
        <v>м.п.</v>
      </c>
      <c r="D1127" s="1106" t="n">
        <f aca="false">'Смета Внутр'!D1127</f>
        <v>23.5068696817231</v>
      </c>
      <c r="E1127" s="1104"/>
      <c r="F1127" s="1121" t="n">
        <f aca="false">'Смета Внутр'!H1127</f>
        <v>4466.30523952739</v>
      </c>
    </row>
    <row r="1128" s="118" customFormat="true" ht="15" hidden="false" customHeight="false" outlineLevel="0" collapsed="false">
      <c r="B1128" s="1104" t="str">
        <f aca="false">'Смета Внутр'!B1128</f>
        <v>Конек</v>
      </c>
      <c r="C1128" s="1105" t="str">
        <f aca="false">'Смета Внутр'!C1128</f>
        <v>м.п.</v>
      </c>
      <c r="D1128" s="1106" t="n">
        <f aca="false">'Смета Внутр'!D1128</f>
        <v>9</v>
      </c>
      <c r="E1128" s="1104"/>
      <c r="F1128" s="1121" t="n">
        <f aca="false">'Смета Внутр'!H1128</f>
        <v>1800</v>
      </c>
    </row>
    <row r="1129" s="118" customFormat="true" ht="15" hidden="false" customHeight="false" outlineLevel="0" collapsed="false">
      <c r="B1129" s="1104" t="str">
        <f aca="false">'Смета Внутр'!B1129</f>
        <v>ондулин</v>
      </c>
      <c r="C1129" s="1105" t="str">
        <f aca="false">'Смета Внутр'!C1129</f>
        <v>м2</v>
      </c>
      <c r="D1129" s="1106" t="n">
        <f aca="false">'Смета Внутр'!D1129</f>
        <v>0</v>
      </c>
      <c r="E1129" s="1104"/>
      <c r="F1129" s="1107" t="n">
        <f aca="false">'Смета Внутр'!H1129</f>
        <v>0</v>
      </c>
    </row>
    <row r="1130" s="118" customFormat="true" ht="15" hidden="false" customHeight="false" outlineLevel="0" collapsed="false">
      <c r="B1130" s="1104" t="str">
        <f aca="false">'Смета Внутр'!B1130</f>
        <v>Карнизная планка</v>
      </c>
      <c r="C1130" s="1105" t="str">
        <f aca="false">'Смета Внутр'!C1130</f>
        <v>м.п.</v>
      </c>
      <c r="D1130" s="1106" t="n">
        <f aca="false">'Смета Внутр'!D1130</f>
        <v>0</v>
      </c>
      <c r="E1130" s="1104"/>
      <c r="F1130" s="1107" t="n">
        <f aca="false">'Смета Внутр'!H1130</f>
        <v>0</v>
      </c>
    </row>
    <row r="1131" s="118" customFormat="true" ht="15" hidden="false" customHeight="false" outlineLevel="0" collapsed="false">
      <c r="B1131" s="1104" t="str">
        <f aca="false">'Смета Внутр'!B1131</f>
        <v>Торцевая планка</v>
      </c>
      <c r="C1131" s="1105" t="str">
        <f aca="false">'Смета Внутр'!C1131</f>
        <v>м.п.</v>
      </c>
      <c r="D1131" s="1106" t="n">
        <f aca="false">'Смета Внутр'!D1131</f>
        <v>0</v>
      </c>
      <c r="E1131" s="1104"/>
      <c r="F1131" s="1107" t="n">
        <f aca="false">'Смета Внутр'!H1131</f>
        <v>0</v>
      </c>
    </row>
    <row r="1132" s="118" customFormat="true" ht="15" hidden="false" customHeight="false" outlineLevel="0" collapsed="false">
      <c r="B1132" s="1104" t="str">
        <f aca="false">'Смета Внутр'!B1132</f>
        <v>Конек</v>
      </c>
      <c r="C1132" s="1105" t="str">
        <f aca="false">'Смета Внутр'!C1132</f>
        <v>м.п</v>
      </c>
      <c r="D1132" s="1106" t="n">
        <f aca="false">'Смета Внутр'!D1132</f>
        <v>0</v>
      </c>
      <c r="E1132" s="1104"/>
      <c r="F1132" s="1107" t="n">
        <f aca="false">'Смета Внутр'!H1132</f>
        <v>0</v>
      </c>
    </row>
    <row r="1133" s="118" customFormat="true" ht="15" hidden="false" customHeight="false" outlineLevel="0" collapsed="false">
      <c r="B1133" s="1104" t="str">
        <f aca="false">'Смета Внутр'!B1133</f>
        <v>Ендова нижняя</v>
      </c>
      <c r="C1133" s="1105" t="str">
        <f aca="false">'Смета Внутр'!C1133</f>
        <v>м.п.</v>
      </c>
      <c r="D1133" s="1106" t="n">
        <f aca="false">'Смета Внутр'!D1133</f>
        <v>0</v>
      </c>
      <c r="E1133" s="1104"/>
      <c r="F1133" s="1107" t="n">
        <f aca="false">'Смета Внутр'!H1133</f>
        <v>0</v>
      </c>
    </row>
    <row r="1134" s="118" customFormat="true" ht="15" hidden="false" customHeight="false" outlineLevel="0" collapsed="false">
      <c r="B1134" s="1104" t="str">
        <f aca="false">'Смета Внутр'!B1134</f>
        <v>Ендова верхняя</v>
      </c>
      <c r="C1134" s="1105" t="str">
        <f aca="false">'Смета Внутр'!C1134</f>
        <v>м.п.</v>
      </c>
      <c r="D1134" s="1106" t="n">
        <f aca="false">'Смета Внутр'!D1134</f>
        <v>0</v>
      </c>
      <c r="E1134" s="1104"/>
      <c r="F1134" s="1107" t="n">
        <f aca="false">'Смета Внутр'!H1134</f>
        <v>0</v>
      </c>
    </row>
    <row r="1135" s="118" customFormat="true" ht="15" hidden="false" customHeight="false" outlineLevel="0" collapsed="false">
      <c r="B1135" s="1104" t="str">
        <f aca="false">'Смета Внутр'!B1135</f>
        <v>Планка примыкания</v>
      </c>
      <c r="C1135" s="1105" t="str">
        <f aca="false">'Смета Внутр'!C1135</f>
        <v>м.п.</v>
      </c>
      <c r="D1135" s="1106" t="n">
        <f aca="false">'Смета Внутр'!D1135</f>
        <v>0</v>
      </c>
      <c r="E1135" s="1104"/>
      <c r="F1135" s="1107" t="n">
        <f aca="false">'Смета Внутр'!H1135</f>
        <v>0</v>
      </c>
    </row>
    <row r="1136" s="118" customFormat="true" ht="15" hidden="false" customHeight="false" outlineLevel="0" collapsed="false">
      <c r="B1136" s="1104" t="str">
        <f aca="false">'Смета Внутр'!B1136</f>
        <v>Крепеж для ондулина</v>
      </c>
      <c r="C1136" s="1105" t="str">
        <f aca="false">'Смета Внутр'!C1136</f>
        <v>шт</v>
      </c>
      <c r="D1136" s="1106" t="n">
        <f aca="false">'Смета Внутр'!D1136</f>
        <v>0</v>
      </c>
      <c r="E1136" s="1104"/>
      <c r="F1136" s="1107" t="n">
        <f aca="false">'Смета Внутр'!H1136</f>
        <v>0</v>
      </c>
    </row>
    <row r="1137" s="118" customFormat="true" ht="15" hidden="false" customHeight="false" outlineLevel="0" collapsed="false">
      <c r="B1137" s="1104" t="str">
        <f aca="false">'Смета Внутр'!B1137</f>
        <v>нет</v>
      </c>
      <c r="C1137" s="1105" t="str">
        <f aca="false">'Смета Внутр'!C1137</f>
        <v>м2</v>
      </c>
      <c r="D1137" s="1106" t="n">
        <f aca="false">'Смета Внутр'!D1137</f>
        <v>116.359004924529</v>
      </c>
      <c r="E1137" s="1104"/>
      <c r="F1137" s="1107" t="n">
        <f aca="false">'Смета Внутр'!H1137</f>
        <v>0</v>
      </c>
    </row>
    <row r="1138" s="118" customFormat="true" ht="15" hidden="false" customHeight="false" outlineLevel="0" collapsed="false">
      <c r="B1138" s="1104" t="str">
        <f aca="false">'Смета Внутр'!B1138</f>
        <v>Рядовая черепица</v>
      </c>
      <c r="C1138" s="1105" t="str">
        <f aca="false">'Смета Внутр'!C1138</f>
        <v>м2</v>
      </c>
      <c r="D1138" s="1106" t="n">
        <f aca="false">'Смета Внутр'!D1138</f>
        <v>0</v>
      </c>
      <c r="E1138" s="1104"/>
      <c r="F1138" s="1107" t="n">
        <f aca="false">'Смета Внутр'!H1138</f>
        <v>0</v>
      </c>
    </row>
    <row r="1139" s="118" customFormat="true" ht="15" hidden="false" customHeight="false" outlineLevel="0" collapsed="false">
      <c r="B1139" s="1104" t="str">
        <f aca="false">'Смета Внутр'!B1139</f>
        <v>Металл оцинк защита (карниз)</v>
      </c>
      <c r="C1139" s="1105" t="str">
        <f aca="false">'Смета Внутр'!C1139</f>
        <v>м.п.</v>
      </c>
      <c r="D1139" s="1106" t="n">
        <f aca="false">'Смета Внутр'!D1139</f>
        <v>0</v>
      </c>
      <c r="E1139" s="1104"/>
      <c r="F1139" s="1107" t="n">
        <f aca="false">'Смета Внутр'!H1139</f>
        <v>0</v>
      </c>
    </row>
    <row r="1140" s="118" customFormat="true" ht="15" hidden="false" customHeight="false" outlineLevel="0" collapsed="false">
      <c r="B1140" s="1104" t="str">
        <f aca="false">'Смета Внутр'!B1140</f>
        <v>Подкладочный ковер</v>
      </c>
      <c r="C1140" s="1105" t="str">
        <f aca="false">'Смета Внутр'!C1140</f>
        <v>м.п.</v>
      </c>
      <c r="D1140" s="1106" t="n">
        <f aca="false">'Смета Внутр'!D1140</f>
        <v>0</v>
      </c>
      <c r="E1140" s="1104"/>
      <c r="F1140" s="1107" t="n">
        <f aca="false">'Смета Внутр'!H1140</f>
        <v>0</v>
      </c>
    </row>
    <row r="1141" s="118" customFormat="true" ht="15" hidden="false" customHeight="false" outlineLevel="0" collapsed="false">
      <c r="B1141" s="1104" t="str">
        <f aca="false">'Смета Внутр'!B1141</f>
        <v>Карнизная самоклеющаяся черепица</v>
      </c>
      <c r="C1141" s="1105" t="str">
        <f aca="false">'Смета Внутр'!C1141</f>
        <v>м.п.</v>
      </c>
      <c r="D1141" s="1106" t="n">
        <f aca="false">'Смета Внутр'!D1141</f>
        <v>0</v>
      </c>
      <c r="E1141" s="1104"/>
      <c r="F1141" s="1107" t="n">
        <f aca="false">'Смета Внутр'!H1141</f>
        <v>0</v>
      </c>
    </row>
    <row r="1142" s="118" customFormat="true" ht="15" hidden="false" customHeight="false" outlineLevel="0" collapsed="false">
      <c r="B1142" s="1104" t="str">
        <f aca="false">'Смета Внутр'!B1142</f>
        <v>Спец ковер ендова нижняя</v>
      </c>
      <c r="C1142" s="1105" t="str">
        <f aca="false">'Смета Внутр'!C1142</f>
        <v>м.п.</v>
      </c>
      <c r="D1142" s="1106" t="n">
        <f aca="false">'Смета Внутр'!D1142</f>
        <v>0</v>
      </c>
      <c r="E1142" s="1104"/>
      <c r="F1142" s="1107" t="n">
        <f aca="false">'Смета Внутр'!H1142</f>
        <v>0</v>
      </c>
    </row>
    <row r="1143" s="118" customFormat="true" ht="15" hidden="false" customHeight="false" outlineLevel="0" collapsed="false">
      <c r="B1143" s="1104" t="str">
        <f aca="false">'Смета Внутр'!B1143</f>
        <v>Коньковой элемент</v>
      </c>
      <c r="C1143" s="1105" t="str">
        <f aca="false">'Смета Внутр'!C1143</f>
        <v>м.п.</v>
      </c>
      <c r="D1143" s="1106" t="n">
        <f aca="false">'Смета Внутр'!D1143</f>
        <v>0</v>
      </c>
      <c r="E1143" s="1104"/>
      <c r="F1143" s="1107" t="n">
        <f aca="false">'Смета Внутр'!H1143</f>
        <v>0</v>
      </c>
    </row>
    <row r="1144" s="118" customFormat="true" ht="15" hidden="false" customHeight="false" outlineLevel="0" collapsed="false">
      <c r="B1144" s="1104" t="str">
        <f aca="false">'Смета Внутр'!B1144</f>
        <v>Планка премыкания</v>
      </c>
      <c r="C1144" s="1105" t="str">
        <f aca="false">'Смета Внутр'!C1144</f>
        <v>м.п.</v>
      </c>
      <c r="D1144" s="1106" t="n">
        <f aca="false">'Смета Внутр'!D1144</f>
        <v>0</v>
      </c>
      <c r="E1144" s="1104"/>
      <c r="F1144" s="1107" t="n">
        <f aca="false">'Смета Внутр'!H1144</f>
        <v>0</v>
      </c>
    </row>
    <row r="1145" s="118" customFormat="true" ht="15" hidden="false" customHeight="false" outlineLevel="0" collapsed="false">
      <c r="B1145" s="1104" t="str">
        <f aca="false">'Смета Внутр'!B1145</f>
        <v>Гвозди для крепления подкладочного ковра</v>
      </c>
      <c r="C1145" s="1105" t="str">
        <f aca="false">'Смета Внутр'!C1145</f>
        <v>шт</v>
      </c>
      <c r="D1145" s="1106" t="n">
        <f aca="false">'Смета Внутр'!D1145</f>
        <v>0</v>
      </c>
      <c r="E1145" s="1104"/>
      <c r="F1145" s="1107" t="n">
        <f aca="false">'Смета Внутр'!H1145</f>
        <v>0</v>
      </c>
    </row>
    <row r="1146" s="118" customFormat="true" ht="15" hidden="false" customHeight="false" outlineLevel="0" collapsed="false">
      <c r="B1146" s="1104" t="str">
        <f aca="false">'Смета Внутр'!B1146</f>
        <v>Гвозди для крепления черепицы</v>
      </c>
      <c r="C1146" s="1105" t="str">
        <f aca="false">'Смета Внутр'!C1146</f>
        <v>шт</v>
      </c>
      <c r="D1146" s="1106" t="n">
        <f aca="false">'Смета Внутр'!D1146</f>
        <v>0</v>
      </c>
      <c r="E1146" s="1104"/>
      <c r="F1146" s="1107" t="n">
        <f aca="false">'Смета Внутр'!H1146</f>
        <v>0</v>
      </c>
    </row>
    <row r="1147" s="118" customFormat="true" ht="15" hidden="false" customHeight="false" outlineLevel="0" collapsed="false">
      <c r="B1147" s="1104" t="str">
        <f aca="false">'Смета Внутр'!B1147</f>
        <v>Клей для монтажа черепицы</v>
      </c>
      <c r="C1147" s="1105" t="str">
        <f aca="false">'Смета Внутр'!C1147</f>
        <v>кг</v>
      </c>
      <c r="D1147" s="1106" t="n">
        <f aca="false">'Смета Внутр'!D1147</f>
        <v>0</v>
      </c>
      <c r="E1147" s="1104"/>
      <c r="F1147" s="1107" t="n">
        <f aca="false">'Смета Внутр'!H1147</f>
        <v>0</v>
      </c>
    </row>
    <row r="1148" s="118" customFormat="true" ht="15" hidden="false" customHeight="false" outlineLevel="0" collapsed="false">
      <c r="B1148" s="1104" t="str">
        <f aca="false">'Смета Внутр'!B1148</f>
        <v>желоб</v>
      </c>
      <c r="C1148" s="1105" t="str">
        <f aca="false">'Смета Внутр'!C1148</f>
        <v>м.п</v>
      </c>
      <c r="D1148" s="1106" t="n">
        <f aca="false">'Смета Внутр'!D1148</f>
        <v>18</v>
      </c>
      <c r="E1148" s="1104"/>
      <c r="F1148" s="1121" t="n">
        <f aca="false">'Смета Внутр'!H1148</f>
        <v>5400</v>
      </c>
    </row>
    <row r="1149" s="118" customFormat="true" ht="15" hidden="false" customHeight="false" outlineLevel="0" collapsed="false">
      <c r="B1149" s="1104" t="str">
        <f aca="false">'Смета Внутр'!B1149</f>
        <v>отвод</v>
      </c>
      <c r="C1149" s="1105" t="str">
        <f aca="false">'Смета Внутр'!C1149</f>
        <v>шт</v>
      </c>
      <c r="D1149" s="1106" t="n">
        <f aca="false">'Смета Внутр'!D1149</f>
        <v>4</v>
      </c>
      <c r="E1149" s="1104"/>
      <c r="F1149" s="1121" t="n">
        <f aca="false">'Смета Внутр'!H1149</f>
        <v>1000</v>
      </c>
    </row>
    <row r="1150" s="118" customFormat="true" ht="15" hidden="false" customHeight="false" outlineLevel="0" collapsed="false">
      <c r="B1150" s="1104" t="str">
        <f aca="false">'Смета Внутр'!B1150</f>
        <v>труба водосточная</v>
      </c>
      <c r="C1150" s="1105" t="str">
        <f aca="false">'Смета Внутр'!C1150</f>
        <v>м.п.</v>
      </c>
      <c r="D1150" s="1106" t="n">
        <f aca="false">'Смета Внутр'!D1150</f>
        <v>10.8</v>
      </c>
      <c r="E1150" s="1104"/>
      <c r="F1150" s="1121" t="n">
        <f aca="false">'Смета Внутр'!H1150</f>
        <v>3240</v>
      </c>
    </row>
    <row r="1151" s="118" customFormat="true" ht="15" hidden="false" customHeight="false" outlineLevel="0" collapsed="false">
      <c r="B1151" s="1104" t="str">
        <f aca="false">'Смета Внутр'!B1151</f>
        <v>заглушка для желоба</v>
      </c>
      <c r="C1151" s="1105" t="str">
        <f aca="false">'Смета Внутр'!C1151</f>
        <v>шт</v>
      </c>
      <c r="D1151" s="1106" t="n">
        <f aca="false">'Смета Внутр'!D1151</f>
        <v>4</v>
      </c>
      <c r="E1151" s="1104"/>
      <c r="F1151" s="1121" t="n">
        <f aca="false">'Смета Внутр'!H1151</f>
        <v>760</v>
      </c>
    </row>
    <row r="1152" s="118" customFormat="true" ht="15" hidden="false" customHeight="false" outlineLevel="0" collapsed="false">
      <c r="B1152" s="1104" t="str">
        <f aca="false">'Смета Внутр'!B1152</f>
        <v>соеденитель для желоба</v>
      </c>
      <c r="C1152" s="1105" t="str">
        <f aca="false">'Смета Внутр'!C1152</f>
        <v>шт</v>
      </c>
      <c r="D1152" s="1106" t="n">
        <f aca="false">'Смета Внутр'!D1152</f>
        <v>9</v>
      </c>
      <c r="E1152" s="1104"/>
      <c r="F1152" s="1121" t="n">
        <f aca="false">'Смета Внутр'!H1152</f>
        <v>1620</v>
      </c>
    </row>
    <row r="1153" s="118" customFormat="true" ht="15" hidden="false" customHeight="false" outlineLevel="0" collapsed="false">
      <c r="B1153" s="1104" t="str">
        <f aca="false">'Смета Внутр'!B1153</f>
        <v>кронштейн для желоба</v>
      </c>
      <c r="C1153" s="1105" t="str">
        <f aca="false">'Смета Внутр'!C1153</f>
        <v>шт</v>
      </c>
      <c r="D1153" s="1106" t="n">
        <f aca="false">'Смета Внутр'!D1153</f>
        <v>36</v>
      </c>
      <c r="E1153" s="1104"/>
      <c r="F1153" s="1121" t="n">
        <f aca="false">'Смета Внутр'!H1153</f>
        <v>4680</v>
      </c>
    </row>
    <row r="1154" s="118" customFormat="true" ht="15" hidden="false" customHeight="false" outlineLevel="0" collapsed="false">
      <c r="B1154" s="1104" t="str">
        <f aca="false">'Смета Внутр'!B1154</f>
        <v>переход из желоба в трубу</v>
      </c>
      <c r="C1154" s="1105" t="str">
        <f aca="false">'Смета Внутр'!C1154</f>
        <v>шт</v>
      </c>
      <c r="D1154" s="1106" t="n">
        <f aca="false">'Смета Внутр'!D1154</f>
        <v>2</v>
      </c>
      <c r="E1154" s="1104"/>
      <c r="F1154" s="1121" t="n">
        <f aca="false">'Смета Внутр'!H1154</f>
        <v>700</v>
      </c>
    </row>
    <row r="1155" s="118" customFormat="true" ht="15" hidden="false" customHeight="false" outlineLevel="0" collapsed="false">
      <c r="B1155" s="1104" t="str">
        <f aca="false">'Смета Внутр'!B1155</f>
        <v>лента дельта мульти бэнд</v>
      </c>
      <c r="C1155" s="1105" t="str">
        <f aca="false">'Смета Внутр'!C1155</f>
        <v>шт</v>
      </c>
      <c r="D1155" s="1106" t="n">
        <f aca="false">'Смета Внутр'!D1155</f>
        <v>9</v>
      </c>
      <c r="E1155" s="1104"/>
      <c r="F1155" s="1121" t="n">
        <f aca="false">'Смета Внутр'!H1155</f>
        <v>10800</v>
      </c>
    </row>
    <row r="1156" s="118" customFormat="true" ht="15" hidden="false" customHeight="false" outlineLevel="0" collapsed="false">
      <c r="B1156" s="1104" t="str">
        <f aca="false">'Смета Внутр'!B1156</f>
        <v>лента дельта sb-60</v>
      </c>
      <c r="C1156" s="1105" t="str">
        <f aca="false">'Смета Внутр'!C1156</f>
        <v>шт</v>
      </c>
      <c r="D1156" s="1106" t="n">
        <f aca="false">'Смета Внутр'!D1156</f>
        <v>5</v>
      </c>
      <c r="E1156" s="1104"/>
      <c r="F1156" s="1121" t="n">
        <f aca="false">'Смета Внутр'!H1156</f>
        <v>5500</v>
      </c>
    </row>
    <row r="1157" s="118" customFormat="true" ht="15" hidden="false" customHeight="false" outlineLevel="0" collapsed="false">
      <c r="B1157" s="1104" t="str">
        <f aca="false">'Смета Внутр'!B1157</f>
        <v>проходка кровельная, канализационная</v>
      </c>
      <c r="C1157" s="1105" t="str">
        <f aca="false">'Смета Внутр'!C1157</f>
        <v>шт</v>
      </c>
      <c r="D1157" s="1106" t="n">
        <f aca="false">'Смета Внутр'!D1157</f>
        <v>0</v>
      </c>
      <c r="E1157" s="1104"/>
      <c r="F1157" s="1107" t="n">
        <f aca="false">'Смета Внутр'!H1157</f>
        <v>0</v>
      </c>
    </row>
    <row r="1158" s="118" customFormat="true" ht="15" hidden="false" customHeight="false" outlineLevel="0" collapsed="false">
      <c r="B1158" s="1104" t="str">
        <f aca="false">'Смета Внутр'!B1158</f>
        <v>проходка кровельная, вентиляционная</v>
      </c>
      <c r="C1158" s="1105" t="str">
        <f aca="false">'Смета Внутр'!C1158</f>
        <v>шт</v>
      </c>
      <c r="D1158" s="1106" t="n">
        <f aca="false">'Смета Внутр'!D1158</f>
        <v>0</v>
      </c>
      <c r="E1158" s="1104"/>
      <c r="F1158" s="1107" t="n">
        <f aca="false">'Смета Внутр'!H1158</f>
        <v>0</v>
      </c>
    </row>
    <row r="1159" s="118" customFormat="true" ht="15" hidden="false" customHeight="false" outlineLevel="0" collapsed="false">
      <c r="B1159" s="1104" t="str">
        <f aca="false">'Смета Внутр'!B1159</f>
        <v>проодка кровельная, труба котел</v>
      </c>
      <c r="C1159" s="1105" t="str">
        <f aca="false">'Смета Внутр'!C1159</f>
        <v>шт</v>
      </c>
      <c r="D1159" s="1106" t="n">
        <f aca="false">'Смета Внутр'!D1159</f>
        <v>0</v>
      </c>
      <c r="E1159" s="1104"/>
      <c r="F1159" s="1107" t="n">
        <f aca="false">'Смета Внутр'!H1159</f>
        <v>0</v>
      </c>
    </row>
    <row r="1160" s="118" customFormat="true" ht="15" hidden="false" customHeight="false" outlineLevel="0" collapsed="false">
      <c r="B1160" s="1104" t="str">
        <f aca="false">'Смета Внутр'!B1160</f>
        <v>Кровельный саморез</v>
      </c>
      <c r="C1160" s="1105" t="str">
        <f aca="false">'Смета Внутр'!C1160</f>
        <v>шт</v>
      </c>
      <c r="D1160" s="1106" t="n">
        <f aca="false">'Смета Внутр'!D1160</f>
        <v>1269.37096281305</v>
      </c>
      <c r="E1160" s="1104"/>
      <c r="F1160" s="1121" t="n">
        <f aca="false">'Смета Внутр'!H1160</f>
        <v>2538.74192562609</v>
      </c>
    </row>
    <row r="1161" s="118" customFormat="true" ht="15" hidden="false" customHeight="false" outlineLevel="0" collapsed="false">
      <c r="B1161" s="1104" t="str">
        <f aca="false">'Смета Внутр'!B1161</f>
        <v>Гвозди ершоные 3,4 x 60            </v>
      </c>
      <c r="C1161" s="1105" t="str">
        <f aca="false">'Смета Внутр'!C1161</f>
        <v>кг</v>
      </c>
      <c r="D1161" s="1106" t="n">
        <f aca="false">'Смета Внутр'!D1161</f>
        <v>7.05206090451693</v>
      </c>
      <c r="E1161" s="1104"/>
      <c r="F1161" s="1121" t="n">
        <f aca="false">'Смета Внутр'!H1161</f>
        <v>532.501118900073</v>
      </c>
    </row>
    <row r="1162" s="118" customFormat="true" ht="15" hidden="false" customHeight="false" outlineLevel="0" collapsed="false">
      <c r="B1162" s="1104" t="str">
        <f aca="false">'Смета Внутр'!B1162</f>
        <v>Гвозди ершоные 2,8 х 90            </v>
      </c>
      <c r="C1162" s="1105" t="str">
        <f aca="false">'Смета Внутр'!C1162</f>
        <v>кг</v>
      </c>
      <c r="D1162" s="1106" t="n">
        <f aca="false">'Смета Внутр'!D1162</f>
        <v>27.322236137642</v>
      </c>
      <c r="E1162" s="1104"/>
      <c r="F1162" s="1121" t="n">
        <f aca="false">'Смета Внутр'!H1162</f>
        <v>2089.87784216824</v>
      </c>
    </row>
    <row r="1163" s="118" customFormat="true" ht="15" hidden="false" customHeight="false" outlineLevel="0" collapsed="false">
      <c r="B1163" s="1104" t="str">
        <f aca="false">'Смета Внутр'!B1163</f>
        <v>Пластина соеденительная 100х240х2           </v>
      </c>
      <c r="C1163" s="1105" t="str">
        <f aca="false">'Смета Внутр'!C1163</f>
        <v>шт</v>
      </c>
      <c r="D1163" s="1106" t="n">
        <f aca="false">'Смета Внутр'!D1163</f>
        <v>32</v>
      </c>
      <c r="E1163" s="1104"/>
      <c r="F1163" s="1121" t="n">
        <f aca="false">'Смета Внутр'!H1163</f>
        <v>1009.28</v>
      </c>
    </row>
    <row r="1164" s="118" customFormat="true" ht="15" hidden="false" customHeight="false" outlineLevel="0" collapsed="false">
      <c r="B1164" s="1104" t="str">
        <f aca="false">'Смета Внутр'!B1164</f>
        <v>Уголок усиленный 90х70х55х2,5        </v>
      </c>
      <c r="C1164" s="1105" t="str">
        <f aca="false">'Смета Внутр'!C1164</f>
        <v>шт</v>
      </c>
      <c r="D1164" s="1106" t="n">
        <f aca="false">'Смета Внутр'!D1164</f>
        <v>32</v>
      </c>
      <c r="E1164" s="1104"/>
      <c r="F1164" s="1121" t="n">
        <f aca="false">'Смета Внутр'!H1164</f>
        <v>960</v>
      </c>
    </row>
    <row r="1165" s="118" customFormat="true" ht="15" hidden="false" customHeight="false" outlineLevel="0" collapsed="false">
      <c r="B1165" s="1108" t="str">
        <f aca="false">'Смета Внутр'!B1165</f>
        <v>Итого материалы</v>
      </c>
      <c r="C1165" s="1108"/>
      <c r="D1165" s="1108"/>
      <c r="E1165" s="1108"/>
      <c r="F1165" s="1122" t="n">
        <f aca="false">'Смета Внутр'!G1165</f>
        <v>131849.929983864</v>
      </c>
    </row>
    <row r="1166" s="118" customFormat="true" ht="15" hidden="false" customHeight="false" outlineLevel="0" collapsed="false">
      <c r="B1166" s="1110" t="str">
        <f aca="false">'Смета Внутр'!B1166</f>
        <v>Работы</v>
      </c>
      <c r="C1166" s="1110"/>
      <c r="D1166" s="1110"/>
      <c r="E1166" s="1110"/>
      <c r="F1166" s="1120" t="n">
        <f aca="false">'Смета Внутр'!H1166</f>
        <v>1</v>
      </c>
    </row>
    <row r="1167" s="118" customFormat="true" ht="15" hidden="false" customHeight="false" outlineLevel="0" collapsed="false">
      <c r="B1167" s="1104" t="str">
        <f aca="false">'Смета Внутр'!B1167</f>
        <v>монтаж мауэрлата</v>
      </c>
      <c r="C1167" s="1105" t="str">
        <f aca="false">'Смета Внутр'!C1167</f>
        <v>м.п.</v>
      </c>
      <c r="D1167" s="1106" t="n">
        <f aca="false">'Смета Внутр'!D1167</f>
        <v>36.9990475974507</v>
      </c>
      <c r="E1167" s="1104"/>
      <c r="F1167" s="1121" t="n">
        <f aca="false">'Смета Внутр'!H1167</f>
        <v>9249.76189936267</v>
      </c>
    </row>
    <row r="1168" s="118" customFormat="true" ht="15" hidden="false" customHeight="false" outlineLevel="0" collapsed="false">
      <c r="B1168" s="1104" t="str">
        <f aca="false">'Смета Внутр'!B1168</f>
        <v>монтаж стропил</v>
      </c>
      <c r="C1168" s="1105" t="str">
        <f aca="false">'Смета Внутр'!C1168</f>
        <v>м2</v>
      </c>
      <c r="D1168" s="1106" t="n">
        <f aca="false">'Смета Внутр'!D1168</f>
        <v>105.780913567754</v>
      </c>
      <c r="E1168" s="1104"/>
      <c r="F1168" s="1121" t="n">
        <f aca="false">'Смета Внутр'!H1168</f>
        <v>47601.4111054893</v>
      </c>
    </row>
    <row r="1169" s="118" customFormat="true" ht="15" hidden="false" customHeight="false" outlineLevel="0" collapsed="false">
      <c r="B1169" s="1104" t="str">
        <f aca="false">'Смета Внутр'!B1169</f>
        <v>обрешетка</v>
      </c>
      <c r="C1169" s="1105" t="str">
        <f aca="false">'Смета Внутр'!C1169</f>
        <v>м2</v>
      </c>
      <c r="D1169" s="1106" t="n">
        <f aca="false">'Смета Внутр'!D1169</f>
        <v>105.780913567754</v>
      </c>
      <c r="E1169" s="1104"/>
      <c r="F1169" s="1121" t="n">
        <f aca="false">'Смета Внутр'!H1169</f>
        <v>10578.0913567754</v>
      </c>
    </row>
    <row r="1170" s="118" customFormat="true" ht="15" hidden="false" customHeight="false" outlineLevel="0" collapsed="false">
      <c r="B1170" s="1104" t="str">
        <f aca="false">'Смета Внутр'!B1170</f>
        <v>контробеш</v>
      </c>
      <c r="C1170" s="1105" t="str">
        <f aca="false">'Смета Внутр'!C1170</f>
        <v>м2</v>
      </c>
      <c r="D1170" s="1106" t="n">
        <f aca="false">'Смета Внутр'!D1170</f>
        <v>105.780913567754</v>
      </c>
      <c r="E1170" s="1104"/>
      <c r="F1170" s="1121" t="n">
        <f aca="false">'Смета Внутр'!H1170</f>
        <v>10578.0913567754</v>
      </c>
    </row>
    <row r="1171" s="118" customFormat="true" ht="15" hidden="false" customHeight="false" outlineLevel="0" collapsed="false">
      <c r="B1171" s="1104" t="str">
        <f aca="false">'Смета Внутр'!B1171</f>
        <v>Монтаж металлочерепицы</v>
      </c>
      <c r="C1171" s="1105" t="str">
        <f aca="false">'Смета Внутр'!C1171</f>
        <v>м2</v>
      </c>
      <c r="D1171" s="1106" t="n">
        <f aca="false">'Смета Внутр'!D1171</f>
        <v>105.780913567754</v>
      </c>
      <c r="E1171" s="1104"/>
      <c r="F1171" s="1121" t="n">
        <f aca="false">'Смета Внутр'!H1171</f>
        <v>31734.2740703262</v>
      </c>
    </row>
    <row r="1172" s="118" customFormat="true" ht="15" hidden="false" customHeight="false" outlineLevel="0" collapsed="false">
      <c r="B1172" s="1104" t="str">
        <f aca="false">'Смета Внутр'!B1172</f>
        <v>Монтаж ондулина</v>
      </c>
      <c r="C1172" s="1105" t="str">
        <f aca="false">'Смета Внутр'!C1172</f>
        <v>м2</v>
      </c>
      <c r="D1172" s="1106" t="n">
        <f aca="false">'Смета Внутр'!D1172</f>
        <v>0</v>
      </c>
      <c r="E1172" s="1104"/>
      <c r="F1172" s="1107" t="n">
        <f aca="false">'Смета Внутр'!H1172</f>
        <v>0</v>
      </c>
    </row>
    <row r="1173" s="118" customFormat="true" ht="15" hidden="false" customHeight="false" outlineLevel="0" collapsed="false">
      <c r="B1173" s="1104" t="str">
        <f aca="false">'Смета Внутр'!B1173</f>
        <v>мембрана</v>
      </c>
      <c r="C1173" s="1105" t="str">
        <f aca="false">'Смета Внутр'!C1173</f>
        <v>м2</v>
      </c>
      <c r="D1173" s="1106" t="n">
        <f aca="false">'Смета Внутр'!D1173</f>
        <v>105.780913567754</v>
      </c>
      <c r="E1173" s="1104"/>
      <c r="F1173" s="1107" t="n">
        <f aca="false">'Смета Внутр'!H1173</f>
        <v>10578.0913567754</v>
      </c>
    </row>
    <row r="1174" s="118" customFormat="true" ht="15" hidden="false" customHeight="false" outlineLevel="0" collapsed="false">
      <c r="B1174" s="1104" t="str">
        <f aca="false">'Смета Внутр'!B1174</f>
        <v>пароизоляц</v>
      </c>
      <c r="C1174" s="1105" t="str">
        <f aca="false">'Смета Внутр'!C1174</f>
        <v>м2</v>
      </c>
      <c r="D1174" s="1106" t="n">
        <f aca="false">'Смета Внутр'!D1174</f>
        <v>105.780913567754</v>
      </c>
      <c r="E1174" s="1104"/>
      <c r="F1174" s="1107" t="n">
        <f aca="false">'Смета Внутр'!H1174</f>
        <v>10578.0913567754</v>
      </c>
    </row>
    <row r="1175" s="118" customFormat="true" ht="15" hidden="false" customHeight="false" outlineLevel="0" collapsed="false">
      <c r="B1175" s="1104" t="str">
        <f aca="false">'Смета Внутр'!B1175</f>
        <v>утеплитель</v>
      </c>
      <c r="C1175" s="1105" t="str">
        <f aca="false">'Смета Внутр'!C1175</f>
        <v>м2</v>
      </c>
      <c r="D1175" s="1106" t="n">
        <f aca="false">'Смета Внутр'!D1175</f>
        <v>105.780913567754</v>
      </c>
      <c r="E1175" s="1104"/>
      <c r="F1175" s="1121" t="n">
        <f aca="false">'Смета Внутр'!H1175</f>
        <v>21156.1827135508</v>
      </c>
    </row>
    <row r="1176" s="118" customFormat="true" ht="15" hidden="false" customHeight="false" outlineLevel="0" collapsed="false">
      <c r="B1176" s="1104" t="str">
        <f aca="false">'Смета Внутр'!B1176</f>
        <v>карнизная планка</v>
      </c>
      <c r="C1176" s="1105" t="str">
        <f aca="false">'Смета Внутр'!C1176</f>
        <v>м.п.</v>
      </c>
      <c r="D1176" s="1106" t="n">
        <f aca="false">'Смета Внутр'!D1176</f>
        <v>18</v>
      </c>
      <c r="E1176" s="1104"/>
      <c r="F1176" s="1121" t="n">
        <f aca="false">'Смета Внутр'!H1176</f>
        <v>1800</v>
      </c>
    </row>
    <row r="1177" s="118" customFormat="true" ht="15" hidden="false" customHeight="false" outlineLevel="0" collapsed="false">
      <c r="B1177" s="1104" t="str">
        <f aca="false">'Смета Внутр'!B1177</f>
        <v>торцевая планка</v>
      </c>
      <c r="C1177" s="1105" t="str">
        <f aca="false">'Смета Внутр'!C1177</f>
        <v>м.п.</v>
      </c>
      <c r="D1177" s="1106" t="n">
        <f aca="false">'Смета Внутр'!D1177</f>
        <v>23.5068696817231</v>
      </c>
      <c r="E1177" s="1104"/>
      <c r="F1177" s="1121" t="n">
        <f aca="false">'Смета Внутр'!H1177</f>
        <v>2350.68696817231</v>
      </c>
    </row>
    <row r="1178" s="118" customFormat="true" ht="15" hidden="false" customHeight="false" outlineLevel="0" collapsed="false">
      <c r="B1178" s="1104" t="str">
        <f aca="false">'Смета Внутр'!B1178</f>
        <v>конек</v>
      </c>
      <c r="C1178" s="1105" t="str">
        <f aca="false">'Смета Внутр'!C1178</f>
        <v>м.п.</v>
      </c>
      <c r="D1178" s="1106" t="n">
        <f aca="false">'Смета Внутр'!D1178</f>
        <v>9</v>
      </c>
      <c r="E1178" s="1104"/>
      <c r="F1178" s="1121" t="n">
        <f aca="false">'Смета Внутр'!H1178</f>
        <v>2700</v>
      </c>
    </row>
    <row r="1179" s="118" customFormat="true" ht="15" hidden="false" customHeight="false" outlineLevel="0" collapsed="false">
      <c r="B1179" s="1104" t="str">
        <f aca="false">'Смета Внутр'!B1179</f>
        <v>желоб водосточный</v>
      </c>
      <c r="C1179" s="1105" t="str">
        <f aca="false">'Смета Внутр'!C1179</f>
        <v>м.п.</v>
      </c>
      <c r="D1179" s="1106" t="n">
        <f aca="false">'Смета Внутр'!D1179</f>
        <v>18</v>
      </c>
      <c r="E1179" s="1104"/>
      <c r="F1179" s="1121" t="n">
        <f aca="false">'Смета Внутр'!H1179</f>
        <v>5400</v>
      </c>
    </row>
    <row r="1180" s="118" customFormat="true" ht="15" hidden="false" customHeight="false" outlineLevel="0" collapsed="false">
      <c r="B1180" s="1104" t="str">
        <f aca="false">'Смета Внутр'!B1180</f>
        <v>труба водосточная</v>
      </c>
      <c r="C1180" s="1105" t="str">
        <f aca="false">'Смета Внутр'!C1180</f>
        <v>м.п.</v>
      </c>
      <c r="D1180" s="1106" t="n">
        <f aca="false">'Смета Внутр'!D1180</f>
        <v>10.8</v>
      </c>
      <c r="E1180" s="1104"/>
      <c r="F1180" s="1121" t="n">
        <f aca="false">'Смета Внутр'!H1180</f>
        <v>3240</v>
      </c>
    </row>
    <row r="1181" s="118" customFormat="true" ht="15" hidden="false" customHeight="false" outlineLevel="0" collapsed="false">
      <c r="B1181" s="1104" t="str">
        <f aca="false">'Смета Внутр'!B1181</f>
        <v>Монтаж фанеры/osb</v>
      </c>
      <c r="C1181" s="1105" t="str">
        <f aca="false">'Смета Внутр'!C1181</f>
        <v>м2</v>
      </c>
      <c r="D1181" s="1106" t="n">
        <f aca="false">'Смета Внутр'!D1181</f>
        <v>0</v>
      </c>
      <c r="E1181" s="1104"/>
      <c r="F1181" s="1107" t="n">
        <f aca="false">'Смета Внутр'!H1181</f>
        <v>0</v>
      </c>
    </row>
    <row r="1182" s="118" customFormat="true" ht="15" hidden="false" customHeight="false" outlineLevel="0" collapsed="false">
      <c r="B1182" s="1104" t="str">
        <f aca="false">'Смета Внутр'!B1182</f>
        <v>монтаж подкладочного ковра</v>
      </c>
      <c r="C1182" s="1105" t="str">
        <f aca="false">'Смета Внутр'!C1182</f>
        <v>м2</v>
      </c>
      <c r="D1182" s="1106" t="n">
        <f aca="false">'Смета Внутр'!D1182</f>
        <v>0</v>
      </c>
      <c r="E1182" s="1104"/>
      <c r="F1182" s="1107" t="n">
        <f aca="false">'Смета Внутр'!H1182</f>
        <v>0</v>
      </c>
    </row>
    <row r="1183" s="118" customFormat="true" ht="15" hidden="false" customHeight="false" outlineLevel="0" collapsed="false">
      <c r="B1183" s="1104" t="str">
        <f aca="false">'Смета Внутр'!B1183</f>
        <v>Монтаж мягкой кровли</v>
      </c>
      <c r="C1183" s="1105" t="str">
        <f aca="false">'Смета Внутр'!C1183</f>
        <v>м2</v>
      </c>
      <c r="D1183" s="1106" t="n">
        <f aca="false">'Смета Внутр'!D1183</f>
        <v>0</v>
      </c>
      <c r="E1183" s="1104"/>
      <c r="F1183" s="1107" t="n">
        <f aca="false">'Смета Внутр'!H1183</f>
        <v>0</v>
      </c>
    </row>
    <row r="1184" s="118" customFormat="true" ht="15" hidden="false" customHeight="false" outlineLevel="0" collapsed="false">
      <c r="B1184" s="1108" t="str">
        <f aca="false">'Смета Внутр'!B1184</f>
        <v>Итого работы</v>
      </c>
      <c r="C1184" s="1108"/>
      <c r="D1184" s="1108"/>
      <c r="E1184" s="1108"/>
      <c r="F1184" s="1122" t="n">
        <f aca="false">'Смета Внутр'!G1184</f>
        <v>167544.682184003</v>
      </c>
    </row>
    <row r="1185" s="118" customFormat="true" ht="18.75" hidden="false" customHeight="false" outlineLevel="0" collapsed="false">
      <c r="B1185" s="1111" t="str">
        <f aca="false">'Смета Внутр'!B1185</f>
        <v>Кровля четырехскатная</v>
      </c>
      <c r="C1185" s="1111"/>
      <c r="D1185" s="1111"/>
      <c r="E1185" s="1111"/>
      <c r="F1185" s="1102" t="n">
        <f aca="false">'Смета Внутр'!H1185</f>
        <v>0</v>
      </c>
    </row>
    <row r="1186" s="118" customFormat="true" ht="15" hidden="false" customHeight="false" outlineLevel="0" collapsed="false">
      <c r="B1186" s="1103" t="str">
        <f aca="false">'Смета Внутр'!B1186</f>
        <v>Материалы</v>
      </c>
      <c r="C1186" s="1103"/>
      <c r="D1186" s="1103"/>
      <c r="E1186" s="1103"/>
      <c r="F1186" s="1102" t="n">
        <f aca="false">'Смета Внутр'!H1186</f>
        <v>0</v>
      </c>
    </row>
    <row r="1187" s="118" customFormat="true" ht="15" hidden="false" customHeight="false" outlineLevel="0" collapsed="false">
      <c r="B1187" s="1104" t="str">
        <f aca="false">'Смета Внутр'!B1187</f>
        <v>нет</v>
      </c>
      <c r="C1187" s="1105" t="str">
        <f aca="false">'Смета Внутр'!C1187</f>
        <v>м3</v>
      </c>
      <c r="D1187" s="1106" t="n">
        <f aca="false">'Смета Внутр'!D1187</f>
        <v>0</v>
      </c>
      <c r="E1187" s="1104"/>
      <c r="F1187" s="1107" t="n">
        <f aca="false">'Смета Внутр'!H1187</f>
        <v>0</v>
      </c>
    </row>
    <row r="1188" s="118" customFormat="true" ht="15" hidden="false" customHeight="false" outlineLevel="0" collapsed="false">
      <c r="B1188" s="1104" t="str">
        <f aca="false">'Смета Внутр'!B1188</f>
        <v>Болты анкерные с гайкой 12,0 х 280          </v>
      </c>
      <c r="C1188" s="1105" t="str">
        <f aca="false">'Смета Внутр'!C1188</f>
        <v>шт</v>
      </c>
      <c r="D1188" s="1106" t="n">
        <f aca="false">'Смета Внутр'!D1188</f>
        <v>35.2</v>
      </c>
      <c r="E1188" s="1104"/>
      <c r="F1188" s="1107" t="n">
        <f aca="false">'Смета Внутр'!H1188</f>
        <v>0</v>
      </c>
    </row>
    <row r="1189" s="118" customFormat="true" ht="15" hidden="false" customHeight="false" outlineLevel="0" collapsed="false">
      <c r="B1189" s="1104" t="str">
        <f aca="false">'Смета Внутр'!B1189</f>
        <v>Доска сырая, 150*50мм</v>
      </c>
      <c r="C1189" s="1105" t="str">
        <f aca="false">'Смета Внутр'!C1189</f>
        <v>м3</v>
      </c>
      <c r="D1189" s="1106" t="n">
        <f aca="false">'Смета Внутр'!D1189</f>
        <v>2.29942915439753</v>
      </c>
      <c r="E1189" s="1104"/>
      <c r="F1189" s="1107" t="n">
        <f aca="false">'Смета Внутр'!H1189</f>
        <v>0</v>
      </c>
    </row>
    <row r="1190" s="118" customFormat="true" ht="15" hidden="false" customHeight="false" outlineLevel="0" collapsed="false">
      <c r="B1190" s="1104" t="str">
        <f aca="false">'Смета Внутр'!B1190</f>
        <v>бугель, доска </v>
      </c>
      <c r="C1190" s="1105" t="str">
        <f aca="false">'Смета Внутр'!C1190</f>
        <v>м3</v>
      </c>
      <c r="D1190" s="1106" t="n">
        <f aca="false">'Смета Внутр'!D1190</f>
        <v>0.21</v>
      </c>
      <c r="E1190" s="1104"/>
      <c r="F1190" s="1107" t="n">
        <f aca="false">'Смета Внутр'!H1190</f>
        <v>0</v>
      </c>
    </row>
    <row r="1191" s="118" customFormat="true" ht="15" hidden="false" customHeight="false" outlineLevel="0" collapsed="false">
      <c r="B1191" s="1104" t="str">
        <f aca="false">'Смета Внутр'!B1191</f>
        <v>стойка под конек</v>
      </c>
      <c r="C1191" s="1105" t="str">
        <f aca="false">'Смета Внутр'!C1191</f>
        <v>м3</v>
      </c>
      <c r="D1191" s="1106" t="n">
        <f aca="false">'Смета Внутр'!D1191</f>
        <v>0.08925</v>
      </c>
      <c r="E1191" s="1104"/>
      <c r="F1191" s="1107" t="n">
        <f aca="false">'Смета Внутр'!H1191</f>
        <v>0</v>
      </c>
    </row>
    <row r="1192" s="118" customFormat="true" ht="15" hidden="false" customHeight="false" outlineLevel="0" collapsed="false">
      <c r="B1192" s="1104" t="str">
        <f aca="false">'Смета Внутр'!B1192</f>
        <v>Сосна влаж,100*25мм</v>
      </c>
      <c r="C1192" s="1105" t="str">
        <f aca="false">'Смета Внутр'!C1192</f>
        <v>м3</v>
      </c>
      <c r="D1192" s="1106" t="n">
        <f aca="false">'Смета Внутр'!D1192</f>
        <v>1.11063020763307</v>
      </c>
      <c r="E1192" s="1104"/>
      <c r="F1192" s="1107" t="n">
        <f aca="false">'Смета Внутр'!H1192</f>
        <v>0</v>
      </c>
    </row>
    <row r="1193" s="118" customFormat="true" ht="15" hidden="false" customHeight="false" outlineLevel="0" collapsed="false">
      <c r="B1193" s="1104" t="str">
        <f aca="false">'Смета Внутр'!B1193</f>
        <v>Сосна влаж, 50*50мм</v>
      </c>
      <c r="C1193" s="1105" t="str">
        <f aca="false">'Смета Внутр'!C1193</f>
        <v>м3</v>
      </c>
      <c r="D1193" s="1106" t="n">
        <f aca="false">'Смета Внутр'!D1193</f>
        <v>1.11063020763307</v>
      </c>
      <c r="E1193" s="1104"/>
      <c r="F1193" s="1107" t="n">
        <f aca="false">'Смета Внутр'!H1193</f>
        <v>0</v>
      </c>
    </row>
    <row r="1194" s="118" customFormat="true" ht="15" hidden="false" customHeight="false" outlineLevel="0" collapsed="false">
      <c r="B1194" s="1104" t="str">
        <f aca="false">'Смета Внутр'!B1194</f>
        <v>Универсальная Optima C</v>
      </c>
      <c r="C1194" s="1105" t="str">
        <f aca="false">'Смета Внутр'!C1194</f>
        <v>м2</v>
      </c>
      <c r="D1194" s="1106" t="n">
        <f aca="false">'Смета Внутр'!D1194</f>
        <v>148.08402768441</v>
      </c>
      <c r="E1194" s="1104"/>
      <c r="F1194" s="1107" t="n">
        <f aca="false">'Смета Внутр'!H1194</f>
        <v>0</v>
      </c>
    </row>
    <row r="1195" s="118" customFormat="true" ht="15" hidden="false" customHeight="false" outlineLevel="0" collapsed="false">
      <c r="B1195" s="1104" t="str">
        <f aca="false">'Смета Внутр'!B1195</f>
        <v>Универсальная Optima C</v>
      </c>
      <c r="C1195" s="1105" t="str">
        <f aca="false">'Смета Внутр'!C1195</f>
        <v>м2</v>
      </c>
      <c r="D1195" s="1106" t="n">
        <f aca="false">'Смета Внутр'!D1195</f>
        <v>148.08402768441</v>
      </c>
      <c r="E1195" s="1104"/>
      <c r="F1195" s="1107" t="n">
        <f aca="false">'Смета Внутр'!H1195</f>
        <v>0</v>
      </c>
    </row>
    <row r="1196" s="118" customFormat="true" ht="15" hidden="false" customHeight="false" outlineLevel="0" collapsed="false">
      <c r="B1196" s="1104" t="str">
        <f aca="false">'Смета Внутр'!B1196</f>
        <v>Плитный,28кг/м3, технониколь, 100мм</v>
      </c>
      <c r="C1196" s="1105" t="str">
        <f aca="false">'Смета Внутр'!C1196</f>
        <v>м3</v>
      </c>
      <c r="D1196" s="1106" t="n">
        <f aca="false">'Смета Внутр'!D1196</f>
        <v>10.5774305488864</v>
      </c>
      <c r="E1196" s="1104"/>
      <c r="F1196" s="1107" t="n">
        <f aca="false">'Смета Внутр'!H1196</f>
        <v>0</v>
      </c>
    </row>
    <row r="1197" s="118" customFormat="true" ht="15" hidden="false" customHeight="false" outlineLevel="0" collapsed="false">
      <c r="B1197" s="1104" t="str">
        <f aca="false">'Смета Внутр'!B1197</f>
        <v>металлочерепица</v>
      </c>
      <c r="C1197" s="1105" t="str">
        <f aca="false">'Смета Внутр'!C1197</f>
        <v>м2</v>
      </c>
      <c r="D1197" s="1106" t="n">
        <f aca="false">'Смета Внутр'!D1197</f>
        <v>148.08402768441</v>
      </c>
      <c r="E1197" s="1104"/>
      <c r="F1197" s="1107" t="n">
        <f aca="false">'Смета Внутр'!H1197</f>
        <v>0</v>
      </c>
    </row>
    <row r="1198" s="118" customFormat="true" ht="15" hidden="false" customHeight="false" outlineLevel="0" collapsed="false">
      <c r="B1198" s="1104" t="str">
        <f aca="false">'Смета Внутр'!B1198</f>
        <v>Конек</v>
      </c>
      <c r="C1198" s="1105" t="str">
        <f aca="false">'Смета Внутр'!C1198</f>
        <v>м.п.</v>
      </c>
      <c r="D1198" s="1106" t="n">
        <f aca="false">'Смета Внутр'!D1198</f>
        <v>28.6093426907597</v>
      </c>
      <c r="E1198" s="1104"/>
      <c r="F1198" s="1107" t="n">
        <f aca="false">'Смета Внутр'!H1198</f>
        <v>0</v>
      </c>
    </row>
    <row r="1199" s="118" customFormat="true" ht="15" hidden="false" customHeight="false" outlineLevel="0" collapsed="false">
      <c r="B1199" s="1104" t="str">
        <f aca="false">'Смета Внутр'!B1199</f>
        <v>Карнизная планка</v>
      </c>
      <c r="C1199" s="1105" t="str">
        <f aca="false">'Смета Внутр'!C1199</f>
        <v>м.п.</v>
      </c>
      <c r="D1199" s="1106" t="n">
        <f aca="false">'Смета Внутр'!D1199</f>
        <v>72</v>
      </c>
      <c r="E1199" s="1104"/>
      <c r="F1199" s="1107" t="n">
        <f aca="false">'Смета Внутр'!H1199</f>
        <v>0</v>
      </c>
    </row>
    <row r="1200" s="118" customFormat="true" ht="15" hidden="false" customHeight="false" outlineLevel="0" collapsed="false">
      <c r="B1200" s="1104" t="str">
        <f aca="false">'Смета Внутр'!B1200</f>
        <v>ондулин</v>
      </c>
      <c r="C1200" s="1105" t="str">
        <f aca="false">'Смета Внутр'!C1200</f>
        <v>м2</v>
      </c>
      <c r="D1200" s="1106" t="n">
        <f aca="false">'Смета Внутр'!D1200</f>
        <v>0</v>
      </c>
      <c r="E1200" s="1104"/>
      <c r="F1200" s="1107" t="n">
        <f aca="false">'Смета Внутр'!H1200</f>
        <v>0</v>
      </c>
    </row>
    <row r="1201" s="118" customFormat="true" ht="15" hidden="false" customHeight="false" outlineLevel="0" collapsed="false">
      <c r="B1201" s="1104" t="str">
        <f aca="false">'Смета Внутр'!B1201</f>
        <v>Карнизная планка</v>
      </c>
      <c r="C1201" s="1105" t="str">
        <f aca="false">'Смета Внутр'!C1201</f>
        <v>м.п.</v>
      </c>
      <c r="D1201" s="1106" t="n">
        <f aca="false">'Смета Внутр'!D1201</f>
        <v>0</v>
      </c>
      <c r="E1201" s="1104"/>
      <c r="F1201" s="1107" t="n">
        <f aca="false">'Смета Внутр'!H1201</f>
        <v>0</v>
      </c>
    </row>
    <row r="1202" s="118" customFormat="true" ht="15" hidden="false" customHeight="false" outlineLevel="0" collapsed="false">
      <c r="B1202" s="1104" t="str">
        <f aca="false">'Смета Внутр'!B1202</f>
        <v>Конек</v>
      </c>
      <c r="C1202" s="1105" t="str">
        <f aca="false">'Смета Внутр'!C1202</f>
        <v>м.п.</v>
      </c>
      <c r="D1202" s="1106" t="n">
        <f aca="false">'Смета Внутр'!D1202</f>
        <v>0</v>
      </c>
      <c r="E1202" s="1104"/>
      <c r="F1202" s="1107" t="n">
        <f aca="false">'Смета Внутр'!H1202</f>
        <v>0</v>
      </c>
    </row>
    <row r="1203" s="118" customFormat="true" ht="15" hidden="false" customHeight="false" outlineLevel="0" collapsed="false">
      <c r="B1203" s="1104" t="str">
        <f aca="false">'Смета Внутр'!B1203</f>
        <v>Крепеж для ондулина</v>
      </c>
      <c r="C1203" s="1105" t="str">
        <f aca="false">'Смета Внутр'!C1203</f>
        <v>шт</v>
      </c>
      <c r="D1203" s="1106" t="n">
        <f aca="false">'Смета Внутр'!D1203</f>
        <v>0</v>
      </c>
      <c r="E1203" s="1104"/>
      <c r="F1203" s="1107" t="n">
        <f aca="false">'Смета Внутр'!H1203</f>
        <v>0</v>
      </c>
    </row>
    <row r="1204" s="118" customFormat="true" ht="15" hidden="false" customHeight="false" outlineLevel="0" collapsed="false">
      <c r="B1204" s="1104" t="str">
        <f aca="false">'Смета Внутр'!B1204</f>
        <v>нет</v>
      </c>
      <c r="C1204" s="1105" t="str">
        <f aca="false">'Смета Внутр'!C1204</f>
        <v>м2</v>
      </c>
      <c r="D1204" s="1106" t="n">
        <f aca="false">'Смета Внутр'!D1204</f>
        <v>148.08402768441</v>
      </c>
      <c r="E1204" s="1104"/>
      <c r="F1204" s="1107" t="n">
        <f aca="false">'Смета Внутр'!H1204</f>
        <v>0</v>
      </c>
    </row>
    <row r="1205" s="118" customFormat="true" ht="15" hidden="false" customHeight="false" outlineLevel="0" collapsed="false">
      <c r="B1205" s="1104" t="str">
        <f aca="false">'Смета Внутр'!B1205</f>
        <v>Рядовая черепица</v>
      </c>
      <c r="C1205" s="1105" t="str">
        <f aca="false">'Смета Внутр'!C1205</f>
        <v>м.п.</v>
      </c>
      <c r="D1205" s="1106" t="n">
        <f aca="false">'Смета Внутр'!D1205</f>
        <v>0</v>
      </c>
      <c r="E1205" s="1104"/>
      <c r="F1205" s="1107" t="n">
        <f aca="false">'Смета Внутр'!H1205</f>
        <v>0</v>
      </c>
    </row>
    <row r="1206" s="118" customFormat="true" ht="15" hidden="false" customHeight="false" outlineLevel="0" collapsed="false">
      <c r="B1206" s="1104" t="str">
        <f aca="false">'Смета Внутр'!B1206</f>
        <v>Металл оцинк защита (карниз)</v>
      </c>
      <c r="C1206" s="1105" t="str">
        <f aca="false">'Смета Внутр'!C1206</f>
        <v>м.п.</v>
      </c>
      <c r="D1206" s="1106" t="n">
        <f aca="false">'Смета Внутр'!D1206</f>
        <v>0</v>
      </c>
      <c r="E1206" s="1104"/>
      <c r="F1206" s="1107" t="n">
        <f aca="false">'Смета Внутр'!H1206</f>
        <v>0</v>
      </c>
    </row>
    <row r="1207" s="118" customFormat="true" ht="15" hidden="false" customHeight="false" outlineLevel="0" collapsed="false">
      <c r="B1207" s="1104" t="str">
        <f aca="false">'Смета Внутр'!B1207</f>
        <v>Подкладочный ковер</v>
      </c>
      <c r="C1207" s="1105" t="str">
        <f aca="false">'Смета Внутр'!C1207</f>
        <v>м2</v>
      </c>
      <c r="D1207" s="1106" t="n">
        <f aca="false">'Смета Внутр'!D1207</f>
        <v>0</v>
      </c>
      <c r="E1207" s="1104"/>
      <c r="F1207" s="1107" t="n">
        <f aca="false">'Смета Внутр'!H1207</f>
        <v>0</v>
      </c>
    </row>
    <row r="1208" s="118" customFormat="true" ht="15" hidden="false" customHeight="false" outlineLevel="0" collapsed="false">
      <c r="B1208" s="1104" t="str">
        <f aca="false">'Смета Внутр'!B1208</f>
        <v>Карнизная самоклеющаяся черепица</v>
      </c>
      <c r="C1208" s="1105" t="str">
        <f aca="false">'Смета Внутр'!C1208</f>
        <v>м2</v>
      </c>
      <c r="D1208" s="1106" t="n">
        <f aca="false">'Смета Внутр'!D1208</f>
        <v>0</v>
      </c>
      <c r="E1208" s="1104"/>
      <c r="F1208" s="1107" t="n">
        <f aca="false">'Смета Внутр'!H1208</f>
        <v>0</v>
      </c>
    </row>
    <row r="1209" s="118" customFormat="true" ht="15" hidden="false" customHeight="false" outlineLevel="0" collapsed="false">
      <c r="B1209" s="1104" t="str">
        <f aca="false">'Смета Внутр'!B1209</f>
        <v>Спец ковер ендова нижняя</v>
      </c>
      <c r="C1209" s="1105" t="str">
        <f aca="false">'Смета Внутр'!C1209</f>
        <v>м.п</v>
      </c>
      <c r="D1209" s="1106" t="n">
        <f aca="false">'Смета Внутр'!D1209</f>
        <v>0</v>
      </c>
      <c r="E1209" s="1104"/>
      <c r="F1209" s="1107" t="n">
        <f aca="false">'Смета Внутр'!H1209</f>
        <v>0</v>
      </c>
    </row>
    <row r="1210" s="118" customFormat="true" ht="15" hidden="false" customHeight="false" outlineLevel="0" collapsed="false">
      <c r="B1210" s="1104" t="str">
        <f aca="false">'Смета Внутр'!B1210</f>
        <v>Коньковой элемент</v>
      </c>
      <c r="C1210" s="1105" t="str">
        <f aca="false">'Смета Внутр'!C1210</f>
        <v>м.п</v>
      </c>
      <c r="D1210" s="1106" t="n">
        <f aca="false">'Смета Внутр'!D1210</f>
        <v>0</v>
      </c>
      <c r="E1210" s="1104"/>
      <c r="F1210" s="1107" t="n">
        <f aca="false">'Смета Внутр'!H1210</f>
        <v>0</v>
      </c>
    </row>
    <row r="1211" s="118" customFormat="true" ht="15" hidden="false" customHeight="false" outlineLevel="0" collapsed="false">
      <c r="B1211" s="1104" t="str">
        <f aca="false">'Смета Внутр'!B1211</f>
        <v>Планка премыкания</v>
      </c>
      <c r="C1211" s="1105" t="str">
        <f aca="false">'Смета Внутр'!C1211</f>
        <v>м.п.</v>
      </c>
      <c r="D1211" s="1106" t="n">
        <f aca="false">'Смета Внутр'!D1211</f>
        <v>0</v>
      </c>
      <c r="E1211" s="1104"/>
      <c r="F1211" s="1107" t="n">
        <f aca="false">'Смета Внутр'!H1211</f>
        <v>0</v>
      </c>
    </row>
    <row r="1212" s="118" customFormat="true" ht="15" hidden="false" customHeight="false" outlineLevel="0" collapsed="false">
      <c r="B1212" s="1104" t="str">
        <f aca="false">'Смета Внутр'!B1212</f>
        <v>Гвозди для крепления подкладочного ковра</v>
      </c>
      <c r="C1212" s="1105" t="str">
        <f aca="false">'Смета Внутр'!C1212</f>
        <v>шт</v>
      </c>
      <c r="D1212" s="1106" t="n">
        <f aca="false">'Смета Внутр'!D1212</f>
        <v>0</v>
      </c>
      <c r="E1212" s="1104"/>
      <c r="F1212" s="1107" t="n">
        <f aca="false">'Смета Внутр'!H1212</f>
        <v>0</v>
      </c>
    </row>
    <row r="1213" s="118" customFormat="true" ht="15" hidden="false" customHeight="false" outlineLevel="0" collapsed="false">
      <c r="B1213" s="1104" t="str">
        <f aca="false">'Смета Внутр'!B1213</f>
        <v>Гвозди для крепления черепицы</v>
      </c>
      <c r="C1213" s="1105" t="str">
        <f aca="false">'Смета Внутр'!C1213</f>
        <v>шт</v>
      </c>
      <c r="D1213" s="1106" t="n">
        <f aca="false">'Смета Внутр'!D1213</f>
        <v>0</v>
      </c>
      <c r="E1213" s="1104"/>
      <c r="F1213" s="1107" t="n">
        <f aca="false">'Смета Внутр'!H1213</f>
        <v>0</v>
      </c>
    </row>
    <row r="1214" s="118" customFormat="true" ht="15" hidden="false" customHeight="false" outlineLevel="0" collapsed="false">
      <c r="B1214" s="1104" t="str">
        <f aca="false">'Смета Внутр'!B1214</f>
        <v>Клей для монтажа черепицы</v>
      </c>
      <c r="C1214" s="1105" t="str">
        <f aca="false">'Смета Внутр'!C1214</f>
        <v>кг</v>
      </c>
      <c r="D1214" s="1106" t="n">
        <f aca="false">'Смета Внутр'!D1214</f>
        <v>0</v>
      </c>
      <c r="E1214" s="1104"/>
      <c r="F1214" s="1107" t="n">
        <f aca="false">'Смета Внутр'!H1214</f>
        <v>0</v>
      </c>
    </row>
    <row r="1215" s="118" customFormat="true" ht="15" hidden="false" customHeight="false" outlineLevel="0" collapsed="false">
      <c r="B1215" s="1104" t="str">
        <f aca="false">'Смета Внутр'!B1215</f>
        <v>желоб</v>
      </c>
      <c r="C1215" s="1105" t="str">
        <f aca="false">'Смета Внутр'!C1215</f>
        <v>м.п</v>
      </c>
      <c r="D1215" s="1106" t="n">
        <f aca="false">'Смета Внутр'!D1215</f>
        <v>34</v>
      </c>
      <c r="E1215" s="1104"/>
      <c r="F1215" s="1107" t="n">
        <f aca="false">'Смета Внутр'!H1215</f>
        <v>0</v>
      </c>
    </row>
    <row r="1216" s="118" customFormat="true" ht="15" hidden="false" customHeight="false" outlineLevel="0" collapsed="false">
      <c r="B1216" s="1104" t="str">
        <f aca="false">'Смета Внутр'!B1216</f>
        <v>отвод</v>
      </c>
      <c r="C1216" s="1105" t="str">
        <f aca="false">'Смета Внутр'!C1216</f>
        <v>шт</v>
      </c>
      <c r="D1216" s="1106" t="n">
        <f aca="false">'Смета Внутр'!D1216</f>
        <v>4</v>
      </c>
      <c r="E1216" s="1104"/>
      <c r="F1216" s="1107" t="n">
        <f aca="false">'Смета Внутр'!H1216</f>
        <v>0</v>
      </c>
    </row>
    <row r="1217" s="118" customFormat="true" ht="15" hidden="false" customHeight="false" outlineLevel="0" collapsed="false">
      <c r="B1217" s="1104" t="str">
        <f aca="false">'Смета Внутр'!B1217</f>
        <v>труба водосточная</v>
      </c>
      <c r="C1217" s="1105" t="str">
        <f aca="false">'Смета Внутр'!C1217</f>
        <v>м.п.</v>
      </c>
      <c r="D1217" s="1106" t="n">
        <f aca="false">'Смета Внутр'!D1217</f>
        <v>9.68</v>
      </c>
      <c r="E1217" s="1104"/>
      <c r="F1217" s="1107" t="n">
        <f aca="false">'Смета Внутр'!H1217</f>
        <v>0</v>
      </c>
    </row>
    <row r="1218" s="118" customFormat="true" ht="15" hidden="false" customHeight="false" outlineLevel="0" collapsed="false">
      <c r="B1218" s="1104" t="str">
        <f aca="false">'Смета Внутр'!B1218</f>
        <v>заглушка для желоба</v>
      </c>
      <c r="C1218" s="1105" t="str">
        <f aca="false">'Смета Внутр'!C1218</f>
        <v>шт</v>
      </c>
      <c r="D1218" s="1106" t="n">
        <f aca="false">'Смета Внутр'!D1218</f>
        <v>4</v>
      </c>
      <c r="E1218" s="1104"/>
      <c r="F1218" s="1107" t="n">
        <f aca="false">'Смета Внутр'!H1218</f>
        <v>0</v>
      </c>
    </row>
    <row r="1219" s="118" customFormat="true" ht="15" hidden="false" customHeight="false" outlineLevel="0" collapsed="false">
      <c r="B1219" s="1104" t="str">
        <f aca="false">'Смета Внутр'!B1219</f>
        <v>соеденитель для желоба</v>
      </c>
      <c r="C1219" s="1105" t="str">
        <f aca="false">'Смета Внутр'!C1219</f>
        <v>шт</v>
      </c>
      <c r="D1219" s="1106" t="n">
        <f aca="false">'Смета Внутр'!D1219</f>
        <v>12.3333333333333</v>
      </c>
      <c r="E1219" s="1104"/>
      <c r="F1219" s="1107" t="n">
        <f aca="false">'Смета Внутр'!H1219</f>
        <v>0</v>
      </c>
    </row>
    <row r="1220" s="118" customFormat="true" ht="15" hidden="false" customHeight="false" outlineLevel="0" collapsed="false">
      <c r="B1220" s="1104" t="str">
        <f aca="false">'Смета Внутр'!B1220</f>
        <v>кронштейн для желоба</v>
      </c>
      <c r="C1220" s="1105" t="str">
        <f aca="false">'Смета Внутр'!C1220</f>
        <v>шт</v>
      </c>
      <c r="D1220" s="1106" t="n">
        <f aca="false">'Смета Внутр'!D1220</f>
        <v>113.333333333333</v>
      </c>
      <c r="E1220" s="1104"/>
      <c r="F1220" s="1107" t="n">
        <f aca="false">'Смета Внутр'!H1220</f>
        <v>0</v>
      </c>
    </row>
    <row r="1221" s="118" customFormat="true" ht="15" hidden="false" customHeight="false" outlineLevel="0" collapsed="false">
      <c r="B1221" s="1104" t="str">
        <f aca="false">'Смета Внутр'!B1221</f>
        <v>переход из желоба в трубу</v>
      </c>
      <c r="C1221" s="1105" t="str">
        <f aca="false">'Смета Внутр'!C1221</f>
        <v>шт</v>
      </c>
      <c r="D1221" s="1106" t="n">
        <f aca="false">'Смета Внутр'!D1221</f>
        <v>2</v>
      </c>
      <c r="E1221" s="1104"/>
      <c r="F1221" s="1107" t="n">
        <f aca="false">'Смета Внутр'!H1221</f>
        <v>0</v>
      </c>
    </row>
    <row r="1222" s="118" customFormat="true" ht="15" hidden="false" customHeight="false" outlineLevel="0" collapsed="false">
      <c r="B1222" s="1104" t="str">
        <f aca="false">'Смета Внутр'!B1222</f>
        <v>лента дельта мульти бэнд</v>
      </c>
      <c r="C1222" s="1105" t="str">
        <f aca="false">'Смета Внутр'!C1222</f>
        <v>шт</v>
      </c>
      <c r="D1222" s="1106" t="n">
        <f aca="false">'Смета Внутр'!D1222</f>
        <v>1</v>
      </c>
      <c r="E1222" s="1104"/>
      <c r="F1222" s="1107" t="n">
        <f aca="false">'Смета Внутр'!H1222</f>
        <v>0</v>
      </c>
    </row>
    <row r="1223" s="118" customFormat="true" ht="15" hidden="false" customHeight="false" outlineLevel="0" collapsed="false">
      <c r="B1223" s="1104" t="str">
        <f aca="false">'Смета Внутр'!B1223</f>
        <v>лента дельта sb-60</v>
      </c>
      <c r="C1223" s="1105" t="str">
        <f aca="false">'Смета Внутр'!C1223</f>
        <v>шт</v>
      </c>
      <c r="D1223" s="1106" t="n">
        <f aca="false">'Смета Внутр'!D1223</f>
        <v>7.05162036592427</v>
      </c>
      <c r="E1223" s="1104"/>
      <c r="F1223" s="1107" t="n">
        <f aca="false">'Смета Внутр'!H1223</f>
        <v>0</v>
      </c>
    </row>
    <row r="1224" s="118" customFormat="true" ht="15" hidden="false" customHeight="false" outlineLevel="0" collapsed="false">
      <c r="B1224" s="1104" t="str">
        <f aca="false">'Смета Внутр'!B1224</f>
        <v>проходка кровельная, канализационная</v>
      </c>
      <c r="C1224" s="1105" t="str">
        <f aca="false">'Смета Внутр'!C1224</f>
        <v>шт</v>
      </c>
      <c r="D1224" s="1106" t="n">
        <f aca="false">'Смета Внутр'!D1224</f>
        <v>0</v>
      </c>
      <c r="E1224" s="1104"/>
      <c r="F1224" s="1107" t="n">
        <f aca="false">'Смета Внутр'!H1224</f>
        <v>0</v>
      </c>
    </row>
    <row r="1225" s="118" customFormat="true" ht="15" hidden="false" customHeight="false" outlineLevel="0" collapsed="false">
      <c r="B1225" s="1104" t="str">
        <f aca="false">'Смета Внутр'!B1225</f>
        <v>проходка кровельная, вентиляционная</v>
      </c>
      <c r="C1225" s="1105" t="str">
        <f aca="false">'Смета Внутр'!C1225</f>
        <v>шт</v>
      </c>
      <c r="D1225" s="1106" t="n">
        <f aca="false">'Смета Внутр'!D1225</f>
        <v>0</v>
      </c>
      <c r="E1225" s="1104"/>
      <c r="F1225" s="1107" t="n">
        <f aca="false">'Смета Внутр'!H1225</f>
        <v>0</v>
      </c>
    </row>
    <row r="1226" s="118" customFormat="true" ht="15" hidden="false" customHeight="false" outlineLevel="0" collapsed="false">
      <c r="B1226" s="1104" t="str">
        <f aca="false">'Смета Внутр'!B1226</f>
        <v>проодка кровельная, труба котел</v>
      </c>
      <c r="C1226" s="1105" t="str">
        <f aca="false">'Смета Внутр'!C1226</f>
        <v>шт</v>
      </c>
      <c r="D1226" s="1106" t="n">
        <f aca="false">'Смета Внутр'!D1226</f>
        <v>0</v>
      </c>
      <c r="E1226" s="1104"/>
      <c r="F1226" s="1107" t="n">
        <f aca="false">'Смета Внутр'!H1226</f>
        <v>0</v>
      </c>
    </row>
    <row r="1227" s="118" customFormat="true" ht="15" hidden="false" customHeight="false" outlineLevel="0" collapsed="false">
      <c r="B1227" s="1104" t="str">
        <f aca="false">'Смета Внутр'!B1227</f>
        <v>Кровельный саморез</v>
      </c>
      <c r="C1227" s="1105" t="str">
        <f aca="false">'Смета Внутр'!C1227</f>
        <v>шт</v>
      </c>
      <c r="D1227" s="1106" t="n">
        <f aca="false">'Смета Внутр'!D1227</f>
        <v>1269.29166586637</v>
      </c>
      <c r="E1227" s="1104"/>
      <c r="F1227" s="1107" t="n">
        <f aca="false">'Смета Внутр'!H1227</f>
        <v>0</v>
      </c>
    </row>
    <row r="1228" s="118" customFormat="true" ht="15" hidden="false" customHeight="false" outlineLevel="0" collapsed="false">
      <c r="B1228" s="1104" t="str">
        <f aca="false">'Смета Внутр'!B1228</f>
        <v>Гвозди ершоные 3,4 x 60            </v>
      </c>
      <c r="C1228" s="1105" t="str">
        <f aca="false">'Смета Внутр'!C1228</f>
        <v>кг</v>
      </c>
      <c r="D1228" s="1106" t="n">
        <f aca="false">'Смета Внутр'!D1228</f>
        <v>11.1063020763307</v>
      </c>
      <c r="E1228" s="1104"/>
      <c r="F1228" s="1107" t="n">
        <f aca="false">'Смета Внутр'!H1228</f>
        <v>0</v>
      </c>
    </row>
    <row r="1229" s="118" customFormat="true" ht="15" hidden="false" customHeight="false" outlineLevel="0" collapsed="false">
      <c r="B1229" s="1104" t="str">
        <f aca="false">'Смета Внутр'!B1229</f>
        <v>Гвозди строительные 3,5 x 90            </v>
      </c>
      <c r="C1229" s="1105" t="str">
        <f aca="false">'Смета Внутр'!C1229</f>
        <v>кг</v>
      </c>
      <c r="D1229" s="1106" t="n">
        <f aca="false">'Смета Внутр'!D1229</f>
        <v>15.5920749263852</v>
      </c>
      <c r="E1229" s="1104"/>
      <c r="F1229" s="1107" t="n">
        <f aca="false">'Смета Внутр'!H1229</f>
        <v>0</v>
      </c>
    </row>
    <row r="1230" s="118" customFormat="true" ht="15" hidden="false" customHeight="false" outlineLevel="0" collapsed="false">
      <c r="B1230" s="1104" t="str">
        <f aca="false">'Смета Внутр'!B1230</f>
        <v>Пластина соеденительная 100х240х2           </v>
      </c>
      <c r="C1230" s="1105" t="str">
        <f aca="false">'Смета Внутр'!C1230</f>
        <v>шт</v>
      </c>
      <c r="D1230" s="1106" t="n">
        <f aca="false">'Смета Внутр'!D1230</f>
        <v>15.1106150698377</v>
      </c>
      <c r="E1230" s="1104"/>
      <c r="F1230" s="1107" t="n">
        <f aca="false">'Смета Внутр'!H1230</f>
        <v>0</v>
      </c>
    </row>
    <row r="1231" s="118" customFormat="true" ht="15" hidden="false" customHeight="false" outlineLevel="0" collapsed="false">
      <c r="B1231" s="1104" t="str">
        <f aca="false">'Смета Внутр'!B1231</f>
        <v>Уголок усиленный 90х70х55х2,5        </v>
      </c>
      <c r="C1231" s="1105" t="str">
        <f aca="false">'Смета Внутр'!C1231</f>
        <v>шт</v>
      </c>
      <c r="D1231" s="1106" t="n">
        <f aca="false">'Смета Внутр'!D1231</f>
        <v>211.548610977728</v>
      </c>
      <c r="E1231" s="1104"/>
      <c r="F1231" s="1107" t="n">
        <f aca="false">'Смета Внутр'!H1231</f>
        <v>0</v>
      </c>
    </row>
    <row r="1232" s="118" customFormat="true" ht="15" hidden="false" customHeight="false" outlineLevel="0" collapsed="false">
      <c r="B1232" s="1108" t="str">
        <f aca="false">'Смета Внутр'!B1232</f>
        <v>Итого материалы</v>
      </c>
      <c r="C1232" s="1108"/>
      <c r="D1232" s="1108"/>
      <c r="E1232" s="1108"/>
      <c r="F1232" s="1109" t="n">
        <f aca="false">'Смета Внутр'!G1232</f>
        <v>0</v>
      </c>
    </row>
    <row r="1233" s="118" customFormat="true" ht="15" hidden="false" customHeight="false" outlineLevel="0" collapsed="false">
      <c r="B1233" s="1110" t="str">
        <f aca="false">'Смета Внутр'!B1233</f>
        <v>Работы</v>
      </c>
      <c r="C1233" s="1110"/>
      <c r="D1233" s="1110"/>
      <c r="E1233" s="1110"/>
      <c r="F1233" s="1102" t="n">
        <f aca="false">'Смета Внутр'!H1233</f>
        <v>0</v>
      </c>
    </row>
    <row r="1234" s="118" customFormat="true" ht="15" hidden="false" customHeight="false" outlineLevel="0" collapsed="false">
      <c r="B1234" s="1104" t="str">
        <f aca="false">'Смета Внутр'!B1234</f>
        <v>монтаж мауэрлат</v>
      </c>
      <c r="C1234" s="1105" t="str">
        <f aca="false">'Смета Внутр'!C1234</f>
        <v>м.п.</v>
      </c>
      <c r="D1234" s="1106" t="n">
        <f aca="false">'Смета Внутр'!D1234</f>
        <v>32</v>
      </c>
      <c r="E1234" s="1104"/>
      <c r="F1234" s="1107" t="n">
        <f aca="false">'Смета Внутр'!H1234</f>
        <v>0</v>
      </c>
    </row>
    <row r="1235" s="118" customFormat="true" ht="15" hidden="false" customHeight="false" outlineLevel="0" collapsed="false">
      <c r="B1235" s="1104" t="str">
        <f aca="false">'Смета Внутр'!B1235</f>
        <v>монтаж стропил</v>
      </c>
      <c r="C1235" s="1105" t="str">
        <f aca="false">'Смета Внутр'!C1235</f>
        <v>м2</v>
      </c>
      <c r="D1235" s="1106" t="n">
        <f aca="false">'Смета Внутр'!D1235</f>
        <v>105.774305488864</v>
      </c>
      <c r="E1235" s="1104"/>
      <c r="F1235" s="1107" t="n">
        <f aca="false">'Смета Внутр'!H1235</f>
        <v>0</v>
      </c>
    </row>
    <row r="1236" s="118" customFormat="true" ht="15" hidden="false" customHeight="false" outlineLevel="0" collapsed="false">
      <c r="B1236" s="1104" t="str">
        <f aca="false">'Смета Внутр'!B1236</f>
        <v>обрешетка</v>
      </c>
      <c r="C1236" s="1105" t="str">
        <f aca="false">'Смета Внутр'!C1236</f>
        <v>м2</v>
      </c>
      <c r="D1236" s="1106" t="n">
        <f aca="false">'Смета Внутр'!D1236</f>
        <v>105.774305488864</v>
      </c>
      <c r="E1236" s="1104"/>
      <c r="F1236" s="1107" t="n">
        <f aca="false">'Смета Внутр'!H1236</f>
        <v>0</v>
      </c>
    </row>
    <row r="1237" s="118" customFormat="true" ht="15" hidden="false" customHeight="false" outlineLevel="0" collapsed="false">
      <c r="B1237" s="1104" t="str">
        <f aca="false">'Смета Внутр'!B1237</f>
        <v>контробеш</v>
      </c>
      <c r="C1237" s="1105" t="str">
        <f aca="false">'Смета Внутр'!C1237</f>
        <v>м2</v>
      </c>
      <c r="D1237" s="1106" t="n">
        <f aca="false">'Смета Внутр'!D1237</f>
        <v>105.774305488864</v>
      </c>
      <c r="E1237" s="1104"/>
      <c r="F1237" s="1107" t="n">
        <f aca="false">'Смета Внутр'!H1237</f>
        <v>0</v>
      </c>
    </row>
    <row r="1238" s="118" customFormat="true" ht="15" hidden="false" customHeight="false" outlineLevel="0" collapsed="false">
      <c r="B1238" s="1104" t="str">
        <f aca="false">'Смета Внутр'!B1238</f>
        <v>мембрана</v>
      </c>
      <c r="C1238" s="1105" t="str">
        <f aca="false">'Смета Внутр'!C1238</f>
        <v>м2</v>
      </c>
      <c r="D1238" s="1106" t="n">
        <f aca="false">'Смета Внутр'!D1238</f>
        <v>105.774305488864</v>
      </c>
      <c r="E1238" s="1104"/>
      <c r="F1238" s="1107" t="n">
        <f aca="false">'Смета Внутр'!H1238</f>
        <v>0</v>
      </c>
    </row>
    <row r="1239" s="118" customFormat="true" ht="15" hidden="false" customHeight="false" outlineLevel="0" collapsed="false">
      <c r="B1239" s="1104" t="str">
        <f aca="false">'Смета Внутр'!B1239</f>
        <v>пароизоляц</v>
      </c>
      <c r="C1239" s="1105" t="str">
        <f aca="false">'Смета Внутр'!C1239</f>
        <v>м2</v>
      </c>
      <c r="D1239" s="1106" t="n">
        <f aca="false">'Смета Внутр'!D1239</f>
        <v>105.774305488864</v>
      </c>
      <c r="E1239" s="1104"/>
      <c r="F1239" s="1107" t="n">
        <f aca="false">'Смета Внутр'!H1239</f>
        <v>0</v>
      </c>
    </row>
    <row r="1240" s="118" customFormat="true" ht="15" hidden="false" customHeight="false" outlineLevel="0" collapsed="false">
      <c r="B1240" s="1104" t="str">
        <f aca="false">'Смета Внутр'!B1240</f>
        <v>утеплитель</v>
      </c>
      <c r="C1240" s="1105" t="str">
        <f aca="false">'Смета Внутр'!C1240</f>
        <v>м2</v>
      </c>
      <c r="D1240" s="1106" t="n">
        <f aca="false">'Смета Внутр'!D1240</f>
        <v>105.774305488864</v>
      </c>
      <c r="E1240" s="1104"/>
      <c r="F1240" s="1107" t="n">
        <f aca="false">'Смета Внутр'!H1240</f>
        <v>0</v>
      </c>
    </row>
    <row r="1241" s="118" customFormat="true" ht="15" hidden="false" customHeight="false" outlineLevel="0" collapsed="false">
      <c r="B1241" s="1104" t="str">
        <f aca="false">'Смета Внутр'!B1241</f>
        <v>Монтаж металлочерепицы</v>
      </c>
      <c r="C1241" s="1105" t="str">
        <f aca="false">'Смета Внутр'!C1241</f>
        <v>м2</v>
      </c>
      <c r="D1241" s="1106" t="n">
        <f aca="false">'Смета Внутр'!D1241</f>
        <v>96.1584595353309</v>
      </c>
      <c r="E1241" s="1104"/>
      <c r="F1241" s="1107" t="n">
        <f aca="false">'Смета Внутр'!H1241</f>
        <v>0</v>
      </c>
    </row>
    <row r="1242" s="118" customFormat="true" ht="15" hidden="false" customHeight="false" outlineLevel="0" collapsed="false">
      <c r="B1242" s="1104" t="str">
        <f aca="false">'Смета Внутр'!B1242</f>
        <v>Монтаж ондулина</v>
      </c>
      <c r="C1242" s="1105" t="str">
        <f aca="false">'Смета Внутр'!C1242</f>
        <v>м2</v>
      </c>
      <c r="D1242" s="1106" t="n">
        <f aca="false">'Смета Внутр'!D1242</f>
        <v>0</v>
      </c>
      <c r="E1242" s="1104"/>
      <c r="F1242" s="1107" t="n">
        <f aca="false">'Смета Внутр'!H1242</f>
        <v>0</v>
      </c>
    </row>
    <row r="1243" s="118" customFormat="true" ht="15" hidden="false" customHeight="false" outlineLevel="0" collapsed="false">
      <c r="B1243" s="1104" t="str">
        <f aca="false">'Смета Внутр'!B1243</f>
        <v>капельник планка</v>
      </c>
      <c r="C1243" s="1105" t="str">
        <f aca="false">'Смета Внутр'!C1243</f>
        <v>м.п.</v>
      </c>
      <c r="D1243" s="1106" t="n">
        <f aca="false">'Смета Внутр'!D1243</f>
        <v>72</v>
      </c>
      <c r="E1243" s="1104"/>
      <c r="F1243" s="1107" t="n">
        <f aca="false">'Смета Внутр'!H1243</f>
        <v>0</v>
      </c>
    </row>
    <row r="1244" s="118" customFormat="true" ht="15" hidden="false" customHeight="false" outlineLevel="0" collapsed="false">
      <c r="B1244" s="1104" t="str">
        <f aca="false">'Смета Внутр'!B1244</f>
        <v>желоб водосточный</v>
      </c>
      <c r="C1244" s="1105" t="str">
        <f aca="false">'Смета Внутр'!C1244</f>
        <v>м.п.</v>
      </c>
      <c r="D1244" s="1106" t="n">
        <f aca="false">'Смета Внутр'!D1244</f>
        <v>34</v>
      </c>
      <c r="E1244" s="1104"/>
      <c r="F1244" s="1107" t="n">
        <f aca="false">'Смета Внутр'!H1244</f>
        <v>0</v>
      </c>
    </row>
    <row r="1245" s="118" customFormat="true" ht="15" hidden="false" customHeight="false" outlineLevel="0" collapsed="false">
      <c r="B1245" s="1104" t="str">
        <f aca="false">'Смета Внутр'!B1245</f>
        <v>труба водосточная</v>
      </c>
      <c r="C1245" s="1105" t="str">
        <f aca="false">'Смета Внутр'!C1245</f>
        <v>м.п.</v>
      </c>
      <c r="D1245" s="1106" t="n">
        <f aca="false">'Смета Внутр'!D1245</f>
        <v>9.68</v>
      </c>
      <c r="E1245" s="1104"/>
      <c r="F1245" s="1107" t="n">
        <f aca="false">'Смета Внутр'!H1245</f>
        <v>0</v>
      </c>
    </row>
    <row r="1246" s="118" customFormat="true" ht="15" hidden="false" customHeight="false" outlineLevel="0" collapsed="false">
      <c r="B1246" s="1104" t="str">
        <f aca="false">'Смета Внутр'!B1246</f>
        <v>конек</v>
      </c>
      <c r="C1246" s="1105" t="str">
        <f aca="false">'Смета Внутр'!C1246</f>
        <v>м.п.</v>
      </c>
      <c r="D1246" s="1106" t="n">
        <f aca="false">'Смета Внутр'!D1246</f>
        <v>28.6093426907597</v>
      </c>
      <c r="E1246" s="1104"/>
      <c r="F1246" s="1107" t="n">
        <f aca="false">'Смета Внутр'!H1246</f>
        <v>0</v>
      </c>
    </row>
    <row r="1247" s="118" customFormat="true" ht="15" hidden="false" customHeight="false" outlineLevel="0" collapsed="false">
      <c r="B1247" s="1104" t="str">
        <f aca="false">'Смета Внутр'!B1247</f>
        <v>Монтаж фанеры/osb</v>
      </c>
      <c r="C1247" s="1105" t="str">
        <f aca="false">'Смета Внутр'!C1247</f>
        <v>м2</v>
      </c>
      <c r="D1247" s="1106" t="n">
        <f aca="false">'Смета Внутр'!D1247</f>
        <v>0</v>
      </c>
      <c r="E1247" s="1104"/>
      <c r="F1247" s="1107" t="n">
        <f aca="false">'Смета Внутр'!H1247</f>
        <v>0</v>
      </c>
    </row>
    <row r="1248" s="118" customFormat="true" ht="15" hidden="false" customHeight="false" outlineLevel="0" collapsed="false">
      <c r="B1248" s="1104" t="str">
        <f aca="false">'Смета Внутр'!B1248</f>
        <v>монтаж подкладочного ковра</v>
      </c>
      <c r="C1248" s="1105" t="str">
        <f aca="false">'Смета Внутр'!C1248</f>
        <v>м2</v>
      </c>
      <c r="D1248" s="1106" t="n">
        <f aca="false">'Смета Внутр'!D1248</f>
        <v>0</v>
      </c>
      <c r="E1248" s="1104"/>
      <c r="F1248" s="1107" t="n">
        <f aca="false">'Смета Внутр'!H1248</f>
        <v>0</v>
      </c>
    </row>
    <row r="1249" s="118" customFormat="true" ht="15" hidden="false" customHeight="false" outlineLevel="0" collapsed="false">
      <c r="B1249" s="1104" t="str">
        <f aca="false">'Смета Внутр'!B1249</f>
        <v>Монтаж мягкой кровли</v>
      </c>
      <c r="C1249" s="1105" t="str">
        <f aca="false">'Смета Внутр'!C1249</f>
        <v>м2</v>
      </c>
      <c r="D1249" s="1106" t="n">
        <f aca="false">'Смета Внутр'!D1249</f>
        <v>0</v>
      </c>
      <c r="E1249" s="1104"/>
      <c r="F1249" s="1107" t="n">
        <f aca="false">'Смета Внутр'!H1249</f>
        <v>0</v>
      </c>
    </row>
    <row r="1250" s="118" customFormat="true" ht="15" hidden="false" customHeight="false" outlineLevel="0" collapsed="false">
      <c r="B1250" s="1108" t="str">
        <f aca="false">'Смета Внутр'!B1250</f>
        <v>Итого работы</v>
      </c>
      <c r="C1250" s="1108"/>
      <c r="D1250" s="1108"/>
      <c r="E1250" s="1108"/>
      <c r="F1250" s="1109" t="n">
        <f aca="false">'Смета Внутр'!G1250</f>
        <v>0</v>
      </c>
    </row>
    <row r="1251" customFormat="false" ht="18.75" hidden="false" customHeight="false" outlineLevel="0" collapsed="false">
      <c r="B1251" s="1113" t="str">
        <f aca="false">'Смета Внутр'!B1251</f>
        <v>Кровля Полу-Вальмовая</v>
      </c>
      <c r="C1251" s="1113"/>
      <c r="D1251" s="1113"/>
      <c r="E1251" s="1113"/>
      <c r="F1251" s="1114" t="n">
        <f aca="false">'Смета Внутр'!H1251</f>
        <v>0</v>
      </c>
    </row>
    <row r="1252" customFormat="false" ht="15" hidden="false" customHeight="false" outlineLevel="0" collapsed="false">
      <c r="B1252" s="1115" t="str">
        <f aca="false">'Смета Внутр'!B1252</f>
        <v>Материалы</v>
      </c>
      <c r="C1252" s="1115"/>
      <c r="D1252" s="1115"/>
      <c r="E1252" s="1115"/>
      <c r="F1252" s="1114" t="n">
        <f aca="false">'Смета Внутр'!H1252</f>
        <v>0</v>
      </c>
    </row>
    <row r="1253" s="118" customFormat="true" ht="15" hidden="false" customHeight="false" outlineLevel="0" collapsed="false">
      <c r="B1253" s="1104" t="str">
        <f aca="false">'Смета Внутр'!B1253</f>
        <v>нет</v>
      </c>
      <c r="C1253" s="1105" t="str">
        <f aca="false">'Смета Внутр'!C1253</f>
        <v>м3</v>
      </c>
      <c r="D1253" s="1106" t="n">
        <f aca="false">'Смета Внутр'!D1253</f>
        <v>0</v>
      </c>
      <c r="E1253" s="1104"/>
      <c r="F1253" s="1107" t="n">
        <f aca="false">'Смета Внутр'!H1253</f>
        <v>0</v>
      </c>
    </row>
    <row r="1254" customFormat="false" ht="15" hidden="false" customHeight="false" outlineLevel="0" collapsed="false">
      <c r="B1254" s="1097" t="str">
        <f aca="false">'Смета Внутр'!B1254</f>
        <v>Болты анкерные с гайкой 12,0 х 280          </v>
      </c>
      <c r="C1254" s="1098" t="str">
        <f aca="false">'Смета Внутр'!C1254</f>
        <v>шт</v>
      </c>
      <c r="D1254" s="1099" t="n">
        <f aca="false">'Смета Внутр'!D1254</f>
        <v>110.5307463295</v>
      </c>
      <c r="E1254" s="1097"/>
      <c r="F1254" s="1116" t="n">
        <f aca="false">'Смета Внутр'!H1254</f>
        <v>0</v>
      </c>
    </row>
    <row r="1255" customFormat="false" ht="15" hidden="false" customHeight="false" outlineLevel="0" collapsed="false">
      <c r="B1255" s="1097" t="str">
        <f aca="false">'Смета Внутр'!B1255</f>
        <v>Доска сырая, 150*50мм</v>
      </c>
      <c r="C1255" s="1098" t="str">
        <f aca="false">'Смета Внутр'!C1255</f>
        <v>м3</v>
      </c>
      <c r="D1255" s="1099" t="n">
        <f aca="false">'Смета Внутр'!D1255</f>
        <v>2.72103693695345</v>
      </c>
      <c r="E1255" s="1097"/>
      <c r="F1255" s="1116" t="n">
        <f aca="false">'Смета Внутр'!H1255</f>
        <v>0</v>
      </c>
    </row>
    <row r="1256" customFormat="false" ht="15" hidden="false" customHeight="false" outlineLevel="0" collapsed="false">
      <c r="B1256" s="1097" t="str">
        <f aca="false">'Смета Внутр'!B1256</f>
        <v>бугель, доска </v>
      </c>
      <c r="C1256" s="1098" t="str">
        <f aca="false">'Смета Внутр'!C1256</f>
        <v>м3</v>
      </c>
      <c r="D1256" s="1099" t="n">
        <f aca="false">'Смета Внутр'!D1256</f>
        <v>0.495</v>
      </c>
      <c r="E1256" s="1097"/>
      <c r="F1256" s="1116" t="n">
        <f aca="false">'Смета Внутр'!H1256</f>
        <v>0</v>
      </c>
    </row>
    <row r="1257" customFormat="false" ht="15" hidden="false" customHeight="false" outlineLevel="0" collapsed="false">
      <c r="B1257" s="1097" t="str">
        <f aca="false">'Смета Внутр'!B1257</f>
        <v>стойка под конек</v>
      </c>
      <c r="C1257" s="1098" t="str">
        <f aca="false">'Смета Внутр'!C1257</f>
        <v>м3</v>
      </c>
      <c r="D1257" s="1099" t="n">
        <f aca="false">'Смета Внутр'!D1257</f>
        <v>0.072</v>
      </c>
      <c r="E1257" s="1097"/>
      <c r="F1257" s="1116" t="n">
        <f aca="false">'Смета Внутр'!H1257</f>
        <v>0</v>
      </c>
    </row>
    <row r="1258" customFormat="false" ht="15" hidden="false" customHeight="false" outlineLevel="0" collapsed="false">
      <c r="B1258" s="1097" t="str">
        <f aca="false">'Смета Внутр'!B1258</f>
        <v>Сосна влаж,100*25мм</v>
      </c>
      <c r="C1258" s="1098" t="str">
        <f aca="false">'Смета Внутр'!C1258</f>
        <v>м3</v>
      </c>
      <c r="D1258" s="1099" t="n">
        <f aca="false">'Смета Внутр'!D1258</f>
        <v>1.24340242764109</v>
      </c>
      <c r="E1258" s="1097"/>
      <c r="F1258" s="1116" t="n">
        <f aca="false">'Смета Внутр'!H1258</f>
        <v>0</v>
      </c>
    </row>
    <row r="1259" customFormat="false" ht="15" hidden="false" customHeight="false" outlineLevel="0" collapsed="false">
      <c r="B1259" s="1097" t="str">
        <f aca="false">'Смета Внутр'!B1259</f>
        <v>Сосна влаж, 50*50мм</v>
      </c>
      <c r="C1259" s="1098" t="str">
        <f aca="false">'Смета Внутр'!C1259</f>
        <v>м3</v>
      </c>
      <c r="D1259" s="1099" t="n">
        <f aca="false">'Смета Внутр'!D1259</f>
        <v>0.956463405877762</v>
      </c>
      <c r="E1259" s="1097"/>
      <c r="F1259" s="1116" t="n">
        <f aca="false">'Смета Внутр'!H1259</f>
        <v>0</v>
      </c>
    </row>
    <row r="1260" customFormat="false" ht="15" hidden="false" customHeight="false" outlineLevel="0" collapsed="false">
      <c r="B1260" s="1097" t="str">
        <f aca="false">'Смета Внутр'!B1260</f>
        <v>Универсальная Optima C</v>
      </c>
      <c r="C1260" s="1098" t="str">
        <f aca="false">'Смета Внутр'!C1260</f>
        <v>м2</v>
      </c>
      <c r="D1260" s="1099" t="n">
        <f aca="false">'Смета Внутр'!D1260</f>
        <v>178.539835763849</v>
      </c>
      <c r="E1260" s="1097"/>
      <c r="F1260" s="1116" t="n">
        <f aca="false">'Смета Внутр'!H1260</f>
        <v>0</v>
      </c>
    </row>
    <row r="1261" customFormat="false" ht="15" hidden="false" customHeight="false" outlineLevel="0" collapsed="false">
      <c r="B1261" s="1097" t="str">
        <f aca="false">'Смета Внутр'!B1261</f>
        <v>Универсальная Optima C</v>
      </c>
      <c r="C1261" s="1098" t="str">
        <f aca="false">'Смета Внутр'!C1261</f>
        <v>м2</v>
      </c>
      <c r="D1261" s="1099" t="n">
        <f aca="false">'Смета Внутр'!D1261</f>
        <v>178.539835763849</v>
      </c>
      <c r="E1261" s="1097"/>
      <c r="F1261" s="1116" t="n">
        <f aca="false">'Смета Внутр'!H1261</f>
        <v>0</v>
      </c>
    </row>
    <row r="1262" customFormat="false" ht="15" hidden="false" customHeight="false" outlineLevel="0" collapsed="false">
      <c r="B1262" s="1097" t="str">
        <f aca="false">'Смета Внутр'!B1262</f>
        <v>Плитный,28кг/м3, технониколь, 100мм</v>
      </c>
      <c r="C1262" s="1098" t="str">
        <f aca="false">'Смета Внутр'!C1262</f>
        <v>м3</v>
      </c>
      <c r="D1262" s="1099" t="n">
        <f aca="false">'Смета Внутр'!D1262</f>
        <v>12.7528454117035</v>
      </c>
      <c r="E1262" s="1097"/>
      <c r="F1262" s="1116" t="n">
        <f aca="false">'Смета Внутр'!H1262</f>
        <v>0</v>
      </c>
    </row>
    <row r="1263" customFormat="false" ht="15" hidden="false" customHeight="false" outlineLevel="0" collapsed="false">
      <c r="B1263" s="1097" t="str">
        <f aca="false">'Смета Внутр'!B1263</f>
        <v>металлочерепица</v>
      </c>
      <c r="C1263" s="1098" t="str">
        <f aca="false">'Смета Внутр'!C1263</f>
        <v>м2</v>
      </c>
      <c r="D1263" s="1099" t="n">
        <f aca="false">'Смета Внутр'!D1263</f>
        <v>178.539835763849</v>
      </c>
      <c r="E1263" s="1097"/>
      <c r="F1263" s="1116" t="n">
        <f aca="false">'Смета Внутр'!H1263</f>
        <v>0</v>
      </c>
    </row>
    <row r="1264" customFormat="false" ht="15" hidden="false" customHeight="false" outlineLevel="0" collapsed="false">
      <c r="B1264" s="1097" t="str">
        <f aca="false">'Смета Внутр'!B1264</f>
        <v>Карнизная планка</v>
      </c>
      <c r="C1264" s="1098" t="str">
        <f aca="false">'Смета Внутр'!C1264</f>
        <v>м.п.</v>
      </c>
      <c r="D1264" s="1099" t="n">
        <f aca="false">'Смета Внутр'!D1264</f>
        <v>50</v>
      </c>
      <c r="E1264" s="1097"/>
      <c r="F1264" s="1116" t="n">
        <f aca="false">'Смета Внутр'!H1264</f>
        <v>0</v>
      </c>
    </row>
    <row r="1265" customFormat="false" ht="15" hidden="false" customHeight="false" outlineLevel="0" collapsed="false">
      <c r="B1265" s="1097" t="str">
        <f aca="false">'Смета Внутр'!B1265</f>
        <v>Торцевая планка</v>
      </c>
      <c r="C1265" s="1098" t="str">
        <f aca="false">'Смета Внутр'!C1265</f>
        <v>м.п.</v>
      </c>
      <c r="D1265" s="1099" t="n">
        <f aca="false">'Смета Внутр'!D1265</f>
        <v>16.9752761391384</v>
      </c>
      <c r="E1265" s="1097"/>
      <c r="F1265" s="1116" t="n">
        <f aca="false">'Смета Внутр'!H1265</f>
        <v>0</v>
      </c>
    </row>
    <row r="1266" customFormat="false" ht="15" hidden="false" customHeight="false" outlineLevel="0" collapsed="false">
      <c r="B1266" s="1097" t="str">
        <f aca="false">'Смета Внутр'!B1266</f>
        <v>Конек</v>
      </c>
      <c r="C1266" s="1098" t="str">
        <f aca="false">'Смета Внутр'!C1266</f>
        <v>м.п.</v>
      </c>
      <c r="D1266" s="1099" t="n">
        <f aca="false">'Смета Внутр'!D1266</f>
        <v>27.5581347885125</v>
      </c>
      <c r="E1266" s="1097"/>
      <c r="F1266" s="1116" t="n">
        <f aca="false">'Смета Внутр'!H1266</f>
        <v>0</v>
      </c>
    </row>
    <row r="1267" s="118" customFormat="true" ht="15" hidden="false" customHeight="false" outlineLevel="0" collapsed="false">
      <c r="B1267" s="1104" t="str">
        <f aca="false">'Смета Внутр'!B1267</f>
        <v>ондулин</v>
      </c>
      <c r="C1267" s="1105" t="str">
        <f aca="false">'Смета Внутр'!C1267</f>
        <v>м2</v>
      </c>
      <c r="D1267" s="1106" t="n">
        <f aca="false">'Смета Внутр'!D1267</f>
        <v>0</v>
      </c>
      <c r="E1267" s="1104"/>
      <c r="F1267" s="1107" t="n">
        <f aca="false">'Смета Внутр'!H1267</f>
        <v>0</v>
      </c>
    </row>
    <row r="1268" s="118" customFormat="true" ht="15" hidden="false" customHeight="false" outlineLevel="0" collapsed="false">
      <c r="B1268" s="1104" t="str">
        <f aca="false">'Смета Внутр'!B1268</f>
        <v>Карнизная планка</v>
      </c>
      <c r="C1268" s="1105" t="str">
        <f aca="false">'Смета Внутр'!C1268</f>
        <v>м.п.</v>
      </c>
      <c r="D1268" s="1106" t="n">
        <f aca="false">'Смета Внутр'!D1268</f>
        <v>0</v>
      </c>
      <c r="E1268" s="1104"/>
      <c r="F1268" s="1107" t="n">
        <f aca="false">'Смета Внутр'!H1268</f>
        <v>0</v>
      </c>
    </row>
    <row r="1269" s="118" customFormat="true" ht="15" hidden="false" customHeight="false" outlineLevel="0" collapsed="false">
      <c r="B1269" s="1104" t="str">
        <f aca="false">'Смета Внутр'!B1269</f>
        <v>Торцевая планка</v>
      </c>
      <c r="C1269" s="1105" t="str">
        <f aca="false">'Смета Внутр'!C1269</f>
        <v>м.п.</v>
      </c>
      <c r="D1269" s="1106" t="n">
        <f aca="false">'Смета Внутр'!D1269</f>
        <v>0</v>
      </c>
      <c r="E1269" s="1104"/>
      <c r="F1269" s="1107" t="n">
        <f aca="false">'Смета Внутр'!H1269</f>
        <v>0</v>
      </c>
    </row>
    <row r="1270" s="118" customFormat="true" ht="15" hidden="false" customHeight="false" outlineLevel="0" collapsed="false">
      <c r="B1270" s="1104" t="str">
        <f aca="false">'Смета Внутр'!B1270</f>
        <v>Конек</v>
      </c>
      <c r="C1270" s="1105" t="str">
        <f aca="false">'Смета Внутр'!C1270</f>
        <v>м.п.</v>
      </c>
      <c r="D1270" s="1106" t="n">
        <f aca="false">'Смета Внутр'!D1270</f>
        <v>0</v>
      </c>
      <c r="E1270" s="1104"/>
      <c r="F1270" s="1107" t="n">
        <f aca="false">'Смета Внутр'!H1270</f>
        <v>0</v>
      </c>
    </row>
    <row r="1271" s="118" customFormat="true" ht="15" hidden="false" customHeight="false" outlineLevel="0" collapsed="false">
      <c r="B1271" s="1104" t="str">
        <f aca="false">'Смета Внутр'!B1271</f>
        <v>Ендова нижняя</v>
      </c>
      <c r="C1271" s="1105" t="str">
        <f aca="false">'Смета Внутр'!C1271</f>
        <v>м.п.</v>
      </c>
      <c r="D1271" s="1106" t="n">
        <f aca="false">'Смета Внутр'!D1271</f>
        <v>0</v>
      </c>
      <c r="E1271" s="1104"/>
      <c r="F1271" s="1107" t="n">
        <f aca="false">'Смета Внутр'!H1271</f>
        <v>0</v>
      </c>
    </row>
    <row r="1272" s="118" customFormat="true" ht="15" hidden="false" customHeight="false" outlineLevel="0" collapsed="false">
      <c r="B1272" s="1104" t="str">
        <f aca="false">'Смета Внутр'!B1272</f>
        <v>Ендова верхняя</v>
      </c>
      <c r="C1272" s="1105" t="str">
        <f aca="false">'Смета Внутр'!C1272</f>
        <v>м.п.</v>
      </c>
      <c r="D1272" s="1106" t="n">
        <f aca="false">'Смета Внутр'!D1272</f>
        <v>0</v>
      </c>
      <c r="E1272" s="1104"/>
      <c r="F1272" s="1107" t="n">
        <f aca="false">'Смета Внутр'!H1272</f>
        <v>0</v>
      </c>
    </row>
    <row r="1273" s="118" customFormat="true" ht="15" hidden="false" customHeight="false" outlineLevel="0" collapsed="false">
      <c r="B1273" s="1104" t="str">
        <f aca="false">'Смета Внутр'!B1273</f>
        <v>Планка примыкания</v>
      </c>
      <c r="C1273" s="1105" t="str">
        <f aca="false">'Смета Внутр'!C1273</f>
        <v>м.п.</v>
      </c>
      <c r="D1273" s="1106" t="n">
        <f aca="false">'Смета Внутр'!D1273</f>
        <v>0</v>
      </c>
      <c r="E1273" s="1104"/>
      <c r="F1273" s="1107" t="n">
        <f aca="false">'Смета Внутр'!H1273</f>
        <v>0</v>
      </c>
    </row>
    <row r="1274" s="118" customFormat="true" ht="15" hidden="false" customHeight="false" outlineLevel="0" collapsed="false">
      <c r="B1274" s="1104" t="str">
        <f aca="false">'Смета Внутр'!B1274</f>
        <v>Крепеж для ондулина</v>
      </c>
      <c r="C1274" s="1105" t="str">
        <f aca="false">'Смета Внутр'!C1274</f>
        <v>шт</v>
      </c>
      <c r="D1274" s="1106" t="n">
        <f aca="false">'Смета Внутр'!D1274</f>
        <v>0</v>
      </c>
      <c r="E1274" s="1104"/>
      <c r="F1274" s="1107" t="n">
        <f aca="false">'Смета Внутр'!H1274</f>
        <v>0</v>
      </c>
    </row>
    <row r="1275" s="118" customFormat="true" ht="15" hidden="false" customHeight="false" outlineLevel="0" collapsed="false">
      <c r="B1275" s="1104" t="str">
        <f aca="false">'Смета Внутр'!B1275</f>
        <v>нет</v>
      </c>
      <c r="C1275" s="1105" t="str">
        <f aca="false">'Смета Внутр'!C1275</f>
        <v>м2</v>
      </c>
      <c r="D1275" s="1106" t="n">
        <f aca="false">'Смета Внутр'!D1275</f>
        <v>146.65772223459</v>
      </c>
      <c r="E1275" s="1104"/>
      <c r="F1275" s="1107" t="n">
        <f aca="false">'Смета Внутр'!H1275</f>
        <v>0</v>
      </c>
    </row>
    <row r="1276" s="118" customFormat="true" ht="15" hidden="false" customHeight="false" outlineLevel="0" collapsed="false">
      <c r="B1276" s="1104" t="str">
        <f aca="false">'Смета Внутр'!B1276</f>
        <v>Рядовая черепица</v>
      </c>
      <c r="C1276" s="1105" t="str">
        <f aca="false">'Смета Внутр'!C1276</f>
        <v>м2</v>
      </c>
      <c r="D1276" s="1106" t="n">
        <f aca="false">'Смета Внутр'!D1276</f>
        <v>0</v>
      </c>
      <c r="E1276" s="1104"/>
      <c r="F1276" s="1107" t="n">
        <f aca="false">'Смета Внутр'!H1276</f>
        <v>0</v>
      </c>
    </row>
    <row r="1277" s="118" customFormat="true" ht="15" hidden="false" customHeight="false" outlineLevel="0" collapsed="false">
      <c r="B1277" s="1104" t="str">
        <f aca="false">'Смета Внутр'!B1277</f>
        <v>Металл оцинк защита (карниз)</v>
      </c>
      <c r="C1277" s="1105" t="str">
        <f aca="false">'Смета Внутр'!C1277</f>
        <v>м.п.</v>
      </c>
      <c r="D1277" s="1106" t="n">
        <f aca="false">'Смета Внутр'!D1277</f>
        <v>0</v>
      </c>
      <c r="E1277" s="1104"/>
      <c r="F1277" s="1107" t="n">
        <f aca="false">'Смета Внутр'!H1277</f>
        <v>0</v>
      </c>
    </row>
    <row r="1278" s="118" customFormat="true" ht="15" hidden="false" customHeight="false" outlineLevel="0" collapsed="false">
      <c r="B1278" s="1104" t="str">
        <f aca="false">'Смета Внутр'!B1278</f>
        <v>Подкладочный ковер</v>
      </c>
      <c r="C1278" s="1105" t="str">
        <f aca="false">'Смета Внутр'!C1278</f>
        <v>м.п.</v>
      </c>
      <c r="D1278" s="1106" t="n">
        <f aca="false">'Смета Внутр'!D1278</f>
        <v>0</v>
      </c>
      <c r="E1278" s="1104"/>
      <c r="F1278" s="1107" t="n">
        <f aca="false">'Смета Внутр'!H1278</f>
        <v>0</v>
      </c>
    </row>
    <row r="1279" s="118" customFormat="true" ht="15" hidden="false" customHeight="false" outlineLevel="0" collapsed="false">
      <c r="B1279" s="1104" t="str">
        <f aca="false">'Смета Внутр'!B1279</f>
        <v>Карнизная самоклеющаяся черепица</v>
      </c>
      <c r="C1279" s="1105" t="str">
        <f aca="false">'Смета Внутр'!C1279</f>
        <v>м.п.</v>
      </c>
      <c r="D1279" s="1106" t="n">
        <f aca="false">'Смета Внутр'!D1279</f>
        <v>0</v>
      </c>
      <c r="E1279" s="1104"/>
      <c r="F1279" s="1107" t="n">
        <f aca="false">'Смета Внутр'!H1279</f>
        <v>0</v>
      </c>
    </row>
    <row r="1280" s="118" customFormat="true" ht="15" hidden="false" customHeight="false" outlineLevel="0" collapsed="false">
      <c r="B1280" s="1104" t="str">
        <f aca="false">'Смета Внутр'!B1280</f>
        <v>Спец ковер ендова нижняя</v>
      </c>
      <c r="C1280" s="1105" t="str">
        <f aca="false">'Смета Внутр'!C1280</f>
        <v>м.п.</v>
      </c>
      <c r="D1280" s="1106" t="n">
        <f aca="false">'Смета Внутр'!D1280</f>
        <v>0</v>
      </c>
      <c r="E1280" s="1104"/>
      <c r="F1280" s="1107" t="n">
        <f aca="false">'Смета Внутр'!H1280</f>
        <v>0</v>
      </c>
    </row>
    <row r="1281" s="118" customFormat="true" ht="15" hidden="false" customHeight="false" outlineLevel="0" collapsed="false">
      <c r="B1281" s="1104" t="str">
        <f aca="false">'Смета Внутр'!B1281</f>
        <v>Коньковой элемент</v>
      </c>
      <c r="C1281" s="1105" t="str">
        <f aca="false">'Смета Внутр'!C1281</f>
        <v>м.п.</v>
      </c>
      <c r="D1281" s="1106" t="n">
        <f aca="false">'Смета Внутр'!D1281</f>
        <v>0</v>
      </c>
      <c r="E1281" s="1104"/>
      <c r="F1281" s="1107" t="n">
        <f aca="false">'Смета Внутр'!H1281</f>
        <v>0</v>
      </c>
    </row>
    <row r="1282" s="118" customFormat="true" ht="15" hidden="false" customHeight="false" outlineLevel="0" collapsed="false">
      <c r="B1282" s="1104" t="str">
        <f aca="false">'Смета Внутр'!B1282</f>
        <v>Планка премыкания</v>
      </c>
      <c r="C1282" s="1105" t="str">
        <f aca="false">'Смета Внутр'!C1282</f>
        <v>м.п.</v>
      </c>
      <c r="D1282" s="1106" t="n">
        <f aca="false">'Смета Внутр'!D1282</f>
        <v>0</v>
      </c>
      <c r="E1282" s="1104"/>
      <c r="F1282" s="1107" t="n">
        <f aca="false">'Смета Внутр'!H1282</f>
        <v>0</v>
      </c>
    </row>
    <row r="1283" s="118" customFormat="true" ht="15" hidden="false" customHeight="false" outlineLevel="0" collapsed="false">
      <c r="B1283" s="1104" t="str">
        <f aca="false">'Смета Внутр'!B1283</f>
        <v>Гвозди для крепления подкладочного ковра</v>
      </c>
      <c r="C1283" s="1105" t="str">
        <f aca="false">'Смета Внутр'!C1283</f>
        <v>шт</v>
      </c>
      <c r="D1283" s="1106" t="n">
        <f aca="false">'Смета Внутр'!D1283</f>
        <v>0</v>
      </c>
      <c r="E1283" s="1104"/>
      <c r="F1283" s="1107" t="n">
        <f aca="false">'Смета Внутр'!H1283</f>
        <v>0</v>
      </c>
    </row>
    <row r="1284" s="118" customFormat="true" ht="15" hidden="false" customHeight="false" outlineLevel="0" collapsed="false">
      <c r="B1284" s="1104" t="str">
        <f aca="false">'Смета Внутр'!B1284</f>
        <v>Гвозди для крепления черепицы</v>
      </c>
      <c r="C1284" s="1105" t="str">
        <f aca="false">'Смета Внутр'!C1284</f>
        <v>шт</v>
      </c>
      <c r="D1284" s="1106" t="n">
        <f aca="false">'Смета Внутр'!D1284</f>
        <v>0</v>
      </c>
      <c r="E1284" s="1104"/>
      <c r="F1284" s="1107" t="n">
        <f aca="false">'Смета Внутр'!H1284</f>
        <v>0</v>
      </c>
    </row>
    <row r="1285" s="118" customFormat="true" ht="15" hidden="false" customHeight="false" outlineLevel="0" collapsed="false">
      <c r="B1285" s="1104" t="str">
        <f aca="false">'Смета Внутр'!B1285</f>
        <v>Клей для монтажа черепицы</v>
      </c>
      <c r="C1285" s="1105" t="str">
        <f aca="false">'Смета Внутр'!C1285</f>
        <v>кг</v>
      </c>
      <c r="D1285" s="1106" t="n">
        <f aca="false">'Смета Внутр'!D1285</f>
        <v>0</v>
      </c>
      <c r="E1285" s="1104"/>
      <c r="F1285" s="1107" t="n">
        <f aca="false">'Смета Внутр'!H1285</f>
        <v>0</v>
      </c>
    </row>
    <row r="1286" customFormat="false" ht="15" hidden="false" customHeight="false" outlineLevel="0" collapsed="false">
      <c r="B1286" s="1097" t="str">
        <f aca="false">'Смета Внутр'!B1286</f>
        <v>желоб</v>
      </c>
      <c r="C1286" s="1098" t="str">
        <f aca="false">'Смета Внутр'!C1286</f>
        <v>м.п</v>
      </c>
      <c r="D1286" s="1099" t="n">
        <f aca="false">'Смета Внутр'!D1286</f>
        <v>41.6666666666667</v>
      </c>
      <c r="E1286" s="1097"/>
      <c r="F1286" s="1116" t="n">
        <f aca="false">'Смета Внутр'!H1286</f>
        <v>0</v>
      </c>
    </row>
    <row r="1287" customFormat="false" ht="15" hidden="false" customHeight="false" outlineLevel="0" collapsed="false">
      <c r="B1287" s="1097" t="str">
        <f aca="false">'Смета Внутр'!B1287</f>
        <v>отвод</v>
      </c>
      <c r="C1287" s="1098" t="str">
        <f aca="false">'Смета Внутр'!C1287</f>
        <v>шт</v>
      </c>
      <c r="D1287" s="1099" t="n">
        <f aca="false">'Смета Внутр'!D1287</f>
        <v>4</v>
      </c>
      <c r="E1287" s="1097"/>
      <c r="F1287" s="1116" t="n">
        <f aca="false">'Смета Внутр'!H1287</f>
        <v>0</v>
      </c>
    </row>
    <row r="1288" customFormat="false" ht="15" hidden="false" customHeight="false" outlineLevel="0" collapsed="false">
      <c r="B1288" s="1097" t="str">
        <f aca="false">'Смета Внутр'!B1288</f>
        <v>труба водосточная</v>
      </c>
      <c r="C1288" s="1098" t="str">
        <f aca="false">'Смета Внутр'!C1288</f>
        <v>м.п.</v>
      </c>
      <c r="D1288" s="1099" t="n">
        <f aca="false">'Смета Внутр'!D1288</f>
        <v>50</v>
      </c>
      <c r="E1288" s="1097"/>
      <c r="F1288" s="1116" t="n">
        <f aca="false">'Смета Внутр'!H1288</f>
        <v>0</v>
      </c>
    </row>
    <row r="1289" customFormat="false" ht="15" hidden="false" customHeight="false" outlineLevel="0" collapsed="false">
      <c r="B1289" s="1097" t="str">
        <f aca="false">'Смета Внутр'!B1289</f>
        <v>заглушка для желоба</v>
      </c>
      <c r="C1289" s="1098" t="str">
        <f aca="false">'Смета Внутр'!C1289</f>
        <v>шт</v>
      </c>
      <c r="D1289" s="1099" t="n">
        <f aca="false">'Смета Внутр'!D1289</f>
        <v>4</v>
      </c>
      <c r="E1289" s="1097"/>
      <c r="F1289" s="1116" t="n">
        <f aca="false">'Смета Внутр'!H1289</f>
        <v>0</v>
      </c>
    </row>
    <row r="1290" customFormat="false" ht="15" hidden="false" customHeight="false" outlineLevel="0" collapsed="false">
      <c r="B1290" s="1097" t="str">
        <f aca="false">'Смета Внутр'!B1290</f>
        <v>соеденитель для желоба</v>
      </c>
      <c r="C1290" s="1098" t="str">
        <f aca="false">'Смета Внутр'!C1290</f>
        <v>шт</v>
      </c>
      <c r="D1290" s="1099" t="n">
        <f aca="false">'Смета Внутр'!D1290</f>
        <v>14.8888888888889</v>
      </c>
      <c r="E1290" s="1097"/>
      <c r="F1290" s="1116" t="n">
        <f aca="false">'Смета Внутр'!H1290</f>
        <v>0</v>
      </c>
    </row>
    <row r="1291" customFormat="false" ht="15" hidden="false" customHeight="false" outlineLevel="0" collapsed="false">
      <c r="B1291" s="1097" t="str">
        <f aca="false">'Смета Внутр'!B1291</f>
        <v>кронштейн для желоба</v>
      </c>
      <c r="C1291" s="1098" t="str">
        <f aca="false">'Смета Внутр'!C1291</f>
        <v>шт</v>
      </c>
      <c r="D1291" s="1099" t="n">
        <f aca="false">'Смета Внутр'!D1291</f>
        <v>104.166666666667</v>
      </c>
      <c r="E1291" s="1097"/>
      <c r="F1291" s="1116" t="n">
        <f aca="false">'Смета Внутр'!H1291</f>
        <v>0</v>
      </c>
    </row>
    <row r="1292" customFormat="false" ht="15" hidden="false" customHeight="false" outlineLevel="0" collapsed="false">
      <c r="B1292" s="1097" t="str">
        <f aca="false">'Смета Внутр'!B1292</f>
        <v>переход из желоба в трубу</v>
      </c>
      <c r="C1292" s="1098" t="str">
        <f aca="false">'Смета Внутр'!C1292</f>
        <v>шт</v>
      </c>
      <c r="D1292" s="1099" t="n">
        <f aca="false">'Смета Внутр'!D1292</f>
        <v>4</v>
      </c>
      <c r="E1292" s="1097"/>
      <c r="F1292" s="1116" t="n">
        <f aca="false">'Смета Внутр'!H1292</f>
        <v>0</v>
      </c>
    </row>
    <row r="1293" customFormat="false" ht="15" hidden="false" customHeight="false" outlineLevel="0" collapsed="false">
      <c r="B1293" s="1097" t="str">
        <f aca="false">'Смета Внутр'!B1293</f>
        <v>лента дельта мульти бэнд</v>
      </c>
      <c r="C1293" s="1098" t="str">
        <f aca="false">'Смета Внутр'!C1293</f>
        <v>шт</v>
      </c>
      <c r="D1293" s="1099" t="n">
        <f aca="false">'Смета Внутр'!D1293</f>
        <v>1</v>
      </c>
      <c r="E1293" s="1097"/>
      <c r="F1293" s="1116" t="n">
        <f aca="false">'Смета Внутр'!H1293</f>
        <v>0</v>
      </c>
    </row>
    <row r="1294" customFormat="false" ht="15" hidden="false" customHeight="false" outlineLevel="0" collapsed="false">
      <c r="B1294" s="1097" t="str">
        <f aca="false">'Смета Внутр'!B1294</f>
        <v>лента дельта sb-60</v>
      </c>
      <c r="C1294" s="1098" t="str">
        <f aca="false">'Смета Внутр'!C1294</f>
        <v>шт</v>
      </c>
      <c r="D1294" s="1099" t="n">
        <f aca="false">'Смета Внутр'!D1294</f>
        <v>8.50189694113567</v>
      </c>
      <c r="E1294" s="1097"/>
      <c r="F1294" s="1116" t="n">
        <f aca="false">'Смета Внутр'!H1294</f>
        <v>0</v>
      </c>
    </row>
    <row r="1295" s="118" customFormat="true" ht="15" hidden="false" customHeight="false" outlineLevel="0" collapsed="false">
      <c r="B1295" s="1104" t="str">
        <f aca="false">'Смета Внутр'!B1295</f>
        <v>проходка кровельная, канализационная</v>
      </c>
      <c r="C1295" s="1105" t="str">
        <f aca="false">'Смета Внутр'!C1295</f>
        <v>шт</v>
      </c>
      <c r="D1295" s="1106" t="n">
        <f aca="false">'Смета Внутр'!D1295</f>
        <v>0</v>
      </c>
      <c r="E1295" s="1104"/>
      <c r="F1295" s="1107" t="n">
        <f aca="false">'Смета Внутр'!H1295</f>
        <v>0</v>
      </c>
    </row>
    <row r="1296" s="118" customFormat="true" ht="15" hidden="false" customHeight="false" outlineLevel="0" collapsed="false">
      <c r="B1296" s="1104" t="str">
        <f aca="false">'Смета Внутр'!B1296</f>
        <v>проходка кровельная, вентиляционная</v>
      </c>
      <c r="C1296" s="1105" t="str">
        <f aca="false">'Смета Внутр'!C1296</f>
        <v>шт</v>
      </c>
      <c r="D1296" s="1106" t="n">
        <f aca="false">'Смета Внутр'!D1296</f>
        <v>0</v>
      </c>
      <c r="E1296" s="1104"/>
      <c r="F1296" s="1107" t="n">
        <f aca="false">'Смета Внутр'!H1296</f>
        <v>0</v>
      </c>
    </row>
    <row r="1297" s="118" customFormat="true" ht="15" hidden="false" customHeight="false" outlineLevel="0" collapsed="false">
      <c r="B1297" s="1104" t="str">
        <f aca="false">'Смета Внутр'!B1297</f>
        <v>проодка кровельная, труба котел</v>
      </c>
      <c r="C1297" s="1105" t="str">
        <f aca="false">'Смета Внутр'!C1297</f>
        <v>шт</v>
      </c>
      <c r="D1297" s="1106" t="n">
        <f aca="false">'Смета Внутр'!D1297</f>
        <v>0</v>
      </c>
      <c r="E1297" s="1104"/>
      <c r="F1297" s="1107" t="n">
        <f aca="false">'Смета Внутр'!H1297</f>
        <v>0</v>
      </c>
    </row>
    <row r="1298" customFormat="false" ht="15" hidden="false" customHeight="false" outlineLevel="0" collapsed="false">
      <c r="B1298" s="1097" t="str">
        <f aca="false">'Смета Внутр'!B1298</f>
        <v>Кровельный саморез</v>
      </c>
      <c r="C1298" s="1098" t="str">
        <f aca="false">'Смета Внутр'!C1298</f>
        <v>шт</v>
      </c>
      <c r="D1298" s="1099" t="n">
        <f aca="false">'Смета Внутр'!D1298</f>
        <v>1530.34144940442</v>
      </c>
      <c r="E1298" s="1097"/>
      <c r="F1298" s="1116" t="n">
        <f aca="false">'Смета Внутр'!H1298</f>
        <v>0</v>
      </c>
    </row>
    <row r="1299" customFormat="false" ht="15" hidden="false" customHeight="false" outlineLevel="0" collapsed="false">
      <c r="B1299" s="1097" t="str">
        <f aca="false">'Смета Внутр'!B1299</f>
        <v>Гвозди ершоные 3,4 x 60            </v>
      </c>
      <c r="C1299" s="1098" t="str">
        <f aca="false">'Смета Внутр'!C1299</f>
        <v>кг</v>
      </c>
      <c r="D1299" s="1099" t="n">
        <f aca="false">'Смета Внутр'!D1299</f>
        <v>12.4340242764109</v>
      </c>
      <c r="E1299" s="1097"/>
      <c r="F1299" s="1116" t="n">
        <f aca="false">'Смета Внутр'!H1299</f>
        <v>0</v>
      </c>
    </row>
    <row r="1300" customFormat="false" ht="15" hidden="false" customHeight="false" outlineLevel="0" collapsed="false">
      <c r="B1300" s="1097" t="str">
        <f aca="false">'Смета Внутр'!B1300</f>
        <v>Гвозди ершоные 2,8 х 90            </v>
      </c>
      <c r="C1300" s="1098" t="str">
        <f aca="false">'Смета Внутр'!C1300</f>
        <v>кг</v>
      </c>
      <c r="D1300" s="1099" t="n">
        <f aca="false">'Смета Внутр'!D1300</f>
        <v>19.7282216217207</v>
      </c>
      <c r="E1300" s="1097"/>
      <c r="F1300" s="1116" t="n">
        <f aca="false">'Смета Внутр'!H1300</f>
        <v>0</v>
      </c>
    </row>
    <row r="1301" customFormat="false" ht="15" hidden="false" customHeight="false" outlineLevel="0" collapsed="false">
      <c r="B1301" s="1097" t="str">
        <f aca="false">'Смета Внутр'!B1301</f>
        <v>Пластина соеденительная 100х240х2           </v>
      </c>
      <c r="C1301" s="1098" t="str">
        <f aca="false">'Смета Внутр'!C1301</f>
        <v>шт</v>
      </c>
      <c r="D1301" s="1099" t="n">
        <f aca="false">'Смета Внутр'!D1301</f>
        <v>18.2183505881479</v>
      </c>
      <c r="E1301" s="1097"/>
      <c r="F1301" s="1116" t="n">
        <f aca="false">'Смета Внутр'!H1301</f>
        <v>0</v>
      </c>
    </row>
    <row r="1302" customFormat="false" ht="15" hidden="false" customHeight="false" outlineLevel="0" collapsed="false">
      <c r="B1302" s="1097" t="str">
        <f aca="false">'Смета Внутр'!B1302</f>
        <v>Уголок усиленный 90х70х55х2,5        </v>
      </c>
      <c r="C1302" s="1098" t="str">
        <f aca="false">'Смета Внутр'!C1302</f>
        <v>шт</v>
      </c>
      <c r="D1302" s="1099" t="n">
        <f aca="false">'Смета Внутр'!D1302</f>
        <v>255.05690823407</v>
      </c>
      <c r="E1302" s="1097"/>
      <c r="F1302" s="1116" t="n">
        <f aca="false">'Смета Внутр'!H1302</f>
        <v>0</v>
      </c>
    </row>
    <row r="1303" customFormat="false" ht="15" hidden="false" customHeight="false" outlineLevel="0" collapsed="false">
      <c r="B1303" s="1117" t="str">
        <f aca="false">'Смета Внутр'!B1303</f>
        <v>Итого материалы</v>
      </c>
      <c r="C1303" s="1117"/>
      <c r="D1303" s="1117"/>
      <c r="E1303" s="1117"/>
      <c r="F1303" s="1118" t="n">
        <f aca="false">'Смета Внутр'!G1303</f>
        <v>0</v>
      </c>
    </row>
    <row r="1304" customFormat="false" ht="15" hidden="false" customHeight="false" outlineLevel="0" collapsed="false">
      <c r="B1304" s="1119" t="str">
        <f aca="false">'Смета Внутр'!B1304</f>
        <v>Работы</v>
      </c>
      <c r="C1304" s="1119"/>
      <c r="D1304" s="1119"/>
      <c r="E1304" s="1119"/>
      <c r="F1304" s="1114" t="n">
        <f aca="false">'Смета Внутр'!H1304</f>
        <v>0</v>
      </c>
    </row>
    <row r="1305" customFormat="false" ht="15" hidden="false" customHeight="false" outlineLevel="0" collapsed="false">
      <c r="B1305" s="1097" t="str">
        <f aca="false">'Смета Внутр'!B1305</f>
        <v>монтаж мауэрлат</v>
      </c>
      <c r="C1305" s="1098" t="str">
        <f aca="false">'Смета Внутр'!C1305</f>
        <v>м.п.</v>
      </c>
      <c r="D1305" s="1099" t="n">
        <f aca="false">'Смета Внутр'!D1305</f>
        <v>110.5307463295</v>
      </c>
      <c r="E1305" s="1097"/>
      <c r="F1305" s="1116" t="n">
        <f aca="false">'Смета Внутр'!H1305</f>
        <v>0</v>
      </c>
    </row>
    <row r="1306" customFormat="false" ht="15" hidden="false" customHeight="false" outlineLevel="0" collapsed="false">
      <c r="B1306" s="1097" t="str">
        <f aca="false">'Смета Внутр'!B1306</f>
        <v>монтаж стропил</v>
      </c>
      <c r="C1306" s="1098" t="str">
        <f aca="false">'Смета Внутр'!C1306</f>
        <v>м2</v>
      </c>
      <c r="D1306" s="1099" t="n">
        <f aca="false">'Смета Внутр'!D1306</f>
        <v>127.528454117035</v>
      </c>
      <c r="E1306" s="1097"/>
      <c r="F1306" s="1116" t="n">
        <f aca="false">'Смета Внутр'!H1306</f>
        <v>0</v>
      </c>
    </row>
    <row r="1307" customFormat="false" ht="15" hidden="false" customHeight="false" outlineLevel="0" collapsed="false">
      <c r="B1307" s="1097" t="str">
        <f aca="false">'Смета Внутр'!B1307</f>
        <v>обрешетка</v>
      </c>
      <c r="C1307" s="1098" t="str">
        <f aca="false">'Смета Внутр'!C1307</f>
        <v>м2</v>
      </c>
      <c r="D1307" s="1099" t="n">
        <f aca="false">'Смета Внутр'!D1307</f>
        <v>127.528454117035</v>
      </c>
      <c r="E1307" s="1097"/>
      <c r="F1307" s="1116" t="n">
        <f aca="false">'Смета Внутр'!H1307</f>
        <v>0</v>
      </c>
    </row>
    <row r="1308" customFormat="false" ht="15" hidden="false" customHeight="false" outlineLevel="0" collapsed="false">
      <c r="B1308" s="1097" t="str">
        <f aca="false">'Смета Внутр'!B1308</f>
        <v>контробеш</v>
      </c>
      <c r="C1308" s="1098" t="str">
        <f aca="false">'Смета Внутр'!C1308</f>
        <v>м2</v>
      </c>
      <c r="D1308" s="1099" t="n">
        <f aca="false">'Смета Внутр'!D1308</f>
        <v>127.528454117035</v>
      </c>
      <c r="E1308" s="1097"/>
      <c r="F1308" s="1116" t="n">
        <f aca="false">'Смета Внутр'!H1308</f>
        <v>0</v>
      </c>
    </row>
    <row r="1309" customFormat="false" ht="15" hidden="false" customHeight="false" outlineLevel="0" collapsed="false">
      <c r="B1309" s="1097" t="str">
        <f aca="false">'Смета Внутр'!B1309</f>
        <v>мембрана</v>
      </c>
      <c r="C1309" s="1098" t="str">
        <f aca="false">'Смета Внутр'!C1309</f>
        <v>м2</v>
      </c>
      <c r="D1309" s="1099" t="n">
        <f aca="false">'Смета Внутр'!D1309</f>
        <v>127.528454117035</v>
      </c>
      <c r="E1309" s="1097"/>
      <c r="F1309" s="1116" t="n">
        <f aca="false">'Смета Внутр'!H1309</f>
        <v>0</v>
      </c>
    </row>
    <row r="1310" customFormat="false" ht="15" hidden="false" customHeight="false" outlineLevel="0" collapsed="false">
      <c r="B1310" s="1097" t="str">
        <f aca="false">'Смета Внутр'!B1310</f>
        <v>пароизоляц</v>
      </c>
      <c r="C1310" s="1098" t="str">
        <f aca="false">'Смета Внутр'!C1310</f>
        <v>м2</v>
      </c>
      <c r="D1310" s="1099" t="n">
        <f aca="false">'Смета Внутр'!D1310</f>
        <v>127.528454117035</v>
      </c>
      <c r="E1310" s="1097"/>
      <c r="F1310" s="1116" t="n">
        <f aca="false">'Смета Внутр'!H1310</f>
        <v>0</v>
      </c>
    </row>
    <row r="1311" customFormat="false" ht="15" hidden="false" customHeight="false" outlineLevel="0" collapsed="false">
      <c r="B1311" s="1097" t="str">
        <f aca="false">'Смета Внутр'!B1311</f>
        <v>утеплитель</v>
      </c>
      <c r="C1311" s="1098" t="str">
        <f aca="false">'Смета Внутр'!C1311</f>
        <v>м2</v>
      </c>
      <c r="D1311" s="1099" t="n">
        <f aca="false">'Смета Внутр'!D1311</f>
        <v>127.528454117035</v>
      </c>
      <c r="E1311" s="1097"/>
      <c r="F1311" s="1116" t="n">
        <f aca="false">'Смета Внутр'!H1311</f>
        <v>0</v>
      </c>
    </row>
    <row r="1312" customFormat="false" ht="15" hidden="false" customHeight="false" outlineLevel="0" collapsed="false">
      <c r="B1312" s="1097" t="str">
        <f aca="false">'Смета Внутр'!B1312</f>
        <v>Монтаж металлочерепицы</v>
      </c>
      <c r="C1312" s="1098" t="str">
        <f aca="false">'Смета Внутр'!C1312</f>
        <v>м2</v>
      </c>
      <c r="D1312" s="1099" t="n">
        <f aca="false">'Смета Внутр'!D1312</f>
        <v>127.528454117035</v>
      </c>
      <c r="E1312" s="1097"/>
      <c r="F1312" s="1116" t="n">
        <f aca="false">'Смета Внутр'!H1312</f>
        <v>0</v>
      </c>
    </row>
    <row r="1313" s="118" customFormat="true" ht="15" hidden="false" customHeight="false" outlineLevel="0" collapsed="false">
      <c r="B1313" s="1104" t="str">
        <f aca="false">'Смета Внутр'!B1313</f>
        <v>ендова верхняя планка</v>
      </c>
      <c r="C1313" s="1105" t="str">
        <f aca="false">'Смета Внутр'!C1313</f>
        <v>м.п.</v>
      </c>
      <c r="D1313" s="1106" t="n">
        <f aca="false">'Смета Внутр'!D1313</f>
        <v>0</v>
      </c>
      <c r="E1313" s="1104"/>
      <c r="F1313" s="1107" t="n">
        <f aca="false">'Смета Внутр'!H1313</f>
        <v>0</v>
      </c>
    </row>
    <row r="1314" customFormat="false" ht="15" hidden="false" customHeight="false" outlineLevel="0" collapsed="false">
      <c r="B1314" s="1097" t="str">
        <f aca="false">'Смета Внутр'!B1314</f>
        <v>капельник планка</v>
      </c>
      <c r="C1314" s="1098" t="str">
        <f aca="false">'Смета Внутр'!C1314</f>
        <v>м.п.</v>
      </c>
      <c r="D1314" s="1099" t="n">
        <f aca="false">'Смета Внутр'!D1314</f>
        <v>50</v>
      </c>
      <c r="E1314" s="1097"/>
      <c r="F1314" s="1116" t="n">
        <f aca="false">'Смета Внутр'!H1314</f>
        <v>0</v>
      </c>
    </row>
    <row r="1315" customFormat="false" ht="15" hidden="false" customHeight="false" outlineLevel="0" collapsed="false">
      <c r="B1315" s="1097" t="str">
        <f aca="false">'Смета Внутр'!B1315</f>
        <v>желоб водосточный</v>
      </c>
      <c r="C1315" s="1098" t="str">
        <f aca="false">'Смета Внутр'!C1315</f>
        <v>м.п.</v>
      </c>
      <c r="D1315" s="1099" t="n">
        <f aca="false">'Смета Внутр'!D1315</f>
        <v>41.6666666666667</v>
      </c>
      <c r="E1315" s="1097"/>
      <c r="F1315" s="1116" t="n">
        <f aca="false">'Смета Внутр'!H1315</f>
        <v>0</v>
      </c>
    </row>
    <row r="1316" customFormat="false" ht="15" hidden="false" customHeight="false" outlineLevel="0" collapsed="false">
      <c r="B1316" s="1097" t="str">
        <f aca="false">'Смета Внутр'!B1316</f>
        <v>труба водосточная</v>
      </c>
      <c r="C1316" s="1098" t="str">
        <f aca="false">'Смета Внутр'!C1316</f>
        <v>м.п.</v>
      </c>
      <c r="D1316" s="1099" t="n">
        <f aca="false">'Смета Внутр'!D1316</f>
        <v>50</v>
      </c>
      <c r="E1316" s="1097"/>
      <c r="F1316" s="1116" t="n">
        <f aca="false">'Смета Внутр'!H1316</f>
        <v>0</v>
      </c>
    </row>
    <row r="1317" customFormat="false" ht="15" hidden="false" customHeight="false" outlineLevel="0" collapsed="false">
      <c r="B1317" s="1097" t="str">
        <f aca="false">'Смета Внутр'!B1317</f>
        <v>карнизная планка</v>
      </c>
      <c r="C1317" s="1098" t="str">
        <f aca="false">'Смета Внутр'!C1317</f>
        <v>м.п.</v>
      </c>
      <c r="D1317" s="1099" t="n">
        <f aca="false">'Смета Внутр'!D1317</f>
        <v>16.9752761391384</v>
      </c>
      <c r="E1317" s="1097"/>
      <c r="F1317" s="1116" t="n">
        <f aca="false">'Смета Внутр'!H1317</f>
        <v>0</v>
      </c>
    </row>
    <row r="1318" customFormat="false" ht="15" hidden="false" customHeight="false" outlineLevel="0" collapsed="false">
      <c r="B1318" s="1097" t="str">
        <f aca="false">'Смета Внутр'!B1318</f>
        <v>конек</v>
      </c>
      <c r="C1318" s="1098" t="str">
        <f aca="false">'Смета Внутр'!C1318</f>
        <v>м.п.</v>
      </c>
      <c r="D1318" s="1099" t="n">
        <f aca="false">'Смета Внутр'!D1318</f>
        <v>6</v>
      </c>
      <c r="E1318" s="1097"/>
      <c r="F1318" s="1116" t="n">
        <f aca="false">'Смета Внутр'!H1318</f>
        <v>0</v>
      </c>
    </row>
    <row r="1319" s="118" customFormat="true" ht="15" hidden="false" customHeight="false" outlineLevel="0" collapsed="false">
      <c r="B1319" s="1104" t="str">
        <f aca="false">'Смета Внутр'!B1319</f>
        <v>Монтаж ондулина</v>
      </c>
      <c r="C1319" s="1105" t="str">
        <f aca="false">'Смета Внутр'!C1319</f>
        <v>м2</v>
      </c>
      <c r="D1319" s="1106" t="n">
        <f aca="false">'Смета Внутр'!D1319</f>
        <v>0</v>
      </c>
      <c r="E1319" s="1104"/>
      <c r="F1319" s="1107" t="n">
        <f aca="false">'Смета Внутр'!H1319</f>
        <v>0</v>
      </c>
    </row>
    <row r="1320" s="118" customFormat="true" ht="15" hidden="false" customHeight="false" outlineLevel="0" collapsed="false">
      <c r="B1320" s="1104" t="str">
        <f aca="false">'Смета Внутр'!B1320</f>
        <v>Монтаж фанеры/osb</v>
      </c>
      <c r="C1320" s="1105" t="str">
        <f aca="false">'Смета Внутр'!C1320</f>
        <v>м2</v>
      </c>
      <c r="D1320" s="1106" t="n">
        <f aca="false">'Смета Внутр'!D1320</f>
        <v>0</v>
      </c>
      <c r="E1320" s="1104"/>
      <c r="F1320" s="1107" t="n">
        <f aca="false">'Смета Внутр'!H1320</f>
        <v>0</v>
      </c>
    </row>
    <row r="1321" s="118" customFormat="true" ht="15" hidden="false" customHeight="false" outlineLevel="0" collapsed="false">
      <c r="B1321" s="1104" t="str">
        <f aca="false">'Смета Внутр'!B1321</f>
        <v>монтаж подкладочного ковра</v>
      </c>
      <c r="C1321" s="1105" t="str">
        <f aca="false">'Смета Внутр'!C1321</f>
        <v>м2</v>
      </c>
      <c r="D1321" s="1106" t="n">
        <f aca="false">'Смета Внутр'!D1321</f>
        <v>0</v>
      </c>
      <c r="E1321" s="1104"/>
      <c r="F1321" s="1107" t="n">
        <f aca="false">'Смета Внутр'!H1321</f>
        <v>0</v>
      </c>
    </row>
    <row r="1322" s="118" customFormat="true" ht="15" hidden="false" customHeight="false" outlineLevel="0" collapsed="false">
      <c r="B1322" s="1104" t="str">
        <f aca="false">'Смета Внутр'!B1322</f>
        <v>Монтаж мягкой кровли</v>
      </c>
      <c r="C1322" s="1105" t="str">
        <f aca="false">'Смета Внутр'!C1322</f>
        <v>м2</v>
      </c>
      <c r="D1322" s="1106" t="n">
        <f aca="false">'Смета Внутр'!D1322</f>
        <v>0</v>
      </c>
      <c r="E1322" s="1104"/>
      <c r="F1322" s="1107" t="n">
        <f aca="false">'Смета Внутр'!H1322</f>
        <v>0</v>
      </c>
    </row>
    <row r="1323" customFormat="false" ht="15" hidden="false" customHeight="false" outlineLevel="0" collapsed="false">
      <c r="B1323" s="1117" t="str">
        <f aca="false">'Смета Внутр'!B1323</f>
        <v>Итого работы</v>
      </c>
      <c r="C1323" s="1117"/>
      <c r="D1323" s="1117"/>
      <c r="E1323" s="1117"/>
      <c r="F1323" s="1118" t="n">
        <f aca="false">'Смета Внутр'!G1323</f>
        <v>0</v>
      </c>
    </row>
    <row r="1324" s="118" customFormat="true" ht="18.75" hidden="false" customHeight="false" outlineLevel="0" collapsed="false">
      <c r="B1324" s="1111" t="str">
        <f aca="false">'Смета Внутр'!B1324</f>
        <v>Элементы на кровле</v>
      </c>
      <c r="C1324" s="1111"/>
      <c r="D1324" s="1111"/>
      <c r="E1324" s="1111"/>
      <c r="F1324" s="1102" t="n">
        <f aca="false">'Смета Внутр'!H1324</f>
        <v>0</v>
      </c>
    </row>
    <row r="1325" s="118" customFormat="true" ht="15" hidden="false" customHeight="false" outlineLevel="0" collapsed="false">
      <c r="B1325" s="1103" t="str">
        <f aca="false">'Смета Внутр'!B1325</f>
        <v>Материалы</v>
      </c>
      <c r="C1325" s="1103"/>
      <c r="D1325" s="1103"/>
      <c r="E1325" s="1103"/>
      <c r="F1325" s="1102" t="n">
        <f aca="false">'Смета Внутр'!H1325</f>
        <v>0</v>
      </c>
    </row>
    <row r="1326" s="118" customFormat="true" ht="15" hidden="false" customHeight="false" outlineLevel="0" collapsed="false">
      <c r="B1326" s="1104" t="str">
        <f aca="false">'Смета Внутр'!B1326</f>
        <v>Доска сухая, 200*50мм</v>
      </c>
      <c r="C1326" s="1105" t="str">
        <f aca="false">'Смета Внутр'!C1326</f>
        <v>м3</v>
      </c>
      <c r="D1326" s="1106" t="n">
        <f aca="false">'Смета Внутр'!D1326</f>
        <v>1.22337146290992</v>
      </c>
      <c r="E1326" s="1104"/>
      <c r="F1326" s="1107" t="n">
        <f aca="false">'Смета Внутр'!H1326</f>
        <v>0</v>
      </c>
    </row>
    <row r="1327" s="118" customFormat="true" ht="15" hidden="false" customHeight="false" outlineLevel="0" collapsed="false">
      <c r="B1327" s="1104" t="str">
        <f aca="false">'Смета Внутр'!B1327</f>
        <v>бугель, доска </v>
      </c>
      <c r="C1327" s="1105" t="str">
        <f aca="false">'Смета Внутр'!C1327</f>
        <v>м3</v>
      </c>
      <c r="D1327" s="1106" t="n">
        <f aca="false">'Смета Внутр'!D1327</f>
        <v>0.297</v>
      </c>
      <c r="E1327" s="1104"/>
      <c r="F1327" s="1107" t="n">
        <f aca="false">'Смета Внутр'!H1327</f>
        <v>0</v>
      </c>
    </row>
    <row r="1328" s="118" customFormat="true" ht="15" hidden="false" customHeight="false" outlineLevel="0" collapsed="false">
      <c r="B1328" s="1104" t="str">
        <f aca="false">'Смета Внутр'!B1328</f>
        <v>стойка под конек</v>
      </c>
      <c r="C1328" s="1105" t="str">
        <f aca="false">'Смета Внутр'!C1328</f>
        <v>м3</v>
      </c>
      <c r="D1328" s="1106" t="n">
        <f aca="false">'Смета Внутр'!D1328</f>
        <v>0.421770876399966</v>
      </c>
      <c r="E1328" s="1104"/>
      <c r="F1328" s="1107" t="n">
        <f aca="false">'Смета Внутр'!H1328</f>
        <v>0</v>
      </c>
    </row>
    <row r="1329" s="118" customFormat="true" ht="15" hidden="false" customHeight="false" outlineLevel="0" collapsed="false">
      <c r="B1329" s="1104" t="str">
        <f aca="false">'Смета Внутр'!B1329</f>
        <v>Сосна влаж,100*25мм</v>
      </c>
      <c r="C1329" s="1105" t="str">
        <f aca="false">'Смета Внутр'!C1329</f>
        <v>м3</v>
      </c>
      <c r="D1329" s="1106" t="n">
        <f aca="false">'Смета Внутр'!D1329</f>
        <v>0.50612505167996</v>
      </c>
      <c r="E1329" s="1104"/>
      <c r="F1329" s="1107" t="n">
        <f aca="false">'Смета Внутр'!H1329</f>
        <v>0</v>
      </c>
    </row>
    <row r="1330" s="118" customFormat="true" ht="15" hidden="false" customHeight="false" outlineLevel="0" collapsed="false">
      <c r="B1330" s="1104" t="str">
        <f aca="false">'Смета Внутр'!B1330</f>
        <v>Доска сухая, калибр., 35*45мм</v>
      </c>
      <c r="C1330" s="1105" t="str">
        <f aca="false">'Смета Внутр'!C1330</f>
        <v>шт</v>
      </c>
      <c r="D1330" s="1106" t="n">
        <f aca="false">'Смета Внутр'!D1330</f>
        <v>0.116250597807741</v>
      </c>
      <c r="E1330" s="1104"/>
      <c r="F1330" s="1107" t="n">
        <f aca="false">'Смета Внутр'!H1330</f>
        <v>0</v>
      </c>
    </row>
    <row r="1331" s="118" customFormat="true" ht="15" hidden="false" customHeight="false" outlineLevel="0" collapsed="false">
      <c r="B1331" s="1104" t="str">
        <f aca="false">'Смета Внутр'!B1331</f>
        <v>нет ветроизоляции</v>
      </c>
      <c r="C1331" s="1105" t="str">
        <f aca="false">'Смета Внутр'!C1331</f>
        <v>м2</v>
      </c>
      <c r="D1331" s="1106" t="n">
        <f aca="false">'Смета Внутр'!D1331</f>
        <v>24.0409399547981</v>
      </c>
      <c r="E1331" s="1104"/>
      <c r="F1331" s="1107" t="n">
        <f aca="false">'Смета Внутр'!H1331</f>
        <v>0</v>
      </c>
    </row>
    <row r="1332" s="118" customFormat="true" ht="15" hidden="false" customHeight="false" outlineLevel="0" collapsed="false">
      <c r="B1332" s="1104" t="str">
        <f aca="false">'Смета Внутр'!B1332</f>
        <v>нет пароизоляции</v>
      </c>
      <c r="C1332" s="1105" t="str">
        <f aca="false">'Смета Внутр'!C1332</f>
        <v>м2</v>
      </c>
      <c r="D1332" s="1106" t="n">
        <f aca="false">'Смета Внутр'!D1332</f>
        <v>22.0375282918982</v>
      </c>
      <c r="E1332" s="1104"/>
      <c r="F1332" s="1107" t="n">
        <f aca="false">'Смета Внутр'!H1332</f>
        <v>0</v>
      </c>
    </row>
    <row r="1333" s="118" customFormat="true" ht="15" hidden="false" customHeight="false" outlineLevel="0" collapsed="false">
      <c r="B1333" s="1104" t="str">
        <f aca="false">'Смета Внутр'!B1333</f>
        <v>Плитный,28кг/м3, технониколь, 100мм</v>
      </c>
      <c r="C1333" s="1105" t="str">
        <f aca="false">'Смета Внутр'!C1333</f>
        <v>м3</v>
      </c>
      <c r="D1333" s="1106" t="n">
        <f aca="false">'Смета Внутр'!D1333</f>
        <v>2.00341166289984</v>
      </c>
      <c r="E1333" s="1104"/>
      <c r="F1333" s="1107" t="n">
        <f aca="false">'Смета Внутр'!H1333</f>
        <v>0</v>
      </c>
    </row>
    <row r="1334" s="118" customFormat="true" ht="15" hidden="false" customHeight="false" outlineLevel="0" collapsed="false">
      <c r="B1334" s="1104" t="str">
        <f aca="false">'Смета Внутр'!B1334</f>
        <v>Металлочерепица</v>
      </c>
      <c r="C1334" s="1105" t="str">
        <f aca="false">'Смета Внутр'!C1334</f>
        <v>м2</v>
      </c>
      <c r="D1334" s="1106" t="n">
        <f aca="false">'Смета Внутр'!D1334</f>
        <v>28.0477632805978</v>
      </c>
      <c r="E1334" s="1104"/>
      <c r="F1334" s="1107" t="n">
        <f aca="false">'Смета Внутр'!H1334</f>
        <v>0</v>
      </c>
    </row>
    <row r="1335" s="118" customFormat="true" ht="15" hidden="false" customHeight="false" outlineLevel="0" collapsed="false">
      <c r="B1335" s="1104" t="str">
        <f aca="false">'Смета Внутр'!B1335</f>
        <v>Карнизная планка</v>
      </c>
      <c r="C1335" s="1105" t="str">
        <f aca="false">'Смета Внутр'!C1335</f>
        <v>м.п.</v>
      </c>
      <c r="D1335" s="1106" t="n">
        <f aca="false">'Смета Внутр'!D1335</f>
        <v>4</v>
      </c>
      <c r="E1335" s="1104"/>
      <c r="F1335" s="1107" t="n">
        <f aca="false">'Смета Внутр'!H1335</f>
        <v>0</v>
      </c>
    </row>
    <row r="1336" s="118" customFormat="true" ht="15" hidden="false" customHeight="false" outlineLevel="0" collapsed="false">
      <c r="B1336" s="1104" t="str">
        <f aca="false">'Смета Внутр'!B1336</f>
        <v>Торцевая планка</v>
      </c>
      <c r="C1336" s="1105" t="str">
        <f aca="false">'Смета Внутр'!C1336</f>
        <v>м.п.</v>
      </c>
      <c r="D1336" s="1106" t="n">
        <f aca="false">'Смета Внутр'!D1336</f>
        <v>10.5442719099992</v>
      </c>
      <c r="E1336" s="1104"/>
      <c r="F1336" s="1107" t="n">
        <f aca="false">'Смета Внутр'!H1336</f>
        <v>0</v>
      </c>
    </row>
    <row r="1337" s="118" customFormat="true" ht="15" hidden="false" customHeight="false" outlineLevel="0" collapsed="false">
      <c r="B1337" s="1104" t="str">
        <f aca="false">'Смета Внутр'!B1337</f>
        <v>Конек</v>
      </c>
      <c r="C1337" s="1105" t="str">
        <f aca="false">'Смета Внутр'!C1337</f>
        <v>м.п.</v>
      </c>
      <c r="D1337" s="1106" t="n">
        <f aca="false">'Смета Внутр'!D1337</f>
        <v>4.8</v>
      </c>
      <c r="E1337" s="1104"/>
      <c r="F1337" s="1107" t="n">
        <f aca="false">'Смета Внутр'!H1337</f>
        <v>0</v>
      </c>
    </row>
    <row r="1338" s="118" customFormat="true" ht="15" hidden="false" customHeight="false" outlineLevel="0" collapsed="false">
      <c r="B1338" s="1104" t="str">
        <f aca="false">'Смета Внутр'!B1338</f>
        <v>Ендова нижняя</v>
      </c>
      <c r="C1338" s="1105" t="str">
        <f aca="false">'Смета Внутр'!C1338</f>
        <v>м.п.</v>
      </c>
      <c r="D1338" s="1106" t="n">
        <f aca="false">'Смета Внутр'!D1338</f>
        <v>12.1426168033242</v>
      </c>
      <c r="E1338" s="1104"/>
      <c r="F1338" s="1107" t="n">
        <f aca="false">'Смета Внутр'!H1338</f>
        <v>0</v>
      </c>
    </row>
    <row r="1339" s="118" customFormat="true" ht="15" hidden="false" customHeight="false" outlineLevel="0" collapsed="false">
      <c r="B1339" s="1104" t="str">
        <f aca="false">'Смета Внутр'!B1339</f>
        <v>Ендова верхняя</v>
      </c>
      <c r="C1339" s="1105" t="str">
        <f aca="false">'Смета Внутр'!C1339</f>
        <v>м.п.</v>
      </c>
      <c r="D1339" s="1106" t="n">
        <f aca="false">'Смета Внутр'!D1339</f>
        <v>12.1426168033242</v>
      </c>
      <c r="E1339" s="1104"/>
      <c r="F1339" s="1107" t="n">
        <f aca="false">'Смета Внутр'!H1339</f>
        <v>0</v>
      </c>
    </row>
    <row r="1340" s="118" customFormat="true" ht="15" hidden="false" customHeight="false" outlineLevel="0" collapsed="false">
      <c r="B1340" s="1104" t="str">
        <f aca="false">'Смета Внутр'!B1340</f>
        <v>ондулин</v>
      </c>
      <c r="C1340" s="1105" t="str">
        <f aca="false">'Смета Внутр'!C1340</f>
        <v>м2</v>
      </c>
      <c r="D1340" s="1106" t="n">
        <f aca="false">'Смета Внутр'!D1340</f>
        <v>0</v>
      </c>
      <c r="E1340" s="1104"/>
      <c r="F1340" s="1107" t="n">
        <f aca="false">'Смета Внутр'!H1340</f>
        <v>0</v>
      </c>
    </row>
    <row r="1341" s="118" customFormat="true" ht="15" hidden="false" customHeight="false" outlineLevel="0" collapsed="false">
      <c r="B1341" s="1104" t="str">
        <f aca="false">'Смета Внутр'!B1341</f>
        <v>Карнизная планка</v>
      </c>
      <c r="C1341" s="1105" t="str">
        <f aca="false">'Смета Внутр'!C1341</f>
        <v>м.п.</v>
      </c>
      <c r="D1341" s="1106" t="n">
        <f aca="false">'Смета Внутр'!D1341</f>
        <v>0</v>
      </c>
      <c r="E1341" s="1104"/>
      <c r="F1341" s="1107" t="n">
        <f aca="false">'Смета Внутр'!H1341</f>
        <v>0</v>
      </c>
    </row>
    <row r="1342" s="118" customFormat="true" ht="15" hidden="false" customHeight="false" outlineLevel="0" collapsed="false">
      <c r="B1342" s="1104" t="str">
        <f aca="false">'Смета Внутр'!B1342</f>
        <v>Торцевая планка</v>
      </c>
      <c r="C1342" s="1105" t="str">
        <f aca="false">'Смета Внутр'!C1342</f>
        <v>м.п.</v>
      </c>
      <c r="D1342" s="1106" t="n">
        <f aca="false">'Смета Внутр'!D1342</f>
        <v>0</v>
      </c>
      <c r="E1342" s="1104"/>
      <c r="F1342" s="1107" t="n">
        <f aca="false">'Смета Внутр'!H1342</f>
        <v>0</v>
      </c>
    </row>
    <row r="1343" s="118" customFormat="true" ht="15" hidden="false" customHeight="false" outlineLevel="0" collapsed="false">
      <c r="B1343" s="1104" t="str">
        <f aca="false">'Смета Внутр'!B1343</f>
        <v>Конек</v>
      </c>
      <c r="C1343" s="1105" t="str">
        <f aca="false">'Смета Внутр'!C1343</f>
        <v>м.п.</v>
      </c>
      <c r="D1343" s="1106" t="n">
        <f aca="false">'Смета Внутр'!D1343</f>
        <v>0</v>
      </c>
      <c r="E1343" s="1104"/>
      <c r="F1343" s="1107" t="n">
        <f aca="false">'Смета Внутр'!H1343</f>
        <v>0</v>
      </c>
    </row>
    <row r="1344" s="118" customFormat="true" ht="15" hidden="false" customHeight="false" outlineLevel="0" collapsed="false">
      <c r="B1344" s="1104" t="str">
        <f aca="false">'Смета Внутр'!B1344</f>
        <v>Ендова нижняя</v>
      </c>
      <c r="C1344" s="1105" t="str">
        <f aca="false">'Смета Внутр'!C1344</f>
        <v>м.п.</v>
      </c>
      <c r="D1344" s="1106" t="n">
        <f aca="false">'Смета Внутр'!D1344</f>
        <v>0</v>
      </c>
      <c r="E1344" s="1104"/>
      <c r="F1344" s="1107" t="n">
        <f aca="false">'Смета Внутр'!H1344</f>
        <v>0</v>
      </c>
    </row>
    <row r="1345" s="118" customFormat="true" ht="15" hidden="false" customHeight="false" outlineLevel="0" collapsed="false">
      <c r="B1345" s="1104" t="str">
        <f aca="false">'Смета Внутр'!B1345</f>
        <v>Ендова верхняя</v>
      </c>
      <c r="C1345" s="1105" t="str">
        <f aca="false">'Смета Внутр'!C1345</f>
        <v>м.п.</v>
      </c>
      <c r="D1345" s="1106" t="n">
        <f aca="false">'Смета Внутр'!D1345</f>
        <v>0</v>
      </c>
      <c r="E1345" s="1104"/>
      <c r="F1345" s="1107" t="n">
        <f aca="false">'Смета Внутр'!H1345</f>
        <v>0</v>
      </c>
    </row>
    <row r="1346" s="118" customFormat="true" ht="15" hidden="false" customHeight="false" outlineLevel="0" collapsed="false">
      <c r="B1346" s="1104" t="str">
        <f aca="false">'Смета Внутр'!B1346</f>
        <v>Планка примыкания</v>
      </c>
      <c r="C1346" s="1105" t="str">
        <f aca="false">'Смета Внутр'!C1346</f>
        <v>м.п.</v>
      </c>
      <c r="D1346" s="1106" t="n">
        <f aca="false">'Смета Внутр'!D1346</f>
        <v>0</v>
      </c>
      <c r="E1346" s="1104"/>
      <c r="F1346" s="1107" t="n">
        <f aca="false">'Смета Внутр'!H1346</f>
        <v>0</v>
      </c>
    </row>
    <row r="1347" s="118" customFormat="true" ht="15" hidden="false" customHeight="false" outlineLevel="0" collapsed="false">
      <c r="B1347" s="1104" t="str">
        <f aca="false">'Смета Внутр'!B1347</f>
        <v>Крепеж для ондулина</v>
      </c>
      <c r="C1347" s="1105" t="str">
        <f aca="false">'Смета Внутр'!C1347</f>
        <v>шт</v>
      </c>
      <c r="D1347" s="1106" t="n">
        <f aca="false">'Смета Внутр'!D1347</f>
        <v>0</v>
      </c>
      <c r="E1347" s="1104"/>
      <c r="F1347" s="1107" t="n">
        <f aca="false">'Смета Внутр'!H1347</f>
        <v>0</v>
      </c>
    </row>
    <row r="1348" s="118" customFormat="true" ht="15" hidden="false" customHeight="false" outlineLevel="0" collapsed="false">
      <c r="B1348" s="1104" t="str">
        <f aca="false">'Смета Внутр'!B1348</f>
        <v>Фанера Березовая марка ФК - влагостойкая,  18 мм </v>
      </c>
      <c r="C1348" s="1105" t="str">
        <f aca="false">'Смета Внутр'!C1348</f>
        <v>м2</v>
      </c>
      <c r="D1348" s="1106" t="n">
        <f aca="false">'Смета Внутр'!D1348</f>
        <v>22.0375282918982</v>
      </c>
      <c r="E1348" s="1104"/>
      <c r="F1348" s="1107" t="n">
        <f aca="false">'Смета Внутр'!H1348</f>
        <v>0</v>
      </c>
    </row>
    <row r="1349" s="118" customFormat="true" ht="15" hidden="false" customHeight="false" outlineLevel="0" collapsed="false">
      <c r="B1349" s="1104" t="str">
        <f aca="false">'Смета Внутр'!B1349</f>
        <v>Рядовая черепица</v>
      </c>
      <c r="C1349" s="1105" t="str">
        <f aca="false">'Смета Внутр'!C1349</f>
        <v>м2</v>
      </c>
      <c r="D1349" s="1106" t="n">
        <f aca="false">'Смета Внутр'!D1349</f>
        <v>0</v>
      </c>
      <c r="E1349" s="1104"/>
      <c r="F1349" s="1107" t="n">
        <f aca="false">'Смета Внутр'!H1349</f>
        <v>0</v>
      </c>
    </row>
    <row r="1350" s="118" customFormat="true" ht="15" hidden="false" customHeight="false" outlineLevel="0" collapsed="false">
      <c r="B1350" s="1104" t="str">
        <f aca="false">'Смета Внутр'!B1350</f>
        <v>Металл оцинк защита (карниз)</v>
      </c>
      <c r="C1350" s="1105" t="str">
        <f aca="false">'Смета Внутр'!C1350</f>
        <v>м.п.</v>
      </c>
      <c r="D1350" s="1106" t="n">
        <f aca="false">'Смета Внутр'!D1350</f>
        <v>0</v>
      </c>
      <c r="E1350" s="1104"/>
      <c r="F1350" s="1107" t="n">
        <f aca="false">'Смета Внутр'!H1350</f>
        <v>0</v>
      </c>
    </row>
    <row r="1351" s="118" customFormat="true" ht="15" hidden="false" customHeight="false" outlineLevel="0" collapsed="false">
      <c r="B1351" s="1104" t="str">
        <f aca="false">'Смета Внутр'!B1351</f>
        <v>Подкладочный ковер</v>
      </c>
      <c r="C1351" s="1105" t="str">
        <f aca="false">'Смета Внутр'!C1351</f>
        <v>м.п.</v>
      </c>
      <c r="D1351" s="1106" t="n">
        <f aca="false">'Смета Внутр'!D1351</f>
        <v>0</v>
      </c>
      <c r="E1351" s="1104"/>
      <c r="F1351" s="1107" t="n">
        <f aca="false">'Смета Внутр'!H1351</f>
        <v>0</v>
      </c>
    </row>
    <row r="1352" s="118" customFormat="true" ht="15" hidden="false" customHeight="false" outlineLevel="0" collapsed="false">
      <c r="B1352" s="1104" t="str">
        <f aca="false">'Смета Внутр'!B1352</f>
        <v>Карнизная самоклеющаяся черепица</v>
      </c>
      <c r="C1352" s="1105" t="str">
        <f aca="false">'Смета Внутр'!C1352</f>
        <v>м.п.</v>
      </c>
      <c r="D1352" s="1106" t="n">
        <f aca="false">'Смета Внутр'!D1352</f>
        <v>0</v>
      </c>
      <c r="E1352" s="1104"/>
      <c r="F1352" s="1107" t="n">
        <f aca="false">'Смета Внутр'!H1352</f>
        <v>0</v>
      </c>
    </row>
    <row r="1353" s="118" customFormat="true" ht="15" hidden="false" customHeight="false" outlineLevel="0" collapsed="false">
      <c r="B1353" s="1104" t="str">
        <f aca="false">'Смета Внутр'!B1353</f>
        <v>Спец ковер ендова нижняя</v>
      </c>
      <c r="C1353" s="1105" t="str">
        <f aca="false">'Смета Внутр'!C1353</f>
        <v>м.п.</v>
      </c>
      <c r="D1353" s="1106" t="n">
        <f aca="false">'Смета Внутр'!D1353</f>
        <v>0</v>
      </c>
      <c r="E1353" s="1104"/>
      <c r="F1353" s="1107" t="n">
        <f aca="false">'Смета Внутр'!H1353</f>
        <v>0</v>
      </c>
    </row>
    <row r="1354" s="118" customFormat="true" ht="15" hidden="false" customHeight="false" outlineLevel="0" collapsed="false">
      <c r="B1354" s="1104" t="str">
        <f aca="false">'Смета Внутр'!B1354</f>
        <v>Коньковой элемент</v>
      </c>
      <c r="C1354" s="1105" t="str">
        <f aca="false">'Смета Внутр'!C1354</f>
        <v>м.п.</v>
      </c>
      <c r="D1354" s="1106" t="n">
        <f aca="false">'Смета Внутр'!D1354</f>
        <v>0</v>
      </c>
      <c r="E1354" s="1104"/>
      <c r="F1354" s="1107" t="n">
        <f aca="false">'Смета Внутр'!H1354</f>
        <v>0</v>
      </c>
    </row>
    <row r="1355" s="118" customFormat="true" ht="15" hidden="false" customHeight="false" outlineLevel="0" collapsed="false">
      <c r="B1355" s="1104" t="str">
        <f aca="false">'Смета Внутр'!B1355</f>
        <v>Планка премыкания</v>
      </c>
      <c r="C1355" s="1105" t="str">
        <f aca="false">'Смета Внутр'!C1355</f>
        <v>м.п.</v>
      </c>
      <c r="D1355" s="1106" t="n">
        <f aca="false">'Смета Внутр'!D1355</f>
        <v>0</v>
      </c>
      <c r="E1355" s="1104"/>
      <c r="F1355" s="1107" t="n">
        <f aca="false">'Смета Внутр'!H1355</f>
        <v>0</v>
      </c>
    </row>
    <row r="1356" s="118" customFormat="true" ht="15" hidden="false" customHeight="false" outlineLevel="0" collapsed="false">
      <c r="B1356" s="1104" t="str">
        <f aca="false">'Смета Внутр'!B1356</f>
        <v>Гвозди для крепления подкладочного ковра</v>
      </c>
      <c r="C1356" s="1105" t="str">
        <f aca="false">'Смета Внутр'!C1356</f>
        <v>шт</v>
      </c>
      <c r="D1356" s="1106" t="n">
        <f aca="false">'Смета Внутр'!D1356</f>
        <v>0</v>
      </c>
      <c r="E1356" s="1104"/>
      <c r="F1356" s="1107" t="n">
        <f aca="false">'Смета Внутр'!H1356</f>
        <v>0</v>
      </c>
    </row>
    <row r="1357" s="118" customFormat="true" ht="15" hidden="false" customHeight="false" outlineLevel="0" collapsed="false">
      <c r="B1357" s="1104" t="str">
        <f aca="false">'Смета Внутр'!B1357</f>
        <v>Гвозди для крепления черепицы</v>
      </c>
      <c r="C1357" s="1105" t="str">
        <f aca="false">'Смета Внутр'!C1357</f>
        <v>шт</v>
      </c>
      <c r="D1357" s="1106" t="n">
        <f aca="false">'Смета Внутр'!D1357</f>
        <v>0</v>
      </c>
      <c r="E1357" s="1104"/>
      <c r="F1357" s="1107" t="n">
        <f aca="false">'Смета Внутр'!H1357</f>
        <v>0</v>
      </c>
    </row>
    <row r="1358" s="118" customFormat="true" ht="15" hidden="false" customHeight="false" outlineLevel="0" collapsed="false">
      <c r="B1358" s="1104" t="str">
        <f aca="false">'Смета Внутр'!B1358</f>
        <v>Клей для монтажа черепицы</v>
      </c>
      <c r="C1358" s="1105" t="str">
        <f aca="false">'Смета Внутр'!C1358</f>
        <v>кг</v>
      </c>
      <c r="D1358" s="1106" t="n">
        <f aca="false">'Смета Внутр'!D1358</f>
        <v>0</v>
      </c>
      <c r="E1358" s="1104"/>
      <c r="F1358" s="1107" t="n">
        <f aca="false">'Смета Внутр'!H1358</f>
        <v>0</v>
      </c>
    </row>
    <row r="1359" s="118" customFormat="true" ht="15" hidden="false" customHeight="false" outlineLevel="0" collapsed="false">
      <c r="B1359" s="1104" t="str">
        <f aca="false">'Смета Внутр'!B1359</f>
        <v>лента дельта мульти бэнд</v>
      </c>
      <c r="C1359" s="1105" t="str">
        <f aca="false">'Смета Внутр'!C1359</f>
        <v>шт</v>
      </c>
      <c r="D1359" s="1106" t="n">
        <f aca="false">'Смета Внутр'!D1359</f>
        <v>1.6695097190832</v>
      </c>
      <c r="E1359" s="1104"/>
      <c r="F1359" s="1107" t="n">
        <f aca="false">'Смета Внутр'!H1359</f>
        <v>0</v>
      </c>
    </row>
    <row r="1360" s="118" customFormat="true" ht="15" hidden="false" customHeight="false" outlineLevel="0" collapsed="false">
      <c r="B1360" s="1104" t="str">
        <f aca="false">'Смета Внутр'!B1360</f>
        <v>лента дельта sb-60</v>
      </c>
      <c r="C1360" s="1105" t="str">
        <f aca="false">'Смета Внутр'!C1360</f>
        <v>шт</v>
      </c>
      <c r="D1360" s="1106" t="n">
        <f aca="false">'Смета Внутр'!D1360</f>
        <v>0.801364665159936</v>
      </c>
      <c r="E1360" s="1104"/>
      <c r="F1360" s="1107" t="n">
        <f aca="false">'Смета Внутр'!H1360</f>
        <v>0</v>
      </c>
    </row>
    <row r="1361" s="118" customFormat="true" ht="15" hidden="false" customHeight="false" outlineLevel="0" collapsed="false">
      <c r="B1361" s="1104" t="str">
        <f aca="false">'Смета Внутр'!B1361</f>
        <v>Кровельный саморез</v>
      </c>
      <c r="C1361" s="1105" t="str">
        <f aca="false">'Смета Внутр'!C1361</f>
        <v>шт</v>
      </c>
      <c r="D1361" s="1106" t="n">
        <f aca="false">'Смета Внутр'!D1361</f>
        <v>240.409399547981</v>
      </c>
      <c r="E1361" s="1104"/>
      <c r="F1361" s="1107" t="n">
        <f aca="false">'Смета Внутр'!H1361</f>
        <v>0</v>
      </c>
    </row>
    <row r="1362" s="118" customFormat="true" ht="15" hidden="false" customHeight="false" outlineLevel="0" collapsed="false">
      <c r="B1362" s="1104" t="str">
        <f aca="false">'Смета Внутр'!B1362</f>
        <v>Гвозди ершоные 3,4 x 60            </v>
      </c>
      <c r="C1362" s="1105" t="str">
        <f aca="false">'Смета Внутр'!C1362</f>
        <v>кг</v>
      </c>
      <c r="D1362" s="1106" t="n">
        <f aca="false">'Смета Внутр'!D1362</f>
        <v>7.5918757751994</v>
      </c>
      <c r="E1362" s="1104"/>
      <c r="F1362" s="1107" t="n">
        <f aca="false">'Смета Внутр'!H1362</f>
        <v>0</v>
      </c>
    </row>
    <row r="1363" s="118" customFormat="true" ht="15" hidden="false" customHeight="false" outlineLevel="0" collapsed="false">
      <c r="B1363" s="1104" t="str">
        <f aca="false">'Смета Внутр'!B1363</f>
        <v>Гвозди ершоные 2,8 х 90            </v>
      </c>
      <c r="C1363" s="1105" t="str">
        <f aca="false">'Смета Внутр'!C1363</f>
        <v>кг</v>
      </c>
      <c r="D1363" s="1106" t="n">
        <f aca="false">'Смета Внутр'!D1363</f>
        <v>19.4214233930988</v>
      </c>
      <c r="E1363" s="1104"/>
      <c r="F1363" s="1107" t="n">
        <f aca="false">'Смета Внутр'!H1363</f>
        <v>0</v>
      </c>
    </row>
    <row r="1364" s="118" customFormat="true" ht="15" hidden="false" customHeight="false" outlineLevel="0" collapsed="false">
      <c r="B1364" s="1104" t="str">
        <f aca="false">'Смета Внутр'!B1364</f>
        <v>Пластина соеденительная 100х240х2           </v>
      </c>
      <c r="C1364" s="1105" t="str">
        <f aca="false">'Смета Внутр'!C1364</f>
        <v>шт</v>
      </c>
      <c r="D1364" s="1106" t="n">
        <f aca="false">'Смета Внутр'!D1364</f>
        <v>18</v>
      </c>
      <c r="E1364" s="1104"/>
      <c r="F1364" s="1107" t="n">
        <f aca="false">'Смета Внутр'!H1364</f>
        <v>0</v>
      </c>
    </row>
    <row r="1365" s="118" customFormat="true" ht="15" hidden="false" customHeight="false" outlineLevel="0" collapsed="false">
      <c r="B1365" s="1104" t="str">
        <f aca="false">'Смета Внутр'!B1365</f>
        <v>Уголок усиленный 90х70х55х2,5        </v>
      </c>
      <c r="C1365" s="1105" t="str">
        <f aca="false">'Смета Внутр'!C1365</f>
        <v>шт</v>
      </c>
      <c r="D1365" s="1106" t="n">
        <f aca="false">'Смета Внутр'!D1365</f>
        <v>18</v>
      </c>
      <c r="E1365" s="1104"/>
      <c r="F1365" s="1107" t="n">
        <f aca="false">'Смета Внутр'!H1365</f>
        <v>0</v>
      </c>
    </row>
    <row r="1366" s="118" customFormat="true" ht="15" hidden="false" customHeight="false" outlineLevel="0" collapsed="false">
      <c r="B1366" s="1108" t="str">
        <f aca="false">'Смета Внутр'!B1366</f>
        <v>Итого материалы</v>
      </c>
      <c r="C1366" s="1108"/>
      <c r="D1366" s="1108"/>
      <c r="E1366" s="1108"/>
      <c r="F1366" s="1109" t="n">
        <f aca="false">'Смета Внутр'!G1366</f>
        <v>0</v>
      </c>
    </row>
    <row r="1367" s="118" customFormat="true" ht="15" hidden="false" customHeight="false" outlineLevel="0" collapsed="false">
      <c r="B1367" s="1110" t="str">
        <f aca="false">'Смета Внутр'!B1367</f>
        <v>Работы</v>
      </c>
      <c r="C1367" s="1110"/>
      <c r="D1367" s="1110"/>
      <c r="E1367" s="1110"/>
      <c r="F1367" s="1102" t="n">
        <f aca="false">'Смета Внутр'!H1367</f>
        <v>0</v>
      </c>
    </row>
    <row r="1368" s="118" customFormat="true" ht="15" hidden="false" customHeight="false" outlineLevel="0" collapsed="false">
      <c r="B1368" s="1104" t="str">
        <f aca="false">'Смета Внутр'!B1368</f>
        <v>монтаж стропил</v>
      </c>
      <c r="C1368" s="1105" t="str">
        <f aca="false">'Смета Внутр'!C1368</f>
        <v>м2</v>
      </c>
      <c r="D1368" s="1106" t="n">
        <f aca="false">'Смета Внутр'!D1368</f>
        <v>20.0341166289984</v>
      </c>
      <c r="E1368" s="1104"/>
      <c r="F1368" s="1107" t="n">
        <f aca="false">'Смета Внутр'!H1368</f>
        <v>0</v>
      </c>
    </row>
    <row r="1369" s="118" customFormat="true" ht="15" hidden="false" customHeight="false" outlineLevel="0" collapsed="false">
      <c r="B1369" s="1104" t="str">
        <f aca="false">'Смета Внутр'!B1369</f>
        <v>обрешетка</v>
      </c>
      <c r="C1369" s="1105" t="str">
        <f aca="false">'Смета Внутр'!C1369</f>
        <v>м2</v>
      </c>
      <c r="D1369" s="1106" t="n">
        <f aca="false">'Смета Внутр'!D1369</f>
        <v>20.0341166289984</v>
      </c>
      <c r="E1369" s="1104"/>
      <c r="F1369" s="1107" t="n">
        <f aca="false">'Смета Внутр'!H1369</f>
        <v>0</v>
      </c>
    </row>
    <row r="1370" s="118" customFormat="true" ht="15" hidden="false" customHeight="false" outlineLevel="0" collapsed="false">
      <c r="B1370" s="1104" t="str">
        <f aca="false">'Смета Внутр'!B1370</f>
        <v>контробеш</v>
      </c>
      <c r="C1370" s="1105" t="str">
        <f aca="false">'Смета Внутр'!C1370</f>
        <v>м2</v>
      </c>
      <c r="D1370" s="1106" t="n">
        <f aca="false">'Смета Внутр'!D1370</f>
        <v>20.0341166289984</v>
      </c>
      <c r="E1370" s="1104"/>
      <c r="F1370" s="1107" t="n">
        <f aca="false">'Смета Внутр'!H1370</f>
        <v>0</v>
      </c>
    </row>
    <row r="1371" s="118" customFormat="true" ht="15" hidden="false" customHeight="false" outlineLevel="0" collapsed="false">
      <c r="B1371" s="1104" t="str">
        <f aca="false">'Смета Внутр'!B1371</f>
        <v>мембрана</v>
      </c>
      <c r="C1371" s="1105" t="str">
        <f aca="false">'Смета Внутр'!C1371</f>
        <v>м2</v>
      </c>
      <c r="D1371" s="1106" t="n">
        <f aca="false">'Смета Внутр'!D1371</f>
        <v>0</v>
      </c>
      <c r="E1371" s="1104"/>
      <c r="F1371" s="1107" t="n">
        <f aca="false">'Смета Внутр'!H1371</f>
        <v>0</v>
      </c>
    </row>
    <row r="1372" s="118" customFormat="true" ht="15" hidden="false" customHeight="false" outlineLevel="0" collapsed="false">
      <c r="B1372" s="1104" t="str">
        <f aca="false">'Смета Внутр'!B1372</f>
        <v>пароизоляц</v>
      </c>
      <c r="C1372" s="1105" t="str">
        <f aca="false">'Смета Внутр'!C1372</f>
        <v>м2</v>
      </c>
      <c r="D1372" s="1106" t="n">
        <f aca="false">'Смета Внутр'!D1372</f>
        <v>0</v>
      </c>
      <c r="E1372" s="1104"/>
      <c r="F1372" s="1107" t="n">
        <f aca="false">'Смета Внутр'!H1372</f>
        <v>0</v>
      </c>
    </row>
    <row r="1373" s="118" customFormat="true" ht="15" hidden="false" customHeight="false" outlineLevel="0" collapsed="false">
      <c r="B1373" s="1104" t="str">
        <f aca="false">'Смета Внутр'!B1373</f>
        <v>утеплитель</v>
      </c>
      <c r="C1373" s="1105" t="str">
        <f aca="false">'Смета Внутр'!C1373</f>
        <v>м2</v>
      </c>
      <c r="D1373" s="1106" t="n">
        <f aca="false">'Смета Внутр'!D1373</f>
        <v>20.0341166289984</v>
      </c>
      <c r="E1373" s="1104"/>
      <c r="F1373" s="1107" t="n">
        <f aca="false">'Смета Внутр'!H1373</f>
        <v>0</v>
      </c>
    </row>
    <row r="1374" s="118" customFormat="true" ht="15" hidden="false" customHeight="false" outlineLevel="0" collapsed="false">
      <c r="B1374" s="1104" t="str">
        <f aca="false">'Смета Внутр'!B1374</f>
        <v>Монтаж металлочерепицы</v>
      </c>
      <c r="C1374" s="1105" t="str">
        <f aca="false">'Смета Внутр'!C1374</f>
        <v>м2</v>
      </c>
      <c r="D1374" s="1106" t="n">
        <f aca="false">'Смета Внутр'!D1374</f>
        <v>20.0341166289984</v>
      </c>
      <c r="E1374" s="1104"/>
      <c r="F1374" s="1107" t="n">
        <f aca="false">'Смета Внутр'!H1374</f>
        <v>0</v>
      </c>
    </row>
    <row r="1375" s="118" customFormat="true" ht="15" hidden="false" customHeight="false" outlineLevel="0" collapsed="false">
      <c r="B1375" s="1104" t="str">
        <f aca="false">'Смета Внутр'!B1375</f>
        <v>карнизная планка</v>
      </c>
      <c r="C1375" s="1105" t="str">
        <f aca="false">'Смета Внутр'!C1375</f>
        <v>м.п.</v>
      </c>
      <c r="D1375" s="1106" t="n">
        <f aca="false">'Смета Внутр'!D1375</f>
        <v>4</v>
      </c>
      <c r="E1375" s="1104"/>
      <c r="F1375" s="1107" t="n">
        <f aca="false">'Смета Внутр'!H1375</f>
        <v>0</v>
      </c>
    </row>
    <row r="1376" s="118" customFormat="true" ht="15" hidden="false" customHeight="false" outlineLevel="0" collapsed="false">
      <c r="B1376" s="1104" t="str">
        <f aca="false">'Смета Внутр'!B1376</f>
        <v>торцевая планка</v>
      </c>
      <c r="C1376" s="1105" t="str">
        <f aca="false">'Смета Внутр'!C1376</f>
        <v>м.п.</v>
      </c>
      <c r="D1376" s="1106" t="n">
        <f aca="false">'Смета Внутр'!D1376</f>
        <v>10.5442719099992</v>
      </c>
      <c r="E1376" s="1104"/>
      <c r="F1376" s="1107" t="n">
        <f aca="false">'Смета Внутр'!H1376</f>
        <v>0</v>
      </c>
    </row>
    <row r="1377" s="118" customFormat="true" ht="15" hidden="false" customHeight="false" outlineLevel="0" collapsed="false">
      <c r="B1377" s="1104" t="str">
        <f aca="false">'Смета Внутр'!B1377</f>
        <v>Монтаж ондулина</v>
      </c>
      <c r="C1377" s="1105" t="str">
        <f aca="false">'Смета Внутр'!C1377</f>
        <v>м2</v>
      </c>
      <c r="D1377" s="1106" t="n">
        <f aca="false">'Смета Внутр'!D1377</f>
        <v>0</v>
      </c>
      <c r="E1377" s="1104"/>
      <c r="F1377" s="1107" t="n">
        <f aca="false">'Смета Внутр'!H1377</f>
        <v>0</v>
      </c>
    </row>
    <row r="1378" s="118" customFormat="true" ht="15" hidden="false" customHeight="false" outlineLevel="0" collapsed="false">
      <c r="B1378" s="1104" t="str">
        <f aca="false">'Смета Внутр'!B1378</f>
        <v>Монтаж фанеры/osb</v>
      </c>
      <c r="C1378" s="1105" t="str">
        <f aca="false">'Смета Внутр'!C1378</f>
        <v>м2</v>
      </c>
      <c r="D1378" s="1106" t="n">
        <f aca="false">'Смета Внутр'!D1378</f>
        <v>20.0341166289984</v>
      </c>
      <c r="E1378" s="1104"/>
      <c r="F1378" s="1107" t="n">
        <f aca="false">'Смета Внутр'!H1378</f>
        <v>0</v>
      </c>
    </row>
    <row r="1379" s="118" customFormat="true" ht="15" hidden="false" customHeight="false" outlineLevel="0" collapsed="false">
      <c r="B1379" s="1104" t="str">
        <f aca="false">'Смета Внутр'!B1379</f>
        <v>монтаж подкладочного ковра</v>
      </c>
      <c r="C1379" s="1105" t="str">
        <f aca="false">'Смета Внутр'!C1379</f>
        <v>м2</v>
      </c>
      <c r="D1379" s="1106" t="n">
        <f aca="false">'Смета Внутр'!D1379</f>
        <v>0</v>
      </c>
      <c r="E1379" s="1104"/>
      <c r="F1379" s="1107" t="n">
        <f aca="false">'Смета Внутр'!H1379</f>
        <v>0</v>
      </c>
    </row>
    <row r="1380" s="118" customFormat="true" ht="15" hidden="false" customHeight="false" outlineLevel="0" collapsed="false">
      <c r="B1380" s="1104" t="str">
        <f aca="false">'Смета Внутр'!B1380</f>
        <v>Монтаж мягкой кровли</v>
      </c>
      <c r="C1380" s="1105" t="str">
        <f aca="false">'Смета Внутр'!C1380</f>
        <v>м2</v>
      </c>
      <c r="D1380" s="1106" t="n">
        <f aca="false">'Смета Внутр'!D1380</f>
        <v>0</v>
      </c>
      <c r="E1380" s="1104"/>
      <c r="F1380" s="1107" t="n">
        <f aca="false">'Смета Внутр'!H1380</f>
        <v>0</v>
      </c>
    </row>
    <row r="1381" s="118" customFormat="true" ht="15" hidden="false" customHeight="false" outlineLevel="0" collapsed="false">
      <c r="B1381" s="1108" t="str">
        <f aca="false">'Смета Внутр'!B1381</f>
        <v>Итого работы</v>
      </c>
      <c r="C1381" s="1108"/>
      <c r="D1381" s="1108"/>
      <c r="E1381" s="1108"/>
      <c r="F1381" s="1109" t="n">
        <f aca="false">'Смета Внутр'!G1381</f>
        <v>0</v>
      </c>
    </row>
    <row r="1382" s="118" customFormat="true" ht="18.75" hidden="false" customHeight="false" outlineLevel="0" collapsed="false">
      <c r="B1382" s="1111" t="str">
        <f aca="false">'Смета Внутр'!B1382</f>
        <v>Кровля на пристройке</v>
      </c>
      <c r="C1382" s="1111"/>
      <c r="D1382" s="1111"/>
      <c r="E1382" s="1111"/>
      <c r="F1382" s="1102" t="n">
        <f aca="false">'Смета Внутр'!H1382</f>
        <v>0</v>
      </c>
    </row>
    <row r="1383" s="118" customFormat="true" ht="15" hidden="false" customHeight="false" outlineLevel="0" collapsed="false">
      <c r="B1383" s="1103" t="str">
        <f aca="false">'Смета Внутр'!B1383</f>
        <v>Материалы</v>
      </c>
      <c r="C1383" s="1103"/>
      <c r="D1383" s="1103"/>
      <c r="E1383" s="1103"/>
      <c r="F1383" s="1102" t="n">
        <f aca="false">'Смета Внутр'!H1383</f>
        <v>0</v>
      </c>
    </row>
    <row r="1384" s="118" customFormat="true" ht="15" hidden="false" customHeight="false" outlineLevel="0" collapsed="false">
      <c r="B1384" s="1104" t="str">
        <f aca="false">'Смета Внутр'!B1384</f>
        <v>Доска сухая калиброванная, 190*45мм</v>
      </c>
      <c r="C1384" s="1105" t="str">
        <f aca="false">'Смета Внутр'!C1384</f>
        <v>м3</v>
      </c>
      <c r="D1384" s="1106" t="n">
        <f aca="false">'Смета Внутр'!D1384</f>
        <v>0</v>
      </c>
      <c r="E1384" s="1104"/>
      <c r="F1384" s="1107" t="n">
        <f aca="false">'Смета Внутр'!H1384</f>
        <v>0</v>
      </c>
    </row>
    <row r="1385" s="118" customFormat="true" ht="15" hidden="false" customHeight="false" outlineLevel="0" collapsed="false">
      <c r="B1385" s="1104" t="str">
        <f aca="false">'Смета Внутр'!B1385</f>
        <v>Болты анкерные с гайкой 12,0 х 280          </v>
      </c>
      <c r="C1385" s="1105" t="str">
        <f aca="false">'Смета Внутр'!C1385</f>
        <v>шт</v>
      </c>
      <c r="D1385" s="1106" t="n">
        <f aca="false">'Смета Внутр'!D1385</f>
        <v>0</v>
      </c>
      <c r="E1385" s="1104"/>
      <c r="F1385" s="1107" t="n">
        <f aca="false">'Смета Внутр'!H1385</f>
        <v>0</v>
      </c>
    </row>
    <row r="1386" s="118" customFormat="true" ht="15" hidden="false" customHeight="false" outlineLevel="0" collapsed="false">
      <c r="B1386" s="1104" t="str">
        <f aca="false">'Смета Внутр'!B1386</f>
        <v>Доска сухая, 200*50мм</v>
      </c>
      <c r="C1386" s="1105" t="str">
        <f aca="false">'Смета Внутр'!C1386</f>
        <v>м3</v>
      </c>
      <c r="D1386" s="1106" t="n">
        <f aca="false">'Смета Внутр'!D1386</f>
        <v>0</v>
      </c>
      <c r="E1386" s="1104"/>
      <c r="F1386" s="1107" t="n">
        <f aca="false">'Смета Внутр'!H1386</f>
        <v>0</v>
      </c>
    </row>
    <row r="1387" s="118" customFormat="true" ht="15" hidden="false" customHeight="false" outlineLevel="0" collapsed="false">
      <c r="B1387" s="1104" t="str">
        <f aca="false">'Смета Внутр'!B1387</f>
        <v>бугель, доска </v>
      </c>
      <c r="C1387" s="1105" t="str">
        <f aca="false">'Смета Внутр'!C1387</f>
        <v>м3</v>
      </c>
      <c r="D1387" s="1106" t="n">
        <f aca="false">'Смета Внутр'!D1387</f>
        <v>0</v>
      </c>
      <c r="E1387" s="1104"/>
      <c r="F1387" s="1107" t="n">
        <f aca="false">'Смета Внутр'!H1387</f>
        <v>0</v>
      </c>
    </row>
    <row r="1388" s="118" customFormat="true" ht="15" hidden="false" customHeight="false" outlineLevel="0" collapsed="false">
      <c r="B1388" s="1104" t="str">
        <f aca="false">'Смета Внутр'!B1388</f>
        <v>Сосна влаж,100*25мм</v>
      </c>
      <c r="C1388" s="1105" t="str">
        <f aca="false">'Смета Внутр'!C1388</f>
        <v>м3</v>
      </c>
      <c r="D1388" s="1106" t="n">
        <f aca="false">'Смета Внутр'!D1388</f>
        <v>0</v>
      </c>
      <c r="E1388" s="1104"/>
      <c r="F1388" s="1107" t="n">
        <f aca="false">'Смета Внутр'!H1388</f>
        <v>0</v>
      </c>
    </row>
    <row r="1389" s="118" customFormat="true" ht="15" hidden="false" customHeight="false" outlineLevel="0" collapsed="false">
      <c r="B1389" s="1104" t="str">
        <f aca="false">'Смета Внутр'!B1389</f>
        <v>Доска сухая, калибр., 35*45мм</v>
      </c>
      <c r="C1389" s="1105" t="str">
        <f aca="false">'Смета Внутр'!C1389</f>
        <v>шт</v>
      </c>
      <c r="D1389" s="1106" t="n">
        <f aca="false">'Смета Внутр'!D1389</f>
        <v>0</v>
      </c>
      <c r="E1389" s="1104"/>
      <c r="F1389" s="1107" t="n">
        <f aca="false">'Смета Внутр'!H1389</f>
        <v>0</v>
      </c>
    </row>
    <row r="1390" s="118" customFormat="true" ht="15" hidden="false" customHeight="false" outlineLevel="0" collapsed="false">
      <c r="B1390" s="1104" t="str">
        <f aca="false">'Смета Внутр'!B1390</f>
        <v>Мембраны Tyvek Soft</v>
      </c>
      <c r="C1390" s="1105" t="str">
        <f aca="false">'Смета Внутр'!C1390</f>
        <v>м2</v>
      </c>
      <c r="D1390" s="1106" t="n">
        <f aca="false">'Смета Внутр'!D1390</f>
        <v>0</v>
      </c>
      <c r="E1390" s="1104"/>
      <c r="F1390" s="1107" t="n">
        <f aca="false">'Смета Внутр'!H1390</f>
        <v>0</v>
      </c>
    </row>
    <row r="1391" s="118" customFormat="true" ht="15" hidden="false" customHeight="false" outlineLevel="0" collapsed="false">
      <c r="B1391" s="1104" t="str">
        <f aca="false">'Смета Внутр'!B1391</f>
        <v>Пленка Delta-Reflex</v>
      </c>
      <c r="C1391" s="1105" t="str">
        <f aca="false">'Смета Внутр'!C1391</f>
        <v>м2</v>
      </c>
      <c r="D1391" s="1106" t="n">
        <f aca="false">'Смета Внутр'!D1391</f>
        <v>0</v>
      </c>
      <c r="E1391" s="1104"/>
      <c r="F1391" s="1107" t="n">
        <f aca="false">'Смета Внутр'!H1391</f>
        <v>0</v>
      </c>
    </row>
    <row r="1392" s="118" customFormat="true" ht="15" hidden="false" customHeight="false" outlineLevel="0" collapsed="false">
      <c r="B1392" s="1104" t="str">
        <f aca="false">'Смета Внутр'!B1392</f>
        <v>Плитный,28кг/м3, технониколь, 200мм</v>
      </c>
      <c r="C1392" s="1105" t="str">
        <f aca="false">'Смета Внутр'!C1392</f>
        <v>м3</v>
      </c>
      <c r="D1392" s="1106" t="n">
        <f aca="false">'Смета Внутр'!D1392</f>
        <v>0</v>
      </c>
      <c r="E1392" s="1104"/>
      <c r="F1392" s="1107" t="n">
        <f aca="false">'Смета Внутр'!H1392</f>
        <v>0</v>
      </c>
    </row>
    <row r="1393" s="118" customFormat="true" ht="15" hidden="false" customHeight="false" outlineLevel="0" collapsed="false">
      <c r="B1393" s="1104" t="str">
        <f aca="false">'Смета Внутр'!B1393</f>
        <v>металлочерепица</v>
      </c>
      <c r="C1393" s="1105" t="str">
        <f aca="false">'Смета Внутр'!C1393</f>
        <v>м2</v>
      </c>
      <c r="D1393" s="1106" t="n">
        <f aca="false">'Смета Внутр'!D1393</f>
        <v>0</v>
      </c>
      <c r="E1393" s="1104"/>
      <c r="F1393" s="1107" t="n">
        <f aca="false">'Смета Внутр'!H1393</f>
        <v>0</v>
      </c>
    </row>
    <row r="1394" s="118" customFormat="true" ht="15" hidden="false" customHeight="false" outlineLevel="0" collapsed="false">
      <c r="B1394" s="1104" t="str">
        <f aca="false">'Смета Внутр'!B1394</f>
        <v>Карнизная планка</v>
      </c>
      <c r="C1394" s="1105" t="str">
        <f aca="false">'Смета Внутр'!C1394</f>
        <v>м.п.</v>
      </c>
      <c r="D1394" s="1106" t="n">
        <f aca="false">'Смета Внутр'!D1394</f>
        <v>0</v>
      </c>
      <c r="E1394" s="1104"/>
      <c r="F1394" s="1107" t="n">
        <f aca="false">'Смета Внутр'!H1394</f>
        <v>0</v>
      </c>
    </row>
    <row r="1395" s="118" customFormat="true" ht="15" hidden="false" customHeight="false" outlineLevel="0" collapsed="false">
      <c r="B1395" s="1104" t="str">
        <f aca="false">'Смета Внутр'!B1395</f>
        <v>Торцевая планка</v>
      </c>
      <c r="C1395" s="1105" t="str">
        <f aca="false">'Смета Внутр'!C1395</f>
        <v>м.п.</v>
      </c>
      <c r="D1395" s="1106" t="n">
        <f aca="false">'Смета Внутр'!D1395</f>
        <v>0</v>
      </c>
      <c r="E1395" s="1104"/>
      <c r="F1395" s="1107" t="n">
        <f aca="false">'Смета Внутр'!H1395</f>
        <v>0</v>
      </c>
    </row>
    <row r="1396" s="118" customFormat="true" ht="15" hidden="false" customHeight="false" outlineLevel="0" collapsed="false">
      <c r="B1396" s="1104" t="str">
        <f aca="false">'Смета Внутр'!B1396</f>
        <v>Конек</v>
      </c>
      <c r="C1396" s="1105" t="str">
        <f aca="false">'Смета Внутр'!C1396</f>
        <v>м.п.</v>
      </c>
      <c r="D1396" s="1106" t="n">
        <f aca="false">'Смета Внутр'!D1396</f>
        <v>0</v>
      </c>
      <c r="E1396" s="1104"/>
      <c r="F1396" s="1107" t="n">
        <f aca="false">'Смета Внутр'!H1396</f>
        <v>0</v>
      </c>
    </row>
    <row r="1397" s="118" customFormat="true" ht="15" hidden="false" customHeight="false" outlineLevel="0" collapsed="false">
      <c r="B1397" s="1104" t="str">
        <f aca="false">'Смета Внутр'!B1397</f>
        <v>Ендова нижняя</v>
      </c>
      <c r="C1397" s="1105" t="str">
        <f aca="false">'Смета Внутр'!C1397</f>
        <v>м.п</v>
      </c>
      <c r="D1397" s="1106" t="n">
        <f aca="false">'Смета Внутр'!D1397</f>
        <v>0</v>
      </c>
      <c r="E1397" s="1104"/>
      <c r="F1397" s="1107" t="n">
        <f aca="false">'Смета Внутр'!H1397</f>
        <v>0</v>
      </c>
    </row>
    <row r="1398" s="118" customFormat="true" ht="15" hidden="false" customHeight="false" outlineLevel="0" collapsed="false">
      <c r="B1398" s="1104" t="str">
        <f aca="false">'Смета Внутр'!B1398</f>
        <v>Планка примыкания</v>
      </c>
      <c r="C1398" s="1105" t="str">
        <f aca="false">'Смета Внутр'!C1398</f>
        <v>м.п.</v>
      </c>
      <c r="D1398" s="1106" t="n">
        <f aca="false">'Смета Внутр'!D1398</f>
        <v>0</v>
      </c>
      <c r="E1398" s="1104"/>
      <c r="F1398" s="1107" t="n">
        <f aca="false">'Смета Внутр'!H1398</f>
        <v>0</v>
      </c>
    </row>
    <row r="1399" s="118" customFormat="true" ht="15" hidden="false" customHeight="false" outlineLevel="0" collapsed="false">
      <c r="B1399" s="1104" t="str">
        <f aca="false">'Смета Внутр'!B1399</f>
        <v>ондулин</v>
      </c>
      <c r="C1399" s="1105" t="str">
        <f aca="false">'Смета Внутр'!C1399</f>
        <v>м2</v>
      </c>
      <c r="D1399" s="1106" t="n">
        <f aca="false">'Смета Внутр'!D1399</f>
        <v>0</v>
      </c>
      <c r="E1399" s="1104"/>
      <c r="F1399" s="1107" t="n">
        <f aca="false">'Смета Внутр'!H1399</f>
        <v>0</v>
      </c>
    </row>
    <row r="1400" s="118" customFormat="true" ht="15" hidden="false" customHeight="false" outlineLevel="0" collapsed="false">
      <c r="B1400" s="1104" t="str">
        <f aca="false">'Смета Внутр'!B1400</f>
        <v>Карнизная планка</v>
      </c>
      <c r="C1400" s="1105" t="str">
        <f aca="false">'Смета Внутр'!C1400</f>
        <v>м.п.</v>
      </c>
      <c r="D1400" s="1106" t="n">
        <f aca="false">'Смета Внутр'!D1400</f>
        <v>0</v>
      </c>
      <c r="E1400" s="1104"/>
      <c r="F1400" s="1107" t="n">
        <f aca="false">'Смета Внутр'!H1400</f>
        <v>0</v>
      </c>
    </row>
    <row r="1401" s="118" customFormat="true" ht="15" hidden="false" customHeight="false" outlineLevel="0" collapsed="false">
      <c r="B1401" s="1104" t="str">
        <f aca="false">'Смета Внутр'!B1401</f>
        <v>Торцевая планка</v>
      </c>
      <c r="C1401" s="1105" t="str">
        <f aca="false">'Смета Внутр'!C1401</f>
        <v>м.п.</v>
      </c>
      <c r="D1401" s="1106" t="n">
        <f aca="false">'Смета Внутр'!D1401</f>
        <v>0</v>
      </c>
      <c r="E1401" s="1104"/>
      <c r="F1401" s="1107" t="n">
        <f aca="false">'Смета Внутр'!H1401</f>
        <v>0</v>
      </c>
    </row>
    <row r="1402" s="118" customFormat="true" ht="15" hidden="false" customHeight="false" outlineLevel="0" collapsed="false">
      <c r="B1402" s="1104" t="str">
        <f aca="false">'Смета Внутр'!B1402</f>
        <v>Конек</v>
      </c>
      <c r="C1402" s="1105" t="str">
        <f aca="false">'Смета Внутр'!C1402</f>
        <v>м.п.</v>
      </c>
      <c r="D1402" s="1106" t="n">
        <f aca="false">'Смета Внутр'!D1402</f>
        <v>0</v>
      </c>
      <c r="E1402" s="1104"/>
      <c r="F1402" s="1107" t="n">
        <f aca="false">'Смета Внутр'!H1402</f>
        <v>0</v>
      </c>
    </row>
    <row r="1403" s="118" customFormat="true" ht="15" hidden="false" customHeight="false" outlineLevel="0" collapsed="false">
      <c r="B1403" s="1104" t="str">
        <f aca="false">'Смета Внутр'!B1403</f>
        <v>Ендова нижняя</v>
      </c>
      <c r="C1403" s="1105" t="str">
        <f aca="false">'Смета Внутр'!C1403</f>
        <v>м.п.</v>
      </c>
      <c r="D1403" s="1106" t="n">
        <f aca="false">'Смета Внутр'!D1403</f>
        <v>0</v>
      </c>
      <c r="E1403" s="1104"/>
      <c r="F1403" s="1107" t="n">
        <f aca="false">'Смета Внутр'!H1403</f>
        <v>0</v>
      </c>
    </row>
    <row r="1404" s="118" customFormat="true" ht="15" hidden="false" customHeight="false" outlineLevel="0" collapsed="false">
      <c r="B1404" s="1104" t="str">
        <f aca="false">'Смета Внутр'!B1404</f>
        <v>Ендова верхняя</v>
      </c>
      <c r="C1404" s="1105" t="str">
        <f aca="false">'Смета Внутр'!C1404</f>
        <v>м.п.</v>
      </c>
      <c r="D1404" s="1106" t="n">
        <f aca="false">'Смета Внутр'!D1404</f>
        <v>0</v>
      </c>
      <c r="E1404" s="1104"/>
      <c r="F1404" s="1107" t="n">
        <f aca="false">'Смета Внутр'!H1404</f>
        <v>0</v>
      </c>
    </row>
    <row r="1405" s="118" customFormat="true" ht="15" hidden="false" customHeight="false" outlineLevel="0" collapsed="false">
      <c r="B1405" s="1104" t="str">
        <f aca="false">'Смета Внутр'!B1405</f>
        <v>Планка примыкания</v>
      </c>
      <c r="C1405" s="1105" t="str">
        <f aca="false">'Смета Внутр'!C1405</f>
        <v>м.п.</v>
      </c>
      <c r="D1405" s="1106" t="n">
        <f aca="false">'Смета Внутр'!D1405</f>
        <v>0</v>
      </c>
      <c r="E1405" s="1104"/>
      <c r="F1405" s="1107" t="n">
        <f aca="false">'Смета Внутр'!H1405</f>
        <v>0</v>
      </c>
    </row>
    <row r="1406" s="118" customFormat="true" ht="15" hidden="false" customHeight="false" outlineLevel="0" collapsed="false">
      <c r="B1406" s="1104" t="str">
        <f aca="false">'Смета Внутр'!B1406</f>
        <v>Крепеж для ондулина</v>
      </c>
      <c r="C1406" s="1105" t="str">
        <f aca="false">'Смета Внутр'!C1406</f>
        <v>шт</v>
      </c>
      <c r="D1406" s="1106" t="n">
        <f aca="false">'Смета Внутр'!D1406</f>
        <v>0</v>
      </c>
      <c r="E1406" s="1104"/>
      <c r="F1406" s="1107" t="n">
        <f aca="false">'Смета Внутр'!H1406</f>
        <v>0</v>
      </c>
    </row>
    <row r="1407" s="118" customFormat="true" ht="15" hidden="false" customHeight="false" outlineLevel="0" collapsed="false">
      <c r="B1407" s="1104" t="str">
        <f aca="false">'Смета Внутр'!B1407</f>
        <v>нет</v>
      </c>
      <c r="C1407" s="1105" t="str">
        <f aca="false">'Смета Внутр'!C1407</f>
        <v>м2</v>
      </c>
      <c r="D1407" s="1106" t="n">
        <f aca="false">'Смета Внутр'!D1407</f>
        <v>0</v>
      </c>
      <c r="E1407" s="1104"/>
      <c r="F1407" s="1107" t="n">
        <f aca="false">'Смета Внутр'!H1407</f>
        <v>0</v>
      </c>
    </row>
    <row r="1408" s="118" customFormat="true" ht="15" hidden="false" customHeight="false" outlineLevel="0" collapsed="false">
      <c r="B1408" s="1104" t="str">
        <f aca="false">'Смета Внутр'!B1408</f>
        <v>Рядовая черепица</v>
      </c>
      <c r="C1408" s="1105" t="str">
        <f aca="false">'Смета Внутр'!C1408</f>
        <v>м2</v>
      </c>
      <c r="D1408" s="1106" t="n">
        <f aca="false">'Смета Внутр'!D1408</f>
        <v>0</v>
      </c>
      <c r="E1408" s="1104"/>
      <c r="F1408" s="1107" t="n">
        <f aca="false">'Смета Внутр'!H1408</f>
        <v>0</v>
      </c>
    </row>
    <row r="1409" s="118" customFormat="true" ht="15" hidden="false" customHeight="false" outlineLevel="0" collapsed="false">
      <c r="B1409" s="1104" t="str">
        <f aca="false">'Смета Внутр'!B1409</f>
        <v>Металл оцинк защита (карниз)</v>
      </c>
      <c r="C1409" s="1105" t="str">
        <f aca="false">'Смета Внутр'!C1409</f>
        <v>м.п.</v>
      </c>
      <c r="D1409" s="1106" t="n">
        <f aca="false">'Смета Внутр'!D1409</f>
        <v>0</v>
      </c>
      <c r="E1409" s="1104"/>
      <c r="F1409" s="1107" t="n">
        <f aca="false">'Смета Внутр'!H1409</f>
        <v>0</v>
      </c>
    </row>
    <row r="1410" s="118" customFormat="true" ht="15" hidden="false" customHeight="false" outlineLevel="0" collapsed="false">
      <c r="B1410" s="1104" t="str">
        <f aca="false">'Смета Внутр'!B1410</f>
        <v>Подкладочный ковер</v>
      </c>
      <c r="C1410" s="1105" t="str">
        <f aca="false">'Смета Внутр'!C1410</f>
        <v>м.п.</v>
      </c>
      <c r="D1410" s="1106" t="n">
        <f aca="false">'Смета Внутр'!D1410</f>
        <v>0</v>
      </c>
      <c r="E1410" s="1104"/>
      <c r="F1410" s="1107" t="n">
        <f aca="false">'Смета Внутр'!H1410</f>
        <v>0</v>
      </c>
    </row>
    <row r="1411" s="118" customFormat="true" ht="15" hidden="false" customHeight="false" outlineLevel="0" collapsed="false">
      <c r="B1411" s="1104" t="str">
        <f aca="false">'Смета Внутр'!B1411</f>
        <v>Карнизная самоклеющаяся черепица</v>
      </c>
      <c r="C1411" s="1105" t="str">
        <f aca="false">'Смета Внутр'!C1411</f>
        <v>м.п.</v>
      </c>
      <c r="D1411" s="1106" t="n">
        <f aca="false">'Смета Внутр'!D1411</f>
        <v>0</v>
      </c>
      <c r="E1411" s="1104"/>
      <c r="F1411" s="1107" t="n">
        <f aca="false">'Смета Внутр'!H1411</f>
        <v>0</v>
      </c>
    </row>
    <row r="1412" s="118" customFormat="true" ht="15" hidden="false" customHeight="false" outlineLevel="0" collapsed="false">
      <c r="B1412" s="1104" t="str">
        <f aca="false">'Смета Внутр'!B1412</f>
        <v>Спец ковер ендова нижняя</v>
      </c>
      <c r="C1412" s="1105" t="str">
        <f aca="false">'Смета Внутр'!C1412</f>
        <v>м.п.</v>
      </c>
      <c r="D1412" s="1106" t="n">
        <f aca="false">'Смета Внутр'!D1412</f>
        <v>0</v>
      </c>
      <c r="E1412" s="1104"/>
      <c r="F1412" s="1107" t="n">
        <f aca="false">'Смета Внутр'!H1412</f>
        <v>0</v>
      </c>
    </row>
    <row r="1413" s="118" customFormat="true" ht="15" hidden="false" customHeight="false" outlineLevel="0" collapsed="false">
      <c r="B1413" s="1104" t="str">
        <f aca="false">'Смета Внутр'!B1413</f>
        <v>Коньковой элемент</v>
      </c>
      <c r="C1413" s="1105" t="str">
        <f aca="false">'Смета Внутр'!C1413</f>
        <v>м.п.</v>
      </c>
      <c r="D1413" s="1106" t="n">
        <f aca="false">'Смета Внутр'!D1413</f>
        <v>0</v>
      </c>
      <c r="E1413" s="1104"/>
      <c r="F1413" s="1107" t="n">
        <f aca="false">'Смета Внутр'!H1413</f>
        <v>0</v>
      </c>
    </row>
    <row r="1414" s="118" customFormat="true" ht="15" hidden="false" customHeight="false" outlineLevel="0" collapsed="false">
      <c r="B1414" s="1104" t="str">
        <f aca="false">'Смета Внутр'!B1414</f>
        <v>Планка премыкания</v>
      </c>
      <c r="C1414" s="1105" t="str">
        <f aca="false">'Смета Внутр'!C1414</f>
        <v>м.п.</v>
      </c>
      <c r="D1414" s="1106" t="n">
        <f aca="false">'Смета Внутр'!D1414</f>
        <v>0</v>
      </c>
      <c r="E1414" s="1104"/>
      <c r="F1414" s="1107" t="n">
        <f aca="false">'Смета Внутр'!H1414</f>
        <v>0</v>
      </c>
    </row>
    <row r="1415" s="118" customFormat="true" ht="15" hidden="false" customHeight="false" outlineLevel="0" collapsed="false">
      <c r="B1415" s="1104" t="str">
        <f aca="false">'Смета Внутр'!B1415</f>
        <v>Гвозди для крепления подкладочного ковра</v>
      </c>
      <c r="C1415" s="1105" t="str">
        <f aca="false">'Смета Внутр'!C1415</f>
        <v>шт</v>
      </c>
      <c r="D1415" s="1106" t="n">
        <f aca="false">'Смета Внутр'!D1415</f>
        <v>0</v>
      </c>
      <c r="E1415" s="1104"/>
      <c r="F1415" s="1107" t="n">
        <f aca="false">'Смета Внутр'!H1415</f>
        <v>0</v>
      </c>
    </row>
    <row r="1416" s="118" customFormat="true" ht="15" hidden="false" customHeight="false" outlineLevel="0" collapsed="false">
      <c r="B1416" s="1104" t="str">
        <f aca="false">'Смета Внутр'!B1416</f>
        <v>Гвозди для крепления черепицы</v>
      </c>
      <c r="C1416" s="1105" t="str">
        <f aca="false">'Смета Внутр'!C1416</f>
        <v>шт</v>
      </c>
      <c r="D1416" s="1106" t="n">
        <f aca="false">'Смета Внутр'!D1416</f>
        <v>0</v>
      </c>
      <c r="E1416" s="1104"/>
      <c r="F1416" s="1107" t="n">
        <f aca="false">'Смета Внутр'!H1416</f>
        <v>0</v>
      </c>
    </row>
    <row r="1417" s="118" customFormat="true" ht="15" hidden="false" customHeight="false" outlineLevel="0" collapsed="false">
      <c r="B1417" s="1104" t="str">
        <f aca="false">'Смета Внутр'!B1417</f>
        <v>Клей для монтажа черепицы</v>
      </c>
      <c r="C1417" s="1105" t="str">
        <f aca="false">'Смета Внутр'!C1417</f>
        <v>кг</v>
      </c>
      <c r="D1417" s="1106" t="n">
        <f aca="false">'Смета Внутр'!D1417</f>
        <v>0</v>
      </c>
      <c r="E1417" s="1104"/>
      <c r="F1417" s="1107" t="n">
        <f aca="false">'Смета Внутр'!H1417</f>
        <v>0</v>
      </c>
    </row>
    <row r="1418" s="118" customFormat="true" ht="15" hidden="false" customHeight="false" outlineLevel="0" collapsed="false">
      <c r="B1418" s="1104" t="str">
        <f aca="false">'Смета Внутр'!B1418</f>
        <v>желоб</v>
      </c>
      <c r="C1418" s="1105" t="str">
        <f aca="false">'Смета Внутр'!C1418</f>
        <v>м.п</v>
      </c>
      <c r="D1418" s="1106" t="n">
        <f aca="false">'Смета Внутр'!D1418</f>
        <v>0</v>
      </c>
      <c r="E1418" s="1104"/>
      <c r="F1418" s="1107" t="n">
        <f aca="false">'Смета Внутр'!H1418</f>
        <v>0</v>
      </c>
    </row>
    <row r="1419" s="118" customFormat="true" ht="15" hidden="false" customHeight="false" outlineLevel="0" collapsed="false">
      <c r="B1419" s="1104" t="str">
        <f aca="false">'Смета Внутр'!B1419</f>
        <v>отвод</v>
      </c>
      <c r="C1419" s="1105" t="str">
        <f aca="false">'Смета Внутр'!C1419</f>
        <v>шт</v>
      </c>
      <c r="D1419" s="1106" t="n">
        <f aca="false">'Смета Внутр'!D1419</f>
        <v>0</v>
      </c>
      <c r="E1419" s="1104"/>
      <c r="F1419" s="1107" t="n">
        <f aca="false">'Смета Внутр'!H1419</f>
        <v>0</v>
      </c>
    </row>
    <row r="1420" s="118" customFormat="true" ht="15" hidden="false" customHeight="false" outlineLevel="0" collapsed="false">
      <c r="B1420" s="1104" t="str">
        <f aca="false">'Смета Внутр'!B1420</f>
        <v>труба водосточная</v>
      </c>
      <c r="C1420" s="1105" t="str">
        <f aca="false">'Смета Внутр'!C1420</f>
        <v>м.п.</v>
      </c>
      <c r="D1420" s="1106" t="n">
        <f aca="false">'Смета Внутр'!D1420</f>
        <v>0</v>
      </c>
      <c r="E1420" s="1104"/>
      <c r="F1420" s="1107" t="n">
        <f aca="false">'Смета Внутр'!H1420</f>
        <v>0</v>
      </c>
    </row>
    <row r="1421" s="118" customFormat="true" ht="15" hidden="false" customHeight="false" outlineLevel="0" collapsed="false">
      <c r="B1421" s="1104" t="str">
        <f aca="false">'Смета Внутр'!B1421</f>
        <v>заглушка для желоба</v>
      </c>
      <c r="C1421" s="1105" t="str">
        <f aca="false">'Смета Внутр'!C1421</f>
        <v>шт</v>
      </c>
      <c r="D1421" s="1106" t="n">
        <f aca="false">'Смета Внутр'!D1421</f>
        <v>0</v>
      </c>
      <c r="E1421" s="1104"/>
      <c r="F1421" s="1107" t="n">
        <f aca="false">'Смета Внутр'!H1421</f>
        <v>0</v>
      </c>
    </row>
    <row r="1422" s="118" customFormat="true" ht="15" hidden="false" customHeight="false" outlineLevel="0" collapsed="false">
      <c r="B1422" s="1104" t="str">
        <f aca="false">'Смета Внутр'!B1422</f>
        <v>соеденитель для желоба</v>
      </c>
      <c r="C1422" s="1105" t="str">
        <f aca="false">'Смета Внутр'!C1422</f>
        <v>шт</v>
      </c>
      <c r="D1422" s="1106" t="n">
        <f aca="false">'Смета Внутр'!D1422</f>
        <v>2</v>
      </c>
      <c r="E1422" s="1104"/>
      <c r="F1422" s="1107" t="n">
        <f aca="false">'Смета Внутр'!H1422</f>
        <v>0</v>
      </c>
    </row>
    <row r="1423" s="118" customFormat="true" ht="15" hidden="false" customHeight="false" outlineLevel="0" collapsed="false">
      <c r="B1423" s="1104" t="str">
        <f aca="false">'Смета Внутр'!B1423</f>
        <v>кронштейн для желоба</v>
      </c>
      <c r="C1423" s="1105" t="str">
        <f aca="false">'Смета Внутр'!C1423</f>
        <v>шт</v>
      </c>
      <c r="D1423" s="1106" t="n">
        <f aca="false">'Смета Внутр'!D1423</f>
        <v>0</v>
      </c>
      <c r="E1423" s="1104"/>
      <c r="F1423" s="1107" t="n">
        <f aca="false">'Смета Внутр'!H1423</f>
        <v>0</v>
      </c>
    </row>
    <row r="1424" s="118" customFormat="true" ht="15" hidden="false" customHeight="false" outlineLevel="0" collapsed="false">
      <c r="B1424" s="1104" t="str">
        <f aca="false">'Смета Внутр'!B1424</f>
        <v>переход из желоба в трубу</v>
      </c>
      <c r="C1424" s="1105" t="str">
        <f aca="false">'Смета Внутр'!C1424</f>
        <v>шт</v>
      </c>
      <c r="D1424" s="1106" t="n">
        <f aca="false">'Смета Внутр'!D1424</f>
        <v>0</v>
      </c>
      <c r="E1424" s="1104"/>
      <c r="F1424" s="1107" t="n">
        <f aca="false">'Смета Внутр'!H1424</f>
        <v>0</v>
      </c>
    </row>
    <row r="1425" s="118" customFormat="true" ht="15" hidden="false" customHeight="false" outlineLevel="0" collapsed="false">
      <c r="B1425" s="1104" t="str">
        <f aca="false">'Смета Внутр'!B1425</f>
        <v>лента дельта мульти бэнд</v>
      </c>
      <c r="C1425" s="1105" t="str">
        <f aca="false">'Смета Внутр'!C1425</f>
        <v>шт</v>
      </c>
      <c r="D1425" s="1106" t="n">
        <f aca="false">'Смета Внутр'!D1425</f>
        <v>0</v>
      </c>
      <c r="E1425" s="1104"/>
      <c r="F1425" s="1107" t="n">
        <f aca="false">'Смета Внутр'!H1425</f>
        <v>0</v>
      </c>
    </row>
    <row r="1426" s="118" customFormat="true" ht="15" hidden="false" customHeight="false" outlineLevel="0" collapsed="false">
      <c r="B1426" s="1104" t="str">
        <f aca="false">'Смета Внутр'!B1426</f>
        <v>лента дельта sb-60</v>
      </c>
      <c r="C1426" s="1105" t="str">
        <f aca="false">'Смета Внутр'!C1426</f>
        <v>шт</v>
      </c>
      <c r="D1426" s="1106" t="n">
        <f aca="false">'Смета Внутр'!D1426</f>
        <v>0</v>
      </c>
      <c r="E1426" s="1104"/>
      <c r="F1426" s="1107" t="n">
        <f aca="false">'Смета Внутр'!H1426</f>
        <v>0</v>
      </c>
    </row>
    <row r="1427" s="118" customFormat="true" ht="15" hidden="false" customHeight="false" outlineLevel="0" collapsed="false">
      <c r="B1427" s="1104" t="str">
        <f aca="false">'Смета Внутр'!B1427</f>
        <v>Кровельный саморез</v>
      </c>
      <c r="C1427" s="1105" t="str">
        <f aca="false">'Смета Внутр'!C1427</f>
        <v>шт</v>
      </c>
      <c r="D1427" s="1106" t="n">
        <f aca="false">'Смета Внутр'!D1427</f>
        <v>0</v>
      </c>
      <c r="E1427" s="1104"/>
      <c r="F1427" s="1107" t="n">
        <f aca="false">'Смета Внутр'!H1427</f>
        <v>0</v>
      </c>
    </row>
    <row r="1428" s="118" customFormat="true" ht="15" hidden="false" customHeight="false" outlineLevel="0" collapsed="false">
      <c r="B1428" s="1104" t="str">
        <f aca="false">'Смета Внутр'!B1428</f>
        <v>Гвозди ершоные 3,4 x 60            </v>
      </c>
      <c r="C1428" s="1105" t="str">
        <f aca="false">'Смета Внутр'!C1428</f>
        <v>кг</v>
      </c>
      <c r="D1428" s="1106" t="n">
        <f aca="false">'Смета Внутр'!D1428</f>
        <v>0</v>
      </c>
      <c r="E1428" s="1104"/>
      <c r="F1428" s="1107" t="n">
        <f aca="false">'Смета Внутр'!H1428</f>
        <v>0</v>
      </c>
    </row>
    <row r="1429" s="118" customFormat="true" ht="15" hidden="false" customHeight="false" outlineLevel="0" collapsed="false">
      <c r="B1429" s="1104" t="str">
        <f aca="false">'Смета Внутр'!B1429</f>
        <v>Гвозди ершоные 2,8 х 90            </v>
      </c>
      <c r="C1429" s="1105" t="str">
        <f aca="false">'Смета Внутр'!C1429</f>
        <v>кг</v>
      </c>
      <c r="D1429" s="1106" t="n">
        <f aca="false">'Смета Внутр'!D1429</f>
        <v>0</v>
      </c>
      <c r="E1429" s="1104"/>
      <c r="F1429" s="1107" t="n">
        <f aca="false">'Смета Внутр'!H1429</f>
        <v>0</v>
      </c>
    </row>
    <row r="1430" s="118" customFormat="true" ht="15" hidden="false" customHeight="false" outlineLevel="0" collapsed="false">
      <c r="B1430" s="1104" t="str">
        <f aca="false">'Смета Внутр'!B1430</f>
        <v>Уголок усиленный 90х70х55х2,5        </v>
      </c>
      <c r="C1430" s="1105" t="str">
        <f aca="false">'Смета Внутр'!C1430</f>
        <v>шт</v>
      </c>
      <c r="D1430" s="1106" t="n">
        <f aca="false">'Смета Внутр'!D1430</f>
        <v>0</v>
      </c>
      <c r="E1430" s="1104"/>
      <c r="F1430" s="1107" t="n">
        <f aca="false">'Смета Внутр'!H1430</f>
        <v>0</v>
      </c>
    </row>
    <row r="1431" s="118" customFormat="true" ht="15" hidden="false" customHeight="false" outlineLevel="0" collapsed="false">
      <c r="B1431" s="1108" t="str">
        <f aca="false">'Смета Внутр'!B1431</f>
        <v>Итого материалы</v>
      </c>
      <c r="C1431" s="1108"/>
      <c r="D1431" s="1108"/>
      <c r="E1431" s="1108"/>
      <c r="F1431" s="1109" t="n">
        <f aca="false">'Смета Внутр'!G1431</f>
        <v>0</v>
      </c>
    </row>
    <row r="1432" s="118" customFormat="true" ht="15" hidden="false" customHeight="false" outlineLevel="0" collapsed="false">
      <c r="B1432" s="1110" t="str">
        <f aca="false">'Смета Внутр'!B1432</f>
        <v>Работы</v>
      </c>
      <c r="C1432" s="1110"/>
      <c r="D1432" s="1110"/>
      <c r="E1432" s="1110"/>
      <c r="F1432" s="1102" t="n">
        <f aca="false">'Смета Внутр'!H1432</f>
        <v>0</v>
      </c>
    </row>
    <row r="1433" s="118" customFormat="true" ht="15" hidden="false" customHeight="false" outlineLevel="0" collapsed="false">
      <c r="B1433" s="1104" t="str">
        <f aca="false">'Смета Внутр'!B1433</f>
        <v>монтаж мауэрлат</v>
      </c>
      <c r="C1433" s="1105" t="str">
        <f aca="false">'Смета Внутр'!C1433</f>
        <v>м.п.</v>
      </c>
      <c r="D1433" s="1106" t="n">
        <f aca="false">'Смета Внутр'!D1433</f>
        <v>0</v>
      </c>
      <c r="E1433" s="1104"/>
      <c r="F1433" s="1107" t="n">
        <f aca="false">'Смета Внутр'!H1433</f>
        <v>0</v>
      </c>
    </row>
    <row r="1434" s="118" customFormat="true" ht="15" hidden="false" customHeight="false" outlineLevel="0" collapsed="false">
      <c r="B1434" s="1104" t="str">
        <f aca="false">'Смета Внутр'!B1434</f>
        <v>монтаж стропил</v>
      </c>
      <c r="C1434" s="1105" t="str">
        <f aca="false">'Смета Внутр'!C1434</f>
        <v>м2</v>
      </c>
      <c r="D1434" s="1106" t="n">
        <f aca="false">'Смета Внутр'!D1434</f>
        <v>0</v>
      </c>
      <c r="E1434" s="1104"/>
      <c r="F1434" s="1107" t="n">
        <f aca="false">'Смета Внутр'!H1434</f>
        <v>0</v>
      </c>
    </row>
    <row r="1435" s="118" customFormat="true" ht="15" hidden="false" customHeight="false" outlineLevel="0" collapsed="false">
      <c r="B1435" s="1104" t="str">
        <f aca="false">'Смета Внутр'!B1435</f>
        <v>обрешетка</v>
      </c>
      <c r="C1435" s="1105" t="str">
        <f aca="false">'Смета Внутр'!C1435</f>
        <v>м2</v>
      </c>
      <c r="D1435" s="1106" t="n">
        <f aca="false">'Смета Внутр'!D1435</f>
        <v>0</v>
      </c>
      <c r="E1435" s="1104"/>
      <c r="F1435" s="1107" t="n">
        <f aca="false">'Смета Внутр'!H1435</f>
        <v>0</v>
      </c>
    </row>
    <row r="1436" s="118" customFormat="true" ht="15" hidden="false" customHeight="false" outlineLevel="0" collapsed="false">
      <c r="B1436" s="1104" t="str">
        <f aca="false">'Смета Внутр'!B1436</f>
        <v>контробеш</v>
      </c>
      <c r="C1436" s="1105" t="str">
        <f aca="false">'Смета Внутр'!C1436</f>
        <v>м2</v>
      </c>
      <c r="D1436" s="1106" t="n">
        <f aca="false">'Смета Внутр'!D1436</f>
        <v>0</v>
      </c>
      <c r="E1436" s="1104"/>
      <c r="F1436" s="1107" t="n">
        <f aca="false">'Смета Внутр'!H1436</f>
        <v>0</v>
      </c>
    </row>
    <row r="1437" s="118" customFormat="true" ht="15" hidden="false" customHeight="false" outlineLevel="0" collapsed="false">
      <c r="B1437" s="1104" t="str">
        <f aca="false">'Смета Внутр'!B1437</f>
        <v>мембрана</v>
      </c>
      <c r="C1437" s="1105" t="str">
        <f aca="false">'Смета Внутр'!C1437</f>
        <v>м2</v>
      </c>
      <c r="D1437" s="1106" t="n">
        <f aca="false">'Смета Внутр'!D1437</f>
        <v>0</v>
      </c>
      <c r="E1437" s="1104"/>
      <c r="F1437" s="1107" t="n">
        <f aca="false">'Смета Внутр'!H1437</f>
        <v>0</v>
      </c>
    </row>
    <row r="1438" s="118" customFormat="true" ht="15" hidden="false" customHeight="false" outlineLevel="0" collapsed="false">
      <c r="B1438" s="1104" t="str">
        <f aca="false">'Смета Внутр'!B1438</f>
        <v>пароизоляц</v>
      </c>
      <c r="C1438" s="1105" t="str">
        <f aca="false">'Смета Внутр'!C1438</f>
        <v>м2</v>
      </c>
      <c r="D1438" s="1106" t="n">
        <f aca="false">'Смета Внутр'!D1438</f>
        <v>0</v>
      </c>
      <c r="E1438" s="1104"/>
      <c r="F1438" s="1107" t="n">
        <f aca="false">'Смета Внутр'!H1438</f>
        <v>0</v>
      </c>
    </row>
    <row r="1439" s="118" customFormat="true" ht="15" hidden="false" customHeight="false" outlineLevel="0" collapsed="false">
      <c r="B1439" s="1104" t="str">
        <f aca="false">'Смета Внутр'!B1439</f>
        <v>утеплитель</v>
      </c>
      <c r="C1439" s="1105" t="str">
        <f aca="false">'Смета Внутр'!C1439</f>
        <v>м2</v>
      </c>
      <c r="D1439" s="1106" t="n">
        <f aca="false">'Смета Внутр'!D1439</f>
        <v>0</v>
      </c>
      <c r="E1439" s="1104"/>
      <c r="F1439" s="1107" t="n">
        <f aca="false">'Смета Внутр'!H1439</f>
        <v>0</v>
      </c>
    </row>
    <row r="1440" s="118" customFormat="true" ht="15" hidden="false" customHeight="false" outlineLevel="0" collapsed="false">
      <c r="B1440" s="1104" t="str">
        <f aca="false">'Смета Внутр'!B1440</f>
        <v>Монтаж металлочерепицы</v>
      </c>
      <c r="C1440" s="1105" t="str">
        <f aca="false">'Смета Внутр'!C1440</f>
        <v>м2</v>
      </c>
      <c r="D1440" s="1106" t="n">
        <f aca="false">'Смета Внутр'!D1440</f>
        <v>0</v>
      </c>
      <c r="E1440" s="1104"/>
      <c r="F1440" s="1107" t="n">
        <f aca="false">'Смета Внутр'!H1440</f>
        <v>0</v>
      </c>
    </row>
    <row r="1441" s="118" customFormat="true" ht="15" hidden="false" customHeight="false" outlineLevel="0" collapsed="false">
      <c r="B1441" s="1104" t="str">
        <f aca="false">'Смета Внутр'!B1441</f>
        <v>карнизная планка</v>
      </c>
      <c r="C1441" s="1105" t="str">
        <f aca="false">'Смета Внутр'!C1441</f>
        <v>м2</v>
      </c>
      <c r="D1441" s="1106" t="n">
        <f aca="false">'Смета Внутр'!D1441</f>
        <v>0</v>
      </c>
      <c r="E1441" s="1104"/>
      <c r="F1441" s="1107" t="n">
        <f aca="false">'Смета Внутр'!H1441</f>
        <v>0</v>
      </c>
    </row>
    <row r="1442" s="118" customFormat="true" ht="15" hidden="false" customHeight="false" outlineLevel="0" collapsed="false">
      <c r="B1442" s="1104" t="str">
        <f aca="false">'Смета Внутр'!B1442</f>
        <v>торцевая планка</v>
      </c>
      <c r="C1442" s="1105" t="str">
        <f aca="false">'Смета Внутр'!C1442</f>
        <v>м2</v>
      </c>
      <c r="D1442" s="1106" t="n">
        <f aca="false">'Смета Внутр'!D1442</f>
        <v>0</v>
      </c>
      <c r="E1442" s="1104"/>
      <c r="F1442" s="1107" t="n">
        <f aca="false">'Смета Внутр'!H1442</f>
        <v>0</v>
      </c>
    </row>
    <row r="1443" s="118" customFormat="true" ht="15" hidden="false" customHeight="false" outlineLevel="0" collapsed="false">
      <c r="B1443" s="1104" t="str">
        <f aca="false">'Смета Внутр'!B1443</f>
        <v>желоб водосточный</v>
      </c>
      <c r="C1443" s="1105" t="str">
        <f aca="false">'Смета Внутр'!C1443</f>
        <v>м.п.</v>
      </c>
      <c r="D1443" s="1106" t="n">
        <f aca="false">'Смета Внутр'!D1443</f>
        <v>0</v>
      </c>
      <c r="E1443" s="1104"/>
      <c r="F1443" s="1107" t="n">
        <f aca="false">'Смета Внутр'!H1443</f>
        <v>0</v>
      </c>
    </row>
    <row r="1444" s="118" customFormat="true" ht="15" hidden="false" customHeight="false" outlineLevel="0" collapsed="false">
      <c r="B1444" s="1104" t="str">
        <f aca="false">'Смета Внутр'!B1444</f>
        <v>труба водосточная</v>
      </c>
      <c r="C1444" s="1105" t="str">
        <f aca="false">'Смета Внутр'!C1444</f>
        <v>м.п.</v>
      </c>
      <c r="D1444" s="1106" t="n">
        <f aca="false">'Смета Внутр'!D1444</f>
        <v>0</v>
      </c>
      <c r="E1444" s="1104"/>
      <c r="F1444" s="1107" t="n">
        <f aca="false">'Смета Внутр'!H1444</f>
        <v>0</v>
      </c>
    </row>
    <row r="1445" s="118" customFormat="true" ht="15" hidden="false" customHeight="false" outlineLevel="0" collapsed="false">
      <c r="B1445" s="1104" t="str">
        <f aca="false">'Смета Внутр'!B1445</f>
        <v>ендова внутр/наружн</v>
      </c>
      <c r="C1445" s="1105" t="str">
        <f aca="false">'Смета Внутр'!C1445</f>
        <v>м.п.</v>
      </c>
      <c r="D1445" s="1106" t="n">
        <f aca="false">'Смета Внутр'!D1445</f>
        <v>0</v>
      </c>
      <c r="E1445" s="1104"/>
      <c r="F1445" s="1107" t="n">
        <f aca="false">'Смета Внутр'!H1445</f>
        <v>0</v>
      </c>
    </row>
    <row r="1446" s="118" customFormat="true" ht="15" hidden="false" customHeight="false" outlineLevel="0" collapsed="false">
      <c r="B1446" s="1104" t="str">
        <f aca="false">'Смета Внутр'!B1446</f>
        <v>Монтаж ондулина</v>
      </c>
      <c r="C1446" s="1105" t="str">
        <f aca="false">'Смета Внутр'!C1446</f>
        <v>м2</v>
      </c>
      <c r="D1446" s="1106" t="n">
        <f aca="false">'Смета Внутр'!D1446</f>
        <v>0</v>
      </c>
      <c r="E1446" s="1104"/>
      <c r="F1446" s="1107" t="n">
        <f aca="false">'Смета Внутр'!H1446</f>
        <v>0</v>
      </c>
    </row>
    <row r="1447" s="118" customFormat="true" ht="15" hidden="false" customHeight="false" outlineLevel="0" collapsed="false">
      <c r="B1447" s="1104" t="str">
        <f aca="false">'Смета Внутр'!B1447</f>
        <v>Монтаж фанеры/osb</v>
      </c>
      <c r="C1447" s="1105" t="str">
        <f aca="false">'Смета Внутр'!C1447</f>
        <v>м2</v>
      </c>
      <c r="D1447" s="1106" t="n">
        <f aca="false">'Смета Внутр'!D1447</f>
        <v>0</v>
      </c>
      <c r="E1447" s="1104"/>
      <c r="F1447" s="1107" t="n">
        <f aca="false">'Смета Внутр'!H1447</f>
        <v>0</v>
      </c>
    </row>
    <row r="1448" s="118" customFormat="true" ht="15" hidden="false" customHeight="false" outlineLevel="0" collapsed="false">
      <c r="B1448" s="1104" t="str">
        <f aca="false">'Смета Внутр'!B1448</f>
        <v>монтаж подкладочного ковра</v>
      </c>
      <c r="C1448" s="1105" t="str">
        <f aca="false">'Смета Внутр'!C1448</f>
        <v>м2</v>
      </c>
      <c r="D1448" s="1106" t="n">
        <f aca="false">'Смета Внутр'!D1448</f>
        <v>0</v>
      </c>
      <c r="E1448" s="1104"/>
      <c r="F1448" s="1107" t="n">
        <f aca="false">'Смета Внутр'!H1448</f>
        <v>0</v>
      </c>
    </row>
    <row r="1449" s="118" customFormat="true" ht="15" hidden="false" customHeight="false" outlineLevel="0" collapsed="false">
      <c r="B1449" s="1104" t="str">
        <f aca="false">'Смета Внутр'!B1449</f>
        <v>Монтаж мягкой кровли</v>
      </c>
      <c r="C1449" s="1105" t="str">
        <f aca="false">'Смета Внутр'!C1449</f>
        <v>м2</v>
      </c>
      <c r="D1449" s="1106" t="n">
        <f aca="false">'Смета Внутр'!D1449</f>
        <v>0</v>
      </c>
      <c r="E1449" s="1104"/>
      <c r="F1449" s="1107" t="n">
        <f aca="false">'Смета Внутр'!H1449</f>
        <v>0</v>
      </c>
    </row>
    <row r="1450" s="118" customFormat="true" ht="15" hidden="false" customHeight="false" outlineLevel="0" collapsed="false">
      <c r="B1450" s="1108" t="str">
        <f aca="false">'Смета Внутр'!B1450</f>
        <v>Итого работы</v>
      </c>
      <c r="C1450" s="1108"/>
      <c r="D1450" s="1108"/>
      <c r="E1450" s="1108"/>
      <c r="F1450" s="1109" t="n">
        <f aca="false">'Смета Внутр'!G1450</f>
        <v>0</v>
      </c>
    </row>
    <row r="1451" s="118" customFormat="true" ht="18.75" hidden="false" customHeight="false" outlineLevel="0" collapsed="false">
      <c r="B1451" s="1111" t="str">
        <f aca="false">'Смета Внутр'!B1451</f>
        <v>Кровля на Эркере</v>
      </c>
      <c r="C1451" s="1111"/>
      <c r="D1451" s="1111"/>
      <c r="E1451" s="1111"/>
      <c r="F1451" s="1102" t="n">
        <f aca="false">'Смета Внутр'!H1451</f>
        <v>0</v>
      </c>
    </row>
    <row r="1452" s="118" customFormat="true" ht="15" hidden="false" customHeight="false" outlineLevel="0" collapsed="false">
      <c r="B1452" s="1103" t="str">
        <f aca="false">'Смета Внутр'!B1452</f>
        <v>Материалы</v>
      </c>
      <c r="C1452" s="1103"/>
      <c r="D1452" s="1103"/>
      <c r="E1452" s="1103"/>
      <c r="F1452" s="1102" t="n">
        <f aca="false">'Смета Внутр'!H1452</f>
        <v>0</v>
      </c>
    </row>
    <row r="1453" s="118" customFormat="true" ht="15" hidden="false" customHeight="false" outlineLevel="0" collapsed="false">
      <c r="B1453" s="1104" t="str">
        <f aca="false">'Смета Внутр'!B1453</f>
        <v>нет</v>
      </c>
      <c r="C1453" s="1105" t="str">
        <f aca="false">'Смета Внутр'!C1453</f>
        <v>м3</v>
      </c>
      <c r="D1453" s="1106" t="n">
        <f aca="false">'Смета Внутр'!D1453</f>
        <v>0</v>
      </c>
      <c r="E1453" s="1104"/>
      <c r="F1453" s="1107" t="n">
        <f aca="false">'Смета Внутр'!H1453</f>
        <v>0</v>
      </c>
    </row>
    <row r="1454" s="118" customFormat="true" ht="15" hidden="false" customHeight="false" outlineLevel="0" collapsed="false">
      <c r="B1454" s="1104" t="str">
        <f aca="false">'Смета Внутр'!B1454</f>
        <v>Болты анкерные с гайкой 12,0 х 280          </v>
      </c>
      <c r="C1454" s="1105" t="str">
        <f aca="false">'Смета Внутр'!C1454</f>
        <v>шт</v>
      </c>
      <c r="D1454" s="1106" t="n">
        <f aca="false">'Смета Внутр'!D1454</f>
        <v>0</v>
      </c>
      <c r="E1454" s="1104"/>
      <c r="F1454" s="1107" t="n">
        <f aca="false">'Смета Внутр'!H1454</f>
        <v>0</v>
      </c>
    </row>
    <row r="1455" s="118" customFormat="true" ht="15" hidden="false" customHeight="false" outlineLevel="0" collapsed="false">
      <c r="B1455" s="1104" t="str">
        <f aca="false">'Смета Внутр'!B1455</f>
        <v>Доска сырая, 150*50мм</v>
      </c>
      <c r="C1455" s="1105" t="str">
        <f aca="false">'Смета Внутр'!C1455</f>
        <v>м3</v>
      </c>
      <c r="D1455" s="1106" t="n">
        <f aca="false">'Смета Внутр'!D1455</f>
        <v>0</v>
      </c>
      <c r="E1455" s="1104"/>
      <c r="F1455" s="1107" t="n">
        <f aca="false">'Смета Внутр'!H1455</f>
        <v>0</v>
      </c>
    </row>
    <row r="1456" s="118" customFormat="true" ht="15" hidden="false" customHeight="false" outlineLevel="0" collapsed="false">
      <c r="B1456" s="1104" t="str">
        <f aca="false">'Смета Внутр'!B1456</f>
        <v>Сосна влаж,100*25мм</v>
      </c>
      <c r="C1456" s="1105" t="str">
        <f aca="false">'Смета Внутр'!C1456</f>
        <v>м3</v>
      </c>
      <c r="D1456" s="1106" t="n">
        <f aca="false">'Смета Внутр'!D1456</f>
        <v>0</v>
      </c>
      <c r="E1456" s="1104"/>
      <c r="F1456" s="1107" t="n">
        <f aca="false">'Смета Внутр'!H1456</f>
        <v>0</v>
      </c>
    </row>
    <row r="1457" s="118" customFormat="true" ht="15" hidden="false" customHeight="false" outlineLevel="0" collapsed="false">
      <c r="B1457" s="1104" t="str">
        <f aca="false">'Смета Внутр'!B1457</f>
        <v>Доска сухая, калибр., 35*45мм</v>
      </c>
      <c r="C1457" s="1105" t="str">
        <f aca="false">'Смета Внутр'!C1457</f>
        <v>шт</v>
      </c>
      <c r="D1457" s="1106" t="n">
        <f aca="false">'Смета Внутр'!D1457</f>
        <v>0</v>
      </c>
      <c r="E1457" s="1104"/>
      <c r="F1457" s="1107" t="n">
        <f aca="false">'Смета Внутр'!H1457</f>
        <v>0</v>
      </c>
    </row>
    <row r="1458" s="118" customFormat="true" ht="15" hidden="false" customHeight="false" outlineLevel="0" collapsed="false">
      <c r="B1458" s="1104" t="str">
        <f aca="false">'Смета Внутр'!B1458</f>
        <v>нет ветроизоляции</v>
      </c>
      <c r="C1458" s="1105" t="str">
        <f aca="false">'Смета Внутр'!C1458</f>
        <v>м2</v>
      </c>
      <c r="D1458" s="1106" t="n">
        <f aca="false">'Смета Внутр'!D1458</f>
        <v>0</v>
      </c>
      <c r="E1458" s="1104"/>
      <c r="F1458" s="1107" t="n">
        <f aca="false">'Смета Внутр'!H1458</f>
        <v>0</v>
      </c>
    </row>
    <row r="1459" s="118" customFormat="true" ht="15" hidden="false" customHeight="false" outlineLevel="0" collapsed="false">
      <c r="B1459" s="1104" t="str">
        <f aca="false">'Смета Внутр'!B1459</f>
        <v>нет пароизоляции</v>
      </c>
      <c r="C1459" s="1105" t="str">
        <f aca="false">'Смета Внутр'!C1459</f>
        <v>м2</v>
      </c>
      <c r="D1459" s="1106" t="n">
        <f aca="false">'Смета Внутр'!D1459</f>
        <v>0</v>
      </c>
      <c r="E1459" s="1104"/>
      <c r="F1459" s="1107" t="n">
        <f aca="false">'Смета Внутр'!H1459</f>
        <v>0</v>
      </c>
    </row>
    <row r="1460" s="118" customFormat="true" ht="15" hidden="false" customHeight="false" outlineLevel="0" collapsed="false">
      <c r="B1460" s="1104" t="str">
        <f aca="false">'Смета Внутр'!B1460</f>
        <v>Плитный,28кг/м3, технониколь, 100мм</v>
      </c>
      <c r="C1460" s="1105" t="str">
        <f aca="false">'Смета Внутр'!C1460</f>
        <v>м3</v>
      </c>
      <c r="D1460" s="1106" t="n">
        <f aca="false">'Смета Внутр'!D1460</f>
        <v>1.32975746684072</v>
      </c>
      <c r="E1460" s="1104"/>
      <c r="F1460" s="1107" t="n">
        <f aca="false">'Смета Внутр'!H1460</f>
        <v>0</v>
      </c>
    </row>
    <row r="1461" s="118" customFormat="true" ht="15" hidden="false" customHeight="false" outlineLevel="0" collapsed="false">
      <c r="B1461" s="1104" t="str">
        <f aca="false">'Смета Внутр'!B1461</f>
        <v>металлочерепица</v>
      </c>
      <c r="C1461" s="1105" t="str">
        <f aca="false">'Смета Внутр'!C1461</f>
        <v>м2</v>
      </c>
      <c r="D1461" s="1106" t="n">
        <f aca="false">'Смета Внутр'!D1461</f>
        <v>0</v>
      </c>
      <c r="E1461" s="1104"/>
      <c r="F1461" s="1107" t="n">
        <f aca="false">'Смета Внутр'!H1461</f>
        <v>0</v>
      </c>
    </row>
    <row r="1462" s="118" customFormat="true" ht="15" hidden="false" customHeight="false" outlineLevel="0" collapsed="false">
      <c r="B1462" s="1104" t="str">
        <f aca="false">'Смета Внутр'!B1462</f>
        <v>Карнизная планка</v>
      </c>
      <c r="C1462" s="1105" t="str">
        <f aca="false">'Смета Внутр'!C1462</f>
        <v>м.п.</v>
      </c>
      <c r="D1462" s="1106" t="n">
        <f aca="false">'Смета Внутр'!D1462</f>
        <v>0</v>
      </c>
      <c r="E1462" s="1104"/>
      <c r="F1462" s="1107" t="n">
        <f aca="false">'Смета Внутр'!H1462</f>
        <v>0</v>
      </c>
    </row>
    <row r="1463" s="118" customFormat="true" ht="15" hidden="false" customHeight="false" outlineLevel="0" collapsed="false">
      <c r="B1463" s="1104" t="str">
        <f aca="false">'Смета Внутр'!B1463</f>
        <v>Конек</v>
      </c>
      <c r="C1463" s="1105" t="str">
        <f aca="false">'Смета Внутр'!C1463</f>
        <v>м.п.</v>
      </c>
      <c r="D1463" s="1106" t="n">
        <f aca="false">'Смета Внутр'!D1463</f>
        <v>0</v>
      </c>
      <c r="E1463" s="1104"/>
      <c r="F1463" s="1107" t="n">
        <f aca="false">'Смета Внутр'!H1463</f>
        <v>0</v>
      </c>
    </row>
    <row r="1464" s="118" customFormat="true" ht="15" hidden="false" customHeight="false" outlineLevel="0" collapsed="false">
      <c r="B1464" s="1104" t="str">
        <f aca="false">'Смета Внутр'!B1464</f>
        <v>Ендова нижняя</v>
      </c>
      <c r="C1464" s="1105" t="str">
        <f aca="false">'Смета Внутр'!C1464</f>
        <v>м.п</v>
      </c>
      <c r="D1464" s="1106" t="n">
        <f aca="false">'Смета Внутр'!D1464</f>
        <v>0</v>
      </c>
      <c r="E1464" s="1104"/>
      <c r="F1464" s="1107" t="n">
        <f aca="false">'Смета Внутр'!H1464</f>
        <v>0</v>
      </c>
    </row>
    <row r="1465" s="118" customFormat="true" ht="15" hidden="false" customHeight="false" outlineLevel="0" collapsed="false">
      <c r="B1465" s="1104" t="str">
        <f aca="false">'Смета Внутр'!B1465</f>
        <v>Планка примыкания</v>
      </c>
      <c r="C1465" s="1105" t="str">
        <f aca="false">'Смета Внутр'!C1465</f>
        <v>м.п</v>
      </c>
      <c r="D1465" s="1106" t="n">
        <f aca="false">'Смета Внутр'!D1465</f>
        <v>0</v>
      </c>
      <c r="E1465" s="1104"/>
      <c r="F1465" s="1107" t="n">
        <f aca="false">'Смета Внутр'!H1465</f>
        <v>0</v>
      </c>
    </row>
    <row r="1466" s="118" customFormat="true" ht="15" hidden="false" customHeight="false" outlineLevel="0" collapsed="false">
      <c r="B1466" s="1104" t="str">
        <f aca="false">'Смета Внутр'!B1466</f>
        <v>ондулин</v>
      </c>
      <c r="C1466" s="1105" t="str">
        <f aca="false">'Смета Внутр'!C1466</f>
        <v>м2</v>
      </c>
      <c r="D1466" s="1106" t="n">
        <f aca="false">'Смета Внутр'!D1466</f>
        <v>0</v>
      </c>
      <c r="E1466" s="1104"/>
      <c r="F1466" s="1107" t="n">
        <f aca="false">'Смета Внутр'!H1466</f>
        <v>0</v>
      </c>
    </row>
    <row r="1467" s="118" customFormat="true" ht="15" hidden="false" customHeight="false" outlineLevel="0" collapsed="false">
      <c r="B1467" s="1104" t="str">
        <f aca="false">'Смета Внутр'!B1467</f>
        <v>Карнизная планка</v>
      </c>
      <c r="C1467" s="1105" t="str">
        <f aca="false">'Смета Внутр'!C1467</f>
        <v>м.п.</v>
      </c>
      <c r="D1467" s="1106" t="n">
        <f aca="false">'Смета Внутр'!D1467</f>
        <v>0</v>
      </c>
      <c r="E1467" s="1104"/>
      <c r="F1467" s="1107" t="n">
        <f aca="false">'Смета Внутр'!H1467</f>
        <v>0</v>
      </c>
    </row>
    <row r="1468" s="118" customFormat="true" ht="15" hidden="false" customHeight="false" outlineLevel="0" collapsed="false">
      <c r="B1468" s="1104" t="str">
        <f aca="false">'Смета Внутр'!B1468</f>
        <v>Торцевая планка</v>
      </c>
      <c r="C1468" s="1105" t="str">
        <f aca="false">'Смета Внутр'!C1468</f>
        <v>м.п.</v>
      </c>
      <c r="D1468" s="1106" t="n">
        <f aca="false">'Смета Внутр'!D1468</f>
        <v>0</v>
      </c>
      <c r="E1468" s="1104"/>
      <c r="F1468" s="1107" t="n">
        <f aca="false">'Смета Внутр'!H1468</f>
        <v>0</v>
      </c>
    </row>
    <row r="1469" s="118" customFormat="true" ht="15" hidden="false" customHeight="false" outlineLevel="0" collapsed="false">
      <c r="B1469" s="1104" t="str">
        <f aca="false">'Смета Внутр'!B1469</f>
        <v>Конек</v>
      </c>
      <c r="C1469" s="1105" t="str">
        <f aca="false">'Смета Внутр'!C1469</f>
        <v>м.п.</v>
      </c>
      <c r="D1469" s="1106" t="n">
        <f aca="false">'Смета Внутр'!D1469</f>
        <v>0</v>
      </c>
      <c r="E1469" s="1104"/>
      <c r="F1469" s="1107" t="n">
        <f aca="false">'Смета Внутр'!H1469</f>
        <v>0</v>
      </c>
    </row>
    <row r="1470" s="118" customFormat="true" ht="15" hidden="false" customHeight="false" outlineLevel="0" collapsed="false">
      <c r="B1470" s="1104" t="str">
        <f aca="false">'Смета Внутр'!B1470</f>
        <v>Ендова нижняя</v>
      </c>
      <c r="C1470" s="1105" t="str">
        <f aca="false">'Смета Внутр'!C1470</f>
        <v>м.п.</v>
      </c>
      <c r="D1470" s="1106" t="n">
        <f aca="false">'Смета Внутр'!D1470</f>
        <v>0</v>
      </c>
      <c r="E1470" s="1104"/>
      <c r="F1470" s="1107" t="n">
        <f aca="false">'Смета Внутр'!H1470</f>
        <v>0</v>
      </c>
    </row>
    <row r="1471" s="118" customFormat="true" ht="15" hidden="false" customHeight="false" outlineLevel="0" collapsed="false">
      <c r="B1471" s="1104" t="str">
        <f aca="false">'Смета Внутр'!B1471</f>
        <v>Ендова верхняя</v>
      </c>
      <c r="C1471" s="1105" t="str">
        <f aca="false">'Смета Внутр'!C1471</f>
        <v>м.п.</v>
      </c>
      <c r="D1471" s="1106" t="n">
        <f aca="false">'Смета Внутр'!D1471</f>
        <v>0</v>
      </c>
      <c r="E1471" s="1104"/>
      <c r="F1471" s="1107" t="n">
        <f aca="false">'Смета Внутр'!H1471</f>
        <v>0</v>
      </c>
    </row>
    <row r="1472" s="118" customFormat="true" ht="15" hidden="false" customHeight="false" outlineLevel="0" collapsed="false">
      <c r="B1472" s="1104" t="str">
        <f aca="false">'Смета Внутр'!B1472</f>
        <v>Планка примыкания</v>
      </c>
      <c r="C1472" s="1105" t="str">
        <f aca="false">'Смета Внутр'!C1472</f>
        <v>м.п.</v>
      </c>
      <c r="D1472" s="1106" t="n">
        <f aca="false">'Смета Внутр'!D1472</f>
        <v>0</v>
      </c>
      <c r="E1472" s="1104"/>
      <c r="F1472" s="1107" t="n">
        <f aca="false">'Смета Внутр'!H1472</f>
        <v>0</v>
      </c>
    </row>
    <row r="1473" s="118" customFormat="true" ht="15" hidden="false" customHeight="false" outlineLevel="0" collapsed="false">
      <c r="B1473" s="1104" t="str">
        <f aca="false">'Смета Внутр'!B1473</f>
        <v>Крепеж для ондулина</v>
      </c>
      <c r="C1473" s="1105" t="str">
        <f aca="false">'Смета Внутр'!C1473</f>
        <v>шт</v>
      </c>
      <c r="D1473" s="1106" t="n">
        <f aca="false">'Смета Внутр'!D1473</f>
        <v>0</v>
      </c>
      <c r="E1473" s="1104"/>
      <c r="F1473" s="1107" t="n">
        <f aca="false">'Смета Внутр'!H1473</f>
        <v>0</v>
      </c>
    </row>
    <row r="1474" s="118" customFormat="true" ht="15" hidden="false" customHeight="false" outlineLevel="0" collapsed="false">
      <c r="B1474" s="1104" t="str">
        <f aca="false">'Смета Внутр'!B1474</f>
        <v>нет</v>
      </c>
      <c r="C1474" s="1105" t="str">
        <f aca="false">'Смета Внутр'!C1474</f>
        <v>м2</v>
      </c>
      <c r="D1474" s="1106" t="n">
        <f aca="false">'Смета Внутр'!D1474</f>
        <v>0</v>
      </c>
      <c r="E1474" s="1104"/>
      <c r="F1474" s="1107" t="n">
        <f aca="false">'Смета Внутр'!H1474</f>
        <v>0</v>
      </c>
    </row>
    <row r="1475" s="118" customFormat="true" ht="15" hidden="false" customHeight="false" outlineLevel="0" collapsed="false">
      <c r="B1475" s="1104" t="str">
        <f aca="false">'Смета Внутр'!B1475</f>
        <v>Рядовая черепица</v>
      </c>
      <c r="C1475" s="1105" t="str">
        <f aca="false">'Смета Внутр'!C1475</f>
        <v>м2</v>
      </c>
      <c r="D1475" s="1106" t="n">
        <f aca="false">'Смета Внутр'!D1475</f>
        <v>0</v>
      </c>
      <c r="E1475" s="1104"/>
      <c r="F1475" s="1107" t="n">
        <f aca="false">'Смета Внутр'!H1475</f>
        <v>0</v>
      </c>
    </row>
    <row r="1476" s="118" customFormat="true" ht="15" hidden="false" customHeight="false" outlineLevel="0" collapsed="false">
      <c r="B1476" s="1104" t="str">
        <f aca="false">'Смета Внутр'!B1476</f>
        <v>Металл оцинк защита (карниз)</v>
      </c>
      <c r="C1476" s="1105" t="str">
        <f aca="false">'Смета Внутр'!C1476</f>
        <v>м.п.</v>
      </c>
      <c r="D1476" s="1106" t="n">
        <f aca="false">'Смета Внутр'!D1476</f>
        <v>0</v>
      </c>
      <c r="E1476" s="1104"/>
      <c r="F1476" s="1107" t="n">
        <f aca="false">'Смета Внутр'!H1476</f>
        <v>0</v>
      </c>
    </row>
    <row r="1477" s="118" customFormat="true" ht="15" hidden="false" customHeight="false" outlineLevel="0" collapsed="false">
      <c r="B1477" s="1104" t="str">
        <f aca="false">'Смета Внутр'!B1477</f>
        <v>Подкладочный ковер</v>
      </c>
      <c r="C1477" s="1105" t="str">
        <f aca="false">'Смета Внутр'!C1477</f>
        <v>м.п.</v>
      </c>
      <c r="D1477" s="1106" t="n">
        <f aca="false">'Смета Внутр'!D1477</f>
        <v>0</v>
      </c>
      <c r="E1477" s="1104"/>
      <c r="F1477" s="1107" t="n">
        <f aca="false">'Смета Внутр'!H1477</f>
        <v>0</v>
      </c>
    </row>
    <row r="1478" s="118" customFormat="true" ht="15" hidden="false" customHeight="false" outlineLevel="0" collapsed="false">
      <c r="B1478" s="1104" t="str">
        <f aca="false">'Смета Внутр'!B1478</f>
        <v>Карнизная самоклеющаяся черепица</v>
      </c>
      <c r="C1478" s="1105" t="str">
        <f aca="false">'Смета Внутр'!C1478</f>
        <v>м.п.</v>
      </c>
      <c r="D1478" s="1106" t="n">
        <f aca="false">'Смета Внутр'!D1478</f>
        <v>0</v>
      </c>
      <c r="E1478" s="1104"/>
      <c r="F1478" s="1107" t="n">
        <f aca="false">'Смета Внутр'!H1478</f>
        <v>0</v>
      </c>
    </row>
    <row r="1479" s="118" customFormat="true" ht="15" hidden="false" customHeight="false" outlineLevel="0" collapsed="false">
      <c r="B1479" s="1104" t="str">
        <f aca="false">'Смета Внутр'!B1479</f>
        <v>Спец ковер ендова нижняя</v>
      </c>
      <c r="C1479" s="1105" t="str">
        <f aca="false">'Смета Внутр'!C1479</f>
        <v>м.п.</v>
      </c>
      <c r="D1479" s="1106" t="n">
        <f aca="false">'Смета Внутр'!D1479</f>
        <v>0</v>
      </c>
      <c r="E1479" s="1104"/>
      <c r="F1479" s="1107" t="n">
        <f aca="false">'Смета Внутр'!H1479</f>
        <v>0</v>
      </c>
    </row>
    <row r="1480" s="118" customFormat="true" ht="15" hidden="false" customHeight="false" outlineLevel="0" collapsed="false">
      <c r="B1480" s="1104" t="str">
        <f aca="false">'Смета Внутр'!B1480</f>
        <v>Коньковой элемент</v>
      </c>
      <c r="C1480" s="1105" t="str">
        <f aca="false">'Смета Внутр'!C1480</f>
        <v>м.п.</v>
      </c>
      <c r="D1480" s="1106" t="n">
        <f aca="false">'Смета Внутр'!D1480</f>
        <v>0</v>
      </c>
      <c r="E1480" s="1104"/>
      <c r="F1480" s="1107" t="n">
        <f aca="false">'Смета Внутр'!H1480</f>
        <v>0</v>
      </c>
    </row>
    <row r="1481" s="118" customFormat="true" ht="15" hidden="false" customHeight="false" outlineLevel="0" collapsed="false">
      <c r="B1481" s="1104" t="str">
        <f aca="false">'Смета Внутр'!B1481</f>
        <v>Планка премыкания</v>
      </c>
      <c r="C1481" s="1105" t="str">
        <f aca="false">'Смета Внутр'!C1481</f>
        <v>м.п.</v>
      </c>
      <c r="D1481" s="1106" t="n">
        <f aca="false">'Смета Внутр'!D1481</f>
        <v>0</v>
      </c>
      <c r="E1481" s="1104"/>
      <c r="F1481" s="1107" t="n">
        <f aca="false">'Смета Внутр'!H1481</f>
        <v>0</v>
      </c>
    </row>
    <row r="1482" s="118" customFormat="true" ht="15" hidden="false" customHeight="false" outlineLevel="0" collapsed="false">
      <c r="B1482" s="1104" t="str">
        <f aca="false">'Смета Внутр'!B1482</f>
        <v>Гвозди для крепления подкладочного ковра</v>
      </c>
      <c r="C1482" s="1105" t="str">
        <f aca="false">'Смета Внутр'!C1482</f>
        <v>шт</v>
      </c>
      <c r="D1482" s="1106" t="n">
        <f aca="false">'Смета Внутр'!D1482</f>
        <v>0</v>
      </c>
      <c r="E1482" s="1104"/>
      <c r="F1482" s="1107" t="n">
        <f aca="false">'Смета Внутр'!H1482</f>
        <v>0</v>
      </c>
    </row>
    <row r="1483" s="118" customFormat="true" ht="15" hidden="false" customHeight="false" outlineLevel="0" collapsed="false">
      <c r="B1483" s="1104" t="str">
        <f aca="false">'Смета Внутр'!B1483</f>
        <v>Гвозди для крепления черепицы</v>
      </c>
      <c r="C1483" s="1105" t="str">
        <f aca="false">'Смета Внутр'!C1483</f>
        <v>шт</v>
      </c>
      <c r="D1483" s="1106" t="n">
        <f aca="false">'Смета Внутр'!D1483</f>
        <v>0</v>
      </c>
      <c r="E1483" s="1104"/>
      <c r="F1483" s="1107" t="n">
        <f aca="false">'Смета Внутр'!H1483</f>
        <v>0</v>
      </c>
    </row>
    <row r="1484" s="118" customFormat="true" ht="15" hidden="false" customHeight="false" outlineLevel="0" collapsed="false">
      <c r="B1484" s="1104" t="str">
        <f aca="false">'Смета Внутр'!B1484</f>
        <v>Клей для монтажа черепицы</v>
      </c>
      <c r="C1484" s="1105" t="str">
        <f aca="false">'Смета Внутр'!C1484</f>
        <v>кг</v>
      </c>
      <c r="D1484" s="1106" t="n">
        <f aca="false">'Смета Внутр'!D1484</f>
        <v>0</v>
      </c>
      <c r="E1484" s="1104"/>
      <c r="F1484" s="1107" t="n">
        <f aca="false">'Смета Внутр'!H1484</f>
        <v>0</v>
      </c>
    </row>
    <row r="1485" s="118" customFormat="true" ht="15" hidden="false" customHeight="false" outlineLevel="0" collapsed="false">
      <c r="B1485" s="1104" t="str">
        <f aca="false">'Смета Внутр'!B1485</f>
        <v>желоб</v>
      </c>
      <c r="C1485" s="1105" t="str">
        <f aca="false">'Смета Внутр'!C1485</f>
        <v>м.п</v>
      </c>
      <c r="D1485" s="1106" t="n">
        <f aca="false">'Смета Внутр'!D1485</f>
        <v>0</v>
      </c>
      <c r="E1485" s="1104"/>
      <c r="F1485" s="1107" t="n">
        <f aca="false">'Смета Внутр'!H1485</f>
        <v>0</v>
      </c>
    </row>
    <row r="1486" s="118" customFormat="true" ht="15" hidden="false" customHeight="false" outlineLevel="0" collapsed="false">
      <c r="B1486" s="1104" t="str">
        <f aca="false">'Смета Внутр'!B1486</f>
        <v>отвод</v>
      </c>
      <c r="C1486" s="1105" t="str">
        <f aca="false">'Смета Внутр'!C1486</f>
        <v>шт</v>
      </c>
      <c r="D1486" s="1106" t="n">
        <f aca="false">'Смета Внутр'!D1486</f>
        <v>4</v>
      </c>
      <c r="E1486" s="1104"/>
      <c r="F1486" s="1107" t="n">
        <f aca="false">'Смета Внутр'!H1486</f>
        <v>0</v>
      </c>
    </row>
    <row r="1487" s="118" customFormat="true" ht="15" hidden="false" customHeight="false" outlineLevel="0" collapsed="false">
      <c r="B1487" s="1104" t="str">
        <f aca="false">'Смета Внутр'!B1487</f>
        <v>труба водосточная</v>
      </c>
      <c r="C1487" s="1105" t="str">
        <f aca="false">'Смета Внутр'!C1487</f>
        <v>м.п.</v>
      </c>
      <c r="D1487" s="1106" t="n">
        <f aca="false">'Смета Внутр'!D1487</f>
        <v>0</v>
      </c>
      <c r="E1487" s="1104"/>
      <c r="F1487" s="1107" t="n">
        <f aca="false">'Смета Внутр'!H1487</f>
        <v>0</v>
      </c>
    </row>
    <row r="1488" s="118" customFormat="true" ht="15" hidden="false" customHeight="false" outlineLevel="0" collapsed="false">
      <c r="B1488" s="1104" t="str">
        <f aca="false">'Смета Внутр'!B1488</f>
        <v>заглушка для желоба</v>
      </c>
      <c r="C1488" s="1105" t="str">
        <f aca="false">'Смета Внутр'!C1488</f>
        <v>шт</v>
      </c>
      <c r="D1488" s="1106" t="n">
        <f aca="false">'Смета Внутр'!D1488</f>
        <v>0</v>
      </c>
      <c r="E1488" s="1104"/>
      <c r="F1488" s="1107" t="n">
        <f aca="false">'Смета Внутр'!H1488</f>
        <v>0</v>
      </c>
    </row>
    <row r="1489" s="118" customFormat="true" ht="15" hidden="false" customHeight="false" outlineLevel="0" collapsed="false">
      <c r="B1489" s="1104" t="str">
        <f aca="false">'Смета Внутр'!B1489</f>
        <v>соеденитель для желоба</v>
      </c>
      <c r="C1489" s="1105" t="str">
        <f aca="false">'Смета Внутр'!C1489</f>
        <v>шт</v>
      </c>
      <c r="D1489" s="1106" t="n">
        <f aca="false">'Смета Внутр'!D1489</f>
        <v>0</v>
      </c>
      <c r="E1489" s="1104"/>
      <c r="F1489" s="1107" t="n">
        <f aca="false">'Смета Внутр'!H1489</f>
        <v>0</v>
      </c>
    </row>
    <row r="1490" s="118" customFormat="true" ht="15" hidden="false" customHeight="false" outlineLevel="0" collapsed="false">
      <c r="B1490" s="1104" t="str">
        <f aca="false">'Смета Внутр'!B1490</f>
        <v>кронштейн для желоба</v>
      </c>
      <c r="C1490" s="1105" t="str">
        <f aca="false">'Смета Внутр'!C1490</f>
        <v>шт</v>
      </c>
      <c r="D1490" s="1106" t="n">
        <f aca="false">'Смета Внутр'!D1490</f>
        <v>0</v>
      </c>
      <c r="E1490" s="1104"/>
      <c r="F1490" s="1107" t="n">
        <f aca="false">'Смета Внутр'!H1490</f>
        <v>0</v>
      </c>
    </row>
    <row r="1491" s="118" customFormat="true" ht="15" hidden="false" customHeight="false" outlineLevel="0" collapsed="false">
      <c r="B1491" s="1104" t="str">
        <f aca="false">'Смета Внутр'!B1491</f>
        <v>переход из желоба в трубу</v>
      </c>
      <c r="C1491" s="1105" t="str">
        <f aca="false">'Смета Внутр'!C1491</f>
        <v>шт</v>
      </c>
      <c r="D1491" s="1106" t="n">
        <f aca="false">'Смета Внутр'!D1491</f>
        <v>2</v>
      </c>
      <c r="E1491" s="1104"/>
      <c r="F1491" s="1107" t="n">
        <f aca="false">'Смета Внутр'!H1491</f>
        <v>0</v>
      </c>
    </row>
    <row r="1492" s="118" customFormat="true" ht="15" hidden="false" customHeight="false" outlineLevel="0" collapsed="false">
      <c r="B1492" s="1104" t="str">
        <f aca="false">'Смета Внутр'!B1492</f>
        <v>лента дельта мульти бэнд</v>
      </c>
      <c r="C1492" s="1105" t="str">
        <f aca="false">'Смета Внутр'!C1492</f>
        <v>шт</v>
      </c>
      <c r="D1492" s="1106" t="n">
        <f aca="false">'Смета Внутр'!D1492</f>
        <v>0</v>
      </c>
      <c r="E1492" s="1104"/>
      <c r="F1492" s="1107" t="n">
        <f aca="false">'Смета Внутр'!H1492</f>
        <v>0</v>
      </c>
    </row>
    <row r="1493" s="118" customFormat="true" ht="15" hidden="false" customHeight="false" outlineLevel="0" collapsed="false">
      <c r="B1493" s="1104" t="str">
        <f aca="false">'Смета Внутр'!B1493</f>
        <v>лента дельта sb-60</v>
      </c>
      <c r="C1493" s="1105" t="str">
        <f aca="false">'Смета Внутр'!C1493</f>
        <v>шт</v>
      </c>
      <c r="D1493" s="1106" t="n">
        <f aca="false">'Смета Внутр'!D1493</f>
        <v>0</v>
      </c>
      <c r="E1493" s="1104"/>
      <c r="F1493" s="1107" t="n">
        <f aca="false">'Смета Внутр'!H1493</f>
        <v>0</v>
      </c>
    </row>
    <row r="1494" s="118" customFormat="true" ht="15" hidden="false" customHeight="false" outlineLevel="0" collapsed="false">
      <c r="B1494" s="1104" t="str">
        <f aca="false">'Смета Внутр'!B1494</f>
        <v>Кровельный саморез</v>
      </c>
      <c r="C1494" s="1105" t="str">
        <f aca="false">'Смета Внутр'!C1494</f>
        <v>шт</v>
      </c>
      <c r="D1494" s="1106" t="n">
        <f aca="false">'Смета Внутр'!D1494</f>
        <v>0</v>
      </c>
      <c r="E1494" s="1104"/>
      <c r="F1494" s="1107" t="n">
        <f aca="false">'Смета Внутр'!H1494</f>
        <v>0</v>
      </c>
    </row>
    <row r="1495" s="118" customFormat="true" ht="15" hidden="false" customHeight="false" outlineLevel="0" collapsed="false">
      <c r="B1495" s="1104" t="str">
        <f aca="false">'Смета Внутр'!B1495</f>
        <v>Гвозди ершоные 3,4 x 60            </v>
      </c>
      <c r="C1495" s="1105" t="str">
        <f aca="false">'Смета Внутр'!C1495</f>
        <v>кг</v>
      </c>
      <c r="D1495" s="1106" t="n">
        <f aca="false">'Смета Внутр'!D1495</f>
        <v>0</v>
      </c>
      <c r="E1495" s="1104"/>
      <c r="F1495" s="1107" t="n">
        <f aca="false">'Смета Внутр'!H1495</f>
        <v>0</v>
      </c>
    </row>
    <row r="1496" s="118" customFormat="true" ht="15" hidden="false" customHeight="false" outlineLevel="0" collapsed="false">
      <c r="B1496" s="1104" t="str">
        <f aca="false">'Смета Внутр'!B1496</f>
        <v>Гвозди ершоные 2,8 х 90            </v>
      </c>
      <c r="C1496" s="1105" t="str">
        <f aca="false">'Смета Внутр'!C1496</f>
        <v>кг</v>
      </c>
      <c r="D1496" s="1106" t="n">
        <f aca="false">'Смета Внутр'!D1496</f>
        <v>0</v>
      </c>
      <c r="E1496" s="1104"/>
      <c r="F1496" s="1107" t="n">
        <f aca="false">'Смета Внутр'!H1496</f>
        <v>0</v>
      </c>
    </row>
    <row r="1497" s="118" customFormat="true" ht="15" hidden="false" customHeight="false" outlineLevel="0" collapsed="false">
      <c r="B1497" s="1104" t="str">
        <f aca="false">'Смета Внутр'!B1497</f>
        <v>Пластина соеденительная 100х240х2           </v>
      </c>
      <c r="C1497" s="1105" t="str">
        <f aca="false">'Смета Внутр'!C1497</f>
        <v>шт</v>
      </c>
      <c r="D1497" s="1106" t="n">
        <f aca="false">'Смета Внутр'!D1497</f>
        <v>2</v>
      </c>
      <c r="E1497" s="1104"/>
      <c r="F1497" s="1107" t="n">
        <f aca="false">'Смета Внутр'!H1497</f>
        <v>0</v>
      </c>
    </row>
    <row r="1498" s="118" customFormat="true" ht="15" hidden="false" customHeight="false" outlineLevel="0" collapsed="false">
      <c r="B1498" s="1104" t="str">
        <f aca="false">'Смета Внутр'!B1498</f>
        <v>Уголок усиленный 90х70х55х2,5        </v>
      </c>
      <c r="C1498" s="1105" t="str">
        <f aca="false">'Смета Внутр'!C1498</f>
        <v>шт</v>
      </c>
      <c r="D1498" s="1106" t="n">
        <f aca="false">'Смета Внутр'!D1498</f>
        <v>3</v>
      </c>
      <c r="E1498" s="1104"/>
      <c r="F1498" s="1107" t="n">
        <f aca="false">'Смета Внутр'!H1498</f>
        <v>0</v>
      </c>
    </row>
    <row r="1499" s="118" customFormat="true" ht="15" hidden="false" customHeight="false" outlineLevel="0" collapsed="false">
      <c r="B1499" s="1108" t="str">
        <f aca="false">'Смета Внутр'!B1499</f>
        <v>Итого материалы</v>
      </c>
      <c r="C1499" s="1108"/>
      <c r="D1499" s="1108"/>
      <c r="E1499" s="1108"/>
      <c r="F1499" s="1109" t="n">
        <f aca="false">'Смета Внутр'!G1499</f>
        <v>0</v>
      </c>
    </row>
    <row r="1500" s="118" customFormat="true" ht="15" hidden="false" customHeight="false" outlineLevel="0" collapsed="false">
      <c r="B1500" s="1110" t="str">
        <f aca="false">'Смета Внутр'!B1500</f>
        <v>Работы</v>
      </c>
      <c r="C1500" s="1110"/>
      <c r="D1500" s="1110"/>
      <c r="E1500" s="1110"/>
      <c r="F1500" s="1102" t="n">
        <f aca="false">'Смета Внутр'!H1500</f>
        <v>0</v>
      </c>
    </row>
    <row r="1501" s="118" customFormat="true" ht="15" hidden="false" customHeight="false" outlineLevel="0" collapsed="false">
      <c r="B1501" s="1104" t="str">
        <f aca="false">'Смета Внутр'!B1501</f>
        <v>монтаж мауэрлат</v>
      </c>
      <c r="C1501" s="1105" t="str">
        <f aca="false">'Смета Внутр'!C1501</f>
        <v>м.п.</v>
      </c>
      <c r="D1501" s="1106" t="n">
        <f aca="false">'Смета Внутр'!D1501</f>
        <v>0</v>
      </c>
      <c r="E1501" s="1104"/>
      <c r="F1501" s="1107" t="n">
        <f aca="false">'Смета Внутр'!H1501</f>
        <v>0</v>
      </c>
    </row>
    <row r="1502" s="118" customFormat="true" ht="15" hidden="false" customHeight="false" outlineLevel="0" collapsed="false">
      <c r="B1502" s="1104" t="str">
        <f aca="false">'Смета Внутр'!B1502</f>
        <v>монтаж стропил</v>
      </c>
      <c r="C1502" s="1105" t="str">
        <f aca="false">'Смета Внутр'!C1502</f>
        <v>м2</v>
      </c>
      <c r="D1502" s="1106" t="n">
        <f aca="false">'Смета Внутр'!D1502</f>
        <v>0</v>
      </c>
      <c r="E1502" s="1104"/>
      <c r="F1502" s="1107" t="n">
        <f aca="false">'Смета Внутр'!H1502</f>
        <v>0</v>
      </c>
    </row>
    <row r="1503" s="118" customFormat="true" ht="15" hidden="false" customHeight="false" outlineLevel="0" collapsed="false">
      <c r="B1503" s="1104" t="str">
        <f aca="false">'Смета Внутр'!B1503</f>
        <v>обрешетка</v>
      </c>
      <c r="C1503" s="1105" t="str">
        <f aca="false">'Смета Внутр'!C1503</f>
        <v>м2</v>
      </c>
      <c r="D1503" s="1106" t="n">
        <f aca="false">'Смета Внутр'!D1503</f>
        <v>0</v>
      </c>
      <c r="E1503" s="1104"/>
      <c r="F1503" s="1107" t="n">
        <f aca="false">'Смета Внутр'!H1503</f>
        <v>0</v>
      </c>
    </row>
    <row r="1504" s="118" customFormat="true" ht="15" hidden="false" customHeight="false" outlineLevel="0" collapsed="false">
      <c r="B1504" s="1104" t="str">
        <f aca="false">'Смета Внутр'!B1504</f>
        <v>контробеш</v>
      </c>
      <c r="C1504" s="1105" t="str">
        <f aca="false">'Смета Внутр'!C1504</f>
        <v>м2</v>
      </c>
      <c r="D1504" s="1106" t="n">
        <f aca="false">'Смета Внутр'!D1504</f>
        <v>0</v>
      </c>
      <c r="E1504" s="1104"/>
      <c r="F1504" s="1107" t="n">
        <f aca="false">'Смета Внутр'!H1504</f>
        <v>0</v>
      </c>
    </row>
    <row r="1505" s="118" customFormat="true" ht="15" hidden="false" customHeight="false" outlineLevel="0" collapsed="false">
      <c r="B1505" s="1104" t="str">
        <f aca="false">'Смета Внутр'!B1505</f>
        <v>мембрана</v>
      </c>
      <c r="C1505" s="1105" t="str">
        <f aca="false">'Смета Внутр'!C1505</f>
        <v>м2</v>
      </c>
      <c r="D1505" s="1106" t="n">
        <f aca="false">'Смета Внутр'!D1505</f>
        <v>0</v>
      </c>
      <c r="E1505" s="1104"/>
      <c r="F1505" s="1107" t="n">
        <f aca="false">'Смета Внутр'!H1505</f>
        <v>0</v>
      </c>
    </row>
    <row r="1506" s="118" customFormat="true" ht="15" hidden="false" customHeight="false" outlineLevel="0" collapsed="false">
      <c r="B1506" s="1104" t="str">
        <f aca="false">'Смета Внутр'!B1506</f>
        <v>пароизоляц</v>
      </c>
      <c r="C1506" s="1105" t="str">
        <f aca="false">'Смета Внутр'!C1506</f>
        <v>м2</v>
      </c>
      <c r="D1506" s="1106" t="n">
        <f aca="false">'Смета Внутр'!D1506</f>
        <v>0</v>
      </c>
      <c r="E1506" s="1104"/>
      <c r="F1506" s="1107" t="n">
        <f aca="false">'Смета Внутр'!H1506</f>
        <v>0</v>
      </c>
    </row>
    <row r="1507" s="118" customFormat="true" ht="15" hidden="false" customHeight="false" outlineLevel="0" collapsed="false">
      <c r="B1507" s="1104" t="str">
        <f aca="false">'Смета Внутр'!B1507</f>
        <v>утеплитель</v>
      </c>
      <c r="C1507" s="1105" t="str">
        <f aca="false">'Смета Внутр'!C1507</f>
        <v>м2</v>
      </c>
      <c r="D1507" s="1106" t="n">
        <f aca="false">'Смета Внутр'!D1507</f>
        <v>0</v>
      </c>
      <c r="E1507" s="1104"/>
      <c r="F1507" s="1107" t="n">
        <f aca="false">'Смета Внутр'!H1507</f>
        <v>0</v>
      </c>
    </row>
    <row r="1508" s="118" customFormat="true" ht="15" hidden="false" customHeight="false" outlineLevel="0" collapsed="false">
      <c r="B1508" s="1104" t="str">
        <f aca="false">'Смета Внутр'!B1508</f>
        <v>Монтаж металлочерепицы</v>
      </c>
      <c r="C1508" s="1105" t="str">
        <f aca="false">'Смета Внутр'!C1508</f>
        <v>м2</v>
      </c>
      <c r="D1508" s="1106" t="n">
        <f aca="false">'Смета Внутр'!D1508</f>
        <v>0</v>
      </c>
      <c r="E1508" s="1104"/>
      <c r="F1508" s="1107" t="n">
        <f aca="false">'Смета Внутр'!H1508</f>
        <v>0</v>
      </c>
    </row>
    <row r="1509" s="118" customFormat="true" ht="15" hidden="false" customHeight="false" outlineLevel="0" collapsed="false">
      <c r="B1509" s="1104" t="str">
        <f aca="false">'Смета Внутр'!B1509</f>
        <v>карнизная планка</v>
      </c>
      <c r="C1509" s="1105" t="str">
        <f aca="false">'Смета Внутр'!C1509</f>
        <v>м2</v>
      </c>
      <c r="D1509" s="1106" t="n">
        <f aca="false">'Смета Внутр'!D1509</f>
        <v>0</v>
      </c>
      <c r="E1509" s="1104"/>
      <c r="F1509" s="1107" t="n">
        <f aca="false">'Смета Внутр'!H1509</f>
        <v>0</v>
      </c>
    </row>
    <row r="1510" s="118" customFormat="true" ht="15" hidden="false" customHeight="false" outlineLevel="0" collapsed="false">
      <c r="B1510" s="1104" t="str">
        <f aca="false">'Смета Внутр'!B1510</f>
        <v>желоб водосточный</v>
      </c>
      <c r="C1510" s="1105" t="str">
        <f aca="false">'Смета Внутр'!C1510</f>
        <v>м.п.</v>
      </c>
      <c r="D1510" s="1106" t="n">
        <f aca="false">'Смета Внутр'!D1510</f>
        <v>0</v>
      </c>
      <c r="E1510" s="1104"/>
      <c r="F1510" s="1107" t="n">
        <f aca="false">'Смета Внутр'!H1510</f>
        <v>0</v>
      </c>
    </row>
    <row r="1511" s="118" customFormat="true" ht="15" hidden="false" customHeight="false" outlineLevel="0" collapsed="false">
      <c r="B1511" s="1104" t="str">
        <f aca="false">'Смета Внутр'!B1511</f>
        <v>труба водосточная</v>
      </c>
      <c r="C1511" s="1105" t="str">
        <f aca="false">'Смета Внутр'!C1511</f>
        <v>м.п.</v>
      </c>
      <c r="D1511" s="1106" t="n">
        <f aca="false">'Смета Внутр'!D1511</f>
        <v>0</v>
      </c>
      <c r="E1511" s="1104"/>
      <c r="F1511" s="1107" t="n">
        <f aca="false">'Смета Внутр'!H1511</f>
        <v>0</v>
      </c>
    </row>
    <row r="1512" s="118" customFormat="true" ht="15" hidden="false" customHeight="false" outlineLevel="0" collapsed="false">
      <c r="B1512" s="1104" t="str">
        <f aca="false">'Смета Внутр'!B1512</f>
        <v>ендова внутр/наружн</v>
      </c>
      <c r="C1512" s="1105" t="str">
        <f aca="false">'Смета Внутр'!C1512</f>
        <v>м.п.</v>
      </c>
      <c r="D1512" s="1106" t="n">
        <f aca="false">'Смета Внутр'!D1512</f>
        <v>0</v>
      </c>
      <c r="E1512" s="1104"/>
      <c r="F1512" s="1107" t="n">
        <f aca="false">'Смета Внутр'!H1512</f>
        <v>0</v>
      </c>
    </row>
    <row r="1513" s="118" customFormat="true" ht="15" hidden="false" customHeight="false" outlineLevel="0" collapsed="false">
      <c r="B1513" s="1104" t="str">
        <f aca="false">'Смета Внутр'!B1513</f>
        <v>Монтаж фанеры/osb</v>
      </c>
      <c r="C1513" s="1105" t="str">
        <f aca="false">'Смета Внутр'!C1513</f>
        <v>м2</v>
      </c>
      <c r="D1513" s="1106" t="n">
        <f aca="false">'Смета Внутр'!D1513</f>
        <v>0</v>
      </c>
      <c r="E1513" s="1104"/>
      <c r="F1513" s="1107" t="n">
        <f aca="false">'Смета Внутр'!H1513</f>
        <v>0</v>
      </c>
    </row>
    <row r="1514" s="118" customFormat="true" ht="15" hidden="false" customHeight="false" outlineLevel="0" collapsed="false">
      <c r="B1514" s="1104" t="str">
        <f aca="false">'Смета Внутр'!B1514</f>
        <v>монтаж подкладочного ковра</v>
      </c>
      <c r="C1514" s="1105" t="str">
        <f aca="false">'Смета Внутр'!C1514</f>
        <v>м2</v>
      </c>
      <c r="D1514" s="1106" t="n">
        <f aca="false">'Смета Внутр'!D1514</f>
        <v>0</v>
      </c>
      <c r="E1514" s="1104"/>
      <c r="F1514" s="1107" t="n">
        <f aca="false">'Смета Внутр'!H1514</f>
        <v>0</v>
      </c>
    </row>
    <row r="1515" s="118" customFormat="true" ht="15" hidden="false" customHeight="false" outlineLevel="0" collapsed="false">
      <c r="B1515" s="1104" t="str">
        <f aca="false">'Смета Внутр'!B1515</f>
        <v>Монтаж мягкой кровли</v>
      </c>
      <c r="C1515" s="1105" t="str">
        <f aca="false">'Смета Внутр'!C1515</f>
        <v>м2</v>
      </c>
      <c r="D1515" s="1106" t="n">
        <f aca="false">'Смета Внутр'!D1515</f>
        <v>0</v>
      </c>
      <c r="E1515" s="1104"/>
      <c r="F1515" s="1107" t="n">
        <f aca="false">'Смета Внутр'!H1515</f>
        <v>0</v>
      </c>
    </row>
    <row r="1516" s="118" customFormat="true" ht="15" hidden="false" customHeight="false" outlineLevel="0" collapsed="false">
      <c r="B1516" s="1108" t="str">
        <f aca="false">'Смета Внутр'!B1516</f>
        <v>Итого работы</v>
      </c>
      <c r="C1516" s="1108"/>
      <c r="D1516" s="1108"/>
      <c r="E1516" s="1108"/>
      <c r="F1516" s="1109" t="n">
        <f aca="false">'Смета Внутр'!G1516</f>
        <v>0</v>
      </c>
    </row>
    <row r="1517" s="118" customFormat="true" ht="18.75" hidden="false" customHeight="false" outlineLevel="0" collapsed="false">
      <c r="B1517" s="1111" t="str">
        <f aca="false">'Смета Внутр'!B1517</f>
        <v>Кровля на террасу/веранду</v>
      </c>
      <c r="C1517" s="1111"/>
      <c r="D1517" s="1111"/>
      <c r="E1517" s="1111"/>
      <c r="F1517" s="1102" t="n">
        <f aca="false">'Смета Внутр'!H1517</f>
        <v>0</v>
      </c>
    </row>
    <row r="1518" s="118" customFormat="true" ht="15" hidden="false" customHeight="false" outlineLevel="0" collapsed="false">
      <c r="B1518" s="1103" t="str">
        <f aca="false">'Смета Внутр'!B1518</f>
        <v>Материалы</v>
      </c>
      <c r="C1518" s="1103"/>
      <c r="D1518" s="1103"/>
      <c r="E1518" s="1103"/>
      <c r="F1518" s="1102" t="n">
        <f aca="false">'Смета Внутр'!H1518</f>
        <v>0</v>
      </c>
    </row>
    <row r="1519" s="118" customFormat="true" ht="15" hidden="false" customHeight="false" outlineLevel="0" collapsed="false">
      <c r="B1519" s="1104" t="str">
        <f aca="false">'Смета Внутр'!B1519</f>
        <v>Доска сухая, 200*50мм</v>
      </c>
      <c r="C1519" s="1105" t="str">
        <f aca="false">'Смета Внутр'!C1519</f>
        <v>м3</v>
      </c>
      <c r="D1519" s="1106" t="n">
        <f aca="false">'Смета Внутр'!D1519</f>
        <v>0</v>
      </c>
      <c r="E1519" s="1104"/>
      <c r="F1519" s="1107" t="n">
        <f aca="false">'Смета Внутр'!H1519</f>
        <v>0</v>
      </c>
    </row>
    <row r="1520" s="118" customFormat="true" ht="15" hidden="false" customHeight="false" outlineLevel="0" collapsed="false">
      <c r="B1520" s="1104" t="str">
        <f aca="false">'Смета Внутр'!B1520</f>
        <v>Сосна влаж,100*25мм</v>
      </c>
      <c r="C1520" s="1105" t="str">
        <f aca="false">'Смета Внутр'!C1520</f>
        <v>м3</v>
      </c>
      <c r="D1520" s="1106" t="n">
        <f aca="false">'Смета Внутр'!D1520</f>
        <v>0</v>
      </c>
      <c r="E1520" s="1104"/>
      <c r="F1520" s="1107" t="n">
        <f aca="false">'Смета Внутр'!H1520</f>
        <v>0</v>
      </c>
    </row>
    <row r="1521" s="118" customFormat="true" ht="15" hidden="false" customHeight="false" outlineLevel="0" collapsed="false">
      <c r="B1521" s="1104" t="str">
        <f aca="false">'Смета Внутр'!B1521</f>
        <v>Доска сухая, калибр., 35*45мм</v>
      </c>
      <c r="C1521" s="1105" t="str">
        <f aca="false">'Смета Внутр'!C1521</f>
        <v>шт</v>
      </c>
      <c r="D1521" s="1106" t="n">
        <f aca="false">'Смета Внутр'!D1521</f>
        <v>0</v>
      </c>
      <c r="E1521" s="1104"/>
      <c r="F1521" s="1107" t="n">
        <f aca="false">'Смета Внутр'!H1521</f>
        <v>0</v>
      </c>
    </row>
    <row r="1522" s="118" customFormat="true" ht="15" hidden="false" customHeight="false" outlineLevel="0" collapsed="false">
      <c r="B1522" s="1104" t="str">
        <f aca="false">'Смета Внутр'!B1522</f>
        <v>нет ветроизоляции</v>
      </c>
      <c r="C1522" s="1105" t="str">
        <f aca="false">'Смета Внутр'!C1522</f>
        <v>м2</v>
      </c>
      <c r="D1522" s="1106" t="n">
        <f aca="false">'Смета Внутр'!D1522</f>
        <v>0</v>
      </c>
      <c r="E1522" s="1104"/>
      <c r="F1522" s="1107" t="n">
        <f aca="false">'Смета Внутр'!H1522</f>
        <v>0</v>
      </c>
    </row>
    <row r="1523" s="118" customFormat="true" ht="15" hidden="false" customHeight="false" outlineLevel="0" collapsed="false">
      <c r="B1523" s="1104" t="str">
        <f aca="false">'Смета Внутр'!B1523</f>
        <v>металлочерепица</v>
      </c>
      <c r="C1523" s="1105" t="str">
        <f aca="false">'Смета Внутр'!C1523</f>
        <v>м2</v>
      </c>
      <c r="D1523" s="1106" t="n">
        <f aca="false">'Смета Внутр'!D1523</f>
        <v>0</v>
      </c>
      <c r="E1523" s="1104"/>
      <c r="F1523" s="1107" t="n">
        <f aca="false">'Смета Внутр'!H1523</f>
        <v>0</v>
      </c>
    </row>
    <row r="1524" s="118" customFormat="true" ht="15" hidden="false" customHeight="false" outlineLevel="0" collapsed="false">
      <c r="B1524" s="1104" t="str">
        <f aca="false">'Смета Внутр'!B1524</f>
        <v>карнизная планка</v>
      </c>
      <c r="C1524" s="1105" t="str">
        <f aca="false">'Смета Внутр'!C1524</f>
        <v>м.п.</v>
      </c>
      <c r="D1524" s="1106" t="n">
        <f aca="false">'Смета Внутр'!D1524</f>
        <v>0</v>
      </c>
      <c r="E1524" s="1104"/>
      <c r="F1524" s="1107" t="n">
        <f aca="false">'Смета Внутр'!H1524</f>
        <v>0</v>
      </c>
    </row>
    <row r="1525" s="118" customFormat="true" ht="15" hidden="false" customHeight="false" outlineLevel="0" collapsed="false">
      <c r="B1525" s="1104" t="str">
        <f aca="false">'Смета Внутр'!B1525</f>
        <v>торцевая планка</v>
      </c>
      <c r="C1525" s="1105" t="str">
        <f aca="false">'Смета Внутр'!C1525</f>
        <v>м.п.</v>
      </c>
      <c r="D1525" s="1106" t="n">
        <f aca="false">'Смета Внутр'!D1525</f>
        <v>0</v>
      </c>
      <c r="E1525" s="1104"/>
      <c r="F1525" s="1107" t="n">
        <f aca="false">'Смета Внутр'!H1525</f>
        <v>0</v>
      </c>
    </row>
    <row r="1526" s="118" customFormat="true" ht="15" hidden="false" customHeight="false" outlineLevel="0" collapsed="false">
      <c r="B1526" s="1104" t="str">
        <f aca="false">'Смета Внутр'!B1526</f>
        <v>конек</v>
      </c>
      <c r="C1526" s="1105" t="str">
        <f aca="false">'Смета Внутр'!C1526</f>
        <v>м.п.</v>
      </c>
      <c r="D1526" s="1106" t="n">
        <f aca="false">'Смета Внутр'!D1526</f>
        <v>0</v>
      </c>
      <c r="E1526" s="1104"/>
      <c r="F1526" s="1107" t="n">
        <f aca="false">'Смета Внутр'!H1526</f>
        <v>0</v>
      </c>
    </row>
    <row r="1527" s="118" customFormat="true" ht="15" hidden="false" customHeight="false" outlineLevel="0" collapsed="false">
      <c r="B1527" s="1104" t="str">
        <f aca="false">'Смета Внутр'!B1527</f>
        <v>ондулин</v>
      </c>
      <c r="C1527" s="1105" t="str">
        <f aca="false">'Смета Внутр'!C1527</f>
        <v>м2</v>
      </c>
      <c r="D1527" s="1106" t="n">
        <f aca="false">'Смета Внутр'!D1527</f>
        <v>0</v>
      </c>
      <c r="E1527" s="1104"/>
      <c r="F1527" s="1107" t="n">
        <f aca="false">'Смета Внутр'!H1527</f>
        <v>0</v>
      </c>
    </row>
    <row r="1528" s="118" customFormat="true" ht="15" hidden="false" customHeight="false" outlineLevel="0" collapsed="false">
      <c r="B1528" s="1104" t="str">
        <f aca="false">'Смета Внутр'!B1528</f>
        <v>Карнизная планка</v>
      </c>
      <c r="C1528" s="1105" t="str">
        <f aca="false">'Смета Внутр'!C1528</f>
        <v>м.п.</v>
      </c>
      <c r="D1528" s="1106" t="n">
        <f aca="false">'Смета Внутр'!D1528</f>
        <v>0</v>
      </c>
      <c r="E1528" s="1104"/>
      <c r="F1528" s="1107" t="n">
        <f aca="false">'Смета Внутр'!H1528</f>
        <v>0</v>
      </c>
    </row>
    <row r="1529" s="118" customFormat="true" ht="15" hidden="false" customHeight="false" outlineLevel="0" collapsed="false">
      <c r="B1529" s="1104" t="str">
        <f aca="false">'Смета Внутр'!B1529</f>
        <v>Торцевая планка</v>
      </c>
      <c r="C1529" s="1105" t="str">
        <f aca="false">'Смета Внутр'!C1529</f>
        <v>м.п.</v>
      </c>
      <c r="D1529" s="1106" t="n">
        <f aca="false">'Смета Внутр'!D1529</f>
        <v>0</v>
      </c>
      <c r="E1529" s="1104"/>
      <c r="F1529" s="1107" t="n">
        <f aca="false">'Смета Внутр'!H1529</f>
        <v>0</v>
      </c>
    </row>
    <row r="1530" s="118" customFormat="true" ht="15" hidden="false" customHeight="false" outlineLevel="0" collapsed="false">
      <c r="B1530" s="1104" t="str">
        <f aca="false">'Смета Внутр'!B1530</f>
        <v>Конек</v>
      </c>
      <c r="C1530" s="1105" t="str">
        <f aca="false">'Смета Внутр'!C1530</f>
        <v>м.п.</v>
      </c>
      <c r="D1530" s="1106" t="n">
        <f aca="false">'Смета Внутр'!D1530</f>
        <v>0</v>
      </c>
      <c r="E1530" s="1104"/>
      <c r="F1530" s="1107" t="n">
        <f aca="false">'Смета Внутр'!H1530</f>
        <v>0</v>
      </c>
    </row>
    <row r="1531" s="118" customFormat="true" ht="15" hidden="false" customHeight="false" outlineLevel="0" collapsed="false">
      <c r="B1531" s="1104" t="str">
        <f aca="false">'Смета Внутр'!B1531</f>
        <v>Ендова нижняя</v>
      </c>
      <c r="C1531" s="1105" t="str">
        <f aca="false">'Смета Внутр'!C1531</f>
        <v>м.п.</v>
      </c>
      <c r="D1531" s="1106" t="n">
        <f aca="false">'Смета Внутр'!D1531</f>
        <v>0</v>
      </c>
      <c r="E1531" s="1104"/>
      <c r="F1531" s="1107" t="n">
        <f aca="false">'Смета Внутр'!H1531</f>
        <v>0</v>
      </c>
    </row>
    <row r="1532" s="118" customFormat="true" ht="15" hidden="false" customHeight="false" outlineLevel="0" collapsed="false">
      <c r="B1532" s="1104" t="str">
        <f aca="false">'Смета Внутр'!B1532</f>
        <v>Ендова верхняя</v>
      </c>
      <c r="C1532" s="1105" t="str">
        <f aca="false">'Смета Внутр'!C1532</f>
        <v>м.п.</v>
      </c>
      <c r="D1532" s="1106" t="n">
        <f aca="false">'Смета Внутр'!D1532</f>
        <v>0</v>
      </c>
      <c r="E1532" s="1104"/>
      <c r="F1532" s="1107" t="n">
        <f aca="false">'Смета Внутр'!H1532</f>
        <v>0</v>
      </c>
    </row>
    <row r="1533" s="118" customFormat="true" ht="15" hidden="false" customHeight="false" outlineLevel="0" collapsed="false">
      <c r="B1533" s="1104" t="str">
        <f aca="false">'Смета Внутр'!B1533</f>
        <v>Планка примыкания</v>
      </c>
      <c r="C1533" s="1105" t="str">
        <f aca="false">'Смета Внутр'!C1533</f>
        <v>м.п.</v>
      </c>
      <c r="D1533" s="1106" t="n">
        <f aca="false">'Смета Внутр'!D1533</f>
        <v>0</v>
      </c>
      <c r="E1533" s="1104"/>
      <c r="F1533" s="1107" t="n">
        <f aca="false">'Смета Внутр'!H1533</f>
        <v>0</v>
      </c>
    </row>
    <row r="1534" s="118" customFormat="true" ht="15" hidden="false" customHeight="false" outlineLevel="0" collapsed="false">
      <c r="B1534" s="1104" t="str">
        <f aca="false">'Смета Внутр'!B1534</f>
        <v>Крепеж для ондулина</v>
      </c>
      <c r="C1534" s="1105" t="str">
        <f aca="false">'Смета Внутр'!C1534</f>
        <v>шт</v>
      </c>
      <c r="D1534" s="1106" t="n">
        <f aca="false">'Смета Внутр'!D1534</f>
        <v>0</v>
      </c>
      <c r="E1534" s="1104"/>
      <c r="F1534" s="1107" t="n">
        <f aca="false">'Смета Внутр'!H1534</f>
        <v>0</v>
      </c>
    </row>
    <row r="1535" s="118" customFormat="true" ht="15" hidden="false" customHeight="false" outlineLevel="0" collapsed="false">
      <c r="B1535" s="1104" t="str">
        <f aca="false">'Смета Внутр'!B1535</f>
        <v>нет</v>
      </c>
      <c r="C1535" s="1105" t="str">
        <f aca="false">'Смета Внутр'!C1535</f>
        <v>м2</v>
      </c>
      <c r="D1535" s="1106" t="n">
        <f aca="false">'Смета Внутр'!D1535</f>
        <v>21.4120474499754</v>
      </c>
      <c r="E1535" s="1104"/>
      <c r="F1535" s="1107" t="n">
        <f aca="false">'Смета Внутр'!H1535</f>
        <v>0</v>
      </c>
    </row>
    <row r="1536" s="118" customFormat="true" ht="15" hidden="false" customHeight="false" outlineLevel="0" collapsed="false">
      <c r="B1536" s="1104" t="str">
        <f aca="false">'Смета Внутр'!B1536</f>
        <v>Рядовая черепица</v>
      </c>
      <c r="C1536" s="1105" t="str">
        <f aca="false">'Смета Внутр'!C1536</f>
        <v>м2</v>
      </c>
      <c r="D1536" s="1106" t="n">
        <f aca="false">'Смета Внутр'!D1536</f>
        <v>0</v>
      </c>
      <c r="E1536" s="1104"/>
      <c r="F1536" s="1107" t="n">
        <f aca="false">'Смета Внутр'!H1536</f>
        <v>0</v>
      </c>
    </row>
    <row r="1537" s="118" customFormat="true" ht="15" hidden="false" customHeight="false" outlineLevel="0" collapsed="false">
      <c r="B1537" s="1104" t="str">
        <f aca="false">'Смета Внутр'!B1537</f>
        <v>Металл оцинк защита (карниз)</v>
      </c>
      <c r="C1537" s="1105" t="str">
        <f aca="false">'Смета Внутр'!C1537</f>
        <v>м.п.</v>
      </c>
      <c r="D1537" s="1106" t="n">
        <f aca="false">'Смета Внутр'!D1537</f>
        <v>0</v>
      </c>
      <c r="E1537" s="1104"/>
      <c r="F1537" s="1107" t="n">
        <f aca="false">'Смета Внутр'!H1537</f>
        <v>0</v>
      </c>
    </row>
    <row r="1538" s="118" customFormat="true" ht="15" hidden="false" customHeight="false" outlineLevel="0" collapsed="false">
      <c r="B1538" s="1104" t="str">
        <f aca="false">'Смета Внутр'!B1538</f>
        <v>Подкладочный ковер</v>
      </c>
      <c r="C1538" s="1105" t="str">
        <f aca="false">'Смета Внутр'!C1538</f>
        <v>м.п.</v>
      </c>
      <c r="D1538" s="1106" t="n">
        <f aca="false">'Смета Внутр'!D1538</f>
        <v>0</v>
      </c>
      <c r="E1538" s="1104"/>
      <c r="F1538" s="1107" t="n">
        <f aca="false">'Смета Внутр'!H1538</f>
        <v>0</v>
      </c>
    </row>
    <row r="1539" s="118" customFormat="true" ht="15" hidden="false" customHeight="false" outlineLevel="0" collapsed="false">
      <c r="B1539" s="1104" t="str">
        <f aca="false">'Смета Внутр'!B1539</f>
        <v>Карнизная самоклеющаяся черепица</v>
      </c>
      <c r="C1539" s="1105" t="str">
        <f aca="false">'Смета Внутр'!C1539</f>
        <v>м.п.</v>
      </c>
      <c r="D1539" s="1106" t="n">
        <f aca="false">'Смета Внутр'!D1539</f>
        <v>0</v>
      </c>
      <c r="E1539" s="1104"/>
      <c r="F1539" s="1107" t="n">
        <f aca="false">'Смета Внутр'!H1539</f>
        <v>0</v>
      </c>
    </row>
    <row r="1540" s="118" customFormat="true" ht="15" hidden="false" customHeight="false" outlineLevel="0" collapsed="false">
      <c r="B1540" s="1104" t="str">
        <f aca="false">'Смета Внутр'!B1540</f>
        <v>Спец ковер ендова нижняя</v>
      </c>
      <c r="C1540" s="1105" t="str">
        <f aca="false">'Смета Внутр'!C1540</f>
        <v>м.п.</v>
      </c>
      <c r="D1540" s="1106" t="n">
        <f aca="false">'Смета Внутр'!D1540</f>
        <v>0</v>
      </c>
      <c r="E1540" s="1104"/>
      <c r="F1540" s="1107" t="n">
        <f aca="false">'Смета Внутр'!H1540</f>
        <v>0</v>
      </c>
    </row>
    <row r="1541" s="118" customFormat="true" ht="15" hidden="false" customHeight="false" outlineLevel="0" collapsed="false">
      <c r="B1541" s="1104" t="str">
        <f aca="false">'Смета Внутр'!B1541</f>
        <v>Коньковой элемент</v>
      </c>
      <c r="C1541" s="1105" t="str">
        <f aca="false">'Смета Внутр'!C1541</f>
        <v>м.п.</v>
      </c>
      <c r="D1541" s="1106" t="n">
        <f aca="false">'Смета Внутр'!D1541</f>
        <v>0</v>
      </c>
      <c r="E1541" s="1104"/>
      <c r="F1541" s="1107" t="n">
        <f aca="false">'Смета Внутр'!H1541</f>
        <v>0</v>
      </c>
    </row>
    <row r="1542" s="118" customFormat="true" ht="15" hidden="false" customHeight="false" outlineLevel="0" collapsed="false">
      <c r="B1542" s="1104" t="str">
        <f aca="false">'Смета Внутр'!B1542</f>
        <v>Планка премыкания</v>
      </c>
      <c r="C1542" s="1105" t="str">
        <f aca="false">'Смета Внутр'!C1542</f>
        <v>м.п.</v>
      </c>
      <c r="D1542" s="1106" t="n">
        <f aca="false">'Смета Внутр'!D1542</f>
        <v>0</v>
      </c>
      <c r="E1542" s="1104"/>
      <c r="F1542" s="1107" t="n">
        <f aca="false">'Смета Внутр'!H1542</f>
        <v>0</v>
      </c>
    </row>
    <row r="1543" s="118" customFormat="true" ht="15" hidden="false" customHeight="false" outlineLevel="0" collapsed="false">
      <c r="B1543" s="1104" t="str">
        <f aca="false">'Смета Внутр'!B1543</f>
        <v>Гвозди для крепления подкладочного ковра</v>
      </c>
      <c r="C1543" s="1105" t="str">
        <f aca="false">'Смета Внутр'!C1543</f>
        <v>шт</v>
      </c>
      <c r="D1543" s="1106" t="n">
        <f aca="false">'Смета Внутр'!D1543</f>
        <v>0</v>
      </c>
      <c r="E1543" s="1104"/>
      <c r="F1543" s="1107" t="n">
        <f aca="false">'Смета Внутр'!H1543</f>
        <v>0</v>
      </c>
    </row>
    <row r="1544" s="118" customFormat="true" ht="15" hidden="false" customHeight="false" outlineLevel="0" collapsed="false">
      <c r="B1544" s="1104" t="str">
        <f aca="false">'Смета Внутр'!B1544</f>
        <v>Гвозди для крепления черепицы</v>
      </c>
      <c r="C1544" s="1105" t="str">
        <f aca="false">'Смета Внутр'!C1544</f>
        <v>шт</v>
      </c>
      <c r="D1544" s="1106" t="n">
        <f aca="false">'Смета Внутр'!D1544</f>
        <v>0</v>
      </c>
      <c r="E1544" s="1104"/>
      <c r="F1544" s="1107" t="n">
        <f aca="false">'Смета Внутр'!H1544</f>
        <v>0</v>
      </c>
    </row>
    <row r="1545" s="118" customFormat="true" ht="15" hidden="false" customHeight="false" outlineLevel="0" collapsed="false">
      <c r="B1545" s="1104" t="str">
        <f aca="false">'Смета Внутр'!B1545</f>
        <v>Клей для монтажа черепицы</v>
      </c>
      <c r="C1545" s="1105" t="str">
        <f aca="false">'Смета Внутр'!C1545</f>
        <v>кг</v>
      </c>
      <c r="D1545" s="1106" t="n">
        <f aca="false">'Смета Внутр'!D1545</f>
        <v>0</v>
      </c>
      <c r="E1545" s="1104"/>
      <c r="F1545" s="1107" t="n">
        <f aca="false">'Смета Внутр'!H1545</f>
        <v>0</v>
      </c>
    </row>
    <row r="1546" s="118" customFormat="true" ht="15" hidden="false" customHeight="false" outlineLevel="0" collapsed="false">
      <c r="B1546" s="1104" t="str">
        <f aca="false">'Смета Внутр'!B1546</f>
        <v>желоб</v>
      </c>
      <c r="C1546" s="1105" t="str">
        <f aca="false">'Смета Внутр'!C1546</f>
        <v>м.п</v>
      </c>
      <c r="D1546" s="1106" t="n">
        <f aca="false">'Смета Внутр'!D1546</f>
        <v>7.6</v>
      </c>
      <c r="E1546" s="1104"/>
      <c r="F1546" s="1107" t="n">
        <f aca="false">'Смета Внутр'!H1546</f>
        <v>0</v>
      </c>
    </row>
    <row r="1547" s="118" customFormat="true" ht="15" hidden="false" customHeight="false" outlineLevel="0" collapsed="false">
      <c r="B1547" s="1104" t="str">
        <f aca="false">'Смета Внутр'!B1547</f>
        <v>отвод</v>
      </c>
      <c r="C1547" s="1105" t="str">
        <f aca="false">'Смета Внутр'!C1547</f>
        <v>шт</v>
      </c>
      <c r="D1547" s="1106" t="n">
        <f aca="false">'Смета Внутр'!D1547</f>
        <v>0</v>
      </c>
      <c r="E1547" s="1104"/>
      <c r="F1547" s="1107" t="n">
        <f aca="false">'Смета Внутр'!H1547</f>
        <v>0</v>
      </c>
    </row>
    <row r="1548" s="118" customFormat="true" ht="15" hidden="false" customHeight="false" outlineLevel="0" collapsed="false">
      <c r="B1548" s="1104" t="str">
        <f aca="false">'Смета Внутр'!B1548</f>
        <v>труба водосточная</v>
      </c>
      <c r="C1548" s="1105" t="str">
        <f aca="false">'Смета Внутр'!C1548</f>
        <v>м.п.</v>
      </c>
      <c r="D1548" s="1106" t="n">
        <f aca="false">'Смета Внутр'!D1548</f>
        <v>3.7</v>
      </c>
      <c r="E1548" s="1104"/>
      <c r="F1548" s="1107" t="n">
        <f aca="false">'Смета Внутр'!H1548</f>
        <v>0</v>
      </c>
    </row>
    <row r="1549" s="118" customFormat="true" ht="15" hidden="false" customHeight="false" outlineLevel="0" collapsed="false">
      <c r="B1549" s="1104" t="str">
        <f aca="false">'Смета Внутр'!B1549</f>
        <v>заглушка для желоба</v>
      </c>
      <c r="C1549" s="1105" t="str">
        <f aca="false">'Смета Внутр'!C1549</f>
        <v>шт</v>
      </c>
      <c r="D1549" s="1106" t="n">
        <f aca="false">'Смета Внутр'!D1549</f>
        <v>0</v>
      </c>
      <c r="E1549" s="1104"/>
      <c r="F1549" s="1107" t="n">
        <f aca="false">'Смета Внутр'!H1549</f>
        <v>0</v>
      </c>
    </row>
    <row r="1550" s="118" customFormat="true" ht="15" hidden="false" customHeight="false" outlineLevel="0" collapsed="false">
      <c r="B1550" s="1104" t="str">
        <f aca="false">'Смета Внутр'!B1550</f>
        <v>соеденитель для желоба</v>
      </c>
      <c r="C1550" s="1105" t="str">
        <f aca="false">'Смета Внутр'!C1550</f>
        <v>шт</v>
      </c>
      <c r="D1550" s="1106" t="n">
        <f aca="false">'Смета Внутр'!D1550</f>
        <v>0</v>
      </c>
      <c r="E1550" s="1104"/>
      <c r="F1550" s="1107" t="n">
        <f aca="false">'Смета Внутр'!H1550</f>
        <v>0</v>
      </c>
    </row>
    <row r="1551" s="118" customFormat="true" ht="15" hidden="false" customHeight="false" outlineLevel="0" collapsed="false">
      <c r="B1551" s="1104" t="str">
        <f aca="false">'Смета Внутр'!B1551</f>
        <v>кронштейн для желоба</v>
      </c>
      <c r="C1551" s="1105" t="str">
        <f aca="false">'Смета Внутр'!C1551</f>
        <v>шт</v>
      </c>
      <c r="D1551" s="1106" t="n">
        <f aca="false">'Смета Внутр'!D1551</f>
        <v>0</v>
      </c>
      <c r="E1551" s="1104"/>
      <c r="F1551" s="1107" t="n">
        <f aca="false">'Смета Внутр'!H1551</f>
        <v>0</v>
      </c>
    </row>
    <row r="1552" s="118" customFormat="true" ht="15" hidden="false" customHeight="false" outlineLevel="0" collapsed="false">
      <c r="B1552" s="1104" t="str">
        <f aca="false">'Смета Внутр'!B1552</f>
        <v>переход из желоба в трубу</v>
      </c>
      <c r="C1552" s="1105" t="str">
        <f aca="false">'Смета Внутр'!C1552</f>
        <v>шт</v>
      </c>
      <c r="D1552" s="1106" t="n">
        <f aca="false">'Смета Внутр'!D1552</f>
        <v>0</v>
      </c>
      <c r="E1552" s="1104"/>
      <c r="F1552" s="1107" t="n">
        <f aca="false">'Смета Внутр'!H1552</f>
        <v>0</v>
      </c>
    </row>
    <row r="1553" s="118" customFormat="true" ht="15" hidden="false" customHeight="false" outlineLevel="0" collapsed="false">
      <c r="B1553" s="1104" t="str">
        <f aca="false">'Смета Внутр'!B1553</f>
        <v>лента дельта мульти бэнд</v>
      </c>
      <c r="C1553" s="1105" t="str">
        <f aca="false">'Смета Внутр'!C1553</f>
        <v>шт</v>
      </c>
      <c r="D1553" s="1106" t="n">
        <f aca="false">'Смета Внутр'!D1553</f>
        <v>0</v>
      </c>
      <c r="E1553" s="1104"/>
      <c r="F1553" s="1107" t="n">
        <f aca="false">'Смета Внутр'!H1553</f>
        <v>0</v>
      </c>
    </row>
    <row r="1554" s="118" customFormat="true" ht="15" hidden="false" customHeight="false" outlineLevel="0" collapsed="false">
      <c r="B1554" s="1104" t="str">
        <f aca="false">'Смета Внутр'!B1554</f>
        <v>лента дельта sb-60</v>
      </c>
      <c r="C1554" s="1105" t="str">
        <f aca="false">'Смета Внутр'!C1554</f>
        <v>шт</v>
      </c>
      <c r="D1554" s="1106" t="n">
        <f aca="false">'Смета Внутр'!D1554</f>
        <v>0</v>
      </c>
      <c r="E1554" s="1104"/>
      <c r="F1554" s="1107" t="n">
        <f aca="false">'Смета Внутр'!H1554</f>
        <v>0</v>
      </c>
    </row>
    <row r="1555" s="118" customFormat="true" ht="15" hidden="false" customHeight="false" outlineLevel="0" collapsed="false">
      <c r="B1555" s="1104" t="str">
        <f aca="false">'Смета Внутр'!B1555</f>
        <v>Кровельный саморез</v>
      </c>
      <c r="C1555" s="1105" t="str">
        <f aca="false">'Смета Внутр'!C1555</f>
        <v>шт</v>
      </c>
      <c r="D1555" s="1106" t="n">
        <f aca="false">'Смета Внутр'!D1555</f>
        <v>0</v>
      </c>
      <c r="E1555" s="1104"/>
      <c r="F1555" s="1107" t="n">
        <f aca="false">'Смета Внутр'!H1555</f>
        <v>0</v>
      </c>
    </row>
    <row r="1556" s="118" customFormat="true" ht="15" hidden="false" customHeight="false" outlineLevel="0" collapsed="false">
      <c r="B1556" s="1104" t="str">
        <f aca="false">'Смета Внутр'!B1556</f>
        <v>Гвозди ершоные 3,4 x 60            </v>
      </c>
      <c r="C1556" s="1105" t="str">
        <f aca="false">'Смета Внутр'!C1556</f>
        <v>кг</v>
      </c>
      <c r="D1556" s="1106" t="n">
        <f aca="false">'Смета Внутр'!D1556</f>
        <v>0</v>
      </c>
      <c r="E1556" s="1104"/>
      <c r="F1556" s="1107" t="n">
        <f aca="false">'Смета Внутр'!H1556</f>
        <v>0</v>
      </c>
    </row>
    <row r="1557" s="118" customFormat="true" ht="15" hidden="false" customHeight="false" outlineLevel="0" collapsed="false">
      <c r="B1557" s="1104" t="str">
        <f aca="false">'Смета Внутр'!B1557</f>
        <v>Гвозди ершоные 2,8 х 90            </v>
      </c>
      <c r="C1557" s="1105" t="str">
        <f aca="false">'Смета Внутр'!C1557</f>
        <v>шт</v>
      </c>
      <c r="D1557" s="1106" t="n">
        <f aca="false">'Смета Внутр'!D1557</f>
        <v>0</v>
      </c>
      <c r="E1557" s="1104"/>
      <c r="F1557" s="1107" t="n">
        <f aca="false">'Смета Внутр'!H1557</f>
        <v>0</v>
      </c>
    </row>
    <row r="1558" s="118" customFormat="true" ht="15" hidden="false" customHeight="false" outlineLevel="0" collapsed="false">
      <c r="B1558" s="1104" t="str">
        <f aca="false">'Смета Внутр'!B1558</f>
        <v>Пластина соеденительная 100х240х2           </v>
      </c>
      <c r="C1558" s="1105" t="str">
        <f aca="false">'Смета Внутр'!C1558</f>
        <v>шт</v>
      </c>
      <c r="D1558" s="1106" t="n">
        <f aca="false">'Смета Внутр'!D1558</f>
        <v>0</v>
      </c>
      <c r="E1558" s="1104"/>
      <c r="F1558" s="1107" t="n">
        <f aca="false">'Смета Внутр'!H1558</f>
        <v>0</v>
      </c>
    </row>
    <row r="1559" s="118" customFormat="true" ht="15" hidden="false" customHeight="false" outlineLevel="0" collapsed="false">
      <c r="B1559" s="1104" t="str">
        <f aca="false">'Смета Внутр'!B1559</f>
        <v>Уголок усиленный 90х70х55х2,5        </v>
      </c>
      <c r="C1559" s="1105" t="str">
        <f aca="false">'Смета Внутр'!C1559</f>
        <v>шт</v>
      </c>
      <c r="D1559" s="1106" t="n">
        <f aca="false">'Смета Внутр'!D1559</f>
        <v>0</v>
      </c>
      <c r="E1559" s="1104"/>
      <c r="F1559" s="1107" t="n">
        <f aca="false">'Смета Внутр'!H1559</f>
        <v>0</v>
      </c>
    </row>
    <row r="1560" s="118" customFormat="true" ht="15" hidden="false" customHeight="false" outlineLevel="0" collapsed="false">
      <c r="B1560" s="1108" t="str">
        <f aca="false">'Смета Внутр'!B1560</f>
        <v>Итого материалы</v>
      </c>
      <c r="C1560" s="1108"/>
      <c r="D1560" s="1108"/>
      <c r="E1560" s="1108"/>
      <c r="F1560" s="1109" t="n">
        <f aca="false">'Смета Внутр'!G1560</f>
        <v>0</v>
      </c>
    </row>
    <row r="1561" s="118" customFormat="true" ht="15" hidden="false" customHeight="false" outlineLevel="0" collapsed="false">
      <c r="B1561" s="1110" t="str">
        <f aca="false">'Смета Внутр'!B1561</f>
        <v>Работы</v>
      </c>
      <c r="C1561" s="1110"/>
      <c r="D1561" s="1110"/>
      <c r="E1561" s="1110"/>
      <c r="F1561" s="1102" t="n">
        <f aca="false">'Смета Внутр'!H1561</f>
        <v>0</v>
      </c>
    </row>
    <row r="1562" s="118" customFormat="true" ht="15" hidden="false" customHeight="false" outlineLevel="0" collapsed="false">
      <c r="B1562" s="1104" t="str">
        <f aca="false">'Смета Внутр'!B1562</f>
        <v>монтаж стропил</v>
      </c>
      <c r="C1562" s="1105" t="str">
        <f aca="false">'Смета Внутр'!C1562</f>
        <v>м2</v>
      </c>
      <c r="D1562" s="1106" t="n">
        <f aca="false">'Смета Внутр'!D1562</f>
        <v>0</v>
      </c>
      <c r="E1562" s="1104"/>
      <c r="F1562" s="1107" t="n">
        <f aca="false">'Смета Внутр'!H1562</f>
        <v>0</v>
      </c>
    </row>
    <row r="1563" s="118" customFormat="true" ht="15" hidden="false" customHeight="false" outlineLevel="0" collapsed="false">
      <c r="B1563" s="1104" t="str">
        <f aca="false">'Смета Внутр'!B1563</f>
        <v>обрешетка</v>
      </c>
      <c r="C1563" s="1105" t="str">
        <f aca="false">'Смета Внутр'!C1563</f>
        <v>м2</v>
      </c>
      <c r="D1563" s="1106" t="n">
        <f aca="false">'Смета Внутр'!D1563</f>
        <v>0</v>
      </c>
      <c r="E1563" s="1104"/>
      <c r="F1563" s="1107" t="n">
        <f aca="false">'Смета Внутр'!H1563</f>
        <v>0</v>
      </c>
    </row>
    <row r="1564" s="118" customFormat="true" ht="15" hidden="false" customHeight="false" outlineLevel="0" collapsed="false">
      <c r="B1564" s="1104" t="str">
        <f aca="false">'Смета Внутр'!B1564</f>
        <v>контробеш</v>
      </c>
      <c r="C1564" s="1105" t="str">
        <f aca="false">'Смета Внутр'!C1564</f>
        <v>м2</v>
      </c>
      <c r="D1564" s="1106" t="n">
        <f aca="false">'Смета Внутр'!D1564</f>
        <v>0</v>
      </c>
      <c r="E1564" s="1104"/>
      <c r="F1564" s="1107" t="n">
        <f aca="false">'Смета Внутр'!H1564</f>
        <v>0</v>
      </c>
    </row>
    <row r="1565" s="118" customFormat="true" ht="15" hidden="false" customHeight="false" outlineLevel="0" collapsed="false">
      <c r="B1565" s="1104" t="str">
        <f aca="false">'Смета Внутр'!B1565</f>
        <v>мембрана</v>
      </c>
      <c r="C1565" s="1105" t="str">
        <f aca="false">'Смета Внутр'!C1565</f>
        <v>м2</v>
      </c>
      <c r="D1565" s="1106" t="n">
        <f aca="false">'Смета Внутр'!D1565</f>
        <v>0</v>
      </c>
      <c r="E1565" s="1104"/>
      <c r="F1565" s="1107" t="n">
        <f aca="false">'Смета Внутр'!H1565</f>
        <v>0</v>
      </c>
    </row>
    <row r="1566" s="118" customFormat="true" ht="15" hidden="false" customHeight="false" outlineLevel="0" collapsed="false">
      <c r="B1566" s="1104" t="str">
        <f aca="false">'Смета Внутр'!B1566</f>
        <v>Монтаж металлочерепицы</v>
      </c>
      <c r="C1566" s="1105" t="str">
        <f aca="false">'Смета Внутр'!C1566</f>
        <v>м2</v>
      </c>
      <c r="D1566" s="1106" t="n">
        <f aca="false">'Смета Внутр'!D1566</f>
        <v>0</v>
      </c>
      <c r="E1566" s="1104"/>
      <c r="F1566" s="1107" t="n">
        <f aca="false">'Смета Внутр'!H1566</f>
        <v>0</v>
      </c>
    </row>
    <row r="1567" s="118" customFormat="true" ht="15" hidden="false" customHeight="false" outlineLevel="0" collapsed="false">
      <c r="B1567" s="1104" t="str">
        <f aca="false">'Смета Внутр'!B1567</f>
        <v>карнизная планка</v>
      </c>
      <c r="C1567" s="1105" t="str">
        <f aca="false">'Смета Внутр'!C1567</f>
        <v>м2</v>
      </c>
      <c r="D1567" s="1106" t="n">
        <f aca="false">'Смета Внутр'!D1567</f>
        <v>0</v>
      </c>
      <c r="E1567" s="1104"/>
      <c r="F1567" s="1107" t="n">
        <f aca="false">'Смета Внутр'!H1567</f>
        <v>0</v>
      </c>
    </row>
    <row r="1568" s="118" customFormat="true" ht="15" hidden="false" customHeight="false" outlineLevel="0" collapsed="false">
      <c r="B1568" s="1104" t="str">
        <f aca="false">'Смета Внутр'!B1568</f>
        <v>торцевая планка</v>
      </c>
      <c r="C1568" s="1105" t="str">
        <f aca="false">'Смета Внутр'!C1568</f>
        <v>м2</v>
      </c>
      <c r="D1568" s="1106" t="n">
        <f aca="false">'Смета Внутр'!D1568</f>
        <v>0</v>
      </c>
      <c r="E1568" s="1104"/>
      <c r="F1568" s="1107" t="n">
        <f aca="false">'Смета Внутр'!H1568</f>
        <v>0</v>
      </c>
    </row>
    <row r="1569" s="118" customFormat="true" ht="15" hidden="false" customHeight="false" outlineLevel="0" collapsed="false">
      <c r="B1569" s="1104" t="str">
        <f aca="false">'Смета Внутр'!B1569</f>
        <v>желоб водосточный</v>
      </c>
      <c r="C1569" s="1105" t="str">
        <f aca="false">'Смета Внутр'!C1569</f>
        <v>м.п.</v>
      </c>
      <c r="D1569" s="1106" t="n">
        <f aca="false">'Смета Внутр'!D1569</f>
        <v>0</v>
      </c>
      <c r="E1569" s="1104"/>
      <c r="F1569" s="1107" t="n">
        <f aca="false">'Смета Внутр'!H1569</f>
        <v>0</v>
      </c>
    </row>
    <row r="1570" s="118" customFormat="true" ht="15" hidden="false" customHeight="false" outlineLevel="0" collapsed="false">
      <c r="B1570" s="1104" t="str">
        <f aca="false">'Смета Внутр'!B1570</f>
        <v>труба водосточная</v>
      </c>
      <c r="C1570" s="1105" t="str">
        <f aca="false">'Смета Внутр'!C1570</f>
        <v>м.п.</v>
      </c>
      <c r="D1570" s="1106" t="n">
        <f aca="false">'Смета Внутр'!D1570</f>
        <v>0</v>
      </c>
      <c r="E1570" s="1104"/>
      <c r="F1570" s="1107" t="n">
        <f aca="false">'Смета Внутр'!H1570</f>
        <v>0</v>
      </c>
    </row>
    <row r="1571" s="118" customFormat="true" ht="15" hidden="false" customHeight="false" outlineLevel="0" collapsed="false">
      <c r="B1571" s="1104" t="str">
        <f aca="false">'Смета Внутр'!B1571</f>
        <v>Монтаж ондулина</v>
      </c>
      <c r="C1571" s="1105" t="str">
        <f aca="false">'Смета Внутр'!C1571</f>
        <v>м2</v>
      </c>
      <c r="D1571" s="1106" t="n">
        <f aca="false">'Смета Внутр'!D1571</f>
        <v>0</v>
      </c>
      <c r="E1571" s="1104"/>
      <c r="F1571" s="1107" t="n">
        <f aca="false">'Смета Внутр'!H1571</f>
        <v>0</v>
      </c>
    </row>
    <row r="1572" s="118" customFormat="true" ht="15" hidden="false" customHeight="false" outlineLevel="0" collapsed="false">
      <c r="B1572" s="1104" t="str">
        <f aca="false">'Смета Внутр'!B1572</f>
        <v>Монтаж фанеры/osb</v>
      </c>
      <c r="C1572" s="1105" t="str">
        <f aca="false">'Смета Внутр'!C1572</f>
        <v>м2</v>
      </c>
      <c r="D1572" s="1106" t="n">
        <f aca="false">'Смета Внутр'!D1572</f>
        <v>0</v>
      </c>
      <c r="E1572" s="1104"/>
      <c r="F1572" s="1107" t="n">
        <f aca="false">'Смета Внутр'!H1572</f>
        <v>0</v>
      </c>
    </row>
    <row r="1573" s="118" customFormat="true" ht="15" hidden="false" customHeight="false" outlineLevel="0" collapsed="false">
      <c r="B1573" s="1104" t="str">
        <f aca="false">'Смета Внутр'!B1573</f>
        <v>монтаж подкладочного ковра</v>
      </c>
      <c r="C1573" s="1105" t="str">
        <f aca="false">'Смета Внутр'!C1573</f>
        <v>м2</v>
      </c>
      <c r="D1573" s="1106" t="n">
        <f aca="false">'Смета Внутр'!D1573</f>
        <v>0</v>
      </c>
      <c r="E1573" s="1104"/>
      <c r="F1573" s="1107" t="n">
        <f aca="false">'Смета Внутр'!H1573</f>
        <v>0</v>
      </c>
    </row>
    <row r="1574" s="118" customFormat="true" ht="15" hidden="false" customHeight="false" outlineLevel="0" collapsed="false">
      <c r="B1574" s="1104" t="str">
        <f aca="false">'Смета Внутр'!B1574</f>
        <v>Монтаж мягкой кровли</v>
      </c>
      <c r="C1574" s="1105" t="str">
        <f aca="false">'Смета Внутр'!C1574</f>
        <v>м2</v>
      </c>
      <c r="D1574" s="1106" t="n">
        <f aca="false">'Смета Внутр'!D1574</f>
        <v>0</v>
      </c>
      <c r="E1574" s="1104"/>
      <c r="F1574" s="1107" t="n">
        <f aca="false">'Смета Внутр'!H1574</f>
        <v>0</v>
      </c>
    </row>
    <row r="1575" s="118" customFormat="true" ht="15" hidden="false" customHeight="false" outlineLevel="0" collapsed="false">
      <c r="B1575" s="1108" t="str">
        <f aca="false">'Смета Внутр'!B1575</f>
        <v>Итого работы</v>
      </c>
      <c r="C1575" s="1108"/>
      <c r="D1575" s="1108"/>
      <c r="E1575" s="1108"/>
      <c r="F1575" s="1109" t="n">
        <f aca="false">'Смета Внутр'!G1575</f>
        <v>0</v>
      </c>
    </row>
    <row r="1576" s="118" customFormat="true" ht="18.75" hidden="false" customHeight="false" outlineLevel="0" collapsed="false">
      <c r="B1576" s="1111" t="str">
        <f aca="false">'Смета Внутр'!B1576</f>
        <v>Кровля на крыльцо</v>
      </c>
      <c r="C1576" s="1111"/>
      <c r="D1576" s="1111"/>
      <c r="E1576" s="1111"/>
      <c r="F1576" s="1120" t="n">
        <f aca="false">'Смета Внутр'!H1576</f>
        <v>0</v>
      </c>
    </row>
    <row r="1577" s="118" customFormat="true" ht="15" hidden="false" customHeight="false" outlineLevel="0" collapsed="false">
      <c r="B1577" s="1103" t="str">
        <f aca="false">'Смета Внутр'!B1577</f>
        <v>Материалы</v>
      </c>
      <c r="C1577" s="1103"/>
      <c r="D1577" s="1103"/>
      <c r="E1577" s="1103"/>
      <c r="F1577" s="1120" t="n">
        <f aca="false">'Смета Внутр'!H1577</f>
        <v>0</v>
      </c>
    </row>
    <row r="1578" s="118" customFormat="true" ht="15" hidden="false" customHeight="false" outlineLevel="0" collapsed="false">
      <c r="B1578" s="1104" t="str">
        <f aca="false">'Смета Внутр'!B1578</f>
        <v>Доска сухая, 150*50мм</v>
      </c>
      <c r="C1578" s="1105" t="str">
        <f aca="false">'Смета Внутр'!C1578</f>
        <v>м3</v>
      </c>
      <c r="D1578" s="1106" t="n">
        <f aca="false">'Смета Внутр'!D1578</f>
        <v>0.205269268270725</v>
      </c>
      <c r="E1578" s="1104"/>
      <c r="F1578" s="1121" t="n">
        <f aca="false">'Смета Внутр'!H1578</f>
        <v>0</v>
      </c>
    </row>
    <row r="1579" s="118" customFormat="true" ht="15" hidden="false" customHeight="false" outlineLevel="0" collapsed="false">
      <c r="B1579" s="1104" t="str">
        <f aca="false">'Смета Внутр'!B1579</f>
        <v>Сосна влаж,100*25мм</v>
      </c>
      <c r="C1579" s="1105" t="str">
        <f aca="false">'Смета Внутр'!C1579</f>
        <v>м3</v>
      </c>
      <c r="D1579" s="1106" t="n">
        <f aca="false">'Смета Внутр'!D1579</f>
        <v>0.0676107863314507</v>
      </c>
      <c r="E1579" s="1104"/>
      <c r="F1579" s="1121" t="n">
        <f aca="false">'Смета Внутр'!H1579</f>
        <v>0</v>
      </c>
    </row>
    <row r="1580" s="118" customFormat="true" ht="15" hidden="false" customHeight="false" outlineLevel="0" collapsed="false">
      <c r="B1580" s="1104" t="str">
        <f aca="false">'Смета Внутр'!B1580</f>
        <v>нет</v>
      </c>
      <c r="C1580" s="1105" t="str">
        <f aca="false">'Смета Внутр'!C1580</f>
        <v>м2</v>
      </c>
      <c r="D1580" s="1106" t="n">
        <f aca="false">'Смета Внутр'!D1580</f>
        <v>0</v>
      </c>
      <c r="E1580" s="1104"/>
      <c r="F1580" s="1121" t="n">
        <f aca="false">'Смета Внутр'!H1580</f>
        <v>0</v>
      </c>
    </row>
    <row r="1581" s="118" customFormat="true" ht="15" hidden="false" customHeight="false" outlineLevel="0" collapsed="false">
      <c r="B1581" s="1104" t="str">
        <f aca="false">'Смета Внутр'!B1581</f>
        <v>нет</v>
      </c>
      <c r="C1581" s="1105" t="str">
        <f aca="false">'Смета Внутр'!C1581</f>
        <v>м2</v>
      </c>
      <c r="D1581" s="1106" t="n">
        <f aca="false">'Смета Внутр'!D1581</f>
        <v>10.8177258130321</v>
      </c>
      <c r="E1581" s="1104"/>
      <c r="F1581" s="1107" t="n">
        <f aca="false">'Смета Внутр'!H1581</f>
        <v>0</v>
      </c>
    </row>
    <row r="1582" s="118" customFormat="true" ht="15" hidden="false" customHeight="false" outlineLevel="0" collapsed="false">
      <c r="B1582" s="1104" t="str">
        <f aca="false">'Смета Внутр'!B1582</f>
        <v>Мембраны Tyvek Solid</v>
      </c>
      <c r="C1582" s="1105" t="str">
        <f aca="false">'Смета Внутр'!C1582</f>
        <v>м2</v>
      </c>
      <c r="D1582" s="1106" t="n">
        <f aca="false">'Смета Внутр'!D1582</f>
        <v>10.8177258130321</v>
      </c>
      <c r="E1582" s="1104"/>
      <c r="F1582" s="1121" t="n">
        <f aca="false">'Смета Внутр'!H1582</f>
        <v>0</v>
      </c>
    </row>
    <row r="1583" s="118" customFormat="true" ht="15" hidden="false" customHeight="false" outlineLevel="0" collapsed="false">
      <c r="B1583" s="1104" t="str">
        <f aca="false">'Смета Внутр'!B1583</f>
        <v>металлочерепица</v>
      </c>
      <c r="C1583" s="1105" t="str">
        <f aca="false">'Смета Внутр'!C1583</f>
        <v>м2</v>
      </c>
      <c r="D1583" s="1106" t="n">
        <f aca="false">'Смета Внутр'!D1583</f>
        <v>10.8177258130321</v>
      </c>
      <c r="E1583" s="1104"/>
      <c r="F1583" s="1121" t="n">
        <f aca="false">'Смета Внутр'!H1583</f>
        <v>0</v>
      </c>
    </row>
    <row r="1584" s="118" customFormat="true" ht="15" hidden="false" customHeight="false" outlineLevel="0" collapsed="false">
      <c r="B1584" s="1104" t="str">
        <f aca="false">'Смета Внутр'!B1584</f>
        <v>карнизная планка</v>
      </c>
      <c r="C1584" s="1105" t="str">
        <f aca="false">'Смета Внутр'!C1584</f>
        <v>м.п.</v>
      </c>
      <c r="D1584" s="1106" t="n">
        <f aca="false">'Смета Внутр'!D1584</f>
        <v>4.18</v>
      </c>
      <c r="E1584" s="1104"/>
      <c r="F1584" s="1121" t="n">
        <f aca="false">'Смета Внутр'!H1584</f>
        <v>0</v>
      </c>
    </row>
    <row r="1585" s="118" customFormat="true" ht="15" hidden="false" customHeight="false" outlineLevel="0" collapsed="false">
      <c r="B1585" s="1104" t="str">
        <f aca="false">'Смета Внутр'!B1585</f>
        <v>торцевая планка</v>
      </c>
      <c r="C1585" s="1105" t="str">
        <f aca="false">'Смета Внутр'!C1585</f>
        <v>м.п.</v>
      </c>
      <c r="D1585" s="1106" t="n">
        <f aca="false">'Смета Внутр'!D1585</f>
        <v>5.21907824312953</v>
      </c>
      <c r="E1585" s="1104"/>
      <c r="F1585" s="1121" t="n">
        <f aca="false">'Смета Внутр'!H1585</f>
        <v>0</v>
      </c>
    </row>
    <row r="1586" s="118" customFormat="true" ht="15" hidden="false" customHeight="false" outlineLevel="0" collapsed="false">
      <c r="B1586" s="1104" t="str">
        <f aca="false">'Смета Внутр'!B1586</f>
        <v>конек</v>
      </c>
      <c r="C1586" s="1105" t="str">
        <f aca="false">'Смета Внутр'!C1586</f>
        <v>м.п.</v>
      </c>
      <c r="D1586" s="1106" t="n">
        <f aca="false">'Смета Внутр'!D1586</f>
        <v>0</v>
      </c>
      <c r="E1586" s="1104"/>
      <c r="F1586" s="1121" t="n">
        <f aca="false">'Смета Внутр'!H1586</f>
        <v>0</v>
      </c>
    </row>
    <row r="1587" s="118" customFormat="true" ht="15" hidden="false" customHeight="false" outlineLevel="0" collapsed="false">
      <c r="B1587" s="1104" t="str">
        <f aca="false">'Смета Внутр'!B1587</f>
        <v>ондулин</v>
      </c>
      <c r="C1587" s="1105" t="str">
        <f aca="false">'Смета Внутр'!C1587</f>
        <v>м2</v>
      </c>
      <c r="D1587" s="1106" t="n">
        <f aca="false">'Смета Внутр'!D1587</f>
        <v>0</v>
      </c>
      <c r="E1587" s="1104"/>
      <c r="F1587" s="1107" t="n">
        <f aca="false">'Смета Внутр'!H1587</f>
        <v>0</v>
      </c>
    </row>
    <row r="1588" s="118" customFormat="true" ht="15" hidden="false" customHeight="false" outlineLevel="0" collapsed="false">
      <c r="B1588" s="1104" t="str">
        <f aca="false">'Смета Внутр'!B1588</f>
        <v>Карнизная планка</v>
      </c>
      <c r="C1588" s="1105" t="str">
        <f aca="false">'Смета Внутр'!C1588</f>
        <v>м.п.</v>
      </c>
      <c r="D1588" s="1106" t="n">
        <f aca="false">'Смета Внутр'!D1588</f>
        <v>0</v>
      </c>
      <c r="E1588" s="1104"/>
      <c r="F1588" s="1107" t="n">
        <f aca="false">'Смета Внутр'!H1588</f>
        <v>0</v>
      </c>
    </row>
    <row r="1589" s="118" customFormat="true" ht="15" hidden="false" customHeight="false" outlineLevel="0" collapsed="false">
      <c r="B1589" s="1104" t="str">
        <f aca="false">'Смета Внутр'!B1589</f>
        <v>Торцевая планка</v>
      </c>
      <c r="C1589" s="1105" t="str">
        <f aca="false">'Смета Внутр'!C1589</f>
        <v>м.п.</v>
      </c>
      <c r="D1589" s="1106" t="n">
        <f aca="false">'Смета Внутр'!D1589</f>
        <v>0</v>
      </c>
      <c r="E1589" s="1104"/>
      <c r="F1589" s="1107" t="n">
        <f aca="false">'Смета Внутр'!H1589</f>
        <v>0</v>
      </c>
    </row>
    <row r="1590" s="118" customFormat="true" ht="15" hidden="false" customHeight="false" outlineLevel="0" collapsed="false">
      <c r="B1590" s="1104" t="str">
        <f aca="false">'Смета Внутр'!B1590</f>
        <v>Конек</v>
      </c>
      <c r="C1590" s="1105" t="str">
        <f aca="false">'Смета Внутр'!C1590</f>
        <v>м.п.</v>
      </c>
      <c r="D1590" s="1106" t="n">
        <f aca="false">'Смета Внутр'!D1590</f>
        <v>0</v>
      </c>
      <c r="E1590" s="1104"/>
      <c r="F1590" s="1107" t="n">
        <f aca="false">'Смета Внутр'!H1590</f>
        <v>0</v>
      </c>
    </row>
    <row r="1591" s="118" customFormat="true" ht="15" hidden="false" customHeight="false" outlineLevel="0" collapsed="false">
      <c r="B1591" s="1104" t="str">
        <f aca="false">'Смета Внутр'!B1591</f>
        <v>Ендова нижняя</v>
      </c>
      <c r="C1591" s="1105" t="str">
        <f aca="false">'Смета Внутр'!C1591</f>
        <v>м.п.</v>
      </c>
      <c r="D1591" s="1106" t="n">
        <f aca="false">'Смета Внутр'!D1591</f>
        <v>0</v>
      </c>
      <c r="E1591" s="1104"/>
      <c r="F1591" s="1107" t="n">
        <f aca="false">'Смета Внутр'!H1591</f>
        <v>0</v>
      </c>
    </row>
    <row r="1592" s="118" customFormat="true" ht="15" hidden="false" customHeight="false" outlineLevel="0" collapsed="false">
      <c r="B1592" s="1104" t="str">
        <f aca="false">'Смета Внутр'!B1592</f>
        <v>Ендова верхняя</v>
      </c>
      <c r="C1592" s="1105" t="str">
        <f aca="false">'Смета Внутр'!C1592</f>
        <v>м.п.</v>
      </c>
      <c r="D1592" s="1106" t="n">
        <f aca="false">'Смета Внутр'!D1592</f>
        <v>0</v>
      </c>
      <c r="E1592" s="1104"/>
      <c r="F1592" s="1107" t="n">
        <f aca="false">'Смета Внутр'!H1592</f>
        <v>0</v>
      </c>
    </row>
    <row r="1593" s="118" customFormat="true" ht="15" hidden="false" customHeight="false" outlineLevel="0" collapsed="false">
      <c r="B1593" s="1104" t="str">
        <f aca="false">'Смета Внутр'!B1593</f>
        <v>Планка примыкания</v>
      </c>
      <c r="C1593" s="1105" t="str">
        <f aca="false">'Смета Внутр'!C1593</f>
        <v>м.п.</v>
      </c>
      <c r="D1593" s="1106" t="n">
        <f aca="false">'Смета Внутр'!D1593</f>
        <v>0</v>
      </c>
      <c r="E1593" s="1104"/>
      <c r="F1593" s="1107" t="n">
        <f aca="false">'Смета Внутр'!H1593</f>
        <v>0</v>
      </c>
    </row>
    <row r="1594" s="118" customFormat="true" ht="15" hidden="false" customHeight="false" outlineLevel="0" collapsed="false">
      <c r="B1594" s="1104" t="str">
        <f aca="false">'Смета Внутр'!B1594</f>
        <v>Крепеж для ондулина</v>
      </c>
      <c r="C1594" s="1105" t="str">
        <f aca="false">'Смета Внутр'!C1594</f>
        <v>шт</v>
      </c>
      <c r="D1594" s="1106" t="n">
        <f aca="false">'Смета Внутр'!D1594</f>
        <v>0</v>
      </c>
      <c r="E1594" s="1104"/>
      <c r="F1594" s="1107" t="n">
        <f aca="false">'Смета Внутр'!H1594</f>
        <v>0</v>
      </c>
    </row>
    <row r="1595" s="118" customFormat="true" ht="15" hidden="false" customHeight="false" outlineLevel="0" collapsed="false">
      <c r="B1595" s="1104" t="str">
        <f aca="false">'Смета Внутр'!B1595</f>
        <v>Рядовая черепица</v>
      </c>
      <c r="C1595" s="1105" t="str">
        <f aca="false">'Смета Внутр'!C1595</f>
        <v>м2</v>
      </c>
      <c r="D1595" s="1106" t="n">
        <f aca="false">'Смета Внутр'!D1595</f>
        <v>0</v>
      </c>
      <c r="E1595" s="1104"/>
      <c r="F1595" s="1107" t="n">
        <f aca="false">'Смета Внутр'!H1595</f>
        <v>0</v>
      </c>
    </row>
    <row r="1596" s="118" customFormat="true" ht="15" hidden="false" customHeight="false" outlineLevel="0" collapsed="false">
      <c r="B1596" s="1104" t="str">
        <f aca="false">'Смета Внутр'!B1596</f>
        <v>Металл оцинк защита (карниз)</v>
      </c>
      <c r="C1596" s="1105" t="str">
        <f aca="false">'Смета Внутр'!C1596</f>
        <v>м.п.</v>
      </c>
      <c r="D1596" s="1106" t="n">
        <f aca="false">'Смета Внутр'!D1596</f>
        <v>0</v>
      </c>
      <c r="E1596" s="1104"/>
      <c r="F1596" s="1107" t="n">
        <f aca="false">'Смета Внутр'!H1596</f>
        <v>0</v>
      </c>
    </row>
    <row r="1597" s="118" customFormat="true" ht="15" hidden="false" customHeight="false" outlineLevel="0" collapsed="false">
      <c r="B1597" s="1104" t="str">
        <f aca="false">'Смета Внутр'!B1597</f>
        <v>Подкладочный ковер</v>
      </c>
      <c r="C1597" s="1105" t="str">
        <f aca="false">'Смета Внутр'!C1597</f>
        <v>м.п.</v>
      </c>
      <c r="D1597" s="1106" t="n">
        <f aca="false">'Смета Внутр'!D1597</f>
        <v>0</v>
      </c>
      <c r="E1597" s="1104"/>
      <c r="F1597" s="1107" t="n">
        <f aca="false">'Смета Внутр'!H1597</f>
        <v>0</v>
      </c>
    </row>
    <row r="1598" s="118" customFormat="true" ht="15" hidden="false" customHeight="false" outlineLevel="0" collapsed="false">
      <c r="B1598" s="1104" t="str">
        <f aca="false">'Смета Внутр'!B1598</f>
        <v>Карнизная самоклеющаяся черепица</v>
      </c>
      <c r="C1598" s="1105" t="str">
        <f aca="false">'Смета Внутр'!C1598</f>
        <v>м.п.</v>
      </c>
      <c r="D1598" s="1106" t="n">
        <f aca="false">'Смета Внутр'!D1598</f>
        <v>0</v>
      </c>
      <c r="E1598" s="1104"/>
      <c r="F1598" s="1107" t="n">
        <f aca="false">'Смета Внутр'!H1598</f>
        <v>0</v>
      </c>
    </row>
    <row r="1599" s="118" customFormat="true" ht="15" hidden="false" customHeight="false" outlineLevel="0" collapsed="false">
      <c r="B1599" s="1104" t="str">
        <f aca="false">'Смета Внутр'!B1599</f>
        <v>Спец ковер ендова нижняя</v>
      </c>
      <c r="C1599" s="1105" t="str">
        <f aca="false">'Смета Внутр'!C1599</f>
        <v>м.п.</v>
      </c>
      <c r="D1599" s="1106" t="n">
        <f aca="false">'Смета Внутр'!D1599</f>
        <v>0</v>
      </c>
      <c r="E1599" s="1104"/>
      <c r="F1599" s="1107" t="n">
        <f aca="false">'Смета Внутр'!H1599</f>
        <v>0</v>
      </c>
    </row>
    <row r="1600" s="118" customFormat="true" ht="15" hidden="false" customHeight="false" outlineLevel="0" collapsed="false">
      <c r="B1600" s="1104" t="str">
        <f aca="false">'Смета Внутр'!B1600</f>
        <v>Коньковой элемент</v>
      </c>
      <c r="C1600" s="1105" t="str">
        <f aca="false">'Смета Внутр'!C1600</f>
        <v>м.п.</v>
      </c>
      <c r="D1600" s="1106" t="n">
        <f aca="false">'Смета Внутр'!D1600</f>
        <v>0</v>
      </c>
      <c r="E1600" s="1104"/>
      <c r="F1600" s="1107" t="n">
        <f aca="false">'Смета Внутр'!H1600</f>
        <v>0</v>
      </c>
    </row>
    <row r="1601" s="118" customFormat="true" ht="15" hidden="false" customHeight="false" outlineLevel="0" collapsed="false">
      <c r="B1601" s="1104" t="str">
        <f aca="false">'Смета Внутр'!B1601</f>
        <v>Планка премыкания</v>
      </c>
      <c r="C1601" s="1105" t="str">
        <f aca="false">'Смета Внутр'!C1601</f>
        <v>м.п.</v>
      </c>
      <c r="D1601" s="1106" t="n">
        <f aca="false">'Смета Внутр'!D1601</f>
        <v>0</v>
      </c>
      <c r="E1601" s="1104"/>
      <c r="F1601" s="1107" t="n">
        <f aca="false">'Смета Внутр'!H1601</f>
        <v>0</v>
      </c>
    </row>
    <row r="1602" s="118" customFormat="true" ht="15" hidden="false" customHeight="false" outlineLevel="0" collapsed="false">
      <c r="B1602" s="1104" t="str">
        <f aca="false">'Смета Внутр'!B1602</f>
        <v>Гвозди для крепления подкладочного ковра</v>
      </c>
      <c r="C1602" s="1105" t="str">
        <f aca="false">'Смета Внутр'!C1602</f>
        <v>шт</v>
      </c>
      <c r="D1602" s="1106" t="n">
        <f aca="false">'Смета Внутр'!D1602</f>
        <v>0</v>
      </c>
      <c r="E1602" s="1104"/>
      <c r="F1602" s="1107" t="n">
        <f aca="false">'Смета Внутр'!H1602</f>
        <v>0</v>
      </c>
    </row>
    <row r="1603" s="118" customFormat="true" ht="15" hidden="false" customHeight="false" outlineLevel="0" collapsed="false">
      <c r="B1603" s="1104" t="str">
        <f aca="false">'Смета Внутр'!B1603</f>
        <v>Гвозди для крепления черепицы</v>
      </c>
      <c r="C1603" s="1105" t="str">
        <f aca="false">'Смета Внутр'!C1603</f>
        <v>шт</v>
      </c>
      <c r="D1603" s="1106" t="n">
        <f aca="false">'Смета Внутр'!D1603</f>
        <v>0</v>
      </c>
      <c r="E1603" s="1104"/>
      <c r="F1603" s="1107" t="n">
        <f aca="false">'Смета Внутр'!H1603</f>
        <v>0</v>
      </c>
    </row>
    <row r="1604" s="118" customFormat="true" ht="15" hidden="false" customHeight="false" outlineLevel="0" collapsed="false">
      <c r="B1604" s="1104" t="str">
        <f aca="false">'Смета Внутр'!B1604</f>
        <v>Клей для монтажа черепицы</v>
      </c>
      <c r="C1604" s="1105" t="str">
        <f aca="false">'Смета Внутр'!C1604</f>
        <v>кг</v>
      </c>
      <c r="D1604" s="1106" t="n">
        <f aca="false">'Смета Внутр'!D1604</f>
        <v>0</v>
      </c>
      <c r="E1604" s="1104"/>
      <c r="F1604" s="1107" t="n">
        <f aca="false">'Смета Внутр'!H1604</f>
        <v>0</v>
      </c>
    </row>
    <row r="1605" s="118" customFormat="true" ht="15" hidden="false" customHeight="false" outlineLevel="0" collapsed="false">
      <c r="B1605" s="1104" t="str">
        <f aca="false">'Смета Внутр'!B1605</f>
        <v>желоб</v>
      </c>
      <c r="C1605" s="1105" t="str">
        <f aca="false">'Смета Внутр'!C1605</f>
        <v>м.п</v>
      </c>
      <c r="D1605" s="1106" t="n">
        <f aca="false">'Смета Внутр'!D1605</f>
        <v>4.18</v>
      </c>
      <c r="E1605" s="1104"/>
      <c r="F1605" s="1121" t="n">
        <f aca="false">'Смета Внутр'!H1605</f>
        <v>0</v>
      </c>
    </row>
    <row r="1606" s="118" customFormat="true" ht="15" hidden="false" customHeight="false" outlineLevel="0" collapsed="false">
      <c r="B1606" s="1104" t="str">
        <f aca="false">'Смета Внутр'!B1606</f>
        <v>отвод</v>
      </c>
      <c r="C1606" s="1105" t="str">
        <f aca="false">'Смета Внутр'!C1606</f>
        <v>шт</v>
      </c>
      <c r="D1606" s="1106" t="n">
        <f aca="false">'Смета Внутр'!D1606</f>
        <v>2</v>
      </c>
      <c r="E1606" s="1104"/>
      <c r="F1606" s="1121" t="n">
        <f aca="false">'Смета Внутр'!H1606</f>
        <v>0</v>
      </c>
    </row>
    <row r="1607" s="118" customFormat="true" ht="15" hidden="false" customHeight="false" outlineLevel="0" collapsed="false">
      <c r="B1607" s="1104" t="str">
        <f aca="false">'Смета Внутр'!B1607</f>
        <v>труба водосточная</v>
      </c>
      <c r="C1607" s="1105" t="str">
        <f aca="false">'Смета Внутр'!C1607</f>
        <v>м.п.</v>
      </c>
      <c r="D1607" s="1106" t="n">
        <f aca="false">'Смета Внутр'!D1607</f>
        <v>0</v>
      </c>
      <c r="E1607" s="1104"/>
      <c r="F1607" s="1121" t="n">
        <f aca="false">'Смета Внутр'!H1607</f>
        <v>0</v>
      </c>
    </row>
    <row r="1608" s="118" customFormat="true" ht="15" hidden="false" customHeight="false" outlineLevel="0" collapsed="false">
      <c r="B1608" s="1104" t="str">
        <f aca="false">'Смета Внутр'!B1608</f>
        <v>заглушка для желоба</v>
      </c>
      <c r="C1608" s="1105" t="str">
        <f aca="false">'Смета Внутр'!C1608</f>
        <v>шт</v>
      </c>
      <c r="D1608" s="1106" t="n">
        <f aca="false">'Смета Внутр'!D1608</f>
        <v>2</v>
      </c>
      <c r="E1608" s="1104"/>
      <c r="F1608" s="1121" t="n">
        <f aca="false">'Смета Внутр'!H1608</f>
        <v>0</v>
      </c>
    </row>
    <row r="1609" s="118" customFormat="true" ht="15" hidden="false" customHeight="false" outlineLevel="0" collapsed="false">
      <c r="B1609" s="1104" t="str">
        <f aca="false">'Смета Внутр'!B1609</f>
        <v>соеденитель для желоба</v>
      </c>
      <c r="C1609" s="1105" t="str">
        <f aca="false">'Смета Внутр'!C1609</f>
        <v>шт</v>
      </c>
      <c r="D1609" s="1106" t="n">
        <f aca="false">'Смета Внутр'!D1609</f>
        <v>2</v>
      </c>
      <c r="E1609" s="1104"/>
      <c r="F1609" s="1121" t="n">
        <f aca="false">'Смета Внутр'!H1609</f>
        <v>0</v>
      </c>
    </row>
    <row r="1610" s="118" customFormat="true" ht="15" hidden="false" customHeight="false" outlineLevel="0" collapsed="false">
      <c r="B1610" s="1104" t="str">
        <f aca="false">'Смета Внутр'!B1610</f>
        <v>кронштейн для желоба</v>
      </c>
      <c r="C1610" s="1105" t="str">
        <f aca="false">'Смета Внутр'!C1610</f>
        <v>шт</v>
      </c>
      <c r="D1610" s="1106" t="n">
        <f aca="false">'Смета Внутр'!D1610</f>
        <v>10.45</v>
      </c>
      <c r="E1610" s="1104"/>
      <c r="F1610" s="1121" t="n">
        <f aca="false">'Смета Внутр'!H1610</f>
        <v>0</v>
      </c>
    </row>
    <row r="1611" s="118" customFormat="true" ht="15" hidden="false" customHeight="false" outlineLevel="0" collapsed="false">
      <c r="B1611" s="1104" t="str">
        <f aca="false">'Смета Внутр'!B1611</f>
        <v>переход из желоба в трубу</v>
      </c>
      <c r="C1611" s="1105" t="str">
        <f aca="false">'Смета Внутр'!C1611</f>
        <v>шт</v>
      </c>
      <c r="D1611" s="1106" t="n">
        <f aca="false">'Смета Внутр'!D1611</f>
        <v>2</v>
      </c>
      <c r="E1611" s="1104"/>
      <c r="F1611" s="1121" t="n">
        <f aca="false">'Смета Внутр'!H1611</f>
        <v>0</v>
      </c>
    </row>
    <row r="1612" s="118" customFormat="true" ht="15" hidden="false" customHeight="false" outlineLevel="0" collapsed="false">
      <c r="B1612" s="1104" t="str">
        <f aca="false">'Смета Внутр'!B1612</f>
        <v>лента дельта мульти бэнд</v>
      </c>
      <c r="C1612" s="1105" t="str">
        <f aca="false">'Смета Внутр'!C1612</f>
        <v>шт</v>
      </c>
      <c r="D1612" s="1106" t="n">
        <f aca="false">'Смета Внутр'!D1612</f>
        <v>0.257564900310288</v>
      </c>
      <c r="E1612" s="1104"/>
      <c r="F1612" s="1121" t="n">
        <f aca="false">'Смета Внутр'!H1612</f>
        <v>0</v>
      </c>
    </row>
    <row r="1613" s="118" customFormat="true" ht="15" hidden="false" customHeight="false" outlineLevel="0" collapsed="false">
      <c r="B1613" s="1104" t="str">
        <f aca="false">'Смета Внутр'!B1613</f>
        <v>лента дельта sb-60</v>
      </c>
      <c r="C1613" s="1105" t="str">
        <f aca="false">'Смета Внутр'!C1613</f>
        <v>шт</v>
      </c>
      <c r="D1613" s="1106" t="n">
        <f aca="false">'Смета Внутр'!D1613</f>
        <v>0.200328255796891</v>
      </c>
      <c r="E1613" s="1104"/>
      <c r="F1613" s="1121" t="n">
        <f aca="false">'Смета Внутр'!H1613</f>
        <v>0</v>
      </c>
    </row>
    <row r="1614" s="118" customFormat="true" ht="15" hidden="false" customHeight="false" outlineLevel="0" collapsed="false">
      <c r="B1614" s="1104" t="str">
        <f aca="false">'Смета Внутр'!B1614</f>
        <v>Кровельный саморез</v>
      </c>
      <c r="C1614" s="1105" t="str">
        <f aca="false">'Смета Внутр'!C1614</f>
        <v>шт</v>
      </c>
      <c r="D1614" s="1106" t="n">
        <f aca="false">'Смета Внутр'!D1614</f>
        <v>108.177258130321</v>
      </c>
      <c r="E1614" s="1104"/>
      <c r="F1614" s="1121" t="n">
        <f aca="false">'Смета Внутр'!H1614</f>
        <v>0</v>
      </c>
    </row>
    <row r="1615" s="118" customFormat="true" ht="15" hidden="false" customHeight="false" outlineLevel="0" collapsed="false">
      <c r="B1615" s="1108" t="str">
        <f aca="false">'Смета Внутр'!B1615</f>
        <v>Итого материалы</v>
      </c>
      <c r="C1615" s="1108"/>
      <c r="D1615" s="1108"/>
      <c r="E1615" s="1108"/>
      <c r="F1615" s="1122" t="n">
        <f aca="false">'Смета Внутр'!G1615</f>
        <v>0</v>
      </c>
    </row>
    <row r="1616" s="118" customFormat="true" ht="15" hidden="false" customHeight="false" outlineLevel="0" collapsed="false">
      <c r="B1616" s="1110" t="str">
        <f aca="false">'Смета Внутр'!B1616</f>
        <v>Работы</v>
      </c>
      <c r="C1616" s="1110"/>
      <c r="D1616" s="1110"/>
      <c r="E1616" s="1110"/>
      <c r="F1616" s="1120" t="n">
        <f aca="false">'Смета Внутр'!H1616</f>
        <v>0</v>
      </c>
    </row>
    <row r="1617" s="118" customFormat="true" ht="15" hidden="false" customHeight="false" outlineLevel="0" collapsed="false">
      <c r="B1617" s="1104" t="str">
        <f aca="false">'Смета Внутр'!B1617</f>
        <v>монтаж стропил</v>
      </c>
      <c r="C1617" s="1105" t="str">
        <f aca="false">'Смета Внутр'!C1617</f>
        <v>м2</v>
      </c>
      <c r="D1617" s="1106" t="n">
        <f aca="false">'Смета Внутр'!D1617</f>
        <v>9.01477151086009</v>
      </c>
      <c r="E1617" s="1104"/>
      <c r="F1617" s="1121" t="n">
        <f aca="false">'Смета Внутр'!H1617</f>
        <v>0</v>
      </c>
    </row>
    <row r="1618" s="118" customFormat="true" ht="15" hidden="false" customHeight="false" outlineLevel="0" collapsed="false">
      <c r="B1618" s="1104" t="str">
        <f aca="false">'Смета Внутр'!B1618</f>
        <v>обрешетка</v>
      </c>
      <c r="C1618" s="1105" t="str">
        <f aca="false">'Смета Внутр'!C1618</f>
        <v>м2</v>
      </c>
      <c r="D1618" s="1106" t="n">
        <f aca="false">'Смета Внутр'!D1618</f>
        <v>9.01477151086009</v>
      </c>
      <c r="E1618" s="1104"/>
      <c r="F1618" s="1121" t="n">
        <f aca="false">'Смета Внутр'!H1618</f>
        <v>0</v>
      </c>
    </row>
    <row r="1619" s="118" customFormat="true" ht="15" hidden="false" customHeight="false" outlineLevel="0" collapsed="false">
      <c r="B1619" s="1104" t="str">
        <f aca="false">'Смета Внутр'!B1619</f>
        <v>контробеш</v>
      </c>
      <c r="C1619" s="1105" t="str">
        <f aca="false">'Смета Внутр'!C1619</f>
        <v>м2</v>
      </c>
      <c r="D1619" s="1106" t="n">
        <f aca="false">'Смета Внутр'!D1619</f>
        <v>0</v>
      </c>
      <c r="E1619" s="1104"/>
      <c r="F1619" s="1121" t="n">
        <f aca="false">'Смета Внутр'!H1619</f>
        <v>0</v>
      </c>
    </row>
    <row r="1620" s="118" customFormat="true" ht="15" hidden="false" customHeight="false" outlineLevel="0" collapsed="false">
      <c r="B1620" s="1104" t="str">
        <f aca="false">'Смета Внутр'!B1620</f>
        <v>мембрана</v>
      </c>
      <c r="C1620" s="1105" t="str">
        <f aca="false">'Смета Внутр'!C1620</f>
        <v>м2</v>
      </c>
      <c r="D1620" s="1106" t="n">
        <f aca="false">'Смета Внутр'!D1620</f>
        <v>9.01477151086009</v>
      </c>
      <c r="E1620" s="1104"/>
      <c r="F1620" s="1121" t="n">
        <f aca="false">'Смета Внутр'!H1620</f>
        <v>0</v>
      </c>
    </row>
    <row r="1621" s="118" customFormat="true" ht="15" hidden="false" customHeight="false" outlineLevel="0" collapsed="false">
      <c r="B1621" s="1104" t="str">
        <f aca="false">'Смета Внутр'!B1621</f>
        <v>Монтаж металлочерепицы</v>
      </c>
      <c r="C1621" s="1105" t="str">
        <f aca="false">'Смета Внутр'!C1621</f>
        <v>м2</v>
      </c>
      <c r="D1621" s="1106" t="n">
        <f aca="false">'Смета Внутр'!D1621</f>
        <v>9.01477151086009</v>
      </c>
      <c r="E1621" s="1104"/>
      <c r="F1621" s="1121" t="n">
        <f aca="false">'Смета Внутр'!H1621</f>
        <v>0</v>
      </c>
    </row>
    <row r="1622" s="118" customFormat="true" ht="15" hidden="false" customHeight="false" outlineLevel="0" collapsed="false">
      <c r="B1622" s="1104" t="str">
        <f aca="false">'Смета Внутр'!B1622</f>
        <v>карнизная планка</v>
      </c>
      <c r="C1622" s="1105" t="str">
        <f aca="false">'Смета Внутр'!C1622</f>
        <v>м2</v>
      </c>
      <c r="D1622" s="1106" t="n">
        <f aca="false">'Смета Внутр'!D1622</f>
        <v>4.18</v>
      </c>
      <c r="E1622" s="1104"/>
      <c r="F1622" s="1121" t="n">
        <f aca="false">'Смета Внутр'!H1622</f>
        <v>0</v>
      </c>
    </row>
    <row r="1623" s="118" customFormat="true" ht="15" hidden="false" customHeight="false" outlineLevel="0" collapsed="false">
      <c r="B1623" s="1104" t="str">
        <f aca="false">'Смета Внутр'!B1623</f>
        <v>торцевая планка</v>
      </c>
      <c r="C1623" s="1105" t="str">
        <f aca="false">'Смета Внутр'!C1623</f>
        <v>м2</v>
      </c>
      <c r="D1623" s="1106" t="n">
        <f aca="false">'Смета Внутр'!D1623</f>
        <v>5.21907824312953</v>
      </c>
      <c r="E1623" s="1104"/>
      <c r="F1623" s="1121" t="n">
        <f aca="false">'Смета Внутр'!H1623</f>
        <v>0</v>
      </c>
    </row>
    <row r="1624" s="118" customFormat="true" ht="15" hidden="false" customHeight="false" outlineLevel="0" collapsed="false">
      <c r="B1624" s="1104" t="str">
        <f aca="false">'Смета Внутр'!B1624</f>
        <v>желоб водосточный</v>
      </c>
      <c r="C1624" s="1105" t="str">
        <f aca="false">'Смета Внутр'!C1624</f>
        <v>м.п.</v>
      </c>
      <c r="D1624" s="1106" t="n">
        <f aca="false">'Смета Внутр'!D1624</f>
        <v>4.18</v>
      </c>
      <c r="E1624" s="1104"/>
      <c r="F1624" s="1121" t="n">
        <f aca="false">'Смета Внутр'!H1624</f>
        <v>0</v>
      </c>
    </row>
    <row r="1625" s="118" customFormat="true" ht="15" hidden="false" customHeight="false" outlineLevel="0" collapsed="false">
      <c r="B1625" s="1104" t="str">
        <f aca="false">'Смета Внутр'!B1625</f>
        <v>труба водосточная</v>
      </c>
      <c r="C1625" s="1105" t="str">
        <f aca="false">'Смета Внутр'!C1625</f>
        <v>м.п.</v>
      </c>
      <c r="D1625" s="1106" t="n">
        <f aca="false">'Смета Внутр'!D1625</f>
        <v>0</v>
      </c>
      <c r="E1625" s="1104"/>
      <c r="F1625" s="1121" t="n">
        <f aca="false">'Смета Внутр'!H1625</f>
        <v>0</v>
      </c>
    </row>
    <row r="1626" s="118" customFormat="true" ht="15" hidden="false" customHeight="false" outlineLevel="0" collapsed="false">
      <c r="B1626" s="1104" t="str">
        <f aca="false">'Смета Внутр'!B1626</f>
        <v>Монтаж ондулина</v>
      </c>
      <c r="C1626" s="1105" t="str">
        <f aca="false">'Смета Внутр'!C1626</f>
        <v>м2</v>
      </c>
      <c r="D1626" s="1106" t="n">
        <f aca="false">'Смета Внутр'!D1626</f>
        <v>0</v>
      </c>
      <c r="E1626" s="1104"/>
      <c r="F1626" s="1107" t="n">
        <f aca="false">'Смета Внутр'!H1626</f>
        <v>0</v>
      </c>
    </row>
    <row r="1627" s="118" customFormat="true" ht="15" hidden="false" customHeight="false" outlineLevel="0" collapsed="false">
      <c r="B1627" s="1104" t="str">
        <f aca="false">'Смета Внутр'!B1627</f>
        <v>Монтаж фанеры/osb</v>
      </c>
      <c r="C1627" s="1105" t="str">
        <f aca="false">'Смета Внутр'!C1627</f>
        <v>м2</v>
      </c>
      <c r="D1627" s="1106" t="n">
        <f aca="false">'Смета Внутр'!D1627</f>
        <v>0</v>
      </c>
      <c r="E1627" s="1104"/>
      <c r="F1627" s="1107" t="n">
        <f aca="false">'Смета Внутр'!H1627</f>
        <v>0</v>
      </c>
    </row>
    <row r="1628" s="118" customFormat="true" ht="15" hidden="false" customHeight="false" outlineLevel="0" collapsed="false">
      <c r="B1628" s="1104" t="str">
        <f aca="false">'Смета Внутр'!B1628</f>
        <v>монтаж подкладочного ковра</v>
      </c>
      <c r="C1628" s="1105" t="str">
        <f aca="false">'Смета Внутр'!C1628</f>
        <v>м2</v>
      </c>
      <c r="D1628" s="1106" t="n">
        <f aca="false">'Смета Внутр'!D1628</f>
        <v>0</v>
      </c>
      <c r="E1628" s="1104"/>
      <c r="F1628" s="1107" t="n">
        <f aca="false">'Смета Внутр'!H1628</f>
        <v>0</v>
      </c>
    </row>
    <row r="1629" s="118" customFormat="true" ht="15" hidden="false" customHeight="false" outlineLevel="0" collapsed="false">
      <c r="B1629" s="1104" t="str">
        <f aca="false">'Смета Внутр'!B1629</f>
        <v>Монтаж мягкой кровли</v>
      </c>
      <c r="C1629" s="1105" t="str">
        <f aca="false">'Смета Внутр'!C1629</f>
        <v>м2</v>
      </c>
      <c r="D1629" s="1106" t="n">
        <f aca="false">'Смета Внутр'!D1629</f>
        <v>0</v>
      </c>
      <c r="E1629" s="1104"/>
      <c r="F1629" s="1107" t="n">
        <f aca="false">'Смета Внутр'!H1629</f>
        <v>0</v>
      </c>
    </row>
    <row r="1630" s="118" customFormat="true" ht="15" hidden="false" customHeight="false" outlineLevel="0" collapsed="false">
      <c r="B1630" s="1104" t="str">
        <f aca="false">'Смета Внутр'!B1630</f>
        <v>Монтаж планки примыкания</v>
      </c>
      <c r="C1630" s="1105" t="str">
        <f aca="false">'Смета Внутр'!C1630</f>
        <v>м.п.</v>
      </c>
      <c r="D1630" s="1106" t="n">
        <f aca="false">'Смета Внутр'!D1630</f>
        <v>0</v>
      </c>
      <c r="E1630" s="1104"/>
      <c r="F1630" s="1107" t="n">
        <f aca="false">'Смета Внутр'!H1630</f>
        <v>0</v>
      </c>
    </row>
    <row r="1631" s="118" customFormat="true" ht="15" hidden="false" customHeight="false" outlineLevel="0" collapsed="false">
      <c r="B1631" s="1108" t="str">
        <f aca="false">'Смета Внутр'!B1631</f>
        <v>Итого работы</v>
      </c>
      <c r="C1631" s="1108"/>
      <c r="D1631" s="1108"/>
      <c r="E1631" s="1108"/>
      <c r="F1631" s="1122" t="n">
        <f aca="false">'Смета Внутр'!G1631</f>
        <v>0</v>
      </c>
    </row>
    <row r="1632" s="118" customFormat="true" ht="18.75" hidden="false" customHeight="false" outlineLevel="0" collapsed="false">
      <c r="B1632" s="1111" t="str">
        <f aca="false">'Смета Внутр'!B1632</f>
        <v>Окна и двери</v>
      </c>
      <c r="C1632" s="1111"/>
      <c r="D1632" s="1111"/>
      <c r="E1632" s="1111"/>
      <c r="F1632" s="1102" t="n">
        <f aca="false">'Смета Внутр'!H1632</f>
        <v>0</v>
      </c>
    </row>
    <row r="1633" s="118" customFormat="true" ht="15" hidden="false" customHeight="false" outlineLevel="0" collapsed="false">
      <c r="B1633" s="1103" t="str">
        <f aca="false">'Смета Внутр'!B1633</f>
        <v>Материалы</v>
      </c>
      <c r="C1633" s="1103"/>
      <c r="D1633" s="1103"/>
      <c r="E1633" s="1103"/>
      <c r="F1633" s="1102" t="n">
        <f aca="false">'Смета Внутр'!H1633</f>
        <v>0</v>
      </c>
    </row>
    <row r="1634" s="118" customFormat="true" ht="15" hidden="false" customHeight="false" outlineLevel="0" collapsed="false">
      <c r="B1634" s="1104" t="str">
        <f aca="false">'Смета Внутр'!B1634</f>
        <v>окна   </v>
      </c>
      <c r="C1634" s="1105" t="str">
        <f aca="false">'Смета Внутр'!C1634</f>
        <v>м2</v>
      </c>
      <c r="D1634" s="1106" t="n">
        <f aca="false">'Смета Внутр'!D1634</f>
        <v>1.2</v>
      </c>
      <c r="E1634" s="1104"/>
      <c r="F1634" s="1107" t="n">
        <f aca="false">'Смета Внутр'!H1634</f>
        <v>0</v>
      </c>
    </row>
    <row r="1635" s="118" customFormat="true" ht="15" hidden="false" customHeight="false" outlineLevel="0" collapsed="false">
      <c r="B1635" s="1104" t="str">
        <f aca="false">'Смета Внутр'!B1635</f>
        <v>подоконник</v>
      </c>
      <c r="C1635" s="1105" t="str">
        <f aca="false">'Смета Внутр'!C1635</f>
        <v>м.п.</v>
      </c>
      <c r="D1635" s="1106" t="n">
        <f aca="false">'Смета Внутр'!D1635</f>
        <v>1</v>
      </c>
      <c r="E1635" s="1104"/>
      <c r="F1635" s="1107" t="n">
        <f aca="false">'Смета Внутр'!H1635</f>
        <v>0</v>
      </c>
    </row>
    <row r="1636" s="118" customFormat="true" ht="15" hidden="false" customHeight="false" outlineLevel="0" collapsed="false">
      <c r="B1636" s="1104" t="str">
        <f aca="false">'Смета Внутр'!B1636</f>
        <v>направляющие для откосов внутр</v>
      </c>
      <c r="C1636" s="1105" t="str">
        <f aca="false">'Смета Внутр'!C1636</f>
        <v>шт</v>
      </c>
      <c r="D1636" s="1106" t="n">
        <f aca="false">'Смета Внутр'!D1636</f>
        <v>3.4</v>
      </c>
      <c r="E1636" s="1104"/>
      <c r="F1636" s="1107" t="n">
        <f aca="false">'Смета Внутр'!H1636</f>
        <v>0</v>
      </c>
    </row>
    <row r="1637" s="118" customFormat="true" ht="15" hidden="false" customHeight="false" outlineLevel="0" collapsed="false">
      <c r="B1637" s="1104" t="str">
        <f aca="false">'Смета Внутр'!B1637</f>
        <v>откосы внутр</v>
      </c>
      <c r="C1637" s="1105" t="str">
        <f aca="false">'Смета Внутр'!C1637</f>
        <v>шт</v>
      </c>
      <c r="D1637" s="1106" t="n">
        <f aca="false">'Смета Внутр'!D1637</f>
        <v>3.4</v>
      </c>
      <c r="E1637" s="1104"/>
      <c r="F1637" s="1107" t="n">
        <f aca="false">'Смета Внутр'!H1637</f>
        <v>0</v>
      </c>
    </row>
    <row r="1638" s="118" customFormat="true" ht="15" hidden="false" customHeight="false" outlineLevel="0" collapsed="false">
      <c r="B1638" s="1104" t="str">
        <f aca="false">'Смета Внутр'!B1638</f>
        <v>уголок для откосов внутр</v>
      </c>
      <c r="C1638" s="1105" t="str">
        <f aca="false">'Смета Внутр'!C1638</f>
        <v>шт</v>
      </c>
      <c r="D1638" s="1106" t="n">
        <f aca="false">'Смета Внутр'!D1638</f>
        <v>3.4</v>
      </c>
      <c r="E1638" s="1104"/>
      <c r="F1638" s="1107" t="n">
        <f aca="false">'Смета Внутр'!H1638</f>
        <v>0</v>
      </c>
    </row>
    <row r="1639" s="118" customFormat="true" ht="15" hidden="false" customHeight="false" outlineLevel="0" collapsed="false">
      <c r="B1639" s="1104" t="str">
        <f aca="false">'Смета Внутр'!B1639</f>
        <v>отлив</v>
      </c>
      <c r="C1639" s="1105" t="str">
        <f aca="false">'Смета Внутр'!C1639</f>
        <v>шт</v>
      </c>
      <c r="D1639" s="1106" t="n">
        <f aca="false">'Смета Внутр'!D1639</f>
        <v>0</v>
      </c>
      <c r="E1639" s="1104"/>
      <c r="F1639" s="1107" t="n">
        <f aca="false">'Смета Внутр'!H1639</f>
        <v>0</v>
      </c>
    </row>
    <row r="1640" s="118" customFormat="true" ht="15" hidden="false" customHeight="false" outlineLevel="0" collapsed="false">
      <c r="B1640" s="1104" t="str">
        <f aca="false">'Смета Внутр'!B1640</f>
        <v>откосы нар</v>
      </c>
      <c r="C1640" s="1105" t="str">
        <f aca="false">'Смета Внутр'!C1640</f>
        <v>шт</v>
      </c>
      <c r="D1640" s="1106" t="n">
        <f aca="false">'Смета Внутр'!D1640</f>
        <v>0</v>
      </c>
      <c r="E1640" s="1104"/>
      <c r="F1640" s="1107" t="n">
        <f aca="false">'Смета Внутр'!H1640</f>
        <v>0</v>
      </c>
    </row>
    <row r="1641" s="118" customFormat="true" ht="15" hidden="false" customHeight="false" outlineLevel="0" collapsed="false">
      <c r="B1641" s="1104" t="str">
        <f aca="false">'Смета Внутр'!B1641</f>
        <v>направляющие для откосов нар</v>
      </c>
      <c r="C1641" s="1105" t="str">
        <f aca="false">'Смета Внутр'!C1641</f>
        <v>шт</v>
      </c>
      <c r="D1641" s="1106" t="n">
        <f aca="false">'Смета Внутр'!D1641</f>
        <v>0</v>
      </c>
      <c r="E1641" s="1104"/>
      <c r="F1641" s="1107" t="n">
        <f aca="false">'Смета Внутр'!H1641</f>
        <v>0</v>
      </c>
    </row>
    <row r="1642" s="118" customFormat="true" ht="15" hidden="false" customHeight="false" outlineLevel="0" collapsed="false">
      <c r="B1642" s="1104" t="str">
        <f aca="false">'Смета Внутр'!B1642</f>
        <v>уголок для откосов нар</v>
      </c>
      <c r="C1642" s="1105" t="str">
        <f aca="false">'Смета Внутр'!C1642</f>
        <v>шт</v>
      </c>
      <c r="D1642" s="1106" t="n">
        <f aca="false">'Смета Внутр'!D1642</f>
        <v>0</v>
      </c>
      <c r="E1642" s="1104"/>
      <c r="F1642" s="1107" t="n">
        <f aca="false">'Смета Внутр'!H1642</f>
        <v>0</v>
      </c>
    </row>
    <row r="1643" s="118" customFormat="true" ht="15" hidden="false" customHeight="false" outlineLevel="0" collapsed="false">
      <c r="B1643" s="1104" t="str">
        <f aca="false">'Смета Внутр'!B1643</f>
        <v>ветроизоляция окон</v>
      </c>
      <c r="C1643" s="1105" t="str">
        <f aca="false">'Смета Внутр'!C1643</f>
        <v>м.п.</v>
      </c>
      <c r="D1643" s="1106" t="n">
        <f aca="false">'Смета Внутр'!D1643</f>
        <v>0</v>
      </c>
      <c r="E1643" s="1104"/>
      <c r="F1643" s="1107" t="n">
        <f aca="false">'Смета Внутр'!H1643</f>
        <v>0</v>
      </c>
    </row>
    <row r="1644" s="118" customFormat="true" ht="15" hidden="false" customHeight="false" outlineLevel="0" collapsed="false">
      <c r="B1644" s="1104" t="str">
        <f aca="false">'Смета Внутр'!B1644</f>
        <v>пароизоляция окон</v>
      </c>
      <c r="C1644" s="1105" t="str">
        <f aca="false">'Смета Внутр'!C1644</f>
        <v>шт</v>
      </c>
      <c r="D1644" s="1106" t="n">
        <f aca="false">'Смета Внутр'!D1644</f>
        <v>3.4</v>
      </c>
      <c r="E1644" s="1104"/>
      <c r="F1644" s="1107" t="n">
        <f aca="false">'Смета Внутр'!H1644</f>
        <v>0</v>
      </c>
    </row>
    <row r="1645" s="118" customFormat="true" ht="15" hidden="false" customHeight="false" outlineLevel="0" collapsed="false">
      <c r="B1645" s="1104" t="str">
        <f aca="false">'Смета Внутр'!B1645</f>
        <v>крепления</v>
      </c>
      <c r="C1645" s="1105" t="str">
        <f aca="false">'Смета Внутр'!C1645</f>
        <v>шт</v>
      </c>
      <c r="D1645" s="1106" t="n">
        <f aca="false">'Смета Внутр'!D1645</f>
        <v>8</v>
      </c>
      <c r="E1645" s="1104"/>
      <c r="F1645" s="1107" t="n">
        <f aca="false">'Смета Внутр'!H1645</f>
        <v>0</v>
      </c>
    </row>
    <row r="1646" s="118" customFormat="true" ht="15" hidden="false" customHeight="false" outlineLevel="0" collapsed="false">
      <c r="B1646" s="1104" t="str">
        <f aca="false">'Смета Внутр'!B1646</f>
        <v>Пена монтажная, всесезонняя 800мл</v>
      </c>
      <c r="C1646" s="1105" t="str">
        <f aca="false">'Смета Внутр'!C1646</f>
        <v>шт</v>
      </c>
      <c r="D1646" s="1106" t="n">
        <f aca="false">'Смета Внутр'!D1646</f>
        <v>1</v>
      </c>
      <c r="E1646" s="1104"/>
      <c r="F1646" s="1107" t="n">
        <f aca="false">'Смета Внутр'!H1646</f>
        <v>0</v>
      </c>
    </row>
    <row r="1647" s="118" customFormat="true" ht="15" hidden="false" customHeight="false" outlineLevel="0" collapsed="false">
      <c r="B1647" s="1104" t="str">
        <f aca="false">'Смета Внутр'!B1647</f>
        <v>Французские окна</v>
      </c>
      <c r="C1647" s="1105" t="str">
        <f aca="false">'Смета Внутр'!C1647</f>
        <v>м2</v>
      </c>
      <c r="D1647" s="1106" t="n">
        <f aca="false">'Смета Внутр'!D1647</f>
        <v>0</v>
      </c>
      <c r="E1647" s="1104"/>
      <c r="F1647" s="1107" t="n">
        <f aca="false">'Смета Внутр'!H1647</f>
        <v>0</v>
      </c>
    </row>
    <row r="1648" s="118" customFormat="true" ht="15" hidden="false" customHeight="false" outlineLevel="0" collapsed="false">
      <c r="B1648" s="1104" t="str">
        <f aca="false">'Смета Внутр'!B1648</f>
        <v>анкерный болт для крепления окно фр</v>
      </c>
      <c r="C1648" s="1105" t="str">
        <f aca="false">'Смета Внутр'!C1648</f>
        <v>шт</v>
      </c>
      <c r="D1648" s="1106" t="n">
        <f aca="false">'Смета Внутр'!D1648</f>
        <v>0</v>
      </c>
      <c r="E1648" s="1104"/>
      <c r="F1648" s="1107" t="n">
        <f aca="false">'Смета Внутр'!H1648</f>
        <v>0</v>
      </c>
    </row>
    <row r="1649" s="118" customFormat="true" ht="15" hidden="false" customHeight="false" outlineLevel="0" collapsed="false">
      <c r="B1649" s="1104" t="str">
        <f aca="false">'Смета Внутр'!B1649</f>
        <v>Пена монтажная, всесезонняя 800мл</v>
      </c>
      <c r="C1649" s="1105" t="str">
        <f aca="false">'Смета Внутр'!C1649</f>
        <v>шт</v>
      </c>
      <c r="D1649" s="1106" t="n">
        <f aca="false">'Смета Внутр'!D1649</f>
        <v>0</v>
      </c>
      <c r="E1649" s="1104"/>
      <c r="F1649" s="1107" t="n">
        <f aca="false">'Смета Внутр'!H1649</f>
        <v>0</v>
      </c>
    </row>
    <row r="1650" s="118" customFormat="true" ht="15" hidden="false" customHeight="false" outlineLevel="0" collapsed="false">
      <c r="B1650" s="1104" t="str">
        <f aca="false">'Смета Внутр'!B1650</f>
        <v>пластины для крепления</v>
      </c>
      <c r="C1650" s="1105" t="str">
        <f aca="false">'Смета Внутр'!C1650</f>
        <v>шт</v>
      </c>
      <c r="D1650" s="1106" t="n">
        <f aca="false">'Смета Внутр'!D1650</f>
        <v>0</v>
      </c>
      <c r="E1650" s="1104"/>
      <c r="F1650" s="1107" t="n">
        <f aca="false">'Смета Внутр'!H1650</f>
        <v>0</v>
      </c>
    </row>
    <row r="1651" s="118" customFormat="true" ht="15" hidden="false" customHeight="false" outlineLevel="0" collapsed="false">
      <c r="B1651" s="1104" t="str">
        <f aca="false">'Смета Внутр'!B1651</f>
        <v>Двери входные</v>
      </c>
      <c r="C1651" s="1105" t="str">
        <f aca="false">'Смета Внутр'!C1651</f>
        <v>шт</v>
      </c>
      <c r="D1651" s="1106" t="n">
        <f aca="false">'Смета Внутр'!D1651</f>
        <v>1</v>
      </c>
      <c r="E1651" s="1104"/>
      <c r="F1651" s="1107" t="n">
        <f aca="false">'Смета Внутр'!H1651</f>
        <v>0</v>
      </c>
    </row>
    <row r="1652" s="118" customFormat="true" ht="15" hidden="false" customHeight="false" outlineLevel="0" collapsed="false">
      <c r="B1652" s="1104" t="str">
        <f aca="false">'Смета Внутр'!B1652</f>
        <v>Анкер болт, 12*200</v>
      </c>
      <c r="C1652" s="1105" t="str">
        <f aca="false">'Смета Внутр'!C1652</f>
        <v>шт</v>
      </c>
      <c r="D1652" s="1106" t="n">
        <f aca="false">'Смета Внутр'!D1652</f>
        <v>6</v>
      </c>
      <c r="E1652" s="1104"/>
      <c r="F1652" s="1107" t="n">
        <f aca="false">'Смета Внутр'!H1652</f>
        <v>0</v>
      </c>
    </row>
    <row r="1653" s="118" customFormat="true" ht="15" hidden="false" customHeight="false" outlineLevel="0" collapsed="false">
      <c r="B1653" s="1104" t="str">
        <f aca="false">'Смета Внутр'!B1653</f>
        <v>Пена монтажная</v>
      </c>
      <c r="C1653" s="1105" t="str">
        <f aca="false">'Смета Внутр'!C1653</f>
        <v>шт</v>
      </c>
      <c r="D1653" s="1106" t="n">
        <f aca="false">'Смета Внутр'!D1653</f>
        <v>1</v>
      </c>
      <c r="E1653" s="1104"/>
      <c r="F1653" s="1107" t="n">
        <f aca="false">'Смета Внутр'!H1653</f>
        <v>0</v>
      </c>
    </row>
    <row r="1654" s="118" customFormat="true" ht="15" hidden="false" customHeight="false" outlineLevel="0" collapsed="false">
      <c r="B1654" s="1108" t="str">
        <f aca="false">'Смета Внутр'!B1654</f>
        <v>Итого материалы</v>
      </c>
      <c r="C1654" s="1108"/>
      <c r="D1654" s="1108"/>
      <c r="E1654" s="1108"/>
      <c r="F1654" s="1109" t="n">
        <f aca="false">'Смета Внутр'!G1654</f>
        <v>0</v>
      </c>
    </row>
    <row r="1655" s="118" customFormat="true" ht="15" hidden="false" customHeight="false" outlineLevel="0" collapsed="false">
      <c r="B1655" s="1110" t="str">
        <f aca="false">'Смета Внутр'!B1655</f>
        <v>Работы</v>
      </c>
      <c r="C1655" s="1110"/>
      <c r="D1655" s="1110"/>
      <c r="E1655" s="1110"/>
      <c r="F1655" s="1102" t="n">
        <f aca="false">'Смета Внутр'!H1655</f>
        <v>0</v>
      </c>
    </row>
    <row r="1656" s="118" customFormat="true" ht="15" hidden="false" customHeight="false" outlineLevel="0" collapsed="false">
      <c r="B1656" s="1104" t="str">
        <f aca="false">'Смета Внутр'!B1656</f>
        <v>монтаж окон</v>
      </c>
      <c r="C1656" s="1105" t="str">
        <f aca="false">'Смета Внутр'!C1656</f>
        <v>шт</v>
      </c>
      <c r="D1656" s="1106" t="n">
        <f aca="false">'Смета Внутр'!D1656</f>
        <v>1</v>
      </c>
      <c r="E1656" s="1104"/>
      <c r="F1656" s="1107" t="n">
        <f aca="false">'Смета Внутр'!H1656</f>
        <v>0</v>
      </c>
    </row>
    <row r="1657" s="118" customFormat="true" ht="15" hidden="false" customHeight="false" outlineLevel="0" collapsed="false">
      <c r="B1657" s="1104" t="str">
        <f aca="false">'Смета Внутр'!B1657</f>
        <v>монтаж подоконника</v>
      </c>
      <c r="C1657" s="1105" t="str">
        <f aca="false">'Смета Внутр'!C1657</f>
        <v>шт</v>
      </c>
      <c r="D1657" s="1106" t="n">
        <f aca="false">'Смета Внутр'!D1657</f>
        <v>1</v>
      </c>
      <c r="E1657" s="1104"/>
      <c r="F1657" s="1107" t="n">
        <f aca="false">'Смета Внутр'!H1657</f>
        <v>0</v>
      </c>
    </row>
    <row r="1658" s="118" customFormat="true" ht="15" hidden="false" customHeight="false" outlineLevel="0" collapsed="false">
      <c r="B1658" s="1104" t="str">
        <f aca="false">'Смета Внутр'!B1658</f>
        <v>монтаж откосов вн</v>
      </c>
      <c r="C1658" s="1105" t="str">
        <f aca="false">'Смета Внутр'!C1658</f>
        <v>шт</v>
      </c>
      <c r="D1658" s="1106" t="n">
        <f aca="false">'Смета Внутр'!D1658</f>
        <v>3.4</v>
      </c>
      <c r="E1658" s="1104"/>
      <c r="F1658" s="1107" t="n">
        <f aca="false">'Смета Внутр'!H1658</f>
        <v>0</v>
      </c>
    </row>
    <row r="1659" s="118" customFormat="true" ht="15" hidden="false" customHeight="false" outlineLevel="0" collapsed="false">
      <c r="B1659" s="1104" t="str">
        <f aca="false">'Смета Внутр'!B1659</f>
        <v>монтаж направл вн</v>
      </c>
      <c r="C1659" s="1105" t="str">
        <f aca="false">'Смета Внутр'!C1659</f>
        <v>шт</v>
      </c>
      <c r="D1659" s="1106" t="n">
        <f aca="false">'Смета Внутр'!D1659</f>
        <v>3.4</v>
      </c>
      <c r="E1659" s="1104"/>
      <c r="F1659" s="1107" t="n">
        <f aca="false">'Смета Внутр'!H1659</f>
        <v>0</v>
      </c>
    </row>
    <row r="1660" s="118" customFormat="true" ht="15" hidden="false" customHeight="false" outlineLevel="0" collapsed="false">
      <c r="B1660" s="1104" t="str">
        <f aca="false">'Смета Внутр'!B1660</f>
        <v>монтаж уголков вн</v>
      </c>
      <c r="C1660" s="1105" t="str">
        <f aca="false">'Смета Внутр'!C1660</f>
        <v>шт</v>
      </c>
      <c r="D1660" s="1106" t="n">
        <f aca="false">'Смета Внутр'!D1660</f>
        <v>3.4</v>
      </c>
      <c r="E1660" s="1104"/>
      <c r="F1660" s="1107" t="n">
        <f aca="false">'Смета Внутр'!H1660</f>
        <v>0</v>
      </c>
    </row>
    <row r="1661" s="118" customFormat="true" ht="15" hidden="false" customHeight="false" outlineLevel="0" collapsed="false">
      <c r="B1661" s="1104" t="str">
        <f aca="false">'Смета Внутр'!B1661</f>
        <v>монтаж отлива</v>
      </c>
      <c r="C1661" s="1105" t="str">
        <f aca="false">'Смета Внутр'!C1661</f>
        <v>шт</v>
      </c>
      <c r="D1661" s="1106" t="n">
        <f aca="false">'Смета Внутр'!D1661</f>
        <v>0</v>
      </c>
      <c r="E1661" s="1104"/>
      <c r="F1661" s="1107" t="n">
        <f aca="false">'Смета Внутр'!H1661</f>
        <v>0</v>
      </c>
    </row>
    <row r="1662" s="118" customFormat="true" ht="15" hidden="false" customHeight="false" outlineLevel="0" collapsed="false">
      <c r="B1662" s="1104" t="str">
        <f aca="false">'Смета Внутр'!B1662</f>
        <v>монтаж откосов</v>
      </c>
      <c r="C1662" s="1105" t="str">
        <f aca="false">'Смета Внутр'!C1662</f>
        <v>шт</v>
      </c>
      <c r="D1662" s="1106" t="n">
        <f aca="false">'Смета Внутр'!D1662</f>
        <v>0</v>
      </c>
      <c r="E1662" s="1104"/>
      <c r="F1662" s="1107" t="n">
        <f aca="false">'Смета Внутр'!H1662</f>
        <v>0</v>
      </c>
    </row>
    <row r="1663" s="118" customFormat="true" ht="15" hidden="false" customHeight="false" outlineLevel="0" collapsed="false">
      <c r="B1663" s="1104" t="str">
        <f aca="false">'Смета Внутр'!B1663</f>
        <v>монтаж направляющ</v>
      </c>
      <c r="C1663" s="1105" t="str">
        <f aca="false">'Смета Внутр'!C1663</f>
        <v>шт</v>
      </c>
      <c r="D1663" s="1106" t="n">
        <f aca="false">'Смета Внутр'!D1663</f>
        <v>0</v>
      </c>
      <c r="E1663" s="1104"/>
      <c r="F1663" s="1107" t="n">
        <f aca="false">'Смета Внутр'!H1663</f>
        <v>0</v>
      </c>
    </row>
    <row r="1664" s="118" customFormat="true" ht="15" hidden="false" customHeight="false" outlineLevel="0" collapsed="false">
      <c r="B1664" s="1104" t="str">
        <f aca="false">'Смета Внутр'!B1664</f>
        <v>монтаж уголков</v>
      </c>
      <c r="C1664" s="1105" t="str">
        <f aca="false">'Смета Внутр'!C1664</f>
        <v>шт</v>
      </c>
      <c r="D1664" s="1106" t="n">
        <f aca="false">'Смета Внутр'!D1664</f>
        <v>0</v>
      </c>
      <c r="E1664" s="1104"/>
      <c r="F1664" s="1107" t="n">
        <f aca="false">'Смета Внутр'!H1664</f>
        <v>0</v>
      </c>
    </row>
    <row r="1665" s="118" customFormat="true" ht="15" hidden="false" customHeight="false" outlineLevel="0" collapsed="false">
      <c r="B1665" s="1104" t="str">
        <f aca="false">'Смета Внутр'!B1665</f>
        <v>монтаж ветроизоляции</v>
      </c>
      <c r="C1665" s="1105" t="str">
        <f aca="false">'Смета Внутр'!C1665</f>
        <v>м.п.</v>
      </c>
      <c r="D1665" s="1106" t="n">
        <f aca="false">'Смета Внутр'!D1665</f>
        <v>0</v>
      </c>
      <c r="E1665" s="1104"/>
      <c r="F1665" s="1107" t="n">
        <f aca="false">'Смета Внутр'!H1665</f>
        <v>0</v>
      </c>
    </row>
    <row r="1666" s="118" customFormat="true" ht="15" hidden="false" customHeight="false" outlineLevel="0" collapsed="false">
      <c r="B1666" s="1104" t="str">
        <f aca="false">'Смета Внутр'!B1666</f>
        <v>монтаж пароизоляции</v>
      </c>
      <c r="C1666" s="1105" t="str">
        <f aca="false">'Смета Внутр'!C1666</f>
        <v>м.п.</v>
      </c>
      <c r="D1666" s="1106" t="n">
        <f aca="false">'Смета Внутр'!D1666</f>
        <v>3.4</v>
      </c>
      <c r="E1666" s="1104"/>
      <c r="F1666" s="1107" t="n">
        <f aca="false">'Смета Внутр'!H1666</f>
        <v>0</v>
      </c>
    </row>
    <row r="1667" s="118" customFormat="true" ht="15" hidden="false" customHeight="false" outlineLevel="0" collapsed="false">
      <c r="B1667" s="1104" t="str">
        <f aca="false">'Смета Внутр'!B1667</f>
        <v>Двери входные</v>
      </c>
      <c r="C1667" s="1105" t="str">
        <f aca="false">'Смета Внутр'!C1667</f>
        <v>шт</v>
      </c>
      <c r="D1667" s="1106" t="n">
        <f aca="false">'Смета Внутр'!D1667</f>
        <v>1</v>
      </c>
      <c r="E1667" s="1104"/>
      <c r="F1667" s="1107" t="n">
        <f aca="false">'Смета Внутр'!H1667</f>
        <v>0</v>
      </c>
    </row>
    <row r="1668" s="118" customFormat="true" ht="15" hidden="false" customHeight="false" outlineLevel="0" collapsed="false">
      <c r="B1668" s="1104" t="str">
        <f aca="false">'Смета Внутр'!B1668</f>
        <v>монтаж франццзских окон</v>
      </c>
      <c r="C1668" s="1105" t="str">
        <f aca="false">'Смета Внутр'!C1668</f>
        <v>шт</v>
      </c>
      <c r="D1668" s="1106" t="n">
        <f aca="false">'Смета Внутр'!D1668</f>
        <v>0</v>
      </c>
      <c r="E1668" s="1104"/>
      <c r="F1668" s="1107" t="n">
        <f aca="false">'Смета Внутр'!H1668</f>
        <v>0</v>
      </c>
    </row>
    <row r="1669" s="118" customFormat="true" ht="15" hidden="false" customHeight="false" outlineLevel="0" collapsed="false">
      <c r="B1669" s="1108" t="str">
        <f aca="false">'Смета Внутр'!B1669</f>
        <v>Итого работы</v>
      </c>
      <c r="C1669" s="1108"/>
      <c r="D1669" s="1108"/>
      <c r="E1669" s="1108"/>
      <c r="F1669" s="1109" t="n">
        <f aca="false">'Смета Внутр'!G1669</f>
        <v>0</v>
      </c>
    </row>
    <row r="1670" s="118" customFormat="true" ht="21" hidden="false" customHeight="false" outlineLevel="0" collapsed="false">
      <c r="B1670" s="1126" t="str">
        <f aca="false">'Смета Внутр'!B1670</f>
        <v>Лестница двухмаршевая</v>
      </c>
      <c r="C1670" s="1126"/>
      <c r="D1670" s="1126"/>
      <c r="E1670" s="1126"/>
      <c r="F1670" s="1102" t="n">
        <f aca="false">'Смета Внутр'!H1670</f>
        <v>0</v>
      </c>
    </row>
    <row r="1671" s="118" customFormat="true" ht="15" hidden="false" customHeight="false" outlineLevel="0" collapsed="false">
      <c r="B1671" s="1103" t="str">
        <f aca="false">'Смета Внутр'!B1671</f>
        <v>Материалы</v>
      </c>
      <c r="C1671" s="1103"/>
      <c r="D1671" s="1103"/>
      <c r="E1671" s="1103"/>
      <c r="F1671" s="1102" t="n">
        <f aca="false">'Смета Внутр'!H1671</f>
        <v>0</v>
      </c>
    </row>
    <row r="1672" s="118" customFormat="true" ht="15" hidden="false" customHeight="false" outlineLevel="0" collapsed="false">
      <c r="B1672" s="1104" t="str">
        <f aca="false">'Смета Внутр'!B1672</f>
        <v>ступени хвоя</v>
      </c>
      <c r="C1672" s="1105" t="str">
        <f aca="false">'Смета Внутр'!C1672</f>
        <v>шт</v>
      </c>
      <c r="D1672" s="1106" t="n">
        <f aca="false">'Смета Внутр'!D1672</f>
        <v>18</v>
      </c>
      <c r="E1672" s="1104"/>
      <c r="F1672" s="1107" t="n">
        <f aca="false">'Смета Внутр'!H1672</f>
        <v>0</v>
      </c>
    </row>
    <row r="1673" s="118" customFormat="true" ht="15" hidden="false" customHeight="false" outlineLevel="0" collapsed="false">
      <c r="B1673" s="1104" t="str">
        <f aca="false">'Смета Внутр'!B1673</f>
        <v>площадка хвоя</v>
      </c>
      <c r="C1673" s="1105" t="str">
        <f aca="false">'Смета Внутр'!C1673</f>
        <v>шт</v>
      </c>
      <c r="D1673" s="1106" t="n">
        <f aca="false">'Смета Внутр'!D1673</f>
        <v>1</v>
      </c>
      <c r="E1673" s="1104"/>
      <c r="F1673" s="1107" t="n">
        <f aca="false">'Смета Внутр'!H1673</f>
        <v>0</v>
      </c>
    </row>
    <row r="1674" s="118" customFormat="true" ht="15" hidden="false" customHeight="false" outlineLevel="0" collapsed="false">
      <c r="B1674" s="1104" t="str">
        <f aca="false">'Смета Внутр'!B1674</f>
        <v>столб под площадку, 2м</v>
      </c>
      <c r="C1674" s="1105" t="str">
        <f aca="false">'Смета Внутр'!C1674</f>
        <v>шт</v>
      </c>
      <c r="D1674" s="1106" t="n">
        <f aca="false">'Смета Внутр'!D1674</f>
        <v>4</v>
      </c>
      <c r="E1674" s="1104"/>
      <c r="F1674" s="1107" t="n">
        <f aca="false">'Смета Внутр'!H1674</f>
        <v>0</v>
      </c>
    </row>
    <row r="1675" s="118" customFormat="true" ht="15" hidden="false" customHeight="false" outlineLevel="0" collapsed="false">
      <c r="B1675" s="1104" t="str">
        <f aca="false">'Смета Внутр'!B1675</f>
        <v>столб обвязка перил 1 и 2 этажа</v>
      </c>
      <c r="C1675" s="1105" t="str">
        <f aca="false">'Смета Внутр'!C1675</f>
        <v>шт</v>
      </c>
      <c r="D1675" s="1106" t="n">
        <f aca="false">'Смета Внутр'!D1675</f>
        <v>1</v>
      </c>
      <c r="E1675" s="1104"/>
      <c r="F1675" s="1107" t="n">
        <f aca="false">'Смета Внутр'!H1675</f>
        <v>0</v>
      </c>
    </row>
    <row r="1676" s="118" customFormat="true" ht="15" hidden="false" customHeight="false" outlineLevel="0" collapsed="false">
      <c r="B1676" s="1104" t="str">
        <f aca="false">'Смета Внутр'!B1676</f>
        <v>балясина 80*80, первая</v>
      </c>
      <c r="C1676" s="1105" t="str">
        <f aca="false">'Смета Внутр'!C1676</f>
        <v>шт</v>
      </c>
      <c r="D1676" s="1106" t="n">
        <f aca="false">'Смета Внутр'!D1676</f>
        <v>2</v>
      </c>
      <c r="E1676" s="1104"/>
      <c r="F1676" s="1107" t="n">
        <f aca="false">'Смета Внутр'!H1676</f>
        <v>0</v>
      </c>
    </row>
    <row r="1677" s="118" customFormat="true" ht="15" hidden="false" customHeight="false" outlineLevel="0" collapsed="false">
      <c r="B1677" s="1104" t="str">
        <f aca="false">'Смета Внутр'!B1677</f>
        <v>тетева, 3м.п.</v>
      </c>
      <c r="C1677" s="1105" t="str">
        <f aca="false">'Смета Внутр'!C1677</f>
        <v>шт</v>
      </c>
      <c r="D1677" s="1106" t="n">
        <f aca="false">'Смета Внутр'!D1677</f>
        <v>4</v>
      </c>
      <c r="E1677" s="1104"/>
      <c r="F1677" s="1107" t="n">
        <f aca="false">'Смета Внутр'!H1677</f>
        <v>0</v>
      </c>
    </row>
    <row r="1678" s="118" customFormat="true" ht="15" hidden="false" customHeight="false" outlineLevel="0" collapsed="false">
      <c r="B1678" s="1104" t="str">
        <f aca="false">'Смета Внутр'!B1678</f>
        <v>крепления для ступеней, болт</v>
      </c>
      <c r="C1678" s="1105" t="str">
        <f aca="false">'Смета Внутр'!C1678</f>
        <v>шт</v>
      </c>
      <c r="D1678" s="1106" t="n">
        <f aca="false">'Смета Внутр'!D1678</f>
        <v>108</v>
      </c>
      <c r="E1678" s="1104"/>
      <c r="F1678" s="1107" t="n">
        <f aca="false">'Смета Внутр'!H1678</f>
        <v>0</v>
      </c>
    </row>
    <row r="1679" s="118" customFormat="true" ht="15" hidden="false" customHeight="false" outlineLevel="0" collapsed="false">
      <c r="B1679" s="1104" t="str">
        <f aca="false">'Смета Внутр'!B1679</f>
        <v>крепления для площадки</v>
      </c>
      <c r="C1679" s="1105" t="str">
        <f aca="false">'Смета Внутр'!C1679</f>
        <v>шт</v>
      </c>
      <c r="D1679" s="1106" t="n">
        <f aca="false">'Смета Внутр'!D1679</f>
        <v>8</v>
      </c>
      <c r="E1679" s="1104"/>
      <c r="F1679" s="1107" t="n">
        <f aca="false">'Смета Внутр'!H1679</f>
        <v>0</v>
      </c>
    </row>
    <row r="1680" s="118" customFormat="true" ht="15" hidden="false" customHeight="false" outlineLevel="0" collapsed="false">
      <c r="B1680" s="1104" t="str">
        <f aca="false">'Смета Внутр'!B1680</f>
        <v>поручни</v>
      </c>
      <c r="C1680" s="1105" t="str">
        <f aca="false">'Смета Внутр'!C1680</f>
        <v>шт</v>
      </c>
      <c r="D1680" s="1106" t="n">
        <f aca="false">'Смета Внутр'!D1680</f>
        <v>4</v>
      </c>
      <c r="E1680" s="1104"/>
      <c r="F1680" s="1107" t="n">
        <f aca="false">'Смета Внутр'!H1680</f>
        <v>0</v>
      </c>
    </row>
    <row r="1681" s="118" customFormat="true" ht="15" hidden="false" customHeight="false" outlineLevel="0" collapsed="false">
      <c r="B1681" s="1104" t="str">
        <f aca="false">'Смета Внутр'!B1681</f>
        <v>балясины</v>
      </c>
      <c r="C1681" s="1105" t="str">
        <f aca="false">'Смета Внутр'!C1681</f>
        <v>шт</v>
      </c>
      <c r="D1681" s="1106" t="n">
        <f aca="false">'Смета Внутр'!D1681</f>
        <v>25</v>
      </c>
      <c r="E1681" s="1104"/>
      <c r="F1681" s="1107" t="n">
        <f aca="false">'Смета Внутр'!H1681</f>
        <v>0</v>
      </c>
    </row>
    <row r="1682" s="118" customFormat="true" ht="15" hidden="false" customHeight="false" outlineLevel="0" collapsed="false">
      <c r="B1682" s="1108" t="str">
        <f aca="false">'Смета Внутр'!B1682</f>
        <v>Итого материалы</v>
      </c>
      <c r="C1682" s="1108"/>
      <c r="D1682" s="1108"/>
      <c r="E1682" s="1108"/>
      <c r="F1682" s="1109" t="n">
        <f aca="false">'Смета Внутр'!G1682</f>
        <v>0</v>
      </c>
    </row>
    <row r="1683" s="118" customFormat="true" ht="15" hidden="false" customHeight="false" outlineLevel="0" collapsed="false">
      <c r="B1683" s="1110" t="str">
        <f aca="false">'Смета Внутр'!B1683</f>
        <v>Работы</v>
      </c>
      <c r="C1683" s="1110"/>
      <c r="D1683" s="1110"/>
      <c r="E1683" s="1110"/>
      <c r="F1683" s="1102" t="n">
        <f aca="false">'Смета Внутр'!H1683</f>
        <v>0</v>
      </c>
    </row>
    <row r="1684" s="118" customFormat="true" ht="15" hidden="false" customHeight="false" outlineLevel="0" collapsed="false">
      <c r="B1684" s="1104" t="str">
        <f aca="false">'Смета Внутр'!B1684</f>
        <v>сборка лестницы</v>
      </c>
      <c r="C1684" s="1105" t="str">
        <f aca="false">'Смета Внутр'!C1684</f>
        <v>шт</v>
      </c>
      <c r="D1684" s="1106" t="n">
        <f aca="false">'Смета Внутр'!D1684</f>
        <v>1</v>
      </c>
      <c r="E1684" s="1104"/>
      <c r="F1684" s="1107" t="n">
        <f aca="false">'Смета Внутр'!H1684</f>
        <v>0</v>
      </c>
    </row>
    <row r="1685" s="118" customFormat="true" ht="15" hidden="false" customHeight="false" outlineLevel="0" collapsed="false">
      <c r="B1685" s="1108" t="str">
        <f aca="false">'Смета Внутр'!B1685</f>
        <v>Итого работы</v>
      </c>
      <c r="C1685" s="1108"/>
      <c r="D1685" s="1108"/>
      <c r="E1685" s="1108"/>
      <c r="F1685" s="1109" t="n">
        <f aca="false">'Смета Внутр'!G1685</f>
        <v>0</v>
      </c>
    </row>
    <row r="1686" s="118" customFormat="true" ht="18.75" hidden="false" customHeight="false" outlineLevel="0" collapsed="false">
      <c r="B1686" s="1111" t="str">
        <f aca="false">'Смета Внутр'!B1686</f>
        <v>Мансардные окна</v>
      </c>
      <c r="C1686" s="1111"/>
      <c r="D1686" s="1111"/>
      <c r="E1686" s="1111"/>
      <c r="F1686" s="1102" t="n">
        <f aca="false">'Смета Внутр'!H1686</f>
        <v>0</v>
      </c>
    </row>
    <row r="1687" s="118" customFormat="true" ht="15" hidden="false" customHeight="false" outlineLevel="0" collapsed="false">
      <c r="B1687" s="1103" t="str">
        <f aca="false">'Смета Внутр'!B1687</f>
        <v>Материалы</v>
      </c>
      <c r="C1687" s="1103"/>
      <c r="D1687" s="1103"/>
      <c r="E1687" s="1103"/>
      <c r="F1687" s="1102" t="n">
        <f aca="false">'Смета Внутр'!H1687</f>
        <v>0</v>
      </c>
    </row>
    <row r="1688" s="118" customFormat="true" ht="15" hidden="false" customHeight="false" outlineLevel="0" collapsed="false">
      <c r="B1688" s="1104" t="str">
        <f aca="false">'Смета Внутр'!B1688</f>
        <v>MR10 78X160</v>
      </c>
      <c r="C1688" s="1105" t="str">
        <f aca="false">'Смета Внутр'!C1688</f>
        <v>шт</v>
      </c>
      <c r="D1688" s="1106" t="n">
        <f aca="false">'Смета Внутр'!D1688</f>
        <v>1</v>
      </c>
      <c r="E1688" s="1104"/>
      <c r="F1688" s="1107" t="n">
        <f aca="false">'Смета Внутр'!H1688</f>
        <v>0</v>
      </c>
    </row>
    <row r="1689" s="118" customFormat="true" ht="15" hidden="false" customHeight="false" outlineLevel="0" collapsed="false">
      <c r="B1689" s="1104" t="str">
        <f aca="false">'Смета Внутр'!B1689</f>
        <v>MR08 78X140</v>
      </c>
      <c r="C1689" s="1105" t="str">
        <f aca="false">'Смета Внутр'!C1689</f>
        <v>шт</v>
      </c>
      <c r="D1689" s="1106" t="n">
        <f aca="false">'Смета Внутр'!D1689</f>
        <v>2</v>
      </c>
      <c r="E1689" s="1104"/>
      <c r="F1689" s="1107" t="n">
        <f aca="false">'Смета Внутр'!H1689</f>
        <v>0</v>
      </c>
    </row>
    <row r="1690" s="118" customFormat="true" ht="15" hidden="false" customHeight="false" outlineLevel="0" collapsed="false">
      <c r="B1690" s="1104" t="str">
        <f aca="false">'Смета Внутр'!B1690</f>
        <v>MR10 78X160</v>
      </c>
      <c r="C1690" s="1105" t="str">
        <f aca="false">'Смета Внутр'!C1690</f>
        <v>шт</v>
      </c>
      <c r="D1690" s="1106" t="n">
        <f aca="false">'Смета Внутр'!D1690</f>
        <v>5</v>
      </c>
      <c r="E1690" s="1104"/>
      <c r="F1690" s="1107" t="n">
        <f aca="false">'Смета Внутр'!H1690</f>
        <v>0</v>
      </c>
    </row>
    <row r="1691" s="118" customFormat="true" ht="15" hidden="false" customHeight="false" outlineLevel="0" collapsed="false">
      <c r="B1691" s="1104" t="str">
        <f aca="false">'Смета Внутр'!B1691</f>
        <v>MR04 78X98</v>
      </c>
      <c r="C1691" s="1105" t="str">
        <f aca="false">'Смета Внутр'!C1691</f>
        <v>шт</v>
      </c>
      <c r="D1691" s="1106" t="n">
        <f aca="false">'Смета Внутр'!D1691</f>
        <v>0</v>
      </c>
      <c r="E1691" s="1104"/>
      <c r="F1691" s="1107" t="n">
        <f aca="false">'Смета Внутр'!H1691</f>
        <v>0</v>
      </c>
    </row>
    <row r="1692" s="118" customFormat="true" ht="15" hidden="false" customHeight="false" outlineLevel="0" collapsed="false">
      <c r="B1692" s="1108" t="str">
        <f aca="false">'Смета Внутр'!B1692</f>
        <v>Итого материалы</v>
      </c>
      <c r="C1692" s="1108"/>
      <c r="D1692" s="1108"/>
      <c r="E1692" s="1108"/>
      <c r="F1692" s="1109" t="n">
        <f aca="false">'Смета Внутр'!G1692</f>
        <v>0</v>
      </c>
    </row>
    <row r="1693" s="118" customFormat="true" ht="15" hidden="false" customHeight="false" outlineLevel="0" collapsed="false">
      <c r="B1693" s="1110" t="str">
        <f aca="false">'Смета Внутр'!B1693</f>
        <v>Работы</v>
      </c>
      <c r="C1693" s="1110"/>
      <c r="D1693" s="1110"/>
      <c r="E1693" s="1110"/>
      <c r="F1693" s="1102" t="n">
        <f aca="false">'Смета Внутр'!H1693</f>
        <v>0</v>
      </c>
    </row>
    <row r="1694" s="118" customFormat="true" ht="15" hidden="false" customHeight="false" outlineLevel="0" collapsed="false">
      <c r="B1694" s="1104" t="str">
        <f aca="false">'Смета Внутр'!B1694</f>
        <v>MR10 78X160</v>
      </c>
      <c r="C1694" s="1105" t="str">
        <f aca="false">'Смета Внутр'!C1694</f>
        <v>шт</v>
      </c>
      <c r="D1694" s="1106" t="n">
        <f aca="false">'Смета Внутр'!D1694</f>
        <v>1</v>
      </c>
      <c r="E1694" s="1104"/>
      <c r="F1694" s="1107" t="n">
        <f aca="false">'Смета Внутр'!H1694</f>
        <v>0</v>
      </c>
    </row>
    <row r="1695" s="118" customFormat="true" ht="15" hidden="false" customHeight="false" outlineLevel="0" collapsed="false">
      <c r="B1695" s="1104" t="str">
        <f aca="false">'Смета Внутр'!B1695</f>
        <v>MR08 78X140</v>
      </c>
      <c r="C1695" s="1105" t="str">
        <f aca="false">'Смета Внутр'!C1695</f>
        <v>шт</v>
      </c>
      <c r="D1695" s="1106" t="n">
        <f aca="false">'Смета Внутр'!D1695</f>
        <v>2</v>
      </c>
      <c r="E1695" s="1104"/>
      <c r="F1695" s="1107" t="n">
        <f aca="false">'Смета Внутр'!H1695</f>
        <v>0</v>
      </c>
    </row>
    <row r="1696" s="118" customFormat="true" ht="15" hidden="false" customHeight="false" outlineLevel="0" collapsed="false">
      <c r="B1696" s="1104" t="str">
        <f aca="false">'Смета Внутр'!B1696</f>
        <v>MR10 78X160</v>
      </c>
      <c r="C1696" s="1105" t="str">
        <f aca="false">'Смета Внутр'!C1696</f>
        <v>шт</v>
      </c>
      <c r="D1696" s="1106" t="n">
        <f aca="false">'Смета Внутр'!D1696</f>
        <v>5</v>
      </c>
      <c r="E1696" s="1104"/>
      <c r="F1696" s="1107" t="n">
        <f aca="false">'Смета Внутр'!H1696</f>
        <v>0</v>
      </c>
    </row>
    <row r="1697" s="118" customFormat="true" ht="15" hidden="false" customHeight="false" outlineLevel="0" collapsed="false">
      <c r="B1697" s="1104" t="str">
        <f aca="false">'Смета Внутр'!B1697</f>
        <v>MR04 78X98</v>
      </c>
      <c r="C1697" s="1105" t="str">
        <f aca="false">'Смета Внутр'!C1697</f>
        <v>шт</v>
      </c>
      <c r="D1697" s="1106" t="n">
        <f aca="false">'Смета Внутр'!D1697</f>
        <v>0</v>
      </c>
      <c r="E1697" s="1104"/>
      <c r="F1697" s="1107" t="n">
        <f aca="false">'Смета Внутр'!H1697</f>
        <v>0</v>
      </c>
    </row>
    <row r="1698" s="118" customFormat="true" ht="15" hidden="false" customHeight="false" outlineLevel="0" collapsed="false">
      <c r="B1698" s="1108" t="str">
        <f aca="false">'Смета Внутр'!B1698</f>
        <v>Итого работы</v>
      </c>
      <c r="C1698" s="1108"/>
      <c r="D1698" s="1108"/>
      <c r="E1698" s="1108"/>
      <c r="F1698" s="1109" t="n">
        <f aca="false">'Смета Внутр'!G1698</f>
        <v>0</v>
      </c>
    </row>
    <row r="1699" customFormat="false" ht="18.75" hidden="false" customHeight="false" outlineLevel="0" collapsed="false">
      <c r="B1699" s="1113" t="str">
        <f aca="false">'Смета Внутр'!B1699</f>
        <v>Отделка внешняя</v>
      </c>
      <c r="C1699" s="1113"/>
      <c r="D1699" s="1113"/>
      <c r="E1699" s="1113"/>
      <c r="F1699" s="1114" t="n">
        <f aca="false">'Смета Внутр'!H1699</f>
        <v>1</v>
      </c>
    </row>
    <row r="1700" customFormat="false" ht="15" hidden="false" customHeight="false" outlineLevel="0" collapsed="false">
      <c r="B1700" s="1115" t="str">
        <f aca="false">'Смета Внутр'!B1700</f>
        <v>Материалы</v>
      </c>
      <c r="C1700" s="1115"/>
      <c r="D1700" s="1115"/>
      <c r="E1700" s="1115"/>
      <c r="F1700" s="1114" t="n">
        <f aca="false">'Смета Внутр'!H1700</f>
        <v>1</v>
      </c>
    </row>
    <row r="1701" customFormat="false" ht="15" hidden="false" customHeight="false" outlineLevel="0" collapsed="false">
      <c r="B1701" s="1098" t="str">
        <f aca="false">'Смета Внутр'!B1701</f>
        <v>дом, стены</v>
      </c>
      <c r="C1701" s="1098"/>
      <c r="D1701" s="1098"/>
      <c r="E1701" s="1098"/>
      <c r="F1701" s="1116" t="n">
        <f aca="false">'Смета Внутр'!H1701</f>
        <v>1</v>
      </c>
    </row>
    <row r="1702" s="118" customFormat="true" ht="15" hidden="false" customHeight="false" outlineLevel="0" collapsed="false">
      <c r="B1702" s="1104" t="str">
        <f aca="false">'Смета Внутр'!B1702</f>
        <v>нет</v>
      </c>
      <c r="C1702" s="1105" t="str">
        <f aca="false">'Смета Внутр'!C1702</f>
        <v>м.п.</v>
      </c>
      <c r="D1702" s="1106" t="n">
        <f aca="false">'Смета Внутр'!D1702</f>
        <v>357.5815</v>
      </c>
      <c r="E1702" s="1104"/>
      <c r="F1702" s="1107" t="n">
        <f aca="false">'Смета Внутр'!H1702</f>
        <v>0</v>
      </c>
    </row>
    <row r="1703" s="118" customFormat="true" ht="15" hidden="false" customHeight="false" outlineLevel="0" collapsed="false">
      <c r="B1703" s="1104" t="str">
        <f aca="false">'Смета Внутр'!B1703</f>
        <v>Нет кронштейна</v>
      </c>
      <c r="C1703" s="1105" t="str">
        <f aca="false">'Смета Внутр'!C1703</f>
        <v>шт</v>
      </c>
      <c r="D1703" s="1106" t="n">
        <f aca="false">'Смета Внутр'!D1703</f>
        <v>858.1956</v>
      </c>
      <c r="E1703" s="1104"/>
      <c r="F1703" s="1107" t="n">
        <f aca="false">'Смета Внутр'!H1703</f>
        <v>0</v>
      </c>
    </row>
    <row r="1704" s="118" customFormat="true" ht="15" hidden="false" customHeight="false" outlineLevel="0" collapsed="false">
      <c r="B1704" s="1104" t="str">
        <f aca="false">'Смета Внутр'!B1704</f>
        <v>Саморезы 3,5 x 45            </v>
      </c>
      <c r="C1704" s="1105" t="str">
        <f aca="false">'Смета Внутр'!C1704</f>
        <v>шт</v>
      </c>
      <c r="D1704" s="1106" t="n">
        <f aca="false">'Смета Внутр'!D1704</f>
        <v>0</v>
      </c>
      <c r="E1704" s="1104"/>
      <c r="F1704" s="1107" t="n">
        <f aca="false">'Смета Внутр'!H1704</f>
        <v>0</v>
      </c>
    </row>
    <row r="1705" s="118" customFormat="true" ht="15" hidden="false" customHeight="false" outlineLevel="0" collapsed="false">
      <c r="B1705" s="1104" t="str">
        <f aca="false">'Смета Внутр'!B1705</f>
        <v>Болты анкерные с гайкой 10,0 х 97           </v>
      </c>
      <c r="C1705" s="1105" t="str">
        <f aca="false">'Смета Внутр'!C1705</f>
        <v>шт</v>
      </c>
      <c r="D1705" s="1106" t="n">
        <f aca="false">'Смета Внутр'!D1705</f>
        <v>0</v>
      </c>
      <c r="E1705" s="1104"/>
      <c r="F1705" s="1107" t="n">
        <f aca="false">'Смета Внутр'!H1705</f>
        <v>0</v>
      </c>
    </row>
    <row r="1706" customFormat="false" ht="15" hidden="false" customHeight="false" outlineLevel="0" collapsed="false">
      <c r="B1706" s="1097" t="n">
        <f aca="false">'Смета Внутр'!B1706</f>
        <v>0</v>
      </c>
      <c r="C1706" s="1098" t="str">
        <f aca="false">'Смета Внутр'!C1706</f>
        <v>м2</v>
      </c>
      <c r="D1706" s="1099" t="n">
        <f aca="false">'Смета Внутр'!D1706</f>
        <v>0</v>
      </c>
      <c r="E1706" s="1097"/>
      <c r="F1706" s="1116" t="n">
        <f aca="false">'Смета Внутр'!H1706</f>
        <v>0</v>
      </c>
    </row>
    <row r="1707" customFormat="false" ht="15" hidden="false" customHeight="false" outlineLevel="0" collapsed="false">
      <c r="B1707" s="1097" t="str">
        <f aca="false">'Смета Внутр'!B1707</f>
        <v>Цемент, мешок, 50кг</v>
      </c>
      <c r="C1707" s="1098" t="str">
        <f aca="false">'Смета Внутр'!C1707</f>
        <v>меш</v>
      </c>
      <c r="D1707" s="1099" t="n">
        <f aca="false">'Смета Внутр'!D1707</f>
        <v>0</v>
      </c>
      <c r="E1707" s="1097"/>
      <c r="F1707" s="1116" t="n">
        <f aca="false">'Смета Внутр'!H1707</f>
        <v>0</v>
      </c>
    </row>
    <row r="1708" customFormat="false" ht="15" hidden="false" customHeight="false" outlineLevel="0" collapsed="false">
      <c r="B1708" s="1097" t="str">
        <f aca="false">'Смета Внутр'!B1708</f>
        <v>Песок, м3</v>
      </c>
      <c r="C1708" s="1098" t="str">
        <f aca="false">'Смета Внутр'!C1708</f>
        <v>м3</v>
      </c>
      <c r="D1708" s="1099" t="n">
        <f aca="false">'Смета Внутр'!D1708</f>
        <v>0</v>
      </c>
      <c r="E1708" s="1097"/>
      <c r="F1708" s="1116" t="n">
        <f aca="false">'Смета Внутр'!H1708</f>
        <v>0</v>
      </c>
    </row>
    <row r="1709" customFormat="false" ht="15" hidden="false" customHeight="false" outlineLevel="0" collapsed="false">
      <c r="B1709" s="1097" t="str">
        <f aca="false">'Смета Внутр'!B1709</f>
        <v>Кладочная сетка, 100*100/150*150/200*200мм</v>
      </c>
      <c r="C1709" s="1098" t="str">
        <f aca="false">'Смета Внутр'!C1709</f>
        <v>м2</v>
      </c>
      <c r="D1709" s="1099" t="n">
        <f aca="false">'Смета Внутр'!D1709</f>
        <v>0</v>
      </c>
      <c r="E1709" s="1097"/>
      <c r="F1709" s="1116" t="n">
        <f aca="false">'Смета Внутр'!H1709</f>
        <v>0</v>
      </c>
    </row>
    <row r="1710" s="118" customFormat="true" ht="15" hidden="false" customHeight="false" outlineLevel="0" collapsed="false">
      <c r="B1710" s="1104" t="str">
        <f aca="false">'Смета Внутр'!B1710</f>
        <v>сайдинг виниловый</v>
      </c>
      <c r="C1710" s="1105" t="str">
        <f aca="false">'Смета Внутр'!C1710</f>
        <v>м2</v>
      </c>
      <c r="D1710" s="1106" t="n">
        <f aca="false">'Смета Внутр'!D1710</f>
        <v>0</v>
      </c>
      <c r="E1710" s="1104"/>
      <c r="F1710" s="1107" t="n">
        <f aca="false">'Смета Внутр'!H1710</f>
        <v>0</v>
      </c>
    </row>
    <row r="1711" s="118" customFormat="true" ht="15" hidden="false" customHeight="false" outlineLevel="0" collapsed="false">
      <c r="B1711" s="1104" t="str">
        <f aca="false">'Смета Внутр'!B1711</f>
        <v>доборные элементы для винил сайдинга</v>
      </c>
      <c r="C1711" s="1105" t="str">
        <f aca="false">'Смета Внутр'!C1711</f>
        <v>шт</v>
      </c>
      <c r="D1711" s="1106" t="n">
        <f aca="false">'Смета Внутр'!D1711</f>
        <v>0</v>
      </c>
      <c r="E1711" s="1104"/>
      <c r="F1711" s="1107" t="n">
        <f aca="false">'Смета Внутр'!H1711</f>
        <v>0</v>
      </c>
    </row>
    <row r="1712" customFormat="false" ht="15" hidden="false" customHeight="false" outlineLevel="0" collapsed="false">
      <c r="B1712" s="1097" t="str">
        <f aca="false">'Смета Внутр'!B1712</f>
        <v>сайдинг металлический</v>
      </c>
      <c r="C1712" s="1098" t="str">
        <f aca="false">'Смета Внутр'!C1712</f>
        <v>м2</v>
      </c>
      <c r="D1712" s="1099" t="n">
        <f aca="false">'Смета Внутр'!D1712</f>
        <v>0</v>
      </c>
      <c r="E1712" s="1097"/>
      <c r="F1712" s="1116" t="n">
        <f aca="false">'Смета Внутр'!H1712</f>
        <v>0</v>
      </c>
    </row>
    <row r="1713" customFormat="false" ht="15" hidden="false" customHeight="false" outlineLevel="0" collapsed="false">
      <c r="B1713" s="1097" t="str">
        <f aca="false">'Смета Внутр'!B1713</f>
        <v>доборные элементы для метал сайдинга</v>
      </c>
      <c r="C1713" s="1098" t="str">
        <f aca="false">'Смета Внутр'!C1713</f>
        <v>шт</v>
      </c>
      <c r="D1713" s="1099" t="n">
        <f aca="false">'Смета Внутр'!D1713</f>
        <v>0</v>
      </c>
      <c r="E1713" s="1097"/>
      <c r="F1713" s="1116" t="n">
        <f aca="false">'Смета Внутр'!H1713</f>
        <v>0</v>
      </c>
    </row>
    <row r="1714" s="118" customFormat="true" ht="15" hidden="false" customHeight="false" outlineLevel="0" collapsed="false">
      <c r="B1714" s="1104" t="n">
        <f aca="false">'Смета Внутр'!B1714</f>
        <v>0</v>
      </c>
      <c r="C1714" s="1105" t="str">
        <f aca="false">'Смета Внутр'!C1714</f>
        <v>м2</v>
      </c>
      <c r="D1714" s="1106" t="n">
        <f aca="false">'Смета Внутр'!D1714</f>
        <v>0</v>
      </c>
      <c r="E1714" s="1104"/>
      <c r="F1714" s="1107" t="n">
        <f aca="false">'Смета Внутр'!H1714</f>
        <v>0</v>
      </c>
    </row>
    <row r="1715" s="118" customFormat="true" ht="15" hidden="false" customHeight="false" outlineLevel="0" collapsed="false">
      <c r="B1715" s="1104" t="str">
        <f aca="false">'Смета Внутр'!B1715</f>
        <v>крепления для планкена, змейка</v>
      </c>
      <c r="C1715" s="1105" t="str">
        <f aca="false">'Смета Внутр'!C1715</f>
        <v>шт</v>
      </c>
      <c r="D1715" s="1106" t="n">
        <f aca="false">'Смета Внутр'!D1715</f>
        <v>0</v>
      </c>
      <c r="E1715" s="1104"/>
      <c r="F1715" s="1107" t="n">
        <f aca="false">'Смета Внутр'!H1715</f>
        <v>0</v>
      </c>
    </row>
    <row r="1716" s="118" customFormat="true" ht="15" hidden="false" customHeight="false" outlineLevel="0" collapsed="false">
      <c r="B1716" s="1104" t="n">
        <f aca="false">'Смета Внутр'!B1716</f>
        <v>0</v>
      </c>
      <c r="C1716" s="1105" t="str">
        <f aca="false">'Смета Внутр'!C1716</f>
        <v>м2</v>
      </c>
      <c r="D1716" s="1106" t="n">
        <f aca="false">'Смета Внутр'!D1716</f>
        <v>0</v>
      </c>
      <c r="E1716" s="1104"/>
      <c r="F1716" s="1107" t="n">
        <f aca="false">'Смета Внутр'!H1716</f>
        <v>0</v>
      </c>
    </row>
    <row r="1717" s="118" customFormat="true" ht="15" hidden="false" customHeight="false" outlineLevel="0" collapsed="false">
      <c r="B1717" s="1104" t="n">
        <f aca="false">'Смета Внутр'!B1717</f>
        <v>0</v>
      </c>
      <c r="C1717" s="1105" t="str">
        <f aca="false">'Смета Внутр'!C1717</f>
        <v>м2</v>
      </c>
      <c r="D1717" s="1106" t="n">
        <f aca="false">'Смета Внутр'!D1717</f>
        <v>0</v>
      </c>
      <c r="E1717" s="1104"/>
      <c r="F1717" s="1107" t="n">
        <f aca="false">'Смета Внутр'!H1717</f>
        <v>0</v>
      </c>
    </row>
    <row r="1718" s="118" customFormat="true" ht="15" hidden="false" customHeight="false" outlineLevel="0" collapsed="false">
      <c r="B1718" s="1104" t="str">
        <f aca="false">'Смета Внутр'!B1718</f>
        <v>клей для камня </v>
      </c>
      <c r="C1718" s="1105" t="str">
        <f aca="false">'Смета Внутр'!C1718</f>
        <v>меш</v>
      </c>
      <c r="D1718" s="1106" t="n">
        <f aca="false">'Смета Внутр'!D1718</f>
        <v>0</v>
      </c>
      <c r="E1718" s="1104"/>
      <c r="F1718" s="1107" t="n">
        <f aca="false">'Смета Внутр'!H1718</f>
        <v>0</v>
      </c>
    </row>
    <row r="1719" s="118" customFormat="true" ht="15" hidden="false" customHeight="false" outlineLevel="0" collapsed="false">
      <c r="B1719" s="1104" t="str">
        <f aca="false">'Смета Внутр'!B1719</f>
        <v>Нет грунтовки</v>
      </c>
      <c r="C1719" s="1105" t="str">
        <f aca="false">'Смета Внутр'!C1719</f>
        <v>л</v>
      </c>
      <c r="D1719" s="1106" t="n">
        <f aca="false">'Смета Внутр'!D1719</f>
        <v>0</v>
      </c>
      <c r="E1719" s="1104"/>
      <c r="F1719" s="1107" t="n">
        <f aca="false">'Смета Внутр'!H1719</f>
        <v>0</v>
      </c>
    </row>
    <row r="1720" s="118" customFormat="true" ht="15" hidden="false" customHeight="false" outlineLevel="0" collapsed="false">
      <c r="B1720" s="1104" t="str">
        <f aca="false">'Смета Внутр'!B1720</f>
        <v>Нет пропитки</v>
      </c>
      <c r="C1720" s="1105" t="str">
        <f aca="false">'Смета Внутр'!C1720</f>
        <v>л</v>
      </c>
      <c r="D1720" s="1106" t="n">
        <f aca="false">'Смета Внутр'!D1720</f>
        <v>0</v>
      </c>
      <c r="E1720" s="1104"/>
      <c r="F1720" s="1107" t="n">
        <f aca="false">'Смета Внутр'!H1720</f>
        <v>0</v>
      </c>
    </row>
    <row r="1721" s="118" customFormat="true" ht="15" hidden="false" customHeight="false" outlineLevel="0" collapsed="false">
      <c r="B1721" s="1104" t="str">
        <f aca="false">'Смета Внутр'!B1721</f>
        <v>Нет лака</v>
      </c>
      <c r="C1721" s="1105" t="str">
        <f aca="false">'Смета Внутр'!C1721</f>
        <v>л</v>
      </c>
      <c r="D1721" s="1106" t="n">
        <f aca="false">'Смета Внутр'!D1721</f>
        <v>0</v>
      </c>
      <c r="E1721" s="1104"/>
      <c r="F1721" s="1107" t="n">
        <f aca="false">'Смета Внутр'!H1721</f>
        <v>0</v>
      </c>
    </row>
    <row r="1722" s="118" customFormat="true" ht="15" hidden="false" customHeight="false" outlineLevel="0" collapsed="false">
      <c r="B1722" s="1104" t="str">
        <f aca="false">'Смета Внутр'!B1722</f>
        <v>Нет</v>
      </c>
      <c r="C1722" s="1105" t="str">
        <f aca="false">'Смета Внутр'!C1722</f>
        <v>м3</v>
      </c>
      <c r="D1722" s="1106" t="n">
        <f aca="false">'Смета Внутр'!D1722</f>
        <v>0</v>
      </c>
      <c r="E1722" s="1104"/>
      <c r="F1722" s="1107" t="n">
        <f aca="false">'Смета Внутр'!H1722</f>
        <v>0</v>
      </c>
    </row>
    <row r="1723" s="118" customFormat="true" ht="15" hidden="false" customHeight="false" outlineLevel="0" collapsed="false">
      <c r="B1723" s="1104" t="str">
        <f aca="false">'Смета Внутр'!B1723</f>
        <v>Декоративная штукатурка кароед 2 мм</v>
      </c>
      <c r="C1723" s="1105" t="str">
        <f aca="false">'Смета Внутр'!C1723</f>
        <v>меш</v>
      </c>
      <c r="D1723" s="1106" t="n">
        <f aca="false">'Смета Внутр'!D1723</f>
        <v>23</v>
      </c>
      <c r="E1723" s="1104"/>
      <c r="F1723" s="1107" t="n">
        <f aca="false">'Смета Внутр'!H1723</f>
        <v>10810</v>
      </c>
    </row>
    <row r="1724" s="118" customFormat="true" ht="15" hidden="false" customHeight="false" outlineLevel="0" collapsed="false">
      <c r="B1724" s="1104" t="str">
        <f aca="false">'Смета Внутр'!B1724</f>
        <v>Сетка штукатурная ПВС 40 Оцинкованная рулон</v>
      </c>
      <c r="C1724" s="1105" t="str">
        <f aca="false">'Смета Внутр'!C1724</f>
        <v>м2</v>
      </c>
      <c r="D1724" s="1106" t="n">
        <f aca="false">'Смета Внутр'!D1724</f>
        <v>226.759</v>
      </c>
      <c r="E1724" s="1104"/>
      <c r="F1724" s="1107" t="n">
        <f aca="false">'Смета Внутр'!H1724</f>
        <v>3401.385</v>
      </c>
    </row>
    <row r="1725" s="118" customFormat="true" ht="15" hidden="false" customHeight="false" outlineLevel="0" collapsed="false">
      <c r="B1725" s="1104" t="str">
        <f aca="false">'Смета Внутр'!B1725</f>
        <v>Штукатурка для наружних работ</v>
      </c>
      <c r="C1725" s="1105" t="str">
        <f aca="false">'Смета Внутр'!C1725</f>
        <v>м2</v>
      </c>
      <c r="D1725" s="1106" t="n">
        <f aca="false">'Смета Внутр'!D1725</f>
        <v>23</v>
      </c>
      <c r="E1725" s="1104"/>
      <c r="F1725" s="1107" t="n">
        <f aca="false">'Смета Внутр'!H1725</f>
        <v>8970</v>
      </c>
    </row>
    <row r="1726" s="118" customFormat="true" ht="15" hidden="false" customHeight="false" outlineLevel="0" collapsed="false">
      <c r="B1726" s="1105" t="str">
        <f aca="false">'Смета Внутр'!B1726</f>
        <v>цоколь</v>
      </c>
      <c r="C1726" s="1105"/>
      <c r="D1726" s="1105"/>
      <c r="E1726" s="1105"/>
      <c r="F1726" s="1107" t="n">
        <f aca="false">'Смета Внутр'!H1726</f>
        <v>0</v>
      </c>
    </row>
    <row r="1727" s="118" customFormat="true" ht="15" hidden="false" customHeight="false" outlineLevel="0" collapsed="false">
      <c r="B1727" s="1104" t="str">
        <f aca="false">'Смета Внутр'!B1727</f>
        <v>отлив металлический</v>
      </c>
      <c r="C1727" s="1105" t="str">
        <f aca="false">'Смета Внутр'!C1727</f>
        <v>м.п.</v>
      </c>
      <c r="D1727" s="1106" t="n">
        <f aca="false">'Смета Внутр'!D1727</f>
        <v>0</v>
      </c>
      <c r="E1727" s="1104"/>
      <c r="F1727" s="1107" t="n">
        <f aca="false">'Смета Внутр'!H1727</f>
        <v>0</v>
      </c>
    </row>
    <row r="1728" s="118" customFormat="true" ht="15" hidden="false" customHeight="false" outlineLevel="0" collapsed="false">
      <c r="B1728" s="1104" t="str">
        <f aca="false">'Смета Внутр'!B1728</f>
        <v>сайдинг металлический</v>
      </c>
      <c r="C1728" s="1105" t="str">
        <f aca="false">'Смета Внутр'!C1728</f>
        <v>м2</v>
      </c>
      <c r="D1728" s="1106" t="n">
        <f aca="false">'Смета Внутр'!D1728</f>
        <v>0</v>
      </c>
      <c r="E1728" s="1104"/>
      <c r="F1728" s="1107" t="n">
        <f aca="false">'Смета Внутр'!H1728</f>
        <v>0</v>
      </c>
    </row>
    <row r="1729" s="118" customFormat="true" ht="15" hidden="false" customHeight="false" outlineLevel="0" collapsed="false">
      <c r="B1729" s="1104" t="str">
        <f aca="false">'Смета Внутр'!B1729</f>
        <v>камень природный</v>
      </c>
      <c r="C1729" s="1105" t="str">
        <f aca="false">'Смета Внутр'!C1729</f>
        <v>м2</v>
      </c>
      <c r="D1729" s="1106" t="n">
        <f aca="false">'Смета Внутр'!D1729</f>
        <v>0</v>
      </c>
      <c r="E1729" s="1104"/>
      <c r="F1729" s="1107" t="n">
        <f aca="false">'Смета Внутр'!H1729</f>
        <v>0</v>
      </c>
    </row>
    <row r="1730" s="118" customFormat="true" ht="15" hidden="false" customHeight="false" outlineLevel="0" collapsed="false">
      <c r="B1730" s="1104" t="str">
        <f aca="false">'Смета Внутр'!B1730</f>
        <v>камень искуственный</v>
      </c>
      <c r="C1730" s="1105" t="str">
        <f aca="false">'Смета Внутр'!C1730</f>
        <v>м2</v>
      </c>
      <c r="D1730" s="1106" t="n">
        <f aca="false">'Смета Внутр'!D1730</f>
        <v>0</v>
      </c>
      <c r="E1730" s="1104"/>
      <c r="F1730" s="1107" t="n">
        <f aca="false">'Смета Внутр'!H1730</f>
        <v>0</v>
      </c>
    </row>
    <row r="1731" s="118" customFormat="true" ht="15" hidden="false" customHeight="false" outlineLevel="0" collapsed="false">
      <c r="B1731" s="1104" t="str">
        <f aca="false">'Смета Внутр'!B1731</f>
        <v>клей для камня </v>
      </c>
      <c r="C1731" s="1105" t="str">
        <f aca="false">'Смета Внутр'!C1731</f>
        <v>меш</v>
      </c>
      <c r="D1731" s="1106" t="n">
        <f aca="false">'Смета Внутр'!D1731</f>
        <v>0</v>
      </c>
      <c r="E1731" s="1104"/>
      <c r="F1731" s="1107" t="n">
        <f aca="false">'Смета Внутр'!H1731</f>
        <v>0</v>
      </c>
    </row>
    <row r="1732" s="118" customFormat="true" ht="15" hidden="false" customHeight="false" outlineLevel="0" collapsed="false">
      <c r="B1732" s="1104" t="str">
        <f aca="false">'Смета Внутр'!B1732</f>
        <v>Нет грунтовки</v>
      </c>
      <c r="C1732" s="1105" t="str">
        <f aca="false">'Смета Внутр'!C1732</f>
        <v>л</v>
      </c>
      <c r="D1732" s="1106" t="n">
        <f aca="false">'Смета Внутр'!D1732</f>
        <v>0</v>
      </c>
      <c r="E1732" s="1104"/>
      <c r="F1732" s="1107" t="n">
        <f aca="false">'Смета Внутр'!H1732</f>
        <v>0</v>
      </c>
    </row>
    <row r="1733" s="118" customFormat="true" ht="15" hidden="false" customHeight="false" outlineLevel="0" collapsed="false">
      <c r="B1733" s="1104" t="str">
        <f aca="false">'Смета Внутр'!B1733</f>
        <v>нет</v>
      </c>
      <c r="C1733" s="1105" t="str">
        <f aca="false">'Смета Внутр'!C1733</f>
        <v>м.п.</v>
      </c>
      <c r="D1733" s="1106" t="n">
        <f aca="false">'Смета Внутр'!D1733</f>
        <v>38.88</v>
      </c>
      <c r="E1733" s="1104"/>
      <c r="F1733" s="1107" t="n">
        <f aca="false">'Смета Внутр'!H1733</f>
        <v>0</v>
      </c>
    </row>
    <row r="1734" s="118" customFormat="true" ht="15" hidden="false" customHeight="false" outlineLevel="0" collapsed="false">
      <c r="B1734" s="1104" t="str">
        <f aca="false">'Смета Внутр'!B1734</f>
        <v>Фасадный кронштейн КК 120</v>
      </c>
      <c r="C1734" s="1105" t="str">
        <f aca="false">'Смета Внутр'!C1734</f>
        <v>шт</v>
      </c>
      <c r="D1734" s="1106" t="n">
        <f aca="false">'Смета Внутр'!D1734</f>
        <v>0</v>
      </c>
      <c r="E1734" s="1104"/>
      <c r="F1734" s="1107" t="n">
        <f aca="false">'Смета Внутр'!H1734</f>
        <v>0</v>
      </c>
    </row>
    <row r="1735" s="118" customFormat="true" ht="15" hidden="false" customHeight="false" outlineLevel="0" collapsed="false">
      <c r="B1735" s="1104" t="str">
        <f aca="false">'Смета Внутр'!B1735</f>
        <v>Болты анкерные с гайкой 10,0 х 97           </v>
      </c>
      <c r="C1735" s="1105" t="str">
        <f aca="false">'Смета Внутр'!C1735</f>
        <v>шт</v>
      </c>
      <c r="D1735" s="1106" t="n">
        <f aca="false">'Смета Внутр'!D1735</f>
        <v>0</v>
      </c>
      <c r="E1735" s="1104"/>
      <c r="F1735" s="1107" t="n">
        <f aca="false">'Смета Внутр'!H1735</f>
        <v>0</v>
      </c>
    </row>
    <row r="1736" s="118" customFormat="true" ht="15" hidden="false" customHeight="false" outlineLevel="0" collapsed="false">
      <c r="B1736" s="1104" t="str">
        <f aca="false">'Смета Внутр'!B1736</f>
        <v>Саморезы 3,5 x 45            </v>
      </c>
      <c r="C1736" s="1105" t="str">
        <f aca="false">'Смета Внутр'!C1736</f>
        <v>шт</v>
      </c>
      <c r="D1736" s="1106" t="n">
        <f aca="false">'Смета Внутр'!D1736</f>
        <v>0</v>
      </c>
      <c r="E1736" s="1104"/>
      <c r="F1736" s="1107" t="n">
        <f aca="false">'Смета Внутр'!H1736</f>
        <v>0</v>
      </c>
    </row>
    <row r="1737" s="118" customFormat="true" ht="15" hidden="false" customHeight="false" outlineLevel="0" collapsed="false">
      <c r="B1737" s="1104" t="str">
        <f aca="false">'Смета Внутр'!B1737</f>
        <v>Плоский шифер 8 мм</v>
      </c>
      <c r="C1737" s="1105" t="str">
        <f aca="false">'Смета Внутр'!C1737</f>
        <v>м2</v>
      </c>
      <c r="D1737" s="1106" t="n">
        <f aca="false">'Смета Внутр'!D1737</f>
        <v>0</v>
      </c>
      <c r="E1737" s="1104"/>
      <c r="F1737" s="1107" t="n">
        <f aca="false">'Смета Внутр'!H1737</f>
        <v>0</v>
      </c>
    </row>
    <row r="1738" s="118" customFormat="true" ht="15" hidden="false" customHeight="false" outlineLevel="0" collapsed="false">
      <c r="B1738" s="1105" t="str">
        <f aca="false">'Смета Внутр'!B1738</f>
        <v>кровля, подшивка свесов</v>
      </c>
      <c r="C1738" s="1105"/>
      <c r="D1738" s="1105"/>
      <c r="E1738" s="1105"/>
      <c r="F1738" s="1107" t="n">
        <f aca="false">'Смета Внутр'!H1738</f>
        <v>0</v>
      </c>
    </row>
    <row r="1739" s="118" customFormat="true" ht="15" hidden="false" customHeight="false" outlineLevel="0" collapsed="false">
      <c r="B1739" s="1104" t="str">
        <f aca="false">'Смета Внутр'!B1739</f>
        <v>планкен</v>
      </c>
      <c r="C1739" s="1105" t="str">
        <f aca="false">'Смета Внутр'!C1739</f>
        <v>м2</v>
      </c>
      <c r="D1739" s="1106" t="n">
        <f aca="false">'Смета Внутр'!D1739</f>
        <v>0</v>
      </c>
      <c r="E1739" s="1104"/>
      <c r="F1739" s="1107" t="n">
        <f aca="false">'Смета Внутр'!H1739</f>
        <v>0</v>
      </c>
    </row>
    <row r="1740" s="118" customFormat="true" ht="15" hidden="false" customHeight="false" outlineLevel="0" collapsed="false">
      <c r="B1740" s="1104" t="str">
        <f aca="false">'Смета Внутр'!B1740</f>
        <v>Доска сухая, калибр., 35*45мм</v>
      </c>
      <c r="C1740" s="1105" t="str">
        <f aca="false">'Смета Внутр'!C1740</f>
        <v>м.п.</v>
      </c>
      <c r="D1740" s="1106" t="n">
        <f aca="false">'Смета Внутр'!D1740</f>
        <v>0</v>
      </c>
      <c r="E1740" s="1104"/>
      <c r="F1740" s="1107" t="n">
        <f aca="false">'Смета Внутр'!H1740</f>
        <v>0</v>
      </c>
    </row>
    <row r="1741" s="118" customFormat="true" ht="15" hidden="false" customHeight="false" outlineLevel="0" collapsed="false">
      <c r="B1741" s="1104" t="str">
        <f aca="false">'Смета Внутр'!B1741</f>
        <v>сайдинг</v>
      </c>
      <c r="C1741" s="1105" t="str">
        <f aca="false">'Смета Внутр'!C1741</f>
        <v>м2</v>
      </c>
      <c r="D1741" s="1106" t="n">
        <f aca="false">'Смета Внутр'!D1741</f>
        <v>0</v>
      </c>
      <c r="E1741" s="1104"/>
      <c r="F1741" s="1107" t="n">
        <f aca="false">'Смета Внутр'!H1741</f>
        <v>0</v>
      </c>
    </row>
    <row r="1742" s="118" customFormat="true" ht="15" hidden="false" customHeight="false" outlineLevel="0" collapsed="false">
      <c r="B1742" s="1104" t="str">
        <f aca="false">'Смета Внутр'!B1742</f>
        <v>торцевая планка винил</v>
      </c>
      <c r="C1742" s="1105" t="str">
        <f aca="false">'Смета Внутр'!C1742</f>
        <v>м.п.</v>
      </c>
      <c r="D1742" s="1106" t="n">
        <f aca="false">'Смета Внутр'!D1742</f>
        <v>0</v>
      </c>
      <c r="E1742" s="1104"/>
      <c r="F1742" s="1107" t="n">
        <f aca="false">'Смета Внутр'!H1742</f>
        <v>0</v>
      </c>
    </row>
    <row r="1743" s="118" customFormat="true" ht="15" hidden="false" customHeight="false" outlineLevel="0" collapsed="false">
      <c r="B1743" s="1104" t="str">
        <f aca="false">'Смета Внутр'!B1743</f>
        <v>стартовый профиль для сайдинга</v>
      </c>
      <c r="C1743" s="1105" t="str">
        <f aca="false">'Смета Внутр'!C1743</f>
        <v>м.п.</v>
      </c>
      <c r="D1743" s="1106" t="n">
        <f aca="false">'Смета Внутр'!D1743</f>
        <v>0</v>
      </c>
      <c r="E1743" s="1104"/>
      <c r="F1743" s="1107" t="n">
        <f aca="false">'Смета Внутр'!H1743</f>
        <v>0</v>
      </c>
    </row>
    <row r="1744" s="118" customFormat="true" ht="15" hidden="false" customHeight="false" outlineLevel="0" collapsed="false">
      <c r="B1744" s="1104" t="str">
        <f aca="false">'Смета Внутр'!B1744</f>
        <v>Саморезы 3,5 x 45            </v>
      </c>
      <c r="C1744" s="1105" t="str">
        <f aca="false">'Смета Внутр'!C1744</f>
        <v>шт</v>
      </c>
      <c r="D1744" s="1106" t="n">
        <f aca="false">'Смета Внутр'!D1744</f>
        <v>0</v>
      </c>
      <c r="E1744" s="1104"/>
      <c r="F1744" s="1107" t="n">
        <f aca="false">'Смета Внутр'!H1744</f>
        <v>0</v>
      </c>
    </row>
    <row r="1745" s="118" customFormat="true" ht="15" hidden="false" customHeight="false" outlineLevel="0" collapsed="false">
      <c r="B1745" s="1104" t="str">
        <f aca="false">'Смета Внутр'!B1745</f>
        <v>Саморезы 4,2 х 75            </v>
      </c>
      <c r="C1745" s="1105" t="str">
        <f aca="false">'Смета Внутр'!C1745</f>
        <v>шт</v>
      </c>
      <c r="D1745" s="1106" t="n">
        <f aca="false">'Смета Внутр'!D1745</f>
        <v>0</v>
      </c>
      <c r="E1745" s="1104"/>
      <c r="F1745" s="1107" t="n">
        <f aca="false">'Смета Внутр'!H1745</f>
        <v>0</v>
      </c>
    </row>
    <row r="1746" customFormat="false" ht="15" hidden="false" customHeight="false" outlineLevel="0" collapsed="false">
      <c r="B1746" s="1117" t="str">
        <f aca="false">'Смета Внутр'!B1746</f>
        <v>Итого материалы</v>
      </c>
      <c r="C1746" s="1117"/>
      <c r="D1746" s="1117"/>
      <c r="E1746" s="1117"/>
      <c r="F1746" s="1118" t="n">
        <f aca="false">'Смета Внутр'!G1746</f>
        <v>23181.385</v>
      </c>
    </row>
    <row r="1747" customFormat="false" ht="15" hidden="false" customHeight="false" outlineLevel="0" collapsed="false">
      <c r="B1747" s="1119" t="str">
        <f aca="false">'Смета Внутр'!B1747</f>
        <v>Работы</v>
      </c>
      <c r="C1747" s="1119"/>
      <c r="D1747" s="1119"/>
      <c r="E1747" s="1119"/>
      <c r="F1747" s="1114" t="n">
        <f aca="false">'Смета Внутр'!H1747</f>
        <v>1</v>
      </c>
    </row>
    <row r="1748" customFormat="false" ht="15" hidden="false" customHeight="false" outlineLevel="0" collapsed="false">
      <c r="B1748" s="1098" t="str">
        <f aca="false">'Смета Внутр'!B1748</f>
        <v>стены</v>
      </c>
      <c r="C1748" s="1098"/>
      <c r="D1748" s="1098"/>
      <c r="E1748" s="1098"/>
      <c r="F1748" s="1116" t="n">
        <f aca="false">'Смета Внутр'!H1748</f>
        <v>1</v>
      </c>
    </row>
    <row r="1749" customFormat="false" ht="15" hidden="false" customHeight="false" outlineLevel="0" collapsed="false">
      <c r="B1749" s="1097" t="str">
        <f aca="false">'Смета Внутр'!B1749</f>
        <v>кладка кирпича облицов</v>
      </c>
      <c r="C1749" s="1098" t="str">
        <f aca="false">'Смета Внутр'!C1749</f>
        <v>м2</v>
      </c>
      <c r="D1749" s="1099" t="n">
        <f aca="false">'Смета Внутр'!D1749</f>
        <v>0</v>
      </c>
      <c r="E1749" s="1097"/>
      <c r="F1749" s="1116" t="n">
        <f aca="false">'Смета Внутр'!H1749</f>
        <v>0</v>
      </c>
    </row>
    <row r="1750" s="118" customFormat="true" ht="15" hidden="false" customHeight="false" outlineLevel="0" collapsed="false">
      <c r="B1750" s="1104" t="str">
        <f aca="false">'Смета Внутр'!B1750</f>
        <v>монтаж подсистемы</v>
      </c>
      <c r="C1750" s="1105" t="str">
        <f aca="false">'Смета Внутр'!C1750</f>
        <v>м2</v>
      </c>
      <c r="D1750" s="1106" t="n">
        <f aca="false">'Смета Внутр'!D1750</f>
        <v>0</v>
      </c>
      <c r="E1750" s="1104"/>
      <c r="F1750" s="1107" t="n">
        <f aca="false">'Смета Внутр'!H1750</f>
        <v>0</v>
      </c>
    </row>
    <row r="1751" s="118" customFormat="true" ht="15" hidden="false" customHeight="false" outlineLevel="0" collapsed="false">
      <c r="B1751" s="1104" t="str">
        <f aca="false">'Смета Внутр'!B1751</f>
        <v>сайдинг виниловый</v>
      </c>
      <c r="C1751" s="1105" t="str">
        <f aca="false">'Смета Внутр'!C1751</f>
        <v>м2</v>
      </c>
      <c r="D1751" s="1106" t="n">
        <f aca="false">'Смета Внутр'!D1751</f>
        <v>0</v>
      </c>
      <c r="E1751" s="1104"/>
      <c r="F1751" s="1107" t="n">
        <f aca="false">'Смета Внутр'!H1751</f>
        <v>0</v>
      </c>
    </row>
    <row r="1752" customFormat="false" ht="15" hidden="false" customHeight="false" outlineLevel="0" collapsed="false">
      <c r="B1752" s="1097" t="str">
        <f aca="false">'Смета Внутр'!B1752</f>
        <v>сайдинг металл</v>
      </c>
      <c r="C1752" s="1098" t="str">
        <f aca="false">'Смета Внутр'!C1752</f>
        <v>м2</v>
      </c>
      <c r="D1752" s="1099" t="n">
        <f aca="false">'Смета Внутр'!D1752</f>
        <v>0</v>
      </c>
      <c r="E1752" s="1097"/>
      <c r="F1752" s="1116" t="n">
        <f aca="false">'Смета Внутр'!H1752</f>
        <v>0</v>
      </c>
    </row>
    <row r="1753" s="118" customFormat="true" ht="15" hidden="false" customHeight="false" outlineLevel="0" collapsed="false">
      <c r="B1753" s="1104" t="str">
        <f aca="false">'Смета Внутр'!B1753</f>
        <v>планкен</v>
      </c>
      <c r="C1753" s="1105" t="str">
        <f aca="false">'Смета Внутр'!C1753</f>
        <v>м2</v>
      </c>
      <c r="D1753" s="1106" t="n">
        <f aca="false">'Смета Внутр'!D1753</f>
        <v>0</v>
      </c>
      <c r="E1753" s="1104"/>
      <c r="F1753" s="1107" t="n">
        <f aca="false">'Смета Внутр'!H1753</f>
        <v>0</v>
      </c>
    </row>
    <row r="1754" s="118" customFormat="true" ht="15" hidden="false" customHeight="false" outlineLevel="0" collapsed="false">
      <c r="B1754" s="1104" t="str">
        <f aca="false">'Смета Внутр'!B1754</f>
        <v>камень</v>
      </c>
      <c r="C1754" s="1105" t="str">
        <f aca="false">'Смета Внутр'!C1754</f>
        <v>м2</v>
      </c>
      <c r="D1754" s="1106" t="n">
        <f aca="false">'Смета Внутр'!D1754</f>
        <v>0</v>
      </c>
      <c r="E1754" s="1104"/>
      <c r="F1754" s="1107" t="n">
        <f aca="false">'Смета Внутр'!H1754</f>
        <v>0</v>
      </c>
    </row>
    <row r="1755" s="118" customFormat="true" ht="15" hidden="false" customHeight="false" outlineLevel="0" collapsed="false">
      <c r="B1755" s="1104" t="str">
        <f aca="false">'Смета Внутр'!B1755</f>
        <v>окрашивание поверхности</v>
      </c>
      <c r="C1755" s="1105" t="str">
        <f aca="false">'Смета Внутр'!C1755</f>
        <v>м2</v>
      </c>
      <c r="D1755" s="1106" t="n">
        <f aca="false">'Смета Внутр'!D1755</f>
        <v>0</v>
      </c>
      <c r="E1755" s="1104"/>
      <c r="F1755" s="1107" t="n">
        <f aca="false">'Смета Внутр'!H1755</f>
        <v>0</v>
      </c>
    </row>
    <row r="1756" s="118" customFormat="true" ht="15" hidden="false" customHeight="false" outlineLevel="0" collapsed="false">
      <c r="B1756" s="1104" t="str">
        <f aca="false">'Смета Внутр'!B1756</f>
        <v>лакирование пов-ти</v>
      </c>
      <c r="C1756" s="1105" t="str">
        <f aca="false">'Смета Внутр'!C1756</f>
        <v>м2</v>
      </c>
      <c r="D1756" s="1106" t="n">
        <f aca="false">'Смета Внутр'!D1756</f>
        <v>0</v>
      </c>
      <c r="E1756" s="1104"/>
      <c r="F1756" s="1107" t="n">
        <f aca="false">'Смета Внутр'!H1756</f>
        <v>0</v>
      </c>
    </row>
    <row r="1757" s="118" customFormat="true" ht="15" hidden="false" customHeight="false" outlineLevel="0" collapsed="false">
      <c r="B1757" s="1104" t="str">
        <f aca="false">'Смета Внутр'!B1757</f>
        <v>монтаж плоский шифер</v>
      </c>
      <c r="C1757" s="1105" t="str">
        <f aca="false">'Смета Внутр'!C1757</f>
        <v>м2</v>
      </c>
      <c r="D1757" s="1106" t="n">
        <f aca="false">'Смета Внутр'!D1757</f>
        <v>0</v>
      </c>
      <c r="E1757" s="1104"/>
      <c r="F1757" s="1107" t="n">
        <f aca="false">'Смета Внутр'!H1757</f>
        <v>0</v>
      </c>
    </row>
    <row r="1758" s="118" customFormat="true" ht="15" hidden="false" customHeight="false" outlineLevel="0" collapsed="false">
      <c r="B1758" s="1104" t="str">
        <f aca="false">'Смета Внутр'!B1758</f>
        <v>имитация бруса</v>
      </c>
      <c r="C1758" s="1105" t="str">
        <f aca="false">'Смета Внутр'!C1758</f>
        <v>м2</v>
      </c>
      <c r="D1758" s="1106" t="n">
        <f aca="false">'Смета Внутр'!D1758</f>
        <v>0</v>
      </c>
      <c r="E1758" s="1104"/>
      <c r="F1758" s="1107" t="n">
        <f aca="false">'Смета Внутр'!H1758</f>
        <v>0</v>
      </c>
    </row>
    <row r="1759" s="118" customFormat="true" ht="15" hidden="false" customHeight="false" outlineLevel="0" collapsed="false">
      <c r="B1759" s="1104" t="str">
        <f aca="false">'Смета Внутр'!B1759</f>
        <v>Утепление наружних стен</v>
      </c>
      <c r="C1759" s="1105" t="str">
        <f aca="false">'Смета Внутр'!C1759</f>
        <v>м2</v>
      </c>
      <c r="D1759" s="1106" t="n">
        <f aca="false">'Смета Внутр'!D1759</f>
        <v>0</v>
      </c>
      <c r="E1759" s="1104"/>
      <c r="F1759" s="1107" t="n">
        <f aca="false">'Смета Внутр'!H1759</f>
        <v>0</v>
      </c>
    </row>
    <row r="1760" s="118" customFormat="true" ht="15" hidden="false" customHeight="false" outlineLevel="0" collapsed="false">
      <c r="B1760" s="1104" t="str">
        <f aca="false">'Смета Внутр'!B1760</f>
        <v>Оштукатуривание поверхности, подготовка</v>
      </c>
      <c r="C1760" s="1105" t="str">
        <f aca="false">'Смета Внутр'!C1760</f>
        <v>м2</v>
      </c>
      <c r="D1760" s="1106" t="n">
        <f aca="false">'Смета Внутр'!D1760</f>
        <v>174.43</v>
      </c>
      <c r="E1760" s="1104"/>
      <c r="F1760" s="1107" t="n">
        <f aca="false">'Смета Внутр'!H1760</f>
        <v>69772</v>
      </c>
    </row>
    <row r="1761" s="118" customFormat="true" ht="15" hidden="false" customHeight="false" outlineLevel="0" collapsed="false">
      <c r="B1761" s="1104" t="str">
        <f aca="false">'Смета Внутр'!B1761</f>
        <v>Наклейка сетки</v>
      </c>
      <c r="C1761" s="1105" t="str">
        <f aca="false">'Смета Внутр'!C1761</f>
        <v>м2</v>
      </c>
      <c r="D1761" s="1106" t="n">
        <f aca="false">'Смета Внутр'!D1761</f>
        <v>174.43</v>
      </c>
      <c r="E1761" s="1104"/>
      <c r="F1761" s="1107" t="n">
        <f aca="false">'Смета Внутр'!H1761</f>
        <v>34886</v>
      </c>
    </row>
    <row r="1762" s="118" customFormat="true" ht="15" hidden="false" customHeight="false" outlineLevel="0" collapsed="false">
      <c r="B1762" s="1104" t="str">
        <f aca="false">'Смета Внутр'!B1762</f>
        <v>Нанесение декоративной штукатурки</v>
      </c>
      <c r="C1762" s="1105" t="str">
        <f aca="false">'Смета Внутр'!C1762</f>
        <v>м2</v>
      </c>
      <c r="D1762" s="1106" t="n">
        <f aca="false">'Смета Внутр'!D1762</f>
        <v>174.43</v>
      </c>
      <c r="E1762" s="1104"/>
      <c r="F1762" s="1107" t="n">
        <f aca="false">'Смета Внутр'!H1762</f>
        <v>104658</v>
      </c>
    </row>
    <row r="1763" s="118" customFormat="true" ht="15" hidden="false" customHeight="false" outlineLevel="0" collapsed="false">
      <c r="B1763" s="1105" t="str">
        <f aca="false">'Смета Внутр'!B1763</f>
        <v>цоколь</v>
      </c>
      <c r="C1763" s="1105"/>
      <c r="D1763" s="1105"/>
      <c r="E1763" s="1105"/>
      <c r="F1763" s="1107" t="n">
        <f aca="false">'Смета Внутр'!H1763</f>
        <v>0</v>
      </c>
    </row>
    <row r="1764" s="118" customFormat="true" ht="15" hidden="false" customHeight="false" outlineLevel="0" collapsed="false">
      <c r="B1764" s="1104" t="str">
        <f aca="false">'Смета Внутр'!B1764</f>
        <v>монтаж подсистемы</v>
      </c>
      <c r="C1764" s="1105" t="str">
        <f aca="false">'Смета Внутр'!C1764</f>
        <v>м2</v>
      </c>
      <c r="D1764" s="1106" t="n">
        <f aca="false">'Смета Внутр'!D1764</f>
        <v>0</v>
      </c>
      <c r="E1764" s="1104"/>
      <c r="F1764" s="1107" t="n">
        <f aca="false">'Смета Внутр'!H1764</f>
        <v>0</v>
      </c>
    </row>
    <row r="1765" s="118" customFormat="true" ht="15" hidden="false" customHeight="false" outlineLevel="0" collapsed="false">
      <c r="B1765" s="1104" t="str">
        <f aca="false">'Смета Внутр'!B1765</f>
        <v>монтаж отлив</v>
      </c>
      <c r="C1765" s="1105" t="str">
        <f aca="false">'Смета Внутр'!C1765</f>
        <v>м.п.</v>
      </c>
      <c r="D1765" s="1106" t="n">
        <f aca="false">'Смета Внутр'!D1765</f>
        <v>0</v>
      </c>
      <c r="E1765" s="1104"/>
      <c r="F1765" s="1107" t="n">
        <f aca="false">'Смета Внутр'!H1765</f>
        <v>0</v>
      </c>
    </row>
    <row r="1766" s="118" customFormat="true" ht="15" hidden="false" customHeight="false" outlineLevel="0" collapsed="false">
      <c r="B1766" s="1104" t="str">
        <f aca="false">'Смета Внутр'!B1766</f>
        <v>монтаж плоский шифер</v>
      </c>
      <c r="C1766" s="1105" t="str">
        <f aca="false">'Смета Внутр'!C1766</f>
        <v>м2</v>
      </c>
      <c r="D1766" s="1106" t="n">
        <f aca="false">'Смета Внутр'!D1766</f>
        <v>0</v>
      </c>
      <c r="E1766" s="1104"/>
      <c r="F1766" s="1107" t="n">
        <f aca="false">'Смета Внутр'!H1766</f>
        <v>0</v>
      </c>
    </row>
    <row r="1767" s="118" customFormat="true" ht="15" hidden="false" customHeight="false" outlineLevel="0" collapsed="false">
      <c r="B1767" s="1104" t="str">
        <f aca="false">'Смета Внутр'!B1767</f>
        <v>сайдинг металл сайдинг</v>
      </c>
      <c r="C1767" s="1105" t="str">
        <f aca="false">'Смета Внутр'!C1767</f>
        <v>м2</v>
      </c>
      <c r="D1767" s="1106" t="n">
        <f aca="false">'Смета Внутр'!D1767</f>
        <v>0</v>
      </c>
      <c r="E1767" s="1104"/>
      <c r="F1767" s="1107" t="n">
        <f aca="false">'Смета Внутр'!H1767</f>
        <v>0</v>
      </c>
    </row>
    <row r="1768" s="118" customFormat="true" ht="15" hidden="false" customHeight="false" outlineLevel="0" collapsed="false">
      <c r="B1768" s="1104" t="str">
        <f aca="false">'Смета Внутр'!B1768</f>
        <v>монтаж камень природ</v>
      </c>
      <c r="C1768" s="1105" t="str">
        <f aca="false">'Смета Внутр'!C1768</f>
        <v>м2</v>
      </c>
      <c r="D1768" s="1106" t="n">
        <f aca="false">'Смета Внутр'!D1768</f>
        <v>0</v>
      </c>
      <c r="E1768" s="1104"/>
      <c r="F1768" s="1107" t="n">
        <f aca="false">'Смета Внутр'!H1768</f>
        <v>0</v>
      </c>
    </row>
    <row r="1769" s="118" customFormat="true" ht="15" hidden="false" customHeight="false" outlineLevel="0" collapsed="false">
      <c r="B1769" s="1104" t="str">
        <f aca="false">'Смета Внутр'!B1769</f>
        <v>монтаж камень искуст-ый</v>
      </c>
      <c r="C1769" s="1105" t="str">
        <f aca="false">'Смета Внутр'!C1769</f>
        <v>м2</v>
      </c>
      <c r="D1769" s="1106" t="n">
        <f aca="false">'Смета Внутр'!D1769</f>
        <v>0</v>
      </c>
      <c r="E1769" s="1104"/>
      <c r="F1769" s="1107" t="n">
        <f aca="false">'Смета Внутр'!H1769</f>
        <v>0</v>
      </c>
    </row>
    <row r="1770" s="118" customFormat="true" ht="15" hidden="false" customHeight="false" outlineLevel="0" collapsed="false">
      <c r="B1770" s="1105" t="str">
        <f aca="false">'Смета Внутр'!B1770</f>
        <v>карнизы</v>
      </c>
      <c r="C1770" s="1105"/>
      <c r="D1770" s="1105"/>
      <c r="E1770" s="1105"/>
      <c r="F1770" s="1107" t="n">
        <f aca="false">'Смета Внутр'!H1770</f>
        <v>0</v>
      </c>
    </row>
    <row r="1771" s="118" customFormat="true" ht="15" hidden="false" customHeight="false" outlineLevel="0" collapsed="false">
      <c r="B1771" s="1104" t="str">
        <f aca="false">'Смета Внутр'!B1771</f>
        <v>планкен</v>
      </c>
      <c r="C1771" s="1105" t="str">
        <f aca="false">'Смета Внутр'!C1771</f>
        <v>м2</v>
      </c>
      <c r="D1771" s="1106" t="n">
        <f aca="false">'Смета Внутр'!D1771</f>
        <v>0</v>
      </c>
      <c r="E1771" s="1104"/>
      <c r="F1771" s="1107" t="n">
        <f aca="false">'Смета Внутр'!H1771</f>
        <v>0</v>
      </c>
    </row>
    <row r="1772" s="118" customFormat="true" ht="15" hidden="false" customHeight="false" outlineLevel="0" collapsed="false">
      <c r="B1772" s="1104" t="str">
        <f aca="false">'Смета Внутр'!B1772</f>
        <v>сайдинг</v>
      </c>
      <c r="C1772" s="1105" t="str">
        <f aca="false">'Смета Внутр'!C1772</f>
        <v>м2</v>
      </c>
      <c r="D1772" s="1106" t="n">
        <f aca="false">'Смета Внутр'!D1772</f>
        <v>0</v>
      </c>
      <c r="E1772" s="1104"/>
      <c r="F1772" s="1107" t="n">
        <f aca="false">'Смета Внутр'!H1772</f>
        <v>0</v>
      </c>
    </row>
    <row r="1773" s="118" customFormat="true" ht="15" hidden="false" customHeight="false" outlineLevel="0" collapsed="false">
      <c r="B1773" s="1104" t="str">
        <f aca="false">'Смета Внутр'!B1773</f>
        <v>монтаж леса стрительные</v>
      </c>
      <c r="C1773" s="1105" t="str">
        <f aca="false">'Смета Внутр'!C1773</f>
        <v>м2</v>
      </c>
      <c r="D1773" s="1106" t="n">
        <f aca="false">'Смета Внутр'!D1773</f>
        <v>0</v>
      </c>
      <c r="E1773" s="1104"/>
      <c r="F1773" s="1107" t="n">
        <f aca="false">'Смета Внутр'!H1773</f>
        <v>0</v>
      </c>
    </row>
    <row r="1774" customFormat="false" ht="15" hidden="false" customHeight="false" outlineLevel="0" collapsed="false">
      <c r="B1774" s="1117" t="str">
        <f aca="false">'Смета Внутр'!B1774</f>
        <v>Итого работы</v>
      </c>
      <c r="C1774" s="1117"/>
      <c r="D1774" s="1117"/>
      <c r="E1774" s="1117"/>
      <c r="F1774" s="1118" t="n">
        <f aca="false">'Смета Внутр'!G1774</f>
        <v>209316</v>
      </c>
    </row>
    <row r="1775" s="118" customFormat="true" ht="18.75" hidden="false" customHeight="false" outlineLevel="0" collapsed="false">
      <c r="B1775" s="1111" t="str">
        <f aca="false">'Смета Внутр'!B1775</f>
        <v>Чистовая отделка</v>
      </c>
      <c r="C1775" s="1111"/>
      <c r="D1775" s="1111"/>
      <c r="E1775" s="1111"/>
      <c r="F1775" s="1120" t="n">
        <f aca="false">'Смета Внутр'!H1775</f>
        <v>1</v>
      </c>
    </row>
    <row r="1776" s="118" customFormat="true" ht="15" hidden="false" customHeight="false" outlineLevel="0" collapsed="false">
      <c r="B1776" s="1103" t="str">
        <f aca="false">'Смета Внутр'!B1776</f>
        <v>Материалы</v>
      </c>
      <c r="C1776" s="1103"/>
      <c r="D1776" s="1103"/>
      <c r="E1776" s="1103"/>
      <c r="F1776" s="1120" t="n">
        <f aca="false">'Смета Внутр'!H1776</f>
        <v>1</v>
      </c>
    </row>
    <row r="1777" s="118" customFormat="true" ht="15" hidden="false" customHeight="false" outlineLevel="0" collapsed="false">
      <c r="B1777" s="1105" t="str">
        <f aca="false">'Смета Внутр'!B1777</f>
        <v>Стены</v>
      </c>
      <c r="C1777" s="1105"/>
      <c r="D1777" s="1105"/>
      <c r="E1777" s="1105"/>
      <c r="F1777" s="1121" t="n">
        <f aca="false">'Смета Внутр'!H1777</f>
        <v>1</v>
      </c>
    </row>
    <row r="1778" s="118" customFormat="true" ht="15" hidden="false" customHeight="false" outlineLevel="0" collapsed="false">
      <c r="B1778" s="1104" t="str">
        <f aca="false">'Смета Внутр'!B1778</f>
        <v>ГКЛ, 12мм</v>
      </c>
      <c r="C1778" s="1105" t="str">
        <f aca="false">'Смета Внутр'!C1778</f>
        <v>м2</v>
      </c>
      <c r="D1778" s="1106" t="n">
        <f aca="false">'Смета Внутр'!D1778</f>
        <v>0</v>
      </c>
      <c r="E1778" s="1104"/>
      <c r="F1778" s="1107" t="n">
        <f aca="false">'Смета Внутр'!H1778</f>
        <v>0</v>
      </c>
    </row>
    <row r="1779" s="118" customFormat="true" ht="15" hidden="false" customHeight="false" outlineLevel="0" collapsed="false">
      <c r="B1779" s="1104" t="str">
        <f aca="false">'Смета Внутр'!B1779</f>
        <v>профиль 60/27/3000</v>
      </c>
      <c r="C1779" s="1105" t="str">
        <f aca="false">'Смета Внутр'!C1779</f>
        <v>шт</v>
      </c>
      <c r="D1779" s="1106" t="n">
        <f aca="false">'Смета Внутр'!D1779</f>
        <v>0</v>
      </c>
      <c r="E1779" s="1104"/>
      <c r="F1779" s="1107" t="n">
        <f aca="false">'Смета Внутр'!H1779</f>
        <v>0</v>
      </c>
    </row>
    <row r="1780" s="118" customFormat="true" ht="15" hidden="false" customHeight="false" outlineLevel="0" collapsed="false">
      <c r="B1780" s="1104" t="str">
        <f aca="false">'Смета Внутр'!B1780</f>
        <v>профиль 27/28/3000</v>
      </c>
      <c r="C1780" s="1105" t="str">
        <f aca="false">'Смета Внутр'!C1780</f>
        <v>шт</v>
      </c>
      <c r="D1780" s="1106" t="n">
        <f aca="false">'Смета Внутр'!D1780</f>
        <v>0</v>
      </c>
      <c r="E1780" s="1104"/>
      <c r="F1780" s="1107" t="n">
        <f aca="false">'Смета Внутр'!H1780</f>
        <v>0</v>
      </c>
    </row>
    <row r="1781" s="118" customFormat="true" ht="15" hidden="false" customHeight="false" outlineLevel="0" collapsed="false">
      <c r="B1781" s="1104" t="str">
        <f aca="false">'Смета Внутр'!B1781</f>
        <v>подвес прямой</v>
      </c>
      <c r="C1781" s="1105" t="str">
        <f aca="false">'Смета Внутр'!C1781</f>
        <v>шт</v>
      </c>
      <c r="D1781" s="1106" t="n">
        <f aca="false">'Смета Внутр'!D1781</f>
        <v>0</v>
      </c>
      <c r="E1781" s="1104"/>
      <c r="F1781" s="1107" t="n">
        <f aca="false">'Смета Внутр'!H1781</f>
        <v>0</v>
      </c>
    </row>
    <row r="1782" s="118" customFormat="true" ht="15" hidden="false" customHeight="false" outlineLevel="0" collapsed="false">
      <c r="B1782" s="1104" t="str">
        <f aca="false">'Смета Внутр'!B1782</f>
        <v>саморез металл/металл, 13мм</v>
      </c>
      <c r="C1782" s="1105" t="str">
        <f aca="false">'Смета Внутр'!C1782</f>
        <v>шт</v>
      </c>
      <c r="D1782" s="1106" t="n">
        <f aca="false">'Смета Внутр'!D1782</f>
        <v>0</v>
      </c>
      <c r="E1782" s="1104"/>
      <c r="F1782" s="1107" t="n">
        <f aca="false">'Смета Внутр'!H1782</f>
        <v>0</v>
      </c>
    </row>
    <row r="1783" s="118" customFormat="true" ht="15" hidden="false" customHeight="false" outlineLevel="0" collapsed="false">
      <c r="B1783" s="1104" t="str">
        <f aca="false">'Смета Внутр'!B1783</f>
        <v>саморез гкл/металл, 25мм</v>
      </c>
      <c r="C1783" s="1105" t="str">
        <f aca="false">'Смета Внутр'!C1783</f>
        <v>шт</v>
      </c>
      <c r="D1783" s="1106" t="n">
        <f aca="false">'Смета Внутр'!D1783</f>
        <v>0</v>
      </c>
      <c r="E1783" s="1104"/>
      <c r="F1783" s="1107" t="n">
        <f aca="false">'Смета Внутр'!H1783</f>
        <v>0</v>
      </c>
    </row>
    <row r="1784" s="118" customFormat="true" ht="15" hidden="false" customHeight="false" outlineLevel="0" collapsed="false">
      <c r="B1784" s="1104" t="str">
        <f aca="false">'Смета Внутр'!B1784</f>
        <v>грунтовка, 10л</v>
      </c>
      <c r="C1784" s="1105" t="str">
        <f aca="false">'Смета Внутр'!C1784</f>
        <v>шт</v>
      </c>
      <c r="D1784" s="1106" t="n">
        <f aca="false">'Смета Внутр'!D1784</f>
        <v>0</v>
      </c>
      <c r="E1784" s="1104"/>
      <c r="F1784" s="1107" t="n">
        <f aca="false">'Смета Внутр'!H1784</f>
        <v>0</v>
      </c>
    </row>
    <row r="1785" s="118" customFormat="true" ht="15" hidden="false" customHeight="false" outlineLevel="0" collapsed="false">
      <c r="B1785" s="1104" t="str">
        <f aca="false">'Смета Внутр'!B1785</f>
        <v>шпаклевка для швов, 25кг</v>
      </c>
      <c r="C1785" s="1105" t="str">
        <f aca="false">'Смета Внутр'!C1785</f>
        <v>шт</v>
      </c>
      <c r="D1785" s="1106" t="n">
        <f aca="false">'Смета Внутр'!D1785</f>
        <v>0</v>
      </c>
      <c r="E1785" s="1104"/>
      <c r="F1785" s="1107" t="n">
        <f aca="false">'Смета Внутр'!H1785</f>
        <v>0</v>
      </c>
    </row>
    <row r="1786" s="118" customFormat="true" ht="15" hidden="false" customHeight="false" outlineLevel="0" collapsed="false">
      <c r="B1786" s="1104" t="str">
        <f aca="false">'Смета Внутр'!B1786</f>
        <v>шпаклевка финишная, 25кг</v>
      </c>
      <c r="C1786" s="1105" t="str">
        <f aca="false">'Смета Внутр'!C1786</f>
        <v>шт</v>
      </c>
      <c r="D1786" s="1106" t="n">
        <f aca="false">'Смета Внутр'!D1786</f>
        <v>0</v>
      </c>
      <c r="E1786" s="1104"/>
      <c r="F1786" s="1107" t="n">
        <f aca="false">'Смета Внутр'!H1786</f>
        <v>0</v>
      </c>
    </row>
    <row r="1787" s="118" customFormat="true" ht="15" hidden="false" customHeight="false" outlineLevel="0" collapsed="false">
      <c r="B1787" s="1104" t="str">
        <f aca="false">'Смета Внутр'!B1787</f>
        <v>серпянка для швов, 50м.п.</v>
      </c>
      <c r="C1787" s="1105" t="str">
        <f aca="false">'Смета Внутр'!C1787</f>
        <v>шт</v>
      </c>
      <c r="D1787" s="1106" t="n">
        <f aca="false">'Смета Внутр'!D1787</f>
        <v>0</v>
      </c>
      <c r="E1787" s="1104"/>
      <c r="F1787" s="1107" t="n">
        <f aca="false">'Смета Внутр'!H1787</f>
        <v>0</v>
      </c>
    </row>
    <row r="1788" s="118" customFormat="true" ht="15" hidden="false" customHeight="false" outlineLevel="0" collapsed="false">
      <c r="B1788" s="1104" t="str">
        <f aca="false">'Смета Внутр'!B1788</f>
        <v>обои</v>
      </c>
      <c r="C1788" s="1105" t="str">
        <f aca="false">'Смета Внутр'!C1788</f>
        <v>м2</v>
      </c>
      <c r="D1788" s="1106" t="n">
        <f aca="false">'Смета Внутр'!D1788</f>
        <v>0</v>
      </c>
      <c r="E1788" s="1104"/>
      <c r="F1788" s="1107" t="n">
        <f aca="false">'Смета Внутр'!H1788</f>
        <v>0</v>
      </c>
    </row>
    <row r="1789" s="118" customFormat="true" ht="15" hidden="false" customHeight="false" outlineLevel="0" collapsed="false">
      <c r="B1789" s="1104" t="str">
        <f aca="false">'Смета Внутр'!B1789</f>
        <v>клей обойный</v>
      </c>
      <c r="C1789" s="1105" t="str">
        <f aca="false">'Смета Внутр'!C1789</f>
        <v>шт</v>
      </c>
      <c r="D1789" s="1106" t="n">
        <f aca="false">'Смета Внутр'!D1789</f>
        <v>0</v>
      </c>
      <c r="E1789" s="1104"/>
      <c r="F1789" s="1107" t="n">
        <f aca="false">'Смета Внутр'!H1789</f>
        <v>0</v>
      </c>
    </row>
    <row r="1790" s="118" customFormat="true" ht="15" hidden="false" customHeight="false" outlineLevel="0" collapsed="false">
      <c r="B1790" s="1104" t="str">
        <f aca="false">'Смета Внутр'!B1790</f>
        <v>краска для стен, 10л</v>
      </c>
      <c r="C1790" s="1105" t="str">
        <f aca="false">'Смета Внутр'!C1790</f>
        <v>шт</v>
      </c>
      <c r="D1790" s="1106" t="n">
        <f aca="false">'Смета Внутр'!D1790</f>
        <v>0</v>
      </c>
      <c r="E1790" s="1104"/>
      <c r="F1790" s="1107" t="n">
        <f aca="false">'Смета Внутр'!H1790</f>
        <v>0</v>
      </c>
    </row>
    <row r="1791" s="118" customFormat="true" ht="15" hidden="false" customHeight="false" outlineLevel="0" collapsed="false">
      <c r="B1791" s="1104" t="str">
        <f aca="false">'Смета Внутр'!B1791</f>
        <v>имитация бруса</v>
      </c>
      <c r="C1791" s="1105" t="str">
        <f aca="false">'Смета Внутр'!C1791</f>
        <v>м2</v>
      </c>
      <c r="D1791" s="1106" t="n">
        <f aca="false">'Смета Внутр'!D1791</f>
        <v>263.26</v>
      </c>
      <c r="E1791" s="1104"/>
      <c r="F1791" s="1107" t="n">
        <f aca="false">'Смета Внутр'!H1791</f>
        <v>92141</v>
      </c>
    </row>
    <row r="1792" s="118" customFormat="true" ht="15" hidden="false" customHeight="false" outlineLevel="0" collapsed="false">
      <c r="B1792" s="1104" t="str">
        <f aca="false">'Смета Внутр'!B1792</f>
        <v>блокхаус</v>
      </c>
      <c r="C1792" s="1105" t="str">
        <f aca="false">'Смета Внутр'!C1792</f>
        <v>м2</v>
      </c>
      <c r="D1792" s="1106" t="n">
        <f aca="false">'Смета Внутр'!D1792</f>
        <v>0</v>
      </c>
      <c r="E1792" s="1104"/>
      <c r="F1792" s="1107" t="n">
        <f aca="false">'Смета Внутр'!H1792</f>
        <v>0</v>
      </c>
    </row>
    <row r="1793" s="118" customFormat="true" ht="15" hidden="false" customHeight="false" outlineLevel="0" collapsed="false">
      <c r="B1793" s="1104" t="str">
        <f aca="false">'Смета Внутр'!B1793</f>
        <v>вагонка</v>
      </c>
      <c r="C1793" s="1105" t="str">
        <f aca="false">'Смета Внутр'!C1793</f>
        <v>м2</v>
      </c>
      <c r="D1793" s="1106" t="n">
        <f aca="false">'Смета Внутр'!D1793</f>
        <v>0</v>
      </c>
      <c r="E1793" s="1104"/>
      <c r="F1793" s="1121" t="n">
        <f aca="false">'Смета Внутр'!H1793</f>
        <v>0</v>
      </c>
    </row>
    <row r="1794" s="118" customFormat="true" ht="15" hidden="false" customHeight="false" outlineLevel="0" collapsed="false">
      <c r="B1794" s="1104" t="str">
        <f aca="false">'Смета Внутр'!B1794</f>
        <v>подсистема, брусок</v>
      </c>
      <c r="C1794" s="1105" t="str">
        <f aca="false">'Смета Внутр'!C1794</f>
        <v>м.п.</v>
      </c>
      <c r="D1794" s="1106" t="n">
        <f aca="false">'Смета Внутр'!D1794</f>
        <v>0</v>
      </c>
      <c r="E1794" s="1104"/>
      <c r="F1794" s="1107" t="n">
        <f aca="false">'Смета Внутр'!H1794</f>
        <v>0</v>
      </c>
    </row>
    <row r="1795" s="118" customFormat="true" ht="15" hidden="false" customHeight="false" outlineLevel="0" collapsed="false">
      <c r="B1795" s="1104" t="str">
        <f aca="false">'Смета Внутр'!B1795</f>
        <v>уголок крепежный</v>
      </c>
      <c r="C1795" s="1105" t="str">
        <f aca="false">'Смета Внутр'!C1795</f>
        <v>шт</v>
      </c>
      <c r="D1795" s="1106" t="n">
        <f aca="false">'Смета Внутр'!D1795</f>
        <v>0</v>
      </c>
      <c r="E1795" s="1104"/>
      <c r="F1795" s="1107" t="n">
        <f aca="false">'Смета Внутр'!H1795</f>
        <v>0</v>
      </c>
    </row>
    <row r="1796" s="118" customFormat="true" ht="15" hidden="false" customHeight="false" outlineLevel="0" collapsed="false">
      <c r="B1796" s="1104" t="str">
        <f aca="false">'Смета Внутр'!B1796</f>
        <v>гвозди/саморезы для крепления подсистемы</v>
      </c>
      <c r="C1796" s="1105" t="str">
        <f aca="false">'Смета Внутр'!C1796</f>
        <v>шт</v>
      </c>
      <c r="D1796" s="1106" t="n">
        <f aca="false">'Смета Внутр'!D1796</f>
        <v>0</v>
      </c>
      <c r="E1796" s="1104"/>
      <c r="F1796" s="1107" t="n">
        <f aca="false">'Смета Внутр'!H1796</f>
        <v>0</v>
      </c>
    </row>
    <row r="1797" s="118" customFormat="true" ht="15" hidden="false" customHeight="false" outlineLevel="0" collapsed="false">
      <c r="B1797" s="1104" t="str">
        <f aca="false">'Смета Внутр'!B1797</f>
        <v>гвозди/саморезы для крепления</v>
      </c>
      <c r="C1797" s="1105" t="str">
        <f aca="false">'Смета Внутр'!C1797</f>
        <v>шт</v>
      </c>
      <c r="D1797" s="1106" t="n">
        <f aca="false">'Смета Внутр'!D1797</f>
        <v>5265.2</v>
      </c>
      <c r="E1797" s="1104"/>
      <c r="F1797" s="1121" t="n">
        <f aca="false">'Смета Внутр'!H1797</f>
        <v>105.304</v>
      </c>
    </row>
    <row r="1798" s="118" customFormat="true" ht="15" hidden="false" customHeight="false" outlineLevel="0" collapsed="false">
      <c r="B1798" s="1104" t="str">
        <f aca="false">'Смета Внутр'!B1798</f>
        <v>Монтаж евровагонка</v>
      </c>
      <c r="C1798" s="1105" t="str">
        <f aca="false">'Смета Внутр'!C1798</f>
        <v>м2</v>
      </c>
      <c r="D1798" s="1106" t="n">
        <f aca="false">'Смета Внутр'!D1798</f>
        <v>0</v>
      </c>
      <c r="E1798" s="1104"/>
      <c r="F1798" s="1107" t="n">
        <f aca="false">'Смета Внутр'!H1798</f>
        <v>0</v>
      </c>
    </row>
    <row r="1799" s="118" customFormat="true" ht="15" hidden="false" customHeight="false" outlineLevel="0" collapsed="false">
      <c r="B1799" s="1104" t="str">
        <f aca="false">'Смета Внутр'!B1799</f>
        <v>Монтаж вагонка штиль</v>
      </c>
      <c r="C1799" s="1105" t="str">
        <f aca="false">'Смета Внутр'!C1799</f>
        <v>м2</v>
      </c>
      <c r="D1799" s="1106" t="n">
        <f aca="false">'Смета Внутр'!D1799</f>
        <v>0</v>
      </c>
      <c r="E1799" s="1104"/>
      <c r="F1799" s="1107" t="n">
        <f aca="false">'Смета Внутр'!H1799</f>
        <v>0</v>
      </c>
    </row>
    <row r="1800" s="118" customFormat="true" ht="15" hidden="false" customHeight="false" outlineLevel="0" collapsed="false">
      <c r="B1800" s="1104" t="str">
        <f aca="false">'Смета Внутр'!B1800</f>
        <v>Монтаж софт лайн</v>
      </c>
      <c r="C1800" s="1105" t="str">
        <f aca="false">'Смета Внутр'!C1800</f>
        <v>м2</v>
      </c>
      <c r="D1800" s="1106" t="n">
        <f aca="false">'Смета Внутр'!D1800</f>
        <v>0</v>
      </c>
      <c r="E1800" s="1104"/>
      <c r="F1800" s="1107" t="n">
        <f aca="false">'Смета Внутр'!H1800</f>
        <v>0</v>
      </c>
    </row>
    <row r="1801" s="118" customFormat="true" ht="15" hidden="false" customHeight="false" outlineLevel="0" collapsed="false">
      <c r="B1801" s="1104" t="str">
        <f aca="false">'Смета Внутр'!B1801</f>
        <v>Монтаж блокхаус</v>
      </c>
      <c r="C1801" s="1105" t="str">
        <f aca="false">'Смета Внутр'!C1801</f>
        <v>м2</v>
      </c>
      <c r="D1801" s="1106" t="n">
        <f aca="false">'Смета Внутр'!D1801</f>
        <v>0</v>
      </c>
      <c r="E1801" s="1104"/>
      <c r="F1801" s="1107" t="n">
        <f aca="false">'Смета Внутр'!H1801</f>
        <v>0</v>
      </c>
    </row>
    <row r="1802" s="118" customFormat="true" ht="15" hidden="false" customHeight="false" outlineLevel="0" collapsed="false">
      <c r="B1802" s="1105" t="str">
        <f aca="false">'Смета Внутр'!B1802</f>
        <v>Потолок</v>
      </c>
      <c r="C1802" s="1105"/>
      <c r="D1802" s="1105"/>
      <c r="E1802" s="1105"/>
      <c r="F1802" s="1121" t="n">
        <f aca="false">'Смета Внутр'!H1802</f>
        <v>1</v>
      </c>
    </row>
    <row r="1803" s="118" customFormat="true" ht="15" hidden="false" customHeight="false" outlineLevel="0" collapsed="false">
      <c r="B1803" s="1104" t="str">
        <f aca="false">'Смета Внутр'!B1803</f>
        <v>ГКЛ, 9мм</v>
      </c>
      <c r="C1803" s="1105" t="str">
        <f aca="false">'Смета Внутр'!C1803</f>
        <v>м2</v>
      </c>
      <c r="D1803" s="1106" t="n">
        <f aca="false">'Смета Внутр'!D1803</f>
        <v>0</v>
      </c>
      <c r="E1803" s="1104"/>
      <c r="F1803" s="1107" t="n">
        <f aca="false">'Смета Внутр'!H1803</f>
        <v>0</v>
      </c>
    </row>
    <row r="1804" s="118" customFormat="true" ht="15" hidden="false" customHeight="false" outlineLevel="0" collapsed="false">
      <c r="B1804" s="1104" t="str">
        <f aca="false">'Смета Внутр'!B1804</f>
        <v>профиль 60/27/3000</v>
      </c>
      <c r="C1804" s="1105" t="str">
        <f aca="false">'Смета Внутр'!C1804</f>
        <v>шт</v>
      </c>
      <c r="D1804" s="1106" t="n">
        <f aca="false">'Смета Внутр'!D1804</f>
        <v>0</v>
      </c>
      <c r="E1804" s="1104"/>
      <c r="F1804" s="1107" t="n">
        <f aca="false">'Смета Внутр'!H1804</f>
        <v>0</v>
      </c>
    </row>
    <row r="1805" s="118" customFormat="true" ht="15" hidden="false" customHeight="false" outlineLevel="0" collapsed="false">
      <c r="B1805" s="1104" t="str">
        <f aca="false">'Смета Внутр'!B1805</f>
        <v>профиль 27/28/3000</v>
      </c>
      <c r="C1805" s="1105" t="str">
        <f aca="false">'Смета Внутр'!C1805</f>
        <v>шт</v>
      </c>
      <c r="D1805" s="1106" t="n">
        <f aca="false">'Смета Внутр'!D1805</f>
        <v>0</v>
      </c>
      <c r="E1805" s="1104"/>
      <c r="F1805" s="1107" t="n">
        <f aca="false">'Смета Внутр'!H1805</f>
        <v>0</v>
      </c>
    </row>
    <row r="1806" s="118" customFormat="true" ht="15" hidden="false" customHeight="false" outlineLevel="0" collapsed="false">
      <c r="B1806" s="1104" t="str">
        <f aca="false">'Смета Внутр'!B1806</f>
        <v>подвес прямой</v>
      </c>
      <c r="C1806" s="1105" t="str">
        <f aca="false">'Смета Внутр'!C1806</f>
        <v>шт</v>
      </c>
      <c r="D1806" s="1106" t="n">
        <f aca="false">'Смета Внутр'!D1806</f>
        <v>0</v>
      </c>
      <c r="E1806" s="1104"/>
      <c r="F1806" s="1107" t="n">
        <f aca="false">'Смета Внутр'!H1806</f>
        <v>0</v>
      </c>
    </row>
    <row r="1807" s="118" customFormat="true" ht="15" hidden="false" customHeight="false" outlineLevel="0" collapsed="false">
      <c r="B1807" s="1104" t="str">
        <f aca="false">'Смета Внутр'!B1807</f>
        <v>саморез металл/металл, 13мм</v>
      </c>
      <c r="C1807" s="1105" t="str">
        <f aca="false">'Смета Внутр'!C1807</f>
        <v>шт</v>
      </c>
      <c r="D1807" s="1106" t="n">
        <f aca="false">'Смета Внутр'!D1807</f>
        <v>0</v>
      </c>
      <c r="E1807" s="1104"/>
      <c r="F1807" s="1107" t="n">
        <f aca="false">'Смета Внутр'!H1807</f>
        <v>0</v>
      </c>
    </row>
    <row r="1808" s="118" customFormat="true" ht="15" hidden="false" customHeight="false" outlineLevel="0" collapsed="false">
      <c r="B1808" s="1104" t="str">
        <f aca="false">'Смета Внутр'!B1808</f>
        <v>саморез гкл/металл, 25мм</v>
      </c>
      <c r="C1808" s="1105" t="str">
        <f aca="false">'Смета Внутр'!C1808</f>
        <v>шт</v>
      </c>
      <c r="D1808" s="1106" t="n">
        <f aca="false">'Смета Внутр'!D1808</f>
        <v>0</v>
      </c>
      <c r="E1808" s="1104"/>
      <c r="F1808" s="1107" t="n">
        <f aca="false">'Смета Внутр'!H1808</f>
        <v>0</v>
      </c>
    </row>
    <row r="1809" s="118" customFormat="true" ht="15" hidden="false" customHeight="false" outlineLevel="0" collapsed="false">
      <c r="B1809" s="1104" t="str">
        <f aca="false">'Смета Внутр'!B1809</f>
        <v>грунтовка, 10л</v>
      </c>
      <c r="C1809" s="1105" t="str">
        <f aca="false">'Смета Внутр'!C1809</f>
        <v>шт</v>
      </c>
      <c r="D1809" s="1106" t="n">
        <f aca="false">'Смета Внутр'!D1809</f>
        <v>0</v>
      </c>
      <c r="E1809" s="1104"/>
      <c r="F1809" s="1107" t="n">
        <f aca="false">'Смета Внутр'!H1809</f>
        <v>0</v>
      </c>
    </row>
    <row r="1810" s="118" customFormat="true" ht="15" hidden="false" customHeight="false" outlineLevel="0" collapsed="false">
      <c r="B1810" s="1104" t="str">
        <f aca="false">'Смета Внутр'!B1810</f>
        <v>шпаклевка для швов, 25кг</v>
      </c>
      <c r="C1810" s="1105" t="str">
        <f aca="false">'Смета Внутр'!C1810</f>
        <v>шт</v>
      </c>
      <c r="D1810" s="1106" t="n">
        <f aca="false">'Смета Внутр'!D1810</f>
        <v>0</v>
      </c>
      <c r="E1810" s="1104"/>
      <c r="F1810" s="1107" t="n">
        <f aca="false">'Смета Внутр'!H1810</f>
        <v>0</v>
      </c>
    </row>
    <row r="1811" s="118" customFormat="true" ht="15" hidden="false" customHeight="false" outlineLevel="0" collapsed="false">
      <c r="B1811" s="1104" t="str">
        <f aca="false">'Смета Внутр'!B1811</f>
        <v>шпаклевка финишная, 25кг</v>
      </c>
      <c r="C1811" s="1105" t="str">
        <f aca="false">'Смета Внутр'!C1811</f>
        <v>шт</v>
      </c>
      <c r="D1811" s="1106" t="n">
        <f aca="false">'Смета Внутр'!D1811</f>
        <v>0</v>
      </c>
      <c r="E1811" s="1104"/>
      <c r="F1811" s="1107" t="n">
        <f aca="false">'Смета Внутр'!H1811</f>
        <v>0</v>
      </c>
    </row>
    <row r="1812" s="118" customFormat="true" ht="15" hidden="false" customHeight="false" outlineLevel="0" collapsed="false">
      <c r="B1812" s="1104" t="str">
        <f aca="false">'Смета Внутр'!B1812</f>
        <v>серпянка для швов, 50м.п.</v>
      </c>
      <c r="C1812" s="1105" t="str">
        <f aca="false">'Смета Внутр'!C1812</f>
        <v>шт</v>
      </c>
      <c r="D1812" s="1106" t="n">
        <f aca="false">'Смета Внутр'!D1812</f>
        <v>0</v>
      </c>
      <c r="E1812" s="1104"/>
      <c r="F1812" s="1107" t="n">
        <f aca="false">'Смета Внутр'!H1812</f>
        <v>0</v>
      </c>
    </row>
    <row r="1813" s="118" customFormat="true" ht="15" hidden="false" customHeight="false" outlineLevel="0" collapsed="false">
      <c r="B1813" s="1104" t="str">
        <f aca="false">'Смета Внутр'!B1813</f>
        <v>краска для потолков, 10л</v>
      </c>
      <c r="C1813" s="1105" t="str">
        <f aca="false">'Смета Внутр'!C1813</f>
        <v>шт</v>
      </c>
      <c r="D1813" s="1106" t="n">
        <f aca="false">'Смета Внутр'!D1813</f>
        <v>0</v>
      </c>
      <c r="E1813" s="1104"/>
      <c r="F1813" s="1107" t="n">
        <f aca="false">'Смета Внутр'!H1813</f>
        <v>0</v>
      </c>
    </row>
    <row r="1814" s="118" customFormat="true" ht="15" hidden="false" customHeight="false" outlineLevel="0" collapsed="false">
      <c r="B1814" s="1104" t="str">
        <f aca="false">'Смета Внутр'!B1814</f>
        <v>багет 1мп</v>
      </c>
      <c r="C1814" s="1105" t="str">
        <f aca="false">'Смета Внутр'!C1814</f>
        <v>м.п.</v>
      </c>
      <c r="D1814" s="1106" t="n">
        <f aca="false">'Смета Внутр'!D1814</f>
        <v>0</v>
      </c>
      <c r="E1814" s="1104"/>
      <c r="F1814" s="1107" t="n">
        <f aca="false">'Смета Внутр'!H1814</f>
        <v>0</v>
      </c>
    </row>
    <row r="1815" s="118" customFormat="true" ht="15" hidden="false" customHeight="false" outlineLevel="0" collapsed="false">
      <c r="B1815" s="1104" t="str">
        <f aca="false">'Смета Внутр'!B1815</f>
        <v>шпаклевка для багета, 5 кг</v>
      </c>
      <c r="C1815" s="1105" t="str">
        <f aca="false">'Смета Внутр'!C1815</f>
        <v>шт</v>
      </c>
      <c r="D1815" s="1106" t="n">
        <f aca="false">'Смета Внутр'!D1815</f>
        <v>0</v>
      </c>
      <c r="E1815" s="1104"/>
      <c r="F1815" s="1107" t="n">
        <f aca="false">'Смета Внутр'!H1815</f>
        <v>0</v>
      </c>
    </row>
    <row r="1816" s="118" customFormat="true" ht="15" hidden="false" customHeight="false" outlineLevel="0" collapsed="false">
      <c r="B1816" s="1104" t="str">
        <f aca="false">'Смета Внутр'!B1816</f>
        <v>краска для багета, 5 л</v>
      </c>
      <c r="C1816" s="1105" t="str">
        <f aca="false">'Смета Внутр'!C1816</f>
        <v>шт</v>
      </c>
      <c r="D1816" s="1106" t="n">
        <f aca="false">'Смета Внутр'!D1816</f>
        <v>0</v>
      </c>
      <c r="E1816" s="1104"/>
      <c r="F1816" s="1107" t="n">
        <f aca="false">'Смета Внутр'!H1816</f>
        <v>0</v>
      </c>
    </row>
    <row r="1817" s="118" customFormat="true" ht="15" hidden="false" customHeight="false" outlineLevel="0" collapsed="false">
      <c r="B1817" s="1104" t="str">
        <f aca="false">'Смета Внутр'!B1817</f>
        <v>наждачная бумага финишная</v>
      </c>
      <c r="C1817" s="1105" t="str">
        <f aca="false">'Смета Внутр'!C1817</f>
        <v>м2</v>
      </c>
      <c r="D1817" s="1106" t="n">
        <f aca="false">'Смета Внутр'!D1817</f>
        <v>0</v>
      </c>
      <c r="E1817" s="1104"/>
      <c r="F1817" s="1107" t="n">
        <f aca="false">'Смета Внутр'!H1817</f>
        <v>0</v>
      </c>
    </row>
    <row r="1818" s="118" customFormat="true" ht="15" hidden="false" customHeight="false" outlineLevel="0" collapsed="false">
      <c r="B1818" s="1104" t="str">
        <f aca="false">'Смета Внутр'!B1818</f>
        <v>натяжной потолок</v>
      </c>
      <c r="C1818" s="1105" t="str">
        <f aca="false">'Смета Внутр'!C1818</f>
        <v>м2</v>
      </c>
      <c r="D1818" s="1106" t="n">
        <f aca="false">'Смета Внутр'!D1818</f>
        <v>0</v>
      </c>
      <c r="E1818" s="1104"/>
      <c r="F1818" s="1107" t="n">
        <f aca="false">'Смета Внутр'!H1818</f>
        <v>0</v>
      </c>
    </row>
    <row r="1819" s="118" customFormat="true" ht="15" hidden="false" customHeight="false" outlineLevel="0" collapsed="false">
      <c r="B1819" s="1104" t="str">
        <f aca="false">'Смета Внутр'!B1819</f>
        <v>имитация бруса</v>
      </c>
      <c r="C1819" s="1105" t="str">
        <f aca="false">'Смета Внутр'!C1819</f>
        <v>м2</v>
      </c>
      <c r="D1819" s="1106" t="n">
        <f aca="false">'Смета Внутр'!D1819</f>
        <v>0</v>
      </c>
      <c r="E1819" s="1104"/>
      <c r="F1819" s="1107" t="n">
        <f aca="false">'Смета Внутр'!H1819</f>
        <v>0</v>
      </c>
    </row>
    <row r="1820" s="118" customFormat="true" ht="15" hidden="false" customHeight="false" outlineLevel="0" collapsed="false">
      <c r="B1820" s="1104" t="str">
        <f aca="false">'Смета Внутр'!B1820</f>
        <v>блокхаус</v>
      </c>
      <c r="C1820" s="1105" t="str">
        <f aca="false">'Смета Внутр'!C1820</f>
        <v>м2</v>
      </c>
      <c r="D1820" s="1106" t="n">
        <f aca="false">'Смета Внутр'!D1820</f>
        <v>0</v>
      </c>
      <c r="E1820" s="1104"/>
      <c r="F1820" s="1107" t="n">
        <f aca="false">'Смета Внутр'!H1820</f>
        <v>0</v>
      </c>
    </row>
    <row r="1821" s="118" customFormat="true" ht="15" hidden="false" customHeight="false" outlineLevel="0" collapsed="false">
      <c r="B1821" s="1104" t="str">
        <f aca="false">'Смета Внутр'!B1821</f>
        <v>вагонка</v>
      </c>
      <c r="C1821" s="1105" t="str">
        <f aca="false">'Смета Внутр'!C1821</f>
        <v>м2</v>
      </c>
      <c r="D1821" s="1106" t="n">
        <f aca="false">'Смета Внутр'!D1821</f>
        <v>88.7321893085902</v>
      </c>
      <c r="E1821" s="1104"/>
      <c r="F1821" s="1121" t="n">
        <f aca="false">'Смета Внутр'!H1821</f>
        <v>22183.0473271476</v>
      </c>
    </row>
    <row r="1822" s="118" customFormat="true" ht="15" hidden="false" customHeight="false" outlineLevel="0" collapsed="false">
      <c r="B1822" s="1104" t="str">
        <f aca="false">'Смета Внутр'!B1822</f>
        <v>подсистема, брусок</v>
      </c>
      <c r="C1822" s="1105" t="str">
        <f aca="false">'Смета Внутр'!C1822</f>
        <v>м.п.</v>
      </c>
      <c r="D1822" s="1106" t="n">
        <f aca="false">'Смета Внутр'!D1822</f>
        <v>0</v>
      </c>
      <c r="E1822" s="1104"/>
      <c r="F1822" s="1107" t="n">
        <f aca="false">'Смета Внутр'!H1822</f>
        <v>0</v>
      </c>
    </row>
    <row r="1823" s="118" customFormat="true" ht="15" hidden="false" customHeight="false" outlineLevel="0" collapsed="false">
      <c r="B1823" s="1104" t="str">
        <f aca="false">'Смета Внутр'!B1823</f>
        <v>уголок крепежный</v>
      </c>
      <c r="C1823" s="1105" t="str">
        <f aca="false">'Смета Внутр'!C1823</f>
        <v>шт</v>
      </c>
      <c r="D1823" s="1106" t="n">
        <f aca="false">'Смета Внутр'!D1823</f>
        <v>0</v>
      </c>
      <c r="E1823" s="1104"/>
      <c r="F1823" s="1107" t="n">
        <f aca="false">'Смета Внутр'!H1823</f>
        <v>0</v>
      </c>
    </row>
    <row r="1824" s="118" customFormat="true" ht="15" hidden="false" customHeight="false" outlineLevel="0" collapsed="false">
      <c r="B1824" s="1104" t="str">
        <f aca="false">'Смета Внутр'!B1824</f>
        <v>гвозди/саморезы для крепления подсистемы</v>
      </c>
      <c r="C1824" s="1105" t="str">
        <f aca="false">'Смета Внутр'!C1824</f>
        <v>шт</v>
      </c>
      <c r="D1824" s="1106" t="n">
        <f aca="false">'Смета Внутр'!D1824</f>
        <v>0</v>
      </c>
      <c r="E1824" s="1104"/>
      <c r="F1824" s="1107" t="n">
        <f aca="false">'Смета Внутр'!H1824</f>
        <v>0</v>
      </c>
    </row>
    <row r="1825" s="118" customFormat="true" ht="15" hidden="false" customHeight="false" outlineLevel="0" collapsed="false">
      <c r="B1825" s="1104" t="str">
        <f aca="false">'Смета Внутр'!B1825</f>
        <v>гвозди/саморезы для крепления</v>
      </c>
      <c r="C1825" s="1105" t="str">
        <f aca="false">'Смета Внутр'!C1825</f>
        <v>шт</v>
      </c>
      <c r="D1825" s="1106" t="n">
        <f aca="false">'Смета Внутр'!D1825</f>
        <v>1774.6437861718</v>
      </c>
      <c r="E1825" s="1104"/>
      <c r="F1825" s="1121" t="n">
        <f aca="false">'Смета Внутр'!H1825</f>
        <v>35.4928757234361</v>
      </c>
    </row>
    <row r="1826" s="118" customFormat="true" ht="15" hidden="false" customHeight="false" outlineLevel="0" collapsed="false">
      <c r="B1826" s="1105" t="str">
        <f aca="false">'Смета Внутр'!B1826</f>
        <v>Пол</v>
      </c>
      <c r="C1826" s="1105"/>
      <c r="D1826" s="1105"/>
      <c r="E1826" s="1105"/>
      <c r="F1826" s="1107" t="n">
        <f aca="false">'Смета Внутр'!H1826</f>
        <v>0</v>
      </c>
    </row>
    <row r="1827" s="118" customFormat="true" ht="15" hidden="false" customHeight="false" outlineLevel="0" collapsed="false">
      <c r="B1827" s="1104" t="str">
        <f aca="false">'Смета Внутр'!B1827</f>
        <v>подложка под покрытие</v>
      </c>
      <c r="C1827" s="1105" t="str">
        <f aca="false">'Смета Внутр'!C1827</f>
        <v>м2</v>
      </c>
      <c r="D1827" s="1106" t="n">
        <f aca="false">'Смета Внутр'!D1827</f>
        <v>0</v>
      </c>
      <c r="E1827" s="1104"/>
      <c r="F1827" s="1107" t="n">
        <f aca="false">'Смета Внутр'!H1827</f>
        <v>0</v>
      </c>
    </row>
    <row r="1828" s="118" customFormat="true" ht="15" hidden="false" customHeight="false" outlineLevel="0" collapsed="false">
      <c r="B1828" s="1104" t="str">
        <f aca="false">'Смета Внутр'!B1828</f>
        <v>линолеум</v>
      </c>
      <c r="C1828" s="1105" t="str">
        <f aca="false">'Смета Внутр'!C1828</f>
        <v>м2</v>
      </c>
      <c r="D1828" s="1106" t="n">
        <f aca="false">'Смета Внутр'!D1828</f>
        <v>0</v>
      </c>
      <c r="E1828" s="1104"/>
      <c r="F1828" s="1107" t="n">
        <f aca="false">'Смета Внутр'!H1828</f>
        <v>0</v>
      </c>
    </row>
    <row r="1829" s="118" customFormat="true" ht="15" hidden="false" customHeight="false" outlineLevel="0" collapsed="false">
      <c r="B1829" s="1104" t="str">
        <f aca="false">'Смета Внутр'!B1829</f>
        <v>ламинат</v>
      </c>
      <c r="C1829" s="1105" t="str">
        <f aca="false">'Смета Внутр'!C1829</f>
        <v>м2</v>
      </c>
      <c r="D1829" s="1106" t="n">
        <f aca="false">'Смета Внутр'!D1829</f>
        <v>0</v>
      </c>
      <c r="E1829" s="1104"/>
      <c r="F1829" s="1107" t="n">
        <f aca="false">'Смета Внутр'!H1829</f>
        <v>0</v>
      </c>
    </row>
    <row r="1830" s="118" customFormat="true" ht="15" hidden="false" customHeight="false" outlineLevel="0" collapsed="false">
      <c r="B1830" s="1104" t="str">
        <f aca="false">'Смета Внутр'!B1830</f>
        <v>уголки, расходные материалы</v>
      </c>
      <c r="C1830" s="1105" t="str">
        <f aca="false">'Смета Внутр'!C1830</f>
        <v>шт</v>
      </c>
      <c r="D1830" s="1106" t="n">
        <f aca="false">'Смета Внутр'!D1830</f>
        <v>0</v>
      </c>
      <c r="E1830" s="1104"/>
      <c r="F1830" s="1107" t="n">
        <f aca="false">'Смета Внутр'!H1830</f>
        <v>0</v>
      </c>
    </row>
    <row r="1831" s="118" customFormat="true" ht="15" hidden="false" customHeight="false" outlineLevel="0" collapsed="false">
      <c r="B1831" s="1104" t="str">
        <f aca="false">'Смета Внутр'!B1831</f>
        <v>плинтус</v>
      </c>
      <c r="C1831" s="1105" t="str">
        <f aca="false">'Смета Внутр'!C1831</f>
        <v>м.п.</v>
      </c>
      <c r="D1831" s="1106" t="n">
        <f aca="false">'Смета Внутр'!D1831</f>
        <v>0</v>
      </c>
      <c r="E1831" s="1104"/>
      <c r="F1831" s="1107" t="n">
        <f aca="false">'Смета Внутр'!H1831</f>
        <v>0</v>
      </c>
    </row>
    <row r="1832" s="118" customFormat="true" ht="15" hidden="false" customHeight="false" outlineLevel="0" collapsed="false">
      <c r="B1832" s="1104" t="str">
        <f aca="false">'Смета Внутр'!B1832</f>
        <v>кафель</v>
      </c>
      <c r="C1832" s="1105" t="str">
        <f aca="false">'Смета Внутр'!C1832</f>
        <v>м2</v>
      </c>
      <c r="D1832" s="1106" t="n">
        <f aca="false">'Смета Внутр'!D1832</f>
        <v>0</v>
      </c>
      <c r="E1832" s="1104"/>
      <c r="F1832" s="1107" t="n">
        <f aca="false">'Смета Внутр'!H1832</f>
        <v>0</v>
      </c>
    </row>
    <row r="1833" s="118" customFormat="true" ht="15" hidden="false" customHeight="false" outlineLevel="0" collapsed="false">
      <c r="B1833" s="1104" t="str">
        <f aca="false">'Смета Внутр'!B1833</f>
        <v>клей для кафеля, 25кг</v>
      </c>
      <c r="C1833" s="1105" t="str">
        <f aca="false">'Смета Внутр'!C1833</f>
        <v>шт</v>
      </c>
      <c r="D1833" s="1106" t="n">
        <f aca="false">'Смета Внутр'!D1833</f>
        <v>0</v>
      </c>
      <c r="E1833" s="1104"/>
      <c r="F1833" s="1107" t="n">
        <f aca="false">'Смета Внутр'!H1833</f>
        <v>0</v>
      </c>
    </row>
    <row r="1834" s="118" customFormat="true" ht="15" hidden="false" customHeight="false" outlineLevel="0" collapsed="false">
      <c r="B1834" s="1104" t="str">
        <f aca="false">'Смета Внутр'!B1834</f>
        <v>грунтовка, 10л</v>
      </c>
      <c r="C1834" s="1105" t="str">
        <f aca="false">'Смета Внутр'!C1834</f>
        <v>шт</v>
      </c>
      <c r="D1834" s="1106" t="n">
        <f aca="false">'Смета Внутр'!D1834</f>
        <v>0</v>
      </c>
      <c r="E1834" s="1104"/>
      <c r="F1834" s="1107" t="n">
        <f aca="false">'Смета Внутр'!H1834</f>
        <v>0</v>
      </c>
    </row>
    <row r="1835" s="118" customFormat="true" ht="15" hidden="false" customHeight="false" outlineLevel="0" collapsed="false">
      <c r="B1835" s="1104" t="str">
        <f aca="false">'Смета Внутр'!B1835</f>
        <v>крестики, 100шт</v>
      </c>
      <c r="C1835" s="1105" t="str">
        <f aca="false">'Смета Внутр'!C1835</f>
        <v>шт</v>
      </c>
      <c r="D1835" s="1106" t="n">
        <f aca="false">'Смета Внутр'!D1835</f>
        <v>0</v>
      </c>
      <c r="E1835" s="1104"/>
      <c r="F1835" s="1107" t="n">
        <f aca="false">'Смета Внутр'!H1835</f>
        <v>0</v>
      </c>
    </row>
    <row r="1836" s="118" customFormat="true" ht="15" hidden="false" customHeight="false" outlineLevel="0" collapsed="false">
      <c r="B1836" s="1104" t="str">
        <f aca="false">'Смета Внутр'!B1836</f>
        <v>затирка для швов</v>
      </c>
      <c r="C1836" s="1105" t="str">
        <f aca="false">'Смета Внутр'!C1836</f>
        <v>шт</v>
      </c>
      <c r="D1836" s="1106" t="n">
        <f aca="false">'Смета Внутр'!D1836</f>
        <v>0</v>
      </c>
      <c r="E1836" s="1104"/>
      <c r="F1836" s="1107" t="n">
        <f aca="false">'Смета Внутр'!H1836</f>
        <v>0</v>
      </c>
    </row>
    <row r="1837" s="118" customFormat="true" ht="15" hidden="false" customHeight="false" outlineLevel="0" collapsed="false">
      <c r="B1837" s="1105" t="str">
        <f aca="false">'Смета Внутр'!B1837</f>
        <v>санузел/ванная</v>
      </c>
      <c r="C1837" s="1105"/>
      <c r="D1837" s="1105"/>
      <c r="E1837" s="1105"/>
      <c r="F1837" s="1107" t="n">
        <f aca="false">'Смета Внутр'!H1837</f>
        <v>0</v>
      </c>
    </row>
    <row r="1838" s="118" customFormat="true" ht="15" hidden="false" customHeight="false" outlineLevel="0" collapsed="false">
      <c r="B1838" s="1104" t="str">
        <f aca="false">'Смета Внутр'!B1838</f>
        <v>кафель стены</v>
      </c>
      <c r="C1838" s="1105" t="str">
        <f aca="false">'Смета Внутр'!C1838</f>
        <v>м2</v>
      </c>
      <c r="D1838" s="1106" t="n">
        <f aca="false">'Смета Внутр'!D1838</f>
        <v>0</v>
      </c>
      <c r="E1838" s="1104"/>
      <c r="F1838" s="1107" t="n">
        <f aca="false">'Смета Внутр'!H1838</f>
        <v>0</v>
      </c>
    </row>
    <row r="1839" s="118" customFormat="true" ht="15" hidden="false" customHeight="false" outlineLevel="0" collapsed="false">
      <c r="B1839" s="1104" t="str">
        <f aca="false">'Смета Внутр'!B1839</f>
        <v>кафель потолок</v>
      </c>
      <c r="C1839" s="1105" t="str">
        <f aca="false">'Смета Внутр'!C1839</f>
        <v>м2</v>
      </c>
      <c r="D1839" s="1106" t="n">
        <f aca="false">'Смета Внутр'!D1839</f>
        <v>0</v>
      </c>
      <c r="E1839" s="1104"/>
      <c r="F1839" s="1107" t="n">
        <f aca="false">'Смета Внутр'!H1839</f>
        <v>0</v>
      </c>
    </row>
    <row r="1840" s="118" customFormat="true" ht="15" hidden="false" customHeight="false" outlineLevel="0" collapsed="false">
      <c r="B1840" s="1104" t="str">
        <f aca="false">'Смета Внутр'!B1840</f>
        <v>кафель пол</v>
      </c>
      <c r="C1840" s="1105" t="str">
        <f aca="false">'Смета Внутр'!C1840</f>
        <v>м2</v>
      </c>
      <c r="D1840" s="1106" t="n">
        <f aca="false">'Смета Внутр'!D1840</f>
        <v>0</v>
      </c>
      <c r="E1840" s="1104"/>
      <c r="F1840" s="1107" t="n">
        <f aca="false">'Смета Внутр'!H1840</f>
        <v>0</v>
      </c>
    </row>
    <row r="1841" s="118" customFormat="true" ht="15" hidden="false" customHeight="false" outlineLevel="0" collapsed="false">
      <c r="B1841" s="1104" t="str">
        <f aca="false">'Смета Внутр'!B1841</f>
        <v>клей для кафеля, 25кг</v>
      </c>
      <c r="C1841" s="1105" t="str">
        <f aca="false">'Смета Внутр'!C1841</f>
        <v>шт</v>
      </c>
      <c r="D1841" s="1106" t="n">
        <f aca="false">'Смета Внутр'!D1841</f>
        <v>0</v>
      </c>
      <c r="E1841" s="1104"/>
      <c r="F1841" s="1107" t="n">
        <f aca="false">'Смета Внутр'!H1841</f>
        <v>0</v>
      </c>
    </row>
    <row r="1842" s="118" customFormat="true" ht="15" hidden="false" customHeight="false" outlineLevel="0" collapsed="false">
      <c r="B1842" s="1104" t="str">
        <f aca="false">'Смета Внутр'!B1842</f>
        <v>грунтовка, 10л</v>
      </c>
      <c r="C1842" s="1105" t="str">
        <f aca="false">'Смета Внутр'!C1842</f>
        <v>шт</v>
      </c>
      <c r="D1842" s="1106" t="n">
        <f aca="false">'Смета Внутр'!D1842</f>
        <v>0</v>
      </c>
      <c r="E1842" s="1104"/>
      <c r="F1842" s="1107" t="n">
        <f aca="false">'Смета Внутр'!H1842</f>
        <v>0</v>
      </c>
    </row>
    <row r="1843" s="118" customFormat="true" ht="15" hidden="false" customHeight="false" outlineLevel="0" collapsed="false">
      <c r="B1843" s="1104" t="str">
        <f aca="false">'Смета Внутр'!B1843</f>
        <v>крестики, 100 шт</v>
      </c>
      <c r="C1843" s="1105" t="str">
        <f aca="false">'Смета Внутр'!C1843</f>
        <v>шт</v>
      </c>
      <c r="D1843" s="1106" t="n">
        <f aca="false">'Смета Внутр'!D1843</f>
        <v>0</v>
      </c>
      <c r="E1843" s="1104"/>
      <c r="F1843" s="1107" t="n">
        <f aca="false">'Смета Внутр'!H1843</f>
        <v>0</v>
      </c>
    </row>
    <row r="1844" s="118" customFormat="true" ht="15" hidden="false" customHeight="false" outlineLevel="0" collapsed="false">
      <c r="B1844" s="1104" t="str">
        <f aca="false">'Смета Внутр'!B1844</f>
        <v>затирка для швов</v>
      </c>
      <c r="C1844" s="1105" t="str">
        <f aca="false">'Смета Внутр'!C1844</f>
        <v>шт</v>
      </c>
      <c r="D1844" s="1106" t="n">
        <f aca="false">'Смета Внутр'!D1844</f>
        <v>0</v>
      </c>
      <c r="E1844" s="1104"/>
      <c r="F1844" s="1107" t="n">
        <f aca="false">'Смета Внутр'!H1844</f>
        <v>0</v>
      </c>
    </row>
    <row r="1845" s="118" customFormat="true" ht="15" hidden="false" customHeight="false" outlineLevel="0" collapsed="false">
      <c r="B1845" s="1104" t="str">
        <f aca="false">'Смета Внутр'!B1845</f>
        <v>стеновые панели пластик стены</v>
      </c>
      <c r="C1845" s="1105" t="str">
        <f aca="false">'Смета Внутр'!C1845</f>
        <v>м2</v>
      </c>
      <c r="D1845" s="1106" t="n">
        <f aca="false">'Смета Внутр'!D1845</f>
        <v>0</v>
      </c>
      <c r="E1845" s="1104"/>
      <c r="F1845" s="1107" t="n">
        <f aca="false">'Смета Внутр'!H1845</f>
        <v>0</v>
      </c>
    </row>
    <row r="1846" s="118" customFormat="true" ht="15" hidden="false" customHeight="false" outlineLevel="0" collapsed="false">
      <c r="B1846" s="1104" t="str">
        <f aca="false">'Смета Внутр'!B1846</f>
        <v>стеновые панели пластик потолок</v>
      </c>
      <c r="C1846" s="1105" t="str">
        <f aca="false">'Смета Внутр'!C1846</f>
        <v>м2</v>
      </c>
      <c r="D1846" s="1106" t="n">
        <f aca="false">'Смета Внутр'!D1846</f>
        <v>0</v>
      </c>
      <c r="E1846" s="1104"/>
      <c r="F1846" s="1107" t="n">
        <f aca="false">'Смета Внутр'!H1846</f>
        <v>0</v>
      </c>
    </row>
    <row r="1847" s="118" customFormat="true" ht="15" hidden="false" customHeight="false" outlineLevel="0" collapsed="false">
      <c r="B1847" s="1104" t="str">
        <f aca="false">'Смета Внутр'!B1847</f>
        <v>скобы для крепления панелей, 1000шт/уп</v>
      </c>
      <c r="C1847" s="1105" t="str">
        <f aca="false">'Смета Внутр'!C1847</f>
        <v>шт</v>
      </c>
      <c r="D1847" s="1106" t="n">
        <f aca="false">'Смета Внутр'!D1847</f>
        <v>0</v>
      </c>
      <c r="E1847" s="1104"/>
      <c r="F1847" s="1107" t="n">
        <f aca="false">'Смета Внутр'!H1847</f>
        <v>0</v>
      </c>
    </row>
    <row r="1848" s="118" customFormat="true" ht="15" hidden="false" customHeight="false" outlineLevel="0" collapsed="false">
      <c r="B1848" s="1104" t="str">
        <f aca="false">'Смета Внутр'!B1848</f>
        <v>натяжной потолок</v>
      </c>
      <c r="C1848" s="1105" t="str">
        <f aca="false">'Смета Внутр'!C1848</f>
        <v>м2</v>
      </c>
      <c r="D1848" s="1106" t="n">
        <f aca="false">'Смета Внутр'!D1848</f>
        <v>0</v>
      </c>
      <c r="E1848" s="1104"/>
      <c r="F1848" s="1107" t="n">
        <f aca="false">'Смета Внутр'!H1848</f>
        <v>0</v>
      </c>
    </row>
    <row r="1849" s="118" customFormat="true" ht="15" hidden="false" customHeight="false" outlineLevel="0" collapsed="false">
      <c r="B1849" s="1105" t="str">
        <f aca="false">'Смета Внутр'!B1849</f>
        <v>Двери межкомнатные </v>
      </c>
      <c r="C1849" s="1105"/>
      <c r="D1849" s="1105"/>
      <c r="E1849" s="1105"/>
      <c r="F1849" s="1107" t="n">
        <f aca="false">'Смета Внутр'!H1849</f>
        <v>0</v>
      </c>
    </row>
    <row r="1850" s="118" customFormat="true" ht="15" hidden="false" customHeight="false" outlineLevel="0" collapsed="false">
      <c r="B1850" s="1104" t="str">
        <f aca="false">'Смета Внутр'!B1850</f>
        <v>двери межкомнатные </v>
      </c>
      <c r="C1850" s="1105" t="str">
        <f aca="false">'Смета Внутр'!C1850</f>
        <v>шт</v>
      </c>
      <c r="D1850" s="1106" t="n">
        <f aca="false">'Смета Внутр'!D1850</f>
        <v>0</v>
      </c>
      <c r="E1850" s="1104"/>
      <c r="F1850" s="1107" t="n">
        <f aca="false">'Смета Внутр'!H1850</f>
        <v>0</v>
      </c>
    </row>
    <row r="1851" s="118" customFormat="true" ht="15" hidden="false" customHeight="false" outlineLevel="0" collapsed="false">
      <c r="B1851" s="1104" t="str">
        <f aca="false">'Смета Внутр'!B1851</f>
        <v>пена монтажная для дверей</v>
      </c>
      <c r="C1851" s="1105" t="str">
        <f aca="false">'Смета Внутр'!C1851</f>
        <v>шт</v>
      </c>
      <c r="D1851" s="1106" t="n">
        <f aca="false">'Смета Внутр'!D1851</f>
        <v>0</v>
      </c>
      <c r="E1851" s="1104"/>
      <c r="F1851" s="1107" t="n">
        <f aca="false">'Смета Внутр'!H1851</f>
        <v>0</v>
      </c>
    </row>
    <row r="1852" s="118" customFormat="true" ht="15" hidden="false" customHeight="false" outlineLevel="0" collapsed="false">
      <c r="B1852" s="1104" t="str">
        <f aca="false">'Смета Внутр'!B1852</f>
        <v>порожки металлические </v>
      </c>
      <c r="C1852" s="1105" t="str">
        <f aca="false">'Смета Внутр'!C1852</f>
        <v>шт</v>
      </c>
      <c r="D1852" s="1106" t="n">
        <f aca="false">'Смета Внутр'!D1852</f>
        <v>0</v>
      </c>
      <c r="E1852" s="1104"/>
      <c r="F1852" s="1107" t="n">
        <f aca="false">'Смета Внутр'!H1852</f>
        <v>0</v>
      </c>
    </row>
    <row r="1853" s="118" customFormat="true" ht="15" hidden="false" customHeight="false" outlineLevel="0" collapsed="false">
      <c r="B1853" s="1104" t="str">
        <f aca="false">'Смета Внутр'!B1853</f>
        <v>отбойник для дверей</v>
      </c>
      <c r="C1853" s="1105" t="str">
        <f aca="false">'Смета Внутр'!C1853</f>
        <v>шт</v>
      </c>
      <c r="D1853" s="1106" t="n">
        <f aca="false">'Смета Внутр'!D1853</f>
        <v>0</v>
      </c>
      <c r="E1853" s="1104"/>
      <c r="F1853" s="1107" t="n">
        <f aca="false">'Смета Внутр'!H1853</f>
        <v>0</v>
      </c>
    </row>
    <row r="1854" s="118" customFormat="true" ht="15" hidden="false" customHeight="false" outlineLevel="0" collapsed="false">
      <c r="B1854" s="1104" t="str">
        <f aca="false">'Смета Внутр'!B1854</f>
        <v>коробка для дверей</v>
      </c>
      <c r="C1854" s="1105" t="str">
        <f aca="false">'Смета Внутр'!C1854</f>
        <v>шт</v>
      </c>
      <c r="D1854" s="1106" t="n">
        <f aca="false">'Смета Внутр'!D1854</f>
        <v>0</v>
      </c>
      <c r="E1854" s="1104"/>
      <c r="F1854" s="1107" t="n">
        <f aca="false">'Смета Внутр'!H1854</f>
        <v>0</v>
      </c>
    </row>
    <row r="1855" s="118" customFormat="true" ht="15" hidden="false" customHeight="false" outlineLevel="0" collapsed="false">
      <c r="B1855" s="1104" t="str">
        <f aca="false">'Смета Внутр'!B1855</f>
        <v>наличник на дверь, комплект</v>
      </c>
      <c r="C1855" s="1105" t="str">
        <f aca="false">'Смета Внутр'!C1855</f>
        <v>шт</v>
      </c>
      <c r="D1855" s="1106" t="n">
        <f aca="false">'Смета Внутр'!D1855</f>
        <v>0</v>
      </c>
      <c r="E1855" s="1104"/>
      <c r="F1855" s="1107" t="n">
        <f aca="false">'Смета Внутр'!H1855</f>
        <v>0</v>
      </c>
    </row>
    <row r="1856" s="118" customFormat="true" ht="15" hidden="false" customHeight="false" outlineLevel="0" collapsed="false">
      <c r="B1856" s="1108" t="str">
        <f aca="false">'Смета Внутр'!B1856</f>
        <v>Итого материалы</v>
      </c>
      <c r="C1856" s="1108"/>
      <c r="D1856" s="1108"/>
      <c r="E1856" s="1108"/>
      <c r="F1856" s="1122" t="n">
        <f aca="false">'Смета Внутр'!G1856</f>
        <v>114464.844202871</v>
      </c>
    </row>
    <row r="1857" s="118" customFormat="true" ht="15" hidden="false" customHeight="false" outlineLevel="0" collapsed="false">
      <c r="B1857" s="1110" t="str">
        <f aca="false">'Смета Внутр'!B1857</f>
        <v>Работы</v>
      </c>
      <c r="C1857" s="1110"/>
      <c r="D1857" s="1110"/>
      <c r="E1857" s="1110"/>
      <c r="F1857" s="1120" t="n">
        <f aca="false">'Смета Внутр'!H1857</f>
        <v>1</v>
      </c>
    </row>
    <row r="1858" s="118" customFormat="true" ht="15" hidden="false" customHeight="false" outlineLevel="0" collapsed="false">
      <c r="B1858" s="1105" t="str">
        <f aca="false">'Смета Внутр'!B1858</f>
        <v>стены</v>
      </c>
      <c r="C1858" s="1105"/>
      <c r="D1858" s="1105"/>
      <c r="E1858" s="1105"/>
      <c r="F1858" s="1121" t="n">
        <f aca="false">'Смета Внутр'!H1858</f>
        <v>1</v>
      </c>
    </row>
    <row r="1859" s="118" customFormat="true" ht="15" hidden="false" customHeight="false" outlineLevel="0" collapsed="false">
      <c r="B1859" s="1104" t="str">
        <f aca="false">'Смета Внутр'!B1859</f>
        <v>монтаж гкл стены</v>
      </c>
      <c r="C1859" s="1105" t="str">
        <f aca="false">'Смета Внутр'!C1859</f>
        <v>м2</v>
      </c>
      <c r="D1859" s="1106" t="n">
        <f aca="false">'Смета Внутр'!D1859</f>
        <v>0</v>
      </c>
      <c r="E1859" s="1104"/>
      <c r="F1859" s="1107" t="n">
        <f aca="false">'Смета Внутр'!H1859</f>
        <v>0</v>
      </c>
    </row>
    <row r="1860" s="118" customFormat="true" ht="15" hidden="false" customHeight="false" outlineLevel="0" collapsed="false">
      <c r="B1860" s="1104" t="str">
        <f aca="false">'Смета Внутр'!B1860</f>
        <v>монтаж подсистемы</v>
      </c>
      <c r="C1860" s="1105" t="str">
        <f aca="false">'Смета Внутр'!C1860</f>
        <v>м2</v>
      </c>
      <c r="D1860" s="1106" t="n">
        <f aca="false">'Смета Внутр'!D1860</f>
        <v>0</v>
      </c>
      <c r="E1860" s="1104"/>
      <c r="F1860" s="1107" t="n">
        <f aca="false">'Смета Внутр'!H1860</f>
        <v>0</v>
      </c>
    </row>
    <row r="1861" s="118" customFormat="true" ht="15" hidden="false" customHeight="false" outlineLevel="0" collapsed="false">
      <c r="B1861" s="1104" t="str">
        <f aca="false">'Смета Внутр'!B1861</f>
        <v>шпаклевка швов стены</v>
      </c>
      <c r="C1861" s="1105" t="str">
        <f aca="false">'Смета Внутр'!C1861</f>
        <v>м2</v>
      </c>
      <c r="D1861" s="1106" t="n">
        <f aca="false">'Смета Внутр'!D1861</f>
        <v>0</v>
      </c>
      <c r="E1861" s="1104"/>
      <c r="F1861" s="1107" t="n">
        <f aca="false">'Смета Внутр'!H1861</f>
        <v>0</v>
      </c>
    </row>
    <row r="1862" s="118" customFormat="true" ht="15" hidden="false" customHeight="false" outlineLevel="0" collapsed="false">
      <c r="B1862" s="1104" t="str">
        <f aca="false">'Смета Внутр'!B1862</f>
        <v>шпаклевка финишная стены</v>
      </c>
      <c r="C1862" s="1105" t="str">
        <f aca="false">'Смета Внутр'!C1862</f>
        <v>м2</v>
      </c>
      <c r="D1862" s="1106" t="n">
        <f aca="false">'Смета Внутр'!D1862</f>
        <v>0</v>
      </c>
      <c r="E1862" s="1104"/>
      <c r="F1862" s="1107" t="n">
        <f aca="false">'Смета Внутр'!H1862</f>
        <v>0</v>
      </c>
    </row>
    <row r="1863" s="118" customFormat="true" ht="15" hidden="false" customHeight="false" outlineLevel="0" collapsed="false">
      <c r="B1863" s="1104" t="str">
        <f aca="false">'Смета Внутр'!B1863</f>
        <v>оклейка обои</v>
      </c>
      <c r="C1863" s="1105" t="str">
        <f aca="false">'Смета Внутр'!C1863</f>
        <v>м2</v>
      </c>
      <c r="D1863" s="1106" t="n">
        <f aca="false">'Смета Внутр'!D1863</f>
        <v>0</v>
      </c>
      <c r="E1863" s="1104"/>
      <c r="F1863" s="1107" t="n">
        <f aca="false">'Смета Внутр'!H1863</f>
        <v>0</v>
      </c>
    </row>
    <row r="1864" s="118" customFormat="true" ht="15" hidden="false" customHeight="false" outlineLevel="0" collapsed="false">
      <c r="B1864" s="1104" t="str">
        <f aca="false">'Смета Внутр'!B1864</f>
        <v>покраска стен</v>
      </c>
      <c r="C1864" s="1105" t="str">
        <f aca="false">'Смета Внутр'!C1864</f>
        <v>м2</v>
      </c>
      <c r="D1864" s="1106" t="n">
        <f aca="false">'Смета Внутр'!D1864</f>
        <v>0</v>
      </c>
      <c r="E1864" s="1104"/>
      <c r="F1864" s="1107" t="n">
        <f aca="false">'Смета Внутр'!H1864</f>
        <v>0</v>
      </c>
    </row>
    <row r="1865" s="118" customFormat="true" ht="15" hidden="false" customHeight="false" outlineLevel="0" collapsed="false">
      <c r="B1865" s="1104" t="str">
        <f aca="false">'Смета Внутр'!B1865</f>
        <v>имитация бруса</v>
      </c>
      <c r="C1865" s="1105" t="str">
        <f aca="false">'Смета Внутр'!C1865</f>
        <v>м2</v>
      </c>
      <c r="D1865" s="1106" t="n">
        <f aca="false">'Смета Внутр'!D1865</f>
        <v>263.26</v>
      </c>
      <c r="E1865" s="1104"/>
      <c r="F1865" s="1107" t="n">
        <f aca="false">'Смета Внутр'!H1865</f>
        <v>105304</v>
      </c>
    </row>
    <row r="1866" s="118" customFormat="true" ht="15" hidden="false" customHeight="false" outlineLevel="0" collapsed="false">
      <c r="B1866" s="1104" t="str">
        <f aca="false">'Смета Внутр'!B1866</f>
        <v>блокхаус</v>
      </c>
      <c r="C1866" s="1105" t="str">
        <f aca="false">'Смета Внутр'!C1866</f>
        <v>м2</v>
      </c>
      <c r="D1866" s="1106" t="n">
        <f aca="false">'Смета Внутр'!D1866</f>
        <v>0</v>
      </c>
      <c r="E1866" s="1104"/>
      <c r="F1866" s="1107" t="n">
        <f aca="false">'Смета Внутр'!H1866</f>
        <v>0</v>
      </c>
    </row>
    <row r="1867" s="118" customFormat="true" ht="15" hidden="false" customHeight="false" outlineLevel="0" collapsed="false">
      <c r="B1867" s="1104" t="str">
        <f aca="false">'Смета Внутр'!B1867</f>
        <v>вагонка</v>
      </c>
      <c r="C1867" s="1105" t="str">
        <f aca="false">'Смета Внутр'!C1867</f>
        <v>м2</v>
      </c>
      <c r="D1867" s="1106" t="n">
        <f aca="false">'Смета Внутр'!D1867</f>
        <v>0</v>
      </c>
      <c r="E1867" s="1104"/>
      <c r="F1867" s="1121" t="n">
        <f aca="false">'Смета Внутр'!H1867</f>
        <v>0</v>
      </c>
    </row>
    <row r="1868" s="118" customFormat="true" ht="15" hidden="false" customHeight="false" outlineLevel="0" collapsed="false">
      <c r="B1868" s="1104" t="str">
        <f aca="false">'Смета Внутр'!B1868</f>
        <v>подсистема, брусок</v>
      </c>
      <c r="C1868" s="1105" t="str">
        <f aca="false">'Смета Внутр'!C1868</f>
        <v>м2</v>
      </c>
      <c r="D1868" s="1106" t="n">
        <f aca="false">'Смета Внутр'!D1868</f>
        <v>0</v>
      </c>
      <c r="E1868" s="1104"/>
      <c r="F1868" s="1107" t="n">
        <f aca="false">'Смета Внутр'!H1868</f>
        <v>0</v>
      </c>
    </row>
    <row r="1869" s="118" customFormat="true" ht="15" hidden="false" customHeight="false" outlineLevel="0" collapsed="false">
      <c r="B1869" s="1105" t="str">
        <f aca="false">'Смета Внутр'!B1869</f>
        <v>потолок</v>
      </c>
      <c r="C1869" s="1105"/>
      <c r="D1869" s="1105"/>
      <c r="E1869" s="1105"/>
      <c r="F1869" s="1121" t="n">
        <f aca="false">'Смета Внутр'!H1869</f>
        <v>1</v>
      </c>
    </row>
    <row r="1870" s="118" customFormat="true" ht="15" hidden="false" customHeight="false" outlineLevel="0" collapsed="false">
      <c r="B1870" s="1104" t="str">
        <f aca="false">'Смета Внутр'!B1870</f>
        <v>монтаж гкл потолок</v>
      </c>
      <c r="C1870" s="1105" t="str">
        <f aca="false">'Смета Внутр'!C1870</f>
        <v>м2</v>
      </c>
      <c r="D1870" s="1106" t="n">
        <f aca="false">'Смета Внутр'!D1870</f>
        <v>0</v>
      </c>
      <c r="E1870" s="1104"/>
      <c r="F1870" s="1107" t="n">
        <f aca="false">'Смета Внутр'!H1870</f>
        <v>0</v>
      </c>
    </row>
    <row r="1871" s="118" customFormat="true" ht="15" hidden="false" customHeight="false" outlineLevel="0" collapsed="false">
      <c r="B1871" s="1104" t="str">
        <f aca="false">'Смета Внутр'!B1871</f>
        <v>монтаж подсистемы</v>
      </c>
      <c r="C1871" s="1105" t="str">
        <f aca="false">'Смета Внутр'!C1871</f>
        <v>м2</v>
      </c>
      <c r="D1871" s="1106" t="n">
        <f aca="false">'Смета Внутр'!D1871</f>
        <v>0</v>
      </c>
      <c r="E1871" s="1104"/>
      <c r="F1871" s="1107" t="n">
        <f aca="false">'Смета Внутр'!H1871</f>
        <v>0</v>
      </c>
    </row>
    <row r="1872" s="118" customFormat="true" ht="15" hidden="false" customHeight="false" outlineLevel="0" collapsed="false">
      <c r="B1872" s="1104" t="str">
        <f aca="false">'Смета Внутр'!B1872</f>
        <v>шпаклевка швов потолок</v>
      </c>
      <c r="C1872" s="1105" t="str">
        <f aca="false">'Смета Внутр'!C1872</f>
        <v>м2</v>
      </c>
      <c r="D1872" s="1106" t="n">
        <f aca="false">'Смета Внутр'!D1872</f>
        <v>0</v>
      </c>
      <c r="E1872" s="1104"/>
      <c r="F1872" s="1107" t="n">
        <f aca="false">'Смета Внутр'!H1872</f>
        <v>0</v>
      </c>
    </row>
    <row r="1873" s="118" customFormat="true" ht="15" hidden="false" customHeight="false" outlineLevel="0" collapsed="false">
      <c r="B1873" s="1104" t="str">
        <f aca="false">'Смета Внутр'!B1873</f>
        <v>шпаклевка финишная пот</v>
      </c>
      <c r="C1873" s="1105" t="str">
        <f aca="false">'Смета Внутр'!C1873</f>
        <v>м2</v>
      </c>
      <c r="D1873" s="1106" t="n">
        <f aca="false">'Смета Внутр'!D1873</f>
        <v>0</v>
      </c>
      <c r="E1873" s="1104"/>
      <c r="F1873" s="1107" t="n">
        <f aca="false">'Смета Внутр'!H1873</f>
        <v>0</v>
      </c>
    </row>
    <row r="1874" s="118" customFormat="true" ht="15" hidden="false" customHeight="false" outlineLevel="0" collapsed="false">
      <c r="B1874" s="1104" t="str">
        <f aca="false">'Смета Внутр'!B1874</f>
        <v>окраска потолка</v>
      </c>
      <c r="C1874" s="1105" t="str">
        <f aca="false">'Смета Внутр'!C1874</f>
        <v>м2</v>
      </c>
      <c r="D1874" s="1106" t="n">
        <f aca="false">'Смета Внутр'!D1874</f>
        <v>0</v>
      </c>
      <c r="E1874" s="1104"/>
      <c r="F1874" s="1107" t="n">
        <f aca="false">'Смета Внутр'!H1874</f>
        <v>0</v>
      </c>
    </row>
    <row r="1875" s="118" customFormat="true" ht="15" hidden="false" customHeight="false" outlineLevel="0" collapsed="false">
      <c r="B1875" s="1104" t="str">
        <f aca="false">'Смета Внутр'!B1875</f>
        <v>натяжной потолок</v>
      </c>
      <c r="C1875" s="1105" t="str">
        <f aca="false">'Смета Внутр'!C1875</f>
        <v>м2</v>
      </c>
      <c r="D1875" s="1106" t="n">
        <f aca="false">'Смета Внутр'!D1875</f>
        <v>0</v>
      </c>
      <c r="E1875" s="1104"/>
      <c r="F1875" s="1107" t="n">
        <f aca="false">'Смета Внутр'!H1875</f>
        <v>0</v>
      </c>
    </row>
    <row r="1876" s="118" customFormat="true" ht="15" hidden="false" customHeight="false" outlineLevel="0" collapsed="false">
      <c r="B1876" s="1104" t="str">
        <f aca="false">'Смета Внутр'!B1876</f>
        <v>багем монтаж</v>
      </c>
      <c r="C1876" s="1105" t="str">
        <f aca="false">'Смета Внутр'!C1876</f>
        <v>м.п.</v>
      </c>
      <c r="D1876" s="1106" t="n">
        <f aca="false">'Смета Внутр'!D1876</f>
        <v>0</v>
      </c>
      <c r="E1876" s="1104"/>
      <c r="F1876" s="1107" t="n">
        <f aca="false">'Смета Внутр'!H1876</f>
        <v>0</v>
      </c>
    </row>
    <row r="1877" s="118" customFormat="true" ht="15" hidden="false" customHeight="false" outlineLevel="0" collapsed="false">
      <c r="B1877" s="1104" t="str">
        <f aca="false">'Смета Внутр'!B1877</f>
        <v>багет шпаклевка</v>
      </c>
      <c r="C1877" s="1105" t="str">
        <f aca="false">'Смета Внутр'!C1877</f>
        <v>м.п.</v>
      </c>
      <c r="D1877" s="1106" t="n">
        <f aca="false">'Смета Внутр'!D1877</f>
        <v>0</v>
      </c>
      <c r="E1877" s="1104"/>
      <c r="F1877" s="1107" t="n">
        <f aca="false">'Смета Внутр'!H1877</f>
        <v>0</v>
      </c>
    </row>
    <row r="1878" s="118" customFormat="true" ht="15" hidden="false" customHeight="false" outlineLevel="0" collapsed="false">
      <c r="B1878" s="1104" t="str">
        <f aca="false">'Смета Внутр'!B1878</f>
        <v>багет покраска</v>
      </c>
      <c r="C1878" s="1105" t="str">
        <f aca="false">'Смета Внутр'!C1878</f>
        <v>м.п.</v>
      </c>
      <c r="D1878" s="1106" t="n">
        <f aca="false">'Смета Внутр'!D1878</f>
        <v>0</v>
      </c>
      <c r="E1878" s="1104"/>
      <c r="F1878" s="1107" t="n">
        <f aca="false">'Смета Внутр'!H1878</f>
        <v>0</v>
      </c>
    </row>
    <row r="1879" s="118" customFormat="true" ht="15" hidden="false" customHeight="false" outlineLevel="0" collapsed="false">
      <c r="B1879" s="1104" t="str">
        <f aca="false">'Смета Внутр'!B1879</f>
        <v>имитация бруса</v>
      </c>
      <c r="C1879" s="1105" t="str">
        <f aca="false">'Смета Внутр'!C1879</f>
        <v>м2</v>
      </c>
      <c r="D1879" s="1106" t="n">
        <f aca="false">'Смета Внутр'!D1879</f>
        <v>0</v>
      </c>
      <c r="E1879" s="1104"/>
      <c r="F1879" s="1107" t="n">
        <f aca="false">'Смета Внутр'!H1879</f>
        <v>0</v>
      </c>
    </row>
    <row r="1880" s="118" customFormat="true" ht="15" hidden="false" customHeight="false" outlineLevel="0" collapsed="false">
      <c r="B1880" s="1104" t="str">
        <f aca="false">'Смета Внутр'!B1880</f>
        <v>блокхаус</v>
      </c>
      <c r="C1880" s="1105" t="str">
        <f aca="false">'Смета Внутр'!C1880</f>
        <v>м2</v>
      </c>
      <c r="D1880" s="1106" t="n">
        <f aca="false">'Смета Внутр'!D1880</f>
        <v>0</v>
      </c>
      <c r="E1880" s="1104"/>
      <c r="F1880" s="1107" t="n">
        <f aca="false">'Смета Внутр'!H1880</f>
        <v>0</v>
      </c>
    </row>
    <row r="1881" s="118" customFormat="true" ht="15" hidden="false" customHeight="false" outlineLevel="0" collapsed="false">
      <c r="B1881" s="1104" t="str">
        <f aca="false">'Смета Внутр'!B1881</f>
        <v>вагонка</v>
      </c>
      <c r="C1881" s="1105" t="str">
        <f aca="false">'Смета Внутр'!C1881</f>
        <v>м2</v>
      </c>
      <c r="D1881" s="1106" t="n">
        <f aca="false">'Смета Внутр'!D1881</f>
        <v>88.7321893085902</v>
      </c>
      <c r="E1881" s="1104"/>
      <c r="F1881" s="1121" t="n">
        <f aca="false">'Смета Внутр'!H1881</f>
        <v>35492.8757234361</v>
      </c>
    </row>
    <row r="1882" s="118" customFormat="true" ht="15" hidden="false" customHeight="false" outlineLevel="0" collapsed="false">
      <c r="B1882" s="1104" t="str">
        <f aca="false">'Смета Внутр'!B1882</f>
        <v>подсистема, брусок</v>
      </c>
      <c r="C1882" s="1105" t="str">
        <f aca="false">'Смета Внутр'!C1882</f>
        <v>м2</v>
      </c>
      <c r="D1882" s="1106" t="n">
        <f aca="false">'Смета Внутр'!D1882</f>
        <v>0</v>
      </c>
      <c r="E1882" s="1104"/>
      <c r="F1882" s="1107" t="n">
        <f aca="false">'Смета Внутр'!H1882</f>
        <v>0</v>
      </c>
    </row>
    <row r="1883" s="118" customFormat="true" ht="15" hidden="false" customHeight="false" outlineLevel="0" collapsed="false">
      <c r="B1883" s="1105" t="str">
        <f aca="false">'Смета Внутр'!B1883</f>
        <v>пол</v>
      </c>
      <c r="C1883" s="1105"/>
      <c r="D1883" s="1105"/>
      <c r="E1883" s="1105"/>
      <c r="F1883" s="1107" t="n">
        <f aca="false">'Смета Внутр'!H1883</f>
        <v>0</v>
      </c>
    </row>
    <row r="1884" s="118" customFormat="true" ht="15" hidden="false" customHeight="false" outlineLevel="0" collapsed="false">
      <c r="B1884" s="1104" t="str">
        <f aca="false">'Смета Внутр'!B1884</f>
        <v>подложка</v>
      </c>
      <c r="C1884" s="1105" t="str">
        <f aca="false">'Смета Внутр'!C1884</f>
        <v>м2</v>
      </c>
      <c r="D1884" s="1106" t="n">
        <f aca="false">'Смета Внутр'!D1884</f>
        <v>0</v>
      </c>
      <c r="E1884" s="1104"/>
      <c r="F1884" s="1107" t="n">
        <f aca="false">'Смета Внутр'!H1884</f>
        <v>0</v>
      </c>
    </row>
    <row r="1885" s="118" customFormat="true" ht="15" hidden="false" customHeight="false" outlineLevel="0" collapsed="false">
      <c r="B1885" s="1104" t="str">
        <f aca="false">'Смета Внутр'!B1885</f>
        <v>линолеум</v>
      </c>
      <c r="C1885" s="1105" t="str">
        <f aca="false">'Смета Внутр'!C1885</f>
        <v>м2</v>
      </c>
      <c r="D1885" s="1106" t="n">
        <f aca="false">'Смета Внутр'!D1885</f>
        <v>0</v>
      </c>
      <c r="E1885" s="1104"/>
      <c r="F1885" s="1107" t="n">
        <f aca="false">'Смета Внутр'!H1885</f>
        <v>0</v>
      </c>
    </row>
    <row r="1886" s="118" customFormat="true" ht="15" hidden="false" customHeight="false" outlineLevel="0" collapsed="false">
      <c r="B1886" s="1104" t="str">
        <f aca="false">'Смета Внутр'!B1886</f>
        <v>ламинат</v>
      </c>
      <c r="C1886" s="1105" t="str">
        <f aca="false">'Смета Внутр'!C1886</f>
        <v>м2</v>
      </c>
      <c r="D1886" s="1106" t="n">
        <f aca="false">'Смета Внутр'!D1886</f>
        <v>0</v>
      </c>
      <c r="E1886" s="1104"/>
      <c r="F1886" s="1107" t="n">
        <f aca="false">'Смета Внутр'!H1886</f>
        <v>0</v>
      </c>
    </row>
    <row r="1887" s="118" customFormat="true" ht="15" hidden="false" customHeight="false" outlineLevel="0" collapsed="false">
      <c r="B1887" s="1104" t="str">
        <f aca="false">'Смета Внутр'!B1887</f>
        <v>плинтус</v>
      </c>
      <c r="C1887" s="1105" t="str">
        <f aca="false">'Смета Внутр'!C1887</f>
        <v>м.п.</v>
      </c>
      <c r="D1887" s="1106" t="n">
        <f aca="false">'Смета Внутр'!D1887</f>
        <v>0</v>
      </c>
      <c r="E1887" s="1104"/>
      <c r="F1887" s="1107" t="n">
        <f aca="false">'Смета Внутр'!H1887</f>
        <v>0</v>
      </c>
    </row>
    <row r="1888" s="118" customFormat="true" ht="15" hidden="false" customHeight="false" outlineLevel="0" collapsed="false">
      <c r="B1888" s="1104" t="str">
        <f aca="false">'Смета Внутр'!B1888</f>
        <v>кафель</v>
      </c>
      <c r="C1888" s="1105" t="str">
        <f aca="false">'Смета Внутр'!C1888</f>
        <v>м2</v>
      </c>
      <c r="D1888" s="1106" t="n">
        <f aca="false">'Смета Внутр'!D1888</f>
        <v>0</v>
      </c>
      <c r="E1888" s="1104"/>
      <c r="F1888" s="1107" t="n">
        <f aca="false">'Смета Внутр'!H1888</f>
        <v>0</v>
      </c>
    </row>
    <row r="1889" s="118" customFormat="true" ht="15" hidden="false" customHeight="false" outlineLevel="0" collapsed="false">
      <c r="B1889" s="1105" t="str">
        <f aca="false">'Смета Внутр'!B1889</f>
        <v>санузел/ванная</v>
      </c>
      <c r="C1889" s="1105"/>
      <c r="D1889" s="1105"/>
      <c r="E1889" s="1105"/>
      <c r="F1889" s="1107" t="n">
        <f aca="false">'Смета Внутр'!H1889</f>
        <v>0</v>
      </c>
    </row>
    <row r="1890" s="118" customFormat="true" ht="15" hidden="false" customHeight="false" outlineLevel="0" collapsed="false">
      <c r="B1890" s="1104" t="str">
        <f aca="false">'Смета Внутр'!B1890</f>
        <v>кафель стены</v>
      </c>
      <c r="C1890" s="1105" t="str">
        <f aca="false">'Смета Внутр'!C1890</f>
        <v>м2</v>
      </c>
      <c r="D1890" s="1106" t="n">
        <f aca="false">'Смета Внутр'!D1890</f>
        <v>0</v>
      </c>
      <c r="E1890" s="1104"/>
      <c r="F1890" s="1107" t="n">
        <f aca="false">'Смета Внутр'!H1890</f>
        <v>0</v>
      </c>
    </row>
    <row r="1891" s="118" customFormat="true" ht="15" hidden="false" customHeight="false" outlineLevel="0" collapsed="false">
      <c r="B1891" s="1104" t="str">
        <f aca="false">'Смета Внутр'!B1891</f>
        <v>кафель потолок</v>
      </c>
      <c r="C1891" s="1105" t="str">
        <f aca="false">'Смета Внутр'!C1891</f>
        <v>м2</v>
      </c>
      <c r="D1891" s="1106" t="n">
        <f aca="false">'Смета Внутр'!D1891</f>
        <v>0</v>
      </c>
      <c r="E1891" s="1104"/>
      <c r="F1891" s="1107" t="n">
        <f aca="false">'Смета Внутр'!H1891</f>
        <v>0</v>
      </c>
    </row>
    <row r="1892" s="118" customFormat="true" ht="15" hidden="false" customHeight="false" outlineLevel="0" collapsed="false">
      <c r="B1892" s="1104" t="str">
        <f aca="false">'Смета Внутр'!B1892</f>
        <v>кафель пол</v>
      </c>
      <c r="C1892" s="1105" t="str">
        <f aca="false">'Смета Внутр'!C1892</f>
        <v>м2</v>
      </c>
      <c r="D1892" s="1106" t="n">
        <f aca="false">'Смета Внутр'!D1892</f>
        <v>0</v>
      </c>
      <c r="E1892" s="1104"/>
      <c r="F1892" s="1107" t="n">
        <f aca="false">'Смета Внутр'!H1892</f>
        <v>0</v>
      </c>
    </row>
    <row r="1893" s="118" customFormat="true" ht="15" hidden="false" customHeight="false" outlineLevel="0" collapsed="false">
      <c r="B1893" s="1104" t="str">
        <f aca="false">'Смета Внутр'!B1893</f>
        <v>панели пластик стены</v>
      </c>
      <c r="C1893" s="1105" t="str">
        <f aca="false">'Смета Внутр'!C1893</f>
        <v>м2</v>
      </c>
      <c r="D1893" s="1106" t="n">
        <f aca="false">'Смета Внутр'!D1893</f>
        <v>0</v>
      </c>
      <c r="E1893" s="1104"/>
      <c r="F1893" s="1107" t="n">
        <f aca="false">'Смета Внутр'!H1893</f>
        <v>0</v>
      </c>
    </row>
    <row r="1894" s="118" customFormat="true" ht="15" hidden="false" customHeight="false" outlineLevel="0" collapsed="false">
      <c r="B1894" s="1104" t="str">
        <f aca="false">'Смета Внутр'!B1894</f>
        <v>панели пластик потолок</v>
      </c>
      <c r="C1894" s="1105" t="str">
        <f aca="false">'Смета Внутр'!C1894</f>
        <v>м2</v>
      </c>
      <c r="D1894" s="1106" t="n">
        <f aca="false">'Смета Внутр'!D1894</f>
        <v>0</v>
      </c>
      <c r="E1894" s="1104"/>
      <c r="F1894" s="1107" t="n">
        <f aca="false">'Смета Внутр'!H1894</f>
        <v>0</v>
      </c>
    </row>
    <row r="1895" s="118" customFormat="true" ht="15" hidden="false" customHeight="false" outlineLevel="0" collapsed="false">
      <c r="B1895" s="1104" t="str">
        <f aca="false">'Смета Внутр'!B1895</f>
        <v>натяжной потолок</v>
      </c>
      <c r="C1895" s="1105" t="str">
        <f aca="false">'Смета Внутр'!C1895</f>
        <v>м2</v>
      </c>
      <c r="D1895" s="1106" t="n">
        <f aca="false">'Смета Внутр'!D1895</f>
        <v>0</v>
      </c>
      <c r="E1895" s="1104"/>
      <c r="F1895" s="1107" t="n">
        <f aca="false">'Смета Внутр'!H1895</f>
        <v>0</v>
      </c>
    </row>
    <row r="1896" s="118" customFormat="true" ht="18.75" hidden="false" customHeight="false" outlineLevel="0" collapsed="false">
      <c r="B1896" s="1127" t="str">
        <f aca="false">'Смета Внутр'!B1896</f>
        <v>Двери межкомнатные </v>
      </c>
      <c r="C1896" s="1127"/>
      <c r="D1896" s="1127"/>
      <c r="E1896" s="1127"/>
      <c r="F1896" s="1107" t="n">
        <f aca="false">'Смета Внутр'!H1896</f>
        <v>0</v>
      </c>
    </row>
    <row r="1897" s="118" customFormat="true" ht="15" hidden="false" customHeight="false" outlineLevel="0" collapsed="false">
      <c r="B1897" s="1104" t="str">
        <f aca="false">'Смета Внутр'!B1897</f>
        <v>устанвка дверей</v>
      </c>
      <c r="C1897" s="1105" t="str">
        <f aca="false">'Смета Внутр'!C1897</f>
        <v>шт</v>
      </c>
      <c r="D1897" s="1106" t="n">
        <f aca="false">'Смета Внутр'!D1897</f>
        <v>0</v>
      </c>
      <c r="E1897" s="1104"/>
      <c r="F1897" s="1107" t="n">
        <f aca="false">'Смета Внутр'!H1897</f>
        <v>0</v>
      </c>
    </row>
    <row r="1898" s="118" customFormat="true" ht="15" hidden="false" customHeight="false" outlineLevel="0" collapsed="false">
      <c r="B1898" s="1104" t="str">
        <f aca="false">'Смета Внутр'!B1898</f>
        <v>монтаж коробки</v>
      </c>
      <c r="C1898" s="1105" t="str">
        <f aca="false">'Смета Внутр'!C1898</f>
        <v>шт</v>
      </c>
      <c r="D1898" s="1106" t="n">
        <f aca="false">'Смета Внутр'!D1898</f>
        <v>0</v>
      </c>
      <c r="E1898" s="1104"/>
      <c r="F1898" s="1107" t="n">
        <f aca="false">'Смета Внутр'!H1898</f>
        <v>0</v>
      </c>
    </row>
    <row r="1899" s="118" customFormat="true" ht="15" hidden="false" customHeight="false" outlineLevel="0" collapsed="false">
      <c r="B1899" s="1104" t="str">
        <f aca="false">'Смета Внутр'!B1899</f>
        <v>монтаж наличников</v>
      </c>
      <c r="C1899" s="1105" t="str">
        <f aca="false">'Смета Внутр'!C1899</f>
        <v>шт</v>
      </c>
      <c r="D1899" s="1106" t="n">
        <f aca="false">'Смета Внутр'!D1899</f>
        <v>0</v>
      </c>
      <c r="E1899" s="1104"/>
      <c r="F1899" s="1107" t="n">
        <f aca="false">'Смета Внутр'!H1899</f>
        <v>0</v>
      </c>
    </row>
    <row r="1900" s="118" customFormat="true" ht="15" hidden="false" customHeight="false" outlineLevel="0" collapsed="false">
      <c r="B1900" s="1104" t="str">
        <f aca="false">'Смета Внутр'!B1900</f>
        <v>монтаж порожков</v>
      </c>
      <c r="C1900" s="1105" t="str">
        <f aca="false">'Смета Внутр'!C1900</f>
        <v>шт</v>
      </c>
      <c r="D1900" s="1106" t="n">
        <f aca="false">'Смета Внутр'!D1900</f>
        <v>0</v>
      </c>
      <c r="E1900" s="1104"/>
      <c r="F1900" s="1107" t="n">
        <f aca="false">'Смета Внутр'!H1900</f>
        <v>0</v>
      </c>
    </row>
    <row r="1901" s="118" customFormat="true" ht="15" hidden="false" customHeight="false" outlineLevel="0" collapsed="false">
      <c r="B1901" s="1104" t="str">
        <f aca="false">'Смета Внутр'!B1901</f>
        <v>монтаж отбойников</v>
      </c>
      <c r="C1901" s="1105" t="str">
        <f aca="false">'Смета Внутр'!C1901</f>
        <v>шт</v>
      </c>
      <c r="D1901" s="1106" t="n">
        <f aca="false">'Смета Внутр'!D1901</f>
        <v>0</v>
      </c>
      <c r="E1901" s="1104"/>
      <c r="F1901" s="1107" t="n">
        <f aca="false">'Смета Внутр'!H1901</f>
        <v>0</v>
      </c>
    </row>
    <row r="1902" s="118" customFormat="true" ht="15" hidden="false" customHeight="false" outlineLevel="0" collapsed="false">
      <c r="B1902" s="1108" t="str">
        <f aca="false">'Смета Внутр'!B1902</f>
        <v>Итого работы</v>
      </c>
      <c r="C1902" s="1108"/>
      <c r="D1902" s="1108"/>
      <c r="E1902" s="1108"/>
      <c r="F1902" s="1122" t="n">
        <f aca="false">'Смета Внутр'!G1902</f>
        <v>140796.875723436</v>
      </c>
    </row>
    <row r="1903" s="118" customFormat="true" ht="18.75" hidden="false" customHeight="false" outlineLevel="0" collapsed="false">
      <c r="B1903" s="1111" t="str">
        <f aca="false">'Смета Внутр'!B1903</f>
        <v>Электрика</v>
      </c>
      <c r="C1903" s="1111"/>
      <c r="D1903" s="1111"/>
      <c r="E1903" s="1111"/>
      <c r="F1903" s="1102" t="n">
        <f aca="false">'Смета Внутр'!H1903</f>
        <v>0</v>
      </c>
    </row>
    <row r="1904" s="118" customFormat="true" ht="15" hidden="false" customHeight="false" outlineLevel="0" collapsed="false">
      <c r="B1904" s="1103" t="str">
        <f aca="false">'Смета Внутр'!B1904</f>
        <v>Материалы</v>
      </c>
      <c r="C1904" s="1103"/>
      <c r="D1904" s="1103"/>
      <c r="E1904" s="1103"/>
      <c r="F1904" s="1102" t="n">
        <f aca="false">'Смета Внутр'!H1904</f>
        <v>0</v>
      </c>
    </row>
    <row r="1905" s="118" customFormat="true" ht="15" hidden="false" customHeight="false" outlineLevel="0" collapsed="false">
      <c r="B1905" s="1104" t="str">
        <f aca="false">'Смета Внутр'!B1905</f>
        <v>Кабель ВВГнг(А)-LS 3х2,5 0,66</v>
      </c>
      <c r="C1905" s="1105" t="str">
        <f aca="false">'Смета Внутр'!C1905</f>
        <v>м.п.</v>
      </c>
      <c r="D1905" s="1106" t="n">
        <f aca="false">'Смета Внутр'!D1905</f>
        <v>180.64</v>
      </c>
      <c r="E1905" s="1104"/>
      <c r="F1905" s="1107" t="n">
        <f aca="false">'Смета Внутр'!H1905</f>
        <v>0</v>
      </c>
    </row>
    <row r="1906" s="118" customFormat="true" ht="15" hidden="false" customHeight="false" outlineLevel="0" collapsed="false">
      <c r="B1906" s="1104" t="str">
        <f aca="false">'Смета Внутр'!B1906</f>
        <v>Труба ПВХ гофрировонная гибкая 20</v>
      </c>
      <c r="C1906" s="1105" t="str">
        <f aca="false">'Смета Внутр'!C1906</f>
        <v>м.п.</v>
      </c>
      <c r="D1906" s="1106" t="n">
        <f aca="false">'Смета Внутр'!D1906</f>
        <v>198.704</v>
      </c>
      <c r="E1906" s="1104"/>
      <c r="F1906" s="1107" t="n">
        <f aca="false">'Смета Внутр'!H1906</f>
        <v>0</v>
      </c>
    </row>
    <row r="1907" s="118" customFormat="true" ht="15" hidden="false" customHeight="false" outlineLevel="0" collapsed="false">
      <c r="B1907" s="1104" t="str">
        <f aca="false">'Смета Внутр'!B1907</f>
        <v>Кабель ВВГнг(А)-LS 3х1,5 0,66</v>
      </c>
      <c r="C1907" s="1105" t="str">
        <f aca="false">'Смета Внутр'!C1907</f>
        <v>м.п.</v>
      </c>
      <c r="D1907" s="1106" t="n">
        <f aca="false">'Смета Внутр'!D1907</f>
        <v>327.36</v>
      </c>
      <c r="E1907" s="1104"/>
      <c r="F1907" s="1107" t="n">
        <f aca="false">'Смета Внутр'!H1907</f>
        <v>0</v>
      </c>
    </row>
    <row r="1908" s="118" customFormat="true" ht="15" hidden="false" customHeight="false" outlineLevel="0" collapsed="false">
      <c r="B1908" s="1104" t="str">
        <f aca="false">'Смета Внутр'!B1908</f>
        <v>Труба ПВХ гофрировонная гибкая 25</v>
      </c>
      <c r="C1908" s="1105" t="str">
        <f aca="false">'Смета Внутр'!C1908</f>
        <v>м.п.</v>
      </c>
      <c r="D1908" s="1106" t="n">
        <f aca="false">'Смета Внутр'!D1908</f>
        <v>360.096</v>
      </c>
      <c r="E1908" s="1104"/>
      <c r="F1908" s="1107" t="n">
        <f aca="false">'Смета Внутр'!H1908</f>
        <v>0</v>
      </c>
    </row>
    <row r="1909" s="118" customFormat="true" ht="15" hidden="false" customHeight="false" outlineLevel="0" collapsed="false">
      <c r="B1909" s="1104" t="str">
        <f aca="false">'Смета Внутр'!B1909</f>
        <v>Кабель ВВГнг(А)-LS 3х4 0,66</v>
      </c>
      <c r="C1909" s="1105" t="str">
        <f aca="false">'Смета Внутр'!C1909</f>
        <v>м.п.</v>
      </c>
      <c r="D1909" s="1106" t="n">
        <f aca="false">'Смета Внутр'!D1909</f>
        <v>60</v>
      </c>
      <c r="E1909" s="1104"/>
      <c r="F1909" s="1107" t="n">
        <f aca="false">'Смета Внутр'!H1909</f>
        <v>0</v>
      </c>
    </row>
    <row r="1910" s="118" customFormat="true" ht="15" hidden="false" customHeight="false" outlineLevel="0" collapsed="false">
      <c r="B1910" s="1104" t="str">
        <f aca="false">'Смета Внутр'!B1910</f>
        <v>Труба ПВХ гофрировонная гибкая 32</v>
      </c>
      <c r="C1910" s="1105" t="str">
        <f aca="false">'Смета Внутр'!C1910</f>
        <v>м.п.</v>
      </c>
      <c r="D1910" s="1106" t="n">
        <f aca="false">'Смета Внутр'!D1910</f>
        <v>66</v>
      </c>
      <c r="E1910" s="1104"/>
      <c r="F1910" s="1107" t="n">
        <f aca="false">'Смета Внутр'!H1910</f>
        <v>0</v>
      </c>
    </row>
    <row r="1911" s="118" customFormat="true" ht="15" hidden="false" customHeight="false" outlineLevel="0" collapsed="false">
      <c r="B1911" s="1104" t="str">
        <f aca="false">'Смета Внутр'!B1911</f>
        <v>крепления для гофры</v>
      </c>
      <c r="C1911" s="1105" t="str">
        <f aca="false">'Смета Внутр'!C1911</f>
        <v>шт</v>
      </c>
      <c r="D1911" s="1106" t="n">
        <f aca="false">'Смета Внутр'!D1911</f>
        <v>607</v>
      </c>
      <c r="E1911" s="1104"/>
      <c r="F1911" s="1107" t="n">
        <f aca="false">'Смета Внутр'!H1911</f>
        <v>0</v>
      </c>
    </row>
    <row r="1912" s="118" customFormat="true" ht="15" hidden="false" customHeight="false" outlineLevel="0" collapsed="false">
      <c r="B1912" s="1104" t="str">
        <f aca="false">'Смета Внутр'!B1912</f>
        <v>саморез для крепления гофры</v>
      </c>
      <c r="C1912" s="1105" t="str">
        <f aca="false">'Смета Внутр'!C1912</f>
        <v>шт</v>
      </c>
      <c r="D1912" s="1106" t="n">
        <f aca="false">'Смета Внутр'!D1912</f>
        <v>1214</v>
      </c>
      <c r="E1912" s="1104"/>
      <c r="F1912" s="1107" t="n">
        <f aca="false">'Смета Внутр'!H1912</f>
        <v>0</v>
      </c>
    </row>
    <row r="1913" s="118" customFormat="true" ht="15" hidden="false" customHeight="false" outlineLevel="0" collapsed="false">
      <c r="B1913" s="1104" t="str">
        <f aca="false">'Смета Внутр'!B1913</f>
        <v>Коробка распределения</v>
      </c>
      <c r="C1913" s="1105" t="str">
        <f aca="false">'Смета Внутр'!C1913</f>
        <v>шт</v>
      </c>
      <c r="D1913" s="1106" t="n">
        <f aca="false">'Смета Внутр'!D1913</f>
        <v>12</v>
      </c>
      <c r="E1913" s="1104"/>
      <c r="F1913" s="1107" t="n">
        <f aca="false">'Смета Внутр'!H1913</f>
        <v>0</v>
      </c>
    </row>
    <row r="1914" s="118" customFormat="true" ht="15" hidden="false" customHeight="false" outlineLevel="0" collapsed="false">
      <c r="B1914" s="1104" t="str">
        <f aca="false">'Смета Внутр'!B1914</f>
        <v>Вага</v>
      </c>
      <c r="C1914" s="1105" t="str">
        <f aca="false">'Смета Внутр'!C1914</f>
        <v>шт</v>
      </c>
      <c r="D1914" s="1106" t="n">
        <f aca="false">'Смета Внутр'!D1914</f>
        <v>480</v>
      </c>
      <c r="E1914" s="1104"/>
      <c r="F1914" s="1107" t="n">
        <f aca="false">'Смета Внутр'!H1914</f>
        <v>0</v>
      </c>
    </row>
    <row r="1915" s="118" customFormat="true" ht="15" hidden="false" customHeight="false" outlineLevel="0" collapsed="false">
      <c r="B1915" s="1104" t="str">
        <f aca="false">'Смета Внутр'!B1915</f>
        <v>Щиток электрический</v>
      </c>
      <c r="C1915" s="1105" t="str">
        <f aca="false">'Смета Внутр'!C1915</f>
        <v>шт</v>
      </c>
      <c r="D1915" s="1106" t="n">
        <f aca="false">'Смета Внутр'!D1915</f>
        <v>1</v>
      </c>
      <c r="E1915" s="1104"/>
      <c r="F1915" s="1107" t="n">
        <f aca="false">'Смета Внутр'!H1915</f>
        <v>0</v>
      </c>
    </row>
    <row r="1916" s="118" customFormat="true" ht="15" hidden="false" customHeight="false" outlineLevel="0" collapsed="false">
      <c r="B1916" s="1104" t="str">
        <f aca="false">'Смета Внутр'!B1916</f>
        <v>автомат, 3 полюса, 32амп</v>
      </c>
      <c r="C1916" s="1105" t="str">
        <f aca="false">'Смета Внутр'!C1916</f>
        <v>шт</v>
      </c>
      <c r="D1916" s="1106" t="n">
        <f aca="false">'Смета Внутр'!D1916</f>
        <v>2</v>
      </c>
      <c r="E1916" s="1104"/>
      <c r="F1916" s="1107" t="n">
        <f aca="false">'Смета Внутр'!H1916</f>
        <v>0</v>
      </c>
    </row>
    <row r="1917" s="118" customFormat="true" ht="15" hidden="false" customHeight="false" outlineLevel="0" collapsed="false">
      <c r="B1917" s="1104" t="str">
        <f aca="false">'Смета Внутр'!B1917</f>
        <v>автомат, 1 полюс, 16амп</v>
      </c>
      <c r="C1917" s="1105" t="str">
        <f aca="false">'Смета Внутр'!C1917</f>
        <v>шт</v>
      </c>
      <c r="D1917" s="1106" t="n">
        <f aca="false">'Смета Внутр'!D1917</f>
        <v>20</v>
      </c>
      <c r="E1917" s="1104"/>
      <c r="F1917" s="1107" t="n">
        <f aca="false">'Смета Внутр'!H1917</f>
        <v>0</v>
      </c>
    </row>
    <row r="1918" s="118" customFormat="true" ht="15" hidden="false" customHeight="false" outlineLevel="0" collapsed="false">
      <c r="B1918" s="1104" t="str">
        <f aca="false">'Смета Внутр'!B1918</f>
        <v>автомат, 1 полюс, 25 амп</v>
      </c>
      <c r="C1918" s="1105" t="str">
        <f aca="false">'Смета Внутр'!C1918</f>
        <v>шт</v>
      </c>
      <c r="D1918" s="1106" t="n">
        <f aca="false">'Смета Внутр'!D1918</f>
        <v>2</v>
      </c>
      <c r="E1918" s="1104"/>
      <c r="F1918" s="1107" t="n">
        <f aca="false">'Смета Внутр'!H1918</f>
        <v>0</v>
      </c>
    </row>
    <row r="1919" s="118" customFormat="true" ht="15" hidden="false" customHeight="false" outlineLevel="0" collapsed="false">
      <c r="B1919" s="1104" t="str">
        <f aca="false">'Смета Внутр'!B1919</f>
        <v>Коробка электрическая</v>
      </c>
      <c r="C1919" s="1105" t="str">
        <f aca="false">'Смета Внутр'!C1919</f>
        <v>шт</v>
      </c>
      <c r="D1919" s="1106" t="n">
        <f aca="false">'Смета Внутр'!D1919</f>
        <v>60</v>
      </c>
      <c r="E1919" s="1104"/>
      <c r="F1919" s="1107" t="n">
        <f aca="false">'Смета Внутр'!H1919</f>
        <v>0</v>
      </c>
    </row>
    <row r="1920" s="118" customFormat="true" ht="15" hidden="false" customHeight="false" outlineLevel="0" collapsed="false">
      <c r="B1920" s="1104" t="str">
        <f aca="false">'Смета Внутр'!B1920</f>
        <v>Розетка 2</v>
      </c>
      <c r="C1920" s="1105" t="str">
        <f aca="false">'Смета Внутр'!C1920</f>
        <v>шт</v>
      </c>
      <c r="D1920" s="1106" t="n">
        <f aca="false">'Смета Внутр'!D1920</f>
        <v>40</v>
      </c>
      <c r="E1920" s="1104"/>
      <c r="F1920" s="1107" t="n">
        <f aca="false">'Смета Внутр'!H1920</f>
        <v>0</v>
      </c>
    </row>
    <row r="1921" s="118" customFormat="true" ht="15" hidden="false" customHeight="false" outlineLevel="0" collapsed="false">
      <c r="B1921" s="1104" t="str">
        <f aca="false">'Смета Внутр'!B1921</f>
        <v>Выключатель 3</v>
      </c>
      <c r="C1921" s="1105" t="str">
        <f aca="false">'Смета Внутр'!C1921</f>
        <v>шт</v>
      </c>
      <c r="D1921" s="1106" t="n">
        <f aca="false">'Смета Внутр'!D1921</f>
        <v>20</v>
      </c>
      <c r="E1921" s="1104"/>
      <c r="F1921" s="1107" t="n">
        <f aca="false">'Смета Внутр'!H1921</f>
        <v>0</v>
      </c>
    </row>
    <row r="1922" s="118" customFormat="true" ht="15" hidden="false" customHeight="false" outlineLevel="0" collapsed="false">
      <c r="B1922" s="1108" t="str">
        <f aca="false">'Смета Внутр'!B1922</f>
        <v>Итого материалы</v>
      </c>
      <c r="C1922" s="1108"/>
      <c r="D1922" s="1108"/>
      <c r="E1922" s="1108"/>
      <c r="F1922" s="1109" t="n">
        <f aca="false">'Смета Внутр'!G1922</f>
        <v>0</v>
      </c>
    </row>
    <row r="1923" s="118" customFormat="true" ht="15" hidden="false" customHeight="false" outlineLevel="0" collapsed="false">
      <c r="B1923" s="1110" t="str">
        <f aca="false">'Смета Внутр'!B1923</f>
        <v>Работы</v>
      </c>
      <c r="C1923" s="1110"/>
      <c r="D1923" s="1110"/>
      <c r="E1923" s="1110"/>
      <c r="F1923" s="1102" t="n">
        <f aca="false">'Смета Внутр'!H1923</f>
        <v>0</v>
      </c>
    </row>
    <row r="1924" s="118" customFormat="true" ht="15" hidden="false" customHeight="false" outlineLevel="0" collapsed="false">
      <c r="B1924" s="1104" t="str">
        <f aca="false">'Смета Внутр'!B1924</f>
        <v>монтаж кабеля</v>
      </c>
      <c r="C1924" s="1105" t="str">
        <f aca="false">'Смета Внутр'!C1924</f>
        <v>м.п.</v>
      </c>
      <c r="D1924" s="1106" t="n">
        <f aca="false">'Смета Внутр'!D1924</f>
        <v>568</v>
      </c>
      <c r="E1924" s="1104"/>
      <c r="F1924" s="1107" t="n">
        <f aca="false">'Смета Внутр'!H1924</f>
        <v>0</v>
      </c>
    </row>
    <row r="1925" s="118" customFormat="true" ht="15" hidden="false" customHeight="false" outlineLevel="0" collapsed="false">
      <c r="B1925" s="1104" t="str">
        <f aca="false">'Смета Внутр'!B1925</f>
        <v>монтаж гофры</v>
      </c>
      <c r="C1925" s="1105" t="str">
        <f aca="false">'Смета Внутр'!C1925</f>
        <v>м.п.</v>
      </c>
      <c r="D1925" s="1106" t="n">
        <f aca="false">'Смета Внутр'!D1925</f>
        <v>568</v>
      </c>
      <c r="E1925" s="1104"/>
      <c r="F1925" s="1107" t="n">
        <f aca="false">'Смета Внутр'!H1925</f>
        <v>0</v>
      </c>
    </row>
    <row r="1926" s="118" customFormat="true" ht="15" hidden="false" customHeight="false" outlineLevel="0" collapsed="false">
      <c r="B1926" s="1104" t="str">
        <f aca="false">'Смета Внутр'!B1926</f>
        <v>монтаж коробок распр</v>
      </c>
      <c r="C1926" s="1105" t="str">
        <f aca="false">'Смета Внутр'!C1926</f>
        <v>шт.</v>
      </c>
      <c r="D1926" s="1106" t="n">
        <f aca="false">'Смета Внутр'!D1926</f>
        <v>12</v>
      </c>
      <c r="E1926" s="1104"/>
      <c r="F1926" s="1107" t="n">
        <f aca="false">'Смета Внутр'!H1926</f>
        <v>0</v>
      </c>
    </row>
    <row r="1927" s="118" customFormat="true" ht="15" hidden="false" customHeight="false" outlineLevel="0" collapsed="false">
      <c r="B1927" s="1104" t="str">
        <f aca="false">'Смета Внутр'!B1927</f>
        <v>монтаж коробок роз</v>
      </c>
      <c r="C1927" s="1105" t="str">
        <f aca="false">'Смета Внутр'!C1927</f>
        <v>шт.</v>
      </c>
      <c r="D1927" s="1106" t="n">
        <f aca="false">'Смета Внутр'!D1927</f>
        <v>40</v>
      </c>
      <c r="E1927" s="1104"/>
      <c r="F1927" s="1107" t="n">
        <f aca="false">'Смета Внутр'!H1927</f>
        <v>0</v>
      </c>
    </row>
    <row r="1928" s="118" customFormat="true" ht="15" hidden="false" customHeight="false" outlineLevel="0" collapsed="false">
      <c r="B1928" s="1104" t="str">
        <f aca="false">'Смета Внутр'!B1928</f>
        <v>монтаж коробок выкл</v>
      </c>
      <c r="C1928" s="1105" t="str">
        <f aca="false">'Смета Внутр'!C1928</f>
        <v>шт.</v>
      </c>
      <c r="D1928" s="1106" t="n">
        <f aca="false">'Смета Внутр'!D1928</f>
        <v>20</v>
      </c>
      <c r="E1928" s="1104"/>
      <c r="F1928" s="1107" t="n">
        <f aca="false">'Смета Внутр'!H1928</f>
        <v>0</v>
      </c>
    </row>
    <row r="1929" s="118" customFormat="true" ht="15" hidden="false" customHeight="false" outlineLevel="0" collapsed="false">
      <c r="B1929" s="1104" t="str">
        <f aca="false">'Смета Внутр'!B1929</f>
        <v>монтаж щитка</v>
      </c>
      <c r="C1929" s="1105" t="str">
        <f aca="false">'Смета Внутр'!C1929</f>
        <v>шт.</v>
      </c>
      <c r="D1929" s="1106" t="n">
        <f aca="false">'Смета Внутр'!D1929</f>
        <v>1</v>
      </c>
      <c r="E1929" s="1104"/>
      <c r="F1929" s="1107" t="n">
        <f aca="false">'Смета Внутр'!H1929</f>
        <v>0</v>
      </c>
    </row>
    <row r="1930" s="118" customFormat="true" ht="15" hidden="false" customHeight="false" outlineLevel="0" collapsed="false">
      <c r="B1930" s="1104" t="str">
        <f aca="false">'Смета Внутр'!B1930</f>
        <v>установка розеток</v>
      </c>
      <c r="C1930" s="1105" t="str">
        <f aca="false">'Смета Внутр'!C1930</f>
        <v>шт.</v>
      </c>
      <c r="D1930" s="1106" t="n">
        <f aca="false">'Смета Внутр'!D1930</f>
        <v>40</v>
      </c>
      <c r="E1930" s="1104"/>
      <c r="F1930" s="1107" t="n">
        <f aca="false">'Смета Внутр'!H1930</f>
        <v>0</v>
      </c>
    </row>
    <row r="1931" s="118" customFormat="true" ht="15" hidden="false" customHeight="false" outlineLevel="0" collapsed="false">
      <c r="B1931" s="1104" t="str">
        <f aca="false">'Смета Внутр'!B1931</f>
        <v>установка выключателей</v>
      </c>
      <c r="C1931" s="1105" t="str">
        <f aca="false">'Смета Внутр'!C1931</f>
        <v>шт.</v>
      </c>
      <c r="D1931" s="1106" t="n">
        <f aca="false">'Смета Внутр'!D1931</f>
        <v>20</v>
      </c>
      <c r="E1931" s="1104"/>
      <c r="F1931" s="1107" t="n">
        <f aca="false">'Смета Внутр'!H1931</f>
        <v>0</v>
      </c>
    </row>
    <row r="1932" s="118" customFormat="true" ht="15" hidden="false" customHeight="false" outlineLevel="0" collapsed="false">
      <c r="B1932" s="1108" t="str">
        <f aca="false">'Смета Внутр'!B1932</f>
        <v>Итого работы</v>
      </c>
      <c r="C1932" s="1108"/>
      <c r="D1932" s="1108"/>
      <c r="E1932" s="1108"/>
      <c r="F1932" s="1109" t="n">
        <f aca="false">'Смета Внутр'!G1932</f>
        <v>0</v>
      </c>
    </row>
    <row r="1933" s="118" customFormat="true" ht="18.75" hidden="false" customHeight="false" outlineLevel="0" collapsed="false">
      <c r="B1933" s="1111" t="str">
        <f aca="false">'Смета Внутр'!B1933</f>
        <v>Отопление радиаторное, холодное и горячее водоснабжение</v>
      </c>
      <c r="C1933" s="1111"/>
      <c r="D1933" s="1111"/>
      <c r="E1933" s="1111"/>
      <c r="F1933" s="1102" t="n">
        <f aca="false">'Смета Внутр'!H1933</f>
        <v>0</v>
      </c>
    </row>
    <row r="1934" s="118" customFormat="true" ht="15" hidden="false" customHeight="false" outlineLevel="0" collapsed="false">
      <c r="B1934" s="1103" t="str">
        <f aca="false">'Смета Внутр'!B1934</f>
        <v>Материалы</v>
      </c>
      <c r="C1934" s="1103"/>
      <c r="D1934" s="1103"/>
      <c r="E1934" s="1103"/>
      <c r="F1934" s="1102" t="n">
        <f aca="false">'Смета Внутр'!H1934</f>
        <v>0</v>
      </c>
    </row>
    <row r="1935" s="118" customFormat="true" ht="15" hidden="false" customHeight="false" outlineLevel="0" collapsed="false">
      <c r="B1935" s="1104" t="str">
        <f aca="false">'Смета Внутр'!B1935</f>
        <v>труба диам 25/32 отопление</v>
      </c>
      <c r="C1935" s="1105" t="str">
        <f aca="false">'Смета Внутр'!C1935</f>
        <v>м.п.</v>
      </c>
      <c r="D1935" s="1106" t="n">
        <f aca="false">'Смета Внутр'!D1935</f>
        <v>210.08</v>
      </c>
      <c r="E1935" s="1104"/>
      <c r="F1935" s="1107" t="n">
        <f aca="false">'Смета Внутр'!H1935</f>
        <v>0</v>
      </c>
    </row>
    <row r="1936" s="118" customFormat="true" ht="15" hidden="false" customHeight="false" outlineLevel="0" collapsed="false">
      <c r="B1936" s="1104" t="str">
        <f aca="false">'Смета Внутр'!B1936</f>
        <v>соеденители для трубы</v>
      </c>
      <c r="C1936" s="1105" t="str">
        <f aca="false">'Смета Внутр'!C1936</f>
        <v>шт</v>
      </c>
      <c r="D1936" s="1106" t="n">
        <f aca="false">'Смета Внутр'!D1936</f>
        <v>70.0266666666667</v>
      </c>
      <c r="E1936" s="1104"/>
      <c r="F1936" s="1107" t="n">
        <f aca="false">'Смета Внутр'!H1936</f>
        <v>0</v>
      </c>
    </row>
    <row r="1937" s="118" customFormat="true" ht="15" hidden="false" customHeight="false" outlineLevel="0" collapsed="false">
      <c r="B1937" s="1104" t="str">
        <f aca="false">'Смета Внутр'!B1937</f>
        <v>уголок 90 град</v>
      </c>
      <c r="C1937" s="1105" t="str">
        <f aca="false">'Смета Внутр'!C1937</f>
        <v>шт</v>
      </c>
      <c r="D1937" s="1106" t="n">
        <f aca="false">'Смета Внутр'!D1937</f>
        <v>84.032</v>
      </c>
      <c r="E1937" s="1104"/>
      <c r="F1937" s="1107" t="n">
        <f aca="false">'Смета Внутр'!H1937</f>
        <v>0</v>
      </c>
    </row>
    <row r="1938" s="118" customFormat="true" ht="15" hidden="false" customHeight="false" outlineLevel="0" collapsed="false">
      <c r="B1938" s="1104" t="str">
        <f aca="false">'Смета Внутр'!B1938</f>
        <v>радиаторы, 1 секция</v>
      </c>
      <c r="C1938" s="1105" t="str">
        <f aca="false">'Смета Внутр'!C1938</f>
        <v>шт</v>
      </c>
      <c r="D1938" s="1106" t="n">
        <f aca="false">'Смета Внутр'!D1938</f>
        <v>64</v>
      </c>
      <c r="E1938" s="1104"/>
      <c r="F1938" s="1107" t="n">
        <f aca="false">'Смета Внутр'!H1938</f>
        <v>0</v>
      </c>
    </row>
    <row r="1939" s="118" customFormat="true" ht="15" hidden="false" customHeight="false" outlineLevel="0" collapsed="false">
      <c r="B1939" s="1104" t="str">
        <f aca="false">'Смета Внутр'!B1939</f>
        <v>комплектующие для радиаторов</v>
      </c>
      <c r="C1939" s="1105" t="str">
        <f aca="false">'Смета Внутр'!C1939</f>
        <v>шт</v>
      </c>
      <c r="D1939" s="1106" t="n">
        <f aca="false">'Смета Внутр'!D1939</f>
        <v>64</v>
      </c>
      <c r="E1939" s="1104"/>
      <c r="F1939" s="1107" t="n">
        <f aca="false">'Смета Внутр'!H1939</f>
        <v>0</v>
      </c>
    </row>
    <row r="1940" s="118" customFormat="true" ht="15" hidden="false" customHeight="false" outlineLevel="0" collapsed="false">
      <c r="B1940" s="1104" t="str">
        <f aca="false">'Смета Внутр'!B1940</f>
        <v>кран американка ду 25/32 для радиаторов</v>
      </c>
      <c r="C1940" s="1105" t="str">
        <f aca="false">'Смета Внутр'!C1940</f>
        <v>шт</v>
      </c>
      <c r="D1940" s="1106" t="n">
        <f aca="false">'Смета Внутр'!D1940</f>
        <v>128</v>
      </c>
      <c r="E1940" s="1104"/>
      <c r="F1940" s="1107" t="n">
        <f aca="false">'Смета Внутр'!H1940</f>
        <v>0</v>
      </c>
    </row>
    <row r="1941" s="118" customFormat="true" ht="15" hidden="false" customHeight="false" outlineLevel="0" collapsed="false">
      <c r="B1941" s="1104" t="str">
        <f aca="false">'Смета Внутр'!B1941</f>
        <v>кран гайка/резьба ду 25/32</v>
      </c>
      <c r="C1941" s="1105" t="str">
        <f aca="false">'Смета Внутр'!C1941</f>
        <v>шт</v>
      </c>
      <c r="D1941" s="1106" t="n">
        <f aca="false">'Смета Внутр'!D1941</f>
        <v>128</v>
      </c>
      <c r="E1941" s="1104"/>
      <c r="F1941" s="1107" t="n">
        <f aca="false">'Смета Внутр'!H1941</f>
        <v>0</v>
      </c>
    </row>
    <row r="1942" s="118" customFormat="true" ht="15" hidden="false" customHeight="false" outlineLevel="0" collapsed="false">
      <c r="B1942" s="1104" t="str">
        <f aca="false">'Смета Внутр'!B1942</f>
        <v>труба диам 20 вода</v>
      </c>
      <c r="C1942" s="1105" t="str">
        <f aca="false">'Смета Внутр'!C1942</f>
        <v>м.п.</v>
      </c>
      <c r="D1942" s="1106" t="n">
        <f aca="false">'Смета Внутр'!D1942</f>
        <v>30</v>
      </c>
      <c r="E1942" s="1104"/>
      <c r="F1942" s="1107" t="n">
        <f aca="false">'Смета Внутр'!H1942</f>
        <v>0</v>
      </c>
    </row>
    <row r="1943" s="118" customFormat="true" ht="15" hidden="false" customHeight="false" outlineLevel="0" collapsed="false">
      <c r="B1943" s="1104" t="str">
        <f aca="false">'Смета Внутр'!B1943</f>
        <v>комплектующие для хол и гор водоснаб</v>
      </c>
      <c r="C1943" s="1105" t="str">
        <f aca="false">'Смета Внутр'!C1943</f>
        <v>шт</v>
      </c>
      <c r="D1943" s="1106" t="n">
        <f aca="false">'Смета Внутр'!D1943</f>
        <v>1</v>
      </c>
      <c r="E1943" s="1104"/>
      <c r="F1943" s="1107" t="n">
        <f aca="false">'Смета Внутр'!H1943</f>
        <v>0</v>
      </c>
    </row>
    <row r="1944" s="118" customFormat="true" ht="15" hidden="false" customHeight="false" outlineLevel="0" collapsed="false">
      <c r="B1944" s="1104" t="str">
        <f aca="false">'Смета Внутр'!B1944</f>
        <v>соеденители для трубы</v>
      </c>
      <c r="C1944" s="1105" t="str">
        <f aca="false">'Смета Внутр'!C1944</f>
        <v>шт</v>
      </c>
      <c r="D1944" s="1106" t="n">
        <f aca="false">'Смета Внутр'!D1944</f>
        <v>10</v>
      </c>
      <c r="E1944" s="1104"/>
      <c r="F1944" s="1107" t="n">
        <f aca="false">'Смета Внутр'!H1944</f>
        <v>0</v>
      </c>
    </row>
    <row r="1945" s="118" customFormat="true" ht="15" hidden="false" customHeight="false" outlineLevel="0" collapsed="false">
      <c r="B1945" s="1104" t="str">
        <f aca="false">'Смета Внутр'!B1945</f>
        <v>уголок 90 град</v>
      </c>
      <c r="C1945" s="1105" t="str">
        <f aca="false">'Смета Внутр'!C1945</f>
        <v>шт</v>
      </c>
      <c r="D1945" s="1106" t="n">
        <f aca="false">'Смета Внутр'!D1945</f>
        <v>15</v>
      </c>
      <c r="E1945" s="1104"/>
      <c r="F1945" s="1107" t="n">
        <f aca="false">'Смета Внутр'!H1945</f>
        <v>0</v>
      </c>
    </row>
    <row r="1946" s="118" customFormat="true" ht="15" hidden="false" customHeight="false" outlineLevel="0" collapsed="false">
      <c r="B1946" s="1108" t="str">
        <f aca="false">'Смета Внутр'!B1946</f>
        <v>Итого материалы</v>
      </c>
      <c r="C1946" s="1108"/>
      <c r="D1946" s="1108"/>
      <c r="E1946" s="1108"/>
      <c r="F1946" s="1109" t="n">
        <f aca="false">'Смета Внутр'!G1946</f>
        <v>0</v>
      </c>
    </row>
    <row r="1947" s="118" customFormat="true" ht="15" hidden="false" customHeight="false" outlineLevel="0" collapsed="false">
      <c r="B1947" s="1110" t="str">
        <f aca="false">'Смета Внутр'!B1947</f>
        <v>Работы</v>
      </c>
      <c r="C1947" s="1110"/>
      <c r="D1947" s="1110"/>
      <c r="E1947" s="1110"/>
      <c r="F1947" s="1102" t="n">
        <f aca="false">'Смета Внутр'!H1947</f>
        <v>0</v>
      </c>
    </row>
    <row r="1948" s="118" customFormat="true" ht="15" hidden="false" customHeight="false" outlineLevel="0" collapsed="false">
      <c r="B1948" s="1104" t="str">
        <f aca="false">'Смета Внутр'!B1948</f>
        <v>монтаж трубы</v>
      </c>
      <c r="C1948" s="1105" t="str">
        <f aca="false">'Смета Внутр'!C1948</f>
        <v>м.п.</v>
      </c>
      <c r="D1948" s="1106" t="n">
        <f aca="false">'Смета Внутр'!D1948</f>
        <v>240.08</v>
      </c>
      <c r="E1948" s="1104"/>
      <c r="F1948" s="1107" t="n">
        <f aca="false">'Смета Внутр'!H1948</f>
        <v>0</v>
      </c>
    </row>
    <row r="1949" s="118" customFormat="true" ht="15" hidden="false" customHeight="false" outlineLevel="0" collapsed="false">
      <c r="B1949" s="1104" t="str">
        <f aca="false">'Смета Внутр'!B1949</f>
        <v>установка радиаторов</v>
      </c>
      <c r="C1949" s="1105" t="str">
        <f aca="false">'Смета Внутр'!C1949</f>
        <v>шт</v>
      </c>
      <c r="D1949" s="1106" t="n">
        <f aca="false">'Смета Внутр'!D1949</f>
        <v>5</v>
      </c>
      <c r="E1949" s="1104"/>
      <c r="F1949" s="1107" t="n">
        <f aca="false">'Смета Внутр'!H1949</f>
        <v>0</v>
      </c>
    </row>
    <row r="1950" s="118" customFormat="true" ht="15" hidden="false" customHeight="false" outlineLevel="0" collapsed="false">
      <c r="B1950" s="1104" t="str">
        <f aca="false">'Смета Внутр'!B1950</f>
        <v>монтаж трубы</v>
      </c>
      <c r="C1950" s="1105" t="str">
        <f aca="false">'Смета Внутр'!C1950</f>
        <v>м.п.</v>
      </c>
      <c r="D1950" s="1106" t="n">
        <f aca="false">'Смета Внутр'!D1950</f>
        <v>30</v>
      </c>
      <c r="E1950" s="1104"/>
      <c r="F1950" s="1107" t="n">
        <f aca="false">'Смета Внутр'!H1950</f>
        <v>0</v>
      </c>
    </row>
    <row r="1951" s="118" customFormat="true" ht="15" hidden="false" customHeight="false" outlineLevel="0" collapsed="false">
      <c r="B1951" s="1108" t="str">
        <f aca="false">'Смета Внутр'!B1951</f>
        <v>Итого работы</v>
      </c>
      <c r="C1951" s="1108"/>
      <c r="D1951" s="1108"/>
      <c r="E1951" s="1108"/>
      <c r="F1951" s="1109" t="n">
        <f aca="false">'Смета Внутр'!G1951</f>
        <v>0</v>
      </c>
    </row>
    <row r="1952" s="118" customFormat="true" ht="18.75" hidden="false" customHeight="false" outlineLevel="0" collapsed="false">
      <c r="B1952" s="1111" t="str">
        <f aca="false">'Смета Внутр'!B1952</f>
        <v>Скважина</v>
      </c>
      <c r="C1952" s="1111"/>
      <c r="D1952" s="1111"/>
      <c r="E1952" s="1111"/>
      <c r="F1952" s="1102" t="n">
        <f aca="false">'Смета Внутр'!H1952</f>
        <v>0</v>
      </c>
    </row>
    <row r="1953" s="118" customFormat="true" ht="15" hidden="false" customHeight="false" outlineLevel="0" collapsed="false">
      <c r="B1953" s="1103" t="str">
        <f aca="false">'Смета Внутр'!B1953</f>
        <v>Материалы</v>
      </c>
      <c r="C1953" s="1103"/>
      <c r="D1953" s="1103"/>
      <c r="E1953" s="1103"/>
      <c r="F1953" s="1102" t="n">
        <f aca="false">'Смета Внутр'!H1953</f>
        <v>0</v>
      </c>
    </row>
    <row r="1954" s="118" customFormat="true" ht="15" hidden="false" customHeight="false" outlineLevel="0" collapsed="false">
      <c r="B1954" s="1104" t="str">
        <f aca="false">'Смета Внутр'!B1954</f>
        <v>насос малыш</v>
      </c>
      <c r="C1954" s="1105" t="str">
        <f aca="false">'Смета Внутр'!C1954</f>
        <v>шт</v>
      </c>
      <c r="D1954" s="1106" t="n">
        <f aca="false">'Смета Внутр'!D1954</f>
        <v>1</v>
      </c>
      <c r="E1954" s="1104"/>
      <c r="F1954" s="1107" t="n">
        <f aca="false">'Смета Внутр'!H1954</f>
        <v>0</v>
      </c>
    </row>
    <row r="1955" s="118" customFormat="true" ht="15" hidden="false" customHeight="false" outlineLevel="0" collapsed="false">
      <c r="B1955" s="1104" t="str">
        <f aca="false">'Смета Внутр'!B1955</f>
        <v>шланг для насоса</v>
      </c>
      <c r="C1955" s="1105" t="str">
        <f aca="false">'Смета Внутр'!C1955</f>
        <v>м.п.</v>
      </c>
      <c r="D1955" s="1106" t="n">
        <f aca="false">'Смета Внутр'!D1955</f>
        <v>50.4</v>
      </c>
      <c r="E1955" s="1104"/>
      <c r="F1955" s="1107" t="n">
        <f aca="false">'Смета Внутр'!H1955</f>
        <v>0</v>
      </c>
    </row>
    <row r="1956" s="118" customFormat="true" ht="15" hidden="false" customHeight="false" outlineLevel="0" collapsed="false">
      <c r="B1956" s="1104" t="str">
        <f aca="false">'Смета Внутр'!B1956</f>
        <v>тросик для насоса</v>
      </c>
      <c r="C1956" s="1105" t="str">
        <f aca="false">'Смета Внутр'!C1956</f>
        <v>м.п.</v>
      </c>
      <c r="D1956" s="1106" t="n">
        <f aca="false">'Смета Внутр'!D1956</f>
        <v>50.4</v>
      </c>
      <c r="E1956" s="1104"/>
      <c r="F1956" s="1107" t="n">
        <f aca="false">'Смета Внутр'!H1956</f>
        <v>0</v>
      </c>
    </row>
    <row r="1957" s="118" customFormat="true" ht="15" hidden="false" customHeight="false" outlineLevel="0" collapsed="false">
      <c r="B1957" s="1104" t="str">
        <f aca="false">'Смета Внутр'!B1957</f>
        <v>изолента</v>
      </c>
      <c r="C1957" s="1105" t="str">
        <f aca="false">'Смета Внутр'!C1957</f>
        <v>рул</v>
      </c>
      <c r="D1957" s="1106" t="n">
        <f aca="false">'Смета Внутр'!D1957</f>
        <v>1</v>
      </c>
      <c r="E1957" s="1104"/>
      <c r="F1957" s="1107" t="n">
        <f aca="false">'Смета Внутр'!H1957</f>
        <v>0</v>
      </c>
    </row>
    <row r="1958" s="118" customFormat="true" ht="15" hidden="false" customHeight="false" outlineLevel="0" collapsed="false">
      <c r="B1958" s="1104" t="str">
        <f aca="false">'Смета Внутр'!B1958</f>
        <v>гидроаккумулятор, 80л</v>
      </c>
      <c r="C1958" s="1105" t="str">
        <f aca="false">'Смета Внутр'!C1958</f>
        <v>шт</v>
      </c>
      <c r="D1958" s="1106" t="n">
        <f aca="false">'Смета Внутр'!D1958</f>
        <v>1</v>
      </c>
      <c r="E1958" s="1104"/>
      <c r="F1958" s="1107" t="n">
        <f aca="false">'Смета Внутр'!H1958</f>
        <v>0</v>
      </c>
    </row>
    <row r="1959" s="118" customFormat="true" ht="15" hidden="false" customHeight="false" outlineLevel="0" collapsed="false">
      <c r="B1959" s="1104" t="str">
        <f aca="false">'Смета Внутр'!B1959</f>
        <v>автоматика</v>
      </c>
      <c r="C1959" s="1105" t="str">
        <f aca="false">'Смета Внутр'!C1959</f>
        <v>шт</v>
      </c>
      <c r="D1959" s="1106" t="n">
        <f aca="false">'Смета Внутр'!D1959</f>
        <v>1</v>
      </c>
      <c r="E1959" s="1104"/>
      <c r="F1959" s="1107" t="n">
        <f aca="false">'Смета Внутр'!H1959</f>
        <v>0</v>
      </c>
    </row>
    <row r="1960" s="118" customFormat="true" ht="15" hidden="false" customHeight="false" outlineLevel="0" collapsed="false">
      <c r="B1960" s="1104" t="str">
        <f aca="false">'Смета Внутр'!B1960</f>
        <v>пнд труба</v>
      </c>
      <c r="C1960" s="1105" t="str">
        <f aca="false">'Смета Внутр'!C1960</f>
        <v>м.п.</v>
      </c>
      <c r="D1960" s="1106" t="n">
        <f aca="false">'Смета Внутр'!D1960</f>
        <v>50.4</v>
      </c>
      <c r="E1960" s="1104"/>
      <c r="F1960" s="1107" t="n">
        <f aca="false">'Смета Внутр'!H1960</f>
        <v>0</v>
      </c>
    </row>
    <row r="1961" s="118" customFormat="true" ht="15" hidden="false" customHeight="false" outlineLevel="0" collapsed="false">
      <c r="B1961" s="1104" t="str">
        <f aca="false">'Смета Внутр'!B1961</f>
        <v>скорлупа утепления двойная</v>
      </c>
      <c r="C1961" s="1105" t="str">
        <f aca="false">'Смета Внутр'!C1961</f>
        <v>м.п.</v>
      </c>
      <c r="D1961" s="1106" t="n">
        <f aca="false">'Смета Внутр'!D1961</f>
        <v>10</v>
      </c>
      <c r="E1961" s="1104"/>
      <c r="F1961" s="1107" t="n">
        <f aca="false">'Смета Внутр'!H1961</f>
        <v>0</v>
      </c>
    </row>
    <row r="1962" s="118" customFormat="true" ht="15" hidden="false" customHeight="false" outlineLevel="0" collapsed="false">
      <c r="B1962" s="1104" t="str">
        <f aca="false">'Смета Внутр'!B1962</f>
        <v>скважинный адаптер</v>
      </c>
      <c r="C1962" s="1105" t="str">
        <f aca="false">'Смета Внутр'!C1962</f>
        <v>шт</v>
      </c>
      <c r="D1962" s="1106" t="n">
        <f aca="false">'Смета Внутр'!D1962</f>
        <v>1</v>
      </c>
      <c r="E1962" s="1104"/>
      <c r="F1962" s="1107" t="n">
        <f aca="false">'Смета Внутр'!H1962</f>
        <v>0</v>
      </c>
    </row>
    <row r="1963" s="118" customFormat="true" ht="15" hidden="false" customHeight="false" outlineLevel="0" collapsed="false">
      <c r="B1963" s="1108" t="str">
        <f aca="false">'Смета Внутр'!B1963</f>
        <v>Итого материалы</v>
      </c>
      <c r="C1963" s="1108"/>
      <c r="D1963" s="1108"/>
      <c r="E1963" s="1108"/>
      <c r="F1963" s="1109" t="n">
        <f aca="false">'Смета Внутр'!G1963</f>
        <v>0</v>
      </c>
    </row>
    <row r="1964" s="118" customFormat="true" ht="15" hidden="false" customHeight="false" outlineLevel="0" collapsed="false">
      <c r="B1964" s="1110" t="str">
        <f aca="false">'Смета Внутр'!B1964</f>
        <v>Работы</v>
      </c>
      <c r="C1964" s="1110"/>
      <c r="D1964" s="1110"/>
      <c r="E1964" s="1110"/>
      <c r="F1964" s="1102" t="n">
        <f aca="false">'Смета Внутр'!H1964</f>
        <v>0</v>
      </c>
    </row>
    <row r="1965" s="118" customFormat="true" ht="15" hidden="false" customHeight="false" outlineLevel="0" collapsed="false">
      <c r="B1965" s="1104" t="str">
        <f aca="false">'Смета Внутр'!B1965</f>
        <v>контроль за земляными </v>
      </c>
      <c r="C1965" s="1105" t="str">
        <f aca="false">'Смета Внутр'!C1965</f>
        <v>шт</v>
      </c>
      <c r="D1965" s="1106" t="n">
        <f aca="false">'Смета Внутр'!D1965</f>
        <v>1</v>
      </c>
      <c r="E1965" s="1104"/>
      <c r="F1965" s="1107" t="n">
        <f aca="false">'Смета Внутр'!H1965</f>
        <v>0</v>
      </c>
    </row>
    <row r="1966" s="118" customFormat="true" ht="15" hidden="false" customHeight="false" outlineLevel="0" collapsed="false">
      <c r="B1966" s="1104" t="str">
        <f aca="false">'Смета Внутр'!B1966</f>
        <v>контроль за бурением</v>
      </c>
      <c r="C1966" s="1105" t="str">
        <f aca="false">'Смета Внутр'!C1966</f>
        <v>шт</v>
      </c>
      <c r="D1966" s="1106" t="n">
        <f aca="false">'Смета Внутр'!D1966</f>
        <v>1</v>
      </c>
      <c r="E1966" s="1104"/>
      <c r="F1966" s="1107" t="n">
        <f aca="false">'Смета Внутр'!H1966</f>
        <v>0</v>
      </c>
    </row>
    <row r="1967" s="118" customFormat="true" ht="15" hidden="false" customHeight="false" outlineLevel="0" collapsed="false">
      <c r="B1967" s="1104" t="str">
        <f aca="false">'Смета Внутр'!B1967</f>
        <v>установка скваж адап</v>
      </c>
      <c r="C1967" s="1105" t="str">
        <f aca="false">'Смета Внутр'!C1967</f>
        <v>шт</v>
      </c>
      <c r="D1967" s="1106" t="n">
        <f aca="false">'Смета Внутр'!D1967</f>
        <v>1</v>
      </c>
      <c r="E1967" s="1104"/>
      <c r="F1967" s="1107" t="n">
        <f aca="false">'Смета Внутр'!H1967</f>
        <v>0</v>
      </c>
    </row>
    <row r="1968" s="118" customFormat="true" ht="15" hidden="false" customHeight="false" outlineLevel="0" collapsed="false">
      <c r="B1968" s="1104" t="str">
        <f aca="false">'Смета Внутр'!B1968</f>
        <v>установка гидроаккум</v>
      </c>
      <c r="C1968" s="1105" t="str">
        <f aca="false">'Смета Внутр'!C1968</f>
        <v>шт</v>
      </c>
      <c r="D1968" s="1106" t="n">
        <f aca="false">'Смета Внутр'!D1968</f>
        <v>1</v>
      </c>
      <c r="E1968" s="1104"/>
      <c r="F1968" s="1107" t="n">
        <f aca="false">'Смета Внутр'!H1968</f>
        <v>0</v>
      </c>
    </row>
    <row r="1969" s="118" customFormat="true" ht="15" hidden="false" customHeight="false" outlineLevel="0" collapsed="false">
      <c r="B1969" s="1104" t="str">
        <f aca="false">'Смета Внутр'!B1969</f>
        <v>монтаж автоматики</v>
      </c>
      <c r="C1969" s="1105" t="str">
        <f aca="false">'Смета Внутр'!C1969</f>
        <v>шт</v>
      </c>
      <c r="D1969" s="1106" t="n">
        <f aca="false">'Смета Внутр'!D1969</f>
        <v>1</v>
      </c>
      <c r="E1969" s="1104"/>
      <c r="F1969" s="1107" t="n">
        <f aca="false">'Смета Внутр'!H1969</f>
        <v>0</v>
      </c>
    </row>
    <row r="1970" s="118" customFormat="true" ht="15" hidden="false" customHeight="false" outlineLevel="0" collapsed="false">
      <c r="B1970" s="1104" t="str">
        <f aca="false">'Смета Внутр'!B1970</f>
        <v>прокладка пнд с утепл</v>
      </c>
      <c r="C1970" s="1105" t="str">
        <f aca="false">'Смета Внутр'!C1970</f>
        <v>м.п.</v>
      </c>
      <c r="D1970" s="1106" t="n">
        <f aca="false">'Смета Внутр'!D1970</f>
        <v>10</v>
      </c>
      <c r="E1970" s="1104"/>
      <c r="F1970" s="1107" t="n">
        <f aca="false">'Смета Внутр'!H1970</f>
        <v>0</v>
      </c>
    </row>
    <row r="1971" s="118" customFormat="true" ht="15" hidden="false" customHeight="false" outlineLevel="0" collapsed="false">
      <c r="B1971" s="1108" t="str">
        <f aca="false">'Смета Внутр'!B1971</f>
        <v>Итого работы</v>
      </c>
      <c r="C1971" s="1108"/>
      <c r="D1971" s="1108"/>
      <c r="E1971" s="1108"/>
      <c r="F1971" s="1109" t="n">
        <f aca="false">'Смета Внутр'!G1971</f>
        <v>0</v>
      </c>
    </row>
    <row r="1972" s="118" customFormat="true" ht="18.75" hidden="false" customHeight="false" outlineLevel="0" collapsed="false">
      <c r="B1972" s="1111" t="str">
        <f aca="false">'Смета Внутр'!B1972</f>
        <v>Септик с утепленной канализацией</v>
      </c>
      <c r="C1972" s="1111"/>
      <c r="D1972" s="1111"/>
      <c r="E1972" s="1111"/>
      <c r="F1972" s="1102" t="n">
        <f aca="false">'Смета Внутр'!H1972</f>
        <v>0</v>
      </c>
    </row>
    <row r="1973" s="118" customFormat="true" ht="15" hidden="false" customHeight="false" outlineLevel="0" collapsed="false">
      <c r="B1973" s="1103" t="str">
        <f aca="false">'Смета Внутр'!B1973</f>
        <v>Материалы</v>
      </c>
      <c r="C1973" s="1103"/>
      <c r="D1973" s="1103"/>
      <c r="E1973" s="1103"/>
      <c r="F1973" s="1102" t="n">
        <f aca="false">'Смета Внутр'!H1973</f>
        <v>0</v>
      </c>
    </row>
    <row r="1974" s="118" customFormat="true" ht="15" hidden="false" customHeight="false" outlineLevel="0" collapsed="false">
      <c r="B1974" s="1104" t="str">
        <f aca="false">'Смета Внутр'!B1974</f>
        <v>дно бетонное, диаметр 1,5м.п.</v>
      </c>
      <c r="C1974" s="1105" t="str">
        <f aca="false">'Смета Внутр'!C1974</f>
        <v>шт</v>
      </c>
      <c r="D1974" s="1106" t="n">
        <f aca="false">'Смета Внутр'!D1974</f>
        <v>1</v>
      </c>
      <c r="E1974" s="1104"/>
      <c r="F1974" s="1107" t="n">
        <f aca="false">'Смета Внутр'!H1974</f>
        <v>0</v>
      </c>
    </row>
    <row r="1975" s="118" customFormat="true" ht="15" hidden="false" customHeight="false" outlineLevel="0" collapsed="false">
      <c r="B1975" s="1104" t="str">
        <f aca="false">'Смета Внутр'!B1975</f>
        <v>кольцо бетонное, диаметр 1,5м.п.</v>
      </c>
      <c r="C1975" s="1105" t="str">
        <f aca="false">'Смета Внутр'!C1975</f>
        <v>шт</v>
      </c>
      <c r="D1975" s="1106" t="n">
        <f aca="false">'Смета Внутр'!D1975</f>
        <v>3</v>
      </c>
      <c r="E1975" s="1104"/>
      <c r="F1975" s="1107" t="n">
        <f aca="false">'Смета Внутр'!H1975</f>
        <v>0</v>
      </c>
    </row>
    <row r="1976" s="118" customFormat="true" ht="15" hidden="false" customHeight="false" outlineLevel="0" collapsed="false">
      <c r="B1976" s="1104" t="str">
        <f aca="false">'Смета Внутр'!B1976</f>
        <v>крышка бетонная, диаметр 1,5м.п.</v>
      </c>
      <c r="C1976" s="1105" t="str">
        <f aca="false">'Смета Внутр'!C1976</f>
        <v>шт</v>
      </c>
      <c r="D1976" s="1106" t="n">
        <f aca="false">'Смета Внутр'!D1976</f>
        <v>1</v>
      </c>
      <c r="E1976" s="1104"/>
      <c r="F1976" s="1107" t="n">
        <f aca="false">'Смета Внутр'!H1976</f>
        <v>0</v>
      </c>
    </row>
    <row r="1977" s="118" customFormat="true" ht="15" hidden="false" customHeight="false" outlineLevel="0" collapsed="false">
      <c r="B1977" s="1104" t="str">
        <f aca="false">'Смета Внутр'!B1977</f>
        <v>Нет люка для крышки</v>
      </c>
      <c r="C1977" s="1105" t="str">
        <f aca="false">'Смета Внутр'!C1977</f>
        <v>шт</v>
      </c>
      <c r="D1977" s="1106" t="n">
        <f aca="false">'Смета Внутр'!D1977</f>
        <v>0</v>
      </c>
      <c r="E1977" s="1104"/>
      <c r="F1977" s="1107" t="n">
        <f aca="false">'Смета Внутр'!H1977</f>
        <v>0</v>
      </c>
    </row>
    <row r="1978" s="118" customFormat="true" ht="15" hidden="false" customHeight="false" outlineLevel="0" collapsed="false">
      <c r="B1978" s="1104" t="str">
        <f aca="false">'Смета Внутр'!B1978</f>
        <v>Горловина для септика бетонная</v>
      </c>
      <c r="C1978" s="1105" t="str">
        <f aca="false">'Смета Внутр'!C1978</f>
        <v>шт</v>
      </c>
      <c r="D1978" s="1106" t="n">
        <f aca="false">'Смета Внутр'!D1978</f>
        <v>1</v>
      </c>
      <c r="E1978" s="1104"/>
      <c r="F1978" s="1107" t="n">
        <f aca="false">'Смета Внутр'!H1978</f>
        <v>0</v>
      </c>
    </row>
    <row r="1979" s="118" customFormat="true" ht="15" hidden="false" customHeight="false" outlineLevel="0" collapsed="false">
      <c r="B1979" s="1104" t="str">
        <f aca="false">'Смета Внутр'!B1979</f>
        <v>Труба канализационная D110</v>
      </c>
      <c r="C1979" s="1105" t="str">
        <f aca="false">'Смета Внутр'!C1979</f>
        <v>м.п.</v>
      </c>
      <c r="D1979" s="1106" t="n">
        <f aca="false">'Смета Внутр'!D1979</f>
        <v>10</v>
      </c>
      <c r="E1979" s="1104"/>
      <c r="F1979" s="1107" t="n">
        <f aca="false">'Смета Внутр'!H1979</f>
        <v>0</v>
      </c>
    </row>
    <row r="1980" s="118" customFormat="true" ht="15" hidden="false" customHeight="false" outlineLevel="0" collapsed="false">
      <c r="B1980" s="1104" t="str">
        <f aca="false">'Смета Внутр'!B1980</f>
        <v>утепление для канализационной трубы</v>
      </c>
      <c r="C1980" s="1105" t="str">
        <f aca="false">'Смета Внутр'!C1980</f>
        <v>м.п.</v>
      </c>
      <c r="D1980" s="1106" t="n">
        <f aca="false">'Смета Внутр'!D1980</f>
        <v>8</v>
      </c>
      <c r="E1980" s="1104"/>
      <c r="F1980" s="1107" t="n">
        <f aca="false">'Смета Внутр'!H1980</f>
        <v>0</v>
      </c>
    </row>
    <row r="1981" s="118" customFormat="true" ht="15" hidden="false" customHeight="false" outlineLevel="0" collapsed="false">
      <c r="B1981" s="1104" t="str">
        <f aca="false">'Смета Внутр'!B1981</f>
        <v>раствор для бетонирования</v>
      </c>
      <c r="C1981" s="1105" t="str">
        <f aca="false">'Смета Внутр'!C1981</f>
        <v>шт</v>
      </c>
      <c r="D1981" s="1106" t="n">
        <f aca="false">'Смета Внутр'!D1981</f>
        <v>3</v>
      </c>
      <c r="E1981" s="1104"/>
      <c r="F1981" s="1107" t="n">
        <f aca="false">'Смета Внутр'!H1981</f>
        <v>0</v>
      </c>
    </row>
    <row r="1982" s="118" customFormat="true" ht="15" hidden="false" customHeight="false" outlineLevel="0" collapsed="false">
      <c r="B1982" s="1104" t="str">
        <f aca="false">'Смета Внутр'!B1982</f>
        <v>скотч для скорлупы утепления</v>
      </c>
      <c r="C1982" s="1105" t="str">
        <f aca="false">'Смета Внутр'!C1982</f>
        <v>шт</v>
      </c>
      <c r="D1982" s="1106" t="n">
        <f aca="false">'Смета Внутр'!D1982</f>
        <v>3</v>
      </c>
      <c r="E1982" s="1104"/>
      <c r="F1982" s="1107" t="n">
        <f aca="false">'Смета Внутр'!H1982</f>
        <v>0</v>
      </c>
    </row>
    <row r="1983" s="118" customFormat="true" ht="15" hidden="false" customHeight="false" outlineLevel="0" collapsed="false">
      <c r="B1983" s="1104" t="str">
        <f aca="false">'Смета Внутр'!B1983</f>
        <v>дно бетонное, диаметр 2м.п.</v>
      </c>
      <c r="C1983" s="1105" t="str">
        <f aca="false">'Смета Внутр'!C1983</f>
        <v>шт</v>
      </c>
      <c r="D1983" s="1106" t="n">
        <f aca="false">'Смета Внутр'!D1983</f>
        <v>1</v>
      </c>
      <c r="E1983" s="1104"/>
      <c r="F1983" s="1107" t="n">
        <f aca="false">'Смета Внутр'!H1983</f>
        <v>0</v>
      </c>
    </row>
    <row r="1984" s="118" customFormat="true" ht="15" hidden="false" customHeight="false" outlineLevel="0" collapsed="false">
      <c r="B1984" s="1104" t="str">
        <f aca="false">'Смета Внутр'!B1984</f>
        <v>кольцо бетонное, диаметр 2м.п.</v>
      </c>
      <c r="C1984" s="1105" t="str">
        <f aca="false">'Смета Внутр'!C1984</f>
        <v>шт</v>
      </c>
      <c r="D1984" s="1106" t="n">
        <f aca="false">'Смета Внутр'!D1984</f>
        <v>3</v>
      </c>
      <c r="E1984" s="1104"/>
      <c r="F1984" s="1107" t="n">
        <f aca="false">'Смета Внутр'!H1984</f>
        <v>0</v>
      </c>
    </row>
    <row r="1985" s="118" customFormat="true" ht="15" hidden="false" customHeight="false" outlineLevel="0" collapsed="false">
      <c r="B1985" s="1104" t="str">
        <f aca="false">'Смета Внутр'!B1985</f>
        <v>крышка бетонная, диаметр 2м.п.</v>
      </c>
      <c r="C1985" s="1105" t="str">
        <f aca="false">'Смета Внутр'!C1985</f>
        <v>шт</v>
      </c>
      <c r="D1985" s="1106" t="n">
        <f aca="false">'Смета Внутр'!D1985</f>
        <v>1</v>
      </c>
      <c r="E1985" s="1104"/>
      <c r="F1985" s="1107" t="n">
        <f aca="false">'Смета Внутр'!H1985</f>
        <v>0</v>
      </c>
    </row>
    <row r="1986" s="118" customFormat="true" ht="15" hidden="false" customHeight="false" outlineLevel="0" collapsed="false">
      <c r="B1986" s="1104" t="str">
        <f aca="false">'Смета Внутр'!B1986</f>
        <v>Нет люка для крышки</v>
      </c>
      <c r="C1986" s="1105" t="str">
        <f aca="false">'Смета Внутр'!C1986</f>
        <v>шт</v>
      </c>
      <c r="D1986" s="1106" t="n">
        <f aca="false">'Смета Внутр'!D1986</f>
        <v>0</v>
      </c>
      <c r="E1986" s="1104"/>
      <c r="F1986" s="1107" t="n">
        <f aca="false">'Смета Внутр'!H1986</f>
        <v>0</v>
      </c>
    </row>
    <row r="1987" s="118" customFormat="true" ht="15" hidden="false" customHeight="false" outlineLevel="0" collapsed="false">
      <c r="B1987" s="1108" t="str">
        <f aca="false">'Смета Внутр'!B1987</f>
        <v>Итого материалы</v>
      </c>
      <c r="C1987" s="1108"/>
      <c r="D1987" s="1108"/>
      <c r="E1987" s="1108"/>
      <c r="F1987" s="1109" t="n">
        <f aca="false">'Смета Внутр'!G1987</f>
        <v>0</v>
      </c>
    </row>
    <row r="1988" s="118" customFormat="true" ht="15" hidden="false" customHeight="false" outlineLevel="0" collapsed="false">
      <c r="B1988" s="1110" t="str">
        <f aca="false">'Смета Внутр'!B1988</f>
        <v>Работы</v>
      </c>
      <c r="C1988" s="1110"/>
      <c r="D1988" s="1110"/>
      <c r="E1988" s="1110"/>
      <c r="F1988" s="1102" t="n">
        <f aca="false">'Смета Внутр'!H1988</f>
        <v>0</v>
      </c>
    </row>
    <row r="1989" s="118" customFormat="true" ht="15" hidden="false" customHeight="false" outlineLevel="0" collapsed="false">
      <c r="B1989" s="1104" t="str">
        <f aca="false">'Смета Внутр'!B1989</f>
        <v>монтаж дна</v>
      </c>
      <c r="C1989" s="1105" t="str">
        <f aca="false">'Смета Внутр'!C1989</f>
        <v>шт</v>
      </c>
      <c r="D1989" s="1106" t="n">
        <f aca="false">'Смета Внутр'!D1989</f>
        <v>2</v>
      </c>
      <c r="E1989" s="1104"/>
      <c r="F1989" s="1107" t="n">
        <f aca="false">'Смета Внутр'!H1989</f>
        <v>0</v>
      </c>
    </row>
    <row r="1990" s="118" customFormat="true" ht="15" hidden="false" customHeight="false" outlineLevel="0" collapsed="false">
      <c r="B1990" s="1104" t="str">
        <f aca="false">'Смета Внутр'!B1990</f>
        <v>монтаж колец</v>
      </c>
      <c r="C1990" s="1105" t="str">
        <f aca="false">'Смета Внутр'!C1990</f>
        <v>шт</v>
      </c>
      <c r="D1990" s="1106" t="n">
        <f aca="false">'Смета Внутр'!D1990</f>
        <v>6</v>
      </c>
      <c r="E1990" s="1104"/>
      <c r="F1990" s="1107" t="n">
        <f aca="false">'Смета Внутр'!H1990</f>
        <v>0</v>
      </c>
    </row>
    <row r="1991" s="118" customFormat="true" ht="15" hidden="false" customHeight="false" outlineLevel="0" collapsed="false">
      <c r="B1991" s="1104" t="str">
        <f aca="false">'Смета Внутр'!B1991</f>
        <v>монтаж крышки</v>
      </c>
      <c r="C1991" s="1105" t="str">
        <f aca="false">'Смета Внутр'!C1991</f>
        <v>шт</v>
      </c>
      <c r="D1991" s="1106" t="n">
        <f aca="false">'Смета Внутр'!D1991</f>
        <v>2</v>
      </c>
      <c r="E1991" s="1104"/>
      <c r="F1991" s="1107" t="n">
        <f aca="false">'Смета Внутр'!H1991</f>
        <v>0</v>
      </c>
    </row>
    <row r="1992" s="118" customFormat="true" ht="15" hidden="false" customHeight="false" outlineLevel="0" collapsed="false">
      <c r="B1992" s="1104" t="str">
        <f aca="false">'Смета Внутр'!B1992</f>
        <v>монтаж люка</v>
      </c>
      <c r="C1992" s="1105" t="str">
        <f aca="false">'Смета Внутр'!C1992</f>
        <v>шт</v>
      </c>
      <c r="D1992" s="1106" t="n">
        <f aca="false">'Смета Внутр'!D1992</f>
        <v>0</v>
      </c>
      <c r="E1992" s="1104"/>
      <c r="F1992" s="1107" t="n">
        <f aca="false">'Смета Внутр'!H1992</f>
        <v>0</v>
      </c>
    </row>
    <row r="1993" s="118" customFormat="true" ht="15" hidden="false" customHeight="false" outlineLevel="0" collapsed="false">
      <c r="B1993" s="1104" t="str">
        <f aca="false">'Смета Внутр'!B1993</f>
        <v>монтаж горловины</v>
      </c>
      <c r="C1993" s="1105" t="str">
        <f aca="false">'Смета Внутр'!C1993</f>
        <v>м.п.</v>
      </c>
      <c r="D1993" s="1106" t="n">
        <f aca="false">'Смета Внутр'!D1993</f>
        <v>1</v>
      </c>
      <c r="E1993" s="1104"/>
      <c r="F1993" s="1107" t="n">
        <f aca="false">'Смета Внутр'!H1993</f>
        <v>0</v>
      </c>
    </row>
    <row r="1994" s="118" customFormat="true" ht="15" hidden="false" customHeight="false" outlineLevel="0" collapsed="false">
      <c r="B1994" s="1104" t="str">
        <f aca="false">'Смета Внутр'!B1994</f>
        <v>м/ж ут-ной канал</v>
      </c>
      <c r="C1994" s="1105" t="str">
        <f aca="false">'Смета Внутр'!C1994</f>
        <v>шт</v>
      </c>
      <c r="D1994" s="1106" t="n">
        <f aca="false">'Смета Внутр'!D1994</f>
        <v>10</v>
      </c>
      <c r="E1994" s="1104"/>
      <c r="F1994" s="1107" t="n">
        <f aca="false">'Смета Внутр'!H1994</f>
        <v>0</v>
      </c>
    </row>
    <row r="1995" s="118" customFormat="true" ht="15" hidden="false" customHeight="false" outlineLevel="0" collapsed="false">
      <c r="B1995" s="1104" t="str">
        <f aca="false">'Смета Внутр'!B1995</f>
        <v>бетонирование</v>
      </c>
      <c r="C1995" s="1105" t="str">
        <f aca="false">'Смета Внутр'!C1995</f>
        <v>шт</v>
      </c>
      <c r="D1995" s="1106" t="n">
        <f aca="false">'Смета Внутр'!D1995</f>
        <v>1</v>
      </c>
      <c r="E1995" s="1104"/>
      <c r="F1995" s="1107" t="n">
        <f aca="false">'Смета Внутр'!H1995</f>
        <v>0</v>
      </c>
    </row>
    <row r="1996" s="118" customFormat="true" ht="15" hidden="false" customHeight="false" outlineLevel="0" collapsed="false">
      <c r="B1996" s="1108" t="str">
        <f aca="false">'Смета Внутр'!B1996</f>
        <v>Итого работы</v>
      </c>
      <c r="C1996" s="1108"/>
      <c r="D1996" s="1108"/>
      <c r="E1996" s="1108"/>
      <c r="F1996" s="1109" t="n">
        <f aca="false">'Смета Внутр'!G1996</f>
        <v>0</v>
      </c>
    </row>
    <row r="1997" s="118" customFormat="true" ht="18.75" hidden="false" customHeight="false" outlineLevel="0" collapsed="false">
      <c r="B1997" s="1111" t="str">
        <f aca="false">'Смета Внутр'!B1997</f>
        <v>Котельная</v>
      </c>
      <c r="C1997" s="1111"/>
      <c r="D1997" s="1111"/>
      <c r="E1997" s="1111"/>
      <c r="F1997" s="1102" t="n">
        <f aca="false">'Смета Внутр'!H1997</f>
        <v>0</v>
      </c>
    </row>
    <row r="1998" s="118" customFormat="true" ht="15" hidden="false" customHeight="false" outlineLevel="0" collapsed="false">
      <c r="B1998" s="1103" t="str">
        <f aca="false">'Смета Внутр'!B1998</f>
        <v>Материалы</v>
      </c>
      <c r="C1998" s="1103"/>
      <c r="D1998" s="1103"/>
      <c r="E1998" s="1103"/>
      <c r="F1998" s="1102" t="n">
        <f aca="false">'Смета Внутр'!H1998</f>
        <v>0</v>
      </c>
    </row>
    <row r="1999" s="118" customFormat="true" ht="15" hidden="false" customHeight="false" outlineLevel="0" collapsed="false">
      <c r="B1999" s="1104" t="str">
        <f aca="false">'Смета Внутр'!B1999</f>
        <v>котел</v>
      </c>
      <c r="C1999" s="1105" t="str">
        <f aca="false">'Смета Внутр'!C1999</f>
        <v>шт</v>
      </c>
      <c r="D1999" s="1106" t="n">
        <f aca="false">'Смета Внутр'!D1999</f>
        <v>1</v>
      </c>
      <c r="E1999" s="1104"/>
      <c r="F1999" s="1107" t="n">
        <f aca="false">'Смета Внутр'!H1999</f>
        <v>0</v>
      </c>
    </row>
    <row r="2000" s="118" customFormat="true" ht="15" hidden="false" customHeight="false" outlineLevel="0" collapsed="false">
      <c r="B2000" s="1104" t="str">
        <f aca="false">'Смета Внутр'!B2000</f>
        <v>бойлер</v>
      </c>
      <c r="C2000" s="1105" t="str">
        <f aca="false">'Смета Внутр'!C2000</f>
        <v>шт</v>
      </c>
      <c r="D2000" s="1106" t="n">
        <f aca="false">'Смета Внутр'!D2000</f>
        <v>1</v>
      </c>
      <c r="E2000" s="1104"/>
      <c r="F2000" s="1107" t="n">
        <f aca="false">'Смета Внутр'!H2000</f>
        <v>0</v>
      </c>
    </row>
    <row r="2001" s="118" customFormat="true" ht="15" hidden="false" customHeight="false" outlineLevel="0" collapsed="false">
      <c r="B2001" s="1104" t="str">
        <f aca="false">'Смета Внутр'!B2001</f>
        <v>гребенка</v>
      </c>
      <c r="C2001" s="1105" t="str">
        <f aca="false">'Смета Внутр'!C2001</f>
        <v>шт</v>
      </c>
      <c r="D2001" s="1106" t="n">
        <f aca="false">'Смета Внутр'!D2001</f>
        <v>1</v>
      </c>
      <c r="E2001" s="1104"/>
      <c r="F2001" s="1107" t="n">
        <f aca="false">'Смета Внутр'!H2001</f>
        <v>0</v>
      </c>
    </row>
    <row r="2002" s="118" customFormat="true" ht="15" hidden="false" customHeight="false" outlineLevel="0" collapsed="false">
      <c r="B2002" s="1104" t="str">
        <f aca="false">'Смета Внутр'!B2002</f>
        <v>насос на отопление</v>
      </c>
      <c r="C2002" s="1105" t="str">
        <f aca="false">'Смета Внутр'!C2002</f>
        <v>шт</v>
      </c>
      <c r="D2002" s="1106" t="n">
        <f aca="false">'Смета Внутр'!D2002</f>
        <v>1</v>
      </c>
      <c r="E2002" s="1104"/>
      <c r="F2002" s="1107" t="n">
        <f aca="false">'Смета Внутр'!H2002</f>
        <v>0</v>
      </c>
    </row>
    <row r="2003" s="118" customFormat="true" ht="15" hidden="false" customHeight="false" outlineLevel="0" collapsed="false">
      <c r="B2003" s="1104" t="str">
        <f aca="false">'Смета Внутр'!B2003</f>
        <v>насос на горячее водоснабжение</v>
      </c>
      <c r="C2003" s="1105" t="str">
        <f aca="false">'Смета Внутр'!C2003</f>
        <v>шт</v>
      </c>
      <c r="D2003" s="1106" t="n">
        <f aca="false">'Смета Внутр'!D2003</f>
        <v>1</v>
      </c>
      <c r="E2003" s="1104"/>
      <c r="F2003" s="1107" t="n">
        <f aca="false">'Смета Внутр'!H2003</f>
        <v>0</v>
      </c>
    </row>
    <row r="2004" s="118" customFormat="true" ht="15" hidden="false" customHeight="false" outlineLevel="0" collapsed="false">
      <c r="B2004" s="1104" t="str">
        <f aca="false">'Смета Внутр'!B2004</f>
        <v>датчик давления</v>
      </c>
      <c r="C2004" s="1105" t="str">
        <f aca="false">'Смета Внутр'!C2004</f>
        <v>шт</v>
      </c>
      <c r="D2004" s="1106" t="n">
        <f aca="false">'Смета Внутр'!D2004</f>
        <v>2</v>
      </c>
      <c r="E2004" s="1104"/>
      <c r="F2004" s="1107" t="n">
        <f aca="false">'Смета Внутр'!H2004</f>
        <v>0</v>
      </c>
    </row>
    <row r="2005" s="118" customFormat="true" ht="15" hidden="false" customHeight="false" outlineLevel="0" collapsed="false">
      <c r="B2005" s="1104" t="str">
        <f aca="false">'Смета Внутр'!B2005</f>
        <v>сбросной клапан</v>
      </c>
      <c r="C2005" s="1105" t="str">
        <f aca="false">'Смета Внутр'!C2005</f>
        <v>шт</v>
      </c>
      <c r="D2005" s="1106" t="n">
        <f aca="false">'Смета Внутр'!D2005</f>
        <v>1</v>
      </c>
      <c r="E2005" s="1104"/>
      <c r="F2005" s="1107" t="n">
        <f aca="false">'Смета Внутр'!H2005</f>
        <v>0</v>
      </c>
    </row>
    <row r="2006" s="118" customFormat="true" ht="15" hidden="false" customHeight="false" outlineLevel="0" collapsed="false">
      <c r="B2006" s="1104" t="str">
        <f aca="false">'Смета Внутр'!B2006</f>
        <v>труба, черная ду 32</v>
      </c>
      <c r="C2006" s="1105" t="str">
        <f aca="false">'Смета Внутр'!C2006</f>
        <v>м.п.</v>
      </c>
      <c r="D2006" s="1106" t="n">
        <f aca="false">'Смета Внутр'!D2006</f>
        <v>20</v>
      </c>
      <c r="E2006" s="1104"/>
      <c r="F2006" s="1107" t="n">
        <f aca="false">'Смета Внутр'!H2006</f>
        <v>0</v>
      </c>
    </row>
    <row r="2007" s="118" customFormat="true" ht="15" hidden="false" customHeight="false" outlineLevel="0" collapsed="false">
      <c r="B2007" s="1104" t="str">
        <f aca="false">'Смета Внутр'!B2007</f>
        <v>угол ду 32</v>
      </c>
      <c r="C2007" s="1105" t="str">
        <f aca="false">'Смета Внутр'!C2007</f>
        <v>шт</v>
      </c>
      <c r="D2007" s="1106" t="n">
        <f aca="false">'Смета Внутр'!D2007</f>
        <v>10</v>
      </c>
      <c r="E2007" s="1104"/>
      <c r="F2007" s="1107" t="n">
        <f aca="false">'Смета Внутр'!H2007</f>
        <v>0</v>
      </c>
    </row>
    <row r="2008" s="118" customFormat="true" ht="15" hidden="false" customHeight="false" outlineLevel="0" collapsed="false">
      <c r="B2008" s="1104" t="str">
        <f aca="false">'Смета Внутр'!B2008</f>
        <v>бочонок ду 32</v>
      </c>
      <c r="C2008" s="1105" t="str">
        <f aca="false">'Смета Внутр'!C2008</f>
        <v>шт</v>
      </c>
      <c r="D2008" s="1106" t="n">
        <f aca="false">'Смета Внутр'!D2008</f>
        <v>10</v>
      </c>
      <c r="E2008" s="1104"/>
      <c r="F2008" s="1107" t="n">
        <f aca="false">'Смета Внутр'!H2008</f>
        <v>0</v>
      </c>
    </row>
    <row r="2009" s="118" customFormat="true" ht="15" hidden="false" customHeight="false" outlineLevel="0" collapsed="false">
      <c r="B2009" s="1104" t="str">
        <f aca="false">'Смета Внутр'!B2009</f>
        <v>резьба ду 32</v>
      </c>
      <c r="C2009" s="1105" t="str">
        <f aca="false">'Смета Внутр'!C2009</f>
        <v>шт</v>
      </c>
      <c r="D2009" s="1106" t="n">
        <f aca="false">'Смета Внутр'!D2009</f>
        <v>10</v>
      </c>
      <c r="E2009" s="1104"/>
      <c r="F2009" s="1107" t="n">
        <f aca="false">'Смета Внутр'!H2009</f>
        <v>0</v>
      </c>
    </row>
    <row r="2010" s="118" customFormat="true" ht="15" hidden="false" customHeight="false" outlineLevel="0" collapsed="false">
      <c r="B2010" s="1104" t="str">
        <f aca="false">'Смета Внутр'!B2010</f>
        <v>переод с ду 32на 20</v>
      </c>
      <c r="C2010" s="1105" t="str">
        <f aca="false">'Смета Внутр'!C2010</f>
        <v>шт</v>
      </c>
      <c r="D2010" s="1106" t="n">
        <f aca="false">'Смета Внутр'!D2010</f>
        <v>5</v>
      </c>
      <c r="E2010" s="1104"/>
      <c r="F2010" s="1107" t="n">
        <f aca="false">'Смета Внутр'!H2010</f>
        <v>0</v>
      </c>
    </row>
    <row r="2011" s="118" customFormat="true" ht="15" hidden="false" customHeight="false" outlineLevel="0" collapsed="false">
      <c r="B2011" s="1104" t="str">
        <f aca="false">'Смета Внутр'!B2011</f>
        <v>электроды, пачка</v>
      </c>
      <c r="C2011" s="1105" t="str">
        <f aca="false">'Смета Внутр'!C2011</f>
        <v>шт</v>
      </c>
      <c r="D2011" s="1106" t="n">
        <f aca="false">'Смета Внутр'!D2011</f>
        <v>1</v>
      </c>
      <c r="E2011" s="1104"/>
      <c r="F2011" s="1107" t="n">
        <f aca="false">'Смета Внутр'!H2011</f>
        <v>0</v>
      </c>
    </row>
    <row r="2012" s="118" customFormat="true" ht="15" hidden="false" customHeight="false" outlineLevel="0" collapsed="false">
      <c r="B2012" s="1104" t="str">
        <f aca="false">'Смета Внутр'!B2012</f>
        <v>лен</v>
      </c>
      <c r="C2012" s="1105" t="str">
        <f aca="false">'Смета Внутр'!C2012</f>
        <v>рулон</v>
      </c>
      <c r="D2012" s="1106" t="n">
        <f aca="false">'Смета Внутр'!D2012</f>
        <v>1</v>
      </c>
      <c r="E2012" s="1104"/>
      <c r="F2012" s="1107" t="n">
        <f aca="false">'Смета Внутр'!H2012</f>
        <v>0</v>
      </c>
    </row>
    <row r="2013" s="118" customFormat="true" ht="15" hidden="false" customHeight="false" outlineLevel="0" collapsed="false">
      <c r="B2013" s="1108" t="str">
        <f aca="false">'Смета Внутр'!B2013</f>
        <v>Итого материалы</v>
      </c>
      <c r="C2013" s="1108"/>
      <c r="D2013" s="1108"/>
      <c r="E2013" s="1108"/>
      <c r="F2013" s="1109" t="n">
        <f aca="false">'Смета Внутр'!G2013</f>
        <v>0</v>
      </c>
    </row>
    <row r="2014" s="118" customFormat="true" ht="15" hidden="false" customHeight="false" outlineLevel="0" collapsed="false">
      <c r="B2014" s="1110" t="str">
        <f aca="false">'Смета Внутр'!B2014</f>
        <v>Работы</v>
      </c>
      <c r="C2014" s="1110"/>
      <c r="D2014" s="1110"/>
      <c r="E2014" s="1110"/>
      <c r="F2014" s="1102" t="n">
        <f aca="false">'Смета Внутр'!H2014</f>
        <v>0</v>
      </c>
    </row>
    <row r="2015" s="118" customFormat="true" ht="15" hidden="false" customHeight="false" outlineLevel="0" collapsed="false">
      <c r="B2015" s="1104" t="str">
        <f aca="false">'Смета Внутр'!B2015</f>
        <v>котел установка</v>
      </c>
      <c r="C2015" s="1105" t="str">
        <f aca="false">'Смета Внутр'!C2015</f>
        <v>шт</v>
      </c>
      <c r="D2015" s="1106" t="n">
        <f aca="false">'Смета Внутр'!D2015</f>
        <v>1</v>
      </c>
      <c r="E2015" s="1104"/>
      <c r="F2015" s="1107" t="n">
        <f aca="false">'Смета Внутр'!H2015</f>
        <v>0</v>
      </c>
    </row>
    <row r="2016" s="118" customFormat="true" ht="15" hidden="false" customHeight="false" outlineLevel="0" collapsed="false">
      <c r="B2016" s="1104" t="str">
        <f aca="false">'Смета Внутр'!B2016</f>
        <v>бойлер установка</v>
      </c>
      <c r="C2016" s="1105" t="str">
        <f aca="false">'Смета Внутр'!C2016</f>
        <v>шт</v>
      </c>
      <c r="D2016" s="1106" t="n">
        <f aca="false">'Смета Внутр'!D2016</f>
        <v>1</v>
      </c>
      <c r="E2016" s="1104"/>
      <c r="F2016" s="1107" t="n">
        <f aca="false">'Смета Внутр'!H2016</f>
        <v>0</v>
      </c>
    </row>
    <row r="2017" s="118" customFormat="true" ht="15" hidden="false" customHeight="false" outlineLevel="0" collapsed="false">
      <c r="B2017" s="1104" t="str">
        <f aca="false">'Смета Внутр'!B2017</f>
        <v>гребенка установка</v>
      </c>
      <c r="C2017" s="1105" t="str">
        <f aca="false">'Смета Внутр'!C2017</f>
        <v>шт</v>
      </c>
      <c r="D2017" s="1106" t="n">
        <f aca="false">'Смета Внутр'!D2017</f>
        <v>1</v>
      </c>
      <c r="E2017" s="1104"/>
      <c r="F2017" s="1107" t="n">
        <f aca="false">'Смета Внутр'!H2017</f>
        <v>0</v>
      </c>
    </row>
    <row r="2018" s="118" customFormat="true" ht="15" hidden="false" customHeight="false" outlineLevel="0" collapsed="false">
      <c r="B2018" s="1104" t="str">
        <f aca="false">'Смета Внутр'!B2018</f>
        <v>насос установка на отопл</v>
      </c>
      <c r="C2018" s="1105" t="str">
        <f aca="false">'Смета Внутр'!C2018</f>
        <v>шт</v>
      </c>
      <c r="D2018" s="1106" t="n">
        <f aca="false">'Смета Внутр'!D2018</f>
        <v>1</v>
      </c>
      <c r="E2018" s="1104"/>
      <c r="F2018" s="1107" t="n">
        <f aca="false">'Смета Внутр'!H2018</f>
        <v>0</v>
      </c>
    </row>
    <row r="2019" s="118" customFormat="true" ht="15" hidden="false" customHeight="false" outlineLevel="0" collapsed="false">
      <c r="B2019" s="1104" t="str">
        <f aca="false">'Смета Внутр'!B2019</f>
        <v>насос установка на гвс</v>
      </c>
      <c r="C2019" s="1105" t="str">
        <f aca="false">'Смета Внутр'!C2019</f>
        <v>шт</v>
      </c>
      <c r="D2019" s="1106" t="n">
        <f aca="false">'Смета Внутр'!D2019</f>
        <v>1</v>
      </c>
      <c r="E2019" s="1104"/>
      <c r="F2019" s="1107" t="n">
        <f aca="false">'Смета Внутр'!H2019</f>
        <v>0</v>
      </c>
    </row>
    <row r="2020" s="118" customFormat="true" ht="15" hidden="false" customHeight="false" outlineLevel="0" collapsed="false">
      <c r="B2020" s="1104" t="str">
        <f aca="false">'Смета Внутр'!B2020</f>
        <v>монтаж сбросного клапана</v>
      </c>
      <c r="C2020" s="1105" t="str">
        <f aca="false">'Смета Внутр'!C2020</f>
        <v>шт</v>
      </c>
      <c r="D2020" s="1106" t="n">
        <f aca="false">'Смета Внутр'!D2020</f>
        <v>1</v>
      </c>
      <c r="E2020" s="1104"/>
      <c r="F2020" s="1107" t="n">
        <f aca="false">'Смета Внутр'!H2020</f>
        <v>0</v>
      </c>
    </row>
    <row r="2021" s="118" customFormat="true" ht="15" hidden="false" customHeight="false" outlineLevel="0" collapsed="false">
      <c r="B2021" s="1104" t="str">
        <f aca="false">'Смета Внутр'!B2021</f>
        <v>монтаж датчика</v>
      </c>
      <c r="C2021" s="1105" t="str">
        <f aca="false">'Смета Внутр'!C2021</f>
        <v>шт</v>
      </c>
      <c r="D2021" s="1106" t="n">
        <f aca="false">'Смета Внутр'!D2021</f>
        <v>2</v>
      </c>
      <c r="E2021" s="1104"/>
      <c r="F2021" s="1107" t="n">
        <f aca="false">'Смета Внутр'!H2021</f>
        <v>0</v>
      </c>
    </row>
    <row r="2022" s="118" customFormat="true" ht="15" hidden="false" customHeight="false" outlineLevel="0" collapsed="false">
      <c r="B2022" s="1104" t="str">
        <f aca="false">'Смета Внутр'!B2022</f>
        <v>труба обвязка</v>
      </c>
      <c r="C2022" s="1105" t="str">
        <f aca="false">'Смета Внутр'!C2022</f>
        <v>м.п.</v>
      </c>
      <c r="D2022" s="1106" t="n">
        <f aca="false">'Смета Внутр'!D2022</f>
        <v>20</v>
      </c>
      <c r="E2022" s="1104"/>
      <c r="F2022" s="1107" t="n">
        <f aca="false">'Смета Внутр'!H2022</f>
        <v>0</v>
      </c>
    </row>
    <row r="2023" s="118" customFormat="true" ht="15" hidden="false" customHeight="false" outlineLevel="0" collapsed="false">
      <c r="B2023" s="1108" t="str">
        <f aca="false">'Смета Внутр'!B2023</f>
        <v>Итого работы</v>
      </c>
      <c r="C2023" s="1108"/>
      <c r="D2023" s="1108"/>
      <c r="E2023" s="1108"/>
      <c r="F2023" s="1109" t="n">
        <f aca="false">'Смета Внутр'!G2023</f>
        <v>0</v>
      </c>
    </row>
    <row r="2024" s="118" customFormat="true" ht="18.75" hidden="false" customHeight="false" outlineLevel="0" collapsed="false">
      <c r="B2024" s="1111" t="str">
        <f aca="false">'Смета Внутр'!B2024</f>
        <v>Транспорт</v>
      </c>
      <c r="C2024" s="1111"/>
      <c r="D2024" s="1111"/>
      <c r="E2024" s="1111"/>
      <c r="F2024" s="1102" t="n">
        <f aca="false">'Смета Внутр'!H2024</f>
        <v>0</v>
      </c>
    </row>
    <row r="2025" s="118" customFormat="true" ht="15" hidden="false" customHeight="false" outlineLevel="0" collapsed="false">
      <c r="B2025" s="1104" t="str">
        <f aca="false">'Смета Внутр'!B2025</f>
        <v>Нет техники</v>
      </c>
      <c r="C2025" s="1105" t="str">
        <f aca="false">'Смета Внутр'!C2025</f>
        <v>ед.</v>
      </c>
      <c r="D2025" s="1106" t="n">
        <f aca="false">'Смета Внутр'!D2025</f>
        <v>0</v>
      </c>
      <c r="E2025" s="1104"/>
      <c r="F2025" s="1107" t="n">
        <f aca="false">'Смета Внутр'!H2025</f>
        <v>0</v>
      </c>
    </row>
    <row r="2026" s="118" customFormat="true" ht="15" hidden="false" customHeight="false" outlineLevel="0" collapsed="false">
      <c r="B2026" s="1104" t="str">
        <f aca="false">'Смета Внутр'!B2026</f>
        <v>Нет техники</v>
      </c>
      <c r="C2026" s="1105" t="str">
        <f aca="false">'Смета Внутр'!C2026</f>
        <v>ед.</v>
      </c>
      <c r="D2026" s="1106" t="n">
        <f aca="false">'Смета Внутр'!D2026</f>
        <v>0</v>
      </c>
      <c r="E2026" s="1104"/>
      <c r="F2026" s="1107" t="n">
        <f aca="false">'Смета Внутр'!H2026</f>
        <v>0</v>
      </c>
    </row>
    <row r="2027" s="118" customFormat="true" ht="15" hidden="false" customHeight="false" outlineLevel="0" collapsed="false">
      <c r="B2027" s="1104" t="str">
        <f aca="false">'Смета Внутр'!B2027</f>
        <v>Нет техники</v>
      </c>
      <c r="C2027" s="1105" t="str">
        <f aca="false">'Смета Внутр'!C2027</f>
        <v>ед.</v>
      </c>
      <c r="D2027" s="1106" t="n">
        <f aca="false">'Смета Внутр'!D2027</f>
        <v>0</v>
      </c>
      <c r="E2027" s="1104"/>
      <c r="F2027" s="1107" t="n">
        <f aca="false">'Смета Внутр'!H2027</f>
        <v>0</v>
      </c>
    </row>
    <row r="2028" s="118" customFormat="true" ht="15" hidden="false" customHeight="false" outlineLevel="0" collapsed="false">
      <c r="B2028" s="1104" t="str">
        <f aca="false">'Смета Внутр'!B2028</f>
        <v>Нет техники</v>
      </c>
      <c r="C2028" s="1105" t="str">
        <f aca="false">'Смета Внутр'!C2028</f>
        <v>ед.</v>
      </c>
      <c r="D2028" s="1106" t="n">
        <f aca="false">'Смета Внутр'!D2028</f>
        <v>0</v>
      </c>
      <c r="E2028" s="1104"/>
      <c r="F2028" s="1107" t="n">
        <f aca="false">'Смета Внутр'!H2028</f>
        <v>0</v>
      </c>
    </row>
    <row r="2029" s="118" customFormat="true" ht="15" hidden="false" customHeight="false" outlineLevel="0" collapsed="false">
      <c r="B2029" s="1104" t="str">
        <f aca="false">'Смета Внутр'!B2029</f>
        <v>Нет техники</v>
      </c>
      <c r="C2029" s="1105" t="str">
        <f aca="false">'Смета Внутр'!C2029</f>
        <v>ед.</v>
      </c>
      <c r="D2029" s="1106" t="n">
        <f aca="false">'Смета Внутр'!D2029</f>
        <v>4</v>
      </c>
      <c r="E2029" s="1104"/>
      <c r="F2029" s="1107" t="n">
        <f aca="false">'Смета Внутр'!H2029</f>
        <v>0</v>
      </c>
    </row>
    <row r="2030" s="118" customFormat="true" ht="15" hidden="false" customHeight="false" outlineLevel="0" collapsed="false">
      <c r="B2030" s="1104" t="str">
        <f aca="false">'Смета Внутр'!B2030</f>
        <v>Нет техники</v>
      </c>
      <c r="C2030" s="1105" t="str">
        <f aca="false">'Смета Внутр'!C2030</f>
        <v>ед.</v>
      </c>
      <c r="D2030" s="1106" t="n">
        <f aca="false">'Смета Внутр'!D2030</f>
        <v>4</v>
      </c>
      <c r="E2030" s="1104"/>
      <c r="F2030" s="1107" t="n">
        <f aca="false">'Смета Внутр'!H2030</f>
        <v>0</v>
      </c>
    </row>
    <row r="2031" s="118" customFormat="true" ht="15" hidden="false" customHeight="false" outlineLevel="0" collapsed="false">
      <c r="B2031" s="1104" t="str">
        <f aca="false">'Смета Внутр'!B2031</f>
        <v>Нет техники</v>
      </c>
      <c r="C2031" s="1105" t="str">
        <f aca="false">'Смета Внутр'!C2031</f>
        <v>ед.</v>
      </c>
      <c r="D2031" s="1106" t="n">
        <f aca="false">'Смета Внутр'!D2031</f>
        <v>6</v>
      </c>
      <c r="E2031" s="1104"/>
      <c r="F2031" s="1107" t="n">
        <f aca="false">'Смета Внутр'!H2031</f>
        <v>0</v>
      </c>
    </row>
    <row r="2032" s="118" customFormat="true" ht="15" hidden="false" customHeight="false" outlineLevel="0" collapsed="false">
      <c r="B2032" s="1104" t="str">
        <f aca="false">'Смета Внутр'!B2032</f>
        <v>Нет техники</v>
      </c>
      <c r="C2032" s="1105" t="str">
        <f aca="false">'Смета Внутр'!C2032</f>
        <v>ед.</v>
      </c>
      <c r="D2032" s="1106" t="n">
        <f aca="false">'Смета Внутр'!D2032</f>
        <v>4</v>
      </c>
      <c r="E2032" s="1104"/>
      <c r="F2032" s="1107" t="n">
        <f aca="false">'Смета Внутр'!H2032</f>
        <v>0</v>
      </c>
    </row>
    <row r="2033" s="118" customFormat="true" ht="15" hidden="false" customHeight="false" outlineLevel="0" collapsed="false">
      <c r="B2033" s="1104" t="str">
        <f aca="false">'Смета Внутр'!B2033</f>
        <v>Нет техники</v>
      </c>
      <c r="C2033" s="1105" t="str">
        <f aca="false">'Смета Внутр'!C2033</f>
        <v>ед.</v>
      </c>
      <c r="D2033" s="1106" t="n">
        <f aca="false">'Смета Внутр'!D2033</f>
        <v>0</v>
      </c>
      <c r="E2033" s="1104"/>
      <c r="F2033" s="1107" t="n">
        <f aca="false">'Смета Внутр'!H2033</f>
        <v>0</v>
      </c>
    </row>
    <row r="2034" s="118" customFormat="true" ht="15" hidden="false" customHeight="false" outlineLevel="0" collapsed="false">
      <c r="B2034" s="1104" t="str">
        <f aca="false">'Смета Внутр'!B2034</f>
        <v>Нет техники</v>
      </c>
      <c r="C2034" s="1105" t="str">
        <f aca="false">'Смета Внутр'!C2034</f>
        <v>ед.</v>
      </c>
      <c r="D2034" s="1106" t="n">
        <f aca="false">'Смета Внутр'!D2034</f>
        <v>4</v>
      </c>
      <c r="E2034" s="1104"/>
      <c r="F2034" s="1107" t="n">
        <f aca="false">'Смета Внутр'!H2034</f>
        <v>0</v>
      </c>
    </row>
    <row r="2035" s="118" customFormat="true" ht="15" hidden="false" customHeight="false" outlineLevel="0" collapsed="false">
      <c r="B2035" s="1104" t="str">
        <f aca="false">'Смета Внутр'!B2035</f>
        <v>Нет техники</v>
      </c>
      <c r="C2035" s="1105" t="str">
        <f aca="false">'Смета Внутр'!C2035</f>
        <v>ед.</v>
      </c>
      <c r="D2035" s="1106" t="n">
        <f aca="false">'Смета Внутр'!D2035</f>
        <v>4</v>
      </c>
      <c r="E2035" s="1104"/>
      <c r="F2035" s="1107" t="n">
        <f aca="false">'Смета Внутр'!H2035</f>
        <v>0</v>
      </c>
    </row>
    <row r="2036" s="118" customFormat="true" ht="15" hidden="false" customHeight="false" outlineLevel="0" collapsed="false">
      <c r="B2036" s="1104" t="str">
        <f aca="false">'Смета Внутр'!B2036</f>
        <v>Нет техники</v>
      </c>
      <c r="C2036" s="1105" t="str">
        <f aca="false">'Смета Внутр'!C2036</f>
        <v>ед.</v>
      </c>
      <c r="D2036" s="1106" t="n">
        <f aca="false">'Смета Внутр'!D2036</f>
        <v>6</v>
      </c>
      <c r="E2036" s="1104"/>
      <c r="F2036" s="1107" t="n">
        <f aca="false">'Смета Внутр'!H2036</f>
        <v>0</v>
      </c>
    </row>
    <row r="2037" s="118" customFormat="true" ht="15" hidden="false" customHeight="false" outlineLevel="0" collapsed="false">
      <c r="B2037" s="1104" t="str">
        <f aca="false">'Смета Внутр'!B2037</f>
        <v>Нет техники</v>
      </c>
      <c r="C2037" s="1105" t="str">
        <f aca="false">'Смета Внутр'!C2037</f>
        <v>ед.</v>
      </c>
      <c r="D2037" s="1106" t="n">
        <f aca="false">'Смета Внутр'!D2037</f>
        <v>4</v>
      </c>
      <c r="E2037" s="1104"/>
      <c r="F2037" s="1107" t="n">
        <f aca="false">'Смета Внутр'!H2037</f>
        <v>0</v>
      </c>
    </row>
    <row r="2038" s="118" customFormat="true" ht="15" hidden="false" customHeight="false" outlineLevel="0" collapsed="false">
      <c r="B2038" s="1104" t="str">
        <f aca="false">'Смета Внутр'!B2038</f>
        <v>Нет техники</v>
      </c>
      <c r="C2038" s="1105" t="str">
        <f aca="false">'Смета Внутр'!C2038</f>
        <v>ед.</v>
      </c>
      <c r="D2038" s="1106" t="n">
        <f aca="false">'Смета Внутр'!D2038</f>
        <v>0</v>
      </c>
      <c r="E2038" s="1104"/>
      <c r="F2038" s="1107" t="n">
        <f aca="false">'Смета Внутр'!H2038</f>
        <v>0</v>
      </c>
    </row>
    <row r="2039" s="118" customFormat="true" ht="15" hidden="false" customHeight="false" outlineLevel="0" collapsed="false">
      <c r="B2039" s="1104" t="str">
        <f aca="false">'Смета Внутр'!B2039</f>
        <v>Нет техники</v>
      </c>
      <c r="C2039" s="1105" t="str">
        <f aca="false">'Смета Внутр'!C2039</f>
        <v>ед.</v>
      </c>
      <c r="D2039" s="1106" t="n">
        <f aca="false">'Смета Внутр'!D2039</f>
        <v>3</v>
      </c>
      <c r="E2039" s="1104"/>
      <c r="F2039" s="1107" t="n">
        <f aca="false">'Смета Внутр'!H2039</f>
        <v>0</v>
      </c>
    </row>
    <row r="2040" s="118" customFormat="true" ht="15" hidden="false" customHeight="false" outlineLevel="0" collapsed="false">
      <c r="B2040" s="1104" t="str">
        <f aca="false">'Смета Внутр'!B2040</f>
        <v>Нет техники</v>
      </c>
      <c r="C2040" s="1105" t="str">
        <f aca="false">'Смета Внутр'!C2040</f>
        <v>ед.</v>
      </c>
      <c r="D2040" s="1106" t="n">
        <f aca="false">'Смета Внутр'!D2040</f>
        <v>0</v>
      </c>
      <c r="E2040" s="1104"/>
      <c r="F2040" s="1107" t="n">
        <f aca="false">'Смета Внутр'!H2040</f>
        <v>0</v>
      </c>
    </row>
    <row r="2041" s="118" customFormat="true" ht="15" hidden="false" customHeight="false" outlineLevel="0" collapsed="false">
      <c r="B2041" s="1104" t="str">
        <f aca="false">'Смета Внутр'!B2041</f>
        <v>Нет техники</v>
      </c>
      <c r="C2041" s="1105" t="str">
        <f aca="false">'Смета Внутр'!C2041</f>
        <v>ед.</v>
      </c>
      <c r="D2041" s="1106" t="n">
        <f aca="false">'Смета Внутр'!D2041</f>
        <v>0</v>
      </c>
      <c r="E2041" s="1104"/>
      <c r="F2041" s="1107" t="n">
        <f aca="false">'Смета Внутр'!H2041</f>
        <v>0</v>
      </c>
    </row>
    <row r="2042" s="118" customFormat="true" ht="15" hidden="false" customHeight="false" outlineLevel="0" collapsed="false">
      <c r="B2042" s="1104" t="str">
        <f aca="false">'Смета Внутр'!B2042</f>
        <v>Нет техники</v>
      </c>
      <c r="C2042" s="1105" t="str">
        <f aca="false">'Смета Внутр'!C2042</f>
        <v>ед.</v>
      </c>
      <c r="D2042" s="1106" t="n">
        <f aca="false">'Смета Внутр'!D2042</f>
        <v>0</v>
      </c>
      <c r="E2042" s="1104"/>
      <c r="F2042" s="1107" t="n">
        <f aca="false">'Смета Внутр'!H2042</f>
        <v>0</v>
      </c>
    </row>
    <row r="2043" s="118" customFormat="true" ht="15" hidden="false" customHeight="false" outlineLevel="0" collapsed="false">
      <c r="B2043" s="1104" t="str">
        <f aca="false">'Смета Внутр'!B2043</f>
        <v>Нет техники</v>
      </c>
      <c r="C2043" s="1105" t="str">
        <f aca="false">'Смета Внутр'!C2043</f>
        <v>ед.</v>
      </c>
      <c r="D2043" s="1106" t="n">
        <f aca="false">'Смета Внутр'!D2043</f>
        <v>0</v>
      </c>
      <c r="E2043" s="1104"/>
      <c r="F2043" s="1107" t="n">
        <f aca="false">'Смета Внутр'!H2043</f>
        <v>0</v>
      </c>
    </row>
    <row r="2044" s="118" customFormat="true" ht="15" hidden="false" customHeight="false" outlineLevel="0" collapsed="false">
      <c r="B2044" s="1104" t="str">
        <f aca="false">'Смета Внутр'!B2044</f>
        <v>Нет техники</v>
      </c>
      <c r="C2044" s="1105" t="str">
        <f aca="false">'Смета Внутр'!C2044</f>
        <v>ед.</v>
      </c>
      <c r="D2044" s="1106" t="n">
        <f aca="false">'Смета Внутр'!D2044</f>
        <v>0</v>
      </c>
      <c r="E2044" s="1104"/>
      <c r="F2044" s="1107" t="n">
        <f aca="false">'Смета Внутр'!H2044</f>
        <v>0</v>
      </c>
    </row>
    <row r="2045" s="118" customFormat="true" ht="15" hidden="false" customHeight="false" outlineLevel="0" collapsed="false">
      <c r="B2045" s="1104" t="str">
        <f aca="false">'Смета Внутр'!B2045</f>
        <v>Газель</v>
      </c>
      <c r="C2045" s="1105" t="str">
        <f aca="false">'Смета Внутр'!C2045</f>
        <v>ед.</v>
      </c>
      <c r="D2045" s="1106" t="n">
        <f aca="false">'Смета Внутр'!D2045</f>
        <v>0</v>
      </c>
      <c r="E2045" s="1104"/>
      <c r="F2045" s="1107" t="n">
        <f aca="false">'Смета Внутр'!H2045</f>
        <v>0</v>
      </c>
    </row>
    <row r="2046" s="118" customFormat="true" ht="15" hidden="false" customHeight="false" outlineLevel="0" collapsed="false">
      <c r="B2046" s="1104" t="str">
        <f aca="false">'Смета Внутр'!B2046</f>
        <v>Нет техники</v>
      </c>
      <c r="C2046" s="1105" t="str">
        <f aca="false">'Смета Внутр'!C2046</f>
        <v>ед.</v>
      </c>
      <c r="D2046" s="1106" t="n">
        <f aca="false">'Смета Внутр'!D2046</f>
        <v>0</v>
      </c>
      <c r="E2046" s="1104"/>
      <c r="F2046" s="1107" t="n">
        <f aca="false">'Смета Внутр'!H2046</f>
        <v>0</v>
      </c>
    </row>
    <row r="2047" s="118" customFormat="true" ht="15" hidden="false" customHeight="false" outlineLevel="0" collapsed="false">
      <c r="B2047" s="1104" t="str">
        <f aca="false">'Смета Внутр'!B2047</f>
        <v>Нет техники</v>
      </c>
      <c r="C2047" s="1105" t="str">
        <f aca="false">'Смета Внутр'!C2047</f>
        <v>ед.</v>
      </c>
      <c r="D2047" s="1106" t="n">
        <f aca="false">'Смета Внутр'!D2047</f>
        <v>0</v>
      </c>
      <c r="E2047" s="1104"/>
      <c r="F2047" s="1107" t="n">
        <f aca="false">'Смета Внутр'!H2047</f>
        <v>0</v>
      </c>
    </row>
    <row r="2048" s="118" customFormat="true" ht="15" hidden="false" customHeight="false" outlineLevel="0" collapsed="false">
      <c r="B2048" s="1104" t="str">
        <f aca="false">'Смета Внутр'!B2048</f>
        <v>Нет техники</v>
      </c>
      <c r="C2048" s="1105" t="str">
        <f aca="false">'Смета Внутр'!C2048</f>
        <v>ед.</v>
      </c>
      <c r="D2048" s="1106" t="n">
        <f aca="false">'Смета Внутр'!D2048</f>
        <v>0</v>
      </c>
      <c r="E2048" s="1104"/>
      <c r="F2048" s="1107" t="n">
        <f aca="false">'Смета Внутр'!H2048</f>
        <v>0</v>
      </c>
    </row>
    <row r="2049" s="118" customFormat="true" ht="15" hidden="false" customHeight="false" outlineLevel="0" collapsed="false">
      <c r="B2049" s="1104" t="str">
        <f aca="false">'Смета Внутр'!B2049</f>
        <v>Нет техники</v>
      </c>
      <c r="C2049" s="1105" t="str">
        <f aca="false">'Смета Внутр'!C2049</f>
        <v>ед.</v>
      </c>
      <c r="D2049" s="1106" t="n">
        <f aca="false">'Смета Внутр'!D2049</f>
        <v>0</v>
      </c>
      <c r="E2049" s="1104"/>
      <c r="F2049" s="1107" t="n">
        <f aca="false">'Смета Внутр'!H2049</f>
        <v>0</v>
      </c>
    </row>
    <row r="2050" s="118" customFormat="true" ht="15" hidden="false" customHeight="false" outlineLevel="0" collapsed="false">
      <c r="B2050" s="1104" t="str">
        <f aca="false">'Смета Внутр'!B2050</f>
        <v>Нет техники</v>
      </c>
      <c r="C2050" s="1105" t="str">
        <f aca="false">'Смета Внутр'!C2050</f>
        <v>ед.</v>
      </c>
      <c r="D2050" s="1106" t="n">
        <f aca="false">'Смета Внутр'!D2050</f>
        <v>0</v>
      </c>
      <c r="E2050" s="1104"/>
      <c r="F2050" s="1107" t="n">
        <f aca="false">'Смета Внутр'!H2050</f>
        <v>0</v>
      </c>
    </row>
    <row r="2051" s="118" customFormat="true" ht="15" hidden="false" customHeight="false" outlineLevel="0" collapsed="false">
      <c r="B2051" s="1104" t="str">
        <f aca="false">'Смета Внутр'!B2051</f>
        <v>Нет техники</v>
      </c>
      <c r="C2051" s="1105" t="str">
        <f aca="false">'Смета Внутр'!C2051</f>
        <v>ед.</v>
      </c>
      <c r="D2051" s="1106" t="n">
        <f aca="false">'Смета Внутр'!D2051</f>
        <v>0</v>
      </c>
      <c r="E2051" s="1104"/>
      <c r="F2051" s="1107" t="n">
        <f aca="false">'Смета Внутр'!H2051</f>
        <v>0</v>
      </c>
    </row>
    <row r="2052" s="118" customFormat="true" ht="15" hidden="false" customHeight="false" outlineLevel="0" collapsed="false">
      <c r="B2052" s="1104" t="str">
        <f aca="false">'Смета Внутр'!B2052</f>
        <v>Нет техники</v>
      </c>
      <c r="C2052" s="1105" t="str">
        <f aca="false">'Смета Внутр'!C2052</f>
        <v>ед.</v>
      </c>
      <c r="D2052" s="1106" t="n">
        <f aca="false">'Смета Внутр'!D2052</f>
        <v>0</v>
      </c>
      <c r="E2052" s="1104"/>
      <c r="F2052" s="1107" t="n">
        <f aca="false">'Смета Внутр'!H2052</f>
        <v>0</v>
      </c>
    </row>
    <row r="2053" s="118" customFormat="true" ht="15" hidden="false" customHeight="false" outlineLevel="0" collapsed="false">
      <c r="B2053" s="1104" t="str">
        <f aca="false">'Смета Внутр'!B2053</f>
        <v>Нет техники</v>
      </c>
      <c r="C2053" s="1105" t="str">
        <f aca="false">'Смета Внутр'!C2053</f>
        <v>ед.</v>
      </c>
      <c r="D2053" s="1106" t="n">
        <f aca="false">'Смета Внутр'!D2053</f>
        <v>0</v>
      </c>
      <c r="E2053" s="1104"/>
      <c r="F2053" s="1107" t="n">
        <f aca="false">'Смета Внутр'!H2053</f>
        <v>0</v>
      </c>
    </row>
    <row r="2054" s="118" customFormat="true" ht="15" hidden="false" customHeight="false" outlineLevel="0" collapsed="false">
      <c r="B2054" s="1104" t="str">
        <f aca="false">'Смета Внутр'!B2054</f>
        <v>Нет техники</v>
      </c>
      <c r="C2054" s="1105" t="str">
        <f aca="false">'Смета Внутр'!C2054</f>
        <v>ед.</v>
      </c>
      <c r="D2054" s="1106" t="n">
        <f aca="false">'Смета Внутр'!D2054</f>
        <v>0</v>
      </c>
      <c r="E2054" s="1104"/>
      <c r="F2054" s="1107" t="n">
        <f aca="false">'Смета Внутр'!H2054</f>
        <v>0</v>
      </c>
    </row>
    <row r="2055" s="118" customFormat="true" ht="15" hidden="false" customHeight="false" outlineLevel="0" collapsed="false">
      <c r="B2055" s="1104" t="str">
        <f aca="false">'Смета Внутр'!B2055</f>
        <v>Нет техники</v>
      </c>
      <c r="C2055" s="1105" t="str">
        <f aca="false">'Смета Внутр'!C2055</f>
        <v>ед.</v>
      </c>
      <c r="D2055" s="1106" t="n">
        <f aca="false">'Смета Внутр'!D2055</f>
        <v>0</v>
      </c>
      <c r="E2055" s="1104"/>
      <c r="F2055" s="1107" t="n">
        <f aca="false">'Смета Внутр'!H2055</f>
        <v>0</v>
      </c>
    </row>
    <row r="2056" s="118" customFormat="true" ht="15" hidden="false" customHeight="false" outlineLevel="0" collapsed="false">
      <c r="B2056" s="1104" t="str">
        <f aca="false">'Смета Внутр'!B2056</f>
        <v>Нет техники</v>
      </c>
      <c r="C2056" s="1105" t="str">
        <f aca="false">'Смета Внутр'!C2056</f>
        <v>ед.</v>
      </c>
      <c r="D2056" s="1106" t="n">
        <f aca="false">'Смета Внутр'!D2056</f>
        <v>0</v>
      </c>
      <c r="E2056" s="1104"/>
      <c r="F2056" s="1107" t="n">
        <f aca="false">'Смета Внутр'!H2056</f>
        <v>0</v>
      </c>
    </row>
    <row r="2057" s="118" customFormat="true" ht="15" hidden="false" customHeight="false" outlineLevel="0" collapsed="false">
      <c r="B2057" s="1104" t="str">
        <f aca="false">'Смета Внутр'!B2057</f>
        <v>Нет техники</v>
      </c>
      <c r="C2057" s="1105" t="str">
        <f aca="false">'Смета Внутр'!C2057</f>
        <v>ед.</v>
      </c>
      <c r="D2057" s="1106" t="n">
        <f aca="false">'Смета Внутр'!D2057</f>
        <v>0</v>
      </c>
      <c r="E2057" s="1104"/>
      <c r="F2057" s="1107" t="n">
        <f aca="false">'Смета Внутр'!H2057</f>
        <v>0</v>
      </c>
    </row>
    <row r="2058" s="118" customFormat="true" ht="15" hidden="false" customHeight="false" outlineLevel="0" collapsed="false">
      <c r="B2058" s="1104" t="str">
        <f aca="false">'Смета Внутр'!B2058</f>
        <v>Нет техники</v>
      </c>
      <c r="C2058" s="1105" t="str">
        <f aca="false">'Смета Внутр'!C2058</f>
        <v>ед.</v>
      </c>
      <c r="D2058" s="1106" t="n">
        <f aca="false">'Смета Внутр'!D2058</f>
        <v>0</v>
      </c>
      <c r="E2058" s="1104"/>
      <c r="F2058" s="1107" t="n">
        <f aca="false">'Смета Внутр'!H2058</f>
        <v>0</v>
      </c>
    </row>
    <row r="2059" s="118" customFormat="true" ht="15" hidden="false" customHeight="false" outlineLevel="0" collapsed="false">
      <c r="B2059" s="1104" t="str">
        <f aca="false">'Смета Внутр'!B2059</f>
        <v>Нет техники</v>
      </c>
      <c r="C2059" s="1105" t="str">
        <f aca="false">'Смета Внутр'!C2059</f>
        <v>ед.</v>
      </c>
      <c r="D2059" s="1106" t="n">
        <f aca="false">'Смета Внутр'!D2059</f>
        <v>0</v>
      </c>
      <c r="E2059" s="1104"/>
      <c r="F2059" s="1107" t="n">
        <f aca="false">'Смета Внутр'!H2059</f>
        <v>0</v>
      </c>
    </row>
    <row r="2060" s="118" customFormat="true" ht="15" hidden="false" customHeight="false" outlineLevel="0" collapsed="false">
      <c r="B2060" s="1104" t="str">
        <f aca="false">'Смета Внутр'!B2060</f>
        <v>Нет техники</v>
      </c>
      <c r="C2060" s="1105" t="str">
        <f aca="false">'Смета Внутр'!C2060</f>
        <v>ед.</v>
      </c>
      <c r="D2060" s="1106" t="n">
        <f aca="false">'Смета Внутр'!D2060</f>
        <v>0</v>
      </c>
      <c r="E2060" s="1104"/>
      <c r="F2060" s="1107" t="n">
        <f aca="false">'Смета Внутр'!H2060</f>
        <v>0</v>
      </c>
    </row>
    <row r="2061" s="118" customFormat="true" ht="15" hidden="false" customHeight="false" outlineLevel="0" collapsed="false">
      <c r="B2061" s="1104" t="str">
        <f aca="false">'Смета Внутр'!B2061</f>
        <v>Нет техники</v>
      </c>
      <c r="C2061" s="1105" t="str">
        <f aca="false">'Смета Внутр'!C2061</f>
        <v>ед.</v>
      </c>
      <c r="D2061" s="1106" t="n">
        <f aca="false">'Смета Внутр'!D2061</f>
        <v>0</v>
      </c>
      <c r="E2061" s="1104"/>
      <c r="F2061" s="1107" t="n">
        <f aca="false">'Смета Внутр'!H2061</f>
        <v>0</v>
      </c>
    </row>
    <row r="2062" s="118" customFormat="true" ht="15" hidden="false" customHeight="false" outlineLevel="0" collapsed="false">
      <c r="B2062" s="1104" t="str">
        <f aca="false">'Смета Внутр'!B2062</f>
        <v>Нет техники</v>
      </c>
      <c r="C2062" s="1105" t="str">
        <f aca="false">'Смета Внутр'!C2062</f>
        <v>ед.</v>
      </c>
      <c r="D2062" s="1106" t="n">
        <f aca="false">'Смета Внутр'!D2062</f>
        <v>0</v>
      </c>
      <c r="E2062" s="1104"/>
      <c r="F2062" s="1107" t="n">
        <f aca="false">'Смета Внутр'!H2062</f>
        <v>0</v>
      </c>
    </row>
    <row r="2063" s="118" customFormat="true" ht="15" hidden="false" customHeight="false" outlineLevel="0" collapsed="false">
      <c r="B2063" s="1104" t="str">
        <f aca="false">'Смета Внутр'!B2063</f>
        <v>Нет техники</v>
      </c>
      <c r="C2063" s="1105" t="str">
        <f aca="false">'Смета Внутр'!C2063</f>
        <v>ед.</v>
      </c>
      <c r="D2063" s="1106" t="n">
        <f aca="false">'Смета Внутр'!D2063</f>
        <v>0</v>
      </c>
      <c r="E2063" s="1104"/>
      <c r="F2063" s="1107" t="n">
        <f aca="false">'Смета Внутр'!H2063</f>
        <v>0</v>
      </c>
    </row>
    <row r="2064" s="118" customFormat="true" ht="15" hidden="false" customHeight="false" outlineLevel="0" collapsed="false">
      <c r="B2064" s="1104" t="str">
        <f aca="false">'Смета Внутр'!B2064</f>
        <v>Нет техники</v>
      </c>
      <c r="C2064" s="1105" t="str">
        <f aca="false">'Смета Внутр'!C2064</f>
        <v>ед.</v>
      </c>
      <c r="D2064" s="1106" t="n">
        <f aca="false">'Смета Внутр'!D2064</f>
        <v>0</v>
      </c>
      <c r="E2064" s="1104"/>
      <c r="F2064" s="1107" t="n">
        <f aca="false">'Смета Внутр'!H2064</f>
        <v>0</v>
      </c>
    </row>
    <row r="2065" s="118" customFormat="true" ht="15" hidden="false" customHeight="false" outlineLevel="0" collapsed="false">
      <c r="B2065" s="1104" t="str">
        <f aca="false">'Смета Внутр'!B2065</f>
        <v>Газель</v>
      </c>
      <c r="C2065" s="1105" t="str">
        <f aca="false">'Смета Внутр'!C2065</f>
        <v>ед.</v>
      </c>
      <c r="D2065" s="1106" t="n">
        <f aca="false">'Смета Внутр'!D2065</f>
        <v>0</v>
      </c>
      <c r="E2065" s="1104"/>
      <c r="F2065" s="1107" t="n">
        <f aca="false">'Смета Внутр'!H2065</f>
        <v>0</v>
      </c>
    </row>
    <row r="2066" s="118" customFormat="true" ht="15" hidden="false" customHeight="false" outlineLevel="0" collapsed="false">
      <c r="B2066" s="1104" t="str">
        <f aca="false">'Смета Внутр'!B2066</f>
        <v>Доставка материала Фура</v>
      </c>
      <c r="C2066" s="1105" t="str">
        <f aca="false">'Смета Внутр'!C2066</f>
        <v>ед.</v>
      </c>
      <c r="D2066" s="1106" t="n">
        <f aca="false">'Смета Внутр'!D2066</f>
        <v>0</v>
      </c>
      <c r="E2066" s="1104"/>
      <c r="F2066" s="1107" t="n">
        <f aca="false">'Смета Внутр'!H2066</f>
        <v>0</v>
      </c>
    </row>
    <row r="2067" s="118" customFormat="true" ht="15" hidden="false" customHeight="false" outlineLevel="0" collapsed="false">
      <c r="B2067" s="1104" t="str">
        <f aca="false">'Смета Внутр'!B2067</f>
        <v>Воровайка</v>
      </c>
      <c r="C2067" s="1105" t="str">
        <f aca="false">'Смета Внутр'!C2067</f>
        <v>ед.</v>
      </c>
      <c r="D2067" s="1106" t="n">
        <f aca="false">'Смета Внутр'!D2067</f>
        <v>0</v>
      </c>
      <c r="E2067" s="1104"/>
      <c r="F2067" s="1107" t="n">
        <f aca="false">'Смета Внутр'!H2067</f>
        <v>0</v>
      </c>
    </row>
    <row r="2068" s="118" customFormat="true" ht="15" hidden="false" customHeight="false" outlineLevel="0" collapsed="false">
      <c r="B2068" s="1104" t="str">
        <f aca="false">'Смета Внутр'!B2068</f>
        <v>Нет техники</v>
      </c>
      <c r="C2068" s="1105" t="str">
        <f aca="false">'Смета Внутр'!C2068</f>
        <v>ед.</v>
      </c>
      <c r="D2068" s="1106" t="n">
        <f aca="false">'Смета Внутр'!D2068</f>
        <v>4</v>
      </c>
      <c r="E2068" s="1104"/>
      <c r="F2068" s="1107" t="n">
        <f aca="false">'Смета Внутр'!H2068</f>
        <v>0</v>
      </c>
    </row>
    <row r="2069" s="118" customFormat="true" ht="15" hidden="false" customHeight="false" outlineLevel="0" collapsed="false">
      <c r="B2069" s="1104" t="str">
        <f aca="false">'Смета Внутр'!B2069</f>
        <v>Нет техники</v>
      </c>
      <c r="C2069" s="1105" t="str">
        <f aca="false">'Смета Внутр'!C2069</f>
        <v>ед.</v>
      </c>
      <c r="D2069" s="1106" t="n">
        <f aca="false">'Смета Внутр'!D2069</f>
        <v>0</v>
      </c>
      <c r="E2069" s="1104"/>
      <c r="F2069" s="1107" t="n">
        <f aca="false">'Смета Внутр'!H2069</f>
        <v>0</v>
      </c>
    </row>
    <row r="2070" s="118" customFormat="true" ht="15" hidden="false" customHeight="false" outlineLevel="0" collapsed="false">
      <c r="B2070" s="1104" t="str">
        <f aca="false">'Смета Внутр'!B2070</f>
        <v>Нет техники</v>
      </c>
      <c r="C2070" s="1105" t="str">
        <f aca="false">'Смета Внутр'!C2070</f>
        <v>ед.</v>
      </c>
      <c r="D2070" s="1106" t="n">
        <f aca="false">'Смета Внутр'!D2070</f>
        <v>4</v>
      </c>
      <c r="E2070" s="1104"/>
      <c r="F2070" s="1107" t="n">
        <f aca="false">'Смета Внутр'!H2070</f>
        <v>0</v>
      </c>
    </row>
    <row r="2071" s="118" customFormat="true" ht="15" hidden="false" customHeight="false" outlineLevel="0" collapsed="false">
      <c r="B2071" s="1104" t="str">
        <f aca="false">'Смета Внутр'!B2071</f>
        <v>Нет техники</v>
      </c>
      <c r="C2071" s="1105" t="str">
        <f aca="false">'Смета Внутр'!C2071</f>
        <v>ед.</v>
      </c>
      <c r="D2071" s="1106" t="n">
        <f aca="false">'Смета Внутр'!D2071</f>
        <v>0</v>
      </c>
      <c r="E2071" s="1104"/>
      <c r="F2071" s="1107" t="n">
        <f aca="false">'Смета Внутр'!H2071</f>
        <v>0</v>
      </c>
    </row>
    <row r="2072" s="118" customFormat="true" ht="15" hidden="false" customHeight="false" outlineLevel="0" collapsed="false">
      <c r="B2072" s="1104" t="str">
        <f aca="false">'Смета Внутр'!B2072</f>
        <v>Нет техники</v>
      </c>
      <c r="C2072" s="1105" t="str">
        <f aca="false">'Смета Внутр'!C2072</f>
        <v>ед.</v>
      </c>
      <c r="D2072" s="1106" t="n">
        <f aca="false">'Смета Внутр'!D2072</f>
        <v>0</v>
      </c>
      <c r="E2072" s="1104"/>
      <c r="F2072" s="1107" t="n">
        <f aca="false">'Смета Внутр'!H2072</f>
        <v>0</v>
      </c>
    </row>
    <row r="2073" s="118" customFormat="true" ht="15" hidden="false" customHeight="false" outlineLevel="0" collapsed="false">
      <c r="B2073" s="1104" t="str">
        <f aca="false">'Смета Внутр'!B2073</f>
        <v>Нет техники</v>
      </c>
      <c r="C2073" s="1105" t="str">
        <f aca="false">'Смета Внутр'!C2073</f>
        <v>ед.</v>
      </c>
      <c r="D2073" s="1106" t="n">
        <f aca="false">'Смета Внутр'!D2073</f>
        <v>0</v>
      </c>
      <c r="E2073" s="1104"/>
      <c r="F2073" s="1107" t="n">
        <f aca="false">'Смета Внутр'!H2073</f>
        <v>0</v>
      </c>
    </row>
    <row r="2074" s="118" customFormat="true" ht="15" hidden="false" customHeight="false" outlineLevel="0" collapsed="false">
      <c r="B2074" s="1104" t="str">
        <f aca="false">'Смета Внутр'!B2074</f>
        <v>Нет техники</v>
      </c>
      <c r="C2074" s="1105" t="str">
        <f aca="false">'Смета Внутр'!C2074</f>
        <v>ед.</v>
      </c>
      <c r="D2074" s="1106" t="n">
        <f aca="false">'Смета Внутр'!D2074</f>
        <v>4</v>
      </c>
      <c r="E2074" s="1104"/>
      <c r="F2074" s="1107" t="n">
        <f aca="false">'Смета Внутр'!H2074</f>
        <v>0</v>
      </c>
    </row>
    <row r="2075" s="118" customFormat="true" ht="15" hidden="false" customHeight="false" outlineLevel="0" collapsed="false">
      <c r="B2075" s="1104" t="str">
        <f aca="false">'Смета Внутр'!B2075</f>
        <v>Нет техники</v>
      </c>
      <c r="C2075" s="1105" t="str">
        <f aca="false">'Смета Внутр'!C2075</f>
        <v>ед.</v>
      </c>
      <c r="D2075" s="1106" t="n">
        <f aca="false">'Смета Внутр'!D2075</f>
        <v>0</v>
      </c>
      <c r="E2075" s="1104"/>
      <c r="F2075" s="1107" t="n">
        <f aca="false">'Смета Внутр'!H2075</f>
        <v>0</v>
      </c>
    </row>
    <row r="2076" s="118" customFormat="true" ht="15" hidden="false" customHeight="false" outlineLevel="0" collapsed="false">
      <c r="B2076" s="1104" t="str">
        <f aca="false">'Смета Внутр'!B2076</f>
        <v>Нет техники</v>
      </c>
      <c r="C2076" s="1105" t="str">
        <f aca="false">'Смета Внутр'!C2076</f>
        <v>ед.</v>
      </c>
      <c r="D2076" s="1106" t="n">
        <f aca="false">'Смета Внутр'!D2076</f>
        <v>0</v>
      </c>
      <c r="E2076" s="1104"/>
      <c r="F2076" s="1107" t="n">
        <f aca="false">'Смета Внутр'!H2076</f>
        <v>0</v>
      </c>
    </row>
    <row r="2077" s="118" customFormat="true" ht="15" hidden="false" customHeight="false" outlineLevel="0" collapsed="false">
      <c r="B2077" s="1104" t="str">
        <f aca="false">'Смета Внутр'!B2077</f>
        <v>Нет техники</v>
      </c>
      <c r="C2077" s="1105" t="str">
        <f aca="false">'Смета Внутр'!C2077</f>
        <v>ед.</v>
      </c>
      <c r="D2077" s="1106" t="n">
        <f aca="false">'Смета Внутр'!D2077</f>
        <v>0</v>
      </c>
      <c r="E2077" s="1104"/>
      <c r="F2077" s="1107" t="n">
        <f aca="false">'Смета Внутр'!H2077</f>
        <v>0</v>
      </c>
    </row>
    <row r="2078" s="118" customFormat="true" ht="15" hidden="false" customHeight="false" outlineLevel="0" collapsed="false">
      <c r="B2078" s="1104" t="str">
        <f aca="false">'Смета Внутр'!B2078</f>
        <v>Нет техники</v>
      </c>
      <c r="C2078" s="1105" t="str">
        <f aca="false">'Смета Внутр'!C2078</f>
        <v>ед.</v>
      </c>
      <c r="D2078" s="1106" t="n">
        <f aca="false">'Смета Внутр'!D2078</f>
        <v>0</v>
      </c>
      <c r="E2078" s="1104"/>
      <c r="F2078" s="1107" t="n">
        <f aca="false">'Смета Внутр'!H2078</f>
        <v>0</v>
      </c>
    </row>
    <row r="2079" s="118" customFormat="true" ht="15" hidden="false" customHeight="false" outlineLevel="0" collapsed="false">
      <c r="B2079" s="1104" t="str">
        <f aca="false">'Смета Внутр'!B2079</f>
        <v>Нет техники</v>
      </c>
      <c r="C2079" s="1105" t="str">
        <f aca="false">'Смета Внутр'!C2079</f>
        <v>ед.</v>
      </c>
      <c r="D2079" s="1106" t="n">
        <f aca="false">'Смета Внутр'!D2079</f>
        <v>0</v>
      </c>
      <c r="E2079" s="1104"/>
      <c r="F2079" s="1107" t="n">
        <f aca="false">'Смета Внутр'!H2079</f>
        <v>0</v>
      </c>
    </row>
    <row r="2080" s="118" customFormat="true" ht="15" hidden="false" customHeight="false" outlineLevel="0" collapsed="false">
      <c r="B2080" s="1104" t="str">
        <f aca="false">'Смета Внутр'!B2080</f>
        <v>Нет техники</v>
      </c>
      <c r="C2080" s="1105" t="str">
        <f aca="false">'Смета Внутр'!C2080</f>
        <v>ед.</v>
      </c>
      <c r="D2080" s="1106" t="n">
        <f aca="false">'Смета Внутр'!D2080</f>
        <v>1</v>
      </c>
      <c r="E2080" s="1104"/>
      <c r="F2080" s="1107" t="n">
        <f aca="false">'Смета Внутр'!H2080</f>
        <v>0</v>
      </c>
    </row>
    <row r="2081" s="118" customFormat="true" ht="15" hidden="false" customHeight="false" outlineLevel="0" collapsed="false">
      <c r="B2081" s="1104" t="str">
        <f aca="false">'Смета Внутр'!B2081</f>
        <v>Нет техники</v>
      </c>
      <c r="C2081" s="1105" t="str">
        <f aca="false">'Смета Внутр'!C2081</f>
        <v>ед.</v>
      </c>
      <c r="D2081" s="1106" t="n">
        <f aca="false">'Смета Внутр'!D2081</f>
        <v>0</v>
      </c>
      <c r="E2081" s="1104"/>
      <c r="F2081" s="1107" t="n">
        <f aca="false">'Смета Внутр'!H2081</f>
        <v>0</v>
      </c>
    </row>
    <row r="2082" s="118" customFormat="true" ht="15" hidden="false" customHeight="false" outlineLevel="0" collapsed="false">
      <c r="B2082" s="1104" t="str">
        <f aca="false">'Смета Внутр'!B2082</f>
        <v>Нет техники</v>
      </c>
      <c r="C2082" s="1105" t="str">
        <f aca="false">'Смета Внутр'!C2082</f>
        <v>ед.</v>
      </c>
      <c r="D2082" s="1106" t="n">
        <f aca="false">'Смета Внутр'!D2082</f>
        <v>1</v>
      </c>
      <c r="E2082" s="1104"/>
      <c r="F2082" s="1107" t="n">
        <f aca="false">'Смета Внутр'!H2082</f>
        <v>0</v>
      </c>
    </row>
    <row r="2083" s="118" customFormat="true" ht="15" hidden="false" customHeight="false" outlineLevel="0" collapsed="false">
      <c r="B2083" s="1104" t="str">
        <f aca="false">'Смета Внутр'!B2083</f>
        <v>Нет техники</v>
      </c>
      <c r="C2083" s="1105" t="str">
        <f aca="false">'Смета Внутр'!C2083</f>
        <v>ед.</v>
      </c>
      <c r="D2083" s="1106" t="n">
        <f aca="false">'Смета Внутр'!D2083</f>
        <v>0</v>
      </c>
      <c r="E2083" s="1104"/>
      <c r="F2083" s="1107" t="n">
        <f aca="false">'Смета Внутр'!H2083</f>
        <v>0</v>
      </c>
    </row>
    <row r="2084" s="118" customFormat="true" ht="15" hidden="false" customHeight="false" outlineLevel="0" collapsed="false">
      <c r="B2084" s="1104" t="str">
        <f aca="false">'Смета Внутр'!B2084</f>
        <v>Экскаватор погрузчик</v>
      </c>
      <c r="C2084" s="1105" t="str">
        <f aca="false">'Смета Внутр'!C2084</f>
        <v>ед.</v>
      </c>
      <c r="D2084" s="1106" t="n">
        <f aca="false">'Смета Внутр'!D2084</f>
        <v>5</v>
      </c>
      <c r="E2084" s="1104"/>
      <c r="F2084" s="1107" t="n">
        <f aca="false">'Смета Внутр'!H2084</f>
        <v>0</v>
      </c>
    </row>
    <row r="2085" s="118" customFormat="true" ht="15" hidden="false" customHeight="false" outlineLevel="0" collapsed="false">
      <c r="B2085" s="1104" t="str">
        <f aca="false">'Смета Внутр'!B2085</f>
        <v>Манипулятор 5т</v>
      </c>
      <c r="C2085" s="1105" t="str">
        <f aca="false">'Смета Внутр'!C2085</f>
        <v>ед.</v>
      </c>
      <c r="D2085" s="1106" t="n">
        <f aca="false">'Смета Внутр'!D2085</f>
        <v>3</v>
      </c>
      <c r="E2085" s="1104"/>
      <c r="F2085" s="1107" t="n">
        <f aca="false">'Смета Внутр'!H2085</f>
        <v>0</v>
      </c>
    </row>
    <row r="2086" s="118" customFormat="true" ht="15" hidden="false" customHeight="false" outlineLevel="0" collapsed="false">
      <c r="B2086" s="1104" t="str">
        <f aca="false">'Смета Внутр'!B2086</f>
        <v>Нет техники</v>
      </c>
      <c r="C2086" s="1105" t="str">
        <f aca="false">'Смета Внутр'!C2086</f>
        <v>ед.</v>
      </c>
      <c r="D2086" s="1106" t="n">
        <f aca="false">'Смета Внутр'!D2086</f>
        <v>4</v>
      </c>
      <c r="E2086" s="1104"/>
      <c r="F2086" s="1107" t="n">
        <f aca="false">'Смета Внутр'!H2086</f>
        <v>0</v>
      </c>
    </row>
    <row r="2087" s="118" customFormat="true" ht="15" hidden="false" customHeight="false" outlineLevel="0" collapsed="false">
      <c r="B2087" s="1104" t="str">
        <f aca="false">'Смета Внутр'!B2087</f>
        <v>Нет техники</v>
      </c>
      <c r="C2087" s="1105" t="str">
        <f aca="false">'Смета Внутр'!C2087</f>
        <v>ед.</v>
      </c>
      <c r="D2087" s="1106" t="n">
        <f aca="false">'Смета Внутр'!D2087</f>
        <v>0</v>
      </c>
      <c r="E2087" s="1104"/>
      <c r="F2087" s="1107" t="n">
        <f aca="false">'Смета Внутр'!H2087</f>
        <v>0</v>
      </c>
    </row>
    <row r="2088" s="118" customFormat="true" ht="15" hidden="false" customHeight="false" outlineLevel="0" collapsed="false">
      <c r="B2088" s="1104" t="str">
        <f aca="false">'Смета Внутр'!B2088</f>
        <v>Нет техники</v>
      </c>
      <c r="C2088" s="1105" t="str">
        <f aca="false">'Смета Внутр'!C2088</f>
        <v>ед.</v>
      </c>
      <c r="D2088" s="1106" t="n">
        <f aca="false">'Смета Внутр'!D2088</f>
        <v>0</v>
      </c>
      <c r="E2088" s="1104"/>
      <c r="F2088" s="1107" t="n">
        <f aca="false">'Смета Внутр'!H2088</f>
        <v>0</v>
      </c>
    </row>
    <row r="2089" s="118" customFormat="true" ht="15" hidden="false" customHeight="false" outlineLevel="0" collapsed="false">
      <c r="B2089" s="1104" t="str">
        <f aca="false">'Смета Внутр'!B2089</f>
        <v>Нет техники</v>
      </c>
      <c r="C2089" s="1105" t="str">
        <f aca="false">'Смета Внутр'!C2089</f>
        <v>ед.</v>
      </c>
      <c r="D2089" s="1106" t="n">
        <f aca="false">'Смета Внутр'!D2089</f>
        <v>0</v>
      </c>
      <c r="E2089" s="1104"/>
      <c r="F2089" s="1107" t="n">
        <f aca="false">'Смета Внутр'!H2089</f>
        <v>0</v>
      </c>
    </row>
    <row r="2090" s="118" customFormat="true" ht="15" hidden="false" customHeight="false" outlineLevel="0" collapsed="false">
      <c r="B2090" s="1104" t="str">
        <f aca="false">'Смета Внутр'!B2090</f>
        <v>Нет техники</v>
      </c>
      <c r="C2090" s="1105" t="str">
        <f aca="false">'Смета Внутр'!C2090</f>
        <v>ед.</v>
      </c>
      <c r="D2090" s="1106" t="n">
        <f aca="false">'Смета Внутр'!D2090</f>
        <v>4</v>
      </c>
      <c r="E2090" s="1104"/>
      <c r="F2090" s="1107" t="n">
        <f aca="false">'Смета Внутр'!H2090</f>
        <v>0</v>
      </c>
    </row>
    <row r="2091" s="118" customFormat="true" ht="15" hidden="false" customHeight="false" outlineLevel="0" collapsed="false">
      <c r="B2091" s="1104" t="str">
        <f aca="false">'Смета Внутр'!B2091</f>
        <v>Нет техники</v>
      </c>
      <c r="C2091" s="1105" t="str">
        <f aca="false">'Смета Внутр'!C2091</f>
        <v>ед.</v>
      </c>
      <c r="D2091" s="1106" t="n">
        <f aca="false">'Смета Внутр'!D2091</f>
        <v>0</v>
      </c>
      <c r="E2091" s="1104"/>
      <c r="F2091" s="1107" t="n">
        <f aca="false">'Смета Внутр'!H2091</f>
        <v>0</v>
      </c>
    </row>
    <row r="2092" s="118" customFormat="true" ht="15" hidden="false" customHeight="false" outlineLevel="0" collapsed="false">
      <c r="B2092" s="1104" t="str">
        <f aca="false">'Смета Внутр'!B2092</f>
        <v>Нет техники</v>
      </c>
      <c r="C2092" s="1105" t="str">
        <f aca="false">'Смета Внутр'!C2092</f>
        <v>ед.</v>
      </c>
      <c r="D2092" s="1106" t="n">
        <f aca="false">'Смета Внутр'!D2092</f>
        <v>4</v>
      </c>
      <c r="E2092" s="1104"/>
      <c r="F2092" s="1107" t="n">
        <f aca="false">'Смета Внутр'!H2092</f>
        <v>0</v>
      </c>
    </row>
    <row r="2093" s="118" customFormat="true" ht="15" hidden="false" customHeight="false" outlineLevel="0" collapsed="false">
      <c r="B2093" s="1104" t="str">
        <f aca="false">'Смета Внутр'!B2093</f>
        <v>Нет техники</v>
      </c>
      <c r="C2093" s="1105" t="str">
        <f aca="false">'Смета Внутр'!C2093</f>
        <v>ед.</v>
      </c>
      <c r="D2093" s="1106" t="n">
        <f aca="false">'Смета Внутр'!D2093</f>
        <v>0</v>
      </c>
      <c r="E2093" s="1104"/>
      <c r="F2093" s="1107" t="n">
        <f aca="false">'Смета Внутр'!H2093</f>
        <v>0</v>
      </c>
    </row>
    <row r="2094" s="118" customFormat="true" ht="15" hidden="false" customHeight="false" outlineLevel="0" collapsed="false">
      <c r="B2094" s="1104" t="str">
        <f aca="false">'Смета Внутр'!B2094</f>
        <v>Нет техники</v>
      </c>
      <c r="C2094" s="1105" t="str">
        <f aca="false">'Смета Внутр'!C2094</f>
        <v>ед.</v>
      </c>
      <c r="D2094" s="1106" t="n">
        <f aca="false">'Смета Внутр'!D2094</f>
        <v>0</v>
      </c>
      <c r="E2094" s="1104"/>
      <c r="F2094" s="1107" t="n">
        <f aca="false">'Смета Внутр'!H2094</f>
        <v>0</v>
      </c>
    </row>
    <row r="2095" s="118" customFormat="true" ht="15" hidden="false" customHeight="false" outlineLevel="0" collapsed="false">
      <c r="B2095" s="1104" t="str">
        <f aca="false">'Смета Внутр'!B2095</f>
        <v>Нет техники</v>
      </c>
      <c r="C2095" s="1105" t="str">
        <f aca="false">'Смета Внутр'!C2095</f>
        <v>ед.</v>
      </c>
      <c r="D2095" s="1106" t="n">
        <f aca="false">'Смета Внутр'!D2095</f>
        <v>0</v>
      </c>
      <c r="E2095" s="1104"/>
      <c r="F2095" s="1107" t="n">
        <f aca="false">'Смета Внутр'!H2095</f>
        <v>0</v>
      </c>
    </row>
    <row r="2096" s="118" customFormat="true" ht="15" hidden="false" customHeight="false" outlineLevel="0" collapsed="false">
      <c r="B2096" s="1104" t="str">
        <f aca="false">'Смета Внутр'!B2096</f>
        <v>Нет техники</v>
      </c>
      <c r="C2096" s="1105" t="str">
        <f aca="false">'Смета Внутр'!C2096</f>
        <v>ед.</v>
      </c>
      <c r="D2096" s="1106" t="n">
        <f aca="false">'Смета Внутр'!D2096</f>
        <v>1</v>
      </c>
      <c r="E2096" s="1104"/>
      <c r="F2096" s="1107" t="n">
        <f aca="false">'Смета Внутр'!H2096</f>
        <v>0</v>
      </c>
    </row>
    <row r="2097" s="118" customFormat="true" ht="15" hidden="false" customHeight="false" outlineLevel="0" collapsed="false">
      <c r="B2097" s="1104" t="str">
        <f aca="false">'Смета Внутр'!B2097</f>
        <v>Нет техники</v>
      </c>
      <c r="C2097" s="1105" t="str">
        <f aca="false">'Смета Внутр'!C2097</f>
        <v>ед.</v>
      </c>
      <c r="D2097" s="1106" t="n">
        <f aca="false">'Смета Внутр'!D2097</f>
        <v>0</v>
      </c>
      <c r="E2097" s="1104"/>
      <c r="F2097" s="1107" t="n">
        <f aca="false">'Смета Внутр'!H2097</f>
        <v>0</v>
      </c>
    </row>
    <row r="2098" s="118" customFormat="true" ht="15" hidden="false" customHeight="false" outlineLevel="0" collapsed="false">
      <c r="B2098" s="1104" t="str">
        <f aca="false">'Смета Внутр'!B2098</f>
        <v>Нет техники</v>
      </c>
      <c r="C2098" s="1105" t="str">
        <f aca="false">'Смета Внутр'!C2098</f>
        <v>ед.</v>
      </c>
      <c r="D2098" s="1106" t="n">
        <f aca="false">'Смета Внутр'!D2098</f>
        <v>0</v>
      </c>
      <c r="E2098" s="1104"/>
      <c r="F2098" s="1107" t="n">
        <f aca="false">'Смета Внутр'!H2098</f>
        <v>0</v>
      </c>
    </row>
    <row r="2099" s="118" customFormat="true" ht="15" hidden="false" customHeight="false" outlineLevel="0" collapsed="false">
      <c r="B2099" s="1104" t="str">
        <f aca="false">'Смета Внутр'!B2099</f>
        <v>Нет техники</v>
      </c>
      <c r="C2099" s="1105" t="str">
        <f aca="false">'Смета Внутр'!C2099</f>
        <v>ед.</v>
      </c>
      <c r="D2099" s="1106" t="n">
        <f aca="false">'Смета Внутр'!D2099</f>
        <v>0</v>
      </c>
      <c r="E2099" s="1104"/>
      <c r="F2099" s="1107" t="n">
        <f aca="false">'Смета Внутр'!H2099</f>
        <v>0</v>
      </c>
    </row>
    <row r="2100" s="118" customFormat="true" ht="15" hidden="false" customHeight="false" outlineLevel="0" collapsed="false">
      <c r="B2100" s="1104" t="str">
        <f aca="false">'Смета Внутр'!B2100</f>
        <v>Нет техники</v>
      </c>
      <c r="C2100" s="1105" t="str">
        <f aca="false">'Смета Внутр'!C2100</f>
        <v>ед.</v>
      </c>
      <c r="D2100" s="1106" t="n">
        <f aca="false">'Смета Внутр'!D2100</f>
        <v>3</v>
      </c>
      <c r="E2100" s="1104"/>
      <c r="F2100" s="1107" t="n">
        <f aca="false">'Смета Внутр'!H2100</f>
        <v>0</v>
      </c>
    </row>
    <row r="2101" s="118" customFormat="true" ht="15" hidden="false" customHeight="false" outlineLevel="0" collapsed="false">
      <c r="B2101" s="1104" t="str">
        <f aca="false">'Смета Внутр'!B2101</f>
        <v>Нет техники</v>
      </c>
      <c r="C2101" s="1105" t="str">
        <f aca="false">'Смета Внутр'!C2101</f>
        <v>ед.</v>
      </c>
      <c r="D2101" s="1106" t="n">
        <f aca="false">'Смета Внутр'!D2101</f>
        <v>0</v>
      </c>
      <c r="E2101" s="1104"/>
      <c r="F2101" s="1107" t="n">
        <f aca="false">'Смета Внутр'!H2101</f>
        <v>0</v>
      </c>
    </row>
    <row r="2102" s="118" customFormat="true" ht="15" hidden="false" customHeight="false" outlineLevel="0" collapsed="false">
      <c r="B2102" s="1104" t="str">
        <f aca="false">'Смета Внутр'!B2102</f>
        <v>Нет техники</v>
      </c>
      <c r="C2102" s="1105" t="str">
        <f aca="false">'Смета Внутр'!C2102</f>
        <v>ед.</v>
      </c>
      <c r="D2102" s="1106" t="n">
        <f aca="false">'Смета Внутр'!D2102</f>
        <v>3</v>
      </c>
      <c r="E2102" s="1104"/>
      <c r="F2102" s="1107" t="n">
        <f aca="false">'Смета Внутр'!H2102</f>
        <v>0</v>
      </c>
    </row>
    <row r="2103" s="118" customFormat="true" ht="15" hidden="false" customHeight="false" outlineLevel="0" collapsed="false">
      <c r="B2103" s="1104" t="str">
        <f aca="false">'Смета Внутр'!B2103</f>
        <v>Нет техники</v>
      </c>
      <c r="C2103" s="1105" t="str">
        <f aca="false">'Смета Внутр'!C2103</f>
        <v>ед.</v>
      </c>
      <c r="D2103" s="1106" t="n">
        <f aca="false">'Смета Внутр'!D2103</f>
        <v>0</v>
      </c>
      <c r="E2103" s="1104"/>
      <c r="F2103" s="1107" t="n">
        <f aca="false">'Смета Внутр'!H2103</f>
        <v>0</v>
      </c>
    </row>
    <row r="2104" s="118" customFormat="true" ht="15" hidden="false" customHeight="false" outlineLevel="0" collapsed="false">
      <c r="B2104" s="1104" t="str">
        <f aca="false">'Смета Внутр'!B2104</f>
        <v>Нет техники</v>
      </c>
      <c r="C2104" s="1105" t="str">
        <f aca="false">'Смета Внутр'!C2104</f>
        <v>ед.</v>
      </c>
      <c r="D2104" s="1106" t="n">
        <f aca="false">'Смета Внутр'!D2104</f>
        <v>0</v>
      </c>
      <c r="E2104" s="1104"/>
      <c r="F2104" s="1107" t="n">
        <f aca="false">'Смета Внутр'!H2104</f>
        <v>0</v>
      </c>
    </row>
    <row r="2105" s="118" customFormat="true" ht="15" hidden="false" customHeight="false" outlineLevel="0" collapsed="false">
      <c r="B2105" s="1104" t="str">
        <f aca="false">'Смета Внутр'!B2105</f>
        <v>Нет техники</v>
      </c>
      <c r="C2105" s="1105" t="str">
        <f aca="false">'Смета Внутр'!C2105</f>
        <v>ед.</v>
      </c>
      <c r="D2105" s="1106" t="n">
        <f aca="false">'Смета Внутр'!D2105</f>
        <v>0</v>
      </c>
      <c r="E2105" s="1104"/>
      <c r="F2105" s="1107" t="n">
        <f aca="false">'Смета Внутр'!H2105</f>
        <v>0</v>
      </c>
    </row>
    <row r="2106" s="118" customFormat="true" ht="15" hidden="false" customHeight="false" outlineLevel="0" collapsed="false">
      <c r="B2106" s="1104" t="str">
        <f aca="false">'Смета Внутр'!B2106</f>
        <v>Нет техники</v>
      </c>
      <c r="C2106" s="1105" t="str">
        <f aca="false">'Смета Внутр'!C2106</f>
        <v>ед.</v>
      </c>
      <c r="D2106" s="1106" t="n">
        <f aca="false">'Смета Внутр'!D2106</f>
        <v>0</v>
      </c>
      <c r="E2106" s="1104"/>
      <c r="F2106" s="1107" t="n">
        <f aca="false">'Смета Внутр'!H2106</f>
        <v>0</v>
      </c>
    </row>
    <row r="2107" s="118" customFormat="true" ht="15" hidden="false" customHeight="false" outlineLevel="0" collapsed="false">
      <c r="B2107" s="1104" t="str">
        <f aca="false">'Смета Внутр'!B2107</f>
        <v>Нет техники</v>
      </c>
      <c r="C2107" s="1105" t="str">
        <f aca="false">'Смета Внутр'!C2107</f>
        <v>ед.</v>
      </c>
      <c r="D2107" s="1106" t="n">
        <f aca="false">'Смета Внутр'!D2107</f>
        <v>0</v>
      </c>
      <c r="E2107" s="1104"/>
      <c r="F2107" s="1107" t="n">
        <f aca="false">'Смета Внутр'!H2107</f>
        <v>0</v>
      </c>
    </row>
    <row r="2108" s="118" customFormat="true" ht="15" hidden="false" customHeight="false" outlineLevel="0" collapsed="false">
      <c r="B2108" s="1104" t="str">
        <f aca="false">'Смета Внутр'!B2108</f>
        <v>Нет техники</v>
      </c>
      <c r="C2108" s="1105" t="str">
        <f aca="false">'Смета Внутр'!C2108</f>
        <v>ед.</v>
      </c>
      <c r="D2108" s="1106" t="n">
        <f aca="false">'Смета Внутр'!D2108</f>
        <v>0</v>
      </c>
      <c r="E2108" s="1104"/>
      <c r="F2108" s="1107" t="n">
        <f aca="false">'Смета Внутр'!H2108</f>
        <v>0</v>
      </c>
    </row>
    <row r="2109" s="118" customFormat="true" ht="15" hidden="false" customHeight="false" outlineLevel="0" collapsed="false">
      <c r="B2109" s="1104" t="str">
        <f aca="false">'Смета Внутр'!B2109</f>
        <v>Экскаватор погрузчик, бурение</v>
      </c>
      <c r="C2109" s="1105" t="str">
        <f aca="false">'Смета Внутр'!C2109</f>
        <v>ед.</v>
      </c>
      <c r="D2109" s="1106" t="n">
        <f aca="false">'Смета Внутр'!D2109</f>
        <v>0</v>
      </c>
      <c r="E2109" s="1104"/>
      <c r="F2109" s="1107" t="n">
        <f aca="false">'Смета Внутр'!H2109</f>
        <v>0</v>
      </c>
    </row>
    <row r="2110" s="118" customFormat="true" ht="15" hidden="false" customHeight="false" outlineLevel="0" collapsed="false">
      <c r="B2110" s="1104" t="str">
        <f aca="false">'Смета Внутр'!B2110</f>
        <v>Нет техники</v>
      </c>
      <c r="C2110" s="1105" t="str">
        <f aca="false">'Смета Внутр'!C2110</f>
        <v>ед.</v>
      </c>
      <c r="D2110" s="1106" t="n">
        <f aca="false">'Смета Внутр'!D2110</f>
        <v>0</v>
      </c>
      <c r="E2110" s="1104"/>
      <c r="F2110" s="1107" t="n">
        <f aca="false">'Смета Внутр'!H2110</f>
        <v>0</v>
      </c>
    </row>
    <row r="2111" s="118" customFormat="true" ht="15" hidden="false" customHeight="false" outlineLevel="0" collapsed="false">
      <c r="B2111" s="1108" t="str">
        <f aca="false">'Смета Внутр'!B2111</f>
        <v>Итого, рублей</v>
      </c>
      <c r="C2111" s="1108"/>
      <c r="D2111" s="1108"/>
      <c r="E2111" s="1108"/>
      <c r="F2111" s="1109" t="n">
        <f aca="false">'Смета Внутр'!G2111</f>
        <v>0</v>
      </c>
    </row>
    <row r="2112" customFormat="false" ht="18.75" hidden="false" customHeight="false" outlineLevel="0" collapsed="false">
      <c r="B2112" s="1113" t="str">
        <f aca="false">'Смета Внутр'!B2112</f>
        <v>Расходные материалы</v>
      </c>
      <c r="C2112" s="1113"/>
      <c r="D2112" s="1113"/>
      <c r="E2112" s="1113"/>
      <c r="F2112" s="1124" t="n">
        <f aca="false">F2148</f>
        <v>22000</v>
      </c>
    </row>
    <row r="2113" s="118" customFormat="true" ht="15" hidden="false" customHeight="false" outlineLevel="0" collapsed="false">
      <c r="B2113" s="1104" t="str">
        <f aca="false">'Смета Внутр'!B2113</f>
        <v>расходные материалы котельная</v>
      </c>
      <c r="C2113" s="1105" t="str">
        <f aca="false">'Смета Внутр'!C2113</f>
        <v>рублей</v>
      </c>
      <c r="D2113" s="1106" t="n">
        <f aca="false">'Смета Внутр'!D2113</f>
        <v>1</v>
      </c>
      <c r="E2113" s="1104"/>
      <c r="F2113" s="1107" t="n">
        <f aca="false">'Смета Внутр'!H2113</f>
        <v>0</v>
      </c>
    </row>
    <row r="2114" s="118" customFormat="true" ht="15" hidden="false" customHeight="false" outlineLevel="0" collapsed="false">
      <c r="B2114" s="1104" t="str">
        <f aca="false">'Смета Внутр'!B2114</f>
        <v>расходные материалы скважина</v>
      </c>
      <c r="C2114" s="1105" t="str">
        <f aca="false">'Смета Внутр'!C2114</f>
        <v>рублей</v>
      </c>
      <c r="D2114" s="1106" t="n">
        <f aca="false">'Смета Внутр'!D2114</f>
        <v>1</v>
      </c>
      <c r="E2114" s="1104"/>
      <c r="F2114" s="1107" t="n">
        <f aca="false">'Смета Внутр'!H2114</f>
        <v>0</v>
      </c>
    </row>
    <row r="2115" s="118" customFormat="true" ht="15" hidden="false" customHeight="false" outlineLevel="0" collapsed="false">
      <c r="B2115" s="1104" t="str">
        <f aca="false">'Смета Внутр'!B2115</f>
        <v>расходные материалы для отопления</v>
      </c>
      <c r="C2115" s="1105" t="str">
        <f aca="false">'Смета Внутр'!C2115</f>
        <v>рублей</v>
      </c>
      <c r="D2115" s="1106" t="n">
        <f aca="false">'Смета Внутр'!D2115</f>
        <v>1</v>
      </c>
      <c r="E2115" s="1104"/>
      <c r="F2115" s="1107" t="n">
        <f aca="false">'Смета Внутр'!H2115</f>
        <v>0</v>
      </c>
    </row>
    <row r="2116" s="118" customFormat="true" ht="15" hidden="false" customHeight="false" outlineLevel="0" collapsed="false">
      <c r="B2116" s="1104" t="str">
        <f aca="false">'Смета Внутр'!B2116</f>
        <v>расходные материалы для электрики</v>
      </c>
      <c r="C2116" s="1105" t="str">
        <f aca="false">'Смета Внутр'!C2116</f>
        <v>рублей</v>
      </c>
      <c r="D2116" s="1106" t="n">
        <f aca="false">'Смета Внутр'!D2116</f>
        <v>1</v>
      </c>
      <c r="E2116" s="1104"/>
      <c r="F2116" s="1107" t="n">
        <f aca="false">'Смета Внутр'!H2116</f>
        <v>0</v>
      </c>
    </row>
    <row r="2117" s="118" customFormat="true" ht="15" hidden="false" customHeight="false" outlineLevel="0" collapsed="false">
      <c r="B2117" s="1104" t="str">
        <f aca="false">'Смета Внутр'!B2117</f>
        <v>расходные материалы плита ушп</v>
      </c>
      <c r="C2117" s="1105" t="str">
        <f aca="false">'Смета Внутр'!C2117</f>
        <v>рублей</v>
      </c>
      <c r="D2117" s="1106" t="n">
        <f aca="false">'Смета Внутр'!D2117</f>
        <v>1</v>
      </c>
      <c r="E2117" s="1104"/>
      <c r="F2117" s="1107" t="n">
        <f aca="false">'Смета Внутр'!H2117</f>
        <v>0</v>
      </c>
    </row>
    <row r="2118" s="118" customFormat="true" ht="15" hidden="false" customHeight="false" outlineLevel="0" collapsed="false">
      <c r="B2118" s="1104" t="str">
        <f aca="false">'Смета Внутр'!B2118</f>
        <v>расходные материалы свайноростверковый фундамент</v>
      </c>
      <c r="C2118" s="1105" t="str">
        <f aca="false">'Смета Внутр'!C2118</f>
        <v>рублей</v>
      </c>
      <c r="D2118" s="1106" t="n">
        <f aca="false">'Смета Внутр'!D2118</f>
        <v>1</v>
      </c>
      <c r="E2118" s="1104"/>
      <c r="F2118" s="1121" t="n">
        <f aca="false">'Смета Внутр'!H2118</f>
        <v>0</v>
      </c>
    </row>
    <row r="2119" s="118" customFormat="true" ht="15" hidden="false" customHeight="false" outlineLevel="0" collapsed="false">
      <c r="B2119" s="1104" t="str">
        <f aca="false">'Смета Внутр'!B2119</f>
        <v>расходные материалы свайноростверковый фундамент</v>
      </c>
      <c r="C2119" s="1105" t="str">
        <f aca="false">'Смета Внутр'!C2119</f>
        <v>рублей</v>
      </c>
      <c r="D2119" s="1106" t="n">
        <f aca="false">'Смета Внутр'!D2119</f>
        <v>1</v>
      </c>
      <c r="E2119" s="1104"/>
      <c r="F2119" s="1107" t="n">
        <f aca="false">'Смета Внутр'!H2119</f>
        <v>8000</v>
      </c>
    </row>
    <row r="2120" s="118" customFormat="true" ht="15" hidden="false" customHeight="false" outlineLevel="0" collapsed="false">
      <c r="B2120" s="1104" t="str">
        <f aca="false">'Смета Внутр'!B2120</f>
        <v>расходные материалы сип панели</v>
      </c>
      <c r="C2120" s="1105" t="str">
        <f aca="false">'Смета Внутр'!C2120</f>
        <v>рублей</v>
      </c>
      <c r="D2120" s="1106" t="n">
        <f aca="false">'Смета Внутр'!D2120</f>
        <v>1</v>
      </c>
      <c r="E2120" s="1104"/>
      <c r="F2120" s="1107" t="n">
        <f aca="false">'Смета Внутр'!H2120</f>
        <v>0</v>
      </c>
    </row>
    <row r="2121" s="118" customFormat="true" ht="15" hidden="false" customHeight="false" outlineLevel="0" collapsed="false">
      <c r="B2121" s="1104" t="str">
        <f aca="false">'Смета Внутр'!B2121</f>
        <v>расходные материалы каркасный дом</v>
      </c>
      <c r="C2121" s="1105" t="str">
        <f aca="false">'Смета Внутр'!C2121</f>
        <v>рублей</v>
      </c>
      <c r="D2121" s="1106" t="n">
        <f aca="false">'Смета Внутр'!D2121</f>
        <v>1</v>
      </c>
      <c r="E2121" s="1104"/>
      <c r="F2121" s="1121" t="n">
        <f aca="false">'Смета Внутр'!H2121</f>
        <v>0</v>
      </c>
    </row>
    <row r="2122" s="118" customFormat="true" ht="15" hidden="false" customHeight="false" outlineLevel="0" collapsed="false">
      <c r="B2122" s="1104" t="str">
        <f aca="false">'Смета Внутр'!B2122</f>
        <v>расходные материалы каменные дома</v>
      </c>
      <c r="C2122" s="1105" t="str">
        <f aca="false">'Смета Внутр'!C2122</f>
        <v>рублей</v>
      </c>
      <c r="D2122" s="1106" t="n">
        <f aca="false">'Смета Внутр'!D2122</f>
        <v>1</v>
      </c>
      <c r="E2122" s="1104"/>
      <c r="F2122" s="1107" t="n">
        <f aca="false">'Смета Внутр'!H2122</f>
        <v>0</v>
      </c>
    </row>
    <row r="2123" s="118" customFormat="true" ht="15" hidden="false" customHeight="false" outlineLevel="0" collapsed="false">
      <c r="B2123" s="1104" t="str">
        <f aca="false">'Смета Внутр'!B2123</f>
        <v>расходные материалы каменные дома</v>
      </c>
      <c r="C2123" s="1105" t="str">
        <f aca="false">'Смета Внутр'!C2123</f>
        <v>рублей</v>
      </c>
      <c r="D2123" s="1106" t="n">
        <f aca="false">'Смета Внутр'!D2123</f>
        <v>1</v>
      </c>
      <c r="E2123" s="1104"/>
      <c r="F2123" s="1107" t="n">
        <f aca="false">'Смета Внутр'!H2123</f>
        <v>0</v>
      </c>
    </row>
    <row r="2124" customFormat="false" ht="15" hidden="false" customHeight="false" outlineLevel="0" collapsed="false">
      <c r="B2124" s="1097" t="str">
        <f aca="false">'Смета Внутр'!B2124</f>
        <v>расходные материалы каменные дома</v>
      </c>
      <c r="C2124" s="1098" t="str">
        <f aca="false">'Смета Внутр'!C2124</f>
        <v>рублей</v>
      </c>
      <c r="D2124" s="1099" t="n">
        <f aca="false">'Смета Внутр'!D2124</f>
        <v>1</v>
      </c>
      <c r="E2124" s="1097"/>
      <c r="F2124" s="1116" t="n">
        <f aca="false">'Смета Внутр'!H2124</f>
        <v>3000</v>
      </c>
    </row>
    <row r="2125" s="118" customFormat="true" ht="15" hidden="false" customHeight="false" outlineLevel="0" collapsed="false">
      <c r="B2125" s="1104" t="str">
        <f aca="false">'Смета Внутр'!B2125</f>
        <v>расходные материалы дома из леса</v>
      </c>
      <c r="C2125" s="1105" t="str">
        <f aca="false">'Смета Внутр'!C2125</f>
        <v>рублей</v>
      </c>
      <c r="D2125" s="1106" t="n">
        <f aca="false">'Смета Внутр'!D2125</f>
        <v>1</v>
      </c>
      <c r="E2125" s="1104"/>
      <c r="F2125" s="1121" t="n">
        <f aca="false">'Смета Внутр'!H2125</f>
        <v>0</v>
      </c>
    </row>
    <row r="2126" s="118" customFormat="true" ht="15" hidden="false" customHeight="false" outlineLevel="0" collapsed="false">
      <c r="B2126" s="1104" t="str">
        <f aca="false">'Смета Внутр'!B2126</f>
        <v>расходные материалы дома из леса</v>
      </c>
      <c r="C2126" s="1105" t="str">
        <f aca="false">'Смета Внутр'!C2126</f>
        <v>рублей</v>
      </c>
      <c r="D2126" s="1106" t="n">
        <f aca="false">'Смета Внутр'!D2126</f>
        <v>1</v>
      </c>
      <c r="E2126" s="1104"/>
      <c r="F2126" s="1107" t="n">
        <f aca="false">'Смета Внутр'!H2126</f>
        <v>0</v>
      </c>
    </row>
    <row r="2127" s="118" customFormat="true" ht="15" hidden="false" customHeight="false" outlineLevel="0" collapsed="false">
      <c r="B2127" s="1104" t="str">
        <f aca="false">'Смета Внутр'!B2127</f>
        <v>расходные материалы дома из леса</v>
      </c>
      <c r="C2127" s="1105" t="str">
        <f aca="false">'Смета Внутр'!C2127</f>
        <v>рублей</v>
      </c>
      <c r="D2127" s="1106" t="n">
        <f aca="false">'Смета Внутр'!D2127</f>
        <v>1</v>
      </c>
      <c r="E2127" s="1104"/>
      <c r="F2127" s="1107" t="n">
        <f aca="false">'Смета Внутр'!H2127</f>
        <v>0</v>
      </c>
    </row>
    <row r="2128" s="118" customFormat="true" ht="15" hidden="false" customHeight="false" outlineLevel="0" collapsed="false">
      <c r="B2128" s="1104" t="str">
        <f aca="false">'Смета Внутр'!B2128</f>
        <v>расходные материалы дома из леса</v>
      </c>
      <c r="C2128" s="1105" t="str">
        <f aca="false">'Смета Внутр'!C2128</f>
        <v>рублей</v>
      </c>
      <c r="D2128" s="1106" t="n">
        <f aca="false">'Смета Внутр'!D2128</f>
        <v>1</v>
      </c>
      <c r="E2128" s="1104"/>
      <c r="F2128" s="1107" t="n">
        <f aca="false">'Смета Внутр'!H2128</f>
        <v>0</v>
      </c>
    </row>
    <row r="2129" s="118" customFormat="true" ht="15" hidden="false" customHeight="false" outlineLevel="0" collapsed="false">
      <c r="B2129" s="1104" t="str">
        <f aca="false">'Смета Внутр'!B2129</f>
        <v>расходные материалы дома из леса</v>
      </c>
      <c r="C2129" s="1105" t="str">
        <f aca="false">'Смета Внутр'!C2129</f>
        <v>рублей</v>
      </c>
      <c r="D2129" s="1106" t="n">
        <f aca="false">'Смета Внутр'!D2129</f>
        <v>1</v>
      </c>
      <c r="E2129" s="1104"/>
      <c r="F2129" s="1107" t="n">
        <f aca="false">'Смета Внутр'!H2129</f>
        <v>0</v>
      </c>
    </row>
    <row r="2130" s="118" customFormat="true" ht="15" hidden="false" customHeight="false" outlineLevel="0" collapsed="false">
      <c r="B2130" s="1104" t="str">
        <f aca="false">'Смета Внутр'!B2130</f>
        <v>расходные материалы эркер</v>
      </c>
      <c r="C2130" s="1105" t="str">
        <f aca="false">'Смета Внутр'!C2130</f>
        <v>рублей</v>
      </c>
      <c r="D2130" s="1106" t="n">
        <f aca="false">'Смета Внутр'!D2130</f>
        <v>1</v>
      </c>
      <c r="E2130" s="1104"/>
      <c r="F2130" s="1107" t="n">
        <f aca="false">'Смета Внутр'!H2130</f>
        <v>0</v>
      </c>
    </row>
    <row r="2131" s="118" customFormat="true" ht="15" hidden="false" customHeight="false" outlineLevel="0" collapsed="false">
      <c r="B2131" s="1104" t="str">
        <f aca="false">'Смета Внутр'!B2131</f>
        <v>расходные материалы двускатная кровля</v>
      </c>
      <c r="C2131" s="1105" t="str">
        <f aca="false">'Смета Внутр'!C2131</f>
        <v>рублей</v>
      </c>
      <c r="D2131" s="1106" t="n">
        <f aca="false">'Смета Внутр'!D2131</f>
        <v>1</v>
      </c>
      <c r="E2131" s="1104"/>
      <c r="F2131" s="1107" t="n">
        <f aca="false">'Смета Внутр'!H2131</f>
        <v>3000</v>
      </c>
    </row>
    <row r="2132" s="118" customFormat="true" ht="15" hidden="false" customHeight="false" outlineLevel="0" collapsed="false">
      <c r="B2132" s="1104" t="str">
        <f aca="false">'Смета Внутр'!B2132</f>
        <v>расходные материалы вальмовая кровля</v>
      </c>
      <c r="C2132" s="1105" t="str">
        <f aca="false">'Смета Внутр'!C2132</f>
        <v>рублей</v>
      </c>
      <c r="D2132" s="1106" t="n">
        <f aca="false">'Смета Внутр'!D2132</f>
        <v>1</v>
      </c>
      <c r="E2132" s="1104"/>
      <c r="F2132" s="1107" t="n">
        <f aca="false">'Смета Внутр'!H2132</f>
        <v>0</v>
      </c>
    </row>
    <row r="2133" customFormat="false" ht="15" hidden="false" customHeight="false" outlineLevel="0" collapsed="false">
      <c r="B2133" s="1097" t="str">
        <f aca="false">'Смета Внутр'!B2133</f>
        <v>расходные материалы полувальмовая кровля</v>
      </c>
      <c r="C2133" s="1098" t="str">
        <f aca="false">'Смета Внутр'!C2133</f>
        <v>рублей</v>
      </c>
      <c r="D2133" s="1099" t="n">
        <f aca="false">'Смета Внутр'!D2133</f>
        <v>1</v>
      </c>
      <c r="E2133" s="1097"/>
      <c r="F2133" s="1116" t="n">
        <f aca="false">'Смета Внутр'!H2133</f>
        <v>0</v>
      </c>
    </row>
    <row r="2134" s="118" customFormat="true" ht="15" hidden="false" customHeight="false" outlineLevel="0" collapsed="false">
      <c r="B2134" s="1104" t="str">
        <f aca="false">'Смета Внутр'!B2134</f>
        <v>расходные материалы элементы кровель</v>
      </c>
      <c r="C2134" s="1105" t="str">
        <f aca="false">'Смета Внутр'!C2134</f>
        <v>рублей</v>
      </c>
      <c r="D2134" s="1106" t="n">
        <f aca="false">'Смета Внутр'!D2134</f>
        <v>1</v>
      </c>
      <c r="E2134" s="1104"/>
      <c r="F2134" s="1107" t="n">
        <f aca="false">'Смета Внутр'!H2134</f>
        <v>0</v>
      </c>
    </row>
    <row r="2135" s="118" customFormat="true" ht="15" hidden="false" customHeight="false" outlineLevel="0" collapsed="false">
      <c r="B2135" s="1104" t="str">
        <f aca="false">'Смета Внутр'!B2135</f>
        <v>расходные материалы пристройки</v>
      </c>
      <c r="C2135" s="1105" t="str">
        <f aca="false">'Смета Внутр'!C2135</f>
        <v>рублей</v>
      </c>
      <c r="D2135" s="1106" t="n">
        <f aca="false">'Смета Внутр'!D2135</f>
        <v>1</v>
      </c>
      <c r="E2135" s="1104"/>
      <c r="F2135" s="1107" t="n">
        <f aca="false">'Смета Внутр'!H2135</f>
        <v>0</v>
      </c>
    </row>
    <row r="2136" s="118" customFormat="true" ht="15" hidden="false" customHeight="false" outlineLevel="0" collapsed="false">
      <c r="B2136" s="1104" t="str">
        <f aca="false">'Смета Внутр'!B2136</f>
        <v>расходные материалы веранда</v>
      </c>
      <c r="C2136" s="1105" t="str">
        <f aca="false">'Смета Внутр'!C2136</f>
        <v>рублей</v>
      </c>
      <c r="D2136" s="1106" t="n">
        <f aca="false">'Смета Внутр'!D2136</f>
        <v>1</v>
      </c>
      <c r="E2136" s="1104"/>
      <c r="F2136" s="1107" t="n">
        <f aca="false">'Смета Внутр'!H2136</f>
        <v>0</v>
      </c>
    </row>
    <row r="2137" s="118" customFormat="true" ht="15" hidden="false" customHeight="false" outlineLevel="0" collapsed="false">
      <c r="B2137" s="1104" t="str">
        <f aca="false">'Смета Внутр'!B2137</f>
        <v>расходные материалы для септика</v>
      </c>
      <c r="C2137" s="1105" t="str">
        <f aca="false">'Смета Внутр'!C2137</f>
        <v>рублей</v>
      </c>
      <c r="D2137" s="1106" t="n">
        <f aca="false">'Смета Внутр'!D2137</f>
        <v>1</v>
      </c>
      <c r="E2137" s="1104"/>
      <c r="F2137" s="1107" t="n">
        <f aca="false">'Смета Внутр'!H2137</f>
        <v>0</v>
      </c>
    </row>
    <row r="2138" customFormat="false" ht="15" hidden="false" customHeight="false" outlineLevel="0" collapsed="false">
      <c r="B2138" s="1097" t="str">
        <f aca="false">'Смета Внутр'!B2138</f>
        <v>расходные материалы односкатная кровля</v>
      </c>
      <c r="C2138" s="1098" t="str">
        <f aca="false">'Смета Внутр'!C2138</f>
        <v>рублей</v>
      </c>
      <c r="D2138" s="1099" t="n">
        <f aca="false">'Смета Внутр'!D2138</f>
        <v>1</v>
      </c>
      <c r="E2138" s="1097"/>
      <c r="F2138" s="1116" t="n">
        <f aca="false">'Смета Внутр'!H2138</f>
        <v>0</v>
      </c>
    </row>
    <row r="2139" customFormat="false" ht="15" hidden="false" customHeight="false" outlineLevel="0" collapsed="false">
      <c r="B2139" s="1097" t="str">
        <f aca="false">'Смета Внутр'!B2139</f>
        <v>Расходные материалы винтовые сваи</v>
      </c>
      <c r="C2139" s="1098" t="str">
        <f aca="false">'Смета Внутр'!C2139</f>
        <v>рублей</v>
      </c>
      <c r="D2139" s="1099" t="n">
        <f aca="false">'Смета Внутр'!D2139</f>
        <v>1</v>
      </c>
      <c r="E2139" s="1097"/>
      <c r="F2139" s="1116" t="n">
        <f aca="false">'Смета Внутр'!H2139</f>
        <v>0</v>
      </c>
    </row>
    <row r="2140" s="118" customFormat="true" ht="15" hidden="false" customHeight="false" outlineLevel="0" collapsed="false">
      <c r="B2140" s="1104" t="str">
        <f aca="false">'Смета Внутр'!B2140</f>
        <v>расходные материалы окна</v>
      </c>
      <c r="C2140" s="1105" t="str">
        <f aca="false">'Смета Внутр'!C2140</f>
        <v>рублей</v>
      </c>
      <c r="D2140" s="1106" t="n">
        <f aca="false">'Смета Внутр'!D2140</f>
        <v>1</v>
      </c>
      <c r="E2140" s="1104"/>
      <c r="F2140" s="1107" t="n">
        <f aca="false">'Смета Внутр'!H2140</f>
        <v>0</v>
      </c>
    </row>
    <row r="2141" s="118" customFormat="true" ht="15" hidden="false" customHeight="false" outlineLevel="0" collapsed="false">
      <c r="B2141" s="1104" t="str">
        <f aca="false">'Смета Внутр'!B2141</f>
        <v>расходные материалы лестница</v>
      </c>
      <c r="C2141" s="1105" t="str">
        <f aca="false">'Смета Внутр'!C2141</f>
        <v>рублей</v>
      </c>
      <c r="D2141" s="1106" t="n">
        <f aca="false">'Смета Внутр'!D2141</f>
        <v>1</v>
      </c>
      <c r="E2141" s="1104"/>
      <c r="F2141" s="1107" t="n">
        <f aca="false">'Смета Внутр'!H2141</f>
        <v>0</v>
      </c>
    </row>
    <row r="2142" customFormat="false" ht="15" hidden="false" customHeight="false" outlineLevel="0" collapsed="false">
      <c r="B2142" s="1097" t="str">
        <f aca="false">'Смета Внутр'!B2142</f>
        <v>расходные материалы отделка внешняя</v>
      </c>
      <c r="C2142" s="1098" t="str">
        <f aca="false">'Смета Внутр'!C2142</f>
        <v>рублей</v>
      </c>
      <c r="D2142" s="1099" t="n">
        <f aca="false">'Смета Внутр'!D2142</f>
        <v>1</v>
      </c>
      <c r="E2142" s="1097"/>
      <c r="F2142" s="1116" t="n">
        <f aca="false">'Смета Внутр'!H2142</f>
        <v>3000</v>
      </c>
    </row>
    <row r="2143" s="118" customFormat="true" ht="15" hidden="false" customHeight="false" outlineLevel="0" collapsed="false">
      <c r="B2143" s="1104" t="str">
        <f aca="false">'Смета Внутр'!B2143</f>
        <v>расходные материалы чистовая отделка</v>
      </c>
      <c r="C2143" s="1105" t="str">
        <f aca="false">'Смета Внутр'!C2143</f>
        <v>рублей</v>
      </c>
      <c r="D2143" s="1106" t="n">
        <f aca="false">'Смета Внутр'!D2143</f>
        <v>1</v>
      </c>
      <c r="E2143" s="1104"/>
      <c r="F2143" s="1121" t="n">
        <f aca="false">'Смета Внутр'!H2143</f>
        <v>5000</v>
      </c>
    </row>
    <row r="2144" s="118" customFormat="true" ht="15" hidden="false" customHeight="false" outlineLevel="0" collapsed="false">
      <c r="B2144" s="1104" t="str">
        <f aca="false">'Смета Внутр'!B2144</f>
        <v>расходные материалы балкон</v>
      </c>
      <c r="C2144" s="1105" t="str">
        <f aca="false">'Смета Внутр'!C2144</f>
        <v>рублей</v>
      </c>
      <c r="D2144" s="1106" t="n">
        <f aca="false">'Смета Внутр'!D2144</f>
        <v>0</v>
      </c>
      <c r="E2144" s="1104"/>
      <c r="F2144" s="1107" t="n">
        <f aca="false">'Смета Внутр'!H2144</f>
        <v>0</v>
      </c>
    </row>
    <row r="2145" s="118" customFormat="true" ht="15" hidden="false" customHeight="false" outlineLevel="0" collapsed="false">
      <c r="B2145" s="1104" t="str">
        <f aca="false">'Смета Внутр'!B2145</f>
        <v>расходные материалы перекрытие</v>
      </c>
      <c r="C2145" s="1105" t="str">
        <f aca="false">'Смета Внутр'!C2145</f>
        <v>рублей</v>
      </c>
      <c r="D2145" s="1106" t="n">
        <f aca="false">'Смета Внутр'!D2145</f>
        <v>1</v>
      </c>
      <c r="E2145" s="1104"/>
      <c r="F2145" s="1107" t="n">
        <f aca="false">'Смета Внутр'!H2145</f>
        <v>0</v>
      </c>
    </row>
    <row r="2146" s="118" customFormat="true" ht="15" hidden="false" customHeight="false" outlineLevel="0" collapsed="false">
      <c r="B2146" s="1104" t="str">
        <f aca="false">'Смета Внутр'!B2146</f>
        <v>расходные материалы цокольный этаж</v>
      </c>
      <c r="C2146" s="1105" t="str">
        <f aca="false">'Смета Внутр'!C2146</f>
        <v>рублей</v>
      </c>
      <c r="D2146" s="1106" t="n">
        <f aca="false">'Смета Внутр'!D2146</f>
        <v>0</v>
      </c>
      <c r="E2146" s="1104"/>
      <c r="F2146" s="1107" t="n">
        <f aca="false">'Смета Внутр'!H2146</f>
        <v>0</v>
      </c>
    </row>
    <row r="2147" s="118" customFormat="true" ht="15" hidden="false" customHeight="false" outlineLevel="0" collapsed="false">
      <c r="B2147" s="1104" t="str">
        <f aca="false">'Смета Внутр'!B2147</f>
        <v>Расходные материалы крыльцо</v>
      </c>
      <c r="C2147" s="1105" t="str">
        <f aca="false">'Смета Внутр'!C2147</f>
        <v>рублей</v>
      </c>
      <c r="D2147" s="1106" t="n">
        <f aca="false">'Смета Внутр'!D2147</f>
        <v>1</v>
      </c>
      <c r="E2147" s="1104"/>
      <c r="F2147" s="1121" t="n">
        <f aca="false">'Смета Внутр'!H2147</f>
        <v>0</v>
      </c>
    </row>
    <row r="2148" customFormat="false" ht="15" hidden="false" customHeight="false" outlineLevel="0" collapsed="false">
      <c r="B2148" s="1117" t="str">
        <f aca="false">'Смета Внутр'!B2148</f>
        <v>Итого, рублей</v>
      </c>
      <c r="C2148" s="1117"/>
      <c r="D2148" s="1117"/>
      <c r="E2148" s="1117"/>
      <c r="F2148" s="1100" t="n">
        <f aca="false">'Смета Внутр'!G2148</f>
        <v>22000</v>
      </c>
    </row>
    <row r="2149" s="118" customFormat="true" ht="15" hidden="false" customHeight="false" outlineLevel="0" collapsed="false">
      <c r="B2149" s="1128" t="str">
        <f aca="false">'Смета Внутр'!B2149</f>
        <v>Командировочные расходы</v>
      </c>
      <c r="C2149" s="1128"/>
      <c r="D2149" s="1128"/>
      <c r="E2149" s="1128"/>
      <c r="F2149" s="1102" t="n">
        <f aca="false">'Смета Внутр'!H2149</f>
        <v>0</v>
      </c>
    </row>
    <row r="2150" s="118" customFormat="true" ht="15" hidden="false" customHeight="false" outlineLevel="0" collapsed="false">
      <c r="B2150" s="1104" t="str">
        <f aca="false">'Смета Внутр'!B2150</f>
        <v>Командировочные расходы</v>
      </c>
      <c r="C2150" s="1105" t="str">
        <f aca="false">'Смета Внутр'!C2150</f>
        <v>рублей</v>
      </c>
      <c r="D2150" s="1106" t="n">
        <f aca="false">'Смета Внутр'!D2150</f>
        <v>1</v>
      </c>
      <c r="E2150" s="1104"/>
      <c r="F2150" s="1107" t="n">
        <f aca="false">'Смета Внутр'!H2150</f>
        <v>0</v>
      </c>
    </row>
    <row r="2151" s="118" customFormat="true" ht="15" hidden="false" customHeight="false" outlineLevel="0" collapsed="false">
      <c r="B2151" s="1104" t="str">
        <f aca="false">'Смета Внутр'!B2151</f>
        <v>Командировочные расходы</v>
      </c>
      <c r="C2151" s="1105" t="str">
        <f aca="false">'Смета Внутр'!C2151</f>
        <v>рублей</v>
      </c>
      <c r="D2151" s="1106" t="n">
        <f aca="false">'Смета Внутр'!D2151</f>
        <v>1</v>
      </c>
      <c r="E2151" s="1104"/>
      <c r="F2151" s="1107" t="n">
        <f aca="false">'Смета Внутр'!H2151</f>
        <v>0</v>
      </c>
    </row>
    <row r="2152" s="118" customFormat="true" ht="15" hidden="false" customHeight="false" outlineLevel="0" collapsed="false">
      <c r="B2152" s="1104" t="str">
        <f aca="false">'Смета Внутр'!B2152</f>
        <v>Командировочные расходы</v>
      </c>
      <c r="C2152" s="1105" t="str">
        <f aca="false">'Смета Внутр'!C2152</f>
        <v>рублей</v>
      </c>
      <c r="D2152" s="1106" t="n">
        <f aca="false">'Смета Внутр'!D2152</f>
        <v>1</v>
      </c>
      <c r="E2152" s="1104"/>
      <c r="F2152" s="1107" t="n">
        <f aca="false">'Смета Внутр'!H2152</f>
        <v>0</v>
      </c>
    </row>
    <row r="2153" s="118" customFormat="true" ht="15" hidden="false" customHeight="false" outlineLevel="0" collapsed="false">
      <c r="B2153" s="1104" t="str">
        <f aca="false">'Смета Внутр'!B2153</f>
        <v>Командировочные расходы</v>
      </c>
      <c r="C2153" s="1105" t="str">
        <f aca="false">'Смета Внутр'!C2153</f>
        <v>рублей</v>
      </c>
      <c r="D2153" s="1106" t="n">
        <f aca="false">'Смета Внутр'!D2153</f>
        <v>1</v>
      </c>
      <c r="E2153" s="1104"/>
      <c r="F2153" s="1107" t="n">
        <f aca="false">'Смета Внутр'!H2153</f>
        <v>0</v>
      </c>
    </row>
    <row r="2154" s="118" customFormat="true" ht="15" hidden="false" customHeight="false" outlineLevel="0" collapsed="false">
      <c r="B2154" s="1104" t="str">
        <f aca="false">'Смета Внутр'!B2154</f>
        <v>Командировочные расходы</v>
      </c>
      <c r="C2154" s="1105" t="str">
        <f aca="false">'Смета Внутр'!C2154</f>
        <v>рублей</v>
      </c>
      <c r="D2154" s="1106" t="n">
        <f aca="false">'Смета Внутр'!D2154</f>
        <v>1</v>
      </c>
      <c r="E2154" s="1104"/>
      <c r="F2154" s="1107" t="n">
        <f aca="false">'Смета Внутр'!H2154</f>
        <v>0</v>
      </c>
    </row>
    <row r="2155" s="118" customFormat="true" ht="15" hidden="false" customHeight="false" outlineLevel="0" collapsed="false">
      <c r="B2155" s="1104" t="str">
        <f aca="false">'Смета Внутр'!B2155</f>
        <v>Командировочные расходы</v>
      </c>
      <c r="C2155" s="1105" t="str">
        <f aca="false">'Смета Внутр'!C2155</f>
        <v>рублей</v>
      </c>
      <c r="D2155" s="1106" t="n">
        <f aca="false">'Смета Внутр'!D2155</f>
        <v>1</v>
      </c>
      <c r="E2155" s="1104"/>
      <c r="F2155" s="1107" t="n">
        <f aca="false">'Смета Внутр'!H2155</f>
        <v>0</v>
      </c>
    </row>
    <row r="2156" s="118" customFormat="true" ht="15" hidden="false" customHeight="false" outlineLevel="0" collapsed="false">
      <c r="B2156" s="1104" t="str">
        <f aca="false">'Смета Внутр'!B2156</f>
        <v>Командировочные расходы</v>
      </c>
      <c r="C2156" s="1105" t="str">
        <f aca="false">'Смета Внутр'!C2156</f>
        <v>рублей</v>
      </c>
      <c r="D2156" s="1106" t="n">
        <f aca="false">'Смета Внутр'!D2156</f>
        <v>1</v>
      </c>
      <c r="E2156" s="1104"/>
      <c r="F2156" s="1107" t="n">
        <f aca="false">'Смета Внутр'!H2156</f>
        <v>0</v>
      </c>
    </row>
    <row r="2157" s="118" customFormat="true" ht="15" hidden="false" customHeight="false" outlineLevel="0" collapsed="false">
      <c r="B2157" s="1104" t="str">
        <f aca="false">'Смета Внутр'!B2157</f>
        <v>Командировочные расходы</v>
      </c>
      <c r="C2157" s="1105" t="str">
        <f aca="false">'Смета Внутр'!C2157</f>
        <v>рублей</v>
      </c>
      <c r="D2157" s="1106" t="n">
        <f aca="false">'Смета Внутр'!D2157</f>
        <v>1</v>
      </c>
      <c r="E2157" s="1104"/>
      <c r="F2157" s="1107" t="n">
        <f aca="false">'Смета Внутр'!H2157</f>
        <v>0</v>
      </c>
    </row>
    <row r="2158" s="118" customFormat="true" ht="15" hidden="false" customHeight="false" outlineLevel="0" collapsed="false">
      <c r="B2158" s="1104" t="str">
        <f aca="false">'Смета Внутр'!B2158</f>
        <v>Командировочные расходы</v>
      </c>
      <c r="C2158" s="1105" t="str">
        <f aca="false">'Смета Внутр'!C2158</f>
        <v>рублей</v>
      </c>
      <c r="D2158" s="1106" t="n">
        <f aca="false">'Смета Внутр'!D2158</f>
        <v>1</v>
      </c>
      <c r="E2158" s="1104"/>
      <c r="F2158" s="1107" t="n">
        <f aca="false">'Смета Внутр'!H2158</f>
        <v>0</v>
      </c>
    </row>
    <row r="2159" s="118" customFormat="true" ht="15" hidden="false" customHeight="false" outlineLevel="0" collapsed="false">
      <c r="B2159" s="1104" t="str">
        <f aca="false">'Смета Внутр'!B2159</f>
        <v>Командировочные расходы</v>
      </c>
      <c r="C2159" s="1105" t="str">
        <f aca="false">'Смета Внутр'!C2159</f>
        <v>рублей</v>
      </c>
      <c r="D2159" s="1106" t="n">
        <f aca="false">'Смета Внутр'!D2159</f>
        <v>1</v>
      </c>
      <c r="E2159" s="1104"/>
      <c r="F2159" s="1107" t="n">
        <f aca="false">'Смета Внутр'!H2159</f>
        <v>0</v>
      </c>
    </row>
    <row r="2160" s="118" customFormat="true" ht="15" hidden="false" customHeight="false" outlineLevel="0" collapsed="false">
      <c r="B2160" s="1108" t="str">
        <f aca="false">'Смета Внутр'!B2160</f>
        <v>Итого, рублей</v>
      </c>
      <c r="C2160" s="1108"/>
      <c r="D2160" s="1108"/>
      <c r="E2160" s="1108"/>
      <c r="F2160" s="1109" t="n">
        <f aca="false">'Смета Внутр'!G2160</f>
        <v>0</v>
      </c>
    </row>
    <row r="2162" customFormat="false" ht="15" hidden="false" customHeight="false" outlineLevel="0" collapsed="false">
      <c r="B2162" s="1129" t="str">
        <f aca="false">'Смета Внутр'!B2162</f>
        <v>Всего материалов, рублей</v>
      </c>
      <c r="C2162" s="1129"/>
      <c r="D2162" s="1129"/>
      <c r="E2162" s="1129"/>
      <c r="F2162" s="1130" t="n">
        <f aca="false">'Смета Внутр'!H2162</f>
        <v>1428060.26070287</v>
      </c>
    </row>
    <row r="2163" customFormat="false" ht="15" hidden="false" customHeight="false" outlineLevel="0" collapsed="false">
      <c r="B2163" s="1129" t="str">
        <f aca="false">'Смета Внутр'!B2163</f>
        <v>Всего работы, рублей</v>
      </c>
      <c r="C2163" s="1129"/>
      <c r="D2163" s="1129"/>
      <c r="E2163" s="1129"/>
      <c r="F2163" s="1130" t="n">
        <f aca="false">'Смета Внутр'!H2163</f>
        <v>1074456.29690744</v>
      </c>
    </row>
    <row r="2164" customFormat="false" ht="15" hidden="false" customHeight="false" outlineLevel="0" collapsed="false">
      <c r="B2164" s="1129" t="str">
        <f aca="false">'Смета Внутр'!E2164</f>
        <v>Всего транспортные расходы, рублей</v>
      </c>
      <c r="C2164" s="1129"/>
      <c r="D2164" s="1129"/>
      <c r="E2164" s="1129"/>
      <c r="F2164" s="1130" t="n">
        <f aca="false">'Смета Внутр'!H2164</f>
        <v>0</v>
      </c>
    </row>
    <row r="2165" customFormat="false" ht="15" hidden="false" customHeight="false" outlineLevel="0" collapsed="false">
      <c r="B2165" s="1129" t="str">
        <f aca="false">'Смета Внутр'!C2165</f>
        <v>Всего, командировочные расходы, рублей</v>
      </c>
      <c r="C2165" s="1129"/>
      <c r="D2165" s="1129"/>
      <c r="E2165" s="1129"/>
      <c r="F2165" s="1130" t="n">
        <f aca="false">'Смета Внутр'!H2165</f>
        <v>0</v>
      </c>
    </row>
    <row r="2166" customFormat="false" ht="15" hidden="false" customHeight="false" outlineLevel="0" collapsed="false">
      <c r="B2166" s="1129" t="str">
        <f aca="false">'Смета Внутр'!B2166</f>
        <v>Всего работ и материалов, рублей</v>
      </c>
      <c r="C2166" s="1129"/>
      <c r="D2166" s="1129"/>
      <c r="E2166" s="1129"/>
      <c r="F2166" s="1130" t="n">
        <f aca="false">'Смета Внутр'!H2166</f>
        <v>2502516.55761031</v>
      </c>
    </row>
    <row r="2167" customFormat="false" ht="15" hidden="false" customHeight="false" outlineLevel="0" collapsed="false">
      <c r="B2167" s="1083" t="str">
        <f aca="false">'Смета Внутр'!B2167</f>
        <v>Составил: Инженер             _________________</v>
      </c>
    </row>
    <row r="2168" customFormat="false" ht="15" hidden="false" customHeight="false" outlineLevel="0" collapsed="false">
      <c r="B2168" s="1083" t="str">
        <f aca="false">'Смета Внутр'!B2168</f>
        <v>С перечнем работ и материалов, ознакомлен, с итоговой стоимостью согласен.</v>
      </c>
    </row>
    <row r="2169" customFormat="false" ht="15" hidden="false" customHeight="false" outlineLevel="0" collapsed="false">
      <c r="B2169" s="1083" t="str">
        <f aca="false">'Смета Внутр'!B2169</f>
        <v>Подпись Заказчика              _________________</v>
      </c>
    </row>
    <row r="2170" customFormat="false" ht="15" hidden="false" customHeight="false" outlineLevel="0" collapsed="false">
      <c r="B2170" s="1083" t="str">
        <f aca="false">'Смета Внутр'!B2170</f>
        <v>Подпись Подрядчика          _________________</v>
      </c>
    </row>
  </sheetData>
  <autoFilter ref="F12:F2160"/>
  <mergeCells count="250">
    <mergeCell ref="H2:N10"/>
    <mergeCell ref="C3:E3"/>
    <mergeCell ref="C4:E4"/>
    <mergeCell ref="C5:E5"/>
    <mergeCell ref="C6:E6"/>
    <mergeCell ref="C7:E7"/>
    <mergeCell ref="B9:F9"/>
    <mergeCell ref="B10:F10"/>
    <mergeCell ref="B13:E13"/>
    <mergeCell ref="B14:E14"/>
    <mergeCell ref="B24:E24"/>
    <mergeCell ref="B25:E25"/>
    <mergeCell ref="B34:E34"/>
    <mergeCell ref="B35:E35"/>
    <mergeCell ref="B36:E36"/>
    <mergeCell ref="B55:E55"/>
    <mergeCell ref="B56:E56"/>
    <mergeCell ref="B71:E71"/>
    <mergeCell ref="B72:E72"/>
    <mergeCell ref="B73:E73"/>
    <mergeCell ref="B88:E88"/>
    <mergeCell ref="B89:E89"/>
    <mergeCell ref="B99:E99"/>
    <mergeCell ref="B100:E100"/>
    <mergeCell ref="B101:E101"/>
    <mergeCell ref="B113:E113"/>
    <mergeCell ref="B114:E114"/>
    <mergeCell ref="B123:E123"/>
    <mergeCell ref="B124:E124"/>
    <mergeCell ref="B125:E125"/>
    <mergeCell ref="B132:E132"/>
    <mergeCell ref="B133:E133"/>
    <mergeCell ref="B141:E141"/>
    <mergeCell ref="B142:E142"/>
    <mergeCell ref="B143:E143"/>
    <mergeCell ref="B150:E150"/>
    <mergeCell ref="B151:E151"/>
    <mergeCell ref="B159:E159"/>
    <mergeCell ref="B160:E160"/>
    <mergeCell ref="B161:E161"/>
    <mergeCell ref="B168:E168"/>
    <mergeCell ref="B169:E169"/>
    <mergeCell ref="B177:E177"/>
    <mergeCell ref="B178:E178"/>
    <mergeCell ref="B179:E179"/>
    <mergeCell ref="B195:E195"/>
    <mergeCell ref="B196:E196"/>
    <mergeCell ref="B211:E211"/>
    <mergeCell ref="B212:E212"/>
    <mergeCell ref="B213:E213"/>
    <mergeCell ref="B232:E232"/>
    <mergeCell ref="B233:E233"/>
    <mergeCell ref="B250:E250"/>
    <mergeCell ref="B251:E251"/>
    <mergeCell ref="B252:E252"/>
    <mergeCell ref="B276:E276"/>
    <mergeCell ref="B277:E277"/>
    <mergeCell ref="B296:E296"/>
    <mergeCell ref="B297:E297"/>
    <mergeCell ref="B298:E298"/>
    <mergeCell ref="B317:E317"/>
    <mergeCell ref="B318:E318"/>
    <mergeCell ref="B325:E325"/>
    <mergeCell ref="B326:E326"/>
    <mergeCell ref="B327:E327"/>
    <mergeCell ref="B346:E346"/>
    <mergeCell ref="B347:E347"/>
    <mergeCell ref="B362:E362"/>
    <mergeCell ref="B363:E363"/>
    <mergeCell ref="B364:E364"/>
    <mergeCell ref="B414:E414"/>
    <mergeCell ref="B415:E415"/>
    <mergeCell ref="B427:E427"/>
    <mergeCell ref="B428:E428"/>
    <mergeCell ref="B429:E429"/>
    <mergeCell ref="B474:E474"/>
    <mergeCell ref="B475:E475"/>
    <mergeCell ref="B487:E487"/>
    <mergeCell ref="B488:E488"/>
    <mergeCell ref="B489:E489"/>
    <mergeCell ref="B530:E530"/>
    <mergeCell ref="B531:E531"/>
    <mergeCell ref="B539:E539"/>
    <mergeCell ref="B540:E540"/>
    <mergeCell ref="B541:E541"/>
    <mergeCell ref="B565:E565"/>
    <mergeCell ref="B566:E566"/>
    <mergeCell ref="B576:E576"/>
    <mergeCell ref="B577:E577"/>
    <mergeCell ref="B578:E578"/>
    <mergeCell ref="B602:E602"/>
    <mergeCell ref="B603:E603"/>
    <mergeCell ref="B613:E613"/>
    <mergeCell ref="B614:E614"/>
    <mergeCell ref="B615:E615"/>
    <mergeCell ref="B639:E639"/>
    <mergeCell ref="B640:E640"/>
    <mergeCell ref="B650:E650"/>
    <mergeCell ref="B651:E651"/>
    <mergeCell ref="B652:E652"/>
    <mergeCell ref="B676:E676"/>
    <mergeCell ref="B677:E677"/>
    <mergeCell ref="B687:E687"/>
    <mergeCell ref="B688:E688"/>
    <mergeCell ref="B689:E689"/>
    <mergeCell ref="B713:E713"/>
    <mergeCell ref="B714:E714"/>
    <mergeCell ref="B724:E724"/>
    <mergeCell ref="B725:E725"/>
    <mergeCell ref="B726:E726"/>
    <mergeCell ref="B907:E907"/>
    <mergeCell ref="B908:E908"/>
    <mergeCell ref="B950:E950"/>
    <mergeCell ref="B951:E951"/>
    <mergeCell ref="B952:E952"/>
    <mergeCell ref="B979:E979"/>
    <mergeCell ref="B980:E980"/>
    <mergeCell ref="B990:E990"/>
    <mergeCell ref="B991:E991"/>
    <mergeCell ref="B992:E992"/>
    <mergeCell ref="B1011:E1011"/>
    <mergeCell ref="B1012:E1012"/>
    <mergeCell ref="B1014:E1014"/>
    <mergeCell ref="B1015:E1015"/>
    <mergeCell ref="B1016:E1016"/>
    <mergeCell ref="B1028:E1028"/>
    <mergeCell ref="B1029:E1029"/>
    <mergeCell ref="B1036:E1036"/>
    <mergeCell ref="B1037:E1037"/>
    <mergeCell ref="B1038:E1038"/>
    <mergeCell ref="B1091:E1091"/>
    <mergeCell ref="B1092:E1092"/>
    <mergeCell ref="B1110:E1110"/>
    <mergeCell ref="B1111:E1111"/>
    <mergeCell ref="B1112:E1112"/>
    <mergeCell ref="B1165:E1165"/>
    <mergeCell ref="B1166:E1166"/>
    <mergeCell ref="B1184:E1184"/>
    <mergeCell ref="B1185:E1185"/>
    <mergeCell ref="B1186:E1186"/>
    <mergeCell ref="B1232:E1232"/>
    <mergeCell ref="B1233:E1233"/>
    <mergeCell ref="B1250:E1250"/>
    <mergeCell ref="B1251:E1251"/>
    <mergeCell ref="B1252:E1252"/>
    <mergeCell ref="B1303:E1303"/>
    <mergeCell ref="B1304:E1304"/>
    <mergeCell ref="B1323:E1323"/>
    <mergeCell ref="B1324:E1324"/>
    <mergeCell ref="B1325:E1325"/>
    <mergeCell ref="B1366:E1366"/>
    <mergeCell ref="B1367:E1367"/>
    <mergeCell ref="B1381:E1381"/>
    <mergeCell ref="B1382:E1382"/>
    <mergeCell ref="B1383:E1383"/>
    <mergeCell ref="B1431:E1431"/>
    <mergeCell ref="B1432:E1432"/>
    <mergeCell ref="B1450:E1450"/>
    <mergeCell ref="B1451:E1451"/>
    <mergeCell ref="B1452:E1452"/>
    <mergeCell ref="B1499:E1499"/>
    <mergeCell ref="B1500:E1500"/>
    <mergeCell ref="B1516:E1516"/>
    <mergeCell ref="B1517:E1517"/>
    <mergeCell ref="B1518:E1518"/>
    <mergeCell ref="B1560:E1560"/>
    <mergeCell ref="B1561:E1561"/>
    <mergeCell ref="B1575:E1575"/>
    <mergeCell ref="B1576:E1576"/>
    <mergeCell ref="B1577:E1577"/>
    <mergeCell ref="B1615:E1615"/>
    <mergeCell ref="B1616:E1616"/>
    <mergeCell ref="B1631:E1631"/>
    <mergeCell ref="B1632:E1632"/>
    <mergeCell ref="B1633:E1633"/>
    <mergeCell ref="B1654:E1654"/>
    <mergeCell ref="B1655:E1655"/>
    <mergeCell ref="B1669:E1669"/>
    <mergeCell ref="B1670:E1670"/>
    <mergeCell ref="B1671:E1671"/>
    <mergeCell ref="B1682:E1682"/>
    <mergeCell ref="B1683:E1683"/>
    <mergeCell ref="B1685:E1685"/>
    <mergeCell ref="B1686:E1686"/>
    <mergeCell ref="B1687:E1687"/>
    <mergeCell ref="B1692:E1692"/>
    <mergeCell ref="B1693:E1693"/>
    <mergeCell ref="B1698:E1698"/>
    <mergeCell ref="B1699:E1699"/>
    <mergeCell ref="B1700:E1700"/>
    <mergeCell ref="B1701:E1701"/>
    <mergeCell ref="B1726:E1726"/>
    <mergeCell ref="B1738:E1738"/>
    <mergeCell ref="B1746:E1746"/>
    <mergeCell ref="B1747:E1747"/>
    <mergeCell ref="B1748:E1748"/>
    <mergeCell ref="B1763:E1763"/>
    <mergeCell ref="B1770:E1770"/>
    <mergeCell ref="B1774:E1774"/>
    <mergeCell ref="B1775:E1775"/>
    <mergeCell ref="B1776:E1776"/>
    <mergeCell ref="B1777:E1777"/>
    <mergeCell ref="B1802:E1802"/>
    <mergeCell ref="B1826:E1826"/>
    <mergeCell ref="B1837:E1837"/>
    <mergeCell ref="B1849:E1849"/>
    <mergeCell ref="B1856:E1856"/>
    <mergeCell ref="B1857:E1857"/>
    <mergeCell ref="B1858:E1858"/>
    <mergeCell ref="B1869:E1869"/>
    <mergeCell ref="B1883:E1883"/>
    <mergeCell ref="B1889:E1889"/>
    <mergeCell ref="B1896:E1896"/>
    <mergeCell ref="B1902:E1902"/>
    <mergeCell ref="B1903:E1903"/>
    <mergeCell ref="B1904:E1904"/>
    <mergeCell ref="B1922:E1922"/>
    <mergeCell ref="B1923:E1923"/>
    <mergeCell ref="B1932:E1932"/>
    <mergeCell ref="B1933:E1933"/>
    <mergeCell ref="B1934:E1934"/>
    <mergeCell ref="B1946:E1946"/>
    <mergeCell ref="B1947:E1947"/>
    <mergeCell ref="B1951:E1951"/>
    <mergeCell ref="B1952:E1952"/>
    <mergeCell ref="B1953:E1953"/>
    <mergeCell ref="B1963:E1963"/>
    <mergeCell ref="B1964:E1964"/>
    <mergeCell ref="B1971:E1971"/>
    <mergeCell ref="B1972:E1972"/>
    <mergeCell ref="B1973:E1973"/>
    <mergeCell ref="B1987:E1987"/>
    <mergeCell ref="B1988:E1988"/>
    <mergeCell ref="B1996:E1996"/>
    <mergeCell ref="B1997:E1997"/>
    <mergeCell ref="B1998:E1998"/>
    <mergeCell ref="B2013:E2013"/>
    <mergeCell ref="B2014:E2014"/>
    <mergeCell ref="B2023:E2023"/>
    <mergeCell ref="B2024:E2024"/>
    <mergeCell ref="B2111:E2111"/>
    <mergeCell ref="B2112:E2112"/>
    <mergeCell ref="B2148:E2148"/>
    <mergeCell ref="B2149:E2149"/>
    <mergeCell ref="B2160:E2160"/>
    <mergeCell ref="B2162:E2162"/>
    <mergeCell ref="B2163:E2163"/>
    <mergeCell ref="B2164:E2164"/>
    <mergeCell ref="B2165:E2165"/>
    <mergeCell ref="B2166:E2166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00B0F0"/>
    <pageSetUpPr fitToPage="false"/>
  </sheetPr>
  <dimension ref="B1:J217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9" activeCellId="0" sqref="B9"/>
    </sheetView>
  </sheetViews>
  <sheetFormatPr defaultColWidth="9.15625" defaultRowHeight="15" zeroHeight="false" outlineLevelRow="0" outlineLevelCol="0"/>
  <cols>
    <col collapsed="false" customWidth="true" hidden="false" outlineLevel="0" max="1" min="1" style="118" width="2.71"/>
    <col collapsed="false" customWidth="true" hidden="false" outlineLevel="0" max="2" min="2" style="118" width="48.42"/>
    <col collapsed="false" customWidth="false" hidden="false" outlineLevel="0" max="3" min="3" style="118" width="9.14"/>
    <col collapsed="false" customWidth="true" hidden="false" outlineLevel="0" max="4" min="4" style="1131" width="11.14"/>
    <col collapsed="false" customWidth="false" hidden="true" outlineLevel="0" max="6" min="5" style="118" width="9.14"/>
    <col collapsed="false" customWidth="true" hidden="false" outlineLevel="0" max="7" min="7" style="118" width="14.7"/>
    <col collapsed="false" customWidth="true" hidden="true" outlineLevel="0" max="9" min="8" style="118" width="11.52"/>
    <col collapsed="false" customWidth="true" hidden="false" outlineLevel="0" max="10" min="10" style="1131" width="13.57"/>
    <col collapsed="false" customWidth="false" hidden="false" outlineLevel="0" max="1024" min="11" style="118" width="9.14"/>
  </cols>
  <sheetData>
    <row r="1" customFormat="false" ht="15.75" hidden="false" customHeight="false" outlineLevel="0" collapsed="false">
      <c r="E1" s="118" t="n">
        <f aca="false">'Смета Внутр'!E2</f>
        <v>0</v>
      </c>
      <c r="F1" s="118" t="n">
        <f aca="false">'Смета Внутр'!F2</f>
        <v>0</v>
      </c>
      <c r="H1" s="118" t="n">
        <f aca="false">'Смета Внутр'!G2</f>
        <v>0</v>
      </c>
      <c r="I1" s="118" t="str">
        <f aca="false">'Смета Внутр'!H1</f>
        <v>от "22"07. 2017г.</v>
      </c>
      <c r="J1" s="1132" t="s">
        <v>2231</v>
      </c>
    </row>
    <row r="2" customFormat="false" ht="15.75" hidden="false" customHeight="false" outlineLevel="0" collapsed="false">
      <c r="J2" s="1133"/>
    </row>
    <row r="3" customFormat="false" ht="15.75" hidden="false" customHeight="false" outlineLevel="0" collapsed="false">
      <c r="B3" s="656" t="s">
        <v>927</v>
      </c>
      <c r="D3" s="1131" t="str">
        <f aca="false">'Смета Внутр'!D3</f>
        <v>Длина дома, м.п.</v>
      </c>
      <c r="E3" s="118" t="n">
        <f aca="false">'Смета Внутр'!E3</f>
        <v>0</v>
      </c>
      <c r="F3" s="118" t="n">
        <f aca="false">'Смета Внутр'!F3</f>
        <v>0</v>
      </c>
      <c r="H3" s="118" t="n">
        <f aca="false">'Смета Внутр'!G3</f>
        <v>0</v>
      </c>
      <c r="J3" s="1131" t="n">
        <f aca="false">'Смета Внутр'!H3</f>
        <v>8</v>
      </c>
    </row>
    <row r="4" customFormat="false" ht="15.75" hidden="false" customHeight="false" outlineLevel="0" collapsed="false">
      <c r="B4" s="656" t="s">
        <v>7</v>
      </c>
      <c r="D4" s="1131" t="str">
        <f aca="false">'Смета Внутр'!D4</f>
        <v>Ширина дома, м.п.</v>
      </c>
      <c r="E4" s="118" t="n">
        <f aca="false">'Смета Внутр'!E4</f>
        <v>0</v>
      </c>
      <c r="F4" s="118" t="n">
        <f aca="false">'Смета Внутр'!F4</f>
        <v>0</v>
      </c>
      <c r="H4" s="118" t="n">
        <f aca="false">'Смета Внутр'!G4</f>
        <v>0</v>
      </c>
      <c r="J4" s="1131" t="n">
        <f aca="false">'Смета Внутр'!H4</f>
        <v>8</v>
      </c>
    </row>
    <row r="5" customFormat="false" ht="15.75" hidden="false" customHeight="false" outlineLevel="0" collapsed="false">
      <c r="B5" s="656" t="s">
        <v>8</v>
      </c>
      <c r="D5" s="1131" t="str">
        <f aca="false">'Смета Внутр'!D5</f>
        <v>Этажность дома</v>
      </c>
      <c r="E5" s="118" t="n">
        <f aca="false">'Смета Внутр'!E5</f>
        <v>0</v>
      </c>
      <c r="F5" s="118" t="n">
        <f aca="false">'Смета Внутр'!F5</f>
        <v>0</v>
      </c>
      <c r="H5" s="118" t="n">
        <f aca="false">'Смета Внутр'!G5</f>
        <v>0</v>
      </c>
      <c r="J5" s="1131" t="n">
        <f aca="false">'Смета Внутр'!H5</f>
        <v>2</v>
      </c>
    </row>
    <row r="6" customFormat="false" ht="15.75" hidden="false" customHeight="false" outlineLevel="0" collapsed="false">
      <c r="B6" s="656" t="s">
        <v>928</v>
      </c>
      <c r="D6" s="1131" t="str">
        <f aca="false">'Смета Внутр'!D6</f>
        <v>S строения общая, м2</v>
      </c>
      <c r="E6" s="118" t="n">
        <f aca="false">'Смета Внутр'!E6</f>
        <v>0</v>
      </c>
      <c r="F6" s="118" t="n">
        <f aca="false">'Смета Внутр'!F6</f>
        <v>0</v>
      </c>
      <c r="H6" s="118" t="n">
        <f aca="false">'Смета Внутр'!G6</f>
        <v>0</v>
      </c>
      <c r="J6" s="1131" t="n">
        <f aca="false">'Смета Внутр'!H6</f>
        <v>128</v>
      </c>
    </row>
    <row r="7" customFormat="false" ht="15.75" hidden="false" customHeight="false" outlineLevel="0" collapsed="false">
      <c r="B7" s="656" t="s">
        <v>929</v>
      </c>
      <c r="D7" s="1131" t="str">
        <f aca="false">'Смета Внутр'!D7</f>
        <v>S строения чистая, м2</v>
      </c>
      <c r="E7" s="118" t="n">
        <f aca="false">'Смета Внутр'!E7</f>
        <v>0</v>
      </c>
      <c r="F7" s="118" t="n">
        <f aca="false">'Смета Внутр'!F7</f>
        <v>0</v>
      </c>
      <c r="H7" s="118" t="n">
        <f aca="false">'Смета Внутр'!G7</f>
        <v>0</v>
      </c>
      <c r="J7" s="1131" t="n">
        <f aca="false">'Смета Внутр'!H7</f>
        <v>94.7321893085902</v>
      </c>
    </row>
    <row r="9" customFormat="false" ht="15" hidden="false" customHeight="false" outlineLevel="0" collapsed="false">
      <c r="B9" s="1134" t="str">
        <f aca="false">'Смета Внутр'!B9</f>
        <v>СМЕТНЫЙ РАСЧЕТ №4</v>
      </c>
      <c r="C9" s="1134"/>
      <c r="D9" s="1134"/>
      <c r="E9" s="1134"/>
      <c r="F9" s="1134"/>
      <c r="G9" s="1134"/>
      <c r="H9" s="1134"/>
      <c r="I9" s="1134"/>
      <c r="J9" s="1134"/>
    </row>
    <row r="10" customFormat="false" ht="15" hidden="false" customHeight="false" outlineLevel="0" collapsed="false">
      <c r="B10" s="1134" t="str">
        <f aca="false">'Смета Внутр'!B10</f>
        <v>Приложение №3 К договору №12 от "22"07. 2017г.</v>
      </c>
      <c r="C10" s="1134"/>
      <c r="D10" s="1134"/>
      <c r="E10" s="1134"/>
      <c r="F10" s="1134"/>
      <c r="G10" s="1134"/>
      <c r="H10" s="1134"/>
      <c r="I10" s="1134"/>
      <c r="J10" s="1134"/>
    </row>
    <row r="12" customFormat="false" ht="15" hidden="false" customHeight="false" outlineLevel="0" collapsed="false">
      <c r="B12" s="1104" t="str">
        <f aca="false">'Смета Внутр'!B12</f>
        <v>Наименование работ и затрат</v>
      </c>
      <c r="C12" s="1104" t="str">
        <f aca="false">'Смета Внутр'!C12</f>
        <v>ед. изм.</v>
      </c>
      <c r="D12" s="1109" t="str">
        <f aca="false">'Смета Внутр'!D12</f>
        <v>кол-во</v>
      </c>
      <c r="E12" s="1104" t="str">
        <f aca="false">'Смета Внутр'!E12</f>
        <v>Цена ед.изм.</v>
      </c>
      <c r="F12" s="1104" t="str">
        <f aca="false">'Смета Внутр'!F12</f>
        <v>Цена с накруткой</v>
      </c>
      <c r="G12" s="1104" t="s">
        <v>2241</v>
      </c>
      <c r="H12" s="1104" t="str">
        <f aca="false">'Смета Внутр'!G12</f>
        <v>Общая цена</v>
      </c>
      <c r="I12" s="1104" t="str">
        <f aca="false">'Смета Внутр'!H12</f>
        <v>Цена по прайсу</v>
      </c>
      <c r="J12" s="1109" t="str">
        <f aca="false">'Смета Внутр'!G12</f>
        <v>Общая цена</v>
      </c>
    </row>
    <row r="13" customFormat="false" ht="18.75" hidden="true" customHeight="false" outlineLevel="0" collapsed="false">
      <c r="B13" s="1111" t="str">
        <f aca="false">'Смета Внутр'!B13</f>
        <v>Фундамент ленточный, под стены цоколя</v>
      </c>
      <c r="C13" s="1111"/>
      <c r="D13" s="1111"/>
      <c r="E13" s="118" t="n">
        <f aca="false">'Смета Внутр'!E13</f>
        <v>0</v>
      </c>
      <c r="F13" s="118" t="n">
        <f aca="false">'Смета Внутр'!F13</f>
        <v>0</v>
      </c>
      <c r="H13" s="118" t="n">
        <f aca="false">'Смета Внутр'!G13</f>
        <v>0</v>
      </c>
      <c r="I13" s="118" t="n">
        <f aca="false">'Смета Внутр'!H13</f>
        <v>0</v>
      </c>
      <c r="J13" s="1102" t="n">
        <f aca="false">'Смета Внутр'!I13</f>
        <v>0</v>
      </c>
    </row>
    <row r="14" customFormat="false" ht="15" hidden="true" customHeight="false" outlineLevel="0" collapsed="false">
      <c r="B14" s="118" t="str">
        <f aca="false">'Смета Внутр'!B14</f>
        <v>Материалы</v>
      </c>
      <c r="E14" s="118" t="n">
        <f aca="false">'Смета Внутр'!E14</f>
        <v>0</v>
      </c>
      <c r="F14" s="118" t="n">
        <f aca="false">'Смета Внутр'!F14</f>
        <v>0</v>
      </c>
      <c r="H14" s="118" t="n">
        <f aca="false">'Смета Внутр'!G14</f>
        <v>0</v>
      </c>
      <c r="I14" s="118" t="n">
        <f aca="false">'Смета Внутр'!H14</f>
        <v>0</v>
      </c>
      <c r="J14" s="1102" t="n">
        <f aca="false">'Смета Внутр'!I14</f>
        <v>0</v>
      </c>
    </row>
    <row r="15" customFormat="false" ht="15" hidden="true" customHeight="false" outlineLevel="0" collapsed="false">
      <c r="B15" s="1104" t="str">
        <f aca="false">'Смета Внутр'!B15</f>
        <v>Сосна влаж,150*40мм</v>
      </c>
      <c r="C15" s="1104" t="str">
        <f aca="false">'Смета Внутр'!C15</f>
        <v>м3</v>
      </c>
      <c r="D15" s="1109" t="n">
        <f aca="false">'Смета Внутр'!D15</f>
        <v>0</v>
      </c>
      <c r="E15" s="1104" t="n">
        <f aca="false">'Смета Внутр'!E15</f>
        <v>6500</v>
      </c>
      <c r="F15" s="1104" t="n">
        <f aca="false">'Смета Внутр'!F15</f>
        <v>8000</v>
      </c>
      <c r="G15" s="1104" t="n">
        <f aca="false">IF(E15&gt;F15,E15,F15)</f>
        <v>8000</v>
      </c>
      <c r="H15" s="1104" t="n">
        <f aca="false">'Смета Внутр'!G15</f>
        <v>0</v>
      </c>
      <c r="I15" s="1104" t="n">
        <f aca="false">'Смета Внутр'!H15</f>
        <v>0</v>
      </c>
      <c r="J15" s="1109" t="n">
        <f aca="false">'Смета Внутр'!I15</f>
        <v>0</v>
      </c>
    </row>
    <row r="16" customFormat="false" ht="15" hidden="true" customHeight="false" outlineLevel="0" collapsed="false">
      <c r="B16" s="1104" t="str">
        <f aca="false">'Смета Внутр'!B16</f>
        <v>Пленка гидроизоляционная </v>
      </c>
      <c r="C16" s="1104" t="str">
        <f aca="false">'Смета Внутр'!C16</f>
        <v>м2</v>
      </c>
      <c r="D16" s="1109" t="n">
        <f aca="false">'Смета Внутр'!D16</f>
        <v>0</v>
      </c>
      <c r="E16" s="1104" t="n">
        <f aca="false">'Смета Внутр'!E16</f>
        <v>15</v>
      </c>
      <c r="F16" s="1104" t="n">
        <f aca="false">'Смета Внутр'!F16</f>
        <v>0</v>
      </c>
      <c r="G16" s="1104" t="n">
        <f aca="false">IF(E16&gt;F16,E16,F16)</f>
        <v>15</v>
      </c>
      <c r="H16" s="1104" t="n">
        <f aca="false">'Смета Внутр'!G16</f>
        <v>0</v>
      </c>
      <c r="I16" s="1104" t="n">
        <f aca="false">'Смета Внутр'!H16</f>
        <v>0</v>
      </c>
      <c r="J16" s="1109" t="n">
        <f aca="false">'Смета Внутр'!I16</f>
        <v>0</v>
      </c>
    </row>
    <row r="17" customFormat="false" ht="15" hidden="true" customHeight="false" outlineLevel="0" collapsed="false">
      <c r="B17" s="1104" t="str">
        <f aca="false">'Смета Внутр'!B17</f>
        <v>Гидроизол</v>
      </c>
      <c r="C17" s="1104" t="str">
        <f aca="false">'Смета Внутр'!C17</f>
        <v>м2</v>
      </c>
      <c r="D17" s="1109" t="n">
        <f aca="false">'Смета Внутр'!D17</f>
        <v>0</v>
      </c>
      <c r="E17" s="1104" t="n">
        <f aca="false">'Смета Внутр'!E17</f>
        <v>70</v>
      </c>
      <c r="F17" s="1104" t="n">
        <f aca="false">'Смета Внутр'!F17</f>
        <v>0</v>
      </c>
      <c r="G17" s="1104" t="n">
        <f aca="false">IF(E17&gt;F17,E17,F17)</f>
        <v>70</v>
      </c>
      <c r="H17" s="1104" t="n">
        <f aca="false">'Смета Внутр'!G17</f>
        <v>0</v>
      </c>
      <c r="I17" s="1104" t="n">
        <f aca="false">'Смета Внутр'!H17</f>
        <v>0</v>
      </c>
      <c r="J17" s="1109" t="n">
        <f aca="false">'Смета Внутр'!I17</f>
        <v>0</v>
      </c>
    </row>
    <row r="18" customFormat="false" ht="15" hidden="true" customHeight="false" outlineLevel="0" collapsed="false">
      <c r="B18" s="1104" t="str">
        <f aca="false">'Смета Внутр'!B18</f>
        <v>Арматура стальная Ø 12</v>
      </c>
      <c r="C18" s="1104" t="str">
        <f aca="false">'Смета Внутр'!C18</f>
        <v>м.п</v>
      </c>
      <c r="D18" s="1109" t="n">
        <f aca="false">'Смета Внутр'!D18</f>
        <v>0</v>
      </c>
      <c r="E18" s="1104" t="n">
        <f aca="false">'Смета Внутр'!E18</f>
        <v>29.2152</v>
      </c>
      <c r="F18" s="1104" t="n">
        <f aca="false">'Смета Внутр'!F18</f>
        <v>0</v>
      </c>
      <c r="G18" s="1104" t="n">
        <f aca="false">IF(E18&gt;F18,E18,F18)</f>
        <v>29.2152</v>
      </c>
      <c r="H18" s="1104" t="n">
        <f aca="false">'Смета Внутр'!G18</f>
        <v>0</v>
      </c>
      <c r="I18" s="1104" t="n">
        <f aca="false">'Смета Внутр'!H18</f>
        <v>0</v>
      </c>
      <c r="J18" s="1109" t="n">
        <f aca="false">'Смета Внутр'!I18</f>
        <v>0</v>
      </c>
    </row>
    <row r="19" customFormat="false" ht="15" hidden="true" customHeight="false" outlineLevel="0" collapsed="false">
      <c r="B19" s="1104" t="str">
        <f aca="false">'Смета Внутр'!B19</f>
        <v>Нет арматуры</v>
      </c>
      <c r="C19" s="1104" t="str">
        <f aca="false">'Смета Внутр'!C19</f>
        <v>м.п</v>
      </c>
      <c r="D19" s="1109" t="n">
        <f aca="false">'Смета Внутр'!D19</f>
        <v>0</v>
      </c>
      <c r="E19" s="1104" t="n">
        <f aca="false">'Смета Внутр'!E19</f>
        <v>0</v>
      </c>
      <c r="F19" s="1104" t="n">
        <f aca="false">'Смета Внутр'!F19</f>
        <v>0</v>
      </c>
      <c r="G19" s="1104" t="n">
        <f aca="false">IF(E19&gt;F19,E19,F19)</f>
        <v>0</v>
      </c>
      <c r="H19" s="1104" t="n">
        <f aca="false">'Смета Внутр'!G19</f>
        <v>0</v>
      </c>
      <c r="I19" s="1104" t="n">
        <f aca="false">'Смета Внутр'!H19</f>
        <v>0</v>
      </c>
      <c r="J19" s="1109" t="n">
        <f aca="false">'Смета Внутр'!I19</f>
        <v>0</v>
      </c>
    </row>
    <row r="20" customFormat="false" ht="15" hidden="true" customHeight="false" outlineLevel="0" collapsed="false">
      <c r="B20" s="1104" t="str">
        <f aca="false">'Смета Внутр'!B20</f>
        <v>Вязальная проволока</v>
      </c>
      <c r="C20" s="1104" t="str">
        <f aca="false">'Смета Внутр'!C20</f>
        <v>кг</v>
      </c>
      <c r="D20" s="1109" t="n">
        <f aca="false">'Смета Внутр'!D20</f>
        <v>0</v>
      </c>
      <c r="E20" s="1104" t="n">
        <f aca="false">'Смета Внутр'!E20</f>
        <v>80</v>
      </c>
      <c r="F20" s="1104" t="n">
        <f aca="false">'Смета Внутр'!F20</f>
        <v>0</v>
      </c>
      <c r="G20" s="1104" t="n">
        <f aca="false">IF(E20&gt;F20,E20,F20)</f>
        <v>80</v>
      </c>
      <c r="H20" s="1104" t="n">
        <f aca="false">'Смета Внутр'!G20</f>
        <v>0</v>
      </c>
      <c r="I20" s="1104" t="n">
        <f aca="false">'Смета Внутр'!H20</f>
        <v>0</v>
      </c>
      <c r="J20" s="1109" t="n">
        <f aca="false">'Смета Внутр'!I20</f>
        <v>0</v>
      </c>
    </row>
    <row r="21" customFormat="false" ht="15" hidden="true" customHeight="false" outlineLevel="0" collapsed="false">
      <c r="B21" s="1104" t="str">
        <f aca="false">'Смета Внутр'!B21</f>
        <v>Гвозди строительные 3,5 x 90            </v>
      </c>
      <c r="C21" s="1104" t="str">
        <f aca="false">'Смета Внутр'!C21</f>
        <v>кг</v>
      </c>
      <c r="D21" s="1109" t="n">
        <f aca="false">'Смета Внутр'!D21</f>
        <v>0</v>
      </c>
      <c r="E21" s="1104" t="n">
        <f aca="false">'Смета Внутр'!E21</f>
        <v>70</v>
      </c>
      <c r="F21" s="1104" t="n">
        <f aca="false">'Смета Внутр'!F21</f>
        <v>0</v>
      </c>
      <c r="G21" s="1104" t="n">
        <f aca="false">IF(E21&gt;F21,E21,F21)</f>
        <v>70</v>
      </c>
      <c r="H21" s="1104" t="n">
        <f aca="false">'Смета Внутр'!G21</f>
        <v>0</v>
      </c>
      <c r="I21" s="1104" t="n">
        <f aca="false">'Смета Внутр'!H21</f>
        <v>0</v>
      </c>
      <c r="J21" s="1109" t="n">
        <f aca="false">'Смета Внутр'!I21</f>
        <v>0</v>
      </c>
    </row>
    <row r="22" customFormat="false" ht="15" hidden="true" customHeight="false" outlineLevel="0" collapsed="false">
      <c r="B22" s="1104" t="str">
        <f aca="false">'Смета Внутр'!B22</f>
        <v>ПГС, машина 13м3</v>
      </c>
      <c r="C22" s="1104" t="str">
        <f aca="false">'Смета Внутр'!C22</f>
        <v>маш</v>
      </c>
      <c r="D22" s="1109" t="n">
        <f aca="false">'Смета Внутр'!D22</f>
        <v>0</v>
      </c>
      <c r="E22" s="1104" t="n">
        <f aca="false">'Смета Внутр'!E22</f>
        <v>10000</v>
      </c>
      <c r="F22" s="1104" t="n">
        <f aca="false">'Смета Внутр'!F22</f>
        <v>0</v>
      </c>
      <c r="G22" s="1104" t="n">
        <f aca="false">IF(E22&gt;F22,E22,F22)</f>
        <v>10000</v>
      </c>
      <c r="H22" s="1104" t="n">
        <f aca="false">'Смета Внутр'!G22</f>
        <v>0</v>
      </c>
      <c r="I22" s="1104" t="n">
        <f aca="false">'Смета Внутр'!H22</f>
        <v>0</v>
      </c>
      <c r="J22" s="1109" t="n">
        <f aca="false">'Смета Внутр'!I22</f>
        <v>0</v>
      </c>
    </row>
    <row r="23" customFormat="false" ht="15" hidden="true" customHeight="false" outlineLevel="0" collapsed="false">
      <c r="B23" s="1104" t="str">
        <f aca="false">'Смета Внутр'!B23</f>
        <v>Бетон, м200</v>
      </c>
      <c r="C23" s="1104" t="str">
        <f aca="false">'Смета Внутр'!C23</f>
        <v>м3</v>
      </c>
      <c r="D23" s="1109" t="n">
        <f aca="false">'Смета Внутр'!D23</f>
        <v>0</v>
      </c>
      <c r="E23" s="1104" t="n">
        <f aca="false">'Смета Внутр'!E23</f>
        <v>2500</v>
      </c>
      <c r="F23" s="1104" t="n">
        <f aca="false">'Смета Внутр'!F23</f>
        <v>0</v>
      </c>
      <c r="G23" s="1104" t="n">
        <f aca="false">IF(E23&gt;F23,E23,F23)</f>
        <v>2500</v>
      </c>
      <c r="H23" s="1104" t="n">
        <f aca="false">'Смета Внутр'!G23</f>
        <v>0</v>
      </c>
      <c r="I23" s="1104" t="n">
        <f aca="false">'Смета Внутр'!H23</f>
        <v>0</v>
      </c>
      <c r="J23" s="1109" t="n">
        <f aca="false">'Смета Внутр'!I23</f>
        <v>0</v>
      </c>
    </row>
    <row r="24" customFormat="false" ht="15" hidden="true" customHeight="false" outlineLevel="0" collapsed="false">
      <c r="B24" s="1108" t="str">
        <f aca="false">'Смета Внутр'!B24</f>
        <v>Итого материалы</v>
      </c>
      <c r="C24" s="1108"/>
      <c r="D24" s="1108"/>
      <c r="E24" s="1108"/>
      <c r="F24" s="1108"/>
      <c r="G24" s="1108"/>
      <c r="H24" s="1104" t="n">
        <f aca="false">'Смета Внутр'!G24</f>
        <v>0</v>
      </c>
      <c r="I24" s="1104" t="n">
        <f aca="false">'Смета Внутр'!H24</f>
        <v>0</v>
      </c>
      <c r="J24" s="1109" t="n">
        <f aca="false">'Смета Внутр'!I24</f>
        <v>0</v>
      </c>
    </row>
    <row r="25" customFormat="false" ht="15" hidden="true" customHeight="false" outlineLevel="0" collapsed="false">
      <c r="B25" s="118" t="str">
        <f aca="false">'Смета Внутр'!B25</f>
        <v>Работы</v>
      </c>
      <c r="H25" s="118" t="n">
        <f aca="false">'Смета Внутр'!G25</f>
        <v>0</v>
      </c>
      <c r="I25" s="118" t="n">
        <f aca="false">'Смета Внутр'!H25</f>
        <v>0</v>
      </c>
      <c r="J25" s="1102" t="n">
        <f aca="false">'Смета Внутр'!I25</f>
        <v>0</v>
      </c>
    </row>
    <row r="26" customFormat="false" ht="15" hidden="true" customHeight="false" outlineLevel="0" collapsed="false">
      <c r="B26" s="1104" t="str">
        <f aca="false">'Смета Внутр'!B26</f>
        <v>сборка опалубки</v>
      </c>
      <c r="C26" s="1104" t="str">
        <f aca="false">'Смета Внутр'!C26</f>
        <v>м2</v>
      </c>
      <c r="D26" s="1109" t="n">
        <f aca="false">'Смета Внутр'!D26</f>
        <v>0</v>
      </c>
      <c r="E26" s="1104" t="n">
        <f aca="false">'Смета Внутр'!E26</f>
        <v>300</v>
      </c>
      <c r="F26" s="1104" t="n">
        <f aca="false">'Смета Внутр'!F26</f>
        <v>0</v>
      </c>
      <c r="G26" s="1104" t="n">
        <f aca="false">IF(E26&gt;F26,E26,F26)</f>
        <v>300</v>
      </c>
      <c r="H26" s="1104" t="n">
        <f aca="false">'Смета Внутр'!G26</f>
        <v>0</v>
      </c>
      <c r="I26" s="1104" t="n">
        <f aca="false">'Смета Внутр'!H26</f>
        <v>0</v>
      </c>
      <c r="J26" s="1109" t="n">
        <f aca="false">'Смета Внутр'!I26</f>
        <v>0</v>
      </c>
    </row>
    <row r="27" customFormat="false" ht="15" hidden="true" customHeight="false" outlineLevel="0" collapsed="false">
      <c r="B27" s="1104" t="str">
        <f aca="false">'Смета Внутр'!B27</f>
        <v>разборка опалубки</v>
      </c>
      <c r="C27" s="1104" t="str">
        <f aca="false">'Смета Внутр'!C27</f>
        <v>м2</v>
      </c>
      <c r="D27" s="1109" t="n">
        <f aca="false">'Смета Внутр'!D27</f>
        <v>0</v>
      </c>
      <c r="E27" s="1104" t="n">
        <f aca="false">'Смета Внутр'!E27</f>
        <v>100</v>
      </c>
      <c r="F27" s="1104" t="n">
        <f aca="false">'Смета Внутр'!F27</f>
        <v>0</v>
      </c>
      <c r="G27" s="1104" t="n">
        <f aca="false">IF(E27&gt;F27,E27,F27)</f>
        <v>100</v>
      </c>
      <c r="H27" s="1104" t="n">
        <f aca="false">'Смета Внутр'!G27</f>
        <v>0</v>
      </c>
      <c r="I27" s="1104" t="n">
        <f aca="false">'Смета Внутр'!H27</f>
        <v>0</v>
      </c>
      <c r="J27" s="1109" t="n">
        <f aca="false">'Смета Внутр'!I27</f>
        <v>0</v>
      </c>
    </row>
    <row r="28" customFormat="false" ht="15" hidden="true" customHeight="false" outlineLevel="0" collapsed="false">
      <c r="B28" s="1104" t="str">
        <f aca="false">'Смета Внутр'!B28</f>
        <v>трамбовка</v>
      </c>
      <c r="C28" s="1104" t="str">
        <f aca="false">'Смета Внутр'!C28</f>
        <v>м2</v>
      </c>
      <c r="D28" s="1109" t="n">
        <f aca="false">'Смета Внутр'!D28</f>
        <v>0</v>
      </c>
      <c r="E28" s="1104" t="n">
        <f aca="false">'Смета Внутр'!E28</f>
        <v>600</v>
      </c>
      <c r="F28" s="1104" t="n">
        <f aca="false">'Смета Внутр'!F28</f>
        <v>0</v>
      </c>
      <c r="G28" s="1104" t="n">
        <f aca="false">IF(E28&gt;F28,E28,F28)</f>
        <v>600</v>
      </c>
      <c r="H28" s="1104" t="n">
        <f aca="false">'Смета Внутр'!G28</f>
        <v>0</v>
      </c>
      <c r="I28" s="1104" t="n">
        <f aca="false">'Смета Внутр'!H28</f>
        <v>0</v>
      </c>
      <c r="J28" s="1109" t="n">
        <f aca="false">'Смета Внутр'!I28</f>
        <v>0</v>
      </c>
    </row>
    <row r="29" customFormat="false" ht="15" hidden="true" customHeight="false" outlineLevel="0" collapsed="false">
      <c r="B29" s="1104" t="str">
        <f aca="false">'Смета Внутр'!B29</f>
        <v>настил пленки</v>
      </c>
      <c r="C29" s="1104" t="str">
        <f aca="false">'Смета Внутр'!C29</f>
        <v>м2</v>
      </c>
      <c r="D29" s="1109" t="n">
        <f aca="false">'Смета Внутр'!D29</f>
        <v>0</v>
      </c>
      <c r="E29" s="1104" t="n">
        <f aca="false">'Смета Внутр'!E29</f>
        <v>10</v>
      </c>
      <c r="F29" s="1104" t="n">
        <f aca="false">'Смета Внутр'!F29</f>
        <v>0</v>
      </c>
      <c r="G29" s="1104" t="n">
        <f aca="false">IF(E29&gt;F29,E29,F29)</f>
        <v>10</v>
      </c>
      <c r="H29" s="1104" t="n">
        <f aca="false">'Смета Внутр'!G29</f>
        <v>0</v>
      </c>
      <c r="I29" s="1104" t="n">
        <f aca="false">'Смета Внутр'!H29</f>
        <v>0</v>
      </c>
      <c r="J29" s="1109" t="n">
        <f aca="false">'Смета Внутр'!I29</f>
        <v>0</v>
      </c>
    </row>
    <row r="30" customFormat="false" ht="15" hidden="true" customHeight="false" outlineLevel="0" collapsed="false">
      <c r="B30" s="1104" t="str">
        <f aca="false">'Смета Внутр'!B30</f>
        <v>армирование</v>
      </c>
      <c r="C30" s="1104" t="str">
        <f aca="false">'Смета Внутр'!C30</f>
        <v>м.п</v>
      </c>
      <c r="D30" s="1109" t="n">
        <f aca="false">'Смета Внутр'!D30</f>
        <v>0</v>
      </c>
      <c r="E30" s="1104" t="n">
        <f aca="false">'Смета Внутр'!E30</f>
        <v>30</v>
      </c>
      <c r="F30" s="1104" t="n">
        <f aca="false">'Смета Внутр'!F30</f>
        <v>0</v>
      </c>
      <c r="G30" s="1104" t="n">
        <f aca="false">IF(E30&gt;F30,E30,F30)</f>
        <v>30</v>
      </c>
      <c r="H30" s="1104" t="n">
        <f aca="false">'Смета Внутр'!G30</f>
        <v>0</v>
      </c>
      <c r="I30" s="1104" t="n">
        <f aca="false">'Смета Внутр'!H30</f>
        <v>0</v>
      </c>
      <c r="J30" s="1109" t="n">
        <f aca="false">'Смета Внутр'!I30</f>
        <v>0</v>
      </c>
    </row>
    <row r="31" customFormat="false" ht="15" hidden="true" customHeight="false" outlineLevel="0" collapsed="false">
      <c r="B31" s="1104" t="str">
        <f aca="false">'Смета Внутр'!B31</f>
        <v>армирование</v>
      </c>
      <c r="C31" s="1104" t="str">
        <f aca="false">'Смета Внутр'!C31</f>
        <v>м.п.</v>
      </c>
      <c r="D31" s="1109" t="n">
        <f aca="false">'Смета Внутр'!D31</f>
        <v>0</v>
      </c>
      <c r="E31" s="1104" t="n">
        <f aca="false">'Смета Внутр'!E31</f>
        <v>30</v>
      </c>
      <c r="F31" s="1104" t="n">
        <f aca="false">'Смета Внутр'!F31</f>
        <v>0</v>
      </c>
      <c r="G31" s="1104" t="n">
        <f aca="false">IF(E31&gt;F31,E31,F31)</f>
        <v>30</v>
      </c>
      <c r="H31" s="1104" t="n">
        <f aca="false">'Смета Внутр'!G31</f>
        <v>0</v>
      </c>
      <c r="I31" s="1104" t="n">
        <f aca="false">'Смета Внутр'!H31</f>
        <v>0</v>
      </c>
      <c r="J31" s="1109" t="n">
        <f aca="false">'Смета Внутр'!I31</f>
        <v>0</v>
      </c>
    </row>
    <row r="32" customFormat="false" ht="15" hidden="true" customHeight="false" outlineLevel="0" collapsed="false">
      <c r="B32" s="1104" t="str">
        <f aca="false">'Смета Внутр'!B32</f>
        <v>настил гидроизола</v>
      </c>
      <c r="C32" s="1104" t="str">
        <f aca="false">'Смета Внутр'!C32</f>
        <v>м2</v>
      </c>
      <c r="D32" s="1109" t="n">
        <f aca="false">'Смета Внутр'!D32</f>
        <v>0</v>
      </c>
      <c r="E32" s="1104" t="n">
        <f aca="false">'Смета Внутр'!E32</f>
        <v>100</v>
      </c>
      <c r="F32" s="1104" t="n">
        <f aca="false">'Смета Внутр'!F32</f>
        <v>0</v>
      </c>
      <c r="G32" s="1104" t="n">
        <f aca="false">IF(E32&gt;F32,E32,F32)</f>
        <v>100</v>
      </c>
      <c r="H32" s="1104" t="n">
        <f aca="false">'Смета Внутр'!G32</f>
        <v>0</v>
      </c>
      <c r="I32" s="1104" t="n">
        <f aca="false">'Смета Внутр'!H32</f>
        <v>0</v>
      </c>
      <c r="J32" s="1109" t="n">
        <f aca="false">'Смета Внутр'!I32</f>
        <v>0</v>
      </c>
    </row>
    <row r="33" customFormat="false" ht="15" hidden="true" customHeight="false" outlineLevel="0" collapsed="false">
      <c r="B33" s="1104" t="str">
        <f aca="false">'Смета Внутр'!B33</f>
        <v>приемка бетона</v>
      </c>
      <c r="C33" s="1104" t="str">
        <f aca="false">'Смета Внутр'!C33</f>
        <v>м3</v>
      </c>
      <c r="D33" s="1109" t="n">
        <f aca="false">'Смета Внутр'!D33</f>
        <v>0</v>
      </c>
      <c r="E33" s="1104" t="n">
        <f aca="false">'Смета Внутр'!E33</f>
        <v>1200</v>
      </c>
      <c r="F33" s="1104" t="n">
        <f aca="false">'Смета Внутр'!F33</f>
        <v>0</v>
      </c>
      <c r="G33" s="1104" t="n">
        <f aca="false">IF(E33&gt;F33,E33,F33)</f>
        <v>1200</v>
      </c>
      <c r="H33" s="1104" t="n">
        <f aca="false">'Смета Внутр'!G33</f>
        <v>0</v>
      </c>
      <c r="I33" s="1104" t="n">
        <f aca="false">'Смета Внутр'!H33</f>
        <v>0</v>
      </c>
      <c r="J33" s="1109" t="n">
        <f aca="false">'Смета Внутр'!I33</f>
        <v>0</v>
      </c>
    </row>
    <row r="34" customFormat="false" ht="15" hidden="true" customHeight="false" outlineLevel="0" collapsed="false">
      <c r="B34" s="1108" t="str">
        <f aca="false">'Смета Внутр'!B34</f>
        <v>Итого работы</v>
      </c>
      <c r="C34" s="1108"/>
      <c r="D34" s="1108"/>
      <c r="E34" s="1108"/>
      <c r="F34" s="1108"/>
      <c r="G34" s="1108"/>
      <c r="H34" s="1104" t="n">
        <f aca="false">'Смета Внутр'!G34</f>
        <v>0</v>
      </c>
      <c r="I34" s="1104" t="n">
        <f aca="false">'Смета Внутр'!H34</f>
        <v>0</v>
      </c>
      <c r="J34" s="1109" t="n">
        <f aca="false">'Смета Внутр'!I34</f>
        <v>0</v>
      </c>
    </row>
    <row r="35" customFormat="false" ht="18.75" hidden="true" customHeight="false" outlineLevel="0" collapsed="false">
      <c r="B35" s="1111" t="str">
        <f aca="false">'Смета Внутр'!B35</f>
        <v>Стяжка в цокольном этаже</v>
      </c>
      <c r="C35" s="1111"/>
      <c r="D35" s="1111"/>
      <c r="H35" s="118" t="n">
        <f aca="false">'Смета Внутр'!G35</f>
        <v>0</v>
      </c>
      <c r="I35" s="118" t="n">
        <f aca="false">'Смета Внутр'!H35</f>
        <v>0</v>
      </c>
      <c r="J35" s="1102" t="n">
        <f aca="false">'Смета Внутр'!I35</f>
        <v>0</v>
      </c>
    </row>
    <row r="36" customFormat="false" ht="15" hidden="true" customHeight="false" outlineLevel="0" collapsed="false">
      <c r="B36" s="118" t="str">
        <f aca="false">'Смета Внутр'!B36</f>
        <v>Материалы</v>
      </c>
      <c r="H36" s="118" t="n">
        <f aca="false">'Смета Внутр'!G36</f>
        <v>0</v>
      </c>
      <c r="I36" s="118" t="n">
        <f aca="false">'Смета Внутр'!H36</f>
        <v>0</v>
      </c>
      <c r="J36" s="1102" t="n">
        <f aca="false">'Смета Внутр'!I36</f>
        <v>0</v>
      </c>
    </row>
    <row r="37" customFormat="false" ht="15" hidden="true" customHeight="false" outlineLevel="0" collapsed="false">
      <c r="B37" s="1104" t="str">
        <f aca="false">'Смета Внутр'!B37</f>
        <v>Скальник, 1 маш 13м3</v>
      </c>
      <c r="C37" s="1104" t="str">
        <f aca="false">'Смета Внутр'!C37</f>
        <v>маш</v>
      </c>
      <c r="D37" s="1109" t="n">
        <f aca="false">'Смета Внутр'!D37</f>
        <v>0</v>
      </c>
      <c r="E37" s="1104" t="n">
        <f aca="false">'Смета Внутр'!E37</f>
        <v>15000</v>
      </c>
      <c r="F37" s="1104" t="n">
        <f aca="false">'Смета Внутр'!F37</f>
        <v>0</v>
      </c>
      <c r="G37" s="1104" t="n">
        <f aca="false">IF(E37&gt;F37,E37,F37)</f>
        <v>15000</v>
      </c>
      <c r="H37" s="1104" t="n">
        <f aca="false">'Смета Внутр'!G37</f>
        <v>0</v>
      </c>
      <c r="I37" s="1104" t="n">
        <f aca="false">'Смета Внутр'!H37</f>
        <v>0</v>
      </c>
      <c r="J37" s="1109" t="n">
        <f aca="false">'Смета Внутр'!I37</f>
        <v>0</v>
      </c>
    </row>
    <row r="38" customFormat="false" ht="15" hidden="true" customHeight="false" outlineLevel="0" collapsed="false">
      <c r="B38" s="1104" t="str">
        <f aca="false">'Смета Внутр'!B38</f>
        <v>ПГС, машина 13м3</v>
      </c>
      <c r="C38" s="1104" t="str">
        <f aca="false">'Смета Внутр'!C38</f>
        <v>маш</v>
      </c>
      <c r="D38" s="1109" t="n">
        <f aca="false">'Смета Внутр'!D38</f>
        <v>0</v>
      </c>
      <c r="E38" s="1104" t="n">
        <f aca="false">'Смета Внутр'!E38</f>
        <v>10000</v>
      </c>
      <c r="F38" s="1104" t="n">
        <f aca="false">'Смета Внутр'!F38</f>
        <v>0</v>
      </c>
      <c r="G38" s="1104" t="n">
        <f aca="false">IF(E38&gt;F38,E38,F38)</f>
        <v>10000</v>
      </c>
      <c r="H38" s="1104" t="n">
        <f aca="false">'Смета Внутр'!G38</f>
        <v>0</v>
      </c>
      <c r="I38" s="1104" t="n">
        <f aca="false">'Смета Внутр'!H38</f>
        <v>0</v>
      </c>
      <c r="J38" s="1109" t="n">
        <f aca="false">'Смета Внутр'!I38</f>
        <v>0</v>
      </c>
    </row>
    <row r="39" customFormat="false" ht="15" hidden="true" customHeight="false" outlineLevel="0" collapsed="false">
      <c r="B39" s="1104" t="str">
        <f aca="false">'Смета Внутр'!B39</f>
        <v>Песок, машина 13м3</v>
      </c>
      <c r="C39" s="1104" t="str">
        <f aca="false">'Смета Внутр'!C39</f>
        <v>маш</v>
      </c>
      <c r="D39" s="1109" t="n">
        <f aca="false">'Смета Внутр'!D39</f>
        <v>0</v>
      </c>
      <c r="E39" s="1104" t="n">
        <f aca="false">'Смета Внутр'!E39</f>
        <v>12000</v>
      </c>
      <c r="F39" s="1104" t="n">
        <f aca="false">'Смета Внутр'!F39</f>
        <v>0</v>
      </c>
      <c r="G39" s="1104" t="n">
        <f aca="false">IF(E39&gt;F39,E39,F39)</f>
        <v>12000</v>
      </c>
      <c r="H39" s="1104" t="n">
        <f aca="false">'Смета Внутр'!G39</f>
        <v>0</v>
      </c>
      <c r="I39" s="1104" t="n">
        <f aca="false">'Смета Внутр'!H39</f>
        <v>0</v>
      </c>
      <c r="J39" s="1109" t="n">
        <f aca="false">'Смета Внутр'!I39</f>
        <v>0</v>
      </c>
    </row>
    <row r="40" customFormat="false" ht="15" hidden="true" customHeight="false" outlineLevel="0" collapsed="false">
      <c r="B40" s="1104" t="str">
        <f aca="false">'Смета Внутр'!B40</f>
        <v>Геотекстиль</v>
      </c>
      <c r="C40" s="1104" t="str">
        <f aca="false">'Смета Внутр'!C40</f>
        <v>м2</v>
      </c>
      <c r="D40" s="1109" t="n">
        <f aca="false">'Смета Внутр'!D40</f>
        <v>0</v>
      </c>
      <c r="E40" s="1104" t="n">
        <f aca="false">'Смета Внутр'!E40</f>
        <v>100</v>
      </c>
      <c r="F40" s="1104" t="n">
        <f aca="false">'Смета Внутр'!F40</f>
        <v>0</v>
      </c>
      <c r="G40" s="1104" t="n">
        <f aca="false">IF(E40&gt;F40,E40,F40)</f>
        <v>100</v>
      </c>
      <c r="H40" s="1104" t="n">
        <f aca="false">'Смета Внутр'!G40</f>
        <v>0</v>
      </c>
      <c r="I40" s="1104" t="n">
        <f aca="false">'Смета Внутр'!H40</f>
        <v>0</v>
      </c>
      <c r="J40" s="1109" t="n">
        <f aca="false">'Смета Внутр'!I40</f>
        <v>0</v>
      </c>
    </row>
    <row r="41" customFormat="false" ht="15" hidden="true" customHeight="false" outlineLevel="0" collapsed="false">
      <c r="B41" s="1104" t="str">
        <f aca="false">'Смета Внутр'!B41</f>
        <v>Плитный,28кг/м3, технониколь, 100мм</v>
      </c>
      <c r="C41" s="1104" t="str">
        <f aca="false">'Смета Внутр'!C41</f>
        <v>м3</v>
      </c>
      <c r="D41" s="1109" t="n">
        <f aca="false">'Смета Внутр'!D41</f>
        <v>0</v>
      </c>
      <c r="E41" s="1104" t="n">
        <f aca="false">'Смета Внутр'!E41</f>
        <v>1700</v>
      </c>
      <c r="F41" s="1104" t="n">
        <f aca="false">'Смета Внутр'!F41</f>
        <v>0</v>
      </c>
      <c r="G41" s="1104" t="n">
        <f aca="false">IF(E41&gt;F41,E41,F41)</f>
        <v>1700</v>
      </c>
      <c r="H41" s="1104" t="n">
        <f aca="false">'Смета Внутр'!G41</f>
        <v>0</v>
      </c>
      <c r="I41" s="1104" t="n">
        <f aca="false">'Смета Внутр'!H41</f>
        <v>0</v>
      </c>
      <c r="J41" s="1109" t="n">
        <f aca="false">'Смета Внутр'!I41</f>
        <v>0</v>
      </c>
    </row>
    <row r="42" customFormat="false" ht="15" hidden="true" customHeight="false" outlineLevel="0" collapsed="false">
      <c r="B42" s="1104" t="str">
        <f aca="false">'Смета Внутр'!B42</f>
        <v>Пленка гидроизоляционная </v>
      </c>
      <c r="C42" s="1104" t="str">
        <f aca="false">'Смета Внутр'!C42</f>
        <v>м2</v>
      </c>
      <c r="D42" s="1109" t="n">
        <f aca="false">'Смета Внутр'!D42</f>
        <v>0</v>
      </c>
      <c r="E42" s="1104" t="n">
        <f aca="false">'Смета Внутр'!E42</f>
        <v>15</v>
      </c>
      <c r="F42" s="1104" t="n">
        <f aca="false">'Смета Внутр'!F42</f>
        <v>0</v>
      </c>
      <c r="G42" s="1104" t="n">
        <f aca="false">IF(E42&gt;F42,E42,F42)</f>
        <v>15</v>
      </c>
      <c r="H42" s="1104" t="n">
        <f aca="false">'Смета Внутр'!G42</f>
        <v>0</v>
      </c>
      <c r="I42" s="1104" t="n">
        <f aca="false">'Смета Внутр'!H42</f>
        <v>0</v>
      </c>
      <c r="J42" s="1109" t="n">
        <f aca="false">'Смета Внутр'!I42</f>
        <v>0</v>
      </c>
    </row>
    <row r="43" customFormat="false" ht="15" hidden="true" customHeight="false" outlineLevel="0" collapsed="false">
      <c r="B43" s="1104" t="str">
        <f aca="false">'Смета Внутр'!B43</f>
        <v>Кладочная сетка, 100*100/150*150/200*200мм</v>
      </c>
      <c r="C43" s="1104" t="str">
        <f aca="false">'Смета Внутр'!C43</f>
        <v>м2</v>
      </c>
      <c r="D43" s="1109" t="n">
        <f aca="false">'Смета Внутр'!D43</f>
        <v>0</v>
      </c>
      <c r="E43" s="1104" t="n">
        <f aca="false">'Смета Внутр'!E43</f>
        <v>70</v>
      </c>
      <c r="F43" s="1104" t="n">
        <f aca="false">'Смета Внутр'!F43</f>
        <v>0</v>
      </c>
      <c r="G43" s="1104" t="n">
        <f aca="false">IF(E43&gt;F43,E43,F43)</f>
        <v>70</v>
      </c>
      <c r="H43" s="1104" t="n">
        <f aca="false">'Смета Внутр'!G43</f>
        <v>0</v>
      </c>
      <c r="I43" s="1104" t="n">
        <f aca="false">'Смета Внутр'!H43</f>
        <v>0</v>
      </c>
      <c r="J43" s="1109" t="n">
        <f aca="false">'Смета Внутр'!I43</f>
        <v>0</v>
      </c>
    </row>
    <row r="44" customFormat="false" ht="15" hidden="true" customHeight="false" outlineLevel="0" collapsed="false">
      <c r="B44" s="1104" t="str">
        <f aca="false">'Смета Внутр'!B44</f>
        <v>Стяжки пластиковые</v>
      </c>
      <c r="C44" s="1104" t="str">
        <f aca="false">'Смета Внутр'!C44</f>
        <v>шт</v>
      </c>
      <c r="D44" s="1109" t="n">
        <f aca="false">'Смета Внутр'!D44</f>
        <v>0</v>
      </c>
      <c r="E44" s="1104" t="n">
        <f aca="false">'Смета Внутр'!E44</f>
        <v>2</v>
      </c>
      <c r="F44" s="1104" t="n">
        <f aca="false">'Смета Внутр'!F44</f>
        <v>0</v>
      </c>
      <c r="G44" s="1104" t="n">
        <f aca="false">IF(E44&gt;F44,E44,F44)</f>
        <v>2</v>
      </c>
      <c r="H44" s="1104" t="n">
        <f aca="false">'Смета Внутр'!G44</f>
        <v>0</v>
      </c>
      <c r="I44" s="1104" t="n">
        <f aca="false">'Смета Внутр'!H44</f>
        <v>0</v>
      </c>
      <c r="J44" s="1109" t="n">
        <f aca="false">'Смета Внутр'!I44</f>
        <v>0</v>
      </c>
    </row>
    <row r="45" customFormat="false" ht="15" hidden="true" customHeight="false" outlineLevel="0" collapsed="false">
      <c r="B45" s="1104" t="str">
        <f aca="false">'Смета Внутр'!B45</f>
        <v>Стяжки пластиковые</v>
      </c>
      <c r="C45" s="1104" t="str">
        <f aca="false">'Смета Внутр'!C45</f>
        <v>шт</v>
      </c>
      <c r="D45" s="1109" t="n">
        <f aca="false">'Смета Внутр'!D45</f>
        <v>0</v>
      </c>
      <c r="E45" s="1104" t="n">
        <f aca="false">'Смета Внутр'!E45</f>
        <v>2</v>
      </c>
      <c r="F45" s="1104" t="n">
        <f aca="false">'Смета Внутр'!F45</f>
        <v>0</v>
      </c>
      <c r="G45" s="1104" t="n">
        <f aca="false">IF(E45&gt;F45,E45,F45)</f>
        <v>2</v>
      </c>
      <c r="H45" s="1104" t="n">
        <f aca="false">'Смета Внутр'!G45</f>
        <v>0</v>
      </c>
      <c r="I45" s="1104" t="n">
        <f aca="false">'Смета Внутр'!H45</f>
        <v>0</v>
      </c>
      <c r="J45" s="1109" t="n">
        <f aca="false">'Смета Внутр'!I45</f>
        <v>0</v>
      </c>
    </row>
    <row r="46" customFormat="false" ht="15" hidden="true" customHeight="false" outlineLevel="0" collapsed="false">
      <c r="B46" s="1104" t="str">
        <f aca="false">'Смета Внутр'!B46</f>
        <v>Труба теплого пола 3</v>
      </c>
      <c r="C46" s="1104" t="str">
        <f aca="false">'Смета Внутр'!C46</f>
        <v>м.п</v>
      </c>
      <c r="D46" s="1109" t="n">
        <f aca="false">'Смета Внутр'!D46</f>
        <v>0</v>
      </c>
      <c r="E46" s="1104" t="n">
        <f aca="false">'Смета Внутр'!E46</f>
        <v>60</v>
      </c>
      <c r="F46" s="1104" t="n">
        <f aca="false">'Смета Внутр'!F46</f>
        <v>0</v>
      </c>
      <c r="G46" s="1104" t="n">
        <f aca="false">IF(E46&gt;F46,E46,F46)</f>
        <v>60</v>
      </c>
      <c r="H46" s="1104" t="n">
        <f aca="false">'Смета Внутр'!G46</f>
        <v>0</v>
      </c>
      <c r="I46" s="1104" t="n">
        <f aca="false">'Смета Внутр'!H46</f>
        <v>0</v>
      </c>
      <c r="J46" s="1109" t="n">
        <f aca="false">'Смета Внутр'!I46</f>
        <v>0</v>
      </c>
    </row>
    <row r="47" customFormat="false" ht="15" hidden="true" customHeight="false" outlineLevel="0" collapsed="false">
      <c r="B47" s="1104" t="str">
        <f aca="false">'Смета Внутр'!B47</f>
        <v>Коллектор 6</v>
      </c>
      <c r="C47" s="1104" t="str">
        <f aca="false">'Смета Внутр'!C47</f>
        <v>шт</v>
      </c>
      <c r="D47" s="1109" t="n">
        <f aca="false">'Смета Внутр'!D47</f>
        <v>0</v>
      </c>
      <c r="E47" s="1104" t="n">
        <f aca="false">'Смета Внутр'!E47</f>
        <v>15000</v>
      </c>
      <c r="F47" s="1104" t="n">
        <f aca="false">'Смета Внутр'!F47</f>
        <v>0</v>
      </c>
      <c r="G47" s="1104" t="n">
        <f aca="false">IF(E47&gt;F47,E47,F47)</f>
        <v>15000</v>
      </c>
      <c r="H47" s="1104" t="n">
        <f aca="false">'Смета Внутр'!G47</f>
        <v>0</v>
      </c>
      <c r="I47" s="1104" t="n">
        <f aca="false">'Смета Внутр'!H47</f>
        <v>0</v>
      </c>
      <c r="J47" s="1109" t="n">
        <f aca="false">'Смета Внутр'!I47</f>
        <v>0</v>
      </c>
    </row>
    <row r="48" customFormat="false" ht="15" hidden="true" customHeight="false" outlineLevel="0" collapsed="false">
      <c r="B48" s="1104" t="str">
        <f aca="false">'Смета Внутр'!B48</f>
        <v>Арматура стальная Ø 10 </v>
      </c>
      <c r="C48" s="1104" t="str">
        <f aca="false">'Смета Внутр'!C48</f>
        <v>м.п.</v>
      </c>
      <c r="D48" s="1109" t="n">
        <f aca="false">'Смета Внутр'!D48</f>
        <v>0</v>
      </c>
      <c r="E48" s="1104" t="n">
        <f aca="false">'Смета Внутр'!E48</f>
        <v>21.0397</v>
      </c>
      <c r="F48" s="1104" t="n">
        <f aca="false">'Смета Внутр'!F48</f>
        <v>0</v>
      </c>
      <c r="G48" s="1104" t="n">
        <f aca="false">IF(E48&gt;F48,E48,F48)</f>
        <v>21.0397</v>
      </c>
      <c r="H48" s="1104" t="n">
        <f aca="false">'Смета Внутр'!G48</f>
        <v>0</v>
      </c>
      <c r="I48" s="1104" t="n">
        <f aca="false">'Смета Внутр'!H48</f>
        <v>0</v>
      </c>
      <c r="J48" s="1109" t="n">
        <f aca="false">'Смета Внутр'!I48</f>
        <v>0</v>
      </c>
    </row>
    <row r="49" customFormat="false" ht="15" hidden="true" customHeight="false" outlineLevel="0" collapsed="false">
      <c r="B49" s="1104" t="str">
        <f aca="false">'Смета Внутр'!B49</f>
        <v>Вязальная проволока</v>
      </c>
      <c r="C49" s="1104" t="str">
        <f aca="false">'Смета Внутр'!C49</f>
        <v>кг</v>
      </c>
      <c r="D49" s="1109" t="n">
        <f aca="false">'Смета Внутр'!D49</f>
        <v>0</v>
      </c>
      <c r="E49" s="1104" t="n">
        <f aca="false">'Смета Внутр'!E49</f>
        <v>80</v>
      </c>
      <c r="F49" s="1104" t="n">
        <f aca="false">'Смета Внутр'!F49</f>
        <v>0</v>
      </c>
      <c r="G49" s="1104" t="n">
        <f aca="false">IF(E49&gt;F49,E49,F49)</f>
        <v>80</v>
      </c>
      <c r="H49" s="1104" t="n">
        <f aca="false">'Смета Внутр'!G49</f>
        <v>0</v>
      </c>
      <c r="I49" s="1104" t="n">
        <f aca="false">'Смета Внутр'!H49</f>
        <v>0</v>
      </c>
      <c r="J49" s="1109" t="n">
        <f aca="false">'Смета Внутр'!I49</f>
        <v>0</v>
      </c>
    </row>
    <row r="50" customFormat="false" ht="15" hidden="true" customHeight="false" outlineLevel="0" collapsed="false">
      <c r="B50" s="1104" t="str">
        <f aca="false">'Смета Внутр'!B50</f>
        <v>Подставка под арматурный каркас</v>
      </c>
      <c r="C50" s="1104" t="str">
        <f aca="false">'Смета Внутр'!C50</f>
        <v>шт</v>
      </c>
      <c r="D50" s="1109" t="n">
        <f aca="false">'Смета Внутр'!D50</f>
        <v>0</v>
      </c>
      <c r="E50" s="1104" t="n">
        <f aca="false">'Смета Внутр'!E50</f>
        <v>5</v>
      </c>
      <c r="F50" s="1104" t="n">
        <f aca="false">'Смета Внутр'!F50</f>
        <v>0</v>
      </c>
      <c r="G50" s="1104" t="n">
        <f aca="false">IF(E50&gt;F50,E50,F50)</f>
        <v>5</v>
      </c>
      <c r="H50" s="1104" t="n">
        <f aca="false">'Смета Внутр'!G50</f>
        <v>0</v>
      </c>
      <c r="I50" s="1104" t="n">
        <f aca="false">'Смета Внутр'!H50</f>
        <v>0</v>
      </c>
      <c r="J50" s="1109" t="n">
        <f aca="false">'Смета Внутр'!I50</f>
        <v>0</v>
      </c>
    </row>
    <row r="51" customFormat="false" ht="15" hidden="true" customHeight="false" outlineLevel="0" collapsed="false">
      <c r="B51" s="1104" t="str">
        <f aca="false">'Смета Внутр'!B51</f>
        <v>труба дренажная d90 с перфорацией, в фильтре</v>
      </c>
      <c r="C51" s="1104" t="str">
        <f aca="false">'Смета Внутр'!C51</f>
        <v>шт</v>
      </c>
      <c r="D51" s="1109" t="n">
        <f aca="false">'Смета Внутр'!D51</f>
        <v>0</v>
      </c>
      <c r="E51" s="1104" t="n">
        <f aca="false">'Смета Внутр'!E51</f>
        <v>95</v>
      </c>
      <c r="F51" s="1104" t="n">
        <f aca="false">'Смета Внутр'!F51</f>
        <v>0</v>
      </c>
      <c r="G51" s="1104" t="n">
        <f aca="false">IF(E51&gt;F51,E51,F51)</f>
        <v>95</v>
      </c>
      <c r="H51" s="1104" t="n">
        <f aca="false">'Смета Внутр'!G51</f>
        <v>0</v>
      </c>
      <c r="I51" s="1104" t="n">
        <f aca="false">'Смета Внутр'!H51</f>
        <v>0</v>
      </c>
      <c r="J51" s="1109" t="n">
        <f aca="false">'Смета Внутр'!I51</f>
        <v>0</v>
      </c>
    </row>
    <row r="52" customFormat="false" ht="15" hidden="true" customHeight="false" outlineLevel="0" collapsed="false">
      <c r="B52" s="1104" t="str">
        <f aca="false">'Смета Внутр'!B52</f>
        <v>Дренажный колодец D400</v>
      </c>
      <c r="C52" s="1104" t="str">
        <f aca="false">'Смета Внутр'!C52</f>
        <v>шт</v>
      </c>
      <c r="D52" s="1109" t="n">
        <f aca="false">'Смета Внутр'!D52</f>
        <v>0</v>
      </c>
      <c r="E52" s="1104" t="n">
        <f aca="false">'Смета Внутр'!E52</f>
        <v>2500</v>
      </c>
      <c r="F52" s="1104" t="n">
        <f aca="false">'Смета Внутр'!F52</f>
        <v>0</v>
      </c>
      <c r="G52" s="1104" t="n">
        <f aca="false">IF(E52&gt;F52,E52,F52)</f>
        <v>2500</v>
      </c>
      <c r="H52" s="1104" t="n">
        <f aca="false">'Смета Внутр'!G52</f>
        <v>0</v>
      </c>
      <c r="I52" s="1104" t="n">
        <f aca="false">'Смета Внутр'!H52</f>
        <v>0</v>
      </c>
      <c r="J52" s="1109" t="n">
        <f aca="false">'Смета Внутр'!I52</f>
        <v>0</v>
      </c>
    </row>
    <row r="53" customFormat="false" ht="15" hidden="true" customHeight="false" outlineLevel="0" collapsed="false">
      <c r="B53" s="1104" t="str">
        <f aca="false">'Смета Внутр'!B53</f>
        <v>Демпферная лента</v>
      </c>
      <c r="C53" s="1104" t="str">
        <f aca="false">'Смета Внутр'!C53</f>
        <v>м.п.</v>
      </c>
      <c r="D53" s="1109" t="n">
        <f aca="false">'Смета Внутр'!D53</f>
        <v>0</v>
      </c>
      <c r="E53" s="1104" t="n">
        <f aca="false">'Смета Внутр'!E53</f>
        <v>50</v>
      </c>
      <c r="F53" s="1104" t="n">
        <f aca="false">'Смета Внутр'!F53</f>
        <v>0</v>
      </c>
      <c r="G53" s="1104" t="n">
        <f aca="false">IF(E53&gt;F53,E53,F53)</f>
        <v>50</v>
      </c>
      <c r="H53" s="1104" t="n">
        <f aca="false">'Смета Внутр'!G53</f>
        <v>0</v>
      </c>
      <c r="I53" s="1104" t="n">
        <f aca="false">'Смета Внутр'!H53</f>
        <v>0</v>
      </c>
      <c r="J53" s="1109" t="n">
        <f aca="false">'Смета Внутр'!I53</f>
        <v>0</v>
      </c>
    </row>
    <row r="54" customFormat="false" ht="15" hidden="true" customHeight="false" outlineLevel="0" collapsed="false">
      <c r="B54" s="1104" t="str">
        <f aca="false">'Смета Внутр'!B54</f>
        <v>Бетон, м350</v>
      </c>
      <c r="C54" s="1104" t="str">
        <f aca="false">'Смета Внутр'!C54</f>
        <v>м3</v>
      </c>
      <c r="D54" s="1109" t="n">
        <f aca="false">'Смета Внутр'!D54</f>
        <v>0</v>
      </c>
      <c r="E54" s="1104" t="n">
        <f aca="false">'Смета Внутр'!E54</f>
        <v>3500</v>
      </c>
      <c r="F54" s="1104" t="n">
        <f aca="false">'Смета Внутр'!F54</f>
        <v>0</v>
      </c>
      <c r="G54" s="1104" t="n">
        <f aca="false">IF(E54&gt;F54,E54,F54)</f>
        <v>3500</v>
      </c>
      <c r="H54" s="1104" t="n">
        <f aca="false">'Смета Внутр'!G54</f>
        <v>0</v>
      </c>
      <c r="I54" s="1104" t="n">
        <f aca="false">'Смета Внутр'!H54</f>
        <v>0</v>
      </c>
      <c r="J54" s="1109" t="n">
        <f aca="false">'Смета Внутр'!I54</f>
        <v>0</v>
      </c>
    </row>
    <row r="55" customFormat="false" ht="15" hidden="true" customHeight="false" outlineLevel="0" collapsed="false">
      <c r="B55" s="1108" t="str">
        <f aca="false">'Смета Внутр'!B55</f>
        <v>Итого материалы</v>
      </c>
      <c r="C55" s="1108"/>
      <c r="D55" s="1108"/>
      <c r="E55" s="1108"/>
      <c r="F55" s="1108"/>
      <c r="G55" s="1108"/>
      <c r="H55" s="1104" t="n">
        <f aca="false">'Смета Внутр'!G55</f>
        <v>0</v>
      </c>
      <c r="I55" s="1104" t="n">
        <f aca="false">'Смета Внутр'!H55</f>
        <v>0</v>
      </c>
      <c r="J55" s="1109" t="n">
        <f aca="false">'Смета Внутр'!I55</f>
        <v>0</v>
      </c>
    </row>
    <row r="56" customFormat="false" ht="15" hidden="true" customHeight="true" outlineLevel="0" collapsed="false">
      <c r="B56" s="118" t="str">
        <f aca="false">'Смета Внутр'!B56</f>
        <v>Работы</v>
      </c>
      <c r="H56" s="118" t="n">
        <f aca="false">'Смета Внутр'!G56</f>
        <v>0</v>
      </c>
      <c r="I56" s="118" t="n">
        <f aca="false">'Смета Внутр'!H56</f>
        <v>0</v>
      </c>
      <c r="J56" s="1102" t="n">
        <f aca="false">'Смета Внутр'!I56</f>
        <v>0</v>
      </c>
    </row>
    <row r="57" customFormat="false" ht="15" hidden="true" customHeight="true" outlineLevel="0" collapsed="false">
      <c r="B57" s="1104" t="str">
        <f aca="false">'Смета Внутр'!B57</f>
        <v>трамбовка скальник</v>
      </c>
      <c r="C57" s="1104" t="str">
        <f aca="false">'Смета Внутр'!C57</f>
        <v>м2</v>
      </c>
      <c r="D57" s="1109" t="n">
        <f aca="false">'Смета Внутр'!D57</f>
        <v>0</v>
      </c>
      <c r="E57" s="1104" t="n">
        <f aca="false">'Смета Внутр'!E57</f>
        <v>400</v>
      </c>
      <c r="F57" s="1104" t="n">
        <f aca="false">'Смета Внутр'!F57</f>
        <v>0</v>
      </c>
      <c r="G57" s="1104" t="n">
        <f aca="false">IF(E57&gt;F57,E57,F57)</f>
        <v>400</v>
      </c>
      <c r="H57" s="1104" t="n">
        <f aca="false">'Смета Внутр'!G57</f>
        <v>0</v>
      </c>
      <c r="I57" s="1104" t="n">
        <f aca="false">'Смета Внутр'!H57</f>
        <v>0</v>
      </c>
      <c r="J57" s="1109" t="n">
        <f aca="false">'Смета Внутр'!I57</f>
        <v>0</v>
      </c>
    </row>
    <row r="58" customFormat="false" ht="15" hidden="true" customHeight="true" outlineLevel="0" collapsed="false">
      <c r="B58" s="1104" t="str">
        <f aca="false">'Смета Внутр'!B58</f>
        <v>трамбовка пгс</v>
      </c>
      <c r="C58" s="1104" t="str">
        <f aca="false">'Смета Внутр'!C58</f>
        <v>м2</v>
      </c>
      <c r="D58" s="1109" t="n">
        <f aca="false">'Смета Внутр'!D58</f>
        <v>0</v>
      </c>
      <c r="E58" s="1104" t="n">
        <f aca="false">'Смета Внутр'!E58</f>
        <v>600</v>
      </c>
      <c r="F58" s="1104" t="n">
        <f aca="false">'Смета Внутр'!F58</f>
        <v>0</v>
      </c>
      <c r="G58" s="1104" t="n">
        <f aca="false">IF(E58&gt;F58,E58,F58)</f>
        <v>600</v>
      </c>
      <c r="H58" s="1104" t="n">
        <f aca="false">'Смета Внутр'!G58</f>
        <v>0</v>
      </c>
      <c r="I58" s="1104" t="n">
        <f aca="false">'Смета Внутр'!H58</f>
        <v>0</v>
      </c>
      <c r="J58" s="1109" t="n">
        <f aca="false">'Смета Внутр'!I58</f>
        <v>0</v>
      </c>
    </row>
    <row r="59" customFormat="false" ht="15" hidden="true" customHeight="true" outlineLevel="0" collapsed="false">
      <c r="B59" s="1104" t="str">
        <f aca="false">'Смета Внутр'!B59</f>
        <v>трамбовка песок</v>
      </c>
      <c r="C59" s="1104" t="str">
        <f aca="false">'Смета Внутр'!C59</f>
        <v>м2</v>
      </c>
      <c r="D59" s="1109" t="n">
        <f aca="false">'Смета Внутр'!D59</f>
        <v>0</v>
      </c>
      <c r="E59" s="1104" t="n">
        <f aca="false">'Смета Внутр'!E59</f>
        <v>350</v>
      </c>
      <c r="F59" s="1104" t="n">
        <f aca="false">'Смета Внутр'!F59</f>
        <v>0</v>
      </c>
      <c r="G59" s="1104" t="n">
        <f aca="false">IF(E59&gt;F59,E59,F59)</f>
        <v>350</v>
      </c>
      <c r="H59" s="1104" t="n">
        <f aca="false">'Смета Внутр'!G59</f>
        <v>0</v>
      </c>
      <c r="I59" s="1104" t="n">
        <f aca="false">'Смета Внутр'!H59</f>
        <v>0</v>
      </c>
      <c r="J59" s="1109" t="n">
        <f aca="false">'Смета Внутр'!I59</f>
        <v>0</v>
      </c>
    </row>
    <row r="60" customFormat="false" ht="15" hidden="true" customHeight="true" outlineLevel="0" collapsed="false">
      <c r="B60" s="1104" t="str">
        <f aca="false">'Смета Внутр'!B60</f>
        <v>укладка геотекстиля</v>
      </c>
      <c r="C60" s="1104" t="str">
        <f aca="false">'Смета Внутр'!C60</f>
        <v>м2</v>
      </c>
      <c r="D60" s="1109" t="n">
        <f aca="false">'Смета Внутр'!D60</f>
        <v>0</v>
      </c>
      <c r="E60" s="1104" t="n">
        <f aca="false">'Смета Внутр'!E60</f>
        <v>200</v>
      </c>
      <c r="F60" s="1104" t="n">
        <f aca="false">'Смета Внутр'!F60</f>
        <v>0</v>
      </c>
      <c r="G60" s="1104" t="n">
        <f aca="false">IF(E60&gt;F60,E60,F60)</f>
        <v>200</v>
      </c>
      <c r="H60" s="1104" t="n">
        <f aca="false">'Смета Внутр'!G60</f>
        <v>0</v>
      </c>
      <c r="I60" s="1104" t="n">
        <f aca="false">'Смета Внутр'!H60</f>
        <v>0</v>
      </c>
      <c r="J60" s="1109" t="n">
        <f aca="false">'Смета Внутр'!I60</f>
        <v>0</v>
      </c>
    </row>
    <row r="61" customFormat="false" ht="15" hidden="true" customHeight="true" outlineLevel="0" collapsed="false">
      <c r="B61" s="1104" t="str">
        <f aca="false">'Смета Внутр'!B61</f>
        <v>укладка карбона</v>
      </c>
      <c r="C61" s="1104" t="str">
        <f aca="false">'Смета Внутр'!C61</f>
        <v>м2</v>
      </c>
      <c r="D61" s="1109" t="n">
        <f aca="false">'Смета Внутр'!D61</f>
        <v>0</v>
      </c>
      <c r="E61" s="1104" t="n">
        <f aca="false">'Смета Внутр'!E61</f>
        <v>200</v>
      </c>
      <c r="F61" s="1104" t="n">
        <f aca="false">'Смета Внутр'!F61</f>
        <v>0</v>
      </c>
      <c r="G61" s="1104" t="n">
        <f aca="false">IF(E61&gt;F61,E61,F61)</f>
        <v>200</v>
      </c>
      <c r="H61" s="1104" t="n">
        <f aca="false">'Смета Внутр'!G61</f>
        <v>0</v>
      </c>
      <c r="I61" s="1104" t="n">
        <f aca="false">'Смета Внутр'!H61</f>
        <v>0</v>
      </c>
      <c r="J61" s="1109" t="n">
        <f aca="false">'Смета Внутр'!I61</f>
        <v>0</v>
      </c>
    </row>
    <row r="62" customFormat="false" ht="15" hidden="true" customHeight="true" outlineLevel="0" collapsed="false">
      <c r="B62" s="1104" t="str">
        <f aca="false">'Смета Внутр'!B62</f>
        <v>укладка пленки</v>
      </c>
      <c r="C62" s="1104" t="str">
        <f aca="false">'Смета Внутр'!C62</f>
        <v>м2</v>
      </c>
      <c r="D62" s="1109" t="n">
        <f aca="false">'Смета Внутр'!D62</f>
        <v>0</v>
      </c>
      <c r="E62" s="1104" t="n">
        <f aca="false">'Смета Внутр'!E62</f>
        <v>10</v>
      </c>
      <c r="F62" s="1104" t="n">
        <f aca="false">'Смета Внутр'!F62</f>
        <v>0</v>
      </c>
      <c r="G62" s="1104" t="n">
        <f aca="false">IF(E62&gt;F62,E62,F62)</f>
        <v>10</v>
      </c>
      <c r="H62" s="1104" t="n">
        <f aca="false">'Смета Внутр'!G62</f>
        <v>0</v>
      </c>
      <c r="I62" s="1104" t="n">
        <f aca="false">'Смета Внутр'!H62</f>
        <v>0</v>
      </c>
      <c r="J62" s="1109" t="n">
        <f aca="false">'Смета Внутр'!I62</f>
        <v>0</v>
      </c>
    </row>
    <row r="63" customFormat="false" ht="15" hidden="true" customHeight="true" outlineLevel="0" collapsed="false">
      <c r="B63" s="1104" t="str">
        <f aca="false">'Смета Внутр'!B63</f>
        <v>укладка сетки</v>
      </c>
      <c r="C63" s="1104" t="str">
        <f aca="false">'Смета Внутр'!C63</f>
        <v>м2</v>
      </c>
      <c r="D63" s="1109" t="n">
        <f aca="false">'Смета Внутр'!D63</f>
        <v>0</v>
      </c>
      <c r="E63" s="1104" t="n">
        <f aca="false">'Смета Внутр'!E63</f>
        <v>100</v>
      </c>
      <c r="F63" s="1104" t="n">
        <f aca="false">'Смета Внутр'!F63</f>
        <v>0</v>
      </c>
      <c r="G63" s="1104" t="n">
        <f aca="false">IF(E63&gt;F63,E63,F63)</f>
        <v>100</v>
      </c>
      <c r="H63" s="1104" t="n">
        <f aca="false">'Смета Внутр'!G63</f>
        <v>0</v>
      </c>
      <c r="I63" s="1104" t="n">
        <f aca="false">'Смета Внутр'!H63</f>
        <v>0</v>
      </c>
      <c r="J63" s="1109" t="n">
        <f aca="false">'Смета Внутр'!I63</f>
        <v>0</v>
      </c>
    </row>
    <row r="64" customFormat="false" ht="15" hidden="true" customHeight="true" outlineLevel="0" collapsed="false">
      <c r="B64" s="1104" t="str">
        <f aca="false">'Смета Внутр'!B64</f>
        <v>укладка теп. Пола</v>
      </c>
      <c r="C64" s="1104" t="str">
        <f aca="false">'Смета Внутр'!C64</f>
        <v>м2</v>
      </c>
      <c r="D64" s="1109" t="n">
        <f aca="false">'Смета Внутр'!D64</f>
        <v>0</v>
      </c>
      <c r="E64" s="1104" t="n">
        <f aca="false">'Смета Внутр'!E64</f>
        <v>600</v>
      </c>
      <c r="F64" s="1104" t="n">
        <f aca="false">'Смета Внутр'!F64</f>
        <v>0</v>
      </c>
      <c r="G64" s="1104" t="n">
        <f aca="false">IF(E64&gt;F64,E64,F64)</f>
        <v>600</v>
      </c>
      <c r="H64" s="1104" t="n">
        <f aca="false">'Смета Внутр'!G64</f>
        <v>0</v>
      </c>
      <c r="I64" s="1104" t="n">
        <f aca="false">'Смета Внутр'!H64</f>
        <v>0</v>
      </c>
      <c r="J64" s="1109" t="n">
        <f aca="false">'Смета Внутр'!I64</f>
        <v>0</v>
      </c>
    </row>
    <row r="65" customFormat="false" ht="15" hidden="true" customHeight="true" outlineLevel="0" collapsed="false">
      <c r="B65" s="1104" t="str">
        <f aca="false">'Смета Внутр'!B65</f>
        <v>монтаж коллектора</v>
      </c>
      <c r="C65" s="1104" t="str">
        <f aca="false">'Смета Внутр'!C65</f>
        <v>шт</v>
      </c>
      <c r="D65" s="1109" t="n">
        <f aca="false">'Смета Внутр'!D65</f>
        <v>0</v>
      </c>
      <c r="E65" s="1104" t="n">
        <f aca="false">'Смета Внутр'!E65</f>
        <v>1000</v>
      </c>
      <c r="F65" s="1104" t="n">
        <f aca="false">'Смета Внутр'!F65</f>
        <v>0</v>
      </c>
      <c r="G65" s="1104" t="n">
        <f aca="false">IF(E65&gt;F65,E65,F65)</f>
        <v>1000</v>
      </c>
      <c r="H65" s="1104" t="n">
        <f aca="false">'Смета Внутр'!G65</f>
        <v>0</v>
      </c>
      <c r="I65" s="1104" t="n">
        <f aca="false">'Смета Внутр'!H65</f>
        <v>0</v>
      </c>
      <c r="J65" s="1109" t="n">
        <f aca="false">'Смета Внутр'!I65</f>
        <v>0</v>
      </c>
    </row>
    <row r="66" customFormat="false" ht="15" hidden="true" customHeight="true" outlineLevel="0" collapsed="false">
      <c r="B66" s="1104" t="str">
        <f aca="false">'Смета Внутр'!B66</f>
        <v>армирование </v>
      </c>
      <c r="C66" s="1104" t="str">
        <f aca="false">'Смета Внутр'!C66</f>
        <v>м2</v>
      </c>
      <c r="D66" s="1109" t="n">
        <f aca="false">'Смета Внутр'!D66</f>
        <v>0</v>
      </c>
      <c r="E66" s="1104" t="n">
        <f aca="false">'Смета Внутр'!E66</f>
        <v>300</v>
      </c>
      <c r="F66" s="1104" t="n">
        <f aca="false">'Смета Внутр'!F66</f>
        <v>0</v>
      </c>
      <c r="G66" s="1104" t="n">
        <f aca="false">IF(E66&gt;F66,E66,F66)</f>
        <v>300</v>
      </c>
      <c r="H66" s="1104" t="n">
        <f aca="false">'Смета Внутр'!G66</f>
        <v>0</v>
      </c>
      <c r="I66" s="1104" t="n">
        <f aca="false">'Смета Внутр'!H66</f>
        <v>0</v>
      </c>
      <c r="J66" s="1109" t="n">
        <f aca="false">'Смета Внутр'!I66</f>
        <v>0</v>
      </c>
    </row>
    <row r="67" customFormat="false" ht="15" hidden="true" customHeight="true" outlineLevel="0" collapsed="false">
      <c r="B67" s="1104" t="str">
        <f aca="false">'Смета Внутр'!B67</f>
        <v>монтаж дренажн труб</v>
      </c>
      <c r="C67" s="1104" t="str">
        <f aca="false">'Смета Внутр'!C67</f>
        <v>м.п.</v>
      </c>
      <c r="D67" s="1109" t="n">
        <f aca="false">'Смета Внутр'!D67</f>
        <v>0</v>
      </c>
      <c r="E67" s="1104" t="n">
        <f aca="false">'Смета Внутр'!E67</f>
        <v>200</v>
      </c>
      <c r="F67" s="1104" t="n">
        <f aca="false">'Смета Внутр'!F67</f>
        <v>0</v>
      </c>
      <c r="G67" s="1104" t="n">
        <f aca="false">IF(E67&gt;F67,E67,F67)</f>
        <v>200</v>
      </c>
      <c r="H67" s="1104" t="n">
        <f aca="false">'Смета Внутр'!G67</f>
        <v>0</v>
      </c>
      <c r="I67" s="1104" t="n">
        <f aca="false">'Смета Внутр'!H67</f>
        <v>0</v>
      </c>
      <c r="J67" s="1109" t="n">
        <f aca="false">'Смета Внутр'!I67</f>
        <v>0</v>
      </c>
    </row>
    <row r="68" customFormat="false" ht="15" hidden="true" customHeight="true" outlineLevel="0" collapsed="false">
      <c r="B68" s="1104" t="str">
        <f aca="false">'Смета Внутр'!B68</f>
        <v>монтаж дренаж колодец</v>
      </c>
      <c r="C68" s="1104" t="str">
        <f aca="false">'Смета Внутр'!C68</f>
        <v>шт</v>
      </c>
      <c r="D68" s="1109" t="n">
        <f aca="false">'Смета Внутр'!D68</f>
        <v>0</v>
      </c>
      <c r="E68" s="1104" t="n">
        <f aca="false">'Смета Внутр'!E68</f>
        <v>300</v>
      </c>
      <c r="F68" s="1104" t="n">
        <f aca="false">'Смета Внутр'!F68</f>
        <v>0</v>
      </c>
      <c r="G68" s="1104" t="n">
        <f aca="false">IF(E68&gt;F68,E68,F68)</f>
        <v>300</v>
      </c>
      <c r="H68" s="1104" t="n">
        <f aca="false">'Смета Внутр'!G68</f>
        <v>0</v>
      </c>
      <c r="I68" s="1104" t="n">
        <f aca="false">'Смета Внутр'!H68</f>
        <v>0</v>
      </c>
      <c r="J68" s="1109" t="n">
        <f aca="false">'Смета Внутр'!I68</f>
        <v>0</v>
      </c>
    </row>
    <row r="69" customFormat="false" ht="15" hidden="true" customHeight="true" outlineLevel="0" collapsed="false">
      <c r="B69" s="1104" t="str">
        <f aca="false">'Смета Внутр'!B69</f>
        <v>приемка бетона на пол</v>
      </c>
      <c r="C69" s="1104" t="str">
        <f aca="false">'Смета Внутр'!C69</f>
        <v>м2</v>
      </c>
      <c r="D69" s="1109" t="n">
        <f aca="false">'Смета Внутр'!D69</f>
        <v>0</v>
      </c>
      <c r="E69" s="1104" t="n">
        <f aca="false">'Смета Внутр'!E69</f>
        <v>350</v>
      </c>
      <c r="F69" s="1104" t="n">
        <f aca="false">'Смета Внутр'!F69</f>
        <v>0</v>
      </c>
      <c r="G69" s="1104" t="n">
        <f aca="false">IF(E69&gt;F69,E69,F69)</f>
        <v>350</v>
      </c>
      <c r="H69" s="1104" t="n">
        <f aca="false">'Смета Внутр'!G69</f>
        <v>0</v>
      </c>
      <c r="I69" s="1104" t="n">
        <f aca="false">'Смета Внутр'!H69</f>
        <v>0</v>
      </c>
      <c r="J69" s="1109" t="n">
        <f aca="false">'Смета Внутр'!I69</f>
        <v>0</v>
      </c>
    </row>
    <row r="70" customFormat="false" ht="15" hidden="true" customHeight="true" outlineLevel="0" collapsed="false">
      <c r="B70" s="1104" t="str">
        <f aca="false">'Смета Внутр'!B70</f>
        <v>демпферная лента</v>
      </c>
      <c r="C70" s="1104" t="str">
        <f aca="false">'Смета Внутр'!C70</f>
        <v>м.п.</v>
      </c>
      <c r="D70" s="1109" t="n">
        <f aca="false">'Смета Внутр'!D70</f>
        <v>0</v>
      </c>
      <c r="E70" s="1104" t="n">
        <f aca="false">'Смета Внутр'!E70</f>
        <v>100</v>
      </c>
      <c r="F70" s="1104" t="n">
        <f aca="false">'Смета Внутр'!F70</f>
        <v>0</v>
      </c>
      <c r="G70" s="1104" t="n">
        <f aca="false">IF(E70&gt;F70,E70,F70)</f>
        <v>100</v>
      </c>
      <c r="H70" s="1104" t="n">
        <f aca="false">'Смета Внутр'!G70</f>
        <v>0</v>
      </c>
      <c r="I70" s="1104" t="n">
        <f aca="false">'Смета Внутр'!H70</f>
        <v>0</v>
      </c>
      <c r="J70" s="1109" t="n">
        <f aca="false">'Смета Внутр'!I70</f>
        <v>0</v>
      </c>
    </row>
    <row r="71" customFormat="false" ht="15" hidden="true" customHeight="true" outlineLevel="0" collapsed="false">
      <c r="B71" s="1108" t="str">
        <f aca="false">'Смета Внутр'!B71</f>
        <v>Итого работы</v>
      </c>
      <c r="C71" s="1108"/>
      <c r="D71" s="1108"/>
      <c r="E71" s="1108"/>
      <c r="F71" s="1108"/>
      <c r="G71" s="1108"/>
      <c r="H71" s="1104" t="n">
        <f aca="false">'Смета Внутр'!G71</f>
        <v>0</v>
      </c>
      <c r="I71" s="1104" t="n">
        <f aca="false">'Смета Внутр'!H71</f>
        <v>0</v>
      </c>
      <c r="J71" s="1109" t="n">
        <f aca="false">'Смета Внутр'!I71</f>
        <v>0</v>
      </c>
    </row>
    <row r="72" customFormat="false" ht="15" hidden="true" customHeight="true" outlineLevel="0" collapsed="false">
      <c r="B72" s="1111" t="str">
        <f aca="false">'Смета Внутр'!B72</f>
        <v>Цокольный этаж из блоков ФБС</v>
      </c>
      <c r="C72" s="1111"/>
      <c r="D72" s="1111"/>
      <c r="H72" s="118" t="n">
        <f aca="false">'Смета Внутр'!G72</f>
        <v>0</v>
      </c>
      <c r="I72" s="118" t="n">
        <f aca="false">'Смета Внутр'!H72</f>
        <v>0</v>
      </c>
      <c r="J72" s="1102" t="n">
        <f aca="false">'Смета Внутр'!I72</f>
        <v>0</v>
      </c>
    </row>
    <row r="73" customFormat="false" ht="15" hidden="true" customHeight="true" outlineLevel="0" collapsed="false">
      <c r="B73" s="118" t="str">
        <f aca="false">'Смета Внутр'!B73</f>
        <v>Материалы</v>
      </c>
      <c r="H73" s="118" t="n">
        <f aca="false">'Смета Внутр'!G73</f>
        <v>0</v>
      </c>
      <c r="I73" s="118" t="n">
        <f aca="false">'Смета Внутр'!H73</f>
        <v>0</v>
      </c>
      <c r="J73" s="1102" t="n">
        <f aca="false">'Смета Внутр'!I73</f>
        <v>0</v>
      </c>
    </row>
    <row r="74" customFormat="false" ht="15" hidden="true" customHeight="true" outlineLevel="0" collapsed="false">
      <c r="B74" s="1104" t="str">
        <f aca="false">'Смета Внутр'!B74</f>
        <v>Праймер для обработки </v>
      </c>
      <c r="C74" s="1104" t="str">
        <f aca="false">'Смета Внутр'!C74</f>
        <v>л</v>
      </c>
      <c r="D74" s="1109" t="n">
        <f aca="false">'Смета Внутр'!D74</f>
        <v>0</v>
      </c>
      <c r="E74" s="1104" t="n">
        <f aca="false">'Смета Внутр'!E74</f>
        <v>100</v>
      </c>
      <c r="F74" s="1104" t="n">
        <f aca="false">'Смета Внутр'!F74</f>
        <v>0</v>
      </c>
      <c r="G74" s="1104" t="n">
        <f aca="false">IF(E74&gt;F74,E74,F74)</f>
        <v>100</v>
      </c>
      <c r="H74" s="1104" t="n">
        <f aca="false">'Смета Внутр'!G74</f>
        <v>0</v>
      </c>
      <c r="I74" s="1104" t="n">
        <f aca="false">'Смета Внутр'!H74</f>
        <v>0</v>
      </c>
      <c r="J74" s="1109" t="n">
        <f aca="false">'Смета Внутр'!I74</f>
        <v>0</v>
      </c>
    </row>
    <row r="75" customFormat="false" ht="15" hidden="true" customHeight="true" outlineLevel="0" collapsed="false">
      <c r="B75" s="1104" t="str">
        <f aca="false">'Смета Внутр'!B75</f>
        <v>Гидроизол</v>
      </c>
      <c r="C75" s="1104" t="str">
        <f aca="false">'Смета Внутр'!C75</f>
        <v>м2</v>
      </c>
      <c r="D75" s="1109" t="n">
        <f aca="false">'Смета Внутр'!D75</f>
        <v>0</v>
      </c>
      <c r="E75" s="1104" t="n">
        <f aca="false">'Смета Внутр'!E75</f>
        <v>70</v>
      </c>
      <c r="F75" s="1104" t="n">
        <f aca="false">'Смета Внутр'!F75</f>
        <v>0</v>
      </c>
      <c r="G75" s="1104" t="n">
        <f aca="false">IF(E75&gt;F75,E75,F75)</f>
        <v>70</v>
      </c>
      <c r="H75" s="1104" t="n">
        <f aca="false">'Смета Внутр'!G75</f>
        <v>0</v>
      </c>
      <c r="I75" s="1104" t="n">
        <f aca="false">'Смета Внутр'!H75</f>
        <v>0</v>
      </c>
      <c r="J75" s="1109" t="n">
        <f aca="false">'Смета Внутр'!I75</f>
        <v>0</v>
      </c>
    </row>
    <row r="76" customFormat="false" ht="15" hidden="true" customHeight="true" outlineLevel="0" collapsed="false">
      <c r="B76" s="1104" t="str">
        <f aca="false">'Смета Внутр'!B76</f>
        <v>Мастика битумная</v>
      </c>
      <c r="C76" s="1104" t="str">
        <f aca="false">'Смета Внутр'!C76</f>
        <v>кг</v>
      </c>
      <c r="D76" s="1109" t="n">
        <f aca="false">'Смета Внутр'!D76</f>
        <v>0</v>
      </c>
      <c r="E76" s="1104" t="n">
        <f aca="false">'Смета Внутр'!E76</f>
        <v>100</v>
      </c>
      <c r="F76" s="1104" t="n">
        <f aca="false">'Смета Внутр'!F76</f>
        <v>0</v>
      </c>
      <c r="G76" s="1104" t="n">
        <f aca="false">IF(E76&gt;F76,E76,F76)</f>
        <v>100</v>
      </c>
      <c r="H76" s="1104" t="n">
        <f aca="false">'Смета Внутр'!G76</f>
        <v>0</v>
      </c>
      <c r="I76" s="1104" t="n">
        <f aca="false">'Смета Внутр'!H76</f>
        <v>0</v>
      </c>
      <c r="J76" s="1109" t="n">
        <f aca="false">'Смета Внутр'!I76</f>
        <v>0</v>
      </c>
    </row>
    <row r="77" customFormat="false" ht="15" hidden="true" customHeight="true" outlineLevel="0" collapsed="false">
      <c r="B77" s="1104" t="str">
        <f aca="false">'Смета Внутр'!B77</f>
        <v>Блоки ФБС</v>
      </c>
      <c r="C77" s="1104" t="str">
        <f aca="false">'Смета Внутр'!C77</f>
        <v>м3</v>
      </c>
      <c r="D77" s="1109" t="n">
        <f aca="false">'Смета Внутр'!D77</f>
        <v>0</v>
      </c>
      <c r="E77" s="1104" t="n">
        <f aca="false">'Смета Внутр'!E77</f>
        <v>1200</v>
      </c>
      <c r="F77" s="1104" t="n">
        <f aca="false">'Смета Внутр'!F77</f>
        <v>0</v>
      </c>
      <c r="G77" s="1104" t="n">
        <f aca="false">IF(E77&gt;F77,E77,F77)</f>
        <v>1200</v>
      </c>
      <c r="H77" s="1104" t="n">
        <f aca="false">'Смета Внутр'!G77</f>
        <v>0</v>
      </c>
      <c r="I77" s="1104" t="n">
        <f aca="false">'Смета Внутр'!H77</f>
        <v>0</v>
      </c>
      <c r="J77" s="1109" t="n">
        <f aca="false">'Смета Внутр'!I77</f>
        <v>0</v>
      </c>
    </row>
    <row r="78" customFormat="false" ht="15" hidden="true" customHeight="true" outlineLevel="0" collapsed="false">
      <c r="B78" s="1104" t="str">
        <f aca="false">'Смета Внутр'!B78</f>
        <v>Кладочная сетка, 100*100/150*150/200*200мм</v>
      </c>
      <c r="C78" s="1104" t="str">
        <f aca="false">'Смета Внутр'!C78</f>
        <v>м2</v>
      </c>
      <c r="D78" s="1109" t="n">
        <f aca="false">'Смета Внутр'!D78</f>
        <v>0</v>
      </c>
      <c r="E78" s="1104" t="n">
        <f aca="false">'Смета Внутр'!E78</f>
        <v>70</v>
      </c>
      <c r="F78" s="1104" t="n">
        <f aca="false">'Смета Внутр'!F78</f>
        <v>0</v>
      </c>
      <c r="G78" s="1104" t="n">
        <f aca="false">IF(E78&gt;F78,E78,F78)</f>
        <v>70</v>
      </c>
      <c r="H78" s="1104" t="n">
        <f aca="false">'Смета Внутр'!G78</f>
        <v>0</v>
      </c>
      <c r="I78" s="1104" t="n">
        <f aca="false">'Смета Внутр'!H78</f>
        <v>0</v>
      </c>
      <c r="J78" s="1109" t="n">
        <f aca="false">'Смета Внутр'!I78</f>
        <v>0</v>
      </c>
    </row>
    <row r="79" customFormat="false" ht="15" hidden="true" customHeight="true" outlineLevel="0" collapsed="false">
      <c r="B79" s="1104" t="str">
        <f aca="false">'Смета Внутр'!B79</f>
        <v>Вязальная проволока</v>
      </c>
      <c r="C79" s="1104" t="str">
        <f aca="false">'Смета Внутр'!C79</f>
        <v>кг</v>
      </c>
      <c r="D79" s="1109" t="n">
        <f aca="false">'Смета Внутр'!D79</f>
        <v>0</v>
      </c>
      <c r="E79" s="1104" t="n">
        <f aca="false">'Смета Внутр'!E79</f>
        <v>80</v>
      </c>
      <c r="F79" s="1104" t="n">
        <f aca="false">'Смета Внутр'!F79</f>
        <v>0</v>
      </c>
      <c r="G79" s="1104" t="n">
        <f aca="false">IF(E79&gt;F79,E79,F79)</f>
        <v>80</v>
      </c>
      <c r="H79" s="1104" t="n">
        <f aca="false">'Смета Внутр'!G79</f>
        <v>0</v>
      </c>
      <c r="I79" s="1104" t="n">
        <f aca="false">'Смета Внутр'!H79</f>
        <v>0</v>
      </c>
      <c r="J79" s="1109" t="n">
        <f aca="false">'Смета Внутр'!I79</f>
        <v>0</v>
      </c>
    </row>
    <row r="80" customFormat="false" ht="15" hidden="true" customHeight="true" outlineLevel="0" collapsed="false">
      <c r="B80" s="1104" t="str">
        <f aca="false">'Смета Внутр'!B80</f>
        <v>Раствор, м250</v>
      </c>
      <c r="C80" s="1104" t="str">
        <f aca="false">'Смета Внутр'!C80</f>
        <v>м3</v>
      </c>
      <c r="D80" s="1109" t="n">
        <f aca="false">'Смета Внутр'!D80</f>
        <v>0</v>
      </c>
      <c r="E80" s="1104" t="n">
        <f aca="false">'Смета Внутр'!E80</f>
        <v>2500</v>
      </c>
      <c r="F80" s="1104" t="n">
        <f aca="false">'Смета Внутр'!F80</f>
        <v>0</v>
      </c>
      <c r="G80" s="1104" t="n">
        <f aca="false">IF(E80&gt;F80,E80,F80)</f>
        <v>2500</v>
      </c>
      <c r="H80" s="1104" t="n">
        <f aca="false">'Смета Внутр'!G80</f>
        <v>0</v>
      </c>
      <c r="I80" s="1104" t="n">
        <f aca="false">'Смета Внутр'!H80</f>
        <v>0</v>
      </c>
      <c r="J80" s="1109" t="n">
        <f aca="false">'Смета Внутр'!I80</f>
        <v>0</v>
      </c>
    </row>
    <row r="81" customFormat="false" ht="15" hidden="true" customHeight="true" outlineLevel="0" collapsed="false">
      <c r="B81" s="1104" t="str">
        <f aca="false">'Смета Внутр'!B81</f>
        <v>Сосна влаж,150*40мм</v>
      </c>
      <c r="C81" s="1104" t="str">
        <f aca="false">'Смета Внутр'!C81</f>
        <v>м3</v>
      </c>
      <c r="D81" s="1109" t="n">
        <f aca="false">'Смета Внутр'!D81</f>
        <v>0</v>
      </c>
      <c r="E81" s="1104" t="n">
        <f aca="false">'Смета Внутр'!E81</f>
        <v>6500</v>
      </c>
      <c r="F81" s="1104" t="n">
        <f aca="false">'Смета Внутр'!F81</f>
        <v>0</v>
      </c>
      <c r="G81" s="1104" t="n">
        <f aca="false">IF(E81&gt;F81,E81,F81)</f>
        <v>6500</v>
      </c>
      <c r="H81" s="1104" t="n">
        <f aca="false">'Смета Внутр'!G81</f>
        <v>0</v>
      </c>
      <c r="I81" s="1104" t="n">
        <f aca="false">'Смета Внутр'!H81</f>
        <v>0</v>
      </c>
      <c r="J81" s="1109" t="n">
        <f aca="false">'Смета Внутр'!I81</f>
        <v>0</v>
      </c>
    </row>
    <row r="82" customFormat="false" ht="15" hidden="true" customHeight="true" outlineLevel="0" collapsed="false">
      <c r="B82" s="1104" t="str">
        <f aca="false">'Смета Внутр'!B82</f>
        <v>Арматура стальная Ø 10 </v>
      </c>
      <c r="C82" s="1104" t="str">
        <f aca="false">'Смета Внутр'!C82</f>
        <v>м.п.</v>
      </c>
      <c r="D82" s="1109" t="n">
        <f aca="false">'Смета Внутр'!D82</f>
        <v>0</v>
      </c>
      <c r="E82" s="1104" t="n">
        <f aca="false">'Смета Внутр'!E82</f>
        <v>21.0397</v>
      </c>
      <c r="F82" s="1104" t="n">
        <f aca="false">'Смета Внутр'!F82</f>
        <v>0</v>
      </c>
      <c r="G82" s="1104" t="n">
        <f aca="false">IF(E82&gt;F82,E82,F82)</f>
        <v>21.0397</v>
      </c>
      <c r="H82" s="1104" t="n">
        <f aca="false">'Смета Внутр'!G82</f>
        <v>0</v>
      </c>
      <c r="I82" s="1104" t="n">
        <f aca="false">'Смета Внутр'!H82</f>
        <v>0</v>
      </c>
      <c r="J82" s="1109" t="n">
        <f aca="false">'Смета Внутр'!I82</f>
        <v>0</v>
      </c>
    </row>
    <row r="83" customFormat="false" ht="15" hidden="true" customHeight="true" outlineLevel="0" collapsed="false">
      <c r="B83" s="1104" t="str">
        <f aca="false">'Смета Внутр'!B83</f>
        <v>Нет арматуры</v>
      </c>
      <c r="C83" s="1104" t="str">
        <f aca="false">'Смета Внутр'!C83</f>
        <v>м.п.</v>
      </c>
      <c r="D83" s="1109" t="n">
        <f aca="false">'Смета Внутр'!D83</f>
        <v>0</v>
      </c>
      <c r="E83" s="1104" t="n">
        <f aca="false">'Смета Внутр'!E83</f>
        <v>0</v>
      </c>
      <c r="F83" s="1104" t="n">
        <f aca="false">'Смета Внутр'!F83</f>
        <v>0</v>
      </c>
      <c r="G83" s="1104" t="n">
        <f aca="false">IF(E83&gt;F83,E83,F83)</f>
        <v>0</v>
      </c>
      <c r="H83" s="1104" t="n">
        <f aca="false">'Смета Внутр'!G83</f>
        <v>0</v>
      </c>
      <c r="I83" s="1104" t="n">
        <f aca="false">'Смета Внутр'!H83</f>
        <v>0</v>
      </c>
      <c r="J83" s="1109" t="n">
        <f aca="false">'Смета Внутр'!I83</f>
        <v>0</v>
      </c>
    </row>
    <row r="84" customFormat="false" ht="15" hidden="true" customHeight="true" outlineLevel="0" collapsed="false">
      <c r="B84" s="1104" t="str">
        <f aca="false">'Смета Внутр'!B84</f>
        <v>Бетон, м300</v>
      </c>
      <c r="C84" s="1104" t="str">
        <f aca="false">'Смета Внутр'!C84</f>
        <v>м3</v>
      </c>
      <c r="D84" s="1109" t="n">
        <f aca="false">'Смета Внутр'!D84</f>
        <v>0</v>
      </c>
      <c r="E84" s="1104" t="n">
        <f aca="false">'Смета Внутр'!E84</f>
        <v>3000</v>
      </c>
      <c r="F84" s="1104" t="n">
        <f aca="false">'Смета Внутр'!F84</f>
        <v>0</v>
      </c>
      <c r="G84" s="1104" t="n">
        <f aca="false">IF(E84&gt;F84,E84,F84)</f>
        <v>3000</v>
      </c>
      <c r="H84" s="1104" t="n">
        <f aca="false">'Смета Внутр'!G84</f>
        <v>0</v>
      </c>
      <c r="I84" s="1104" t="n">
        <f aca="false">'Смета Внутр'!H84</f>
        <v>0</v>
      </c>
      <c r="J84" s="1109" t="n">
        <f aca="false">'Смета Внутр'!I84</f>
        <v>0</v>
      </c>
    </row>
    <row r="85" customFormat="false" ht="15" hidden="true" customHeight="true" outlineLevel="0" collapsed="false">
      <c r="B85" s="1104" t="str">
        <f aca="false">'Смета Внутр'!B85</f>
        <v>Праймер для обработки </v>
      </c>
      <c r="C85" s="1104" t="str">
        <f aca="false">'Смета Внутр'!C85</f>
        <v>л</v>
      </c>
      <c r="D85" s="1109" t="n">
        <f aca="false">'Смета Внутр'!D85</f>
        <v>0</v>
      </c>
      <c r="E85" s="1104" t="n">
        <f aca="false">'Смета Внутр'!E85</f>
        <v>100</v>
      </c>
      <c r="F85" s="1104" t="n">
        <f aca="false">'Смета Внутр'!F85</f>
        <v>0</v>
      </c>
      <c r="G85" s="1104" t="n">
        <f aca="false">IF(E85&gt;F85,E85,F85)</f>
        <v>100</v>
      </c>
      <c r="H85" s="1104" t="n">
        <f aca="false">'Смета Внутр'!G85</f>
        <v>0</v>
      </c>
      <c r="I85" s="1104" t="n">
        <f aca="false">'Смета Внутр'!H85</f>
        <v>0</v>
      </c>
      <c r="J85" s="1109" t="n">
        <f aca="false">'Смета Внутр'!I85</f>
        <v>0</v>
      </c>
    </row>
    <row r="86" customFormat="false" ht="15" hidden="true" customHeight="true" outlineLevel="0" collapsed="false">
      <c r="B86" s="1104" t="str">
        <f aca="false">'Смета Внутр'!B86</f>
        <v>Плитный,28кг/м3, технониколь, 100мм</v>
      </c>
      <c r="C86" s="1104" t="str">
        <f aca="false">'Смета Внутр'!C86</f>
        <v>м3</v>
      </c>
      <c r="D86" s="1109" t="n">
        <f aca="false">'Смета Внутр'!D86</f>
        <v>0</v>
      </c>
      <c r="E86" s="1104" t="n">
        <f aca="false">'Смета Внутр'!E86</f>
        <v>1700</v>
      </c>
      <c r="F86" s="1104" t="n">
        <f aca="false">'Смета Внутр'!F86</f>
        <v>0</v>
      </c>
      <c r="G86" s="1104" t="n">
        <f aca="false">IF(E86&gt;F86,E86,F86)</f>
        <v>1700</v>
      </c>
      <c r="H86" s="1104" t="n">
        <f aca="false">'Смета Внутр'!G86</f>
        <v>0</v>
      </c>
      <c r="I86" s="1104" t="n">
        <f aca="false">'Смета Внутр'!H86</f>
        <v>0</v>
      </c>
      <c r="J86" s="1109" t="n">
        <f aca="false">'Смета Внутр'!I86</f>
        <v>0</v>
      </c>
    </row>
    <row r="87" customFormat="false" ht="15" hidden="true" customHeight="true" outlineLevel="0" collapsed="false">
      <c r="B87" s="1104" t="str">
        <f aca="false">'Смета Внутр'!B87</f>
        <v>Грибок для крепления утеплителя</v>
      </c>
      <c r="C87" s="1104" t="str">
        <f aca="false">'Смета Внутр'!C87</f>
        <v>шт</v>
      </c>
      <c r="D87" s="1109" t="n">
        <f aca="false">'Смета Внутр'!D87</f>
        <v>0</v>
      </c>
      <c r="E87" s="1104" t="n">
        <f aca="false">'Смета Внутр'!E87</f>
        <v>15</v>
      </c>
      <c r="F87" s="1104" t="n">
        <f aca="false">'Смета Внутр'!F87</f>
        <v>0</v>
      </c>
      <c r="G87" s="1104" t="n">
        <f aca="false">IF(E87&gt;F87,E87,F87)</f>
        <v>15</v>
      </c>
      <c r="H87" s="1104" t="n">
        <f aca="false">'Смета Внутр'!G87</f>
        <v>0</v>
      </c>
      <c r="I87" s="1104" t="n">
        <f aca="false">'Смета Внутр'!H87</f>
        <v>0</v>
      </c>
      <c r="J87" s="1109" t="n">
        <f aca="false">'Смета Внутр'!I87</f>
        <v>0</v>
      </c>
    </row>
    <row r="88" customFormat="false" ht="15" hidden="true" customHeight="false" outlineLevel="0" collapsed="false">
      <c r="B88" s="1108" t="str">
        <f aca="false">'Смета Внутр'!B88</f>
        <v>Итого материалы</v>
      </c>
      <c r="C88" s="1108"/>
      <c r="D88" s="1108"/>
      <c r="E88" s="1108"/>
      <c r="F88" s="1108"/>
      <c r="G88" s="1108"/>
      <c r="H88" s="1104" t="n">
        <f aca="false">'Смета Внутр'!G88</f>
        <v>0</v>
      </c>
      <c r="I88" s="1104" t="n">
        <f aca="false">'Смета Внутр'!H88</f>
        <v>0</v>
      </c>
      <c r="J88" s="1109" t="n">
        <f aca="false">'Смета Внутр'!I88</f>
        <v>0</v>
      </c>
    </row>
    <row r="89" customFormat="false" ht="15" hidden="true" customHeight="true" outlineLevel="0" collapsed="false">
      <c r="B89" s="118" t="str">
        <f aca="false">'Смета Внутр'!B89</f>
        <v>Работы</v>
      </c>
      <c r="H89" s="118" t="n">
        <f aca="false">'Смета Внутр'!G89</f>
        <v>0</v>
      </c>
      <c r="I89" s="118" t="n">
        <f aca="false">'Смета Внутр'!H89</f>
        <v>0</v>
      </c>
      <c r="J89" s="1102" t="n">
        <f aca="false">'Смета Внутр'!I89</f>
        <v>0</v>
      </c>
    </row>
    <row r="90" customFormat="false" ht="15" hidden="true" customHeight="true" outlineLevel="0" collapsed="false">
      <c r="B90" s="1104" t="str">
        <f aca="false">'Смета Внутр'!B90</f>
        <v>обработка праймер</v>
      </c>
      <c r="C90" s="1104" t="str">
        <f aca="false">'Смета Внутр'!C90</f>
        <v>м2</v>
      </c>
      <c r="D90" s="1109" t="n">
        <f aca="false">'Смета Внутр'!D90</f>
        <v>0</v>
      </c>
      <c r="E90" s="1104" t="n">
        <f aca="false">'Смета Внутр'!E90</f>
        <v>200</v>
      </c>
      <c r="F90" s="1104" t="n">
        <f aca="false">'Смета Внутр'!F90</f>
        <v>0</v>
      </c>
      <c r="G90" s="1104" t="n">
        <f aca="false">IF(E90&gt;F90,E90,F90)</f>
        <v>200</v>
      </c>
      <c r="H90" s="1104" t="n">
        <f aca="false">'Смета Внутр'!G90</f>
        <v>0</v>
      </c>
      <c r="I90" s="1104" t="n">
        <f aca="false">'Смета Внутр'!H90</f>
        <v>0</v>
      </c>
      <c r="J90" s="1109" t="n">
        <f aca="false">'Смета Внутр'!I90</f>
        <v>0</v>
      </c>
    </row>
    <row r="91" customFormat="false" ht="15" hidden="true" customHeight="true" outlineLevel="0" collapsed="false">
      <c r="B91" s="1104" t="str">
        <f aca="false">'Смета Внутр'!B91</f>
        <v>настил гидроизола</v>
      </c>
      <c r="C91" s="1104" t="str">
        <f aca="false">'Смета Внутр'!C91</f>
        <v>м2</v>
      </c>
      <c r="D91" s="1109" t="n">
        <f aca="false">'Смета Внутр'!D91</f>
        <v>0</v>
      </c>
      <c r="E91" s="1104" t="n">
        <f aca="false">'Смета Внутр'!E91</f>
        <v>100</v>
      </c>
      <c r="F91" s="1104" t="n">
        <f aca="false">'Смета Внутр'!F91</f>
        <v>0</v>
      </c>
      <c r="G91" s="1104" t="n">
        <f aca="false">IF(E91&gt;F91,E91,F91)</f>
        <v>100</v>
      </c>
      <c r="H91" s="1104" t="n">
        <f aca="false">'Смета Внутр'!G91</f>
        <v>0</v>
      </c>
      <c r="I91" s="1104" t="n">
        <f aca="false">'Смета Внутр'!H91</f>
        <v>0</v>
      </c>
      <c r="J91" s="1109" t="n">
        <f aca="false">'Смета Внутр'!I91</f>
        <v>0</v>
      </c>
    </row>
    <row r="92" customFormat="false" ht="15" hidden="true" customHeight="true" outlineLevel="0" collapsed="false">
      <c r="B92" s="1104" t="str">
        <f aca="false">'Смета Внутр'!B92</f>
        <v>Кладка блоков ФБС</v>
      </c>
      <c r="C92" s="1104" t="str">
        <f aca="false">'Смета Внутр'!C92</f>
        <v>м3</v>
      </c>
      <c r="D92" s="1109" t="n">
        <f aca="false">'Смета Внутр'!D92</f>
        <v>0</v>
      </c>
      <c r="E92" s="1104" t="n">
        <f aca="false">'Смета Внутр'!E92</f>
        <v>1000</v>
      </c>
      <c r="F92" s="1104" t="n">
        <f aca="false">'Смета Внутр'!F92</f>
        <v>0</v>
      </c>
      <c r="G92" s="1104" t="n">
        <f aca="false">IF(E92&gt;F92,E92,F92)</f>
        <v>1000</v>
      </c>
      <c r="H92" s="1104" t="n">
        <f aca="false">'Смета Внутр'!G92</f>
        <v>0</v>
      </c>
      <c r="I92" s="1104" t="n">
        <f aca="false">'Смета Внутр'!H92</f>
        <v>0</v>
      </c>
      <c r="J92" s="1109" t="n">
        <f aca="false">'Смета Внутр'!I92</f>
        <v>0</v>
      </c>
    </row>
    <row r="93" customFormat="false" ht="15" hidden="true" customHeight="true" outlineLevel="0" collapsed="false">
      <c r="B93" s="1104" t="str">
        <f aca="false">'Смета Внутр'!B93</f>
        <v>укладка сетки</v>
      </c>
      <c r="C93" s="1104" t="str">
        <f aca="false">'Смета Внутр'!C93</f>
        <v>м2</v>
      </c>
      <c r="D93" s="1109" t="n">
        <f aca="false">'Смета Внутр'!D93</f>
        <v>0</v>
      </c>
      <c r="E93" s="1104" t="n">
        <f aca="false">'Смета Внутр'!E93</f>
        <v>100</v>
      </c>
      <c r="F93" s="1104" t="n">
        <f aca="false">'Смета Внутр'!F93</f>
        <v>0</v>
      </c>
      <c r="G93" s="1104" t="n">
        <f aca="false">IF(E93&gt;F93,E93,F93)</f>
        <v>100</v>
      </c>
      <c r="H93" s="1104" t="n">
        <f aca="false">'Смета Внутр'!G93</f>
        <v>0</v>
      </c>
      <c r="I93" s="1104" t="n">
        <f aca="false">'Смета Внутр'!H93</f>
        <v>0</v>
      </c>
      <c r="J93" s="1109" t="n">
        <f aca="false">'Смета Внутр'!I93</f>
        <v>0</v>
      </c>
    </row>
    <row r="94" customFormat="false" ht="15" hidden="true" customHeight="true" outlineLevel="0" collapsed="false">
      <c r="B94" s="1104" t="str">
        <f aca="false">'Смета Внутр'!B94</f>
        <v>гидроизоляция стен</v>
      </c>
      <c r="C94" s="1104" t="str">
        <f aca="false">'Смета Внутр'!C94</f>
        <v>м2</v>
      </c>
      <c r="D94" s="1109" t="n">
        <f aca="false">'Смета Внутр'!D94</f>
        <v>0</v>
      </c>
      <c r="E94" s="1104" t="n">
        <f aca="false">'Смета Внутр'!E94</f>
        <v>200</v>
      </c>
      <c r="F94" s="1104" t="n">
        <f aca="false">'Смета Внутр'!F94</f>
        <v>0</v>
      </c>
      <c r="G94" s="1104" t="n">
        <f aca="false">IF(E94&gt;F94,E94,F94)</f>
        <v>200</v>
      </c>
      <c r="H94" s="1104" t="n">
        <f aca="false">'Смета Внутр'!G94</f>
        <v>0</v>
      </c>
      <c r="I94" s="1104" t="n">
        <f aca="false">'Смета Внутр'!H94</f>
        <v>0</v>
      </c>
      <c r="J94" s="1109" t="n">
        <f aca="false">'Смета Внутр'!I94</f>
        <v>0</v>
      </c>
    </row>
    <row r="95" customFormat="false" ht="15" hidden="true" customHeight="true" outlineLevel="0" collapsed="false">
      <c r="B95" s="1104" t="str">
        <f aca="false">'Смета Внутр'!B95</f>
        <v>Монтаж утеплителя стен наружних</v>
      </c>
      <c r="C95" s="1104" t="str">
        <f aca="false">'Смета Внутр'!C95</f>
        <v>м2</v>
      </c>
      <c r="D95" s="1109" t="n">
        <f aca="false">'Смета Внутр'!D95</f>
        <v>0</v>
      </c>
      <c r="E95" s="1104" t="n">
        <f aca="false">'Смета Внутр'!E95</f>
        <v>200</v>
      </c>
      <c r="F95" s="1104" t="n">
        <f aca="false">'Смета Внутр'!F95</f>
        <v>0</v>
      </c>
      <c r="G95" s="1104" t="n">
        <f aca="false">IF(E95&gt;F95,E95,F95)</f>
        <v>200</v>
      </c>
      <c r="H95" s="1104" t="n">
        <f aca="false">'Смета Внутр'!G95</f>
        <v>0</v>
      </c>
      <c r="I95" s="1104" t="n">
        <f aca="false">'Смета Внутр'!H95</f>
        <v>0</v>
      </c>
      <c r="J95" s="1109" t="n">
        <f aca="false">'Смета Внутр'!I95</f>
        <v>0</v>
      </c>
    </row>
    <row r="96" customFormat="false" ht="15" hidden="true" customHeight="true" outlineLevel="0" collapsed="false">
      <c r="B96" s="1104" t="str">
        <f aca="false">'Смета Внутр'!B96</f>
        <v>сборка опалубки</v>
      </c>
      <c r="C96" s="1104" t="str">
        <f aca="false">'Смета Внутр'!C96</f>
        <v>м2</v>
      </c>
      <c r="D96" s="1109" t="n">
        <f aca="false">'Смета Внутр'!D96</f>
        <v>0</v>
      </c>
      <c r="E96" s="1104" t="n">
        <f aca="false">'Смета Внутр'!E96</f>
        <v>300</v>
      </c>
      <c r="F96" s="1104" t="n">
        <f aca="false">'Смета Внутр'!F96</f>
        <v>0</v>
      </c>
      <c r="G96" s="1104" t="n">
        <f aca="false">IF(E96&gt;F96,E96,F96)</f>
        <v>300</v>
      </c>
      <c r="H96" s="1104" t="n">
        <f aca="false">'Смета Внутр'!G96</f>
        <v>0</v>
      </c>
      <c r="I96" s="1104" t="n">
        <f aca="false">'Смета Внутр'!H96</f>
        <v>0</v>
      </c>
      <c r="J96" s="1109" t="n">
        <f aca="false">'Смета Внутр'!I96</f>
        <v>0</v>
      </c>
    </row>
    <row r="97" customFormat="false" ht="15" hidden="true" customHeight="true" outlineLevel="0" collapsed="false">
      <c r="B97" s="1104" t="str">
        <f aca="false">'Смета Внутр'!B97</f>
        <v>разборка опалубки</v>
      </c>
      <c r="C97" s="1104" t="str">
        <f aca="false">'Смета Внутр'!C97</f>
        <v>м2</v>
      </c>
      <c r="D97" s="1109" t="n">
        <f aca="false">'Смета Внутр'!D97</f>
        <v>0</v>
      </c>
      <c r="E97" s="1104" t="n">
        <f aca="false">'Смета Внутр'!E97</f>
        <v>100</v>
      </c>
      <c r="F97" s="1104" t="n">
        <f aca="false">'Смета Внутр'!F97</f>
        <v>0</v>
      </c>
      <c r="G97" s="1104" t="n">
        <f aca="false">IF(E97&gt;F97,E97,F97)</f>
        <v>100</v>
      </c>
      <c r="H97" s="1104" t="n">
        <f aca="false">'Смета Внутр'!G97</f>
        <v>0</v>
      </c>
      <c r="I97" s="1104" t="n">
        <f aca="false">'Смета Внутр'!H97</f>
        <v>0</v>
      </c>
      <c r="J97" s="1109" t="n">
        <f aca="false">'Смета Внутр'!I97</f>
        <v>0</v>
      </c>
    </row>
    <row r="98" customFormat="false" ht="15" hidden="true" customHeight="true" outlineLevel="0" collapsed="false">
      <c r="B98" s="1104" t="str">
        <f aca="false">'Смета Внутр'!B98</f>
        <v>приемка бетона</v>
      </c>
      <c r="C98" s="1104" t="str">
        <f aca="false">'Смета Внутр'!C98</f>
        <v>м3</v>
      </c>
      <c r="D98" s="1109" t="n">
        <f aca="false">'Смета Внутр'!D98</f>
        <v>0</v>
      </c>
      <c r="E98" s="1104" t="n">
        <f aca="false">'Смета Внутр'!E98</f>
        <v>350</v>
      </c>
      <c r="F98" s="1104" t="n">
        <f aca="false">'Смета Внутр'!F98</f>
        <v>0</v>
      </c>
      <c r="G98" s="1104" t="n">
        <f aca="false">IF(E98&gt;F98,E98,F98)</f>
        <v>350</v>
      </c>
      <c r="H98" s="1104" t="n">
        <f aca="false">'Смета Внутр'!G98</f>
        <v>0</v>
      </c>
      <c r="I98" s="1104" t="n">
        <f aca="false">'Смета Внутр'!H98</f>
        <v>0</v>
      </c>
      <c r="J98" s="1109" t="n">
        <f aca="false">'Смета Внутр'!I98</f>
        <v>0</v>
      </c>
    </row>
    <row r="99" customFormat="false" ht="15" hidden="true" customHeight="true" outlineLevel="0" collapsed="false">
      <c r="B99" s="1108" t="str">
        <f aca="false">'Смета Внутр'!B99</f>
        <v>Итого работы</v>
      </c>
      <c r="C99" s="1108"/>
      <c r="D99" s="1108"/>
      <c r="E99" s="1108"/>
      <c r="F99" s="1108"/>
      <c r="G99" s="1108"/>
      <c r="H99" s="1104" t="n">
        <f aca="false">'Смета Внутр'!G99</f>
        <v>0</v>
      </c>
      <c r="I99" s="1104" t="n">
        <f aca="false">'Смета Внутр'!H99</f>
        <v>0</v>
      </c>
      <c r="J99" s="1109" t="n">
        <f aca="false">'Смета Внутр'!I99</f>
        <v>0</v>
      </c>
    </row>
    <row r="100" customFormat="false" ht="15" hidden="true" customHeight="true" outlineLevel="0" collapsed="false">
      <c r="B100" s="1111" t="str">
        <f aca="false">'Смета Внутр'!B100</f>
        <v>Цокольный этаж из Монолит (бетон)</v>
      </c>
      <c r="C100" s="1111"/>
      <c r="D100" s="1111"/>
      <c r="H100" s="118" t="n">
        <f aca="false">'Смета Внутр'!G100</f>
        <v>0</v>
      </c>
      <c r="I100" s="118" t="n">
        <f aca="false">'Смета Внутр'!H100</f>
        <v>0</v>
      </c>
      <c r="J100" s="1102" t="n">
        <f aca="false">'Смета Внутр'!I100</f>
        <v>0</v>
      </c>
    </row>
    <row r="101" customFormat="false" ht="15" hidden="true" customHeight="true" outlineLevel="0" collapsed="false">
      <c r="B101" s="118" t="str">
        <f aca="false">'Смета Внутр'!B101</f>
        <v>Материалы</v>
      </c>
      <c r="H101" s="118" t="n">
        <f aca="false">'Смета Внутр'!G101</f>
        <v>0</v>
      </c>
      <c r="I101" s="118" t="n">
        <f aca="false">'Смета Внутр'!H101</f>
        <v>0</v>
      </c>
      <c r="J101" s="1102" t="n">
        <f aca="false">'Смета Внутр'!I101</f>
        <v>0</v>
      </c>
    </row>
    <row r="102" customFormat="false" ht="15" hidden="true" customHeight="true" outlineLevel="0" collapsed="false">
      <c r="B102" s="1104" t="str">
        <f aca="false">'Смета Внутр'!B102</f>
        <v>Праймер для обработки </v>
      </c>
      <c r="C102" s="1104" t="str">
        <f aca="false">'Смета Внутр'!C102</f>
        <v>л</v>
      </c>
      <c r="D102" s="1109" t="n">
        <f aca="false">'Смета Внутр'!D102</f>
        <v>0</v>
      </c>
      <c r="E102" s="1104" t="n">
        <f aca="false">'Смета Внутр'!E102</f>
        <v>100</v>
      </c>
      <c r="F102" s="1104" t="n">
        <f aca="false">'Смета Внутр'!F102</f>
        <v>0</v>
      </c>
      <c r="G102" s="1104" t="n">
        <f aca="false">IF(E102&gt;F102,E102,F102)</f>
        <v>100</v>
      </c>
      <c r="H102" s="1104" t="n">
        <f aca="false">'Смета Внутр'!G102</f>
        <v>0</v>
      </c>
      <c r="I102" s="1104" t="n">
        <f aca="false">'Смета Внутр'!H102</f>
        <v>0</v>
      </c>
      <c r="J102" s="1109" t="n">
        <f aca="false">'Смета Внутр'!I102</f>
        <v>0</v>
      </c>
    </row>
    <row r="103" customFormat="false" ht="15" hidden="true" customHeight="true" outlineLevel="0" collapsed="false">
      <c r="B103" s="1104" t="str">
        <f aca="false">'Смета Внутр'!B103</f>
        <v>Гидроизол</v>
      </c>
      <c r="C103" s="1104" t="str">
        <f aca="false">'Смета Внутр'!C103</f>
        <v>м2</v>
      </c>
      <c r="D103" s="1109" t="n">
        <f aca="false">'Смета Внутр'!D103</f>
        <v>0</v>
      </c>
      <c r="E103" s="1104" t="n">
        <f aca="false">'Смета Внутр'!E103</f>
        <v>70</v>
      </c>
      <c r="F103" s="1104" t="n">
        <f aca="false">'Смета Внутр'!F103</f>
        <v>0</v>
      </c>
      <c r="G103" s="1104" t="n">
        <f aca="false">IF(E103&gt;F103,E103,F103)</f>
        <v>70</v>
      </c>
      <c r="H103" s="1104" t="n">
        <f aca="false">'Смета Внутр'!G103</f>
        <v>0</v>
      </c>
      <c r="I103" s="1104" t="n">
        <f aca="false">'Смета Внутр'!H103</f>
        <v>0</v>
      </c>
      <c r="J103" s="1109" t="n">
        <f aca="false">'Смета Внутр'!I103</f>
        <v>0</v>
      </c>
    </row>
    <row r="104" customFormat="false" ht="15" hidden="true" customHeight="true" outlineLevel="0" collapsed="false">
      <c r="B104" s="1104" t="str">
        <f aca="false">'Смета Внутр'!B104</f>
        <v>Мастика битумная</v>
      </c>
      <c r="C104" s="1104" t="str">
        <f aca="false">'Смета Внутр'!C104</f>
        <v>кг</v>
      </c>
      <c r="D104" s="1109" t="n">
        <f aca="false">'Смета Внутр'!D104</f>
        <v>0</v>
      </c>
      <c r="E104" s="1104" t="n">
        <f aca="false">'Смета Внутр'!E104</f>
        <v>100</v>
      </c>
      <c r="F104" s="1104" t="n">
        <f aca="false">'Смета Внутр'!F104</f>
        <v>0</v>
      </c>
      <c r="G104" s="1104" t="n">
        <f aca="false">IF(E104&gt;F104,E104,F104)</f>
        <v>100</v>
      </c>
      <c r="H104" s="1104" t="n">
        <f aca="false">'Смета Внутр'!G104</f>
        <v>0</v>
      </c>
      <c r="I104" s="1104" t="n">
        <f aca="false">'Смета Внутр'!H104</f>
        <v>0</v>
      </c>
      <c r="J104" s="1109" t="n">
        <f aca="false">'Смета Внутр'!I104</f>
        <v>0</v>
      </c>
    </row>
    <row r="105" customFormat="false" ht="15" hidden="true" customHeight="true" outlineLevel="0" collapsed="false">
      <c r="B105" s="1104" t="str">
        <f aca="false">'Смета Внутр'!B105</f>
        <v>Сосна влаж,150*40мм</v>
      </c>
      <c r="C105" s="1104" t="str">
        <f aca="false">'Смета Внутр'!C105</f>
        <v>м3</v>
      </c>
      <c r="D105" s="1109" t="n">
        <f aca="false">'Смета Внутр'!D105</f>
        <v>0</v>
      </c>
      <c r="E105" s="1104" t="n">
        <f aca="false">'Смета Внутр'!E105</f>
        <v>6500</v>
      </c>
      <c r="F105" s="1104" t="n">
        <f aca="false">'Смета Внутр'!F105</f>
        <v>0</v>
      </c>
      <c r="G105" s="1104" t="n">
        <f aca="false">IF(E105&gt;F105,E105,F105)</f>
        <v>6500</v>
      </c>
      <c r="H105" s="1104" t="n">
        <f aca="false">'Смета Внутр'!G105</f>
        <v>0</v>
      </c>
      <c r="I105" s="1104" t="n">
        <f aca="false">'Смета Внутр'!H105</f>
        <v>0</v>
      </c>
      <c r="J105" s="1109" t="n">
        <f aca="false">'Смета Внутр'!I105</f>
        <v>0</v>
      </c>
    </row>
    <row r="106" customFormat="false" ht="15" hidden="true" customHeight="true" outlineLevel="0" collapsed="false">
      <c r="B106" s="1104" t="str">
        <f aca="false">'Смета Внутр'!B106</f>
        <v>Крепления для опалубки</v>
      </c>
      <c r="C106" s="1104" t="str">
        <f aca="false">'Смета Внутр'!C106</f>
        <v>шт</v>
      </c>
      <c r="D106" s="1109" t="n">
        <f aca="false">'Смета Внутр'!D106</f>
        <v>0</v>
      </c>
      <c r="E106" s="1104" t="n">
        <f aca="false">'Смета Внутр'!E106</f>
        <v>20</v>
      </c>
      <c r="F106" s="1104" t="n">
        <f aca="false">'Смета Внутр'!F106</f>
        <v>0</v>
      </c>
      <c r="G106" s="1104" t="n">
        <f aca="false">IF(E106&gt;F106,E106,F106)</f>
        <v>20</v>
      </c>
      <c r="H106" s="1104" t="n">
        <f aca="false">'Смета Внутр'!G106</f>
        <v>0</v>
      </c>
      <c r="I106" s="1104" t="n">
        <f aca="false">'Смета Внутр'!H106</f>
        <v>0</v>
      </c>
      <c r="J106" s="1109" t="n">
        <f aca="false">'Смета Внутр'!I106</f>
        <v>0</v>
      </c>
    </row>
    <row r="107" customFormat="false" ht="15" hidden="true" customHeight="true" outlineLevel="0" collapsed="false">
      <c r="B107" s="1104" t="str">
        <f aca="false">'Смета Внутр'!B107</f>
        <v>Арматура стальная Ø 12</v>
      </c>
      <c r="C107" s="1104" t="str">
        <f aca="false">'Смета Внутр'!C107</f>
        <v>м.п.</v>
      </c>
      <c r="D107" s="1109" t="n">
        <f aca="false">'Смета Внутр'!D107</f>
        <v>0</v>
      </c>
      <c r="E107" s="1104" t="n">
        <f aca="false">'Смета Внутр'!E107</f>
        <v>29.2152</v>
      </c>
      <c r="F107" s="1104" t="n">
        <f aca="false">'Смета Внутр'!F107</f>
        <v>0</v>
      </c>
      <c r="G107" s="1104" t="n">
        <f aca="false">IF(E107&gt;F107,E107,F107)</f>
        <v>29.2152</v>
      </c>
      <c r="H107" s="1104" t="n">
        <f aca="false">'Смета Внутр'!G107</f>
        <v>0</v>
      </c>
      <c r="I107" s="1104" t="n">
        <f aca="false">'Смета Внутр'!H107</f>
        <v>0</v>
      </c>
      <c r="J107" s="1109" t="n">
        <f aca="false">'Смета Внутр'!I107</f>
        <v>0</v>
      </c>
    </row>
    <row r="108" customFormat="false" ht="15" hidden="true" customHeight="true" outlineLevel="0" collapsed="false">
      <c r="B108" s="1104" t="str">
        <f aca="false">'Смета Внутр'!B108</f>
        <v>Вязальная проволока</v>
      </c>
      <c r="C108" s="1104" t="str">
        <f aca="false">'Смета Внутр'!C108</f>
        <v>кг</v>
      </c>
      <c r="D108" s="1109" t="n">
        <f aca="false">'Смета Внутр'!D108</f>
        <v>0</v>
      </c>
      <c r="E108" s="1104" t="n">
        <f aca="false">'Смета Внутр'!E108</f>
        <v>80</v>
      </c>
      <c r="F108" s="1104" t="n">
        <f aca="false">'Смета Внутр'!F108</f>
        <v>0</v>
      </c>
      <c r="G108" s="1104" t="n">
        <f aca="false">IF(E108&gt;F108,E108,F108)</f>
        <v>80</v>
      </c>
      <c r="H108" s="1104" t="n">
        <f aca="false">'Смета Внутр'!G108</f>
        <v>0</v>
      </c>
      <c r="I108" s="1104" t="n">
        <f aca="false">'Смета Внутр'!H108</f>
        <v>0</v>
      </c>
      <c r="J108" s="1109" t="n">
        <f aca="false">'Смета Внутр'!I108</f>
        <v>0</v>
      </c>
    </row>
    <row r="109" customFormat="false" ht="15" hidden="true" customHeight="true" outlineLevel="0" collapsed="false">
      <c r="B109" s="1104" t="str">
        <f aca="false">'Смета Внутр'!B109</f>
        <v>Бетон, м300</v>
      </c>
      <c r="C109" s="1104" t="str">
        <f aca="false">'Смета Внутр'!C109</f>
        <v>м3</v>
      </c>
      <c r="D109" s="1109" t="n">
        <f aca="false">'Смета Внутр'!D109</f>
        <v>0</v>
      </c>
      <c r="E109" s="1104" t="n">
        <f aca="false">'Смета Внутр'!E109</f>
        <v>3000</v>
      </c>
      <c r="F109" s="1104" t="n">
        <f aca="false">'Смета Внутр'!F109</f>
        <v>0</v>
      </c>
      <c r="G109" s="1104" t="n">
        <f aca="false">IF(E109&gt;F109,E109,F109)</f>
        <v>3000</v>
      </c>
      <c r="H109" s="1104" t="n">
        <f aca="false">'Смета Внутр'!G109</f>
        <v>0</v>
      </c>
      <c r="I109" s="1104" t="n">
        <f aca="false">'Смета Внутр'!H109</f>
        <v>0</v>
      </c>
      <c r="J109" s="1109" t="n">
        <f aca="false">'Смета Внутр'!I109</f>
        <v>0</v>
      </c>
    </row>
    <row r="110" customFormat="false" ht="15" hidden="true" customHeight="true" outlineLevel="0" collapsed="false">
      <c r="B110" s="1104" t="str">
        <f aca="false">'Смета Внутр'!B110</f>
        <v>Праймер для обработки </v>
      </c>
      <c r="C110" s="1104" t="str">
        <f aca="false">'Смета Внутр'!C110</f>
        <v>кг</v>
      </c>
      <c r="D110" s="1109" t="n">
        <f aca="false">'Смета Внутр'!D110</f>
        <v>0</v>
      </c>
      <c r="E110" s="1104" t="n">
        <f aca="false">'Смета Внутр'!E110</f>
        <v>100</v>
      </c>
      <c r="F110" s="1104" t="n">
        <f aca="false">'Смета Внутр'!F110</f>
        <v>0</v>
      </c>
      <c r="G110" s="1104" t="n">
        <f aca="false">IF(E110&gt;F110,E110,F110)</f>
        <v>100</v>
      </c>
      <c r="H110" s="1104" t="n">
        <f aca="false">'Смета Внутр'!G110</f>
        <v>0</v>
      </c>
      <c r="I110" s="1104" t="n">
        <f aca="false">'Смета Внутр'!H110</f>
        <v>0</v>
      </c>
      <c r="J110" s="1109" t="n">
        <f aca="false">'Смета Внутр'!I110</f>
        <v>0</v>
      </c>
    </row>
    <row r="111" customFormat="false" ht="15" hidden="true" customHeight="true" outlineLevel="0" collapsed="false">
      <c r="B111" s="1104" t="str">
        <f aca="false">'Смета Внутр'!B111</f>
        <v>Плитный,28кг/м3, технониколь, 100мм</v>
      </c>
      <c r="C111" s="1104" t="str">
        <f aca="false">'Смета Внутр'!C111</f>
        <v>м3</v>
      </c>
      <c r="D111" s="1109" t="n">
        <f aca="false">'Смета Внутр'!D111</f>
        <v>0</v>
      </c>
      <c r="E111" s="1104" t="n">
        <f aca="false">'Смета Внутр'!E111</f>
        <v>1700</v>
      </c>
      <c r="F111" s="1104" t="n">
        <f aca="false">'Смета Внутр'!F111</f>
        <v>0</v>
      </c>
      <c r="G111" s="1104" t="n">
        <f aca="false">IF(E111&gt;F111,E111,F111)</f>
        <v>1700</v>
      </c>
      <c r="H111" s="1104" t="n">
        <f aca="false">'Смета Внутр'!G111</f>
        <v>0</v>
      </c>
      <c r="I111" s="1104" t="n">
        <f aca="false">'Смета Внутр'!H111</f>
        <v>0</v>
      </c>
      <c r="J111" s="1109" t="n">
        <f aca="false">'Смета Внутр'!I111</f>
        <v>0</v>
      </c>
    </row>
    <row r="112" customFormat="false" ht="15" hidden="true" customHeight="true" outlineLevel="0" collapsed="false">
      <c r="B112" s="1104" t="str">
        <f aca="false">'Смета Внутр'!B112</f>
        <v>Грибок для крепления утеплителя</v>
      </c>
      <c r="C112" s="1104" t="str">
        <f aca="false">'Смета Внутр'!C112</f>
        <v>шт</v>
      </c>
      <c r="D112" s="1109" t="n">
        <f aca="false">'Смета Внутр'!D112</f>
        <v>0</v>
      </c>
      <c r="E112" s="1104" t="n">
        <f aca="false">'Смета Внутр'!E112</f>
        <v>15</v>
      </c>
      <c r="F112" s="1104" t="n">
        <f aca="false">'Смета Внутр'!F112</f>
        <v>0</v>
      </c>
      <c r="G112" s="1104" t="n">
        <f aca="false">IF(E112&gt;F112,E112,F112)</f>
        <v>15</v>
      </c>
      <c r="H112" s="1104" t="n">
        <f aca="false">'Смета Внутр'!G112</f>
        <v>0</v>
      </c>
      <c r="I112" s="1104" t="n">
        <f aca="false">'Смета Внутр'!H112</f>
        <v>0</v>
      </c>
      <c r="J112" s="1109" t="n">
        <f aca="false">'Смета Внутр'!I112</f>
        <v>0</v>
      </c>
    </row>
    <row r="113" customFormat="false" ht="15" hidden="true" customHeight="false" outlineLevel="0" collapsed="false">
      <c r="B113" s="1108" t="str">
        <f aca="false">'Смета Внутр'!B113</f>
        <v>Итого материалы</v>
      </c>
      <c r="C113" s="1108"/>
      <c r="D113" s="1108"/>
      <c r="E113" s="1108"/>
      <c r="F113" s="1108"/>
      <c r="G113" s="1108"/>
      <c r="H113" s="1104" t="n">
        <f aca="false">'Смета Внутр'!G113</f>
        <v>0</v>
      </c>
      <c r="I113" s="1104" t="n">
        <f aca="false">'Смета Внутр'!H113</f>
        <v>0</v>
      </c>
      <c r="J113" s="1109" t="n">
        <f aca="false">'Смета Внутр'!I113</f>
        <v>0</v>
      </c>
    </row>
    <row r="114" customFormat="false" ht="15" hidden="true" customHeight="true" outlineLevel="0" collapsed="false">
      <c r="B114" s="118" t="str">
        <f aca="false">'Смета Внутр'!B114</f>
        <v>Работы</v>
      </c>
      <c r="H114" s="118" t="n">
        <f aca="false">'Смета Внутр'!G114</f>
        <v>0</v>
      </c>
      <c r="I114" s="118" t="n">
        <f aca="false">'Смета Внутр'!H114</f>
        <v>0</v>
      </c>
      <c r="J114" s="1102" t="n">
        <f aca="false">'Смета Внутр'!I114</f>
        <v>0</v>
      </c>
    </row>
    <row r="115" customFormat="false" ht="15" hidden="true" customHeight="true" outlineLevel="0" collapsed="false">
      <c r="B115" s="1104" t="str">
        <f aca="false">'Смета Внутр'!B115</f>
        <v>обработка праймер</v>
      </c>
      <c r="C115" s="1104" t="str">
        <f aca="false">'Смета Внутр'!C115</f>
        <v>м2</v>
      </c>
      <c r="D115" s="1109" t="n">
        <f aca="false">'Смета Внутр'!D115</f>
        <v>0</v>
      </c>
      <c r="E115" s="1104" t="n">
        <f aca="false">'Смета Внутр'!E115</f>
        <v>200</v>
      </c>
      <c r="F115" s="1104" t="n">
        <f aca="false">'Смета Внутр'!F115</f>
        <v>0</v>
      </c>
      <c r="G115" s="1104" t="n">
        <f aca="false">IF(E115&gt;F115,E115,F115)</f>
        <v>200</v>
      </c>
      <c r="H115" s="1104" t="n">
        <f aca="false">'Смета Внутр'!G115</f>
        <v>0</v>
      </c>
      <c r="I115" s="1104" t="n">
        <f aca="false">'Смета Внутр'!H115</f>
        <v>0</v>
      </c>
      <c r="J115" s="1109" t="n">
        <f aca="false">'Смета Внутр'!I115</f>
        <v>0</v>
      </c>
    </row>
    <row r="116" customFormat="false" ht="15" hidden="true" customHeight="true" outlineLevel="0" collapsed="false">
      <c r="B116" s="1104" t="str">
        <f aca="false">'Смета Внутр'!B116</f>
        <v>настил гидроизола</v>
      </c>
      <c r="C116" s="1104" t="str">
        <f aca="false">'Смета Внутр'!C116</f>
        <v>м2</v>
      </c>
      <c r="D116" s="1109" t="n">
        <f aca="false">'Смета Внутр'!D116</f>
        <v>0</v>
      </c>
      <c r="E116" s="1104" t="n">
        <f aca="false">'Смета Внутр'!E116</f>
        <v>100</v>
      </c>
      <c r="F116" s="1104" t="n">
        <f aca="false">'Смета Внутр'!F116</f>
        <v>0</v>
      </c>
      <c r="G116" s="1104" t="n">
        <f aca="false">IF(E116&gt;F116,E116,F116)</f>
        <v>100</v>
      </c>
      <c r="H116" s="1104" t="n">
        <f aca="false">'Смета Внутр'!G116</f>
        <v>0</v>
      </c>
      <c r="I116" s="1104" t="n">
        <f aca="false">'Смета Внутр'!H116</f>
        <v>0</v>
      </c>
      <c r="J116" s="1109" t="n">
        <f aca="false">'Смета Внутр'!I116</f>
        <v>0</v>
      </c>
    </row>
    <row r="117" customFormat="false" ht="15" hidden="true" customHeight="true" outlineLevel="0" collapsed="false">
      <c r="B117" s="1104" t="str">
        <f aca="false">'Смета Внутр'!B117</f>
        <v>вязка арматуры</v>
      </c>
      <c r="C117" s="1104" t="str">
        <f aca="false">'Смета Внутр'!C117</f>
        <v>м.п.</v>
      </c>
      <c r="D117" s="1109" t="n">
        <f aca="false">'Смета Внутр'!D117</f>
        <v>0</v>
      </c>
      <c r="E117" s="1104" t="n">
        <f aca="false">'Смета Внутр'!E117</f>
        <v>300</v>
      </c>
      <c r="F117" s="1104" t="n">
        <f aca="false">'Смета Внутр'!F117</f>
        <v>0</v>
      </c>
      <c r="G117" s="1104" t="n">
        <f aca="false">IF(E117&gt;F117,E117,F117)</f>
        <v>300</v>
      </c>
      <c r="H117" s="1104" t="n">
        <f aca="false">'Смета Внутр'!G117</f>
        <v>0</v>
      </c>
      <c r="I117" s="1104" t="n">
        <f aca="false">'Смета Внутр'!H117</f>
        <v>0</v>
      </c>
      <c r="J117" s="1109" t="n">
        <f aca="false">'Смета Внутр'!I117</f>
        <v>0</v>
      </c>
    </row>
    <row r="118" customFormat="false" ht="15" hidden="true" customHeight="true" outlineLevel="0" collapsed="false">
      <c r="B118" s="1104" t="str">
        <f aca="false">'Смета Внутр'!B118</f>
        <v>сборка опалубки</v>
      </c>
      <c r="C118" s="1104" t="str">
        <f aca="false">'Смета Внутр'!C118</f>
        <v>м2</v>
      </c>
      <c r="D118" s="1109" t="n">
        <f aca="false">'Смета Внутр'!D118</f>
        <v>0</v>
      </c>
      <c r="E118" s="1104" t="n">
        <f aca="false">'Смета Внутр'!E118</f>
        <v>300</v>
      </c>
      <c r="F118" s="1104" t="n">
        <f aca="false">'Смета Внутр'!F118</f>
        <v>0</v>
      </c>
      <c r="G118" s="1104" t="n">
        <f aca="false">IF(E118&gt;F118,E118,F118)</f>
        <v>300</v>
      </c>
      <c r="H118" s="1104" t="n">
        <f aca="false">'Смета Внутр'!G118</f>
        <v>0</v>
      </c>
      <c r="I118" s="1104" t="n">
        <f aca="false">'Смета Внутр'!H118</f>
        <v>0</v>
      </c>
      <c r="J118" s="1109" t="n">
        <f aca="false">'Смета Внутр'!I118</f>
        <v>0</v>
      </c>
    </row>
    <row r="119" customFormat="false" ht="15" hidden="true" customHeight="true" outlineLevel="0" collapsed="false">
      <c r="B119" s="1104" t="str">
        <f aca="false">'Смета Внутр'!B119</f>
        <v>разборка опалубки</v>
      </c>
      <c r="C119" s="1104" t="str">
        <f aca="false">'Смета Внутр'!C119</f>
        <v>м2</v>
      </c>
      <c r="D119" s="1109" t="n">
        <f aca="false">'Смета Внутр'!D119</f>
        <v>0</v>
      </c>
      <c r="E119" s="1104" t="n">
        <f aca="false">'Смета Внутр'!E119</f>
        <v>100</v>
      </c>
      <c r="F119" s="1104" t="n">
        <f aca="false">'Смета Внутр'!F119</f>
        <v>0</v>
      </c>
      <c r="G119" s="1104" t="n">
        <f aca="false">IF(E119&gt;F119,E119,F119)</f>
        <v>100</v>
      </c>
      <c r="H119" s="1104" t="n">
        <f aca="false">'Смета Внутр'!G119</f>
        <v>0</v>
      </c>
      <c r="I119" s="1104" t="n">
        <f aca="false">'Смета Внутр'!H119</f>
        <v>0</v>
      </c>
      <c r="J119" s="1109" t="n">
        <f aca="false">'Смета Внутр'!I119</f>
        <v>0</v>
      </c>
    </row>
    <row r="120" customFormat="false" ht="15" hidden="true" customHeight="true" outlineLevel="0" collapsed="false">
      <c r="B120" s="1104" t="str">
        <f aca="false">'Смета Внутр'!B120</f>
        <v>приемка бетона</v>
      </c>
      <c r="C120" s="1104" t="str">
        <f aca="false">'Смета Внутр'!C120</f>
        <v>м3</v>
      </c>
      <c r="D120" s="1109" t="n">
        <f aca="false">'Смета Внутр'!D120</f>
        <v>0</v>
      </c>
      <c r="E120" s="1104" t="n">
        <f aca="false">'Смета Внутр'!E120</f>
        <v>1200</v>
      </c>
      <c r="F120" s="1104" t="n">
        <f aca="false">'Смета Внутр'!F120</f>
        <v>0</v>
      </c>
      <c r="G120" s="1104" t="n">
        <f aca="false">IF(E120&gt;F120,E120,F120)</f>
        <v>1200</v>
      </c>
      <c r="H120" s="1104" t="n">
        <f aca="false">'Смета Внутр'!G120</f>
        <v>0</v>
      </c>
      <c r="I120" s="1104" t="n">
        <f aca="false">'Смета Внутр'!H120</f>
        <v>0</v>
      </c>
      <c r="J120" s="1109" t="n">
        <f aca="false">'Смета Внутр'!I120</f>
        <v>0</v>
      </c>
    </row>
    <row r="121" customFormat="false" ht="15" hidden="true" customHeight="true" outlineLevel="0" collapsed="false">
      <c r="B121" s="1104" t="str">
        <f aca="false">'Смета Внутр'!B121</f>
        <v>гидроизоляция стен</v>
      </c>
      <c r="C121" s="1104" t="str">
        <f aca="false">'Смета Внутр'!C121</f>
        <v>м2</v>
      </c>
      <c r="D121" s="1109" t="n">
        <f aca="false">'Смета Внутр'!D121</f>
        <v>0</v>
      </c>
      <c r="E121" s="1104" t="n">
        <f aca="false">'Смета Внутр'!E121</f>
        <v>200</v>
      </c>
      <c r="F121" s="1104" t="n">
        <f aca="false">'Смета Внутр'!F121</f>
        <v>0</v>
      </c>
      <c r="G121" s="1104" t="n">
        <f aca="false">IF(E121&gt;F121,E121,F121)</f>
        <v>200</v>
      </c>
      <c r="H121" s="1104" t="n">
        <f aca="false">'Смета Внутр'!G121</f>
        <v>0</v>
      </c>
      <c r="I121" s="1104" t="n">
        <f aca="false">'Смета Внутр'!H121</f>
        <v>0</v>
      </c>
      <c r="J121" s="1109" t="n">
        <f aca="false">'Смета Внутр'!I121</f>
        <v>0</v>
      </c>
    </row>
    <row r="122" customFormat="false" ht="15" hidden="true" customHeight="true" outlineLevel="0" collapsed="false">
      <c r="B122" s="1104" t="str">
        <f aca="false">'Смета Внутр'!B122</f>
        <v>утепление фундамента</v>
      </c>
      <c r="C122" s="1104" t="str">
        <f aca="false">'Смета Внутр'!C122</f>
        <v>м2</v>
      </c>
      <c r="D122" s="1109" t="n">
        <f aca="false">'Смета Внутр'!D122</f>
        <v>0</v>
      </c>
      <c r="E122" s="1104" t="n">
        <f aca="false">'Смета Внутр'!E122</f>
        <v>200</v>
      </c>
      <c r="F122" s="1104" t="n">
        <f aca="false">'Смета Внутр'!F122</f>
        <v>0</v>
      </c>
      <c r="G122" s="1104" t="n">
        <f aca="false">IF(E122&gt;F122,E122,F122)</f>
        <v>200</v>
      </c>
      <c r="H122" s="1104" t="n">
        <f aca="false">'Смета Внутр'!G122</f>
        <v>0</v>
      </c>
      <c r="I122" s="1104" t="n">
        <f aca="false">'Смета Внутр'!H122</f>
        <v>0</v>
      </c>
      <c r="J122" s="1109" t="n">
        <f aca="false">'Смета Внутр'!I122</f>
        <v>0</v>
      </c>
    </row>
    <row r="123" customFormat="false" ht="15" hidden="true" customHeight="true" outlineLevel="0" collapsed="false">
      <c r="B123" s="1108" t="str">
        <f aca="false">'Смета Внутр'!B123</f>
        <v>Итого работы</v>
      </c>
      <c r="C123" s="1108"/>
      <c r="D123" s="1108"/>
      <c r="E123" s="1108"/>
      <c r="F123" s="1108"/>
      <c r="G123" s="1108"/>
      <c r="H123" s="1104" t="n">
        <f aca="false">'Смета Внутр'!G123</f>
        <v>0</v>
      </c>
      <c r="I123" s="1104" t="n">
        <f aca="false">'Смета Внутр'!H123</f>
        <v>0</v>
      </c>
      <c r="J123" s="1109" t="n">
        <f aca="false">'Смета Внутр'!I123</f>
        <v>0</v>
      </c>
    </row>
    <row r="124" customFormat="false" ht="15" hidden="true" customHeight="true" outlineLevel="0" collapsed="false">
      <c r="B124" s="1111" t="str">
        <f aca="false">'Смета Внутр'!B124</f>
        <v>Винтовые сваи для дома</v>
      </c>
      <c r="C124" s="1111"/>
      <c r="D124" s="1111"/>
      <c r="H124" s="118" t="n">
        <f aca="false">'Смета Внутр'!G124</f>
        <v>0</v>
      </c>
      <c r="I124" s="118" t="n">
        <f aca="false">'Смета Внутр'!H124</f>
        <v>0</v>
      </c>
      <c r="J124" s="1102" t="n">
        <f aca="false">'Смета Внутр'!I124</f>
        <v>0</v>
      </c>
    </row>
    <row r="125" customFormat="false" ht="15" hidden="true" customHeight="true" outlineLevel="0" collapsed="false">
      <c r="B125" s="118" t="str">
        <f aca="false">'Смета Внутр'!B125</f>
        <v>Материалы</v>
      </c>
      <c r="H125" s="118" t="n">
        <f aca="false">'Смета Внутр'!G125</f>
        <v>0</v>
      </c>
      <c r="I125" s="118" t="n">
        <f aca="false">'Смета Внутр'!H125</f>
        <v>0</v>
      </c>
      <c r="J125" s="1102" t="n">
        <f aca="false">'Смета Внутр'!I125</f>
        <v>0</v>
      </c>
    </row>
    <row r="126" customFormat="false" ht="15" hidden="true" customHeight="true" outlineLevel="0" collapsed="false">
      <c r="B126" s="1104" t="str">
        <f aca="false">'Смета Внутр'!B126</f>
        <v>пробное забуривание</v>
      </c>
      <c r="C126" s="1104" t="str">
        <f aca="false">'Смета Внутр'!C126</f>
        <v>шт</v>
      </c>
      <c r="D126" s="1109" t="n">
        <f aca="false">'Смета Внутр'!D126</f>
        <v>1</v>
      </c>
      <c r="E126" s="1104" t="n">
        <f aca="false">'Смета Внутр'!E126</f>
        <v>5000</v>
      </c>
      <c r="F126" s="1104" t="n">
        <f aca="false">'Смета Внутр'!F126</f>
        <v>0</v>
      </c>
      <c r="G126" s="1104" t="n">
        <f aca="false">IF(E126&gt;F126,E126,F126)</f>
        <v>5000</v>
      </c>
      <c r="H126" s="1104" t="n">
        <f aca="false">'Смета Внутр'!G126</f>
        <v>5000</v>
      </c>
      <c r="I126" s="1104" t="n">
        <f aca="false">'Смета Внутр'!H126</f>
        <v>0</v>
      </c>
      <c r="J126" s="1109" t="n">
        <f aca="false">'Смета Внутр'!I126</f>
        <v>0</v>
      </c>
    </row>
    <row r="127" customFormat="false" ht="15" hidden="true" customHeight="true" outlineLevel="0" collapsed="false">
      <c r="B127" s="1104" t="str">
        <f aca="false">'Смета Внутр'!B127</f>
        <v>108мм, 2,5м длина, 1 лопасть</v>
      </c>
      <c r="C127" s="1104" t="str">
        <f aca="false">'Смета Внутр'!C127</f>
        <v>шт</v>
      </c>
      <c r="D127" s="1109" t="n">
        <f aca="false">'Смета Внутр'!D127</f>
        <v>21</v>
      </c>
      <c r="E127" s="1104" t="n">
        <f aca="false">'Смета Внутр'!E127</f>
        <v>1950</v>
      </c>
      <c r="F127" s="1104" t="n">
        <f aca="false">'Смета Внутр'!F127</f>
        <v>0</v>
      </c>
      <c r="G127" s="1104" t="n">
        <f aca="false">IF(E127&gt;F127,E127,F127)</f>
        <v>1950</v>
      </c>
      <c r="H127" s="1104" t="n">
        <f aca="false">'Смета Внутр'!G127</f>
        <v>40950</v>
      </c>
      <c r="I127" s="1104" t="n">
        <f aca="false">'Смета Внутр'!H127</f>
        <v>0</v>
      </c>
      <c r="J127" s="1109" t="n">
        <f aca="false">'Смета Внутр'!I127</f>
        <v>0</v>
      </c>
    </row>
    <row r="128" customFormat="false" ht="15" hidden="true" customHeight="true" outlineLevel="0" collapsed="false">
      <c r="B128" s="1104" t="str">
        <f aca="false">'Смета Внутр'!B128</f>
        <v>Оголовкок для свай 200*200</v>
      </c>
      <c r="C128" s="1104" t="str">
        <f aca="false">'Смета Внутр'!C128</f>
        <v>шт</v>
      </c>
      <c r="D128" s="1109" t="n">
        <f aca="false">'Смета Внутр'!D128</f>
        <v>21</v>
      </c>
      <c r="E128" s="1104" t="n">
        <f aca="false">'Смета Внутр'!E128</f>
        <v>250</v>
      </c>
      <c r="F128" s="1104" t="n">
        <f aca="false">'Смета Внутр'!F128</f>
        <v>0</v>
      </c>
      <c r="G128" s="1104" t="n">
        <f aca="false">IF(E128&gt;F128,E128,F128)</f>
        <v>250</v>
      </c>
      <c r="H128" s="1104" t="n">
        <f aca="false">'Смета Внутр'!G128</f>
        <v>5250</v>
      </c>
      <c r="I128" s="1104" t="n">
        <f aca="false">'Смета Внутр'!H128</f>
        <v>0</v>
      </c>
      <c r="J128" s="1109" t="n">
        <f aca="false">'Смета Внутр'!I128</f>
        <v>0</v>
      </c>
    </row>
    <row r="129" customFormat="false" ht="15" hidden="true" customHeight="true" outlineLevel="0" collapsed="false">
      <c r="B129" s="1104" t="str">
        <f aca="false">'Смета Внутр'!B129</f>
        <v>обвязка металлом</v>
      </c>
      <c r="C129" s="1104" t="str">
        <f aca="false">'Смета Внутр'!C129</f>
        <v>м.п.</v>
      </c>
      <c r="D129" s="1109" t="n">
        <f aca="false">'Смета Внутр'!D129</f>
        <v>48</v>
      </c>
      <c r="E129" s="1104" t="n">
        <f aca="false">'Смета Внутр'!E129</f>
        <v>100</v>
      </c>
      <c r="F129" s="1104" t="n">
        <f aca="false">'Смета Внутр'!F129</f>
        <v>0</v>
      </c>
      <c r="G129" s="1104" t="n">
        <f aca="false">IF(E129&gt;F129,E129,F129)</f>
        <v>100</v>
      </c>
      <c r="H129" s="1104" t="n">
        <f aca="false">'Смета Внутр'!G129</f>
        <v>4800</v>
      </c>
      <c r="I129" s="1104" t="n">
        <f aca="false">'Смета Внутр'!H129</f>
        <v>0</v>
      </c>
      <c r="J129" s="1109" t="n">
        <f aca="false">'Смета Внутр'!I129</f>
        <v>0</v>
      </c>
    </row>
    <row r="130" customFormat="false" ht="15" hidden="true" customHeight="true" outlineLevel="0" collapsed="false">
      <c r="B130" s="1104" t="str">
        <f aca="false">'Смета Внутр'!B130</f>
        <v>Раствор, м200</v>
      </c>
      <c r="C130" s="1104" t="str">
        <f aca="false">'Смета Внутр'!C130</f>
        <v>м3</v>
      </c>
      <c r="D130" s="1109" t="n">
        <f aca="false">'Смета Внутр'!D130</f>
        <v>0.949536</v>
      </c>
      <c r="E130" s="1104" t="n">
        <f aca="false">'Смета Внутр'!E130</f>
        <v>2100</v>
      </c>
      <c r="F130" s="1104" t="n">
        <f aca="false">'Смета Внутр'!F130</f>
        <v>0</v>
      </c>
      <c r="G130" s="1104" t="n">
        <f aca="false">IF(E130&gt;F130,E130,F130)</f>
        <v>2100</v>
      </c>
      <c r="H130" s="1104" t="n">
        <f aca="false">'Смета Внутр'!G130</f>
        <v>1994.0256</v>
      </c>
      <c r="I130" s="1104" t="n">
        <f aca="false">'Смета Внутр'!H130</f>
        <v>0</v>
      </c>
      <c r="J130" s="1109" t="n">
        <f aca="false">'Смета Внутр'!I130</f>
        <v>0</v>
      </c>
    </row>
    <row r="131" customFormat="false" ht="15" hidden="true" customHeight="true" outlineLevel="0" collapsed="false">
      <c r="B131" s="1104" t="str">
        <f aca="false">'Смета Внутр'!B131</f>
        <v>Электроды ок 47</v>
      </c>
      <c r="C131" s="1104" t="str">
        <f aca="false">'Смета Внутр'!C131</f>
        <v>шт</v>
      </c>
      <c r="D131" s="1109" t="n">
        <f aca="false">'Смета Внутр'!D131</f>
        <v>21</v>
      </c>
      <c r="E131" s="1104" t="n">
        <f aca="false">'Смета Внутр'!E131</f>
        <v>10</v>
      </c>
      <c r="F131" s="1104" t="n">
        <f aca="false">'Смета Внутр'!F131</f>
        <v>0</v>
      </c>
      <c r="G131" s="1104" t="n">
        <f aca="false">IF(E131&gt;F131,E131,F131)</f>
        <v>10</v>
      </c>
      <c r="H131" s="1104" t="n">
        <f aca="false">'Смета Внутр'!G131</f>
        <v>210</v>
      </c>
      <c r="I131" s="1104" t="n">
        <f aca="false">'Смета Внутр'!H131</f>
        <v>0</v>
      </c>
      <c r="J131" s="1109" t="n">
        <f aca="false">'Смета Внутр'!I131</f>
        <v>0</v>
      </c>
    </row>
    <row r="132" customFormat="false" ht="15" hidden="true" customHeight="false" outlineLevel="0" collapsed="false">
      <c r="B132" s="1108" t="str">
        <f aca="false">'Смета Внутр'!B132</f>
        <v>Итого материалы</v>
      </c>
      <c r="C132" s="1108"/>
      <c r="D132" s="1108"/>
      <c r="E132" s="1108"/>
      <c r="F132" s="1108"/>
      <c r="G132" s="1108"/>
      <c r="H132" s="1104" t="n">
        <f aca="false">'Смета Внутр'!G132</f>
        <v>0</v>
      </c>
      <c r="I132" s="1104" t="n">
        <f aca="false">'Смета Внутр'!H132</f>
        <v>0</v>
      </c>
      <c r="J132" s="1109" t="n">
        <f aca="false">'Смета Внутр'!I132</f>
        <v>0</v>
      </c>
    </row>
    <row r="133" customFormat="false" ht="15" hidden="true" customHeight="true" outlineLevel="0" collapsed="false">
      <c r="B133" s="118" t="str">
        <f aca="false">'Смета Внутр'!B133</f>
        <v>Работы</v>
      </c>
      <c r="H133" s="118" t="n">
        <f aca="false">'Смета Внутр'!G133</f>
        <v>0</v>
      </c>
      <c r="I133" s="118" t="n">
        <f aca="false">'Смета Внутр'!H133</f>
        <v>0</v>
      </c>
      <c r="J133" s="1102" t="n">
        <f aca="false">'Смета Внутр'!I133</f>
        <v>0</v>
      </c>
    </row>
    <row r="134" customFormat="false" ht="15" hidden="true" customHeight="true" outlineLevel="0" collapsed="false">
      <c r="B134" s="1104" t="str">
        <f aca="false">'Смета Внутр'!B134</f>
        <v>разбивка осей</v>
      </c>
      <c r="C134" s="1104" t="str">
        <f aca="false">'Смета Внутр'!C134</f>
        <v>шт</v>
      </c>
      <c r="D134" s="1109" t="n">
        <f aca="false">'Смета Внутр'!D134</f>
        <v>1</v>
      </c>
      <c r="E134" s="1104" t="n">
        <f aca="false">'Смета Внутр'!E134</f>
        <v>7000</v>
      </c>
      <c r="F134" s="1104" t="n">
        <f aca="false">'Смета Внутр'!F134</f>
        <v>0</v>
      </c>
      <c r="G134" s="1104" t="n">
        <f aca="false">IF(E134&gt;F134,E134,F134)</f>
        <v>7000</v>
      </c>
      <c r="H134" s="1104" t="n">
        <f aca="false">'Смета Внутр'!G134</f>
        <v>7000</v>
      </c>
      <c r="I134" s="1104" t="n">
        <f aca="false">'Смета Внутр'!H134</f>
        <v>0</v>
      </c>
      <c r="J134" s="1109" t="n">
        <f aca="false">'Смета Внутр'!I134</f>
        <v>0</v>
      </c>
    </row>
    <row r="135" customFormat="false" ht="15" hidden="true" customHeight="true" outlineLevel="0" collapsed="false">
      <c r="B135" s="1104" t="str">
        <f aca="false">'Смета Внутр'!B135</f>
        <v>монтаж свай</v>
      </c>
      <c r="C135" s="1104" t="str">
        <f aca="false">'Смета Внутр'!C135</f>
        <v>шт</v>
      </c>
      <c r="D135" s="1109" t="n">
        <f aca="false">'Смета Внутр'!D135</f>
        <v>21</v>
      </c>
      <c r="E135" s="1104" t="n">
        <f aca="false">'Смета Внутр'!E135</f>
        <v>1000</v>
      </c>
      <c r="F135" s="1104" t="n">
        <f aca="false">'Смета Внутр'!F135</f>
        <v>0</v>
      </c>
      <c r="G135" s="1104" t="n">
        <f aca="false">IF(E135&gt;F135,E135,F135)</f>
        <v>1000</v>
      </c>
      <c r="H135" s="1104" t="n">
        <f aca="false">'Смета Внутр'!G135</f>
        <v>21000</v>
      </c>
      <c r="I135" s="1104" t="n">
        <f aca="false">'Смета Внутр'!H135</f>
        <v>0</v>
      </c>
      <c r="J135" s="1109" t="n">
        <f aca="false">'Смета Внутр'!I135</f>
        <v>0</v>
      </c>
    </row>
    <row r="136" customFormat="false" ht="15" hidden="true" customHeight="true" outlineLevel="0" collapsed="false">
      <c r="B136" s="1104" t="str">
        <f aca="false">'Смета Внутр'!B136</f>
        <v>монтаж оголовков</v>
      </c>
      <c r="C136" s="1104" t="str">
        <f aca="false">'Смета Внутр'!C136</f>
        <v>шт</v>
      </c>
      <c r="D136" s="1109" t="n">
        <f aca="false">'Смета Внутр'!D136</f>
        <v>21</v>
      </c>
      <c r="E136" s="1104" t="n">
        <f aca="false">'Смета Внутр'!E136</f>
        <v>100</v>
      </c>
      <c r="F136" s="1104" t="n">
        <f aca="false">'Смета Внутр'!F136</f>
        <v>0</v>
      </c>
      <c r="G136" s="1104" t="n">
        <f aca="false">IF(E136&gt;F136,E136,F136)</f>
        <v>100</v>
      </c>
      <c r="H136" s="1104" t="n">
        <f aca="false">'Смета Внутр'!G136</f>
        <v>2100</v>
      </c>
      <c r="I136" s="1104" t="n">
        <f aca="false">'Смета Внутр'!H136</f>
        <v>0</v>
      </c>
      <c r="J136" s="1109" t="n">
        <f aca="false">'Смета Внутр'!I136</f>
        <v>0</v>
      </c>
    </row>
    <row r="137" customFormat="false" ht="15" hidden="true" customHeight="true" outlineLevel="0" collapsed="false">
      <c r="B137" s="1104" t="str">
        <f aca="false">'Смета Внутр'!B137</f>
        <v>обвязка металлом</v>
      </c>
      <c r="C137" s="1104" t="str">
        <f aca="false">'Смета Внутр'!C137</f>
        <v>м.п.</v>
      </c>
      <c r="D137" s="1109" t="n">
        <f aca="false">'Смета Внутр'!D137</f>
        <v>48</v>
      </c>
      <c r="E137" s="1104" t="n">
        <f aca="false">'Смета Внутр'!E137</f>
        <v>100</v>
      </c>
      <c r="F137" s="1104" t="n">
        <f aca="false">'Смета Внутр'!F137</f>
        <v>0</v>
      </c>
      <c r="G137" s="1104" t="n">
        <f aca="false">IF(E137&gt;F137,E137,F137)</f>
        <v>100</v>
      </c>
      <c r="H137" s="1104" t="n">
        <f aca="false">'Смета Внутр'!G137</f>
        <v>4800</v>
      </c>
      <c r="I137" s="1104" t="n">
        <f aca="false">'Смета Внутр'!H137</f>
        <v>0</v>
      </c>
      <c r="J137" s="1109" t="n">
        <f aca="false">'Смета Внутр'!I137</f>
        <v>0</v>
      </c>
    </row>
    <row r="138" customFormat="false" ht="15" hidden="true" customHeight="true" outlineLevel="0" collapsed="false">
      <c r="B138" s="1104" t="str">
        <f aca="false">'Смета Внутр'!B138</f>
        <v>заливка бетоном</v>
      </c>
      <c r="C138" s="1104" t="str">
        <f aca="false">'Смета Внутр'!C138</f>
        <v>шт</v>
      </c>
      <c r="D138" s="1109" t="n">
        <f aca="false">'Смета Внутр'!D138</f>
        <v>21</v>
      </c>
      <c r="E138" s="1104" t="n">
        <f aca="false">'Смета Внутр'!E138</f>
        <v>200</v>
      </c>
      <c r="F138" s="1104" t="n">
        <f aca="false">'Смета Внутр'!F138</f>
        <v>0</v>
      </c>
      <c r="G138" s="1104" t="n">
        <f aca="false">IF(E138&gt;F138,E138,F138)</f>
        <v>200</v>
      </c>
      <c r="H138" s="1104" t="n">
        <f aca="false">'Смета Внутр'!G138</f>
        <v>4200</v>
      </c>
      <c r="I138" s="1104" t="n">
        <f aca="false">'Смета Внутр'!H138</f>
        <v>0</v>
      </c>
      <c r="J138" s="1109" t="n">
        <f aca="false">'Смета Внутр'!I138</f>
        <v>0</v>
      </c>
    </row>
    <row r="139" customFormat="false" ht="15" hidden="true" customHeight="true" outlineLevel="0" collapsed="false">
      <c r="B139" s="1104" t="str">
        <f aca="false">'Смета Внутр'!B139</f>
        <v>Обрезка винтовых свай по невелиру</v>
      </c>
      <c r="C139" s="1104" t="str">
        <f aca="false">'Смета Внутр'!C139</f>
        <v>шт</v>
      </c>
      <c r="D139" s="1109" t="n">
        <f aca="false">'Смета Внутр'!D139</f>
        <v>21</v>
      </c>
      <c r="E139" s="1104" t="n">
        <f aca="false">'Смета Внутр'!E139</f>
        <v>200</v>
      </c>
      <c r="F139" s="1104" t="n">
        <f aca="false">'Смета Внутр'!F139</f>
        <v>0</v>
      </c>
      <c r="G139" s="1104" t="n">
        <f aca="false">IF(E139&gt;F139,E139,F139)</f>
        <v>200</v>
      </c>
      <c r="H139" s="1104" t="n">
        <f aca="false">'Смета Внутр'!G139</f>
        <v>4200</v>
      </c>
      <c r="I139" s="1104" t="n">
        <f aca="false">'Смета Внутр'!H139</f>
        <v>0</v>
      </c>
      <c r="J139" s="1109" t="n">
        <f aca="false">'Смета Внутр'!I139</f>
        <v>0</v>
      </c>
    </row>
    <row r="140" customFormat="false" ht="15" hidden="true" customHeight="true" outlineLevel="0" collapsed="false">
      <c r="B140" s="1104" t="str">
        <f aca="false">'Смета Внутр'!B140</f>
        <v>Наварка оголовка</v>
      </c>
      <c r="C140" s="1104" t="str">
        <f aca="false">'Смета Внутр'!C140</f>
        <v>шт</v>
      </c>
      <c r="D140" s="1109" t="n">
        <f aca="false">'Смета Внутр'!D140</f>
        <v>21</v>
      </c>
      <c r="E140" s="1104" t="n">
        <f aca="false">'Смета Внутр'!E140</f>
        <v>250</v>
      </c>
      <c r="F140" s="1104" t="n">
        <f aca="false">'Смета Внутр'!F140</f>
        <v>0</v>
      </c>
      <c r="G140" s="1104" t="n">
        <f aca="false">IF(E140&gt;F140,E140,F140)</f>
        <v>250</v>
      </c>
      <c r="H140" s="1104" t="n">
        <f aca="false">'Смета Внутр'!G140</f>
        <v>5250</v>
      </c>
      <c r="I140" s="1104" t="n">
        <f aca="false">'Смета Внутр'!H140</f>
        <v>0</v>
      </c>
      <c r="J140" s="1109" t="n">
        <f aca="false">'Смета Внутр'!I140</f>
        <v>0</v>
      </c>
    </row>
    <row r="141" customFormat="false" ht="15" hidden="true" customHeight="true" outlineLevel="0" collapsed="false">
      <c r="B141" s="1108" t="str">
        <f aca="false">'Смета Внутр'!B141</f>
        <v>Итого работы</v>
      </c>
      <c r="C141" s="1108"/>
      <c r="D141" s="1108"/>
      <c r="E141" s="1108"/>
      <c r="F141" s="1108"/>
      <c r="G141" s="1108"/>
      <c r="H141" s="1104" t="n">
        <f aca="false">'Смета Внутр'!G141</f>
        <v>0</v>
      </c>
      <c r="I141" s="1104" t="n">
        <f aca="false">'Смета Внутр'!H141</f>
        <v>0</v>
      </c>
      <c r="J141" s="1109" t="n">
        <f aca="false">'Смета Внутр'!I141</f>
        <v>0</v>
      </c>
    </row>
    <row r="142" customFormat="false" ht="15" hidden="true" customHeight="true" outlineLevel="0" collapsed="false">
      <c r="B142" s="1111" t="str">
        <f aca="false">'Смета Внутр'!B142</f>
        <v>Винтовые сваи для террасы</v>
      </c>
      <c r="C142" s="1111"/>
      <c r="D142" s="1111"/>
      <c r="H142" s="118" t="n">
        <f aca="false">'Смета Внутр'!G142</f>
        <v>0</v>
      </c>
      <c r="I142" s="118" t="n">
        <f aca="false">'Смета Внутр'!H142</f>
        <v>0</v>
      </c>
      <c r="J142" s="1102" t="n">
        <f aca="false">'Смета Внутр'!I142</f>
        <v>0</v>
      </c>
    </row>
    <row r="143" customFormat="false" ht="15" hidden="true" customHeight="true" outlineLevel="0" collapsed="false">
      <c r="B143" s="118" t="str">
        <f aca="false">'Смета Внутр'!B143</f>
        <v>Материалы</v>
      </c>
      <c r="H143" s="118" t="n">
        <f aca="false">'Смета Внутр'!G143</f>
        <v>0</v>
      </c>
      <c r="I143" s="118" t="n">
        <f aca="false">'Смета Внутр'!H143</f>
        <v>0</v>
      </c>
      <c r="J143" s="1102" t="n">
        <f aca="false">'Смета Внутр'!I143</f>
        <v>0</v>
      </c>
    </row>
    <row r="144" customFormat="false" ht="15" hidden="true" customHeight="true" outlineLevel="0" collapsed="false">
      <c r="B144" s="1104" t="str">
        <f aca="false">'Смета Внутр'!B144</f>
        <v>пробное забуривание</v>
      </c>
      <c r="C144" s="1104" t="str">
        <f aca="false">'Смета Внутр'!C144</f>
        <v>шт</v>
      </c>
      <c r="D144" s="1109" t="n">
        <f aca="false">'Смета Внутр'!D144</f>
        <v>1</v>
      </c>
      <c r="E144" s="1104" t="n">
        <f aca="false">'Смета Внутр'!E144</f>
        <v>5000</v>
      </c>
      <c r="F144" s="1104" t="n">
        <f aca="false">'Смета Внутр'!F144</f>
        <v>0</v>
      </c>
      <c r="G144" s="1104" t="n">
        <f aca="false">IF(E144&gt;F144,E144,F144)</f>
        <v>5000</v>
      </c>
      <c r="H144" s="1104" t="n">
        <f aca="false">'Смета Внутр'!G144</f>
        <v>5000</v>
      </c>
      <c r="I144" s="1104" t="n">
        <f aca="false">'Смета Внутр'!H144</f>
        <v>0</v>
      </c>
      <c r="J144" s="1109" t="n">
        <f aca="false">'Смета Внутр'!I144</f>
        <v>0</v>
      </c>
    </row>
    <row r="145" customFormat="false" ht="15" hidden="true" customHeight="true" outlineLevel="0" collapsed="false">
      <c r="B145" s="1104" t="str">
        <f aca="false">'Смета Внутр'!B145</f>
        <v>76мм, 3,5м длина, 2 лопасть</v>
      </c>
      <c r="C145" s="1104" t="str">
        <f aca="false">'Смета Внутр'!C145</f>
        <v>шт</v>
      </c>
      <c r="D145" s="1109" t="n">
        <f aca="false">'Смета Внутр'!D145</f>
        <v>8</v>
      </c>
      <c r="E145" s="1104" t="n">
        <f aca="false">'Смета Внутр'!E145</f>
        <v>2130</v>
      </c>
      <c r="F145" s="1104" t="n">
        <f aca="false">'Смета Внутр'!F145</f>
        <v>0</v>
      </c>
      <c r="G145" s="1104" t="n">
        <f aca="false">IF(E145&gt;F145,E145,F145)</f>
        <v>2130</v>
      </c>
      <c r="H145" s="1104" t="n">
        <f aca="false">'Смета Внутр'!G145</f>
        <v>17040</v>
      </c>
      <c r="I145" s="1104" t="n">
        <f aca="false">'Смета Внутр'!H145</f>
        <v>0</v>
      </c>
      <c r="J145" s="1109" t="n">
        <f aca="false">'Смета Внутр'!I145</f>
        <v>0</v>
      </c>
    </row>
    <row r="146" customFormat="false" ht="15" hidden="true" customHeight="true" outlineLevel="0" collapsed="false">
      <c r="B146" s="1104" t="str">
        <f aca="false">'Смета Внутр'!B146</f>
        <v>Оголовкок для свай 200*200</v>
      </c>
      <c r="C146" s="1104" t="str">
        <f aca="false">'Смета Внутр'!C146</f>
        <v>шт</v>
      </c>
      <c r="D146" s="1109" t="n">
        <f aca="false">'Смета Внутр'!D146</f>
        <v>8</v>
      </c>
      <c r="E146" s="1104" t="n">
        <f aca="false">'Смета Внутр'!E146</f>
        <v>250</v>
      </c>
      <c r="F146" s="1104" t="n">
        <f aca="false">'Смета Внутр'!F146</f>
        <v>0</v>
      </c>
      <c r="G146" s="1104" t="n">
        <f aca="false">IF(E146&gt;F146,E146,F146)</f>
        <v>250</v>
      </c>
      <c r="H146" s="1104" t="n">
        <f aca="false">'Смета Внутр'!G146</f>
        <v>2000</v>
      </c>
      <c r="I146" s="1104" t="n">
        <f aca="false">'Смета Внутр'!H146</f>
        <v>0</v>
      </c>
      <c r="J146" s="1109" t="n">
        <f aca="false">'Смета Внутр'!I146</f>
        <v>0</v>
      </c>
    </row>
    <row r="147" customFormat="false" ht="15" hidden="true" customHeight="true" outlineLevel="0" collapsed="false">
      <c r="B147" s="1104" t="str">
        <f aca="false">'Смета Внутр'!B147</f>
        <v>обвязка металлом, 20/40/3000</v>
      </c>
      <c r="C147" s="1104" t="str">
        <f aca="false">'Смета Внутр'!C147</f>
        <v>м.п.</v>
      </c>
      <c r="D147" s="1109" t="n">
        <f aca="false">'Смета Внутр'!D147</f>
        <v>8</v>
      </c>
      <c r="E147" s="1104" t="n">
        <f aca="false">'Смета Внутр'!E147</f>
        <v>100</v>
      </c>
      <c r="F147" s="1104" t="n">
        <f aca="false">'Смета Внутр'!F147</f>
        <v>0</v>
      </c>
      <c r="G147" s="1104" t="n">
        <f aca="false">IF(E147&gt;F147,E147,F147)</f>
        <v>100</v>
      </c>
      <c r="H147" s="1104" t="n">
        <f aca="false">'Смета Внутр'!G147</f>
        <v>800</v>
      </c>
      <c r="I147" s="1104" t="n">
        <f aca="false">'Смета Внутр'!H147</f>
        <v>0</v>
      </c>
      <c r="J147" s="1109" t="n">
        <f aca="false">'Смета Внутр'!I147</f>
        <v>0</v>
      </c>
    </row>
    <row r="148" customFormat="false" ht="15" hidden="true" customHeight="true" outlineLevel="0" collapsed="false">
      <c r="B148" s="1104" t="str">
        <f aca="false">'Смета Внутр'!B148</f>
        <v>Раствор, м200</v>
      </c>
      <c r="C148" s="1104" t="str">
        <f aca="false">'Смета Внутр'!C148</f>
        <v>м3</v>
      </c>
      <c r="D148" s="1109" t="n">
        <f aca="false">'Смета Внутр'!D148</f>
        <v>0.361728</v>
      </c>
      <c r="E148" s="1104" t="n">
        <f aca="false">'Смета Внутр'!E148</f>
        <v>2100</v>
      </c>
      <c r="F148" s="1104" t="n">
        <f aca="false">'Смета Внутр'!F148</f>
        <v>0</v>
      </c>
      <c r="G148" s="1104" t="n">
        <f aca="false">IF(E148&gt;F148,E148,F148)</f>
        <v>2100</v>
      </c>
      <c r="H148" s="1104" t="n">
        <f aca="false">'Смета Внутр'!G148</f>
        <v>759.6288</v>
      </c>
      <c r="I148" s="1104" t="n">
        <f aca="false">'Смета Внутр'!H148</f>
        <v>0</v>
      </c>
      <c r="J148" s="1109" t="n">
        <f aca="false">'Смета Внутр'!I148</f>
        <v>0</v>
      </c>
    </row>
    <row r="149" customFormat="false" ht="15" hidden="true" customHeight="true" outlineLevel="0" collapsed="false">
      <c r="B149" s="1104" t="str">
        <f aca="false">'Смета Внутр'!B149</f>
        <v>Электроды ок 47</v>
      </c>
      <c r="C149" s="1104" t="str">
        <f aca="false">'Смета Внутр'!C149</f>
        <v>шт</v>
      </c>
      <c r="D149" s="1109" t="n">
        <f aca="false">'Смета Внутр'!D149</f>
        <v>8</v>
      </c>
      <c r="E149" s="1104" t="n">
        <f aca="false">'Смета Внутр'!E149</f>
        <v>10</v>
      </c>
      <c r="F149" s="1104" t="n">
        <f aca="false">'Смета Внутр'!F149</f>
        <v>0</v>
      </c>
      <c r="G149" s="1104" t="n">
        <f aca="false">IF(E149&gt;F149,E149,F149)</f>
        <v>10</v>
      </c>
      <c r="H149" s="1104" t="n">
        <f aca="false">'Смета Внутр'!G149</f>
        <v>80</v>
      </c>
      <c r="I149" s="1104" t="n">
        <f aca="false">'Смета Внутр'!H149</f>
        <v>0</v>
      </c>
      <c r="J149" s="1109" t="n">
        <f aca="false">'Смета Внутр'!I149</f>
        <v>0</v>
      </c>
    </row>
    <row r="150" customFormat="false" ht="15" hidden="true" customHeight="false" outlineLevel="0" collapsed="false">
      <c r="B150" s="1108" t="str">
        <f aca="false">'Смета Внутр'!B150</f>
        <v>Итого материалы</v>
      </c>
      <c r="C150" s="1108"/>
      <c r="D150" s="1108"/>
      <c r="E150" s="1108"/>
      <c r="F150" s="1108"/>
      <c r="G150" s="1108"/>
      <c r="H150" s="1104" t="n">
        <f aca="false">'Смета Внутр'!G150</f>
        <v>0</v>
      </c>
      <c r="I150" s="1104" t="n">
        <f aca="false">'Смета Внутр'!H150</f>
        <v>0</v>
      </c>
      <c r="J150" s="1109" t="n">
        <f aca="false">'Смета Внутр'!I150</f>
        <v>0</v>
      </c>
    </row>
    <row r="151" customFormat="false" ht="15" hidden="true" customHeight="true" outlineLevel="0" collapsed="false">
      <c r="B151" s="118" t="str">
        <f aca="false">'Смета Внутр'!B151</f>
        <v>Работы</v>
      </c>
      <c r="H151" s="118" t="n">
        <f aca="false">'Смета Внутр'!G151</f>
        <v>0</v>
      </c>
      <c r="I151" s="118" t="n">
        <f aca="false">'Смета Внутр'!H151</f>
        <v>0</v>
      </c>
      <c r="J151" s="1102" t="n">
        <f aca="false">'Смета Внутр'!I151</f>
        <v>0</v>
      </c>
    </row>
    <row r="152" customFormat="false" ht="15" hidden="true" customHeight="true" outlineLevel="0" collapsed="false">
      <c r="B152" s="1104" t="str">
        <f aca="false">'Смета Внутр'!B152</f>
        <v>разбивка осей</v>
      </c>
      <c r="C152" s="1104" t="str">
        <f aca="false">'Смета Внутр'!C152</f>
        <v>шт</v>
      </c>
      <c r="D152" s="1109" t="n">
        <f aca="false">'Смета Внутр'!D152</f>
        <v>1</v>
      </c>
      <c r="E152" s="1104" t="n">
        <f aca="false">'Смета Внутр'!E152</f>
        <v>7000</v>
      </c>
      <c r="F152" s="1104" t="n">
        <f aca="false">'Смета Внутр'!F152</f>
        <v>0</v>
      </c>
      <c r="G152" s="1104" t="n">
        <f aca="false">IF(E152&gt;F152,E152,F152)</f>
        <v>7000</v>
      </c>
      <c r="H152" s="1104" t="n">
        <f aca="false">'Смета Внутр'!G152</f>
        <v>7000</v>
      </c>
      <c r="I152" s="1104" t="n">
        <f aca="false">'Смета Внутр'!H152</f>
        <v>0</v>
      </c>
      <c r="J152" s="1109" t="n">
        <f aca="false">'Смета Внутр'!I152</f>
        <v>0</v>
      </c>
    </row>
    <row r="153" customFormat="false" ht="15" hidden="true" customHeight="true" outlineLevel="0" collapsed="false">
      <c r="B153" s="1104" t="str">
        <f aca="false">'Смета Внутр'!B153</f>
        <v>монтаж свай гидравликой</v>
      </c>
      <c r="C153" s="1104" t="str">
        <f aca="false">'Смета Внутр'!C153</f>
        <v>шт</v>
      </c>
      <c r="D153" s="1109" t="n">
        <f aca="false">'Смета Внутр'!D153</f>
        <v>1</v>
      </c>
      <c r="E153" s="1104" t="n">
        <f aca="false">'Смета Внутр'!E153</f>
        <v>1000</v>
      </c>
      <c r="F153" s="1104" t="n">
        <f aca="false">'Смета Внутр'!F153</f>
        <v>0</v>
      </c>
      <c r="G153" s="1104" t="n">
        <f aca="false">IF(E153&gt;F153,E153,F153)</f>
        <v>1000</v>
      </c>
      <c r="H153" s="1104" t="n">
        <f aca="false">'Смета Внутр'!G153</f>
        <v>1000</v>
      </c>
      <c r="I153" s="1104" t="n">
        <f aca="false">'Смета Внутр'!H153</f>
        <v>0</v>
      </c>
      <c r="J153" s="1109" t="n">
        <f aca="false">'Смета Внутр'!I153</f>
        <v>0</v>
      </c>
    </row>
    <row r="154" customFormat="false" ht="15" hidden="true" customHeight="true" outlineLevel="0" collapsed="false">
      <c r="B154" s="1104" t="str">
        <f aca="false">'Смета Внутр'!B154</f>
        <v>монтаж оголовков</v>
      </c>
      <c r="C154" s="1104" t="str">
        <f aca="false">'Смета Внутр'!C154</f>
        <v>шт</v>
      </c>
      <c r="D154" s="1109" t="n">
        <f aca="false">'Смета Внутр'!D154</f>
        <v>8</v>
      </c>
      <c r="E154" s="1104" t="n">
        <f aca="false">'Смета Внутр'!E154</f>
        <v>100</v>
      </c>
      <c r="F154" s="1104" t="n">
        <f aca="false">'Смета Внутр'!F154</f>
        <v>0</v>
      </c>
      <c r="G154" s="1104" t="n">
        <f aca="false">IF(E154&gt;F154,E154,F154)</f>
        <v>100</v>
      </c>
      <c r="H154" s="1104" t="n">
        <f aca="false">'Смета Внутр'!G154</f>
        <v>800</v>
      </c>
      <c r="I154" s="1104" t="n">
        <f aca="false">'Смета Внутр'!H154</f>
        <v>0</v>
      </c>
      <c r="J154" s="1109" t="n">
        <f aca="false">'Смета Внутр'!I154</f>
        <v>0</v>
      </c>
    </row>
    <row r="155" customFormat="false" ht="15" hidden="true" customHeight="true" outlineLevel="0" collapsed="false">
      <c r="B155" s="1104" t="str">
        <f aca="false">'Смета Внутр'!B155</f>
        <v>обвязка металлом</v>
      </c>
      <c r="C155" s="1104" t="str">
        <f aca="false">'Смета Внутр'!C155</f>
        <v>м.п.</v>
      </c>
      <c r="D155" s="1109" t="n">
        <f aca="false">'Смета Внутр'!D155</f>
        <v>8</v>
      </c>
      <c r="E155" s="1104" t="n">
        <f aca="false">'Смета Внутр'!E155</f>
        <v>100</v>
      </c>
      <c r="F155" s="1104" t="n">
        <f aca="false">'Смета Внутр'!F155</f>
        <v>0</v>
      </c>
      <c r="G155" s="1104" t="n">
        <f aca="false">IF(E155&gt;F155,E155,F155)</f>
        <v>100</v>
      </c>
      <c r="H155" s="1104" t="n">
        <f aca="false">'Смета Внутр'!G155</f>
        <v>800</v>
      </c>
      <c r="I155" s="1104" t="n">
        <f aca="false">'Смета Внутр'!H155</f>
        <v>0</v>
      </c>
      <c r="J155" s="1109" t="n">
        <f aca="false">'Смета Внутр'!I155</f>
        <v>0</v>
      </c>
    </row>
    <row r="156" customFormat="false" ht="15" hidden="true" customHeight="true" outlineLevel="0" collapsed="false">
      <c r="B156" s="1104" t="str">
        <f aca="false">'Смета Внутр'!B156</f>
        <v>заливка бетоном</v>
      </c>
      <c r="C156" s="1104" t="str">
        <f aca="false">'Смета Внутр'!C156</f>
        <v>шт</v>
      </c>
      <c r="D156" s="1109" t="n">
        <f aca="false">'Смета Внутр'!D156</f>
        <v>8</v>
      </c>
      <c r="E156" s="1104" t="n">
        <f aca="false">'Смета Внутр'!E156</f>
        <v>200</v>
      </c>
      <c r="F156" s="1104" t="n">
        <f aca="false">'Смета Внутр'!F156</f>
        <v>0</v>
      </c>
      <c r="G156" s="1104" t="n">
        <f aca="false">IF(E156&gt;F156,E156,F156)</f>
        <v>200</v>
      </c>
      <c r="H156" s="1104" t="n">
        <f aca="false">'Смета Внутр'!G156</f>
        <v>1600</v>
      </c>
      <c r="I156" s="1104" t="n">
        <f aca="false">'Смета Внутр'!H156</f>
        <v>0</v>
      </c>
      <c r="J156" s="1109" t="n">
        <f aca="false">'Смета Внутр'!I156</f>
        <v>0</v>
      </c>
    </row>
    <row r="157" customFormat="false" ht="15" hidden="true" customHeight="true" outlineLevel="0" collapsed="false">
      <c r="B157" s="1104" t="str">
        <f aca="false">'Смета Внутр'!B157</f>
        <v>Обрезка винтовых свай по невелиру</v>
      </c>
      <c r="C157" s="1104" t="str">
        <f aca="false">'Смета Внутр'!C157</f>
        <v>шт</v>
      </c>
      <c r="D157" s="1109" t="n">
        <f aca="false">'Смета Внутр'!D157</f>
        <v>8</v>
      </c>
      <c r="E157" s="1104" t="n">
        <f aca="false">'Смета Внутр'!E157</f>
        <v>200</v>
      </c>
      <c r="F157" s="1104" t="n">
        <f aca="false">'Смета Внутр'!F157</f>
        <v>0</v>
      </c>
      <c r="G157" s="1104" t="n">
        <f aca="false">IF(E157&gt;F157,E157,F157)</f>
        <v>200</v>
      </c>
      <c r="H157" s="1104" t="n">
        <f aca="false">'Смета Внутр'!G157</f>
        <v>1600</v>
      </c>
      <c r="I157" s="1104" t="n">
        <f aca="false">'Смета Внутр'!H157</f>
        <v>0</v>
      </c>
      <c r="J157" s="1109" t="n">
        <f aca="false">'Смета Внутр'!I157</f>
        <v>0</v>
      </c>
    </row>
    <row r="158" customFormat="false" ht="15" hidden="true" customHeight="true" outlineLevel="0" collapsed="false">
      <c r="B158" s="1104" t="str">
        <f aca="false">'Смета Внутр'!B158</f>
        <v>Наварка оголовка</v>
      </c>
      <c r="C158" s="1104" t="str">
        <f aca="false">'Смета Внутр'!C158</f>
        <v>шт</v>
      </c>
      <c r="D158" s="1109" t="n">
        <f aca="false">'Смета Внутр'!D158</f>
        <v>8</v>
      </c>
      <c r="E158" s="1104" t="n">
        <f aca="false">'Смета Внутр'!E158</f>
        <v>250</v>
      </c>
      <c r="F158" s="1104" t="n">
        <f aca="false">'Смета Внутр'!F158</f>
        <v>0</v>
      </c>
      <c r="G158" s="1104" t="n">
        <f aca="false">IF(E158&gt;F158,E158,F158)</f>
        <v>250</v>
      </c>
      <c r="H158" s="1104" t="n">
        <f aca="false">'Смета Внутр'!G158</f>
        <v>2000</v>
      </c>
      <c r="I158" s="1104" t="n">
        <f aca="false">'Смета Внутр'!H158</f>
        <v>0</v>
      </c>
      <c r="J158" s="1109" t="n">
        <f aca="false">'Смета Внутр'!I158</f>
        <v>0</v>
      </c>
    </row>
    <row r="159" customFormat="false" ht="15" hidden="true" customHeight="true" outlineLevel="0" collapsed="false">
      <c r="B159" s="1108" t="str">
        <f aca="false">'Смета Внутр'!B159</f>
        <v>Итого работы</v>
      </c>
      <c r="C159" s="1108"/>
      <c r="D159" s="1108"/>
      <c r="E159" s="1108"/>
      <c r="F159" s="1108"/>
      <c r="G159" s="1108"/>
      <c r="H159" s="1104" t="n">
        <f aca="false">'Смета Внутр'!G159</f>
        <v>0</v>
      </c>
      <c r="I159" s="1104" t="n">
        <f aca="false">'Смета Внутр'!H159</f>
        <v>0</v>
      </c>
      <c r="J159" s="1109" t="n">
        <f aca="false">'Смета Внутр'!I159</f>
        <v>0</v>
      </c>
    </row>
    <row r="160" customFormat="false" ht="15" hidden="true" customHeight="true" outlineLevel="0" collapsed="false">
      <c r="B160" s="1111" t="str">
        <f aca="false">'Смета Внутр'!B160</f>
        <v>Винтовые сваи для крыльца</v>
      </c>
      <c r="C160" s="1111"/>
      <c r="D160" s="1111"/>
      <c r="H160" s="118" t="n">
        <f aca="false">'Смета Внутр'!G160</f>
        <v>0</v>
      </c>
      <c r="I160" s="118" t="n">
        <f aca="false">'Смета Внутр'!H160</f>
        <v>0</v>
      </c>
      <c r="J160" s="1102" t="n">
        <f aca="false">'Смета Внутр'!I160</f>
        <v>0</v>
      </c>
    </row>
    <row r="161" customFormat="false" ht="15" hidden="true" customHeight="true" outlineLevel="0" collapsed="false">
      <c r="B161" s="118" t="str">
        <f aca="false">'Смета Внутр'!B161</f>
        <v>Материалы</v>
      </c>
      <c r="H161" s="118" t="n">
        <f aca="false">'Смета Внутр'!G161</f>
        <v>0</v>
      </c>
      <c r="I161" s="118" t="n">
        <f aca="false">'Смета Внутр'!H161</f>
        <v>0</v>
      </c>
      <c r="J161" s="1102" t="n">
        <f aca="false">'Смета Внутр'!I161</f>
        <v>0</v>
      </c>
    </row>
    <row r="162" customFormat="false" ht="15" hidden="true" customHeight="true" outlineLevel="0" collapsed="false">
      <c r="B162" s="1104" t="str">
        <f aca="false">'Смета Внутр'!B162</f>
        <v>пробное забуривание</v>
      </c>
      <c r="C162" s="1104" t="str">
        <f aca="false">'Смета Внутр'!C162</f>
        <v>шт</v>
      </c>
      <c r="D162" s="1109" t="n">
        <f aca="false">'Смета Внутр'!D162</f>
        <v>1</v>
      </c>
      <c r="E162" s="1104" t="n">
        <f aca="false">'Смета Внутр'!E162</f>
        <v>5000</v>
      </c>
      <c r="F162" s="1104" t="n">
        <f aca="false">'Смета Внутр'!F162</f>
        <v>0</v>
      </c>
      <c r="G162" s="1104" t="n">
        <f aca="false">IF(E162&gt;F162,E162,F162)</f>
        <v>5000</v>
      </c>
      <c r="H162" s="1104" t="n">
        <f aca="false">'Смета Внутр'!G162</f>
        <v>5000</v>
      </c>
      <c r="I162" s="1104" t="n">
        <f aca="false">'Смета Внутр'!H162</f>
        <v>0</v>
      </c>
      <c r="J162" s="1109" t="n">
        <f aca="false">'Смета Внутр'!I162</f>
        <v>0</v>
      </c>
    </row>
    <row r="163" customFormat="false" ht="15" hidden="true" customHeight="true" outlineLevel="0" collapsed="false">
      <c r="B163" s="1104" t="str">
        <f aca="false">'Смета Внутр'!B163</f>
        <v>89мм, 3м длина, 1 лопасть</v>
      </c>
      <c r="C163" s="1104" t="str">
        <f aca="false">'Смета Внутр'!C163</f>
        <v>шт</v>
      </c>
      <c r="D163" s="1109" t="n">
        <f aca="false">'Смета Внутр'!D163</f>
        <v>5</v>
      </c>
      <c r="E163" s="1104" t="n">
        <f aca="false">'Смета Внутр'!E163</f>
        <v>1890</v>
      </c>
      <c r="F163" s="1104" t="n">
        <f aca="false">'Смета Внутр'!F163</f>
        <v>0</v>
      </c>
      <c r="G163" s="1104" t="n">
        <f aca="false">IF(E163&gt;F163,E163,F163)</f>
        <v>1890</v>
      </c>
      <c r="H163" s="1104" t="n">
        <f aca="false">'Смета Внутр'!G163</f>
        <v>9450</v>
      </c>
      <c r="I163" s="1104" t="n">
        <f aca="false">'Смета Внутр'!H163</f>
        <v>0</v>
      </c>
      <c r="J163" s="1109" t="n">
        <f aca="false">'Смета Внутр'!I163</f>
        <v>0</v>
      </c>
    </row>
    <row r="164" customFormat="false" ht="15" hidden="true" customHeight="true" outlineLevel="0" collapsed="false">
      <c r="B164" s="1104" t="str">
        <f aca="false">'Смета Внутр'!B164</f>
        <v>Оголовкок для свай 200*200</v>
      </c>
      <c r="C164" s="1104" t="str">
        <f aca="false">'Смета Внутр'!C164</f>
        <v>шт</v>
      </c>
      <c r="D164" s="1109" t="n">
        <f aca="false">'Смета Внутр'!D164</f>
        <v>5</v>
      </c>
      <c r="E164" s="1104" t="n">
        <f aca="false">'Смета Внутр'!E164</f>
        <v>250</v>
      </c>
      <c r="F164" s="1104" t="n">
        <f aca="false">'Смета Внутр'!F164</f>
        <v>0</v>
      </c>
      <c r="G164" s="1104" t="n">
        <f aca="false">IF(E164&gt;F164,E164,F164)</f>
        <v>250</v>
      </c>
      <c r="H164" s="1104" t="n">
        <f aca="false">'Смета Внутр'!G164</f>
        <v>1250</v>
      </c>
      <c r="I164" s="1104" t="n">
        <f aca="false">'Смета Внутр'!H164</f>
        <v>0</v>
      </c>
      <c r="J164" s="1109" t="n">
        <f aca="false">'Смета Внутр'!I164</f>
        <v>0</v>
      </c>
    </row>
    <row r="165" customFormat="false" ht="15" hidden="true" customHeight="true" outlineLevel="0" collapsed="false">
      <c r="B165" s="1104" t="str">
        <f aca="false">'Смета Внутр'!B165</f>
        <v>обвязка металлом, 20/40/3000</v>
      </c>
      <c r="C165" s="1104" t="str">
        <f aca="false">'Смета Внутр'!C165</f>
        <v>м.п.</v>
      </c>
      <c r="D165" s="1109" t="n">
        <f aca="false">'Смета Внутр'!D165</f>
        <v>5</v>
      </c>
      <c r="E165" s="1104" t="n">
        <f aca="false">'Смета Внутр'!E165</f>
        <v>100</v>
      </c>
      <c r="F165" s="1104" t="n">
        <f aca="false">'Смета Внутр'!F165</f>
        <v>0</v>
      </c>
      <c r="G165" s="1104" t="n">
        <f aca="false">IF(E165&gt;F165,E165,F165)</f>
        <v>100</v>
      </c>
      <c r="H165" s="1104" t="n">
        <f aca="false">'Смета Внутр'!G165</f>
        <v>500</v>
      </c>
      <c r="I165" s="1104" t="n">
        <f aca="false">'Смета Внутр'!H165</f>
        <v>0</v>
      </c>
      <c r="J165" s="1109" t="n">
        <f aca="false">'Смета Внутр'!I165</f>
        <v>0</v>
      </c>
    </row>
    <row r="166" customFormat="false" ht="15" hidden="true" customHeight="true" outlineLevel="0" collapsed="false">
      <c r="B166" s="1104" t="str">
        <f aca="false">'Смета Внутр'!B166</f>
        <v>Раствор, м200</v>
      </c>
      <c r="C166" s="1104" t="str">
        <f aca="false">'Смета Внутр'!C166</f>
        <v>м3</v>
      </c>
      <c r="D166" s="1109" t="n">
        <f aca="false">'Смета Внутр'!D166</f>
        <v>0.22608</v>
      </c>
      <c r="E166" s="1104" t="n">
        <f aca="false">'Смета Внутр'!E166</f>
        <v>2100</v>
      </c>
      <c r="F166" s="1104" t="n">
        <f aca="false">'Смета Внутр'!F166</f>
        <v>0</v>
      </c>
      <c r="G166" s="1104" t="n">
        <f aca="false">IF(E166&gt;F166,E166,F166)</f>
        <v>2100</v>
      </c>
      <c r="H166" s="1104" t="n">
        <f aca="false">'Смета Внутр'!G166</f>
        <v>474.768</v>
      </c>
      <c r="I166" s="1104" t="n">
        <f aca="false">'Смета Внутр'!H166</f>
        <v>0</v>
      </c>
      <c r="J166" s="1109" t="n">
        <f aca="false">'Смета Внутр'!I166</f>
        <v>0</v>
      </c>
    </row>
    <row r="167" customFormat="false" ht="15" hidden="true" customHeight="true" outlineLevel="0" collapsed="false">
      <c r="B167" s="1104" t="str">
        <f aca="false">'Смета Внутр'!B167</f>
        <v>Электроды ок 47</v>
      </c>
      <c r="C167" s="1104" t="str">
        <f aca="false">'Смета Внутр'!C167</f>
        <v>шт</v>
      </c>
      <c r="D167" s="1109" t="n">
        <f aca="false">'Смета Внутр'!D167</f>
        <v>5</v>
      </c>
      <c r="E167" s="1104" t="n">
        <f aca="false">'Смета Внутр'!E167</f>
        <v>10</v>
      </c>
      <c r="F167" s="1104" t="n">
        <f aca="false">'Смета Внутр'!F167</f>
        <v>0</v>
      </c>
      <c r="G167" s="1104" t="n">
        <f aca="false">IF(E167&gt;F167,E167,F167)</f>
        <v>10</v>
      </c>
      <c r="H167" s="1104" t="n">
        <f aca="false">'Смета Внутр'!G167</f>
        <v>50</v>
      </c>
      <c r="I167" s="1104" t="n">
        <f aca="false">'Смета Внутр'!H167</f>
        <v>0</v>
      </c>
      <c r="J167" s="1109" t="n">
        <f aca="false">'Смета Внутр'!I167</f>
        <v>0</v>
      </c>
    </row>
    <row r="168" customFormat="false" ht="15" hidden="true" customHeight="false" outlineLevel="0" collapsed="false">
      <c r="B168" s="1108" t="str">
        <f aca="false">'Смета Внутр'!B168</f>
        <v>Итого материалы</v>
      </c>
      <c r="C168" s="1108"/>
      <c r="D168" s="1108"/>
      <c r="E168" s="1108"/>
      <c r="F168" s="1108"/>
      <c r="G168" s="1108"/>
      <c r="H168" s="1104" t="n">
        <f aca="false">'Смета Внутр'!G168</f>
        <v>0</v>
      </c>
      <c r="I168" s="1104" t="n">
        <f aca="false">'Смета Внутр'!H168</f>
        <v>0</v>
      </c>
      <c r="J168" s="1109" t="n">
        <f aca="false">'Смета Внутр'!I168</f>
        <v>0</v>
      </c>
    </row>
    <row r="169" customFormat="false" ht="15" hidden="true" customHeight="true" outlineLevel="0" collapsed="false">
      <c r="B169" s="118" t="str">
        <f aca="false">'Смета Внутр'!B169</f>
        <v>Работы</v>
      </c>
      <c r="H169" s="118" t="n">
        <f aca="false">'Смета Внутр'!G169</f>
        <v>0</v>
      </c>
      <c r="I169" s="118" t="n">
        <f aca="false">'Смета Внутр'!H169</f>
        <v>0</v>
      </c>
      <c r="J169" s="1102" t="n">
        <f aca="false">'Смета Внутр'!I169</f>
        <v>0</v>
      </c>
    </row>
    <row r="170" customFormat="false" ht="15" hidden="true" customHeight="true" outlineLevel="0" collapsed="false">
      <c r="B170" s="1104" t="str">
        <f aca="false">'Смета Внутр'!B170</f>
        <v>разбивка осей</v>
      </c>
      <c r="C170" s="1104" t="str">
        <f aca="false">'Смета Внутр'!C170</f>
        <v>шт</v>
      </c>
      <c r="D170" s="1109" t="n">
        <f aca="false">'Смета Внутр'!D170</f>
        <v>1</v>
      </c>
      <c r="E170" s="1104" t="n">
        <f aca="false">'Смета Внутр'!E170</f>
        <v>7000</v>
      </c>
      <c r="F170" s="1104" t="n">
        <f aca="false">'Смета Внутр'!F170</f>
        <v>0</v>
      </c>
      <c r="G170" s="1104" t="n">
        <f aca="false">IF(E170&gt;F170,E170,F170)</f>
        <v>7000</v>
      </c>
      <c r="H170" s="1104" t="n">
        <f aca="false">'Смета Внутр'!G170</f>
        <v>7000</v>
      </c>
      <c r="I170" s="1104" t="n">
        <f aca="false">'Смета Внутр'!H170</f>
        <v>0</v>
      </c>
      <c r="J170" s="1109" t="n">
        <f aca="false">'Смета Внутр'!I170</f>
        <v>0</v>
      </c>
    </row>
    <row r="171" customFormat="false" ht="15" hidden="true" customHeight="true" outlineLevel="0" collapsed="false">
      <c r="B171" s="1104" t="str">
        <f aca="false">'Смета Внутр'!B171</f>
        <v>монтаж свай гидравликой</v>
      </c>
      <c r="C171" s="1104" t="str">
        <f aca="false">'Смета Внутр'!C171</f>
        <v>шт</v>
      </c>
      <c r="D171" s="1109" t="n">
        <f aca="false">'Смета Внутр'!D171</f>
        <v>5</v>
      </c>
      <c r="E171" s="1104" t="n">
        <f aca="false">'Смета Внутр'!E171</f>
        <v>1000</v>
      </c>
      <c r="F171" s="1104" t="n">
        <f aca="false">'Смета Внутр'!F171</f>
        <v>0</v>
      </c>
      <c r="G171" s="1104" t="n">
        <f aca="false">IF(E171&gt;F171,E171,F171)</f>
        <v>1000</v>
      </c>
      <c r="H171" s="1104" t="n">
        <f aca="false">'Смета Внутр'!G171</f>
        <v>5000</v>
      </c>
      <c r="I171" s="1104" t="n">
        <f aca="false">'Смета Внутр'!H171</f>
        <v>0</v>
      </c>
      <c r="J171" s="1109" t="n">
        <f aca="false">'Смета Внутр'!I171</f>
        <v>0</v>
      </c>
    </row>
    <row r="172" customFormat="false" ht="15" hidden="true" customHeight="true" outlineLevel="0" collapsed="false">
      <c r="B172" s="1104" t="str">
        <f aca="false">'Смета Внутр'!B172</f>
        <v>монтаж оголовков</v>
      </c>
      <c r="C172" s="1104" t="str">
        <f aca="false">'Смета Внутр'!C172</f>
        <v>шт</v>
      </c>
      <c r="D172" s="1109" t="n">
        <f aca="false">'Смета Внутр'!D172</f>
        <v>5</v>
      </c>
      <c r="E172" s="1104" t="n">
        <f aca="false">'Смета Внутр'!E172</f>
        <v>100</v>
      </c>
      <c r="F172" s="1104" t="n">
        <f aca="false">'Смета Внутр'!F172</f>
        <v>0</v>
      </c>
      <c r="G172" s="1104" t="n">
        <f aca="false">IF(E172&gt;F172,E172,F172)</f>
        <v>100</v>
      </c>
      <c r="H172" s="1104" t="n">
        <f aca="false">'Смета Внутр'!G172</f>
        <v>500</v>
      </c>
      <c r="I172" s="1104" t="n">
        <f aca="false">'Смета Внутр'!H172</f>
        <v>0</v>
      </c>
      <c r="J172" s="1109" t="n">
        <f aca="false">'Смета Внутр'!I172</f>
        <v>0</v>
      </c>
    </row>
    <row r="173" customFormat="false" ht="15" hidden="true" customHeight="true" outlineLevel="0" collapsed="false">
      <c r="B173" s="1104" t="str">
        <f aca="false">'Смета Внутр'!B173</f>
        <v>обвязка металлом</v>
      </c>
      <c r="C173" s="1104" t="str">
        <f aca="false">'Смета Внутр'!C173</f>
        <v>м.п.</v>
      </c>
      <c r="D173" s="1109" t="n">
        <f aca="false">'Смета Внутр'!D173</f>
        <v>5</v>
      </c>
      <c r="E173" s="1104" t="n">
        <f aca="false">'Смета Внутр'!E173</f>
        <v>100</v>
      </c>
      <c r="F173" s="1104" t="n">
        <f aca="false">'Смета Внутр'!F173</f>
        <v>0</v>
      </c>
      <c r="G173" s="1104" t="n">
        <f aca="false">IF(E173&gt;F173,E173,F173)</f>
        <v>100</v>
      </c>
      <c r="H173" s="1104" t="n">
        <f aca="false">'Смета Внутр'!G173</f>
        <v>500</v>
      </c>
      <c r="I173" s="1104" t="n">
        <f aca="false">'Смета Внутр'!H173</f>
        <v>0</v>
      </c>
      <c r="J173" s="1109" t="n">
        <f aca="false">'Смета Внутр'!I173</f>
        <v>0</v>
      </c>
    </row>
    <row r="174" customFormat="false" ht="15" hidden="true" customHeight="true" outlineLevel="0" collapsed="false">
      <c r="B174" s="1104" t="str">
        <f aca="false">'Смета Внутр'!B174</f>
        <v>заливка бетоном</v>
      </c>
      <c r="C174" s="1104" t="str">
        <f aca="false">'Смета Внутр'!C174</f>
        <v>шт</v>
      </c>
      <c r="D174" s="1109" t="n">
        <f aca="false">'Смета Внутр'!D174</f>
        <v>5</v>
      </c>
      <c r="E174" s="1104" t="n">
        <f aca="false">'Смета Внутр'!E174</f>
        <v>200</v>
      </c>
      <c r="F174" s="1104" t="n">
        <f aca="false">'Смета Внутр'!F174</f>
        <v>0</v>
      </c>
      <c r="G174" s="1104" t="n">
        <f aca="false">IF(E174&gt;F174,E174,F174)</f>
        <v>200</v>
      </c>
      <c r="H174" s="1104" t="n">
        <f aca="false">'Смета Внутр'!G174</f>
        <v>1000</v>
      </c>
      <c r="I174" s="1104" t="n">
        <f aca="false">'Смета Внутр'!H174</f>
        <v>0</v>
      </c>
      <c r="J174" s="1109" t="n">
        <f aca="false">'Смета Внутр'!I174</f>
        <v>0</v>
      </c>
    </row>
    <row r="175" customFormat="false" ht="15" hidden="true" customHeight="true" outlineLevel="0" collapsed="false">
      <c r="B175" s="1104" t="str">
        <f aca="false">'Смета Внутр'!B175</f>
        <v>Обрезка винтовых свай по невелиру</v>
      </c>
      <c r="C175" s="1104" t="str">
        <f aca="false">'Смета Внутр'!C175</f>
        <v>шт</v>
      </c>
      <c r="D175" s="1109" t="n">
        <f aca="false">'Смета Внутр'!D175</f>
        <v>5</v>
      </c>
      <c r="E175" s="1104" t="n">
        <f aca="false">'Смета Внутр'!E175</f>
        <v>200</v>
      </c>
      <c r="F175" s="1104" t="n">
        <f aca="false">'Смета Внутр'!F175</f>
        <v>0</v>
      </c>
      <c r="G175" s="1104" t="n">
        <f aca="false">IF(E175&gt;F175,E175,F175)</f>
        <v>200</v>
      </c>
      <c r="H175" s="1104" t="n">
        <f aca="false">'Смета Внутр'!G175</f>
        <v>1000</v>
      </c>
      <c r="I175" s="1104" t="n">
        <f aca="false">'Смета Внутр'!H175</f>
        <v>0</v>
      </c>
      <c r="J175" s="1109" t="n">
        <f aca="false">'Смета Внутр'!I175</f>
        <v>0</v>
      </c>
    </row>
    <row r="176" customFormat="false" ht="15" hidden="true" customHeight="true" outlineLevel="0" collapsed="false">
      <c r="B176" s="1104" t="str">
        <f aca="false">'Смета Внутр'!B176</f>
        <v>Наварка оголовка</v>
      </c>
      <c r="C176" s="1104" t="str">
        <f aca="false">'Смета Внутр'!C176</f>
        <v>шт</v>
      </c>
      <c r="D176" s="1109" t="n">
        <f aca="false">'Смета Внутр'!D176</f>
        <v>5</v>
      </c>
      <c r="E176" s="1104" t="n">
        <f aca="false">'Смета Внутр'!E176</f>
        <v>250</v>
      </c>
      <c r="F176" s="1104" t="n">
        <f aca="false">'Смета Внутр'!F176</f>
        <v>0</v>
      </c>
      <c r="G176" s="1104" t="n">
        <f aca="false">IF(E176&gt;F176,E176,F176)</f>
        <v>250</v>
      </c>
      <c r="H176" s="1104" t="n">
        <f aca="false">'Смета Внутр'!G176</f>
        <v>1250</v>
      </c>
      <c r="I176" s="1104" t="n">
        <f aca="false">'Смета Внутр'!H176</f>
        <v>0</v>
      </c>
      <c r="J176" s="1109" t="n">
        <f aca="false">'Смета Внутр'!I176</f>
        <v>0</v>
      </c>
    </row>
    <row r="177" customFormat="false" ht="15" hidden="true" customHeight="true" outlineLevel="0" collapsed="false">
      <c r="B177" s="1108" t="str">
        <f aca="false">'Смета Внутр'!B177</f>
        <v>Итого работы</v>
      </c>
      <c r="C177" s="1108"/>
      <c r="D177" s="1108"/>
      <c r="E177" s="1108"/>
      <c r="F177" s="1108"/>
      <c r="G177" s="1108"/>
      <c r="H177" s="1104" t="n">
        <f aca="false">'Смета Внутр'!G177</f>
        <v>0</v>
      </c>
      <c r="I177" s="1104" t="n">
        <f aca="false">'Смета Внутр'!H177</f>
        <v>0</v>
      </c>
      <c r="J177" s="1109" t="n">
        <f aca="false">'Смета Внутр'!I177</f>
        <v>0</v>
      </c>
    </row>
    <row r="178" customFormat="false" ht="15" hidden="true" customHeight="true" outlineLevel="0" collapsed="false">
      <c r="B178" s="1111" t="str">
        <f aca="false">'Смета Внутр'!B178</f>
        <v>Ленточный фундамент</v>
      </c>
      <c r="C178" s="1111"/>
      <c r="D178" s="1111"/>
      <c r="H178" s="118" t="n">
        <f aca="false">'Смета Внутр'!G178</f>
        <v>0</v>
      </c>
      <c r="I178" s="118" t="n">
        <f aca="false">'Смета Внутр'!H178</f>
        <v>0</v>
      </c>
      <c r="J178" s="1102" t="n">
        <f aca="false">'Смета Внутр'!I178</f>
        <v>0</v>
      </c>
    </row>
    <row r="179" customFormat="false" ht="15" hidden="true" customHeight="true" outlineLevel="0" collapsed="false">
      <c r="B179" s="118" t="str">
        <f aca="false">'Смета Внутр'!B179</f>
        <v>Материалы</v>
      </c>
      <c r="H179" s="118" t="n">
        <f aca="false">'Смета Внутр'!G179</f>
        <v>0</v>
      </c>
      <c r="I179" s="118" t="n">
        <f aca="false">'Смета Внутр'!H179</f>
        <v>0</v>
      </c>
      <c r="J179" s="1102" t="n">
        <f aca="false">'Смета Внутр'!I179</f>
        <v>0</v>
      </c>
    </row>
    <row r="180" customFormat="false" ht="15" hidden="true" customHeight="true" outlineLevel="0" collapsed="false">
      <c r="B180" s="1104" t="str">
        <f aca="false">'Смета Внутр'!B180</f>
        <v>Сосна влаж,150*40мм</v>
      </c>
      <c r="C180" s="1104" t="str">
        <f aca="false">'Смета Внутр'!C180</f>
        <v>м3</v>
      </c>
      <c r="D180" s="1109" t="n">
        <f aca="false">'Смета Внутр'!D180</f>
        <v>3.29472</v>
      </c>
      <c r="E180" s="1104" t="n">
        <f aca="false">'Смета Внутр'!E180</f>
        <v>6500</v>
      </c>
      <c r="F180" s="1104" t="n">
        <f aca="false">'Смета Внутр'!F180</f>
        <v>0</v>
      </c>
      <c r="G180" s="1104" t="n">
        <f aca="false">IF(E180&gt;F180,E180,F180)</f>
        <v>6500</v>
      </c>
      <c r="H180" s="1104" t="n">
        <f aca="false">'Смета Внутр'!G180</f>
        <v>21415.68</v>
      </c>
      <c r="I180" s="1104" t="n">
        <f aca="false">'Смета Внутр'!H180</f>
        <v>0</v>
      </c>
      <c r="J180" s="1109" t="n">
        <f aca="false">'Смета Внутр'!I180</f>
        <v>0</v>
      </c>
    </row>
    <row r="181" customFormat="false" ht="15" hidden="true" customHeight="true" outlineLevel="0" collapsed="false">
      <c r="B181" s="1104" t="str">
        <f aca="false">'Смета Внутр'!B181</f>
        <v>Пленка гидроизоляционная </v>
      </c>
      <c r="C181" s="1104" t="str">
        <f aca="false">'Смета Внутр'!C181</f>
        <v>м2</v>
      </c>
      <c r="D181" s="1109" t="n">
        <f aca="false">'Смета Внутр'!D181</f>
        <v>82.368</v>
      </c>
      <c r="E181" s="1104" t="n">
        <f aca="false">'Смета Внутр'!E181</f>
        <v>15</v>
      </c>
      <c r="F181" s="1104" t="n">
        <f aca="false">'Смета Внутр'!F181</f>
        <v>0</v>
      </c>
      <c r="G181" s="1104" t="n">
        <f aca="false">IF(E181&gt;F181,E181,F181)</f>
        <v>15</v>
      </c>
      <c r="H181" s="1104" t="n">
        <f aca="false">'Смета Внутр'!G181</f>
        <v>1235.52</v>
      </c>
      <c r="I181" s="1104" t="n">
        <f aca="false">'Смета Внутр'!H181</f>
        <v>0</v>
      </c>
      <c r="J181" s="1109" t="n">
        <f aca="false">'Смета Внутр'!I181</f>
        <v>0</v>
      </c>
    </row>
    <row r="182" customFormat="false" ht="15" hidden="true" customHeight="true" outlineLevel="0" collapsed="false">
      <c r="B182" s="1104" t="str">
        <f aca="false">'Смета Внутр'!B182</f>
        <v>Арматура стальная Ø 8</v>
      </c>
      <c r="C182" s="1104" t="str">
        <f aca="false">'Смета Внутр'!C182</f>
        <v>м.п</v>
      </c>
      <c r="D182" s="1109" t="n">
        <f aca="false">'Смета Внутр'!D182</f>
        <v>380.16</v>
      </c>
      <c r="E182" s="1104" t="n">
        <f aca="false">'Смета Внутр'!E182</f>
        <v>16.037</v>
      </c>
      <c r="F182" s="1104" t="n">
        <f aca="false">'Смета Внутр'!F182</f>
        <v>0</v>
      </c>
      <c r="G182" s="1104" t="n">
        <f aca="false">IF(E182&gt;F182,E182,F182)</f>
        <v>16.037</v>
      </c>
      <c r="H182" s="1104" t="n">
        <f aca="false">'Смета Внутр'!G182</f>
        <v>6096.62592</v>
      </c>
      <c r="I182" s="1104" t="n">
        <f aca="false">'Смета Внутр'!H182</f>
        <v>0</v>
      </c>
      <c r="J182" s="1109" t="n">
        <f aca="false">'Смета Внутр'!I182</f>
        <v>0</v>
      </c>
    </row>
    <row r="183" customFormat="false" ht="15" hidden="true" customHeight="true" outlineLevel="0" collapsed="false">
      <c r="B183" s="1104" t="str">
        <f aca="false">'Смета Внутр'!B183</f>
        <v>Арматура стальная Ø 6</v>
      </c>
      <c r="C183" s="1104" t="str">
        <f aca="false">'Смета Внутр'!C183</f>
        <v>м.п</v>
      </c>
      <c r="D183" s="1109" t="n">
        <f aca="false">'Смета Внутр'!D183</f>
        <v>261.36</v>
      </c>
      <c r="E183" s="1104" t="n">
        <f aca="false">'Смета Внутр'!E183</f>
        <v>9.0132</v>
      </c>
      <c r="F183" s="1104" t="n">
        <f aca="false">'Смета Внутр'!F183</f>
        <v>0</v>
      </c>
      <c r="G183" s="1104" t="n">
        <f aca="false">IF(E183&gt;F183,E183,F183)</f>
        <v>9.0132</v>
      </c>
      <c r="H183" s="1104" t="n">
        <f aca="false">'Смета Внутр'!G183</f>
        <v>2355.689952</v>
      </c>
      <c r="I183" s="1104" t="n">
        <f aca="false">'Смета Внутр'!H183</f>
        <v>0</v>
      </c>
      <c r="J183" s="1109" t="n">
        <f aca="false">'Смета Внутр'!I183</f>
        <v>0</v>
      </c>
    </row>
    <row r="184" customFormat="false" ht="15" hidden="true" customHeight="true" outlineLevel="0" collapsed="false">
      <c r="B184" s="1104" t="str">
        <f aca="false">'Смета Внутр'!B184</f>
        <v>Вязальная проволока</v>
      </c>
      <c r="C184" s="1104" t="str">
        <f aca="false">'Смета Внутр'!C184</f>
        <v>кг</v>
      </c>
      <c r="D184" s="1109" t="n">
        <f aca="false">'Смета Внутр'!D184</f>
        <v>14.11344</v>
      </c>
      <c r="E184" s="1104" t="n">
        <f aca="false">'Смета Внутр'!E184</f>
        <v>80</v>
      </c>
      <c r="F184" s="1104" t="n">
        <f aca="false">'Смета Внутр'!F184</f>
        <v>0</v>
      </c>
      <c r="G184" s="1104" t="n">
        <f aca="false">IF(E184&gt;F184,E184,F184)</f>
        <v>80</v>
      </c>
      <c r="H184" s="1104" t="n">
        <f aca="false">'Смета Внутр'!G184</f>
        <v>1129.0752</v>
      </c>
      <c r="I184" s="1104" t="n">
        <f aca="false">'Смета Внутр'!H184</f>
        <v>0</v>
      </c>
      <c r="J184" s="1109" t="n">
        <f aca="false">'Смета Внутр'!I184</f>
        <v>0</v>
      </c>
    </row>
    <row r="185" customFormat="false" ht="15" hidden="true" customHeight="true" outlineLevel="0" collapsed="false">
      <c r="B185" s="1104" t="str">
        <f aca="false">'Смета Внутр'!B185</f>
        <v>Гвозди строительные 3,5 x 90            </v>
      </c>
      <c r="C185" s="1104" t="str">
        <f aca="false">'Смета Внутр'!C185</f>
        <v>кг</v>
      </c>
      <c r="D185" s="1109" t="n">
        <f aca="false">'Смета Внутр'!D185</f>
        <v>18.12096</v>
      </c>
      <c r="E185" s="1104" t="n">
        <f aca="false">'Смета Внутр'!E185</f>
        <v>70</v>
      </c>
      <c r="F185" s="1104" t="n">
        <f aca="false">'Смета Внутр'!F185</f>
        <v>0</v>
      </c>
      <c r="G185" s="1104" t="n">
        <f aca="false">IF(E185&gt;F185,E185,F185)</f>
        <v>70</v>
      </c>
      <c r="H185" s="1104" t="n">
        <f aca="false">'Смета Внутр'!G185</f>
        <v>1268.4672</v>
      </c>
      <c r="I185" s="1104" t="n">
        <f aca="false">'Смета Внутр'!H185</f>
        <v>0</v>
      </c>
      <c r="J185" s="1109" t="n">
        <f aca="false">'Смета Внутр'!I185</f>
        <v>0</v>
      </c>
    </row>
    <row r="186" customFormat="false" ht="15" hidden="true" customHeight="true" outlineLevel="0" collapsed="false">
      <c r="B186" s="1104" t="str">
        <f aca="false">'Смета Внутр'!B186</f>
        <v>Гидроизол</v>
      </c>
      <c r="C186" s="1104" t="str">
        <f aca="false">'Смета Внутр'!C186</f>
        <v>м2</v>
      </c>
      <c r="D186" s="1109" t="n">
        <f aca="false">'Смета Внутр'!D186</f>
        <v>15.84</v>
      </c>
      <c r="E186" s="1104" t="n">
        <f aca="false">'Смета Внутр'!E186</f>
        <v>70</v>
      </c>
      <c r="F186" s="1104" t="n">
        <f aca="false">'Смета Внутр'!F186</f>
        <v>0</v>
      </c>
      <c r="G186" s="1104" t="n">
        <f aca="false">IF(E186&gt;F186,E186,F186)</f>
        <v>70</v>
      </c>
      <c r="H186" s="1104" t="n">
        <f aca="false">'Смета Внутр'!G186</f>
        <v>1108.8</v>
      </c>
      <c r="I186" s="1104" t="n">
        <f aca="false">'Смета Внутр'!H186</f>
        <v>0</v>
      </c>
      <c r="J186" s="1109" t="n">
        <f aca="false">'Смета Внутр'!I186</f>
        <v>0</v>
      </c>
    </row>
    <row r="187" customFormat="false" ht="15" hidden="true" customHeight="true" outlineLevel="0" collapsed="false">
      <c r="B187" s="1104" t="str">
        <f aca="false">'Смета Внутр'!B187</f>
        <v>ПГС, машина 13м3</v>
      </c>
      <c r="C187" s="1104" t="str">
        <f aca="false">'Смета Внутр'!C187</f>
        <v>маш</v>
      </c>
      <c r="D187" s="1109" t="n">
        <f aca="false">'Смета Внутр'!D187</f>
        <v>0.528</v>
      </c>
      <c r="E187" s="1104" t="n">
        <f aca="false">'Смета Внутр'!E187</f>
        <v>10000</v>
      </c>
      <c r="F187" s="1104" t="n">
        <f aca="false">'Смета Внутр'!F187</f>
        <v>0</v>
      </c>
      <c r="G187" s="1104" t="n">
        <f aca="false">IF(E187&gt;F187,E187,F187)</f>
        <v>10000</v>
      </c>
      <c r="H187" s="1104" t="n">
        <f aca="false">'Смета Внутр'!G187</f>
        <v>5280</v>
      </c>
      <c r="I187" s="1104" t="n">
        <f aca="false">'Смета Внутр'!H187</f>
        <v>0</v>
      </c>
      <c r="J187" s="1109" t="n">
        <f aca="false">'Смета Внутр'!I187</f>
        <v>0</v>
      </c>
    </row>
    <row r="188" customFormat="false" ht="15" hidden="true" customHeight="true" outlineLevel="0" collapsed="false">
      <c r="B188" s="1104" t="str">
        <f aca="false">'Смета Внутр'!B188</f>
        <v>Бетон, м250</v>
      </c>
      <c r="C188" s="1104" t="str">
        <f aca="false">'Смета Внутр'!C188</f>
        <v>м3</v>
      </c>
      <c r="D188" s="1109" t="n">
        <f aca="false">'Смета Внутр'!D188</f>
        <v>9.504</v>
      </c>
      <c r="E188" s="1104" t="n">
        <f aca="false">'Смета Внутр'!E188</f>
        <v>2750</v>
      </c>
      <c r="F188" s="1104" t="n">
        <f aca="false">'Смета Внутр'!F188</f>
        <v>0</v>
      </c>
      <c r="G188" s="1104" t="n">
        <f aca="false">IF(E188&gt;F188,E188,F188)</f>
        <v>2750</v>
      </c>
      <c r="H188" s="1104" t="n">
        <f aca="false">'Смета Внутр'!G188</f>
        <v>26136</v>
      </c>
      <c r="I188" s="1104" t="n">
        <f aca="false">'Смета Внутр'!H188</f>
        <v>0</v>
      </c>
      <c r="J188" s="1109" t="n">
        <f aca="false">'Смета Внутр'!I188</f>
        <v>0</v>
      </c>
    </row>
    <row r="189" customFormat="false" ht="15" hidden="true" customHeight="true" outlineLevel="0" collapsed="false">
      <c r="B189" s="1104" t="str">
        <f aca="false">'Смета Внутр'!B189</f>
        <v>Нет</v>
      </c>
      <c r="C189" s="1104" t="str">
        <f aca="false">'Смета Внутр'!C189</f>
        <v>м3</v>
      </c>
      <c r="D189" s="1109" t="n">
        <f aca="false">'Смета Внутр'!D189</f>
        <v>0</v>
      </c>
      <c r="E189" s="1104" t="n">
        <f aca="false">'Смета Внутр'!E189</f>
        <v>0</v>
      </c>
      <c r="F189" s="1104" t="n">
        <f aca="false">'Смета Внутр'!F189</f>
        <v>0</v>
      </c>
      <c r="G189" s="1104" t="n">
        <f aca="false">IF(E189&gt;F189,E189,F189)</f>
        <v>0</v>
      </c>
      <c r="H189" s="1104" t="n">
        <f aca="false">'Смета Внутр'!G189</f>
        <v>0</v>
      </c>
      <c r="I189" s="1104" t="n">
        <f aca="false">'Смета Внутр'!H189</f>
        <v>0</v>
      </c>
      <c r="J189" s="1109" t="n">
        <f aca="false">'Смета Внутр'!I189</f>
        <v>0</v>
      </c>
    </row>
    <row r="190" customFormat="false" ht="15" hidden="true" customHeight="true" outlineLevel="0" collapsed="false">
      <c r="B190" s="1104" t="str">
        <f aca="false">'Смета Внутр'!B190</f>
        <v>Грибок для крепления утеплителя</v>
      </c>
      <c r="C190" s="1104" t="str">
        <f aca="false">'Смета Внутр'!C190</f>
        <v>шт</v>
      </c>
      <c r="D190" s="1109" t="n">
        <f aca="false">'Смета Внутр'!D190</f>
        <v>0</v>
      </c>
      <c r="E190" s="1104" t="n">
        <f aca="false">'Смета Внутр'!E190</f>
        <v>15</v>
      </c>
      <c r="F190" s="1104" t="n">
        <f aca="false">'Смета Внутр'!F190</f>
        <v>0</v>
      </c>
      <c r="G190" s="1104" t="n">
        <f aca="false">IF(E190&gt;F190,E190,F190)</f>
        <v>15</v>
      </c>
      <c r="H190" s="1104" t="n">
        <f aca="false">'Смета Внутр'!G190</f>
        <v>0</v>
      </c>
      <c r="I190" s="1104" t="n">
        <f aca="false">'Смета Внутр'!H190</f>
        <v>0</v>
      </c>
      <c r="J190" s="1109" t="n">
        <f aca="false">'Смета Внутр'!I190</f>
        <v>0</v>
      </c>
    </row>
    <row r="191" customFormat="false" ht="15" hidden="true" customHeight="true" outlineLevel="0" collapsed="false">
      <c r="B191" s="1104" t="str">
        <f aca="false">'Смета Внутр'!B191</f>
        <v>Нет</v>
      </c>
      <c r="C191" s="1104" t="str">
        <f aca="false">'Смета Внутр'!C191</f>
        <v>м3</v>
      </c>
      <c r="D191" s="1109" t="n">
        <f aca="false">'Смета Внутр'!D191</f>
        <v>0</v>
      </c>
      <c r="E191" s="1104" t="n">
        <f aca="false">'Смета Внутр'!E191</f>
        <v>0</v>
      </c>
      <c r="F191" s="1104" t="n">
        <f aca="false">'Смета Внутр'!F191</f>
        <v>0</v>
      </c>
      <c r="G191" s="1104" t="n">
        <f aca="false">IF(E191&gt;F191,E191,F191)</f>
        <v>0</v>
      </c>
      <c r="H191" s="1104" t="n">
        <f aca="false">'Смета Внутр'!G191</f>
        <v>0</v>
      </c>
      <c r="I191" s="1104" t="n">
        <f aca="false">'Смета Внутр'!H191</f>
        <v>0</v>
      </c>
      <c r="J191" s="1109" t="n">
        <f aca="false">'Смета Внутр'!I191</f>
        <v>0</v>
      </c>
    </row>
    <row r="192" customFormat="false" ht="15" hidden="true" customHeight="true" outlineLevel="0" collapsed="false">
      <c r="B192" s="1104" t="str">
        <f aca="false">'Смета Внутр'!B192</f>
        <v>ПГС, машина 5м3</v>
      </c>
      <c r="C192" s="1104" t="str">
        <f aca="false">'Смета Внутр'!C192</f>
        <v>маш</v>
      </c>
      <c r="D192" s="1109" t="n">
        <f aca="false">'Смета Внутр'!D192</f>
        <v>0</v>
      </c>
      <c r="E192" s="1104" t="n">
        <f aca="false">'Смета Внутр'!E192</f>
        <v>6000</v>
      </c>
      <c r="F192" s="1104" t="n">
        <f aca="false">'Смета Внутр'!F192</f>
        <v>0</v>
      </c>
      <c r="G192" s="1104" t="n">
        <f aca="false">IF(E192&gt;F192,E192,F192)</f>
        <v>6000</v>
      </c>
      <c r="H192" s="1104" t="n">
        <f aca="false">'Смета Внутр'!G192</f>
        <v>0</v>
      </c>
      <c r="I192" s="1104" t="n">
        <f aca="false">'Смета Внутр'!H192</f>
        <v>0</v>
      </c>
      <c r="J192" s="1109" t="n">
        <f aca="false">'Смета Внутр'!I192</f>
        <v>0</v>
      </c>
    </row>
    <row r="193" customFormat="false" ht="15" hidden="true" customHeight="true" outlineLevel="0" collapsed="false">
      <c r="B193" s="1104" t="str">
        <f aca="false">'Смета Внутр'!B193</f>
        <v>Кладочная сетка, 100*100/150*150/200*200мм</v>
      </c>
      <c r="C193" s="1104" t="str">
        <f aca="false">'Смета Внутр'!C193</f>
        <v>м2</v>
      </c>
      <c r="D193" s="1109" t="n">
        <f aca="false">'Смета Внутр'!D193</f>
        <v>0</v>
      </c>
      <c r="E193" s="1104" t="n">
        <f aca="false">'Смета Внутр'!E193</f>
        <v>70</v>
      </c>
      <c r="F193" s="1104" t="n">
        <f aca="false">'Смета Внутр'!F193</f>
        <v>0</v>
      </c>
      <c r="G193" s="1104" t="n">
        <f aca="false">IF(E193&gt;F193,E193,F193)</f>
        <v>70</v>
      </c>
      <c r="H193" s="1104" t="n">
        <f aca="false">'Смета Внутр'!G193</f>
        <v>0</v>
      </c>
      <c r="I193" s="1104" t="n">
        <f aca="false">'Смета Внутр'!H193</f>
        <v>0</v>
      </c>
      <c r="J193" s="1109" t="n">
        <f aca="false">'Смета Внутр'!I193</f>
        <v>0</v>
      </c>
    </row>
    <row r="194" customFormat="false" ht="15" hidden="true" customHeight="true" outlineLevel="0" collapsed="false">
      <c r="B194" s="1104" t="str">
        <f aca="false">'Смета Внутр'!B194</f>
        <v>Бетон, м200</v>
      </c>
      <c r="C194" s="1104" t="str">
        <f aca="false">'Смета Внутр'!C194</f>
        <v>м3</v>
      </c>
      <c r="D194" s="1109" t="n">
        <f aca="false">'Смета Внутр'!D194</f>
        <v>0</v>
      </c>
      <c r="E194" s="1104" t="n">
        <f aca="false">'Смета Внутр'!E194</f>
        <v>2500</v>
      </c>
      <c r="F194" s="1104" t="n">
        <f aca="false">'Смета Внутр'!F194</f>
        <v>0</v>
      </c>
      <c r="G194" s="1104" t="n">
        <f aca="false">IF(E194&gt;F194,E194,F194)</f>
        <v>2500</v>
      </c>
      <c r="H194" s="1104" t="n">
        <f aca="false">'Смета Внутр'!G194</f>
        <v>0</v>
      </c>
      <c r="I194" s="1104" t="n">
        <f aca="false">'Смета Внутр'!H194</f>
        <v>0</v>
      </c>
      <c r="J194" s="1109" t="n">
        <f aca="false">'Смета Внутр'!I194</f>
        <v>0</v>
      </c>
    </row>
    <row r="195" customFormat="false" ht="15" hidden="true" customHeight="false" outlineLevel="0" collapsed="false">
      <c r="B195" s="1108" t="str">
        <f aca="false">'Смета Внутр'!B195</f>
        <v>Итого материалы</v>
      </c>
      <c r="C195" s="1108"/>
      <c r="D195" s="1108"/>
      <c r="E195" s="1108"/>
      <c r="F195" s="1108"/>
      <c r="G195" s="1108"/>
      <c r="H195" s="1104" t="n">
        <f aca="false">'Смета Внутр'!G195</f>
        <v>0</v>
      </c>
      <c r="I195" s="1104" t="n">
        <f aca="false">'Смета Внутр'!H195</f>
        <v>0</v>
      </c>
      <c r="J195" s="1109" t="n">
        <f aca="false">'Смета Внутр'!I195</f>
        <v>0</v>
      </c>
    </row>
    <row r="196" customFormat="false" ht="15" hidden="true" customHeight="true" outlineLevel="0" collapsed="false">
      <c r="B196" s="118" t="str">
        <f aca="false">'Смета Внутр'!B196</f>
        <v>Работы</v>
      </c>
      <c r="H196" s="118" t="n">
        <f aca="false">'Смета Внутр'!G196</f>
        <v>0</v>
      </c>
      <c r="I196" s="118" t="n">
        <f aca="false">'Смета Внутр'!H196</f>
        <v>0</v>
      </c>
      <c r="J196" s="1102" t="n">
        <f aca="false">'Смета Внутр'!I196</f>
        <v>0</v>
      </c>
    </row>
    <row r="197" customFormat="false" ht="15" hidden="true" customHeight="true" outlineLevel="0" collapsed="false">
      <c r="B197" s="1104" t="str">
        <f aca="false">'Смета Внутр'!B197</f>
        <v>разбивка осей</v>
      </c>
      <c r="C197" s="1104" t="str">
        <f aca="false">'Смета Внутр'!C197</f>
        <v>шт</v>
      </c>
      <c r="D197" s="1109" t="n">
        <f aca="false">'Смета Внутр'!D197</f>
        <v>1.05</v>
      </c>
      <c r="E197" s="1104" t="n">
        <f aca="false">'Смета Внутр'!E197</f>
        <v>7000</v>
      </c>
      <c r="F197" s="1104" t="n">
        <f aca="false">'Смета Внутр'!F197</f>
        <v>0</v>
      </c>
      <c r="G197" s="1104" t="n">
        <f aca="false">IF(E197&gt;F197,E197,F197)</f>
        <v>7000</v>
      </c>
      <c r="H197" s="1104" t="n">
        <f aca="false">'Смета Внутр'!G197</f>
        <v>7350</v>
      </c>
      <c r="I197" s="1104" t="n">
        <f aca="false">'Смета Внутр'!H197</f>
        <v>0</v>
      </c>
      <c r="J197" s="1109" t="n">
        <f aca="false">'Смета Внутр'!I197</f>
        <v>0</v>
      </c>
    </row>
    <row r="198" customFormat="false" ht="15" hidden="true" customHeight="true" outlineLevel="0" collapsed="false">
      <c r="B198" s="1104" t="str">
        <f aca="false">'Смета Внутр'!B198</f>
        <v>сборка опалубки</v>
      </c>
      <c r="C198" s="1104" t="str">
        <f aca="false">'Смета Внутр'!C198</f>
        <v>м2</v>
      </c>
      <c r="D198" s="1109" t="n">
        <f aca="false">'Смета Внутр'!D198</f>
        <v>60.48</v>
      </c>
      <c r="E198" s="1104" t="n">
        <f aca="false">'Смета Внутр'!E198</f>
        <v>300</v>
      </c>
      <c r="F198" s="1104" t="n">
        <f aca="false">'Смета Внутр'!F198</f>
        <v>0</v>
      </c>
      <c r="G198" s="1104" t="n">
        <f aca="false">IF(E198&gt;F198,E198,F198)</f>
        <v>300</v>
      </c>
      <c r="H198" s="1104" t="n">
        <f aca="false">'Смета Внутр'!G198</f>
        <v>18144</v>
      </c>
      <c r="I198" s="1104" t="n">
        <f aca="false">'Смета Внутр'!H198</f>
        <v>0</v>
      </c>
      <c r="J198" s="1109" t="n">
        <f aca="false">'Смета Внутр'!I198</f>
        <v>0</v>
      </c>
    </row>
    <row r="199" customFormat="false" ht="15" hidden="true" customHeight="true" outlineLevel="0" collapsed="false">
      <c r="B199" s="1104" t="str">
        <f aca="false">'Смета Внутр'!B199</f>
        <v>разборка опалубки</v>
      </c>
      <c r="C199" s="1104" t="str">
        <f aca="false">'Смета Внутр'!C199</f>
        <v>м2</v>
      </c>
      <c r="D199" s="1109" t="n">
        <f aca="false">'Смета Внутр'!D199</f>
        <v>63.504</v>
      </c>
      <c r="E199" s="1104" t="n">
        <f aca="false">'Смета Внутр'!E199</f>
        <v>100</v>
      </c>
      <c r="F199" s="1104" t="n">
        <f aca="false">'Смета Внутр'!F199</f>
        <v>0</v>
      </c>
      <c r="G199" s="1104" t="n">
        <f aca="false">IF(E199&gt;F199,E199,F199)</f>
        <v>100</v>
      </c>
      <c r="H199" s="1104" t="n">
        <f aca="false">'Смета Внутр'!G199</f>
        <v>6350.4</v>
      </c>
      <c r="I199" s="1104" t="n">
        <f aca="false">'Смета Внутр'!H199</f>
        <v>0</v>
      </c>
      <c r="J199" s="1109" t="n">
        <f aca="false">'Смета Внутр'!I199</f>
        <v>0</v>
      </c>
    </row>
    <row r="200" customFormat="false" ht="15" hidden="true" customHeight="true" outlineLevel="0" collapsed="false">
      <c r="B200" s="1104" t="str">
        <f aca="false">'Смета Внутр'!B200</f>
        <v>настил пленки</v>
      </c>
      <c r="C200" s="1104" t="str">
        <f aca="false">'Смета Внутр'!C200</f>
        <v>м2</v>
      </c>
      <c r="D200" s="1109" t="n">
        <f aca="false">'Смета Внутр'!D200</f>
        <v>66.6792</v>
      </c>
      <c r="E200" s="1104" t="n">
        <f aca="false">'Смета Внутр'!E200</f>
        <v>10</v>
      </c>
      <c r="F200" s="1104" t="n">
        <f aca="false">'Смета Внутр'!F200</f>
        <v>0</v>
      </c>
      <c r="G200" s="1104" t="n">
        <f aca="false">IF(E200&gt;F200,E200,F200)</f>
        <v>10</v>
      </c>
      <c r="H200" s="1104" t="n">
        <f aca="false">'Смета Внутр'!G200</f>
        <v>666.792</v>
      </c>
      <c r="I200" s="1104" t="n">
        <f aca="false">'Смета Внутр'!H200</f>
        <v>0</v>
      </c>
      <c r="J200" s="1109" t="n">
        <f aca="false">'Смета Внутр'!I200</f>
        <v>0</v>
      </c>
    </row>
    <row r="201" customFormat="false" ht="15" hidden="true" customHeight="true" outlineLevel="0" collapsed="false">
      <c r="B201" s="1104" t="str">
        <f aca="false">'Смета Внутр'!B201</f>
        <v>армирование</v>
      </c>
      <c r="C201" s="1104" t="str">
        <f aca="false">'Смета Внутр'!C201</f>
        <v>м.п</v>
      </c>
      <c r="D201" s="1109" t="n">
        <f aca="false">'Смета Внутр'!D201</f>
        <v>362.88</v>
      </c>
      <c r="E201" s="1104" t="n">
        <f aca="false">'Смета Внутр'!E201</f>
        <v>30</v>
      </c>
      <c r="F201" s="1104" t="n">
        <f aca="false">'Смета Внутр'!F201</f>
        <v>0</v>
      </c>
      <c r="G201" s="1104" t="n">
        <f aca="false">IF(E201&gt;F201,E201,F201)</f>
        <v>30</v>
      </c>
      <c r="H201" s="1104" t="n">
        <f aca="false">'Смета Внутр'!G201</f>
        <v>10886.4</v>
      </c>
      <c r="I201" s="1104" t="n">
        <f aca="false">'Смета Внутр'!H201</f>
        <v>0</v>
      </c>
      <c r="J201" s="1109" t="n">
        <f aca="false">'Смета Внутр'!I201</f>
        <v>0</v>
      </c>
    </row>
    <row r="202" customFormat="false" ht="15" hidden="true" customHeight="true" outlineLevel="0" collapsed="false">
      <c r="B202" s="1104" t="str">
        <f aca="false">'Смета Внутр'!B202</f>
        <v>армирование</v>
      </c>
      <c r="C202" s="1104" t="str">
        <f aca="false">'Смета Внутр'!C202</f>
        <v>м.п.</v>
      </c>
      <c r="D202" s="1109" t="n">
        <f aca="false">'Смета Внутр'!D202</f>
        <v>166.32</v>
      </c>
      <c r="E202" s="1104" t="n">
        <f aca="false">'Смета Внутр'!E202</f>
        <v>500</v>
      </c>
      <c r="F202" s="1104" t="n">
        <f aca="false">'Смета Внутр'!F202</f>
        <v>0</v>
      </c>
      <c r="G202" s="1104" t="n">
        <f aca="false">IF(E202&gt;F202,E202,F202)</f>
        <v>500</v>
      </c>
      <c r="H202" s="1104" t="n">
        <f aca="false">'Смета Внутр'!G202</f>
        <v>83160</v>
      </c>
      <c r="I202" s="1104" t="n">
        <f aca="false">'Смета Внутр'!H202</f>
        <v>0</v>
      </c>
      <c r="J202" s="1109" t="n">
        <f aca="false">'Смета Внутр'!I202</f>
        <v>0</v>
      </c>
    </row>
    <row r="203" customFormat="false" ht="15" hidden="true" customHeight="true" outlineLevel="0" collapsed="false">
      <c r="B203" s="1104" t="str">
        <f aca="false">'Смета Внутр'!B203</f>
        <v>настил гидроизола</v>
      </c>
      <c r="C203" s="1104" t="str">
        <f aca="false">'Смета Внутр'!C203</f>
        <v>м2</v>
      </c>
      <c r="D203" s="1109" t="n">
        <f aca="false">'Смета Внутр'!D203</f>
        <v>15.12</v>
      </c>
      <c r="E203" s="1104" t="n">
        <f aca="false">'Смета Внутр'!E203</f>
        <v>100</v>
      </c>
      <c r="F203" s="1104" t="n">
        <f aca="false">'Смета Внутр'!F203</f>
        <v>0</v>
      </c>
      <c r="G203" s="1104" t="n">
        <f aca="false">IF(E203&gt;F203,E203,F203)</f>
        <v>100</v>
      </c>
      <c r="H203" s="1104" t="n">
        <f aca="false">'Смета Внутр'!G203</f>
        <v>1512</v>
      </c>
      <c r="I203" s="1104" t="n">
        <f aca="false">'Смета Внутр'!H203</f>
        <v>0</v>
      </c>
      <c r="J203" s="1109" t="n">
        <f aca="false">'Смета Внутр'!I203</f>
        <v>0</v>
      </c>
    </row>
    <row r="204" customFormat="false" ht="15" hidden="true" customHeight="true" outlineLevel="0" collapsed="false">
      <c r="B204" s="1104" t="str">
        <f aca="false">'Смета Внутр'!B204</f>
        <v>трамбовка</v>
      </c>
      <c r="C204" s="1104" t="str">
        <f aca="false">'Смета Внутр'!C204</f>
        <v>м2</v>
      </c>
      <c r="D204" s="1109" t="n">
        <f aca="false">'Смета Внутр'!D204</f>
        <v>15.876</v>
      </c>
      <c r="E204" s="1104" t="n">
        <f aca="false">'Смета Внутр'!E204</f>
        <v>350</v>
      </c>
      <c r="F204" s="1104" t="n">
        <f aca="false">'Смета Внутр'!F204</f>
        <v>0</v>
      </c>
      <c r="G204" s="1104" t="n">
        <f aca="false">IF(E204&gt;F204,E204,F204)</f>
        <v>350</v>
      </c>
      <c r="H204" s="1104" t="n">
        <f aca="false">'Смета Внутр'!G204</f>
        <v>5556.6</v>
      </c>
      <c r="I204" s="1104" t="n">
        <f aca="false">'Смета Внутр'!H204</f>
        <v>0</v>
      </c>
      <c r="J204" s="1109" t="n">
        <f aca="false">'Смета Внутр'!I204</f>
        <v>0</v>
      </c>
    </row>
    <row r="205" customFormat="false" ht="15" hidden="true" customHeight="true" outlineLevel="0" collapsed="false">
      <c r="B205" s="1104" t="str">
        <f aca="false">'Смета Внутр'!B205</f>
        <v>приемка бетона</v>
      </c>
      <c r="C205" s="1104" t="str">
        <f aca="false">'Смета Внутр'!C205</f>
        <v>м3</v>
      </c>
      <c r="D205" s="1109" t="n">
        <f aca="false">'Смета Внутр'!D205</f>
        <v>9.072</v>
      </c>
      <c r="E205" s="1104" t="n">
        <f aca="false">'Смета Внутр'!E205</f>
        <v>1200</v>
      </c>
      <c r="F205" s="1104" t="n">
        <f aca="false">'Смета Внутр'!F205</f>
        <v>0</v>
      </c>
      <c r="G205" s="1104" t="n">
        <f aca="false">IF(E205&gt;F205,E205,F205)</f>
        <v>1200</v>
      </c>
      <c r="H205" s="1104" t="n">
        <f aca="false">'Смета Внутр'!G205</f>
        <v>10886.4</v>
      </c>
      <c r="I205" s="1104" t="n">
        <f aca="false">'Смета Внутр'!H205</f>
        <v>0</v>
      </c>
      <c r="J205" s="1109" t="n">
        <f aca="false">'Смета Внутр'!I205</f>
        <v>0</v>
      </c>
    </row>
    <row r="206" customFormat="false" ht="15" hidden="true" customHeight="true" outlineLevel="0" collapsed="false">
      <c r="B206" s="1104" t="str">
        <f aca="false">'Смета Внутр'!B206</f>
        <v>утепление фундамента</v>
      </c>
      <c r="C206" s="1104" t="str">
        <f aca="false">'Смета Внутр'!C206</f>
        <v>м2</v>
      </c>
      <c r="D206" s="1109" t="n">
        <f aca="false">'Смета Внутр'!D206</f>
        <v>0</v>
      </c>
      <c r="E206" s="1104" t="n">
        <f aca="false">'Смета Внутр'!E206</f>
        <v>200</v>
      </c>
      <c r="F206" s="1104" t="n">
        <f aca="false">'Смета Внутр'!F206</f>
        <v>0</v>
      </c>
      <c r="G206" s="1104" t="n">
        <f aca="false">IF(E206&gt;F206,E206,F206)</f>
        <v>200</v>
      </c>
      <c r="H206" s="1104" t="n">
        <f aca="false">'Смета Внутр'!G206</f>
        <v>0</v>
      </c>
      <c r="I206" s="1104" t="n">
        <f aca="false">'Смета Внутр'!H206</f>
        <v>0</v>
      </c>
      <c r="J206" s="1109" t="n">
        <f aca="false">'Смета Внутр'!I206</f>
        <v>0</v>
      </c>
    </row>
    <row r="207" customFormat="false" ht="15" hidden="true" customHeight="true" outlineLevel="0" collapsed="false">
      <c r="B207" s="1104" t="str">
        <f aca="false">'Смета Внутр'!B207</f>
        <v>утепление отмостки</v>
      </c>
      <c r="C207" s="1104" t="str">
        <f aca="false">'Смета Внутр'!C207</f>
        <v>м2</v>
      </c>
      <c r="D207" s="1109" t="n">
        <f aca="false">'Смета Внутр'!D207</f>
        <v>0</v>
      </c>
      <c r="E207" s="1104" t="n">
        <f aca="false">'Смета Внутр'!E207</f>
        <v>200</v>
      </c>
      <c r="F207" s="1104" t="n">
        <f aca="false">'Смета Внутр'!F207</f>
        <v>0</v>
      </c>
      <c r="G207" s="1104" t="n">
        <f aca="false">IF(E207&gt;F207,E207,F207)</f>
        <v>200</v>
      </c>
      <c r="H207" s="1104" t="n">
        <f aca="false">'Смета Внутр'!G207</f>
        <v>0</v>
      </c>
      <c r="I207" s="1104" t="n">
        <f aca="false">'Смета Внутр'!H207</f>
        <v>0</v>
      </c>
      <c r="J207" s="1109" t="n">
        <f aca="false">'Смета Внутр'!I207</f>
        <v>0</v>
      </c>
    </row>
    <row r="208" customFormat="false" ht="15" hidden="true" customHeight="true" outlineLevel="0" collapsed="false">
      <c r="B208" s="1104" t="str">
        <f aca="false">'Смета Внутр'!B208</f>
        <v>трамбовка пгс</v>
      </c>
      <c r="C208" s="1104" t="str">
        <f aca="false">'Смета Внутр'!C208</f>
        <v>м2</v>
      </c>
      <c r="D208" s="1109" t="n">
        <f aca="false">'Смета Внутр'!D208</f>
        <v>0</v>
      </c>
      <c r="E208" s="1104" t="n">
        <f aca="false">'Смета Внутр'!E208</f>
        <v>600</v>
      </c>
      <c r="F208" s="1104" t="n">
        <f aca="false">'Смета Внутр'!F208</f>
        <v>0</v>
      </c>
      <c r="G208" s="1104" t="n">
        <f aca="false">IF(E208&gt;F208,E208,F208)</f>
        <v>600</v>
      </c>
      <c r="H208" s="1104" t="n">
        <f aca="false">'Смета Внутр'!G208</f>
        <v>0</v>
      </c>
      <c r="I208" s="1104" t="n">
        <f aca="false">'Смета Внутр'!H208</f>
        <v>0</v>
      </c>
      <c r="J208" s="1109" t="n">
        <f aca="false">'Смета Внутр'!I208</f>
        <v>0</v>
      </c>
    </row>
    <row r="209" customFormat="false" ht="15" hidden="true" customHeight="true" outlineLevel="0" collapsed="false">
      <c r="B209" s="1104" t="str">
        <f aca="false">'Смета Внутр'!B209</f>
        <v>кладка сетки</v>
      </c>
      <c r="C209" s="1104" t="str">
        <f aca="false">'Смета Внутр'!C209</f>
        <v>м2</v>
      </c>
      <c r="D209" s="1109" t="n">
        <f aca="false">'Смета Внутр'!D209</f>
        <v>0</v>
      </c>
      <c r="E209" s="1104" t="n">
        <f aca="false">'Смета Внутр'!E209</f>
        <v>100</v>
      </c>
      <c r="F209" s="1104" t="n">
        <f aca="false">'Смета Внутр'!F209</f>
        <v>0</v>
      </c>
      <c r="G209" s="1104" t="n">
        <f aca="false">IF(E209&gt;F209,E209,F209)</f>
        <v>100</v>
      </c>
      <c r="H209" s="1104" t="n">
        <f aca="false">'Смета Внутр'!G209</f>
        <v>0</v>
      </c>
      <c r="I209" s="1104" t="n">
        <f aca="false">'Смета Внутр'!H209</f>
        <v>0</v>
      </c>
      <c r="J209" s="1109" t="n">
        <f aca="false">'Смета Внутр'!I209</f>
        <v>0</v>
      </c>
    </row>
    <row r="210" customFormat="false" ht="15" hidden="true" customHeight="true" outlineLevel="0" collapsed="false">
      <c r="B210" s="1104" t="str">
        <f aca="false">'Смета Внутр'!B210</f>
        <v>приемка бетона</v>
      </c>
      <c r="C210" s="1104" t="str">
        <f aca="false">'Смета Внутр'!C210</f>
        <v>м3</v>
      </c>
      <c r="D210" s="1109" t="n">
        <f aca="false">'Смета Внутр'!D210</f>
        <v>0</v>
      </c>
      <c r="E210" s="1104" t="n">
        <f aca="false">'Смета Внутр'!E210</f>
        <v>1200</v>
      </c>
      <c r="F210" s="1104" t="n">
        <f aca="false">'Смета Внутр'!F210</f>
        <v>0</v>
      </c>
      <c r="G210" s="1104" t="n">
        <f aca="false">IF(E210&gt;F210,E210,F210)</f>
        <v>1200</v>
      </c>
      <c r="H210" s="1104" t="n">
        <f aca="false">'Смета Внутр'!G210</f>
        <v>0</v>
      </c>
      <c r="I210" s="1104" t="n">
        <f aca="false">'Смета Внутр'!H210</f>
        <v>0</v>
      </c>
      <c r="J210" s="1109" t="n">
        <f aca="false">'Смета Внутр'!I210</f>
        <v>0</v>
      </c>
    </row>
    <row r="211" customFormat="false" ht="15" hidden="true" customHeight="true" outlineLevel="0" collapsed="false">
      <c r="B211" s="1108" t="str">
        <f aca="false">'Смета Внутр'!B211</f>
        <v>Итого работы</v>
      </c>
      <c r="C211" s="1108"/>
      <c r="D211" s="1108"/>
      <c r="E211" s="1108"/>
      <c r="F211" s="1108"/>
      <c r="G211" s="1108"/>
      <c r="H211" s="1104" t="n">
        <f aca="false">'Смета Внутр'!G211</f>
        <v>0</v>
      </c>
      <c r="I211" s="1104" t="n">
        <f aca="false">'Смета Внутр'!H211</f>
        <v>0</v>
      </c>
      <c r="J211" s="1109" t="n">
        <f aca="false">'Смета Внутр'!I211</f>
        <v>0</v>
      </c>
    </row>
    <row r="212" customFormat="false" ht="15" hidden="false" customHeight="true" outlineLevel="0" collapsed="false">
      <c r="B212" s="1111" t="str">
        <f aca="false">'Смета Внутр'!B212</f>
        <v>Свайноростверковый фундамент</v>
      </c>
      <c r="C212" s="1111"/>
      <c r="D212" s="1111"/>
      <c r="H212" s="118" t="n">
        <f aca="false">'Смета Внутр'!G212</f>
        <v>0</v>
      </c>
      <c r="I212" s="118" t="n">
        <f aca="false">'Смета Внутр'!H212</f>
        <v>1</v>
      </c>
      <c r="J212" s="1102" t="n">
        <f aca="false">'Смета Внутр'!I212</f>
        <v>1</v>
      </c>
    </row>
    <row r="213" customFormat="false" ht="15" hidden="false" customHeight="true" outlineLevel="0" collapsed="false">
      <c r="B213" s="118" t="str">
        <f aca="false">'Смета Внутр'!B213</f>
        <v>Материалы</v>
      </c>
      <c r="H213" s="118" t="n">
        <f aca="false">'Смета Внутр'!G213</f>
        <v>0</v>
      </c>
      <c r="I213" s="118" t="n">
        <f aca="false">'Смета Внутр'!H213</f>
        <v>1</v>
      </c>
      <c r="J213" s="1102" t="n">
        <f aca="false">'Смета Внутр'!I213</f>
        <v>1</v>
      </c>
    </row>
    <row r="214" customFormat="false" ht="15" hidden="false" customHeight="true" outlineLevel="0" collapsed="false">
      <c r="B214" s="1104" t="str">
        <f aca="false">'Смета Внутр'!B214</f>
        <v>Экскаватор погрузчик, бурение</v>
      </c>
      <c r="C214" s="1104" t="str">
        <f aca="false">'Смета Внутр'!C214</f>
        <v>шт</v>
      </c>
      <c r="D214" s="1109" t="n">
        <f aca="false">'Смета Внутр'!D214</f>
        <v>69.3</v>
      </c>
      <c r="E214" s="1104" t="n">
        <f aca="false">'Смета Внутр'!E214</f>
        <v>300</v>
      </c>
      <c r="F214" s="1104" t="n">
        <f aca="false">'Смета Внутр'!F214</f>
        <v>0</v>
      </c>
      <c r="G214" s="1104" t="n">
        <f aca="false">IF(E214&gt;F214,E214,F214)</f>
        <v>300</v>
      </c>
      <c r="H214" s="1104" t="n">
        <f aca="false">'Смета Внутр'!G214</f>
        <v>20790</v>
      </c>
      <c r="I214" s="1104" t="n">
        <f aca="false">'Смета Внутр'!H214</f>
        <v>20790</v>
      </c>
      <c r="J214" s="1109" t="n">
        <f aca="false">'Смета Внутр'!I214</f>
        <v>20790</v>
      </c>
    </row>
    <row r="215" customFormat="false" ht="15" hidden="false" customHeight="true" outlineLevel="0" collapsed="false">
      <c r="B215" s="1104" t="str">
        <f aca="false">'Смета Внутр'!B215</f>
        <v>Бетон, м300</v>
      </c>
      <c r="C215" s="1104" t="str">
        <f aca="false">'Смета Внутр'!C215</f>
        <v>м3</v>
      </c>
      <c r="D215" s="1109" t="n">
        <f aca="false">'Смета Внутр'!D215</f>
        <v>4.896045</v>
      </c>
      <c r="E215" s="1104" t="n">
        <f aca="false">'Смета Внутр'!E215</f>
        <v>3000</v>
      </c>
      <c r="F215" s="1104" t="n">
        <f aca="false">'Смета Внутр'!F215</f>
        <v>0</v>
      </c>
      <c r="G215" s="1104" t="n">
        <f aca="false">IF(E215&gt;F215,E215,F215)</f>
        <v>3000</v>
      </c>
      <c r="H215" s="1104" t="n">
        <f aca="false">'Смета Внутр'!G215</f>
        <v>14688.135</v>
      </c>
      <c r="I215" s="1104" t="n">
        <f aca="false">'Смета Внутр'!H215</f>
        <v>14688.135</v>
      </c>
      <c r="J215" s="1109" t="n">
        <f aca="false">'Смета Внутр'!I215</f>
        <v>14688.135</v>
      </c>
    </row>
    <row r="216" customFormat="false" ht="15" hidden="false" customHeight="true" outlineLevel="0" collapsed="false">
      <c r="B216" s="1104" t="str">
        <f aca="false">'Смета Внутр'!B216</f>
        <v>Арматурный скелет для свай</v>
      </c>
      <c r="C216" s="1104" t="str">
        <f aca="false">'Смета Внутр'!C216</f>
        <v>м.п.</v>
      </c>
      <c r="D216" s="1109" t="n">
        <f aca="false">'Смета Внутр'!D216</f>
        <v>228.69</v>
      </c>
      <c r="E216" s="1104" t="n">
        <f aca="false">'Смета Внутр'!E216</f>
        <v>500</v>
      </c>
      <c r="F216" s="1104" t="n">
        <f aca="false">'Смета Внутр'!F216</f>
        <v>0</v>
      </c>
      <c r="G216" s="1104" t="n">
        <f aca="false">IF(E216&gt;F216,E216,F216)</f>
        <v>500</v>
      </c>
      <c r="H216" s="1104" t="n">
        <f aca="false">'Смета Внутр'!G216</f>
        <v>114345</v>
      </c>
      <c r="I216" s="1104" t="n">
        <f aca="false">'Смета Внутр'!H216</f>
        <v>114345</v>
      </c>
      <c r="J216" s="1109" t="n">
        <f aca="false">'Смета Внутр'!I216</f>
        <v>114345</v>
      </c>
    </row>
    <row r="217" customFormat="false" ht="15" hidden="false" customHeight="true" outlineLevel="0" collapsed="false">
      <c r="B217" s="1104" t="str">
        <f aca="false">'Смета Внутр'!B217</f>
        <v>Сосна влаж,150*40мм</v>
      </c>
      <c r="C217" s="1104" t="str">
        <f aca="false">'Смета Внутр'!C217</f>
        <v>м3</v>
      </c>
      <c r="D217" s="1109" t="n">
        <f aca="false">'Смета Внутр'!D217</f>
        <v>3.29472</v>
      </c>
      <c r="E217" s="1104" t="n">
        <f aca="false">'Смета Внутр'!E217</f>
        <v>6500</v>
      </c>
      <c r="F217" s="1104" t="n">
        <f aca="false">'Смета Внутр'!F217</f>
        <v>0</v>
      </c>
      <c r="G217" s="1104" t="n">
        <f aca="false">IF(E217&gt;F217,E217,F217)</f>
        <v>6500</v>
      </c>
      <c r="H217" s="1104" t="n">
        <f aca="false">'Смета Внутр'!G217</f>
        <v>21415.68</v>
      </c>
      <c r="I217" s="1104" t="n">
        <f aca="false">'Смета Внутр'!H217</f>
        <v>21415.68</v>
      </c>
      <c r="J217" s="1109" t="n">
        <f aca="false">'Смета Внутр'!I217</f>
        <v>21415.68</v>
      </c>
    </row>
    <row r="218" customFormat="false" ht="15" hidden="false" customHeight="true" outlineLevel="0" collapsed="false">
      <c r="B218" s="1104" t="str">
        <f aca="false">'Смета Внутр'!B218</f>
        <v>Пленка гидроизоляционная </v>
      </c>
      <c r="C218" s="1104" t="str">
        <f aca="false">'Смета Внутр'!C218</f>
        <v>м2</v>
      </c>
      <c r="D218" s="1109" t="n">
        <f aca="false">'Смета Внутр'!D218</f>
        <v>82.368</v>
      </c>
      <c r="E218" s="1104" t="n">
        <f aca="false">'Смета Внутр'!E218</f>
        <v>15</v>
      </c>
      <c r="F218" s="1104" t="n">
        <f aca="false">'Смета Внутр'!F218</f>
        <v>0</v>
      </c>
      <c r="G218" s="1104" t="n">
        <f aca="false">IF(E218&gt;F218,E218,F218)</f>
        <v>15</v>
      </c>
      <c r="H218" s="1104" t="n">
        <f aca="false">'Смета Внутр'!G218</f>
        <v>1235.52</v>
      </c>
      <c r="I218" s="1104" t="n">
        <f aca="false">'Смета Внутр'!H218</f>
        <v>1235.52</v>
      </c>
      <c r="J218" s="1109" t="n">
        <f aca="false">'Смета Внутр'!I218</f>
        <v>1235.52</v>
      </c>
    </row>
    <row r="219" customFormat="false" ht="15" hidden="false" customHeight="true" outlineLevel="0" collapsed="false">
      <c r="B219" s="1104" t="str">
        <f aca="false">'Смета Внутр'!B219</f>
        <v>Арматура стальная Ø 8</v>
      </c>
      <c r="C219" s="1104" t="str">
        <f aca="false">'Смета Внутр'!C219</f>
        <v>м.п</v>
      </c>
      <c r="D219" s="1109" t="n">
        <f aca="false">'Смета Внутр'!D219</f>
        <v>380.16</v>
      </c>
      <c r="E219" s="1104" t="n">
        <f aca="false">'Смета Внутр'!E219</f>
        <v>16.037</v>
      </c>
      <c r="F219" s="1104" t="n">
        <f aca="false">'Смета Внутр'!F219</f>
        <v>0</v>
      </c>
      <c r="G219" s="1104" t="n">
        <f aca="false">IF(E219&gt;F219,E219,F219)</f>
        <v>16.037</v>
      </c>
      <c r="H219" s="1104" t="n">
        <f aca="false">'Смета Внутр'!G219</f>
        <v>6096.62592</v>
      </c>
      <c r="I219" s="1104" t="n">
        <f aca="false">'Смета Внутр'!H219</f>
        <v>6096.62592</v>
      </c>
      <c r="J219" s="1109" t="n">
        <f aca="false">'Смета Внутр'!I219</f>
        <v>6096.62592</v>
      </c>
    </row>
    <row r="220" customFormat="false" ht="15" hidden="false" customHeight="true" outlineLevel="0" collapsed="false">
      <c r="B220" s="1104" t="str">
        <f aca="false">'Смета Внутр'!B220</f>
        <v>Арматура стальная Ø 6</v>
      </c>
      <c r="C220" s="1104" t="str">
        <f aca="false">'Смета Внутр'!C220</f>
        <v>м.п</v>
      </c>
      <c r="D220" s="1109" t="n">
        <f aca="false">'Смета Внутр'!D220</f>
        <v>261.36</v>
      </c>
      <c r="E220" s="1104" t="n">
        <f aca="false">'Смета Внутр'!E220</f>
        <v>9.0132</v>
      </c>
      <c r="F220" s="1104" t="n">
        <f aca="false">'Смета Внутр'!F220</f>
        <v>0</v>
      </c>
      <c r="G220" s="1104" t="n">
        <f aca="false">IF(E220&gt;F220,E220,F220)</f>
        <v>9.0132</v>
      </c>
      <c r="H220" s="1104" t="n">
        <f aca="false">'Смета Внутр'!G220</f>
        <v>2355.689952</v>
      </c>
      <c r="I220" s="1104" t="n">
        <f aca="false">'Смета Внутр'!H220</f>
        <v>2355.689952</v>
      </c>
      <c r="J220" s="1109" t="n">
        <f aca="false">'Смета Внутр'!I220</f>
        <v>2355.689952</v>
      </c>
    </row>
    <row r="221" customFormat="false" ht="15" hidden="false" customHeight="true" outlineLevel="0" collapsed="false">
      <c r="B221" s="1104" t="str">
        <f aca="false">'Смета Внутр'!B221</f>
        <v>Вязальная проволока</v>
      </c>
      <c r="C221" s="1104" t="str">
        <f aca="false">'Смета Внутр'!C221</f>
        <v>кг</v>
      </c>
      <c r="D221" s="1109" t="n">
        <f aca="false">'Смета Внутр'!D221</f>
        <v>14.11344</v>
      </c>
      <c r="E221" s="1104" t="n">
        <f aca="false">'Смета Внутр'!E221</f>
        <v>80</v>
      </c>
      <c r="F221" s="1104" t="n">
        <f aca="false">'Смета Внутр'!F221</f>
        <v>0</v>
      </c>
      <c r="G221" s="1104" t="n">
        <f aca="false">IF(E221&gt;F221,E221,F221)</f>
        <v>80</v>
      </c>
      <c r="H221" s="1104" t="n">
        <f aca="false">'Смета Внутр'!G221</f>
        <v>1129.0752</v>
      </c>
      <c r="I221" s="1104" t="n">
        <f aca="false">'Смета Внутр'!H221</f>
        <v>1129.0752</v>
      </c>
      <c r="J221" s="1109" t="n">
        <f aca="false">'Смета Внутр'!I221</f>
        <v>1129.0752</v>
      </c>
    </row>
    <row r="222" customFormat="false" ht="15" hidden="false" customHeight="true" outlineLevel="0" collapsed="false">
      <c r="B222" s="1104" t="str">
        <f aca="false">'Смета Внутр'!B222</f>
        <v>Гвозди строительные 3,5 x 90            </v>
      </c>
      <c r="C222" s="1104" t="str">
        <f aca="false">'Смета Внутр'!C222</f>
        <v>кг</v>
      </c>
      <c r="D222" s="1109" t="n">
        <f aca="false">'Смета Внутр'!D222</f>
        <v>18.12096</v>
      </c>
      <c r="E222" s="1104" t="n">
        <f aca="false">'Смета Внутр'!E222</f>
        <v>70</v>
      </c>
      <c r="F222" s="1104" t="n">
        <f aca="false">'Смета Внутр'!F222</f>
        <v>0</v>
      </c>
      <c r="G222" s="1104" t="n">
        <f aca="false">IF(E222&gt;F222,E222,F222)</f>
        <v>70</v>
      </c>
      <c r="H222" s="1104" t="n">
        <f aca="false">'Смета Внутр'!G222</f>
        <v>1268.4672</v>
      </c>
      <c r="I222" s="1104" t="n">
        <f aca="false">'Смета Внутр'!H222</f>
        <v>1268.4672</v>
      </c>
      <c r="J222" s="1109" t="n">
        <f aca="false">'Смета Внутр'!I222</f>
        <v>1268.4672</v>
      </c>
    </row>
    <row r="223" customFormat="false" ht="15" hidden="false" customHeight="true" outlineLevel="0" collapsed="false">
      <c r="B223" s="1104" t="str">
        <f aca="false">'Смета Внутр'!B223</f>
        <v>Гидроизол</v>
      </c>
      <c r="C223" s="1104" t="str">
        <f aca="false">'Смета Внутр'!C223</f>
        <v>м2</v>
      </c>
      <c r="D223" s="1109" t="n">
        <f aca="false">'Смета Внутр'!D223</f>
        <v>15.84</v>
      </c>
      <c r="E223" s="1104" t="n">
        <f aca="false">'Смета Внутр'!E223</f>
        <v>70</v>
      </c>
      <c r="F223" s="1104" t="n">
        <f aca="false">'Смета Внутр'!F223</f>
        <v>0</v>
      </c>
      <c r="G223" s="1104" t="n">
        <f aca="false">IF(E223&gt;F223,E223,F223)</f>
        <v>70</v>
      </c>
      <c r="H223" s="1104" t="n">
        <f aca="false">'Смета Внутр'!G223</f>
        <v>1108.8</v>
      </c>
      <c r="I223" s="1104" t="n">
        <f aca="false">'Смета Внутр'!H223</f>
        <v>1108.8</v>
      </c>
      <c r="J223" s="1109" t="n">
        <f aca="false">'Смета Внутр'!I223</f>
        <v>1108.8</v>
      </c>
    </row>
    <row r="224" customFormat="false" ht="15" hidden="false" customHeight="true" outlineLevel="0" collapsed="false">
      <c r="B224" s="1104" t="str">
        <f aca="false">'Смета Внутр'!B224</f>
        <v>ПГС, машина 13м3</v>
      </c>
      <c r="C224" s="1104" t="str">
        <f aca="false">'Смета Внутр'!C224</f>
        <v>маш</v>
      </c>
      <c r="D224" s="1109" t="n">
        <f aca="false">'Смета Внутр'!D224</f>
        <v>0.528</v>
      </c>
      <c r="E224" s="1104" t="n">
        <f aca="false">'Смета Внутр'!E224</f>
        <v>10000</v>
      </c>
      <c r="F224" s="1104" t="n">
        <f aca="false">'Смета Внутр'!F224</f>
        <v>0</v>
      </c>
      <c r="G224" s="1104" t="n">
        <f aca="false">IF(E224&gt;F224,E224,F224)</f>
        <v>10000</v>
      </c>
      <c r="H224" s="1104" t="n">
        <f aca="false">'Смета Внутр'!G224</f>
        <v>5280</v>
      </c>
      <c r="I224" s="1104" t="n">
        <f aca="false">'Смета Внутр'!H224</f>
        <v>5280</v>
      </c>
      <c r="J224" s="1109" t="n">
        <f aca="false">'Смета Внутр'!I224</f>
        <v>5280</v>
      </c>
    </row>
    <row r="225" customFormat="false" ht="15" hidden="false" customHeight="true" outlineLevel="0" collapsed="false">
      <c r="B225" s="1104" t="str">
        <f aca="false">'Смета Внутр'!B225</f>
        <v>Бетон, м250</v>
      </c>
      <c r="C225" s="1104" t="str">
        <f aca="false">'Смета Внутр'!C225</f>
        <v>м3</v>
      </c>
      <c r="D225" s="1109" t="n">
        <f aca="false">'Смета Внутр'!D225</f>
        <v>9.504</v>
      </c>
      <c r="E225" s="1104" t="n">
        <f aca="false">'Смета Внутр'!E225</f>
        <v>2750</v>
      </c>
      <c r="F225" s="1104" t="n">
        <f aca="false">'Смета Внутр'!F225</f>
        <v>0</v>
      </c>
      <c r="G225" s="1104" t="n">
        <f aca="false">IF(E225&gt;F225,E225,F225)</f>
        <v>2750</v>
      </c>
      <c r="H225" s="1104" t="n">
        <f aca="false">'Смета Внутр'!G225</f>
        <v>26136</v>
      </c>
      <c r="I225" s="1104" t="n">
        <f aca="false">'Смета Внутр'!H225</f>
        <v>26136</v>
      </c>
      <c r="J225" s="1109" t="n">
        <f aca="false">'Смета Внутр'!I225</f>
        <v>26136</v>
      </c>
    </row>
    <row r="226" customFormat="false" ht="15" hidden="true" customHeight="true" outlineLevel="0" collapsed="false">
      <c r="B226" s="1104" t="str">
        <f aca="false">'Смета Внутр'!B226</f>
        <v>Нет</v>
      </c>
      <c r="C226" s="1104" t="str">
        <f aca="false">'Смета Внутр'!C226</f>
        <v>м3</v>
      </c>
      <c r="D226" s="1109" t="n">
        <f aca="false">'Смета Внутр'!D226</f>
        <v>0</v>
      </c>
      <c r="E226" s="1104" t="n">
        <f aca="false">'Смета Внутр'!E226</f>
        <v>0</v>
      </c>
      <c r="F226" s="1104" t="n">
        <f aca="false">'Смета Внутр'!F226</f>
        <v>0</v>
      </c>
      <c r="G226" s="1104" t="n">
        <f aca="false">IF(E226&gt;F226,E226,F226)</f>
        <v>0</v>
      </c>
      <c r="H226" s="1104" t="n">
        <f aca="false">'Смета Внутр'!G226</f>
        <v>0</v>
      </c>
      <c r="I226" s="1104" t="n">
        <f aca="false">'Смета Внутр'!H226</f>
        <v>0</v>
      </c>
      <c r="J226" s="1109" t="n">
        <f aca="false">'Смета Внутр'!I226</f>
        <v>0</v>
      </c>
    </row>
    <row r="227" customFormat="false" ht="15" hidden="true" customHeight="true" outlineLevel="0" collapsed="false">
      <c r="B227" s="1104" t="str">
        <f aca="false">'Смета Внутр'!B227</f>
        <v>Грибок для крепления утеплителя</v>
      </c>
      <c r="C227" s="1104" t="str">
        <f aca="false">'Смета Внутр'!C227</f>
        <v>шт</v>
      </c>
      <c r="D227" s="1109" t="n">
        <f aca="false">'Смета Внутр'!D227</f>
        <v>0</v>
      </c>
      <c r="E227" s="1104" t="n">
        <f aca="false">'Смета Внутр'!E227</f>
        <v>15</v>
      </c>
      <c r="F227" s="1104" t="n">
        <f aca="false">'Смета Внутр'!F227</f>
        <v>0</v>
      </c>
      <c r="G227" s="1104" t="n">
        <f aca="false">IF(E227&gt;F227,E227,F227)</f>
        <v>15</v>
      </c>
      <c r="H227" s="1104" t="n">
        <f aca="false">'Смета Внутр'!G227</f>
        <v>0</v>
      </c>
      <c r="I227" s="1104" t="n">
        <f aca="false">'Смета Внутр'!H227</f>
        <v>0</v>
      </c>
      <c r="J227" s="1109" t="n">
        <f aca="false">'Смета Внутр'!I227</f>
        <v>0</v>
      </c>
    </row>
    <row r="228" customFormat="false" ht="15" hidden="true" customHeight="true" outlineLevel="0" collapsed="false">
      <c r="B228" s="1104" t="str">
        <f aca="false">'Смета Внутр'!B228</f>
        <v>Нет</v>
      </c>
      <c r="C228" s="1104" t="str">
        <f aca="false">'Смета Внутр'!C228</f>
        <v>м3</v>
      </c>
      <c r="D228" s="1109" t="n">
        <f aca="false">'Смета Внутр'!D228</f>
        <v>0</v>
      </c>
      <c r="E228" s="1104" t="n">
        <f aca="false">'Смета Внутр'!E228</f>
        <v>0</v>
      </c>
      <c r="F228" s="1104" t="n">
        <f aca="false">'Смета Внутр'!F228</f>
        <v>0</v>
      </c>
      <c r="G228" s="1104" t="n">
        <f aca="false">IF(E228&gt;F228,E228,F228)</f>
        <v>0</v>
      </c>
      <c r="H228" s="1104" t="n">
        <f aca="false">'Смета Внутр'!G228</f>
        <v>0</v>
      </c>
      <c r="I228" s="1104" t="n">
        <f aca="false">'Смета Внутр'!H228</f>
        <v>0</v>
      </c>
      <c r="J228" s="1109" t="n">
        <f aca="false">'Смета Внутр'!I228</f>
        <v>0</v>
      </c>
    </row>
    <row r="229" customFormat="false" ht="15" hidden="true" customHeight="true" outlineLevel="0" collapsed="false">
      <c r="B229" s="1104" t="str">
        <f aca="false">'Смета Внутр'!B229</f>
        <v>ПГС, машина 5м3</v>
      </c>
      <c r="C229" s="1104" t="str">
        <f aca="false">'Смета Внутр'!C229</f>
        <v>маш</v>
      </c>
      <c r="D229" s="1109" t="n">
        <f aca="false">'Смета Внутр'!D229</f>
        <v>0</v>
      </c>
      <c r="E229" s="1104" t="n">
        <f aca="false">'Смета Внутр'!E229</f>
        <v>6000</v>
      </c>
      <c r="F229" s="1104" t="n">
        <f aca="false">'Смета Внутр'!F229</f>
        <v>0</v>
      </c>
      <c r="G229" s="1104" t="n">
        <f aca="false">IF(E229&gt;F229,E229,F229)</f>
        <v>6000</v>
      </c>
      <c r="H229" s="1104" t="n">
        <f aca="false">'Смета Внутр'!G229</f>
        <v>0</v>
      </c>
      <c r="I229" s="1104" t="n">
        <f aca="false">'Смета Внутр'!H229</f>
        <v>0</v>
      </c>
      <c r="J229" s="1109" t="n">
        <f aca="false">'Смета Внутр'!I229</f>
        <v>0</v>
      </c>
    </row>
    <row r="230" customFormat="false" ht="15" hidden="true" customHeight="true" outlineLevel="0" collapsed="false">
      <c r="B230" s="1104" t="str">
        <f aca="false">'Смета Внутр'!B230</f>
        <v>Кладочная сетка, 100*100/150*150/200*200мм</v>
      </c>
      <c r="C230" s="1104" t="str">
        <f aca="false">'Смета Внутр'!C230</f>
        <v>м2</v>
      </c>
      <c r="D230" s="1109" t="n">
        <f aca="false">'Смета Внутр'!D230</f>
        <v>0</v>
      </c>
      <c r="E230" s="1104" t="n">
        <f aca="false">'Смета Внутр'!E230</f>
        <v>70</v>
      </c>
      <c r="F230" s="1104" t="n">
        <f aca="false">'Смета Внутр'!F230</f>
        <v>0</v>
      </c>
      <c r="G230" s="1104" t="n">
        <f aca="false">IF(E230&gt;F230,E230,F230)</f>
        <v>70</v>
      </c>
      <c r="H230" s="1104" t="n">
        <f aca="false">'Смета Внутр'!G230</f>
        <v>0</v>
      </c>
      <c r="I230" s="1104" t="n">
        <f aca="false">'Смета Внутр'!H230</f>
        <v>0</v>
      </c>
      <c r="J230" s="1109" t="n">
        <f aca="false">'Смета Внутр'!I230</f>
        <v>0</v>
      </c>
    </row>
    <row r="231" customFormat="false" ht="15" hidden="true" customHeight="true" outlineLevel="0" collapsed="false">
      <c r="B231" s="1104" t="str">
        <f aca="false">'Смета Внутр'!B231</f>
        <v>Бетон, м200</v>
      </c>
      <c r="C231" s="1104" t="str">
        <f aca="false">'Смета Внутр'!C231</f>
        <v>м3</v>
      </c>
      <c r="D231" s="1109" t="n">
        <f aca="false">'Смета Внутр'!D231</f>
        <v>0</v>
      </c>
      <c r="E231" s="1104" t="n">
        <f aca="false">'Смета Внутр'!E231</f>
        <v>2500</v>
      </c>
      <c r="F231" s="1104" t="n">
        <f aca="false">'Смета Внутр'!F231</f>
        <v>0</v>
      </c>
      <c r="G231" s="1104" t="n">
        <f aca="false">IF(E231&gt;F231,E231,F231)</f>
        <v>2500</v>
      </c>
      <c r="H231" s="1104" t="n">
        <f aca="false">'Смета Внутр'!G231</f>
        <v>0</v>
      </c>
      <c r="I231" s="1104" t="n">
        <f aca="false">'Смета Внутр'!H231</f>
        <v>0</v>
      </c>
      <c r="J231" s="1109" t="n">
        <f aca="false">'Смета Внутр'!I231</f>
        <v>0</v>
      </c>
    </row>
    <row r="232" customFormat="false" ht="15" hidden="false" customHeight="false" outlineLevel="0" collapsed="false">
      <c r="B232" s="1108" t="str">
        <f aca="false">'Смета Внутр'!B232</f>
        <v>Итого материалы</v>
      </c>
      <c r="C232" s="1108"/>
      <c r="D232" s="1108"/>
      <c r="E232" s="1108"/>
      <c r="F232" s="1108"/>
      <c r="G232" s="1108"/>
      <c r="H232" s="1104" t="n">
        <f aca="false">'Смета Внутр'!G232</f>
        <v>215848.993272</v>
      </c>
      <c r="I232" s="1104" t="n">
        <f aca="false">'Смета Внутр'!H232</f>
        <v>215848.993272</v>
      </c>
      <c r="J232" s="1109" t="n">
        <f aca="false">'Смета Внутр'!I232</f>
        <v>215848.993272</v>
      </c>
    </row>
    <row r="233" customFormat="false" ht="15" hidden="false" customHeight="true" outlineLevel="0" collapsed="false">
      <c r="B233" s="118" t="str">
        <f aca="false">'Смета Внутр'!B233</f>
        <v>Работы</v>
      </c>
      <c r="H233" s="118" t="n">
        <f aca="false">'Смета Внутр'!G233</f>
        <v>0</v>
      </c>
      <c r="I233" s="118" t="n">
        <f aca="false">'Смета Внутр'!H233</f>
        <v>1</v>
      </c>
      <c r="J233" s="1102" t="n">
        <f aca="false">'Смета Внутр'!I233</f>
        <v>1</v>
      </c>
    </row>
    <row r="234" customFormat="false" ht="15" hidden="false" customHeight="true" outlineLevel="0" collapsed="false">
      <c r="B234" s="1104" t="str">
        <f aca="false">'Смета Внутр'!B234</f>
        <v>приемка бетона</v>
      </c>
      <c r="C234" s="1104" t="str">
        <f aca="false">'Смета Внутр'!C234</f>
        <v>м3</v>
      </c>
      <c r="D234" s="1109" t="n">
        <f aca="false">'Смета Внутр'!D234</f>
        <v>4.6734975</v>
      </c>
      <c r="E234" s="1104" t="n">
        <f aca="false">'Смета Внутр'!E234</f>
        <v>1200</v>
      </c>
      <c r="F234" s="1104" t="n">
        <f aca="false">'Смета Внутр'!F234</f>
        <v>0</v>
      </c>
      <c r="G234" s="1104" t="n">
        <f aca="false">IF(E234&gt;F234,E234,F234)</f>
        <v>1200</v>
      </c>
      <c r="H234" s="1104" t="n">
        <f aca="false">'Смета Внутр'!G234</f>
        <v>5608.197</v>
      </c>
      <c r="I234" s="1104" t="n">
        <f aca="false">'Смета Внутр'!H234</f>
        <v>5608.197</v>
      </c>
      <c r="J234" s="1109" t="n">
        <f aca="false">'Смета Внутр'!I234</f>
        <v>5608.197</v>
      </c>
    </row>
    <row r="235" customFormat="false" ht="15" hidden="false" customHeight="true" outlineLevel="0" collapsed="false">
      <c r="B235" s="1104" t="str">
        <f aca="false">'Смета Внутр'!B235</f>
        <v>армирование свай скелет из арматуры</v>
      </c>
      <c r="C235" s="1104" t="str">
        <f aca="false">'Смета Внутр'!C235</f>
        <v>м.п.</v>
      </c>
      <c r="D235" s="1109" t="n">
        <f aca="false">'Смета Внутр'!D235</f>
        <v>66.15</v>
      </c>
      <c r="E235" s="1104" t="n">
        <f aca="false">'Смета Внутр'!E235</f>
        <v>500</v>
      </c>
      <c r="F235" s="1104" t="n">
        <f aca="false">'Смета Внутр'!F235</f>
        <v>0</v>
      </c>
      <c r="G235" s="1104" t="n">
        <f aca="false">IF(E235&gt;F235,E235,F235)</f>
        <v>500</v>
      </c>
      <c r="H235" s="1104" t="n">
        <f aca="false">'Смета Внутр'!G235</f>
        <v>33075</v>
      </c>
      <c r="I235" s="1104" t="n">
        <f aca="false">'Смета Внутр'!H235</f>
        <v>33075</v>
      </c>
      <c r="J235" s="1109" t="n">
        <f aca="false">'Смета Внутр'!I235</f>
        <v>33075</v>
      </c>
    </row>
    <row r="236" customFormat="false" ht="15" hidden="false" customHeight="true" outlineLevel="0" collapsed="false">
      <c r="B236" s="1104" t="str">
        <f aca="false">'Смета Внутр'!B236</f>
        <v>разбивка осей</v>
      </c>
      <c r="C236" s="1104" t="str">
        <f aca="false">'Смета Внутр'!C236</f>
        <v>шт</v>
      </c>
      <c r="D236" s="1109" t="n">
        <f aca="false">'Смета Внутр'!D236</f>
        <v>1.05</v>
      </c>
      <c r="E236" s="1104" t="n">
        <f aca="false">'Смета Внутр'!E236</f>
        <v>7000</v>
      </c>
      <c r="F236" s="1104" t="n">
        <f aca="false">'Смета Внутр'!F236</f>
        <v>0</v>
      </c>
      <c r="G236" s="1104" t="n">
        <f aca="false">IF(E236&gt;F236,E236,F236)</f>
        <v>7000</v>
      </c>
      <c r="H236" s="1104" t="n">
        <f aca="false">'Смета Внутр'!G236</f>
        <v>7350</v>
      </c>
      <c r="I236" s="1104" t="n">
        <f aca="false">'Смета Внутр'!H236</f>
        <v>7350</v>
      </c>
      <c r="J236" s="1109" t="n">
        <f aca="false">'Смета Внутр'!I236</f>
        <v>7350</v>
      </c>
    </row>
    <row r="237" customFormat="false" ht="15" hidden="false" customHeight="true" outlineLevel="0" collapsed="false">
      <c r="B237" s="1104" t="str">
        <f aca="false">'Смета Внутр'!B237</f>
        <v>сборка опалубки</v>
      </c>
      <c r="C237" s="1104" t="str">
        <f aca="false">'Смета Внутр'!C237</f>
        <v>м2</v>
      </c>
      <c r="D237" s="1109" t="n">
        <f aca="false">'Смета Внутр'!D237</f>
        <v>60.48</v>
      </c>
      <c r="E237" s="1104" t="n">
        <f aca="false">'Смета Внутр'!E237</f>
        <v>300</v>
      </c>
      <c r="F237" s="1104" t="n">
        <f aca="false">'Смета Внутр'!F237</f>
        <v>0</v>
      </c>
      <c r="G237" s="1104" t="n">
        <f aca="false">IF(E237&gt;F237,E237,F237)</f>
        <v>300</v>
      </c>
      <c r="H237" s="1104" t="n">
        <f aca="false">'Смета Внутр'!G237</f>
        <v>18144</v>
      </c>
      <c r="I237" s="1104" t="n">
        <f aca="false">'Смета Внутр'!H237</f>
        <v>18144</v>
      </c>
      <c r="J237" s="1109" t="n">
        <f aca="false">'Смета Внутр'!I237</f>
        <v>18144</v>
      </c>
    </row>
    <row r="238" customFormat="false" ht="15" hidden="false" customHeight="true" outlineLevel="0" collapsed="false">
      <c r="B238" s="1104" t="str">
        <f aca="false">'Смета Внутр'!B238</f>
        <v>разборка опалубки</v>
      </c>
      <c r="C238" s="1104" t="str">
        <f aca="false">'Смета Внутр'!C238</f>
        <v>м2</v>
      </c>
      <c r="D238" s="1109" t="n">
        <f aca="false">'Смета Внутр'!D238</f>
        <v>63.504</v>
      </c>
      <c r="E238" s="1104" t="n">
        <f aca="false">'Смета Внутр'!E238</f>
        <v>100</v>
      </c>
      <c r="F238" s="1104" t="n">
        <f aca="false">'Смета Внутр'!F238</f>
        <v>0</v>
      </c>
      <c r="G238" s="1104" t="n">
        <f aca="false">IF(E238&gt;F238,E238,F238)</f>
        <v>100</v>
      </c>
      <c r="H238" s="1104" t="n">
        <f aca="false">'Смета Внутр'!G238</f>
        <v>6350.4</v>
      </c>
      <c r="I238" s="1104" t="n">
        <f aca="false">'Смета Внутр'!H238</f>
        <v>6350.4</v>
      </c>
      <c r="J238" s="1109" t="n">
        <f aca="false">'Смета Внутр'!I238</f>
        <v>6350.4</v>
      </c>
    </row>
    <row r="239" customFormat="false" ht="15" hidden="false" customHeight="true" outlineLevel="0" collapsed="false">
      <c r="B239" s="1104" t="str">
        <f aca="false">'Смета Внутр'!B239</f>
        <v>настил пленки</v>
      </c>
      <c r="C239" s="1104" t="str">
        <f aca="false">'Смета Внутр'!C239</f>
        <v>м2</v>
      </c>
      <c r="D239" s="1109" t="n">
        <f aca="false">'Смета Внутр'!D239</f>
        <v>66.6792</v>
      </c>
      <c r="E239" s="1104" t="n">
        <f aca="false">'Смета Внутр'!E239</f>
        <v>10</v>
      </c>
      <c r="F239" s="1104" t="n">
        <f aca="false">'Смета Внутр'!F239</f>
        <v>0</v>
      </c>
      <c r="G239" s="1104" t="n">
        <f aca="false">IF(E239&gt;F239,E239,F239)</f>
        <v>10</v>
      </c>
      <c r="H239" s="1104" t="n">
        <f aca="false">'Смета Внутр'!G239</f>
        <v>666.792</v>
      </c>
      <c r="I239" s="1104" t="n">
        <f aca="false">'Смета Внутр'!H239</f>
        <v>666.792</v>
      </c>
      <c r="J239" s="1109" t="n">
        <f aca="false">'Смета Внутр'!I239</f>
        <v>666.792</v>
      </c>
    </row>
    <row r="240" customFormat="false" ht="15" hidden="false" customHeight="true" outlineLevel="0" collapsed="false">
      <c r="B240" s="1104" t="str">
        <f aca="false">'Смета Внутр'!B240</f>
        <v>армирование</v>
      </c>
      <c r="C240" s="1104" t="str">
        <f aca="false">'Смета Внутр'!C240</f>
        <v>м.п</v>
      </c>
      <c r="D240" s="1109" t="n">
        <f aca="false">'Смета Внутр'!D240</f>
        <v>362.88</v>
      </c>
      <c r="E240" s="1104" t="n">
        <f aca="false">'Смета Внутр'!E240</f>
        <v>30</v>
      </c>
      <c r="F240" s="1104" t="n">
        <f aca="false">'Смета Внутр'!F240</f>
        <v>0</v>
      </c>
      <c r="G240" s="1104" t="n">
        <f aca="false">IF(E240&gt;F240,E240,F240)</f>
        <v>30</v>
      </c>
      <c r="H240" s="1104" t="n">
        <f aca="false">'Смета Внутр'!G240</f>
        <v>10886.4</v>
      </c>
      <c r="I240" s="1104" t="n">
        <f aca="false">'Смета Внутр'!H240</f>
        <v>10886.4</v>
      </c>
      <c r="J240" s="1109" t="n">
        <f aca="false">'Смета Внутр'!I240</f>
        <v>10886.4</v>
      </c>
    </row>
    <row r="241" customFormat="false" ht="15" hidden="false" customHeight="true" outlineLevel="0" collapsed="false">
      <c r="B241" s="1104" t="str">
        <f aca="false">'Смета Внутр'!B241</f>
        <v>армирование</v>
      </c>
      <c r="C241" s="1104" t="str">
        <f aca="false">'Смета Внутр'!C241</f>
        <v>м.п.</v>
      </c>
      <c r="D241" s="1109" t="n">
        <f aca="false">'Смета Внутр'!D241</f>
        <v>166.32</v>
      </c>
      <c r="E241" s="1104" t="n">
        <f aca="false">'Смета Внутр'!E241</f>
        <v>30</v>
      </c>
      <c r="F241" s="1104" t="n">
        <f aca="false">'Смета Внутр'!F241</f>
        <v>0</v>
      </c>
      <c r="G241" s="1104" t="n">
        <f aca="false">IF(E241&gt;F241,E241,F241)</f>
        <v>30</v>
      </c>
      <c r="H241" s="1104" t="n">
        <f aca="false">'Смета Внутр'!G241</f>
        <v>4989.6</v>
      </c>
      <c r="I241" s="1104" t="n">
        <f aca="false">'Смета Внутр'!H241</f>
        <v>4989.6</v>
      </c>
      <c r="J241" s="1109" t="n">
        <f aca="false">'Смета Внутр'!I241</f>
        <v>4989.6</v>
      </c>
    </row>
    <row r="242" customFormat="false" ht="15" hidden="false" customHeight="true" outlineLevel="0" collapsed="false">
      <c r="B242" s="1104" t="str">
        <f aca="false">'Смета Внутр'!B242</f>
        <v>настил гидроизола</v>
      </c>
      <c r="C242" s="1104" t="str">
        <f aca="false">'Смета Внутр'!C242</f>
        <v>м2</v>
      </c>
      <c r="D242" s="1109" t="n">
        <f aca="false">'Смета Внутр'!D242</f>
        <v>15.12</v>
      </c>
      <c r="E242" s="1104" t="n">
        <f aca="false">'Смета Внутр'!E242</f>
        <v>100</v>
      </c>
      <c r="F242" s="1104" t="n">
        <f aca="false">'Смета Внутр'!F242</f>
        <v>0</v>
      </c>
      <c r="G242" s="1104" t="n">
        <f aca="false">IF(E242&gt;F242,E242,F242)</f>
        <v>100</v>
      </c>
      <c r="H242" s="1104" t="n">
        <f aca="false">'Смета Внутр'!G242</f>
        <v>1512</v>
      </c>
      <c r="I242" s="1104" t="n">
        <f aca="false">'Смета Внутр'!H242</f>
        <v>1512</v>
      </c>
      <c r="J242" s="1109" t="n">
        <f aca="false">'Смета Внутр'!I242</f>
        <v>1512</v>
      </c>
    </row>
    <row r="243" customFormat="false" ht="15" hidden="false" customHeight="true" outlineLevel="0" collapsed="false">
      <c r="B243" s="1104" t="str">
        <f aca="false">'Смета Внутр'!B243</f>
        <v>трамбовка</v>
      </c>
      <c r="C243" s="1104" t="str">
        <f aca="false">'Смета Внутр'!C243</f>
        <v>м2</v>
      </c>
      <c r="D243" s="1109" t="n">
        <f aca="false">'Смета Внутр'!D243</f>
        <v>15.876</v>
      </c>
      <c r="E243" s="1104" t="n">
        <f aca="false">'Смета Внутр'!E243</f>
        <v>600</v>
      </c>
      <c r="F243" s="1104" t="n">
        <f aca="false">'Смета Внутр'!F243</f>
        <v>0</v>
      </c>
      <c r="G243" s="1104" t="n">
        <f aca="false">IF(E243&gt;F243,E243,F243)</f>
        <v>600</v>
      </c>
      <c r="H243" s="1104" t="n">
        <f aca="false">'Смета Внутр'!G243</f>
        <v>9525.6</v>
      </c>
      <c r="I243" s="1104" t="n">
        <f aca="false">'Смета Внутр'!H243</f>
        <v>9525.6</v>
      </c>
      <c r="J243" s="1109" t="n">
        <f aca="false">'Смета Внутр'!I243</f>
        <v>9525.6</v>
      </c>
    </row>
    <row r="244" customFormat="false" ht="15" hidden="false" customHeight="true" outlineLevel="0" collapsed="false">
      <c r="B244" s="1104" t="str">
        <f aca="false">'Смета Внутр'!B244</f>
        <v>приемка бетона</v>
      </c>
      <c r="C244" s="1104" t="str">
        <f aca="false">'Смета Внутр'!C244</f>
        <v>м3</v>
      </c>
      <c r="D244" s="1109" t="n">
        <f aca="false">'Смета Внутр'!D244</f>
        <v>9.072</v>
      </c>
      <c r="E244" s="1104" t="n">
        <f aca="false">'Смета Внутр'!E244</f>
        <v>1200</v>
      </c>
      <c r="F244" s="1104" t="n">
        <f aca="false">'Смета Внутр'!F244</f>
        <v>0</v>
      </c>
      <c r="G244" s="1104" t="n">
        <f aca="false">IF(E244&gt;F244,E244,F244)</f>
        <v>1200</v>
      </c>
      <c r="H244" s="1104" t="n">
        <f aca="false">'Смета Внутр'!G244</f>
        <v>10886.4</v>
      </c>
      <c r="I244" s="1104" t="n">
        <f aca="false">'Смета Внутр'!H244</f>
        <v>10886.4</v>
      </c>
      <c r="J244" s="1109" t="n">
        <f aca="false">'Смета Внутр'!I244</f>
        <v>10886.4</v>
      </c>
    </row>
    <row r="245" customFormat="false" ht="15" hidden="true" customHeight="true" outlineLevel="0" collapsed="false">
      <c r="B245" s="1104" t="str">
        <f aca="false">'Смета Внутр'!B245</f>
        <v>утепление фундамента</v>
      </c>
      <c r="C245" s="1104" t="str">
        <f aca="false">'Смета Внутр'!C245</f>
        <v>м2</v>
      </c>
      <c r="D245" s="1109" t="n">
        <f aca="false">'Смета Внутр'!D245</f>
        <v>0</v>
      </c>
      <c r="E245" s="1104" t="n">
        <f aca="false">'Смета Внутр'!E245</f>
        <v>200</v>
      </c>
      <c r="F245" s="1104" t="n">
        <f aca="false">'Смета Внутр'!F245</f>
        <v>0</v>
      </c>
      <c r="G245" s="1104" t="n">
        <f aca="false">IF(E245&gt;F245,E245,F245)</f>
        <v>200</v>
      </c>
      <c r="H245" s="1104" t="n">
        <f aca="false">'Смета Внутр'!G245</f>
        <v>0</v>
      </c>
      <c r="I245" s="1104" t="n">
        <f aca="false">'Смета Внутр'!H245</f>
        <v>0</v>
      </c>
      <c r="J245" s="1109" t="n">
        <f aca="false">'Смета Внутр'!I245</f>
        <v>0</v>
      </c>
    </row>
    <row r="246" customFormat="false" ht="15" hidden="true" customHeight="true" outlineLevel="0" collapsed="false">
      <c r="B246" s="1104" t="str">
        <f aca="false">'Смета Внутр'!B246</f>
        <v>утепление отмостки</v>
      </c>
      <c r="C246" s="1104" t="str">
        <f aca="false">'Смета Внутр'!C246</f>
        <v>м2</v>
      </c>
      <c r="D246" s="1109" t="n">
        <f aca="false">'Смета Внутр'!D246</f>
        <v>0</v>
      </c>
      <c r="E246" s="1104" t="n">
        <f aca="false">'Смета Внутр'!E246</f>
        <v>200</v>
      </c>
      <c r="F246" s="1104" t="n">
        <f aca="false">'Смета Внутр'!F246</f>
        <v>0</v>
      </c>
      <c r="G246" s="1104" t="n">
        <f aca="false">IF(E246&gt;F246,E246,F246)</f>
        <v>200</v>
      </c>
      <c r="H246" s="1104" t="n">
        <f aca="false">'Смета Внутр'!G246</f>
        <v>0</v>
      </c>
      <c r="I246" s="1104" t="n">
        <f aca="false">'Смета Внутр'!H246</f>
        <v>0</v>
      </c>
      <c r="J246" s="1109" t="n">
        <f aca="false">'Смета Внутр'!I246</f>
        <v>0</v>
      </c>
    </row>
    <row r="247" customFormat="false" ht="15" hidden="true" customHeight="true" outlineLevel="0" collapsed="false">
      <c r="B247" s="1104" t="str">
        <f aca="false">'Смета Внутр'!B247</f>
        <v>трамбовка пгс</v>
      </c>
      <c r="C247" s="1104" t="str">
        <f aca="false">'Смета Внутр'!C247</f>
        <v>м2</v>
      </c>
      <c r="D247" s="1109" t="n">
        <f aca="false">'Смета Внутр'!D247</f>
        <v>0</v>
      </c>
      <c r="E247" s="1104" t="n">
        <f aca="false">'Смета Внутр'!E247</f>
        <v>600</v>
      </c>
      <c r="F247" s="1104" t="n">
        <f aca="false">'Смета Внутр'!F247</f>
        <v>0</v>
      </c>
      <c r="G247" s="1104" t="n">
        <f aca="false">IF(E247&gt;F247,E247,F247)</f>
        <v>600</v>
      </c>
      <c r="H247" s="1104" t="n">
        <f aca="false">'Смета Внутр'!G247</f>
        <v>0</v>
      </c>
      <c r="I247" s="1104" t="n">
        <f aca="false">'Смета Внутр'!H247</f>
        <v>0</v>
      </c>
      <c r="J247" s="1109" t="n">
        <f aca="false">'Смета Внутр'!I247</f>
        <v>0</v>
      </c>
    </row>
    <row r="248" customFormat="false" ht="15" hidden="true" customHeight="true" outlineLevel="0" collapsed="false">
      <c r="B248" s="1104" t="str">
        <f aca="false">'Смета Внутр'!B248</f>
        <v>кладка сетки</v>
      </c>
      <c r="C248" s="1104" t="str">
        <f aca="false">'Смета Внутр'!C248</f>
        <v>м2</v>
      </c>
      <c r="D248" s="1109" t="n">
        <f aca="false">'Смета Внутр'!D248</f>
        <v>0</v>
      </c>
      <c r="E248" s="1104" t="n">
        <f aca="false">'Смета Внутр'!E248</f>
        <v>100</v>
      </c>
      <c r="F248" s="1104" t="n">
        <f aca="false">'Смета Внутр'!F248</f>
        <v>0</v>
      </c>
      <c r="G248" s="1104" t="n">
        <f aca="false">IF(E248&gt;F248,E248,F248)</f>
        <v>100</v>
      </c>
      <c r="H248" s="1104" t="n">
        <f aca="false">'Смета Внутр'!G248</f>
        <v>0</v>
      </c>
      <c r="I248" s="1104" t="n">
        <f aca="false">'Смета Внутр'!H248</f>
        <v>0</v>
      </c>
      <c r="J248" s="1109" t="n">
        <f aca="false">'Смета Внутр'!I248</f>
        <v>0</v>
      </c>
    </row>
    <row r="249" customFormat="false" ht="15" hidden="true" customHeight="true" outlineLevel="0" collapsed="false">
      <c r="B249" s="1104" t="str">
        <f aca="false">'Смета Внутр'!B249</f>
        <v>приемка бетона</v>
      </c>
      <c r="C249" s="1104" t="str">
        <f aca="false">'Смета Внутр'!C249</f>
        <v>м2</v>
      </c>
      <c r="D249" s="1109" t="n">
        <f aca="false">'Смета Внутр'!D249</f>
        <v>0</v>
      </c>
      <c r="E249" s="1104" t="n">
        <f aca="false">'Смета Внутр'!E249</f>
        <v>1200</v>
      </c>
      <c r="F249" s="1104" t="n">
        <f aca="false">'Смета Внутр'!F249</f>
        <v>0</v>
      </c>
      <c r="G249" s="1104" t="n">
        <f aca="false">IF(E249&gt;F249,E249,F249)</f>
        <v>1200</v>
      </c>
      <c r="H249" s="1104" t="n">
        <f aca="false">'Смета Внутр'!G249</f>
        <v>0</v>
      </c>
      <c r="I249" s="1104" t="n">
        <f aca="false">'Смета Внутр'!H249</f>
        <v>0</v>
      </c>
      <c r="J249" s="1109" t="n">
        <f aca="false">'Смета Внутр'!I249</f>
        <v>0</v>
      </c>
    </row>
    <row r="250" customFormat="false" ht="15" hidden="false" customHeight="true" outlineLevel="0" collapsed="false">
      <c r="B250" s="1108" t="str">
        <f aca="false">'Смета Внутр'!B250</f>
        <v>Итого работы</v>
      </c>
      <c r="C250" s="1108"/>
      <c r="D250" s="1108"/>
      <c r="E250" s="1108"/>
      <c r="F250" s="1108"/>
      <c r="G250" s="1108"/>
      <c r="H250" s="1104" t="n">
        <f aca="false">'Смета Внутр'!G250</f>
        <v>108994.389</v>
      </c>
      <c r="I250" s="1104" t="n">
        <f aca="false">'Смета Внутр'!H250</f>
        <v>108994.389</v>
      </c>
      <c r="J250" s="1109" t="n">
        <f aca="false">'Смета Внутр'!I250</f>
        <v>108994.389</v>
      </c>
    </row>
    <row r="251" customFormat="false" ht="15" hidden="true" customHeight="true" outlineLevel="0" collapsed="false">
      <c r="B251" s="1111" t="str">
        <f aca="false">'Смета Внутр'!B251</f>
        <v>Плита УШП, технология Дороселл</v>
      </c>
      <c r="C251" s="1111"/>
      <c r="D251" s="1111"/>
      <c r="H251" s="118" t="n">
        <f aca="false">'Смета Внутр'!G251</f>
        <v>0</v>
      </c>
      <c r="I251" s="118" t="n">
        <f aca="false">'Смета Внутр'!H251</f>
        <v>0</v>
      </c>
      <c r="J251" s="1102" t="n">
        <f aca="false">'Смета Внутр'!I251</f>
        <v>0</v>
      </c>
    </row>
    <row r="252" customFormat="false" ht="15" hidden="true" customHeight="true" outlineLevel="0" collapsed="false">
      <c r="B252" s="118" t="str">
        <f aca="false">'Смета Внутр'!B252</f>
        <v>Материалы</v>
      </c>
      <c r="H252" s="118" t="n">
        <f aca="false">'Смета Внутр'!G252</f>
        <v>0</v>
      </c>
      <c r="I252" s="118" t="n">
        <f aca="false">'Смета Внутр'!H252</f>
        <v>0</v>
      </c>
      <c r="J252" s="1102" t="n">
        <f aca="false">'Смета Внутр'!I252</f>
        <v>0</v>
      </c>
    </row>
    <row r="253" customFormat="false" ht="15" hidden="true" customHeight="true" outlineLevel="0" collapsed="false">
      <c r="B253" s="1104" t="str">
        <f aca="false">'Смета Внутр'!B253</f>
        <v>Скальник, 1 маш 13м3</v>
      </c>
      <c r="C253" s="1104" t="str">
        <f aca="false">'Смета Внутр'!C253</f>
        <v>маш</v>
      </c>
      <c r="D253" s="1109" t="n">
        <f aca="false">'Смета Внутр'!D253</f>
        <v>0.984615384615385</v>
      </c>
      <c r="E253" s="1104" t="n">
        <f aca="false">'Смета Внутр'!E253</f>
        <v>15000</v>
      </c>
      <c r="F253" s="1104" t="n">
        <f aca="false">'Смета Внутр'!F253</f>
        <v>0</v>
      </c>
      <c r="G253" s="1104" t="n">
        <f aca="false">IF(E253&gt;F253,E253,F253)</f>
        <v>15000</v>
      </c>
      <c r="H253" s="1104" t="n">
        <f aca="false">'Смета Внутр'!G253</f>
        <v>14769.2307692308</v>
      </c>
      <c r="I253" s="1104" t="n">
        <f aca="false">'Смета Внутр'!H253</f>
        <v>0</v>
      </c>
      <c r="J253" s="1109" t="n">
        <f aca="false">'Смета Внутр'!I253</f>
        <v>0</v>
      </c>
    </row>
    <row r="254" customFormat="false" ht="15" hidden="true" customHeight="true" outlineLevel="0" collapsed="false">
      <c r="B254" s="1104" t="str">
        <f aca="false">'Смета Внутр'!B254</f>
        <v>ПГС, машина 13м3</v>
      </c>
      <c r="C254" s="1104" t="str">
        <f aca="false">'Смета Внутр'!C254</f>
        <v>маш</v>
      </c>
      <c r="D254" s="1109" t="n">
        <f aca="false">'Смета Внутр'!D254</f>
        <v>0.984615384615385</v>
      </c>
      <c r="E254" s="1104" t="n">
        <f aca="false">'Смета Внутр'!E254</f>
        <v>10000</v>
      </c>
      <c r="F254" s="1104" t="n">
        <f aca="false">'Смета Внутр'!F254</f>
        <v>0</v>
      </c>
      <c r="G254" s="1104" t="n">
        <f aca="false">IF(E254&gt;F254,E254,F254)</f>
        <v>10000</v>
      </c>
      <c r="H254" s="1104" t="n">
        <f aca="false">'Смета Внутр'!G254</f>
        <v>9846.15384615385</v>
      </c>
      <c r="I254" s="1104" t="n">
        <f aca="false">'Смета Внутр'!H254</f>
        <v>0</v>
      </c>
      <c r="J254" s="1109" t="n">
        <f aca="false">'Смета Внутр'!I254</f>
        <v>0</v>
      </c>
    </row>
    <row r="255" customFormat="false" ht="15" hidden="true" customHeight="true" outlineLevel="0" collapsed="false">
      <c r="B255" s="1104" t="str">
        <f aca="false">'Смета Внутр'!B255</f>
        <v>Песок, машина 13м3</v>
      </c>
      <c r="C255" s="1104" t="str">
        <f aca="false">'Смета Внутр'!C255</f>
        <v>маш</v>
      </c>
      <c r="D255" s="1109" t="n">
        <f aca="false">'Смета Внутр'!D255</f>
        <v>0.492307692307692</v>
      </c>
      <c r="E255" s="1104" t="n">
        <f aca="false">'Смета Внутр'!E255</f>
        <v>12000</v>
      </c>
      <c r="F255" s="1104" t="n">
        <f aca="false">'Смета Внутр'!F255</f>
        <v>0</v>
      </c>
      <c r="G255" s="1104" t="n">
        <f aca="false">IF(E255&gt;F255,E255,F255)</f>
        <v>12000</v>
      </c>
      <c r="H255" s="1104" t="n">
        <f aca="false">'Смета Внутр'!G255</f>
        <v>5907.69230769231</v>
      </c>
      <c r="I255" s="1104" t="n">
        <f aca="false">'Смета Внутр'!H255</f>
        <v>0</v>
      </c>
      <c r="J255" s="1109" t="n">
        <f aca="false">'Смета Внутр'!I255</f>
        <v>0</v>
      </c>
    </row>
    <row r="256" customFormat="false" ht="15" hidden="true" customHeight="true" outlineLevel="0" collapsed="false">
      <c r="B256" s="1104" t="str">
        <f aca="false">'Смета Внутр'!B256</f>
        <v>Сосна влаж,180*40мм</v>
      </c>
      <c r="C256" s="1104" t="str">
        <f aca="false">'Смета Внутр'!C256</f>
        <v>м3</v>
      </c>
      <c r="D256" s="1109" t="n">
        <f aca="false">'Смета Внутр'!D256</f>
        <v>0.416</v>
      </c>
      <c r="E256" s="1104" t="n">
        <f aca="false">'Смета Внутр'!E256</f>
        <v>6500</v>
      </c>
      <c r="F256" s="1104" t="n">
        <f aca="false">'Смета Внутр'!F256</f>
        <v>0</v>
      </c>
      <c r="G256" s="1104" t="n">
        <f aca="false">IF(E256&gt;F256,E256,F256)</f>
        <v>6500</v>
      </c>
      <c r="H256" s="1104" t="n">
        <f aca="false">'Смета Внутр'!G256</f>
        <v>2704</v>
      </c>
      <c r="I256" s="1104" t="n">
        <f aca="false">'Смета Внутр'!H256</f>
        <v>0</v>
      </c>
      <c r="J256" s="1109" t="n">
        <f aca="false">'Смета Внутр'!I256</f>
        <v>0</v>
      </c>
    </row>
    <row r="257" customFormat="false" ht="15" hidden="true" customHeight="true" outlineLevel="0" collapsed="false">
      <c r="B257" s="1104" t="str">
        <f aca="false">'Смета Внутр'!B257</f>
        <v>Пенопласт ПСБ-С-35</v>
      </c>
      <c r="C257" s="1104" t="str">
        <f aca="false">'Смета Внутр'!C257</f>
        <v>м3</v>
      </c>
      <c r="D257" s="1109" t="n">
        <f aca="false">'Смета Внутр'!D257</f>
        <v>0</v>
      </c>
      <c r="E257" s="1104" t="n">
        <f aca="false">'Смета Внутр'!E257</f>
        <v>3400</v>
      </c>
      <c r="F257" s="1104" t="n">
        <f aca="false">'Смета Внутр'!F257</f>
        <v>0</v>
      </c>
      <c r="G257" s="1104" t="n">
        <f aca="false">IF(E257&gt;F257,E257,F257)</f>
        <v>3400</v>
      </c>
      <c r="H257" s="1104" t="n">
        <f aca="false">'Смета Внутр'!G257</f>
        <v>0</v>
      </c>
      <c r="I257" s="1104" t="n">
        <f aca="false">'Смета Внутр'!H257</f>
        <v>0</v>
      </c>
      <c r="J257" s="1109" t="n">
        <f aca="false">'Смета Внутр'!I257</f>
        <v>0</v>
      </c>
    </row>
    <row r="258" customFormat="false" ht="15" hidden="true" customHeight="true" outlineLevel="0" collapsed="false">
      <c r="B258" s="1104" t="str">
        <f aca="false">'Смета Внутр'!B258</f>
        <v>Пенопласт ПСБ-С-35</v>
      </c>
      <c r="C258" s="1104" t="str">
        <f aca="false">'Смета Внутр'!C258</f>
        <v>м3</v>
      </c>
      <c r="D258" s="1109" t="n">
        <f aca="false">'Смета Внутр'!D258</f>
        <v>0</v>
      </c>
      <c r="E258" s="1104" t="n">
        <f aca="false">'Смета Внутр'!E258</f>
        <v>3400</v>
      </c>
      <c r="F258" s="1104" t="n">
        <f aca="false">'Смета Внутр'!F258</f>
        <v>0</v>
      </c>
      <c r="G258" s="1104" t="n">
        <f aca="false">IF(E258&gt;F258,E258,F258)</f>
        <v>3400</v>
      </c>
      <c r="H258" s="1104" t="n">
        <f aca="false">'Смета Внутр'!G258</f>
        <v>0</v>
      </c>
      <c r="I258" s="1104" t="n">
        <f aca="false">'Смета Внутр'!H258</f>
        <v>0</v>
      </c>
      <c r="J258" s="1109" t="n">
        <f aca="false">'Смета Внутр'!I258</f>
        <v>0</v>
      </c>
    </row>
    <row r="259" customFormat="false" ht="15" hidden="true" customHeight="true" outlineLevel="0" collapsed="false">
      <c r="B259" s="1104" t="str">
        <f aca="false">'Смета Внутр'!B259</f>
        <v>Пленка гидроизоляционная </v>
      </c>
      <c r="C259" s="1104" t="str">
        <f aca="false">'Смета Внутр'!C259</f>
        <v>м2</v>
      </c>
      <c r="D259" s="1109" t="n">
        <f aca="false">'Смета Внутр'!D259</f>
        <v>83.2</v>
      </c>
      <c r="E259" s="1104" t="n">
        <f aca="false">'Смета Внутр'!E259</f>
        <v>15</v>
      </c>
      <c r="F259" s="1104" t="n">
        <f aca="false">'Смета Внутр'!F259</f>
        <v>0</v>
      </c>
      <c r="G259" s="1104" t="n">
        <f aca="false">IF(E259&gt;F259,E259,F259)</f>
        <v>15</v>
      </c>
      <c r="H259" s="1104" t="n">
        <f aca="false">'Смета Внутр'!G259</f>
        <v>1248</v>
      </c>
      <c r="I259" s="1104" t="n">
        <f aca="false">'Смета Внутр'!H259</f>
        <v>0</v>
      </c>
      <c r="J259" s="1109" t="n">
        <f aca="false">'Смета Внутр'!I259</f>
        <v>0</v>
      </c>
    </row>
    <row r="260" customFormat="false" ht="15" hidden="true" customHeight="true" outlineLevel="0" collapsed="false">
      <c r="B260" s="1104" t="str">
        <f aca="false">'Смета Внутр'!B260</f>
        <v>Кладочная сетка, 100*100/150*150/200*200мм</v>
      </c>
      <c r="C260" s="1104" t="str">
        <f aca="false">'Смета Внутр'!C260</f>
        <v>м2</v>
      </c>
      <c r="D260" s="1109" t="n">
        <f aca="false">'Смета Внутр'!D260</f>
        <v>64</v>
      </c>
      <c r="E260" s="1104" t="n">
        <f aca="false">'Смета Внутр'!E260</f>
        <v>70</v>
      </c>
      <c r="F260" s="1104" t="n">
        <f aca="false">'Смета Внутр'!F260</f>
        <v>0</v>
      </c>
      <c r="G260" s="1104" t="n">
        <f aca="false">IF(E260&gt;F260,E260,F260)</f>
        <v>70</v>
      </c>
      <c r="H260" s="1104" t="n">
        <f aca="false">'Смета Внутр'!G260</f>
        <v>4480</v>
      </c>
      <c r="I260" s="1104" t="n">
        <f aca="false">'Смета Внутр'!H260</f>
        <v>0</v>
      </c>
      <c r="J260" s="1109" t="n">
        <f aca="false">'Смета Внутр'!I260</f>
        <v>0</v>
      </c>
    </row>
    <row r="261" customFormat="false" ht="15" hidden="true" customHeight="true" outlineLevel="0" collapsed="false">
      <c r="B261" s="1104" t="str">
        <f aca="false">'Смета Внутр'!B261</f>
        <v>Стяжки пластиковые</v>
      </c>
      <c r="C261" s="1104" t="str">
        <f aca="false">'Смета Внутр'!C261</f>
        <v>шт</v>
      </c>
      <c r="D261" s="1109" t="n">
        <f aca="false">'Смета Внутр'!D261</f>
        <v>192</v>
      </c>
      <c r="E261" s="1104" t="n">
        <f aca="false">'Смета Внутр'!E261</f>
        <v>2</v>
      </c>
      <c r="F261" s="1104" t="n">
        <f aca="false">'Смета Внутр'!F261</f>
        <v>0</v>
      </c>
      <c r="G261" s="1104" t="n">
        <f aca="false">IF(E261&gt;F261,E261,F261)</f>
        <v>2</v>
      </c>
      <c r="H261" s="1104" t="n">
        <f aca="false">'Смета Внутр'!G261</f>
        <v>384</v>
      </c>
      <c r="I261" s="1104" t="n">
        <f aca="false">'Смета Внутр'!H261</f>
        <v>0</v>
      </c>
      <c r="J261" s="1109" t="n">
        <f aca="false">'Смета Внутр'!I261</f>
        <v>0</v>
      </c>
    </row>
    <row r="262" customFormat="false" ht="15" hidden="true" customHeight="true" outlineLevel="0" collapsed="false">
      <c r="B262" s="1104" t="str">
        <f aca="false">'Смета Внутр'!B262</f>
        <v>Бетон, м350</v>
      </c>
      <c r="C262" s="1104" t="str">
        <f aca="false">'Смета Внутр'!C262</f>
        <v>м3</v>
      </c>
      <c r="D262" s="1109" t="n">
        <f aca="false">'Смета Внутр'!D262</f>
        <v>16</v>
      </c>
      <c r="E262" s="1104" t="n">
        <f aca="false">'Смета Внутр'!E262</f>
        <v>3500</v>
      </c>
      <c r="F262" s="1104" t="n">
        <f aca="false">'Смета Внутр'!F262</f>
        <v>0</v>
      </c>
      <c r="G262" s="1104" t="n">
        <f aca="false">IF(E262&gt;F262,E262,F262)</f>
        <v>3500</v>
      </c>
      <c r="H262" s="1104" t="n">
        <f aca="false">'Смета Внутр'!G262</f>
        <v>56000</v>
      </c>
      <c r="I262" s="1104" t="n">
        <f aca="false">'Смета Внутр'!H262</f>
        <v>0</v>
      </c>
      <c r="J262" s="1109" t="n">
        <f aca="false">'Смета Внутр'!I262</f>
        <v>0</v>
      </c>
    </row>
    <row r="263" customFormat="false" ht="15" hidden="true" customHeight="true" outlineLevel="0" collapsed="false">
      <c r="B263" s="1104" t="str">
        <f aca="false">'Смета Внутр'!B263</f>
        <v>Бетон, м250</v>
      </c>
      <c r="C263" s="1104" t="str">
        <f aca="false">'Смета Внутр'!C263</f>
        <v>м3</v>
      </c>
      <c r="D263" s="1109" t="n">
        <f aca="false">'Смета Внутр'!D263</f>
        <v>0</v>
      </c>
      <c r="E263" s="1104" t="n">
        <f aca="false">'Смета Внутр'!E263</f>
        <v>2750</v>
      </c>
      <c r="F263" s="1104" t="n">
        <f aca="false">'Смета Внутр'!F263</f>
        <v>0</v>
      </c>
      <c r="G263" s="1104" t="n">
        <f aca="false">IF(E263&gt;F263,E263,F263)</f>
        <v>2750</v>
      </c>
      <c r="H263" s="1104" t="n">
        <f aca="false">'Смета Внутр'!G263</f>
        <v>0</v>
      </c>
      <c r="I263" s="1104" t="n">
        <f aca="false">'Смета Внутр'!H263</f>
        <v>0</v>
      </c>
      <c r="J263" s="1109" t="n">
        <f aca="false">'Смета Внутр'!I263</f>
        <v>0</v>
      </c>
    </row>
    <row r="264" customFormat="false" ht="15" hidden="true" customHeight="true" outlineLevel="0" collapsed="false">
      <c r="B264" s="1104" t="str">
        <f aca="false">'Смета Внутр'!B264</f>
        <v>Труба теплого пола 3</v>
      </c>
      <c r="C264" s="1104" t="str">
        <f aca="false">'Смета Внутр'!C264</f>
        <v>м.п</v>
      </c>
      <c r="D264" s="1109" t="n">
        <f aca="false">'Смета Внутр'!D264</f>
        <v>0</v>
      </c>
      <c r="E264" s="1104" t="n">
        <f aca="false">'Смета Внутр'!E264</f>
        <v>60</v>
      </c>
      <c r="F264" s="1104" t="n">
        <f aca="false">'Смета Внутр'!F264</f>
        <v>0</v>
      </c>
      <c r="G264" s="1104" t="n">
        <f aca="false">IF(E264&gt;F264,E264,F264)</f>
        <v>60</v>
      </c>
      <c r="H264" s="1104" t="n">
        <f aca="false">'Смета Внутр'!G264</f>
        <v>0</v>
      </c>
      <c r="I264" s="1104" t="n">
        <f aca="false">'Смета Внутр'!H264</f>
        <v>0</v>
      </c>
      <c r="J264" s="1109" t="n">
        <f aca="false">'Смета Внутр'!I264</f>
        <v>0</v>
      </c>
    </row>
    <row r="265" customFormat="false" ht="15" hidden="true" customHeight="true" outlineLevel="0" collapsed="false">
      <c r="B265" s="1104" t="str">
        <f aca="false">'Смета Внутр'!B265</f>
        <v>Коллектор 1</v>
      </c>
      <c r="C265" s="1104" t="str">
        <f aca="false">'Смета Внутр'!C265</f>
        <v>шт</v>
      </c>
      <c r="D265" s="1109" t="n">
        <f aca="false">'Смета Внутр'!D265</f>
        <v>0</v>
      </c>
      <c r="E265" s="1104" t="n">
        <f aca="false">'Смета Внутр'!E265</f>
        <v>5000</v>
      </c>
      <c r="F265" s="1104" t="n">
        <f aca="false">'Смета Внутр'!F265</f>
        <v>0</v>
      </c>
      <c r="G265" s="1104" t="n">
        <f aca="false">IF(E265&gt;F265,E265,F265)</f>
        <v>5000</v>
      </c>
      <c r="H265" s="1104" t="n">
        <f aca="false">'Смета Внутр'!G265</f>
        <v>0</v>
      </c>
      <c r="I265" s="1104" t="n">
        <f aca="false">'Смета Внутр'!H265</f>
        <v>0</v>
      </c>
      <c r="J265" s="1109" t="n">
        <f aca="false">'Смета Внутр'!I265</f>
        <v>0</v>
      </c>
    </row>
    <row r="266" customFormat="false" ht="15" hidden="true" customHeight="true" outlineLevel="0" collapsed="false">
      <c r="B266" s="1104" t="str">
        <f aca="false">'Смета Внутр'!B266</f>
        <v>Арматура стальная Ø 12</v>
      </c>
      <c r="C266" s="1104" t="str">
        <f aca="false">'Смета Внутр'!C266</f>
        <v>м.п.</v>
      </c>
      <c r="D266" s="1109" t="n">
        <f aca="false">'Смета Внутр'!D266</f>
        <v>211.2</v>
      </c>
      <c r="E266" s="1104" t="n">
        <f aca="false">'Смета Внутр'!E266</f>
        <v>29.2152</v>
      </c>
      <c r="F266" s="1104" t="n">
        <f aca="false">'Смета Внутр'!F266</f>
        <v>0</v>
      </c>
      <c r="G266" s="1104" t="n">
        <f aca="false">IF(E266&gt;F266,E266,F266)</f>
        <v>29.2152</v>
      </c>
      <c r="H266" s="1104" t="n">
        <f aca="false">'Смета Внутр'!G266</f>
        <v>6170.25024</v>
      </c>
      <c r="I266" s="1104" t="n">
        <f aca="false">'Смета Внутр'!H266</f>
        <v>0</v>
      </c>
      <c r="J266" s="1109" t="n">
        <f aca="false">'Смета Внутр'!I266</f>
        <v>0</v>
      </c>
    </row>
    <row r="267" customFormat="false" ht="15" hidden="true" customHeight="true" outlineLevel="0" collapsed="false">
      <c r="B267" s="1104" t="str">
        <f aca="false">'Смета Внутр'!B267</f>
        <v>Арматура стальная Ø 10 </v>
      </c>
      <c r="C267" s="1104" t="str">
        <f aca="false">'Смета Внутр'!C267</f>
        <v>м.п.</v>
      </c>
      <c r="D267" s="1109" t="n">
        <f aca="false">'Смета Внутр'!D267</f>
        <v>640</v>
      </c>
      <c r="E267" s="1104" t="n">
        <f aca="false">'Смета Внутр'!E267</f>
        <v>21.0397</v>
      </c>
      <c r="F267" s="1104" t="n">
        <f aca="false">'Смета Внутр'!F267</f>
        <v>0</v>
      </c>
      <c r="G267" s="1104" t="n">
        <f aca="false">IF(E267&gt;F267,E267,F267)</f>
        <v>21.0397</v>
      </c>
      <c r="H267" s="1104" t="n">
        <f aca="false">'Смета Внутр'!G267</f>
        <v>13465.408</v>
      </c>
      <c r="I267" s="1104" t="n">
        <f aca="false">'Смета Внутр'!H267</f>
        <v>0</v>
      </c>
      <c r="J267" s="1109" t="n">
        <f aca="false">'Смета Внутр'!I267</f>
        <v>0</v>
      </c>
    </row>
    <row r="268" customFormat="false" ht="15" hidden="true" customHeight="true" outlineLevel="0" collapsed="false">
      <c r="B268" s="1104" t="str">
        <f aca="false">'Смета Внутр'!B268</f>
        <v>Арматура стальная Ø 6</v>
      </c>
      <c r="C268" s="1104" t="str">
        <f aca="false">'Смета Внутр'!C268</f>
        <v>м.п.</v>
      </c>
      <c r="D268" s="1109" t="n">
        <f aca="false">'Смета Внутр'!D268</f>
        <v>0</v>
      </c>
      <c r="E268" s="1104" t="n">
        <f aca="false">'Смета Внутр'!E268</f>
        <v>9.0132</v>
      </c>
      <c r="F268" s="1104" t="n">
        <f aca="false">'Смета Внутр'!F268</f>
        <v>0</v>
      </c>
      <c r="G268" s="1104" t="n">
        <f aca="false">IF(E268&gt;F268,E268,F268)</f>
        <v>9.0132</v>
      </c>
      <c r="H268" s="1104" t="n">
        <f aca="false">'Смета Внутр'!G268</f>
        <v>0</v>
      </c>
      <c r="I268" s="1104" t="n">
        <f aca="false">'Смета Внутр'!H268</f>
        <v>0</v>
      </c>
      <c r="J268" s="1109" t="n">
        <f aca="false">'Смета Внутр'!I268</f>
        <v>0</v>
      </c>
    </row>
    <row r="269" customFormat="false" ht="15" hidden="true" customHeight="true" outlineLevel="0" collapsed="false">
      <c r="B269" s="1104" t="str">
        <f aca="false">'Смета Внутр'!B269</f>
        <v>Вязальная проволока</v>
      </c>
      <c r="C269" s="1104" t="str">
        <f aca="false">'Смета Внутр'!C269</f>
        <v>кг</v>
      </c>
      <c r="D269" s="1109" t="n">
        <f aca="false">'Смета Внутр'!D269</f>
        <v>17.024</v>
      </c>
      <c r="E269" s="1104" t="n">
        <f aca="false">'Смета Внутр'!E269</f>
        <v>80</v>
      </c>
      <c r="F269" s="1104" t="n">
        <f aca="false">'Смета Внутр'!F269</f>
        <v>0</v>
      </c>
      <c r="G269" s="1104" t="n">
        <f aca="false">IF(E269&gt;F269,E269,F269)</f>
        <v>80</v>
      </c>
      <c r="H269" s="1104" t="n">
        <f aca="false">'Смета Внутр'!G269</f>
        <v>1361.92</v>
      </c>
      <c r="I269" s="1104" t="n">
        <f aca="false">'Смета Внутр'!H269</f>
        <v>0</v>
      </c>
      <c r="J269" s="1109" t="n">
        <f aca="false">'Смета Внутр'!I269</f>
        <v>0</v>
      </c>
    </row>
    <row r="270" customFormat="false" ht="15" hidden="true" customHeight="true" outlineLevel="0" collapsed="false">
      <c r="B270" s="1104" t="str">
        <f aca="false">'Смета Внутр'!B270</f>
        <v>Подставка под арматурный каркас</v>
      </c>
      <c r="C270" s="1104" t="str">
        <f aca="false">'Смета Внутр'!C270</f>
        <v>шт</v>
      </c>
      <c r="D270" s="1109" t="n">
        <f aca="false">'Смета Внутр'!D270</f>
        <v>192</v>
      </c>
      <c r="E270" s="1104" t="n">
        <f aca="false">'Смета Внутр'!E270</f>
        <v>5</v>
      </c>
      <c r="F270" s="1104" t="n">
        <f aca="false">'Смета Внутр'!F270</f>
        <v>0</v>
      </c>
      <c r="G270" s="1104" t="n">
        <f aca="false">IF(E270&gt;F270,E270,F270)</f>
        <v>5</v>
      </c>
      <c r="H270" s="1104" t="n">
        <f aca="false">'Смета Внутр'!G270</f>
        <v>960</v>
      </c>
      <c r="I270" s="1104" t="n">
        <f aca="false">'Смета Внутр'!H270</f>
        <v>0</v>
      </c>
      <c r="J270" s="1109" t="n">
        <f aca="false">'Смета Внутр'!I270</f>
        <v>0</v>
      </c>
    </row>
    <row r="271" customFormat="false" ht="15" hidden="true" customHeight="true" outlineLevel="0" collapsed="false">
      <c r="B271" s="1104" t="str">
        <f aca="false">'Смета Внутр'!B271</f>
        <v>Гвозди строительные 3,5 x 90            </v>
      </c>
      <c r="C271" s="1104" t="str">
        <f aca="false">'Смета Внутр'!C271</f>
        <v>кг</v>
      </c>
      <c r="D271" s="1109" t="n">
        <f aca="false">'Смета Внутр'!D271</f>
        <v>2.08</v>
      </c>
      <c r="E271" s="1104" t="n">
        <f aca="false">'Смета Внутр'!E271</f>
        <v>70</v>
      </c>
      <c r="F271" s="1104" t="n">
        <f aca="false">'Смета Внутр'!F271</f>
        <v>0</v>
      </c>
      <c r="G271" s="1104" t="n">
        <f aca="false">IF(E271&gt;F271,E271,F271)</f>
        <v>70</v>
      </c>
      <c r="H271" s="1104" t="n">
        <f aca="false">'Смета Внутр'!G271</f>
        <v>145.6</v>
      </c>
      <c r="I271" s="1104" t="n">
        <f aca="false">'Смета Внутр'!H271</f>
        <v>0</v>
      </c>
      <c r="J271" s="1109" t="n">
        <f aca="false">'Смета Внутр'!I271</f>
        <v>0</v>
      </c>
    </row>
    <row r="272" customFormat="false" ht="15" hidden="true" customHeight="true" outlineLevel="0" collapsed="false">
      <c r="B272" s="1104" t="str">
        <f aca="false">'Смета Внутр'!B272</f>
        <v>Геотекстиль</v>
      </c>
      <c r="C272" s="1104" t="str">
        <f aca="false">'Смета Внутр'!C272</f>
        <v>м2</v>
      </c>
      <c r="D272" s="1109" t="n">
        <f aca="false">'Смета Внутр'!D272</f>
        <v>73.6</v>
      </c>
      <c r="E272" s="1104" t="n">
        <f aca="false">'Смета Внутр'!E272</f>
        <v>100</v>
      </c>
      <c r="F272" s="1104" t="n">
        <f aca="false">'Смета Внутр'!F272</f>
        <v>0</v>
      </c>
      <c r="G272" s="1104" t="n">
        <f aca="false">IF(E272&gt;F272,E272,F272)</f>
        <v>100</v>
      </c>
      <c r="H272" s="1104" t="n">
        <f aca="false">'Смета Внутр'!G272</f>
        <v>7360</v>
      </c>
      <c r="I272" s="1104" t="n">
        <f aca="false">'Смета Внутр'!H272</f>
        <v>0</v>
      </c>
      <c r="J272" s="1109" t="n">
        <f aca="false">'Смета Внутр'!I272</f>
        <v>0</v>
      </c>
    </row>
    <row r="273" customFormat="false" ht="15" hidden="true" customHeight="true" outlineLevel="0" collapsed="false">
      <c r="B273" s="1104" t="str">
        <f aca="false">'Смета Внутр'!B273</f>
        <v>Труба гофрированная одностенная d110</v>
      </c>
      <c r="C273" s="1104" t="str">
        <f aca="false">'Смета Внутр'!C273</f>
        <v>м.п.</v>
      </c>
      <c r="D273" s="1109" t="n">
        <f aca="false">'Смета Внутр'!D273</f>
        <v>53</v>
      </c>
      <c r="E273" s="1104" t="n">
        <f aca="false">'Смета Внутр'!E273</f>
        <v>77</v>
      </c>
      <c r="F273" s="1104" t="n">
        <f aca="false">'Смета Внутр'!F273</f>
        <v>0</v>
      </c>
      <c r="G273" s="1104" t="n">
        <f aca="false">IF(E273&gt;F273,E273,F273)</f>
        <v>77</v>
      </c>
      <c r="H273" s="1104" t="n">
        <f aca="false">'Смета Внутр'!G273</f>
        <v>4081</v>
      </c>
      <c r="I273" s="1104" t="n">
        <f aca="false">'Смета Внутр'!H273</f>
        <v>0</v>
      </c>
      <c r="J273" s="1109" t="n">
        <f aca="false">'Смета Внутр'!I273</f>
        <v>0</v>
      </c>
    </row>
    <row r="274" customFormat="false" ht="15" hidden="true" customHeight="true" outlineLevel="0" collapsed="false">
      <c r="B274" s="1104" t="str">
        <f aca="false">'Смета Внутр'!B274</f>
        <v>Дренажный колодец D300</v>
      </c>
      <c r="C274" s="1104" t="str">
        <f aca="false">'Смета Внутр'!C274</f>
        <v>шт</v>
      </c>
      <c r="D274" s="1109" t="n">
        <f aca="false">'Смета Внутр'!D274</f>
        <v>6</v>
      </c>
      <c r="E274" s="1104" t="n">
        <f aca="false">'Смета Внутр'!E274</f>
        <v>1500</v>
      </c>
      <c r="F274" s="1104" t="n">
        <f aca="false">'Смета Внутр'!F274</f>
        <v>0</v>
      </c>
      <c r="G274" s="1104" t="n">
        <f aca="false">IF(E274&gt;F274,E274,F274)</f>
        <v>1500</v>
      </c>
      <c r="H274" s="1104" t="n">
        <f aca="false">'Смета Внутр'!G274</f>
        <v>9000</v>
      </c>
      <c r="I274" s="1104" t="n">
        <f aca="false">'Смета Внутр'!H274</f>
        <v>0</v>
      </c>
      <c r="J274" s="1109" t="n">
        <f aca="false">'Смета Внутр'!I274</f>
        <v>0</v>
      </c>
    </row>
    <row r="275" customFormat="false" ht="15" hidden="true" customHeight="true" outlineLevel="0" collapsed="false">
      <c r="B275" s="1104" t="str">
        <f aca="false">'Смета Внутр'!B275</f>
        <v>Труба канализационная D110</v>
      </c>
      <c r="C275" s="1104" t="str">
        <f aca="false">'Смета Внутр'!C275</f>
        <v>шт</v>
      </c>
      <c r="D275" s="1109" t="n">
        <f aca="false">'Смета Внутр'!D275</f>
        <v>10</v>
      </c>
      <c r="E275" s="1104" t="n">
        <f aca="false">'Смета Внутр'!E275</f>
        <v>70</v>
      </c>
      <c r="F275" s="1104" t="n">
        <f aca="false">'Смета Внутр'!F275</f>
        <v>0</v>
      </c>
      <c r="G275" s="1104" t="n">
        <f aca="false">IF(E275&gt;F275,E275,F275)</f>
        <v>70</v>
      </c>
      <c r="H275" s="1104" t="n">
        <f aca="false">'Смета Внутр'!G275</f>
        <v>700</v>
      </c>
      <c r="I275" s="1104" t="n">
        <f aca="false">'Смета Внутр'!H275</f>
        <v>0</v>
      </c>
      <c r="J275" s="1109" t="n">
        <f aca="false">'Смета Внутр'!I275</f>
        <v>0</v>
      </c>
    </row>
    <row r="276" customFormat="false" ht="15" hidden="true" customHeight="false" outlineLevel="0" collapsed="false">
      <c r="B276" s="1108" t="str">
        <f aca="false">'Смета Внутр'!B276</f>
        <v>Итого материалы</v>
      </c>
      <c r="C276" s="1108"/>
      <c r="D276" s="1108"/>
      <c r="E276" s="1108"/>
      <c r="F276" s="1108"/>
      <c r="G276" s="1108"/>
      <c r="H276" s="1104" t="n">
        <f aca="false">'Смета Внутр'!G276</f>
        <v>0</v>
      </c>
      <c r="I276" s="1104" t="n">
        <f aca="false">'Смета Внутр'!H276</f>
        <v>0</v>
      </c>
      <c r="J276" s="1109" t="n">
        <f aca="false">'Смета Внутр'!I276</f>
        <v>0</v>
      </c>
    </row>
    <row r="277" customFormat="false" ht="15" hidden="true" customHeight="true" outlineLevel="0" collapsed="false">
      <c r="B277" s="118" t="str">
        <f aca="false">'Смета Внутр'!B277</f>
        <v>Работы</v>
      </c>
      <c r="H277" s="118" t="n">
        <f aca="false">'Смета Внутр'!G277</f>
        <v>0</v>
      </c>
      <c r="I277" s="118" t="n">
        <f aca="false">'Смета Внутр'!H277</f>
        <v>0</v>
      </c>
      <c r="J277" s="1102" t="n">
        <f aca="false">'Смета Внутр'!I277</f>
        <v>0</v>
      </c>
    </row>
    <row r="278" customFormat="false" ht="15" hidden="true" customHeight="true" outlineLevel="0" collapsed="false">
      <c r="B278" s="1104" t="str">
        <f aca="false">'Смета Внутр'!B278</f>
        <v>разбивка осей фундамента</v>
      </c>
      <c r="C278" s="1104" t="str">
        <f aca="false">'Смета Внутр'!C278</f>
        <v>шт</v>
      </c>
      <c r="D278" s="1109" t="n">
        <f aca="false">'Смета Внутр'!D278</f>
        <v>1</v>
      </c>
      <c r="E278" s="1104" t="n">
        <f aca="false">'Смета Внутр'!E278</f>
        <v>7000</v>
      </c>
      <c r="F278" s="1104" t="n">
        <f aca="false">'Смета Внутр'!F278</f>
        <v>0</v>
      </c>
      <c r="G278" s="1104" t="n">
        <f aca="false">IF(E278&gt;F278,E278,F278)</f>
        <v>7000</v>
      </c>
      <c r="H278" s="1104" t="n">
        <f aca="false">'Смета Внутр'!G278</f>
        <v>7000</v>
      </c>
      <c r="I278" s="1104" t="n">
        <f aca="false">'Смета Внутр'!H278</f>
        <v>0</v>
      </c>
      <c r="J278" s="1109" t="n">
        <f aca="false">'Смета Внутр'!I278</f>
        <v>0</v>
      </c>
    </row>
    <row r="279" customFormat="false" ht="15" hidden="true" customHeight="true" outlineLevel="0" collapsed="false">
      <c r="B279" s="1104" t="str">
        <f aca="false">'Смета Внутр'!B279</f>
        <v>трамбовка пгс</v>
      </c>
      <c r="C279" s="1104" t="str">
        <f aca="false">'Смета Внутр'!C279</f>
        <v>м2</v>
      </c>
      <c r="D279" s="1109" t="n">
        <f aca="false">'Смета Внутр'!D279</f>
        <v>64</v>
      </c>
      <c r="E279" s="1104" t="n">
        <f aca="false">'Смета Внутр'!E279</f>
        <v>600</v>
      </c>
      <c r="F279" s="1104" t="n">
        <f aca="false">'Смета Внутр'!F279</f>
        <v>0</v>
      </c>
      <c r="G279" s="1104" t="n">
        <f aca="false">IF(E279&gt;F279,E279,F279)</f>
        <v>600</v>
      </c>
      <c r="H279" s="1104" t="n">
        <f aca="false">'Смета Внутр'!G279</f>
        <v>38400</v>
      </c>
      <c r="I279" s="1104" t="n">
        <f aca="false">'Смета Внутр'!H279</f>
        <v>0</v>
      </c>
      <c r="J279" s="1109" t="n">
        <f aca="false">'Смета Внутр'!I279</f>
        <v>0</v>
      </c>
    </row>
    <row r="280" customFormat="false" ht="15" hidden="true" customHeight="true" outlineLevel="0" collapsed="false">
      <c r="B280" s="1104" t="str">
        <f aca="false">'Смета Внутр'!B280</f>
        <v>трамбовка скальник</v>
      </c>
      <c r="C280" s="1104" t="str">
        <f aca="false">'Смета Внутр'!C280</f>
        <v>м2</v>
      </c>
      <c r="D280" s="1109" t="n">
        <f aca="false">'Смета Внутр'!D280</f>
        <v>64</v>
      </c>
      <c r="E280" s="1104" t="n">
        <f aca="false">'Смета Внутр'!E280</f>
        <v>400</v>
      </c>
      <c r="F280" s="1104" t="n">
        <f aca="false">'Смета Внутр'!F280</f>
        <v>0</v>
      </c>
      <c r="G280" s="1104" t="n">
        <f aca="false">IF(E280&gt;F280,E280,F280)</f>
        <v>400</v>
      </c>
      <c r="H280" s="1104" t="n">
        <f aca="false">'Смета Внутр'!G280</f>
        <v>25600</v>
      </c>
      <c r="I280" s="1104" t="n">
        <f aca="false">'Смета Внутр'!H280</f>
        <v>0</v>
      </c>
      <c r="J280" s="1109" t="n">
        <f aca="false">'Смета Внутр'!I280</f>
        <v>0</v>
      </c>
    </row>
    <row r="281" customFormat="false" ht="15" hidden="true" customHeight="true" outlineLevel="0" collapsed="false">
      <c r="B281" s="1104" t="str">
        <f aca="false">'Смета Внутр'!B281</f>
        <v>трамбовка песок</v>
      </c>
      <c r="C281" s="1104" t="str">
        <f aca="false">'Смета Внутр'!C281</f>
        <v>м2</v>
      </c>
      <c r="D281" s="1109" t="n">
        <f aca="false">'Смета Внутр'!D281</f>
        <v>64</v>
      </c>
      <c r="E281" s="1104" t="n">
        <f aca="false">'Смета Внутр'!E281</f>
        <v>350</v>
      </c>
      <c r="F281" s="1104" t="n">
        <f aca="false">'Смета Внутр'!F281</f>
        <v>0</v>
      </c>
      <c r="G281" s="1104" t="n">
        <f aca="false">IF(E281&gt;F281,E281,F281)</f>
        <v>350</v>
      </c>
      <c r="H281" s="1104" t="n">
        <f aca="false">'Смета Внутр'!G281</f>
        <v>22400</v>
      </c>
      <c r="I281" s="1104" t="n">
        <f aca="false">'Смета Внутр'!H281</f>
        <v>0</v>
      </c>
      <c r="J281" s="1109" t="n">
        <f aca="false">'Смета Внутр'!I281</f>
        <v>0</v>
      </c>
    </row>
    <row r="282" customFormat="false" ht="15" hidden="true" customHeight="true" outlineLevel="0" collapsed="false">
      <c r="B282" s="1104" t="str">
        <f aca="false">'Смета Внутр'!B282</f>
        <v>сборка/разборка опалубки</v>
      </c>
      <c r="C282" s="1104" t="str">
        <f aca="false">'Смета Внутр'!C282</f>
        <v>м2</v>
      </c>
      <c r="D282" s="1109" t="n">
        <f aca="false">'Смета Внутр'!D282</f>
        <v>0</v>
      </c>
      <c r="E282" s="1104" t="n">
        <f aca="false">'Смета Внутр'!E282</f>
        <v>400</v>
      </c>
      <c r="F282" s="1104" t="n">
        <f aca="false">'Смета Внутр'!F282</f>
        <v>0</v>
      </c>
      <c r="G282" s="1104" t="n">
        <f aca="false">IF(E282&gt;F282,E282,F282)</f>
        <v>400</v>
      </c>
      <c r="H282" s="1104" t="n">
        <f aca="false">'Смета Внутр'!G282</f>
        <v>0</v>
      </c>
      <c r="I282" s="1104" t="n">
        <f aca="false">'Смета Внутр'!H282</f>
        <v>0</v>
      </c>
      <c r="J282" s="1109" t="n">
        <f aca="false">'Смета Внутр'!I282</f>
        <v>0</v>
      </c>
    </row>
    <row r="283" customFormat="false" ht="15" hidden="true" customHeight="true" outlineLevel="0" collapsed="false">
      <c r="B283" s="1104" t="str">
        <f aca="false">'Смета Внутр'!B283</f>
        <v>укладка утеплителя под плиту</v>
      </c>
      <c r="C283" s="1104" t="str">
        <f aca="false">'Смета Внутр'!C283</f>
        <v>м2</v>
      </c>
      <c r="D283" s="1109" t="n">
        <f aca="false">'Смета Внутр'!D283</f>
        <v>64</v>
      </c>
      <c r="E283" s="1104" t="n">
        <f aca="false">'Смета Внутр'!E283</f>
        <v>200</v>
      </c>
      <c r="F283" s="1104" t="n">
        <f aca="false">'Смета Внутр'!F283</f>
        <v>0</v>
      </c>
      <c r="G283" s="1104" t="n">
        <f aca="false">IF(E283&gt;F283,E283,F283)</f>
        <v>200</v>
      </c>
      <c r="H283" s="1104" t="n">
        <f aca="false">'Смета Внутр'!G283</f>
        <v>12800</v>
      </c>
      <c r="I283" s="1104" t="n">
        <f aca="false">'Смета Внутр'!H283</f>
        <v>0</v>
      </c>
      <c r="J283" s="1109" t="n">
        <f aca="false">'Смета Внутр'!I283</f>
        <v>0</v>
      </c>
    </row>
    <row r="284" customFormat="false" ht="15" hidden="true" customHeight="true" outlineLevel="0" collapsed="false">
      <c r="B284" s="1104" t="str">
        <f aca="false">'Смета Внутр'!B284</f>
        <v>укладка утеплителя под отмостка</v>
      </c>
      <c r="C284" s="1104" t="str">
        <f aca="false">'Смета Внутр'!C284</f>
        <v>м2</v>
      </c>
      <c r="D284" s="1109" t="n">
        <f aca="false">'Смета Внутр'!D284</f>
        <v>0</v>
      </c>
      <c r="E284" s="1104" t="n">
        <f aca="false">'Смета Внутр'!E284</f>
        <v>200</v>
      </c>
      <c r="F284" s="1104" t="n">
        <f aca="false">'Смета Внутр'!F284</f>
        <v>0</v>
      </c>
      <c r="G284" s="1104" t="n">
        <f aca="false">IF(E284&gt;F284,E284,F284)</f>
        <v>200</v>
      </c>
      <c r="H284" s="1104" t="n">
        <f aca="false">'Смета Внутр'!G284</f>
        <v>0</v>
      </c>
      <c r="I284" s="1104" t="n">
        <f aca="false">'Смета Внутр'!H284</f>
        <v>0</v>
      </c>
      <c r="J284" s="1109" t="n">
        <f aca="false">'Смета Внутр'!I284</f>
        <v>0</v>
      </c>
    </row>
    <row r="285" customFormat="false" ht="15" hidden="true" customHeight="true" outlineLevel="0" collapsed="false">
      <c r="B285" s="1104" t="str">
        <f aca="false">'Смета Внутр'!B285</f>
        <v>укладка пленки</v>
      </c>
      <c r="C285" s="1104" t="str">
        <f aca="false">'Смета Внутр'!C285</f>
        <v>м2</v>
      </c>
      <c r="D285" s="1109" t="n">
        <f aca="false">'Смета Внутр'!D285</f>
        <v>64</v>
      </c>
      <c r="E285" s="1104" t="n">
        <f aca="false">'Смета Внутр'!E285</f>
        <v>10</v>
      </c>
      <c r="F285" s="1104" t="n">
        <f aca="false">'Смета Внутр'!F285</f>
        <v>0</v>
      </c>
      <c r="G285" s="1104" t="n">
        <f aca="false">IF(E285&gt;F285,E285,F285)</f>
        <v>10</v>
      </c>
      <c r="H285" s="1104" t="n">
        <f aca="false">'Смета Внутр'!G285</f>
        <v>640</v>
      </c>
      <c r="I285" s="1104" t="n">
        <f aca="false">'Смета Внутр'!H285</f>
        <v>0</v>
      </c>
      <c r="J285" s="1109" t="n">
        <f aca="false">'Смета Внутр'!I285</f>
        <v>0</v>
      </c>
    </row>
    <row r="286" customFormat="false" ht="15" hidden="true" customHeight="true" outlineLevel="0" collapsed="false">
      <c r="B286" s="1104" t="str">
        <f aca="false">'Смета Внутр'!B286</f>
        <v>кладка сетки</v>
      </c>
      <c r="C286" s="1104" t="str">
        <f aca="false">'Смета Внутр'!C286</f>
        <v>м2</v>
      </c>
      <c r="D286" s="1109" t="n">
        <f aca="false">'Смета Внутр'!D286</f>
        <v>64</v>
      </c>
      <c r="E286" s="1104" t="n">
        <f aca="false">'Смета Внутр'!E286</f>
        <v>100</v>
      </c>
      <c r="F286" s="1104" t="n">
        <f aca="false">'Смета Внутр'!F286</f>
        <v>0</v>
      </c>
      <c r="G286" s="1104" t="n">
        <f aca="false">IF(E286&gt;F286,E286,F286)</f>
        <v>100</v>
      </c>
      <c r="H286" s="1104" t="n">
        <f aca="false">'Смета Внутр'!G286</f>
        <v>6400</v>
      </c>
      <c r="I286" s="1104" t="n">
        <f aca="false">'Смета Внутр'!H286</f>
        <v>0</v>
      </c>
      <c r="J286" s="1109" t="n">
        <f aca="false">'Смета Внутр'!I286</f>
        <v>0</v>
      </c>
    </row>
    <row r="287" customFormat="false" ht="15" hidden="true" customHeight="true" outlineLevel="0" collapsed="false">
      <c r="B287" s="1104" t="str">
        <f aca="false">'Смета Внутр'!B287</f>
        <v>укладка теп. Пола</v>
      </c>
      <c r="C287" s="1104" t="str">
        <f aca="false">'Смета Внутр'!C287</f>
        <v>м2</v>
      </c>
      <c r="D287" s="1109" t="n">
        <f aca="false">'Смета Внутр'!D287</f>
        <v>0</v>
      </c>
      <c r="E287" s="1104" t="n">
        <f aca="false">'Смета Внутр'!E287</f>
        <v>600</v>
      </c>
      <c r="F287" s="1104" t="n">
        <f aca="false">'Смета Внутр'!F287</f>
        <v>0</v>
      </c>
      <c r="G287" s="1104" t="n">
        <f aca="false">IF(E287&gt;F287,E287,F287)</f>
        <v>600</v>
      </c>
      <c r="H287" s="1104" t="n">
        <f aca="false">'Смета Внутр'!G287</f>
        <v>0</v>
      </c>
      <c r="I287" s="1104" t="n">
        <f aca="false">'Смета Внутр'!H287</f>
        <v>0</v>
      </c>
      <c r="J287" s="1109" t="n">
        <f aca="false">'Смета Внутр'!I287</f>
        <v>0</v>
      </c>
    </row>
    <row r="288" customFormat="false" ht="15" hidden="true" customHeight="true" outlineLevel="0" collapsed="false">
      <c r="B288" s="1104" t="str">
        <f aca="false">'Смета Внутр'!B288</f>
        <v>Заливка бетоном перекрытия/плиты</v>
      </c>
      <c r="C288" s="1104" t="str">
        <f aca="false">'Смета Внутр'!C288</f>
        <v>м2</v>
      </c>
      <c r="D288" s="1109" t="n">
        <f aca="false">'Смета Внутр'!D288</f>
        <v>64</v>
      </c>
      <c r="E288" s="1104" t="n">
        <f aca="false">'Смета Внутр'!E288</f>
        <v>350</v>
      </c>
      <c r="F288" s="1104" t="n">
        <f aca="false">'Смета Внутр'!F288</f>
        <v>0</v>
      </c>
      <c r="G288" s="1104" t="n">
        <f aca="false">IF(E288&gt;F288,E288,F288)</f>
        <v>350</v>
      </c>
      <c r="H288" s="1104" t="n">
        <f aca="false">'Смета Внутр'!G288</f>
        <v>22400</v>
      </c>
      <c r="I288" s="1104" t="n">
        <f aca="false">'Смета Внутр'!H288</f>
        <v>0</v>
      </c>
      <c r="J288" s="1109" t="n">
        <f aca="false">'Смета Внутр'!I288</f>
        <v>0</v>
      </c>
    </row>
    <row r="289" customFormat="false" ht="15" hidden="true" customHeight="true" outlineLevel="0" collapsed="false">
      <c r="B289" s="1104" t="str">
        <f aca="false">'Смета Внутр'!B289</f>
        <v>заливка бетоном отмостки</v>
      </c>
      <c r="C289" s="1104" t="str">
        <f aca="false">'Смета Внутр'!C289</f>
        <v>м2</v>
      </c>
      <c r="D289" s="1109" t="n">
        <f aca="false">'Смета Внутр'!D289</f>
        <v>0</v>
      </c>
      <c r="E289" s="1104" t="n">
        <f aca="false">'Смета Внутр'!E289</f>
        <v>500</v>
      </c>
      <c r="F289" s="1104" t="n">
        <f aca="false">'Смета Внутр'!F289</f>
        <v>0</v>
      </c>
      <c r="G289" s="1104" t="n">
        <f aca="false">IF(E289&gt;F289,E289,F289)</f>
        <v>500</v>
      </c>
      <c r="H289" s="1104" t="n">
        <f aca="false">'Смета Внутр'!G289</f>
        <v>0</v>
      </c>
      <c r="I289" s="1104" t="n">
        <f aca="false">'Смета Внутр'!H289</f>
        <v>0</v>
      </c>
      <c r="J289" s="1109" t="n">
        <f aca="false">'Смета Внутр'!I289</f>
        <v>0</v>
      </c>
    </row>
    <row r="290" customFormat="false" ht="15" hidden="true" customHeight="true" outlineLevel="0" collapsed="false">
      <c r="B290" s="1104" t="str">
        <f aca="false">'Смета Внутр'!B290</f>
        <v>армирование пол</v>
      </c>
      <c r="C290" s="1104" t="str">
        <f aca="false">'Смета Внутр'!C290</f>
        <v>м2</v>
      </c>
      <c r="D290" s="1109" t="n">
        <f aca="false">'Смета Внутр'!D290</f>
        <v>64</v>
      </c>
      <c r="E290" s="1104" t="n">
        <f aca="false">'Смета Внутр'!E290</f>
        <v>300</v>
      </c>
      <c r="F290" s="1104" t="n">
        <f aca="false">'Смета Внутр'!F290</f>
        <v>0</v>
      </c>
      <c r="G290" s="1104" t="n">
        <f aca="false">IF(E290&gt;F290,E290,F290)</f>
        <v>300</v>
      </c>
      <c r="H290" s="1104" t="n">
        <f aca="false">'Смета Внутр'!G290</f>
        <v>19200</v>
      </c>
      <c r="I290" s="1104" t="n">
        <f aca="false">'Смета Внутр'!H290</f>
        <v>0</v>
      </c>
      <c r="J290" s="1109" t="n">
        <f aca="false">'Смета Внутр'!I290</f>
        <v>0</v>
      </c>
    </row>
    <row r="291" customFormat="false" ht="15" hidden="true" customHeight="true" outlineLevel="0" collapsed="false">
      <c r="B291" s="1104" t="str">
        <f aca="false">'Смета Внутр'!B291</f>
        <v>армирование отмостки</v>
      </c>
      <c r="C291" s="1104" t="str">
        <f aca="false">'Смета Внутр'!C291</f>
        <v>м2</v>
      </c>
      <c r="D291" s="1109" t="n">
        <f aca="false">'Смета Внутр'!D291</f>
        <v>0</v>
      </c>
      <c r="E291" s="1104" t="n">
        <f aca="false">'Смета Внутр'!E291</f>
        <v>350</v>
      </c>
      <c r="F291" s="1104" t="n">
        <f aca="false">'Смета Внутр'!F291</f>
        <v>0</v>
      </c>
      <c r="G291" s="1104" t="n">
        <f aca="false">IF(E291&gt;F291,E291,F291)</f>
        <v>350</v>
      </c>
      <c r="H291" s="1104" t="n">
        <f aca="false">'Смета Внутр'!G291</f>
        <v>0</v>
      </c>
      <c r="I291" s="1104" t="n">
        <f aca="false">'Смета Внутр'!H291</f>
        <v>0</v>
      </c>
      <c r="J291" s="1109" t="n">
        <f aca="false">'Смета Внутр'!I291</f>
        <v>0</v>
      </c>
    </row>
    <row r="292" customFormat="false" ht="15" hidden="true" customHeight="true" outlineLevel="0" collapsed="false">
      <c r="B292" s="1104" t="str">
        <f aca="false">'Смета Внутр'!B292</f>
        <v>монтаж канализации</v>
      </c>
      <c r="C292" s="1104" t="str">
        <f aca="false">'Смета Внутр'!C292</f>
        <v>м.п.</v>
      </c>
      <c r="D292" s="1109" t="n">
        <f aca="false">'Смета Внутр'!D292</f>
        <v>10</v>
      </c>
      <c r="E292" s="1104" t="n">
        <f aca="false">'Смета Внутр'!E292</f>
        <v>200</v>
      </c>
      <c r="F292" s="1104" t="n">
        <f aca="false">'Смета Внутр'!F292</f>
        <v>0</v>
      </c>
      <c r="G292" s="1104" t="n">
        <f aca="false">IF(E292&gt;F292,E292,F292)</f>
        <v>200</v>
      </c>
      <c r="H292" s="1104" t="n">
        <f aca="false">'Смета Внутр'!G292</f>
        <v>2000</v>
      </c>
      <c r="I292" s="1104" t="n">
        <f aca="false">'Смета Внутр'!H292</f>
        <v>0</v>
      </c>
      <c r="J292" s="1109" t="n">
        <f aca="false">'Смета Внутр'!I292</f>
        <v>0</v>
      </c>
    </row>
    <row r="293" customFormat="false" ht="15" hidden="true" customHeight="true" outlineLevel="0" collapsed="false">
      <c r="B293" s="1104" t="str">
        <f aca="false">'Смета Внутр'!B293</f>
        <v>укладка геотекстиля</v>
      </c>
      <c r="C293" s="1104" t="str">
        <f aca="false">'Смета Внутр'!C293</f>
        <v>м2</v>
      </c>
      <c r="D293" s="1109" t="n">
        <f aca="false">'Смета Внутр'!D293</f>
        <v>64</v>
      </c>
      <c r="E293" s="1104" t="n">
        <f aca="false">'Смета Внутр'!E293</f>
        <v>200</v>
      </c>
      <c r="F293" s="1104" t="n">
        <f aca="false">'Смета Внутр'!F293</f>
        <v>0</v>
      </c>
      <c r="G293" s="1104" t="n">
        <f aca="false">IF(E293&gt;F293,E293,F293)</f>
        <v>200</v>
      </c>
      <c r="H293" s="1104" t="n">
        <f aca="false">'Смета Внутр'!G293</f>
        <v>12800</v>
      </c>
      <c r="I293" s="1104" t="n">
        <f aca="false">'Смета Внутр'!H293</f>
        <v>0</v>
      </c>
      <c r="J293" s="1109" t="n">
        <f aca="false">'Смета Внутр'!I293</f>
        <v>0</v>
      </c>
    </row>
    <row r="294" customFormat="false" ht="15" hidden="true" customHeight="true" outlineLevel="0" collapsed="false">
      <c r="B294" s="1104" t="str">
        <f aca="false">'Смета Внутр'!B294</f>
        <v>укладка дренажа</v>
      </c>
      <c r="C294" s="1104" t="str">
        <f aca="false">'Смета Внутр'!C294</f>
        <v>м2</v>
      </c>
      <c r="D294" s="1109" t="n">
        <f aca="false">'Смета Внутр'!D294</f>
        <v>53</v>
      </c>
      <c r="E294" s="1104" t="n">
        <f aca="false">'Смета Внутр'!E294</f>
        <v>200</v>
      </c>
      <c r="F294" s="1104" t="n">
        <f aca="false">'Смета Внутр'!F294</f>
        <v>0</v>
      </c>
      <c r="G294" s="1104" t="n">
        <f aca="false">IF(E294&gt;F294,E294,F294)</f>
        <v>200</v>
      </c>
      <c r="H294" s="1104" t="n">
        <f aca="false">'Смета Внутр'!G294</f>
        <v>10600</v>
      </c>
      <c r="I294" s="1104" t="n">
        <f aca="false">'Смета Внутр'!H294</f>
        <v>0</v>
      </c>
      <c r="J294" s="1109" t="n">
        <f aca="false">'Смета Внутр'!I294</f>
        <v>0</v>
      </c>
    </row>
    <row r="295" customFormat="false" ht="15" hidden="true" customHeight="true" outlineLevel="0" collapsed="false">
      <c r="B295" s="1104" t="str">
        <f aca="false">'Смета Внутр'!B295</f>
        <v>монтаж дренажного колодца</v>
      </c>
      <c r="C295" s="1104" t="str">
        <f aca="false">'Смета Внутр'!C295</f>
        <v>шт</v>
      </c>
      <c r="D295" s="1109" t="n">
        <f aca="false">'Смета Внутр'!D295</f>
        <v>6</v>
      </c>
      <c r="E295" s="1104" t="n">
        <f aca="false">'Смета Внутр'!E295</f>
        <v>300</v>
      </c>
      <c r="F295" s="1104" t="n">
        <f aca="false">'Смета Внутр'!F295</f>
        <v>0</v>
      </c>
      <c r="G295" s="1104" t="n">
        <f aca="false">IF(E295&gt;F295,E295,F295)</f>
        <v>300</v>
      </c>
      <c r="H295" s="1104" t="n">
        <f aca="false">'Смета Внутр'!G295</f>
        <v>1800</v>
      </c>
      <c r="I295" s="1104" t="n">
        <f aca="false">'Смета Внутр'!H295</f>
        <v>0</v>
      </c>
      <c r="J295" s="1109" t="n">
        <f aca="false">'Смета Внутр'!I295</f>
        <v>0</v>
      </c>
    </row>
    <row r="296" customFormat="false" ht="15" hidden="true" customHeight="true" outlineLevel="0" collapsed="false">
      <c r="B296" s="1108" t="str">
        <f aca="false">'Смета Внутр'!B296</f>
        <v>Итого работы</v>
      </c>
      <c r="C296" s="1108"/>
      <c r="D296" s="1108"/>
      <c r="E296" s="1108"/>
      <c r="F296" s="1108"/>
      <c r="G296" s="1108"/>
      <c r="H296" s="1104" t="n">
        <f aca="false">'Смета Внутр'!G296</f>
        <v>0</v>
      </c>
      <c r="I296" s="1104" t="n">
        <f aca="false">'Смета Внутр'!H296</f>
        <v>0</v>
      </c>
      <c r="J296" s="1109" t="n">
        <f aca="false">'Смета Внутр'!I296</f>
        <v>0</v>
      </c>
    </row>
    <row r="297" customFormat="false" ht="15" hidden="true" customHeight="true" outlineLevel="0" collapsed="false">
      <c r="B297" s="1111" t="str">
        <f aca="false">'Смета Внутр'!B297</f>
        <v>Сип-Панели</v>
      </c>
      <c r="C297" s="1111"/>
      <c r="D297" s="1111"/>
      <c r="H297" s="118" t="n">
        <f aca="false">'Смета Внутр'!G297</f>
        <v>0</v>
      </c>
      <c r="I297" s="118" t="n">
        <f aca="false">'Смета Внутр'!H297</f>
        <v>0</v>
      </c>
      <c r="J297" s="1102" t="n">
        <f aca="false">'Смета Внутр'!I297</f>
        <v>0</v>
      </c>
    </row>
    <row r="298" customFormat="false" ht="15" hidden="true" customHeight="true" outlineLevel="0" collapsed="false">
      <c r="B298" s="118" t="str">
        <f aca="false">'Смета Внутр'!B298</f>
        <v>Материалы</v>
      </c>
      <c r="H298" s="118" t="n">
        <f aca="false">'Смета Внутр'!G298</f>
        <v>0</v>
      </c>
      <c r="I298" s="118" t="n">
        <f aca="false">'Смета Внутр'!H298</f>
        <v>0</v>
      </c>
      <c r="J298" s="1102" t="n">
        <f aca="false">'Смета Внутр'!I298</f>
        <v>0</v>
      </c>
    </row>
    <row r="299" customFormat="false" ht="15" hidden="true" customHeight="true" outlineLevel="0" collapsed="false">
      <c r="B299" s="1104" t="str">
        <f aca="false">'Смета Внутр'!B299</f>
        <v>Доска сухая калиброванная, 190*45мм</v>
      </c>
      <c r="C299" s="1104" t="str">
        <f aca="false">'Смета Внутр'!C299</f>
        <v>м3</v>
      </c>
      <c r="D299" s="1109" t="n">
        <f aca="false">'Смета Внутр'!D299</f>
        <v>0.790875</v>
      </c>
      <c r="E299" s="1104" t="n">
        <f aca="false">'Смета Внутр'!E299</f>
        <v>12500</v>
      </c>
      <c r="F299" s="1104" t="n">
        <f aca="false">'Смета Внутр'!F299</f>
        <v>0</v>
      </c>
      <c r="G299" s="1104" t="n">
        <f aca="false">IF(E299&gt;F299,E299,F299)</f>
        <v>12500</v>
      </c>
      <c r="H299" s="1104" t="n">
        <f aca="false">'Смета Внутр'!G299</f>
        <v>9885.9375</v>
      </c>
      <c r="I299" s="1104" t="n">
        <f aca="false">'Смета Внутр'!H299</f>
        <v>0</v>
      </c>
      <c r="J299" s="1109" t="n">
        <f aca="false">'Смета Внутр'!I299</f>
        <v>0</v>
      </c>
    </row>
    <row r="300" customFormat="false" ht="15" hidden="true" customHeight="true" outlineLevel="0" collapsed="false">
      <c r="B300" s="1104" t="str">
        <f aca="false">'Смета Внутр'!B300</f>
        <v>обработка мастикой</v>
      </c>
      <c r="C300" s="1104" t="str">
        <f aca="false">'Смета Внутр'!C300</f>
        <v>л</v>
      </c>
      <c r="D300" s="1109" t="n">
        <f aca="false">'Смета Внутр'!D300</f>
        <v>5.536125</v>
      </c>
      <c r="E300" s="1104" t="n">
        <f aca="false">'Смета Внутр'!E300</f>
        <v>60</v>
      </c>
      <c r="F300" s="1104" t="n">
        <f aca="false">'Смета Внутр'!F300</f>
        <v>0</v>
      </c>
      <c r="G300" s="1104" t="n">
        <f aca="false">IF(E300&gt;F300,E300,F300)</f>
        <v>60</v>
      </c>
      <c r="H300" s="1104" t="n">
        <f aca="false">'Смета Внутр'!G300</f>
        <v>332.1675</v>
      </c>
      <c r="I300" s="1104" t="n">
        <f aca="false">'Смета Внутр'!H300</f>
        <v>0</v>
      </c>
      <c r="J300" s="1109" t="n">
        <f aca="false">'Смета Внутр'!I300</f>
        <v>0</v>
      </c>
    </row>
    <row r="301" customFormat="false" ht="15" hidden="true" customHeight="true" outlineLevel="0" collapsed="false">
      <c r="B301" s="1104" t="str">
        <f aca="false">'Смета Внутр'!B301</f>
        <v>Sip панель 2800*1250*174мм</v>
      </c>
      <c r="C301" s="1104" t="str">
        <f aca="false">'Смета Внутр'!C301</f>
        <v>м2</v>
      </c>
      <c r="D301" s="1109" t="n">
        <f aca="false">'Смета Внутр'!D301</f>
        <v>-2.64</v>
      </c>
      <c r="E301" s="1104" t="n">
        <f aca="false">'Смета Внутр'!E301</f>
        <v>1200</v>
      </c>
      <c r="F301" s="1104" t="n">
        <f aca="false">'Смета Внутр'!F301</f>
        <v>0</v>
      </c>
      <c r="G301" s="1104" t="n">
        <f aca="false">IF(E301&gt;F301,E301,F301)</f>
        <v>1200</v>
      </c>
      <c r="H301" s="1104" t="n">
        <f aca="false">'Смета Внутр'!G301</f>
        <v>-3168</v>
      </c>
      <c r="I301" s="1104" t="n">
        <f aca="false">'Смета Внутр'!H301</f>
        <v>0</v>
      </c>
      <c r="J301" s="1109" t="n">
        <f aca="false">'Смета Внутр'!I301</f>
        <v>0</v>
      </c>
    </row>
    <row r="302" customFormat="false" ht="15" hidden="true" customHeight="true" outlineLevel="0" collapsed="false">
      <c r="B302" s="1104" t="str">
        <f aca="false">'Смета Внутр'!B302</f>
        <v>Sip панель 2800*1250*174мм</v>
      </c>
      <c r="C302" s="1104" t="str">
        <f aca="false">'Смета Внутр'!C302</f>
        <v>м2</v>
      </c>
      <c r="D302" s="1109" t="n">
        <f aca="false">'Смета Внутр'!D302</f>
        <v>0</v>
      </c>
      <c r="E302" s="1104" t="n">
        <f aca="false">'Смета Внутр'!E302</f>
        <v>1200</v>
      </c>
      <c r="F302" s="1104" t="n">
        <f aca="false">'Смета Внутр'!F302</f>
        <v>0</v>
      </c>
      <c r="G302" s="1104" t="n">
        <f aca="false">IF(E302&gt;F302,E302,F302)</f>
        <v>1200</v>
      </c>
      <c r="H302" s="1104" t="n">
        <f aca="false">'Смета Внутр'!G302</f>
        <v>0</v>
      </c>
      <c r="I302" s="1104" t="n">
        <f aca="false">'Смета Внутр'!H302</f>
        <v>0</v>
      </c>
      <c r="J302" s="1109" t="n">
        <f aca="false">'Смета Внутр'!I302</f>
        <v>0</v>
      </c>
    </row>
    <row r="303" customFormat="false" ht="15" hidden="true" customHeight="true" outlineLevel="0" collapsed="false">
      <c r="B303" s="1104" t="str">
        <f aca="false">'Смета Внутр'!B303</f>
        <v>Sip панель 2800*1250*124мм</v>
      </c>
      <c r="C303" s="1104" t="str">
        <f aca="false">'Смета Внутр'!C303</f>
        <v>м2</v>
      </c>
      <c r="D303" s="1109" t="n">
        <f aca="false">'Смета Внутр'!D303</f>
        <v>0</v>
      </c>
      <c r="E303" s="1104" t="n">
        <f aca="false">'Смета Внутр'!E303</f>
        <v>800</v>
      </c>
      <c r="F303" s="1104" t="n">
        <f aca="false">'Смета Внутр'!F303</f>
        <v>0</v>
      </c>
      <c r="G303" s="1104" t="n">
        <f aca="false">IF(E303&gt;F303,E303,F303)</f>
        <v>800</v>
      </c>
      <c r="H303" s="1104" t="n">
        <f aca="false">'Смета Внутр'!G303</f>
        <v>0</v>
      </c>
      <c r="I303" s="1104" t="n">
        <f aca="false">'Смета Внутр'!H303</f>
        <v>0</v>
      </c>
      <c r="J303" s="1109" t="n">
        <f aca="false">'Смета Внутр'!I303</f>
        <v>0</v>
      </c>
    </row>
    <row r="304" customFormat="false" ht="15" hidden="true" customHeight="true" outlineLevel="0" collapsed="false">
      <c r="B304" s="1104" t="str">
        <f aca="false">'Смета Внутр'!B304</f>
        <v>Болты анкерные с гайкой 12,0 х 280          </v>
      </c>
      <c r="C304" s="1104" t="str">
        <f aca="false">'Смета Внутр'!C304</f>
        <v>шт</v>
      </c>
      <c r="D304" s="1109" t="n">
        <f aca="false">'Смета Внутр'!D304</f>
        <v>96</v>
      </c>
      <c r="E304" s="1104" t="n">
        <f aca="false">'Смета Внутр'!E304</f>
        <v>27.1</v>
      </c>
      <c r="F304" s="1104" t="n">
        <f aca="false">'Смета Внутр'!F304</f>
        <v>0</v>
      </c>
      <c r="G304" s="1104" t="n">
        <f aca="false">IF(E304&gt;F304,E304,F304)</f>
        <v>27.1</v>
      </c>
      <c r="H304" s="1104" t="n">
        <f aca="false">'Смета Внутр'!G304</f>
        <v>2601.6</v>
      </c>
      <c r="I304" s="1104" t="n">
        <f aca="false">'Смета Внутр'!H304</f>
        <v>0</v>
      </c>
      <c r="J304" s="1109" t="n">
        <f aca="false">'Смета Внутр'!I304</f>
        <v>0</v>
      </c>
    </row>
    <row r="305" customFormat="false" ht="15" hidden="true" customHeight="true" outlineLevel="0" collapsed="false">
      <c r="B305" s="1104" t="str">
        <f aca="false">'Смета Внутр'!B305</f>
        <v>обвязка наружние стены верх низ</v>
      </c>
      <c r="C305" s="1104" t="str">
        <f aca="false">'Смета Внутр'!C305</f>
        <v>м3</v>
      </c>
      <c r="D305" s="1109" t="n">
        <f aca="false">'Смета Внутр'!D305</f>
        <v>0.96</v>
      </c>
      <c r="E305" s="1104" t="n">
        <f aca="false">'Смета Внутр'!E305</f>
        <v>9000</v>
      </c>
      <c r="F305" s="1104" t="n">
        <f aca="false">'Смета Внутр'!F305</f>
        <v>0</v>
      </c>
      <c r="G305" s="1104" t="n">
        <f aca="false">IF(E305&gt;F305,E305,F305)</f>
        <v>9000</v>
      </c>
      <c r="H305" s="1104" t="n">
        <f aca="false">'Смета Внутр'!G305</f>
        <v>8640</v>
      </c>
      <c r="I305" s="1104" t="n">
        <f aca="false">'Смета Внутр'!H305</f>
        <v>0</v>
      </c>
      <c r="J305" s="1109" t="n">
        <f aca="false">'Смета Внутр'!I305</f>
        <v>0</v>
      </c>
    </row>
    <row r="306" customFormat="false" ht="15" hidden="true" customHeight="true" outlineLevel="0" collapsed="false">
      <c r="B306" s="1104" t="str">
        <f aca="false">'Смета Внутр'!B306</f>
        <v>обвязка несущие перегородки верх низ</v>
      </c>
      <c r="C306" s="1104" t="str">
        <f aca="false">'Смета Внутр'!C306</f>
        <v>м3</v>
      </c>
      <c r="D306" s="1109" t="n">
        <f aca="false">'Смета Внутр'!D306</f>
        <v>0.4275</v>
      </c>
      <c r="E306" s="1104" t="n">
        <f aca="false">'Смета Внутр'!E306</f>
        <v>9000</v>
      </c>
      <c r="F306" s="1104" t="n">
        <f aca="false">'Смета Внутр'!F306</f>
        <v>0</v>
      </c>
      <c r="G306" s="1104" t="n">
        <f aca="false">IF(E306&gt;F306,E306,F306)</f>
        <v>9000</v>
      </c>
      <c r="H306" s="1104" t="n">
        <f aca="false">'Смета Внутр'!G306</f>
        <v>3847.5</v>
      </c>
      <c r="I306" s="1104" t="n">
        <f aca="false">'Смета Внутр'!H306</f>
        <v>0</v>
      </c>
      <c r="J306" s="1109" t="n">
        <f aca="false">'Смета Внутр'!I306</f>
        <v>0</v>
      </c>
    </row>
    <row r="307" customFormat="false" ht="15" hidden="true" customHeight="true" outlineLevel="0" collapsed="false">
      <c r="B307" s="1104" t="str">
        <f aca="false">'Смета Внутр'!B307</f>
        <v>обвязка несущие перегородки верх низ</v>
      </c>
      <c r="C307" s="1104" t="str">
        <f aca="false">'Смета Внутр'!C307</f>
        <v>м3</v>
      </c>
      <c r="D307" s="1109" t="n">
        <f aca="false">'Смета Внутр'!D307</f>
        <v>0.117</v>
      </c>
      <c r="E307" s="1104" t="n">
        <f aca="false">'Смета Внутр'!E307</f>
        <v>9000</v>
      </c>
      <c r="F307" s="1104" t="n">
        <f aca="false">'Смета Внутр'!F307</f>
        <v>0</v>
      </c>
      <c r="G307" s="1104" t="n">
        <f aca="false">IF(E307&gt;F307,E307,F307)</f>
        <v>9000</v>
      </c>
      <c r="H307" s="1104" t="n">
        <f aca="false">'Смета Внутр'!G307</f>
        <v>1053</v>
      </c>
      <c r="I307" s="1104" t="n">
        <f aca="false">'Смета Внутр'!H307</f>
        <v>0</v>
      </c>
      <c r="J307" s="1109" t="n">
        <f aca="false">'Смета Внутр'!I307</f>
        <v>0</v>
      </c>
    </row>
    <row r="308" customFormat="false" ht="15" hidden="true" customHeight="true" outlineLevel="0" collapsed="false">
      <c r="B308" s="1104" t="str">
        <f aca="false">'Смета Внутр'!B308</f>
        <v>стойки наружние стены</v>
      </c>
      <c r="C308" s="1104" t="str">
        <f aca="false">'Смета Внутр'!C308</f>
        <v>м3</v>
      </c>
      <c r="D308" s="1109" t="n">
        <f aca="false">'Смета Внутр'!D308</f>
        <v>0</v>
      </c>
      <c r="E308" s="1104" t="n">
        <f aca="false">'Смета Внутр'!E308</f>
        <v>9000</v>
      </c>
      <c r="F308" s="1104" t="n">
        <f aca="false">'Смета Внутр'!F308</f>
        <v>0</v>
      </c>
      <c r="G308" s="1104" t="n">
        <f aca="false">IF(E308&gt;F308,E308,F308)</f>
        <v>9000</v>
      </c>
      <c r="H308" s="1104" t="n">
        <f aca="false">'Смета Внутр'!G308</f>
        <v>0</v>
      </c>
      <c r="I308" s="1104" t="n">
        <f aca="false">'Смета Внутр'!H308</f>
        <v>0</v>
      </c>
      <c r="J308" s="1109" t="n">
        <f aca="false">'Смета Внутр'!I308</f>
        <v>0</v>
      </c>
    </row>
    <row r="309" customFormat="false" ht="15" hidden="true" customHeight="true" outlineLevel="0" collapsed="false">
      <c r="B309" s="1104" t="str">
        <f aca="false">'Смета Внутр'!B309</f>
        <v>стойки перегородки несущие</v>
      </c>
      <c r="C309" s="1104" t="str">
        <f aca="false">'Смета Внутр'!C309</f>
        <v>м3</v>
      </c>
      <c r="D309" s="1109" t="n">
        <f aca="false">'Смета Внутр'!D309</f>
        <v>0</v>
      </c>
      <c r="E309" s="1104" t="n">
        <f aca="false">'Смета Внутр'!E309</f>
        <v>9000</v>
      </c>
      <c r="F309" s="1104" t="n">
        <f aca="false">'Смета Внутр'!F309</f>
        <v>0</v>
      </c>
      <c r="G309" s="1104" t="n">
        <f aca="false">IF(E309&gt;F309,E309,F309)</f>
        <v>9000</v>
      </c>
      <c r="H309" s="1104" t="n">
        <f aca="false">'Смета Внутр'!G309</f>
        <v>0</v>
      </c>
      <c r="I309" s="1104" t="n">
        <f aca="false">'Смета Внутр'!H309</f>
        <v>0</v>
      </c>
      <c r="J309" s="1109" t="n">
        <f aca="false">'Смета Внутр'!I309</f>
        <v>0</v>
      </c>
    </row>
    <row r="310" customFormat="false" ht="15" hidden="true" customHeight="true" outlineLevel="0" collapsed="false">
      <c r="B310" s="1104" t="str">
        <f aca="false">'Смета Внутр'!B310</f>
        <v>Стойки перегородки простые</v>
      </c>
      <c r="C310" s="1104" t="str">
        <f aca="false">'Смета Внутр'!C310</f>
        <v>м3</v>
      </c>
      <c r="D310" s="1109" t="n">
        <f aca="false">'Смета Внутр'!D310</f>
        <v>0</v>
      </c>
      <c r="E310" s="1104" t="n">
        <f aca="false">'Смета Внутр'!E310</f>
        <v>9000</v>
      </c>
      <c r="F310" s="1104" t="n">
        <f aca="false">'Смета Внутр'!F310</f>
        <v>0</v>
      </c>
      <c r="G310" s="1104" t="n">
        <f aca="false">IF(E310&gt;F310,E310,F310)</f>
        <v>9000</v>
      </c>
      <c r="H310" s="1104" t="n">
        <f aca="false">'Смета Внутр'!G310</f>
        <v>0</v>
      </c>
      <c r="I310" s="1104" t="n">
        <f aca="false">'Смета Внутр'!H310</f>
        <v>0</v>
      </c>
      <c r="J310" s="1109" t="n">
        <f aca="false">'Смета Внутр'!I310</f>
        <v>0</v>
      </c>
    </row>
    <row r="311" customFormat="false" ht="15" hidden="true" customHeight="true" outlineLevel="0" collapsed="false">
      <c r="B311" s="1104" t="str">
        <f aca="false">'Смета Внутр'!B311</f>
        <v>брус, обвязка кровли, сип панели</v>
      </c>
      <c r="C311" s="1104" t="str">
        <f aca="false">'Смета Внутр'!C311</f>
        <v>м3</v>
      </c>
      <c r="D311" s="1109" t="n">
        <f aca="false">'Смета Внутр'!D311</f>
        <v>-0.276509716980849</v>
      </c>
      <c r="E311" s="1104" t="n">
        <f aca="false">'Смета Внутр'!E311</f>
        <v>0</v>
      </c>
      <c r="F311" s="1104" t="n">
        <f aca="false">'Смета Внутр'!F311</f>
        <v>0</v>
      </c>
      <c r="G311" s="1104" t="n">
        <f aca="false">IF(E311&gt;F311,E311,F311)</f>
        <v>0</v>
      </c>
      <c r="H311" s="1104" t="n">
        <f aca="false">'Смета Внутр'!G311</f>
        <v>0</v>
      </c>
      <c r="I311" s="1104" t="n">
        <f aca="false">'Смета Внутр'!H311</f>
        <v>0</v>
      </c>
      <c r="J311" s="1109" t="n">
        <f aca="false">'Смета Внутр'!I311</f>
        <v>0</v>
      </c>
    </row>
    <row r="312" customFormat="false" ht="15" hidden="true" customHeight="true" outlineLevel="0" collapsed="false">
      <c r="B312" s="1104" t="str">
        <f aca="false">'Смета Внутр'!B312</f>
        <v>торцевая доска, кровля, сип панели</v>
      </c>
      <c r="C312" s="1104" t="str">
        <f aca="false">'Смета Внутр'!C312</f>
        <v>м3</v>
      </c>
      <c r="D312" s="1109" t="n">
        <f aca="false">'Смета Внутр'!D312</f>
        <v>0.276509716980849</v>
      </c>
      <c r="E312" s="1104" t="n">
        <f aca="false">'Смета Внутр'!E312</f>
        <v>0</v>
      </c>
      <c r="F312" s="1104" t="n">
        <f aca="false">'Смета Внутр'!F312</f>
        <v>0</v>
      </c>
      <c r="G312" s="1104" t="n">
        <f aca="false">IF(E312&gt;F312,E312,F312)</f>
        <v>0</v>
      </c>
      <c r="H312" s="1104" t="n">
        <f aca="false">'Смета Внутр'!G312</f>
        <v>0</v>
      </c>
      <c r="I312" s="1104" t="n">
        <f aca="false">'Смета Внутр'!H312</f>
        <v>0</v>
      </c>
      <c r="J312" s="1109" t="n">
        <f aca="false">'Смета Внутр'!I312</f>
        <v>0</v>
      </c>
    </row>
    <row r="313" customFormat="false" ht="15" hidden="true" customHeight="true" outlineLevel="0" collapsed="false">
      <c r="B313" s="1104" t="str">
        <f aca="false">'Смета Внутр'!B313</f>
        <v>Нет </v>
      </c>
      <c r="C313" s="1104" t="str">
        <f aca="false">'Смета Внутр'!C313</f>
        <v>м2</v>
      </c>
      <c r="D313" s="1109" t="n">
        <f aca="false">'Смета Внутр'!D313</f>
        <v>105.780913567754</v>
      </c>
      <c r="E313" s="1104" t="n">
        <f aca="false">'Смета Внутр'!E313</f>
        <v>0</v>
      </c>
      <c r="F313" s="1104" t="n">
        <f aca="false">'Смета Внутр'!F313</f>
        <v>0</v>
      </c>
      <c r="G313" s="1104" t="n">
        <f aca="false">IF(E313&gt;F313,E313,F313)</f>
        <v>0</v>
      </c>
      <c r="H313" s="1104" t="n">
        <f aca="false">'Смета Внутр'!G313</f>
        <v>0</v>
      </c>
      <c r="I313" s="1104" t="n">
        <f aca="false">'Смета Внутр'!H313</f>
        <v>0</v>
      </c>
      <c r="J313" s="1109" t="n">
        <f aca="false">'Смета Внутр'!I313</f>
        <v>0</v>
      </c>
    </row>
    <row r="314" customFormat="false" ht="15" hidden="true" customHeight="true" outlineLevel="0" collapsed="false">
      <c r="B314" s="1104" t="str">
        <f aca="false">'Смета Внутр'!B314</f>
        <v>Пена монтажная, всесезонняя 800мл</v>
      </c>
      <c r="C314" s="1104" t="str">
        <f aca="false">'Смета Внутр'!C314</f>
        <v>шт</v>
      </c>
      <c r="D314" s="1109" t="n">
        <f aca="false">'Смета Внутр'!D314</f>
        <v>12.8</v>
      </c>
      <c r="E314" s="1104" t="n">
        <f aca="false">'Смета Внутр'!E314</f>
        <v>300</v>
      </c>
      <c r="F314" s="1104" t="n">
        <f aca="false">'Смета Внутр'!F314</f>
        <v>0</v>
      </c>
      <c r="G314" s="1104" t="n">
        <f aca="false">IF(E314&gt;F314,E314,F314)</f>
        <v>300</v>
      </c>
      <c r="H314" s="1104" t="n">
        <f aca="false">'Смета Внутр'!G314</f>
        <v>3840</v>
      </c>
      <c r="I314" s="1104" t="n">
        <f aca="false">'Смета Внутр'!H314</f>
        <v>0</v>
      </c>
      <c r="J314" s="1109" t="n">
        <f aca="false">'Смета Внутр'!I314</f>
        <v>0</v>
      </c>
    </row>
    <row r="315" customFormat="false" ht="15" hidden="true" customHeight="true" outlineLevel="0" collapsed="false">
      <c r="B315" s="1104" t="str">
        <f aca="false">'Смета Внутр'!B315</f>
        <v>Саморезы 3,5 x 55            </v>
      </c>
      <c r="C315" s="1104" t="str">
        <f aca="false">'Смета Внутр'!C315</f>
        <v>кг</v>
      </c>
      <c r="D315" s="1109" t="n">
        <f aca="false">'Смета Внутр'!D315</f>
        <v>11.3187275711836</v>
      </c>
      <c r="E315" s="1104" t="n">
        <f aca="false">'Смета Внутр'!E315</f>
        <v>105.62</v>
      </c>
      <c r="F315" s="1104" t="n">
        <f aca="false">'Смета Внутр'!F315</f>
        <v>0</v>
      </c>
      <c r="G315" s="1104" t="n">
        <f aca="false">IF(E315&gt;F315,E315,F315)</f>
        <v>105.62</v>
      </c>
      <c r="H315" s="1104" t="n">
        <f aca="false">'Смета Внутр'!G315</f>
        <v>1195.48400606841</v>
      </c>
      <c r="I315" s="1104" t="n">
        <f aca="false">'Смета Внутр'!H315</f>
        <v>0</v>
      </c>
      <c r="J315" s="1109" t="n">
        <f aca="false">'Смета Внутр'!I315</f>
        <v>0</v>
      </c>
    </row>
    <row r="316" customFormat="false" ht="15" hidden="true" customHeight="true" outlineLevel="0" collapsed="false">
      <c r="B316" s="1104" t="str">
        <f aca="false">'Смета Внутр'!B316</f>
        <v>Саморезы 4,2 x 90            </v>
      </c>
      <c r="C316" s="1104" t="str">
        <f aca="false">'Смета Внутр'!C316</f>
        <v>шт</v>
      </c>
      <c r="D316" s="1109" t="n">
        <f aca="false">'Смета Внутр'!D316</f>
        <v>11.3187275711836</v>
      </c>
      <c r="E316" s="1104" t="n">
        <f aca="false">'Смета Внутр'!E316</f>
        <v>107.62</v>
      </c>
      <c r="F316" s="1104" t="n">
        <f aca="false">'Смета Внутр'!F316</f>
        <v>0</v>
      </c>
      <c r="G316" s="1104" t="n">
        <f aca="false">IF(E316&gt;F316,E316,F316)</f>
        <v>107.62</v>
      </c>
      <c r="H316" s="1104" t="n">
        <f aca="false">'Смета Внутр'!G316</f>
        <v>1218.12146121078</v>
      </c>
      <c r="I316" s="1104" t="n">
        <f aca="false">'Смета Внутр'!H316</f>
        <v>0</v>
      </c>
      <c r="J316" s="1109" t="n">
        <f aca="false">'Смета Внутр'!I316</f>
        <v>0</v>
      </c>
    </row>
    <row r="317" customFormat="false" ht="15" hidden="true" customHeight="false" outlineLevel="0" collapsed="false">
      <c r="B317" s="1108" t="str">
        <f aca="false">'Смета Внутр'!B317</f>
        <v>Итого материалы</v>
      </c>
      <c r="C317" s="1108"/>
      <c r="D317" s="1108"/>
      <c r="E317" s="1108"/>
      <c r="F317" s="1108"/>
      <c r="G317" s="1108"/>
      <c r="H317" s="1104" t="n">
        <f aca="false">'Смета Внутр'!G317</f>
        <v>0</v>
      </c>
      <c r="I317" s="1104" t="n">
        <f aca="false">'Смета Внутр'!H317</f>
        <v>0</v>
      </c>
      <c r="J317" s="1109" t="n">
        <f aca="false">'Смета Внутр'!I317</f>
        <v>0</v>
      </c>
    </row>
    <row r="318" customFormat="false" ht="15" hidden="true" customHeight="true" outlineLevel="0" collapsed="false">
      <c r="B318" s="118" t="str">
        <f aca="false">'Смета Внутр'!B318</f>
        <v>Работы</v>
      </c>
      <c r="H318" s="118" t="n">
        <f aca="false">'Смета Внутр'!G318</f>
        <v>0</v>
      </c>
      <c r="I318" s="118" t="n">
        <f aca="false">'Смета Внутр'!H318</f>
        <v>0</v>
      </c>
      <c r="J318" s="1102" t="n">
        <f aca="false">'Смета Внутр'!I318</f>
        <v>0</v>
      </c>
    </row>
    <row r="319" customFormat="false" ht="15" hidden="true" customHeight="true" outlineLevel="0" collapsed="false">
      <c r="B319" s="1104" t="str">
        <f aca="false">'Смета Внутр'!B319</f>
        <v>монтаж обвязочного бруса</v>
      </c>
      <c r="C319" s="1104" t="str">
        <f aca="false">'Смета Внутр'!C319</f>
        <v>м.п.</v>
      </c>
      <c r="D319" s="1109" t="n">
        <f aca="false">'Смета Внутр'!D319</f>
        <v>48</v>
      </c>
      <c r="E319" s="1104" t="n">
        <f aca="false">'Смета Внутр'!E319</f>
        <v>200</v>
      </c>
      <c r="F319" s="1104" t="n">
        <f aca="false">'Смета Внутр'!F319</f>
        <v>0</v>
      </c>
      <c r="G319" s="1104" t="n">
        <f aca="false">IF(E319&gt;F319,E319,F319)</f>
        <v>200</v>
      </c>
      <c r="H319" s="1104" t="n">
        <f aca="false">'Смета Внутр'!G319</f>
        <v>9600</v>
      </c>
      <c r="I319" s="1104" t="n">
        <f aca="false">'Смета Внутр'!H319</f>
        <v>0</v>
      </c>
      <c r="J319" s="1109" t="n">
        <f aca="false">'Смета Внутр'!I319</f>
        <v>0</v>
      </c>
    </row>
    <row r="320" customFormat="false" ht="15" hidden="true" customHeight="true" outlineLevel="0" collapsed="false">
      <c r="B320" s="1104" t="str">
        <f aca="false">'Смета Внутр'!B320</f>
        <v>обработка мастикой</v>
      </c>
      <c r="C320" s="1104" t="str">
        <f aca="false">'Смета Внутр'!C320</f>
        <v>м.п.</v>
      </c>
      <c r="D320" s="1109" t="n">
        <f aca="false">'Смета Внутр'!D320</f>
        <v>48</v>
      </c>
      <c r="E320" s="1104" t="n">
        <f aca="false">'Смета Внутр'!E320</f>
        <v>200</v>
      </c>
      <c r="F320" s="1104" t="n">
        <f aca="false">'Смета Внутр'!F320</f>
        <v>0</v>
      </c>
      <c r="G320" s="1104" t="n">
        <f aca="false">IF(E320&gt;F320,E320,F320)</f>
        <v>200</v>
      </c>
      <c r="H320" s="1104" t="n">
        <f aca="false">'Смета Внутр'!G320</f>
        <v>9600</v>
      </c>
      <c r="I320" s="1104" t="n">
        <f aca="false">'Смета Внутр'!H320</f>
        <v>0</v>
      </c>
      <c r="J320" s="1109" t="n">
        <f aca="false">'Смета Внутр'!I320</f>
        <v>0</v>
      </c>
    </row>
    <row r="321" customFormat="false" ht="15" hidden="true" customHeight="true" outlineLevel="0" collapsed="false">
      <c r="B321" s="1104" t="str">
        <f aca="false">'Смета Внутр'!B321</f>
        <v>монтаж наружних стен сиппанели</v>
      </c>
      <c r="C321" s="1104" t="str">
        <f aca="false">'Смета Внутр'!C321</f>
        <v>м2</v>
      </c>
      <c r="D321" s="1109" t="n">
        <f aca="false">'Смета Внутр'!D321</f>
        <v>0</v>
      </c>
      <c r="E321" s="1104" t="n">
        <f aca="false">'Смета Внутр'!E321</f>
        <v>400</v>
      </c>
      <c r="F321" s="1104" t="n">
        <f aca="false">'Смета Внутр'!F321</f>
        <v>0</v>
      </c>
      <c r="G321" s="1104" t="n">
        <f aca="false">IF(E321&gt;F321,E321,F321)</f>
        <v>400</v>
      </c>
      <c r="H321" s="1104" t="n">
        <f aca="false">'Смета Внутр'!G321</f>
        <v>0</v>
      </c>
      <c r="I321" s="1104" t="n">
        <f aca="false">'Смета Внутр'!H321</f>
        <v>0</v>
      </c>
      <c r="J321" s="1109" t="n">
        <f aca="false">'Смета Внутр'!I321</f>
        <v>0</v>
      </c>
    </row>
    <row r="322" customFormat="false" ht="15" hidden="true" customHeight="true" outlineLevel="0" collapsed="false">
      <c r="B322" s="1104" t="str">
        <f aca="false">'Смета Внутр'!B322</f>
        <v>Монтаж несущих перегородок сип панели</v>
      </c>
      <c r="C322" s="1104" t="str">
        <f aca="false">'Смета Внутр'!C322</f>
        <v>м2</v>
      </c>
      <c r="D322" s="1109" t="n">
        <f aca="false">'Смета Внутр'!D322</f>
        <v>0</v>
      </c>
      <c r="E322" s="1104" t="n">
        <f aca="false">'Смета Внутр'!E322</f>
        <v>400</v>
      </c>
      <c r="F322" s="1104" t="n">
        <f aca="false">'Смета Внутр'!F322</f>
        <v>0</v>
      </c>
      <c r="G322" s="1104" t="n">
        <f aca="false">IF(E322&gt;F322,E322,F322)</f>
        <v>400</v>
      </c>
      <c r="H322" s="1104" t="n">
        <f aca="false">'Смета Внутр'!G322</f>
        <v>0</v>
      </c>
      <c r="I322" s="1104" t="n">
        <f aca="false">'Смета Внутр'!H322</f>
        <v>0</v>
      </c>
      <c r="J322" s="1109" t="n">
        <f aca="false">'Смета Внутр'!I322</f>
        <v>0</v>
      </c>
    </row>
    <row r="323" customFormat="false" ht="15" hidden="true" customHeight="true" outlineLevel="0" collapsed="false">
      <c r="B323" s="1104" t="str">
        <f aca="false">'Смета Внутр'!B323</f>
        <v>Монтаж перегородок сип панели</v>
      </c>
      <c r="C323" s="1104" t="str">
        <f aca="false">'Смета Внутр'!C323</f>
        <v>м2</v>
      </c>
      <c r="D323" s="1109" t="n">
        <f aca="false">'Смета Внутр'!D323</f>
        <v>0</v>
      </c>
      <c r="E323" s="1104" t="n">
        <f aca="false">'Смета Внутр'!E323</f>
        <v>300</v>
      </c>
      <c r="F323" s="1104" t="n">
        <f aca="false">'Смета Внутр'!F323</f>
        <v>0</v>
      </c>
      <c r="G323" s="1104" t="n">
        <f aca="false">IF(E323&gt;F323,E323,F323)</f>
        <v>300</v>
      </c>
      <c r="H323" s="1104" t="n">
        <f aca="false">'Смета Внутр'!G323</f>
        <v>0</v>
      </c>
      <c r="I323" s="1104" t="n">
        <f aca="false">'Смета Внутр'!H323</f>
        <v>0</v>
      </c>
      <c r="J323" s="1109" t="n">
        <f aca="false">'Смета Внутр'!I323</f>
        <v>0</v>
      </c>
    </row>
    <row r="324" customFormat="false" ht="15" hidden="true" customHeight="true" outlineLevel="0" collapsed="false">
      <c r="B324" s="1104" t="str">
        <f aca="false">'Смета Внутр'!B324</f>
        <v>монтаж покрытия кровли</v>
      </c>
      <c r="C324" s="1104" t="str">
        <f aca="false">'Смета Внутр'!C324</f>
        <v>м2</v>
      </c>
      <c r="D324" s="1109" t="n">
        <f aca="false">'Смета Внутр'!D324</f>
        <v>0</v>
      </c>
      <c r="E324" s="1104" t="n">
        <f aca="false">'Смета Внутр'!E324</f>
        <v>400</v>
      </c>
      <c r="F324" s="1104" t="n">
        <f aca="false">'Смета Внутр'!F324</f>
        <v>0</v>
      </c>
      <c r="G324" s="1104" t="n">
        <f aca="false">IF(E324&gt;F324,E324,F324)</f>
        <v>400</v>
      </c>
      <c r="H324" s="1104" t="n">
        <f aca="false">'Смета Внутр'!G324</f>
        <v>0</v>
      </c>
      <c r="I324" s="1104" t="n">
        <f aca="false">'Смета Внутр'!H324</f>
        <v>0</v>
      </c>
      <c r="J324" s="1109" t="n">
        <f aca="false">'Смета Внутр'!I324</f>
        <v>0</v>
      </c>
    </row>
    <row r="325" customFormat="false" ht="15" hidden="true" customHeight="true" outlineLevel="0" collapsed="false">
      <c r="B325" s="1108" t="str">
        <f aca="false">'Смета Внутр'!B325</f>
        <v>Итого работы</v>
      </c>
      <c r="C325" s="1108"/>
      <c r="D325" s="1108"/>
      <c r="E325" s="1108"/>
      <c r="F325" s="1108"/>
      <c r="G325" s="1108"/>
      <c r="H325" s="1104" t="n">
        <f aca="false">'Смета Внутр'!G325</f>
        <v>0</v>
      </c>
      <c r="I325" s="1104" t="n">
        <f aca="false">'Смета Внутр'!H325</f>
        <v>0</v>
      </c>
      <c r="J325" s="1109" t="n">
        <f aca="false">'Смета Внутр'!I325</f>
        <v>0</v>
      </c>
    </row>
    <row r="326" customFormat="false" ht="15" hidden="true" customHeight="true" outlineLevel="0" collapsed="false">
      <c r="B326" s="1111" t="str">
        <f aca="false">'Смета Внутр'!B326</f>
        <v>Каркасный дом</v>
      </c>
      <c r="C326" s="1111"/>
      <c r="D326" s="1111"/>
      <c r="H326" s="118" t="n">
        <f aca="false">'Смета Внутр'!G326</f>
        <v>0</v>
      </c>
      <c r="I326" s="118" t="n">
        <f aca="false">'Смета Внутр'!H326</f>
        <v>0</v>
      </c>
      <c r="J326" s="1102" t="n">
        <f aca="false">'Смета Внутр'!I326</f>
        <v>0</v>
      </c>
    </row>
    <row r="327" customFormat="false" ht="15" hidden="true" customHeight="true" outlineLevel="0" collapsed="false">
      <c r="B327" s="118" t="str">
        <f aca="false">'Смета Внутр'!B327</f>
        <v>Материалы</v>
      </c>
      <c r="H327" s="118" t="n">
        <f aca="false">'Смета Внутр'!G327</f>
        <v>0</v>
      </c>
      <c r="I327" s="118" t="n">
        <f aca="false">'Смета Внутр'!H327</f>
        <v>0</v>
      </c>
      <c r="J327" s="1102" t="n">
        <f aca="false">'Смета Внутр'!I327</f>
        <v>0</v>
      </c>
    </row>
    <row r="328" customFormat="false" ht="15" hidden="true" customHeight="true" outlineLevel="0" collapsed="false">
      <c r="B328" s="1104" t="str">
        <f aca="false">'Смета Внутр'!B328</f>
        <v>Доска сухая калиброванная, 190*45мм</v>
      </c>
      <c r="C328" s="1104" t="str">
        <f aca="false">'Смета Внутр'!C328</f>
        <v>м3</v>
      </c>
      <c r="D328" s="1109" t="n">
        <f aca="false">'Смета Внутр'!D328</f>
        <v>0.8699625</v>
      </c>
      <c r="E328" s="1104" t="n">
        <f aca="false">'Смета Внутр'!E328</f>
        <v>12500</v>
      </c>
      <c r="F328" s="1104" t="n">
        <f aca="false">'Смета Внутр'!F328</f>
        <v>0</v>
      </c>
      <c r="G328" s="1104" t="n">
        <f aca="false">IF(E328&gt;F328,E328,F328)</f>
        <v>12500</v>
      </c>
      <c r="H328" s="1104" t="n">
        <f aca="false">'Смета Внутр'!G328</f>
        <v>10874.53125</v>
      </c>
      <c r="I328" s="1104" t="n">
        <f aca="false">'Смета Внутр'!H328</f>
        <v>0</v>
      </c>
      <c r="J328" s="1109" t="n">
        <f aca="false">'Смета Внутр'!I328</f>
        <v>0</v>
      </c>
    </row>
    <row r="329" customFormat="false" ht="15" hidden="true" customHeight="true" outlineLevel="0" collapsed="false">
      <c r="B329" s="1104" t="str">
        <f aca="false">'Смета Внутр'!B329</f>
        <v>Болты анкерные с гайкой 12,0 х 280          </v>
      </c>
      <c r="C329" s="1104" t="str">
        <f aca="false">'Смета Внутр'!C329</f>
        <v>шт</v>
      </c>
      <c r="D329" s="1109" t="n">
        <f aca="false">'Смета Внутр'!D329</f>
        <v>101.75</v>
      </c>
      <c r="E329" s="1104" t="n">
        <f aca="false">'Смета Внутр'!E329</f>
        <v>27.1</v>
      </c>
      <c r="F329" s="1104" t="n">
        <f aca="false">'Смета Внутр'!F329</f>
        <v>0</v>
      </c>
      <c r="G329" s="1104" t="n">
        <f aca="false">IF(E329&gt;F329,E329,F329)</f>
        <v>27.1</v>
      </c>
      <c r="H329" s="1104" t="n">
        <f aca="false">'Смета Внутр'!G329</f>
        <v>2757.425</v>
      </c>
      <c r="I329" s="1104" t="n">
        <f aca="false">'Смета Внутр'!H329</f>
        <v>0</v>
      </c>
      <c r="J329" s="1109" t="n">
        <f aca="false">'Смета Внутр'!I329</f>
        <v>0</v>
      </c>
    </row>
    <row r="330" customFormat="false" ht="15" hidden="true" customHeight="true" outlineLevel="0" collapsed="false">
      <c r="B330" s="1104" t="str">
        <f aca="false">'Смета Внутр'!B330</f>
        <v>Доска сухая калиброванная, 145*45мм</v>
      </c>
      <c r="C330" s="1104" t="str">
        <f aca="false">'Смета Внутр'!C330</f>
        <v>м3</v>
      </c>
      <c r="D330" s="1109" t="n">
        <f aca="false">'Смета Внутр'!D330</f>
        <v>0</v>
      </c>
      <c r="E330" s="1104" t="n">
        <f aca="false">'Смета Внутр'!E330</f>
        <v>12500</v>
      </c>
      <c r="F330" s="1104" t="n">
        <f aca="false">'Смета Внутр'!F330</f>
        <v>0</v>
      </c>
      <c r="G330" s="1104" t="n">
        <f aca="false">IF(E330&gt;F330,E330,F330)</f>
        <v>12500</v>
      </c>
      <c r="H330" s="1104" t="n">
        <f aca="false">'Смета Внутр'!G330</f>
        <v>0</v>
      </c>
      <c r="I330" s="1104" t="n">
        <f aca="false">'Смета Внутр'!H330</f>
        <v>0</v>
      </c>
      <c r="J330" s="1109" t="n">
        <f aca="false">'Смета Внутр'!I330</f>
        <v>0</v>
      </c>
    </row>
    <row r="331" customFormat="false" ht="15" hidden="true" customHeight="true" outlineLevel="0" collapsed="false">
      <c r="B331" s="1104" t="str">
        <f aca="false">'Смета Внутр'!B331</f>
        <v>Доска сухая калиброванная, 145*45мм</v>
      </c>
      <c r="C331" s="1104" t="str">
        <f aca="false">'Смета Внутр'!C331</f>
        <v>м3</v>
      </c>
      <c r="D331" s="1109" t="n">
        <f aca="false">'Смета Внутр'!D331</f>
        <v>0</v>
      </c>
      <c r="E331" s="1104" t="n">
        <f aca="false">'Смета Внутр'!E331</f>
        <v>12500</v>
      </c>
      <c r="F331" s="1104" t="n">
        <f aca="false">'Смета Внутр'!F331</f>
        <v>0</v>
      </c>
      <c r="G331" s="1104" t="n">
        <f aca="false">IF(E331&gt;F331,E331,F331)</f>
        <v>12500</v>
      </c>
      <c r="H331" s="1104" t="n">
        <f aca="false">'Смета Внутр'!G331</f>
        <v>0</v>
      </c>
      <c r="I331" s="1104" t="n">
        <f aca="false">'Смета Внутр'!H331</f>
        <v>0</v>
      </c>
      <c r="J331" s="1109" t="n">
        <f aca="false">'Смета Внутр'!I331</f>
        <v>0</v>
      </c>
    </row>
    <row r="332" customFormat="false" ht="15" hidden="true" customHeight="true" outlineLevel="0" collapsed="false">
      <c r="B332" s="1104" t="str">
        <f aca="false">'Смета Внутр'!B332</f>
        <v>Доска сухая калиброванная, 100*45мм</v>
      </c>
      <c r="C332" s="1104" t="str">
        <f aca="false">'Смета Внутр'!C332</f>
        <v>м3</v>
      </c>
      <c r="D332" s="1109" t="n">
        <f aca="false">'Смета Внутр'!D332</f>
        <v>0</v>
      </c>
      <c r="E332" s="1104" t="n">
        <f aca="false">'Смета Внутр'!E332</f>
        <v>12500</v>
      </c>
      <c r="F332" s="1104" t="n">
        <f aca="false">'Смета Внутр'!F332</f>
        <v>0</v>
      </c>
      <c r="G332" s="1104" t="n">
        <f aca="false">IF(E332&gt;F332,E332,F332)</f>
        <v>12500</v>
      </c>
      <c r="H332" s="1104" t="n">
        <f aca="false">'Смета Внутр'!G332</f>
        <v>0</v>
      </c>
      <c r="I332" s="1104" t="n">
        <f aca="false">'Смета Внутр'!H332</f>
        <v>0</v>
      </c>
      <c r="J332" s="1109" t="n">
        <f aca="false">'Смета Внутр'!I332</f>
        <v>0</v>
      </c>
    </row>
    <row r="333" customFormat="false" ht="15" hidden="true" customHeight="true" outlineLevel="0" collapsed="false">
      <c r="B333" s="1104" t="str">
        <f aca="false">'Смета Внутр'!B333</f>
        <v>Фанера Хвойная, марка ФСФ, 21 мм </v>
      </c>
      <c r="C333" s="1104" t="str">
        <f aca="false">'Смета Внутр'!C333</f>
        <v>м2</v>
      </c>
      <c r="D333" s="1109" t="n">
        <f aca="false">'Смета Внутр'!D333</f>
        <v>104.205408239449</v>
      </c>
      <c r="E333" s="1104" t="n">
        <f aca="false">'Смета Внутр'!E333</f>
        <v>548.333333333333</v>
      </c>
      <c r="F333" s="1104" t="n">
        <f aca="false">'Смета Внутр'!F333</f>
        <v>0</v>
      </c>
      <c r="G333" s="1104" t="n">
        <f aca="false">IF(E333&gt;F333,E333,F333)</f>
        <v>548.333333333333</v>
      </c>
      <c r="H333" s="1104" t="n">
        <f aca="false">'Смета Внутр'!G333</f>
        <v>57139.298851298</v>
      </c>
      <c r="I333" s="1104" t="n">
        <f aca="false">'Смета Внутр'!H333</f>
        <v>0</v>
      </c>
      <c r="J333" s="1109" t="n">
        <f aca="false">'Смета Внутр'!I333</f>
        <v>0</v>
      </c>
    </row>
    <row r="334" customFormat="false" ht="15" hidden="true" customHeight="true" outlineLevel="0" collapsed="false">
      <c r="B334" s="1104" t="str">
        <f aca="false">'Смета Внутр'!B334</f>
        <v>нет</v>
      </c>
      <c r="C334" s="1104" t="str">
        <f aca="false">'Смета Внутр'!C334</f>
        <v>м.п.</v>
      </c>
      <c r="D334" s="1109" t="n">
        <f aca="false">'Смета Внутр'!D334</f>
        <v>0</v>
      </c>
      <c r="E334" s="1104" t="n">
        <f aca="false">'Смета Внутр'!E334</f>
        <v>0</v>
      </c>
      <c r="F334" s="1104" t="n">
        <f aca="false">'Смета Внутр'!F334</f>
        <v>0</v>
      </c>
      <c r="G334" s="1104" t="n">
        <f aca="false">IF(E334&gt;F334,E334,F334)</f>
        <v>0</v>
      </c>
      <c r="H334" s="1104" t="n">
        <f aca="false">'Смета Внутр'!G334</f>
        <v>0</v>
      </c>
      <c r="I334" s="1104" t="n">
        <f aca="false">'Смета Внутр'!H334</f>
        <v>0</v>
      </c>
      <c r="J334" s="1109" t="n">
        <f aca="false">'Смета Внутр'!I334</f>
        <v>0</v>
      </c>
    </row>
    <row r="335" customFormat="false" ht="15" hidden="true" customHeight="true" outlineLevel="0" collapsed="false">
      <c r="B335" s="1104" t="str">
        <f aca="false">'Смета Внутр'!B335</f>
        <v>Плитный,28кг/м3, технониколь, 150мм</v>
      </c>
      <c r="C335" s="1104" t="str">
        <f aca="false">'Смета Внутр'!C335</f>
        <v>м3</v>
      </c>
      <c r="D335" s="1109" t="n">
        <f aca="false">'Смета Внутр'!D335</f>
        <v>0</v>
      </c>
      <c r="E335" s="1104" t="n">
        <f aca="false">'Смета Внутр'!E335</f>
        <v>1700</v>
      </c>
      <c r="F335" s="1104" t="n">
        <f aca="false">'Смета Внутр'!F335</f>
        <v>0</v>
      </c>
      <c r="G335" s="1104" t="n">
        <f aca="false">IF(E335&gt;F335,E335,F335)</f>
        <v>1700</v>
      </c>
      <c r="H335" s="1104" t="n">
        <f aca="false">'Смета Внутр'!G335</f>
        <v>0</v>
      </c>
      <c r="I335" s="1104" t="n">
        <f aca="false">'Смета Внутр'!H335</f>
        <v>0</v>
      </c>
      <c r="J335" s="1109" t="n">
        <f aca="false">'Смета Внутр'!I335</f>
        <v>0</v>
      </c>
    </row>
    <row r="336" customFormat="false" ht="15" hidden="true" customHeight="true" outlineLevel="0" collapsed="false">
      <c r="B336" s="1104" t="str">
        <f aca="false">'Смета Внутр'!B336</f>
        <v>Плитный,28кг/м3, технониколь, 50мм</v>
      </c>
      <c r="C336" s="1104" t="str">
        <f aca="false">'Смета Внутр'!C336</f>
        <v>м3</v>
      </c>
      <c r="D336" s="1109" t="n">
        <f aca="false">'Смета Внутр'!D336</f>
        <v>0</v>
      </c>
      <c r="E336" s="1104" t="n">
        <f aca="false">'Смета Внутр'!E336</f>
        <v>1700</v>
      </c>
      <c r="F336" s="1104" t="n">
        <f aca="false">'Смета Внутр'!F336</f>
        <v>0</v>
      </c>
      <c r="G336" s="1104" t="n">
        <f aca="false">IF(E336&gt;F336,E336,F336)</f>
        <v>1700</v>
      </c>
      <c r="H336" s="1104" t="n">
        <f aca="false">'Смета Внутр'!G336</f>
        <v>0</v>
      </c>
      <c r="I336" s="1104" t="n">
        <f aca="false">'Смета Внутр'!H336</f>
        <v>0</v>
      </c>
      <c r="J336" s="1109" t="n">
        <f aca="false">'Смета Внутр'!I336</f>
        <v>0</v>
      </c>
    </row>
    <row r="337" customFormat="false" ht="15" hidden="true" customHeight="true" outlineLevel="0" collapsed="false">
      <c r="B337" s="1104" t="str">
        <f aca="false">'Смета Внутр'!B337</f>
        <v>нет</v>
      </c>
      <c r="C337" s="1104" t="str">
        <f aca="false">'Смета Внутр'!C337</f>
        <v>м2</v>
      </c>
      <c r="D337" s="1109" t="n">
        <f aca="false">'Смета Внутр'!D337</f>
        <v>0</v>
      </c>
      <c r="E337" s="1104" t="n">
        <f aca="false">'Смета Внутр'!E337</f>
        <v>0</v>
      </c>
      <c r="F337" s="1104" t="n">
        <f aca="false">'Смета Внутр'!F337</f>
        <v>0</v>
      </c>
      <c r="G337" s="1104" t="n">
        <f aca="false">IF(E337&gt;F337,E337,F337)</f>
        <v>0</v>
      </c>
      <c r="H337" s="1104" t="n">
        <f aca="false">'Смета Внутр'!G337</f>
        <v>0</v>
      </c>
      <c r="I337" s="1104" t="n">
        <f aca="false">'Смета Внутр'!H337</f>
        <v>0</v>
      </c>
      <c r="J337" s="1109" t="n">
        <f aca="false">'Смета Внутр'!I337</f>
        <v>0</v>
      </c>
    </row>
    <row r="338" customFormat="false" ht="15" hidden="true" customHeight="true" outlineLevel="0" collapsed="false">
      <c r="B338" s="1104" t="str">
        <f aca="false">'Смета Внутр'!B338</f>
        <v>нет</v>
      </c>
      <c r="C338" s="1104" t="str">
        <f aca="false">'Смета Внутр'!C338</f>
        <v>м2</v>
      </c>
      <c r="D338" s="1109" t="n">
        <f aca="false">'Смета Внутр'!D338</f>
        <v>0</v>
      </c>
      <c r="E338" s="1104" t="n">
        <f aca="false">'Смета Внутр'!E338</f>
        <v>0</v>
      </c>
      <c r="F338" s="1104" t="n">
        <f aca="false">'Смета Внутр'!F338</f>
        <v>0</v>
      </c>
      <c r="G338" s="1104" t="n">
        <f aca="false">IF(E338&gt;F338,E338,F338)</f>
        <v>0</v>
      </c>
      <c r="H338" s="1104" t="n">
        <f aca="false">'Смета Внутр'!G338</f>
        <v>0</v>
      </c>
      <c r="I338" s="1104" t="n">
        <f aca="false">'Смета Внутр'!H338</f>
        <v>0</v>
      </c>
      <c r="J338" s="1109" t="n">
        <f aca="false">'Смета Внутр'!I338</f>
        <v>0</v>
      </c>
    </row>
    <row r="339" customFormat="false" ht="15" hidden="true" customHeight="true" outlineLevel="0" collapsed="false">
      <c r="B339" s="1104" t="str">
        <f aca="false">'Смета Внутр'!B339</f>
        <v>нет</v>
      </c>
      <c r="C339" s="1104" t="str">
        <f aca="false">'Смета Внутр'!C339</f>
        <v>м2</v>
      </c>
      <c r="D339" s="1109" t="n">
        <f aca="false">'Смета Внутр'!D339</f>
        <v>0</v>
      </c>
      <c r="E339" s="1104" t="n">
        <f aca="false">'Смета Внутр'!E339</f>
        <v>0</v>
      </c>
      <c r="F339" s="1104" t="n">
        <f aca="false">'Смета Внутр'!F339</f>
        <v>0</v>
      </c>
      <c r="G339" s="1104" t="n">
        <f aca="false">IF(E339&gt;F339,E339,F339)</f>
        <v>0</v>
      </c>
      <c r="H339" s="1104" t="n">
        <f aca="false">'Смета Внутр'!G339</f>
        <v>0</v>
      </c>
      <c r="I339" s="1104" t="n">
        <f aca="false">'Смета Внутр'!H339</f>
        <v>0</v>
      </c>
      <c r="J339" s="1109" t="n">
        <f aca="false">'Смета Внутр'!I339</f>
        <v>0</v>
      </c>
    </row>
    <row r="340" customFormat="false" ht="15" hidden="true" customHeight="true" outlineLevel="0" collapsed="false">
      <c r="B340" s="1104" t="str">
        <f aca="false">'Смета Внутр'!B340</f>
        <v>Саморезы 3,5 x 25            </v>
      </c>
      <c r="C340" s="1104" t="str">
        <f aca="false">'Смета Внутр'!C340</f>
        <v>шт</v>
      </c>
      <c r="D340" s="1109" t="n">
        <f aca="false">'Смета Внутр'!D340</f>
        <v>0</v>
      </c>
      <c r="E340" s="1104" t="n">
        <f aca="false">'Смета Внутр'!E340</f>
        <v>0.2</v>
      </c>
      <c r="F340" s="1104" t="n">
        <f aca="false">'Смета Внутр'!F340</f>
        <v>0</v>
      </c>
      <c r="G340" s="1104" t="n">
        <f aca="false">IF(E340&gt;F340,E340,F340)</f>
        <v>0.2</v>
      </c>
      <c r="H340" s="1104" t="n">
        <f aca="false">'Смета Внутр'!G340</f>
        <v>0</v>
      </c>
      <c r="I340" s="1104" t="n">
        <f aca="false">'Смета Внутр'!H340</f>
        <v>0</v>
      </c>
      <c r="J340" s="1109" t="n">
        <f aca="false">'Смета Внутр'!I340</f>
        <v>0</v>
      </c>
    </row>
    <row r="341" customFormat="false" ht="15" hidden="true" customHeight="true" outlineLevel="0" collapsed="false">
      <c r="B341" s="1104" t="str">
        <f aca="false">'Смета Внутр'!B341</f>
        <v>Гвозди ершоные 2,8 х 90            </v>
      </c>
      <c r="C341" s="1104" t="str">
        <f aca="false">'Смета Внутр'!C341</f>
        <v>кг</v>
      </c>
      <c r="D341" s="1109" t="n">
        <f aca="false">'Смета Внутр'!D341</f>
        <v>0</v>
      </c>
      <c r="E341" s="1104" t="n">
        <f aca="false">'Смета Внутр'!E341</f>
        <v>76.49</v>
      </c>
      <c r="F341" s="1104" t="n">
        <f aca="false">'Смета Внутр'!F341</f>
        <v>0</v>
      </c>
      <c r="G341" s="1104" t="n">
        <f aca="false">IF(E341&gt;F341,E341,F341)</f>
        <v>76.49</v>
      </c>
      <c r="H341" s="1104" t="n">
        <f aca="false">'Смета Внутр'!G341</f>
        <v>0</v>
      </c>
      <c r="I341" s="1104" t="n">
        <f aca="false">'Смета Внутр'!H341</f>
        <v>0</v>
      </c>
      <c r="J341" s="1109" t="n">
        <f aca="false">'Смета Внутр'!I341</f>
        <v>0</v>
      </c>
    </row>
    <row r="342" customFormat="false" ht="15" hidden="true" customHeight="true" outlineLevel="0" collapsed="false">
      <c r="B342" s="1104" t="str">
        <f aca="false">'Смета Внутр'!B342</f>
        <v>Гвозди ершоные 3,4 x 60            </v>
      </c>
      <c r="C342" s="1104" t="str">
        <f aca="false">'Смета Внутр'!C342</f>
        <v>кг</v>
      </c>
      <c r="D342" s="1109" t="n">
        <f aca="false">'Смета Внутр'!D342</f>
        <v>0</v>
      </c>
      <c r="E342" s="1104" t="n">
        <f aca="false">'Смета Внутр'!E342</f>
        <v>75.51</v>
      </c>
      <c r="F342" s="1104" t="n">
        <f aca="false">'Смета Внутр'!F342</f>
        <v>0</v>
      </c>
      <c r="G342" s="1104" t="n">
        <f aca="false">IF(E342&gt;F342,E342,F342)</f>
        <v>75.51</v>
      </c>
      <c r="H342" s="1104" t="n">
        <f aca="false">'Смета Внутр'!G342</f>
        <v>0</v>
      </c>
      <c r="I342" s="1104" t="n">
        <f aca="false">'Смета Внутр'!H342</f>
        <v>0</v>
      </c>
      <c r="J342" s="1109" t="n">
        <f aca="false">'Смета Внутр'!I342</f>
        <v>0</v>
      </c>
    </row>
    <row r="343" customFormat="false" ht="15" hidden="true" customHeight="true" outlineLevel="0" collapsed="false">
      <c r="B343" s="1104" t="str">
        <f aca="false">'Смета Внутр'!B343</f>
        <v>Универсальная Optima C</v>
      </c>
      <c r="C343" s="1104" t="str">
        <f aca="false">'Смета Внутр'!C343</f>
        <v>м2</v>
      </c>
      <c r="D343" s="1109" t="n">
        <f aca="false">'Смета Внутр'!D343</f>
        <v>0</v>
      </c>
      <c r="E343" s="1104" t="n">
        <f aca="false">'Смета Внутр'!E343</f>
        <v>19</v>
      </c>
      <c r="F343" s="1104" t="n">
        <f aca="false">'Смета Внутр'!F343</f>
        <v>0</v>
      </c>
      <c r="G343" s="1104" t="n">
        <f aca="false">IF(E343&gt;F343,E343,F343)</f>
        <v>19</v>
      </c>
      <c r="H343" s="1104" t="n">
        <f aca="false">'Смета Внутр'!G343</f>
        <v>0</v>
      </c>
      <c r="I343" s="1104" t="n">
        <f aca="false">'Смета Внутр'!H343</f>
        <v>0</v>
      </c>
      <c r="J343" s="1109" t="n">
        <f aca="false">'Смета Внутр'!I343</f>
        <v>0</v>
      </c>
    </row>
    <row r="344" customFormat="false" ht="15" hidden="true" customHeight="true" outlineLevel="0" collapsed="false">
      <c r="B344" s="1104" t="str">
        <f aca="false">'Смета Внутр'!B344</f>
        <v>Универсальная Optima C</v>
      </c>
      <c r="C344" s="1104" t="str">
        <f aca="false">'Смета Внутр'!C344</f>
        <v>м2</v>
      </c>
      <c r="D344" s="1109" t="n">
        <f aca="false">'Смета Внутр'!D344</f>
        <v>0</v>
      </c>
      <c r="E344" s="1104" t="n">
        <f aca="false">'Смета Внутр'!E344</f>
        <v>20</v>
      </c>
      <c r="F344" s="1104" t="n">
        <f aca="false">'Смета Внутр'!F344</f>
        <v>0</v>
      </c>
      <c r="G344" s="1104" t="n">
        <f aca="false">IF(E344&gt;F344,E344,F344)</f>
        <v>20</v>
      </c>
      <c r="H344" s="1104" t="n">
        <f aca="false">'Смета Внутр'!G344</f>
        <v>0</v>
      </c>
      <c r="I344" s="1104" t="n">
        <f aca="false">'Смета Внутр'!H344</f>
        <v>0</v>
      </c>
      <c r="J344" s="1109" t="n">
        <f aca="false">'Смета Внутр'!I344</f>
        <v>0</v>
      </c>
    </row>
    <row r="345" customFormat="false" ht="15" hidden="true" customHeight="true" outlineLevel="0" collapsed="false">
      <c r="B345" s="1104" t="str">
        <f aca="false">'Смета Внутр'!B345</f>
        <v>Скобы для степлера, 1000шт/уп</v>
      </c>
      <c r="C345" s="1104" t="str">
        <f aca="false">'Смета Внутр'!C345</f>
        <v>уп</v>
      </c>
      <c r="D345" s="1109" t="n">
        <f aca="false">'Смета Внутр'!D345</f>
        <v>5.5</v>
      </c>
      <c r="E345" s="1104" t="n">
        <f aca="false">'Смета Внутр'!E345</f>
        <v>100</v>
      </c>
      <c r="F345" s="1104" t="n">
        <f aca="false">'Смета Внутр'!F345</f>
        <v>0</v>
      </c>
      <c r="G345" s="1104" t="n">
        <f aca="false">IF(E345&gt;F345,E345,F345)</f>
        <v>100</v>
      </c>
      <c r="H345" s="1104" t="n">
        <f aca="false">'Смета Внутр'!G345</f>
        <v>550</v>
      </c>
      <c r="I345" s="1104" t="n">
        <f aca="false">'Смета Внутр'!H345</f>
        <v>0</v>
      </c>
      <c r="J345" s="1109" t="n">
        <f aca="false">'Смета Внутр'!I345</f>
        <v>0</v>
      </c>
    </row>
    <row r="346" customFormat="false" ht="15" hidden="true" customHeight="false" outlineLevel="0" collapsed="false">
      <c r="B346" s="1108" t="str">
        <f aca="false">'Смета Внутр'!B346</f>
        <v>Итого материалы</v>
      </c>
      <c r="C346" s="1108"/>
      <c r="D346" s="1108"/>
      <c r="E346" s="1108"/>
      <c r="F346" s="1108"/>
      <c r="G346" s="1108"/>
      <c r="H346" s="1104" t="n">
        <f aca="false">'Смета Внутр'!G346</f>
        <v>0</v>
      </c>
      <c r="I346" s="1104" t="n">
        <f aca="false">'Смета Внутр'!H346</f>
        <v>0</v>
      </c>
      <c r="J346" s="1109" t="n">
        <f aca="false">'Смета Внутр'!I346</f>
        <v>0</v>
      </c>
    </row>
    <row r="347" customFormat="false" ht="15" hidden="true" customHeight="true" outlineLevel="0" collapsed="false">
      <c r="B347" s="118" t="str">
        <f aca="false">'Смета Внутр'!B347</f>
        <v>Работы</v>
      </c>
      <c r="H347" s="118" t="n">
        <f aca="false">'Смета Внутр'!G347</f>
        <v>0</v>
      </c>
      <c r="I347" s="118" t="n">
        <f aca="false">'Смета Внутр'!H347</f>
        <v>0</v>
      </c>
      <c r="J347" s="1102" t="n">
        <f aca="false">'Смета Внутр'!I347</f>
        <v>0</v>
      </c>
    </row>
    <row r="348" customFormat="false" ht="15" hidden="true" customHeight="true" outlineLevel="0" collapsed="false">
      <c r="B348" s="1104" t="str">
        <f aca="false">'Смета Внутр'!B348</f>
        <v>монтаж обвязки</v>
      </c>
      <c r="C348" s="1104" t="str">
        <f aca="false">'Смета Внутр'!C348</f>
        <v>м.п.</v>
      </c>
      <c r="D348" s="1109" t="n">
        <f aca="false">'Смета Внутр'!D348</f>
        <v>32</v>
      </c>
      <c r="E348" s="1104" t="n">
        <f aca="false">'Смета Внутр'!E348</f>
        <v>200</v>
      </c>
      <c r="F348" s="1104" t="n">
        <f aca="false">'Смета Внутр'!F348</f>
        <v>0</v>
      </c>
      <c r="G348" s="1104" t="n">
        <f aca="false">IF(E348&gt;F348,E348,F348)</f>
        <v>200</v>
      </c>
      <c r="H348" s="1104" t="n">
        <f aca="false">'Смета Внутр'!G348</f>
        <v>6400</v>
      </c>
      <c r="I348" s="1104" t="n">
        <f aca="false">'Смета Внутр'!H348</f>
        <v>0</v>
      </c>
      <c r="J348" s="1109" t="n">
        <f aca="false">'Смета Внутр'!I348</f>
        <v>0</v>
      </c>
    </row>
    <row r="349" customFormat="false" ht="15" hidden="true" customHeight="true" outlineLevel="0" collapsed="false">
      <c r="B349" s="1104" t="str">
        <f aca="false">'Смета Внутр'!B349</f>
        <v>монтаж стен каркаса</v>
      </c>
      <c r="C349" s="1104" t="str">
        <f aca="false">'Смета Внутр'!C349</f>
        <v>м2</v>
      </c>
      <c r="D349" s="1109" t="n">
        <f aca="false">'Смета Внутр'!D349</f>
        <v>0</v>
      </c>
      <c r="E349" s="1104" t="n">
        <f aca="false">'Смета Внутр'!E349</f>
        <v>400</v>
      </c>
      <c r="F349" s="1104" t="n">
        <f aca="false">'Смета Внутр'!F349</f>
        <v>0</v>
      </c>
      <c r="G349" s="1104" t="n">
        <f aca="false">IF(E349&gt;F349,E349,F349)</f>
        <v>400</v>
      </c>
      <c r="H349" s="1104" t="n">
        <f aca="false">'Смета Внутр'!G349</f>
        <v>0</v>
      </c>
      <c r="I349" s="1104" t="n">
        <f aca="false">'Смета Внутр'!H349</f>
        <v>0</v>
      </c>
      <c r="J349" s="1109" t="n">
        <f aca="false">'Смета Внутр'!I349</f>
        <v>0</v>
      </c>
    </row>
    <row r="350" customFormat="false" ht="15" hidden="true" customHeight="true" outlineLevel="0" collapsed="false">
      <c r="B350" s="1104" t="str">
        <f aca="false">'Смета Внутр'!B350</f>
        <v>Монтаж несущих перегородок</v>
      </c>
      <c r="C350" s="1104" t="str">
        <f aca="false">'Смета Внутр'!C350</f>
        <v>м2</v>
      </c>
      <c r="D350" s="1109" t="n">
        <f aca="false">'Смета Внутр'!D350</f>
        <v>0</v>
      </c>
      <c r="E350" s="1104" t="n">
        <f aca="false">'Смета Внутр'!E350</f>
        <v>400</v>
      </c>
      <c r="F350" s="1104" t="n">
        <f aca="false">'Смета Внутр'!F350</f>
        <v>0</v>
      </c>
      <c r="G350" s="1104" t="n">
        <f aca="false">IF(E350&gt;F350,E350,F350)</f>
        <v>400</v>
      </c>
      <c r="H350" s="1104" t="n">
        <f aca="false">'Смета Внутр'!G350</f>
        <v>0</v>
      </c>
      <c r="I350" s="1104" t="n">
        <f aca="false">'Смета Внутр'!H350</f>
        <v>0</v>
      </c>
      <c r="J350" s="1109" t="n">
        <f aca="false">'Смета Внутр'!I350</f>
        <v>0</v>
      </c>
    </row>
    <row r="351" customFormat="false" ht="15" hidden="true" customHeight="true" outlineLevel="0" collapsed="false">
      <c r="B351" s="1104" t="str">
        <f aca="false">'Смета Внутр'!B351</f>
        <v>Монтаж перегородок</v>
      </c>
      <c r="C351" s="1104" t="str">
        <f aca="false">'Смета Внутр'!C351</f>
        <v>м2</v>
      </c>
      <c r="D351" s="1109" t="n">
        <f aca="false">'Смета Внутр'!D351</f>
        <v>0</v>
      </c>
      <c r="E351" s="1104" t="n">
        <f aca="false">'Смета Внутр'!E351</f>
        <v>400</v>
      </c>
      <c r="F351" s="1104" t="n">
        <f aca="false">'Смета Внутр'!F351</f>
        <v>0</v>
      </c>
      <c r="G351" s="1104" t="n">
        <f aca="false">IF(E351&gt;F351,E351,F351)</f>
        <v>400</v>
      </c>
      <c r="H351" s="1104" t="n">
        <f aca="false">'Смета Внутр'!G351</f>
        <v>0</v>
      </c>
      <c r="I351" s="1104" t="n">
        <f aca="false">'Смета Внутр'!H351</f>
        <v>0</v>
      </c>
      <c r="J351" s="1109" t="n">
        <f aca="false">'Смета Внутр'!I351</f>
        <v>0</v>
      </c>
    </row>
    <row r="352" customFormat="false" ht="15" hidden="true" customHeight="true" outlineLevel="0" collapsed="false">
      <c r="B352" s="1104" t="str">
        <f aca="false">'Смета Внутр'!B352</f>
        <v>Монтаж вентиляционного зазора</v>
      </c>
      <c r="C352" s="1104" t="str">
        <f aca="false">'Смета Внутр'!C352</f>
        <v>м2</v>
      </c>
      <c r="D352" s="1109" t="n">
        <f aca="false">'Смета Внутр'!D352</f>
        <v>0</v>
      </c>
      <c r="E352" s="1104" t="n">
        <f aca="false">'Смета Внутр'!E352</f>
        <v>80</v>
      </c>
      <c r="F352" s="1104" t="n">
        <f aca="false">'Смета Внутр'!F352</f>
        <v>0</v>
      </c>
      <c r="G352" s="1104" t="n">
        <f aca="false">IF(E352&gt;F352,E352,F352)</f>
        <v>80</v>
      </c>
      <c r="H352" s="1104" t="n">
        <f aca="false">'Смета Внутр'!G352</f>
        <v>0</v>
      </c>
      <c r="I352" s="1104" t="n">
        <f aca="false">'Смета Внутр'!H352</f>
        <v>0</v>
      </c>
      <c r="J352" s="1109" t="n">
        <f aca="false">'Смета Внутр'!I352</f>
        <v>0</v>
      </c>
    </row>
    <row r="353" customFormat="false" ht="15" hidden="true" customHeight="true" outlineLevel="0" collapsed="false">
      <c r="B353" s="1104" t="str">
        <f aca="false">'Смета Внутр'!B353</f>
        <v>Монтаж технологического зазора</v>
      </c>
      <c r="C353" s="1104" t="str">
        <f aca="false">'Смета Внутр'!C353</f>
        <v>м2</v>
      </c>
      <c r="D353" s="1109" t="n">
        <f aca="false">'Смета Внутр'!D353</f>
        <v>0</v>
      </c>
      <c r="E353" s="1104" t="n">
        <f aca="false">'Смета Внутр'!E353</f>
        <v>80</v>
      </c>
      <c r="F353" s="1104" t="n">
        <f aca="false">'Смета Внутр'!F353</f>
        <v>0</v>
      </c>
      <c r="G353" s="1104" t="n">
        <f aca="false">IF(E353&gt;F353,E353,F353)</f>
        <v>80</v>
      </c>
      <c r="H353" s="1104" t="n">
        <f aca="false">'Смета Внутр'!G353</f>
        <v>0</v>
      </c>
      <c r="I353" s="1104" t="n">
        <f aca="false">'Смета Внутр'!H353</f>
        <v>0</v>
      </c>
      <c r="J353" s="1109" t="n">
        <f aca="false">'Смета Внутр'!I353</f>
        <v>0</v>
      </c>
    </row>
    <row r="354" customFormat="false" ht="15" hidden="true" customHeight="true" outlineLevel="0" collapsed="false">
      <c r="B354" s="1104" t="str">
        <f aca="false">'Смета Внутр'!B354</f>
        <v>монтаж ветроизоляции стен</v>
      </c>
      <c r="C354" s="1104" t="str">
        <f aca="false">'Смета Внутр'!C354</f>
        <v>м2</v>
      </c>
      <c r="D354" s="1109" t="n">
        <f aca="false">'Смета Внутр'!D354</f>
        <v>0</v>
      </c>
      <c r="E354" s="1104" t="n">
        <f aca="false">'Смета Внутр'!E354</f>
        <v>100</v>
      </c>
      <c r="F354" s="1104" t="n">
        <f aca="false">'Смета Внутр'!F354</f>
        <v>0</v>
      </c>
      <c r="G354" s="1104" t="n">
        <f aca="false">IF(E354&gt;F354,E354,F354)</f>
        <v>100</v>
      </c>
      <c r="H354" s="1104" t="n">
        <f aca="false">'Смета Внутр'!G354</f>
        <v>0</v>
      </c>
      <c r="I354" s="1104" t="n">
        <f aca="false">'Смета Внутр'!H354</f>
        <v>0</v>
      </c>
      <c r="J354" s="1109" t="n">
        <f aca="false">'Смета Внутр'!I354</f>
        <v>0</v>
      </c>
    </row>
    <row r="355" customFormat="false" ht="15" hidden="true" customHeight="true" outlineLevel="0" collapsed="false">
      <c r="B355" s="1104" t="str">
        <f aca="false">'Смета Внутр'!B355</f>
        <v>монтаж пароизоляции стен</v>
      </c>
      <c r="C355" s="1104" t="str">
        <f aca="false">'Смета Внутр'!C355</f>
        <v>м2</v>
      </c>
      <c r="D355" s="1109" t="n">
        <f aca="false">'Смета Внутр'!D355</f>
        <v>0</v>
      </c>
      <c r="E355" s="1104" t="n">
        <f aca="false">'Смета Внутр'!E355</f>
        <v>100</v>
      </c>
      <c r="F355" s="1104" t="n">
        <f aca="false">'Смета Внутр'!F355</f>
        <v>0</v>
      </c>
      <c r="G355" s="1104" t="n">
        <f aca="false">IF(E355&gt;F355,E355,F355)</f>
        <v>100</v>
      </c>
      <c r="H355" s="1104" t="n">
        <f aca="false">'Смета Внутр'!G355</f>
        <v>0</v>
      </c>
      <c r="I355" s="1104" t="n">
        <f aca="false">'Смета Внутр'!H355</f>
        <v>0</v>
      </c>
      <c r="J355" s="1109" t="n">
        <f aca="false">'Смета Внутр'!I355</f>
        <v>0</v>
      </c>
    </row>
    <row r="356" customFormat="false" ht="15" hidden="true" customHeight="true" outlineLevel="0" collapsed="false">
      <c r="B356" s="1104" t="str">
        <f aca="false">'Смета Внутр'!B356</f>
        <v>монтаж osb/фанера наруж стены</v>
      </c>
      <c r="C356" s="1104" t="str">
        <f aca="false">'Смета Внутр'!C356</f>
        <v>м2</v>
      </c>
      <c r="D356" s="1109" t="n">
        <f aca="false">'Смета Внутр'!D356</f>
        <v>0</v>
      </c>
      <c r="E356" s="1104" t="n">
        <f aca="false">'Смета Внутр'!E356</f>
        <v>200</v>
      </c>
      <c r="F356" s="1104" t="n">
        <f aca="false">'Смета Внутр'!F356</f>
        <v>0</v>
      </c>
      <c r="G356" s="1104" t="n">
        <f aca="false">IF(E356&gt;F356,E356,F356)</f>
        <v>200</v>
      </c>
      <c r="H356" s="1104" t="n">
        <f aca="false">'Смета Внутр'!G356</f>
        <v>0</v>
      </c>
      <c r="I356" s="1104" t="n">
        <f aca="false">'Смета Внутр'!H356</f>
        <v>0</v>
      </c>
      <c r="J356" s="1109" t="n">
        <f aca="false">'Смета Внутр'!I356</f>
        <v>0</v>
      </c>
    </row>
    <row r="357" customFormat="false" ht="15" hidden="true" customHeight="true" outlineLevel="0" collapsed="false">
      <c r="B357" s="1104" t="str">
        <f aca="false">'Смета Внутр'!B357</f>
        <v>монтаж osb/фанера потолок</v>
      </c>
      <c r="C357" s="1104" t="str">
        <f aca="false">'Смета Внутр'!C357</f>
        <v>м2</v>
      </c>
      <c r="D357" s="1109" t="n">
        <f aca="false">'Смета Внутр'!D357</f>
        <v>0</v>
      </c>
      <c r="E357" s="1104" t="n">
        <f aca="false">'Смета Внутр'!E357</f>
        <v>200</v>
      </c>
      <c r="F357" s="1104" t="n">
        <f aca="false">'Смета Внутр'!F357</f>
        <v>0</v>
      </c>
      <c r="G357" s="1104" t="n">
        <f aca="false">IF(E357&gt;F357,E357,F357)</f>
        <v>200</v>
      </c>
      <c r="H357" s="1104" t="n">
        <f aca="false">'Смета Внутр'!G357</f>
        <v>0</v>
      </c>
      <c r="I357" s="1104" t="n">
        <f aca="false">'Смета Внутр'!H357</f>
        <v>0</v>
      </c>
      <c r="J357" s="1109" t="n">
        <f aca="false">'Смета Внутр'!I357</f>
        <v>0</v>
      </c>
    </row>
    <row r="358" customFormat="false" ht="15" hidden="true" customHeight="true" outlineLevel="0" collapsed="false">
      <c r="B358" s="1104" t="str">
        <f aca="false">'Смета Внутр'!B358</f>
        <v>монтаж osb/фанера перегородки</v>
      </c>
      <c r="C358" s="1104" t="str">
        <f aca="false">'Смета Внутр'!C358</f>
        <v>м2</v>
      </c>
      <c r="D358" s="1109" t="n">
        <f aca="false">'Смета Внутр'!D358</f>
        <v>0</v>
      </c>
      <c r="E358" s="1104" t="n">
        <f aca="false">'Смета Внутр'!E358</f>
        <v>200</v>
      </c>
      <c r="F358" s="1104" t="n">
        <f aca="false">'Смета Внутр'!F358</f>
        <v>0</v>
      </c>
      <c r="G358" s="1104" t="n">
        <f aca="false">IF(E358&gt;F358,E358,F358)</f>
        <v>200</v>
      </c>
      <c r="H358" s="1104" t="n">
        <f aca="false">'Смета Внутр'!G358</f>
        <v>0</v>
      </c>
      <c r="I358" s="1104" t="n">
        <f aca="false">'Смета Внутр'!H358</f>
        <v>0</v>
      </c>
      <c r="J358" s="1109" t="n">
        <f aca="false">'Смета Внутр'!I358</f>
        <v>0</v>
      </c>
    </row>
    <row r="359" customFormat="false" ht="15" hidden="true" customHeight="true" outlineLevel="0" collapsed="false">
      <c r="B359" s="1104" t="str">
        <f aca="false">'Смета Внутр'!B359</f>
        <v>монтаж osb/фанера пол</v>
      </c>
      <c r="C359" s="1104" t="str">
        <f aca="false">'Смета Внутр'!C359</f>
        <v>м2</v>
      </c>
      <c r="D359" s="1109" t="n">
        <f aca="false">'Смета Внутр'!D359</f>
        <v>94.7321893085902</v>
      </c>
      <c r="E359" s="1104" t="n">
        <f aca="false">'Смета Внутр'!E359</f>
        <v>200</v>
      </c>
      <c r="F359" s="1104" t="n">
        <f aca="false">'Смета Внутр'!F359</f>
        <v>0</v>
      </c>
      <c r="G359" s="1104" t="n">
        <f aca="false">IF(E359&gt;F359,E359,F359)</f>
        <v>200</v>
      </c>
      <c r="H359" s="1104" t="n">
        <f aca="false">'Смета Внутр'!G359</f>
        <v>18946.437861718</v>
      </c>
      <c r="I359" s="1104" t="n">
        <f aca="false">'Смета Внутр'!H359</f>
        <v>0</v>
      </c>
      <c r="J359" s="1109" t="n">
        <f aca="false">'Смета Внутр'!I359</f>
        <v>0</v>
      </c>
    </row>
    <row r="360" customFormat="false" ht="15" hidden="true" customHeight="true" outlineLevel="0" collapsed="false">
      <c r="B360" s="1104" t="str">
        <f aca="false">'Смета Внутр'!B360</f>
        <v>утепление наружних стен</v>
      </c>
      <c r="C360" s="1104" t="str">
        <f aca="false">'Смета Внутр'!C360</f>
        <v>м2</v>
      </c>
      <c r="D360" s="1109" t="n">
        <f aca="false">'Смета Внутр'!D360</f>
        <v>0</v>
      </c>
      <c r="E360" s="1104" t="n">
        <f aca="false">'Смета Внутр'!E360</f>
        <v>200</v>
      </c>
      <c r="F360" s="1104" t="n">
        <f aca="false">'Смета Внутр'!F360</f>
        <v>0</v>
      </c>
      <c r="G360" s="1104" t="n">
        <f aca="false">IF(E360&gt;F360,E360,F360)</f>
        <v>200</v>
      </c>
      <c r="H360" s="1104" t="n">
        <f aca="false">'Смета Внутр'!G360</f>
        <v>0</v>
      </c>
      <c r="I360" s="1104" t="n">
        <f aca="false">'Смета Внутр'!H360</f>
        <v>0</v>
      </c>
      <c r="J360" s="1109" t="n">
        <f aca="false">'Смета Внутр'!I360</f>
        <v>0</v>
      </c>
    </row>
    <row r="361" customFormat="false" ht="15" hidden="true" customHeight="true" outlineLevel="0" collapsed="false">
      <c r="B361" s="1104" t="str">
        <f aca="false">'Смета Внутр'!B361</f>
        <v>Утепление перегородок</v>
      </c>
      <c r="C361" s="1104" t="str">
        <f aca="false">'Смета Внутр'!C361</f>
        <v>м2</v>
      </c>
      <c r="D361" s="1109" t="n">
        <f aca="false">'Смета Внутр'!D361</f>
        <v>0</v>
      </c>
      <c r="E361" s="1104" t="n">
        <f aca="false">'Смета Внутр'!E361</f>
        <v>200</v>
      </c>
      <c r="F361" s="1104" t="n">
        <f aca="false">'Смета Внутр'!F361</f>
        <v>0</v>
      </c>
      <c r="G361" s="1104" t="n">
        <f aca="false">IF(E361&gt;F361,E361,F361)</f>
        <v>200</v>
      </c>
      <c r="H361" s="1104" t="n">
        <f aca="false">'Смета Внутр'!G361</f>
        <v>0</v>
      </c>
      <c r="I361" s="1104" t="n">
        <f aca="false">'Смета Внутр'!H361</f>
        <v>0</v>
      </c>
      <c r="J361" s="1109" t="n">
        <f aca="false">'Смета Внутр'!I361</f>
        <v>0</v>
      </c>
    </row>
    <row r="362" customFormat="false" ht="15" hidden="true" customHeight="true" outlineLevel="0" collapsed="false">
      <c r="B362" s="1108" t="str">
        <f aca="false">'Смета Внутр'!B362</f>
        <v>Итого работы</v>
      </c>
      <c r="C362" s="1108"/>
      <c r="D362" s="1108"/>
      <c r="E362" s="1108"/>
      <c r="F362" s="1108"/>
      <c r="G362" s="1108"/>
      <c r="H362" s="1104" t="n">
        <f aca="false">'Смета Внутр'!G362</f>
        <v>0</v>
      </c>
      <c r="I362" s="1104" t="n">
        <f aca="false">'Смета Внутр'!H362</f>
        <v>0</v>
      </c>
      <c r="J362" s="1109" t="n">
        <f aca="false">'Смета Внутр'!I362</f>
        <v>0</v>
      </c>
    </row>
    <row r="363" customFormat="false" ht="15" hidden="true" customHeight="true" outlineLevel="0" collapsed="false">
      <c r="B363" s="1111" t="str">
        <f aca="false">'Смета Внутр'!B363</f>
        <v>Дом из Газобетона</v>
      </c>
      <c r="C363" s="1111"/>
      <c r="D363" s="1111"/>
      <c r="H363" s="118" t="n">
        <f aca="false">'Смета Внутр'!G363</f>
        <v>0</v>
      </c>
      <c r="I363" s="118" t="n">
        <f aca="false">'Смета Внутр'!H363</f>
        <v>0</v>
      </c>
      <c r="J363" s="1102" t="n">
        <f aca="false">'Смета Внутр'!I363</f>
        <v>0</v>
      </c>
    </row>
    <row r="364" customFormat="false" ht="15" hidden="true" customHeight="true" outlineLevel="0" collapsed="false">
      <c r="B364" s="118" t="str">
        <f aca="false">'Смета Внутр'!B364</f>
        <v>Материалы</v>
      </c>
      <c r="H364" s="118" t="n">
        <f aca="false">'Смета Внутр'!G364</f>
        <v>0</v>
      </c>
      <c r="I364" s="118" t="n">
        <f aca="false">'Смета Внутр'!H364</f>
        <v>0</v>
      </c>
      <c r="J364" s="1102" t="n">
        <f aca="false">'Смета Внутр'!I364</f>
        <v>0</v>
      </c>
    </row>
    <row r="365" customFormat="false" ht="15" hidden="true" customHeight="true" outlineLevel="0" collapsed="false">
      <c r="B365" s="1104" t="str">
        <f aca="false">'Смета Внутр'!B365</f>
        <v>Газоблок D400 200х300х390 </v>
      </c>
      <c r="C365" s="1104" t="str">
        <f aca="false">'Смета Внутр'!C365</f>
        <v>м3</v>
      </c>
      <c r="D365" s="1109" t="n">
        <f aca="false">'Смета Внутр'!D365</f>
        <v>-4.992</v>
      </c>
      <c r="E365" s="1104" t="n">
        <f aca="false">'Смета Внутр'!E365</f>
        <v>4200</v>
      </c>
      <c r="F365" s="1104" t="n">
        <f aca="false">'Смета Внутр'!F365</f>
        <v>0</v>
      </c>
      <c r="G365" s="1104" t="n">
        <f aca="false">IF(E365&gt;F365,E365,F365)</f>
        <v>4200</v>
      </c>
      <c r="H365" s="1104" t="n">
        <f aca="false">'Смета Внутр'!G365</f>
        <v>-20966.4</v>
      </c>
      <c r="I365" s="1104" t="n">
        <f aca="false">'Смета Внутр'!H365</f>
        <v>0</v>
      </c>
      <c r="J365" s="1109" t="n">
        <f aca="false">'Смета Внутр'!I365</f>
        <v>0</v>
      </c>
    </row>
    <row r="366" customFormat="false" ht="15" hidden="true" customHeight="true" outlineLevel="0" collapsed="false">
      <c r="B366" s="1104" t="str">
        <f aca="false">'Смета Внутр'!B366</f>
        <v>Газоблок D400 200х200х390 </v>
      </c>
      <c r="C366" s="1104" t="str">
        <f aca="false">'Смета Внутр'!C366</f>
        <v>м3</v>
      </c>
      <c r="D366" s="1109" t="n">
        <f aca="false">'Смета Внутр'!D366</f>
        <v>0</v>
      </c>
      <c r="E366" s="1104" t="n">
        <f aca="false">'Смета Внутр'!E366</f>
        <v>0</v>
      </c>
      <c r="F366" s="1104" t="n">
        <f aca="false">'Смета Внутр'!F366</f>
        <v>0</v>
      </c>
      <c r="G366" s="1104" t="n">
        <f aca="false">IF(E366&gt;F366,E366,F366)</f>
        <v>0</v>
      </c>
      <c r="H366" s="1104" t="n">
        <f aca="false">'Смета Внутр'!G366</f>
        <v>0</v>
      </c>
      <c r="I366" s="1104" t="n">
        <f aca="false">'Смета Внутр'!H366</f>
        <v>0</v>
      </c>
      <c r="J366" s="1109" t="n">
        <f aca="false">'Смета Внутр'!I366</f>
        <v>0</v>
      </c>
    </row>
    <row r="367" customFormat="false" ht="15" hidden="true" customHeight="true" outlineLevel="0" collapsed="false">
      <c r="B367" s="1104" t="str">
        <f aca="false">'Смета Внутр'!B367</f>
        <v>Газоблок D400 200х100х390 </v>
      </c>
      <c r="C367" s="1104" t="str">
        <f aca="false">'Смета Внутр'!C367</f>
        <v>м3</v>
      </c>
      <c r="D367" s="1109" t="n">
        <f aca="false">'Смета Внутр'!D367</f>
        <v>0</v>
      </c>
      <c r="E367" s="1104" t="n">
        <f aca="false">'Смета Внутр'!E367</f>
        <v>0</v>
      </c>
      <c r="F367" s="1104" t="n">
        <f aca="false">'Смета Внутр'!F367</f>
        <v>0</v>
      </c>
      <c r="G367" s="1104" t="n">
        <f aca="false">IF(E367&gt;F367,E367,F367)</f>
        <v>0</v>
      </c>
      <c r="H367" s="1104" t="n">
        <f aca="false">'Смета Внутр'!G367</f>
        <v>0</v>
      </c>
      <c r="I367" s="1104" t="n">
        <f aca="false">'Смета Внутр'!H367</f>
        <v>0</v>
      </c>
      <c r="J367" s="1109" t="n">
        <f aca="false">'Смета Внутр'!I367</f>
        <v>0</v>
      </c>
    </row>
    <row r="368" customFormat="false" ht="15" hidden="true" customHeight="true" outlineLevel="0" collapsed="false">
      <c r="B368" s="1104" t="str">
        <f aca="false">'Смета Внутр'!B368</f>
        <v>Газоблок поясной D400 200х300х390 </v>
      </c>
      <c r="C368" s="1104" t="str">
        <f aca="false">'Смета Внутр'!C368</f>
        <v>м3</v>
      </c>
      <c r="D368" s="1109" t="n">
        <f aca="false">'Смета Внутр'!D368</f>
        <v>4.8048</v>
      </c>
      <c r="E368" s="1104" t="n">
        <f aca="false">'Смета Внутр'!E368</f>
        <v>4200</v>
      </c>
      <c r="F368" s="1104" t="n">
        <f aca="false">'Смета Внутр'!F368</f>
        <v>0</v>
      </c>
      <c r="G368" s="1104" t="n">
        <f aca="false">IF(E368&gt;F368,E368,F368)</f>
        <v>4200</v>
      </c>
      <c r="H368" s="1104" t="n">
        <f aca="false">'Смета Внутр'!G368</f>
        <v>20180.16</v>
      </c>
      <c r="I368" s="1104" t="n">
        <f aca="false">'Смета Внутр'!H368</f>
        <v>0</v>
      </c>
      <c r="J368" s="1109" t="n">
        <f aca="false">'Смета Внутр'!I368</f>
        <v>0</v>
      </c>
    </row>
    <row r="369" customFormat="false" ht="15" hidden="true" customHeight="true" outlineLevel="0" collapsed="false">
      <c r="B369" s="1104" t="str">
        <f aca="false">'Смета Внутр'!B369</f>
        <v>Поясной 200х300х600 угловой внешний</v>
      </c>
      <c r="C369" s="1104" t="str">
        <f aca="false">'Смета Внутр'!C369</f>
        <v>м3</v>
      </c>
      <c r="D369" s="1109" t="n">
        <f aca="false">'Смета Внутр'!D369</f>
        <v>0.1872</v>
      </c>
      <c r="E369" s="1104" t="n">
        <f aca="false">'Смета Внутр'!E369</f>
        <v>4200</v>
      </c>
      <c r="F369" s="1104" t="n">
        <f aca="false">'Смета Внутр'!F369</f>
        <v>0</v>
      </c>
      <c r="G369" s="1104" t="n">
        <f aca="false">IF(E369&gt;F369,E369,F369)</f>
        <v>4200</v>
      </c>
      <c r="H369" s="1104" t="n">
        <f aca="false">'Смета Внутр'!G369</f>
        <v>786.24</v>
      </c>
      <c r="I369" s="1104" t="n">
        <f aca="false">'Смета Внутр'!H369</f>
        <v>0</v>
      </c>
      <c r="J369" s="1109" t="n">
        <f aca="false">'Смета Внутр'!I369</f>
        <v>0</v>
      </c>
    </row>
    <row r="370" customFormat="false" ht="15" hidden="true" customHeight="true" outlineLevel="0" collapsed="false">
      <c r="B370" s="1104" t="str">
        <f aca="false">'Смета Внутр'!B370</f>
        <v>Поясной 200х300х600 угловой внутренний</v>
      </c>
      <c r="C370" s="1104" t="str">
        <f aca="false">'Смета Внутр'!C370</f>
        <v>м3</v>
      </c>
      <c r="D370" s="1109" t="n">
        <f aca="false">'Смета Внутр'!D370</f>
        <v>0</v>
      </c>
      <c r="E370" s="1104" t="n">
        <f aca="false">'Смета Внутр'!E370</f>
        <v>4200</v>
      </c>
      <c r="F370" s="1104" t="n">
        <f aca="false">'Смета Внутр'!F370</f>
        <v>0</v>
      </c>
      <c r="G370" s="1104" t="n">
        <f aca="false">IF(E370&gt;F370,E370,F370)</f>
        <v>4200</v>
      </c>
      <c r="H370" s="1104" t="n">
        <f aca="false">'Смета Внутр'!G370</f>
        <v>0</v>
      </c>
      <c r="I370" s="1104" t="n">
        <f aca="false">'Смета Внутр'!H370</f>
        <v>0</v>
      </c>
      <c r="J370" s="1109" t="n">
        <f aca="false">'Смета Внутр'!I370</f>
        <v>0</v>
      </c>
    </row>
    <row r="371" customFormat="false" ht="15" hidden="true" customHeight="true" outlineLevel="0" collapsed="false">
      <c r="B371" s="1104" t="str">
        <f aca="false">'Смета Внутр'!B371</f>
        <v>200х300х600 угловой внешний</v>
      </c>
      <c r="C371" s="1104" t="str">
        <f aca="false">'Смета Внутр'!C371</f>
        <v>м3</v>
      </c>
      <c r="D371" s="1109" t="n">
        <f aca="false">'Смета Внутр'!D371</f>
        <v>3.168</v>
      </c>
      <c r="E371" s="1104" t="n">
        <f aca="false">'Смета Внутр'!E371</f>
        <v>4200</v>
      </c>
      <c r="F371" s="1104" t="n">
        <f aca="false">'Смета Внутр'!F371</f>
        <v>0</v>
      </c>
      <c r="G371" s="1104" t="n">
        <f aca="false">IF(E371&gt;F371,E371,F371)</f>
        <v>4200</v>
      </c>
      <c r="H371" s="1104" t="n">
        <f aca="false">'Смета Внутр'!G371</f>
        <v>13305.6</v>
      </c>
      <c r="I371" s="1104" t="n">
        <f aca="false">'Смета Внутр'!H371</f>
        <v>0</v>
      </c>
      <c r="J371" s="1109" t="n">
        <f aca="false">'Смета Внутр'!I371</f>
        <v>0</v>
      </c>
    </row>
    <row r="372" customFormat="false" ht="15" hidden="true" customHeight="true" outlineLevel="0" collapsed="false">
      <c r="B372" s="1104" t="str">
        <f aca="false">'Смета Внутр'!B372</f>
        <v>200х300х600 угловой внутренний</v>
      </c>
      <c r="C372" s="1104" t="str">
        <f aca="false">'Смета Внутр'!C372</f>
        <v>м4</v>
      </c>
      <c r="D372" s="1109" t="n">
        <f aca="false">'Смета Внутр'!D372</f>
        <v>0</v>
      </c>
      <c r="E372" s="1104" t="n">
        <f aca="false">'Смета Внутр'!E372</f>
        <v>4200</v>
      </c>
      <c r="F372" s="1104" t="n">
        <f aca="false">'Смета Внутр'!F372</f>
        <v>0</v>
      </c>
      <c r="G372" s="1104" t="n">
        <f aca="false">IF(E372&gt;F372,E372,F372)</f>
        <v>4200</v>
      </c>
      <c r="H372" s="1104" t="n">
        <f aca="false">'Смета Внутр'!G372</f>
        <v>0</v>
      </c>
      <c r="I372" s="1104" t="n">
        <f aca="false">'Смета Внутр'!H372</f>
        <v>0</v>
      </c>
      <c r="J372" s="1109" t="n">
        <f aca="false">'Смета Внутр'!I372</f>
        <v>0</v>
      </c>
    </row>
    <row r="373" customFormat="false" ht="15" hidden="true" customHeight="true" outlineLevel="0" collapsed="false">
      <c r="B373" s="1104" t="str">
        <f aca="false">'Смета Внутр'!B373</f>
        <v>Клей монтажный ВК-100</v>
      </c>
      <c r="C373" s="1104" t="str">
        <f aca="false">'Смета Внутр'!C373</f>
        <v>меш</v>
      </c>
      <c r="D373" s="1109" t="n">
        <f aca="false">'Смета Внутр'!D373</f>
        <v>0</v>
      </c>
      <c r="E373" s="1104" t="n">
        <f aca="false">'Смета Внутр'!E373</f>
        <v>185</v>
      </c>
      <c r="F373" s="1104" t="n">
        <f aca="false">'Смета Внутр'!F373</f>
        <v>0</v>
      </c>
      <c r="G373" s="1104" t="n">
        <f aca="false">IF(E373&gt;F373,E373,F373)</f>
        <v>185</v>
      </c>
      <c r="H373" s="1104" t="n">
        <f aca="false">'Смета Внутр'!G373</f>
        <v>0</v>
      </c>
      <c r="I373" s="1104" t="n">
        <f aca="false">'Смета Внутр'!H373</f>
        <v>0</v>
      </c>
      <c r="J373" s="1109" t="n">
        <f aca="false">'Смета Внутр'!I373</f>
        <v>0</v>
      </c>
    </row>
    <row r="374" customFormat="false" ht="15" hidden="true" customHeight="true" outlineLevel="0" collapsed="false">
      <c r="B374" s="1104" t="e">
        <f aca="false">'Смета Внутр'!B374</f>
        <v>#N/A</v>
      </c>
      <c r="C374" s="1104" t="str">
        <f aca="false">'Смета Внутр'!C374</f>
        <v>меш</v>
      </c>
      <c r="D374" s="1109" t="n">
        <f aca="false">'Смета Внутр'!D374</f>
        <v>-5.77047239682</v>
      </c>
      <c r="E374" s="1104" t="n">
        <f aca="false">'Смета Внутр'!E374</f>
        <v>0</v>
      </c>
      <c r="F374" s="1104" t="n">
        <f aca="false">'Смета Внутр'!F374</f>
        <v>0</v>
      </c>
      <c r="G374" s="1104" t="n">
        <f aca="false">IF(E374&gt;F374,E374,F374)</f>
        <v>0</v>
      </c>
      <c r="H374" s="1104" t="n">
        <f aca="false">'Смета Внутр'!G374</f>
        <v>0</v>
      </c>
      <c r="I374" s="1104" t="n">
        <f aca="false">'Смета Внутр'!H374</f>
        <v>0</v>
      </c>
      <c r="J374" s="1109" t="n">
        <f aca="false">'Смета Внутр'!I374</f>
        <v>0</v>
      </c>
    </row>
    <row r="375" customFormat="false" ht="15" hidden="true" customHeight="true" outlineLevel="0" collapsed="false">
      <c r="B375" s="1104" t="e">
        <f aca="false">'Смета Внутр'!B375</f>
        <v>#N/A</v>
      </c>
      <c r="C375" s="1104" t="str">
        <f aca="false">'Смета Внутр'!C375</f>
        <v>м3</v>
      </c>
      <c r="D375" s="1109" t="n">
        <f aca="false">'Смета Внутр'!D375</f>
        <v>-1.37392199924286</v>
      </c>
      <c r="E375" s="1104" t="n">
        <f aca="false">'Смета Внутр'!E375</f>
        <v>0</v>
      </c>
      <c r="F375" s="1104" t="n">
        <f aca="false">'Смета Внутр'!F375</f>
        <v>0</v>
      </c>
      <c r="G375" s="1104" t="n">
        <f aca="false">IF(E375&gt;F375,E375,F375)</f>
        <v>0</v>
      </c>
      <c r="H375" s="1104" t="n">
        <f aca="false">'Смета Внутр'!G375</f>
        <v>0</v>
      </c>
      <c r="I375" s="1104" t="n">
        <f aca="false">'Смета Внутр'!H375</f>
        <v>0</v>
      </c>
      <c r="J375" s="1109" t="n">
        <f aca="false">'Смета Внутр'!I375</f>
        <v>0</v>
      </c>
    </row>
    <row r="376" customFormat="false" ht="15" hidden="true" customHeight="true" outlineLevel="0" collapsed="false">
      <c r="B376" s="1104" t="str">
        <f aca="false">'Смета Внутр'!B376</f>
        <v>Доставка песка</v>
      </c>
      <c r="C376" s="1104" t="str">
        <f aca="false">'Смета Внутр'!C376</f>
        <v>маш</v>
      </c>
      <c r="D376" s="1109" t="n">
        <f aca="false">'Смета Внутр'!D376</f>
        <v>0</v>
      </c>
      <c r="E376" s="1104" t="n">
        <f aca="false">'Смета Внутр'!E376</f>
        <v>0</v>
      </c>
      <c r="F376" s="1104" t="n">
        <f aca="false">'Смета Внутр'!F376</f>
        <v>0</v>
      </c>
      <c r="G376" s="1104" t="n">
        <f aca="false">IF(E376&gt;F376,E376,F376)</f>
        <v>0</v>
      </c>
      <c r="H376" s="1104" t="n">
        <f aca="false">'Смета Внутр'!G376</f>
        <v>0</v>
      </c>
      <c r="I376" s="1104" t="n">
        <f aca="false">'Смета Внутр'!H376</f>
        <v>0</v>
      </c>
      <c r="J376" s="1109" t="n">
        <f aca="false">'Смета Внутр'!I376</f>
        <v>0</v>
      </c>
    </row>
    <row r="377" customFormat="false" ht="15" hidden="true" customHeight="true" outlineLevel="0" collapsed="false">
      <c r="B377" s="1104" t="e">
        <f aca="false">'Смета Внутр'!B377</f>
        <v>#N/A</v>
      </c>
      <c r="C377" s="1104" t="str">
        <f aca="false">'Смета Внутр'!C377</f>
        <v>м3</v>
      </c>
      <c r="D377" s="1109" t="n">
        <f aca="false">'Смета Внутр'!D377</f>
        <v>-1.37392199924286</v>
      </c>
      <c r="E377" s="1104" t="n">
        <f aca="false">'Смета Внутр'!E377</f>
        <v>0</v>
      </c>
      <c r="F377" s="1104" t="n">
        <f aca="false">'Смета Внутр'!F377</f>
        <v>0</v>
      </c>
      <c r="G377" s="1104" t="n">
        <f aca="false">IF(E377&gt;F377,E377,F377)</f>
        <v>0</v>
      </c>
      <c r="H377" s="1104" t="n">
        <f aca="false">'Смета Внутр'!G377</f>
        <v>0</v>
      </c>
      <c r="I377" s="1104" t="n">
        <f aca="false">'Смета Внутр'!H377</f>
        <v>0</v>
      </c>
      <c r="J377" s="1109" t="n">
        <f aca="false">'Смета Внутр'!I377</f>
        <v>0</v>
      </c>
    </row>
    <row r="378" customFormat="false" ht="15" hidden="true" customHeight="true" outlineLevel="0" collapsed="false">
      <c r="B378" s="1104" t="str">
        <f aca="false">'Смета Внутр'!B378</f>
        <v>Арматура М6 каждый 3-й ряд, 2 нити</v>
      </c>
      <c r="C378" s="1104" t="str">
        <f aca="false">'Смета Внутр'!C378</f>
        <v>м.п.</v>
      </c>
      <c r="D378" s="1109" t="n">
        <f aca="false">'Смета Внутр'!D378</f>
        <v>597.333333333333</v>
      </c>
      <c r="E378" s="1104" t="n">
        <f aca="false">'Смета Внутр'!E378</f>
        <v>0</v>
      </c>
      <c r="F378" s="1104" t="n">
        <f aca="false">'Смета Внутр'!F378</f>
        <v>0</v>
      </c>
      <c r="G378" s="1104" t="n">
        <f aca="false">IF(E378&gt;F378,E378,F378)</f>
        <v>0</v>
      </c>
      <c r="H378" s="1104" t="n">
        <f aca="false">'Смета Внутр'!G378</f>
        <v>0</v>
      </c>
      <c r="I378" s="1104" t="n">
        <f aca="false">'Смета Внутр'!H378</f>
        <v>0</v>
      </c>
      <c r="J378" s="1109" t="n">
        <f aca="false">'Смета Внутр'!I378</f>
        <v>0</v>
      </c>
    </row>
    <row r="379" customFormat="false" ht="15" hidden="true" customHeight="true" outlineLevel="0" collapsed="false">
      <c r="B379" s="1104" t="str">
        <f aca="false">'Смета Внутр'!B379</f>
        <v>Арматура М6 каждый 3-й ряд, 2 нити</v>
      </c>
      <c r="C379" s="1104" t="str">
        <f aca="false">'Смета Внутр'!C379</f>
        <v>м.п.</v>
      </c>
      <c r="D379" s="1109" t="n">
        <f aca="false">'Смета Внутр'!D379</f>
        <v>100</v>
      </c>
      <c r="E379" s="1104" t="n">
        <f aca="false">'Смета Внутр'!E379</f>
        <v>0</v>
      </c>
      <c r="F379" s="1104" t="n">
        <f aca="false">'Смета Внутр'!F379</f>
        <v>0</v>
      </c>
      <c r="G379" s="1104" t="n">
        <f aca="false">IF(E379&gt;F379,E379,F379)</f>
        <v>0</v>
      </c>
      <c r="H379" s="1104" t="n">
        <f aca="false">'Смета Внутр'!G379</f>
        <v>0</v>
      </c>
      <c r="I379" s="1104" t="n">
        <f aca="false">'Смета Внутр'!H379</f>
        <v>0</v>
      </c>
      <c r="J379" s="1109" t="n">
        <f aca="false">'Смета Внутр'!I379</f>
        <v>0</v>
      </c>
    </row>
    <row r="380" customFormat="false" ht="15" hidden="true" customHeight="true" outlineLevel="0" collapsed="false">
      <c r="B380" s="1104" t="str">
        <f aca="false">'Смета Внутр'!B380</f>
        <v>Перемычка оконная, 1-ый эт. Вариант 1</v>
      </c>
      <c r="C380" s="1104" t="str">
        <f aca="false">'Смета Внутр'!C380</f>
        <v>м.п.</v>
      </c>
      <c r="D380" s="1109" t="n">
        <f aca="false">'Смета Внутр'!D380</f>
        <v>1</v>
      </c>
      <c r="E380" s="1104" t="n">
        <f aca="false">'Смета Внутр'!E380</f>
        <v>1000</v>
      </c>
      <c r="F380" s="1104" t="n">
        <f aca="false">'Смета Внутр'!F380</f>
        <v>0</v>
      </c>
      <c r="G380" s="1104" t="n">
        <f aca="false">IF(E380&gt;F380,E380,F380)</f>
        <v>1000</v>
      </c>
      <c r="H380" s="1104" t="n">
        <f aca="false">'Смета Внутр'!G380</f>
        <v>1000</v>
      </c>
      <c r="I380" s="1104" t="n">
        <f aca="false">'Смета Внутр'!H380</f>
        <v>0</v>
      </c>
      <c r="J380" s="1109" t="n">
        <f aca="false">'Смета Внутр'!I380</f>
        <v>0</v>
      </c>
    </row>
    <row r="381" customFormat="false" ht="15" hidden="true" customHeight="true" outlineLevel="0" collapsed="false">
      <c r="B381" s="1104" t="str">
        <f aca="false">'Смета Внутр'!B381</f>
        <v>Перемычка оконная, 1-ый эт. Вариант 2</v>
      </c>
      <c r="C381" s="1104" t="str">
        <f aca="false">'Смета Внутр'!C381</f>
        <v>м.п.</v>
      </c>
      <c r="D381" s="1109" t="n">
        <f aca="false">'Смета Внутр'!D381</f>
        <v>0</v>
      </c>
      <c r="E381" s="1104" t="n">
        <f aca="false">'Смета Внутр'!E381</f>
        <v>1000</v>
      </c>
      <c r="F381" s="1104" t="n">
        <f aca="false">'Смета Внутр'!F381</f>
        <v>0</v>
      </c>
      <c r="G381" s="1104" t="n">
        <f aca="false">IF(E381&gt;F381,E381,F381)</f>
        <v>1000</v>
      </c>
      <c r="H381" s="1104" t="n">
        <f aca="false">'Смета Внутр'!G381</f>
        <v>0</v>
      </c>
      <c r="I381" s="1104" t="n">
        <f aca="false">'Смета Внутр'!H381</f>
        <v>0</v>
      </c>
      <c r="J381" s="1109" t="n">
        <f aca="false">'Смета Внутр'!I381</f>
        <v>0</v>
      </c>
    </row>
    <row r="382" customFormat="false" ht="15" hidden="true" customHeight="true" outlineLevel="0" collapsed="false">
      <c r="B382" s="1104" t="str">
        <f aca="false">'Смета Внутр'!B382</f>
        <v>Перемычка оконная, 1-ый эт. Вариант 3</v>
      </c>
      <c r="C382" s="1104" t="str">
        <f aca="false">'Смета Внутр'!C382</f>
        <v>м.п.</v>
      </c>
      <c r="D382" s="1109" t="n">
        <f aca="false">'Смета Внутр'!D382</f>
        <v>0</v>
      </c>
      <c r="E382" s="1104" t="n">
        <f aca="false">'Смета Внутр'!E382</f>
        <v>1000</v>
      </c>
      <c r="F382" s="1104" t="n">
        <f aca="false">'Смета Внутр'!F382</f>
        <v>0</v>
      </c>
      <c r="G382" s="1104" t="n">
        <f aca="false">IF(E382&gt;F382,E382,F382)</f>
        <v>1000</v>
      </c>
      <c r="H382" s="1104" t="n">
        <f aca="false">'Смета Внутр'!G382</f>
        <v>0</v>
      </c>
      <c r="I382" s="1104" t="n">
        <f aca="false">'Смета Внутр'!H382</f>
        <v>0</v>
      </c>
      <c r="J382" s="1109" t="n">
        <f aca="false">'Смета Внутр'!I382</f>
        <v>0</v>
      </c>
    </row>
    <row r="383" customFormat="false" ht="15" hidden="true" customHeight="true" outlineLevel="0" collapsed="false">
      <c r="B383" s="1104" t="str">
        <f aca="false">'Смета Внутр'!B383</f>
        <v>Перемычка оконная, 1-ый эт. Вариант 4</v>
      </c>
      <c r="C383" s="1104" t="str">
        <f aca="false">'Смета Внутр'!C383</f>
        <v>м.п.</v>
      </c>
      <c r="D383" s="1109" t="n">
        <f aca="false">'Смета Внутр'!D383</f>
        <v>0</v>
      </c>
      <c r="E383" s="1104" t="n">
        <f aca="false">'Смета Внутр'!E383</f>
        <v>1000</v>
      </c>
      <c r="F383" s="1104" t="n">
        <f aca="false">'Смета Внутр'!F383</f>
        <v>0</v>
      </c>
      <c r="G383" s="1104" t="n">
        <f aca="false">IF(E383&gt;F383,E383,F383)</f>
        <v>1000</v>
      </c>
      <c r="H383" s="1104" t="n">
        <f aca="false">'Смета Внутр'!G383</f>
        <v>0</v>
      </c>
      <c r="I383" s="1104" t="n">
        <f aca="false">'Смета Внутр'!H383</f>
        <v>0</v>
      </c>
      <c r="J383" s="1109" t="n">
        <f aca="false">'Смета Внутр'!I383</f>
        <v>0</v>
      </c>
    </row>
    <row r="384" customFormat="false" ht="15" hidden="true" customHeight="true" outlineLevel="0" collapsed="false">
      <c r="B384" s="1104" t="str">
        <f aca="false">'Смета Внутр'!B384</f>
        <v>Перемычка оконная, 1-ый эт. Вариант 5</v>
      </c>
      <c r="C384" s="1104" t="str">
        <f aca="false">'Смета Внутр'!C384</f>
        <v>м.п.</v>
      </c>
      <c r="D384" s="1109" t="n">
        <f aca="false">'Смета Внутр'!D384</f>
        <v>0</v>
      </c>
      <c r="E384" s="1104" t="n">
        <f aca="false">'Смета Внутр'!E384</f>
        <v>1000</v>
      </c>
      <c r="F384" s="1104" t="n">
        <f aca="false">'Смета Внутр'!F384</f>
        <v>0</v>
      </c>
      <c r="G384" s="1104" t="n">
        <f aca="false">IF(E384&gt;F384,E384,F384)</f>
        <v>1000</v>
      </c>
      <c r="H384" s="1104" t="n">
        <f aca="false">'Смета Внутр'!G384</f>
        <v>0</v>
      </c>
      <c r="I384" s="1104" t="n">
        <f aca="false">'Смета Внутр'!H384</f>
        <v>0</v>
      </c>
      <c r="J384" s="1109" t="n">
        <f aca="false">'Смета Внутр'!I384</f>
        <v>0</v>
      </c>
    </row>
    <row r="385" customFormat="false" ht="15" hidden="true" customHeight="true" outlineLevel="0" collapsed="false">
      <c r="B385" s="1104" t="str">
        <f aca="false">'Смета Внутр'!B385</f>
        <v>Перемычка оконная, 2-ый эт. Вариант 6</v>
      </c>
      <c r="C385" s="1104" t="str">
        <f aca="false">'Смета Внутр'!C385</f>
        <v>м.п.</v>
      </c>
      <c r="D385" s="1109" t="n">
        <f aca="false">'Смета Внутр'!D385</f>
        <v>0</v>
      </c>
      <c r="E385" s="1104" t="n">
        <f aca="false">'Смета Внутр'!E385</f>
        <v>1000</v>
      </c>
      <c r="F385" s="1104" t="n">
        <f aca="false">'Смета Внутр'!F385</f>
        <v>0</v>
      </c>
      <c r="G385" s="1104" t="n">
        <f aca="false">IF(E385&gt;F385,E385,F385)</f>
        <v>1000</v>
      </c>
      <c r="H385" s="1104" t="n">
        <f aca="false">'Смета Внутр'!G385</f>
        <v>0</v>
      </c>
      <c r="I385" s="1104" t="n">
        <f aca="false">'Смета Внутр'!H385</f>
        <v>0</v>
      </c>
      <c r="J385" s="1109" t="n">
        <f aca="false">'Смета Внутр'!I385</f>
        <v>0</v>
      </c>
    </row>
    <row r="386" customFormat="false" ht="15" hidden="true" customHeight="true" outlineLevel="0" collapsed="false">
      <c r="B386" s="1104" t="str">
        <f aca="false">'Смета Внутр'!B386</f>
        <v>Перемычка оконная, 2-ый эт. Вариант 7</v>
      </c>
      <c r="C386" s="1104" t="str">
        <f aca="false">'Смета Внутр'!C386</f>
        <v>м.п.</v>
      </c>
      <c r="D386" s="1109" t="n">
        <f aca="false">'Смета Внутр'!D386</f>
        <v>0</v>
      </c>
      <c r="E386" s="1104" t="n">
        <f aca="false">'Смета Внутр'!E386</f>
        <v>1000</v>
      </c>
      <c r="F386" s="1104" t="n">
        <f aca="false">'Смета Внутр'!F386</f>
        <v>0</v>
      </c>
      <c r="G386" s="1104" t="n">
        <f aca="false">IF(E386&gt;F386,E386,F386)</f>
        <v>1000</v>
      </c>
      <c r="H386" s="1104" t="n">
        <f aca="false">'Смета Внутр'!G386</f>
        <v>0</v>
      </c>
      <c r="I386" s="1104" t="n">
        <f aca="false">'Смета Внутр'!H386</f>
        <v>0</v>
      </c>
      <c r="J386" s="1109" t="n">
        <f aca="false">'Смета Внутр'!I386</f>
        <v>0</v>
      </c>
    </row>
    <row r="387" customFormat="false" ht="15" hidden="true" customHeight="true" outlineLevel="0" collapsed="false">
      <c r="B387" s="1104" t="str">
        <f aca="false">'Смета Внутр'!B387</f>
        <v>Перемычка оконная, 2-ый эт. Вариант 8</v>
      </c>
      <c r="C387" s="1104" t="str">
        <f aca="false">'Смета Внутр'!C387</f>
        <v>м.п.</v>
      </c>
      <c r="D387" s="1109" t="n">
        <f aca="false">'Смета Внутр'!D387</f>
        <v>0</v>
      </c>
      <c r="E387" s="1104" t="n">
        <f aca="false">'Смета Внутр'!E387</f>
        <v>1000</v>
      </c>
      <c r="F387" s="1104" t="n">
        <f aca="false">'Смета Внутр'!F387</f>
        <v>0</v>
      </c>
      <c r="G387" s="1104" t="n">
        <f aca="false">IF(E387&gt;F387,E387,F387)</f>
        <v>1000</v>
      </c>
      <c r="H387" s="1104" t="n">
        <f aca="false">'Смета Внутр'!G387</f>
        <v>0</v>
      </c>
      <c r="I387" s="1104" t="n">
        <f aca="false">'Смета Внутр'!H387</f>
        <v>0</v>
      </c>
      <c r="J387" s="1109" t="n">
        <f aca="false">'Смета Внутр'!I387</f>
        <v>0</v>
      </c>
    </row>
    <row r="388" customFormat="false" ht="15" hidden="true" customHeight="true" outlineLevel="0" collapsed="false">
      <c r="B388" s="1104" t="str">
        <f aca="false">'Смета Внутр'!B388</f>
        <v>Перемычка оконная, 2-ый эт. Вариант 9</v>
      </c>
      <c r="C388" s="1104" t="str">
        <f aca="false">'Смета Внутр'!C388</f>
        <v>м.п.</v>
      </c>
      <c r="D388" s="1109" t="n">
        <f aca="false">'Смета Внутр'!D388</f>
        <v>0</v>
      </c>
      <c r="E388" s="1104" t="n">
        <f aca="false">'Смета Внутр'!E388</f>
        <v>1000</v>
      </c>
      <c r="F388" s="1104" t="n">
        <f aca="false">'Смета Внутр'!F388</f>
        <v>0</v>
      </c>
      <c r="G388" s="1104" t="n">
        <f aca="false">IF(E388&gt;F388,E388,F388)</f>
        <v>1000</v>
      </c>
      <c r="H388" s="1104" t="n">
        <f aca="false">'Смета Внутр'!G388</f>
        <v>0</v>
      </c>
      <c r="I388" s="1104" t="n">
        <f aca="false">'Смета Внутр'!H388</f>
        <v>0</v>
      </c>
      <c r="J388" s="1109" t="n">
        <f aca="false">'Смета Внутр'!I388</f>
        <v>0</v>
      </c>
    </row>
    <row r="389" customFormat="false" ht="15" hidden="true" customHeight="true" outlineLevel="0" collapsed="false">
      <c r="B389" s="1104" t="str">
        <f aca="false">'Смета Внутр'!B389</f>
        <v>Перемычка оконная, 2-ый эт. Вариант 10</v>
      </c>
      <c r="C389" s="1104" t="str">
        <f aca="false">'Смета Внутр'!C389</f>
        <v>м.п.</v>
      </c>
      <c r="D389" s="1109" t="n">
        <f aca="false">'Смета Внутр'!D389</f>
        <v>0</v>
      </c>
      <c r="E389" s="1104" t="n">
        <f aca="false">'Смета Внутр'!E389</f>
        <v>1000</v>
      </c>
      <c r="F389" s="1104" t="n">
        <f aca="false">'Смета Внутр'!F389</f>
        <v>0</v>
      </c>
      <c r="G389" s="1104" t="n">
        <f aca="false">IF(E389&gt;F389,E389,F389)</f>
        <v>1000</v>
      </c>
      <c r="H389" s="1104" t="n">
        <f aca="false">'Смета Внутр'!G389</f>
        <v>0</v>
      </c>
      <c r="I389" s="1104" t="n">
        <f aca="false">'Смета Внутр'!H389</f>
        <v>0</v>
      </c>
      <c r="J389" s="1109" t="n">
        <f aca="false">'Смета Внутр'!I389</f>
        <v>0</v>
      </c>
    </row>
    <row r="390" customFormat="false" ht="15" hidden="true" customHeight="true" outlineLevel="0" collapsed="false">
      <c r="B390" s="1104" t="str">
        <f aca="false">'Смета Внутр'!B390</f>
        <v>Перемычка дверная, 1-ый эт. Вариант 1</v>
      </c>
      <c r="C390" s="1104" t="str">
        <f aca="false">'Смета Внутр'!C390</f>
        <v>м.п.</v>
      </c>
      <c r="D390" s="1109" t="n">
        <f aca="false">'Смета Внутр'!D390</f>
        <v>0</v>
      </c>
      <c r="E390" s="1104" t="n">
        <f aca="false">'Смета Внутр'!E390</f>
        <v>1000</v>
      </c>
      <c r="F390" s="1104" t="n">
        <f aca="false">'Смета Внутр'!F390</f>
        <v>0</v>
      </c>
      <c r="G390" s="1104" t="n">
        <f aca="false">IF(E390&gt;F390,E390,F390)</f>
        <v>1000</v>
      </c>
      <c r="H390" s="1104" t="n">
        <f aca="false">'Смета Внутр'!G390</f>
        <v>0</v>
      </c>
      <c r="I390" s="1104" t="n">
        <f aca="false">'Смета Внутр'!H390</f>
        <v>0</v>
      </c>
      <c r="J390" s="1109" t="n">
        <f aca="false">'Смета Внутр'!I390</f>
        <v>0</v>
      </c>
    </row>
    <row r="391" customFormat="false" ht="15" hidden="true" customHeight="true" outlineLevel="0" collapsed="false">
      <c r="B391" s="1104" t="str">
        <f aca="false">'Смета Внутр'!B391</f>
        <v>Перемычка дверная, 2-ый эт. Вариант 2</v>
      </c>
      <c r="C391" s="1104" t="str">
        <f aca="false">'Смета Внутр'!C391</f>
        <v>м.п.</v>
      </c>
      <c r="D391" s="1109" t="n">
        <f aca="false">'Смета Внутр'!D391</f>
        <v>0</v>
      </c>
      <c r="E391" s="1104" t="n">
        <f aca="false">'Смета Внутр'!E391</f>
        <v>1000</v>
      </c>
      <c r="F391" s="1104" t="n">
        <f aca="false">'Смета Внутр'!F391</f>
        <v>0</v>
      </c>
      <c r="G391" s="1104" t="n">
        <f aca="false">IF(E391&gt;F391,E391,F391)</f>
        <v>1000</v>
      </c>
      <c r="H391" s="1104" t="n">
        <f aca="false">'Смета Внутр'!G391</f>
        <v>0</v>
      </c>
      <c r="I391" s="1104" t="n">
        <f aca="false">'Смета Внутр'!H391</f>
        <v>0</v>
      </c>
      <c r="J391" s="1109" t="n">
        <f aca="false">'Смета Внутр'!I391</f>
        <v>0</v>
      </c>
    </row>
    <row r="392" customFormat="false" ht="15" hidden="true" customHeight="true" outlineLevel="0" collapsed="false">
      <c r="B392" s="1104" t="str">
        <f aca="false">'Смета Внутр'!B392</f>
        <v>Перемычка оконная 1-ый эт, Вариант 11</v>
      </c>
      <c r="C392" s="1104" t="str">
        <f aca="false">'Смета Внутр'!C392</f>
        <v>м.п.</v>
      </c>
      <c r="D392" s="1109" t="n">
        <f aca="false">'Смета Внутр'!D392</f>
        <v>0</v>
      </c>
      <c r="E392" s="1104" t="n">
        <f aca="false">'Смета Внутр'!E392</f>
        <v>1000</v>
      </c>
      <c r="F392" s="1104" t="n">
        <f aca="false">'Смета Внутр'!F392</f>
        <v>0</v>
      </c>
      <c r="G392" s="1104" t="n">
        <f aca="false">IF(E392&gt;F392,E392,F392)</f>
        <v>1000</v>
      </c>
      <c r="H392" s="1104" t="n">
        <f aca="false">'Смета Внутр'!G392</f>
        <v>0</v>
      </c>
      <c r="I392" s="1104" t="n">
        <f aca="false">'Смета Внутр'!H392</f>
        <v>0</v>
      </c>
      <c r="J392" s="1109" t="n">
        <f aca="false">'Смета Внутр'!I392</f>
        <v>0</v>
      </c>
    </row>
    <row r="393" customFormat="false" ht="15" hidden="true" customHeight="true" outlineLevel="0" collapsed="false">
      <c r="B393" s="1104" t="str">
        <f aca="false">'Смета Внутр'!B393</f>
        <v>Перемычка оконная 1-ый эт, Вариант 12</v>
      </c>
      <c r="C393" s="1104" t="str">
        <f aca="false">'Смета Внутр'!C393</f>
        <v>м.п.</v>
      </c>
      <c r="D393" s="1109" t="n">
        <f aca="false">'Смета Внутр'!D393</f>
        <v>0</v>
      </c>
      <c r="E393" s="1104" t="n">
        <f aca="false">'Смета Внутр'!E393</f>
        <v>1000</v>
      </c>
      <c r="F393" s="1104" t="n">
        <f aca="false">'Смета Внутр'!F393</f>
        <v>0</v>
      </c>
      <c r="G393" s="1104" t="n">
        <f aca="false">IF(E393&gt;F393,E393,F393)</f>
        <v>1000</v>
      </c>
      <c r="H393" s="1104" t="n">
        <f aca="false">'Смета Внутр'!G393</f>
        <v>0</v>
      </c>
      <c r="I393" s="1104" t="n">
        <f aca="false">'Смета Внутр'!H393</f>
        <v>0</v>
      </c>
      <c r="J393" s="1109" t="n">
        <f aca="false">'Смета Внутр'!I393</f>
        <v>0</v>
      </c>
    </row>
    <row r="394" customFormat="false" ht="15" hidden="true" customHeight="true" outlineLevel="0" collapsed="false">
      <c r="B394" s="1104" t="str">
        <f aca="false">'Смета Внутр'!B394</f>
        <v>Перемычка дверная, 1-ый эт. Вариант 4</v>
      </c>
      <c r="C394" s="1104" t="str">
        <f aca="false">'Смета Внутр'!C394</f>
        <v>м.п.</v>
      </c>
      <c r="D394" s="1109" t="n">
        <f aca="false">'Смета Внутр'!D394</f>
        <v>3</v>
      </c>
      <c r="E394" s="1104" t="n">
        <f aca="false">'Смета Внутр'!E394</f>
        <v>1000</v>
      </c>
      <c r="F394" s="1104" t="n">
        <f aca="false">'Смета Внутр'!F394</f>
        <v>0</v>
      </c>
      <c r="G394" s="1104" t="n">
        <f aca="false">IF(E394&gt;F394,E394,F394)</f>
        <v>1000</v>
      </c>
      <c r="H394" s="1104" t="n">
        <f aca="false">'Смета Внутр'!G394</f>
        <v>3000</v>
      </c>
      <c r="I394" s="1104" t="n">
        <f aca="false">'Смета Внутр'!H394</f>
        <v>0</v>
      </c>
      <c r="J394" s="1109" t="n">
        <f aca="false">'Смета Внутр'!I394</f>
        <v>0</v>
      </c>
    </row>
    <row r="395" customFormat="false" ht="15" hidden="true" customHeight="true" outlineLevel="0" collapsed="false">
      <c r="B395" s="1104" t="str">
        <f aca="false">'Смета Внутр'!B395</f>
        <v>Перемычка дверная, 1-ый эт. Вариант 5</v>
      </c>
      <c r="C395" s="1104" t="str">
        <f aca="false">'Смета Внутр'!C395</f>
        <v>м.п.</v>
      </c>
      <c r="D395" s="1109" t="n">
        <f aca="false">'Смета Внутр'!D395</f>
        <v>0</v>
      </c>
      <c r="E395" s="1104" t="n">
        <f aca="false">'Смета Внутр'!E395</f>
        <v>1000</v>
      </c>
      <c r="F395" s="1104" t="n">
        <f aca="false">'Смета Внутр'!F395</f>
        <v>0</v>
      </c>
      <c r="G395" s="1104" t="n">
        <f aca="false">IF(E395&gt;F395,E395,F395)</f>
        <v>1000</v>
      </c>
      <c r="H395" s="1104" t="n">
        <f aca="false">'Смета Внутр'!G395</f>
        <v>0</v>
      </c>
      <c r="I395" s="1104" t="n">
        <f aca="false">'Смета Внутр'!H395</f>
        <v>0</v>
      </c>
      <c r="J395" s="1109" t="n">
        <f aca="false">'Смета Внутр'!I395</f>
        <v>0</v>
      </c>
    </row>
    <row r="396" customFormat="false" ht="15" hidden="true" customHeight="true" outlineLevel="0" collapsed="false">
      <c r="B396" s="1104" t="str">
        <f aca="false">'Смета Внутр'!B396</f>
        <v>Перемычка дверная, 1-ый эт. Вариант 6</v>
      </c>
      <c r="C396" s="1104" t="str">
        <f aca="false">'Смета Внутр'!C396</f>
        <v>м.п.</v>
      </c>
      <c r="D396" s="1109" t="n">
        <f aca="false">'Смета Внутр'!D396</f>
        <v>0</v>
      </c>
      <c r="E396" s="1104" t="n">
        <f aca="false">'Смета Внутр'!E396</f>
        <v>1000</v>
      </c>
      <c r="F396" s="1104" t="n">
        <f aca="false">'Смета Внутр'!F396</f>
        <v>0</v>
      </c>
      <c r="G396" s="1104" t="n">
        <f aca="false">IF(E396&gt;F396,E396,F396)</f>
        <v>1000</v>
      </c>
      <c r="H396" s="1104" t="n">
        <f aca="false">'Смета Внутр'!G396</f>
        <v>0</v>
      </c>
      <c r="I396" s="1104" t="n">
        <f aca="false">'Смета Внутр'!H396</f>
        <v>0</v>
      </c>
      <c r="J396" s="1109" t="n">
        <f aca="false">'Смета Внутр'!I396</f>
        <v>0</v>
      </c>
    </row>
    <row r="397" customFormat="false" ht="15" hidden="true" customHeight="true" outlineLevel="0" collapsed="false">
      <c r="B397" s="1104" t="str">
        <f aca="false">'Смета Внутр'!B397</f>
        <v>Перемычка дверная, 2-ый эт. Вариант 7</v>
      </c>
      <c r="C397" s="1104" t="str">
        <f aca="false">'Смета Внутр'!C397</f>
        <v>м.п.</v>
      </c>
      <c r="D397" s="1109" t="n">
        <f aca="false">'Смета Внутр'!D397</f>
        <v>0</v>
      </c>
      <c r="E397" s="1104" t="n">
        <f aca="false">'Смета Внутр'!E397</f>
        <v>1000</v>
      </c>
      <c r="F397" s="1104" t="n">
        <f aca="false">'Смета Внутр'!F397</f>
        <v>0</v>
      </c>
      <c r="G397" s="1104" t="n">
        <f aca="false">IF(E397&gt;F397,E397,F397)</f>
        <v>1000</v>
      </c>
      <c r="H397" s="1104" t="n">
        <f aca="false">'Смета Внутр'!G397</f>
        <v>0</v>
      </c>
      <c r="I397" s="1104" t="n">
        <f aca="false">'Смета Внутр'!H397</f>
        <v>0</v>
      </c>
      <c r="J397" s="1109" t="n">
        <f aca="false">'Смета Внутр'!I397</f>
        <v>0</v>
      </c>
    </row>
    <row r="398" customFormat="false" ht="15" hidden="true" customHeight="true" outlineLevel="0" collapsed="false">
      <c r="B398" s="1104" t="str">
        <f aca="false">'Смета Внутр'!B398</f>
        <v>Перемычка дверная, 2-ый эт. Вариант 8</v>
      </c>
      <c r="C398" s="1104" t="str">
        <f aca="false">'Смета Внутр'!C398</f>
        <v>м.п.</v>
      </c>
      <c r="D398" s="1109" t="n">
        <f aca="false">'Смета Внутр'!D398</f>
        <v>0</v>
      </c>
      <c r="E398" s="1104" t="n">
        <f aca="false">'Смета Внутр'!E398</f>
        <v>1000</v>
      </c>
      <c r="F398" s="1104" t="n">
        <f aca="false">'Смета Внутр'!F398</f>
        <v>0</v>
      </c>
      <c r="G398" s="1104" t="n">
        <f aca="false">IF(E398&gt;F398,E398,F398)</f>
        <v>1000</v>
      </c>
      <c r="H398" s="1104" t="n">
        <f aca="false">'Смета Внутр'!G398</f>
        <v>0</v>
      </c>
      <c r="I398" s="1104" t="n">
        <f aca="false">'Смета Внутр'!H398</f>
        <v>0</v>
      </c>
      <c r="J398" s="1109" t="n">
        <f aca="false">'Смета Внутр'!I398</f>
        <v>0</v>
      </c>
    </row>
    <row r="399" customFormat="false" ht="15" hidden="true" customHeight="true" outlineLevel="0" collapsed="false">
      <c r="B399" s="1104" t="str">
        <f aca="false">'Смета Внутр'!B399</f>
        <v>Перемычка дверная, 2-ый эт. Вариант 9</v>
      </c>
      <c r="C399" s="1104" t="str">
        <f aca="false">'Смета Внутр'!C399</f>
        <v>м.п.</v>
      </c>
      <c r="D399" s="1109" t="n">
        <f aca="false">'Смета Внутр'!D399</f>
        <v>0</v>
      </c>
      <c r="E399" s="1104" t="n">
        <f aca="false">'Смета Внутр'!E399</f>
        <v>1000</v>
      </c>
      <c r="F399" s="1104" t="n">
        <f aca="false">'Смета Внутр'!F399</f>
        <v>0</v>
      </c>
      <c r="G399" s="1104" t="n">
        <f aca="false">IF(E399&gt;F399,E399,F399)</f>
        <v>1000</v>
      </c>
      <c r="H399" s="1104" t="n">
        <f aca="false">'Смета Внутр'!G399</f>
        <v>0</v>
      </c>
      <c r="I399" s="1104" t="n">
        <f aca="false">'Смета Внутр'!H399</f>
        <v>0</v>
      </c>
      <c r="J399" s="1109" t="n">
        <f aca="false">'Смета Внутр'!I399</f>
        <v>0</v>
      </c>
    </row>
    <row r="400" customFormat="false" ht="15" hidden="true" customHeight="true" outlineLevel="0" collapsed="false">
      <c r="B400" s="1104" t="str">
        <f aca="false">'Смета Внутр'!B400</f>
        <v>Перемычка проема, 1-ый эт. Вариант 10</v>
      </c>
      <c r="C400" s="1104" t="str">
        <f aca="false">'Смета Внутр'!C400</f>
        <v>м.п.</v>
      </c>
      <c r="D400" s="1109" t="n">
        <f aca="false">'Смета Внутр'!D400</f>
        <v>0</v>
      </c>
      <c r="E400" s="1104" t="n">
        <f aca="false">'Смета Внутр'!E400</f>
        <v>1000</v>
      </c>
      <c r="F400" s="1104" t="n">
        <f aca="false">'Смета Внутр'!F400</f>
        <v>0</v>
      </c>
      <c r="G400" s="1104" t="n">
        <f aca="false">IF(E400&gt;F400,E400,F400)</f>
        <v>1000</v>
      </c>
      <c r="H400" s="1104" t="n">
        <f aca="false">'Смета Внутр'!G400</f>
        <v>0</v>
      </c>
      <c r="I400" s="1104" t="n">
        <f aca="false">'Смета Внутр'!H400</f>
        <v>0</v>
      </c>
      <c r="J400" s="1109" t="n">
        <f aca="false">'Смета Внутр'!I400</f>
        <v>0</v>
      </c>
    </row>
    <row r="401" customFormat="false" ht="15" hidden="true" customHeight="true" outlineLevel="0" collapsed="false">
      <c r="B401" s="1104" t="str">
        <f aca="false">'Смета Внутр'!B401</f>
        <v>Перемычка проема, 1-ый эт. Вариант 11</v>
      </c>
      <c r="C401" s="1104" t="str">
        <f aca="false">'Смета Внутр'!C401</f>
        <v>м.п.</v>
      </c>
      <c r="D401" s="1109" t="n">
        <f aca="false">'Смета Внутр'!D401</f>
        <v>0</v>
      </c>
      <c r="E401" s="1104" t="n">
        <f aca="false">'Смета Внутр'!E401</f>
        <v>1000</v>
      </c>
      <c r="F401" s="1104" t="n">
        <f aca="false">'Смета Внутр'!F401</f>
        <v>0</v>
      </c>
      <c r="G401" s="1104" t="n">
        <f aca="false">IF(E401&gt;F401,E401,F401)</f>
        <v>1000</v>
      </c>
      <c r="H401" s="1104" t="n">
        <f aca="false">'Смета Внутр'!G401</f>
        <v>0</v>
      </c>
      <c r="I401" s="1104" t="n">
        <f aca="false">'Смета Внутр'!H401</f>
        <v>0</v>
      </c>
      <c r="J401" s="1109" t="n">
        <f aca="false">'Смета Внутр'!I401</f>
        <v>0</v>
      </c>
    </row>
    <row r="402" customFormat="false" ht="15" hidden="true" customHeight="true" outlineLevel="0" collapsed="false">
      <c r="B402" s="1104" t="str">
        <f aca="false">'Смета Внутр'!B402</f>
        <v>Перемычка проема, 2-ый эт. Вариант 12</v>
      </c>
      <c r="C402" s="1104" t="str">
        <f aca="false">'Смета Внутр'!C402</f>
        <v>м.п.</v>
      </c>
      <c r="D402" s="1109" t="n">
        <f aca="false">'Смета Внутр'!D402</f>
        <v>0</v>
      </c>
      <c r="E402" s="1104" t="n">
        <f aca="false">'Смета Внутр'!E402</f>
        <v>1000</v>
      </c>
      <c r="F402" s="1104" t="n">
        <f aca="false">'Смета Внутр'!F402</f>
        <v>0</v>
      </c>
      <c r="G402" s="1104" t="n">
        <f aca="false">IF(E402&gt;F402,E402,F402)</f>
        <v>1000</v>
      </c>
      <c r="H402" s="1104" t="n">
        <f aca="false">'Смета Внутр'!G402</f>
        <v>0</v>
      </c>
      <c r="I402" s="1104" t="n">
        <f aca="false">'Смета Внутр'!H402</f>
        <v>0</v>
      </c>
      <c r="J402" s="1109" t="n">
        <f aca="false">'Смета Внутр'!I402</f>
        <v>0</v>
      </c>
    </row>
    <row r="403" customFormat="false" ht="15" hidden="true" customHeight="true" outlineLevel="0" collapsed="false">
      <c r="B403" s="1104" t="str">
        <f aca="false">'Смета Внутр'!B403</f>
        <v>Перемычка проема, 2-ый эт. Вариант 13</v>
      </c>
      <c r="C403" s="1104" t="str">
        <f aca="false">'Смета Внутр'!C403</f>
        <v>м.п.</v>
      </c>
      <c r="D403" s="1109" t="n">
        <f aca="false">'Смета Внутр'!D403</f>
        <v>0</v>
      </c>
      <c r="E403" s="1104" t="n">
        <f aca="false">'Смета Внутр'!E403</f>
        <v>1000</v>
      </c>
      <c r="F403" s="1104" t="n">
        <f aca="false">'Смета Внутр'!F403</f>
        <v>0</v>
      </c>
      <c r="G403" s="1104" t="n">
        <f aca="false">IF(E403&gt;F403,E403,F403)</f>
        <v>1000</v>
      </c>
      <c r="H403" s="1104" t="n">
        <f aca="false">'Смета Внутр'!G403</f>
        <v>0</v>
      </c>
      <c r="I403" s="1104" t="n">
        <f aca="false">'Смета Внутр'!H403</f>
        <v>0</v>
      </c>
      <c r="J403" s="1109" t="n">
        <f aca="false">'Смета Внутр'!I403</f>
        <v>0</v>
      </c>
    </row>
    <row r="404" customFormat="false" ht="15" hidden="true" customHeight="true" outlineLevel="0" collapsed="false">
      <c r="B404" s="1104" t="str">
        <f aca="false">'Смета Внутр'!B404</f>
        <v>Перемычка дверная, 1-ый эт. Вариант 1</v>
      </c>
      <c r="C404" s="1104" t="str">
        <f aca="false">'Смета Внутр'!C404</f>
        <v>м.п.</v>
      </c>
      <c r="D404" s="1109" t="n">
        <f aca="false">'Смета Внутр'!D404</f>
        <v>0</v>
      </c>
      <c r="E404" s="1104" t="n">
        <f aca="false">'Смета Внутр'!E404</f>
        <v>1000</v>
      </c>
      <c r="F404" s="1104" t="n">
        <f aca="false">'Смета Внутр'!F404</f>
        <v>0</v>
      </c>
      <c r="G404" s="1104" t="n">
        <f aca="false">IF(E404&gt;F404,E404,F404)</f>
        <v>1000</v>
      </c>
      <c r="H404" s="1104" t="n">
        <f aca="false">'Смета Внутр'!G404</f>
        <v>0</v>
      </c>
      <c r="I404" s="1104" t="n">
        <f aca="false">'Смета Внутр'!H404</f>
        <v>0</v>
      </c>
      <c r="J404" s="1109" t="n">
        <f aca="false">'Смета Внутр'!I404</f>
        <v>0</v>
      </c>
    </row>
    <row r="405" customFormat="false" ht="15" hidden="true" customHeight="true" outlineLevel="0" collapsed="false">
      <c r="B405" s="1104" t="str">
        <f aca="false">'Смета Внутр'!B405</f>
        <v>Перемычка дверная, 1-ый эт. Вариант 2</v>
      </c>
      <c r="C405" s="1104" t="str">
        <f aca="false">'Смета Внутр'!C405</f>
        <v>м.п.</v>
      </c>
      <c r="D405" s="1109" t="n">
        <f aca="false">'Смета Внутр'!D405</f>
        <v>1</v>
      </c>
      <c r="E405" s="1104" t="n">
        <f aca="false">'Смета Внутр'!E405</f>
        <v>1000</v>
      </c>
      <c r="F405" s="1104" t="n">
        <f aca="false">'Смета Внутр'!F405</f>
        <v>0</v>
      </c>
      <c r="G405" s="1104" t="n">
        <f aca="false">IF(E405&gt;F405,E405,F405)</f>
        <v>1000</v>
      </c>
      <c r="H405" s="1104" t="n">
        <f aca="false">'Смета Внутр'!G405</f>
        <v>1000</v>
      </c>
      <c r="I405" s="1104" t="n">
        <f aca="false">'Смета Внутр'!H405</f>
        <v>0</v>
      </c>
      <c r="J405" s="1109" t="n">
        <f aca="false">'Смета Внутр'!I405</f>
        <v>0</v>
      </c>
    </row>
    <row r="406" customFormat="false" ht="15" hidden="true" customHeight="true" outlineLevel="0" collapsed="false">
      <c r="B406" s="1104" t="str">
        <f aca="false">'Смета Внутр'!B406</f>
        <v>Перемычка дверная, 1-ый эт. Вариант 3</v>
      </c>
      <c r="C406" s="1104" t="str">
        <f aca="false">'Смета Внутр'!C406</f>
        <v>м.п.</v>
      </c>
      <c r="D406" s="1109" t="n">
        <f aca="false">'Смета Внутр'!D406</f>
        <v>0</v>
      </c>
      <c r="E406" s="1104" t="n">
        <f aca="false">'Смета Внутр'!E406</f>
        <v>1000</v>
      </c>
      <c r="F406" s="1104" t="n">
        <f aca="false">'Смета Внутр'!F406</f>
        <v>0</v>
      </c>
      <c r="G406" s="1104" t="n">
        <f aca="false">IF(E406&gt;F406,E406,F406)</f>
        <v>1000</v>
      </c>
      <c r="H406" s="1104" t="n">
        <f aca="false">'Смета Внутр'!G406</f>
        <v>0</v>
      </c>
      <c r="I406" s="1104" t="n">
        <f aca="false">'Смета Внутр'!H406</f>
        <v>0</v>
      </c>
      <c r="J406" s="1109" t="n">
        <f aca="false">'Смета Внутр'!I406</f>
        <v>0</v>
      </c>
    </row>
    <row r="407" customFormat="false" ht="15" hidden="true" customHeight="true" outlineLevel="0" collapsed="false">
      <c r="B407" s="1104" t="str">
        <f aca="false">'Смета Внутр'!B407</f>
        <v>Сосна влаж,200*40мм</v>
      </c>
      <c r="C407" s="1104" t="str">
        <f aca="false">'Смета Внутр'!C407</f>
        <v>м3</v>
      </c>
      <c r="D407" s="1109" t="n">
        <f aca="false">'Смета Внутр'!D407</f>
        <v>1.8512</v>
      </c>
      <c r="E407" s="1104" t="n">
        <f aca="false">'Смета Внутр'!E407</f>
        <v>6500</v>
      </c>
      <c r="F407" s="1104" t="n">
        <f aca="false">'Смета Внутр'!F407</f>
        <v>0</v>
      </c>
      <c r="G407" s="1104" t="n">
        <f aca="false">IF(E407&gt;F407,E407,F407)</f>
        <v>6500</v>
      </c>
      <c r="H407" s="1104" t="n">
        <f aca="false">'Смета Внутр'!G407</f>
        <v>12032.8</v>
      </c>
      <c r="I407" s="1104" t="n">
        <f aca="false">'Смета Внутр'!H407</f>
        <v>0</v>
      </c>
      <c r="J407" s="1109" t="n">
        <f aca="false">'Смета Внутр'!I407</f>
        <v>0</v>
      </c>
    </row>
    <row r="408" customFormat="false" ht="15" hidden="true" customHeight="true" outlineLevel="0" collapsed="false">
      <c r="B408" s="1104" t="str">
        <f aca="false">'Смета Внутр'!B408</f>
        <v>Сейсмопояс Арматура М10 4 нити</v>
      </c>
      <c r="C408" s="1104" t="str">
        <f aca="false">'Смета Внутр'!C408</f>
        <v>м.п.</v>
      </c>
      <c r="D408" s="1109" t="n">
        <f aca="false">'Смета Внутр'!D408</f>
        <v>281.6</v>
      </c>
      <c r="E408" s="1104" t="n">
        <f aca="false">'Смета Внутр'!E408</f>
        <v>21.0397</v>
      </c>
      <c r="F408" s="1104" t="n">
        <f aca="false">'Смета Внутр'!F408</f>
        <v>0</v>
      </c>
      <c r="G408" s="1104" t="n">
        <f aca="false">IF(E408&gt;F408,E408,F408)</f>
        <v>21.0397</v>
      </c>
      <c r="H408" s="1104" t="n">
        <f aca="false">'Смета Внутр'!G408</f>
        <v>5924.77952</v>
      </c>
      <c r="I408" s="1104" t="n">
        <f aca="false">'Смета Внутр'!H408</f>
        <v>0</v>
      </c>
      <c r="J408" s="1109" t="n">
        <f aca="false">'Смета Внутр'!I408</f>
        <v>0</v>
      </c>
    </row>
    <row r="409" customFormat="false" ht="15" hidden="true" customHeight="true" outlineLevel="0" collapsed="false">
      <c r="B409" s="1104" t="str">
        <f aca="false">'Смета Внутр'!B409</f>
        <v>Хомут для сейсмопояса Арматура М6, шаг 400мм</v>
      </c>
      <c r="C409" s="1104" t="str">
        <f aca="false">'Смета Внутр'!C409</f>
        <v>м.п.</v>
      </c>
      <c r="D409" s="1109" t="n">
        <f aca="false">'Смета Внутр'!D409</f>
        <v>144</v>
      </c>
      <c r="E409" s="1104" t="n">
        <f aca="false">'Смета Внутр'!E409</f>
        <v>0</v>
      </c>
      <c r="F409" s="1104" t="n">
        <f aca="false">'Смета Внутр'!F409</f>
        <v>0</v>
      </c>
      <c r="G409" s="1104" t="n">
        <f aca="false">IF(E409&gt;F409,E409,F409)</f>
        <v>0</v>
      </c>
      <c r="H409" s="1104" t="n">
        <f aca="false">'Смета Внутр'!G409</f>
        <v>0</v>
      </c>
      <c r="I409" s="1104" t="n">
        <f aca="false">'Смета Внутр'!H409</f>
        <v>0</v>
      </c>
      <c r="J409" s="1109" t="n">
        <f aca="false">'Смета Внутр'!I409</f>
        <v>0</v>
      </c>
    </row>
    <row r="410" customFormat="false" ht="15" hidden="true" customHeight="true" outlineLevel="0" collapsed="false">
      <c r="B410" s="1104" t="str">
        <f aca="false">'Смета Внутр'!B410</f>
        <v>Бетон, м300</v>
      </c>
      <c r="C410" s="1104" t="str">
        <f aca="false">'Смета Внутр'!C410</f>
        <v>м3</v>
      </c>
      <c r="D410" s="1109" t="n">
        <f aca="false">'Смета Внутр'!D410</f>
        <v>2.8833</v>
      </c>
      <c r="E410" s="1104" t="n">
        <f aca="false">'Смета Внутр'!E410</f>
        <v>3000</v>
      </c>
      <c r="F410" s="1104" t="n">
        <f aca="false">'Смета Внутр'!F410</f>
        <v>0</v>
      </c>
      <c r="G410" s="1104" t="n">
        <f aca="false">IF(E410&gt;F410,E410,F410)</f>
        <v>3000</v>
      </c>
      <c r="H410" s="1104" t="n">
        <f aca="false">'Смета Внутр'!G410</f>
        <v>8649.9</v>
      </c>
      <c r="I410" s="1104" t="n">
        <f aca="false">'Смета Внутр'!H410</f>
        <v>0</v>
      </c>
      <c r="J410" s="1109" t="n">
        <f aca="false">'Смета Внутр'!I410</f>
        <v>0</v>
      </c>
    </row>
    <row r="411" customFormat="false" ht="15" hidden="true" customHeight="true" outlineLevel="0" collapsed="false">
      <c r="B411" s="1104" t="str">
        <f aca="false">'Смета Внутр'!B411</f>
        <v>Нет</v>
      </c>
      <c r="C411" s="1104" t="str">
        <f aca="false">'Смета Внутр'!C411</f>
        <v>м3</v>
      </c>
      <c r="D411" s="1109" t="n">
        <f aca="false">'Смета Внутр'!D411</f>
        <v>0</v>
      </c>
      <c r="E411" s="1104" t="n">
        <f aca="false">'Смета Внутр'!E411</f>
        <v>0</v>
      </c>
      <c r="F411" s="1104" t="n">
        <f aca="false">'Смета Внутр'!F411</f>
        <v>0</v>
      </c>
      <c r="G411" s="1104" t="n">
        <f aca="false">IF(E411&gt;F411,E411,F411)</f>
        <v>0</v>
      </c>
      <c r="H411" s="1104" t="n">
        <f aca="false">'Смета Внутр'!G411</f>
        <v>0</v>
      </c>
      <c r="I411" s="1104" t="n">
        <f aca="false">'Смета Внутр'!H411</f>
        <v>0</v>
      </c>
      <c r="J411" s="1109" t="n">
        <f aca="false">'Смета Внутр'!I411</f>
        <v>0</v>
      </c>
    </row>
    <row r="412" customFormat="false" ht="15" hidden="true" customHeight="true" outlineLevel="0" collapsed="false">
      <c r="B412" s="1104" t="str">
        <f aca="false">'Смета Внутр'!B412</f>
        <v>Грибок для крепления утеплителя</v>
      </c>
      <c r="C412" s="1104" t="str">
        <f aca="false">'Смета Внутр'!C412</f>
        <v>шт</v>
      </c>
      <c r="D412" s="1109" t="n">
        <f aca="false">'Смета Внутр'!D412</f>
        <v>0</v>
      </c>
      <c r="E412" s="1104" t="n">
        <f aca="false">'Смета Внутр'!E412</f>
        <v>15</v>
      </c>
      <c r="F412" s="1104" t="n">
        <f aca="false">'Смета Внутр'!F412</f>
        <v>0</v>
      </c>
      <c r="G412" s="1104" t="n">
        <f aca="false">IF(E412&gt;F412,E412,F412)</f>
        <v>15</v>
      </c>
      <c r="H412" s="1104" t="n">
        <f aca="false">'Смета Внутр'!G412</f>
        <v>0</v>
      </c>
      <c r="I412" s="1104" t="n">
        <f aca="false">'Смета Внутр'!H412</f>
        <v>0</v>
      </c>
      <c r="J412" s="1109" t="n">
        <f aca="false">'Смета Внутр'!I412</f>
        <v>0</v>
      </c>
    </row>
    <row r="413" customFormat="false" ht="15" hidden="true" customHeight="true" outlineLevel="0" collapsed="false">
      <c r="B413" s="1104" t="str">
        <f aca="false">'Смета Внутр'!B413</f>
        <v>нет ветроизоляции</v>
      </c>
      <c r="C413" s="1104" t="str">
        <f aca="false">'Смета Внутр'!C413</f>
        <v>м2</v>
      </c>
      <c r="D413" s="1109" t="n">
        <f aca="false">'Смета Внутр'!D413</f>
        <v>0</v>
      </c>
      <c r="E413" s="1104" t="n">
        <f aca="false">'Смета Внутр'!E413</f>
        <v>0</v>
      </c>
      <c r="F413" s="1104" t="n">
        <f aca="false">'Смета Внутр'!F413</f>
        <v>0</v>
      </c>
      <c r="G413" s="1104" t="n">
        <f aca="false">IF(E413&gt;F413,E413,F413)</f>
        <v>0</v>
      </c>
      <c r="H413" s="1104" t="n">
        <f aca="false">'Смета Внутр'!G413</f>
        <v>0</v>
      </c>
      <c r="I413" s="1104" t="n">
        <f aca="false">'Смета Внутр'!H413</f>
        <v>0</v>
      </c>
      <c r="J413" s="1109" t="n">
        <f aca="false">'Смета Внутр'!I413</f>
        <v>0</v>
      </c>
    </row>
    <row r="414" customFormat="false" ht="15" hidden="true" customHeight="false" outlineLevel="0" collapsed="false">
      <c r="B414" s="1108" t="str">
        <f aca="false">'Смета Внутр'!B414</f>
        <v>Итого материалы</v>
      </c>
      <c r="C414" s="1108"/>
      <c r="D414" s="1108"/>
      <c r="E414" s="1108"/>
      <c r="F414" s="1108"/>
      <c r="G414" s="1108"/>
      <c r="H414" s="1104" t="n">
        <f aca="false">'Смета Внутр'!G414</f>
        <v>0</v>
      </c>
      <c r="I414" s="1104" t="n">
        <f aca="false">'Смета Внутр'!H414</f>
        <v>0</v>
      </c>
      <c r="J414" s="1109" t="n">
        <f aca="false">'Смета Внутр'!I414</f>
        <v>0</v>
      </c>
    </row>
    <row r="415" customFormat="false" ht="15" hidden="true" customHeight="true" outlineLevel="0" collapsed="false">
      <c r="B415" s="118" t="str">
        <f aca="false">'Смета Внутр'!B415</f>
        <v>Работы</v>
      </c>
      <c r="H415" s="118" t="n">
        <f aca="false">'Смета Внутр'!G415</f>
        <v>0</v>
      </c>
      <c r="I415" s="118" t="n">
        <f aca="false">'Смета Внутр'!H415</f>
        <v>0</v>
      </c>
      <c r="J415" s="1102" t="n">
        <f aca="false">'Смета Внутр'!I415</f>
        <v>0</v>
      </c>
    </row>
    <row r="416" customFormat="false" ht="15" hidden="true" customHeight="true" outlineLevel="0" collapsed="false">
      <c r="B416" s="1104" t="str">
        <f aca="false">'Смета Внутр'!B416</f>
        <v>кладка газобетона несущие стены</v>
      </c>
      <c r="C416" s="1104" t="str">
        <f aca="false">'Смета Внутр'!C416</f>
        <v>м3</v>
      </c>
      <c r="D416" s="1109" t="n">
        <f aca="false">'Смета Внутр'!D416</f>
        <v>-4.992</v>
      </c>
      <c r="E416" s="1104" t="n">
        <f aca="false">'Смета Внутр'!E416</f>
        <v>3500</v>
      </c>
      <c r="F416" s="1104" t="n">
        <f aca="false">'Смета Внутр'!F416</f>
        <v>0</v>
      </c>
      <c r="G416" s="1104" t="n">
        <f aca="false">IF(E416&gt;F416,E416,F416)</f>
        <v>3500</v>
      </c>
      <c r="H416" s="1104" t="n">
        <f aca="false">'Смета Внутр'!G416</f>
        <v>-17472</v>
      </c>
      <c r="I416" s="1104" t="n">
        <f aca="false">'Смета Внутр'!H416</f>
        <v>0</v>
      </c>
      <c r="J416" s="1109" t="n">
        <f aca="false">'Смета Внутр'!I416</f>
        <v>0</v>
      </c>
    </row>
    <row r="417" customFormat="false" ht="15" hidden="true" customHeight="true" outlineLevel="0" collapsed="false">
      <c r="B417" s="1104" t="str">
        <f aca="false">'Смета Внутр'!B417</f>
        <v>кладка газобетона несущие перегородки</v>
      </c>
      <c r="C417" s="1104" t="str">
        <f aca="false">'Смета Внутр'!C417</f>
        <v>м3</v>
      </c>
      <c r="D417" s="1109" t="n">
        <f aca="false">'Смета Внутр'!D417</f>
        <v>0</v>
      </c>
      <c r="E417" s="1104" t="n">
        <f aca="false">'Смета Внутр'!E417</f>
        <v>3500</v>
      </c>
      <c r="F417" s="1104" t="n">
        <f aca="false">'Смета Внутр'!F417</f>
        <v>0</v>
      </c>
      <c r="G417" s="1104" t="n">
        <f aca="false">IF(E417&gt;F417,E417,F417)</f>
        <v>3500</v>
      </c>
      <c r="H417" s="1104" t="n">
        <f aca="false">'Смета Внутр'!G417</f>
        <v>0</v>
      </c>
      <c r="I417" s="1104" t="n">
        <f aca="false">'Смета Внутр'!H417</f>
        <v>0</v>
      </c>
      <c r="J417" s="1109" t="n">
        <f aca="false">'Смета Внутр'!I417</f>
        <v>0</v>
      </c>
    </row>
    <row r="418" customFormat="false" ht="15" hidden="true" customHeight="true" outlineLevel="0" collapsed="false">
      <c r="B418" s="1104" t="str">
        <f aca="false">'Смета Внутр'!B418</f>
        <v>кладка газобетона перегородки</v>
      </c>
      <c r="C418" s="1104" t="str">
        <f aca="false">'Смета Внутр'!C418</f>
        <v>м2</v>
      </c>
      <c r="D418" s="1109" t="n">
        <f aca="false">'Смета Внутр'!D418</f>
        <v>0</v>
      </c>
      <c r="E418" s="1104" t="n">
        <f aca="false">'Смета Внутр'!E418</f>
        <v>500</v>
      </c>
      <c r="F418" s="1104" t="n">
        <f aca="false">'Смета Внутр'!F418</f>
        <v>0</v>
      </c>
      <c r="G418" s="1104" t="n">
        <f aca="false">IF(E418&gt;F418,E418,F418)</f>
        <v>500</v>
      </c>
      <c r="H418" s="1104" t="n">
        <f aca="false">'Смета Внутр'!G418</f>
        <v>0</v>
      </c>
      <c r="I418" s="1104" t="n">
        <f aca="false">'Смета Внутр'!H418</f>
        <v>0</v>
      </c>
      <c r="J418" s="1109" t="n">
        <f aca="false">'Смета Внутр'!I418</f>
        <v>0</v>
      </c>
    </row>
    <row r="419" customFormat="false" ht="15" hidden="true" customHeight="true" outlineLevel="0" collapsed="false">
      <c r="B419" s="1104" t="str">
        <f aca="false">'Смета Внутр'!B419</f>
        <v>изготовление и монтаж перемычек для окон и дверей</v>
      </c>
      <c r="C419" s="1104" t="str">
        <f aca="false">'Смета Внутр'!C419</f>
        <v>м.п.</v>
      </c>
      <c r="D419" s="1109" t="n">
        <f aca="false">'Смета Внутр'!D419</f>
        <v>10.49</v>
      </c>
      <c r="E419" s="1104" t="n">
        <f aca="false">'Смета Внутр'!E419</f>
        <v>500</v>
      </c>
      <c r="F419" s="1104" t="n">
        <f aca="false">'Смета Внутр'!F419</f>
        <v>0</v>
      </c>
      <c r="G419" s="1104" t="n">
        <f aca="false">IF(E419&gt;F419,E419,F419)</f>
        <v>500</v>
      </c>
      <c r="H419" s="1104" t="n">
        <f aca="false">'Смета Внутр'!G419</f>
        <v>5245</v>
      </c>
      <c r="I419" s="1104" t="n">
        <f aca="false">'Смета Внутр'!H419</f>
        <v>0</v>
      </c>
      <c r="J419" s="1109" t="n">
        <f aca="false">'Смета Внутр'!I419</f>
        <v>0</v>
      </c>
    </row>
    <row r="420" customFormat="false" ht="15" hidden="true" customHeight="true" outlineLevel="0" collapsed="false">
      <c r="B420" s="1104" t="str">
        <f aca="false">'Смета Внутр'!B420</f>
        <v>Замешивание раствора</v>
      </c>
      <c r="C420" s="1104" t="str">
        <f aca="false">'Смета Внутр'!C420</f>
        <v>м3</v>
      </c>
      <c r="D420" s="1109" t="n">
        <f aca="false">'Смета Внутр'!D420</f>
        <v>-1.37392199924286</v>
      </c>
      <c r="E420" s="1104" t="n">
        <f aca="false">'Смета Внутр'!E420</f>
        <v>1500</v>
      </c>
      <c r="F420" s="1104" t="n">
        <f aca="false">'Смета Внутр'!F420</f>
        <v>0</v>
      </c>
      <c r="G420" s="1104" t="n">
        <f aca="false">IF(E420&gt;F420,E420,F420)</f>
        <v>1500</v>
      </c>
      <c r="H420" s="1104" t="n">
        <f aca="false">'Смета Внутр'!G420</f>
        <v>-2060.88299886428</v>
      </c>
      <c r="I420" s="1104" t="n">
        <f aca="false">'Смета Внутр'!H420</f>
        <v>0</v>
      </c>
      <c r="J420" s="1109" t="n">
        <f aca="false">'Смета Внутр'!I420</f>
        <v>0</v>
      </c>
    </row>
    <row r="421" customFormat="false" ht="15" hidden="true" customHeight="true" outlineLevel="0" collapsed="false">
      <c r="B421" s="1104" t="str">
        <f aca="false">'Смета Внутр'!B421</f>
        <v>Армирование стен наружних и перегородок</v>
      </c>
      <c r="C421" s="1104" t="str">
        <f aca="false">'Смета Внутр'!C421</f>
        <v>м.п.</v>
      </c>
      <c r="D421" s="1109" t="n">
        <f aca="false">'Смета Внутр'!D421</f>
        <v>348.666666666667</v>
      </c>
      <c r="E421" s="1104" t="n">
        <f aca="false">'Смета Внутр'!E421</f>
        <v>70</v>
      </c>
      <c r="F421" s="1104" t="n">
        <f aca="false">'Смета Внутр'!F421</f>
        <v>0</v>
      </c>
      <c r="G421" s="1104" t="n">
        <f aca="false">IF(E421&gt;F421,E421,F421)</f>
        <v>70</v>
      </c>
      <c r="H421" s="1104" t="n">
        <f aca="false">'Смета Внутр'!G421</f>
        <v>24406.6666666667</v>
      </c>
      <c r="I421" s="1104" t="n">
        <f aca="false">'Смета Внутр'!H421</f>
        <v>0</v>
      </c>
      <c r="J421" s="1109" t="n">
        <f aca="false">'Смета Внутр'!I421</f>
        <v>0</v>
      </c>
    </row>
    <row r="422" customFormat="false" ht="15" hidden="true" customHeight="true" outlineLevel="0" collapsed="false">
      <c r="B422" s="1104" t="str">
        <f aca="false">'Смета Внутр'!B422</f>
        <v>Установка опалубки для сейсмопояса</v>
      </c>
      <c r="C422" s="1104" t="str">
        <f aca="false">'Смета Внутр'!C422</f>
        <v>м.п.</v>
      </c>
      <c r="D422" s="1109" t="n">
        <f aca="false">'Смета Внутр'!D422</f>
        <v>76.5</v>
      </c>
      <c r="E422" s="1104" t="n">
        <f aca="false">'Смета Внутр'!E422</f>
        <v>300</v>
      </c>
      <c r="F422" s="1104" t="n">
        <f aca="false">'Смета Внутр'!F422</f>
        <v>0</v>
      </c>
      <c r="G422" s="1104" t="n">
        <f aca="false">IF(E422&gt;F422,E422,F422)</f>
        <v>300</v>
      </c>
      <c r="H422" s="1104" t="n">
        <f aca="false">'Смета Внутр'!G422</f>
        <v>22950</v>
      </c>
      <c r="I422" s="1104" t="n">
        <f aca="false">'Смета Внутр'!H422</f>
        <v>0</v>
      </c>
      <c r="J422" s="1109" t="n">
        <f aca="false">'Смета Внутр'!I422</f>
        <v>0</v>
      </c>
    </row>
    <row r="423" customFormat="false" ht="15" hidden="true" customHeight="true" outlineLevel="0" collapsed="false">
      <c r="B423" s="1104" t="str">
        <f aca="false">'Смета Внутр'!B423</f>
        <v>Армирование сейсмопояса</v>
      </c>
      <c r="C423" s="1104" t="str">
        <f aca="false">'Смета Внутр'!C423</f>
        <v>м.п.</v>
      </c>
      <c r="D423" s="1109" t="n">
        <f aca="false">'Смета Внутр'!D423</f>
        <v>76.5</v>
      </c>
      <c r="E423" s="1104" t="n">
        <f aca="false">'Смета Внутр'!E423</f>
        <v>500</v>
      </c>
      <c r="F423" s="1104" t="n">
        <f aca="false">'Смета Внутр'!F423</f>
        <v>0</v>
      </c>
      <c r="G423" s="1104" t="n">
        <f aca="false">IF(E423&gt;F423,E423,F423)</f>
        <v>500</v>
      </c>
      <c r="H423" s="1104" t="n">
        <f aca="false">'Смета Внутр'!G423</f>
        <v>38250</v>
      </c>
      <c r="I423" s="1104" t="n">
        <f aca="false">'Смета Внутр'!H423</f>
        <v>0</v>
      </c>
      <c r="J423" s="1109" t="n">
        <f aca="false">'Смета Внутр'!I423</f>
        <v>0</v>
      </c>
    </row>
    <row r="424" customFormat="false" ht="15" hidden="true" customHeight="true" outlineLevel="0" collapsed="false">
      <c r="B424" s="1104" t="str">
        <f aca="false">'Смета Внутр'!B424</f>
        <v>Заливка бетоном сейсмопояса</v>
      </c>
      <c r="C424" s="1104" t="str">
        <f aca="false">'Смета Внутр'!C424</f>
        <v>м.п.</v>
      </c>
      <c r="D424" s="1109" t="n">
        <f aca="false">'Смета Внутр'!D424</f>
        <v>76.5</v>
      </c>
      <c r="E424" s="1104" t="n">
        <f aca="false">'Смета Внутр'!E424</f>
        <v>700</v>
      </c>
      <c r="F424" s="1104" t="n">
        <f aca="false">'Смета Внутр'!F424</f>
        <v>0</v>
      </c>
      <c r="G424" s="1104" t="n">
        <f aca="false">IF(E424&gt;F424,E424,F424)</f>
        <v>700</v>
      </c>
      <c r="H424" s="1104" t="n">
        <f aca="false">'Смета Внутр'!G424</f>
        <v>53550</v>
      </c>
      <c r="I424" s="1104" t="n">
        <f aca="false">'Смета Внутр'!H424</f>
        <v>0</v>
      </c>
      <c r="J424" s="1109" t="n">
        <f aca="false">'Смета Внутр'!I424</f>
        <v>0</v>
      </c>
    </row>
    <row r="425" customFormat="false" ht="15" hidden="true" customHeight="true" outlineLevel="0" collapsed="false">
      <c r="B425" s="1104" t="str">
        <f aca="false">'Смета Внутр'!B425</f>
        <v>утепление стен снаружи дома</v>
      </c>
      <c r="C425" s="1104" t="str">
        <f aca="false">'Смета Внутр'!C425</f>
        <v>м2</v>
      </c>
      <c r="D425" s="1109" t="n">
        <f aca="false">'Смета Внутр'!D425</f>
        <v>0</v>
      </c>
      <c r="E425" s="1104" t="n">
        <f aca="false">'Смета Внутр'!E425</f>
        <v>350</v>
      </c>
      <c r="F425" s="1104" t="n">
        <f aca="false">'Смета Внутр'!F425</f>
        <v>0</v>
      </c>
      <c r="G425" s="1104" t="n">
        <f aca="false">IF(E425&gt;F425,E425,F425)</f>
        <v>350</v>
      </c>
      <c r="H425" s="1104" t="n">
        <f aca="false">'Смета Внутр'!G425</f>
        <v>0</v>
      </c>
      <c r="I425" s="1104" t="n">
        <f aca="false">'Смета Внутр'!H425</f>
        <v>0</v>
      </c>
      <c r="J425" s="1109" t="n">
        <f aca="false">'Смета Внутр'!I425</f>
        <v>0</v>
      </c>
    </row>
    <row r="426" customFormat="false" ht="15" hidden="true" customHeight="true" outlineLevel="0" collapsed="false">
      <c r="B426" s="1104" t="str">
        <f aca="false">'Смета Внутр'!B426</f>
        <v>монтаж ветроизоляции стен</v>
      </c>
      <c r="C426" s="1104" t="str">
        <f aca="false">'Смета Внутр'!C426</f>
        <v>м2</v>
      </c>
      <c r="D426" s="1109" t="n">
        <f aca="false">'Смета Внутр'!D426</f>
        <v>0</v>
      </c>
      <c r="E426" s="1104" t="n">
        <f aca="false">'Смета Внутр'!E426</f>
        <v>100</v>
      </c>
      <c r="F426" s="1104" t="n">
        <f aca="false">'Смета Внутр'!F426</f>
        <v>0</v>
      </c>
      <c r="G426" s="1104" t="n">
        <f aca="false">IF(E426&gt;F426,E426,F426)</f>
        <v>100</v>
      </c>
      <c r="H426" s="1104" t="n">
        <f aca="false">'Смета Внутр'!G426</f>
        <v>0</v>
      </c>
      <c r="I426" s="1104" t="n">
        <f aca="false">'Смета Внутр'!H426</f>
        <v>0</v>
      </c>
      <c r="J426" s="1109" t="n">
        <f aca="false">'Смета Внутр'!I426</f>
        <v>0</v>
      </c>
    </row>
    <row r="427" customFormat="false" ht="15" hidden="true" customHeight="true" outlineLevel="0" collapsed="false">
      <c r="B427" s="1108" t="str">
        <f aca="false">'Смета Внутр'!B427</f>
        <v>Итого работы</v>
      </c>
      <c r="C427" s="1108"/>
      <c r="D427" s="1108"/>
      <c r="E427" s="1108"/>
      <c r="F427" s="1108"/>
      <c r="G427" s="1108"/>
      <c r="H427" s="1104" t="n">
        <f aca="false">'Смета Внутр'!G427</f>
        <v>0</v>
      </c>
      <c r="I427" s="1104" t="n">
        <f aca="false">'Смета Внутр'!H427</f>
        <v>0</v>
      </c>
      <c r="J427" s="1109" t="n">
        <f aca="false">'Смета Внутр'!I427</f>
        <v>0</v>
      </c>
    </row>
    <row r="428" customFormat="false" ht="15" hidden="true" customHeight="true" outlineLevel="0" collapsed="false">
      <c r="B428" s="1111" t="str">
        <f aca="false">'Смета Внутр'!B428</f>
        <v>Дом из Пенобетона</v>
      </c>
      <c r="C428" s="1111"/>
      <c r="D428" s="1111"/>
      <c r="H428" s="118" t="n">
        <f aca="false">'Смета Внутр'!G428</f>
        <v>0</v>
      </c>
      <c r="I428" s="118" t="n">
        <f aca="false">'Смета Внутр'!H428</f>
        <v>0</v>
      </c>
      <c r="J428" s="1102" t="n">
        <f aca="false">'Смета Внутр'!I428</f>
        <v>0</v>
      </c>
    </row>
    <row r="429" customFormat="false" ht="15" hidden="true" customHeight="true" outlineLevel="0" collapsed="false">
      <c r="B429" s="118" t="str">
        <f aca="false">'Смета Внутр'!B429</f>
        <v>Материалы</v>
      </c>
      <c r="H429" s="118" t="n">
        <f aca="false">'Смета Внутр'!G429</f>
        <v>0</v>
      </c>
      <c r="I429" s="118" t="n">
        <f aca="false">'Смета Внутр'!H429</f>
        <v>0</v>
      </c>
      <c r="J429" s="1102" t="n">
        <f aca="false">'Смета Внутр'!I429</f>
        <v>0</v>
      </c>
    </row>
    <row r="430" customFormat="false" ht="15" hidden="true" customHeight="true" outlineLevel="0" collapsed="false">
      <c r="B430" s="1104" t="str">
        <f aca="false">'Смета Внутр'!B430</f>
        <v>Пенобетон 200x300x600</v>
      </c>
      <c r="C430" s="1104" t="str">
        <f aca="false">'Смета Внутр'!C430</f>
        <v>м3</v>
      </c>
      <c r="D430" s="1109" t="n">
        <f aca="false">'Смета Внутр'!D430</f>
        <v>0</v>
      </c>
      <c r="E430" s="1104" t="n">
        <f aca="false">'Смета Внутр'!E430</f>
        <v>3650</v>
      </c>
      <c r="F430" s="1104" t="n">
        <f aca="false">'Смета Внутр'!F430</f>
        <v>0</v>
      </c>
      <c r="G430" s="1104" t="n">
        <f aca="false">IF(E430&gt;F430,E430,F430)</f>
        <v>3650</v>
      </c>
      <c r="H430" s="1104" t="n">
        <f aca="false">'Смета Внутр'!G430</f>
        <v>0</v>
      </c>
      <c r="I430" s="1104" t="n">
        <f aca="false">'Смета Внутр'!H430</f>
        <v>0</v>
      </c>
      <c r="J430" s="1109" t="n">
        <f aca="false">'Смета Внутр'!I430</f>
        <v>0</v>
      </c>
    </row>
    <row r="431" customFormat="false" ht="15" hidden="true" customHeight="true" outlineLevel="0" collapsed="false">
      <c r="B431" s="1104" t="str">
        <f aca="false">'Смета Внутр'!B431</f>
        <v>Пенобетон 200x150x600</v>
      </c>
      <c r="C431" s="1104" t="str">
        <f aca="false">'Смета Внутр'!C431</f>
        <v>м3</v>
      </c>
      <c r="D431" s="1109" t="n">
        <f aca="false">'Смета Внутр'!D431</f>
        <v>0</v>
      </c>
      <c r="E431" s="1104" t="n">
        <f aca="false">'Смета Внутр'!E431</f>
        <v>3950</v>
      </c>
      <c r="F431" s="1104" t="n">
        <f aca="false">'Смета Внутр'!F431</f>
        <v>0</v>
      </c>
      <c r="G431" s="1104" t="n">
        <f aca="false">IF(E431&gt;F431,E431,F431)</f>
        <v>3950</v>
      </c>
      <c r="H431" s="1104" t="n">
        <f aca="false">'Смета Внутр'!G431</f>
        <v>0</v>
      </c>
      <c r="I431" s="1104" t="n">
        <f aca="false">'Смета Внутр'!H431</f>
        <v>0</v>
      </c>
      <c r="J431" s="1109" t="n">
        <f aca="false">'Смета Внутр'!I431</f>
        <v>0</v>
      </c>
    </row>
    <row r="432" customFormat="false" ht="15" hidden="true" customHeight="true" outlineLevel="0" collapsed="false">
      <c r="B432" s="1104" t="str">
        <f aca="false">'Смета Внутр'!B432</f>
        <v>Пенобетон 200x150x600</v>
      </c>
      <c r="C432" s="1104" t="str">
        <f aca="false">'Смета Внутр'!C432</f>
        <v>м3</v>
      </c>
      <c r="D432" s="1109" t="n">
        <f aca="false">'Смета Внутр'!D432</f>
        <v>0</v>
      </c>
      <c r="E432" s="1104" t="n">
        <f aca="false">'Смета Внутр'!E432</f>
        <v>3950</v>
      </c>
      <c r="F432" s="1104" t="n">
        <f aca="false">'Смета Внутр'!F432</f>
        <v>0</v>
      </c>
      <c r="G432" s="1104" t="n">
        <f aca="false">IF(E432&gt;F432,E432,F432)</f>
        <v>3950</v>
      </c>
      <c r="H432" s="1104" t="n">
        <f aca="false">'Смета Внутр'!G432</f>
        <v>0</v>
      </c>
      <c r="I432" s="1104" t="n">
        <f aca="false">'Смета Внутр'!H432</f>
        <v>0</v>
      </c>
      <c r="J432" s="1109" t="n">
        <f aca="false">'Смета Внутр'!I432</f>
        <v>0</v>
      </c>
    </row>
    <row r="433" customFormat="false" ht="15" hidden="true" customHeight="true" outlineLevel="0" collapsed="false">
      <c r="B433" s="1104" t="str">
        <f aca="false">'Смета Внутр'!B433</f>
        <v>Клей монтажный ВК-100</v>
      </c>
      <c r="C433" s="1104" t="str">
        <f aca="false">'Смета Внутр'!C433</f>
        <v>меш</v>
      </c>
      <c r="D433" s="1109" t="n">
        <f aca="false">'Смета Внутр'!D433</f>
        <v>0</v>
      </c>
      <c r="E433" s="1104" t="n">
        <f aca="false">'Смета Внутр'!E433</f>
        <v>185</v>
      </c>
      <c r="F433" s="1104" t="n">
        <f aca="false">'Смета Внутр'!F433</f>
        <v>0</v>
      </c>
      <c r="G433" s="1104" t="n">
        <f aca="false">IF(E433&gt;F433,E433,F433)</f>
        <v>185</v>
      </c>
      <c r="H433" s="1104" t="n">
        <f aca="false">'Смета Внутр'!G433</f>
        <v>0</v>
      </c>
      <c r="I433" s="1104" t="n">
        <f aca="false">'Смета Внутр'!H433</f>
        <v>0</v>
      </c>
      <c r="J433" s="1109" t="n">
        <f aca="false">'Смета Внутр'!I433</f>
        <v>0</v>
      </c>
    </row>
    <row r="434" customFormat="false" ht="15" hidden="true" customHeight="true" outlineLevel="0" collapsed="false">
      <c r="B434" s="1104" t="e">
        <f aca="false">'Смета Внутр'!B434</f>
        <v>#N/A</v>
      </c>
      <c r="C434" s="1104" t="str">
        <f aca="false">'Смета Внутр'!C434</f>
        <v>меш</v>
      </c>
      <c r="D434" s="1109" t="n">
        <f aca="false">'Смета Внутр'!D434</f>
        <v>0</v>
      </c>
      <c r="E434" s="1104" t="n">
        <f aca="false">'Смета Внутр'!E434</f>
        <v>0</v>
      </c>
      <c r="F434" s="1104" t="n">
        <f aca="false">'Смета Внутр'!F434</f>
        <v>0</v>
      </c>
      <c r="G434" s="1104" t="n">
        <f aca="false">IF(E434&gt;F434,E434,F434)</f>
        <v>0</v>
      </c>
      <c r="H434" s="1104" t="n">
        <f aca="false">'Смета Внутр'!G434</f>
        <v>0</v>
      </c>
      <c r="I434" s="1104" t="n">
        <f aca="false">'Смета Внутр'!H434</f>
        <v>0</v>
      </c>
      <c r="J434" s="1109" t="n">
        <f aca="false">'Смета Внутр'!I434</f>
        <v>0</v>
      </c>
    </row>
    <row r="435" customFormat="false" ht="15" hidden="true" customHeight="true" outlineLevel="0" collapsed="false">
      <c r="B435" s="1104" t="e">
        <f aca="false">'Смета Внутр'!B435</f>
        <v>#N/A</v>
      </c>
      <c r="C435" s="1104" t="str">
        <f aca="false">'Смета Внутр'!C435</f>
        <v>м3</v>
      </c>
      <c r="D435" s="1109" t="n">
        <f aca="false">'Смета Внутр'!D435</f>
        <v>0</v>
      </c>
      <c r="E435" s="1104" t="n">
        <f aca="false">'Смета Внутр'!E435</f>
        <v>0</v>
      </c>
      <c r="F435" s="1104" t="n">
        <f aca="false">'Смета Внутр'!F435</f>
        <v>0</v>
      </c>
      <c r="G435" s="1104" t="n">
        <f aca="false">IF(E435&gt;F435,E435,F435)</f>
        <v>0</v>
      </c>
      <c r="H435" s="1104" t="n">
        <f aca="false">'Смета Внутр'!G435</f>
        <v>0</v>
      </c>
      <c r="I435" s="1104" t="n">
        <f aca="false">'Смета Внутр'!H435</f>
        <v>0</v>
      </c>
      <c r="J435" s="1109" t="n">
        <f aca="false">'Смета Внутр'!I435</f>
        <v>0</v>
      </c>
    </row>
    <row r="436" customFormat="false" ht="15" hidden="true" customHeight="true" outlineLevel="0" collapsed="false">
      <c r="B436" s="1104" t="str">
        <f aca="false">'Смета Внутр'!B436</f>
        <v>Доставка песка</v>
      </c>
      <c r="C436" s="1104" t="str">
        <f aca="false">'Смета Внутр'!C436</f>
        <v>маш</v>
      </c>
      <c r="D436" s="1109" t="n">
        <f aca="false">'Смета Внутр'!D436</f>
        <v>0</v>
      </c>
      <c r="E436" s="1104" t="n">
        <f aca="false">'Смета Внутр'!E436</f>
        <v>0</v>
      </c>
      <c r="F436" s="1104" t="n">
        <f aca="false">'Смета Внутр'!F436</f>
        <v>0</v>
      </c>
      <c r="G436" s="1104" t="n">
        <f aca="false">IF(E436&gt;F436,E436,F436)</f>
        <v>0</v>
      </c>
      <c r="H436" s="1104" t="n">
        <f aca="false">'Смета Внутр'!G436</f>
        <v>0</v>
      </c>
      <c r="I436" s="1104" t="n">
        <f aca="false">'Смета Внутр'!H436</f>
        <v>0</v>
      </c>
      <c r="J436" s="1109" t="n">
        <f aca="false">'Смета Внутр'!I436</f>
        <v>0</v>
      </c>
    </row>
    <row r="437" customFormat="false" ht="15" hidden="true" customHeight="true" outlineLevel="0" collapsed="false">
      <c r="B437" s="1104" t="e">
        <f aca="false">'Смета Внутр'!B437</f>
        <v>#N/A</v>
      </c>
      <c r="C437" s="1104" t="str">
        <f aca="false">'Смета Внутр'!C437</f>
        <v>м3</v>
      </c>
      <c r="D437" s="1109" t="n">
        <f aca="false">'Смета Внутр'!D437</f>
        <v>0</v>
      </c>
      <c r="E437" s="1104" t="n">
        <f aca="false">'Смета Внутр'!E437</f>
        <v>0</v>
      </c>
      <c r="F437" s="1104" t="n">
        <f aca="false">'Смета Внутр'!F437</f>
        <v>0</v>
      </c>
      <c r="G437" s="1104" t="n">
        <f aca="false">IF(E437&gt;F437,E437,F437)</f>
        <v>0</v>
      </c>
      <c r="H437" s="1104" t="n">
        <f aca="false">'Смета Внутр'!G437</f>
        <v>0</v>
      </c>
      <c r="I437" s="1104" t="n">
        <f aca="false">'Смета Внутр'!H437</f>
        <v>0</v>
      </c>
      <c r="J437" s="1109" t="n">
        <f aca="false">'Смета Внутр'!I437</f>
        <v>0</v>
      </c>
    </row>
    <row r="438" customFormat="false" ht="15" hidden="true" customHeight="true" outlineLevel="0" collapsed="false">
      <c r="B438" s="1104" t="str">
        <f aca="false">'Смета Внутр'!B438</f>
        <v>Арматура М6 каждый 3-й ряд, 2 нити</v>
      </c>
      <c r="C438" s="1104" t="str">
        <f aca="false">'Смета Внутр'!C438</f>
        <v>м.п.</v>
      </c>
      <c r="D438" s="1109" t="n">
        <f aca="false">'Смета Внутр'!D438</f>
        <v>597.333333333333</v>
      </c>
      <c r="E438" s="1104" t="n">
        <f aca="false">'Смета Внутр'!E438</f>
        <v>0</v>
      </c>
      <c r="F438" s="1104" t="n">
        <f aca="false">'Смета Внутр'!F438</f>
        <v>0</v>
      </c>
      <c r="G438" s="1104" t="n">
        <f aca="false">IF(E438&gt;F438,E438,F438)</f>
        <v>0</v>
      </c>
      <c r="H438" s="1104" t="n">
        <f aca="false">'Смета Внутр'!G438</f>
        <v>0</v>
      </c>
      <c r="I438" s="1104" t="n">
        <f aca="false">'Смета Внутр'!H438</f>
        <v>0</v>
      </c>
      <c r="J438" s="1109" t="n">
        <f aca="false">'Смета Внутр'!I438</f>
        <v>0</v>
      </c>
    </row>
    <row r="439" customFormat="false" ht="15" hidden="true" customHeight="true" outlineLevel="0" collapsed="false">
      <c r="B439" s="1104" t="str">
        <f aca="false">'Смета Внутр'!B439</f>
        <v>Арматура М6 каждый 3-й ряд, 2 нити</v>
      </c>
      <c r="C439" s="1104" t="str">
        <f aca="false">'Смета Внутр'!C439</f>
        <v>м.п.</v>
      </c>
      <c r="D439" s="1109" t="n">
        <f aca="false">'Смета Внутр'!D439</f>
        <v>100</v>
      </c>
      <c r="E439" s="1104" t="n">
        <f aca="false">'Смета Внутр'!E439</f>
        <v>0</v>
      </c>
      <c r="F439" s="1104" t="n">
        <f aca="false">'Смета Внутр'!F439</f>
        <v>0</v>
      </c>
      <c r="G439" s="1104" t="n">
        <f aca="false">IF(E439&gt;F439,E439,F439)</f>
        <v>0</v>
      </c>
      <c r="H439" s="1104" t="n">
        <f aca="false">'Смета Внутр'!G439</f>
        <v>0</v>
      </c>
      <c r="I439" s="1104" t="n">
        <f aca="false">'Смета Внутр'!H439</f>
        <v>0</v>
      </c>
      <c r="J439" s="1109" t="n">
        <f aca="false">'Смета Внутр'!I439</f>
        <v>0</v>
      </c>
    </row>
    <row r="440" customFormat="false" ht="15" hidden="true" customHeight="true" outlineLevel="0" collapsed="false">
      <c r="B440" s="1104" t="str">
        <f aca="false">'Смета Внутр'!B440</f>
        <v>Перемычка оконная, 1-ый эт. Вариант 1</v>
      </c>
      <c r="C440" s="1104" t="str">
        <f aca="false">'Смета Внутр'!C440</f>
        <v>м.п.</v>
      </c>
      <c r="D440" s="1109" t="n">
        <f aca="false">'Смета Внутр'!D440</f>
        <v>1</v>
      </c>
      <c r="E440" s="1104" t="n">
        <f aca="false">'Смета Внутр'!E440</f>
        <v>1000</v>
      </c>
      <c r="F440" s="1104" t="n">
        <f aca="false">'Смета Внутр'!F440</f>
        <v>0</v>
      </c>
      <c r="G440" s="1104" t="n">
        <f aca="false">IF(E440&gt;F440,E440,F440)</f>
        <v>1000</v>
      </c>
      <c r="H440" s="1104" t="n">
        <f aca="false">'Смета Внутр'!G440</f>
        <v>1000</v>
      </c>
      <c r="I440" s="1104" t="n">
        <f aca="false">'Смета Внутр'!H440</f>
        <v>0</v>
      </c>
      <c r="J440" s="1109" t="n">
        <f aca="false">'Смета Внутр'!I440</f>
        <v>0</v>
      </c>
    </row>
    <row r="441" customFormat="false" ht="15" hidden="true" customHeight="true" outlineLevel="0" collapsed="false">
      <c r="B441" s="1104" t="str">
        <f aca="false">'Смета Внутр'!B441</f>
        <v>Перемычка оконная, 1-ый эт. Вариант 2</v>
      </c>
      <c r="C441" s="1104" t="str">
        <f aca="false">'Смета Внутр'!C441</f>
        <v>м.п.</v>
      </c>
      <c r="D441" s="1109" t="n">
        <f aca="false">'Смета Внутр'!D441</f>
        <v>0</v>
      </c>
      <c r="E441" s="1104" t="n">
        <f aca="false">'Смета Внутр'!E441</f>
        <v>1000</v>
      </c>
      <c r="F441" s="1104" t="n">
        <f aca="false">'Смета Внутр'!F441</f>
        <v>0</v>
      </c>
      <c r="G441" s="1104" t="n">
        <f aca="false">IF(E441&gt;F441,E441,F441)</f>
        <v>1000</v>
      </c>
      <c r="H441" s="1104" t="n">
        <f aca="false">'Смета Внутр'!G441</f>
        <v>0</v>
      </c>
      <c r="I441" s="1104" t="n">
        <f aca="false">'Смета Внутр'!H441</f>
        <v>0</v>
      </c>
      <c r="J441" s="1109" t="n">
        <f aca="false">'Смета Внутр'!I441</f>
        <v>0</v>
      </c>
    </row>
    <row r="442" customFormat="false" ht="15" hidden="true" customHeight="true" outlineLevel="0" collapsed="false">
      <c r="B442" s="1104" t="str">
        <f aca="false">'Смета Внутр'!B442</f>
        <v>Перемычка оконная, 1-ый эт. Вариант 3</v>
      </c>
      <c r="C442" s="1104" t="str">
        <f aca="false">'Смета Внутр'!C442</f>
        <v>м.п.</v>
      </c>
      <c r="D442" s="1109" t="n">
        <f aca="false">'Смета Внутр'!D442</f>
        <v>0</v>
      </c>
      <c r="E442" s="1104" t="n">
        <f aca="false">'Смета Внутр'!E442</f>
        <v>1000</v>
      </c>
      <c r="F442" s="1104" t="n">
        <f aca="false">'Смета Внутр'!F442</f>
        <v>0</v>
      </c>
      <c r="G442" s="1104" t="n">
        <f aca="false">IF(E442&gt;F442,E442,F442)</f>
        <v>1000</v>
      </c>
      <c r="H442" s="1104" t="n">
        <f aca="false">'Смета Внутр'!G442</f>
        <v>0</v>
      </c>
      <c r="I442" s="1104" t="n">
        <f aca="false">'Смета Внутр'!H442</f>
        <v>0</v>
      </c>
      <c r="J442" s="1109" t="n">
        <f aca="false">'Смета Внутр'!I442</f>
        <v>0</v>
      </c>
    </row>
    <row r="443" customFormat="false" ht="15" hidden="true" customHeight="true" outlineLevel="0" collapsed="false">
      <c r="B443" s="1104" t="str">
        <f aca="false">'Смета Внутр'!B443</f>
        <v>Перемычка оконная, 1-ый эт. Вариант 4</v>
      </c>
      <c r="C443" s="1104" t="str">
        <f aca="false">'Смета Внутр'!C443</f>
        <v>м.п.</v>
      </c>
      <c r="D443" s="1109" t="n">
        <f aca="false">'Смета Внутр'!D443</f>
        <v>0</v>
      </c>
      <c r="E443" s="1104" t="n">
        <f aca="false">'Смета Внутр'!E443</f>
        <v>1000</v>
      </c>
      <c r="F443" s="1104" t="n">
        <f aca="false">'Смета Внутр'!F443</f>
        <v>0</v>
      </c>
      <c r="G443" s="1104" t="n">
        <f aca="false">IF(E443&gt;F443,E443,F443)</f>
        <v>1000</v>
      </c>
      <c r="H443" s="1104" t="n">
        <f aca="false">'Смета Внутр'!G443</f>
        <v>0</v>
      </c>
      <c r="I443" s="1104" t="n">
        <f aca="false">'Смета Внутр'!H443</f>
        <v>0</v>
      </c>
      <c r="J443" s="1109" t="n">
        <f aca="false">'Смета Внутр'!I443</f>
        <v>0</v>
      </c>
    </row>
    <row r="444" customFormat="false" ht="15" hidden="true" customHeight="true" outlineLevel="0" collapsed="false">
      <c r="B444" s="1104" t="str">
        <f aca="false">'Смета Внутр'!B444</f>
        <v>Перемычка оконная, 1-ый эт. Вариант 5</v>
      </c>
      <c r="C444" s="1104" t="str">
        <f aca="false">'Смета Внутр'!C444</f>
        <v>м.п.</v>
      </c>
      <c r="D444" s="1109" t="n">
        <f aca="false">'Смета Внутр'!D444</f>
        <v>0</v>
      </c>
      <c r="E444" s="1104" t="n">
        <f aca="false">'Смета Внутр'!E444</f>
        <v>1000</v>
      </c>
      <c r="F444" s="1104" t="n">
        <f aca="false">'Смета Внутр'!F444</f>
        <v>0</v>
      </c>
      <c r="G444" s="1104" t="n">
        <f aca="false">IF(E444&gt;F444,E444,F444)</f>
        <v>1000</v>
      </c>
      <c r="H444" s="1104" t="n">
        <f aca="false">'Смета Внутр'!G444</f>
        <v>0</v>
      </c>
      <c r="I444" s="1104" t="n">
        <f aca="false">'Смета Внутр'!H444</f>
        <v>0</v>
      </c>
      <c r="J444" s="1109" t="n">
        <f aca="false">'Смета Внутр'!I444</f>
        <v>0</v>
      </c>
    </row>
    <row r="445" customFormat="false" ht="15" hidden="true" customHeight="true" outlineLevel="0" collapsed="false">
      <c r="B445" s="1104" t="str">
        <f aca="false">'Смета Внутр'!B445</f>
        <v>Перемычка оконная, 2-ый эт. Вариант 6</v>
      </c>
      <c r="C445" s="1104" t="str">
        <f aca="false">'Смета Внутр'!C445</f>
        <v>м.п.</v>
      </c>
      <c r="D445" s="1109" t="n">
        <f aca="false">'Смета Внутр'!D445</f>
        <v>0</v>
      </c>
      <c r="E445" s="1104" t="n">
        <f aca="false">'Смета Внутр'!E445</f>
        <v>1000</v>
      </c>
      <c r="F445" s="1104" t="n">
        <f aca="false">'Смета Внутр'!F445</f>
        <v>0</v>
      </c>
      <c r="G445" s="1104" t="n">
        <f aca="false">IF(E445&gt;F445,E445,F445)</f>
        <v>1000</v>
      </c>
      <c r="H445" s="1104" t="n">
        <f aca="false">'Смета Внутр'!G445</f>
        <v>0</v>
      </c>
      <c r="I445" s="1104" t="n">
        <f aca="false">'Смета Внутр'!H445</f>
        <v>0</v>
      </c>
      <c r="J445" s="1109" t="n">
        <f aca="false">'Смета Внутр'!I445</f>
        <v>0</v>
      </c>
    </row>
    <row r="446" customFormat="false" ht="15" hidden="true" customHeight="true" outlineLevel="0" collapsed="false">
      <c r="B446" s="1104" t="str">
        <f aca="false">'Смета Внутр'!B446</f>
        <v>Перемычка оконная, 2-ый эт. Вариант 7</v>
      </c>
      <c r="C446" s="1104" t="str">
        <f aca="false">'Смета Внутр'!C446</f>
        <v>м.п.</v>
      </c>
      <c r="D446" s="1109" t="n">
        <f aca="false">'Смета Внутр'!D446</f>
        <v>0</v>
      </c>
      <c r="E446" s="1104" t="n">
        <f aca="false">'Смета Внутр'!E446</f>
        <v>1000</v>
      </c>
      <c r="F446" s="1104" t="n">
        <f aca="false">'Смета Внутр'!F446</f>
        <v>0</v>
      </c>
      <c r="G446" s="1104" t="n">
        <f aca="false">IF(E446&gt;F446,E446,F446)</f>
        <v>1000</v>
      </c>
      <c r="H446" s="1104" t="n">
        <f aca="false">'Смета Внутр'!G446</f>
        <v>0</v>
      </c>
      <c r="I446" s="1104" t="n">
        <f aca="false">'Смета Внутр'!H446</f>
        <v>0</v>
      </c>
      <c r="J446" s="1109" t="n">
        <f aca="false">'Смета Внутр'!I446</f>
        <v>0</v>
      </c>
    </row>
    <row r="447" customFormat="false" ht="15" hidden="true" customHeight="true" outlineLevel="0" collapsed="false">
      <c r="B447" s="1104" t="str">
        <f aca="false">'Смета Внутр'!B447</f>
        <v>Перемычка оконная, 2-ый эт. Вариант 8</v>
      </c>
      <c r="C447" s="1104" t="str">
        <f aca="false">'Смета Внутр'!C447</f>
        <v>м.п.</v>
      </c>
      <c r="D447" s="1109" t="n">
        <f aca="false">'Смета Внутр'!D447</f>
        <v>0</v>
      </c>
      <c r="E447" s="1104" t="n">
        <f aca="false">'Смета Внутр'!E447</f>
        <v>1000</v>
      </c>
      <c r="F447" s="1104" t="n">
        <f aca="false">'Смета Внутр'!F447</f>
        <v>0</v>
      </c>
      <c r="G447" s="1104" t="n">
        <f aca="false">IF(E447&gt;F447,E447,F447)</f>
        <v>1000</v>
      </c>
      <c r="H447" s="1104" t="n">
        <f aca="false">'Смета Внутр'!G447</f>
        <v>0</v>
      </c>
      <c r="I447" s="1104" t="n">
        <f aca="false">'Смета Внутр'!H447</f>
        <v>0</v>
      </c>
      <c r="J447" s="1109" t="n">
        <f aca="false">'Смета Внутр'!I447</f>
        <v>0</v>
      </c>
    </row>
    <row r="448" customFormat="false" ht="15" hidden="true" customHeight="true" outlineLevel="0" collapsed="false">
      <c r="B448" s="1104" t="str">
        <f aca="false">'Смета Внутр'!B448</f>
        <v>Перемычка оконная, 2-ый эт. Вариант 9</v>
      </c>
      <c r="C448" s="1104" t="str">
        <f aca="false">'Смета Внутр'!C448</f>
        <v>м.п.</v>
      </c>
      <c r="D448" s="1109" t="n">
        <f aca="false">'Смета Внутр'!D448</f>
        <v>0</v>
      </c>
      <c r="E448" s="1104" t="n">
        <f aca="false">'Смета Внутр'!E448</f>
        <v>1000</v>
      </c>
      <c r="F448" s="1104" t="n">
        <f aca="false">'Смета Внутр'!F448</f>
        <v>0</v>
      </c>
      <c r="G448" s="1104" t="n">
        <f aca="false">IF(E448&gt;F448,E448,F448)</f>
        <v>1000</v>
      </c>
      <c r="H448" s="1104" t="n">
        <f aca="false">'Смета Внутр'!G448</f>
        <v>0</v>
      </c>
      <c r="I448" s="1104" t="n">
        <f aca="false">'Смета Внутр'!H448</f>
        <v>0</v>
      </c>
      <c r="J448" s="1109" t="n">
        <f aca="false">'Смета Внутр'!I448</f>
        <v>0</v>
      </c>
    </row>
    <row r="449" customFormat="false" ht="15" hidden="true" customHeight="true" outlineLevel="0" collapsed="false">
      <c r="B449" s="1104" t="str">
        <f aca="false">'Смета Внутр'!B449</f>
        <v>Перемычка оконная, 2-ый эт. Вариант 10</v>
      </c>
      <c r="C449" s="1104" t="str">
        <f aca="false">'Смета Внутр'!C449</f>
        <v>м.п.</v>
      </c>
      <c r="D449" s="1109" t="n">
        <f aca="false">'Смета Внутр'!D449</f>
        <v>0</v>
      </c>
      <c r="E449" s="1104" t="n">
        <f aca="false">'Смета Внутр'!E449</f>
        <v>1000</v>
      </c>
      <c r="F449" s="1104" t="n">
        <f aca="false">'Смета Внутр'!F449</f>
        <v>0</v>
      </c>
      <c r="G449" s="1104" t="n">
        <f aca="false">IF(E449&gt;F449,E449,F449)</f>
        <v>1000</v>
      </c>
      <c r="H449" s="1104" t="n">
        <f aca="false">'Смета Внутр'!G449</f>
        <v>0</v>
      </c>
      <c r="I449" s="1104" t="n">
        <f aca="false">'Смета Внутр'!H449</f>
        <v>0</v>
      </c>
      <c r="J449" s="1109" t="n">
        <f aca="false">'Смета Внутр'!I449</f>
        <v>0</v>
      </c>
    </row>
    <row r="450" customFormat="false" ht="15" hidden="true" customHeight="true" outlineLevel="0" collapsed="false">
      <c r="B450" s="1104" t="str">
        <f aca="false">'Смета Внутр'!B450</f>
        <v>Перемычка дверная, 1-ый эт. Вариант 1</v>
      </c>
      <c r="C450" s="1104" t="str">
        <f aca="false">'Смета Внутр'!C450</f>
        <v>м.п.</v>
      </c>
      <c r="D450" s="1109" t="n">
        <f aca="false">'Смета Внутр'!D450</f>
        <v>0</v>
      </c>
      <c r="E450" s="1104" t="n">
        <f aca="false">'Смета Внутр'!E450</f>
        <v>1000</v>
      </c>
      <c r="F450" s="1104" t="n">
        <f aca="false">'Смета Внутр'!F450</f>
        <v>0</v>
      </c>
      <c r="G450" s="1104" t="n">
        <f aca="false">IF(E450&gt;F450,E450,F450)</f>
        <v>1000</v>
      </c>
      <c r="H450" s="1104" t="n">
        <f aca="false">'Смета Внутр'!G450</f>
        <v>0</v>
      </c>
      <c r="I450" s="1104" t="n">
        <f aca="false">'Смета Внутр'!H450</f>
        <v>0</v>
      </c>
      <c r="J450" s="1109" t="n">
        <f aca="false">'Смета Внутр'!I450</f>
        <v>0</v>
      </c>
    </row>
    <row r="451" customFormat="false" ht="15" hidden="true" customHeight="true" outlineLevel="0" collapsed="false">
      <c r="B451" s="1104" t="str">
        <f aca="false">'Смета Внутр'!B451</f>
        <v>Перемычка дверная, 2-ый эт. Вариант 2</v>
      </c>
      <c r="C451" s="1104" t="str">
        <f aca="false">'Смета Внутр'!C451</f>
        <v>м.п.</v>
      </c>
      <c r="D451" s="1109" t="n">
        <f aca="false">'Смета Внутр'!D451</f>
        <v>0</v>
      </c>
      <c r="E451" s="1104" t="n">
        <f aca="false">'Смета Внутр'!E451</f>
        <v>1000</v>
      </c>
      <c r="F451" s="1104" t="n">
        <f aca="false">'Смета Внутр'!F451</f>
        <v>0</v>
      </c>
      <c r="G451" s="1104" t="n">
        <f aca="false">IF(E451&gt;F451,E451,F451)</f>
        <v>1000</v>
      </c>
      <c r="H451" s="1104" t="n">
        <f aca="false">'Смета Внутр'!G451</f>
        <v>0</v>
      </c>
      <c r="I451" s="1104" t="n">
        <f aca="false">'Смета Внутр'!H451</f>
        <v>0</v>
      </c>
      <c r="J451" s="1109" t="n">
        <f aca="false">'Смета Внутр'!I451</f>
        <v>0</v>
      </c>
    </row>
    <row r="452" customFormat="false" ht="15" hidden="true" customHeight="true" outlineLevel="0" collapsed="false">
      <c r="B452" s="1104" t="str">
        <f aca="false">'Смета Внутр'!B452</f>
        <v>Перемычка оконная 1-ый эт, Вариант 11</v>
      </c>
      <c r="C452" s="1104" t="str">
        <f aca="false">'Смета Внутр'!C452</f>
        <v>м.п.</v>
      </c>
      <c r="D452" s="1109" t="n">
        <f aca="false">'Смета Внутр'!D452</f>
        <v>0</v>
      </c>
      <c r="E452" s="1104" t="n">
        <f aca="false">'Смета Внутр'!E452</f>
        <v>1000</v>
      </c>
      <c r="F452" s="1104" t="n">
        <f aca="false">'Смета Внутр'!F452</f>
        <v>0</v>
      </c>
      <c r="G452" s="1104" t="n">
        <f aca="false">IF(E452&gt;F452,E452,F452)</f>
        <v>1000</v>
      </c>
      <c r="H452" s="1104" t="n">
        <f aca="false">'Смета Внутр'!G452</f>
        <v>0</v>
      </c>
      <c r="I452" s="1104" t="n">
        <f aca="false">'Смета Внутр'!H452</f>
        <v>0</v>
      </c>
      <c r="J452" s="1109" t="n">
        <f aca="false">'Смета Внутр'!I452</f>
        <v>0</v>
      </c>
    </row>
    <row r="453" customFormat="false" ht="15" hidden="true" customHeight="true" outlineLevel="0" collapsed="false">
      <c r="B453" s="1104" t="str">
        <f aca="false">'Смета Внутр'!B453</f>
        <v>Перемычка оконная 1-ый эт, Вариант 12</v>
      </c>
      <c r="C453" s="1104" t="str">
        <f aca="false">'Смета Внутр'!C453</f>
        <v>м.п.</v>
      </c>
      <c r="D453" s="1109" t="n">
        <f aca="false">'Смета Внутр'!D453</f>
        <v>0</v>
      </c>
      <c r="E453" s="1104" t="n">
        <f aca="false">'Смета Внутр'!E453</f>
        <v>1000</v>
      </c>
      <c r="F453" s="1104" t="n">
        <f aca="false">'Смета Внутр'!F453</f>
        <v>0</v>
      </c>
      <c r="G453" s="1104" t="n">
        <f aca="false">IF(E453&gt;F453,E453,F453)</f>
        <v>1000</v>
      </c>
      <c r="H453" s="1104" t="n">
        <f aca="false">'Смета Внутр'!G453</f>
        <v>0</v>
      </c>
      <c r="I453" s="1104" t="n">
        <f aca="false">'Смета Внутр'!H453</f>
        <v>0</v>
      </c>
      <c r="J453" s="1109" t="n">
        <f aca="false">'Смета Внутр'!I453</f>
        <v>0</v>
      </c>
    </row>
    <row r="454" customFormat="false" ht="15" hidden="true" customHeight="true" outlineLevel="0" collapsed="false">
      <c r="B454" s="1104" t="str">
        <f aca="false">'Смета Внутр'!B454</f>
        <v>Перемычка дверная, 1-ый эт. Вариант 4</v>
      </c>
      <c r="C454" s="1104" t="str">
        <f aca="false">'Смета Внутр'!C454</f>
        <v>м.п.</v>
      </c>
      <c r="D454" s="1109" t="n">
        <f aca="false">'Смета Внутр'!D454</f>
        <v>3</v>
      </c>
      <c r="E454" s="1104" t="n">
        <f aca="false">'Смета Внутр'!E454</f>
        <v>1000</v>
      </c>
      <c r="F454" s="1104" t="n">
        <f aca="false">'Смета Внутр'!F454</f>
        <v>0</v>
      </c>
      <c r="G454" s="1104" t="n">
        <f aca="false">IF(E454&gt;F454,E454,F454)</f>
        <v>1000</v>
      </c>
      <c r="H454" s="1104" t="n">
        <f aca="false">'Смета Внутр'!G454</f>
        <v>3000</v>
      </c>
      <c r="I454" s="1104" t="n">
        <f aca="false">'Смета Внутр'!H454</f>
        <v>0</v>
      </c>
      <c r="J454" s="1109" t="n">
        <f aca="false">'Смета Внутр'!I454</f>
        <v>0</v>
      </c>
    </row>
    <row r="455" customFormat="false" ht="15" hidden="true" customHeight="true" outlineLevel="0" collapsed="false">
      <c r="B455" s="1104" t="str">
        <f aca="false">'Смета Внутр'!B455</f>
        <v>Перемычка дверная, 1-ый эт. Вариант 5</v>
      </c>
      <c r="C455" s="1104" t="str">
        <f aca="false">'Смета Внутр'!C455</f>
        <v>м.п.</v>
      </c>
      <c r="D455" s="1109" t="n">
        <f aca="false">'Смета Внутр'!D455</f>
        <v>0</v>
      </c>
      <c r="E455" s="1104" t="n">
        <f aca="false">'Смета Внутр'!E455</f>
        <v>1000</v>
      </c>
      <c r="F455" s="1104" t="n">
        <f aca="false">'Смета Внутр'!F455</f>
        <v>0</v>
      </c>
      <c r="G455" s="1104" t="n">
        <f aca="false">IF(E455&gt;F455,E455,F455)</f>
        <v>1000</v>
      </c>
      <c r="H455" s="1104" t="n">
        <f aca="false">'Смета Внутр'!G455</f>
        <v>0</v>
      </c>
      <c r="I455" s="1104" t="n">
        <f aca="false">'Смета Внутр'!H455</f>
        <v>0</v>
      </c>
      <c r="J455" s="1109" t="n">
        <f aca="false">'Смета Внутр'!I455</f>
        <v>0</v>
      </c>
    </row>
    <row r="456" customFormat="false" ht="15" hidden="true" customHeight="true" outlineLevel="0" collapsed="false">
      <c r="B456" s="1104" t="str">
        <f aca="false">'Смета Внутр'!B456</f>
        <v>Перемычка дверная, 1-ый эт. Вариант 6</v>
      </c>
      <c r="C456" s="1104" t="str">
        <f aca="false">'Смета Внутр'!C456</f>
        <v>м.п.</v>
      </c>
      <c r="D456" s="1109" t="n">
        <f aca="false">'Смета Внутр'!D456</f>
        <v>0</v>
      </c>
      <c r="E456" s="1104" t="n">
        <f aca="false">'Смета Внутр'!E456</f>
        <v>1000</v>
      </c>
      <c r="F456" s="1104" t="n">
        <f aca="false">'Смета Внутр'!F456</f>
        <v>0</v>
      </c>
      <c r="G456" s="1104" t="n">
        <f aca="false">IF(E456&gt;F456,E456,F456)</f>
        <v>1000</v>
      </c>
      <c r="H456" s="1104" t="n">
        <f aca="false">'Смета Внутр'!G456</f>
        <v>0</v>
      </c>
      <c r="I456" s="1104" t="n">
        <f aca="false">'Смета Внутр'!H456</f>
        <v>0</v>
      </c>
      <c r="J456" s="1109" t="n">
        <f aca="false">'Смета Внутр'!I456</f>
        <v>0</v>
      </c>
    </row>
    <row r="457" customFormat="false" ht="15" hidden="true" customHeight="true" outlineLevel="0" collapsed="false">
      <c r="B457" s="1104" t="str">
        <f aca="false">'Смета Внутр'!B457</f>
        <v>Перемычка дверная, 2-ый эт. Вариант 7</v>
      </c>
      <c r="C457" s="1104" t="str">
        <f aca="false">'Смета Внутр'!C457</f>
        <v>м.п.</v>
      </c>
      <c r="D457" s="1109" t="n">
        <f aca="false">'Смета Внутр'!D457</f>
        <v>0</v>
      </c>
      <c r="E457" s="1104" t="n">
        <f aca="false">'Смета Внутр'!E457</f>
        <v>1000</v>
      </c>
      <c r="F457" s="1104" t="n">
        <f aca="false">'Смета Внутр'!F457</f>
        <v>0</v>
      </c>
      <c r="G457" s="1104" t="n">
        <f aca="false">IF(E457&gt;F457,E457,F457)</f>
        <v>1000</v>
      </c>
      <c r="H457" s="1104" t="n">
        <f aca="false">'Смета Внутр'!G457</f>
        <v>0</v>
      </c>
      <c r="I457" s="1104" t="n">
        <f aca="false">'Смета Внутр'!H457</f>
        <v>0</v>
      </c>
      <c r="J457" s="1109" t="n">
        <f aca="false">'Смета Внутр'!I457</f>
        <v>0</v>
      </c>
    </row>
    <row r="458" customFormat="false" ht="15" hidden="true" customHeight="true" outlineLevel="0" collapsed="false">
      <c r="B458" s="1104" t="str">
        <f aca="false">'Смета Внутр'!B458</f>
        <v>Перемычка дверная, 2-ый эт. Вариант 8</v>
      </c>
      <c r="C458" s="1104" t="str">
        <f aca="false">'Смета Внутр'!C458</f>
        <v>м.п.</v>
      </c>
      <c r="D458" s="1109" t="n">
        <f aca="false">'Смета Внутр'!D458</f>
        <v>0</v>
      </c>
      <c r="E458" s="1104" t="n">
        <f aca="false">'Смета Внутр'!E458</f>
        <v>1000</v>
      </c>
      <c r="F458" s="1104" t="n">
        <f aca="false">'Смета Внутр'!F458</f>
        <v>0</v>
      </c>
      <c r="G458" s="1104" t="n">
        <f aca="false">IF(E458&gt;F458,E458,F458)</f>
        <v>1000</v>
      </c>
      <c r="H458" s="1104" t="n">
        <f aca="false">'Смета Внутр'!G458</f>
        <v>0</v>
      </c>
      <c r="I458" s="1104" t="n">
        <f aca="false">'Смета Внутр'!H458</f>
        <v>0</v>
      </c>
      <c r="J458" s="1109" t="n">
        <f aca="false">'Смета Внутр'!I458</f>
        <v>0</v>
      </c>
    </row>
    <row r="459" customFormat="false" ht="15" hidden="true" customHeight="true" outlineLevel="0" collapsed="false">
      <c r="B459" s="1104" t="str">
        <f aca="false">'Смета Внутр'!B459</f>
        <v>Перемычка дверная, 2-ый эт. Вариант 9</v>
      </c>
      <c r="C459" s="1104" t="str">
        <f aca="false">'Смета Внутр'!C459</f>
        <v>м.п.</v>
      </c>
      <c r="D459" s="1109" t="n">
        <f aca="false">'Смета Внутр'!D459</f>
        <v>0</v>
      </c>
      <c r="E459" s="1104" t="n">
        <f aca="false">'Смета Внутр'!E459</f>
        <v>1000</v>
      </c>
      <c r="F459" s="1104" t="n">
        <f aca="false">'Смета Внутр'!F459</f>
        <v>0</v>
      </c>
      <c r="G459" s="1104" t="n">
        <f aca="false">IF(E459&gt;F459,E459,F459)</f>
        <v>1000</v>
      </c>
      <c r="H459" s="1104" t="n">
        <f aca="false">'Смета Внутр'!G459</f>
        <v>0</v>
      </c>
      <c r="I459" s="1104" t="n">
        <f aca="false">'Смета Внутр'!H459</f>
        <v>0</v>
      </c>
      <c r="J459" s="1109" t="n">
        <f aca="false">'Смета Внутр'!I459</f>
        <v>0</v>
      </c>
    </row>
    <row r="460" customFormat="false" ht="15" hidden="true" customHeight="true" outlineLevel="0" collapsed="false">
      <c r="B460" s="1104" t="str">
        <f aca="false">'Смета Внутр'!B460</f>
        <v>Перемычка проема, 1-ый эт. Вариант 10</v>
      </c>
      <c r="C460" s="1104" t="str">
        <f aca="false">'Смета Внутр'!C460</f>
        <v>м.п.</v>
      </c>
      <c r="D460" s="1109" t="n">
        <f aca="false">'Смета Внутр'!D460</f>
        <v>0</v>
      </c>
      <c r="E460" s="1104" t="n">
        <f aca="false">'Смета Внутр'!E460</f>
        <v>1000</v>
      </c>
      <c r="F460" s="1104" t="n">
        <f aca="false">'Смета Внутр'!F460</f>
        <v>0</v>
      </c>
      <c r="G460" s="1104" t="n">
        <f aca="false">IF(E460&gt;F460,E460,F460)</f>
        <v>1000</v>
      </c>
      <c r="H460" s="1104" t="n">
        <f aca="false">'Смета Внутр'!G460</f>
        <v>0</v>
      </c>
      <c r="I460" s="1104" t="n">
        <f aca="false">'Смета Внутр'!H460</f>
        <v>0</v>
      </c>
      <c r="J460" s="1109" t="n">
        <f aca="false">'Смета Внутр'!I460</f>
        <v>0</v>
      </c>
    </row>
    <row r="461" customFormat="false" ht="15" hidden="true" customHeight="true" outlineLevel="0" collapsed="false">
      <c r="B461" s="1104" t="str">
        <f aca="false">'Смета Внутр'!B461</f>
        <v>Перемычка проема, 1-ый эт. Вариант 11</v>
      </c>
      <c r="C461" s="1104" t="str">
        <f aca="false">'Смета Внутр'!C461</f>
        <v>м.п.</v>
      </c>
      <c r="D461" s="1109" t="n">
        <f aca="false">'Смета Внутр'!D461</f>
        <v>0</v>
      </c>
      <c r="E461" s="1104" t="n">
        <f aca="false">'Смета Внутр'!E461</f>
        <v>1000</v>
      </c>
      <c r="F461" s="1104" t="n">
        <f aca="false">'Смета Внутр'!F461</f>
        <v>0</v>
      </c>
      <c r="G461" s="1104" t="n">
        <f aca="false">IF(E461&gt;F461,E461,F461)</f>
        <v>1000</v>
      </c>
      <c r="H461" s="1104" t="n">
        <f aca="false">'Смета Внутр'!G461</f>
        <v>0</v>
      </c>
      <c r="I461" s="1104" t="n">
        <f aca="false">'Смета Внутр'!H461</f>
        <v>0</v>
      </c>
      <c r="J461" s="1109" t="n">
        <f aca="false">'Смета Внутр'!I461</f>
        <v>0</v>
      </c>
    </row>
    <row r="462" customFormat="false" ht="15" hidden="true" customHeight="true" outlineLevel="0" collapsed="false">
      <c r="B462" s="1104" t="str">
        <f aca="false">'Смета Внутр'!B462</f>
        <v>Перемычка проема, 2-ый эт. Вариант 12</v>
      </c>
      <c r="C462" s="1104" t="str">
        <f aca="false">'Смета Внутр'!C462</f>
        <v>м.п.</v>
      </c>
      <c r="D462" s="1109" t="n">
        <f aca="false">'Смета Внутр'!D462</f>
        <v>0</v>
      </c>
      <c r="E462" s="1104" t="n">
        <f aca="false">'Смета Внутр'!E462</f>
        <v>1000</v>
      </c>
      <c r="F462" s="1104" t="n">
        <f aca="false">'Смета Внутр'!F462</f>
        <v>0</v>
      </c>
      <c r="G462" s="1104" t="n">
        <f aca="false">IF(E462&gt;F462,E462,F462)</f>
        <v>1000</v>
      </c>
      <c r="H462" s="1104" t="n">
        <f aca="false">'Смета Внутр'!G462</f>
        <v>0</v>
      </c>
      <c r="I462" s="1104" t="n">
        <f aca="false">'Смета Внутр'!H462</f>
        <v>0</v>
      </c>
      <c r="J462" s="1109" t="n">
        <f aca="false">'Смета Внутр'!I462</f>
        <v>0</v>
      </c>
    </row>
    <row r="463" customFormat="false" ht="15" hidden="true" customHeight="true" outlineLevel="0" collapsed="false">
      <c r="B463" s="1104" t="str">
        <f aca="false">'Смета Внутр'!B463</f>
        <v>Перемычка проема, 2-ый эт. Вариант 13</v>
      </c>
      <c r="C463" s="1104" t="str">
        <f aca="false">'Смета Внутр'!C463</f>
        <v>м.п.</v>
      </c>
      <c r="D463" s="1109" t="n">
        <f aca="false">'Смета Внутр'!D463</f>
        <v>0</v>
      </c>
      <c r="E463" s="1104" t="n">
        <f aca="false">'Смета Внутр'!E463</f>
        <v>1000</v>
      </c>
      <c r="F463" s="1104" t="n">
        <f aca="false">'Смета Внутр'!F463</f>
        <v>0</v>
      </c>
      <c r="G463" s="1104" t="n">
        <f aca="false">IF(E463&gt;F463,E463,F463)</f>
        <v>1000</v>
      </c>
      <c r="H463" s="1104" t="n">
        <f aca="false">'Смета Внутр'!G463</f>
        <v>0</v>
      </c>
      <c r="I463" s="1104" t="n">
        <f aca="false">'Смета Внутр'!H463</f>
        <v>0</v>
      </c>
      <c r="J463" s="1109" t="n">
        <f aca="false">'Смета Внутр'!I463</f>
        <v>0</v>
      </c>
    </row>
    <row r="464" customFormat="false" ht="15" hidden="true" customHeight="true" outlineLevel="0" collapsed="false">
      <c r="B464" s="1104" t="str">
        <f aca="false">'Смета Внутр'!B464</f>
        <v>Перемычка дверная, 1-ый эт. Вариант 1</v>
      </c>
      <c r="C464" s="1104" t="str">
        <f aca="false">'Смета Внутр'!C464</f>
        <v>м.п.</v>
      </c>
      <c r="D464" s="1109" t="n">
        <f aca="false">'Смета Внутр'!D464</f>
        <v>0</v>
      </c>
      <c r="E464" s="1104" t="n">
        <f aca="false">'Смета Внутр'!E464</f>
        <v>1000</v>
      </c>
      <c r="F464" s="1104" t="n">
        <f aca="false">'Смета Внутр'!F464</f>
        <v>0</v>
      </c>
      <c r="G464" s="1104" t="n">
        <f aca="false">IF(E464&gt;F464,E464,F464)</f>
        <v>1000</v>
      </c>
      <c r="H464" s="1104" t="n">
        <f aca="false">'Смета Внутр'!G464</f>
        <v>0</v>
      </c>
      <c r="I464" s="1104" t="n">
        <f aca="false">'Смета Внутр'!H464</f>
        <v>0</v>
      </c>
      <c r="J464" s="1109" t="n">
        <f aca="false">'Смета Внутр'!I464</f>
        <v>0</v>
      </c>
    </row>
    <row r="465" customFormat="false" ht="15" hidden="true" customHeight="true" outlineLevel="0" collapsed="false">
      <c r="B465" s="1104" t="str">
        <f aca="false">'Смета Внутр'!B465</f>
        <v>Перемычка дверная, 1-ый эт. Вариант 2</v>
      </c>
      <c r="C465" s="1104" t="str">
        <f aca="false">'Смета Внутр'!C465</f>
        <v>м.п.</v>
      </c>
      <c r="D465" s="1109" t="n">
        <f aca="false">'Смета Внутр'!D465</f>
        <v>1</v>
      </c>
      <c r="E465" s="1104" t="n">
        <f aca="false">'Смета Внутр'!E465</f>
        <v>1000</v>
      </c>
      <c r="F465" s="1104" t="n">
        <f aca="false">'Смета Внутр'!F465</f>
        <v>0</v>
      </c>
      <c r="G465" s="1104" t="n">
        <f aca="false">IF(E465&gt;F465,E465,F465)</f>
        <v>1000</v>
      </c>
      <c r="H465" s="1104" t="n">
        <f aca="false">'Смета Внутр'!G465</f>
        <v>1000</v>
      </c>
      <c r="I465" s="1104" t="n">
        <f aca="false">'Смета Внутр'!H465</f>
        <v>0</v>
      </c>
      <c r="J465" s="1109" t="n">
        <f aca="false">'Смета Внутр'!I465</f>
        <v>0</v>
      </c>
    </row>
    <row r="466" customFormat="false" ht="15" hidden="true" customHeight="true" outlineLevel="0" collapsed="false">
      <c r="B466" s="1104" t="str">
        <f aca="false">'Смета Внутр'!B466</f>
        <v>Перемычка дверная, 1-ый эт. Вариант 3</v>
      </c>
      <c r="C466" s="1104" t="str">
        <f aca="false">'Смета Внутр'!C466</f>
        <v>м.п.</v>
      </c>
      <c r="D466" s="1109" t="n">
        <f aca="false">'Смета Внутр'!D466</f>
        <v>0</v>
      </c>
      <c r="E466" s="1104" t="n">
        <f aca="false">'Смета Внутр'!E466</f>
        <v>1000</v>
      </c>
      <c r="F466" s="1104" t="n">
        <f aca="false">'Смета Внутр'!F466</f>
        <v>0</v>
      </c>
      <c r="G466" s="1104" t="n">
        <f aca="false">IF(E466&gt;F466,E466,F466)</f>
        <v>1000</v>
      </c>
      <c r="H466" s="1104" t="n">
        <f aca="false">'Смета Внутр'!G466</f>
        <v>0</v>
      </c>
      <c r="I466" s="1104" t="n">
        <f aca="false">'Смета Внутр'!H466</f>
        <v>0</v>
      </c>
      <c r="J466" s="1109" t="n">
        <f aca="false">'Смета Внутр'!I466</f>
        <v>0</v>
      </c>
    </row>
    <row r="467" customFormat="false" ht="15" hidden="true" customHeight="true" outlineLevel="0" collapsed="false">
      <c r="B467" s="1104" t="str">
        <f aca="false">'Смета Внутр'!B467</f>
        <v>Сосна влаж,200*40мм</v>
      </c>
      <c r="C467" s="1104" t="str">
        <f aca="false">'Смета Внутр'!C467</f>
        <v>м3</v>
      </c>
      <c r="D467" s="1109" t="n">
        <f aca="false">'Смета Внутр'!D467</f>
        <v>1.8512</v>
      </c>
      <c r="E467" s="1104" t="n">
        <f aca="false">'Смета Внутр'!E467</f>
        <v>6500</v>
      </c>
      <c r="F467" s="1104" t="n">
        <f aca="false">'Смета Внутр'!F467</f>
        <v>0</v>
      </c>
      <c r="G467" s="1104" t="n">
        <f aca="false">IF(E467&gt;F467,E467,F467)</f>
        <v>6500</v>
      </c>
      <c r="H467" s="1104" t="n">
        <f aca="false">'Смета Внутр'!G467</f>
        <v>12032.8</v>
      </c>
      <c r="I467" s="1104" t="n">
        <f aca="false">'Смета Внутр'!H467</f>
        <v>0</v>
      </c>
      <c r="J467" s="1109" t="n">
        <f aca="false">'Смета Внутр'!I467</f>
        <v>0</v>
      </c>
    </row>
    <row r="468" customFormat="false" ht="15" hidden="true" customHeight="true" outlineLevel="0" collapsed="false">
      <c r="B468" s="1104" t="str">
        <f aca="false">'Смета Внутр'!B468</f>
        <v>Сейсмопояс Арматура М10 4 нити</v>
      </c>
      <c r="C468" s="1104" t="str">
        <f aca="false">'Смета Внутр'!C468</f>
        <v>м.п.</v>
      </c>
      <c r="D468" s="1109" t="n">
        <f aca="false">'Смета Внутр'!D468</f>
        <v>281.6</v>
      </c>
      <c r="E468" s="1104" t="n">
        <f aca="false">'Смета Внутр'!E468</f>
        <v>21.0397</v>
      </c>
      <c r="F468" s="1104" t="n">
        <f aca="false">'Смета Внутр'!F468</f>
        <v>0</v>
      </c>
      <c r="G468" s="1104" t="n">
        <f aca="false">IF(E468&gt;F468,E468,F468)</f>
        <v>21.0397</v>
      </c>
      <c r="H468" s="1104" t="n">
        <f aca="false">'Смета Внутр'!G468</f>
        <v>5924.77952</v>
      </c>
      <c r="I468" s="1104" t="n">
        <f aca="false">'Смета Внутр'!H468</f>
        <v>0</v>
      </c>
      <c r="J468" s="1109" t="n">
        <f aca="false">'Смета Внутр'!I468</f>
        <v>0</v>
      </c>
    </row>
    <row r="469" customFormat="false" ht="15" hidden="true" customHeight="true" outlineLevel="0" collapsed="false">
      <c r="B469" s="1104" t="str">
        <f aca="false">'Смета Внутр'!B469</f>
        <v>Хомут для сейсмопояса Арматура М6, шаг 400мм</v>
      </c>
      <c r="C469" s="1104" t="str">
        <f aca="false">'Смета Внутр'!C469</f>
        <v>м.п.</v>
      </c>
      <c r="D469" s="1109" t="n">
        <f aca="false">'Смета Внутр'!D469</f>
        <v>144</v>
      </c>
      <c r="E469" s="1104" t="n">
        <f aca="false">'Смета Внутр'!E469</f>
        <v>0</v>
      </c>
      <c r="F469" s="1104" t="n">
        <f aca="false">'Смета Внутр'!F469</f>
        <v>0</v>
      </c>
      <c r="G469" s="1104" t="n">
        <f aca="false">IF(E469&gt;F469,E469,F469)</f>
        <v>0</v>
      </c>
      <c r="H469" s="1104" t="n">
        <f aca="false">'Смета Внутр'!G469</f>
        <v>0</v>
      </c>
      <c r="I469" s="1104" t="n">
        <f aca="false">'Смета Внутр'!H469</f>
        <v>0</v>
      </c>
      <c r="J469" s="1109" t="n">
        <f aca="false">'Смета Внутр'!I469</f>
        <v>0</v>
      </c>
    </row>
    <row r="470" customFormat="false" ht="15" hidden="true" customHeight="true" outlineLevel="0" collapsed="false">
      <c r="B470" s="1104" t="str">
        <f aca="false">'Смета Внутр'!B470</f>
        <v>Бетон, м300</v>
      </c>
      <c r="C470" s="1104" t="str">
        <f aca="false">'Смета Внутр'!C470</f>
        <v>м3</v>
      </c>
      <c r="D470" s="1109" t="n">
        <f aca="false">'Смета Внутр'!D470</f>
        <v>2.8833</v>
      </c>
      <c r="E470" s="1104" t="n">
        <f aca="false">'Смета Внутр'!E470</f>
        <v>3000</v>
      </c>
      <c r="F470" s="1104" t="n">
        <f aca="false">'Смета Внутр'!F470</f>
        <v>0</v>
      </c>
      <c r="G470" s="1104" t="n">
        <f aca="false">IF(E470&gt;F470,E470,F470)</f>
        <v>3000</v>
      </c>
      <c r="H470" s="1104" t="n">
        <f aca="false">'Смета Внутр'!G470</f>
        <v>8649.9</v>
      </c>
      <c r="I470" s="1104" t="n">
        <f aca="false">'Смета Внутр'!H470</f>
        <v>0</v>
      </c>
      <c r="J470" s="1109" t="n">
        <f aca="false">'Смета Внутр'!I470</f>
        <v>0</v>
      </c>
    </row>
    <row r="471" customFormat="false" ht="15" hidden="true" customHeight="true" outlineLevel="0" collapsed="false">
      <c r="B471" s="1104" t="str">
        <f aca="false">'Смета Внутр'!B471</f>
        <v>Нет</v>
      </c>
      <c r="C471" s="1104" t="str">
        <f aca="false">'Смета Внутр'!C471</f>
        <v>м3</v>
      </c>
      <c r="D471" s="1109" t="n">
        <f aca="false">'Смета Внутр'!D471</f>
        <v>0</v>
      </c>
      <c r="E471" s="1104" t="n">
        <f aca="false">'Смета Внутр'!E471</f>
        <v>0</v>
      </c>
      <c r="F471" s="1104" t="n">
        <f aca="false">'Смета Внутр'!F471</f>
        <v>0</v>
      </c>
      <c r="G471" s="1104" t="n">
        <f aca="false">IF(E471&gt;F471,E471,F471)</f>
        <v>0</v>
      </c>
      <c r="H471" s="1104" t="n">
        <f aca="false">'Смета Внутр'!G471</f>
        <v>0</v>
      </c>
      <c r="I471" s="1104" t="n">
        <f aca="false">'Смета Внутр'!H471</f>
        <v>0</v>
      </c>
      <c r="J471" s="1109" t="n">
        <f aca="false">'Смета Внутр'!I471</f>
        <v>0</v>
      </c>
    </row>
    <row r="472" customFormat="false" ht="15" hidden="true" customHeight="true" outlineLevel="0" collapsed="false">
      <c r="B472" s="1104" t="str">
        <f aca="false">'Смета Внутр'!B472</f>
        <v>Грибок для крепления утеплителя</v>
      </c>
      <c r="C472" s="1104" t="str">
        <f aca="false">'Смета Внутр'!C472</f>
        <v>шт</v>
      </c>
      <c r="D472" s="1109" t="n">
        <f aca="false">'Смета Внутр'!D472</f>
        <v>0</v>
      </c>
      <c r="E472" s="1104" t="n">
        <f aca="false">'Смета Внутр'!E472</f>
        <v>15</v>
      </c>
      <c r="F472" s="1104" t="n">
        <f aca="false">'Смета Внутр'!F472</f>
        <v>0</v>
      </c>
      <c r="G472" s="1104" t="n">
        <f aca="false">IF(E472&gt;F472,E472,F472)</f>
        <v>15</v>
      </c>
      <c r="H472" s="1104" t="n">
        <f aca="false">'Смета Внутр'!G472</f>
        <v>0</v>
      </c>
      <c r="I472" s="1104" t="n">
        <f aca="false">'Смета Внутр'!H472</f>
        <v>0</v>
      </c>
      <c r="J472" s="1109" t="n">
        <f aca="false">'Смета Внутр'!I472</f>
        <v>0</v>
      </c>
    </row>
    <row r="473" customFormat="false" ht="15" hidden="true" customHeight="true" outlineLevel="0" collapsed="false">
      <c r="B473" s="1104" t="str">
        <f aca="false">'Смета Внутр'!B473</f>
        <v>нет ветроизоляции</v>
      </c>
      <c r="C473" s="1104" t="str">
        <f aca="false">'Смета Внутр'!C473</f>
        <v>м2</v>
      </c>
      <c r="D473" s="1109" t="n">
        <f aca="false">'Смета Внутр'!D473</f>
        <v>0</v>
      </c>
      <c r="E473" s="1104" t="n">
        <f aca="false">'Смета Внутр'!E473</f>
        <v>0</v>
      </c>
      <c r="F473" s="1104" t="n">
        <f aca="false">'Смета Внутр'!F473</f>
        <v>0</v>
      </c>
      <c r="G473" s="1104" t="n">
        <f aca="false">IF(E473&gt;F473,E473,F473)</f>
        <v>0</v>
      </c>
      <c r="H473" s="1104" t="n">
        <f aca="false">'Смета Внутр'!G473</f>
        <v>0</v>
      </c>
      <c r="I473" s="1104" t="n">
        <f aca="false">'Смета Внутр'!H473</f>
        <v>0</v>
      </c>
      <c r="J473" s="1109" t="n">
        <f aca="false">'Смета Внутр'!I473</f>
        <v>0</v>
      </c>
    </row>
    <row r="474" customFormat="false" ht="15" hidden="true" customHeight="false" outlineLevel="0" collapsed="false">
      <c r="B474" s="1108" t="str">
        <f aca="false">'Смета Внутр'!B474</f>
        <v>Итого материалы</v>
      </c>
      <c r="C474" s="1108"/>
      <c r="D474" s="1108"/>
      <c r="E474" s="1108"/>
      <c r="F474" s="1108"/>
      <c r="G474" s="1108"/>
      <c r="H474" s="1104" t="n">
        <f aca="false">'Смета Внутр'!G474</f>
        <v>0</v>
      </c>
      <c r="I474" s="1104" t="n">
        <f aca="false">'Смета Внутр'!H474</f>
        <v>0</v>
      </c>
      <c r="J474" s="1109" t="n">
        <f aca="false">'Смета Внутр'!I474</f>
        <v>0</v>
      </c>
    </row>
    <row r="475" customFormat="false" ht="15" hidden="true" customHeight="true" outlineLevel="0" collapsed="false">
      <c r="B475" s="118" t="str">
        <f aca="false">'Смета Внутр'!B475</f>
        <v>Работы</v>
      </c>
      <c r="H475" s="118" t="n">
        <f aca="false">'Смета Внутр'!G475</f>
        <v>0</v>
      </c>
      <c r="I475" s="118" t="n">
        <f aca="false">'Смета Внутр'!H475</f>
        <v>0</v>
      </c>
      <c r="J475" s="1102" t="n">
        <f aca="false">'Смета Внутр'!I475</f>
        <v>0</v>
      </c>
    </row>
    <row r="476" customFormat="false" ht="15" hidden="true" customHeight="true" outlineLevel="0" collapsed="false">
      <c r="B476" s="1104" t="str">
        <f aca="false">'Смета Внутр'!B476</f>
        <v>кладка пенобетона несущие стены</v>
      </c>
      <c r="C476" s="1104" t="str">
        <f aca="false">'Смета Внутр'!C476</f>
        <v>м3</v>
      </c>
      <c r="D476" s="1109" t="n">
        <f aca="false">'Смета Внутр'!D476</f>
        <v>0</v>
      </c>
      <c r="E476" s="1104" t="n">
        <f aca="false">'Смета Внутр'!E476</f>
        <v>3500</v>
      </c>
      <c r="F476" s="1104" t="n">
        <f aca="false">'Смета Внутр'!F476</f>
        <v>0</v>
      </c>
      <c r="G476" s="1104" t="n">
        <f aca="false">IF(E476&gt;F476,E476,F476)</f>
        <v>3500</v>
      </c>
      <c r="H476" s="1104" t="n">
        <f aca="false">'Смета Внутр'!G476</f>
        <v>0</v>
      </c>
      <c r="I476" s="1104" t="n">
        <f aca="false">'Смета Внутр'!H476</f>
        <v>0</v>
      </c>
      <c r="J476" s="1109" t="n">
        <f aca="false">'Смета Внутр'!I476</f>
        <v>0</v>
      </c>
    </row>
    <row r="477" customFormat="false" ht="15" hidden="true" customHeight="true" outlineLevel="0" collapsed="false">
      <c r="B477" s="1104" t="str">
        <f aca="false">'Смета Внутр'!B477</f>
        <v>кладка пенобетона несущие перегородки</v>
      </c>
      <c r="C477" s="1104" t="str">
        <f aca="false">'Смета Внутр'!C477</f>
        <v>м3</v>
      </c>
      <c r="D477" s="1109" t="n">
        <f aca="false">'Смета Внутр'!D477</f>
        <v>0</v>
      </c>
      <c r="E477" s="1104" t="n">
        <f aca="false">'Смета Внутр'!E477</f>
        <v>3500</v>
      </c>
      <c r="F477" s="1104" t="n">
        <f aca="false">'Смета Внутр'!F477</f>
        <v>0</v>
      </c>
      <c r="G477" s="1104" t="n">
        <f aca="false">IF(E477&gt;F477,E477,F477)</f>
        <v>3500</v>
      </c>
      <c r="H477" s="1104" t="n">
        <f aca="false">'Смета Внутр'!G477</f>
        <v>0</v>
      </c>
      <c r="I477" s="1104" t="n">
        <f aca="false">'Смета Внутр'!H477</f>
        <v>0</v>
      </c>
      <c r="J477" s="1109" t="n">
        <f aca="false">'Смета Внутр'!I477</f>
        <v>0</v>
      </c>
    </row>
    <row r="478" customFormat="false" ht="15" hidden="true" customHeight="true" outlineLevel="0" collapsed="false">
      <c r="B478" s="1104" t="str">
        <f aca="false">'Смета Внутр'!B478</f>
        <v>кладка пенобетона перегородки</v>
      </c>
      <c r="C478" s="1104" t="str">
        <f aca="false">'Смета Внутр'!C478</f>
        <v>м2</v>
      </c>
      <c r="D478" s="1109" t="n">
        <f aca="false">'Смета Внутр'!D478</f>
        <v>0</v>
      </c>
      <c r="E478" s="1104" t="n">
        <f aca="false">'Смета Внутр'!E478</f>
        <v>450</v>
      </c>
      <c r="F478" s="1104" t="n">
        <f aca="false">'Смета Внутр'!F478</f>
        <v>0</v>
      </c>
      <c r="G478" s="1104" t="n">
        <f aca="false">IF(E478&gt;F478,E478,F478)</f>
        <v>450</v>
      </c>
      <c r="H478" s="1104" t="n">
        <f aca="false">'Смета Внутр'!G478</f>
        <v>0</v>
      </c>
      <c r="I478" s="1104" t="n">
        <f aca="false">'Смета Внутр'!H478</f>
        <v>0</v>
      </c>
      <c r="J478" s="1109" t="n">
        <f aca="false">'Смета Внутр'!I478</f>
        <v>0</v>
      </c>
    </row>
    <row r="479" customFormat="false" ht="15" hidden="true" customHeight="true" outlineLevel="0" collapsed="false">
      <c r="B479" s="1104" t="str">
        <f aca="false">'Смета Внутр'!B479</f>
        <v>изготовление и монтаж перемычек для окон и дверей</v>
      </c>
      <c r="C479" s="1104" t="str">
        <f aca="false">'Смета Внутр'!C479</f>
        <v>м.п.</v>
      </c>
      <c r="D479" s="1109" t="n">
        <f aca="false">'Смета Внутр'!D479</f>
        <v>10.49</v>
      </c>
      <c r="E479" s="1104" t="n">
        <f aca="false">'Смета Внутр'!E479</f>
        <v>500</v>
      </c>
      <c r="F479" s="1104" t="n">
        <f aca="false">'Смета Внутр'!F479</f>
        <v>0</v>
      </c>
      <c r="G479" s="1104" t="n">
        <f aca="false">IF(E479&gt;F479,E479,F479)</f>
        <v>500</v>
      </c>
      <c r="H479" s="1104" t="n">
        <f aca="false">'Смета Внутр'!G479</f>
        <v>5245</v>
      </c>
      <c r="I479" s="1104" t="n">
        <f aca="false">'Смета Внутр'!H479</f>
        <v>0</v>
      </c>
      <c r="J479" s="1109" t="n">
        <f aca="false">'Смета Внутр'!I479</f>
        <v>0</v>
      </c>
    </row>
    <row r="480" customFormat="false" ht="15" hidden="true" customHeight="true" outlineLevel="0" collapsed="false">
      <c r="B480" s="1104" t="str">
        <f aca="false">'Смета Внутр'!B480</f>
        <v>Замешивание раствора</v>
      </c>
      <c r="C480" s="1104" t="str">
        <f aca="false">'Смета Внутр'!C480</f>
        <v>м3</v>
      </c>
      <c r="D480" s="1109" t="n">
        <f aca="false">'Смета Внутр'!D480</f>
        <v>0</v>
      </c>
      <c r="E480" s="1104" t="n">
        <f aca="false">'Смета Внутр'!E480</f>
        <v>1500</v>
      </c>
      <c r="F480" s="1104" t="n">
        <f aca="false">'Смета Внутр'!F480</f>
        <v>0</v>
      </c>
      <c r="G480" s="1104" t="n">
        <f aca="false">IF(E480&gt;F480,E480,F480)</f>
        <v>1500</v>
      </c>
      <c r="H480" s="1104" t="n">
        <f aca="false">'Смета Внутр'!G480</f>
        <v>0</v>
      </c>
      <c r="I480" s="1104" t="n">
        <f aca="false">'Смета Внутр'!H480</f>
        <v>0</v>
      </c>
      <c r="J480" s="1109" t="n">
        <f aca="false">'Смета Внутр'!I480</f>
        <v>0</v>
      </c>
    </row>
    <row r="481" customFormat="false" ht="15" hidden="true" customHeight="true" outlineLevel="0" collapsed="false">
      <c r="B481" s="1104" t="str">
        <f aca="false">'Смета Внутр'!B481</f>
        <v>Армирование стен наружних и перегородок</v>
      </c>
      <c r="C481" s="1104" t="str">
        <f aca="false">'Смета Внутр'!C481</f>
        <v>м.п.</v>
      </c>
      <c r="D481" s="1109" t="n">
        <f aca="false">'Смета Внутр'!D481</f>
        <v>348.666666666667</v>
      </c>
      <c r="E481" s="1104" t="n">
        <f aca="false">'Смета Внутр'!E481</f>
        <v>70</v>
      </c>
      <c r="F481" s="1104" t="n">
        <f aca="false">'Смета Внутр'!F481</f>
        <v>0</v>
      </c>
      <c r="G481" s="1104" t="n">
        <f aca="false">IF(E481&gt;F481,E481,F481)</f>
        <v>70</v>
      </c>
      <c r="H481" s="1104" t="n">
        <f aca="false">'Смета Внутр'!G481</f>
        <v>24406.6666666667</v>
      </c>
      <c r="I481" s="1104" t="n">
        <f aca="false">'Смета Внутр'!H481</f>
        <v>0</v>
      </c>
      <c r="J481" s="1109" t="n">
        <f aca="false">'Смета Внутр'!I481</f>
        <v>0</v>
      </c>
    </row>
    <row r="482" customFormat="false" ht="15" hidden="true" customHeight="true" outlineLevel="0" collapsed="false">
      <c r="B482" s="1104" t="str">
        <f aca="false">'Смета Внутр'!B482</f>
        <v>Установка опалубки для сейсмопояса</v>
      </c>
      <c r="C482" s="1104" t="str">
        <f aca="false">'Смета Внутр'!C482</f>
        <v>м.п.</v>
      </c>
      <c r="D482" s="1109" t="n">
        <f aca="false">'Смета Внутр'!D482</f>
        <v>76.5</v>
      </c>
      <c r="E482" s="1104" t="n">
        <f aca="false">'Смета Внутр'!E482</f>
        <v>300</v>
      </c>
      <c r="F482" s="1104" t="n">
        <f aca="false">'Смета Внутр'!F482</f>
        <v>0</v>
      </c>
      <c r="G482" s="1104" t="n">
        <f aca="false">IF(E482&gt;F482,E482,F482)</f>
        <v>300</v>
      </c>
      <c r="H482" s="1104" t="n">
        <f aca="false">'Смета Внутр'!G482</f>
        <v>22950</v>
      </c>
      <c r="I482" s="1104" t="n">
        <f aca="false">'Смета Внутр'!H482</f>
        <v>0</v>
      </c>
      <c r="J482" s="1109" t="n">
        <f aca="false">'Смета Внутр'!I482</f>
        <v>0</v>
      </c>
    </row>
    <row r="483" customFormat="false" ht="15" hidden="true" customHeight="true" outlineLevel="0" collapsed="false">
      <c r="B483" s="1104" t="str">
        <f aca="false">'Смета Внутр'!B483</f>
        <v>Армирование сейсмопояса</v>
      </c>
      <c r="C483" s="1104" t="str">
        <f aca="false">'Смета Внутр'!C483</f>
        <v>м.п.</v>
      </c>
      <c r="D483" s="1109" t="n">
        <f aca="false">'Смета Внутр'!D483</f>
        <v>76.5</v>
      </c>
      <c r="E483" s="1104" t="n">
        <f aca="false">'Смета Внутр'!E483</f>
        <v>500</v>
      </c>
      <c r="F483" s="1104" t="n">
        <f aca="false">'Смета Внутр'!F483</f>
        <v>0</v>
      </c>
      <c r="G483" s="1104" t="n">
        <f aca="false">IF(E483&gt;F483,E483,F483)</f>
        <v>500</v>
      </c>
      <c r="H483" s="1104" t="n">
        <f aca="false">'Смета Внутр'!G483</f>
        <v>38250</v>
      </c>
      <c r="I483" s="1104" t="n">
        <f aca="false">'Смета Внутр'!H483</f>
        <v>0</v>
      </c>
      <c r="J483" s="1109" t="n">
        <f aca="false">'Смета Внутр'!I483</f>
        <v>0</v>
      </c>
    </row>
    <row r="484" customFormat="false" ht="15" hidden="true" customHeight="true" outlineLevel="0" collapsed="false">
      <c r="B484" s="1104" t="str">
        <f aca="false">'Смета Внутр'!B484</f>
        <v>Заливка бетоном сейсмопояса</v>
      </c>
      <c r="C484" s="1104" t="str">
        <f aca="false">'Смета Внутр'!C484</f>
        <v>м.п.</v>
      </c>
      <c r="D484" s="1109" t="n">
        <f aca="false">'Смета Внутр'!D484</f>
        <v>76.5</v>
      </c>
      <c r="E484" s="1104" t="n">
        <f aca="false">'Смета Внутр'!E484</f>
        <v>700</v>
      </c>
      <c r="F484" s="1104" t="n">
        <f aca="false">'Смета Внутр'!F484</f>
        <v>0</v>
      </c>
      <c r="G484" s="1104" t="n">
        <f aca="false">IF(E484&gt;F484,E484,F484)</f>
        <v>700</v>
      </c>
      <c r="H484" s="1104" t="n">
        <f aca="false">'Смета Внутр'!G484</f>
        <v>53550</v>
      </c>
      <c r="I484" s="1104" t="n">
        <f aca="false">'Смета Внутр'!H484</f>
        <v>0</v>
      </c>
      <c r="J484" s="1109" t="n">
        <f aca="false">'Смета Внутр'!I484</f>
        <v>0</v>
      </c>
    </row>
    <row r="485" customFormat="false" ht="15" hidden="true" customHeight="true" outlineLevel="0" collapsed="false">
      <c r="B485" s="1104" t="str">
        <f aca="false">'Смета Внутр'!B485</f>
        <v>утепление стен снаружи дома</v>
      </c>
      <c r="C485" s="1104" t="str">
        <f aca="false">'Смета Внутр'!C485</f>
        <v>м2</v>
      </c>
      <c r="D485" s="1109" t="n">
        <f aca="false">'Смета Внутр'!D485</f>
        <v>0</v>
      </c>
      <c r="E485" s="1104" t="n">
        <f aca="false">'Смета Внутр'!E485</f>
        <v>350</v>
      </c>
      <c r="F485" s="1104" t="n">
        <f aca="false">'Смета Внутр'!F485</f>
        <v>0</v>
      </c>
      <c r="G485" s="1104" t="n">
        <f aca="false">IF(E485&gt;F485,E485,F485)</f>
        <v>350</v>
      </c>
      <c r="H485" s="1104" t="n">
        <f aca="false">'Смета Внутр'!G485</f>
        <v>0</v>
      </c>
      <c r="I485" s="1104" t="n">
        <f aca="false">'Смета Внутр'!H485</f>
        <v>0</v>
      </c>
      <c r="J485" s="1109" t="n">
        <f aca="false">'Смета Внутр'!I485</f>
        <v>0</v>
      </c>
    </row>
    <row r="486" customFormat="false" ht="15" hidden="true" customHeight="true" outlineLevel="0" collapsed="false">
      <c r="B486" s="1104" t="str">
        <f aca="false">'Смета Внутр'!B486</f>
        <v>монтаж ветроизоляции стен</v>
      </c>
      <c r="C486" s="1104" t="str">
        <f aca="false">'Смета Внутр'!C486</f>
        <v>м2</v>
      </c>
      <c r="D486" s="1109" t="n">
        <f aca="false">'Смета Внутр'!D486</f>
        <v>0</v>
      </c>
      <c r="E486" s="1104" t="n">
        <f aca="false">'Смета Внутр'!E486</f>
        <v>100</v>
      </c>
      <c r="F486" s="1104" t="n">
        <f aca="false">'Смета Внутр'!F486</f>
        <v>0</v>
      </c>
      <c r="G486" s="1104" t="n">
        <f aca="false">IF(E486&gt;F486,E486,F486)</f>
        <v>100</v>
      </c>
      <c r="H486" s="1104" t="n">
        <f aca="false">'Смета Внутр'!G486</f>
        <v>0</v>
      </c>
      <c r="I486" s="1104" t="n">
        <f aca="false">'Смета Внутр'!H486</f>
        <v>0</v>
      </c>
      <c r="J486" s="1109" t="n">
        <f aca="false">'Смета Внутр'!I486</f>
        <v>0</v>
      </c>
    </row>
    <row r="487" customFormat="false" ht="15" hidden="true" customHeight="true" outlineLevel="0" collapsed="false">
      <c r="B487" s="1108" t="str">
        <f aca="false">'Смета Внутр'!B487</f>
        <v>Итого работы</v>
      </c>
      <c r="C487" s="1108"/>
      <c r="D487" s="1108"/>
      <c r="E487" s="1108"/>
      <c r="F487" s="1108"/>
      <c r="G487" s="1108"/>
      <c r="H487" s="1104" t="n">
        <f aca="false">'Смета Внутр'!G487</f>
        <v>0</v>
      </c>
      <c r="I487" s="1104" t="n">
        <f aca="false">'Смета Внутр'!H487</f>
        <v>0</v>
      </c>
      <c r="J487" s="1109" t="n">
        <f aca="false">'Смета Внутр'!I487</f>
        <v>0</v>
      </c>
    </row>
    <row r="488" customFormat="false" ht="15" hidden="true" customHeight="true" outlineLevel="0" collapsed="false">
      <c r="B488" s="1111" t="str">
        <f aca="false">'Смета Внутр'!B488</f>
        <v>Кирпичный дом</v>
      </c>
      <c r="C488" s="1111"/>
      <c r="D488" s="1111"/>
      <c r="H488" s="118" t="n">
        <f aca="false">'Смета Внутр'!G488</f>
        <v>0</v>
      </c>
      <c r="I488" s="118" t="n">
        <f aca="false">'Смета Внутр'!H488</f>
        <v>1</v>
      </c>
      <c r="J488" s="1131" t="n">
        <f aca="false">'Смета Внутр'!I488</f>
        <v>1</v>
      </c>
    </row>
    <row r="489" customFormat="false" ht="15" hidden="true" customHeight="true" outlineLevel="0" collapsed="false">
      <c r="B489" s="118" t="str">
        <f aca="false">'Смета Внутр'!B489</f>
        <v>Материалы</v>
      </c>
      <c r="H489" s="118" t="n">
        <f aca="false">'Смета Внутр'!G489</f>
        <v>0</v>
      </c>
      <c r="I489" s="118" t="n">
        <f aca="false">'Смета Внутр'!H489</f>
        <v>1</v>
      </c>
      <c r="J489" s="1131" t="n">
        <f aca="false">'Смета Внутр'!I489</f>
        <v>1</v>
      </c>
    </row>
    <row r="490" customFormat="false" ht="15" hidden="true" customHeight="true" outlineLevel="0" collapsed="false">
      <c r="B490" s="1104" t="str">
        <f aca="false">'Смета Внутр'!B490</f>
        <v>0,7НФ/150/75 Красный</v>
      </c>
      <c r="C490" s="1104" t="str">
        <f aca="false">'Смета Внутр'!C490</f>
        <v>м3</v>
      </c>
      <c r="D490" s="1109" t="n">
        <f aca="false">'Смета Внутр'!D490</f>
        <v>60.52816</v>
      </c>
      <c r="E490" s="1104" t="n">
        <f aca="false">'Смета Внутр'!E490</f>
        <v>8379.57</v>
      </c>
      <c r="F490" s="1104" t="n">
        <f aca="false">'Смета Внутр'!F490</f>
        <v>0</v>
      </c>
      <c r="G490" s="1104" t="n">
        <f aca="false">IF(E490&gt;F490,E490,F490)</f>
        <v>8379.57</v>
      </c>
      <c r="H490" s="1104" t="n">
        <f aca="false">'Смета Внутр'!G490</f>
        <v>507199.9536912</v>
      </c>
      <c r="I490" s="1104" t="n">
        <f aca="false">'Смета Внутр'!H490</f>
        <v>507199.9536912</v>
      </c>
      <c r="J490" s="1109" t="n">
        <f aca="false">'Смета Внутр'!I490</f>
        <v>507199.9536912</v>
      </c>
    </row>
    <row r="491" customFormat="false" ht="15" hidden="true" customHeight="true" outlineLevel="0" collapsed="false">
      <c r="B491" s="1104" t="str">
        <f aca="false">'Смета Внутр'!B491</f>
        <v>0,7НФ/150/75 Красный</v>
      </c>
      <c r="C491" s="1104" t="str">
        <f aca="false">'Смета Внутр'!C491</f>
        <v>м3</v>
      </c>
      <c r="D491" s="1109" t="n">
        <f aca="false">'Смета Внутр'!D491</f>
        <v>17.24844</v>
      </c>
      <c r="E491" s="1104" t="n">
        <f aca="false">'Смета Внутр'!E491</f>
        <v>8379.57</v>
      </c>
      <c r="F491" s="1104" t="n">
        <f aca="false">'Смета Внутр'!F491</f>
        <v>0</v>
      </c>
      <c r="G491" s="1104" t="n">
        <f aca="false">IF(E491&gt;F491,E491,F491)</f>
        <v>8379.57</v>
      </c>
      <c r="H491" s="1104" t="n">
        <f aca="false">'Смета Внутр'!G491</f>
        <v>144534.5103708</v>
      </c>
      <c r="I491" s="1104" t="n">
        <f aca="false">'Смета Внутр'!H491</f>
        <v>144534.5103708</v>
      </c>
      <c r="J491" s="1109" t="n">
        <f aca="false">'Смета Внутр'!I491</f>
        <v>144534.5103708</v>
      </c>
    </row>
    <row r="492" customFormat="false" ht="15" hidden="true" customHeight="true" outlineLevel="0" collapsed="false">
      <c r="B492" s="1104" t="str">
        <f aca="false">'Смета Внутр'!B492</f>
        <v>0,7НФ/150/75 Красный</v>
      </c>
      <c r="C492" s="1104" t="str">
        <f aca="false">'Смета Внутр'!C492</f>
        <v>м3</v>
      </c>
      <c r="D492" s="1109" t="n">
        <f aca="false">'Смета Внутр'!D492</f>
        <v>3.84384</v>
      </c>
      <c r="E492" s="1104" t="n">
        <f aca="false">'Смета Внутр'!E492</f>
        <v>8379.57</v>
      </c>
      <c r="F492" s="1104" t="n">
        <f aca="false">'Смета Внутр'!F492</f>
        <v>0</v>
      </c>
      <c r="G492" s="1104" t="n">
        <f aca="false">IF(E492&gt;F492,E492,F492)</f>
        <v>8379.57</v>
      </c>
      <c r="H492" s="1104" t="n">
        <f aca="false">'Смета Внутр'!G492</f>
        <v>32209.7263488</v>
      </c>
      <c r="I492" s="1104" t="n">
        <f aca="false">'Смета Внутр'!H492</f>
        <v>32209.7263488</v>
      </c>
      <c r="J492" s="1109" t="n">
        <f aca="false">'Смета Внутр'!I492</f>
        <v>32209.7263488</v>
      </c>
    </row>
    <row r="493" customFormat="false" ht="15" hidden="true" customHeight="true" outlineLevel="0" collapsed="false">
      <c r="B493" s="1104" t="str">
        <f aca="false">'Смета Внутр'!B493</f>
        <v>Перемычка оконная, 1-ый эт. Вариант 1</v>
      </c>
      <c r="C493" s="1104" t="str">
        <f aca="false">'Смета Внутр'!C493</f>
        <v>м.п.</v>
      </c>
      <c r="D493" s="1109" t="n">
        <f aca="false">'Смета Внутр'!D493</f>
        <v>1</v>
      </c>
      <c r="E493" s="1104" t="n">
        <f aca="false">'Смета Внутр'!E493</f>
        <v>1000</v>
      </c>
      <c r="F493" s="1104" t="n">
        <f aca="false">'Смета Внутр'!F493</f>
        <v>0</v>
      </c>
      <c r="G493" s="1104" t="n">
        <f aca="false">IF(E493&gt;F493,E493,F493)</f>
        <v>1000</v>
      </c>
      <c r="H493" s="1104" t="n">
        <f aca="false">'Смета Внутр'!G493</f>
        <v>1000</v>
      </c>
      <c r="I493" s="1104" t="n">
        <f aca="false">'Смета Внутр'!H493</f>
        <v>1000</v>
      </c>
      <c r="J493" s="1109" t="n">
        <f aca="false">'Смета Внутр'!I493</f>
        <v>1000</v>
      </c>
    </row>
    <row r="494" customFormat="false" ht="15" hidden="true" customHeight="true" outlineLevel="0" collapsed="false">
      <c r="B494" s="1104" t="str">
        <f aca="false">'Смета Внутр'!B494</f>
        <v>Перемычка оконная, 1-ый эт. Вариант 2</v>
      </c>
      <c r="C494" s="1104" t="str">
        <f aca="false">'Смета Внутр'!C494</f>
        <v>м.п.</v>
      </c>
      <c r="D494" s="1109" t="n">
        <f aca="false">'Смета Внутр'!D494</f>
        <v>0</v>
      </c>
      <c r="E494" s="1104" t="n">
        <f aca="false">'Смета Внутр'!E494</f>
        <v>1000</v>
      </c>
      <c r="F494" s="1104" t="n">
        <f aca="false">'Смета Внутр'!F494</f>
        <v>0</v>
      </c>
      <c r="G494" s="1104" t="n">
        <f aca="false">IF(E494&gt;F494,E494,F494)</f>
        <v>1000</v>
      </c>
      <c r="H494" s="1104" t="n">
        <f aca="false">'Смета Внутр'!G494</f>
        <v>0</v>
      </c>
      <c r="I494" s="1104" t="n">
        <f aca="false">'Смета Внутр'!H494</f>
        <v>0</v>
      </c>
      <c r="J494" s="1109" t="n">
        <f aca="false">'Смета Внутр'!I494</f>
        <v>0</v>
      </c>
    </row>
    <row r="495" customFormat="false" ht="15" hidden="true" customHeight="true" outlineLevel="0" collapsed="false">
      <c r="B495" s="1104" t="str">
        <f aca="false">'Смета Внутр'!B495</f>
        <v>Перемычка оконная, 1-ый эт. Вариант 3</v>
      </c>
      <c r="C495" s="1104" t="str">
        <f aca="false">'Смета Внутр'!C495</f>
        <v>м.п.</v>
      </c>
      <c r="D495" s="1109" t="n">
        <f aca="false">'Смета Внутр'!D495</f>
        <v>0</v>
      </c>
      <c r="E495" s="1104" t="n">
        <f aca="false">'Смета Внутр'!E495</f>
        <v>1000</v>
      </c>
      <c r="F495" s="1104" t="n">
        <f aca="false">'Смета Внутр'!F495</f>
        <v>0</v>
      </c>
      <c r="G495" s="1104" t="n">
        <f aca="false">IF(E495&gt;F495,E495,F495)</f>
        <v>1000</v>
      </c>
      <c r="H495" s="1104" t="n">
        <f aca="false">'Смета Внутр'!G495</f>
        <v>0</v>
      </c>
      <c r="I495" s="1104" t="n">
        <f aca="false">'Смета Внутр'!H495</f>
        <v>0</v>
      </c>
      <c r="J495" s="1109" t="n">
        <f aca="false">'Смета Внутр'!I495</f>
        <v>0</v>
      </c>
    </row>
    <row r="496" customFormat="false" ht="15" hidden="true" customHeight="true" outlineLevel="0" collapsed="false">
      <c r="B496" s="1104" t="str">
        <f aca="false">'Смета Внутр'!B496</f>
        <v>Перемычка оконная, 1-ый эт. Вариант 4</v>
      </c>
      <c r="C496" s="1104" t="str">
        <f aca="false">'Смета Внутр'!C496</f>
        <v>м.п.</v>
      </c>
      <c r="D496" s="1109" t="n">
        <f aca="false">'Смета Внутр'!D496</f>
        <v>0</v>
      </c>
      <c r="E496" s="1104" t="n">
        <f aca="false">'Смета Внутр'!E496</f>
        <v>1000</v>
      </c>
      <c r="F496" s="1104" t="n">
        <f aca="false">'Смета Внутр'!F496</f>
        <v>0</v>
      </c>
      <c r="G496" s="1104" t="n">
        <f aca="false">IF(E496&gt;F496,E496,F496)</f>
        <v>1000</v>
      </c>
      <c r="H496" s="1104" t="n">
        <f aca="false">'Смета Внутр'!G496</f>
        <v>0</v>
      </c>
      <c r="I496" s="1104" t="n">
        <f aca="false">'Смета Внутр'!H496</f>
        <v>0</v>
      </c>
      <c r="J496" s="1109" t="n">
        <f aca="false">'Смета Внутр'!I496</f>
        <v>0</v>
      </c>
    </row>
    <row r="497" customFormat="false" ht="15" hidden="true" customHeight="true" outlineLevel="0" collapsed="false">
      <c r="B497" s="1104" t="str">
        <f aca="false">'Смета Внутр'!B497</f>
        <v>Перемычка оконная, 1-ый эт. Вариант 5</v>
      </c>
      <c r="C497" s="1104" t="str">
        <f aca="false">'Смета Внутр'!C497</f>
        <v>м.п.</v>
      </c>
      <c r="D497" s="1109" t="n">
        <f aca="false">'Смета Внутр'!D497</f>
        <v>0</v>
      </c>
      <c r="E497" s="1104" t="n">
        <f aca="false">'Смета Внутр'!E497</f>
        <v>1000</v>
      </c>
      <c r="F497" s="1104" t="n">
        <f aca="false">'Смета Внутр'!F497</f>
        <v>0</v>
      </c>
      <c r="G497" s="1104" t="n">
        <f aca="false">IF(E497&gt;F497,E497,F497)</f>
        <v>1000</v>
      </c>
      <c r="H497" s="1104" t="n">
        <f aca="false">'Смета Внутр'!G497</f>
        <v>0</v>
      </c>
      <c r="I497" s="1104" t="n">
        <f aca="false">'Смета Внутр'!H497</f>
        <v>0</v>
      </c>
      <c r="J497" s="1109" t="n">
        <f aca="false">'Смета Внутр'!I497</f>
        <v>0</v>
      </c>
    </row>
    <row r="498" customFormat="false" ht="15" hidden="true" customHeight="true" outlineLevel="0" collapsed="false">
      <c r="B498" s="1104" t="str">
        <f aca="false">'Смета Внутр'!B498</f>
        <v>Перемычка оконная, 2-ый эт. Вариант 6</v>
      </c>
      <c r="C498" s="1104" t="str">
        <f aca="false">'Смета Внутр'!C498</f>
        <v>м.п.</v>
      </c>
      <c r="D498" s="1109" t="n">
        <f aca="false">'Смета Внутр'!D498</f>
        <v>0</v>
      </c>
      <c r="E498" s="1104" t="n">
        <f aca="false">'Смета Внутр'!E498</f>
        <v>1000</v>
      </c>
      <c r="F498" s="1104" t="n">
        <f aca="false">'Смета Внутр'!F498</f>
        <v>0</v>
      </c>
      <c r="G498" s="1104" t="n">
        <f aca="false">IF(E498&gt;F498,E498,F498)</f>
        <v>1000</v>
      </c>
      <c r="H498" s="1104" t="n">
        <f aca="false">'Смета Внутр'!G498</f>
        <v>0</v>
      </c>
      <c r="I498" s="1104" t="n">
        <f aca="false">'Смета Внутр'!H498</f>
        <v>0</v>
      </c>
      <c r="J498" s="1109" t="n">
        <f aca="false">'Смета Внутр'!I498</f>
        <v>0</v>
      </c>
    </row>
    <row r="499" customFormat="false" ht="15" hidden="true" customHeight="true" outlineLevel="0" collapsed="false">
      <c r="B499" s="1104" t="str">
        <f aca="false">'Смета Внутр'!B499</f>
        <v>Перемычка оконная, 2-ый эт. Вариант 7</v>
      </c>
      <c r="C499" s="1104" t="str">
        <f aca="false">'Смета Внутр'!C499</f>
        <v>м.п.</v>
      </c>
      <c r="D499" s="1109" t="n">
        <f aca="false">'Смета Внутр'!D499</f>
        <v>0</v>
      </c>
      <c r="E499" s="1104" t="n">
        <f aca="false">'Смета Внутр'!E499</f>
        <v>1000</v>
      </c>
      <c r="F499" s="1104" t="n">
        <f aca="false">'Смета Внутр'!F499</f>
        <v>0</v>
      </c>
      <c r="G499" s="1104" t="n">
        <f aca="false">IF(E499&gt;F499,E499,F499)</f>
        <v>1000</v>
      </c>
      <c r="H499" s="1104" t="n">
        <f aca="false">'Смета Внутр'!G499</f>
        <v>0</v>
      </c>
      <c r="I499" s="1104" t="n">
        <f aca="false">'Смета Внутр'!H499</f>
        <v>0</v>
      </c>
      <c r="J499" s="1109" t="n">
        <f aca="false">'Смета Внутр'!I499</f>
        <v>0</v>
      </c>
    </row>
    <row r="500" customFormat="false" ht="15" hidden="true" customHeight="true" outlineLevel="0" collapsed="false">
      <c r="B500" s="1104" t="str">
        <f aca="false">'Смета Внутр'!B500</f>
        <v>Перемычка оконная, 2-ый эт. Вариант 8</v>
      </c>
      <c r="C500" s="1104" t="str">
        <f aca="false">'Смета Внутр'!C500</f>
        <v>м.п.</v>
      </c>
      <c r="D500" s="1109" t="n">
        <f aca="false">'Смета Внутр'!D500</f>
        <v>0</v>
      </c>
      <c r="E500" s="1104" t="n">
        <f aca="false">'Смета Внутр'!E500</f>
        <v>1000</v>
      </c>
      <c r="F500" s="1104" t="n">
        <f aca="false">'Смета Внутр'!F500</f>
        <v>0</v>
      </c>
      <c r="G500" s="1104" t="n">
        <f aca="false">IF(E500&gt;F500,E500,F500)</f>
        <v>1000</v>
      </c>
      <c r="H500" s="1104" t="n">
        <f aca="false">'Смета Внутр'!G500</f>
        <v>0</v>
      </c>
      <c r="I500" s="1104" t="n">
        <f aca="false">'Смета Внутр'!H500</f>
        <v>0</v>
      </c>
      <c r="J500" s="1109" t="n">
        <f aca="false">'Смета Внутр'!I500</f>
        <v>0</v>
      </c>
    </row>
    <row r="501" customFormat="false" ht="15" hidden="true" customHeight="true" outlineLevel="0" collapsed="false">
      <c r="B501" s="1104" t="str">
        <f aca="false">'Смета Внутр'!B501</f>
        <v>Перемычка оконная, 2-ый эт. Вариант 9</v>
      </c>
      <c r="C501" s="1104" t="str">
        <f aca="false">'Смета Внутр'!C501</f>
        <v>м.п.</v>
      </c>
      <c r="D501" s="1109" t="n">
        <f aca="false">'Смета Внутр'!D501</f>
        <v>0</v>
      </c>
      <c r="E501" s="1104" t="n">
        <f aca="false">'Смета Внутр'!E501</f>
        <v>1000</v>
      </c>
      <c r="F501" s="1104" t="n">
        <f aca="false">'Смета Внутр'!F501</f>
        <v>0</v>
      </c>
      <c r="G501" s="1104" t="n">
        <f aca="false">IF(E501&gt;F501,E501,F501)</f>
        <v>1000</v>
      </c>
      <c r="H501" s="1104" t="n">
        <f aca="false">'Смета Внутр'!G501</f>
        <v>0</v>
      </c>
      <c r="I501" s="1104" t="n">
        <f aca="false">'Смета Внутр'!H501</f>
        <v>0</v>
      </c>
      <c r="J501" s="1109" t="n">
        <f aca="false">'Смета Внутр'!I501</f>
        <v>0</v>
      </c>
    </row>
    <row r="502" customFormat="false" ht="15" hidden="true" customHeight="true" outlineLevel="0" collapsed="false">
      <c r="B502" s="1104" t="str">
        <f aca="false">'Смета Внутр'!B502</f>
        <v>Перемычка оконная, 2-ый эт. Вариант 10</v>
      </c>
      <c r="C502" s="1104" t="str">
        <f aca="false">'Смета Внутр'!C502</f>
        <v>м.п.</v>
      </c>
      <c r="D502" s="1109" t="n">
        <f aca="false">'Смета Внутр'!D502</f>
        <v>0</v>
      </c>
      <c r="E502" s="1104" t="n">
        <f aca="false">'Смета Внутр'!E502</f>
        <v>1000</v>
      </c>
      <c r="F502" s="1104" t="n">
        <f aca="false">'Смета Внутр'!F502</f>
        <v>0</v>
      </c>
      <c r="G502" s="1104" t="n">
        <f aca="false">IF(E502&gt;F502,E502,F502)</f>
        <v>1000</v>
      </c>
      <c r="H502" s="1104" t="n">
        <f aca="false">'Смета Внутр'!G502</f>
        <v>0</v>
      </c>
      <c r="I502" s="1104" t="n">
        <f aca="false">'Смета Внутр'!H502</f>
        <v>0</v>
      </c>
      <c r="J502" s="1109" t="n">
        <f aca="false">'Смета Внутр'!I502</f>
        <v>0</v>
      </c>
    </row>
    <row r="503" customFormat="false" ht="15" hidden="true" customHeight="true" outlineLevel="0" collapsed="false">
      <c r="B503" s="1104" t="str">
        <f aca="false">'Смета Внутр'!B503</f>
        <v>Перемычка дверная, 1-ый эт. Вариант 1</v>
      </c>
      <c r="C503" s="1104" t="str">
        <f aca="false">'Смета Внутр'!C503</f>
        <v>м.п.</v>
      </c>
      <c r="D503" s="1109" t="n">
        <f aca="false">'Смета Внутр'!D503</f>
        <v>0</v>
      </c>
      <c r="E503" s="1104" t="n">
        <f aca="false">'Смета Внутр'!E503</f>
        <v>1000</v>
      </c>
      <c r="F503" s="1104" t="n">
        <f aca="false">'Смета Внутр'!F503</f>
        <v>0</v>
      </c>
      <c r="G503" s="1104" t="n">
        <f aca="false">IF(E503&gt;F503,E503,F503)</f>
        <v>1000</v>
      </c>
      <c r="H503" s="1104" t="n">
        <f aca="false">'Смета Внутр'!G503</f>
        <v>0</v>
      </c>
      <c r="I503" s="1104" t="n">
        <f aca="false">'Смета Внутр'!H503</f>
        <v>0</v>
      </c>
      <c r="J503" s="1109" t="n">
        <f aca="false">'Смета Внутр'!I503</f>
        <v>0</v>
      </c>
    </row>
    <row r="504" customFormat="false" ht="15" hidden="true" customHeight="true" outlineLevel="0" collapsed="false">
      <c r="B504" s="1104" t="str">
        <f aca="false">'Смета Внутр'!B504</f>
        <v>Перемычка дверная, 2-ый эт. Вариант 2</v>
      </c>
      <c r="C504" s="1104" t="str">
        <f aca="false">'Смета Внутр'!C504</f>
        <v>м.п.</v>
      </c>
      <c r="D504" s="1109" t="n">
        <f aca="false">'Смета Внутр'!D504</f>
        <v>0</v>
      </c>
      <c r="E504" s="1104" t="n">
        <f aca="false">'Смета Внутр'!E504</f>
        <v>1000</v>
      </c>
      <c r="F504" s="1104" t="n">
        <f aca="false">'Смета Внутр'!F504</f>
        <v>0</v>
      </c>
      <c r="G504" s="1104" t="n">
        <f aca="false">IF(E504&gt;F504,E504,F504)</f>
        <v>1000</v>
      </c>
      <c r="H504" s="1104" t="n">
        <f aca="false">'Смета Внутр'!G504</f>
        <v>0</v>
      </c>
      <c r="I504" s="1104" t="n">
        <f aca="false">'Смета Внутр'!H504</f>
        <v>0</v>
      </c>
      <c r="J504" s="1109" t="n">
        <f aca="false">'Смета Внутр'!I504</f>
        <v>0</v>
      </c>
    </row>
    <row r="505" customFormat="false" ht="15" hidden="true" customHeight="true" outlineLevel="0" collapsed="false">
      <c r="B505" s="1104" t="str">
        <f aca="false">'Смета Внутр'!B505</f>
        <v>Перемычка оконная 1-ый эт, Вариант 11</v>
      </c>
      <c r="C505" s="1104" t="str">
        <f aca="false">'Смета Внутр'!C505</f>
        <v>м.п.</v>
      </c>
      <c r="D505" s="1109" t="n">
        <f aca="false">'Смета Внутр'!D505</f>
        <v>0</v>
      </c>
      <c r="E505" s="1104" t="n">
        <f aca="false">'Смета Внутр'!E505</f>
        <v>1000</v>
      </c>
      <c r="F505" s="1104" t="n">
        <f aca="false">'Смета Внутр'!F505</f>
        <v>0</v>
      </c>
      <c r="G505" s="1104" t="n">
        <f aca="false">IF(E505&gt;F505,E505,F505)</f>
        <v>1000</v>
      </c>
      <c r="H505" s="1104" t="n">
        <f aca="false">'Смета Внутр'!G505</f>
        <v>0</v>
      </c>
      <c r="I505" s="1104" t="n">
        <f aca="false">'Смета Внутр'!H505</f>
        <v>0</v>
      </c>
      <c r="J505" s="1109" t="n">
        <f aca="false">'Смета Внутр'!I505</f>
        <v>0</v>
      </c>
    </row>
    <row r="506" customFormat="false" ht="15" hidden="true" customHeight="true" outlineLevel="0" collapsed="false">
      <c r="B506" s="1104" t="str">
        <f aca="false">'Смета Внутр'!B506</f>
        <v>Перемычка оконная 1-ый эт, Вариант 12</v>
      </c>
      <c r="C506" s="1104" t="str">
        <f aca="false">'Смета Внутр'!C506</f>
        <v>м.п.</v>
      </c>
      <c r="D506" s="1109" t="n">
        <f aca="false">'Смета Внутр'!D506</f>
        <v>0</v>
      </c>
      <c r="E506" s="1104" t="n">
        <f aca="false">'Смета Внутр'!E506</f>
        <v>1000</v>
      </c>
      <c r="F506" s="1104" t="n">
        <f aca="false">'Смета Внутр'!F506</f>
        <v>0</v>
      </c>
      <c r="G506" s="1104" t="n">
        <f aca="false">IF(E506&gt;F506,E506,F506)</f>
        <v>1000</v>
      </c>
      <c r="H506" s="1104" t="n">
        <f aca="false">'Смета Внутр'!G506</f>
        <v>0</v>
      </c>
      <c r="I506" s="1104" t="n">
        <f aca="false">'Смета Внутр'!H506</f>
        <v>0</v>
      </c>
      <c r="J506" s="1109" t="n">
        <f aca="false">'Смета Внутр'!I506</f>
        <v>0</v>
      </c>
    </row>
    <row r="507" customFormat="false" ht="15" hidden="true" customHeight="true" outlineLevel="0" collapsed="false">
      <c r="B507" s="1104" t="str">
        <f aca="false">'Смета Внутр'!B507</f>
        <v>Перемычка дверная, 1-ый эт. Вариант 4</v>
      </c>
      <c r="C507" s="1104" t="str">
        <f aca="false">'Смета Внутр'!C507</f>
        <v>м.п.</v>
      </c>
      <c r="D507" s="1109" t="n">
        <f aca="false">'Смета Внутр'!D507</f>
        <v>3</v>
      </c>
      <c r="E507" s="1104" t="n">
        <f aca="false">'Смета Внутр'!E507</f>
        <v>1000</v>
      </c>
      <c r="F507" s="1104" t="n">
        <f aca="false">'Смета Внутр'!F507</f>
        <v>0</v>
      </c>
      <c r="G507" s="1104" t="n">
        <f aca="false">IF(E507&gt;F507,E507,F507)</f>
        <v>1000</v>
      </c>
      <c r="H507" s="1104" t="n">
        <f aca="false">'Смета Внутр'!G507</f>
        <v>3000</v>
      </c>
      <c r="I507" s="1104" t="n">
        <f aca="false">'Смета Внутр'!H507</f>
        <v>3000</v>
      </c>
      <c r="J507" s="1109" t="n">
        <f aca="false">'Смета Внутр'!I507</f>
        <v>3000</v>
      </c>
    </row>
    <row r="508" customFormat="false" ht="15" hidden="true" customHeight="true" outlineLevel="0" collapsed="false">
      <c r="B508" s="1104" t="str">
        <f aca="false">'Смета Внутр'!B508</f>
        <v>Перемычка дверная, 1-ый эт. Вариант 5</v>
      </c>
      <c r="C508" s="1104" t="str">
        <f aca="false">'Смета Внутр'!C508</f>
        <v>м.п.</v>
      </c>
      <c r="D508" s="1109" t="n">
        <f aca="false">'Смета Внутр'!D508</f>
        <v>0</v>
      </c>
      <c r="E508" s="1104" t="n">
        <f aca="false">'Смета Внутр'!E508</f>
        <v>1000</v>
      </c>
      <c r="F508" s="1104" t="n">
        <f aca="false">'Смета Внутр'!F508</f>
        <v>0</v>
      </c>
      <c r="G508" s="1104" t="n">
        <f aca="false">IF(E508&gt;F508,E508,F508)</f>
        <v>1000</v>
      </c>
      <c r="H508" s="1104" t="n">
        <f aca="false">'Смета Внутр'!G508</f>
        <v>0</v>
      </c>
      <c r="I508" s="1104" t="n">
        <f aca="false">'Смета Внутр'!H508</f>
        <v>0</v>
      </c>
      <c r="J508" s="1109" t="n">
        <f aca="false">'Смета Внутр'!I508</f>
        <v>0</v>
      </c>
    </row>
    <row r="509" customFormat="false" ht="15" hidden="true" customHeight="true" outlineLevel="0" collapsed="false">
      <c r="B509" s="1104" t="str">
        <f aca="false">'Смета Внутр'!B509</f>
        <v>Перемычка дверная, 1-ый эт. Вариант 6</v>
      </c>
      <c r="C509" s="1104" t="str">
        <f aca="false">'Смета Внутр'!C509</f>
        <v>м.п.</v>
      </c>
      <c r="D509" s="1109" t="n">
        <f aca="false">'Смета Внутр'!D509</f>
        <v>0</v>
      </c>
      <c r="E509" s="1104" t="n">
        <f aca="false">'Смета Внутр'!E509</f>
        <v>1000</v>
      </c>
      <c r="F509" s="1104" t="n">
        <f aca="false">'Смета Внутр'!F509</f>
        <v>0</v>
      </c>
      <c r="G509" s="1104" t="n">
        <f aca="false">IF(E509&gt;F509,E509,F509)</f>
        <v>1000</v>
      </c>
      <c r="H509" s="1104" t="n">
        <f aca="false">'Смета Внутр'!G509</f>
        <v>0</v>
      </c>
      <c r="I509" s="1104" t="n">
        <f aca="false">'Смета Внутр'!H509</f>
        <v>0</v>
      </c>
      <c r="J509" s="1109" t="n">
        <f aca="false">'Смета Внутр'!I509</f>
        <v>0</v>
      </c>
    </row>
    <row r="510" customFormat="false" ht="15" hidden="true" customHeight="true" outlineLevel="0" collapsed="false">
      <c r="B510" s="1104" t="str">
        <f aca="false">'Смета Внутр'!B510</f>
        <v>Перемычка дверная, 2-ый эт. Вариант 7</v>
      </c>
      <c r="C510" s="1104" t="str">
        <f aca="false">'Смета Внутр'!C510</f>
        <v>м.п.</v>
      </c>
      <c r="D510" s="1109" t="n">
        <f aca="false">'Смета Внутр'!D510</f>
        <v>0</v>
      </c>
      <c r="E510" s="1104" t="n">
        <f aca="false">'Смета Внутр'!E510</f>
        <v>1000</v>
      </c>
      <c r="F510" s="1104" t="n">
        <f aca="false">'Смета Внутр'!F510</f>
        <v>0</v>
      </c>
      <c r="G510" s="1104" t="n">
        <f aca="false">IF(E510&gt;F510,E510,F510)</f>
        <v>1000</v>
      </c>
      <c r="H510" s="1104" t="n">
        <f aca="false">'Смета Внутр'!G510</f>
        <v>0</v>
      </c>
      <c r="I510" s="1104" t="n">
        <f aca="false">'Смета Внутр'!H510</f>
        <v>0</v>
      </c>
      <c r="J510" s="1109" t="n">
        <f aca="false">'Смета Внутр'!I510</f>
        <v>0</v>
      </c>
    </row>
    <row r="511" customFormat="false" ht="15" hidden="true" customHeight="true" outlineLevel="0" collapsed="false">
      <c r="B511" s="1104" t="str">
        <f aca="false">'Смета Внутр'!B511</f>
        <v>Перемычка дверная, 2-ый эт. Вариант 8</v>
      </c>
      <c r="C511" s="1104" t="str">
        <f aca="false">'Смета Внутр'!C511</f>
        <v>м.п.</v>
      </c>
      <c r="D511" s="1109" t="n">
        <f aca="false">'Смета Внутр'!D511</f>
        <v>0</v>
      </c>
      <c r="E511" s="1104" t="n">
        <f aca="false">'Смета Внутр'!E511</f>
        <v>1000</v>
      </c>
      <c r="F511" s="1104" t="n">
        <f aca="false">'Смета Внутр'!F511</f>
        <v>0</v>
      </c>
      <c r="G511" s="1104" t="n">
        <f aca="false">IF(E511&gt;F511,E511,F511)</f>
        <v>1000</v>
      </c>
      <c r="H511" s="1104" t="n">
        <f aca="false">'Смета Внутр'!G511</f>
        <v>0</v>
      </c>
      <c r="I511" s="1104" t="n">
        <f aca="false">'Смета Внутр'!H511</f>
        <v>0</v>
      </c>
      <c r="J511" s="1109" t="n">
        <f aca="false">'Смета Внутр'!I511</f>
        <v>0</v>
      </c>
    </row>
    <row r="512" customFormat="false" ht="15" hidden="true" customHeight="true" outlineLevel="0" collapsed="false">
      <c r="B512" s="1104" t="str">
        <f aca="false">'Смета Внутр'!B512</f>
        <v>Перемычка дверная, 2-ый эт. Вариант 9</v>
      </c>
      <c r="C512" s="1104" t="str">
        <f aca="false">'Смета Внутр'!C512</f>
        <v>м.п.</v>
      </c>
      <c r="D512" s="1109" t="n">
        <f aca="false">'Смета Внутр'!D512</f>
        <v>0</v>
      </c>
      <c r="E512" s="1104" t="n">
        <f aca="false">'Смета Внутр'!E512</f>
        <v>1000</v>
      </c>
      <c r="F512" s="1104" t="n">
        <f aca="false">'Смета Внутр'!F512</f>
        <v>0</v>
      </c>
      <c r="G512" s="1104" t="n">
        <f aca="false">IF(E512&gt;F512,E512,F512)</f>
        <v>1000</v>
      </c>
      <c r="H512" s="1104" t="n">
        <f aca="false">'Смета Внутр'!G512</f>
        <v>0</v>
      </c>
      <c r="I512" s="1104" t="n">
        <f aca="false">'Смета Внутр'!H512</f>
        <v>0</v>
      </c>
      <c r="J512" s="1109" t="n">
        <f aca="false">'Смета Внутр'!I512</f>
        <v>0</v>
      </c>
    </row>
    <row r="513" customFormat="false" ht="15" hidden="true" customHeight="true" outlineLevel="0" collapsed="false">
      <c r="B513" s="1104" t="str">
        <f aca="false">'Смета Внутр'!B513</f>
        <v>Перемычка проема, 1-ый эт. Вариант 10</v>
      </c>
      <c r="C513" s="1104" t="str">
        <f aca="false">'Смета Внутр'!C513</f>
        <v>м.п.</v>
      </c>
      <c r="D513" s="1109" t="n">
        <f aca="false">'Смета Внутр'!D513</f>
        <v>0</v>
      </c>
      <c r="E513" s="1104" t="n">
        <f aca="false">'Смета Внутр'!E513</f>
        <v>1000</v>
      </c>
      <c r="F513" s="1104" t="n">
        <f aca="false">'Смета Внутр'!F513</f>
        <v>0</v>
      </c>
      <c r="G513" s="1104" t="n">
        <f aca="false">IF(E513&gt;F513,E513,F513)</f>
        <v>1000</v>
      </c>
      <c r="H513" s="1104" t="n">
        <f aca="false">'Смета Внутр'!G513</f>
        <v>0</v>
      </c>
      <c r="I513" s="1104" t="n">
        <f aca="false">'Смета Внутр'!H513</f>
        <v>0</v>
      </c>
      <c r="J513" s="1109" t="n">
        <f aca="false">'Смета Внутр'!I513</f>
        <v>0</v>
      </c>
    </row>
    <row r="514" customFormat="false" ht="15" hidden="true" customHeight="true" outlineLevel="0" collapsed="false">
      <c r="B514" s="1104" t="str">
        <f aca="false">'Смета Внутр'!B514</f>
        <v>Перемычка проема, 1-ый эт. Вариант 11</v>
      </c>
      <c r="C514" s="1104" t="str">
        <f aca="false">'Смета Внутр'!C514</f>
        <v>м.п.</v>
      </c>
      <c r="D514" s="1109" t="n">
        <f aca="false">'Смета Внутр'!D514</f>
        <v>0</v>
      </c>
      <c r="E514" s="1104" t="n">
        <f aca="false">'Смета Внутр'!E514</f>
        <v>1000</v>
      </c>
      <c r="F514" s="1104" t="n">
        <f aca="false">'Смета Внутр'!F514</f>
        <v>0</v>
      </c>
      <c r="G514" s="1104" t="n">
        <f aca="false">IF(E514&gt;F514,E514,F514)</f>
        <v>1000</v>
      </c>
      <c r="H514" s="1104" t="n">
        <f aca="false">'Смета Внутр'!G514</f>
        <v>0</v>
      </c>
      <c r="I514" s="1104" t="n">
        <f aca="false">'Смета Внутр'!H514</f>
        <v>0</v>
      </c>
      <c r="J514" s="1109" t="n">
        <f aca="false">'Смета Внутр'!I514</f>
        <v>0</v>
      </c>
    </row>
    <row r="515" customFormat="false" ht="15" hidden="true" customHeight="true" outlineLevel="0" collapsed="false">
      <c r="B515" s="1104" t="str">
        <f aca="false">'Смета Внутр'!B515</f>
        <v>Перемычка проема, 2-ый эт. Вариант 12</v>
      </c>
      <c r="C515" s="1104" t="str">
        <f aca="false">'Смета Внутр'!C515</f>
        <v>м.п.</v>
      </c>
      <c r="D515" s="1109" t="n">
        <f aca="false">'Смета Внутр'!D515</f>
        <v>0</v>
      </c>
      <c r="E515" s="1104" t="n">
        <f aca="false">'Смета Внутр'!E515</f>
        <v>1000</v>
      </c>
      <c r="F515" s="1104" t="n">
        <f aca="false">'Смета Внутр'!F515</f>
        <v>0</v>
      </c>
      <c r="G515" s="1104" t="n">
        <f aca="false">IF(E515&gt;F515,E515,F515)</f>
        <v>1000</v>
      </c>
      <c r="H515" s="1104" t="n">
        <f aca="false">'Смета Внутр'!G515</f>
        <v>0</v>
      </c>
      <c r="I515" s="1104" t="n">
        <f aca="false">'Смета Внутр'!H515</f>
        <v>0</v>
      </c>
      <c r="J515" s="1109" t="n">
        <f aca="false">'Смета Внутр'!I515</f>
        <v>0</v>
      </c>
    </row>
    <row r="516" customFormat="false" ht="15" hidden="true" customHeight="true" outlineLevel="0" collapsed="false">
      <c r="B516" s="1104" t="str">
        <f aca="false">'Смета Внутр'!B516</f>
        <v>Перемычка проема, 2-ый эт. Вариант 13</v>
      </c>
      <c r="C516" s="1104" t="str">
        <f aca="false">'Смета Внутр'!C516</f>
        <v>м.п.</v>
      </c>
      <c r="D516" s="1109" t="n">
        <f aca="false">'Смета Внутр'!D516</f>
        <v>0</v>
      </c>
      <c r="E516" s="1104" t="n">
        <f aca="false">'Смета Внутр'!E516</f>
        <v>1000</v>
      </c>
      <c r="F516" s="1104" t="n">
        <f aca="false">'Смета Внутр'!F516</f>
        <v>0</v>
      </c>
      <c r="G516" s="1104" t="n">
        <f aca="false">IF(E516&gt;F516,E516,F516)</f>
        <v>1000</v>
      </c>
      <c r="H516" s="1104" t="n">
        <f aca="false">'Смета Внутр'!G516</f>
        <v>0</v>
      </c>
      <c r="I516" s="1104" t="n">
        <f aca="false">'Смета Внутр'!H516</f>
        <v>0</v>
      </c>
      <c r="J516" s="1109" t="n">
        <f aca="false">'Смета Внутр'!I516</f>
        <v>0</v>
      </c>
    </row>
    <row r="517" customFormat="false" ht="15" hidden="true" customHeight="true" outlineLevel="0" collapsed="false">
      <c r="B517" s="1104" t="str">
        <f aca="false">'Смета Внутр'!B517</f>
        <v>Перемычка дверная, 1-ый эт. Вариант 1</v>
      </c>
      <c r="C517" s="1104" t="str">
        <f aca="false">'Смета Внутр'!C517</f>
        <v>м.п.</v>
      </c>
      <c r="D517" s="1109" t="n">
        <f aca="false">'Смета Внутр'!D517</f>
        <v>0</v>
      </c>
      <c r="E517" s="1104" t="n">
        <f aca="false">'Смета Внутр'!E517</f>
        <v>1000</v>
      </c>
      <c r="F517" s="1104" t="n">
        <f aca="false">'Смета Внутр'!F517</f>
        <v>0</v>
      </c>
      <c r="G517" s="1104" t="n">
        <f aca="false">IF(E517&gt;F517,E517,F517)</f>
        <v>1000</v>
      </c>
      <c r="H517" s="1104" t="n">
        <f aca="false">'Смета Внутр'!G517</f>
        <v>0</v>
      </c>
      <c r="I517" s="1104" t="n">
        <f aca="false">'Смета Внутр'!H517</f>
        <v>0</v>
      </c>
      <c r="J517" s="1109" t="n">
        <f aca="false">'Смета Внутр'!I517</f>
        <v>0</v>
      </c>
    </row>
    <row r="518" customFormat="false" ht="15" hidden="true" customHeight="true" outlineLevel="0" collapsed="false">
      <c r="B518" s="1104" t="str">
        <f aca="false">'Смета Внутр'!B518</f>
        <v>Перемычка дверная, 1-ый эт. Вариант 2</v>
      </c>
      <c r="C518" s="1104" t="str">
        <f aca="false">'Смета Внутр'!C518</f>
        <v>м.п.</v>
      </c>
      <c r="D518" s="1109" t="n">
        <f aca="false">'Смета Внутр'!D518</f>
        <v>1</v>
      </c>
      <c r="E518" s="1104" t="n">
        <f aca="false">'Смета Внутр'!E518</f>
        <v>1000</v>
      </c>
      <c r="F518" s="1104" t="n">
        <f aca="false">'Смета Внутр'!F518</f>
        <v>0</v>
      </c>
      <c r="G518" s="1104" t="n">
        <f aca="false">IF(E518&gt;F518,E518,F518)</f>
        <v>1000</v>
      </c>
      <c r="H518" s="1104" t="n">
        <f aca="false">'Смета Внутр'!G518</f>
        <v>1000</v>
      </c>
      <c r="I518" s="1104" t="n">
        <f aca="false">'Смета Внутр'!H518</f>
        <v>1000</v>
      </c>
      <c r="J518" s="1109" t="n">
        <f aca="false">'Смета Внутр'!I518</f>
        <v>1000</v>
      </c>
    </row>
    <row r="519" customFormat="false" ht="15" hidden="true" customHeight="true" outlineLevel="0" collapsed="false">
      <c r="B519" s="1104" t="str">
        <f aca="false">'Смета Внутр'!B519</f>
        <v>Перемычка дверная, 1-ый эт. Вариант 3</v>
      </c>
      <c r="C519" s="1104" t="str">
        <f aca="false">'Смета Внутр'!C519</f>
        <v>м.п.</v>
      </c>
      <c r="D519" s="1109" t="n">
        <f aca="false">'Смета Внутр'!D519</f>
        <v>0</v>
      </c>
      <c r="E519" s="1104" t="n">
        <f aca="false">'Смета Внутр'!E519</f>
        <v>1000</v>
      </c>
      <c r="F519" s="1104" t="n">
        <f aca="false">'Смета Внутр'!F519</f>
        <v>0</v>
      </c>
      <c r="G519" s="1104" t="n">
        <f aca="false">IF(E519&gt;F519,E519,F519)</f>
        <v>1000</v>
      </c>
      <c r="H519" s="1104" t="n">
        <f aca="false">'Смета Внутр'!G519</f>
        <v>0</v>
      </c>
      <c r="I519" s="1104" t="n">
        <f aca="false">'Смета Внутр'!H519</f>
        <v>0</v>
      </c>
      <c r="J519" s="1109" t="n">
        <f aca="false">'Смета Внутр'!I519</f>
        <v>0</v>
      </c>
    </row>
    <row r="520" customFormat="false" ht="15" hidden="true" customHeight="true" outlineLevel="0" collapsed="false">
      <c r="B520" s="1104" t="str">
        <f aca="false">'Смета Внутр'!B520</f>
        <v>Сосна влаж,200*40мм</v>
      </c>
      <c r="C520" s="1104" t="str">
        <f aca="false">'Смета Внутр'!C520</f>
        <v>м3</v>
      </c>
      <c r="D520" s="1109" t="n">
        <f aca="false">'Смета Внутр'!D520</f>
        <v>1.8512</v>
      </c>
      <c r="E520" s="1104" t="n">
        <f aca="false">'Смета Внутр'!E520</f>
        <v>6500</v>
      </c>
      <c r="F520" s="1104" t="n">
        <f aca="false">'Смета Внутр'!F520</f>
        <v>0</v>
      </c>
      <c r="G520" s="1104" t="n">
        <f aca="false">IF(E520&gt;F520,E520,F520)</f>
        <v>6500</v>
      </c>
      <c r="H520" s="1104" t="n">
        <f aca="false">'Смета Внутр'!G520</f>
        <v>12032.8</v>
      </c>
      <c r="I520" s="1104" t="n">
        <f aca="false">'Смета Внутр'!H520</f>
        <v>12032.8</v>
      </c>
      <c r="J520" s="1109" t="n">
        <f aca="false">'Смета Внутр'!I520</f>
        <v>12032.8</v>
      </c>
    </row>
    <row r="521" customFormat="false" ht="15" hidden="true" customHeight="true" outlineLevel="0" collapsed="false">
      <c r="B521" s="1104" t="str">
        <f aca="false">'Смета Внутр'!B521</f>
        <v>Сейсмопояс Арматура М10 4 нити</v>
      </c>
      <c r="C521" s="1104" t="str">
        <f aca="false">'Смета Внутр'!C521</f>
        <v>м.п.</v>
      </c>
      <c r="D521" s="1109" t="n">
        <f aca="false">'Смета Внутр'!D521</f>
        <v>281.6</v>
      </c>
      <c r="E521" s="1104" t="n">
        <f aca="false">'Смета Внутр'!E521</f>
        <v>21.0397</v>
      </c>
      <c r="F521" s="1104" t="n">
        <f aca="false">'Смета Внутр'!F521</f>
        <v>0</v>
      </c>
      <c r="G521" s="1104" t="n">
        <f aca="false">IF(E521&gt;F521,E521,F521)</f>
        <v>21.0397</v>
      </c>
      <c r="H521" s="1104" t="n">
        <f aca="false">'Смета Внутр'!G521</f>
        <v>5924.77952</v>
      </c>
      <c r="I521" s="1104" t="n">
        <f aca="false">'Смета Внутр'!H521</f>
        <v>5924.77952</v>
      </c>
      <c r="J521" s="1109" t="n">
        <f aca="false">'Смета Внутр'!I521</f>
        <v>5924.77952</v>
      </c>
    </row>
    <row r="522" customFormat="false" ht="15" hidden="true" customHeight="true" outlineLevel="0" collapsed="false">
      <c r="B522" s="1104" t="str">
        <f aca="false">'Смета Внутр'!B522</f>
        <v>Хомут для сейсмопояса Арматура М6, шаг 400мм</v>
      </c>
      <c r="C522" s="1104" t="str">
        <f aca="false">'Смета Внутр'!C522</f>
        <v>м.п.</v>
      </c>
      <c r="D522" s="1109" t="n">
        <f aca="false">'Смета Внутр'!D522</f>
        <v>144</v>
      </c>
      <c r="E522" s="1104" t="n">
        <f aca="false">'Смета Внутр'!E522</f>
        <v>0</v>
      </c>
      <c r="F522" s="1104" t="n">
        <f aca="false">'Смета Внутр'!F522</f>
        <v>0</v>
      </c>
      <c r="G522" s="1104" t="n">
        <f aca="false">IF(E522&gt;F522,E522,F522)</f>
        <v>0</v>
      </c>
      <c r="H522" s="1104" t="n">
        <f aca="false">'Смета Внутр'!G522</f>
        <v>0</v>
      </c>
      <c r="I522" s="1104" t="n">
        <f aca="false">'Смета Внутр'!H522</f>
        <v>0</v>
      </c>
      <c r="J522" s="1109" t="n">
        <f aca="false">'Смета Внутр'!I522</f>
        <v>0</v>
      </c>
    </row>
    <row r="523" customFormat="false" ht="15" hidden="true" customHeight="true" outlineLevel="0" collapsed="false">
      <c r="B523" s="1104" t="str">
        <f aca="false">'Смета Внутр'!B523</f>
        <v>Бетон, м300</v>
      </c>
      <c r="C523" s="1104" t="str">
        <f aca="false">'Смета Внутр'!C523</f>
        <v>м3</v>
      </c>
      <c r="D523" s="1109" t="n">
        <f aca="false">'Смета Внутр'!D523</f>
        <v>2.8833</v>
      </c>
      <c r="E523" s="1104" t="n">
        <f aca="false">'Смета Внутр'!E523</f>
        <v>3000</v>
      </c>
      <c r="F523" s="1104" t="n">
        <f aca="false">'Смета Внутр'!F523</f>
        <v>0</v>
      </c>
      <c r="G523" s="1104" t="n">
        <f aca="false">IF(E523&gt;F523,E523,F523)</f>
        <v>3000</v>
      </c>
      <c r="H523" s="1104" t="n">
        <f aca="false">'Смета Внутр'!G523</f>
        <v>8649.9</v>
      </c>
      <c r="I523" s="1104" t="n">
        <f aca="false">'Смета Внутр'!H523</f>
        <v>8649.9</v>
      </c>
      <c r="J523" s="1109" t="n">
        <f aca="false">'Смета Внутр'!I523</f>
        <v>8649.9</v>
      </c>
    </row>
    <row r="524" customFormat="false" ht="15" hidden="true" customHeight="true" outlineLevel="0" collapsed="false">
      <c r="B524" s="1104" t="str">
        <f aca="false">'Смета Внутр'!B524</f>
        <v>Нет</v>
      </c>
      <c r="C524" s="1104" t="str">
        <f aca="false">'Смета Внутр'!C524</f>
        <v>м3</v>
      </c>
      <c r="D524" s="1109" t="n">
        <f aca="false">'Смета Внутр'!D524</f>
        <v>0</v>
      </c>
      <c r="E524" s="1104" t="n">
        <f aca="false">'Смета Внутр'!E524</f>
        <v>0</v>
      </c>
      <c r="F524" s="1104" t="n">
        <f aca="false">'Смета Внутр'!F524</f>
        <v>0</v>
      </c>
      <c r="G524" s="1104" t="n">
        <f aca="false">IF(E524&gt;F524,E524,F524)</f>
        <v>0</v>
      </c>
      <c r="H524" s="1104" t="n">
        <f aca="false">'Смета Внутр'!G524</f>
        <v>0</v>
      </c>
      <c r="I524" s="1104" t="n">
        <f aca="false">'Смета Внутр'!H524</f>
        <v>0</v>
      </c>
      <c r="J524" s="1109" t="n">
        <f aca="false">'Смета Внутр'!I524</f>
        <v>0</v>
      </c>
    </row>
    <row r="525" customFormat="false" ht="15" hidden="true" customHeight="true" outlineLevel="0" collapsed="false">
      <c r="B525" s="1104" t="str">
        <f aca="false">'Смета Внутр'!B525</f>
        <v>Грибок для крепления утеплителя</v>
      </c>
      <c r="C525" s="1104" t="str">
        <f aca="false">'Смета Внутр'!C525</f>
        <v>шт</v>
      </c>
      <c r="D525" s="1109" t="n">
        <f aca="false">'Смета Внутр'!D525</f>
        <v>0</v>
      </c>
      <c r="E525" s="1104" t="n">
        <f aca="false">'Смета Внутр'!E525</f>
        <v>15</v>
      </c>
      <c r="F525" s="1104" t="n">
        <f aca="false">'Смета Внутр'!F525</f>
        <v>0</v>
      </c>
      <c r="G525" s="1104" t="n">
        <f aca="false">IF(E525&gt;F525,E525,F525)</f>
        <v>15</v>
      </c>
      <c r="H525" s="1104" t="n">
        <f aca="false">'Смета Внутр'!G525</f>
        <v>0</v>
      </c>
      <c r="I525" s="1104" t="n">
        <f aca="false">'Смета Внутр'!H525</f>
        <v>0</v>
      </c>
      <c r="J525" s="1109" t="n">
        <f aca="false">'Смета Внутр'!I525</f>
        <v>0</v>
      </c>
    </row>
    <row r="526" customFormat="false" ht="15" hidden="true" customHeight="true" outlineLevel="0" collapsed="false">
      <c r="B526" s="1104" t="str">
        <f aca="false">'Смета Внутр'!B526</f>
        <v>нет ветроизоляции</v>
      </c>
      <c r="C526" s="1104" t="str">
        <f aca="false">'Смета Внутр'!C526</f>
        <v>м2</v>
      </c>
      <c r="D526" s="1109" t="n">
        <f aca="false">'Смета Внутр'!D526</f>
        <v>0</v>
      </c>
      <c r="E526" s="1104" t="n">
        <f aca="false">'Смета Внутр'!E526</f>
        <v>0</v>
      </c>
      <c r="F526" s="1104" t="n">
        <f aca="false">'Смета Внутр'!F526</f>
        <v>0</v>
      </c>
      <c r="G526" s="1104" t="n">
        <f aca="false">IF(E526&gt;F526,E526,F526)</f>
        <v>0</v>
      </c>
      <c r="H526" s="1104" t="n">
        <f aca="false">'Смета Внутр'!G526</f>
        <v>0</v>
      </c>
      <c r="I526" s="1104" t="n">
        <f aca="false">'Смета Внутр'!H526</f>
        <v>0</v>
      </c>
      <c r="J526" s="1109" t="n">
        <f aca="false">'Смета Внутр'!I526</f>
        <v>0</v>
      </c>
    </row>
    <row r="527" customFormat="false" ht="15" hidden="true" customHeight="true" outlineLevel="0" collapsed="false">
      <c r="B527" s="1104" t="str">
        <f aca="false">'Смета Внутр'!B527</f>
        <v>Кладочная сетка, 100*100/150*150/200*200мм</v>
      </c>
      <c r="C527" s="1104" t="str">
        <f aca="false">'Смета Внутр'!C527</f>
        <v>м2</v>
      </c>
      <c r="D527" s="1109" t="n">
        <f aca="false">'Смета Внутр'!D527</f>
        <v>175.362</v>
      </c>
      <c r="E527" s="1104" t="n">
        <f aca="false">'Смета Внутр'!E527</f>
        <v>70</v>
      </c>
      <c r="F527" s="1104" t="n">
        <f aca="false">'Смета Внутр'!F527</f>
        <v>0</v>
      </c>
      <c r="G527" s="1104" t="n">
        <f aca="false">IF(E527&gt;F527,E527,F527)</f>
        <v>70</v>
      </c>
      <c r="H527" s="1104" t="n">
        <f aca="false">'Смета Внутр'!G527</f>
        <v>12275.34</v>
      </c>
      <c r="I527" s="1104" t="n">
        <f aca="false">'Смета Внутр'!H527</f>
        <v>12275.34</v>
      </c>
      <c r="J527" s="1109" t="n">
        <f aca="false">'Смета Внутр'!I527</f>
        <v>12275.34</v>
      </c>
    </row>
    <row r="528" customFormat="false" ht="15" hidden="true" customHeight="true" outlineLevel="0" collapsed="false">
      <c r="B528" s="1104" t="str">
        <f aca="false">'Смета Внутр'!B528</f>
        <v>Песок, машина 13м3</v>
      </c>
      <c r="C528" s="1104" t="str">
        <f aca="false">'Смета Внутр'!C528</f>
        <v>шт</v>
      </c>
      <c r="D528" s="1109" t="n">
        <f aca="false">'Смета Внутр'!D528</f>
        <v>1.57119347</v>
      </c>
      <c r="E528" s="1104" t="n">
        <f aca="false">'Смета Внутр'!E528</f>
        <v>12000</v>
      </c>
      <c r="F528" s="1104" t="n">
        <f aca="false">'Смета Внутр'!F528</f>
        <v>0</v>
      </c>
      <c r="G528" s="1104" t="n">
        <f aca="false">IF(E528&gt;F528,E528,F528)</f>
        <v>12000</v>
      </c>
      <c r="H528" s="1104" t="n">
        <f aca="false">'Смета Внутр'!G528</f>
        <v>18854.32164</v>
      </c>
      <c r="I528" s="1104" t="n">
        <f aca="false">'Смета Внутр'!H528</f>
        <v>18854.32164</v>
      </c>
      <c r="J528" s="1109" t="n">
        <f aca="false">'Смета Внутр'!I528</f>
        <v>18854.32164</v>
      </c>
    </row>
    <row r="529" customFormat="false" ht="15" hidden="true" customHeight="true" outlineLevel="0" collapsed="false">
      <c r="B529" s="1104" t="str">
        <f aca="false">'Смета Внутр'!B529</f>
        <v>Цемент, мешок, 50кг</v>
      </c>
      <c r="C529" s="1104" t="str">
        <f aca="false">'Смета Внутр'!C529</f>
        <v>меш</v>
      </c>
      <c r="D529" s="1109" t="n">
        <f aca="false">'Смета Внутр'!D529</f>
        <v>48.48254136</v>
      </c>
      <c r="E529" s="1104" t="n">
        <f aca="false">'Смета Внутр'!E529</f>
        <v>250</v>
      </c>
      <c r="F529" s="1104" t="n">
        <f aca="false">'Смета Внутр'!F529</f>
        <v>0</v>
      </c>
      <c r="G529" s="1104" t="n">
        <f aca="false">IF(E529&gt;F529,E529,F529)</f>
        <v>250</v>
      </c>
      <c r="H529" s="1104" t="n">
        <f aca="false">'Смета Внутр'!G529</f>
        <v>12120.63534</v>
      </c>
      <c r="I529" s="1104" t="n">
        <f aca="false">'Смета Внутр'!H529</f>
        <v>12120.63534</v>
      </c>
      <c r="J529" s="1109" t="n">
        <f aca="false">'Смета Внутр'!I529</f>
        <v>12120.63534</v>
      </c>
    </row>
    <row r="530" customFormat="false" ht="15" hidden="true" customHeight="true" outlineLevel="0" collapsed="false">
      <c r="B530" s="1108" t="str">
        <f aca="false">'Смета Внутр'!B530</f>
        <v>Итого материалы, рублей</v>
      </c>
      <c r="C530" s="1108"/>
      <c r="D530" s="1108"/>
      <c r="E530" s="1108"/>
      <c r="F530" s="1108"/>
      <c r="G530" s="1108"/>
      <c r="H530" s="1104" t="n">
        <f aca="false">'Смета Внутр'!G530</f>
        <v>758801.9669108</v>
      </c>
      <c r="I530" s="1104" t="n">
        <f aca="false">'Смета Внутр'!H530</f>
        <v>758801.9669108</v>
      </c>
      <c r="J530" s="1109" t="n">
        <f aca="false">'Смета Внутр'!I530</f>
        <v>758801.9669108</v>
      </c>
    </row>
    <row r="531" customFormat="false" ht="15" hidden="true" customHeight="true" outlineLevel="0" collapsed="false">
      <c r="B531" s="118" t="str">
        <f aca="false">'Смета Внутр'!B531</f>
        <v>Работы</v>
      </c>
      <c r="H531" s="118" t="n">
        <f aca="false">'Смета Внутр'!G531</f>
        <v>0</v>
      </c>
      <c r="I531" s="118" t="n">
        <f aca="false">'Смета Внутр'!H531</f>
        <v>1</v>
      </c>
      <c r="J531" s="1102" t="n">
        <f aca="false">'Смета Внутр'!I531</f>
        <v>1</v>
      </c>
    </row>
    <row r="532" customFormat="false" ht="15" hidden="true" customHeight="true" outlineLevel="0" collapsed="false">
      <c r="B532" s="1104" t="str">
        <f aca="false">'Смета Внутр'!B532</f>
        <v>кладка кирпича</v>
      </c>
      <c r="C532" s="1104" t="str">
        <f aca="false">'Смета Внутр'!C532</f>
        <v>м3</v>
      </c>
      <c r="D532" s="1109" t="n">
        <f aca="false">'Смета Внутр'!D532</f>
        <v>81.62044</v>
      </c>
      <c r="E532" s="1104" t="n">
        <f aca="false">'Смета Внутр'!E532</f>
        <v>3500</v>
      </c>
      <c r="F532" s="1104" t="n">
        <f aca="false">'Смета Внутр'!F532</f>
        <v>0</v>
      </c>
      <c r="G532" s="1104" t="n">
        <f aca="false">IF(E532&gt;F532,E532,F532)</f>
        <v>3500</v>
      </c>
      <c r="H532" s="1104" t="n">
        <f aca="false">'Смета Внутр'!G532</f>
        <v>285671.54</v>
      </c>
      <c r="I532" s="1104" t="n">
        <f aca="false">'Смета Внутр'!H532</f>
        <v>285671.54</v>
      </c>
      <c r="J532" s="1109" t="n">
        <f aca="false">'Смета Внутр'!I532</f>
        <v>285671.54</v>
      </c>
    </row>
    <row r="533" customFormat="false" ht="15" hidden="true" customHeight="true" outlineLevel="0" collapsed="false">
      <c r="B533" s="1104" t="str">
        <f aca="false">'Смета Внутр'!B533</f>
        <v>кладка перегородок из кирпича</v>
      </c>
      <c r="C533" s="1104" t="str">
        <f aca="false">'Смета Внутр'!C533</f>
        <v>м2</v>
      </c>
      <c r="D533" s="1109" t="n">
        <f aca="false">'Смета Внутр'!D533</f>
        <v>21.84</v>
      </c>
      <c r="E533" s="1104" t="n">
        <f aca="false">'Смета Внутр'!E533</f>
        <v>550</v>
      </c>
      <c r="F533" s="1104" t="n">
        <f aca="false">'Смета Внутр'!F533</f>
        <v>0</v>
      </c>
      <c r="G533" s="1104" t="n">
        <f aca="false">IF(E533&gt;F533,E533,F533)</f>
        <v>550</v>
      </c>
      <c r="H533" s="1104" t="n">
        <f aca="false">'Смета Внутр'!G533</f>
        <v>12012</v>
      </c>
      <c r="I533" s="1104" t="n">
        <f aca="false">'Смета Внутр'!H533</f>
        <v>12012</v>
      </c>
      <c r="J533" s="1109" t="n">
        <f aca="false">'Смета Внутр'!I533</f>
        <v>12012</v>
      </c>
    </row>
    <row r="534" customFormat="false" ht="15" hidden="true" customHeight="true" outlineLevel="0" collapsed="false">
      <c r="B534" s="1104" t="str">
        <f aca="false">'Смета Внутр'!B534</f>
        <v>Армирование сейсмопояса</v>
      </c>
      <c r="C534" s="1104" t="str">
        <f aca="false">'Смета Внутр'!C534</f>
        <v>м2</v>
      </c>
      <c r="D534" s="1109" t="n">
        <f aca="false">'Смета Внутр'!D534</f>
        <v>87.681</v>
      </c>
      <c r="E534" s="1104" t="n">
        <f aca="false">'Смета Внутр'!E534</f>
        <v>500</v>
      </c>
      <c r="F534" s="1104" t="n">
        <f aca="false">'Смета Внутр'!F534</f>
        <v>0</v>
      </c>
      <c r="G534" s="1104" t="n">
        <f aca="false">IF(E534&gt;F534,E534,F534)</f>
        <v>500</v>
      </c>
      <c r="H534" s="1104" t="n">
        <f aca="false">'Смета Внутр'!G534</f>
        <v>43840.5</v>
      </c>
      <c r="I534" s="1104" t="n">
        <f aca="false">'Смета Внутр'!H534</f>
        <v>43840.5</v>
      </c>
      <c r="J534" s="1109" t="n">
        <f aca="false">'Смета Внутр'!I534</f>
        <v>43840.5</v>
      </c>
    </row>
    <row r="535" customFormat="false" ht="15" hidden="true" customHeight="true" outlineLevel="0" collapsed="false">
      <c r="B535" s="1104" t="str">
        <f aca="false">'Смета Внутр'!B535</f>
        <v>Заливка бетоном сейсмопояса</v>
      </c>
      <c r="C535" s="1104" t="str">
        <f aca="false">'Смета Внутр'!C535</f>
        <v>м3</v>
      </c>
      <c r="D535" s="1109" t="n">
        <f aca="false">'Смета Внутр'!D535</f>
        <v>2.8833</v>
      </c>
      <c r="E535" s="1104" t="n">
        <f aca="false">'Смета Внутр'!E535</f>
        <v>700</v>
      </c>
      <c r="F535" s="1104" t="n">
        <f aca="false">'Смета Внутр'!F535</f>
        <v>0</v>
      </c>
      <c r="G535" s="1104" t="n">
        <f aca="false">IF(E535&gt;F535,E535,F535)</f>
        <v>700</v>
      </c>
      <c r="H535" s="1104" t="n">
        <f aca="false">'Смета Внутр'!G535</f>
        <v>2018.31</v>
      </c>
      <c r="I535" s="1104" t="n">
        <f aca="false">'Смета Внутр'!H535</f>
        <v>2018.31</v>
      </c>
      <c r="J535" s="1109" t="n">
        <f aca="false">'Смета Внутр'!I535</f>
        <v>2018.31</v>
      </c>
    </row>
    <row r="536" customFormat="false" ht="15" hidden="true" customHeight="true" outlineLevel="0" collapsed="false">
      <c r="B536" s="1104" t="str">
        <f aca="false">'Смета Внутр'!B536</f>
        <v>утепление стен снаружи дома</v>
      </c>
      <c r="C536" s="1104" t="str">
        <f aca="false">'Смета Внутр'!C536</f>
        <v>м2</v>
      </c>
      <c r="D536" s="1109" t="n">
        <f aca="false">'Смета Внутр'!D536</f>
        <v>0</v>
      </c>
      <c r="E536" s="1104" t="n">
        <f aca="false">'Смета Внутр'!E536</f>
        <v>350</v>
      </c>
      <c r="F536" s="1104" t="n">
        <f aca="false">'Смета Внутр'!F536</f>
        <v>0</v>
      </c>
      <c r="G536" s="1104" t="n">
        <f aca="false">IF(E536&gt;F536,E536,F536)</f>
        <v>350</v>
      </c>
      <c r="H536" s="1104" t="n">
        <f aca="false">'Смета Внутр'!G536</f>
        <v>0</v>
      </c>
      <c r="I536" s="1104" t="n">
        <f aca="false">'Смета Внутр'!H536</f>
        <v>0</v>
      </c>
      <c r="J536" s="1109" t="n">
        <f aca="false">'Смета Внутр'!I536</f>
        <v>0</v>
      </c>
    </row>
    <row r="537" customFormat="false" ht="15" hidden="true" customHeight="true" outlineLevel="0" collapsed="false">
      <c r="B537" s="1104" t="str">
        <f aca="false">'Смета Внутр'!B537</f>
        <v>монтаж ветроизоляции стен</v>
      </c>
      <c r="C537" s="1104" t="str">
        <f aca="false">'Смета Внутр'!C537</f>
        <v>м2</v>
      </c>
      <c r="D537" s="1109" t="n">
        <f aca="false">'Смета Внутр'!D537</f>
        <v>0</v>
      </c>
      <c r="E537" s="1104" t="n">
        <f aca="false">'Смета Внутр'!E537</f>
        <v>100</v>
      </c>
      <c r="F537" s="1104" t="n">
        <f aca="false">'Смета Внутр'!F537</f>
        <v>0</v>
      </c>
      <c r="G537" s="1104" t="n">
        <f aca="false">IF(E537&gt;F537,E537,F537)</f>
        <v>100</v>
      </c>
      <c r="H537" s="1104" t="n">
        <f aca="false">'Смета Внутр'!G537</f>
        <v>0</v>
      </c>
      <c r="I537" s="1104" t="n">
        <f aca="false">'Смета Внутр'!H537</f>
        <v>0</v>
      </c>
      <c r="J537" s="1109" t="n">
        <f aca="false">'Смета Внутр'!I537</f>
        <v>0</v>
      </c>
    </row>
    <row r="538" customFormat="false" ht="15" hidden="true" customHeight="true" outlineLevel="0" collapsed="false">
      <c r="B538" s="1104" t="str">
        <f aca="false">'Смета Внутр'!B538</f>
        <v>изготовление и монтаж перемычек для окон и дверей</v>
      </c>
      <c r="C538" s="1104" t="str">
        <f aca="false">'Смета Внутр'!C538</f>
        <v>м.п.</v>
      </c>
      <c r="D538" s="1109" t="n">
        <f aca="false">'Смета Внутр'!D538</f>
        <v>5</v>
      </c>
      <c r="E538" s="1104" t="n">
        <f aca="false">'Смета Внутр'!E538</f>
        <v>500</v>
      </c>
      <c r="F538" s="1104" t="n">
        <f aca="false">'Смета Внутр'!F538</f>
        <v>0</v>
      </c>
      <c r="G538" s="1104" t="n">
        <f aca="false">IF(E538&gt;F538,E538,F538)</f>
        <v>500</v>
      </c>
      <c r="H538" s="1104" t="n">
        <f aca="false">'Смета Внутр'!G538</f>
        <v>2500</v>
      </c>
      <c r="I538" s="1104" t="n">
        <f aca="false">'Смета Внутр'!H538</f>
        <v>2500</v>
      </c>
      <c r="J538" s="1109" t="n">
        <f aca="false">'Смета Внутр'!I538</f>
        <v>2500</v>
      </c>
    </row>
    <row r="539" customFormat="false" ht="15" hidden="true" customHeight="true" outlineLevel="0" collapsed="false">
      <c r="B539" s="1108" t="str">
        <f aca="false">'Смета Внутр'!B539</f>
        <v>Итого работы, рублей</v>
      </c>
      <c r="C539" s="1108"/>
      <c r="D539" s="1108"/>
      <c r="E539" s="1108"/>
      <c r="F539" s="1108"/>
      <c r="G539" s="1108"/>
      <c r="H539" s="1104" t="n">
        <f aca="false">'Смета Внутр'!G539</f>
        <v>346042.35</v>
      </c>
      <c r="I539" s="1104" t="n">
        <f aca="false">'Смета Внутр'!H539</f>
        <v>346042.35</v>
      </c>
      <c r="J539" s="1109" t="n">
        <f aca="false">'Смета Внутр'!I539</f>
        <v>346042.35</v>
      </c>
    </row>
    <row r="540" customFormat="false" ht="15" hidden="true" customHeight="true" outlineLevel="0" collapsed="false">
      <c r="B540" s="1111" t="str">
        <f aca="false">'Смета Внутр'!B540</f>
        <v>Брусовой дом</v>
      </c>
      <c r="C540" s="1111"/>
      <c r="D540" s="1111"/>
      <c r="H540" s="118" t="n">
        <f aca="false">'Смета Внутр'!G540</f>
        <v>0</v>
      </c>
      <c r="I540" s="118" t="n">
        <f aca="false">'Смета Внутр'!H540</f>
        <v>0</v>
      </c>
      <c r="J540" s="1102" t="n">
        <f aca="false">'Смета Внутр'!I540</f>
        <v>0</v>
      </c>
    </row>
    <row r="541" customFormat="false" ht="15" hidden="true" customHeight="true" outlineLevel="0" collapsed="false">
      <c r="B541" s="118" t="str">
        <f aca="false">'Смета Внутр'!B541</f>
        <v>Материалы</v>
      </c>
      <c r="H541" s="118" t="n">
        <f aca="false">'Смета Внутр'!G541</f>
        <v>0</v>
      </c>
      <c r="I541" s="118" t="n">
        <f aca="false">'Смета Внутр'!H541</f>
        <v>0</v>
      </c>
      <c r="J541" s="1102" t="n">
        <f aca="false">'Смета Внутр'!I541</f>
        <v>0</v>
      </c>
    </row>
    <row r="542" customFormat="false" ht="15" hidden="true" customHeight="true" outlineLevel="0" collapsed="false">
      <c r="B542" s="1104" t="str">
        <f aca="false">'Смета Внутр'!B542</f>
        <v>Листв. влаж, 200*200мм</v>
      </c>
      <c r="C542" s="1104" t="str">
        <f aca="false">'Смета Внутр'!C542</f>
        <v>м3</v>
      </c>
      <c r="D542" s="1109" t="n">
        <f aca="false">'Смета Внутр'!D542</f>
        <v>4.012</v>
      </c>
      <c r="E542" s="1104" t="n">
        <f aca="false">'Смета Внутр'!E542</f>
        <v>9000</v>
      </c>
      <c r="F542" s="1104" t="n">
        <f aca="false">'Смета Внутр'!F542</f>
        <v>0</v>
      </c>
      <c r="G542" s="1104" t="n">
        <f aca="false">IF(E542&gt;F542,E542,F542)</f>
        <v>9000</v>
      </c>
      <c r="H542" s="1104" t="n">
        <f aca="false">'Смета Внутр'!G542</f>
        <v>36108</v>
      </c>
      <c r="I542" s="1104" t="n">
        <f aca="false">'Смета Внутр'!H542</f>
        <v>0</v>
      </c>
      <c r="J542" s="1109" t="n">
        <f aca="false">'Смета Внутр'!I542</f>
        <v>0</v>
      </c>
    </row>
    <row r="543" customFormat="false" ht="15" hidden="true" customHeight="true" outlineLevel="0" collapsed="false">
      <c r="B543" s="1104" t="str">
        <f aca="false">'Смета Внутр'!B543</f>
        <v>Сосна влаж, 200*150мм</v>
      </c>
      <c r="C543" s="1104" t="str">
        <f aca="false">'Смета Внутр'!C543</f>
        <v>м3</v>
      </c>
      <c r="D543" s="1109" t="n">
        <f aca="false">'Смета Внутр'!D543</f>
        <v>-3.14575</v>
      </c>
      <c r="E543" s="1104" t="n">
        <f aca="false">'Смета Внутр'!E543</f>
        <v>6500</v>
      </c>
      <c r="F543" s="1104" t="n">
        <f aca="false">'Смета Внутр'!F543</f>
        <v>0</v>
      </c>
      <c r="G543" s="1104" t="n">
        <f aca="false">IF(E543&gt;F543,E543,F543)</f>
        <v>6500</v>
      </c>
      <c r="H543" s="1104" t="n">
        <f aca="false">'Смета Внутр'!G543</f>
        <v>-20447.375</v>
      </c>
      <c r="I543" s="1104" t="n">
        <f aca="false">'Смета Внутр'!H543</f>
        <v>0</v>
      </c>
      <c r="J543" s="1109" t="n">
        <f aca="false">'Смета Внутр'!I543</f>
        <v>0</v>
      </c>
    </row>
    <row r="544" customFormat="false" ht="15" hidden="true" customHeight="true" outlineLevel="0" collapsed="false">
      <c r="B544" s="1104" t="str">
        <f aca="false">'Смета Внутр'!B544</f>
        <v>Сосна влаж, 200*150мм</v>
      </c>
      <c r="C544" s="1104" t="str">
        <f aca="false">'Смета Внутр'!C544</f>
        <v>м3</v>
      </c>
      <c r="D544" s="1109" t="n">
        <f aca="false">'Смета Внутр'!D544</f>
        <v>0</v>
      </c>
      <c r="E544" s="1104" t="n">
        <f aca="false">'Смета Внутр'!E544</f>
        <v>6500</v>
      </c>
      <c r="F544" s="1104" t="n">
        <f aca="false">'Смета Внутр'!F544</f>
        <v>0</v>
      </c>
      <c r="G544" s="1104" t="n">
        <f aca="false">IF(E544&gt;F544,E544,F544)</f>
        <v>6500</v>
      </c>
      <c r="H544" s="1104" t="n">
        <f aca="false">'Смета Внутр'!G544</f>
        <v>0</v>
      </c>
      <c r="I544" s="1104" t="n">
        <f aca="false">'Смета Внутр'!H544</f>
        <v>0</v>
      </c>
      <c r="J544" s="1109" t="n">
        <f aca="false">'Смета Внутр'!I544</f>
        <v>0</v>
      </c>
    </row>
    <row r="545" customFormat="false" ht="15" hidden="true" customHeight="true" outlineLevel="0" collapsed="false">
      <c r="B545" s="1104" t="str">
        <f aca="false">'Смета Внутр'!B545</f>
        <v>Сосна влаж, 200*100мм</v>
      </c>
      <c r="C545" s="1104" t="str">
        <f aca="false">'Смета Внутр'!C545</f>
        <v>м2</v>
      </c>
      <c r="D545" s="1109" t="n">
        <f aca="false">'Смета Внутр'!D545</f>
        <v>0</v>
      </c>
      <c r="E545" s="1104" t="n">
        <f aca="false">'Смета Внутр'!E545</f>
        <v>6500</v>
      </c>
      <c r="F545" s="1104" t="n">
        <f aca="false">'Смета Внутр'!F545</f>
        <v>0</v>
      </c>
      <c r="G545" s="1104" t="n">
        <f aca="false">IF(E545&gt;F545,E545,F545)</f>
        <v>6500</v>
      </c>
      <c r="H545" s="1104" t="n">
        <f aca="false">'Смета Внутр'!G545</f>
        <v>0</v>
      </c>
      <c r="I545" s="1104" t="n">
        <f aca="false">'Смета Внутр'!H545</f>
        <v>0</v>
      </c>
      <c r="J545" s="1109" t="n">
        <f aca="false">'Смета Внутр'!I545</f>
        <v>0</v>
      </c>
    </row>
    <row r="546" customFormat="false" ht="15" hidden="true" customHeight="true" outlineLevel="0" collapsed="false">
      <c r="B546" s="1104" t="str">
        <f aca="false">'Смета Внутр'!B546</f>
        <v>Шкант</v>
      </c>
      <c r="C546" s="1104" t="str">
        <f aca="false">'Смета Внутр'!C546</f>
        <v>шт</v>
      </c>
      <c r="D546" s="1109" t="n">
        <f aca="false">'Смета Внутр'!D546</f>
        <v>20</v>
      </c>
      <c r="E546" s="1104" t="n">
        <f aca="false">'Смета Внутр'!E546</f>
        <v>6</v>
      </c>
      <c r="F546" s="1104" t="n">
        <f aca="false">'Смета Внутр'!F546</f>
        <v>0</v>
      </c>
      <c r="G546" s="1104" t="n">
        <f aca="false">IF(E546&gt;F546,E546,F546)</f>
        <v>6</v>
      </c>
      <c r="H546" s="1104" t="n">
        <f aca="false">'Смета Внутр'!G546</f>
        <v>120</v>
      </c>
      <c r="I546" s="1104" t="n">
        <f aca="false">'Смета Внутр'!H546</f>
        <v>0</v>
      </c>
      <c r="J546" s="1109" t="n">
        <f aca="false">'Смета Внутр'!I546</f>
        <v>0</v>
      </c>
    </row>
    <row r="547" customFormat="false" ht="15" hidden="true" customHeight="true" outlineLevel="0" collapsed="false">
      <c r="B547" s="1104" t="str">
        <f aca="false">'Смета Внутр'!B547</f>
        <v>Лен-джут 200х5х20000 мм</v>
      </c>
      <c r="C547" s="1104" t="str">
        <f aca="false">'Смета Внутр'!C547</f>
        <v>шт</v>
      </c>
      <c r="D547" s="1109" t="n">
        <f aca="false">'Смета Внутр'!D547</f>
        <v>0</v>
      </c>
      <c r="E547" s="1104" t="n">
        <f aca="false">'Смета Внутр'!E547</f>
        <v>175</v>
      </c>
      <c r="F547" s="1104" t="n">
        <f aca="false">'Смета Внутр'!F547</f>
        <v>0</v>
      </c>
      <c r="G547" s="1104" t="n">
        <f aca="false">IF(E547&gt;F547,E547,F547)</f>
        <v>175</v>
      </c>
      <c r="H547" s="1104" t="n">
        <f aca="false">'Смета Внутр'!G547</f>
        <v>0</v>
      </c>
      <c r="I547" s="1104" t="n">
        <f aca="false">'Смета Внутр'!H547</f>
        <v>0</v>
      </c>
      <c r="J547" s="1109" t="n">
        <f aca="false">'Смета Внутр'!I547</f>
        <v>0</v>
      </c>
    </row>
    <row r="548" customFormat="false" ht="15" hidden="true" customHeight="true" outlineLevel="0" collapsed="false">
      <c r="B548" s="1104" t="str">
        <f aca="false">'Смета Внутр'!B548</f>
        <v>Гвозди строительные 3,5 x 90            </v>
      </c>
      <c r="C548" s="1104" t="str">
        <f aca="false">'Смета Внутр'!C548</f>
        <v>шт</v>
      </c>
      <c r="D548" s="1109" t="n">
        <f aca="false">'Смета Внутр'!D548</f>
        <v>4.4</v>
      </c>
      <c r="E548" s="1104" t="n">
        <f aca="false">'Смета Внутр'!E548</f>
        <v>70</v>
      </c>
      <c r="F548" s="1104" t="n">
        <f aca="false">'Смета Внутр'!F548</f>
        <v>0</v>
      </c>
      <c r="G548" s="1104" t="n">
        <f aca="false">IF(E548&gt;F548,E548,F548)</f>
        <v>70</v>
      </c>
      <c r="H548" s="1104" t="n">
        <f aca="false">'Смета Внутр'!G548</f>
        <v>308</v>
      </c>
      <c r="I548" s="1104" t="n">
        <f aca="false">'Смета Внутр'!H548</f>
        <v>0</v>
      </c>
      <c r="J548" s="1109" t="n">
        <f aca="false">'Смета Внутр'!I548</f>
        <v>0</v>
      </c>
    </row>
    <row r="549" customFormat="false" ht="15" hidden="true" customHeight="true" outlineLevel="0" collapsed="false">
      <c r="B549" s="1104" t="str">
        <f aca="false">'Смета Внутр'!B549</f>
        <v>нет</v>
      </c>
      <c r="C549" s="1104" t="str">
        <f aca="false">'Смета Внутр'!C549</f>
        <v>м3</v>
      </c>
      <c r="D549" s="1109" t="n">
        <f aca="false">'Смета Внутр'!D549</f>
        <v>0</v>
      </c>
      <c r="E549" s="1104" t="n">
        <f aca="false">'Смета Внутр'!E549</f>
        <v>0</v>
      </c>
      <c r="F549" s="1104" t="n">
        <f aca="false">'Смета Внутр'!F549</f>
        <v>0</v>
      </c>
      <c r="G549" s="1104" t="n">
        <f aca="false">IF(E549&gt;F549,E549,F549)</f>
        <v>0</v>
      </c>
      <c r="H549" s="1104" t="n">
        <f aca="false">'Смета Внутр'!G549</f>
        <v>0</v>
      </c>
      <c r="I549" s="1104" t="n">
        <f aca="false">'Смета Внутр'!H549</f>
        <v>0</v>
      </c>
      <c r="J549" s="1109" t="n">
        <f aca="false">'Смета Внутр'!I549</f>
        <v>0</v>
      </c>
    </row>
    <row r="550" customFormat="false" ht="15" hidden="true" customHeight="true" outlineLevel="0" collapsed="false">
      <c r="B550" s="1104" t="str">
        <f aca="false">'Смета Внутр'!B550</f>
        <v>нет</v>
      </c>
      <c r="C550" s="1104" t="str">
        <f aca="false">'Смета Внутр'!C550</f>
        <v>м3</v>
      </c>
      <c r="D550" s="1109" t="n">
        <f aca="false">'Смета Внутр'!D550</f>
        <v>0</v>
      </c>
      <c r="E550" s="1104" t="n">
        <f aca="false">'Смета Внутр'!E550</f>
        <v>0</v>
      </c>
      <c r="F550" s="1104" t="n">
        <f aca="false">'Смета Внутр'!F550</f>
        <v>0</v>
      </c>
      <c r="G550" s="1104" t="n">
        <f aca="false">IF(E550&gt;F550,E550,F550)</f>
        <v>0</v>
      </c>
      <c r="H550" s="1104" t="n">
        <f aca="false">'Смета Внутр'!G550</f>
        <v>0</v>
      </c>
      <c r="I550" s="1104" t="n">
        <f aca="false">'Смета Внутр'!H550</f>
        <v>0</v>
      </c>
      <c r="J550" s="1109" t="n">
        <f aca="false">'Смета Внутр'!I550</f>
        <v>0</v>
      </c>
    </row>
    <row r="551" customFormat="false" ht="15" hidden="true" customHeight="true" outlineLevel="0" collapsed="false">
      <c r="B551" s="1104" t="str">
        <f aca="false">'Смета Внутр'!B551</f>
        <v>нет</v>
      </c>
      <c r="C551" s="1104" t="str">
        <f aca="false">'Смета Внутр'!C551</f>
        <v>м3</v>
      </c>
      <c r="D551" s="1109" t="n">
        <f aca="false">'Смета Внутр'!D551</f>
        <v>0</v>
      </c>
      <c r="E551" s="1104" t="n">
        <f aca="false">'Смета Внутр'!E551</f>
        <v>0</v>
      </c>
      <c r="F551" s="1104" t="n">
        <f aca="false">'Смета Внутр'!F551</f>
        <v>0</v>
      </c>
      <c r="G551" s="1104" t="n">
        <f aca="false">IF(E551&gt;F551,E551,F551)</f>
        <v>0</v>
      </c>
      <c r="H551" s="1104" t="n">
        <f aca="false">'Смета Внутр'!G551</f>
        <v>0</v>
      </c>
      <c r="I551" s="1104" t="n">
        <f aca="false">'Смета Внутр'!H551</f>
        <v>0</v>
      </c>
      <c r="J551" s="1109" t="n">
        <f aca="false">'Смета Внутр'!I551</f>
        <v>0</v>
      </c>
    </row>
    <row r="552" customFormat="false" ht="15" hidden="true" customHeight="true" outlineLevel="0" collapsed="false">
      <c r="B552" s="1104" t="str">
        <f aca="false">'Смета Внутр'!B552</f>
        <v>нет</v>
      </c>
      <c r="C552" s="1104" t="str">
        <f aca="false">'Смета Внутр'!C552</f>
        <v>м.п.</v>
      </c>
      <c r="D552" s="1109" t="n">
        <f aca="false">'Смета Внутр'!D552</f>
        <v>0</v>
      </c>
      <c r="E552" s="1104" t="n">
        <f aca="false">'Смета Внутр'!E552</f>
        <v>0</v>
      </c>
      <c r="F552" s="1104" t="n">
        <f aca="false">'Смета Внутр'!F552</f>
        <v>0</v>
      </c>
      <c r="G552" s="1104" t="n">
        <f aca="false">IF(E552&gt;F552,E552,F552)</f>
        <v>0</v>
      </c>
      <c r="H552" s="1104" t="n">
        <f aca="false">'Смета Внутр'!G552</f>
        <v>0</v>
      </c>
      <c r="I552" s="1104" t="n">
        <f aca="false">'Смета Внутр'!H552</f>
        <v>0</v>
      </c>
      <c r="J552" s="1109" t="n">
        <f aca="false">'Смета Внутр'!I552</f>
        <v>0</v>
      </c>
    </row>
    <row r="553" customFormat="false" ht="15" hidden="true" customHeight="true" outlineLevel="0" collapsed="false">
      <c r="B553" s="1104" t="str">
        <f aca="false">'Смета Внутр'!B553</f>
        <v>Бензин для пилы</v>
      </c>
      <c r="C553" s="1104" t="str">
        <f aca="false">'Смета Внутр'!C553</f>
        <v>л</v>
      </c>
      <c r="D553" s="1109" t="n">
        <f aca="false">'Смета Внутр'!D553</f>
        <v>0.1588125</v>
      </c>
      <c r="E553" s="1104" t="n">
        <f aca="false">'Смета Внутр'!E553</f>
        <v>40</v>
      </c>
      <c r="F553" s="1104" t="n">
        <f aca="false">'Смета Внутр'!F553</f>
        <v>0</v>
      </c>
      <c r="G553" s="1104" t="n">
        <f aca="false">IF(E553&gt;F553,E553,F553)</f>
        <v>40</v>
      </c>
      <c r="H553" s="1104" t="n">
        <f aca="false">'Смета Внутр'!G553</f>
        <v>6.3525</v>
      </c>
      <c r="I553" s="1104" t="n">
        <f aca="false">'Смета Внутр'!H553</f>
        <v>0</v>
      </c>
      <c r="J553" s="1109" t="n">
        <f aca="false">'Смета Внутр'!I553</f>
        <v>0</v>
      </c>
    </row>
    <row r="554" customFormat="false" ht="15" hidden="true" customHeight="true" outlineLevel="0" collapsed="false">
      <c r="B554" s="1104" t="str">
        <f aca="false">'Смета Внутр'!B554</f>
        <v>Масло для пилы</v>
      </c>
      <c r="C554" s="1104" t="str">
        <f aca="false">'Смета Внутр'!C554</f>
        <v>л</v>
      </c>
      <c r="D554" s="1109" t="n">
        <f aca="false">'Смета Внутр'!D554</f>
        <v>0.017469375</v>
      </c>
      <c r="E554" s="1104" t="n">
        <f aca="false">'Смета Внутр'!E554</f>
        <v>250</v>
      </c>
      <c r="F554" s="1104" t="n">
        <f aca="false">'Смета Внутр'!F554</f>
        <v>0</v>
      </c>
      <c r="G554" s="1104" t="n">
        <f aca="false">IF(E554&gt;F554,E554,F554)</f>
        <v>250</v>
      </c>
      <c r="H554" s="1104" t="n">
        <f aca="false">'Смета Внутр'!G554</f>
        <v>4.36734375</v>
      </c>
      <c r="I554" s="1104" t="n">
        <f aca="false">'Смета Внутр'!H554</f>
        <v>0</v>
      </c>
      <c r="J554" s="1109" t="n">
        <f aca="false">'Смета Внутр'!I554</f>
        <v>0</v>
      </c>
    </row>
    <row r="555" customFormat="false" ht="15" hidden="true" customHeight="true" outlineLevel="0" collapsed="false">
      <c r="B555" s="1104" t="str">
        <f aca="false">'Смета Внутр'!B555</f>
        <v>Цепь для пилы</v>
      </c>
      <c r="C555" s="1104" t="str">
        <f aca="false">'Смета Внутр'!C555</f>
        <v>шт</v>
      </c>
      <c r="D555" s="1109" t="n">
        <f aca="false">'Смета Внутр'!D555</f>
        <v>1.1</v>
      </c>
      <c r="E555" s="1104" t="n">
        <f aca="false">'Смета Внутр'!E555</f>
        <v>800</v>
      </c>
      <c r="F555" s="1104" t="n">
        <f aca="false">'Смета Внутр'!F555</f>
        <v>0</v>
      </c>
      <c r="G555" s="1104" t="n">
        <f aca="false">IF(E555&gt;F555,E555,F555)</f>
        <v>800</v>
      </c>
      <c r="H555" s="1104" t="n">
        <f aca="false">'Смета Внутр'!G555</f>
        <v>880</v>
      </c>
      <c r="I555" s="1104" t="n">
        <f aca="false">'Смета Внутр'!H555</f>
        <v>0</v>
      </c>
      <c r="J555" s="1109" t="n">
        <f aca="false">'Смета Внутр'!I555</f>
        <v>0</v>
      </c>
    </row>
    <row r="556" customFormat="false" ht="15" hidden="true" customHeight="true" outlineLevel="0" collapsed="false">
      <c r="B556" s="1104" t="str">
        <f aca="false">'Смета Внутр'!B556</f>
        <v>"Профилюкс" Антисептик ОБЗ-1</v>
      </c>
      <c r="C556" s="1104" t="str">
        <f aca="false">'Смета Внутр'!C556</f>
        <v>л</v>
      </c>
      <c r="D556" s="1109" t="n">
        <f aca="false">'Смета Внутр'!D556</f>
        <v>0</v>
      </c>
      <c r="E556" s="1104" t="n">
        <f aca="false">'Смета Внутр'!E556</f>
        <v>42</v>
      </c>
      <c r="F556" s="1104" t="n">
        <f aca="false">'Смета Внутр'!F556</f>
        <v>0</v>
      </c>
      <c r="G556" s="1104" t="n">
        <f aca="false">IF(E556&gt;F556,E556,F556)</f>
        <v>42</v>
      </c>
      <c r="H556" s="1104" t="n">
        <f aca="false">'Смета Внутр'!G556</f>
        <v>0</v>
      </c>
      <c r="I556" s="1104" t="n">
        <f aca="false">'Смета Внутр'!H556</f>
        <v>0</v>
      </c>
      <c r="J556" s="1109" t="n">
        <f aca="false">'Смета Внутр'!I556</f>
        <v>0</v>
      </c>
    </row>
    <row r="557" customFormat="false" ht="15" hidden="true" customHeight="true" outlineLevel="0" collapsed="false">
      <c r="B557" s="1104" t="str">
        <f aca="false">'Смета Внутр'!B557</f>
        <v>Нет пропитки</v>
      </c>
      <c r="C557" s="1104" t="str">
        <f aca="false">'Смета Внутр'!C557</f>
        <v>л</v>
      </c>
      <c r="D557" s="1109" t="n">
        <f aca="false">'Смета Внутр'!D557</f>
        <v>0</v>
      </c>
      <c r="E557" s="1104" t="n">
        <f aca="false">'Смета Внутр'!E557</f>
        <v>0</v>
      </c>
      <c r="F557" s="1104" t="n">
        <f aca="false">'Смета Внутр'!F557</f>
        <v>0</v>
      </c>
      <c r="G557" s="1104" t="n">
        <f aca="false">IF(E557&gt;F557,E557,F557)</f>
        <v>0</v>
      </c>
      <c r="H557" s="1104" t="n">
        <f aca="false">'Смета Внутр'!G557</f>
        <v>0</v>
      </c>
      <c r="I557" s="1104" t="n">
        <f aca="false">'Смета Внутр'!H557</f>
        <v>0</v>
      </c>
      <c r="J557" s="1109" t="n">
        <f aca="false">'Смета Внутр'!I557</f>
        <v>0</v>
      </c>
    </row>
    <row r="558" customFormat="false" ht="15" hidden="true" customHeight="true" outlineLevel="0" collapsed="false">
      <c r="B558" s="1104" t="str">
        <f aca="false">'Смета Внутр'!B558</f>
        <v>Нет пропитки</v>
      </c>
      <c r="C558" s="1104" t="str">
        <f aca="false">'Смета Внутр'!C558</f>
        <v>л</v>
      </c>
      <c r="D558" s="1109" t="n">
        <f aca="false">'Смета Внутр'!D558</f>
        <v>0</v>
      </c>
      <c r="E558" s="1104" t="n">
        <f aca="false">'Смета Внутр'!E558</f>
        <v>0</v>
      </c>
      <c r="F558" s="1104" t="n">
        <f aca="false">'Смета Внутр'!F558</f>
        <v>0</v>
      </c>
      <c r="G558" s="1104" t="n">
        <f aca="false">IF(E558&gt;F558,E558,F558)</f>
        <v>0</v>
      </c>
      <c r="H558" s="1104" t="n">
        <f aca="false">'Смета Внутр'!G558</f>
        <v>0</v>
      </c>
      <c r="I558" s="1104" t="n">
        <f aca="false">'Смета Внутр'!H558</f>
        <v>0</v>
      </c>
      <c r="J558" s="1109" t="n">
        <f aca="false">'Смета Внутр'!I558</f>
        <v>0</v>
      </c>
    </row>
    <row r="559" customFormat="false" ht="15" hidden="true" customHeight="true" outlineLevel="0" collapsed="false">
      <c r="B559" s="1104" t="str">
        <f aca="false">'Смета Внутр'!B559</f>
        <v>Нет наличника</v>
      </c>
      <c r="C559" s="1104" t="str">
        <f aca="false">'Смета Внутр'!C559</f>
        <v>м.п.</v>
      </c>
      <c r="D559" s="1109" t="n">
        <f aca="false">'Смета Внутр'!D559</f>
        <v>3.57</v>
      </c>
      <c r="E559" s="1104" t="n">
        <f aca="false">'Смета Внутр'!E559</f>
        <v>0</v>
      </c>
      <c r="F559" s="1104" t="n">
        <f aca="false">'Смета Внутр'!F559</f>
        <v>0</v>
      </c>
      <c r="G559" s="1104" t="n">
        <f aca="false">IF(E559&gt;F559,E559,F559)</f>
        <v>0</v>
      </c>
      <c r="H559" s="1104" t="n">
        <f aca="false">'Смета Внутр'!G559</f>
        <v>0</v>
      </c>
      <c r="I559" s="1104" t="n">
        <f aca="false">'Смета Внутр'!H559</f>
        <v>0</v>
      </c>
      <c r="J559" s="1109" t="n">
        <f aca="false">'Смета Внутр'!I559</f>
        <v>0</v>
      </c>
    </row>
    <row r="560" customFormat="false" ht="15" hidden="true" customHeight="true" outlineLevel="0" collapsed="false">
      <c r="B560" s="1104" t="str">
        <f aca="false">'Смета Внутр'!B560</f>
        <v>Нет наличника</v>
      </c>
      <c r="C560" s="1104" t="str">
        <f aca="false">'Смета Внутр'!C560</f>
        <v>м.п.</v>
      </c>
      <c r="D560" s="1109" t="n">
        <f aca="false">'Смета Внутр'!D560</f>
        <v>3.57</v>
      </c>
      <c r="E560" s="1104" t="n">
        <f aca="false">'Смета Внутр'!E560</f>
        <v>0</v>
      </c>
      <c r="F560" s="1104" t="n">
        <f aca="false">'Смета Внутр'!F560</f>
        <v>0</v>
      </c>
      <c r="G560" s="1104" t="n">
        <f aca="false">IF(E560&gt;F560,E560,F560)</f>
        <v>0</v>
      </c>
      <c r="H560" s="1104" t="n">
        <f aca="false">'Смета Внутр'!G560</f>
        <v>0</v>
      </c>
      <c r="I560" s="1104" t="n">
        <f aca="false">'Смета Внутр'!H560</f>
        <v>0</v>
      </c>
      <c r="J560" s="1109" t="n">
        <f aca="false">'Смета Внутр'!I560</f>
        <v>0</v>
      </c>
    </row>
    <row r="561" customFormat="false" ht="15" hidden="true" customHeight="true" outlineLevel="0" collapsed="false">
      <c r="B561" s="1104" t="str">
        <f aca="false">'Смета Внутр'!B561</f>
        <v>Нет наждачной бумаги</v>
      </c>
      <c r="C561" s="1104" t="str">
        <f aca="false">'Смета Внутр'!C561</f>
        <v>м</v>
      </c>
      <c r="D561" s="1109" t="n">
        <f aca="false">'Смета Внутр'!D561</f>
        <v>0</v>
      </c>
      <c r="E561" s="1104" t="n">
        <f aca="false">'Смета Внутр'!E561</f>
        <v>0</v>
      </c>
      <c r="F561" s="1104" t="n">
        <f aca="false">'Смета Внутр'!F561</f>
        <v>0</v>
      </c>
      <c r="G561" s="1104" t="n">
        <f aca="false">IF(E561&gt;F561,E561,F561)</f>
        <v>0</v>
      </c>
      <c r="H561" s="1104" t="n">
        <f aca="false">'Смета Внутр'!G561</f>
        <v>0</v>
      </c>
      <c r="I561" s="1104" t="n">
        <f aca="false">'Смета Внутр'!H561</f>
        <v>0</v>
      </c>
      <c r="J561" s="1109" t="n">
        <f aca="false">'Смета Внутр'!I561</f>
        <v>0</v>
      </c>
    </row>
    <row r="562" customFormat="false" ht="15" hidden="true" customHeight="true" outlineLevel="0" collapsed="false">
      <c r="B562" s="1104" t="str">
        <f aca="false">'Смета Внутр'!B562</f>
        <v>Нет наждачной бумаги</v>
      </c>
      <c r="C562" s="1104" t="str">
        <f aca="false">'Смета Внутр'!C562</f>
        <v>м</v>
      </c>
      <c r="D562" s="1109" t="n">
        <f aca="false">'Смета Внутр'!D562</f>
        <v>0</v>
      </c>
      <c r="E562" s="1104" t="n">
        <f aca="false">'Смета Внутр'!E562</f>
        <v>0</v>
      </c>
      <c r="F562" s="1104" t="n">
        <f aca="false">'Смета Внутр'!F562</f>
        <v>0</v>
      </c>
      <c r="G562" s="1104" t="n">
        <f aca="false">IF(E562&gt;F562,E562,F562)</f>
        <v>0</v>
      </c>
      <c r="H562" s="1104" t="n">
        <f aca="false">'Смета Внутр'!G562</f>
        <v>0</v>
      </c>
      <c r="I562" s="1104" t="n">
        <f aca="false">'Смета Внутр'!H562</f>
        <v>0</v>
      </c>
      <c r="J562" s="1109" t="n">
        <f aca="false">'Смета Внутр'!I562</f>
        <v>0</v>
      </c>
    </row>
    <row r="563" customFormat="false" ht="15" hidden="true" customHeight="true" outlineLevel="0" collapsed="false">
      <c r="B563" s="1104" t="str">
        <f aca="false">'Смета Внутр'!B563</f>
        <v>Нет наждачной бумаги</v>
      </c>
      <c r="C563" s="1104" t="str">
        <f aca="false">'Смета Внутр'!C563</f>
        <v>м</v>
      </c>
      <c r="D563" s="1109" t="n">
        <f aca="false">'Смета Внутр'!D563</f>
        <v>0</v>
      </c>
      <c r="E563" s="1104" t="n">
        <f aca="false">'Смета Внутр'!E563</f>
        <v>0</v>
      </c>
      <c r="F563" s="1104" t="n">
        <f aca="false">'Смета Внутр'!F563</f>
        <v>0</v>
      </c>
      <c r="G563" s="1104" t="n">
        <f aca="false">IF(E563&gt;F563,E563,F563)</f>
        <v>0</v>
      </c>
      <c r="H563" s="1104" t="n">
        <f aca="false">'Смета Внутр'!G563</f>
        <v>0</v>
      </c>
      <c r="I563" s="1104" t="n">
        <f aca="false">'Смета Внутр'!H563</f>
        <v>0</v>
      </c>
      <c r="J563" s="1109" t="n">
        <f aca="false">'Смета Внутр'!I563</f>
        <v>0</v>
      </c>
    </row>
    <row r="564" customFormat="false" ht="15" hidden="true" customHeight="true" outlineLevel="0" collapsed="false">
      <c r="B564" s="1104" t="str">
        <f aca="false">'Смета Внутр'!B564</f>
        <v>Нет наждачной бумаги</v>
      </c>
      <c r="C564" s="1104" t="str">
        <f aca="false">'Смета Внутр'!C564</f>
        <v>м</v>
      </c>
      <c r="D564" s="1109" t="n">
        <f aca="false">'Смета Внутр'!D564</f>
        <v>0</v>
      </c>
      <c r="E564" s="1104" t="n">
        <f aca="false">'Смета Внутр'!E564</f>
        <v>0</v>
      </c>
      <c r="F564" s="1104" t="n">
        <f aca="false">'Смета Внутр'!F564</f>
        <v>0</v>
      </c>
      <c r="G564" s="1104" t="n">
        <f aca="false">IF(E564&gt;F564,E564,F564)</f>
        <v>0</v>
      </c>
      <c r="H564" s="1104" t="n">
        <f aca="false">'Смета Внутр'!G564</f>
        <v>0</v>
      </c>
      <c r="I564" s="1104" t="n">
        <f aca="false">'Смета Внутр'!H564</f>
        <v>0</v>
      </c>
      <c r="J564" s="1109" t="n">
        <f aca="false">'Смета Внутр'!I564</f>
        <v>0</v>
      </c>
    </row>
    <row r="565" customFormat="false" ht="15" hidden="true" customHeight="true" outlineLevel="0" collapsed="false">
      <c r="B565" s="1108" t="str">
        <f aca="false">'Смета Внутр'!B565</f>
        <v>Итого материалы, рублей</v>
      </c>
      <c r="C565" s="1108"/>
      <c r="D565" s="1108"/>
      <c r="E565" s="1108"/>
      <c r="F565" s="1108"/>
      <c r="G565" s="1108"/>
      <c r="H565" s="1104" t="n">
        <f aca="false">'Смета Внутр'!G565</f>
        <v>0</v>
      </c>
      <c r="I565" s="1104" t="n">
        <f aca="false">'Смета Внутр'!H565</f>
        <v>0</v>
      </c>
      <c r="J565" s="1109" t="n">
        <f aca="false">'Смета Внутр'!I565</f>
        <v>0</v>
      </c>
    </row>
    <row r="566" customFormat="false" ht="15" hidden="true" customHeight="true" outlineLevel="0" collapsed="false">
      <c r="B566" s="118" t="str">
        <f aca="false">'Смета Внутр'!B566</f>
        <v>Работы</v>
      </c>
      <c r="H566" s="118" t="n">
        <f aca="false">'Смета Внутр'!G566</f>
        <v>0</v>
      </c>
      <c r="I566" s="118" t="n">
        <f aca="false">'Смета Внутр'!H566</f>
        <v>0</v>
      </c>
      <c r="J566" s="1102" t="n">
        <f aca="false">'Смета Внутр'!I566</f>
        <v>0</v>
      </c>
    </row>
    <row r="567" customFormat="false" ht="15" hidden="true" customHeight="true" outlineLevel="0" collapsed="false">
      <c r="B567" s="1104" t="str">
        <f aca="false">'Смета Внутр'!B567</f>
        <v>кладка бруса</v>
      </c>
      <c r="C567" s="1104" t="str">
        <f aca="false">'Смета Внутр'!C567</f>
        <v>м3</v>
      </c>
      <c r="D567" s="1109" t="n">
        <f aca="false">'Смета Внутр'!D567</f>
        <v>0.866249999999999</v>
      </c>
      <c r="E567" s="1104" t="n">
        <f aca="false">'Смета Внутр'!E567</f>
        <v>4000</v>
      </c>
      <c r="F567" s="1104" t="n">
        <f aca="false">'Смета Внутр'!F567</f>
        <v>0</v>
      </c>
      <c r="G567" s="1104" t="n">
        <f aca="false">IF(E567&gt;F567,E567,F567)</f>
        <v>4000</v>
      </c>
      <c r="H567" s="1104" t="n">
        <f aca="false">'Смета Внутр'!G567</f>
        <v>3465</v>
      </c>
      <c r="I567" s="1104" t="n">
        <f aca="false">'Смета Внутр'!H567</f>
        <v>0</v>
      </c>
      <c r="J567" s="1109" t="n">
        <f aca="false">'Смета Внутр'!I567</f>
        <v>0</v>
      </c>
    </row>
    <row r="568" customFormat="false" ht="15" hidden="true" customHeight="true" outlineLevel="0" collapsed="false">
      <c r="B568" s="1104" t="str">
        <f aca="false">'Смета Внутр'!B568</f>
        <v>окосячка проемов, м.п.</v>
      </c>
      <c r="C568" s="1104" t="str">
        <f aca="false">'Смета Внутр'!C568</f>
        <v>м.п.</v>
      </c>
      <c r="D568" s="1109" t="n">
        <f aca="false">'Смета Внутр'!D568</f>
        <v>0</v>
      </c>
      <c r="E568" s="1104" t="n">
        <f aca="false">'Смета Внутр'!E568</f>
        <v>150</v>
      </c>
      <c r="F568" s="1104" t="n">
        <f aca="false">'Смета Внутр'!F568</f>
        <v>0</v>
      </c>
      <c r="G568" s="1104" t="n">
        <f aca="false">IF(E568&gt;F568,E568,F568)</f>
        <v>150</v>
      </c>
      <c r="H568" s="1104" t="n">
        <f aca="false">'Смета Внутр'!G568</f>
        <v>0</v>
      </c>
      <c r="I568" s="1104" t="n">
        <f aca="false">'Смета Внутр'!H568</f>
        <v>0</v>
      </c>
      <c r="J568" s="1109" t="n">
        <f aca="false">'Смета Внутр'!I568</f>
        <v>0</v>
      </c>
    </row>
    <row r="569" customFormat="false" ht="15" hidden="true" customHeight="true" outlineLevel="0" collapsed="false">
      <c r="B569" s="1104" t="str">
        <f aca="false">'Смета Внутр'!B569</f>
        <v>обработка торцов на брусе</v>
      </c>
      <c r="C569" s="1104" t="str">
        <f aca="false">'Смета Внутр'!C569</f>
        <v>м.п.</v>
      </c>
      <c r="D569" s="1109" t="n">
        <f aca="false">'Смета Внутр'!D569</f>
        <v>20</v>
      </c>
      <c r="E569" s="1104" t="n">
        <f aca="false">'Смета Внутр'!E569</f>
        <v>250</v>
      </c>
      <c r="F569" s="1104" t="n">
        <f aca="false">'Смета Внутр'!F569</f>
        <v>0</v>
      </c>
      <c r="G569" s="1104" t="n">
        <f aca="false">IF(E569&gt;F569,E569,F569)</f>
        <v>250</v>
      </c>
      <c r="H569" s="1104" t="n">
        <f aca="false">'Смета Внутр'!G569</f>
        <v>5000</v>
      </c>
      <c r="I569" s="1104" t="n">
        <f aca="false">'Смета Внутр'!H569</f>
        <v>0</v>
      </c>
      <c r="J569" s="1109" t="n">
        <f aca="false">'Смета Внутр'!I569</f>
        <v>0</v>
      </c>
    </row>
    <row r="570" customFormat="false" ht="15" hidden="true" customHeight="true" outlineLevel="0" collapsed="false">
      <c r="B570" s="1104" t="str">
        <f aca="false">'Смета Внутр'!B570</f>
        <v>Обаботка огнебиозащитой</v>
      </c>
      <c r="C570" s="1104" t="str">
        <f aca="false">'Смета Внутр'!C570</f>
        <v>м.п.</v>
      </c>
      <c r="D570" s="1109" t="n">
        <f aca="false">'Смета Внутр'!D570</f>
        <v>0.866249999999999</v>
      </c>
      <c r="E570" s="1104" t="n">
        <f aca="false">'Смета Внутр'!E570</f>
        <v>300</v>
      </c>
      <c r="F570" s="1104" t="n">
        <f aca="false">'Смета Внутр'!F570</f>
        <v>0</v>
      </c>
      <c r="G570" s="1104" t="n">
        <f aca="false">IF(E570&gt;F570,E570,F570)</f>
        <v>300</v>
      </c>
      <c r="H570" s="1104" t="n">
        <f aca="false">'Смета Внутр'!G570</f>
        <v>259.875</v>
      </c>
      <c r="I570" s="1104" t="n">
        <f aca="false">'Смета Внутр'!H570</f>
        <v>0</v>
      </c>
      <c r="J570" s="1109" t="n">
        <f aca="false">'Смета Внутр'!I570</f>
        <v>0</v>
      </c>
    </row>
    <row r="571" customFormat="false" ht="15" hidden="true" customHeight="true" outlineLevel="0" collapsed="false">
      <c r="B571" s="1104" t="str">
        <f aca="false">'Смета Внутр'!B571</f>
        <v>Пропитка стен внешних</v>
      </c>
      <c r="C571" s="1104" t="str">
        <f aca="false">'Смета Внутр'!C571</f>
        <v>м.п.</v>
      </c>
      <c r="D571" s="1109" t="n">
        <f aca="false">'Смета Внутр'!D571</f>
        <v>0</v>
      </c>
      <c r="E571" s="1104" t="n">
        <f aca="false">'Смета Внутр'!E571</f>
        <v>100</v>
      </c>
      <c r="F571" s="1104" t="n">
        <f aca="false">'Смета Внутр'!F571</f>
        <v>0</v>
      </c>
      <c r="G571" s="1104" t="n">
        <f aca="false">IF(E571&gt;F571,E571,F571)</f>
        <v>100</v>
      </c>
      <c r="H571" s="1104" t="n">
        <f aca="false">'Смета Внутр'!G571</f>
        <v>0</v>
      </c>
      <c r="I571" s="1104" t="n">
        <f aca="false">'Смета Внутр'!H571</f>
        <v>0</v>
      </c>
      <c r="J571" s="1109" t="n">
        <f aca="false">'Смета Внутр'!I571</f>
        <v>0</v>
      </c>
    </row>
    <row r="572" customFormat="false" ht="15" hidden="true" customHeight="true" outlineLevel="0" collapsed="false">
      <c r="B572" s="1104" t="str">
        <f aca="false">'Смета Внутр'!B572</f>
        <v>Пропитка внутенних стен</v>
      </c>
      <c r="C572" s="1104" t="str">
        <f aca="false">'Смета Внутр'!C572</f>
        <v>м.п.</v>
      </c>
      <c r="D572" s="1109" t="n">
        <f aca="false">'Смета Внутр'!D572</f>
        <v>0</v>
      </c>
      <c r="E572" s="1104" t="n">
        <f aca="false">'Смета Внутр'!E572</f>
        <v>100</v>
      </c>
      <c r="F572" s="1104" t="n">
        <f aca="false">'Смета Внутр'!F572</f>
        <v>0</v>
      </c>
      <c r="G572" s="1104" t="n">
        <f aca="false">IF(E572&gt;F572,E572,F572)</f>
        <v>100</v>
      </c>
      <c r="H572" s="1104" t="n">
        <f aca="false">'Смета Внутр'!G572</f>
        <v>0</v>
      </c>
      <c r="I572" s="1104" t="n">
        <f aca="false">'Смета Внутр'!H572</f>
        <v>0</v>
      </c>
      <c r="J572" s="1109" t="n">
        <f aca="false">'Смета Внутр'!I572</f>
        <v>0</v>
      </c>
    </row>
    <row r="573" customFormat="false" ht="15" hidden="true" customHeight="true" outlineLevel="0" collapsed="false">
      <c r="B573" s="1104" t="str">
        <f aca="false">'Смета Внутр'!B573</f>
        <v>Не считать</v>
      </c>
      <c r="C573" s="1104" t="str">
        <f aca="false">'Смета Внутр'!C573</f>
        <v>м.п.</v>
      </c>
      <c r="D573" s="1109" t="n">
        <f aca="false">'Смета Внутр'!D573</f>
        <v>0</v>
      </c>
      <c r="E573" s="1104" t="n">
        <f aca="false">'Смета Внутр'!E573</f>
        <v>300</v>
      </c>
      <c r="F573" s="1104" t="n">
        <f aca="false">'Смета Внутр'!F573</f>
        <v>0</v>
      </c>
      <c r="G573" s="1104" t="n">
        <f aca="false">IF(E573&gt;F573,E573,F573)</f>
        <v>300</v>
      </c>
      <c r="H573" s="1104" t="n">
        <f aca="false">'Смета Внутр'!G573</f>
        <v>0</v>
      </c>
      <c r="I573" s="1104" t="n">
        <f aca="false">'Смета Внутр'!H573</f>
        <v>0</v>
      </c>
      <c r="J573" s="1109" t="n">
        <f aca="false">'Смета Внутр'!I573</f>
        <v>0</v>
      </c>
    </row>
    <row r="574" customFormat="false" ht="15" hidden="true" customHeight="true" outlineLevel="0" collapsed="false">
      <c r="B574" s="1104" t="str">
        <f aca="false">'Смета Внутр'!B574</f>
        <v>Монтаж наличника</v>
      </c>
      <c r="C574" s="1104" t="str">
        <f aca="false">'Смета Внутр'!C574</f>
        <v>м.п.</v>
      </c>
      <c r="D574" s="1109" t="n">
        <f aca="false">'Смета Внутр'!D574</f>
        <v>0</v>
      </c>
      <c r="E574" s="1104" t="n">
        <f aca="false">'Смета Внутр'!E574</f>
        <v>80</v>
      </c>
      <c r="F574" s="1104" t="n">
        <f aca="false">'Смета Внутр'!F574</f>
        <v>0</v>
      </c>
      <c r="G574" s="1104" t="n">
        <f aca="false">IF(E574&gt;F574,E574,F574)</f>
        <v>80</v>
      </c>
      <c r="H574" s="1104" t="n">
        <f aca="false">'Смета Внутр'!G574</f>
        <v>0</v>
      </c>
      <c r="I574" s="1104" t="n">
        <f aca="false">'Смета Внутр'!H574</f>
        <v>0</v>
      </c>
      <c r="J574" s="1109" t="n">
        <f aca="false">'Смета Внутр'!I574</f>
        <v>0</v>
      </c>
    </row>
    <row r="575" customFormat="false" ht="15" hidden="true" customHeight="true" outlineLevel="0" collapsed="false">
      <c r="B575" s="1104" t="str">
        <f aca="false">'Смета Внутр'!B575</f>
        <v>Шлифовка стен дома</v>
      </c>
      <c r="C575" s="1104" t="str">
        <f aca="false">'Смета Внутр'!C575</f>
        <v>м.п.</v>
      </c>
      <c r="D575" s="1109" t="n">
        <f aca="false">'Смета Внутр'!D575</f>
        <v>0</v>
      </c>
      <c r="E575" s="1104" t="n">
        <f aca="false">'Смета Внутр'!E575</f>
        <v>250</v>
      </c>
      <c r="F575" s="1104" t="n">
        <f aca="false">'Смета Внутр'!F575</f>
        <v>0</v>
      </c>
      <c r="G575" s="1104" t="n">
        <f aca="false">IF(E575&gt;F575,E575,F575)</f>
        <v>250</v>
      </c>
      <c r="H575" s="1104" t="n">
        <f aca="false">'Смета Внутр'!G575</f>
        <v>0</v>
      </c>
      <c r="I575" s="1104" t="n">
        <f aca="false">'Смета Внутр'!H575</f>
        <v>0</v>
      </c>
      <c r="J575" s="1109" t="n">
        <f aca="false">'Смета Внутр'!I575</f>
        <v>0</v>
      </c>
    </row>
    <row r="576" customFormat="false" ht="15" hidden="true" customHeight="true" outlineLevel="0" collapsed="false">
      <c r="B576" s="1108" t="str">
        <f aca="false">'Смета Внутр'!B576</f>
        <v>Итого работы</v>
      </c>
      <c r="C576" s="1108"/>
      <c r="D576" s="1108"/>
      <c r="E576" s="1108"/>
      <c r="F576" s="1108"/>
      <c r="G576" s="1108"/>
      <c r="H576" s="1104" t="n">
        <f aca="false">'Смета Внутр'!G576</f>
        <v>0</v>
      </c>
      <c r="I576" s="1104" t="n">
        <f aca="false">'Смета Внутр'!H576</f>
        <v>0</v>
      </c>
      <c r="J576" s="1109" t="n">
        <f aca="false">'Смета Внутр'!I576</f>
        <v>0</v>
      </c>
    </row>
    <row r="577" customFormat="false" ht="15" hidden="true" customHeight="true" outlineLevel="0" collapsed="false">
      <c r="B577" s="1111" t="str">
        <f aca="false">'Смета Внутр'!B577</f>
        <v>Дом из Дикого леса</v>
      </c>
      <c r="C577" s="1111"/>
      <c r="D577" s="1111"/>
      <c r="H577" s="118" t="n">
        <f aca="false">'Смета Внутр'!G577</f>
        <v>0</v>
      </c>
      <c r="I577" s="118" t="n">
        <f aca="false">'Смета Внутр'!H577</f>
        <v>0</v>
      </c>
      <c r="J577" s="1102" t="n">
        <f aca="false">'Смета Внутр'!I577</f>
        <v>0</v>
      </c>
    </row>
    <row r="578" customFormat="false" ht="15" hidden="true" customHeight="true" outlineLevel="0" collapsed="false">
      <c r="B578" s="118" t="str">
        <f aca="false">'Смета Внутр'!B578</f>
        <v>Материалы</v>
      </c>
      <c r="H578" s="118" t="n">
        <f aca="false">'Смета Внутр'!G578</f>
        <v>0</v>
      </c>
      <c r="I578" s="118" t="n">
        <f aca="false">'Смета Внутр'!H578</f>
        <v>0</v>
      </c>
      <c r="J578" s="1102" t="n">
        <f aca="false">'Смета Внутр'!I578</f>
        <v>0</v>
      </c>
    </row>
    <row r="579" customFormat="false" ht="15" hidden="true" customHeight="true" outlineLevel="0" collapsed="false">
      <c r="B579" s="1104" t="str">
        <f aca="false">'Смета Внутр'!B579</f>
        <v>Оцилиндрованное бревно лиственница 280мм</v>
      </c>
      <c r="C579" s="1104" t="str">
        <f aca="false">'Смета Внутр'!C579</f>
        <v>м3</v>
      </c>
      <c r="D579" s="1109" t="n">
        <f aca="false">'Смета Внутр'!D579</f>
        <v>4.19187802</v>
      </c>
      <c r="E579" s="1104" t="n">
        <f aca="false">'Смета Внутр'!E579</f>
        <v>10000</v>
      </c>
      <c r="F579" s="1104" t="n">
        <f aca="false">'Смета Внутр'!F579</f>
        <v>0</v>
      </c>
      <c r="G579" s="1104" t="n">
        <f aca="false">IF(E579&gt;F579,E579,F579)</f>
        <v>10000</v>
      </c>
      <c r="H579" s="1104" t="n">
        <f aca="false">'Смета Внутр'!G579</f>
        <v>41918.7802</v>
      </c>
      <c r="I579" s="1104" t="n">
        <f aca="false">'Смета Внутр'!H579</f>
        <v>0</v>
      </c>
      <c r="J579" s="1109" t="n">
        <f aca="false">'Смета Внутр'!I579</f>
        <v>0</v>
      </c>
    </row>
    <row r="580" customFormat="false" ht="15" hidden="true" customHeight="true" outlineLevel="0" collapsed="false">
      <c r="B580" s="1104" t="str">
        <f aca="false">'Смета Внутр'!B580</f>
        <v>Оцилиндрованное бревно сосна 220мм</v>
      </c>
      <c r="C580" s="1104" t="str">
        <f aca="false">'Смета Внутр'!C580</f>
        <v>м3</v>
      </c>
      <c r="D580" s="1109" t="n">
        <f aca="false">'Смета Внутр'!D580</f>
        <v>-3.09205170421053</v>
      </c>
      <c r="E580" s="1104" t="n">
        <f aca="false">'Смета Внутр'!E580</f>
        <v>8000</v>
      </c>
      <c r="F580" s="1104" t="n">
        <f aca="false">'Смета Внутр'!F580</f>
        <v>0</v>
      </c>
      <c r="G580" s="1104" t="n">
        <f aca="false">IF(E580&gt;F580,E580,F580)</f>
        <v>8000</v>
      </c>
      <c r="H580" s="1104" t="n">
        <f aca="false">'Смета Внутр'!G580</f>
        <v>-24736.4136336842</v>
      </c>
      <c r="I580" s="1104" t="n">
        <f aca="false">'Смета Внутр'!H580</f>
        <v>0</v>
      </c>
      <c r="J580" s="1109" t="n">
        <f aca="false">'Смета Внутр'!I580</f>
        <v>0</v>
      </c>
    </row>
    <row r="581" customFormat="false" ht="15" hidden="true" customHeight="true" outlineLevel="0" collapsed="false">
      <c r="B581" s="1104" t="str">
        <f aca="false">'Смета Внутр'!B581</f>
        <v>Оцилиндрованное бревно сосна 220мм</v>
      </c>
      <c r="C581" s="1104" t="str">
        <f aca="false">'Смета Внутр'!C581</f>
        <v>м3</v>
      </c>
      <c r="D581" s="1109" t="n">
        <f aca="false">'Смета Внутр'!D581</f>
        <v>0</v>
      </c>
      <c r="E581" s="1104" t="n">
        <f aca="false">'Смета Внутр'!E581</f>
        <v>8000</v>
      </c>
      <c r="F581" s="1104" t="n">
        <f aca="false">'Смета Внутр'!F581</f>
        <v>0</v>
      </c>
      <c r="G581" s="1104" t="n">
        <f aca="false">IF(E581&gt;F581,E581,F581)</f>
        <v>8000</v>
      </c>
      <c r="H581" s="1104" t="n">
        <f aca="false">'Смета Внутр'!G581</f>
        <v>0</v>
      </c>
      <c r="I581" s="1104" t="n">
        <f aca="false">'Смета Внутр'!H581</f>
        <v>0</v>
      </c>
      <c r="J581" s="1109" t="n">
        <f aca="false">'Смета Внутр'!I581</f>
        <v>0</v>
      </c>
    </row>
    <row r="582" customFormat="false" ht="15" hidden="true" customHeight="true" outlineLevel="0" collapsed="false">
      <c r="B582" s="1104" t="str">
        <f aca="false">'Смета Внутр'!B582</f>
        <v>Оцилиндрованное бревно сосна 220мм</v>
      </c>
      <c r="C582" s="1104" t="str">
        <f aca="false">'Смета Внутр'!C582</f>
        <v>м2</v>
      </c>
      <c r="D582" s="1109" t="n">
        <f aca="false">'Смета Внутр'!D582</f>
        <v>0</v>
      </c>
      <c r="E582" s="1104" t="n">
        <f aca="false">'Смета Внутр'!E582</f>
        <v>8000</v>
      </c>
      <c r="F582" s="1104" t="n">
        <f aca="false">'Смета Внутр'!F582</f>
        <v>0</v>
      </c>
      <c r="G582" s="1104" t="n">
        <f aca="false">IF(E582&gt;F582,E582,F582)</f>
        <v>8000</v>
      </c>
      <c r="H582" s="1104" t="n">
        <f aca="false">'Смета Внутр'!G582</f>
        <v>0</v>
      </c>
      <c r="I582" s="1104" t="n">
        <f aca="false">'Смета Внутр'!H582</f>
        <v>0</v>
      </c>
      <c r="J582" s="1109" t="n">
        <f aca="false">'Смета Внутр'!I582</f>
        <v>0</v>
      </c>
    </row>
    <row r="583" customFormat="false" ht="15" hidden="true" customHeight="true" outlineLevel="0" collapsed="false">
      <c r="B583" s="1104" t="str">
        <f aca="false">'Смета Внутр'!B583</f>
        <v>Шкант</v>
      </c>
      <c r="C583" s="1104" t="str">
        <f aca="false">'Смета Внутр'!C583</f>
        <v>шт</v>
      </c>
      <c r="D583" s="1109" t="n">
        <f aca="false">'Смета Внутр'!D583</f>
        <v>0.349944736842105</v>
      </c>
      <c r="E583" s="1104" t="n">
        <f aca="false">'Смета Внутр'!E583</f>
        <v>6</v>
      </c>
      <c r="F583" s="1104" t="n">
        <f aca="false">'Смета Внутр'!F583</f>
        <v>0</v>
      </c>
      <c r="G583" s="1104" t="n">
        <f aca="false">IF(E583&gt;F583,E583,F583)</f>
        <v>6</v>
      </c>
      <c r="H583" s="1104" t="n">
        <f aca="false">'Смета Внутр'!G583</f>
        <v>2.09966842105263</v>
      </c>
      <c r="I583" s="1104" t="n">
        <f aca="false">'Смета Внутр'!H583</f>
        <v>0</v>
      </c>
      <c r="J583" s="1109" t="n">
        <f aca="false">'Смета Внутр'!I583</f>
        <v>0</v>
      </c>
    </row>
    <row r="584" customFormat="false" ht="15" hidden="true" customHeight="true" outlineLevel="0" collapsed="false">
      <c r="B584" s="1104" t="str">
        <f aca="false">'Смета Внутр'!B584</f>
        <v>Лен-джут 200х5х20000 мм</v>
      </c>
      <c r="C584" s="1104" t="str">
        <f aca="false">'Смета Внутр'!C584</f>
        <v>шт</v>
      </c>
      <c r="D584" s="1109" t="n">
        <f aca="false">'Смета Внутр'!D584</f>
        <v>2</v>
      </c>
      <c r="E584" s="1104" t="n">
        <f aca="false">'Смета Внутр'!E584</f>
        <v>175</v>
      </c>
      <c r="F584" s="1104" t="n">
        <f aca="false">'Смета Внутр'!F584</f>
        <v>0</v>
      </c>
      <c r="G584" s="1104" t="n">
        <f aca="false">IF(E584&gt;F584,E584,F584)</f>
        <v>175</v>
      </c>
      <c r="H584" s="1104" t="n">
        <f aca="false">'Смета Внутр'!G584</f>
        <v>350</v>
      </c>
      <c r="I584" s="1104" t="n">
        <f aca="false">'Смета Внутр'!H584</f>
        <v>0</v>
      </c>
      <c r="J584" s="1109" t="n">
        <f aca="false">'Смета Внутр'!I584</f>
        <v>0</v>
      </c>
    </row>
    <row r="585" customFormat="false" ht="15" hidden="true" customHeight="true" outlineLevel="0" collapsed="false">
      <c r="B585" s="1104" t="str">
        <f aca="false">'Смета Внутр'!B585</f>
        <v>Гвозди ершоные 2,8 х 90            </v>
      </c>
      <c r="C585" s="1104" t="str">
        <f aca="false">'Смета Внутр'!C585</f>
        <v>шт</v>
      </c>
      <c r="D585" s="1109" t="n">
        <f aca="false">'Смета Внутр'!D585</f>
        <v>4.84</v>
      </c>
      <c r="E585" s="1104" t="n">
        <f aca="false">'Смета Внутр'!E585</f>
        <v>76.49</v>
      </c>
      <c r="F585" s="1104" t="n">
        <f aca="false">'Смета Внутр'!F585</f>
        <v>0</v>
      </c>
      <c r="G585" s="1104" t="n">
        <f aca="false">IF(E585&gt;F585,E585,F585)</f>
        <v>76.49</v>
      </c>
      <c r="H585" s="1104" t="n">
        <f aca="false">'Смета Внутр'!G585</f>
        <v>370.2116</v>
      </c>
      <c r="I585" s="1104" t="n">
        <f aca="false">'Смета Внутр'!H585</f>
        <v>0</v>
      </c>
      <c r="J585" s="1109" t="n">
        <f aca="false">'Смета Внутр'!I585</f>
        <v>0</v>
      </c>
    </row>
    <row r="586" customFormat="false" ht="15" hidden="true" customHeight="true" outlineLevel="0" collapsed="false">
      <c r="B586" s="1104" t="str">
        <f aca="false">'Смета Внутр'!B586</f>
        <v>нет</v>
      </c>
      <c r="C586" s="1104" t="str">
        <f aca="false">'Смета Внутр'!C586</f>
        <v>м3</v>
      </c>
      <c r="D586" s="1109" t="n">
        <f aca="false">'Смета Внутр'!D586</f>
        <v>0</v>
      </c>
      <c r="E586" s="1104" t="n">
        <f aca="false">'Смета Внутр'!E586</f>
        <v>0</v>
      </c>
      <c r="F586" s="1104" t="n">
        <f aca="false">'Смета Внутр'!F586</f>
        <v>0</v>
      </c>
      <c r="G586" s="1104" t="n">
        <f aca="false">IF(E586&gt;F586,E586,F586)</f>
        <v>0</v>
      </c>
      <c r="H586" s="1104" t="n">
        <f aca="false">'Смета Внутр'!G586</f>
        <v>0</v>
      </c>
      <c r="I586" s="1104" t="n">
        <f aca="false">'Смета Внутр'!H586</f>
        <v>0</v>
      </c>
      <c r="J586" s="1109" t="n">
        <f aca="false">'Смета Внутр'!I586</f>
        <v>0</v>
      </c>
    </row>
    <row r="587" customFormat="false" ht="15" hidden="true" customHeight="true" outlineLevel="0" collapsed="false">
      <c r="B587" s="1104" t="str">
        <f aca="false">'Смета Внутр'!B587</f>
        <v>нет</v>
      </c>
      <c r="C587" s="1104" t="str">
        <f aca="false">'Смета Внутр'!C587</f>
        <v>м3</v>
      </c>
      <c r="D587" s="1109" t="n">
        <f aca="false">'Смета Внутр'!D587</f>
        <v>0</v>
      </c>
      <c r="E587" s="1104" t="n">
        <f aca="false">'Смета Внутр'!E587</f>
        <v>0</v>
      </c>
      <c r="F587" s="1104" t="n">
        <f aca="false">'Смета Внутр'!F587</f>
        <v>0</v>
      </c>
      <c r="G587" s="1104" t="n">
        <f aca="false">IF(E587&gt;F587,E587,F587)</f>
        <v>0</v>
      </c>
      <c r="H587" s="1104" t="n">
        <f aca="false">'Смета Внутр'!G587</f>
        <v>0</v>
      </c>
      <c r="I587" s="1104" t="n">
        <f aca="false">'Смета Внутр'!H587</f>
        <v>0</v>
      </c>
      <c r="J587" s="1109" t="n">
        <f aca="false">'Смета Внутр'!I587</f>
        <v>0</v>
      </c>
    </row>
    <row r="588" customFormat="false" ht="15" hidden="true" customHeight="true" outlineLevel="0" collapsed="false">
      <c r="B588" s="1104" t="str">
        <f aca="false">'Смета Внутр'!B588</f>
        <v>нет</v>
      </c>
      <c r="C588" s="1104" t="str">
        <f aca="false">'Смета Внутр'!C588</f>
        <v>м3</v>
      </c>
      <c r="D588" s="1109" t="n">
        <f aca="false">'Смета Внутр'!D588</f>
        <v>0</v>
      </c>
      <c r="E588" s="1104" t="n">
        <f aca="false">'Смета Внутр'!E588</f>
        <v>0</v>
      </c>
      <c r="F588" s="1104" t="n">
        <f aca="false">'Смета Внутр'!F588</f>
        <v>0</v>
      </c>
      <c r="G588" s="1104" t="n">
        <f aca="false">IF(E588&gt;F588,E588,F588)</f>
        <v>0</v>
      </c>
      <c r="H588" s="1104" t="n">
        <f aca="false">'Смета Внутр'!G588</f>
        <v>0</v>
      </c>
      <c r="I588" s="1104" t="n">
        <f aca="false">'Смета Внутр'!H588</f>
        <v>0</v>
      </c>
      <c r="J588" s="1109" t="n">
        <f aca="false">'Смета Внутр'!I588</f>
        <v>0</v>
      </c>
    </row>
    <row r="589" customFormat="false" ht="15" hidden="true" customHeight="true" outlineLevel="0" collapsed="false">
      <c r="B589" s="1104" t="str">
        <f aca="false">'Смета Внутр'!B589</f>
        <v>нет</v>
      </c>
      <c r="C589" s="1104" t="str">
        <f aca="false">'Смета Внутр'!C589</f>
        <v>м.п.</v>
      </c>
      <c r="D589" s="1109" t="n">
        <f aca="false">'Смета Внутр'!D589</f>
        <v>0</v>
      </c>
      <c r="E589" s="1104" t="n">
        <f aca="false">'Смета Внутр'!E589</f>
        <v>0</v>
      </c>
      <c r="F589" s="1104" t="n">
        <f aca="false">'Смета Внутр'!F589</f>
        <v>0</v>
      </c>
      <c r="G589" s="1104" t="n">
        <f aca="false">IF(E589&gt;F589,E589,F589)</f>
        <v>0</v>
      </c>
      <c r="H589" s="1104" t="n">
        <f aca="false">'Смета Внутр'!G589</f>
        <v>0</v>
      </c>
      <c r="I589" s="1104" t="n">
        <f aca="false">'Смета Внутр'!H589</f>
        <v>0</v>
      </c>
      <c r="J589" s="1109" t="n">
        <f aca="false">'Смета Внутр'!I589</f>
        <v>0</v>
      </c>
    </row>
    <row r="590" customFormat="false" ht="15" hidden="true" customHeight="true" outlineLevel="0" collapsed="false">
      <c r="B590" s="1104" t="str">
        <f aca="false">'Смета Внутр'!B590</f>
        <v>Бензин для пилы</v>
      </c>
      <c r="C590" s="1104" t="str">
        <f aca="false">'Смета Внутр'!C590</f>
        <v>л</v>
      </c>
      <c r="D590" s="1109" t="n">
        <f aca="false">'Смета Внутр'!D590</f>
        <v>0.219965263157895</v>
      </c>
      <c r="E590" s="1104" t="n">
        <f aca="false">'Смета Внутр'!E590</f>
        <v>40</v>
      </c>
      <c r="F590" s="1104" t="n">
        <f aca="false">'Смета Внутр'!F590</f>
        <v>0</v>
      </c>
      <c r="G590" s="1104" t="n">
        <f aca="false">IF(E590&gt;F590,E590,F590)</f>
        <v>40</v>
      </c>
      <c r="H590" s="1104" t="n">
        <f aca="false">'Смета Внутр'!G590</f>
        <v>8.79861052631579</v>
      </c>
      <c r="I590" s="1104" t="n">
        <f aca="false">'Смета Внутр'!H590</f>
        <v>0</v>
      </c>
      <c r="J590" s="1109" t="n">
        <f aca="false">'Смета Внутр'!I590</f>
        <v>0</v>
      </c>
    </row>
    <row r="591" customFormat="false" ht="15" hidden="true" customHeight="true" outlineLevel="0" collapsed="false">
      <c r="B591" s="1104" t="str">
        <f aca="false">'Смета Внутр'!B591</f>
        <v>Масло для пилы</v>
      </c>
      <c r="C591" s="1104" t="str">
        <f aca="false">'Смета Внутр'!C591</f>
        <v>л</v>
      </c>
      <c r="D591" s="1109" t="n">
        <f aca="false">'Смета Внутр'!D591</f>
        <v>0.0109982631578947</v>
      </c>
      <c r="E591" s="1104" t="n">
        <f aca="false">'Смета Внутр'!E591</f>
        <v>250</v>
      </c>
      <c r="F591" s="1104" t="n">
        <f aca="false">'Смета Внутр'!F591</f>
        <v>0</v>
      </c>
      <c r="G591" s="1104" t="n">
        <f aca="false">IF(E591&gt;F591,E591,F591)</f>
        <v>250</v>
      </c>
      <c r="H591" s="1104" t="n">
        <f aca="false">'Смета Внутр'!G591</f>
        <v>2.74956578947368</v>
      </c>
      <c r="I591" s="1104" t="n">
        <f aca="false">'Смета Внутр'!H591</f>
        <v>0</v>
      </c>
      <c r="J591" s="1109" t="n">
        <f aca="false">'Смета Внутр'!I591</f>
        <v>0</v>
      </c>
    </row>
    <row r="592" customFormat="false" ht="15" hidden="true" customHeight="true" outlineLevel="0" collapsed="false">
      <c r="B592" s="1104" t="str">
        <f aca="false">'Смета Внутр'!B592</f>
        <v>Цепь для пилы</v>
      </c>
      <c r="C592" s="1104" t="str">
        <f aca="false">'Смета Внутр'!C592</f>
        <v>шт</v>
      </c>
      <c r="D592" s="1109" t="n">
        <f aca="false">'Смета Внутр'!D592</f>
        <v>1</v>
      </c>
      <c r="E592" s="1104" t="n">
        <f aca="false">'Смета Внутр'!E592</f>
        <v>800</v>
      </c>
      <c r="F592" s="1104" t="n">
        <f aca="false">'Смета Внутр'!F592</f>
        <v>0</v>
      </c>
      <c r="G592" s="1104" t="n">
        <f aca="false">IF(E592&gt;F592,E592,F592)</f>
        <v>800</v>
      </c>
      <c r="H592" s="1104" t="n">
        <f aca="false">'Смета Внутр'!G592</f>
        <v>800</v>
      </c>
      <c r="I592" s="1104" t="n">
        <f aca="false">'Смета Внутр'!H592</f>
        <v>0</v>
      </c>
      <c r="J592" s="1109" t="n">
        <f aca="false">'Смета Внутр'!I592</f>
        <v>0</v>
      </c>
    </row>
    <row r="593" customFormat="false" ht="15" hidden="true" customHeight="true" outlineLevel="0" collapsed="false">
      <c r="B593" s="1104" t="str">
        <f aca="false">'Смета Внутр'!B593</f>
        <v>"Профилюкс" Антисептик ОБЗ-1</v>
      </c>
      <c r="C593" s="1104" t="str">
        <f aca="false">'Смета Внутр'!C593</f>
        <v>л</v>
      </c>
      <c r="D593" s="1109" t="n">
        <f aca="false">'Смета Внутр'!D593</f>
        <v>1.81789473684211</v>
      </c>
      <c r="E593" s="1104" t="n">
        <f aca="false">'Смета Внутр'!E593</f>
        <v>42</v>
      </c>
      <c r="F593" s="1104" t="n">
        <f aca="false">'Смета Внутр'!F593</f>
        <v>0</v>
      </c>
      <c r="G593" s="1104" t="n">
        <f aca="false">IF(E593&gt;F593,E593,F593)</f>
        <v>42</v>
      </c>
      <c r="H593" s="1104" t="n">
        <f aca="false">'Смета Внутр'!G593</f>
        <v>76.3515789473684</v>
      </c>
      <c r="I593" s="1104" t="n">
        <f aca="false">'Смета Внутр'!H593</f>
        <v>0</v>
      </c>
      <c r="J593" s="1109" t="n">
        <f aca="false">'Смета Внутр'!I593</f>
        <v>0</v>
      </c>
    </row>
    <row r="594" customFormat="false" ht="15" hidden="true" customHeight="true" outlineLevel="0" collapsed="false">
      <c r="B594" s="1104" t="str">
        <f aca="false">'Смета Внутр'!B594</f>
        <v>Нет пропитки</v>
      </c>
      <c r="C594" s="1104" t="str">
        <f aca="false">'Смета Внутр'!C594</f>
        <v>л</v>
      </c>
      <c r="D594" s="1109" t="n">
        <f aca="false">'Смета Внутр'!D594</f>
        <v>1.09073684210526</v>
      </c>
      <c r="E594" s="1104" t="n">
        <f aca="false">'Смета Внутр'!E594</f>
        <v>0</v>
      </c>
      <c r="F594" s="1104" t="n">
        <f aca="false">'Смета Внутр'!F594</f>
        <v>0</v>
      </c>
      <c r="G594" s="1104" t="n">
        <f aca="false">IF(E594&gt;F594,E594,F594)</f>
        <v>0</v>
      </c>
      <c r="H594" s="1104" t="n">
        <f aca="false">'Смета Внутр'!G594</f>
        <v>0</v>
      </c>
      <c r="I594" s="1104" t="n">
        <f aca="false">'Смета Внутр'!H594</f>
        <v>0</v>
      </c>
      <c r="J594" s="1109" t="n">
        <f aca="false">'Смета Внутр'!I594</f>
        <v>0</v>
      </c>
    </row>
    <row r="595" customFormat="false" ht="15" hidden="true" customHeight="true" outlineLevel="0" collapsed="false">
      <c r="B595" s="1104" t="str">
        <f aca="false">'Смета Внутр'!B595</f>
        <v>Нет пропитки</v>
      </c>
      <c r="C595" s="1104" t="str">
        <f aca="false">'Смета Внутр'!C595</f>
        <v>л</v>
      </c>
      <c r="D595" s="1109" t="n">
        <f aca="false">'Смета Внутр'!D595</f>
        <v>1.09073684210526</v>
      </c>
      <c r="E595" s="1104" t="n">
        <f aca="false">'Смета Внутр'!E595</f>
        <v>0</v>
      </c>
      <c r="F595" s="1104" t="n">
        <f aca="false">'Смета Внутр'!F595</f>
        <v>0</v>
      </c>
      <c r="G595" s="1104" t="n">
        <f aca="false">IF(E595&gt;F595,E595,F595)</f>
        <v>0</v>
      </c>
      <c r="H595" s="1104" t="n">
        <f aca="false">'Смета Внутр'!G595</f>
        <v>0</v>
      </c>
      <c r="I595" s="1104" t="n">
        <f aca="false">'Смета Внутр'!H595</f>
        <v>0</v>
      </c>
      <c r="J595" s="1109" t="n">
        <f aca="false">'Смета Внутр'!I595</f>
        <v>0</v>
      </c>
    </row>
    <row r="596" customFormat="false" ht="15" hidden="true" customHeight="true" outlineLevel="0" collapsed="false">
      <c r="B596" s="1104" t="str">
        <f aca="false">'Смета Внутр'!B596</f>
        <v>Нет наличника</v>
      </c>
      <c r="C596" s="1104" t="str">
        <f aca="false">'Смета Внутр'!C596</f>
        <v>м.п.</v>
      </c>
      <c r="D596" s="1109" t="n">
        <f aca="false">'Смета Внутр'!D596</f>
        <v>3.57</v>
      </c>
      <c r="E596" s="1104" t="n">
        <f aca="false">'Смета Внутр'!E596</f>
        <v>0</v>
      </c>
      <c r="F596" s="1104" t="n">
        <f aca="false">'Смета Внутр'!F596</f>
        <v>0</v>
      </c>
      <c r="G596" s="1104" t="n">
        <f aca="false">IF(E596&gt;F596,E596,F596)</f>
        <v>0</v>
      </c>
      <c r="H596" s="1104" t="n">
        <f aca="false">'Смета Внутр'!G596</f>
        <v>0</v>
      </c>
      <c r="I596" s="1104" t="n">
        <f aca="false">'Смета Внутр'!H596</f>
        <v>0</v>
      </c>
      <c r="J596" s="1109" t="n">
        <f aca="false">'Смета Внутр'!I596</f>
        <v>0</v>
      </c>
    </row>
    <row r="597" customFormat="false" ht="15" hidden="true" customHeight="true" outlineLevel="0" collapsed="false">
      <c r="B597" s="1104" t="str">
        <f aca="false">'Смета Внутр'!B597</f>
        <v>Нет наличника</v>
      </c>
      <c r="C597" s="1104" t="str">
        <f aca="false">'Смета Внутр'!C597</f>
        <v>м.п.</v>
      </c>
      <c r="D597" s="1109" t="n">
        <f aca="false">'Смета Внутр'!D597</f>
        <v>3.57</v>
      </c>
      <c r="E597" s="1104" t="n">
        <f aca="false">'Смета Внутр'!E597</f>
        <v>0</v>
      </c>
      <c r="F597" s="1104" t="n">
        <f aca="false">'Смета Внутр'!F597</f>
        <v>0</v>
      </c>
      <c r="G597" s="1104" t="n">
        <f aca="false">IF(E597&gt;F597,E597,F597)</f>
        <v>0</v>
      </c>
      <c r="H597" s="1104" t="n">
        <f aca="false">'Смета Внутр'!G597</f>
        <v>0</v>
      </c>
      <c r="I597" s="1104" t="n">
        <f aca="false">'Смета Внутр'!H597</f>
        <v>0</v>
      </c>
      <c r="J597" s="1109" t="n">
        <f aca="false">'Смета Внутр'!I597</f>
        <v>0</v>
      </c>
    </row>
    <row r="598" customFormat="false" ht="15" hidden="true" customHeight="true" outlineLevel="0" collapsed="false">
      <c r="B598" s="1104" t="str">
        <f aca="false">'Смета Внутр'!B598</f>
        <v>Нет наждачной бумаги</v>
      </c>
      <c r="C598" s="1104" t="str">
        <f aca="false">'Смета Внутр'!C598</f>
        <v>м</v>
      </c>
      <c r="D598" s="1109" t="n">
        <f aca="false">'Смета Внутр'!D598</f>
        <v>0</v>
      </c>
      <c r="E598" s="1104" t="n">
        <f aca="false">'Смета Внутр'!E598</f>
        <v>0</v>
      </c>
      <c r="F598" s="1104" t="n">
        <f aca="false">'Смета Внутр'!F598</f>
        <v>0</v>
      </c>
      <c r="G598" s="1104" t="n">
        <f aca="false">IF(E598&gt;F598,E598,F598)</f>
        <v>0</v>
      </c>
      <c r="H598" s="1104" t="n">
        <f aca="false">'Смета Внутр'!G598</f>
        <v>0</v>
      </c>
      <c r="I598" s="1104" t="n">
        <f aca="false">'Смета Внутр'!H598</f>
        <v>0</v>
      </c>
      <c r="J598" s="1109" t="n">
        <f aca="false">'Смета Внутр'!I598</f>
        <v>0</v>
      </c>
    </row>
    <row r="599" customFormat="false" ht="15" hidden="true" customHeight="true" outlineLevel="0" collapsed="false">
      <c r="B599" s="1104" t="str">
        <f aca="false">'Смета Внутр'!B599</f>
        <v>Нет наждачной бумаги</v>
      </c>
      <c r="C599" s="1104" t="str">
        <f aca="false">'Смета Внутр'!C599</f>
        <v>м</v>
      </c>
      <c r="D599" s="1109" t="n">
        <f aca="false">'Смета Внутр'!D599</f>
        <v>0</v>
      </c>
      <c r="E599" s="1104" t="n">
        <f aca="false">'Смета Внутр'!E599</f>
        <v>0</v>
      </c>
      <c r="F599" s="1104" t="n">
        <f aca="false">'Смета Внутр'!F599</f>
        <v>0</v>
      </c>
      <c r="G599" s="1104" t="n">
        <f aca="false">IF(E599&gt;F599,E599,F599)</f>
        <v>0</v>
      </c>
      <c r="H599" s="1104" t="n">
        <f aca="false">'Смета Внутр'!G599</f>
        <v>0</v>
      </c>
      <c r="I599" s="1104" t="n">
        <f aca="false">'Смета Внутр'!H599</f>
        <v>0</v>
      </c>
      <c r="J599" s="1109" t="n">
        <f aca="false">'Смета Внутр'!I599</f>
        <v>0</v>
      </c>
    </row>
    <row r="600" customFormat="false" ht="15" hidden="true" customHeight="true" outlineLevel="0" collapsed="false">
      <c r="B600" s="1104" t="str">
        <f aca="false">'Смета Внутр'!B600</f>
        <v>Нет наждачной бумаги</v>
      </c>
      <c r="C600" s="1104" t="str">
        <f aca="false">'Смета Внутр'!C600</f>
        <v>м</v>
      </c>
      <c r="D600" s="1109" t="n">
        <f aca="false">'Смета Внутр'!D600</f>
        <v>0</v>
      </c>
      <c r="E600" s="1104" t="n">
        <f aca="false">'Смета Внутр'!E600</f>
        <v>0</v>
      </c>
      <c r="F600" s="1104" t="n">
        <f aca="false">'Смета Внутр'!F600</f>
        <v>0</v>
      </c>
      <c r="G600" s="1104" t="n">
        <f aca="false">IF(E600&gt;F600,E600,F600)</f>
        <v>0</v>
      </c>
      <c r="H600" s="1104" t="n">
        <f aca="false">'Смета Внутр'!G600</f>
        <v>0</v>
      </c>
      <c r="I600" s="1104" t="n">
        <f aca="false">'Смета Внутр'!H600</f>
        <v>0</v>
      </c>
      <c r="J600" s="1109" t="n">
        <f aca="false">'Смета Внутр'!I600</f>
        <v>0</v>
      </c>
    </row>
    <row r="601" customFormat="false" ht="15" hidden="true" customHeight="true" outlineLevel="0" collapsed="false">
      <c r="B601" s="1104" t="str">
        <f aca="false">'Смета Внутр'!B601</f>
        <v>Нет наждачной бумаги</v>
      </c>
      <c r="C601" s="1104" t="str">
        <f aca="false">'Смета Внутр'!C601</f>
        <v>м</v>
      </c>
      <c r="D601" s="1109" t="n">
        <f aca="false">'Смета Внутр'!D601</f>
        <v>0</v>
      </c>
      <c r="E601" s="1104" t="n">
        <f aca="false">'Смета Внутр'!E601</f>
        <v>0</v>
      </c>
      <c r="F601" s="1104" t="n">
        <f aca="false">'Смета Внутр'!F601</f>
        <v>0</v>
      </c>
      <c r="G601" s="1104" t="n">
        <f aca="false">IF(E601&gt;F601,E601,F601)</f>
        <v>0</v>
      </c>
      <c r="H601" s="1104" t="n">
        <f aca="false">'Смета Внутр'!G601</f>
        <v>0</v>
      </c>
      <c r="I601" s="1104" t="n">
        <f aca="false">'Смета Внутр'!H601</f>
        <v>0</v>
      </c>
      <c r="J601" s="1109" t="n">
        <f aca="false">'Смета Внутр'!I601</f>
        <v>0</v>
      </c>
    </row>
    <row r="602" customFormat="false" ht="15" hidden="true" customHeight="false" outlineLevel="0" collapsed="false">
      <c r="B602" s="1108" t="str">
        <f aca="false">'Смета Внутр'!B602</f>
        <v>Итого материалы</v>
      </c>
      <c r="C602" s="1108"/>
      <c r="D602" s="1108"/>
      <c r="E602" s="1108"/>
      <c r="F602" s="1108"/>
      <c r="G602" s="1108"/>
      <c r="H602" s="1104" t="n">
        <f aca="false">'Смета Внутр'!G602</f>
        <v>0</v>
      </c>
      <c r="I602" s="1104" t="n">
        <f aca="false">'Смета Внутр'!H602</f>
        <v>0</v>
      </c>
      <c r="J602" s="1109" t="n">
        <f aca="false">'Смета Внутр'!I602</f>
        <v>0</v>
      </c>
    </row>
    <row r="603" customFormat="false" ht="15" hidden="true" customHeight="true" outlineLevel="0" collapsed="false">
      <c r="B603" s="118" t="str">
        <f aca="false">'Смета Внутр'!B603</f>
        <v>Работы</v>
      </c>
      <c r="H603" s="118" t="n">
        <f aca="false">'Смета Внутр'!G603</f>
        <v>0</v>
      </c>
      <c r="I603" s="118" t="n">
        <f aca="false">'Смета Внутр'!H603</f>
        <v>0</v>
      </c>
      <c r="J603" s="1102" t="n">
        <f aca="false">'Смета Внутр'!I603</f>
        <v>0</v>
      </c>
    </row>
    <row r="604" customFormat="false" ht="15" hidden="true" customHeight="true" outlineLevel="0" collapsed="false">
      <c r="B604" s="1104" t="str">
        <f aca="false">'Смета Внутр'!B604</f>
        <v>кладка Дикого леса</v>
      </c>
      <c r="C604" s="1104" t="str">
        <f aca="false">'Смета Внутр'!C604</f>
        <v>м3</v>
      </c>
      <c r="D604" s="1109" t="n">
        <f aca="false">'Смета Внутр'!D604</f>
        <v>1.09982631578947</v>
      </c>
      <c r="E604" s="1104" t="n">
        <f aca="false">'Смета Внутр'!E604</f>
        <v>6000</v>
      </c>
      <c r="F604" s="1104" t="n">
        <f aca="false">'Смета Внутр'!F604</f>
        <v>0</v>
      </c>
      <c r="G604" s="1104" t="n">
        <f aca="false">IF(E604&gt;F604,E604,F604)</f>
        <v>6000</v>
      </c>
      <c r="H604" s="1104" t="n">
        <f aca="false">'Смета Внутр'!G604</f>
        <v>6598.95789473684</v>
      </c>
      <c r="I604" s="1104" t="n">
        <f aca="false">'Смета Внутр'!H604</f>
        <v>0</v>
      </c>
      <c r="J604" s="1109" t="n">
        <f aca="false">'Смета Внутр'!I604</f>
        <v>0</v>
      </c>
    </row>
    <row r="605" customFormat="false" ht="15" hidden="true" customHeight="true" outlineLevel="0" collapsed="false">
      <c r="B605" s="1104" t="str">
        <f aca="false">'Смета Внутр'!B605</f>
        <v>окосячка проемов, м.п.</v>
      </c>
      <c r="C605" s="1104" t="str">
        <f aca="false">'Смета Внутр'!C605</f>
        <v>м.п.</v>
      </c>
      <c r="D605" s="1109" t="n">
        <f aca="false">'Смета Внутр'!D605</f>
        <v>0</v>
      </c>
      <c r="E605" s="1104" t="n">
        <f aca="false">'Смета Внутр'!E605</f>
        <v>150</v>
      </c>
      <c r="F605" s="1104" t="n">
        <f aca="false">'Смета Внутр'!F605</f>
        <v>0</v>
      </c>
      <c r="G605" s="1104" t="n">
        <f aca="false">IF(E605&gt;F605,E605,F605)</f>
        <v>150</v>
      </c>
      <c r="H605" s="1104" t="n">
        <f aca="false">'Смета Внутр'!G605</f>
        <v>0</v>
      </c>
      <c r="I605" s="1104" t="n">
        <f aca="false">'Смета Внутр'!H605</f>
        <v>0</v>
      </c>
      <c r="J605" s="1109" t="n">
        <f aca="false">'Смета Внутр'!I605</f>
        <v>0</v>
      </c>
    </row>
    <row r="606" customFormat="false" ht="15" hidden="true" customHeight="true" outlineLevel="0" collapsed="false">
      <c r="B606" s="1104" t="str">
        <f aca="false">'Смета Внутр'!B606</f>
        <v>обработка торцов на брусе</v>
      </c>
      <c r="C606" s="1104" t="str">
        <f aca="false">'Смета Внутр'!C606</f>
        <v>м.п.</v>
      </c>
      <c r="D606" s="1109" t="n">
        <f aca="false">'Смета Внутр'!D606</f>
        <v>20</v>
      </c>
      <c r="E606" s="1104" t="n">
        <f aca="false">'Смета Внутр'!E606</f>
        <v>250</v>
      </c>
      <c r="F606" s="1104" t="n">
        <f aca="false">'Смета Внутр'!F606</f>
        <v>0</v>
      </c>
      <c r="G606" s="1104" t="n">
        <f aca="false">IF(E606&gt;F606,E606,F606)</f>
        <v>250</v>
      </c>
      <c r="H606" s="1104" t="n">
        <f aca="false">'Смета Внутр'!G606</f>
        <v>5000</v>
      </c>
      <c r="I606" s="1104" t="n">
        <f aca="false">'Смета Внутр'!H606</f>
        <v>0</v>
      </c>
      <c r="J606" s="1109" t="n">
        <f aca="false">'Смета Внутр'!I606</f>
        <v>0</v>
      </c>
    </row>
    <row r="607" customFormat="false" ht="15" hidden="true" customHeight="true" outlineLevel="0" collapsed="false">
      <c r="B607" s="1104" t="str">
        <f aca="false">'Смета Внутр'!B607</f>
        <v>Обаботка огнебиозащитой</v>
      </c>
      <c r="C607" s="1104" t="str">
        <f aca="false">'Смета Внутр'!C607</f>
        <v>м.п.</v>
      </c>
      <c r="D607" s="1109" t="n">
        <f aca="false">'Смета Внутр'!D607</f>
        <v>1.09982631578947</v>
      </c>
      <c r="E607" s="1104" t="n">
        <f aca="false">'Смета Внутр'!E607</f>
        <v>300</v>
      </c>
      <c r="F607" s="1104" t="n">
        <f aca="false">'Смета Внутр'!F607</f>
        <v>0</v>
      </c>
      <c r="G607" s="1104" t="n">
        <f aca="false">IF(E607&gt;F607,E607,F607)</f>
        <v>300</v>
      </c>
      <c r="H607" s="1104" t="n">
        <f aca="false">'Смета Внутр'!G607</f>
        <v>329.947894736842</v>
      </c>
      <c r="I607" s="1104" t="n">
        <f aca="false">'Смета Внутр'!H607</f>
        <v>0</v>
      </c>
      <c r="J607" s="1109" t="n">
        <f aca="false">'Смета Внутр'!I607</f>
        <v>0</v>
      </c>
    </row>
    <row r="608" customFormat="false" ht="15" hidden="true" customHeight="true" outlineLevel="0" collapsed="false">
      <c r="B608" s="1104" t="str">
        <f aca="false">'Смета Внутр'!B608</f>
        <v>Пропитка стен внешних</v>
      </c>
      <c r="C608" s="1104" t="str">
        <f aca="false">'Смета Внутр'!C608</f>
        <v>м.п.</v>
      </c>
      <c r="D608" s="1109" t="n">
        <f aca="false">'Смета Внутр'!D608</f>
        <v>0</v>
      </c>
      <c r="E608" s="1104" t="n">
        <f aca="false">'Смета Внутр'!E608</f>
        <v>100</v>
      </c>
      <c r="F608" s="1104" t="n">
        <f aca="false">'Смета Внутр'!F608</f>
        <v>0</v>
      </c>
      <c r="G608" s="1104" t="n">
        <f aca="false">IF(E608&gt;F608,E608,F608)</f>
        <v>100</v>
      </c>
      <c r="H608" s="1104" t="n">
        <f aca="false">'Смета Внутр'!G608</f>
        <v>0</v>
      </c>
      <c r="I608" s="1104" t="n">
        <f aca="false">'Смета Внутр'!H608</f>
        <v>0</v>
      </c>
      <c r="J608" s="1109" t="n">
        <f aca="false">'Смета Внутр'!I608</f>
        <v>0</v>
      </c>
    </row>
    <row r="609" customFormat="false" ht="15" hidden="true" customHeight="true" outlineLevel="0" collapsed="false">
      <c r="B609" s="1104" t="str">
        <f aca="false">'Смета Внутр'!B609</f>
        <v>Пропитка внутенних стен</v>
      </c>
      <c r="C609" s="1104" t="str">
        <f aca="false">'Смета Внутр'!C609</f>
        <v>м.п.</v>
      </c>
      <c r="D609" s="1109" t="n">
        <f aca="false">'Смета Внутр'!D609</f>
        <v>0</v>
      </c>
      <c r="E609" s="1104" t="n">
        <f aca="false">'Смета Внутр'!E609</f>
        <v>100</v>
      </c>
      <c r="F609" s="1104" t="n">
        <f aca="false">'Смета Внутр'!F609</f>
        <v>0</v>
      </c>
      <c r="G609" s="1104" t="n">
        <f aca="false">IF(E609&gt;F609,E609,F609)</f>
        <v>100</v>
      </c>
      <c r="H609" s="1104" t="n">
        <f aca="false">'Смета Внутр'!G609</f>
        <v>0</v>
      </c>
      <c r="I609" s="1104" t="n">
        <f aca="false">'Смета Внутр'!H609</f>
        <v>0</v>
      </c>
      <c r="J609" s="1109" t="n">
        <f aca="false">'Смета Внутр'!I609</f>
        <v>0</v>
      </c>
    </row>
    <row r="610" customFormat="false" ht="15" hidden="true" customHeight="true" outlineLevel="0" collapsed="false">
      <c r="B610" s="1104" t="str">
        <f aca="false">'Смета Внутр'!B610</f>
        <v>Не считать</v>
      </c>
      <c r="C610" s="1104" t="str">
        <f aca="false">'Смета Внутр'!C610</f>
        <v>м.п.</v>
      </c>
      <c r="D610" s="1109" t="n">
        <f aca="false">'Смета Внутр'!D610</f>
        <v>0</v>
      </c>
      <c r="E610" s="1104" t="n">
        <f aca="false">'Смета Внутр'!E610</f>
        <v>300</v>
      </c>
      <c r="F610" s="1104" t="n">
        <f aca="false">'Смета Внутр'!F610</f>
        <v>0</v>
      </c>
      <c r="G610" s="1104" t="n">
        <f aca="false">IF(E610&gt;F610,E610,F610)</f>
        <v>300</v>
      </c>
      <c r="H610" s="1104" t="n">
        <f aca="false">'Смета Внутр'!G610</f>
        <v>0</v>
      </c>
      <c r="I610" s="1104" t="n">
        <f aca="false">'Смета Внутр'!H610</f>
        <v>0</v>
      </c>
      <c r="J610" s="1109" t="n">
        <f aca="false">'Смета Внутр'!I610</f>
        <v>0</v>
      </c>
    </row>
    <row r="611" customFormat="false" ht="15" hidden="true" customHeight="true" outlineLevel="0" collapsed="false">
      <c r="B611" s="1104" t="str">
        <f aca="false">'Смета Внутр'!B611</f>
        <v>Монтаж наличника</v>
      </c>
      <c r="C611" s="1104" t="str">
        <f aca="false">'Смета Внутр'!C611</f>
        <v>м.п.</v>
      </c>
      <c r="D611" s="1109" t="n">
        <f aca="false">'Смета Внутр'!D611</f>
        <v>0</v>
      </c>
      <c r="E611" s="1104" t="n">
        <f aca="false">'Смета Внутр'!E611</f>
        <v>80</v>
      </c>
      <c r="F611" s="1104" t="n">
        <f aca="false">'Смета Внутр'!F611</f>
        <v>0</v>
      </c>
      <c r="G611" s="1104" t="n">
        <f aca="false">IF(E611&gt;F611,E611,F611)</f>
        <v>80</v>
      </c>
      <c r="H611" s="1104" t="n">
        <f aca="false">'Смета Внутр'!G611</f>
        <v>0</v>
      </c>
      <c r="I611" s="1104" t="n">
        <f aca="false">'Смета Внутр'!H611</f>
        <v>0</v>
      </c>
      <c r="J611" s="1109" t="n">
        <f aca="false">'Смета Внутр'!I611</f>
        <v>0</v>
      </c>
    </row>
    <row r="612" customFormat="false" ht="15" hidden="true" customHeight="true" outlineLevel="0" collapsed="false">
      <c r="B612" s="1104" t="str">
        <f aca="false">'Смета Внутр'!B612</f>
        <v>Шлифовка стен дома</v>
      </c>
      <c r="C612" s="1104" t="str">
        <f aca="false">'Смета Внутр'!C612</f>
        <v>м.п.</v>
      </c>
      <c r="D612" s="1109" t="n">
        <f aca="false">'Смета Внутр'!D612</f>
        <v>0</v>
      </c>
      <c r="E612" s="1104" t="n">
        <f aca="false">'Смета Внутр'!E612</f>
        <v>250</v>
      </c>
      <c r="F612" s="1104" t="n">
        <f aca="false">'Смета Внутр'!F612</f>
        <v>0</v>
      </c>
      <c r="G612" s="1104" t="n">
        <f aca="false">IF(E612&gt;F612,E612,F612)</f>
        <v>250</v>
      </c>
      <c r="H612" s="1104" t="n">
        <f aca="false">'Смета Внутр'!G612</f>
        <v>0</v>
      </c>
      <c r="I612" s="1104" t="n">
        <f aca="false">'Смета Внутр'!H612</f>
        <v>0</v>
      </c>
      <c r="J612" s="1109" t="n">
        <f aca="false">'Смета Внутр'!I612</f>
        <v>0</v>
      </c>
    </row>
    <row r="613" customFormat="false" ht="15" hidden="true" customHeight="true" outlineLevel="0" collapsed="false">
      <c r="B613" s="1108" t="str">
        <f aca="false">'Смета Внутр'!B613</f>
        <v>Итого работы</v>
      </c>
      <c r="C613" s="1108"/>
      <c r="D613" s="1108"/>
      <c r="E613" s="1108"/>
      <c r="F613" s="1108"/>
      <c r="G613" s="1108"/>
      <c r="H613" s="1104" t="n">
        <f aca="false">'Смета Внутр'!G613</f>
        <v>0</v>
      </c>
      <c r="I613" s="1104" t="n">
        <f aca="false">'Смета Внутр'!H613</f>
        <v>0</v>
      </c>
      <c r="J613" s="1109" t="n">
        <f aca="false">'Смета Внутр'!I613</f>
        <v>0</v>
      </c>
    </row>
    <row r="614" customFormat="false" ht="15" hidden="true" customHeight="true" outlineLevel="0" collapsed="false">
      <c r="B614" s="1111" t="str">
        <f aca="false">'Смета Внутр'!B614</f>
        <v>Дом из Оцилиндрованного бревна</v>
      </c>
      <c r="C614" s="1111"/>
      <c r="D614" s="1111"/>
      <c r="H614" s="118" t="n">
        <f aca="false">'Смета Внутр'!G614</f>
        <v>0</v>
      </c>
      <c r="I614" s="118" t="n">
        <f aca="false">'Смета Внутр'!H614</f>
        <v>0</v>
      </c>
      <c r="J614" s="1102" t="n">
        <f aca="false">'Смета Внутр'!I614</f>
        <v>0</v>
      </c>
    </row>
    <row r="615" customFormat="false" ht="15" hidden="true" customHeight="true" outlineLevel="0" collapsed="false">
      <c r="B615" s="118" t="str">
        <f aca="false">'Смета Внутр'!B615</f>
        <v>Материалы</v>
      </c>
      <c r="H615" s="118" t="n">
        <f aca="false">'Смета Внутр'!G615</f>
        <v>0</v>
      </c>
      <c r="I615" s="118" t="n">
        <f aca="false">'Смета Внутр'!H615</f>
        <v>0</v>
      </c>
      <c r="J615" s="1102" t="n">
        <f aca="false">'Смета Внутр'!I615</f>
        <v>0</v>
      </c>
    </row>
    <row r="616" customFormat="false" ht="15" hidden="true" customHeight="true" outlineLevel="0" collapsed="false">
      <c r="B616" s="1104" t="str">
        <f aca="false">'Смета Внутр'!B616</f>
        <v>Оцилиндрованное бревно лиственница 280мм</v>
      </c>
      <c r="C616" s="1104" t="str">
        <f aca="false">'Смета Внутр'!C616</f>
        <v>м3</v>
      </c>
      <c r="D616" s="1109" t="n">
        <f aca="false">'Смета Внутр'!D616</f>
        <v>6.79014952</v>
      </c>
      <c r="E616" s="1104" t="n">
        <f aca="false">'Смета Внутр'!E616</f>
        <v>10000</v>
      </c>
      <c r="F616" s="1104" t="n">
        <f aca="false">'Смета Внутр'!F616</f>
        <v>0</v>
      </c>
      <c r="G616" s="1104" t="n">
        <f aca="false">IF(E616&gt;F616,E616,F616)</f>
        <v>10000</v>
      </c>
      <c r="H616" s="1104" t="n">
        <f aca="false">'Смета Внутр'!G616</f>
        <v>67901.4952</v>
      </c>
      <c r="I616" s="1104" t="n">
        <f aca="false">'Смета Внутр'!H616</f>
        <v>0</v>
      </c>
      <c r="J616" s="1109" t="n">
        <f aca="false">'Смета Внутр'!I616</f>
        <v>0</v>
      </c>
    </row>
    <row r="617" customFormat="false" ht="15" hidden="true" customHeight="true" outlineLevel="0" collapsed="false">
      <c r="B617" s="1104" t="str">
        <f aca="false">'Смета Внутр'!B617</f>
        <v>Оцилиндрованное бревно сосна 220мм</v>
      </c>
      <c r="C617" s="1104" t="str">
        <f aca="false">'Смета Внутр'!C617</f>
        <v>м3</v>
      </c>
      <c r="D617" s="1109" t="n">
        <f aca="false">'Смета Внутр'!D617</f>
        <v>-5.69032320421053</v>
      </c>
      <c r="E617" s="1104" t="n">
        <f aca="false">'Смета Внутр'!E617</f>
        <v>8000</v>
      </c>
      <c r="F617" s="1104" t="n">
        <f aca="false">'Смета Внутр'!F617</f>
        <v>0</v>
      </c>
      <c r="G617" s="1104" t="n">
        <f aca="false">IF(E617&gt;F617,E617,F617)</f>
        <v>8000</v>
      </c>
      <c r="H617" s="1104" t="n">
        <f aca="false">'Смета Внутр'!G617</f>
        <v>-45522.5856336842</v>
      </c>
      <c r="I617" s="1104" t="n">
        <f aca="false">'Смета Внутр'!H617</f>
        <v>0</v>
      </c>
      <c r="J617" s="1109" t="n">
        <f aca="false">'Смета Внутр'!I617</f>
        <v>0</v>
      </c>
    </row>
    <row r="618" customFormat="false" ht="15" hidden="true" customHeight="true" outlineLevel="0" collapsed="false">
      <c r="B618" s="1104" t="str">
        <f aca="false">'Смета Внутр'!B618</f>
        <v>Оцилиндрованное бревно сосна 220мм</v>
      </c>
      <c r="C618" s="1104" t="str">
        <f aca="false">'Смета Внутр'!C618</f>
        <v>м3</v>
      </c>
      <c r="D618" s="1109" t="n">
        <f aca="false">'Смета Внутр'!D618</f>
        <v>0</v>
      </c>
      <c r="E618" s="1104" t="n">
        <f aca="false">'Смета Внутр'!E618</f>
        <v>8000</v>
      </c>
      <c r="F618" s="1104" t="n">
        <f aca="false">'Смета Внутр'!F618</f>
        <v>0</v>
      </c>
      <c r="G618" s="1104" t="n">
        <f aca="false">IF(E618&gt;F618,E618,F618)</f>
        <v>8000</v>
      </c>
      <c r="H618" s="1104" t="n">
        <f aca="false">'Смета Внутр'!G618</f>
        <v>0</v>
      </c>
      <c r="I618" s="1104" t="n">
        <f aca="false">'Смета Внутр'!H618</f>
        <v>0</v>
      </c>
      <c r="J618" s="1109" t="n">
        <f aca="false">'Смета Внутр'!I618</f>
        <v>0</v>
      </c>
    </row>
    <row r="619" customFormat="false" ht="15" hidden="true" customHeight="true" outlineLevel="0" collapsed="false">
      <c r="B619" s="1104" t="str">
        <f aca="false">'Смета Внутр'!B619</f>
        <v>Оцилиндрованное бревно сосна 220мм</v>
      </c>
      <c r="C619" s="1104" t="str">
        <f aca="false">'Смета Внутр'!C619</f>
        <v>м2</v>
      </c>
      <c r="D619" s="1109" t="n">
        <f aca="false">'Смета Внутр'!D619</f>
        <v>0</v>
      </c>
      <c r="E619" s="1104" t="n">
        <f aca="false">'Смета Внутр'!E619</f>
        <v>8000</v>
      </c>
      <c r="F619" s="1104" t="n">
        <f aca="false">'Смета Внутр'!F619</f>
        <v>0</v>
      </c>
      <c r="G619" s="1104" t="n">
        <f aca="false">IF(E619&gt;F619,E619,F619)</f>
        <v>8000</v>
      </c>
      <c r="H619" s="1104" t="n">
        <f aca="false">'Смета Внутр'!G619</f>
        <v>0</v>
      </c>
      <c r="I619" s="1104" t="n">
        <f aca="false">'Смета Внутр'!H619</f>
        <v>0</v>
      </c>
      <c r="J619" s="1109" t="n">
        <f aca="false">'Смета Внутр'!I619</f>
        <v>0</v>
      </c>
    </row>
    <row r="620" customFormat="false" ht="15" hidden="true" customHeight="true" outlineLevel="0" collapsed="false">
      <c r="B620" s="1104" t="str">
        <f aca="false">'Смета Внутр'!B620</f>
        <v>Шкант</v>
      </c>
      <c r="C620" s="1104" t="str">
        <f aca="false">'Смета Внутр'!C620</f>
        <v>шт</v>
      </c>
      <c r="D620" s="1109" t="n">
        <f aca="false">'Смета Внутр'!D620</f>
        <v>25</v>
      </c>
      <c r="E620" s="1104" t="n">
        <f aca="false">'Смета Внутр'!E620</f>
        <v>6</v>
      </c>
      <c r="F620" s="1104" t="n">
        <f aca="false">'Смета Внутр'!F620</f>
        <v>0</v>
      </c>
      <c r="G620" s="1104" t="n">
        <f aca="false">IF(E620&gt;F620,E620,F620)</f>
        <v>6</v>
      </c>
      <c r="H620" s="1104" t="n">
        <f aca="false">'Смета Внутр'!G620</f>
        <v>150</v>
      </c>
      <c r="I620" s="1104" t="n">
        <f aca="false">'Смета Внутр'!H620</f>
        <v>0</v>
      </c>
      <c r="J620" s="1109" t="n">
        <f aca="false">'Смета Внутр'!I620</f>
        <v>0</v>
      </c>
    </row>
    <row r="621" customFormat="false" ht="15" hidden="true" customHeight="true" outlineLevel="0" collapsed="false">
      <c r="B621" s="1104" t="str">
        <f aca="false">'Смета Внутр'!B621</f>
        <v>Лен-джут 200х5х20000 мм</v>
      </c>
      <c r="C621" s="1104" t="str">
        <f aca="false">'Смета Внутр'!C621</f>
        <v>шт</v>
      </c>
      <c r="D621" s="1109" t="n">
        <f aca="false">'Смета Внутр'!D621</f>
        <v>2</v>
      </c>
      <c r="E621" s="1104" t="n">
        <f aca="false">'Смета Внутр'!E621</f>
        <v>175</v>
      </c>
      <c r="F621" s="1104" t="n">
        <f aca="false">'Смета Внутр'!F621</f>
        <v>0</v>
      </c>
      <c r="G621" s="1104" t="n">
        <f aca="false">IF(E621&gt;F621,E621,F621)</f>
        <v>175</v>
      </c>
      <c r="H621" s="1104" t="n">
        <f aca="false">'Смета Внутр'!G621</f>
        <v>350</v>
      </c>
      <c r="I621" s="1104" t="n">
        <f aca="false">'Смета Внутр'!H621</f>
        <v>0</v>
      </c>
      <c r="J621" s="1109" t="n">
        <f aca="false">'Смета Внутр'!I621</f>
        <v>0</v>
      </c>
    </row>
    <row r="622" customFormat="false" ht="15" hidden="true" customHeight="true" outlineLevel="0" collapsed="false">
      <c r="B622" s="1104" t="str">
        <f aca="false">'Смета Внутр'!B622</f>
        <v>Гвозди ершоные 2,8 х 90            </v>
      </c>
      <c r="C622" s="1104" t="str">
        <f aca="false">'Смета Внутр'!C622</f>
        <v>шт</v>
      </c>
      <c r="D622" s="1109" t="n">
        <f aca="false">'Смета Внутр'!D622</f>
        <v>4.84</v>
      </c>
      <c r="E622" s="1104" t="n">
        <f aca="false">'Смета Внутр'!E622</f>
        <v>76.49</v>
      </c>
      <c r="F622" s="1104" t="n">
        <f aca="false">'Смета Внутр'!F622</f>
        <v>0</v>
      </c>
      <c r="G622" s="1104" t="n">
        <f aca="false">IF(E622&gt;F622,E622,F622)</f>
        <v>76.49</v>
      </c>
      <c r="H622" s="1104" t="n">
        <f aca="false">'Смета Внутр'!G622</f>
        <v>370.2116</v>
      </c>
      <c r="I622" s="1104" t="n">
        <f aca="false">'Смета Внутр'!H622</f>
        <v>0</v>
      </c>
      <c r="J622" s="1109" t="n">
        <f aca="false">'Смета Внутр'!I622</f>
        <v>0</v>
      </c>
    </row>
    <row r="623" customFormat="false" ht="15" hidden="true" customHeight="true" outlineLevel="0" collapsed="false">
      <c r="B623" s="1104" t="str">
        <f aca="false">'Смета Внутр'!B623</f>
        <v>нет</v>
      </c>
      <c r="C623" s="1104" t="str">
        <f aca="false">'Смета Внутр'!C623</f>
        <v>м3</v>
      </c>
      <c r="D623" s="1109" t="n">
        <f aca="false">'Смета Внутр'!D623</f>
        <v>0</v>
      </c>
      <c r="E623" s="1104" t="n">
        <f aca="false">'Смета Внутр'!E623</f>
        <v>0</v>
      </c>
      <c r="F623" s="1104" t="n">
        <f aca="false">'Смета Внутр'!F623</f>
        <v>0</v>
      </c>
      <c r="G623" s="1104" t="n">
        <f aca="false">IF(E623&gt;F623,E623,F623)</f>
        <v>0</v>
      </c>
      <c r="H623" s="1104" t="n">
        <f aca="false">'Смета Внутр'!G623</f>
        <v>0</v>
      </c>
      <c r="I623" s="1104" t="n">
        <f aca="false">'Смета Внутр'!H623</f>
        <v>0</v>
      </c>
      <c r="J623" s="1109" t="n">
        <f aca="false">'Смета Внутр'!I623</f>
        <v>0</v>
      </c>
    </row>
    <row r="624" customFormat="false" ht="15" hidden="true" customHeight="true" outlineLevel="0" collapsed="false">
      <c r="B624" s="1104" t="str">
        <f aca="false">'Смета Внутр'!B624</f>
        <v>нет</v>
      </c>
      <c r="C624" s="1104" t="str">
        <f aca="false">'Смета Внутр'!C624</f>
        <v>м3</v>
      </c>
      <c r="D624" s="1109" t="n">
        <f aca="false">'Смета Внутр'!D624</f>
        <v>0</v>
      </c>
      <c r="E624" s="1104" t="n">
        <f aca="false">'Смета Внутр'!E624</f>
        <v>0</v>
      </c>
      <c r="F624" s="1104" t="n">
        <f aca="false">'Смета Внутр'!F624</f>
        <v>0</v>
      </c>
      <c r="G624" s="1104" t="n">
        <f aca="false">IF(E624&gt;F624,E624,F624)</f>
        <v>0</v>
      </c>
      <c r="H624" s="1104" t="n">
        <f aca="false">'Смета Внутр'!G624</f>
        <v>0</v>
      </c>
      <c r="I624" s="1104" t="n">
        <f aca="false">'Смета Внутр'!H624</f>
        <v>0</v>
      </c>
      <c r="J624" s="1109" t="n">
        <f aca="false">'Смета Внутр'!I624</f>
        <v>0</v>
      </c>
    </row>
    <row r="625" customFormat="false" ht="15" hidden="true" customHeight="true" outlineLevel="0" collapsed="false">
      <c r="B625" s="1104" t="str">
        <f aca="false">'Смета Внутр'!B625</f>
        <v>нет</v>
      </c>
      <c r="C625" s="1104" t="str">
        <f aca="false">'Смета Внутр'!C625</f>
        <v>м3</v>
      </c>
      <c r="D625" s="1109" t="n">
        <f aca="false">'Смета Внутр'!D625</f>
        <v>0</v>
      </c>
      <c r="E625" s="1104" t="n">
        <f aca="false">'Смета Внутр'!E625</f>
        <v>0</v>
      </c>
      <c r="F625" s="1104" t="n">
        <f aca="false">'Смета Внутр'!F625</f>
        <v>0</v>
      </c>
      <c r="G625" s="1104" t="n">
        <f aca="false">IF(E625&gt;F625,E625,F625)</f>
        <v>0</v>
      </c>
      <c r="H625" s="1104" t="n">
        <f aca="false">'Смета Внутр'!G625</f>
        <v>0</v>
      </c>
      <c r="I625" s="1104" t="n">
        <f aca="false">'Смета Внутр'!H625</f>
        <v>0</v>
      </c>
      <c r="J625" s="1109" t="n">
        <f aca="false">'Смета Внутр'!I625</f>
        <v>0</v>
      </c>
    </row>
    <row r="626" customFormat="false" ht="15" hidden="true" customHeight="true" outlineLevel="0" collapsed="false">
      <c r="B626" s="1104" t="str">
        <f aca="false">'Смета Внутр'!B626</f>
        <v>нет</v>
      </c>
      <c r="C626" s="1104" t="str">
        <f aca="false">'Смета Внутр'!C626</f>
        <v>м.п.</v>
      </c>
      <c r="D626" s="1109" t="n">
        <f aca="false">'Смета Внутр'!D626</f>
        <v>0</v>
      </c>
      <c r="E626" s="1104" t="n">
        <f aca="false">'Смета Внутр'!E626</f>
        <v>0</v>
      </c>
      <c r="F626" s="1104" t="n">
        <f aca="false">'Смета Внутр'!F626</f>
        <v>0</v>
      </c>
      <c r="G626" s="1104" t="n">
        <f aca="false">IF(E626&gt;F626,E626,F626)</f>
        <v>0</v>
      </c>
      <c r="H626" s="1104" t="n">
        <f aca="false">'Смета Внутр'!G626</f>
        <v>0</v>
      </c>
      <c r="I626" s="1104" t="n">
        <f aca="false">'Смета Внутр'!H626</f>
        <v>0</v>
      </c>
      <c r="J626" s="1109" t="n">
        <f aca="false">'Смета Внутр'!I626</f>
        <v>0</v>
      </c>
    </row>
    <row r="627" customFormat="false" ht="15" hidden="true" customHeight="true" outlineLevel="0" collapsed="false">
      <c r="B627" s="1104" t="str">
        <f aca="false">'Смета Внутр'!B627</f>
        <v>Бензин для пилы</v>
      </c>
      <c r="C627" s="1104" t="str">
        <f aca="false">'Смета Внутр'!C627</f>
        <v>л</v>
      </c>
      <c r="D627" s="1109" t="n">
        <f aca="false">'Смета Внутр'!D627</f>
        <v>0.274956578947368</v>
      </c>
      <c r="E627" s="1104" t="n">
        <f aca="false">'Смета Внутр'!E627</f>
        <v>40</v>
      </c>
      <c r="F627" s="1104" t="n">
        <f aca="false">'Смета Внутр'!F627</f>
        <v>0</v>
      </c>
      <c r="G627" s="1104" t="n">
        <f aca="false">IF(E627&gt;F627,E627,F627)</f>
        <v>40</v>
      </c>
      <c r="H627" s="1104" t="n">
        <f aca="false">'Смета Внутр'!G627</f>
        <v>10.9982631578947</v>
      </c>
      <c r="I627" s="1104" t="n">
        <f aca="false">'Смета Внутр'!H627</f>
        <v>0</v>
      </c>
      <c r="J627" s="1109" t="n">
        <f aca="false">'Смета Внутр'!I627</f>
        <v>0</v>
      </c>
    </row>
    <row r="628" customFormat="false" ht="15" hidden="true" customHeight="true" outlineLevel="0" collapsed="false">
      <c r="B628" s="1104" t="str">
        <f aca="false">'Смета Внутр'!B628</f>
        <v>Масло для пилы</v>
      </c>
      <c r="C628" s="1104" t="str">
        <f aca="false">'Смета Внутр'!C628</f>
        <v>л</v>
      </c>
      <c r="D628" s="1109" t="n">
        <f aca="false">'Смета Внутр'!D628</f>
        <v>0.0137478289473684</v>
      </c>
      <c r="E628" s="1104" t="n">
        <f aca="false">'Смета Внутр'!E628</f>
        <v>250</v>
      </c>
      <c r="F628" s="1104" t="n">
        <f aca="false">'Смета Внутр'!F628</f>
        <v>0</v>
      </c>
      <c r="G628" s="1104" t="n">
        <f aca="false">IF(E628&gt;F628,E628,F628)</f>
        <v>250</v>
      </c>
      <c r="H628" s="1104" t="n">
        <f aca="false">'Смета Внутр'!G628</f>
        <v>3.43695723684211</v>
      </c>
      <c r="I628" s="1104" t="n">
        <f aca="false">'Смета Внутр'!H628</f>
        <v>0</v>
      </c>
      <c r="J628" s="1109" t="n">
        <f aca="false">'Смета Внутр'!I628</f>
        <v>0</v>
      </c>
    </row>
    <row r="629" customFormat="false" ht="15" hidden="true" customHeight="true" outlineLevel="0" collapsed="false">
      <c r="B629" s="1104" t="str">
        <f aca="false">'Смета Внутр'!B629</f>
        <v>Цепь для пилы</v>
      </c>
      <c r="C629" s="1104" t="str">
        <f aca="false">'Смета Внутр'!C629</f>
        <v>шт</v>
      </c>
      <c r="D629" s="1109" t="n">
        <f aca="false">'Смета Внутр'!D629</f>
        <v>1</v>
      </c>
      <c r="E629" s="1104" t="n">
        <f aca="false">'Смета Внутр'!E629</f>
        <v>800</v>
      </c>
      <c r="F629" s="1104" t="n">
        <f aca="false">'Смета Внутр'!F629</f>
        <v>0</v>
      </c>
      <c r="G629" s="1104" t="n">
        <f aca="false">IF(E629&gt;F629,E629,F629)</f>
        <v>800</v>
      </c>
      <c r="H629" s="1104" t="n">
        <f aca="false">'Смета Внутр'!G629</f>
        <v>800</v>
      </c>
      <c r="I629" s="1104" t="n">
        <f aca="false">'Смета Внутр'!H629</f>
        <v>0</v>
      </c>
      <c r="J629" s="1109" t="n">
        <f aca="false">'Смета Внутр'!I629</f>
        <v>0</v>
      </c>
    </row>
    <row r="630" customFormat="false" ht="15" hidden="true" customHeight="true" outlineLevel="0" collapsed="false">
      <c r="B630" s="1104" t="str">
        <f aca="false">'Смета Внутр'!B630</f>
        <v>"Профилюкс" Антисептик ОБЗ-1</v>
      </c>
      <c r="C630" s="1104" t="str">
        <f aca="false">'Смета Внутр'!C630</f>
        <v>л</v>
      </c>
      <c r="D630" s="1109" t="n">
        <f aca="false">'Смета Внутр'!D630</f>
        <v>1.81789473684211</v>
      </c>
      <c r="E630" s="1104" t="n">
        <f aca="false">'Смета Внутр'!E630</f>
        <v>42</v>
      </c>
      <c r="F630" s="1104" t="n">
        <f aca="false">'Смета Внутр'!F630</f>
        <v>0</v>
      </c>
      <c r="G630" s="1104" t="n">
        <f aca="false">IF(E630&gt;F630,E630,F630)</f>
        <v>42</v>
      </c>
      <c r="H630" s="1104" t="n">
        <f aca="false">'Смета Внутр'!G630</f>
        <v>76.3515789473684</v>
      </c>
      <c r="I630" s="1104" t="n">
        <f aca="false">'Смета Внутр'!H630</f>
        <v>0</v>
      </c>
      <c r="J630" s="1109" t="n">
        <f aca="false">'Смета Внутр'!I630</f>
        <v>0</v>
      </c>
    </row>
    <row r="631" customFormat="false" ht="15" hidden="true" customHeight="true" outlineLevel="0" collapsed="false">
      <c r="B631" s="1104" t="str">
        <f aca="false">'Смета Внутр'!B631</f>
        <v>Нет пропитки</v>
      </c>
      <c r="C631" s="1104" t="str">
        <f aca="false">'Смета Внутр'!C631</f>
        <v>л</v>
      </c>
      <c r="D631" s="1109" t="n">
        <f aca="false">'Смета Внутр'!D631</f>
        <v>1.09073684210526</v>
      </c>
      <c r="E631" s="1104" t="n">
        <f aca="false">'Смета Внутр'!E631</f>
        <v>0</v>
      </c>
      <c r="F631" s="1104" t="n">
        <f aca="false">'Смета Внутр'!F631</f>
        <v>0</v>
      </c>
      <c r="G631" s="1104" t="n">
        <f aca="false">IF(E631&gt;F631,E631,F631)</f>
        <v>0</v>
      </c>
      <c r="H631" s="1104" t="n">
        <f aca="false">'Смета Внутр'!G631</f>
        <v>0</v>
      </c>
      <c r="I631" s="1104" t="n">
        <f aca="false">'Смета Внутр'!H631</f>
        <v>0</v>
      </c>
      <c r="J631" s="1109" t="n">
        <f aca="false">'Смета Внутр'!I631</f>
        <v>0</v>
      </c>
    </row>
    <row r="632" customFormat="false" ht="15" hidden="true" customHeight="true" outlineLevel="0" collapsed="false">
      <c r="B632" s="1104" t="str">
        <f aca="false">'Смета Внутр'!B632</f>
        <v>Нет пропитки</v>
      </c>
      <c r="C632" s="1104" t="str">
        <f aca="false">'Смета Внутр'!C632</f>
        <v>л</v>
      </c>
      <c r="D632" s="1109" t="n">
        <f aca="false">'Смета Внутр'!D632</f>
        <v>1.09073684210526</v>
      </c>
      <c r="E632" s="1104" t="n">
        <f aca="false">'Смета Внутр'!E632</f>
        <v>0</v>
      </c>
      <c r="F632" s="1104" t="n">
        <f aca="false">'Смета Внутр'!F632</f>
        <v>0</v>
      </c>
      <c r="G632" s="1104" t="n">
        <f aca="false">IF(E632&gt;F632,E632,F632)</f>
        <v>0</v>
      </c>
      <c r="H632" s="1104" t="n">
        <f aca="false">'Смета Внутр'!G632</f>
        <v>0</v>
      </c>
      <c r="I632" s="1104" t="n">
        <f aca="false">'Смета Внутр'!H632</f>
        <v>0</v>
      </c>
      <c r="J632" s="1109" t="n">
        <f aca="false">'Смета Внутр'!I632</f>
        <v>0</v>
      </c>
    </row>
    <row r="633" customFormat="false" ht="15" hidden="true" customHeight="true" outlineLevel="0" collapsed="false">
      <c r="B633" s="1104" t="str">
        <f aca="false">'Смета Внутр'!B633</f>
        <v>Нет наличника</v>
      </c>
      <c r="C633" s="1104" t="str">
        <f aca="false">'Смета Внутр'!C633</f>
        <v>м.п.</v>
      </c>
      <c r="D633" s="1109" t="n">
        <f aca="false">'Смета Внутр'!D633</f>
        <v>3.57</v>
      </c>
      <c r="E633" s="1104" t="n">
        <f aca="false">'Смета Внутр'!E633</f>
        <v>0</v>
      </c>
      <c r="F633" s="1104" t="n">
        <f aca="false">'Смета Внутр'!F633</f>
        <v>0</v>
      </c>
      <c r="G633" s="1104" t="n">
        <f aca="false">IF(E633&gt;F633,E633,F633)</f>
        <v>0</v>
      </c>
      <c r="H633" s="1104" t="n">
        <f aca="false">'Смета Внутр'!G633</f>
        <v>0</v>
      </c>
      <c r="I633" s="1104" t="n">
        <f aca="false">'Смета Внутр'!H633</f>
        <v>0</v>
      </c>
      <c r="J633" s="1109" t="n">
        <f aca="false">'Смета Внутр'!I633</f>
        <v>0</v>
      </c>
    </row>
    <row r="634" customFormat="false" ht="15" hidden="true" customHeight="true" outlineLevel="0" collapsed="false">
      <c r="B634" s="1104" t="str">
        <f aca="false">'Смета Внутр'!B634</f>
        <v>Нет наличника</v>
      </c>
      <c r="C634" s="1104" t="str">
        <f aca="false">'Смета Внутр'!C634</f>
        <v>м.п.</v>
      </c>
      <c r="D634" s="1109" t="n">
        <f aca="false">'Смета Внутр'!D634</f>
        <v>3.57</v>
      </c>
      <c r="E634" s="1104" t="n">
        <f aca="false">'Смета Внутр'!E634</f>
        <v>0</v>
      </c>
      <c r="F634" s="1104" t="n">
        <f aca="false">'Смета Внутр'!F634</f>
        <v>0</v>
      </c>
      <c r="G634" s="1104" t="n">
        <f aca="false">IF(E634&gt;F634,E634,F634)</f>
        <v>0</v>
      </c>
      <c r="H634" s="1104" t="n">
        <f aca="false">'Смета Внутр'!G634</f>
        <v>0</v>
      </c>
      <c r="I634" s="1104" t="n">
        <f aca="false">'Смета Внутр'!H634</f>
        <v>0</v>
      </c>
      <c r="J634" s="1109" t="n">
        <f aca="false">'Смета Внутр'!I634</f>
        <v>0</v>
      </c>
    </row>
    <row r="635" customFormat="false" ht="15" hidden="true" customHeight="true" outlineLevel="0" collapsed="false">
      <c r="B635" s="1104" t="str">
        <f aca="false">'Смета Внутр'!B635</f>
        <v>Нет наждачной бумаги</v>
      </c>
      <c r="C635" s="1104" t="str">
        <f aca="false">'Смета Внутр'!C635</f>
        <v>м</v>
      </c>
      <c r="D635" s="1109" t="n">
        <f aca="false">'Смета Внутр'!D635</f>
        <v>0</v>
      </c>
      <c r="E635" s="1104" t="n">
        <f aca="false">'Смета Внутр'!E635</f>
        <v>0</v>
      </c>
      <c r="F635" s="1104" t="n">
        <f aca="false">'Смета Внутр'!F635</f>
        <v>0</v>
      </c>
      <c r="G635" s="1104" t="n">
        <f aca="false">IF(E635&gt;F635,E635,F635)</f>
        <v>0</v>
      </c>
      <c r="H635" s="1104" t="n">
        <f aca="false">'Смета Внутр'!G635</f>
        <v>0</v>
      </c>
      <c r="I635" s="1104" t="n">
        <f aca="false">'Смета Внутр'!H635</f>
        <v>0</v>
      </c>
      <c r="J635" s="1109" t="n">
        <f aca="false">'Смета Внутр'!I635</f>
        <v>0</v>
      </c>
    </row>
    <row r="636" customFormat="false" ht="15" hidden="true" customHeight="true" outlineLevel="0" collapsed="false">
      <c r="B636" s="1104" t="str">
        <f aca="false">'Смета Внутр'!B636</f>
        <v>Нет наждачной бумаги</v>
      </c>
      <c r="C636" s="1104" t="str">
        <f aca="false">'Смета Внутр'!C636</f>
        <v>м</v>
      </c>
      <c r="D636" s="1109" t="n">
        <f aca="false">'Смета Внутр'!D636</f>
        <v>0</v>
      </c>
      <c r="E636" s="1104" t="n">
        <f aca="false">'Смета Внутр'!E636</f>
        <v>0</v>
      </c>
      <c r="F636" s="1104" t="n">
        <f aca="false">'Смета Внутр'!F636</f>
        <v>0</v>
      </c>
      <c r="G636" s="1104" t="n">
        <f aca="false">IF(E636&gt;F636,E636,F636)</f>
        <v>0</v>
      </c>
      <c r="H636" s="1104" t="n">
        <f aca="false">'Смета Внутр'!G636</f>
        <v>0</v>
      </c>
      <c r="I636" s="1104" t="n">
        <f aca="false">'Смета Внутр'!H636</f>
        <v>0</v>
      </c>
      <c r="J636" s="1109" t="n">
        <f aca="false">'Смета Внутр'!I636</f>
        <v>0</v>
      </c>
    </row>
    <row r="637" customFormat="false" ht="15" hidden="true" customHeight="true" outlineLevel="0" collapsed="false">
      <c r="B637" s="1104" t="str">
        <f aca="false">'Смета Внутр'!B637</f>
        <v>Нет наждачной бумаги</v>
      </c>
      <c r="C637" s="1104" t="str">
        <f aca="false">'Смета Внутр'!C637</f>
        <v>м</v>
      </c>
      <c r="D637" s="1109" t="n">
        <f aca="false">'Смета Внутр'!D637</f>
        <v>0</v>
      </c>
      <c r="E637" s="1104" t="n">
        <f aca="false">'Смета Внутр'!E637</f>
        <v>0</v>
      </c>
      <c r="F637" s="1104" t="n">
        <f aca="false">'Смета Внутр'!F637</f>
        <v>0</v>
      </c>
      <c r="G637" s="1104" t="n">
        <f aca="false">IF(E637&gt;F637,E637,F637)</f>
        <v>0</v>
      </c>
      <c r="H637" s="1104" t="n">
        <f aca="false">'Смета Внутр'!G637</f>
        <v>0</v>
      </c>
      <c r="I637" s="1104" t="n">
        <f aca="false">'Смета Внутр'!H637</f>
        <v>0</v>
      </c>
      <c r="J637" s="1109" t="n">
        <f aca="false">'Смета Внутр'!I637</f>
        <v>0</v>
      </c>
    </row>
    <row r="638" customFormat="false" ht="15" hidden="true" customHeight="true" outlineLevel="0" collapsed="false">
      <c r="B638" s="1104" t="str">
        <f aca="false">'Смета Внутр'!B638</f>
        <v>Нет наждачной бумаги</v>
      </c>
      <c r="C638" s="1104" t="str">
        <f aca="false">'Смета Внутр'!C638</f>
        <v>м</v>
      </c>
      <c r="D638" s="1109" t="n">
        <f aca="false">'Смета Внутр'!D638</f>
        <v>0</v>
      </c>
      <c r="E638" s="1104" t="n">
        <f aca="false">'Смета Внутр'!E638</f>
        <v>0</v>
      </c>
      <c r="F638" s="1104" t="n">
        <f aca="false">'Смета Внутр'!F638</f>
        <v>0</v>
      </c>
      <c r="G638" s="1104" t="n">
        <f aca="false">IF(E638&gt;F638,E638,F638)</f>
        <v>0</v>
      </c>
      <c r="H638" s="1104" t="n">
        <f aca="false">'Смета Внутр'!G638</f>
        <v>0</v>
      </c>
      <c r="I638" s="1104" t="n">
        <f aca="false">'Смета Внутр'!H638</f>
        <v>0</v>
      </c>
      <c r="J638" s="1109" t="n">
        <f aca="false">'Смета Внутр'!I638</f>
        <v>0</v>
      </c>
    </row>
    <row r="639" customFormat="false" ht="15" hidden="true" customHeight="false" outlineLevel="0" collapsed="false">
      <c r="B639" s="1108" t="str">
        <f aca="false">'Смета Внутр'!B639</f>
        <v>Итого материалы</v>
      </c>
      <c r="C639" s="1108"/>
      <c r="D639" s="1108"/>
      <c r="E639" s="1108"/>
      <c r="F639" s="1108"/>
      <c r="G639" s="1108"/>
      <c r="H639" s="1104" t="n">
        <f aca="false">'Смета Внутр'!G639</f>
        <v>0</v>
      </c>
      <c r="I639" s="1104" t="n">
        <f aca="false">'Смета Внутр'!H639</f>
        <v>0</v>
      </c>
      <c r="J639" s="1109" t="n">
        <f aca="false">'Смета Внутр'!I639</f>
        <v>0</v>
      </c>
    </row>
    <row r="640" customFormat="false" ht="15" hidden="true" customHeight="true" outlineLevel="0" collapsed="false">
      <c r="B640" s="118" t="str">
        <f aca="false">'Смета Внутр'!B640</f>
        <v>Работы</v>
      </c>
      <c r="H640" s="118" t="n">
        <f aca="false">'Смета Внутр'!G640</f>
        <v>0</v>
      </c>
      <c r="I640" s="118" t="n">
        <f aca="false">'Смета Внутр'!H640</f>
        <v>0</v>
      </c>
      <c r="J640" s="1102" t="n">
        <f aca="false">'Смета Внутр'!I640</f>
        <v>0</v>
      </c>
    </row>
    <row r="641" customFormat="false" ht="15" hidden="true" customHeight="true" outlineLevel="0" collapsed="false">
      <c r="B641" s="1104" t="str">
        <f aca="false">'Смета Внутр'!B641</f>
        <v>кладка Оцилиндрованного вревна</v>
      </c>
      <c r="C641" s="1104" t="str">
        <f aca="false">'Смета Внутр'!C641</f>
        <v>м3</v>
      </c>
      <c r="D641" s="1109" t="n">
        <f aca="false">'Смета Внутр'!D641</f>
        <v>1.09982631578947</v>
      </c>
      <c r="E641" s="1104" t="n">
        <f aca="false">'Смета Внутр'!E641</f>
        <v>6000</v>
      </c>
      <c r="F641" s="1104" t="n">
        <f aca="false">'Смета Внутр'!F641</f>
        <v>0</v>
      </c>
      <c r="G641" s="1104" t="n">
        <f aca="false">IF(E641&gt;F641,E641,F641)</f>
        <v>6000</v>
      </c>
      <c r="H641" s="1104" t="n">
        <f aca="false">'Смета Внутр'!G641</f>
        <v>6598.95789473684</v>
      </c>
      <c r="I641" s="1104" t="n">
        <f aca="false">'Смета Внутр'!H641</f>
        <v>0</v>
      </c>
      <c r="J641" s="1109" t="n">
        <f aca="false">'Смета Внутр'!I641</f>
        <v>0</v>
      </c>
    </row>
    <row r="642" customFormat="false" ht="15" hidden="true" customHeight="true" outlineLevel="0" collapsed="false">
      <c r="B642" s="1104" t="str">
        <f aca="false">'Смета Внутр'!B642</f>
        <v>окосячка проемов, м.п.</v>
      </c>
      <c r="C642" s="1104" t="str">
        <f aca="false">'Смета Внутр'!C642</f>
        <v>м.п.</v>
      </c>
      <c r="D642" s="1109" t="n">
        <f aca="false">'Смета Внутр'!D642</f>
        <v>0</v>
      </c>
      <c r="E642" s="1104" t="n">
        <f aca="false">'Смета Внутр'!E642</f>
        <v>150</v>
      </c>
      <c r="F642" s="1104" t="n">
        <f aca="false">'Смета Внутр'!F642</f>
        <v>0</v>
      </c>
      <c r="G642" s="1104" t="n">
        <f aca="false">IF(E642&gt;F642,E642,F642)</f>
        <v>150</v>
      </c>
      <c r="H642" s="1104" t="n">
        <f aca="false">'Смета Внутр'!G642</f>
        <v>0</v>
      </c>
      <c r="I642" s="1104" t="n">
        <f aca="false">'Смета Внутр'!H642</f>
        <v>0</v>
      </c>
      <c r="J642" s="1109" t="n">
        <f aca="false">'Смета Внутр'!I642</f>
        <v>0</v>
      </c>
    </row>
    <row r="643" customFormat="false" ht="15" hidden="true" customHeight="true" outlineLevel="0" collapsed="false">
      <c r="B643" s="1104" t="str">
        <f aca="false">'Смета Внутр'!B643</f>
        <v>обработка торцов на брусе</v>
      </c>
      <c r="C643" s="1104" t="str">
        <f aca="false">'Смета Внутр'!C643</f>
        <v>м.п.</v>
      </c>
      <c r="D643" s="1109" t="n">
        <f aca="false">'Смета Внутр'!D643</f>
        <v>20</v>
      </c>
      <c r="E643" s="1104" t="n">
        <f aca="false">'Смета Внутр'!E643</f>
        <v>250</v>
      </c>
      <c r="F643" s="1104" t="n">
        <f aca="false">'Смета Внутр'!F643</f>
        <v>0</v>
      </c>
      <c r="G643" s="1104" t="n">
        <f aca="false">IF(E643&gt;F643,E643,F643)</f>
        <v>250</v>
      </c>
      <c r="H643" s="1104" t="n">
        <f aca="false">'Смета Внутр'!G643</f>
        <v>5000</v>
      </c>
      <c r="I643" s="1104" t="n">
        <f aca="false">'Смета Внутр'!H643</f>
        <v>0</v>
      </c>
      <c r="J643" s="1109" t="n">
        <f aca="false">'Смета Внутр'!I643</f>
        <v>0</v>
      </c>
    </row>
    <row r="644" customFormat="false" ht="15" hidden="true" customHeight="true" outlineLevel="0" collapsed="false">
      <c r="B644" s="1104" t="str">
        <f aca="false">'Смета Внутр'!B644</f>
        <v>Обаботка огнебиозащитой</v>
      </c>
      <c r="C644" s="1104" t="str">
        <f aca="false">'Смета Внутр'!C644</f>
        <v>м.п.</v>
      </c>
      <c r="D644" s="1109" t="n">
        <f aca="false">'Смета Внутр'!D644</f>
        <v>1.09982631578947</v>
      </c>
      <c r="E644" s="1104" t="n">
        <f aca="false">'Смета Внутр'!E644</f>
        <v>300</v>
      </c>
      <c r="F644" s="1104" t="n">
        <f aca="false">'Смета Внутр'!F644</f>
        <v>0</v>
      </c>
      <c r="G644" s="1104" t="n">
        <f aca="false">IF(E644&gt;F644,E644,F644)</f>
        <v>300</v>
      </c>
      <c r="H644" s="1104" t="n">
        <f aca="false">'Смета Внутр'!G644</f>
        <v>329.947894736842</v>
      </c>
      <c r="I644" s="1104" t="n">
        <f aca="false">'Смета Внутр'!H644</f>
        <v>0</v>
      </c>
      <c r="J644" s="1109" t="n">
        <f aca="false">'Смета Внутр'!I644</f>
        <v>0</v>
      </c>
    </row>
    <row r="645" customFormat="false" ht="15" hidden="true" customHeight="true" outlineLevel="0" collapsed="false">
      <c r="B645" s="1104" t="str">
        <f aca="false">'Смета Внутр'!B645</f>
        <v>Пропитка стен внешних</v>
      </c>
      <c r="C645" s="1104" t="str">
        <f aca="false">'Смета Внутр'!C645</f>
        <v>м.п.</v>
      </c>
      <c r="D645" s="1109" t="n">
        <f aca="false">'Смета Внутр'!D645</f>
        <v>0</v>
      </c>
      <c r="E645" s="1104" t="n">
        <f aca="false">'Смета Внутр'!E645</f>
        <v>100</v>
      </c>
      <c r="F645" s="1104" t="n">
        <f aca="false">'Смета Внутр'!F645</f>
        <v>0</v>
      </c>
      <c r="G645" s="1104" t="n">
        <f aca="false">IF(E645&gt;F645,E645,F645)</f>
        <v>100</v>
      </c>
      <c r="H645" s="1104" t="n">
        <f aca="false">'Смета Внутр'!G645</f>
        <v>0</v>
      </c>
      <c r="I645" s="1104" t="n">
        <f aca="false">'Смета Внутр'!H645</f>
        <v>0</v>
      </c>
      <c r="J645" s="1109" t="n">
        <f aca="false">'Смета Внутр'!I645</f>
        <v>0</v>
      </c>
    </row>
    <row r="646" customFormat="false" ht="15" hidden="true" customHeight="true" outlineLevel="0" collapsed="false">
      <c r="B646" s="1104" t="str">
        <f aca="false">'Смета Внутр'!B646</f>
        <v>Пропитка внутенних стен</v>
      </c>
      <c r="C646" s="1104" t="str">
        <f aca="false">'Смета Внутр'!C646</f>
        <v>м.п.</v>
      </c>
      <c r="D646" s="1109" t="n">
        <f aca="false">'Смета Внутр'!D646</f>
        <v>0</v>
      </c>
      <c r="E646" s="1104" t="n">
        <f aca="false">'Смета Внутр'!E646</f>
        <v>100</v>
      </c>
      <c r="F646" s="1104" t="n">
        <f aca="false">'Смета Внутр'!F646</f>
        <v>0</v>
      </c>
      <c r="G646" s="1104" t="n">
        <f aca="false">IF(E646&gt;F646,E646,F646)</f>
        <v>100</v>
      </c>
      <c r="H646" s="1104" t="n">
        <f aca="false">'Смета Внутр'!G646</f>
        <v>0</v>
      </c>
      <c r="I646" s="1104" t="n">
        <f aca="false">'Смета Внутр'!H646</f>
        <v>0</v>
      </c>
      <c r="J646" s="1109" t="n">
        <f aca="false">'Смета Внутр'!I646</f>
        <v>0</v>
      </c>
    </row>
    <row r="647" customFormat="false" ht="15" hidden="true" customHeight="true" outlineLevel="0" collapsed="false">
      <c r="B647" s="1104" t="str">
        <f aca="false">'Смета Внутр'!B647</f>
        <v>Не считать</v>
      </c>
      <c r="C647" s="1104" t="str">
        <f aca="false">'Смета Внутр'!C647</f>
        <v>м.п.</v>
      </c>
      <c r="D647" s="1109" t="n">
        <f aca="false">'Смета Внутр'!D647</f>
        <v>0</v>
      </c>
      <c r="E647" s="1104" t="n">
        <f aca="false">'Смета Внутр'!E647</f>
        <v>300</v>
      </c>
      <c r="F647" s="1104" t="n">
        <f aca="false">'Смета Внутр'!F647</f>
        <v>0</v>
      </c>
      <c r="G647" s="1104" t="n">
        <f aca="false">IF(E647&gt;F647,E647,F647)</f>
        <v>300</v>
      </c>
      <c r="H647" s="1104" t="n">
        <f aca="false">'Смета Внутр'!G647</f>
        <v>0</v>
      </c>
      <c r="I647" s="1104" t="n">
        <f aca="false">'Смета Внутр'!H647</f>
        <v>0</v>
      </c>
      <c r="J647" s="1109" t="n">
        <f aca="false">'Смета Внутр'!I647</f>
        <v>0</v>
      </c>
    </row>
    <row r="648" customFormat="false" ht="15" hidden="true" customHeight="true" outlineLevel="0" collapsed="false">
      <c r="B648" s="1104" t="str">
        <f aca="false">'Смета Внутр'!B648</f>
        <v>Монтаж наличника</v>
      </c>
      <c r="C648" s="1104" t="str">
        <f aca="false">'Смета Внутр'!C648</f>
        <v>м.п.</v>
      </c>
      <c r="D648" s="1109" t="n">
        <f aca="false">'Смета Внутр'!D648</f>
        <v>0</v>
      </c>
      <c r="E648" s="1104" t="n">
        <f aca="false">'Смета Внутр'!E648</f>
        <v>80</v>
      </c>
      <c r="F648" s="1104" t="n">
        <f aca="false">'Смета Внутр'!F648</f>
        <v>0</v>
      </c>
      <c r="G648" s="1104" t="n">
        <f aca="false">IF(E648&gt;F648,E648,F648)</f>
        <v>80</v>
      </c>
      <c r="H648" s="1104" t="n">
        <f aca="false">'Смета Внутр'!G648</f>
        <v>0</v>
      </c>
      <c r="I648" s="1104" t="n">
        <f aca="false">'Смета Внутр'!H648</f>
        <v>0</v>
      </c>
      <c r="J648" s="1109" t="n">
        <f aca="false">'Смета Внутр'!I648</f>
        <v>0</v>
      </c>
    </row>
    <row r="649" customFormat="false" ht="15" hidden="true" customHeight="true" outlineLevel="0" collapsed="false">
      <c r="B649" s="1104" t="str">
        <f aca="false">'Смета Внутр'!B649</f>
        <v>Шлифовка стен дома</v>
      </c>
      <c r="C649" s="1104" t="str">
        <f aca="false">'Смета Внутр'!C649</f>
        <v>м.п.</v>
      </c>
      <c r="D649" s="1109" t="n">
        <f aca="false">'Смета Внутр'!D649</f>
        <v>0</v>
      </c>
      <c r="E649" s="1104" t="n">
        <f aca="false">'Смета Внутр'!E649</f>
        <v>250</v>
      </c>
      <c r="F649" s="1104" t="n">
        <f aca="false">'Смета Внутр'!F649</f>
        <v>0</v>
      </c>
      <c r="G649" s="1104" t="n">
        <f aca="false">IF(E649&gt;F649,E649,F649)</f>
        <v>250</v>
      </c>
      <c r="H649" s="1104" t="n">
        <f aca="false">'Смета Внутр'!G649</f>
        <v>0</v>
      </c>
      <c r="I649" s="1104" t="n">
        <f aca="false">'Смета Внутр'!H649</f>
        <v>0</v>
      </c>
      <c r="J649" s="1109" t="n">
        <f aca="false">'Смета Внутр'!I649</f>
        <v>0</v>
      </c>
    </row>
    <row r="650" customFormat="false" ht="15" hidden="true" customHeight="true" outlineLevel="0" collapsed="false">
      <c r="B650" s="1108" t="str">
        <f aca="false">'Смета Внутр'!B650</f>
        <v>Итого работы</v>
      </c>
      <c r="C650" s="1108"/>
      <c r="D650" s="1108"/>
      <c r="E650" s="1108"/>
      <c r="F650" s="1108"/>
      <c r="G650" s="1108"/>
      <c r="H650" s="1104" t="n">
        <f aca="false">'Смета Внутр'!G650</f>
        <v>0</v>
      </c>
      <c r="I650" s="1104" t="n">
        <f aca="false">'Смета Внутр'!H650</f>
        <v>0</v>
      </c>
      <c r="J650" s="1109" t="n">
        <f aca="false">'Смета Внутр'!I650</f>
        <v>0</v>
      </c>
    </row>
    <row r="651" customFormat="false" ht="15" hidden="true" customHeight="true" outlineLevel="0" collapsed="false">
      <c r="B651" s="1111" t="str">
        <f aca="false">'Смета Внутр'!B651</f>
        <v>Дом из Профилированного бруса</v>
      </c>
      <c r="C651" s="1111"/>
      <c r="D651" s="1111"/>
      <c r="H651" s="118" t="n">
        <f aca="false">'Смета Внутр'!G651</f>
        <v>0</v>
      </c>
      <c r="I651" s="118" t="n">
        <f aca="false">'Смета Внутр'!H651</f>
        <v>0</v>
      </c>
      <c r="J651" s="1102" t="n">
        <f aca="false">'Смета Внутр'!I651</f>
        <v>0</v>
      </c>
    </row>
    <row r="652" customFormat="false" ht="15" hidden="true" customHeight="true" outlineLevel="0" collapsed="false">
      <c r="B652" s="118" t="str">
        <f aca="false">'Смета Внутр'!B652</f>
        <v>Материалы</v>
      </c>
      <c r="H652" s="118" t="n">
        <f aca="false">'Смета Внутр'!G652</f>
        <v>0</v>
      </c>
      <c r="I652" s="118" t="n">
        <f aca="false">'Смета Внутр'!H652</f>
        <v>0</v>
      </c>
      <c r="J652" s="1102" t="n">
        <f aca="false">'Смета Внутр'!I652</f>
        <v>0</v>
      </c>
    </row>
    <row r="653" customFormat="false" ht="15" hidden="true" customHeight="true" outlineLevel="0" collapsed="false">
      <c r="B653" s="1104" t="str">
        <f aca="false">'Смета Внутр'!B653</f>
        <v>Листв. влаж, 200*200мм</v>
      </c>
      <c r="C653" s="1104" t="str">
        <f aca="false">'Смета Внутр'!C653</f>
        <v>м3</v>
      </c>
      <c r="D653" s="1109" t="n">
        <f aca="false">'Смета Внутр'!D653</f>
        <v>4.012</v>
      </c>
      <c r="E653" s="1104" t="n">
        <f aca="false">'Смета Внутр'!E653</f>
        <v>9000</v>
      </c>
      <c r="F653" s="1104" t="n">
        <f aca="false">'Смета Внутр'!F653</f>
        <v>0</v>
      </c>
      <c r="G653" s="1104" t="n">
        <f aca="false">IF(E653&gt;F653,E653,F653)</f>
        <v>9000</v>
      </c>
      <c r="H653" s="1104" t="n">
        <f aca="false">'Смета Внутр'!G653</f>
        <v>36108</v>
      </c>
      <c r="I653" s="1104" t="n">
        <f aca="false">'Смета Внутр'!H653</f>
        <v>0</v>
      </c>
      <c r="J653" s="1109" t="n">
        <f aca="false">'Смета Внутр'!I653</f>
        <v>0</v>
      </c>
    </row>
    <row r="654" customFormat="false" ht="15" hidden="true" customHeight="true" outlineLevel="0" collapsed="false">
      <c r="B654" s="1104" t="str">
        <f aca="false">'Смета Внутр'!B654</f>
        <v>Сосна влаж, 200*150мм</v>
      </c>
      <c r="C654" s="1104" t="str">
        <f aca="false">'Смета Внутр'!C654</f>
        <v>м3</v>
      </c>
      <c r="D654" s="1109" t="n">
        <f aca="false">'Смета Внутр'!D654</f>
        <v>-3.187</v>
      </c>
      <c r="E654" s="1104" t="n">
        <f aca="false">'Смета Внутр'!E654</f>
        <v>6500</v>
      </c>
      <c r="F654" s="1104" t="n">
        <f aca="false">'Смета Внутр'!F654</f>
        <v>0</v>
      </c>
      <c r="G654" s="1104" t="n">
        <f aca="false">IF(E654&gt;F654,E654,F654)</f>
        <v>6500</v>
      </c>
      <c r="H654" s="1104" t="n">
        <f aca="false">'Смета Внутр'!G654</f>
        <v>-20715.5</v>
      </c>
      <c r="I654" s="1104" t="n">
        <f aca="false">'Смета Внутр'!H654</f>
        <v>0</v>
      </c>
      <c r="J654" s="1109" t="n">
        <f aca="false">'Смета Внутр'!I654</f>
        <v>0</v>
      </c>
    </row>
    <row r="655" customFormat="false" ht="15" hidden="true" customHeight="true" outlineLevel="0" collapsed="false">
      <c r="B655" s="1104" t="str">
        <f aca="false">'Смета Внутр'!B655</f>
        <v>Сосна влаж, 200*150мм</v>
      </c>
      <c r="C655" s="1104" t="str">
        <f aca="false">'Смета Внутр'!C655</f>
        <v>м3</v>
      </c>
      <c r="D655" s="1109" t="n">
        <f aca="false">'Смета Внутр'!D655</f>
        <v>0</v>
      </c>
      <c r="E655" s="1104" t="n">
        <f aca="false">'Смета Внутр'!E655</f>
        <v>6500</v>
      </c>
      <c r="F655" s="1104" t="n">
        <f aca="false">'Смета Внутр'!F655</f>
        <v>0</v>
      </c>
      <c r="G655" s="1104" t="n">
        <f aca="false">IF(E655&gt;F655,E655,F655)</f>
        <v>6500</v>
      </c>
      <c r="H655" s="1104" t="n">
        <f aca="false">'Смета Внутр'!G655</f>
        <v>0</v>
      </c>
      <c r="I655" s="1104" t="n">
        <f aca="false">'Смета Внутр'!H655</f>
        <v>0</v>
      </c>
      <c r="J655" s="1109" t="n">
        <f aca="false">'Смета Внутр'!I655</f>
        <v>0</v>
      </c>
    </row>
    <row r="656" customFormat="false" ht="15" hidden="true" customHeight="true" outlineLevel="0" collapsed="false">
      <c r="B656" s="1104" t="str">
        <f aca="false">'Смета Внутр'!B656</f>
        <v>Сосна влаж, 200*100мм</v>
      </c>
      <c r="C656" s="1104" t="str">
        <f aca="false">'Смета Внутр'!C656</f>
        <v>м2</v>
      </c>
      <c r="D656" s="1109" t="n">
        <f aca="false">'Смета Внутр'!D656</f>
        <v>0</v>
      </c>
      <c r="E656" s="1104" t="n">
        <f aca="false">'Смета Внутр'!E656</f>
        <v>6500</v>
      </c>
      <c r="F656" s="1104" t="n">
        <f aca="false">'Смета Внутр'!F656</f>
        <v>0</v>
      </c>
      <c r="G656" s="1104" t="n">
        <f aca="false">IF(E656&gt;F656,E656,F656)</f>
        <v>6500</v>
      </c>
      <c r="H656" s="1104" t="n">
        <f aca="false">'Смета Внутр'!G656</f>
        <v>0</v>
      </c>
      <c r="I656" s="1104" t="n">
        <f aca="false">'Смета Внутр'!H656</f>
        <v>0</v>
      </c>
      <c r="J656" s="1109" t="n">
        <f aca="false">'Смета Внутр'!I656</f>
        <v>0</v>
      </c>
    </row>
    <row r="657" customFormat="false" ht="15" hidden="true" customHeight="true" outlineLevel="0" collapsed="false">
      <c r="B657" s="1104" t="str">
        <f aca="false">'Смета Внутр'!B657</f>
        <v>Шкант</v>
      </c>
      <c r="C657" s="1104" t="str">
        <f aca="false">'Смета Внутр'!C657</f>
        <v>шт</v>
      </c>
      <c r="D657" s="1109" t="n">
        <f aca="false">'Смета Внутр'!D657</f>
        <v>19</v>
      </c>
      <c r="E657" s="1104" t="n">
        <f aca="false">'Смета Внутр'!E657</f>
        <v>6</v>
      </c>
      <c r="F657" s="1104" t="n">
        <f aca="false">'Смета Внутр'!F657</f>
        <v>0</v>
      </c>
      <c r="G657" s="1104" t="n">
        <f aca="false">IF(E657&gt;F657,E657,F657)</f>
        <v>6</v>
      </c>
      <c r="H657" s="1104" t="n">
        <f aca="false">'Смета Внутр'!G657</f>
        <v>114</v>
      </c>
      <c r="I657" s="1104" t="n">
        <f aca="false">'Смета Внутр'!H657</f>
        <v>0</v>
      </c>
      <c r="J657" s="1109" t="n">
        <f aca="false">'Смета Внутр'!I657</f>
        <v>0</v>
      </c>
    </row>
    <row r="658" customFormat="false" ht="15" hidden="true" customHeight="true" outlineLevel="0" collapsed="false">
      <c r="B658" s="1104" t="str">
        <f aca="false">'Смета Внутр'!B658</f>
        <v>Лента уплотнения</v>
      </c>
      <c r="C658" s="1104" t="str">
        <f aca="false">'Смета Внутр'!C658</f>
        <v>шт</v>
      </c>
      <c r="D658" s="1109" t="n">
        <f aca="false">'Смета Внутр'!D658</f>
        <v>0</v>
      </c>
      <c r="E658" s="1104" t="n">
        <f aca="false">'Смета Внутр'!E658</f>
        <v>130</v>
      </c>
      <c r="F658" s="1104" t="n">
        <f aca="false">'Смета Внутр'!F658</f>
        <v>0</v>
      </c>
      <c r="G658" s="1104" t="n">
        <f aca="false">IF(E658&gt;F658,E658,F658)</f>
        <v>130</v>
      </c>
      <c r="H658" s="1104" t="n">
        <f aca="false">'Смета Внутр'!G658</f>
        <v>0</v>
      </c>
      <c r="I658" s="1104" t="n">
        <f aca="false">'Смета Внутр'!H658</f>
        <v>0</v>
      </c>
      <c r="J658" s="1109" t="n">
        <f aca="false">'Смета Внутр'!I658</f>
        <v>0</v>
      </c>
    </row>
    <row r="659" customFormat="false" ht="15" hidden="true" customHeight="true" outlineLevel="0" collapsed="false">
      <c r="B659" s="1104" t="str">
        <f aca="false">'Смета Внутр'!B659</f>
        <v>Гвозди строительные 3,5 x 90            </v>
      </c>
      <c r="C659" s="1104" t="str">
        <f aca="false">'Смета Внутр'!C659</f>
        <v>шт</v>
      </c>
      <c r="D659" s="1109" t="n">
        <f aca="false">'Смета Внутр'!D659</f>
        <v>4.4</v>
      </c>
      <c r="E659" s="1104" t="n">
        <f aca="false">'Смета Внутр'!E659</f>
        <v>70</v>
      </c>
      <c r="F659" s="1104" t="n">
        <f aca="false">'Смета Внутр'!F659</f>
        <v>0</v>
      </c>
      <c r="G659" s="1104" t="n">
        <f aca="false">IF(E659&gt;F659,E659,F659)</f>
        <v>70</v>
      </c>
      <c r="H659" s="1104" t="n">
        <f aca="false">'Смета Внутр'!G659</f>
        <v>308</v>
      </c>
      <c r="I659" s="1104" t="n">
        <f aca="false">'Смета Внутр'!H659</f>
        <v>0</v>
      </c>
      <c r="J659" s="1109" t="n">
        <f aca="false">'Смета Внутр'!I659</f>
        <v>0</v>
      </c>
    </row>
    <row r="660" customFormat="false" ht="15" hidden="true" customHeight="true" outlineLevel="0" collapsed="false">
      <c r="B660" s="1104" t="str">
        <f aca="false">'Смета Внутр'!B660</f>
        <v>нет</v>
      </c>
      <c r="C660" s="1104" t="str">
        <f aca="false">'Смета Внутр'!C660</f>
        <v>м3</v>
      </c>
      <c r="D660" s="1109" t="n">
        <f aca="false">'Смета Внутр'!D660</f>
        <v>0</v>
      </c>
      <c r="E660" s="1104" t="n">
        <f aca="false">'Смета Внутр'!E660</f>
        <v>0</v>
      </c>
      <c r="F660" s="1104" t="n">
        <f aca="false">'Смета Внутр'!F660</f>
        <v>0</v>
      </c>
      <c r="G660" s="1104" t="n">
        <f aca="false">IF(E660&gt;F660,E660,F660)</f>
        <v>0</v>
      </c>
      <c r="H660" s="1104" t="n">
        <f aca="false">'Смета Внутр'!G660</f>
        <v>0</v>
      </c>
      <c r="I660" s="1104" t="n">
        <f aca="false">'Смета Внутр'!H660</f>
        <v>0</v>
      </c>
      <c r="J660" s="1109" t="n">
        <f aca="false">'Смета Внутр'!I660</f>
        <v>0</v>
      </c>
    </row>
    <row r="661" customFormat="false" ht="15" hidden="true" customHeight="true" outlineLevel="0" collapsed="false">
      <c r="B661" s="1104" t="str">
        <f aca="false">'Смета Внутр'!B661</f>
        <v>нет</v>
      </c>
      <c r="C661" s="1104" t="str">
        <f aca="false">'Смета Внутр'!C661</f>
        <v>м3</v>
      </c>
      <c r="D661" s="1109" t="n">
        <f aca="false">'Смета Внутр'!D661</f>
        <v>0</v>
      </c>
      <c r="E661" s="1104" t="n">
        <f aca="false">'Смета Внутр'!E661</f>
        <v>0</v>
      </c>
      <c r="F661" s="1104" t="n">
        <f aca="false">'Смета Внутр'!F661</f>
        <v>0</v>
      </c>
      <c r="G661" s="1104" t="n">
        <f aca="false">IF(E661&gt;F661,E661,F661)</f>
        <v>0</v>
      </c>
      <c r="H661" s="1104" t="n">
        <f aca="false">'Смета Внутр'!G661</f>
        <v>0</v>
      </c>
      <c r="I661" s="1104" t="n">
        <f aca="false">'Смета Внутр'!H661</f>
        <v>0</v>
      </c>
      <c r="J661" s="1109" t="n">
        <f aca="false">'Смета Внутр'!I661</f>
        <v>0</v>
      </c>
    </row>
    <row r="662" customFormat="false" ht="15" hidden="true" customHeight="true" outlineLevel="0" collapsed="false">
      <c r="B662" s="1104" t="str">
        <f aca="false">'Смета Внутр'!B662</f>
        <v>нет</v>
      </c>
      <c r="C662" s="1104" t="str">
        <f aca="false">'Смета Внутр'!C662</f>
        <v>м3</v>
      </c>
      <c r="D662" s="1109" t="n">
        <f aca="false">'Смета Внутр'!D662</f>
        <v>0</v>
      </c>
      <c r="E662" s="1104" t="n">
        <f aca="false">'Смета Внутр'!E662</f>
        <v>0</v>
      </c>
      <c r="F662" s="1104" t="n">
        <f aca="false">'Смета Внутр'!F662</f>
        <v>0</v>
      </c>
      <c r="G662" s="1104" t="n">
        <f aca="false">IF(E662&gt;F662,E662,F662)</f>
        <v>0</v>
      </c>
      <c r="H662" s="1104" t="n">
        <f aca="false">'Смета Внутр'!G662</f>
        <v>0</v>
      </c>
      <c r="I662" s="1104" t="n">
        <f aca="false">'Смета Внутр'!H662</f>
        <v>0</v>
      </c>
      <c r="J662" s="1109" t="n">
        <f aca="false">'Смета Внутр'!I662</f>
        <v>0</v>
      </c>
    </row>
    <row r="663" customFormat="false" ht="15" hidden="true" customHeight="true" outlineLevel="0" collapsed="false">
      <c r="B663" s="1104" t="str">
        <f aca="false">'Смета Внутр'!B663</f>
        <v>нет</v>
      </c>
      <c r="C663" s="1104" t="str">
        <f aca="false">'Смета Внутр'!C663</f>
        <v>м.п.</v>
      </c>
      <c r="D663" s="1109" t="n">
        <f aca="false">'Смета Внутр'!D663</f>
        <v>0</v>
      </c>
      <c r="E663" s="1104" t="n">
        <f aca="false">'Смета Внутр'!E663</f>
        <v>0</v>
      </c>
      <c r="F663" s="1104" t="n">
        <f aca="false">'Смета Внутр'!F663</f>
        <v>0</v>
      </c>
      <c r="G663" s="1104" t="n">
        <f aca="false">IF(E663&gt;F663,E663,F663)</f>
        <v>0</v>
      </c>
      <c r="H663" s="1104" t="n">
        <f aca="false">'Смета Внутр'!G663</f>
        <v>0</v>
      </c>
      <c r="I663" s="1104" t="n">
        <f aca="false">'Смета Внутр'!H663</f>
        <v>0</v>
      </c>
      <c r="J663" s="1109" t="n">
        <f aca="false">'Смета Внутр'!I663</f>
        <v>0</v>
      </c>
    </row>
    <row r="664" customFormat="false" ht="15" hidden="true" customHeight="true" outlineLevel="0" collapsed="false">
      <c r="B664" s="1104" t="str">
        <f aca="false">'Смета Внутр'!B664</f>
        <v>Бензин для пилы</v>
      </c>
      <c r="C664" s="1104" t="str">
        <f aca="false">'Смета Внутр'!C664</f>
        <v>л</v>
      </c>
      <c r="D664" s="1109" t="n">
        <f aca="false">'Смета Внутр'!D664</f>
        <v>0.165</v>
      </c>
      <c r="E664" s="1104" t="n">
        <f aca="false">'Смета Внутр'!E664</f>
        <v>40</v>
      </c>
      <c r="F664" s="1104" t="n">
        <f aca="false">'Смета Внутр'!F664</f>
        <v>0</v>
      </c>
      <c r="G664" s="1104" t="n">
        <f aca="false">IF(E664&gt;F664,E664,F664)</f>
        <v>40</v>
      </c>
      <c r="H664" s="1104" t="n">
        <f aca="false">'Смета Внутр'!G664</f>
        <v>6.6</v>
      </c>
      <c r="I664" s="1104" t="n">
        <f aca="false">'Смета Внутр'!H664</f>
        <v>0</v>
      </c>
      <c r="J664" s="1109" t="n">
        <f aca="false">'Смета Внутр'!I664</f>
        <v>0</v>
      </c>
    </row>
    <row r="665" customFormat="false" ht="15" hidden="true" customHeight="true" outlineLevel="0" collapsed="false">
      <c r="B665" s="1104" t="str">
        <f aca="false">'Смета Внутр'!B665</f>
        <v>Масло для пилы</v>
      </c>
      <c r="C665" s="1104" t="str">
        <f aca="false">'Смета Внутр'!C665</f>
        <v>л</v>
      </c>
      <c r="D665" s="1109" t="n">
        <f aca="false">'Смета Внутр'!D665</f>
        <v>0.00825</v>
      </c>
      <c r="E665" s="1104" t="n">
        <f aca="false">'Смета Внутр'!E665</f>
        <v>250</v>
      </c>
      <c r="F665" s="1104" t="n">
        <f aca="false">'Смета Внутр'!F665</f>
        <v>0</v>
      </c>
      <c r="G665" s="1104" t="n">
        <f aca="false">IF(E665&gt;F665,E665,F665)</f>
        <v>250</v>
      </c>
      <c r="H665" s="1104" t="n">
        <f aca="false">'Смета Внутр'!G665</f>
        <v>2.0625</v>
      </c>
      <c r="I665" s="1104" t="n">
        <f aca="false">'Смета Внутр'!H665</f>
        <v>0</v>
      </c>
      <c r="J665" s="1109" t="n">
        <f aca="false">'Смета Внутр'!I665</f>
        <v>0</v>
      </c>
    </row>
    <row r="666" customFormat="false" ht="15" hidden="true" customHeight="true" outlineLevel="0" collapsed="false">
      <c r="B666" s="1104" t="str">
        <f aca="false">'Смета Внутр'!B666</f>
        <v>Цепь для пилы</v>
      </c>
      <c r="C666" s="1104" t="str">
        <f aca="false">'Смета Внутр'!C666</f>
        <v>шт</v>
      </c>
      <c r="D666" s="1109" t="n">
        <f aca="false">'Смета Внутр'!D666</f>
        <v>1</v>
      </c>
      <c r="E666" s="1104" t="n">
        <f aca="false">'Смета Внутр'!E666</f>
        <v>800</v>
      </c>
      <c r="F666" s="1104" t="n">
        <f aca="false">'Смета Внутр'!F666</f>
        <v>0</v>
      </c>
      <c r="G666" s="1104" t="n">
        <f aca="false">IF(E666&gt;F666,E666,F666)</f>
        <v>800</v>
      </c>
      <c r="H666" s="1104" t="n">
        <f aca="false">'Смета Внутр'!G666</f>
        <v>800</v>
      </c>
      <c r="I666" s="1104" t="n">
        <f aca="false">'Смета Внутр'!H666</f>
        <v>0</v>
      </c>
      <c r="J666" s="1109" t="n">
        <f aca="false">'Смета Внутр'!I666</f>
        <v>0</v>
      </c>
    </row>
    <row r="667" customFormat="false" ht="15" hidden="true" customHeight="true" outlineLevel="0" collapsed="false">
      <c r="B667" s="1104" t="str">
        <f aca="false">'Смета Внутр'!B667</f>
        <v>"Профилюкс" Антисептик ОБЗ-1</v>
      </c>
      <c r="C667" s="1104" t="str">
        <f aca="false">'Смета Внутр'!C667</f>
        <v>л</v>
      </c>
      <c r="D667" s="1109" t="n">
        <f aca="false">'Смета Внутр'!D667</f>
        <v>0</v>
      </c>
      <c r="E667" s="1104" t="n">
        <f aca="false">'Смета Внутр'!E667</f>
        <v>42</v>
      </c>
      <c r="F667" s="1104" t="n">
        <f aca="false">'Смета Внутр'!F667</f>
        <v>0</v>
      </c>
      <c r="G667" s="1104" t="n">
        <f aca="false">IF(E667&gt;F667,E667,F667)</f>
        <v>42</v>
      </c>
      <c r="H667" s="1104" t="n">
        <f aca="false">'Смета Внутр'!G667</f>
        <v>0</v>
      </c>
      <c r="I667" s="1104" t="n">
        <f aca="false">'Смета Внутр'!H667</f>
        <v>0</v>
      </c>
      <c r="J667" s="1109" t="n">
        <f aca="false">'Смета Внутр'!I667</f>
        <v>0</v>
      </c>
    </row>
    <row r="668" customFormat="false" ht="15" hidden="true" customHeight="true" outlineLevel="0" collapsed="false">
      <c r="B668" s="1104" t="str">
        <f aca="false">'Смета Внутр'!B668</f>
        <v>Нет пропитки</v>
      </c>
      <c r="C668" s="1104" t="str">
        <f aca="false">'Смета Внутр'!C668</f>
        <v>л</v>
      </c>
      <c r="D668" s="1109" t="n">
        <f aca="false">'Смета Внутр'!D668</f>
        <v>0</v>
      </c>
      <c r="E668" s="1104" t="n">
        <f aca="false">'Смета Внутр'!E668</f>
        <v>0</v>
      </c>
      <c r="F668" s="1104" t="n">
        <f aca="false">'Смета Внутр'!F668</f>
        <v>0</v>
      </c>
      <c r="G668" s="1104" t="n">
        <f aca="false">IF(E668&gt;F668,E668,F668)</f>
        <v>0</v>
      </c>
      <c r="H668" s="1104" t="n">
        <f aca="false">'Смета Внутр'!G668</f>
        <v>0</v>
      </c>
      <c r="I668" s="1104" t="n">
        <f aca="false">'Смета Внутр'!H668</f>
        <v>0</v>
      </c>
      <c r="J668" s="1109" t="n">
        <f aca="false">'Смета Внутр'!I668</f>
        <v>0</v>
      </c>
    </row>
    <row r="669" customFormat="false" ht="15" hidden="true" customHeight="true" outlineLevel="0" collapsed="false">
      <c r="B669" s="1104" t="str">
        <f aca="false">'Смета Внутр'!B669</f>
        <v>Нет пропитки</v>
      </c>
      <c r="C669" s="1104" t="str">
        <f aca="false">'Смета Внутр'!C669</f>
        <v>л</v>
      </c>
      <c r="D669" s="1109" t="n">
        <f aca="false">'Смета Внутр'!D669</f>
        <v>0</v>
      </c>
      <c r="E669" s="1104" t="n">
        <f aca="false">'Смета Внутр'!E669</f>
        <v>0</v>
      </c>
      <c r="F669" s="1104" t="n">
        <f aca="false">'Смета Внутр'!F669</f>
        <v>0</v>
      </c>
      <c r="G669" s="1104" t="n">
        <f aca="false">IF(E669&gt;F669,E669,F669)</f>
        <v>0</v>
      </c>
      <c r="H669" s="1104" t="n">
        <f aca="false">'Смета Внутр'!G669</f>
        <v>0</v>
      </c>
      <c r="I669" s="1104" t="n">
        <f aca="false">'Смета Внутр'!H669</f>
        <v>0</v>
      </c>
      <c r="J669" s="1109" t="n">
        <f aca="false">'Смета Внутр'!I669</f>
        <v>0</v>
      </c>
    </row>
    <row r="670" customFormat="false" ht="15" hidden="true" customHeight="true" outlineLevel="0" collapsed="false">
      <c r="B670" s="1104" t="str">
        <f aca="false">'Смета Внутр'!B670</f>
        <v>Нет наличника</v>
      </c>
      <c r="C670" s="1104" t="str">
        <f aca="false">'Смета Внутр'!C670</f>
        <v>м.п.</v>
      </c>
      <c r="D670" s="1109" t="n">
        <f aca="false">'Смета Внутр'!D670</f>
        <v>3.57</v>
      </c>
      <c r="E670" s="1104" t="n">
        <f aca="false">'Смета Внутр'!E670</f>
        <v>0</v>
      </c>
      <c r="F670" s="1104" t="n">
        <f aca="false">'Смета Внутр'!F670</f>
        <v>0</v>
      </c>
      <c r="G670" s="1104" t="n">
        <f aca="false">IF(E670&gt;F670,E670,F670)</f>
        <v>0</v>
      </c>
      <c r="H670" s="1104" t="n">
        <f aca="false">'Смета Внутр'!G670</f>
        <v>0</v>
      </c>
      <c r="I670" s="1104" t="n">
        <f aca="false">'Смета Внутр'!H670</f>
        <v>0</v>
      </c>
      <c r="J670" s="1109" t="n">
        <f aca="false">'Смета Внутр'!I670</f>
        <v>0</v>
      </c>
    </row>
    <row r="671" customFormat="false" ht="15" hidden="true" customHeight="true" outlineLevel="0" collapsed="false">
      <c r="B671" s="1104" t="str">
        <f aca="false">'Смета Внутр'!B671</f>
        <v>Нет наличника</v>
      </c>
      <c r="C671" s="1104" t="str">
        <f aca="false">'Смета Внутр'!C671</f>
        <v>м.п.</v>
      </c>
      <c r="D671" s="1109" t="n">
        <f aca="false">'Смета Внутр'!D671</f>
        <v>3.57</v>
      </c>
      <c r="E671" s="1104" t="n">
        <f aca="false">'Смета Внутр'!E671</f>
        <v>0</v>
      </c>
      <c r="F671" s="1104" t="n">
        <f aca="false">'Смета Внутр'!F671</f>
        <v>0</v>
      </c>
      <c r="G671" s="1104" t="n">
        <f aca="false">IF(E671&gt;F671,E671,F671)</f>
        <v>0</v>
      </c>
      <c r="H671" s="1104" t="n">
        <f aca="false">'Смета Внутр'!G671</f>
        <v>0</v>
      </c>
      <c r="I671" s="1104" t="n">
        <f aca="false">'Смета Внутр'!H671</f>
        <v>0</v>
      </c>
      <c r="J671" s="1109" t="n">
        <f aca="false">'Смета Внутр'!I671</f>
        <v>0</v>
      </c>
    </row>
    <row r="672" customFormat="false" ht="15" hidden="true" customHeight="true" outlineLevel="0" collapsed="false">
      <c r="B672" s="1104" t="str">
        <f aca="false">'Смета Внутр'!B672</f>
        <v>Нет наждачной бумаги</v>
      </c>
      <c r="C672" s="1104" t="str">
        <f aca="false">'Смета Внутр'!C672</f>
        <v>м</v>
      </c>
      <c r="D672" s="1109" t="n">
        <f aca="false">'Смета Внутр'!D672</f>
        <v>0</v>
      </c>
      <c r="E672" s="1104" t="n">
        <f aca="false">'Смета Внутр'!E672</f>
        <v>0</v>
      </c>
      <c r="F672" s="1104" t="n">
        <f aca="false">'Смета Внутр'!F672</f>
        <v>0</v>
      </c>
      <c r="G672" s="1104" t="n">
        <f aca="false">IF(E672&gt;F672,E672,F672)</f>
        <v>0</v>
      </c>
      <c r="H672" s="1104" t="n">
        <f aca="false">'Смета Внутр'!G672</f>
        <v>0</v>
      </c>
      <c r="I672" s="1104" t="n">
        <f aca="false">'Смета Внутр'!H672</f>
        <v>0</v>
      </c>
      <c r="J672" s="1109" t="n">
        <f aca="false">'Смета Внутр'!I672</f>
        <v>0</v>
      </c>
    </row>
    <row r="673" customFormat="false" ht="15" hidden="true" customHeight="true" outlineLevel="0" collapsed="false">
      <c r="B673" s="1104" t="str">
        <f aca="false">'Смета Внутр'!B673</f>
        <v>Нет наждачной бумаги</v>
      </c>
      <c r="C673" s="1104" t="str">
        <f aca="false">'Смета Внутр'!C673</f>
        <v>м</v>
      </c>
      <c r="D673" s="1109" t="n">
        <f aca="false">'Смета Внутр'!D673</f>
        <v>0</v>
      </c>
      <c r="E673" s="1104" t="n">
        <f aca="false">'Смета Внутр'!E673</f>
        <v>0</v>
      </c>
      <c r="F673" s="1104" t="n">
        <f aca="false">'Смета Внутр'!F673</f>
        <v>0</v>
      </c>
      <c r="G673" s="1104" t="n">
        <f aca="false">IF(E673&gt;F673,E673,F673)</f>
        <v>0</v>
      </c>
      <c r="H673" s="1104" t="n">
        <f aca="false">'Смета Внутр'!G673</f>
        <v>0</v>
      </c>
      <c r="I673" s="1104" t="n">
        <f aca="false">'Смета Внутр'!H673</f>
        <v>0</v>
      </c>
      <c r="J673" s="1109" t="n">
        <f aca="false">'Смета Внутр'!I673</f>
        <v>0</v>
      </c>
    </row>
    <row r="674" customFormat="false" ht="15" hidden="true" customHeight="true" outlineLevel="0" collapsed="false">
      <c r="B674" s="1104" t="str">
        <f aca="false">'Смета Внутр'!B674</f>
        <v>Нет наждачной бумаги</v>
      </c>
      <c r="C674" s="1104" t="str">
        <f aca="false">'Смета Внутр'!C674</f>
        <v>м</v>
      </c>
      <c r="D674" s="1109" t="n">
        <f aca="false">'Смета Внутр'!D674</f>
        <v>0</v>
      </c>
      <c r="E674" s="1104" t="n">
        <f aca="false">'Смета Внутр'!E674</f>
        <v>0</v>
      </c>
      <c r="F674" s="1104" t="n">
        <f aca="false">'Смета Внутр'!F674</f>
        <v>0</v>
      </c>
      <c r="G674" s="1104" t="n">
        <f aca="false">IF(E674&gt;F674,E674,F674)</f>
        <v>0</v>
      </c>
      <c r="H674" s="1104" t="n">
        <f aca="false">'Смета Внутр'!G674</f>
        <v>0</v>
      </c>
      <c r="I674" s="1104" t="n">
        <f aca="false">'Смета Внутр'!H674</f>
        <v>0</v>
      </c>
      <c r="J674" s="1109" t="n">
        <f aca="false">'Смета Внутр'!I674</f>
        <v>0</v>
      </c>
    </row>
    <row r="675" customFormat="false" ht="15" hidden="true" customHeight="true" outlineLevel="0" collapsed="false">
      <c r="B675" s="1104" t="str">
        <f aca="false">'Смета Внутр'!B675</f>
        <v>Нет наждачной бумаги</v>
      </c>
      <c r="C675" s="1104" t="str">
        <f aca="false">'Смета Внутр'!C675</f>
        <v>м</v>
      </c>
      <c r="D675" s="1109" t="n">
        <f aca="false">'Смета Внутр'!D675</f>
        <v>0</v>
      </c>
      <c r="E675" s="1104" t="n">
        <f aca="false">'Смета Внутр'!E675</f>
        <v>0</v>
      </c>
      <c r="F675" s="1104" t="n">
        <f aca="false">'Смета Внутр'!F675</f>
        <v>0</v>
      </c>
      <c r="G675" s="1104" t="n">
        <f aca="false">IF(E675&gt;F675,E675,F675)</f>
        <v>0</v>
      </c>
      <c r="H675" s="1104" t="n">
        <f aca="false">'Смета Внутр'!G675</f>
        <v>0</v>
      </c>
      <c r="I675" s="1104" t="n">
        <f aca="false">'Смета Внутр'!H675</f>
        <v>0</v>
      </c>
      <c r="J675" s="1109" t="n">
        <f aca="false">'Смета Внутр'!I675</f>
        <v>0</v>
      </c>
    </row>
    <row r="676" customFormat="false" ht="15" hidden="true" customHeight="false" outlineLevel="0" collapsed="false">
      <c r="B676" s="1108" t="str">
        <f aca="false">'Смета Внутр'!B676</f>
        <v>Итого материалы</v>
      </c>
      <c r="C676" s="1108"/>
      <c r="D676" s="1108"/>
      <c r="E676" s="1108"/>
      <c r="F676" s="1108"/>
      <c r="G676" s="1108"/>
      <c r="H676" s="1104" t="n">
        <f aca="false">'Смета Внутр'!G676</f>
        <v>0</v>
      </c>
      <c r="I676" s="1104" t="n">
        <f aca="false">'Смета Внутр'!H676</f>
        <v>0</v>
      </c>
      <c r="J676" s="1109" t="n">
        <f aca="false">'Смета Внутр'!I676</f>
        <v>0</v>
      </c>
    </row>
    <row r="677" customFormat="false" ht="15" hidden="true" customHeight="true" outlineLevel="0" collapsed="false">
      <c r="B677" s="118" t="str">
        <f aca="false">'Смета Внутр'!B677</f>
        <v>Работы</v>
      </c>
      <c r="H677" s="118" t="n">
        <f aca="false">'Смета Внутр'!G677</f>
        <v>0</v>
      </c>
      <c r="I677" s="118" t="n">
        <f aca="false">'Смета Внутр'!H677</f>
        <v>0</v>
      </c>
      <c r="J677" s="1102" t="n">
        <f aca="false">'Смета Внутр'!I677</f>
        <v>0</v>
      </c>
    </row>
    <row r="678" customFormat="false" ht="15" hidden="true" customHeight="true" outlineLevel="0" collapsed="false">
      <c r="B678" s="1104" t="str">
        <f aca="false">'Смета Внутр'!B678</f>
        <v>кладка Профилированного бруса</v>
      </c>
      <c r="C678" s="1104" t="str">
        <f aca="false">'Смета Внутр'!C678</f>
        <v>м3</v>
      </c>
      <c r="D678" s="1109" t="n">
        <f aca="false">'Смета Внутр'!D678</f>
        <v>0.825</v>
      </c>
      <c r="E678" s="1104" t="n">
        <f aca="false">'Смета Внутр'!E678</f>
        <v>6000</v>
      </c>
      <c r="F678" s="1104" t="n">
        <f aca="false">'Смета Внутр'!F678</f>
        <v>0</v>
      </c>
      <c r="G678" s="1104" t="n">
        <f aca="false">IF(E678&gt;F678,E678,F678)</f>
        <v>6000</v>
      </c>
      <c r="H678" s="1104" t="n">
        <f aca="false">'Смета Внутр'!G678</f>
        <v>4950</v>
      </c>
      <c r="I678" s="1104" t="n">
        <f aca="false">'Смета Внутр'!H678</f>
        <v>0</v>
      </c>
      <c r="J678" s="1109" t="n">
        <f aca="false">'Смета Внутр'!I678</f>
        <v>0</v>
      </c>
    </row>
    <row r="679" customFormat="false" ht="15" hidden="true" customHeight="true" outlineLevel="0" collapsed="false">
      <c r="B679" s="1104" t="str">
        <f aca="false">'Смета Внутр'!B679</f>
        <v>окосячка проемов, м.п.</v>
      </c>
      <c r="C679" s="1104" t="str">
        <f aca="false">'Смета Внутр'!C679</f>
        <v>м.п.</v>
      </c>
      <c r="D679" s="1109" t="n">
        <f aca="false">'Смета Внутр'!D679</f>
        <v>0</v>
      </c>
      <c r="E679" s="1104" t="n">
        <f aca="false">'Смета Внутр'!E679</f>
        <v>150</v>
      </c>
      <c r="F679" s="1104" t="n">
        <f aca="false">'Смета Внутр'!F679</f>
        <v>0</v>
      </c>
      <c r="G679" s="1104" t="n">
        <f aca="false">IF(E679&gt;F679,E679,F679)</f>
        <v>150</v>
      </c>
      <c r="H679" s="1104" t="n">
        <f aca="false">'Смета Внутр'!G679</f>
        <v>0</v>
      </c>
      <c r="I679" s="1104" t="n">
        <f aca="false">'Смета Внутр'!H679</f>
        <v>0</v>
      </c>
      <c r="J679" s="1109" t="n">
        <f aca="false">'Смета Внутр'!I679</f>
        <v>0</v>
      </c>
    </row>
    <row r="680" customFormat="false" ht="15" hidden="true" customHeight="true" outlineLevel="0" collapsed="false">
      <c r="B680" s="1104" t="str">
        <f aca="false">'Смета Внутр'!B680</f>
        <v>обработка торцов на брусе</v>
      </c>
      <c r="C680" s="1104" t="str">
        <f aca="false">'Смета Внутр'!C680</f>
        <v>м.п.</v>
      </c>
      <c r="D680" s="1109" t="n">
        <f aca="false">'Смета Внутр'!D680</f>
        <v>20</v>
      </c>
      <c r="E680" s="1104" t="n">
        <f aca="false">'Смета Внутр'!E680</f>
        <v>250</v>
      </c>
      <c r="F680" s="1104" t="n">
        <f aca="false">'Смета Внутр'!F680</f>
        <v>0</v>
      </c>
      <c r="G680" s="1104" t="n">
        <f aca="false">IF(E680&gt;F680,E680,F680)</f>
        <v>250</v>
      </c>
      <c r="H680" s="1104" t="n">
        <f aca="false">'Смета Внутр'!G680</f>
        <v>5000</v>
      </c>
      <c r="I680" s="1104" t="n">
        <f aca="false">'Смета Внутр'!H680</f>
        <v>0</v>
      </c>
      <c r="J680" s="1109" t="n">
        <f aca="false">'Смета Внутр'!I680</f>
        <v>0</v>
      </c>
    </row>
    <row r="681" customFormat="false" ht="15" hidden="true" customHeight="true" outlineLevel="0" collapsed="false">
      <c r="B681" s="1104" t="str">
        <f aca="false">'Смета Внутр'!B681</f>
        <v>Обаботка огнебиозащитой</v>
      </c>
      <c r="C681" s="1104" t="str">
        <f aca="false">'Смета Внутр'!C681</f>
        <v>м.п.</v>
      </c>
      <c r="D681" s="1109" t="n">
        <f aca="false">'Смета Внутр'!D681</f>
        <v>0.825</v>
      </c>
      <c r="E681" s="1104" t="n">
        <f aca="false">'Смета Внутр'!E681</f>
        <v>300</v>
      </c>
      <c r="F681" s="1104" t="n">
        <f aca="false">'Смета Внутр'!F681</f>
        <v>0</v>
      </c>
      <c r="G681" s="1104" t="n">
        <f aca="false">IF(E681&gt;F681,E681,F681)</f>
        <v>300</v>
      </c>
      <c r="H681" s="1104" t="n">
        <f aca="false">'Смета Внутр'!G681</f>
        <v>247.5</v>
      </c>
      <c r="I681" s="1104" t="n">
        <f aca="false">'Смета Внутр'!H681</f>
        <v>0</v>
      </c>
      <c r="J681" s="1109" t="n">
        <f aca="false">'Смета Внутр'!I681</f>
        <v>0</v>
      </c>
    </row>
    <row r="682" customFormat="false" ht="15" hidden="true" customHeight="true" outlineLevel="0" collapsed="false">
      <c r="B682" s="1104" t="str">
        <f aca="false">'Смета Внутр'!B682</f>
        <v>Пропитка стен внешних</v>
      </c>
      <c r="C682" s="1104" t="str">
        <f aca="false">'Смета Внутр'!C682</f>
        <v>м.п.</v>
      </c>
      <c r="D682" s="1109" t="n">
        <f aca="false">'Смета Внутр'!D682</f>
        <v>0</v>
      </c>
      <c r="E682" s="1104" t="n">
        <f aca="false">'Смета Внутр'!E682</f>
        <v>100</v>
      </c>
      <c r="F682" s="1104" t="n">
        <f aca="false">'Смета Внутр'!F682</f>
        <v>0</v>
      </c>
      <c r="G682" s="1104" t="n">
        <f aca="false">IF(E682&gt;F682,E682,F682)</f>
        <v>100</v>
      </c>
      <c r="H682" s="1104" t="n">
        <f aca="false">'Смета Внутр'!G682</f>
        <v>0</v>
      </c>
      <c r="I682" s="1104" t="n">
        <f aca="false">'Смета Внутр'!H682</f>
        <v>0</v>
      </c>
      <c r="J682" s="1109" t="n">
        <f aca="false">'Смета Внутр'!I682</f>
        <v>0</v>
      </c>
    </row>
    <row r="683" customFormat="false" ht="15" hidden="true" customHeight="true" outlineLevel="0" collapsed="false">
      <c r="B683" s="1104" t="str">
        <f aca="false">'Смета Внутр'!B683</f>
        <v>Пропитка внутенних стен</v>
      </c>
      <c r="C683" s="1104" t="str">
        <f aca="false">'Смета Внутр'!C683</f>
        <v>м.п.</v>
      </c>
      <c r="D683" s="1109" t="n">
        <f aca="false">'Смета Внутр'!D683</f>
        <v>0</v>
      </c>
      <c r="E683" s="1104" t="n">
        <f aca="false">'Смета Внутр'!E683</f>
        <v>100</v>
      </c>
      <c r="F683" s="1104" t="n">
        <f aca="false">'Смета Внутр'!F683</f>
        <v>0</v>
      </c>
      <c r="G683" s="1104" t="n">
        <f aca="false">IF(E683&gt;F683,E683,F683)</f>
        <v>100</v>
      </c>
      <c r="H683" s="1104" t="n">
        <f aca="false">'Смета Внутр'!G683</f>
        <v>0</v>
      </c>
      <c r="I683" s="1104" t="n">
        <f aca="false">'Смета Внутр'!H683</f>
        <v>0</v>
      </c>
      <c r="J683" s="1109" t="n">
        <f aca="false">'Смета Внутр'!I683</f>
        <v>0</v>
      </c>
    </row>
    <row r="684" customFormat="false" ht="15" hidden="true" customHeight="true" outlineLevel="0" collapsed="false">
      <c r="B684" s="1104" t="str">
        <f aca="false">'Смета Внутр'!B684</f>
        <v>Не считать</v>
      </c>
      <c r="C684" s="1104" t="str">
        <f aca="false">'Смета Внутр'!C684</f>
        <v>м.п.</v>
      </c>
      <c r="D684" s="1109" t="n">
        <f aca="false">'Смета Внутр'!D684</f>
        <v>0</v>
      </c>
      <c r="E684" s="1104" t="n">
        <f aca="false">'Смета Внутр'!E684</f>
        <v>300</v>
      </c>
      <c r="F684" s="1104" t="n">
        <f aca="false">'Смета Внутр'!F684</f>
        <v>0</v>
      </c>
      <c r="G684" s="1104" t="n">
        <f aca="false">IF(E684&gt;F684,E684,F684)</f>
        <v>300</v>
      </c>
      <c r="H684" s="1104" t="n">
        <f aca="false">'Смета Внутр'!G684</f>
        <v>0</v>
      </c>
      <c r="I684" s="1104" t="n">
        <f aca="false">'Смета Внутр'!H684</f>
        <v>0</v>
      </c>
      <c r="J684" s="1109" t="n">
        <f aca="false">'Смета Внутр'!I684</f>
        <v>0</v>
      </c>
    </row>
    <row r="685" customFormat="false" ht="15" hidden="true" customHeight="true" outlineLevel="0" collapsed="false">
      <c r="B685" s="1104" t="str">
        <f aca="false">'Смета Внутр'!B685</f>
        <v>Монтаж наличника</v>
      </c>
      <c r="C685" s="1104" t="str">
        <f aca="false">'Смета Внутр'!C685</f>
        <v>м.п.</v>
      </c>
      <c r="D685" s="1109" t="n">
        <f aca="false">'Смета Внутр'!D685</f>
        <v>0</v>
      </c>
      <c r="E685" s="1104" t="n">
        <f aca="false">'Смета Внутр'!E685</f>
        <v>80</v>
      </c>
      <c r="F685" s="1104" t="n">
        <f aca="false">'Смета Внутр'!F685</f>
        <v>0</v>
      </c>
      <c r="G685" s="1104" t="n">
        <f aca="false">IF(E685&gt;F685,E685,F685)</f>
        <v>80</v>
      </c>
      <c r="H685" s="1104" t="n">
        <f aca="false">'Смета Внутр'!G685</f>
        <v>0</v>
      </c>
      <c r="I685" s="1104" t="n">
        <f aca="false">'Смета Внутр'!H685</f>
        <v>0</v>
      </c>
      <c r="J685" s="1109" t="n">
        <f aca="false">'Смета Внутр'!I685</f>
        <v>0</v>
      </c>
    </row>
    <row r="686" customFormat="false" ht="15" hidden="true" customHeight="true" outlineLevel="0" collapsed="false">
      <c r="B686" s="1104" t="str">
        <f aca="false">'Смета Внутр'!B686</f>
        <v>Шлифовка стен дома</v>
      </c>
      <c r="C686" s="1104" t="str">
        <f aca="false">'Смета Внутр'!C686</f>
        <v>м.п.</v>
      </c>
      <c r="D686" s="1109" t="n">
        <f aca="false">'Смета Внутр'!D686</f>
        <v>0</v>
      </c>
      <c r="E686" s="1104" t="n">
        <f aca="false">'Смета Внутр'!E686</f>
        <v>250</v>
      </c>
      <c r="F686" s="1104" t="n">
        <f aca="false">'Смета Внутр'!F686</f>
        <v>0</v>
      </c>
      <c r="G686" s="1104" t="n">
        <f aca="false">IF(E686&gt;F686,E686,F686)</f>
        <v>250</v>
      </c>
      <c r="H686" s="1104" t="n">
        <f aca="false">'Смета Внутр'!G686</f>
        <v>0</v>
      </c>
      <c r="I686" s="1104" t="n">
        <f aca="false">'Смета Внутр'!H686</f>
        <v>0</v>
      </c>
      <c r="J686" s="1109" t="n">
        <f aca="false">'Смета Внутр'!I686</f>
        <v>0</v>
      </c>
    </row>
    <row r="687" customFormat="false" ht="15" hidden="true" customHeight="true" outlineLevel="0" collapsed="false">
      <c r="B687" s="1108" t="str">
        <f aca="false">'Смета Внутр'!B687</f>
        <v>Итого работы</v>
      </c>
      <c r="C687" s="1108"/>
      <c r="D687" s="1108"/>
      <c r="E687" s="1108"/>
      <c r="F687" s="1108"/>
      <c r="G687" s="1108"/>
      <c r="H687" s="1104" t="n">
        <f aca="false">'Смета Внутр'!G687</f>
        <v>0</v>
      </c>
      <c r="I687" s="1104" t="n">
        <f aca="false">'Смета Внутр'!H687</f>
        <v>0</v>
      </c>
      <c r="J687" s="1109" t="n">
        <f aca="false">'Смета Внутр'!I687</f>
        <v>0</v>
      </c>
    </row>
    <row r="688" customFormat="false" ht="15" hidden="true" customHeight="true" outlineLevel="0" collapsed="false">
      <c r="B688" s="1111" t="str">
        <f aca="false">'Смета Внутр'!B688</f>
        <v>Дом из Клееного бруса</v>
      </c>
      <c r="C688" s="1111"/>
      <c r="D688" s="1111"/>
      <c r="H688" s="118" t="n">
        <f aca="false">'Смета Внутр'!G688</f>
        <v>0</v>
      </c>
      <c r="I688" s="118" t="n">
        <f aca="false">'Смета Внутр'!H688</f>
        <v>0</v>
      </c>
      <c r="J688" s="1102" t="n">
        <f aca="false">'Смета Внутр'!I688</f>
        <v>0</v>
      </c>
    </row>
    <row r="689" customFormat="false" ht="15" hidden="true" customHeight="true" outlineLevel="0" collapsed="false">
      <c r="B689" s="118" t="str">
        <f aca="false">'Смета Внутр'!B689</f>
        <v>Материалы</v>
      </c>
      <c r="H689" s="118" t="n">
        <f aca="false">'Смета Внутр'!G689</f>
        <v>0</v>
      </c>
      <c r="I689" s="118" t="n">
        <f aca="false">'Смета Внутр'!H689</f>
        <v>0</v>
      </c>
      <c r="J689" s="1102" t="n">
        <f aca="false">'Смета Внутр'!I689</f>
        <v>0</v>
      </c>
    </row>
    <row r="690" customFormat="false" ht="15" hidden="true" customHeight="true" outlineLevel="0" collapsed="false">
      <c r="B690" s="1104" t="str">
        <f aca="false">'Смета Внутр'!B690</f>
        <v>Листв. влаж, 200*200мм</v>
      </c>
      <c r="C690" s="1104" t="str">
        <f aca="false">'Смета Внутр'!C690</f>
        <v>м3</v>
      </c>
      <c r="D690" s="1109" t="n">
        <f aca="false">'Смета Внутр'!D690</f>
        <v>4.012</v>
      </c>
      <c r="E690" s="1104" t="n">
        <f aca="false">'Смета Внутр'!E690</f>
        <v>9000</v>
      </c>
      <c r="F690" s="1104" t="n">
        <f aca="false">'Смета Внутр'!F690</f>
        <v>0</v>
      </c>
      <c r="G690" s="1104" t="n">
        <f aca="false">IF(E690&gt;F690,E690,F690)</f>
        <v>9000</v>
      </c>
      <c r="H690" s="1104" t="n">
        <f aca="false">'Смета Внутр'!G690</f>
        <v>36108</v>
      </c>
      <c r="I690" s="1104" t="n">
        <f aca="false">'Смета Внутр'!H690</f>
        <v>0</v>
      </c>
      <c r="J690" s="1109" t="n">
        <f aca="false">'Смета Внутр'!I690</f>
        <v>0</v>
      </c>
    </row>
    <row r="691" customFormat="false" ht="15" hidden="true" customHeight="true" outlineLevel="0" collapsed="false">
      <c r="B691" s="1104" t="str">
        <f aca="false">'Смета Внутр'!B691</f>
        <v>Сосна влаж, 200*150мм</v>
      </c>
      <c r="C691" s="1104" t="str">
        <f aca="false">'Смета Внутр'!C691</f>
        <v>м3</v>
      </c>
      <c r="D691" s="1109" t="n">
        <f aca="false">'Смета Внутр'!D691</f>
        <v>-3.187</v>
      </c>
      <c r="E691" s="1104" t="n">
        <f aca="false">'Смета Внутр'!E691</f>
        <v>6500</v>
      </c>
      <c r="F691" s="1104" t="n">
        <f aca="false">'Смета Внутр'!F691</f>
        <v>0</v>
      </c>
      <c r="G691" s="1104" t="n">
        <f aca="false">IF(E691&gt;F691,E691,F691)</f>
        <v>6500</v>
      </c>
      <c r="H691" s="1104" t="n">
        <f aca="false">'Смета Внутр'!G691</f>
        <v>-20715.5</v>
      </c>
      <c r="I691" s="1104" t="n">
        <f aca="false">'Смета Внутр'!H691</f>
        <v>0</v>
      </c>
      <c r="J691" s="1109" t="n">
        <f aca="false">'Смета Внутр'!I691</f>
        <v>0</v>
      </c>
    </row>
    <row r="692" customFormat="false" ht="15" hidden="true" customHeight="true" outlineLevel="0" collapsed="false">
      <c r="B692" s="1104" t="str">
        <f aca="false">'Смета Внутр'!B692</f>
        <v>Сосна влаж, 200*150мм</v>
      </c>
      <c r="C692" s="1104" t="str">
        <f aca="false">'Смета Внутр'!C692</f>
        <v>м3</v>
      </c>
      <c r="D692" s="1109" t="n">
        <f aca="false">'Смета Внутр'!D692</f>
        <v>0</v>
      </c>
      <c r="E692" s="1104" t="n">
        <f aca="false">'Смета Внутр'!E692</f>
        <v>6500</v>
      </c>
      <c r="F692" s="1104" t="n">
        <f aca="false">'Смета Внутр'!F692</f>
        <v>0</v>
      </c>
      <c r="G692" s="1104" t="n">
        <f aca="false">IF(E692&gt;F692,E692,F692)</f>
        <v>6500</v>
      </c>
      <c r="H692" s="1104" t="n">
        <f aca="false">'Смета Внутр'!G692</f>
        <v>0</v>
      </c>
      <c r="I692" s="1104" t="n">
        <f aca="false">'Смета Внутр'!H692</f>
        <v>0</v>
      </c>
      <c r="J692" s="1109" t="n">
        <f aca="false">'Смета Внутр'!I692</f>
        <v>0</v>
      </c>
    </row>
    <row r="693" customFormat="false" ht="15" hidden="true" customHeight="true" outlineLevel="0" collapsed="false">
      <c r="B693" s="1104" t="str">
        <f aca="false">'Смета Внутр'!B693</f>
        <v>Сосна влаж, 200*100мм</v>
      </c>
      <c r="C693" s="1104" t="str">
        <f aca="false">'Смета Внутр'!C693</f>
        <v>м2</v>
      </c>
      <c r="D693" s="1109" t="n">
        <f aca="false">'Смета Внутр'!D693</f>
        <v>0</v>
      </c>
      <c r="E693" s="1104" t="n">
        <f aca="false">'Смета Внутр'!E693</f>
        <v>6500</v>
      </c>
      <c r="F693" s="1104" t="n">
        <f aca="false">'Смета Внутр'!F693</f>
        <v>0</v>
      </c>
      <c r="G693" s="1104" t="n">
        <f aca="false">IF(E693&gt;F693,E693,F693)</f>
        <v>6500</v>
      </c>
      <c r="H693" s="1104" t="n">
        <f aca="false">'Смета Внутр'!G693</f>
        <v>0</v>
      </c>
      <c r="I693" s="1104" t="n">
        <f aca="false">'Смета Внутр'!H693</f>
        <v>0</v>
      </c>
      <c r="J693" s="1109" t="n">
        <f aca="false">'Смета Внутр'!I693</f>
        <v>0</v>
      </c>
    </row>
    <row r="694" customFormat="false" ht="15" hidden="true" customHeight="true" outlineLevel="0" collapsed="false">
      <c r="B694" s="1104" t="str">
        <f aca="false">'Смета Внутр'!B694</f>
        <v>Шкант</v>
      </c>
      <c r="C694" s="1104" t="str">
        <f aca="false">'Смета Внутр'!C694</f>
        <v>шт</v>
      </c>
      <c r="D694" s="1109" t="n">
        <f aca="false">'Смета Внутр'!D694</f>
        <v>19</v>
      </c>
      <c r="E694" s="1104" t="n">
        <f aca="false">'Смета Внутр'!E694</f>
        <v>6</v>
      </c>
      <c r="F694" s="1104" t="n">
        <f aca="false">'Смета Внутр'!F694</f>
        <v>0</v>
      </c>
      <c r="G694" s="1104" t="n">
        <f aca="false">IF(E694&gt;F694,E694,F694)</f>
        <v>6</v>
      </c>
      <c r="H694" s="1104" t="n">
        <f aca="false">'Смета Внутр'!G694</f>
        <v>114</v>
      </c>
      <c r="I694" s="1104" t="n">
        <f aca="false">'Смета Внутр'!H694</f>
        <v>0</v>
      </c>
      <c r="J694" s="1109" t="n">
        <f aca="false">'Смета Внутр'!I694</f>
        <v>0</v>
      </c>
    </row>
    <row r="695" customFormat="false" ht="15" hidden="true" customHeight="true" outlineLevel="0" collapsed="false">
      <c r="B695" s="1104" t="str">
        <f aca="false">'Смета Внутр'!B695</f>
        <v>Лента уплотнения</v>
      </c>
      <c r="C695" s="1104" t="str">
        <f aca="false">'Смета Внутр'!C695</f>
        <v>шт</v>
      </c>
      <c r="D695" s="1109" t="n">
        <f aca="false">'Смета Внутр'!D695</f>
        <v>0</v>
      </c>
      <c r="E695" s="1104" t="n">
        <f aca="false">'Смета Внутр'!E695</f>
        <v>130</v>
      </c>
      <c r="F695" s="1104" t="n">
        <f aca="false">'Смета Внутр'!F695</f>
        <v>0</v>
      </c>
      <c r="G695" s="1104" t="n">
        <f aca="false">IF(E695&gt;F695,E695,F695)</f>
        <v>130</v>
      </c>
      <c r="H695" s="1104" t="n">
        <f aca="false">'Смета Внутр'!G695</f>
        <v>0</v>
      </c>
      <c r="I695" s="1104" t="n">
        <f aca="false">'Смета Внутр'!H695</f>
        <v>0</v>
      </c>
      <c r="J695" s="1109" t="n">
        <f aca="false">'Смета Внутр'!I695</f>
        <v>0</v>
      </c>
    </row>
    <row r="696" customFormat="false" ht="15" hidden="true" customHeight="true" outlineLevel="0" collapsed="false">
      <c r="B696" s="1104" t="str">
        <f aca="false">'Смета Внутр'!B696</f>
        <v>Гвозди строительные 3,5 x 90            </v>
      </c>
      <c r="C696" s="1104" t="str">
        <f aca="false">'Смета Внутр'!C696</f>
        <v>шт</v>
      </c>
      <c r="D696" s="1109" t="n">
        <f aca="false">'Смета Внутр'!D696</f>
        <v>4.4</v>
      </c>
      <c r="E696" s="1104" t="n">
        <f aca="false">'Смета Внутр'!E696</f>
        <v>70</v>
      </c>
      <c r="F696" s="1104" t="n">
        <f aca="false">'Смета Внутр'!F696</f>
        <v>0</v>
      </c>
      <c r="G696" s="1104" t="n">
        <f aca="false">IF(E696&gt;F696,E696,F696)</f>
        <v>70</v>
      </c>
      <c r="H696" s="1104" t="n">
        <f aca="false">'Смета Внутр'!G696</f>
        <v>308</v>
      </c>
      <c r="I696" s="1104" t="n">
        <f aca="false">'Смета Внутр'!H696</f>
        <v>0</v>
      </c>
      <c r="J696" s="1109" t="n">
        <f aca="false">'Смета Внутр'!I696</f>
        <v>0</v>
      </c>
    </row>
    <row r="697" customFormat="false" ht="15" hidden="true" customHeight="true" outlineLevel="0" collapsed="false">
      <c r="B697" s="1104" t="str">
        <f aca="false">'Смета Внутр'!B697</f>
        <v>нет</v>
      </c>
      <c r="C697" s="1104" t="str">
        <f aca="false">'Смета Внутр'!C697</f>
        <v>м3</v>
      </c>
      <c r="D697" s="1109" t="n">
        <f aca="false">'Смета Внутр'!D697</f>
        <v>0</v>
      </c>
      <c r="E697" s="1104" t="n">
        <f aca="false">'Смета Внутр'!E697</f>
        <v>0</v>
      </c>
      <c r="F697" s="1104" t="n">
        <f aca="false">'Смета Внутр'!F697</f>
        <v>0</v>
      </c>
      <c r="G697" s="1104" t="n">
        <f aca="false">IF(E697&gt;F697,E697,F697)</f>
        <v>0</v>
      </c>
      <c r="H697" s="1104" t="n">
        <f aca="false">'Смета Внутр'!G697</f>
        <v>0</v>
      </c>
      <c r="I697" s="1104" t="n">
        <f aca="false">'Смета Внутр'!H697</f>
        <v>0</v>
      </c>
      <c r="J697" s="1109" t="n">
        <f aca="false">'Смета Внутр'!I697</f>
        <v>0</v>
      </c>
    </row>
    <row r="698" customFormat="false" ht="15" hidden="true" customHeight="true" outlineLevel="0" collapsed="false">
      <c r="B698" s="1104" t="str">
        <f aca="false">'Смета Внутр'!B698</f>
        <v>нет</v>
      </c>
      <c r="C698" s="1104" t="str">
        <f aca="false">'Смета Внутр'!C698</f>
        <v>м3</v>
      </c>
      <c r="D698" s="1109" t="n">
        <f aca="false">'Смета Внутр'!D698</f>
        <v>0</v>
      </c>
      <c r="E698" s="1104" t="n">
        <f aca="false">'Смета Внутр'!E698</f>
        <v>0</v>
      </c>
      <c r="F698" s="1104" t="n">
        <f aca="false">'Смета Внутр'!F698</f>
        <v>0</v>
      </c>
      <c r="G698" s="1104" t="n">
        <f aca="false">IF(E698&gt;F698,E698,F698)</f>
        <v>0</v>
      </c>
      <c r="H698" s="1104" t="n">
        <f aca="false">'Смета Внутр'!G698</f>
        <v>0</v>
      </c>
      <c r="I698" s="1104" t="n">
        <f aca="false">'Смета Внутр'!H698</f>
        <v>0</v>
      </c>
      <c r="J698" s="1109" t="n">
        <f aca="false">'Смета Внутр'!I698</f>
        <v>0</v>
      </c>
    </row>
    <row r="699" customFormat="false" ht="15" hidden="true" customHeight="true" outlineLevel="0" collapsed="false">
      <c r="B699" s="1104" t="str">
        <f aca="false">'Смета Внутр'!B699</f>
        <v>нет</v>
      </c>
      <c r="C699" s="1104" t="str">
        <f aca="false">'Смета Внутр'!C699</f>
        <v>м3</v>
      </c>
      <c r="D699" s="1109" t="n">
        <f aca="false">'Смета Внутр'!D699</f>
        <v>0</v>
      </c>
      <c r="E699" s="1104" t="n">
        <f aca="false">'Смета Внутр'!E699</f>
        <v>0</v>
      </c>
      <c r="F699" s="1104" t="n">
        <f aca="false">'Смета Внутр'!F699</f>
        <v>0</v>
      </c>
      <c r="G699" s="1104" t="n">
        <f aca="false">IF(E699&gt;F699,E699,F699)</f>
        <v>0</v>
      </c>
      <c r="H699" s="1104" t="n">
        <f aca="false">'Смета Внутр'!G699</f>
        <v>0</v>
      </c>
      <c r="I699" s="1104" t="n">
        <f aca="false">'Смета Внутр'!H699</f>
        <v>0</v>
      </c>
      <c r="J699" s="1109" t="n">
        <f aca="false">'Смета Внутр'!I699</f>
        <v>0</v>
      </c>
    </row>
    <row r="700" customFormat="false" ht="15" hidden="true" customHeight="true" outlineLevel="0" collapsed="false">
      <c r="B700" s="1104" t="str">
        <f aca="false">'Смета Внутр'!B700</f>
        <v>нет</v>
      </c>
      <c r="C700" s="1104" t="str">
        <f aca="false">'Смета Внутр'!C700</f>
        <v>м.п.</v>
      </c>
      <c r="D700" s="1109" t="n">
        <f aca="false">'Смета Внутр'!D700</f>
        <v>0</v>
      </c>
      <c r="E700" s="1104" t="n">
        <f aca="false">'Смета Внутр'!E700</f>
        <v>0</v>
      </c>
      <c r="F700" s="1104" t="n">
        <f aca="false">'Смета Внутр'!F700</f>
        <v>0</v>
      </c>
      <c r="G700" s="1104" t="n">
        <f aca="false">IF(E700&gt;F700,E700,F700)</f>
        <v>0</v>
      </c>
      <c r="H700" s="1104" t="n">
        <f aca="false">'Смета Внутр'!G700</f>
        <v>0</v>
      </c>
      <c r="I700" s="1104" t="n">
        <f aca="false">'Смета Внутр'!H700</f>
        <v>0</v>
      </c>
      <c r="J700" s="1109" t="n">
        <f aca="false">'Смета Внутр'!I700</f>
        <v>0</v>
      </c>
    </row>
    <row r="701" customFormat="false" ht="15" hidden="true" customHeight="true" outlineLevel="0" collapsed="false">
      <c r="B701" s="1104" t="str">
        <f aca="false">'Смета Внутр'!B701</f>
        <v>Бензин для пилы</v>
      </c>
      <c r="C701" s="1104" t="str">
        <f aca="false">'Смета Внутр'!C701</f>
        <v>л</v>
      </c>
      <c r="D701" s="1109" t="n">
        <f aca="false">'Смета Внутр'!D701</f>
        <v>0.165</v>
      </c>
      <c r="E701" s="1104" t="n">
        <f aca="false">'Смета Внутр'!E701</f>
        <v>40</v>
      </c>
      <c r="F701" s="1104" t="n">
        <f aca="false">'Смета Внутр'!F701</f>
        <v>0</v>
      </c>
      <c r="G701" s="1104" t="n">
        <f aca="false">IF(E701&gt;F701,E701,F701)</f>
        <v>40</v>
      </c>
      <c r="H701" s="1104" t="n">
        <f aca="false">'Смета Внутр'!G701</f>
        <v>6.6</v>
      </c>
      <c r="I701" s="1104" t="n">
        <f aca="false">'Смета Внутр'!H701</f>
        <v>0</v>
      </c>
      <c r="J701" s="1109" t="n">
        <f aca="false">'Смета Внутр'!I701</f>
        <v>0</v>
      </c>
    </row>
    <row r="702" customFormat="false" ht="15" hidden="true" customHeight="true" outlineLevel="0" collapsed="false">
      <c r="B702" s="1104" t="str">
        <f aca="false">'Смета Внутр'!B702</f>
        <v>Масло для пилы</v>
      </c>
      <c r="C702" s="1104" t="str">
        <f aca="false">'Смета Внутр'!C702</f>
        <v>л</v>
      </c>
      <c r="D702" s="1109" t="n">
        <f aca="false">'Смета Внутр'!D702</f>
        <v>0.00825</v>
      </c>
      <c r="E702" s="1104" t="n">
        <f aca="false">'Смета Внутр'!E702</f>
        <v>250</v>
      </c>
      <c r="F702" s="1104" t="n">
        <f aca="false">'Смета Внутр'!F702</f>
        <v>0</v>
      </c>
      <c r="G702" s="1104" t="n">
        <f aca="false">IF(E702&gt;F702,E702,F702)</f>
        <v>250</v>
      </c>
      <c r="H702" s="1104" t="n">
        <f aca="false">'Смета Внутр'!G702</f>
        <v>2.0625</v>
      </c>
      <c r="I702" s="1104" t="n">
        <f aca="false">'Смета Внутр'!H702</f>
        <v>0</v>
      </c>
      <c r="J702" s="1109" t="n">
        <f aca="false">'Смета Внутр'!I702</f>
        <v>0</v>
      </c>
    </row>
    <row r="703" customFormat="false" ht="15" hidden="true" customHeight="true" outlineLevel="0" collapsed="false">
      <c r="B703" s="1104" t="str">
        <f aca="false">'Смета Внутр'!B703</f>
        <v>Цепь для пилы</v>
      </c>
      <c r="C703" s="1104" t="str">
        <f aca="false">'Смета Внутр'!C703</f>
        <v>шт</v>
      </c>
      <c r="D703" s="1109" t="n">
        <f aca="false">'Смета Внутр'!D703</f>
        <v>1</v>
      </c>
      <c r="E703" s="1104" t="n">
        <f aca="false">'Смета Внутр'!E703</f>
        <v>800</v>
      </c>
      <c r="F703" s="1104" t="n">
        <f aca="false">'Смета Внутр'!F703</f>
        <v>0</v>
      </c>
      <c r="G703" s="1104" t="n">
        <f aca="false">IF(E703&gt;F703,E703,F703)</f>
        <v>800</v>
      </c>
      <c r="H703" s="1104" t="n">
        <f aca="false">'Смета Внутр'!G703</f>
        <v>800</v>
      </c>
      <c r="I703" s="1104" t="n">
        <f aca="false">'Смета Внутр'!H703</f>
        <v>0</v>
      </c>
      <c r="J703" s="1109" t="n">
        <f aca="false">'Смета Внутр'!I703</f>
        <v>0</v>
      </c>
    </row>
    <row r="704" customFormat="false" ht="15" hidden="true" customHeight="true" outlineLevel="0" collapsed="false">
      <c r="B704" s="1104" t="str">
        <f aca="false">'Смета Внутр'!B704</f>
        <v>"Профилюкс" Антисептик ОБЗ-1</v>
      </c>
      <c r="C704" s="1104" t="str">
        <f aca="false">'Смета Внутр'!C704</f>
        <v>л</v>
      </c>
      <c r="D704" s="1109" t="n">
        <f aca="false">'Смета Внутр'!D704</f>
        <v>0</v>
      </c>
      <c r="E704" s="1104" t="n">
        <f aca="false">'Смета Внутр'!E704</f>
        <v>42</v>
      </c>
      <c r="F704" s="1104" t="n">
        <f aca="false">'Смета Внутр'!F704</f>
        <v>0</v>
      </c>
      <c r="G704" s="1104" t="n">
        <f aca="false">IF(E704&gt;F704,E704,F704)</f>
        <v>42</v>
      </c>
      <c r="H704" s="1104" t="n">
        <f aca="false">'Смета Внутр'!G704</f>
        <v>0</v>
      </c>
      <c r="I704" s="1104" t="n">
        <f aca="false">'Смета Внутр'!H704</f>
        <v>0</v>
      </c>
      <c r="J704" s="1109" t="n">
        <f aca="false">'Смета Внутр'!I704</f>
        <v>0</v>
      </c>
    </row>
    <row r="705" customFormat="false" ht="15" hidden="true" customHeight="true" outlineLevel="0" collapsed="false">
      <c r="B705" s="1104" t="str">
        <f aca="false">'Смета Внутр'!B705</f>
        <v>Нет пропитки</v>
      </c>
      <c r="C705" s="1104" t="str">
        <f aca="false">'Смета Внутр'!C705</f>
        <v>л</v>
      </c>
      <c r="D705" s="1109" t="n">
        <f aca="false">'Смета Внутр'!D705</f>
        <v>0</v>
      </c>
      <c r="E705" s="1104" t="n">
        <f aca="false">'Смета Внутр'!E705</f>
        <v>0</v>
      </c>
      <c r="F705" s="1104" t="n">
        <f aca="false">'Смета Внутр'!F705</f>
        <v>0</v>
      </c>
      <c r="G705" s="1104" t="n">
        <f aca="false">IF(E705&gt;F705,E705,F705)</f>
        <v>0</v>
      </c>
      <c r="H705" s="1104" t="n">
        <f aca="false">'Смета Внутр'!G705</f>
        <v>0</v>
      </c>
      <c r="I705" s="1104" t="n">
        <f aca="false">'Смета Внутр'!H705</f>
        <v>0</v>
      </c>
      <c r="J705" s="1109" t="n">
        <f aca="false">'Смета Внутр'!I705</f>
        <v>0</v>
      </c>
    </row>
    <row r="706" customFormat="false" ht="15" hidden="true" customHeight="true" outlineLevel="0" collapsed="false">
      <c r="B706" s="1104" t="str">
        <f aca="false">'Смета Внутр'!B706</f>
        <v>Нет пропитки</v>
      </c>
      <c r="C706" s="1104" t="str">
        <f aca="false">'Смета Внутр'!C706</f>
        <v>л</v>
      </c>
      <c r="D706" s="1109" t="n">
        <f aca="false">'Смета Внутр'!D706</f>
        <v>0</v>
      </c>
      <c r="E706" s="1104" t="n">
        <f aca="false">'Смета Внутр'!E706</f>
        <v>0</v>
      </c>
      <c r="F706" s="1104" t="n">
        <f aca="false">'Смета Внутр'!F706</f>
        <v>0</v>
      </c>
      <c r="G706" s="1104" t="n">
        <f aca="false">IF(E706&gt;F706,E706,F706)</f>
        <v>0</v>
      </c>
      <c r="H706" s="1104" t="n">
        <f aca="false">'Смета Внутр'!G706</f>
        <v>0</v>
      </c>
      <c r="I706" s="1104" t="n">
        <f aca="false">'Смета Внутр'!H706</f>
        <v>0</v>
      </c>
      <c r="J706" s="1109" t="n">
        <f aca="false">'Смета Внутр'!I706</f>
        <v>0</v>
      </c>
    </row>
    <row r="707" customFormat="false" ht="15" hidden="true" customHeight="true" outlineLevel="0" collapsed="false">
      <c r="B707" s="1104" t="str">
        <f aca="false">'Смета Внутр'!B707</f>
        <v>Нет наличника</v>
      </c>
      <c r="C707" s="1104" t="str">
        <f aca="false">'Смета Внутр'!C707</f>
        <v>м.п.</v>
      </c>
      <c r="D707" s="1109" t="n">
        <f aca="false">'Смета Внутр'!D707</f>
        <v>3.57</v>
      </c>
      <c r="E707" s="1104" t="n">
        <f aca="false">'Смета Внутр'!E707</f>
        <v>0</v>
      </c>
      <c r="F707" s="1104" t="n">
        <f aca="false">'Смета Внутр'!F707</f>
        <v>0</v>
      </c>
      <c r="G707" s="1104" t="n">
        <f aca="false">IF(E707&gt;F707,E707,F707)</f>
        <v>0</v>
      </c>
      <c r="H707" s="1104" t="n">
        <f aca="false">'Смета Внутр'!G707</f>
        <v>0</v>
      </c>
      <c r="I707" s="1104" t="n">
        <f aca="false">'Смета Внутр'!H707</f>
        <v>0</v>
      </c>
      <c r="J707" s="1109" t="n">
        <f aca="false">'Смета Внутр'!I707</f>
        <v>0</v>
      </c>
    </row>
    <row r="708" customFormat="false" ht="15" hidden="true" customHeight="true" outlineLevel="0" collapsed="false">
      <c r="B708" s="1104" t="str">
        <f aca="false">'Смета Внутр'!B708</f>
        <v>Нет наличника</v>
      </c>
      <c r="C708" s="1104" t="str">
        <f aca="false">'Смета Внутр'!C708</f>
        <v>м.п.</v>
      </c>
      <c r="D708" s="1109" t="n">
        <f aca="false">'Смета Внутр'!D708</f>
        <v>3.57</v>
      </c>
      <c r="E708" s="1104" t="n">
        <f aca="false">'Смета Внутр'!E708</f>
        <v>0</v>
      </c>
      <c r="F708" s="1104" t="n">
        <f aca="false">'Смета Внутр'!F708</f>
        <v>0</v>
      </c>
      <c r="G708" s="1104" t="n">
        <f aca="false">IF(E708&gt;F708,E708,F708)</f>
        <v>0</v>
      </c>
      <c r="H708" s="1104" t="n">
        <f aca="false">'Смета Внутр'!G708</f>
        <v>0</v>
      </c>
      <c r="I708" s="1104" t="n">
        <f aca="false">'Смета Внутр'!H708</f>
        <v>0</v>
      </c>
      <c r="J708" s="1109" t="n">
        <f aca="false">'Смета Внутр'!I708</f>
        <v>0</v>
      </c>
    </row>
    <row r="709" customFormat="false" ht="15" hidden="true" customHeight="true" outlineLevel="0" collapsed="false">
      <c r="B709" s="1104" t="str">
        <f aca="false">'Смета Внутр'!B709</f>
        <v>Нет наждачной бумаги</v>
      </c>
      <c r="C709" s="1104" t="str">
        <f aca="false">'Смета Внутр'!C709</f>
        <v>м</v>
      </c>
      <c r="D709" s="1109" t="n">
        <f aca="false">'Смета Внутр'!D709</f>
        <v>0</v>
      </c>
      <c r="E709" s="1104" t="n">
        <f aca="false">'Смета Внутр'!E709</f>
        <v>0</v>
      </c>
      <c r="F709" s="1104" t="n">
        <f aca="false">'Смета Внутр'!F709</f>
        <v>0</v>
      </c>
      <c r="G709" s="1104" t="n">
        <f aca="false">IF(E709&gt;F709,E709,F709)</f>
        <v>0</v>
      </c>
      <c r="H709" s="1104" t="n">
        <f aca="false">'Смета Внутр'!G709</f>
        <v>0</v>
      </c>
      <c r="I709" s="1104" t="n">
        <f aca="false">'Смета Внутр'!H709</f>
        <v>0</v>
      </c>
      <c r="J709" s="1109" t="n">
        <f aca="false">'Смета Внутр'!I709</f>
        <v>0</v>
      </c>
    </row>
    <row r="710" customFormat="false" ht="15" hidden="true" customHeight="true" outlineLevel="0" collapsed="false">
      <c r="B710" s="1104" t="str">
        <f aca="false">'Смета Внутр'!B710</f>
        <v>Нет наждачной бумаги</v>
      </c>
      <c r="C710" s="1104" t="str">
        <f aca="false">'Смета Внутр'!C710</f>
        <v>м</v>
      </c>
      <c r="D710" s="1109" t="n">
        <f aca="false">'Смета Внутр'!D710</f>
        <v>0</v>
      </c>
      <c r="E710" s="1104" t="n">
        <f aca="false">'Смета Внутр'!E710</f>
        <v>0</v>
      </c>
      <c r="F710" s="1104" t="n">
        <f aca="false">'Смета Внутр'!F710</f>
        <v>0</v>
      </c>
      <c r="G710" s="1104" t="n">
        <f aca="false">IF(E710&gt;F710,E710,F710)</f>
        <v>0</v>
      </c>
      <c r="H710" s="1104" t="n">
        <f aca="false">'Смета Внутр'!G710</f>
        <v>0</v>
      </c>
      <c r="I710" s="1104" t="n">
        <f aca="false">'Смета Внутр'!H710</f>
        <v>0</v>
      </c>
      <c r="J710" s="1109" t="n">
        <f aca="false">'Смета Внутр'!I710</f>
        <v>0</v>
      </c>
    </row>
    <row r="711" customFormat="false" ht="15" hidden="true" customHeight="true" outlineLevel="0" collapsed="false">
      <c r="B711" s="1104" t="str">
        <f aca="false">'Смета Внутр'!B711</f>
        <v>Нет наждачной бумаги</v>
      </c>
      <c r="C711" s="1104" t="str">
        <f aca="false">'Смета Внутр'!C711</f>
        <v>м</v>
      </c>
      <c r="D711" s="1109" t="n">
        <f aca="false">'Смета Внутр'!D711</f>
        <v>0</v>
      </c>
      <c r="E711" s="1104" t="n">
        <f aca="false">'Смета Внутр'!E711</f>
        <v>0</v>
      </c>
      <c r="F711" s="1104" t="n">
        <f aca="false">'Смета Внутр'!F711</f>
        <v>0</v>
      </c>
      <c r="G711" s="1104" t="n">
        <f aca="false">IF(E711&gt;F711,E711,F711)</f>
        <v>0</v>
      </c>
      <c r="H711" s="1104" t="n">
        <f aca="false">'Смета Внутр'!G711</f>
        <v>0</v>
      </c>
      <c r="I711" s="1104" t="n">
        <f aca="false">'Смета Внутр'!H711</f>
        <v>0</v>
      </c>
      <c r="J711" s="1109" t="n">
        <f aca="false">'Смета Внутр'!I711</f>
        <v>0</v>
      </c>
    </row>
    <row r="712" customFormat="false" ht="15" hidden="true" customHeight="true" outlineLevel="0" collapsed="false">
      <c r="B712" s="1104" t="str">
        <f aca="false">'Смета Внутр'!B712</f>
        <v>Нет наждачной бумаги</v>
      </c>
      <c r="C712" s="1104" t="str">
        <f aca="false">'Смета Внутр'!C712</f>
        <v>м</v>
      </c>
      <c r="D712" s="1109" t="n">
        <f aca="false">'Смета Внутр'!D712</f>
        <v>0</v>
      </c>
      <c r="E712" s="1104" t="n">
        <f aca="false">'Смета Внутр'!E712</f>
        <v>0</v>
      </c>
      <c r="F712" s="1104" t="n">
        <f aca="false">'Смета Внутр'!F712</f>
        <v>0</v>
      </c>
      <c r="G712" s="1104" t="n">
        <f aca="false">IF(E712&gt;F712,E712,F712)</f>
        <v>0</v>
      </c>
      <c r="H712" s="1104" t="n">
        <f aca="false">'Смета Внутр'!G712</f>
        <v>0</v>
      </c>
      <c r="I712" s="1104" t="n">
        <f aca="false">'Смета Внутр'!H712</f>
        <v>0</v>
      </c>
      <c r="J712" s="1109" t="n">
        <f aca="false">'Смета Внутр'!I712</f>
        <v>0</v>
      </c>
    </row>
    <row r="713" customFormat="false" ht="15" hidden="true" customHeight="false" outlineLevel="0" collapsed="false">
      <c r="B713" s="1108" t="str">
        <f aca="false">'Смета Внутр'!B713</f>
        <v>Итого материалы</v>
      </c>
      <c r="C713" s="1108"/>
      <c r="D713" s="1108"/>
      <c r="E713" s="1108"/>
      <c r="F713" s="1108"/>
      <c r="G713" s="1108"/>
      <c r="H713" s="1104" t="n">
        <f aca="false">'Смета Внутр'!G713</f>
        <v>0</v>
      </c>
      <c r="I713" s="1104" t="n">
        <f aca="false">'Смета Внутр'!H713</f>
        <v>0</v>
      </c>
      <c r="J713" s="1109" t="n">
        <f aca="false">'Смета Внутр'!I713</f>
        <v>0</v>
      </c>
    </row>
    <row r="714" customFormat="false" ht="15" hidden="true" customHeight="true" outlineLevel="0" collapsed="false">
      <c r="B714" s="118" t="str">
        <f aca="false">'Смета Внутр'!B714</f>
        <v>Работы</v>
      </c>
      <c r="H714" s="118" t="n">
        <f aca="false">'Смета Внутр'!G714</f>
        <v>0</v>
      </c>
      <c r="I714" s="118" t="n">
        <f aca="false">'Смета Внутр'!H714</f>
        <v>0</v>
      </c>
      <c r="J714" s="1102" t="n">
        <f aca="false">'Смета Внутр'!I714</f>
        <v>0</v>
      </c>
    </row>
    <row r="715" customFormat="false" ht="15" hidden="true" customHeight="true" outlineLevel="0" collapsed="false">
      <c r="B715" s="1104" t="str">
        <f aca="false">'Смета Внутр'!B715</f>
        <v>кладка бруса</v>
      </c>
      <c r="C715" s="1104" t="str">
        <f aca="false">'Смета Внутр'!C715</f>
        <v>м3</v>
      </c>
      <c r="D715" s="1109" t="n">
        <f aca="false">'Смета Внутр'!D715</f>
        <v>0.825</v>
      </c>
      <c r="E715" s="1104" t="n">
        <f aca="false">'Смета Внутр'!E715</f>
        <v>6000</v>
      </c>
      <c r="F715" s="1104" t="n">
        <f aca="false">'Смета Внутр'!F715</f>
        <v>0</v>
      </c>
      <c r="G715" s="1104" t="n">
        <f aca="false">IF(E715&gt;F715,E715,F715)</f>
        <v>6000</v>
      </c>
      <c r="H715" s="1104" t="n">
        <f aca="false">'Смета Внутр'!G715</f>
        <v>4950</v>
      </c>
      <c r="I715" s="1104" t="n">
        <f aca="false">'Смета Внутр'!H715</f>
        <v>0</v>
      </c>
      <c r="J715" s="1109" t="n">
        <f aca="false">'Смета Внутр'!I715</f>
        <v>0</v>
      </c>
    </row>
    <row r="716" customFormat="false" ht="15" hidden="true" customHeight="true" outlineLevel="0" collapsed="false">
      <c r="B716" s="1104" t="str">
        <f aca="false">'Смета Внутр'!B716</f>
        <v>окосячка проемов, м.п.</v>
      </c>
      <c r="C716" s="1104" t="str">
        <f aca="false">'Смета Внутр'!C716</f>
        <v>м.п.</v>
      </c>
      <c r="D716" s="1109" t="n">
        <f aca="false">'Смета Внутр'!D716</f>
        <v>0</v>
      </c>
      <c r="E716" s="1104" t="n">
        <f aca="false">'Смета Внутр'!E716</f>
        <v>150</v>
      </c>
      <c r="F716" s="1104" t="n">
        <f aca="false">'Смета Внутр'!F716</f>
        <v>0</v>
      </c>
      <c r="G716" s="1104" t="n">
        <f aca="false">IF(E716&gt;F716,E716,F716)</f>
        <v>150</v>
      </c>
      <c r="H716" s="1104" t="n">
        <f aca="false">'Смета Внутр'!G716</f>
        <v>0</v>
      </c>
      <c r="I716" s="1104" t="n">
        <f aca="false">'Смета Внутр'!H716</f>
        <v>0</v>
      </c>
      <c r="J716" s="1109" t="n">
        <f aca="false">'Смета Внутр'!I716</f>
        <v>0</v>
      </c>
    </row>
    <row r="717" customFormat="false" ht="15" hidden="true" customHeight="true" outlineLevel="0" collapsed="false">
      <c r="B717" s="1104" t="str">
        <f aca="false">'Смета Внутр'!B717</f>
        <v>обработка торцов на брусе</v>
      </c>
      <c r="C717" s="1104" t="str">
        <f aca="false">'Смета Внутр'!C717</f>
        <v>м.п.</v>
      </c>
      <c r="D717" s="1109" t="n">
        <f aca="false">'Смета Внутр'!D717</f>
        <v>20</v>
      </c>
      <c r="E717" s="1104" t="n">
        <f aca="false">'Смета Внутр'!E717</f>
        <v>250</v>
      </c>
      <c r="F717" s="1104" t="n">
        <f aca="false">'Смета Внутр'!F717</f>
        <v>0</v>
      </c>
      <c r="G717" s="1104" t="n">
        <f aca="false">IF(E717&gt;F717,E717,F717)</f>
        <v>250</v>
      </c>
      <c r="H717" s="1104" t="n">
        <f aca="false">'Смета Внутр'!G717</f>
        <v>5000</v>
      </c>
      <c r="I717" s="1104" t="n">
        <f aca="false">'Смета Внутр'!H717</f>
        <v>0</v>
      </c>
      <c r="J717" s="1109" t="n">
        <f aca="false">'Смета Внутр'!I717</f>
        <v>0</v>
      </c>
    </row>
    <row r="718" customFormat="false" ht="15" hidden="true" customHeight="true" outlineLevel="0" collapsed="false">
      <c r="B718" s="1104" t="str">
        <f aca="false">'Смета Внутр'!B718</f>
        <v>Обаботка огнебиозащитой</v>
      </c>
      <c r="C718" s="1104" t="str">
        <f aca="false">'Смета Внутр'!C718</f>
        <v>м.п.</v>
      </c>
      <c r="D718" s="1109" t="n">
        <f aca="false">'Смета Внутр'!D718</f>
        <v>0.825</v>
      </c>
      <c r="E718" s="1104" t="n">
        <f aca="false">'Смета Внутр'!E718</f>
        <v>300</v>
      </c>
      <c r="F718" s="1104" t="n">
        <f aca="false">'Смета Внутр'!F718</f>
        <v>0</v>
      </c>
      <c r="G718" s="1104" t="n">
        <f aca="false">IF(E718&gt;F718,E718,F718)</f>
        <v>300</v>
      </c>
      <c r="H718" s="1104" t="n">
        <f aca="false">'Смета Внутр'!G718</f>
        <v>247.5</v>
      </c>
      <c r="I718" s="1104" t="n">
        <f aca="false">'Смета Внутр'!H718</f>
        <v>0</v>
      </c>
      <c r="J718" s="1109" t="n">
        <f aca="false">'Смета Внутр'!I718</f>
        <v>0</v>
      </c>
    </row>
    <row r="719" customFormat="false" ht="15" hidden="true" customHeight="true" outlineLevel="0" collapsed="false">
      <c r="B719" s="1104" t="str">
        <f aca="false">'Смета Внутр'!B719</f>
        <v>Пропитка стен внешних</v>
      </c>
      <c r="C719" s="1104" t="str">
        <f aca="false">'Смета Внутр'!C719</f>
        <v>м.п.</v>
      </c>
      <c r="D719" s="1109" t="n">
        <f aca="false">'Смета Внутр'!D719</f>
        <v>0</v>
      </c>
      <c r="E719" s="1104" t="n">
        <f aca="false">'Смета Внутр'!E719</f>
        <v>100</v>
      </c>
      <c r="F719" s="1104" t="n">
        <f aca="false">'Смета Внутр'!F719</f>
        <v>0</v>
      </c>
      <c r="G719" s="1104" t="n">
        <f aca="false">IF(E719&gt;F719,E719,F719)</f>
        <v>100</v>
      </c>
      <c r="H719" s="1104" t="n">
        <f aca="false">'Смета Внутр'!G719</f>
        <v>0</v>
      </c>
      <c r="I719" s="1104" t="n">
        <f aca="false">'Смета Внутр'!H719</f>
        <v>0</v>
      </c>
      <c r="J719" s="1109" t="n">
        <f aca="false">'Смета Внутр'!I719</f>
        <v>0</v>
      </c>
    </row>
    <row r="720" customFormat="false" ht="15" hidden="true" customHeight="true" outlineLevel="0" collapsed="false">
      <c r="B720" s="1104" t="str">
        <f aca="false">'Смета Внутр'!B720</f>
        <v>Пропитка внутенних стен</v>
      </c>
      <c r="C720" s="1104" t="str">
        <f aca="false">'Смета Внутр'!C720</f>
        <v>м.п.</v>
      </c>
      <c r="D720" s="1109" t="n">
        <f aca="false">'Смета Внутр'!D720</f>
        <v>0</v>
      </c>
      <c r="E720" s="1104" t="n">
        <f aca="false">'Смета Внутр'!E720</f>
        <v>100</v>
      </c>
      <c r="F720" s="1104" t="n">
        <f aca="false">'Смета Внутр'!F720</f>
        <v>0</v>
      </c>
      <c r="G720" s="1104" t="n">
        <f aca="false">IF(E720&gt;F720,E720,F720)</f>
        <v>100</v>
      </c>
      <c r="H720" s="1104" t="n">
        <f aca="false">'Смета Внутр'!G720</f>
        <v>0</v>
      </c>
      <c r="I720" s="1104" t="n">
        <f aca="false">'Смета Внутр'!H720</f>
        <v>0</v>
      </c>
      <c r="J720" s="1109" t="n">
        <f aca="false">'Смета Внутр'!I720</f>
        <v>0</v>
      </c>
    </row>
    <row r="721" customFormat="false" ht="15" hidden="true" customHeight="true" outlineLevel="0" collapsed="false">
      <c r="B721" s="1104" t="str">
        <f aca="false">'Смета Внутр'!B721</f>
        <v>Не считать</v>
      </c>
      <c r="C721" s="1104" t="str">
        <f aca="false">'Смета Внутр'!C721</f>
        <v>м.п.</v>
      </c>
      <c r="D721" s="1109" t="n">
        <f aca="false">'Смета Внутр'!D721</f>
        <v>0</v>
      </c>
      <c r="E721" s="1104" t="n">
        <f aca="false">'Смета Внутр'!E721</f>
        <v>300</v>
      </c>
      <c r="F721" s="1104" t="n">
        <f aca="false">'Смета Внутр'!F721</f>
        <v>0</v>
      </c>
      <c r="G721" s="1104" t="n">
        <f aca="false">IF(E721&gt;F721,E721,F721)</f>
        <v>300</v>
      </c>
      <c r="H721" s="1104" t="n">
        <f aca="false">'Смета Внутр'!G721</f>
        <v>0</v>
      </c>
      <c r="I721" s="1104" t="n">
        <f aca="false">'Смета Внутр'!H721</f>
        <v>0</v>
      </c>
      <c r="J721" s="1109" t="n">
        <f aca="false">'Смета Внутр'!I721</f>
        <v>0</v>
      </c>
    </row>
    <row r="722" customFormat="false" ht="15" hidden="true" customHeight="true" outlineLevel="0" collapsed="false">
      <c r="B722" s="1104" t="str">
        <f aca="false">'Смета Внутр'!B722</f>
        <v>Монтаж наличника</v>
      </c>
      <c r="C722" s="1104" t="str">
        <f aca="false">'Смета Внутр'!C722</f>
        <v>м.п.</v>
      </c>
      <c r="D722" s="1109" t="n">
        <f aca="false">'Смета Внутр'!D722</f>
        <v>0</v>
      </c>
      <c r="E722" s="1104" t="n">
        <f aca="false">'Смета Внутр'!E722</f>
        <v>80</v>
      </c>
      <c r="F722" s="1104" t="n">
        <f aca="false">'Смета Внутр'!F722</f>
        <v>0</v>
      </c>
      <c r="G722" s="1104" t="n">
        <f aca="false">IF(E722&gt;F722,E722,F722)</f>
        <v>80</v>
      </c>
      <c r="H722" s="1104" t="n">
        <f aca="false">'Смета Внутр'!G722</f>
        <v>0</v>
      </c>
      <c r="I722" s="1104" t="n">
        <f aca="false">'Смета Внутр'!H722</f>
        <v>0</v>
      </c>
      <c r="J722" s="1109" t="n">
        <f aca="false">'Смета Внутр'!I722</f>
        <v>0</v>
      </c>
    </row>
    <row r="723" customFormat="false" ht="15" hidden="true" customHeight="true" outlineLevel="0" collapsed="false">
      <c r="B723" s="1104" t="str">
        <f aca="false">'Смета Внутр'!B723</f>
        <v>Шлифовка стен дома</v>
      </c>
      <c r="C723" s="1104" t="str">
        <f aca="false">'Смета Внутр'!C723</f>
        <v>м.п.</v>
      </c>
      <c r="D723" s="1109" t="n">
        <f aca="false">'Смета Внутр'!D723</f>
        <v>0</v>
      </c>
      <c r="E723" s="1104" t="n">
        <f aca="false">'Смета Внутр'!E723</f>
        <v>250</v>
      </c>
      <c r="F723" s="1104" t="n">
        <f aca="false">'Смета Внутр'!F723</f>
        <v>0</v>
      </c>
      <c r="G723" s="1104" t="n">
        <f aca="false">IF(E723&gt;F723,E723,F723)</f>
        <v>250</v>
      </c>
      <c r="H723" s="1104" t="n">
        <f aca="false">'Смета Внутр'!G723</f>
        <v>0</v>
      </c>
      <c r="I723" s="1104" t="n">
        <f aca="false">'Смета Внутр'!H723</f>
        <v>0</v>
      </c>
      <c r="J723" s="1109" t="n">
        <f aca="false">'Смета Внутр'!I723</f>
        <v>0</v>
      </c>
    </row>
    <row r="724" customFormat="false" ht="15" hidden="true" customHeight="true" outlineLevel="0" collapsed="false">
      <c r="B724" s="1108" t="str">
        <f aca="false">'Смета Внутр'!B724</f>
        <v>Итого работы</v>
      </c>
      <c r="C724" s="1108"/>
      <c r="D724" s="1108"/>
      <c r="E724" s="1108"/>
      <c r="F724" s="1108"/>
      <c r="G724" s="1108"/>
      <c r="H724" s="1104" t="n">
        <f aca="false">'Смета Внутр'!G724</f>
        <v>0</v>
      </c>
      <c r="I724" s="1104" t="n">
        <f aca="false">'Смета Внутр'!H724</f>
        <v>0</v>
      </c>
      <c r="J724" s="1109" t="n">
        <f aca="false">'Смета Внутр'!I724</f>
        <v>0</v>
      </c>
    </row>
    <row r="725" customFormat="false" ht="15" hidden="true" customHeight="true" outlineLevel="0" collapsed="false">
      <c r="B725" s="1111" t="str">
        <f aca="false">'Смета Внутр'!B725</f>
        <v>Перекрытие 0-1-2 этажей</v>
      </c>
      <c r="C725" s="1111"/>
      <c r="D725" s="1111"/>
      <c r="H725" s="118" t="n">
        <f aca="false">'Смета Внутр'!G725</f>
        <v>0</v>
      </c>
      <c r="I725" s="118" t="n">
        <f aca="false">'Смета Внутр'!H725</f>
        <v>1</v>
      </c>
      <c r="J725" s="1102" t="n">
        <f aca="false">'Смета Внутр'!H725</f>
        <v>1</v>
      </c>
    </row>
    <row r="726" customFormat="false" ht="15" hidden="true" customHeight="true" outlineLevel="0" collapsed="false">
      <c r="B726" s="118" t="str">
        <f aca="false">'Смета Внутр'!B726</f>
        <v>Материалы</v>
      </c>
      <c r="H726" s="118" t="n">
        <f aca="false">'Смета Внутр'!G726</f>
        <v>0</v>
      </c>
      <c r="I726" s="118" t="n">
        <f aca="false">'Смета Внутр'!H726</f>
        <v>1</v>
      </c>
      <c r="J726" s="1102" t="n">
        <f aca="false">J725</f>
        <v>1</v>
      </c>
    </row>
    <row r="727" customFormat="false" ht="15" hidden="true" customHeight="true" outlineLevel="0" collapsed="false">
      <c r="B727" s="1104" t="str">
        <f aca="false">'Смета Внутр'!B727</f>
        <v>Плиты перекрытия ЖБИ</v>
      </c>
      <c r="C727" s="1104" t="str">
        <f aca="false">'Смета Внутр'!C727</f>
        <v>м2</v>
      </c>
      <c r="D727" s="1109" t="n">
        <f aca="false">'Смета Внутр'!D727</f>
        <v>0</v>
      </c>
      <c r="E727" s="1104" t="n">
        <f aca="false">'Смета Внутр'!E727</f>
        <v>1400</v>
      </c>
      <c r="F727" s="1104" t="n">
        <f aca="false">'Смета Внутр'!F727</f>
        <v>0</v>
      </c>
      <c r="G727" s="1104" t="n">
        <f aca="false">IF(E727&gt;F727,E727,F727)</f>
        <v>1400</v>
      </c>
      <c r="H727" s="1104" t="n">
        <f aca="false">'Смета Внутр'!G727</f>
        <v>0</v>
      </c>
      <c r="I727" s="1104" t="n">
        <f aca="false">'Смета Внутр'!H727</f>
        <v>0</v>
      </c>
      <c r="J727" s="1109" t="n">
        <f aca="false">'Смета Внутр'!I727</f>
        <v>0</v>
      </c>
    </row>
    <row r="728" customFormat="false" ht="15" hidden="true" customHeight="true" outlineLevel="0" collapsed="false">
      <c r="B728" s="1104" t="str">
        <f aca="false">'Смета Внутр'!B728</f>
        <v>Раствор, м250</v>
      </c>
      <c r="C728" s="1104" t="str">
        <f aca="false">'Смета Внутр'!C728</f>
        <v>м3</v>
      </c>
      <c r="D728" s="1109" t="n">
        <f aca="false">'Смета Внутр'!D728</f>
        <v>0</v>
      </c>
      <c r="E728" s="1104" t="n">
        <f aca="false">'Смета Внутр'!E728</f>
        <v>2500</v>
      </c>
      <c r="F728" s="1104" t="n">
        <f aca="false">'Смета Внутр'!F728</f>
        <v>0</v>
      </c>
      <c r="G728" s="1104" t="n">
        <f aca="false">IF(E728&gt;F728,E728,F728)</f>
        <v>2500</v>
      </c>
      <c r="H728" s="1104" t="n">
        <f aca="false">'Смета Внутр'!G728</f>
        <v>0</v>
      </c>
      <c r="I728" s="1104" t="n">
        <f aca="false">'Смета Внутр'!H728</f>
        <v>0</v>
      </c>
      <c r="J728" s="1109" t="n">
        <f aca="false">'Смета Внутр'!I728</f>
        <v>0</v>
      </c>
    </row>
    <row r="729" customFormat="false" ht="15" hidden="true" customHeight="true" outlineLevel="0" collapsed="false">
      <c r="B729" s="1104" t="str">
        <f aca="false">'Смета Внутр'!B729</f>
        <v>Монолит, бетон, 300мм, 2 слоя</v>
      </c>
      <c r="C729" s="1104" t="str">
        <f aca="false">'Смета Внутр'!C729</f>
        <v>м2</v>
      </c>
      <c r="D729" s="1109" t="n">
        <f aca="false">'Смета Внутр'!D729</f>
        <v>0</v>
      </c>
      <c r="E729" s="1104" t="n">
        <f aca="false">'Смета Внутр'!E729</f>
        <v>1</v>
      </c>
      <c r="F729" s="1104" t="n">
        <f aca="false">'Смета Внутр'!F729</f>
        <v>0</v>
      </c>
      <c r="G729" s="1104" t="n">
        <f aca="false">IF(E729&gt;F729,E729,F729)</f>
        <v>1</v>
      </c>
      <c r="H729" s="1104" t="n">
        <f aca="false">'Смета Внутр'!G729</f>
        <v>0</v>
      </c>
      <c r="I729" s="1104" t="n">
        <f aca="false">'Смета Внутр'!H729</f>
        <v>0</v>
      </c>
      <c r="J729" s="1109" t="n">
        <f aca="false">'Смета Внутр'!I729</f>
        <v>0</v>
      </c>
    </row>
    <row r="730" customFormat="false" ht="15" hidden="true" customHeight="true" outlineLevel="0" collapsed="false">
      <c r="B730" s="1104" t="str">
        <f aca="false">'Смета Внутр'!B730</f>
        <v>Монолит, бетон, 300мм, 1 слой</v>
      </c>
      <c r="C730" s="1104" t="str">
        <f aca="false">'Смета Внутр'!C730</f>
        <v>м2</v>
      </c>
      <c r="D730" s="1109" t="n">
        <f aca="false">'Смета Внутр'!D730</f>
        <v>0</v>
      </c>
      <c r="E730" s="1104" t="n">
        <f aca="false">'Смета Внутр'!E730</f>
        <v>1</v>
      </c>
      <c r="F730" s="1104" t="n">
        <f aca="false">'Смета Внутр'!F730</f>
        <v>0</v>
      </c>
      <c r="G730" s="1104" t="n">
        <f aca="false">IF(E730&gt;F730,E730,F730)</f>
        <v>1</v>
      </c>
      <c r="H730" s="1104" t="n">
        <f aca="false">'Смета Внутр'!G730</f>
        <v>0</v>
      </c>
      <c r="I730" s="1104" t="n">
        <f aca="false">'Смета Внутр'!H730</f>
        <v>0</v>
      </c>
      <c r="J730" s="1109" t="n">
        <f aca="false">'Смета Внутр'!I730</f>
        <v>0</v>
      </c>
    </row>
    <row r="731" customFormat="false" ht="15" hidden="true" customHeight="true" outlineLevel="0" collapsed="false">
      <c r="B731" s="1104" t="str">
        <f aca="false">'Смета Внутр'!B731</f>
        <v>Монолит, бетон, 250мм, 2 слоя</v>
      </c>
      <c r="C731" s="1104" t="str">
        <f aca="false">'Смета Внутр'!C731</f>
        <v>м2</v>
      </c>
      <c r="D731" s="1109" t="n">
        <f aca="false">'Смета Внутр'!D731</f>
        <v>0</v>
      </c>
      <c r="E731" s="1104" t="n">
        <f aca="false">'Смета Внутр'!E731</f>
        <v>1</v>
      </c>
      <c r="F731" s="1104" t="n">
        <f aca="false">'Смета Внутр'!F731</f>
        <v>0</v>
      </c>
      <c r="G731" s="1104" t="n">
        <f aca="false">IF(E731&gt;F731,E731,F731)</f>
        <v>1</v>
      </c>
      <c r="H731" s="1104" t="n">
        <f aca="false">'Смета Внутр'!G731</f>
        <v>0</v>
      </c>
      <c r="I731" s="1104" t="n">
        <f aca="false">'Смета Внутр'!H731</f>
        <v>0</v>
      </c>
      <c r="J731" s="1109" t="n">
        <f aca="false">'Смета Внутр'!I731</f>
        <v>0</v>
      </c>
    </row>
    <row r="732" customFormat="false" ht="15" hidden="true" customHeight="true" outlineLevel="0" collapsed="false">
      <c r="B732" s="1104" t="str">
        <f aca="false">'Смета Внутр'!B732</f>
        <v>Монолит, бетон, 250мм, 1 слой</v>
      </c>
      <c r="C732" s="1104" t="str">
        <f aca="false">'Смета Внутр'!C732</f>
        <v>м2</v>
      </c>
      <c r="D732" s="1109" t="n">
        <f aca="false">'Смета Внутр'!D732</f>
        <v>0</v>
      </c>
      <c r="E732" s="1104" t="n">
        <f aca="false">'Смета Внутр'!E732</f>
        <v>1</v>
      </c>
      <c r="F732" s="1104" t="n">
        <f aca="false">'Смета Внутр'!F732</f>
        <v>0</v>
      </c>
      <c r="G732" s="1104" t="n">
        <f aca="false">IF(E732&gt;F732,E732,F732)</f>
        <v>1</v>
      </c>
      <c r="H732" s="1104" t="n">
        <f aca="false">'Смета Внутр'!G732</f>
        <v>0</v>
      </c>
      <c r="I732" s="1104" t="n">
        <f aca="false">'Смета Внутр'!H732</f>
        <v>0</v>
      </c>
      <c r="J732" s="1109" t="n">
        <f aca="false">'Смета Внутр'!I732</f>
        <v>0</v>
      </c>
    </row>
    <row r="733" customFormat="false" ht="15" hidden="true" customHeight="true" outlineLevel="0" collapsed="false">
      <c r="B733" s="1104" t="str">
        <f aca="false">'Смета Внутр'!B733</f>
        <v>Монолит, бетон, 200мм, 2 слоя</v>
      </c>
      <c r="C733" s="1104" t="str">
        <f aca="false">'Смета Внутр'!C733</f>
        <v>м2</v>
      </c>
      <c r="D733" s="1109" t="n">
        <f aca="false">'Смета Внутр'!D733</f>
        <v>0</v>
      </c>
      <c r="E733" s="1104" t="n">
        <f aca="false">'Смета Внутр'!E733</f>
        <v>1</v>
      </c>
      <c r="F733" s="1104" t="n">
        <f aca="false">'Смета Внутр'!F733</f>
        <v>0</v>
      </c>
      <c r="G733" s="1104" t="n">
        <f aca="false">IF(E733&gt;F733,E733,F733)</f>
        <v>1</v>
      </c>
      <c r="H733" s="1104" t="n">
        <f aca="false">'Смета Внутр'!G733</f>
        <v>0</v>
      </c>
      <c r="I733" s="1104" t="n">
        <f aca="false">'Смета Внутр'!H733</f>
        <v>0</v>
      </c>
      <c r="J733" s="1109" t="n">
        <f aca="false">'Смета Внутр'!I733</f>
        <v>0</v>
      </c>
    </row>
    <row r="734" customFormat="false" ht="15" hidden="true" customHeight="true" outlineLevel="0" collapsed="false">
      <c r="B734" s="1104" t="str">
        <f aca="false">'Смета Внутр'!B734</f>
        <v>Монолит, бетон, 200мм, 1 слой</v>
      </c>
      <c r="C734" s="1104" t="str">
        <f aca="false">'Смета Внутр'!C734</f>
        <v>м2</v>
      </c>
      <c r="D734" s="1109" t="n">
        <f aca="false">'Смета Внутр'!D734</f>
        <v>0</v>
      </c>
      <c r="E734" s="1104" t="n">
        <f aca="false">'Смета Внутр'!E734</f>
        <v>1</v>
      </c>
      <c r="F734" s="1104" t="n">
        <f aca="false">'Смета Внутр'!F734</f>
        <v>0</v>
      </c>
      <c r="G734" s="1104" t="n">
        <f aca="false">IF(E734&gt;F734,E734,F734)</f>
        <v>1</v>
      </c>
      <c r="H734" s="1104" t="n">
        <f aca="false">'Смета Внутр'!G734</f>
        <v>0</v>
      </c>
      <c r="I734" s="1104" t="n">
        <f aca="false">'Смета Внутр'!H734</f>
        <v>0</v>
      </c>
      <c r="J734" s="1109" t="n">
        <f aca="false">'Смета Внутр'!I734</f>
        <v>0</v>
      </c>
    </row>
    <row r="735" customFormat="false" ht="15" hidden="true" customHeight="true" outlineLevel="0" collapsed="false">
      <c r="B735" s="1104" t="str">
        <f aca="false">'Смета Внутр'!B735</f>
        <v>Монолит, бетон, 150мм, 2 слоя</v>
      </c>
      <c r="C735" s="1104" t="str">
        <f aca="false">'Смета Внутр'!C735</f>
        <v>м2</v>
      </c>
      <c r="D735" s="1109" t="n">
        <f aca="false">'Смета Внутр'!D735</f>
        <v>0</v>
      </c>
      <c r="E735" s="1104" t="n">
        <f aca="false">'Смета Внутр'!E735</f>
        <v>1</v>
      </c>
      <c r="F735" s="1104" t="n">
        <f aca="false">'Смета Внутр'!F735</f>
        <v>0</v>
      </c>
      <c r="G735" s="1104" t="n">
        <f aca="false">IF(E735&gt;F735,E735,F735)</f>
        <v>1</v>
      </c>
      <c r="H735" s="1104" t="n">
        <f aca="false">'Смета Внутр'!G735</f>
        <v>0</v>
      </c>
      <c r="I735" s="1104" t="n">
        <f aca="false">'Смета Внутр'!H735</f>
        <v>0</v>
      </c>
      <c r="J735" s="1109" t="n">
        <f aca="false">'Смета Внутр'!I735</f>
        <v>0</v>
      </c>
    </row>
    <row r="736" customFormat="false" ht="15" hidden="true" customHeight="true" outlineLevel="0" collapsed="false">
      <c r="B736" s="1104" t="str">
        <f aca="false">'Смета Внутр'!B736</f>
        <v>Монолит, бетон, 150мм, 1 слой</v>
      </c>
      <c r="C736" s="1104" t="str">
        <f aca="false">'Смета Внутр'!C736</f>
        <v>м2</v>
      </c>
      <c r="D736" s="1109" t="n">
        <f aca="false">'Смета Внутр'!D736</f>
        <v>0</v>
      </c>
      <c r="E736" s="1104" t="n">
        <f aca="false">'Смета Внутр'!E736</f>
        <v>1</v>
      </c>
      <c r="F736" s="1104" t="n">
        <f aca="false">'Смета Внутр'!F736</f>
        <v>0</v>
      </c>
      <c r="G736" s="1104" t="n">
        <f aca="false">IF(E736&gt;F736,E736,F736)</f>
        <v>1</v>
      </c>
      <c r="H736" s="1104" t="n">
        <f aca="false">'Смета Внутр'!G736</f>
        <v>0</v>
      </c>
      <c r="I736" s="1104" t="n">
        <f aca="false">'Смета Внутр'!H736</f>
        <v>0</v>
      </c>
      <c r="J736" s="1109" t="n">
        <f aca="false">'Смета Внутр'!I736</f>
        <v>0</v>
      </c>
    </row>
    <row r="737" customFormat="false" ht="15" hidden="true" customHeight="true" outlineLevel="0" collapsed="false">
      <c r="B737" s="1104" t="str">
        <f aca="false">'Смета Внутр'!B737</f>
        <v>доска для опалубки монолит перекрытий</v>
      </c>
      <c r="C737" s="1104" t="str">
        <f aca="false">'Смета Внутр'!C737</f>
        <v>м3</v>
      </c>
      <c r="D737" s="1109" t="n">
        <f aca="false">'Смета Внутр'!D737</f>
        <v>0</v>
      </c>
      <c r="E737" s="1104" t="n">
        <f aca="false">'Смета Внутр'!E737</f>
        <v>6500</v>
      </c>
      <c r="F737" s="1104" t="n">
        <f aca="false">'Смета Внутр'!F737</f>
        <v>0</v>
      </c>
      <c r="G737" s="1104" t="n">
        <f aca="false">IF(E737&gt;F737,E737,F737)</f>
        <v>6500</v>
      </c>
      <c r="H737" s="1104" t="n">
        <f aca="false">'Смета Внутр'!G737</f>
        <v>0</v>
      </c>
      <c r="I737" s="1104" t="n">
        <f aca="false">'Смета Внутр'!H737</f>
        <v>0</v>
      </c>
      <c r="J737" s="1109" t="n">
        <f aca="false">'Смета Внутр'!I737</f>
        <v>0</v>
      </c>
    </row>
    <row r="738" customFormat="false" ht="15" hidden="true" customHeight="true" outlineLevel="0" collapsed="false">
      <c r="B738" s="1104" t="str">
        <f aca="false">'Смета Внутр'!B738</f>
        <v>стойки под опалубку перекрытий</v>
      </c>
      <c r="C738" s="1104" t="str">
        <f aca="false">'Смета Внутр'!C738</f>
        <v>шт</v>
      </c>
      <c r="D738" s="1109" t="n">
        <f aca="false">'Смета Внутр'!D738</f>
        <v>0</v>
      </c>
      <c r="E738" s="1104" t="n">
        <f aca="false">'Смета Внутр'!E738</f>
        <v>0</v>
      </c>
      <c r="F738" s="1104" t="n">
        <f aca="false">'Смета Внутр'!F738</f>
        <v>0</v>
      </c>
      <c r="G738" s="1104" t="n">
        <f aca="false">IF(E738&gt;F738,E738,F738)</f>
        <v>0</v>
      </c>
      <c r="H738" s="1104" t="n">
        <f aca="false">'Смета Внутр'!G738</f>
        <v>0</v>
      </c>
      <c r="I738" s="1104" t="n">
        <f aca="false">'Смета Внутр'!H738</f>
        <v>0</v>
      </c>
      <c r="J738" s="1109" t="n">
        <f aca="false">'Смета Внутр'!I738</f>
        <v>0</v>
      </c>
    </row>
    <row r="739" customFormat="false" ht="15" hidden="true" customHeight="true" outlineLevel="0" collapsed="false">
      <c r="B739" s="1104" t="str">
        <f aca="false">'Смета Внутр'!B739</f>
        <v>Пленка гидроизоляционная </v>
      </c>
      <c r="C739" s="1104" t="str">
        <f aca="false">'Смета Внутр'!C739</f>
        <v>м2</v>
      </c>
      <c r="D739" s="1109" t="n">
        <f aca="false">'Смета Внутр'!D739</f>
        <v>0</v>
      </c>
      <c r="E739" s="1104" t="n">
        <f aca="false">'Смета Внутр'!E739</f>
        <v>15</v>
      </c>
      <c r="F739" s="1104" t="n">
        <f aca="false">'Смета Внутр'!F739</f>
        <v>0</v>
      </c>
      <c r="G739" s="1104" t="n">
        <f aca="false">IF(E739&gt;F739,E739,F739)</f>
        <v>15</v>
      </c>
      <c r="H739" s="1104" t="n">
        <f aca="false">'Смета Внутр'!G739</f>
        <v>0</v>
      </c>
      <c r="I739" s="1104" t="n">
        <f aca="false">'Смета Внутр'!H739</f>
        <v>0</v>
      </c>
      <c r="J739" s="1109" t="n">
        <f aca="false">'Смета Внутр'!I739</f>
        <v>0</v>
      </c>
    </row>
    <row r="740" customFormat="false" ht="15" hidden="true" customHeight="true" outlineLevel="0" collapsed="false">
      <c r="B740" s="1104" t="str">
        <f aca="false">'Смета Внутр'!B740</f>
        <v>Арматура М10</v>
      </c>
      <c r="C740" s="1104" t="str">
        <f aca="false">'Смета Внутр'!C740</f>
        <v>м.п.</v>
      </c>
      <c r="D740" s="1109" t="n">
        <f aca="false">'Смета Внутр'!D740</f>
        <v>0</v>
      </c>
      <c r="E740" s="1104" t="n">
        <f aca="false">'Смета Внутр'!E740</f>
        <v>21.0397</v>
      </c>
      <c r="F740" s="1104" t="n">
        <f aca="false">'Смета Внутр'!F740</f>
        <v>0</v>
      </c>
      <c r="G740" s="1104" t="n">
        <f aca="false">IF(E740&gt;F740,E740,F740)</f>
        <v>21.0397</v>
      </c>
      <c r="H740" s="1104" t="n">
        <f aca="false">'Смета Внутр'!G740</f>
        <v>0</v>
      </c>
      <c r="I740" s="1104" t="n">
        <f aca="false">'Смета Внутр'!H740</f>
        <v>0</v>
      </c>
      <c r="J740" s="1109" t="n">
        <f aca="false">'Смета Внутр'!I740</f>
        <v>0</v>
      </c>
    </row>
    <row r="741" customFormat="false" ht="15" hidden="true" customHeight="true" outlineLevel="0" collapsed="false">
      <c r="B741" s="1104" t="str">
        <f aca="false">'Смета Внутр'!B741</f>
        <v>Вязальная проволока</v>
      </c>
      <c r="C741" s="1104" t="str">
        <f aca="false">'Смета Внутр'!C741</f>
        <v>кг</v>
      </c>
      <c r="D741" s="1109" t="n">
        <f aca="false">'Смета Внутр'!D741</f>
        <v>0</v>
      </c>
      <c r="E741" s="1104" t="n">
        <f aca="false">'Смета Внутр'!E741</f>
        <v>80</v>
      </c>
      <c r="F741" s="1104" t="n">
        <f aca="false">'Смета Внутр'!F741</f>
        <v>0</v>
      </c>
      <c r="G741" s="1104" t="n">
        <f aca="false">IF(E741&gt;F741,E741,F741)</f>
        <v>80</v>
      </c>
      <c r="H741" s="1104" t="n">
        <f aca="false">'Смета Внутр'!G741</f>
        <v>0</v>
      </c>
      <c r="I741" s="1104" t="n">
        <f aca="false">'Смета Внутр'!H741</f>
        <v>0</v>
      </c>
      <c r="J741" s="1109" t="n">
        <f aca="false">'Смета Внутр'!I741</f>
        <v>0</v>
      </c>
    </row>
    <row r="742" customFormat="false" ht="15" hidden="true" customHeight="true" outlineLevel="0" collapsed="false">
      <c r="B742" s="1104" t="str">
        <f aca="false">'Смета Внутр'!B742</f>
        <v>Подставка под арматурный каркас</v>
      </c>
      <c r="C742" s="1104" t="str">
        <f aca="false">'Смета Внутр'!C742</f>
        <v>шт</v>
      </c>
      <c r="D742" s="1109" t="n">
        <f aca="false">'Смета Внутр'!D742</f>
        <v>0</v>
      </c>
      <c r="E742" s="1104" t="n">
        <f aca="false">'Смета Внутр'!E742</f>
        <v>5</v>
      </c>
      <c r="F742" s="1104" t="n">
        <f aca="false">'Смета Внутр'!F742</f>
        <v>0</v>
      </c>
      <c r="G742" s="1104" t="n">
        <f aca="false">IF(E742&gt;F742,E742,F742)</f>
        <v>5</v>
      </c>
      <c r="H742" s="1104" t="n">
        <f aca="false">'Смета Внутр'!G742</f>
        <v>0</v>
      </c>
      <c r="I742" s="1104" t="n">
        <f aca="false">'Смета Внутр'!H742</f>
        <v>0</v>
      </c>
      <c r="J742" s="1109" t="n">
        <f aca="false">'Смета Внутр'!I742</f>
        <v>0</v>
      </c>
    </row>
    <row r="743" customFormat="false" ht="15" hidden="true" customHeight="true" outlineLevel="0" collapsed="false">
      <c r="B743" s="1104" t="str">
        <f aca="false">'Смета Внутр'!B743</f>
        <v>бетон, м350</v>
      </c>
      <c r="C743" s="1104" t="str">
        <f aca="false">'Смета Внутр'!C743</f>
        <v>м3</v>
      </c>
      <c r="D743" s="1109" t="n">
        <f aca="false">'Смета Внутр'!D743</f>
        <v>0</v>
      </c>
      <c r="E743" s="1104" t="n">
        <f aca="false">'Смета Внутр'!E743</f>
        <v>3500</v>
      </c>
      <c r="F743" s="1104" t="n">
        <f aca="false">'Смета Внутр'!F743</f>
        <v>0</v>
      </c>
      <c r="G743" s="1104" t="n">
        <f aca="false">IF(E743&gt;F743,E743,F743)</f>
        <v>3500</v>
      </c>
      <c r="H743" s="1104" t="n">
        <f aca="false">'Смета Внутр'!G743</f>
        <v>0</v>
      </c>
      <c r="I743" s="1104" t="n">
        <f aca="false">'Смета Внутр'!H743</f>
        <v>0</v>
      </c>
      <c r="J743" s="1109" t="n">
        <f aca="false">'Смета Внутр'!I743</f>
        <v>0</v>
      </c>
    </row>
    <row r="744" customFormat="false" ht="15" hidden="true" customHeight="true" outlineLevel="0" collapsed="false">
      <c r="B744" s="1104" t="str">
        <f aca="false">'Смета Внутр'!B744</f>
        <v>Брус естественной влажности, 200*100мм</v>
      </c>
      <c r="C744" s="1104" t="str">
        <f aca="false">'Смета Внутр'!C744</f>
        <v>м3</v>
      </c>
      <c r="D744" s="1109" t="n">
        <f aca="false">'Смета Внутр'!D744</f>
        <v>0</v>
      </c>
      <c r="E744" s="1104" t="n">
        <f aca="false">'Смета Внутр'!E744</f>
        <v>6500</v>
      </c>
      <c r="F744" s="1104" t="n">
        <f aca="false">'Смета Внутр'!F744</f>
        <v>0</v>
      </c>
      <c r="G744" s="1104" t="n">
        <f aca="false">IF(E744&gt;F744,E744,F744)</f>
        <v>6500</v>
      </c>
      <c r="H744" s="1104" t="n">
        <f aca="false">'Смета Внутр'!G744</f>
        <v>0</v>
      </c>
      <c r="I744" s="1104" t="n">
        <f aca="false">'Смета Внутр'!H744</f>
        <v>0</v>
      </c>
      <c r="J744" s="1109" t="n">
        <f aca="false">'Смета Внутр'!I744</f>
        <v>0</v>
      </c>
    </row>
    <row r="745" customFormat="false" ht="15" hidden="true" customHeight="true" outlineLevel="0" collapsed="false">
      <c r="B745" s="1104" t="str">
        <f aca="false">'Смета Внутр'!B745</f>
        <v>Брус естественной влажности, 150*100мм</v>
      </c>
      <c r="C745" s="1104" t="str">
        <f aca="false">'Смета Внутр'!C745</f>
        <v>м3</v>
      </c>
      <c r="D745" s="1109" t="n">
        <f aca="false">'Смета Внутр'!D745</f>
        <v>0</v>
      </c>
      <c r="E745" s="1104" t="n">
        <f aca="false">'Смета Внутр'!E745</f>
        <v>6500</v>
      </c>
      <c r="F745" s="1104" t="n">
        <f aca="false">'Смета Внутр'!F745</f>
        <v>0</v>
      </c>
      <c r="G745" s="1104" t="n">
        <f aca="false">IF(E745&gt;F745,E745,F745)</f>
        <v>6500</v>
      </c>
      <c r="H745" s="1104" t="n">
        <f aca="false">'Смета Внутр'!G745</f>
        <v>0</v>
      </c>
      <c r="I745" s="1104" t="n">
        <f aca="false">'Смета Внутр'!H745</f>
        <v>0</v>
      </c>
      <c r="J745" s="1109" t="n">
        <f aca="false">'Смета Внутр'!I745</f>
        <v>0</v>
      </c>
    </row>
    <row r="746" customFormat="false" ht="15" hidden="true" customHeight="true" outlineLevel="0" collapsed="false">
      <c r="B746" s="1104" t="str">
        <f aca="false">'Смета Внутр'!B746</f>
        <v>Брус естественной влажности, 100*100мм</v>
      </c>
      <c r="C746" s="1104" t="str">
        <f aca="false">'Смета Внутр'!C746</f>
        <v>м3</v>
      </c>
      <c r="D746" s="1109" t="n">
        <f aca="false">'Смета Внутр'!D746</f>
        <v>0</v>
      </c>
      <c r="E746" s="1104" t="n">
        <f aca="false">'Смета Внутр'!E746</f>
        <v>6500</v>
      </c>
      <c r="F746" s="1104" t="n">
        <f aca="false">'Смета Внутр'!F746</f>
        <v>0</v>
      </c>
      <c r="G746" s="1104" t="n">
        <f aca="false">IF(E746&gt;F746,E746,F746)</f>
        <v>6500</v>
      </c>
      <c r="H746" s="1104" t="n">
        <f aca="false">'Смета Внутр'!G746</f>
        <v>0</v>
      </c>
      <c r="I746" s="1104" t="n">
        <f aca="false">'Смета Внутр'!H746</f>
        <v>0</v>
      </c>
      <c r="J746" s="1109" t="n">
        <f aca="false">'Смета Внутр'!I746</f>
        <v>0</v>
      </c>
    </row>
    <row r="747" customFormat="false" ht="15" hidden="true" customHeight="true" outlineLevel="0" collapsed="false">
      <c r="B747" s="1104" t="str">
        <f aca="false">'Смета Внутр'!B747</f>
        <v>Брус естественной влажности, 150*150мм</v>
      </c>
      <c r="C747" s="1104" t="str">
        <f aca="false">'Смета Внутр'!C747</f>
        <v>м3</v>
      </c>
      <c r="D747" s="1109" t="n">
        <f aca="false">'Смета Внутр'!D747</f>
        <v>0</v>
      </c>
      <c r="E747" s="1104" t="n">
        <f aca="false">'Смета Внутр'!E747</f>
        <v>6500</v>
      </c>
      <c r="F747" s="1104" t="n">
        <f aca="false">'Смета Внутр'!F747</f>
        <v>0</v>
      </c>
      <c r="G747" s="1104" t="n">
        <f aca="false">IF(E747&gt;F747,E747,F747)</f>
        <v>6500</v>
      </c>
      <c r="H747" s="1104" t="n">
        <f aca="false">'Смета Внутр'!G747</f>
        <v>0</v>
      </c>
      <c r="I747" s="1104" t="n">
        <f aca="false">'Смета Внутр'!H747</f>
        <v>0</v>
      </c>
      <c r="J747" s="1109" t="n">
        <f aca="false">'Смета Внутр'!I747</f>
        <v>0</v>
      </c>
    </row>
    <row r="748" customFormat="false" ht="15" hidden="true" customHeight="true" outlineLevel="0" collapsed="false">
      <c r="B748" s="1104" t="str">
        <f aca="false">'Смета Внутр'!B748</f>
        <v>Доска естественной влажности, 200*50мм</v>
      </c>
      <c r="C748" s="1104" t="str">
        <f aca="false">'Смета Внутр'!C748</f>
        <v>м3</v>
      </c>
      <c r="D748" s="1109" t="n">
        <f aca="false">'Смета Внутр'!D748</f>
        <v>0</v>
      </c>
      <c r="E748" s="1104" t="n">
        <f aca="false">'Смета Внутр'!E748</f>
        <v>6500</v>
      </c>
      <c r="F748" s="1104" t="n">
        <f aca="false">'Смета Внутр'!F748</f>
        <v>0</v>
      </c>
      <c r="G748" s="1104" t="n">
        <f aca="false">IF(E748&gt;F748,E748,F748)</f>
        <v>6500</v>
      </c>
      <c r="H748" s="1104" t="n">
        <f aca="false">'Смета Внутр'!G748</f>
        <v>0</v>
      </c>
      <c r="I748" s="1104" t="n">
        <f aca="false">'Смета Внутр'!H748</f>
        <v>0</v>
      </c>
      <c r="J748" s="1109" t="n">
        <f aca="false">'Смета Внутр'!I748</f>
        <v>0</v>
      </c>
    </row>
    <row r="749" customFormat="false" ht="15" hidden="true" customHeight="true" outlineLevel="0" collapsed="false">
      <c r="B749" s="1104" t="str">
        <f aca="false">'Смета Внутр'!B749</f>
        <v>Доска естественной влажности, 150*50мм</v>
      </c>
      <c r="C749" s="1104" t="str">
        <f aca="false">'Смета Внутр'!C749</f>
        <v>м3</v>
      </c>
      <c r="D749" s="1109" t="n">
        <f aca="false">'Смета Внутр'!D749</f>
        <v>0</v>
      </c>
      <c r="E749" s="1104" t="n">
        <f aca="false">'Смета Внутр'!E749</f>
        <v>6500</v>
      </c>
      <c r="F749" s="1104" t="n">
        <f aca="false">'Смета Внутр'!F749</f>
        <v>0</v>
      </c>
      <c r="G749" s="1104" t="n">
        <f aca="false">IF(E749&gt;F749,E749,F749)</f>
        <v>6500</v>
      </c>
      <c r="H749" s="1104" t="n">
        <f aca="false">'Смета Внутр'!G749</f>
        <v>0</v>
      </c>
      <c r="I749" s="1104" t="n">
        <f aca="false">'Смета Внутр'!H749</f>
        <v>0</v>
      </c>
      <c r="J749" s="1109" t="n">
        <f aca="false">'Смета Внутр'!I749</f>
        <v>0</v>
      </c>
    </row>
    <row r="750" customFormat="false" ht="15" hidden="true" customHeight="true" outlineLevel="0" collapsed="false">
      <c r="B750" s="1104" t="str">
        <f aca="false">'Смета Внутр'!B750</f>
        <v>Опора бруса          </v>
      </c>
      <c r="C750" s="1104" t="str">
        <f aca="false">'Смета Внутр'!C750</f>
        <v>шт</v>
      </c>
      <c r="D750" s="1109" t="n">
        <f aca="false">'Смета Внутр'!D750</f>
        <v>0</v>
      </c>
      <c r="E750" s="1104" t="n">
        <f aca="false">'Смета Внутр'!E750</f>
        <v>50</v>
      </c>
      <c r="F750" s="1104" t="n">
        <f aca="false">'Смета Внутр'!F750</f>
        <v>0</v>
      </c>
      <c r="G750" s="1104" t="n">
        <f aca="false">IF(E750&gt;F750,E750,F750)</f>
        <v>50</v>
      </c>
      <c r="H750" s="1104" t="n">
        <f aca="false">'Смета Внутр'!G750</f>
        <v>0</v>
      </c>
      <c r="I750" s="1104" t="n">
        <f aca="false">'Смета Внутр'!H750</f>
        <v>0</v>
      </c>
      <c r="J750" s="1109" t="n">
        <f aca="false">'Смета Внутр'!I750</f>
        <v>0</v>
      </c>
    </row>
    <row r="751" customFormat="false" ht="15" hidden="true" customHeight="true" outlineLevel="0" collapsed="false">
      <c r="B751" s="1104" t="str">
        <f aca="false">'Смета Внутр'!B751</f>
        <v>Болты анкерные с гайкой 8,0 x 60           </v>
      </c>
      <c r="C751" s="1104" t="str">
        <f aca="false">'Смета Внутр'!C751</f>
        <v>шт</v>
      </c>
      <c r="D751" s="1109" t="n">
        <f aca="false">'Смета Внутр'!D751</f>
        <v>0</v>
      </c>
      <c r="E751" s="1104" t="n">
        <f aca="false">'Смета Внутр'!E751</f>
        <v>4</v>
      </c>
      <c r="F751" s="1104" t="n">
        <f aca="false">'Смета Внутр'!F751</f>
        <v>0</v>
      </c>
      <c r="G751" s="1104" t="n">
        <f aca="false">IF(E751&gt;F751,E751,F751)</f>
        <v>4</v>
      </c>
      <c r="H751" s="1104" t="n">
        <f aca="false">'Смета Внутр'!G751</f>
        <v>0</v>
      </c>
      <c r="I751" s="1104" t="n">
        <f aca="false">'Смета Внутр'!H751</f>
        <v>0</v>
      </c>
      <c r="J751" s="1109" t="n">
        <f aca="false">'Смета Внутр'!I751</f>
        <v>0</v>
      </c>
    </row>
    <row r="752" customFormat="false" ht="15" hidden="true" customHeight="true" outlineLevel="0" collapsed="false">
      <c r="B752" s="1104" t="str">
        <f aca="false">'Смета Внутр'!B752</f>
        <v>Sip панель 2500*625*124мм</v>
      </c>
      <c r="C752" s="1104" t="str">
        <f aca="false">'Смета Внутр'!C752</f>
        <v>м2</v>
      </c>
      <c r="D752" s="1109" t="n">
        <f aca="false">'Смета Внутр'!D752</f>
        <v>0</v>
      </c>
      <c r="E752" s="1104" t="n">
        <f aca="false">'Смета Внутр'!E752</f>
        <v>800</v>
      </c>
      <c r="F752" s="1104" t="n">
        <f aca="false">'Смета Внутр'!F752</f>
        <v>0</v>
      </c>
      <c r="G752" s="1104" t="n">
        <f aca="false">IF(E752&gt;F752,E752,F752)</f>
        <v>800</v>
      </c>
      <c r="H752" s="1104" t="n">
        <f aca="false">'Смета Внутр'!G752</f>
        <v>0</v>
      </c>
      <c r="I752" s="1104" t="n">
        <f aca="false">'Смета Внутр'!H752</f>
        <v>0</v>
      </c>
      <c r="J752" s="1109" t="n">
        <f aca="false">'Смета Внутр'!I752</f>
        <v>0</v>
      </c>
    </row>
    <row r="753" customFormat="false" ht="15" hidden="true" customHeight="true" outlineLevel="0" collapsed="false">
      <c r="B753" s="1104" t="str">
        <f aca="false">'Смета Внутр'!B753</f>
        <v>Sip панель 2500*625*174мм</v>
      </c>
      <c r="C753" s="1104" t="str">
        <f aca="false">'Смета Внутр'!C753</f>
        <v>м2</v>
      </c>
      <c r="D753" s="1109" t="n">
        <f aca="false">'Смета Внутр'!D753</f>
        <v>0</v>
      </c>
      <c r="E753" s="1104" t="n">
        <f aca="false">'Смета Внутр'!E753</f>
        <v>1200</v>
      </c>
      <c r="F753" s="1104" t="n">
        <f aca="false">'Смета Внутр'!F753</f>
        <v>0</v>
      </c>
      <c r="G753" s="1104" t="n">
        <f aca="false">IF(E753&gt;F753,E753,F753)</f>
        <v>1200</v>
      </c>
      <c r="H753" s="1104" t="n">
        <f aca="false">'Смета Внутр'!G753</f>
        <v>0</v>
      </c>
      <c r="I753" s="1104" t="n">
        <f aca="false">'Смета Внутр'!H753</f>
        <v>0</v>
      </c>
      <c r="J753" s="1109" t="n">
        <f aca="false">'Смета Внутр'!I753</f>
        <v>0</v>
      </c>
    </row>
    <row r="754" customFormat="false" ht="15" hidden="true" customHeight="true" outlineLevel="0" collapsed="false">
      <c r="B754" s="1104" t="str">
        <f aca="false">'Смета Внутр'!B754</f>
        <v>Sip панель 2500*625*224мм</v>
      </c>
      <c r="C754" s="1104" t="str">
        <f aca="false">'Смета Внутр'!C754</f>
        <v>м2</v>
      </c>
      <c r="D754" s="1109" t="n">
        <f aca="false">'Смета Внутр'!D754</f>
        <v>0</v>
      </c>
      <c r="E754" s="1104" t="n">
        <f aca="false">'Смета Внутр'!E754</f>
        <v>1400</v>
      </c>
      <c r="F754" s="1104" t="n">
        <f aca="false">'Смета Внутр'!F754</f>
        <v>0</v>
      </c>
      <c r="G754" s="1104" t="n">
        <f aca="false">IF(E754&gt;F754,E754,F754)</f>
        <v>1400</v>
      </c>
      <c r="H754" s="1104" t="n">
        <f aca="false">'Смета Внутр'!G754</f>
        <v>0</v>
      </c>
      <c r="I754" s="1104" t="n">
        <f aca="false">'Смета Внутр'!H754</f>
        <v>0</v>
      </c>
      <c r="J754" s="1109" t="n">
        <f aca="false">'Смета Внутр'!I754</f>
        <v>0</v>
      </c>
    </row>
    <row r="755" customFormat="false" ht="15" hidden="true" customHeight="true" outlineLevel="0" collapsed="false">
      <c r="B755" s="1104" t="str">
        <f aca="false">'Смета Внутр'!B755</f>
        <v>Доска сухая, 100*50мм</v>
      </c>
      <c r="C755" s="1104" t="str">
        <f aca="false">'Смета Внутр'!C755</f>
        <v>м.п.</v>
      </c>
      <c r="D755" s="1109" t="n">
        <f aca="false">'Смета Внутр'!D755</f>
        <v>0</v>
      </c>
      <c r="E755" s="1104" t="n">
        <f aca="false">'Смета Внутр'!E755</f>
        <v>45</v>
      </c>
      <c r="F755" s="1104" t="n">
        <f aca="false">'Смета Внутр'!F755</f>
        <v>0</v>
      </c>
      <c r="G755" s="1104" t="n">
        <f aca="false">IF(E755&gt;F755,E755,F755)</f>
        <v>45</v>
      </c>
      <c r="H755" s="1104" t="n">
        <f aca="false">'Смета Внутр'!G755</f>
        <v>0</v>
      </c>
      <c r="I755" s="1104" t="n">
        <f aca="false">'Смета Внутр'!H755</f>
        <v>0</v>
      </c>
      <c r="J755" s="1109" t="n">
        <f aca="false">'Смета Внутр'!I755</f>
        <v>0</v>
      </c>
    </row>
    <row r="756" customFormat="false" ht="15" hidden="true" customHeight="true" outlineLevel="0" collapsed="false">
      <c r="B756" s="1104" t="str">
        <f aca="false">'Смета Внутр'!B756</f>
        <v>Доска сухая, 150*50мм</v>
      </c>
      <c r="C756" s="1104" t="str">
        <f aca="false">'Смета Внутр'!C756</f>
        <v>м.п.</v>
      </c>
      <c r="D756" s="1109" t="n">
        <f aca="false">'Смета Внутр'!D756</f>
        <v>0</v>
      </c>
      <c r="E756" s="1104" t="n">
        <f aca="false">'Смета Внутр'!E756</f>
        <v>67.5</v>
      </c>
      <c r="F756" s="1104" t="n">
        <f aca="false">'Смета Внутр'!F756</f>
        <v>0</v>
      </c>
      <c r="G756" s="1104" t="n">
        <f aca="false">IF(E756&gt;F756,E756,F756)</f>
        <v>67.5</v>
      </c>
      <c r="H756" s="1104" t="n">
        <f aca="false">'Смета Внутр'!G756</f>
        <v>0</v>
      </c>
      <c r="I756" s="1104" t="n">
        <f aca="false">'Смета Внутр'!H756</f>
        <v>0</v>
      </c>
      <c r="J756" s="1109" t="n">
        <f aca="false">'Смета Внутр'!I756</f>
        <v>0</v>
      </c>
    </row>
    <row r="757" customFormat="false" ht="15" hidden="true" customHeight="true" outlineLevel="0" collapsed="false">
      <c r="B757" s="1104" t="str">
        <f aca="false">'Смета Внутр'!B757</f>
        <v>Доска сухая, 200*50мм</v>
      </c>
      <c r="C757" s="1104" t="str">
        <f aca="false">'Смета Внутр'!C757</f>
        <v>м.п.</v>
      </c>
      <c r="D757" s="1109" t="n">
        <f aca="false">'Смета Внутр'!D757</f>
        <v>0</v>
      </c>
      <c r="E757" s="1104" t="n">
        <f aca="false">'Смета Внутр'!E757</f>
        <v>90</v>
      </c>
      <c r="F757" s="1104" t="n">
        <f aca="false">'Смета Внутр'!F757</f>
        <v>0</v>
      </c>
      <c r="G757" s="1104" t="n">
        <f aca="false">IF(E757&gt;F757,E757,F757)</f>
        <v>90</v>
      </c>
      <c r="H757" s="1104" t="n">
        <f aca="false">'Смета Внутр'!G757</f>
        <v>0</v>
      </c>
      <c r="I757" s="1104" t="n">
        <f aca="false">'Смета Внутр'!H757</f>
        <v>0</v>
      </c>
      <c r="J757" s="1109" t="n">
        <f aca="false">'Смета Внутр'!I757</f>
        <v>0</v>
      </c>
    </row>
    <row r="758" customFormat="false" ht="15" hidden="true" customHeight="true" outlineLevel="0" collapsed="false">
      <c r="B758" s="1104" t="str">
        <f aca="false">'Смета Внутр'!B758</f>
        <v>Пена монтажная, всесезонняя 800мл</v>
      </c>
      <c r="C758" s="1104" t="str">
        <f aca="false">'Смета Внутр'!C758</f>
        <v>шт</v>
      </c>
      <c r="D758" s="1109" t="n">
        <f aca="false">'Смета Внутр'!D758</f>
        <v>0</v>
      </c>
      <c r="E758" s="1104" t="n">
        <f aca="false">'Смета Внутр'!E758</f>
        <v>300</v>
      </c>
      <c r="F758" s="1104" t="n">
        <f aca="false">'Смета Внутр'!F758</f>
        <v>0</v>
      </c>
      <c r="G758" s="1104" t="n">
        <f aca="false">IF(E758&gt;F758,E758,F758)</f>
        <v>300</v>
      </c>
      <c r="H758" s="1104" t="n">
        <f aca="false">'Смета Внутр'!G758</f>
        <v>0</v>
      </c>
      <c r="I758" s="1104" t="n">
        <f aca="false">'Смета Внутр'!H758</f>
        <v>0</v>
      </c>
      <c r="J758" s="1109" t="n">
        <f aca="false">'Смета Внутр'!I758</f>
        <v>0</v>
      </c>
    </row>
    <row r="759" customFormat="false" ht="15" hidden="true" customHeight="true" outlineLevel="0" collapsed="false">
      <c r="B759" s="1104" t="str">
        <f aca="false">'Смета Внутр'!B759</f>
        <v>Гвозди строительные 3,5 x 90            </v>
      </c>
      <c r="C759" s="1104" t="str">
        <f aca="false">'Смета Внутр'!C759</f>
        <v>шт</v>
      </c>
      <c r="D759" s="1109" t="n">
        <f aca="false">'Смета Внутр'!D759</f>
        <v>0</v>
      </c>
      <c r="E759" s="1104" t="n">
        <f aca="false">'Смета Внутр'!E759</f>
        <v>45</v>
      </c>
      <c r="F759" s="1104" t="n">
        <f aca="false">'Смета Внутр'!F759</f>
        <v>0</v>
      </c>
      <c r="G759" s="1104" t="n">
        <f aca="false">IF(E759&gt;F759,E759,F759)</f>
        <v>45</v>
      </c>
      <c r="H759" s="1104" t="n">
        <f aca="false">'Смета Внутр'!G759</f>
        <v>0</v>
      </c>
      <c r="I759" s="1104" t="n">
        <f aca="false">'Смета Внутр'!H759</f>
        <v>0</v>
      </c>
      <c r="J759" s="1109" t="n">
        <f aca="false">'Смета Внутр'!I759</f>
        <v>0</v>
      </c>
    </row>
    <row r="760" customFormat="false" ht="15" hidden="true" customHeight="true" outlineLevel="0" collapsed="false">
      <c r="B760" s="1104" t="str">
        <f aca="false">'Смета Внутр'!B760</f>
        <v>Саморезы 3,5 x 45            </v>
      </c>
      <c r="C760" s="1104" t="str">
        <f aca="false">'Смета Внутр'!C760</f>
        <v>шт</v>
      </c>
      <c r="D760" s="1109" t="n">
        <f aca="false">'Смета Внутр'!D760</f>
        <v>0</v>
      </c>
      <c r="E760" s="1104" t="n">
        <f aca="false">'Смета Внутр'!E760</f>
        <v>0.25</v>
      </c>
      <c r="F760" s="1104" t="n">
        <f aca="false">'Смета Внутр'!F760</f>
        <v>0</v>
      </c>
      <c r="G760" s="1104" t="n">
        <f aca="false">IF(E760&gt;F760,E760,F760)</f>
        <v>0.25</v>
      </c>
      <c r="H760" s="1104" t="n">
        <f aca="false">'Смета Внутр'!G760</f>
        <v>0</v>
      </c>
      <c r="I760" s="1104" t="n">
        <f aca="false">'Смета Внутр'!H760</f>
        <v>0</v>
      </c>
      <c r="J760" s="1109" t="n">
        <f aca="false">'Смета Внутр'!I760</f>
        <v>0</v>
      </c>
    </row>
    <row r="761" customFormat="false" ht="15" hidden="true" customHeight="true" outlineLevel="0" collapsed="false">
      <c r="B761" s="1104" t="str">
        <f aca="false">'Смета Внутр'!B761</f>
        <v>Доска сухая, 200*50мм</v>
      </c>
      <c r="C761" s="1104" t="str">
        <f aca="false">'Смета Внутр'!C761</f>
        <v>м3</v>
      </c>
      <c r="D761" s="1109" t="n">
        <f aca="false">'Смета Внутр'!D761</f>
        <v>0</v>
      </c>
      <c r="E761" s="1104" t="n">
        <f aca="false">'Смета Внутр'!E761</f>
        <v>9000</v>
      </c>
      <c r="F761" s="1104" t="n">
        <f aca="false">'Смета Внутр'!F761</f>
        <v>0</v>
      </c>
      <c r="G761" s="1104" t="n">
        <f aca="false">IF(E761&gt;F761,E761,F761)</f>
        <v>9000</v>
      </c>
      <c r="H761" s="1104" t="n">
        <f aca="false">'Смета Внутр'!G761</f>
        <v>0</v>
      </c>
      <c r="I761" s="1104" t="n">
        <f aca="false">'Смета Внутр'!H761</f>
        <v>0</v>
      </c>
      <c r="J761" s="1109" t="n">
        <f aca="false">'Смета Внутр'!I761</f>
        <v>0</v>
      </c>
    </row>
    <row r="762" customFormat="false" ht="15" hidden="true" customHeight="true" outlineLevel="0" collapsed="false">
      <c r="B762" s="1104" t="str">
        <f aca="false">'Смета Внутр'!B762</f>
        <v>Доска сухая, 150*50мм</v>
      </c>
      <c r="C762" s="1104" t="str">
        <f aca="false">'Смета Внутр'!C762</f>
        <v>м3</v>
      </c>
      <c r="D762" s="1109" t="n">
        <f aca="false">'Смета Внутр'!D762</f>
        <v>0</v>
      </c>
      <c r="E762" s="1104" t="n">
        <f aca="false">'Смета Внутр'!E762</f>
        <v>9000</v>
      </c>
      <c r="F762" s="1104" t="n">
        <f aca="false">'Смета Внутр'!F762</f>
        <v>0</v>
      </c>
      <c r="G762" s="1104" t="n">
        <f aca="false">IF(E762&gt;F762,E762,F762)</f>
        <v>9000</v>
      </c>
      <c r="H762" s="1104" t="n">
        <f aca="false">'Смета Внутр'!G762</f>
        <v>0</v>
      </c>
      <c r="I762" s="1104" t="n">
        <f aca="false">'Смета Внутр'!H762</f>
        <v>0</v>
      </c>
      <c r="J762" s="1109" t="n">
        <f aca="false">'Смета Внутр'!I762</f>
        <v>0</v>
      </c>
    </row>
    <row r="763" customFormat="false" ht="15" hidden="true" customHeight="true" outlineLevel="0" collapsed="false">
      <c r="B763" s="1104" t="str">
        <f aca="false">'Смета Внутр'!B763</f>
        <v>Гвозди ершоные 2,8 х 90            </v>
      </c>
      <c r="C763" s="1104" t="str">
        <f aca="false">'Смета Внутр'!C763</f>
        <v>кг</v>
      </c>
      <c r="D763" s="1109" t="n">
        <f aca="false">'Смета Внутр'!D763</f>
        <v>0</v>
      </c>
      <c r="E763" s="1104" t="n">
        <f aca="false">'Смета Внутр'!E763</f>
        <v>76.49</v>
      </c>
      <c r="F763" s="1104" t="n">
        <f aca="false">'Смета Внутр'!F763</f>
        <v>0</v>
      </c>
      <c r="G763" s="1104" t="n">
        <f aca="false">IF(E763&gt;F763,E763,F763)</f>
        <v>76.49</v>
      </c>
      <c r="H763" s="1104" t="n">
        <f aca="false">'Смета Внутр'!G763</f>
        <v>0</v>
      </c>
      <c r="I763" s="1104" t="n">
        <f aca="false">'Смета Внутр'!H763</f>
        <v>0</v>
      </c>
      <c r="J763" s="1109" t="n">
        <f aca="false">'Смета Внутр'!I763</f>
        <v>0</v>
      </c>
    </row>
    <row r="764" customFormat="false" ht="15" hidden="true" customHeight="true" outlineLevel="0" collapsed="false">
      <c r="B764" s="1104" t="str">
        <f aca="false">'Смета Внутр'!B764</f>
        <v>Доска сухая калиброванная, 190*45мм</v>
      </c>
      <c r="C764" s="1104" t="str">
        <f aca="false">'Смета Внутр'!C764</f>
        <v>м3</v>
      </c>
      <c r="D764" s="1109" t="n">
        <f aca="false">'Смета Внутр'!D764</f>
        <v>0</v>
      </c>
      <c r="E764" s="1104" t="n">
        <f aca="false">'Смета Внутр'!E764</f>
        <v>12500</v>
      </c>
      <c r="F764" s="1104" t="n">
        <f aca="false">'Смета Внутр'!F764</f>
        <v>0</v>
      </c>
      <c r="G764" s="1104" t="n">
        <f aca="false">IF(E764&gt;F764,E764,F764)</f>
        <v>12500</v>
      </c>
      <c r="H764" s="1104" t="n">
        <f aca="false">'Смета Внутр'!G764</f>
        <v>0</v>
      </c>
      <c r="I764" s="1104" t="n">
        <f aca="false">'Смета Внутр'!H764</f>
        <v>0</v>
      </c>
      <c r="J764" s="1109" t="n">
        <f aca="false">'Смета Внутр'!I764</f>
        <v>0</v>
      </c>
    </row>
    <row r="765" customFormat="false" ht="15" hidden="true" customHeight="true" outlineLevel="0" collapsed="false">
      <c r="B765" s="1104" t="str">
        <f aca="false">'Смета Внутр'!B765</f>
        <v>Доска сухая калиброванная, 145*45мм</v>
      </c>
      <c r="C765" s="1104" t="str">
        <f aca="false">'Смета Внутр'!C765</f>
        <v>м3</v>
      </c>
      <c r="D765" s="1109" t="n">
        <f aca="false">'Смета Внутр'!D765</f>
        <v>0</v>
      </c>
      <c r="E765" s="1104" t="n">
        <f aca="false">'Смета Внутр'!E765</f>
        <v>12500</v>
      </c>
      <c r="F765" s="1104" t="n">
        <f aca="false">'Смета Внутр'!F765</f>
        <v>0</v>
      </c>
      <c r="G765" s="1104" t="n">
        <f aca="false">IF(E765&gt;F765,E765,F765)</f>
        <v>12500</v>
      </c>
      <c r="H765" s="1104" t="n">
        <f aca="false">'Смета Внутр'!G765</f>
        <v>0</v>
      </c>
      <c r="I765" s="1104" t="n">
        <f aca="false">'Смета Внутр'!H765</f>
        <v>0</v>
      </c>
      <c r="J765" s="1109" t="n">
        <f aca="false">'Смета Внутр'!I765</f>
        <v>0</v>
      </c>
    </row>
    <row r="766" customFormat="false" ht="15" hidden="true" customHeight="true" outlineLevel="0" collapsed="false">
      <c r="B766" s="1104" t="str">
        <f aca="false">'Смета Внутр'!B766</f>
        <v>Гвозди ершоные 2,8 х 90            </v>
      </c>
      <c r="C766" s="1104" t="str">
        <f aca="false">'Смета Внутр'!C766</f>
        <v>кг</v>
      </c>
      <c r="D766" s="1109" t="n">
        <f aca="false">'Смета Внутр'!D766</f>
        <v>0</v>
      </c>
      <c r="E766" s="1104" t="n">
        <f aca="false">'Смета Внутр'!E766</f>
        <v>76.49</v>
      </c>
      <c r="F766" s="1104" t="n">
        <f aca="false">'Смета Внутр'!F766</f>
        <v>0</v>
      </c>
      <c r="G766" s="1104" t="n">
        <f aca="false">IF(E766&gt;F766,E766,F766)</f>
        <v>76.49</v>
      </c>
      <c r="H766" s="1104" t="n">
        <f aca="false">'Смета Внутр'!G766</f>
        <v>0</v>
      </c>
      <c r="I766" s="1104" t="n">
        <f aca="false">'Смета Внутр'!H766</f>
        <v>0</v>
      </c>
      <c r="J766" s="1109" t="n">
        <f aca="false">'Смета Внутр'!I766</f>
        <v>0</v>
      </c>
    </row>
    <row r="767" customFormat="false" ht="15" hidden="true" customHeight="true" outlineLevel="0" collapsed="false">
      <c r="B767" s="1104" t="str">
        <f aca="false">'Смета Внутр'!B767</f>
        <v>Двутавровая деревянная балка, 400*65мм</v>
      </c>
      <c r="C767" s="1104" t="str">
        <f aca="false">'Смета Внутр'!C767</f>
        <v>м.п.</v>
      </c>
      <c r="D767" s="1109" t="n">
        <f aca="false">'Смета Внутр'!D767</f>
        <v>0</v>
      </c>
      <c r="E767" s="1104" t="n">
        <f aca="false">'Смета Внутр'!E767</f>
        <v>303</v>
      </c>
      <c r="F767" s="1104" t="n">
        <f aca="false">'Смета Внутр'!F767</f>
        <v>0</v>
      </c>
      <c r="G767" s="1104" t="n">
        <f aca="false">IF(E767&gt;F767,E767,F767)</f>
        <v>303</v>
      </c>
      <c r="H767" s="1104" t="n">
        <f aca="false">'Смета Внутр'!G767</f>
        <v>0</v>
      </c>
      <c r="I767" s="1104" t="n">
        <f aca="false">'Смета Внутр'!H767</f>
        <v>0</v>
      </c>
      <c r="J767" s="1109" t="n">
        <f aca="false">'Смета Внутр'!I767</f>
        <v>0</v>
      </c>
    </row>
    <row r="768" customFormat="false" ht="15" hidden="true" customHeight="true" outlineLevel="0" collapsed="false">
      <c r="B768" s="1104" t="str">
        <f aca="false">'Смета Внутр'!B768</f>
        <v>Двутавровая деревянная балка, 400*90мм</v>
      </c>
      <c r="C768" s="1104" t="str">
        <f aca="false">'Смета Внутр'!C768</f>
        <v>м.п.</v>
      </c>
      <c r="D768" s="1109" t="n">
        <f aca="false">'Смета Внутр'!D768</f>
        <v>0</v>
      </c>
      <c r="E768" s="1104" t="n">
        <f aca="false">'Смета Внутр'!E768</f>
        <v>355</v>
      </c>
      <c r="F768" s="1104" t="n">
        <f aca="false">'Смета Внутр'!F768</f>
        <v>0</v>
      </c>
      <c r="G768" s="1104" t="n">
        <f aca="false">IF(E768&gt;F768,E768,F768)</f>
        <v>355</v>
      </c>
      <c r="H768" s="1104" t="n">
        <f aca="false">'Смета Внутр'!G768</f>
        <v>0</v>
      </c>
      <c r="I768" s="1104" t="n">
        <f aca="false">'Смета Внутр'!H768</f>
        <v>0</v>
      </c>
      <c r="J768" s="1109" t="n">
        <f aca="false">'Смета Внутр'!I768</f>
        <v>0</v>
      </c>
    </row>
    <row r="769" customFormat="false" ht="15" hidden="true" customHeight="true" outlineLevel="0" collapsed="false">
      <c r="B769" s="1104" t="str">
        <f aca="false">'Смета Внутр'!B769</f>
        <v>Двутавровая деревянная балка, 350*65мм</v>
      </c>
      <c r="C769" s="1104" t="str">
        <f aca="false">'Смета Внутр'!C769</f>
        <v>м.п.</v>
      </c>
      <c r="D769" s="1109" t="n">
        <f aca="false">'Смета Внутр'!D769</f>
        <v>138.666666666667</v>
      </c>
      <c r="E769" s="1104" t="n">
        <f aca="false">'Смета Внутр'!E769</f>
        <v>287</v>
      </c>
      <c r="F769" s="1104" t="n">
        <f aca="false">'Смета Внутр'!F769</f>
        <v>0</v>
      </c>
      <c r="G769" s="1104" t="n">
        <f aca="false">IF(E769&gt;F769,E769,F769)</f>
        <v>287</v>
      </c>
      <c r="H769" s="1104" t="n">
        <f aca="false">'Смета Внутр'!G769</f>
        <v>39797.3333333333</v>
      </c>
      <c r="I769" s="1104" t="n">
        <f aca="false">'Смета Внутр'!H769</f>
        <v>39797.3333333333</v>
      </c>
      <c r="J769" s="1109" t="n">
        <f aca="false">'Смета Внутр'!I769</f>
        <v>39797.3333333333</v>
      </c>
    </row>
    <row r="770" customFormat="false" ht="15" hidden="true" customHeight="true" outlineLevel="0" collapsed="false">
      <c r="B770" s="1104" t="str">
        <f aca="false">'Смета Внутр'!B770</f>
        <v>Двутавровая деревянная балка, 350*90мм</v>
      </c>
      <c r="C770" s="1104" t="str">
        <f aca="false">'Смета Внутр'!C770</f>
        <v>м.п.</v>
      </c>
      <c r="D770" s="1109" t="n">
        <f aca="false">'Смета Внутр'!D770</f>
        <v>0</v>
      </c>
      <c r="E770" s="1104" t="n">
        <f aca="false">'Смета Внутр'!E770</f>
        <v>315</v>
      </c>
      <c r="F770" s="1104" t="n">
        <f aca="false">'Смета Внутр'!F770</f>
        <v>0</v>
      </c>
      <c r="G770" s="1104" t="n">
        <f aca="false">IF(E770&gt;F770,E770,F770)</f>
        <v>315</v>
      </c>
      <c r="H770" s="1104" t="n">
        <f aca="false">'Смета Внутр'!G770</f>
        <v>0</v>
      </c>
      <c r="I770" s="1104" t="n">
        <f aca="false">'Смета Внутр'!H770</f>
        <v>0</v>
      </c>
      <c r="J770" s="1109" t="n">
        <f aca="false">'Смета Внутр'!I770</f>
        <v>0</v>
      </c>
    </row>
    <row r="771" customFormat="false" ht="15" hidden="true" customHeight="true" outlineLevel="0" collapsed="false">
      <c r="B771" s="1104" t="str">
        <f aca="false">'Смета Внутр'!B771</f>
        <v>Двутавровая деревянная балка, 300*65мм</v>
      </c>
      <c r="C771" s="1104" t="str">
        <f aca="false">'Смета Внутр'!C771</f>
        <v>м.п.</v>
      </c>
      <c r="D771" s="1109" t="n">
        <f aca="false">'Смета Внутр'!D771</f>
        <v>0</v>
      </c>
      <c r="E771" s="1104" t="n">
        <f aca="false">'Смета Внутр'!E771</f>
        <v>273</v>
      </c>
      <c r="F771" s="1104" t="n">
        <f aca="false">'Смета Внутр'!F771</f>
        <v>0</v>
      </c>
      <c r="G771" s="1104" t="n">
        <f aca="false">IF(E771&gt;F771,E771,F771)</f>
        <v>273</v>
      </c>
      <c r="H771" s="1104" t="n">
        <f aca="false">'Смета Внутр'!G771</f>
        <v>0</v>
      </c>
      <c r="I771" s="1104" t="n">
        <f aca="false">'Смета Внутр'!H771</f>
        <v>0</v>
      </c>
      <c r="J771" s="1109" t="n">
        <f aca="false">'Смета Внутр'!I771</f>
        <v>0</v>
      </c>
    </row>
    <row r="772" customFormat="false" ht="15" hidden="true" customHeight="true" outlineLevel="0" collapsed="false">
      <c r="B772" s="1104" t="str">
        <f aca="false">'Смета Внутр'!B772</f>
        <v>Двутавровая деревянная балка, 300*90мм</v>
      </c>
      <c r="C772" s="1104" t="str">
        <f aca="false">'Смета Внутр'!C772</f>
        <v>м.п.</v>
      </c>
      <c r="D772" s="1109" t="n">
        <f aca="false">'Смета Внутр'!D772</f>
        <v>0</v>
      </c>
      <c r="E772" s="1104" t="n">
        <f aca="false">'Смета Внутр'!E772</f>
        <v>315</v>
      </c>
      <c r="F772" s="1104" t="n">
        <f aca="false">'Смета Внутр'!F772</f>
        <v>0</v>
      </c>
      <c r="G772" s="1104" t="n">
        <f aca="false">IF(E772&gt;F772,E772,F772)</f>
        <v>315</v>
      </c>
      <c r="H772" s="1104" t="n">
        <f aca="false">'Смета Внутр'!G772</f>
        <v>0</v>
      </c>
      <c r="I772" s="1104" t="n">
        <f aca="false">'Смета Внутр'!H772</f>
        <v>0</v>
      </c>
      <c r="J772" s="1109" t="n">
        <f aca="false">'Смета Внутр'!I772</f>
        <v>0</v>
      </c>
    </row>
    <row r="773" customFormat="false" ht="15" hidden="true" customHeight="true" outlineLevel="0" collapsed="false">
      <c r="B773" s="1104" t="str">
        <f aca="false">'Смета Внутр'!B773</f>
        <v>Двутавровая деревянная балка, 240*65мм</v>
      </c>
      <c r="C773" s="1104" t="str">
        <f aca="false">'Смета Внутр'!C773</f>
        <v>м.п.</v>
      </c>
      <c r="D773" s="1109" t="n">
        <f aca="false">'Смета Внутр'!D773</f>
        <v>0</v>
      </c>
      <c r="E773" s="1104" t="n">
        <f aca="false">'Смета Внутр'!E773</f>
        <v>263</v>
      </c>
      <c r="F773" s="1104" t="n">
        <f aca="false">'Смета Внутр'!F773</f>
        <v>0</v>
      </c>
      <c r="G773" s="1104" t="n">
        <f aca="false">IF(E773&gt;F773,E773,F773)</f>
        <v>263</v>
      </c>
      <c r="H773" s="1104" t="n">
        <f aca="false">'Смета Внутр'!G773</f>
        <v>0</v>
      </c>
      <c r="I773" s="1104" t="n">
        <f aca="false">'Смета Внутр'!H773</f>
        <v>0</v>
      </c>
      <c r="J773" s="1109" t="n">
        <f aca="false">'Смета Внутр'!I773</f>
        <v>0</v>
      </c>
    </row>
    <row r="774" customFormat="false" ht="15" hidden="true" customHeight="true" outlineLevel="0" collapsed="false">
      <c r="B774" s="1104" t="str">
        <f aca="false">'Смета Внутр'!B774</f>
        <v>Двутавровая деревянная балка, 240*90мм</v>
      </c>
      <c r="C774" s="1104" t="str">
        <f aca="false">'Смета Внутр'!C774</f>
        <v>м.п.</v>
      </c>
      <c r="D774" s="1109" t="n">
        <f aca="false">'Смета Внутр'!D774</f>
        <v>0</v>
      </c>
      <c r="E774" s="1104" t="n">
        <f aca="false">'Смета Внутр'!E774</f>
        <v>291</v>
      </c>
      <c r="F774" s="1104" t="n">
        <f aca="false">'Смета Внутр'!F774</f>
        <v>0</v>
      </c>
      <c r="G774" s="1104" t="n">
        <f aca="false">IF(E774&gt;F774,E774,F774)</f>
        <v>291</v>
      </c>
      <c r="H774" s="1104" t="n">
        <f aca="false">'Смета Внутр'!G774</f>
        <v>0</v>
      </c>
      <c r="I774" s="1104" t="n">
        <f aca="false">'Смета Внутр'!H774</f>
        <v>0</v>
      </c>
      <c r="J774" s="1109" t="n">
        <f aca="false">'Смета Внутр'!I774</f>
        <v>0</v>
      </c>
    </row>
    <row r="775" customFormat="false" ht="15" hidden="true" customHeight="true" outlineLevel="0" collapsed="false">
      <c r="B775" s="1104" t="str">
        <f aca="false">'Смета Внутр'!B775</f>
        <v>Двутавровая деревянная балка, 200*65мм</v>
      </c>
      <c r="C775" s="1104" t="str">
        <f aca="false">'Смета Внутр'!C775</f>
        <v>м.п.</v>
      </c>
      <c r="D775" s="1109" t="n">
        <f aca="false">'Смета Внутр'!D775</f>
        <v>0</v>
      </c>
      <c r="E775" s="1104" t="n">
        <f aca="false">'Смета Внутр'!E775</f>
        <v>250</v>
      </c>
      <c r="F775" s="1104" t="n">
        <f aca="false">'Смета Внутр'!F775</f>
        <v>0</v>
      </c>
      <c r="G775" s="1104" t="n">
        <f aca="false">IF(E775&gt;F775,E775,F775)</f>
        <v>250</v>
      </c>
      <c r="H775" s="1104" t="n">
        <f aca="false">'Смета Внутр'!G775</f>
        <v>0</v>
      </c>
      <c r="I775" s="1104" t="n">
        <f aca="false">'Смета Внутр'!H775</f>
        <v>0</v>
      </c>
      <c r="J775" s="1109" t="n">
        <f aca="false">'Смета Внутр'!I775</f>
        <v>0</v>
      </c>
    </row>
    <row r="776" customFormat="false" ht="15" hidden="true" customHeight="true" outlineLevel="0" collapsed="false">
      <c r="B776" s="1104" t="str">
        <f aca="false">'Смета Внутр'!B776</f>
        <v>Двутавровая деревянная балка, 200*90мм</v>
      </c>
      <c r="C776" s="1104" t="str">
        <f aca="false">'Смета Внутр'!C776</f>
        <v>м.п.</v>
      </c>
      <c r="D776" s="1109" t="n">
        <f aca="false">'Смета Внутр'!D776</f>
        <v>0</v>
      </c>
      <c r="E776" s="1104" t="n">
        <f aca="false">'Смета Внутр'!E776</f>
        <v>280</v>
      </c>
      <c r="F776" s="1104" t="n">
        <f aca="false">'Смета Внутр'!F776</f>
        <v>0</v>
      </c>
      <c r="G776" s="1104" t="n">
        <f aca="false">IF(E776&gt;F776,E776,F776)</f>
        <v>280</v>
      </c>
      <c r="H776" s="1104" t="n">
        <f aca="false">'Смета Внутр'!G776</f>
        <v>0</v>
      </c>
      <c r="I776" s="1104" t="n">
        <f aca="false">'Смета Внутр'!H776</f>
        <v>0</v>
      </c>
      <c r="J776" s="1109" t="n">
        <f aca="false">'Смета Внутр'!I776</f>
        <v>0</v>
      </c>
    </row>
    <row r="777" customFormat="false" ht="15" hidden="true" customHeight="true" outlineLevel="0" collapsed="false">
      <c r="B777" s="1104" t="str">
        <f aca="false">'Смета Внутр'!B777</f>
        <v>Двутавровая деревянная балка, 150*65мм</v>
      </c>
      <c r="C777" s="1104" t="str">
        <f aca="false">'Смета Внутр'!C777</f>
        <v>м.п.</v>
      </c>
      <c r="D777" s="1109" t="n">
        <f aca="false">'Смета Внутр'!D777</f>
        <v>0</v>
      </c>
      <c r="E777" s="1104" t="n">
        <f aca="false">'Смета Внутр'!E777</f>
        <v>220</v>
      </c>
      <c r="F777" s="1104" t="n">
        <f aca="false">'Смета Внутр'!F777</f>
        <v>0</v>
      </c>
      <c r="G777" s="1104" t="n">
        <f aca="false">IF(E777&gt;F777,E777,F777)</f>
        <v>220</v>
      </c>
      <c r="H777" s="1104" t="n">
        <f aca="false">'Смета Внутр'!G777</f>
        <v>0</v>
      </c>
      <c r="I777" s="1104" t="n">
        <f aca="false">'Смета Внутр'!H777</f>
        <v>0</v>
      </c>
      <c r="J777" s="1109" t="n">
        <f aca="false">'Смета Внутр'!I777</f>
        <v>0</v>
      </c>
    </row>
    <row r="778" customFormat="false" ht="15" hidden="true" customHeight="true" outlineLevel="0" collapsed="false">
      <c r="B778" s="1104" t="str">
        <f aca="false">'Смета Внутр'!B778</f>
        <v>Двутавровая деревянная балка, 150*90мм</v>
      </c>
      <c r="C778" s="1104" t="str">
        <f aca="false">'Смета Внутр'!C778</f>
        <v>м.п.</v>
      </c>
      <c r="D778" s="1109" t="n">
        <f aca="false">'Смета Внутр'!D778</f>
        <v>0</v>
      </c>
      <c r="E778" s="1104" t="n">
        <f aca="false">'Смета Внутр'!E778</f>
        <v>250</v>
      </c>
      <c r="F778" s="1104" t="n">
        <f aca="false">'Смета Внутр'!F778</f>
        <v>0</v>
      </c>
      <c r="G778" s="1104" t="n">
        <f aca="false">IF(E778&gt;F778,E778,F778)</f>
        <v>250</v>
      </c>
      <c r="H778" s="1104" t="n">
        <f aca="false">'Смета Внутр'!G778</f>
        <v>0</v>
      </c>
      <c r="I778" s="1104" t="n">
        <f aca="false">'Смета Внутр'!H778</f>
        <v>0</v>
      </c>
      <c r="J778" s="1109" t="n">
        <f aca="false">'Смета Внутр'!I778</f>
        <v>0</v>
      </c>
    </row>
    <row r="779" customFormat="false" ht="15" hidden="true" customHeight="true" outlineLevel="0" collapsed="false">
      <c r="B779" s="1104" t="str">
        <f aca="false">'Смета Внутр'!B779</f>
        <v>Уголок усиленный 90х70х55х2,5        </v>
      </c>
      <c r="C779" s="1104" t="str">
        <f aca="false">'Смета Внутр'!C779</f>
        <v>шт</v>
      </c>
      <c r="D779" s="1109" t="n">
        <f aca="false">'Смета Внутр'!D779</f>
        <v>157</v>
      </c>
      <c r="E779" s="1104" t="n">
        <f aca="false">'Смета Внутр'!E779</f>
        <v>30</v>
      </c>
      <c r="F779" s="1104" t="n">
        <f aca="false">'Смета Внутр'!F779</f>
        <v>0</v>
      </c>
      <c r="G779" s="1104" t="n">
        <f aca="false">IF(E779&gt;F779,E779,F779)</f>
        <v>30</v>
      </c>
      <c r="H779" s="1104" t="n">
        <f aca="false">'Смета Внутр'!G779</f>
        <v>4710</v>
      </c>
      <c r="I779" s="1104" t="n">
        <f aca="false">'Смета Внутр'!H779</f>
        <v>4710</v>
      </c>
      <c r="J779" s="1109" t="n">
        <f aca="false">'Смета Внутр'!I779</f>
        <v>4710</v>
      </c>
    </row>
    <row r="780" customFormat="false" ht="15" hidden="true" customHeight="true" outlineLevel="0" collapsed="false">
      <c r="B780" s="1104" t="str">
        <f aca="false">'Смета Внутр'!B780</f>
        <v>Саморезы 3,5 x 55            </v>
      </c>
      <c r="C780" s="1104" t="str">
        <f aca="false">'Смета Внутр'!C780</f>
        <v>шт</v>
      </c>
      <c r="D780" s="1109" t="n">
        <f aca="false">'Смета Внутр'!D780</f>
        <v>628</v>
      </c>
      <c r="E780" s="1104" t="n">
        <f aca="false">'Смета Внутр'!E780</f>
        <v>0.3</v>
      </c>
      <c r="F780" s="1104" t="n">
        <f aca="false">'Смета Внутр'!F780</f>
        <v>0</v>
      </c>
      <c r="G780" s="1104" t="n">
        <f aca="false">IF(E780&gt;F780,E780,F780)</f>
        <v>0.3</v>
      </c>
      <c r="H780" s="1104" t="n">
        <f aca="false">'Смета Внутр'!G780</f>
        <v>188.4</v>
      </c>
      <c r="I780" s="1104" t="n">
        <f aca="false">'Смета Внутр'!H780</f>
        <v>188.4</v>
      </c>
      <c r="J780" s="1109" t="n">
        <f aca="false">'Смета Внутр'!I780</f>
        <v>188.4</v>
      </c>
    </row>
    <row r="781" customFormat="false" ht="15" hidden="true" customHeight="true" outlineLevel="0" collapsed="false">
      <c r="B781" s="1104" t="str">
        <f aca="false">'Смета Внутр'!B781</f>
        <v>Нет</v>
      </c>
      <c r="C781" s="1104" t="str">
        <f aca="false">'Смета Внутр'!C781</f>
        <v>м3</v>
      </c>
      <c r="D781" s="1109" t="n">
        <f aca="false">'Смета Внутр'!D781</f>
        <v>0</v>
      </c>
      <c r="E781" s="1104" t="n">
        <f aca="false">'Смета Внутр'!E781</f>
        <v>0</v>
      </c>
      <c r="F781" s="1104" t="n">
        <f aca="false">'Смета Внутр'!F781</f>
        <v>0</v>
      </c>
      <c r="G781" s="1104" t="n">
        <f aca="false">IF(E781&gt;F781,E781,F781)</f>
        <v>0</v>
      </c>
      <c r="H781" s="1104" t="n">
        <f aca="false">'Смета Внутр'!G781</f>
        <v>0</v>
      </c>
      <c r="I781" s="1104" t="n">
        <f aca="false">'Смета Внутр'!H781</f>
        <v>0</v>
      </c>
      <c r="J781" s="1109" t="n">
        <f aca="false">'Смета Внутр'!I781</f>
        <v>0</v>
      </c>
    </row>
    <row r="782" customFormat="false" ht="15" hidden="true" customHeight="true" outlineLevel="0" collapsed="false">
      <c r="B782" s="1104" t="str">
        <f aca="false">'Смета Внутр'!B782</f>
        <v>нет ветроизоляции</v>
      </c>
      <c r="C782" s="1104" t="str">
        <f aca="false">'Смета Внутр'!C782</f>
        <v>м2</v>
      </c>
      <c r="D782" s="1109" t="n">
        <f aca="false">'Смета Внутр'!D782</f>
        <v>64</v>
      </c>
      <c r="E782" s="1104" t="n">
        <f aca="false">'Смета Внутр'!E782</f>
        <v>0</v>
      </c>
      <c r="F782" s="1104" t="n">
        <f aca="false">'Смета Внутр'!F782</f>
        <v>0</v>
      </c>
      <c r="G782" s="1104" t="n">
        <f aca="false">IF(E782&gt;F782,E782,F782)</f>
        <v>0</v>
      </c>
      <c r="H782" s="1104" t="n">
        <f aca="false">'Смета Внутр'!G782</f>
        <v>0</v>
      </c>
      <c r="I782" s="1104" t="n">
        <f aca="false">'Смета Внутр'!H782</f>
        <v>0</v>
      </c>
      <c r="J782" s="1109" t="n">
        <f aca="false">'Смета Внутр'!I782</f>
        <v>0</v>
      </c>
    </row>
    <row r="783" customFormat="false" ht="15" hidden="true" customHeight="true" outlineLevel="0" collapsed="false">
      <c r="B783" s="1104" t="str">
        <f aca="false">'Смета Внутр'!B783</f>
        <v>нет пароизоляции</v>
      </c>
      <c r="C783" s="1104" t="str">
        <f aca="false">'Смета Внутр'!C783</f>
        <v>м2</v>
      </c>
      <c r="D783" s="1109" t="n">
        <f aca="false">'Смета Внутр'!D783</f>
        <v>64</v>
      </c>
      <c r="E783" s="1104" t="n">
        <f aca="false">'Смета Внутр'!E783</f>
        <v>0</v>
      </c>
      <c r="F783" s="1104" t="n">
        <f aca="false">'Смета Внутр'!F783</f>
        <v>0</v>
      </c>
      <c r="G783" s="1104" t="n">
        <f aca="false">IF(E783&gt;F783,E783,F783)</f>
        <v>0</v>
      </c>
      <c r="H783" s="1104" t="n">
        <f aca="false">'Смета Внутр'!G783</f>
        <v>0</v>
      </c>
      <c r="I783" s="1104" t="n">
        <f aca="false">'Смета Внутр'!H783</f>
        <v>0</v>
      </c>
      <c r="J783" s="1109" t="n">
        <f aca="false">'Смета Внутр'!I783</f>
        <v>0</v>
      </c>
    </row>
    <row r="784" customFormat="false" ht="15" hidden="true" customHeight="true" outlineLevel="0" collapsed="false">
      <c r="B784" s="1104" t="str">
        <f aca="false">'Смета Внутр'!B784</f>
        <v>Плита перекрытия ЖБИ</v>
      </c>
      <c r="C784" s="1104" t="str">
        <f aca="false">'Смета Внутр'!C784</f>
        <v>м2</v>
      </c>
      <c r="D784" s="1109" t="n">
        <f aca="false">'Смета Внутр'!D784</f>
        <v>0</v>
      </c>
      <c r="E784" s="1104" t="n">
        <f aca="false">'Смета Внутр'!E784</f>
        <v>1400</v>
      </c>
      <c r="F784" s="1104" t="n">
        <f aca="false">'Смета Внутр'!F784</f>
        <v>0</v>
      </c>
      <c r="G784" s="1104" t="n">
        <f aca="false">IF(E784&gt;F784,E784,F784)</f>
        <v>1400</v>
      </c>
      <c r="H784" s="1104" t="n">
        <f aca="false">'Смета Внутр'!G784</f>
        <v>0</v>
      </c>
      <c r="I784" s="1104" t="n">
        <f aca="false">'Смета Внутр'!H784</f>
        <v>0</v>
      </c>
      <c r="J784" s="1109" t="n">
        <f aca="false">'Смета Внутр'!I784</f>
        <v>0</v>
      </c>
    </row>
    <row r="785" customFormat="false" ht="15" hidden="true" customHeight="true" outlineLevel="0" collapsed="false">
      <c r="B785" s="1104" t="str">
        <f aca="false">'Смета Внутр'!B785</f>
        <v>Раствор, м250</v>
      </c>
      <c r="C785" s="1104" t="str">
        <f aca="false">'Смета Внутр'!C785</f>
        <v>м3</v>
      </c>
      <c r="D785" s="1109" t="n">
        <f aca="false">'Смета Внутр'!D785</f>
        <v>0</v>
      </c>
      <c r="E785" s="1104" t="n">
        <f aca="false">'Смета Внутр'!E785</f>
        <v>2500</v>
      </c>
      <c r="F785" s="1104" t="n">
        <f aca="false">'Смета Внутр'!F785</f>
        <v>0</v>
      </c>
      <c r="G785" s="1104" t="n">
        <f aca="false">IF(E785&gt;F785,E785,F785)</f>
        <v>2500</v>
      </c>
      <c r="H785" s="1104" t="n">
        <f aca="false">'Смета Внутр'!G785</f>
        <v>0</v>
      </c>
      <c r="I785" s="1104" t="n">
        <f aca="false">'Смета Внутр'!H785</f>
        <v>0</v>
      </c>
      <c r="J785" s="1109" t="n">
        <f aca="false">'Смета Внутр'!I785</f>
        <v>0</v>
      </c>
    </row>
    <row r="786" customFormat="false" ht="15" hidden="true" customHeight="true" outlineLevel="0" collapsed="false">
      <c r="B786" s="1104" t="str">
        <f aca="false">'Смета Внутр'!B786</f>
        <v>Монолит, бетон, 300мм, 2 слоя</v>
      </c>
      <c r="C786" s="1104" t="str">
        <f aca="false">'Смета Внутр'!C786</f>
        <v>м2</v>
      </c>
      <c r="D786" s="1109" t="n">
        <f aca="false">'Смета Внутр'!D786</f>
        <v>0</v>
      </c>
      <c r="E786" s="1104" t="n">
        <f aca="false">'Смета Внутр'!E786</f>
        <v>1</v>
      </c>
      <c r="F786" s="1104" t="n">
        <f aca="false">'Смета Внутр'!F786</f>
        <v>0</v>
      </c>
      <c r="G786" s="1104" t="n">
        <f aca="false">IF(E786&gt;F786,E786,F786)</f>
        <v>1</v>
      </c>
      <c r="H786" s="1104" t="n">
        <f aca="false">'Смета Внутр'!G786</f>
        <v>0</v>
      </c>
      <c r="I786" s="1104" t="n">
        <f aca="false">'Смета Внутр'!H786</f>
        <v>0</v>
      </c>
      <c r="J786" s="1109" t="n">
        <f aca="false">'Смета Внутр'!I786</f>
        <v>0</v>
      </c>
    </row>
    <row r="787" customFormat="false" ht="15" hidden="true" customHeight="true" outlineLevel="0" collapsed="false">
      <c r="B787" s="1104" t="str">
        <f aca="false">'Смета Внутр'!B787</f>
        <v>Монолит, бетон, 300мм, 1 слой</v>
      </c>
      <c r="C787" s="1104" t="str">
        <f aca="false">'Смета Внутр'!C787</f>
        <v>м2</v>
      </c>
      <c r="D787" s="1109" t="n">
        <f aca="false">'Смета Внутр'!D787</f>
        <v>0</v>
      </c>
      <c r="E787" s="1104" t="n">
        <f aca="false">'Смета Внутр'!E787</f>
        <v>1</v>
      </c>
      <c r="F787" s="1104" t="n">
        <f aca="false">'Смета Внутр'!F787</f>
        <v>0</v>
      </c>
      <c r="G787" s="1104" t="n">
        <f aca="false">IF(E787&gt;F787,E787,F787)</f>
        <v>1</v>
      </c>
      <c r="H787" s="1104" t="n">
        <f aca="false">'Смета Внутр'!G787</f>
        <v>0</v>
      </c>
      <c r="I787" s="1104" t="n">
        <f aca="false">'Смета Внутр'!H787</f>
        <v>0</v>
      </c>
      <c r="J787" s="1109" t="n">
        <f aca="false">'Смета Внутр'!I787</f>
        <v>0</v>
      </c>
    </row>
    <row r="788" customFormat="false" ht="15" hidden="true" customHeight="true" outlineLevel="0" collapsed="false">
      <c r="B788" s="1104" t="str">
        <f aca="false">'Смета Внутр'!B788</f>
        <v>Монолит, бетон, 250мм, 2 слоя</v>
      </c>
      <c r="C788" s="1104" t="str">
        <f aca="false">'Смета Внутр'!C788</f>
        <v>м2</v>
      </c>
      <c r="D788" s="1109" t="n">
        <f aca="false">'Смета Внутр'!D788</f>
        <v>0</v>
      </c>
      <c r="E788" s="1104" t="n">
        <f aca="false">'Смета Внутр'!E788</f>
        <v>1</v>
      </c>
      <c r="F788" s="1104" t="n">
        <f aca="false">'Смета Внутр'!F788</f>
        <v>0</v>
      </c>
      <c r="G788" s="1104" t="n">
        <f aca="false">IF(E788&gt;F788,E788,F788)</f>
        <v>1</v>
      </c>
      <c r="H788" s="1104" t="n">
        <f aca="false">'Смета Внутр'!G788</f>
        <v>0</v>
      </c>
      <c r="I788" s="1104" t="n">
        <f aca="false">'Смета Внутр'!H788</f>
        <v>0</v>
      </c>
      <c r="J788" s="1109" t="n">
        <f aca="false">'Смета Внутр'!I788</f>
        <v>0</v>
      </c>
    </row>
    <row r="789" customFormat="false" ht="15" hidden="true" customHeight="true" outlineLevel="0" collapsed="false">
      <c r="B789" s="1104" t="str">
        <f aca="false">'Смета Внутр'!B789</f>
        <v>Монолит, бетон, 250мм, 1 слой</v>
      </c>
      <c r="C789" s="1104" t="str">
        <f aca="false">'Смета Внутр'!C789</f>
        <v>м2</v>
      </c>
      <c r="D789" s="1109" t="n">
        <f aca="false">'Смета Внутр'!D789</f>
        <v>0</v>
      </c>
      <c r="E789" s="1104" t="n">
        <f aca="false">'Смета Внутр'!E789</f>
        <v>1</v>
      </c>
      <c r="F789" s="1104" t="n">
        <f aca="false">'Смета Внутр'!F789</f>
        <v>0</v>
      </c>
      <c r="G789" s="1104" t="n">
        <f aca="false">IF(E789&gt;F789,E789,F789)</f>
        <v>1</v>
      </c>
      <c r="H789" s="1104" t="n">
        <f aca="false">'Смета Внутр'!G789</f>
        <v>0</v>
      </c>
      <c r="I789" s="1104" t="n">
        <f aca="false">'Смета Внутр'!H789</f>
        <v>0</v>
      </c>
      <c r="J789" s="1109" t="n">
        <f aca="false">'Смета Внутр'!I789</f>
        <v>0</v>
      </c>
    </row>
    <row r="790" customFormat="false" ht="15" hidden="true" customHeight="true" outlineLevel="0" collapsed="false">
      <c r="B790" s="1104" t="str">
        <f aca="false">'Смета Внутр'!B790</f>
        <v>Монолит, бетон, 200мм, 2 слоя</v>
      </c>
      <c r="C790" s="1104" t="str">
        <f aca="false">'Смета Внутр'!C790</f>
        <v>м2</v>
      </c>
      <c r="D790" s="1109" t="n">
        <f aca="false">'Смета Внутр'!D790</f>
        <v>64</v>
      </c>
      <c r="E790" s="1104" t="n">
        <f aca="false">'Смета Внутр'!E790</f>
        <v>1</v>
      </c>
      <c r="F790" s="1104" t="n">
        <f aca="false">'Смета Внутр'!F790</f>
        <v>0</v>
      </c>
      <c r="G790" s="1104" t="n">
        <f aca="false">IF(E790&gt;F790,E790,F790)</f>
        <v>1</v>
      </c>
      <c r="H790" s="1104" t="n">
        <f aca="false">'Смета Внутр'!G790</f>
        <v>64</v>
      </c>
      <c r="I790" s="1104" t="n">
        <f aca="false">'Смета Внутр'!H790</f>
        <v>64</v>
      </c>
      <c r="J790" s="1109" t="n">
        <f aca="false">'Смета Внутр'!I790</f>
        <v>64</v>
      </c>
    </row>
    <row r="791" customFormat="false" ht="15" hidden="true" customHeight="true" outlineLevel="0" collapsed="false">
      <c r="B791" s="1104" t="str">
        <f aca="false">'Смета Внутр'!B791</f>
        <v>Монолит, бетон, 200мм, 1 слой</v>
      </c>
      <c r="C791" s="1104" t="str">
        <f aca="false">'Смета Внутр'!C791</f>
        <v>м2</v>
      </c>
      <c r="D791" s="1109" t="n">
        <f aca="false">'Смета Внутр'!D791</f>
        <v>0</v>
      </c>
      <c r="E791" s="1104" t="n">
        <f aca="false">'Смета Внутр'!E791</f>
        <v>1</v>
      </c>
      <c r="F791" s="1104" t="n">
        <f aca="false">'Смета Внутр'!F791</f>
        <v>0</v>
      </c>
      <c r="G791" s="1104" t="n">
        <f aca="false">IF(E791&gt;F791,E791,F791)</f>
        <v>1</v>
      </c>
      <c r="H791" s="1104" t="n">
        <f aca="false">'Смета Внутр'!G791</f>
        <v>0</v>
      </c>
      <c r="I791" s="1104" t="n">
        <f aca="false">'Смета Внутр'!H791</f>
        <v>0</v>
      </c>
      <c r="J791" s="1109" t="n">
        <f aca="false">'Смета Внутр'!I791</f>
        <v>0</v>
      </c>
    </row>
    <row r="792" customFormat="false" ht="15" hidden="true" customHeight="true" outlineLevel="0" collapsed="false">
      <c r="B792" s="1104" t="str">
        <f aca="false">'Смета Внутр'!B792</f>
        <v>Монолит, бетон, 150мм, 2 слоя</v>
      </c>
      <c r="C792" s="1104" t="str">
        <f aca="false">'Смета Внутр'!C792</f>
        <v>м2</v>
      </c>
      <c r="D792" s="1109" t="n">
        <f aca="false">'Смета Внутр'!D792</f>
        <v>0</v>
      </c>
      <c r="E792" s="1104" t="n">
        <f aca="false">'Смета Внутр'!E792</f>
        <v>1</v>
      </c>
      <c r="F792" s="1104" t="n">
        <f aca="false">'Смета Внутр'!F792</f>
        <v>0</v>
      </c>
      <c r="G792" s="1104" t="n">
        <f aca="false">IF(E792&gt;F792,E792,F792)</f>
        <v>1</v>
      </c>
      <c r="H792" s="1104" t="n">
        <f aca="false">'Смета Внутр'!G792</f>
        <v>0</v>
      </c>
      <c r="I792" s="1104" t="n">
        <f aca="false">'Смета Внутр'!H792</f>
        <v>0</v>
      </c>
      <c r="J792" s="1109" t="n">
        <f aca="false">'Смета Внутр'!I792</f>
        <v>0</v>
      </c>
    </row>
    <row r="793" customFormat="false" ht="15" hidden="true" customHeight="true" outlineLevel="0" collapsed="false">
      <c r="B793" s="1104" t="str">
        <f aca="false">'Смета Внутр'!B793</f>
        <v>Монолит, бетон, 150мм, 1 слой</v>
      </c>
      <c r="C793" s="1104" t="str">
        <f aca="false">'Смета Внутр'!C793</f>
        <v>м2</v>
      </c>
      <c r="D793" s="1109" t="n">
        <f aca="false">'Смета Внутр'!D793</f>
        <v>0</v>
      </c>
      <c r="E793" s="1104" t="n">
        <f aca="false">'Смета Внутр'!E793</f>
        <v>1</v>
      </c>
      <c r="F793" s="1104" t="n">
        <f aca="false">'Смета Внутр'!F793</f>
        <v>0</v>
      </c>
      <c r="G793" s="1104" t="n">
        <f aca="false">IF(E793&gt;F793,E793,F793)</f>
        <v>1</v>
      </c>
      <c r="H793" s="1104" t="n">
        <f aca="false">'Смета Внутр'!G793</f>
        <v>0</v>
      </c>
      <c r="I793" s="1104" t="n">
        <f aca="false">'Смета Внутр'!H793</f>
        <v>0</v>
      </c>
      <c r="J793" s="1109" t="n">
        <f aca="false">'Смета Внутр'!I793</f>
        <v>0</v>
      </c>
    </row>
    <row r="794" customFormat="false" ht="15" hidden="true" customHeight="true" outlineLevel="0" collapsed="false">
      <c r="B794" s="1104" t="str">
        <f aca="false">'Смета Внутр'!B794</f>
        <v>доска для опалубки монолит перекрытий</v>
      </c>
      <c r="C794" s="1104" t="str">
        <f aca="false">'Смета Внутр'!C794</f>
        <v>м3</v>
      </c>
      <c r="D794" s="1109" t="n">
        <f aca="false">'Смета Внутр'!D794</f>
        <v>5.126</v>
      </c>
      <c r="E794" s="1104" t="n">
        <f aca="false">'Смета Внутр'!E794</f>
        <v>6500</v>
      </c>
      <c r="F794" s="1104" t="n">
        <f aca="false">'Смета Внутр'!F794</f>
        <v>0</v>
      </c>
      <c r="G794" s="1104" t="n">
        <f aca="false">IF(E794&gt;F794,E794,F794)</f>
        <v>6500</v>
      </c>
      <c r="H794" s="1104" t="n">
        <f aca="false">'Смета Внутр'!G794</f>
        <v>33319</v>
      </c>
      <c r="I794" s="1104" t="n">
        <f aca="false">'Смета Внутр'!H794</f>
        <v>33319</v>
      </c>
      <c r="J794" s="1109" t="n">
        <f aca="false">'Смета Внутр'!I794</f>
        <v>33319</v>
      </c>
    </row>
    <row r="795" customFormat="false" ht="15" hidden="true" customHeight="true" outlineLevel="0" collapsed="false">
      <c r="B795" s="1104" t="str">
        <f aca="false">'Смета Внутр'!B795</f>
        <v>стойки под опалубку перекрытий</v>
      </c>
      <c r="C795" s="1104" t="str">
        <f aca="false">'Смета Внутр'!C795</f>
        <v>шт</v>
      </c>
      <c r="D795" s="1109" t="n">
        <f aca="false">'Смета Внутр'!D795</f>
        <v>64</v>
      </c>
      <c r="E795" s="1104" t="n">
        <f aca="false">'Смета Внутр'!E795</f>
        <v>0</v>
      </c>
      <c r="F795" s="1104" t="n">
        <f aca="false">'Смета Внутр'!F795</f>
        <v>0</v>
      </c>
      <c r="G795" s="1104" t="n">
        <f aca="false">IF(E795&gt;F795,E795,F795)</f>
        <v>0</v>
      </c>
      <c r="H795" s="1104" t="n">
        <f aca="false">'Смета Внутр'!G795</f>
        <v>0</v>
      </c>
      <c r="I795" s="1104" t="n">
        <f aca="false">'Смета Внутр'!H795</f>
        <v>0</v>
      </c>
      <c r="J795" s="1109" t="n">
        <f aca="false">'Смета Внутр'!I795</f>
        <v>0</v>
      </c>
    </row>
    <row r="796" customFormat="false" ht="15" hidden="true" customHeight="true" outlineLevel="0" collapsed="false">
      <c r="B796" s="1104" t="str">
        <f aca="false">'Смета Внутр'!B796</f>
        <v>Пленка гидроизоляционная </v>
      </c>
      <c r="C796" s="1104" t="str">
        <f aca="false">'Смета Внутр'!C796</f>
        <v>м2</v>
      </c>
      <c r="D796" s="1109" t="n">
        <f aca="false">'Смета Внутр'!D796</f>
        <v>83.2</v>
      </c>
      <c r="E796" s="1104" t="n">
        <f aca="false">'Смета Внутр'!E796</f>
        <v>15</v>
      </c>
      <c r="F796" s="1104" t="n">
        <f aca="false">'Смета Внутр'!F796</f>
        <v>0</v>
      </c>
      <c r="G796" s="1104" t="n">
        <f aca="false">IF(E796&gt;F796,E796,F796)</f>
        <v>15</v>
      </c>
      <c r="H796" s="1104" t="n">
        <f aca="false">'Смета Внутр'!G796</f>
        <v>1248</v>
      </c>
      <c r="I796" s="1104" t="n">
        <f aca="false">'Смета Внутр'!H796</f>
        <v>1248</v>
      </c>
      <c r="J796" s="1109" t="n">
        <f aca="false">'Смета Внутр'!I796</f>
        <v>1248</v>
      </c>
    </row>
    <row r="797" customFormat="false" ht="15" hidden="true" customHeight="true" outlineLevel="0" collapsed="false">
      <c r="B797" s="1104" t="str">
        <f aca="false">'Смета Внутр'!B797</f>
        <v>Арматура М10</v>
      </c>
      <c r="C797" s="1104" t="str">
        <f aca="false">'Смета Внутр'!C797</f>
        <v>м.п.</v>
      </c>
      <c r="D797" s="1109" t="n">
        <f aca="false">'Смета Внутр'!D797</f>
        <v>640</v>
      </c>
      <c r="E797" s="1104" t="n">
        <f aca="false">'Смета Внутр'!E797</f>
        <v>21.0397</v>
      </c>
      <c r="F797" s="1104" t="n">
        <f aca="false">'Смета Внутр'!F797</f>
        <v>0</v>
      </c>
      <c r="G797" s="1104" t="n">
        <f aca="false">IF(E797&gt;F797,E797,F797)</f>
        <v>21.0397</v>
      </c>
      <c r="H797" s="1104" t="n">
        <f aca="false">'Смета Внутр'!G797</f>
        <v>13465.408</v>
      </c>
      <c r="I797" s="1104" t="n">
        <f aca="false">'Смета Внутр'!H797</f>
        <v>13465.408</v>
      </c>
      <c r="J797" s="1109" t="n">
        <f aca="false">'Смета Внутр'!I797</f>
        <v>13465.408</v>
      </c>
    </row>
    <row r="798" customFormat="false" ht="15" hidden="true" customHeight="true" outlineLevel="0" collapsed="false">
      <c r="B798" s="1104" t="str">
        <f aca="false">'Смета Внутр'!B798</f>
        <v>Вязальная проволока</v>
      </c>
      <c r="C798" s="1104" t="str">
        <f aca="false">'Смета Внутр'!C798</f>
        <v>кг</v>
      </c>
      <c r="D798" s="1109" t="n">
        <f aca="false">'Смета Внутр'!D798</f>
        <v>16</v>
      </c>
      <c r="E798" s="1104" t="n">
        <f aca="false">'Смета Внутр'!E798</f>
        <v>80</v>
      </c>
      <c r="F798" s="1104" t="n">
        <f aca="false">'Смета Внутр'!F798</f>
        <v>0</v>
      </c>
      <c r="G798" s="1104" t="n">
        <f aca="false">IF(E798&gt;F798,E798,F798)</f>
        <v>80</v>
      </c>
      <c r="H798" s="1104" t="n">
        <f aca="false">'Смета Внутр'!G798</f>
        <v>1280</v>
      </c>
      <c r="I798" s="1104" t="n">
        <f aca="false">'Смета Внутр'!H798</f>
        <v>1280</v>
      </c>
      <c r="J798" s="1109" t="n">
        <f aca="false">'Смета Внутр'!I798</f>
        <v>1280</v>
      </c>
    </row>
    <row r="799" customFormat="false" ht="15" hidden="true" customHeight="true" outlineLevel="0" collapsed="false">
      <c r="B799" s="1104" t="str">
        <f aca="false">'Смета Внутр'!B799</f>
        <v>Подставка под арматурный каркас</v>
      </c>
      <c r="C799" s="1104" t="str">
        <f aca="false">'Смета Внутр'!C799</f>
        <v>шт</v>
      </c>
      <c r="D799" s="1109" t="n">
        <f aca="false">'Смета Внутр'!D799</f>
        <v>256</v>
      </c>
      <c r="E799" s="1104" t="n">
        <f aca="false">'Смета Внутр'!E799</f>
        <v>5</v>
      </c>
      <c r="F799" s="1104" t="n">
        <f aca="false">'Смета Внутр'!F799</f>
        <v>0</v>
      </c>
      <c r="G799" s="1104" t="n">
        <f aca="false">IF(E799&gt;F799,E799,F799)</f>
        <v>5</v>
      </c>
      <c r="H799" s="1104" t="n">
        <f aca="false">'Смета Внутр'!G799</f>
        <v>1280</v>
      </c>
      <c r="I799" s="1104" t="n">
        <f aca="false">'Смета Внутр'!H799</f>
        <v>1280</v>
      </c>
      <c r="J799" s="1109" t="n">
        <f aca="false">'Смета Внутр'!I799</f>
        <v>1280</v>
      </c>
    </row>
    <row r="800" customFormat="false" ht="15" hidden="true" customHeight="true" outlineLevel="0" collapsed="false">
      <c r="B800" s="1104" t="str">
        <f aca="false">'Смета Внутр'!B800</f>
        <v>бетон, м350</v>
      </c>
      <c r="C800" s="1104" t="str">
        <f aca="false">'Смета Внутр'!C800</f>
        <v>м3</v>
      </c>
      <c r="D800" s="1109" t="n">
        <f aca="false">'Смета Внутр'!D800</f>
        <v>12.8</v>
      </c>
      <c r="E800" s="1104" t="n">
        <f aca="false">'Смета Внутр'!E800</f>
        <v>3500</v>
      </c>
      <c r="F800" s="1104" t="n">
        <f aca="false">'Смета Внутр'!F800</f>
        <v>0</v>
      </c>
      <c r="G800" s="1104" t="n">
        <f aca="false">IF(E800&gt;F800,E800,F800)</f>
        <v>3500</v>
      </c>
      <c r="H800" s="1104" t="n">
        <f aca="false">'Смета Внутр'!G800</f>
        <v>44800</v>
      </c>
      <c r="I800" s="1104" t="n">
        <f aca="false">'Смета Внутр'!H800</f>
        <v>44800</v>
      </c>
      <c r="J800" s="1109" t="n">
        <f aca="false">'Смета Внутр'!I800</f>
        <v>44800</v>
      </c>
    </row>
    <row r="801" customFormat="false" ht="15" hidden="true" customHeight="true" outlineLevel="0" collapsed="false">
      <c r="B801" s="1104" t="str">
        <f aca="false">'Смета Внутр'!B801</f>
        <v>Брус естественной влажности, 200*100мм</v>
      </c>
      <c r="C801" s="1104" t="str">
        <f aca="false">'Смета Внутр'!C801</f>
        <v>м3</v>
      </c>
      <c r="D801" s="1109" t="n">
        <f aca="false">'Смета Внутр'!D801</f>
        <v>0</v>
      </c>
      <c r="E801" s="1104" t="n">
        <f aca="false">'Смета Внутр'!E801</f>
        <v>6500</v>
      </c>
      <c r="F801" s="1104" t="n">
        <f aca="false">'Смета Внутр'!F801</f>
        <v>0</v>
      </c>
      <c r="G801" s="1104" t="n">
        <f aca="false">IF(E801&gt;F801,E801,F801)</f>
        <v>6500</v>
      </c>
      <c r="H801" s="1104" t="n">
        <f aca="false">'Смета Внутр'!G801</f>
        <v>0</v>
      </c>
      <c r="I801" s="1104" t="n">
        <f aca="false">'Смета Внутр'!H801</f>
        <v>0</v>
      </c>
      <c r="J801" s="1109" t="n">
        <f aca="false">'Смета Внутр'!I801</f>
        <v>0</v>
      </c>
    </row>
    <row r="802" customFormat="false" ht="15" hidden="true" customHeight="true" outlineLevel="0" collapsed="false">
      <c r="B802" s="1104" t="str">
        <f aca="false">'Смета Внутр'!B802</f>
        <v>Брус естественной влажности, 150*100мм</v>
      </c>
      <c r="C802" s="1104" t="str">
        <f aca="false">'Смета Внутр'!C802</f>
        <v>м3</v>
      </c>
      <c r="D802" s="1109" t="n">
        <f aca="false">'Смета Внутр'!D802</f>
        <v>0</v>
      </c>
      <c r="E802" s="1104" t="n">
        <f aca="false">'Смета Внутр'!E802</f>
        <v>6500</v>
      </c>
      <c r="F802" s="1104" t="n">
        <f aca="false">'Смета Внутр'!F802</f>
        <v>0</v>
      </c>
      <c r="G802" s="1104" t="n">
        <f aca="false">IF(E802&gt;F802,E802,F802)</f>
        <v>6500</v>
      </c>
      <c r="H802" s="1104" t="n">
        <f aca="false">'Смета Внутр'!G802</f>
        <v>0</v>
      </c>
      <c r="I802" s="1104" t="n">
        <f aca="false">'Смета Внутр'!H802</f>
        <v>0</v>
      </c>
      <c r="J802" s="1109" t="n">
        <f aca="false">'Смета Внутр'!I802</f>
        <v>0</v>
      </c>
    </row>
    <row r="803" customFormat="false" ht="15" hidden="true" customHeight="true" outlineLevel="0" collapsed="false">
      <c r="B803" s="1104" t="str">
        <f aca="false">'Смета Внутр'!B803</f>
        <v>Брус естественной влажности, 100*100мм</v>
      </c>
      <c r="C803" s="1104" t="str">
        <f aca="false">'Смета Внутр'!C803</f>
        <v>м3</v>
      </c>
      <c r="D803" s="1109" t="n">
        <f aca="false">'Смета Внутр'!D803</f>
        <v>0</v>
      </c>
      <c r="E803" s="1104" t="n">
        <f aca="false">'Смета Внутр'!E803</f>
        <v>6500</v>
      </c>
      <c r="F803" s="1104" t="n">
        <f aca="false">'Смета Внутр'!F803</f>
        <v>0</v>
      </c>
      <c r="G803" s="1104" t="n">
        <f aca="false">IF(E803&gt;F803,E803,F803)</f>
        <v>6500</v>
      </c>
      <c r="H803" s="1104" t="n">
        <f aca="false">'Смета Внутр'!G803</f>
        <v>0</v>
      </c>
      <c r="I803" s="1104" t="n">
        <f aca="false">'Смета Внутр'!H803</f>
        <v>0</v>
      </c>
      <c r="J803" s="1109" t="n">
        <f aca="false">'Смета Внутр'!I803</f>
        <v>0</v>
      </c>
    </row>
    <row r="804" customFormat="false" ht="15" hidden="true" customHeight="true" outlineLevel="0" collapsed="false">
      <c r="B804" s="1104" t="str">
        <f aca="false">'Смета Внутр'!B804</f>
        <v>Брус естественной влажности, 150*150мм</v>
      </c>
      <c r="C804" s="1104" t="str">
        <f aca="false">'Смета Внутр'!C804</f>
        <v>м3</v>
      </c>
      <c r="D804" s="1109" t="n">
        <f aca="false">'Смета Внутр'!D804</f>
        <v>0</v>
      </c>
      <c r="E804" s="1104" t="n">
        <f aca="false">'Смета Внутр'!E804</f>
        <v>6500</v>
      </c>
      <c r="F804" s="1104" t="n">
        <f aca="false">'Смета Внутр'!F804</f>
        <v>0</v>
      </c>
      <c r="G804" s="1104" t="n">
        <f aca="false">IF(E804&gt;F804,E804,F804)</f>
        <v>6500</v>
      </c>
      <c r="H804" s="1104" t="n">
        <f aca="false">'Смета Внутр'!G804</f>
        <v>0</v>
      </c>
      <c r="I804" s="1104" t="n">
        <f aca="false">'Смета Внутр'!H804</f>
        <v>0</v>
      </c>
      <c r="J804" s="1109" t="n">
        <f aca="false">'Смета Внутр'!I804</f>
        <v>0</v>
      </c>
    </row>
    <row r="805" customFormat="false" ht="15" hidden="true" customHeight="true" outlineLevel="0" collapsed="false">
      <c r="B805" s="1104" t="str">
        <f aca="false">'Смета Внутр'!B805</f>
        <v>Доска естественной влажности, 200*50мм</v>
      </c>
      <c r="C805" s="1104" t="str">
        <f aca="false">'Смета Внутр'!C805</f>
        <v>м3</v>
      </c>
      <c r="D805" s="1109" t="n">
        <f aca="false">'Смета Внутр'!D805</f>
        <v>0</v>
      </c>
      <c r="E805" s="1104" t="n">
        <f aca="false">'Смета Внутр'!E805</f>
        <v>6500</v>
      </c>
      <c r="F805" s="1104" t="n">
        <f aca="false">'Смета Внутр'!F805</f>
        <v>0</v>
      </c>
      <c r="G805" s="1104" t="n">
        <f aca="false">IF(E805&gt;F805,E805,F805)</f>
        <v>6500</v>
      </c>
      <c r="H805" s="1104" t="n">
        <f aca="false">'Смета Внутр'!G805</f>
        <v>0</v>
      </c>
      <c r="I805" s="1104" t="n">
        <f aca="false">'Смета Внутр'!H805</f>
        <v>0</v>
      </c>
      <c r="J805" s="1109" t="n">
        <f aca="false">'Смета Внутр'!I805</f>
        <v>0</v>
      </c>
    </row>
    <row r="806" customFormat="false" ht="15" hidden="true" customHeight="true" outlineLevel="0" collapsed="false">
      <c r="B806" s="1104" t="str">
        <f aca="false">'Смета Внутр'!B806</f>
        <v>Доска естественной влажности, 150*50мм</v>
      </c>
      <c r="C806" s="1104" t="str">
        <f aca="false">'Смета Внутр'!C806</f>
        <v>м3</v>
      </c>
      <c r="D806" s="1109" t="n">
        <f aca="false">'Смета Внутр'!D806</f>
        <v>0</v>
      </c>
      <c r="E806" s="1104" t="n">
        <f aca="false">'Смета Внутр'!E806</f>
        <v>6500</v>
      </c>
      <c r="F806" s="1104" t="n">
        <f aca="false">'Смета Внутр'!F806</f>
        <v>0</v>
      </c>
      <c r="G806" s="1104" t="n">
        <f aca="false">IF(E806&gt;F806,E806,F806)</f>
        <v>6500</v>
      </c>
      <c r="H806" s="1104" t="n">
        <f aca="false">'Смета Внутр'!G806</f>
        <v>0</v>
      </c>
      <c r="I806" s="1104" t="n">
        <f aca="false">'Смета Внутр'!H806</f>
        <v>0</v>
      </c>
      <c r="J806" s="1109" t="n">
        <f aca="false">'Смета Внутр'!I806</f>
        <v>0</v>
      </c>
    </row>
    <row r="807" customFormat="false" ht="15" hidden="true" customHeight="true" outlineLevel="0" collapsed="false">
      <c r="B807" s="1104" t="str">
        <f aca="false">'Смета Внутр'!B807</f>
        <v>Опора бруса          </v>
      </c>
      <c r="C807" s="1104" t="str">
        <f aca="false">'Смета Внутр'!C807</f>
        <v>шт</v>
      </c>
      <c r="D807" s="1109" t="n">
        <f aca="false">'Смета Внутр'!D807</f>
        <v>0</v>
      </c>
      <c r="E807" s="1104" t="n">
        <f aca="false">'Смета Внутр'!E807</f>
        <v>50</v>
      </c>
      <c r="F807" s="1104" t="n">
        <f aca="false">'Смета Внутр'!F807</f>
        <v>0</v>
      </c>
      <c r="G807" s="1104" t="n">
        <f aca="false">IF(E807&gt;F807,E807,F807)</f>
        <v>50</v>
      </c>
      <c r="H807" s="1104" t="n">
        <f aca="false">'Смета Внутр'!G807</f>
        <v>0</v>
      </c>
      <c r="I807" s="1104" t="n">
        <f aca="false">'Смета Внутр'!H807</f>
        <v>0</v>
      </c>
      <c r="J807" s="1109" t="n">
        <f aca="false">'Смета Внутр'!I807</f>
        <v>0</v>
      </c>
    </row>
    <row r="808" customFormat="false" ht="15" hidden="true" customHeight="true" outlineLevel="0" collapsed="false">
      <c r="B808" s="1104" t="str">
        <f aca="false">'Смета Внутр'!B808</f>
        <v>Болты анкерные с гайкой 8,0 x 60           </v>
      </c>
      <c r="C808" s="1104" t="str">
        <f aca="false">'Смета Внутр'!C808</f>
        <v>шт</v>
      </c>
      <c r="D808" s="1109" t="n">
        <f aca="false">'Смета Внутр'!D808</f>
        <v>0</v>
      </c>
      <c r="E808" s="1104" t="n">
        <f aca="false">'Смета Внутр'!E808</f>
        <v>4</v>
      </c>
      <c r="F808" s="1104" t="n">
        <f aca="false">'Смета Внутр'!F808</f>
        <v>0</v>
      </c>
      <c r="G808" s="1104" t="n">
        <f aca="false">IF(E808&gt;F808,E808,F808)</f>
        <v>4</v>
      </c>
      <c r="H808" s="1104" t="n">
        <f aca="false">'Смета Внутр'!G808</f>
        <v>0</v>
      </c>
      <c r="I808" s="1104" t="n">
        <f aca="false">'Смета Внутр'!H808</f>
        <v>0</v>
      </c>
      <c r="J808" s="1109" t="n">
        <f aca="false">'Смета Внутр'!I808</f>
        <v>0</v>
      </c>
    </row>
    <row r="809" customFormat="false" ht="15" hidden="true" customHeight="true" outlineLevel="0" collapsed="false">
      <c r="B809" s="1104" t="str">
        <f aca="false">'Смета Внутр'!B809</f>
        <v>Sip панель 2500*625*124мм</v>
      </c>
      <c r="C809" s="1104" t="str">
        <f aca="false">'Смета Внутр'!C809</f>
        <v>м2</v>
      </c>
      <c r="D809" s="1109" t="n">
        <f aca="false">'Смета Внутр'!D809</f>
        <v>0</v>
      </c>
      <c r="E809" s="1104" t="n">
        <f aca="false">'Смета Внутр'!E809</f>
        <v>800</v>
      </c>
      <c r="F809" s="1104" t="n">
        <f aca="false">'Смета Внутр'!F809</f>
        <v>0</v>
      </c>
      <c r="G809" s="1104" t="n">
        <f aca="false">IF(E809&gt;F809,E809,F809)</f>
        <v>800</v>
      </c>
      <c r="H809" s="1104" t="n">
        <f aca="false">'Смета Внутр'!G809</f>
        <v>0</v>
      </c>
      <c r="I809" s="1104" t="n">
        <f aca="false">'Смета Внутр'!H809</f>
        <v>0</v>
      </c>
      <c r="J809" s="1109" t="n">
        <f aca="false">'Смета Внутр'!I809</f>
        <v>0</v>
      </c>
    </row>
    <row r="810" customFormat="false" ht="15" hidden="true" customHeight="true" outlineLevel="0" collapsed="false">
      <c r="B810" s="1104" t="str">
        <f aca="false">'Смета Внутр'!B810</f>
        <v>Sip панель 2500*625*174мм</v>
      </c>
      <c r="C810" s="1104" t="str">
        <f aca="false">'Смета Внутр'!C810</f>
        <v>м2</v>
      </c>
      <c r="D810" s="1109" t="n">
        <f aca="false">'Смета Внутр'!D810</f>
        <v>0</v>
      </c>
      <c r="E810" s="1104" t="n">
        <f aca="false">'Смета Внутр'!E810</f>
        <v>1200</v>
      </c>
      <c r="F810" s="1104" t="n">
        <f aca="false">'Смета Внутр'!F810</f>
        <v>0</v>
      </c>
      <c r="G810" s="1104" t="n">
        <f aca="false">IF(E810&gt;F810,E810,F810)</f>
        <v>1200</v>
      </c>
      <c r="H810" s="1104" t="n">
        <f aca="false">'Смета Внутр'!G810</f>
        <v>0</v>
      </c>
      <c r="I810" s="1104" t="n">
        <f aca="false">'Смета Внутр'!H810</f>
        <v>0</v>
      </c>
      <c r="J810" s="1109" t="n">
        <f aca="false">'Смета Внутр'!I810</f>
        <v>0</v>
      </c>
    </row>
    <row r="811" customFormat="false" ht="15" hidden="true" customHeight="true" outlineLevel="0" collapsed="false">
      <c r="B811" s="1104" t="str">
        <f aca="false">'Смета Внутр'!B811</f>
        <v>Sip панель 2500*625*224мм</v>
      </c>
      <c r="C811" s="1104" t="str">
        <f aca="false">'Смета Внутр'!C811</f>
        <v>м2</v>
      </c>
      <c r="D811" s="1109" t="n">
        <f aca="false">'Смета Внутр'!D811</f>
        <v>0</v>
      </c>
      <c r="E811" s="1104" t="n">
        <f aca="false">'Смета Внутр'!E811</f>
        <v>1400</v>
      </c>
      <c r="F811" s="1104" t="n">
        <f aca="false">'Смета Внутр'!F811</f>
        <v>0</v>
      </c>
      <c r="G811" s="1104" t="n">
        <f aca="false">IF(E811&gt;F811,E811,F811)</f>
        <v>1400</v>
      </c>
      <c r="H811" s="1104" t="n">
        <f aca="false">'Смета Внутр'!G811</f>
        <v>0</v>
      </c>
      <c r="I811" s="1104" t="n">
        <f aca="false">'Смета Внутр'!H811</f>
        <v>0</v>
      </c>
      <c r="J811" s="1109" t="n">
        <f aca="false">'Смета Внутр'!I811</f>
        <v>0</v>
      </c>
    </row>
    <row r="812" customFormat="false" ht="15" hidden="true" customHeight="true" outlineLevel="0" collapsed="false">
      <c r="B812" s="1104" t="str">
        <f aca="false">'Смета Внутр'!B812</f>
        <v>Доска сухая, 100*50мм</v>
      </c>
      <c r="C812" s="1104" t="str">
        <f aca="false">'Смета Внутр'!C812</f>
        <v>м.п.</v>
      </c>
      <c r="D812" s="1109" t="n">
        <f aca="false">'Смета Внутр'!D812</f>
        <v>0</v>
      </c>
      <c r="E812" s="1104" t="n">
        <f aca="false">'Смета Внутр'!E812</f>
        <v>45</v>
      </c>
      <c r="F812" s="1104" t="n">
        <f aca="false">'Смета Внутр'!F812</f>
        <v>0</v>
      </c>
      <c r="G812" s="1104" t="n">
        <f aca="false">IF(E812&gt;F812,E812,F812)</f>
        <v>45</v>
      </c>
      <c r="H812" s="1104" t="n">
        <f aca="false">'Смета Внутр'!G812</f>
        <v>0</v>
      </c>
      <c r="I812" s="1104" t="n">
        <f aca="false">'Смета Внутр'!H812</f>
        <v>0</v>
      </c>
      <c r="J812" s="1109" t="n">
        <f aca="false">'Смета Внутр'!I812</f>
        <v>0</v>
      </c>
    </row>
    <row r="813" customFormat="false" ht="15" hidden="true" customHeight="true" outlineLevel="0" collapsed="false">
      <c r="B813" s="1104" t="str">
        <f aca="false">'Смета Внутр'!B813</f>
        <v>Доска сухая, 150*50мм</v>
      </c>
      <c r="C813" s="1104" t="str">
        <f aca="false">'Смета Внутр'!C813</f>
        <v>м.п.</v>
      </c>
      <c r="D813" s="1109" t="n">
        <f aca="false">'Смета Внутр'!D813</f>
        <v>0</v>
      </c>
      <c r="E813" s="1104" t="n">
        <f aca="false">'Смета Внутр'!E813</f>
        <v>67.5</v>
      </c>
      <c r="F813" s="1104" t="n">
        <f aca="false">'Смета Внутр'!F813</f>
        <v>0</v>
      </c>
      <c r="G813" s="1104" t="n">
        <f aca="false">IF(E813&gt;F813,E813,F813)</f>
        <v>67.5</v>
      </c>
      <c r="H813" s="1104" t="n">
        <f aca="false">'Смета Внутр'!G813</f>
        <v>0</v>
      </c>
      <c r="I813" s="1104" t="n">
        <f aca="false">'Смета Внутр'!H813</f>
        <v>0</v>
      </c>
      <c r="J813" s="1109" t="n">
        <f aca="false">'Смета Внутр'!I813</f>
        <v>0</v>
      </c>
    </row>
    <row r="814" customFormat="false" ht="15" hidden="true" customHeight="true" outlineLevel="0" collapsed="false">
      <c r="B814" s="1104" t="str">
        <f aca="false">'Смета Внутр'!B814</f>
        <v>Доска сухая, 200*50мм</v>
      </c>
      <c r="C814" s="1104" t="str">
        <f aca="false">'Смета Внутр'!C814</f>
        <v>м.п.</v>
      </c>
      <c r="D814" s="1109" t="n">
        <f aca="false">'Смета Внутр'!D814</f>
        <v>0</v>
      </c>
      <c r="E814" s="1104" t="n">
        <f aca="false">'Смета Внутр'!E814</f>
        <v>90</v>
      </c>
      <c r="F814" s="1104" t="n">
        <f aca="false">'Смета Внутр'!F814</f>
        <v>0</v>
      </c>
      <c r="G814" s="1104" t="n">
        <f aca="false">IF(E814&gt;F814,E814,F814)</f>
        <v>90</v>
      </c>
      <c r="H814" s="1104" t="n">
        <f aca="false">'Смета Внутр'!G814</f>
        <v>0</v>
      </c>
      <c r="I814" s="1104" t="n">
        <f aca="false">'Смета Внутр'!H814</f>
        <v>0</v>
      </c>
      <c r="J814" s="1109" t="n">
        <f aca="false">'Смета Внутр'!I814</f>
        <v>0</v>
      </c>
    </row>
    <row r="815" customFormat="false" ht="15" hidden="true" customHeight="true" outlineLevel="0" collapsed="false">
      <c r="B815" s="1104" t="str">
        <f aca="false">'Смета Внутр'!B815</f>
        <v>Пена монтажная, всесезонняя 800мл</v>
      </c>
      <c r="C815" s="1104" t="str">
        <f aca="false">'Смета Внутр'!C815</f>
        <v>шт</v>
      </c>
      <c r="D815" s="1109" t="n">
        <f aca="false">'Смета Внутр'!D815</f>
        <v>0</v>
      </c>
      <c r="E815" s="1104" t="n">
        <f aca="false">'Смета Внутр'!E815</f>
        <v>300</v>
      </c>
      <c r="F815" s="1104" t="n">
        <f aca="false">'Смета Внутр'!F815</f>
        <v>0</v>
      </c>
      <c r="G815" s="1104" t="n">
        <f aca="false">IF(E815&gt;F815,E815,F815)</f>
        <v>300</v>
      </c>
      <c r="H815" s="1104" t="n">
        <f aca="false">'Смета Внутр'!G815</f>
        <v>0</v>
      </c>
      <c r="I815" s="1104" t="n">
        <f aca="false">'Смета Внутр'!H815</f>
        <v>0</v>
      </c>
      <c r="J815" s="1109" t="n">
        <f aca="false">'Смета Внутр'!I815</f>
        <v>0</v>
      </c>
    </row>
    <row r="816" customFormat="false" ht="15" hidden="true" customHeight="true" outlineLevel="0" collapsed="false">
      <c r="B816" s="1104" t="str">
        <f aca="false">'Смета Внутр'!B816</f>
        <v>Гвозди строительные 3,5 x 90            </v>
      </c>
      <c r="C816" s="1104" t="str">
        <f aca="false">'Смета Внутр'!C816</f>
        <v>шт</v>
      </c>
      <c r="D816" s="1109" t="n">
        <f aca="false">'Смета Внутр'!D816</f>
        <v>0</v>
      </c>
      <c r="E816" s="1104" t="n">
        <f aca="false">'Смета Внутр'!E816</f>
        <v>45</v>
      </c>
      <c r="F816" s="1104" t="n">
        <f aca="false">'Смета Внутр'!F816</f>
        <v>0</v>
      </c>
      <c r="G816" s="1104" t="n">
        <f aca="false">IF(E816&gt;F816,E816,F816)</f>
        <v>45</v>
      </c>
      <c r="H816" s="1104" t="n">
        <f aca="false">'Смета Внутр'!G816</f>
        <v>0</v>
      </c>
      <c r="I816" s="1104" t="n">
        <f aca="false">'Смета Внутр'!H816</f>
        <v>0</v>
      </c>
      <c r="J816" s="1109" t="n">
        <f aca="false">'Смета Внутр'!I816</f>
        <v>0</v>
      </c>
    </row>
    <row r="817" customFormat="false" ht="15" hidden="true" customHeight="true" outlineLevel="0" collapsed="false">
      <c r="B817" s="1104" t="str">
        <f aca="false">'Смета Внутр'!B817</f>
        <v>Саморезы 3,5 x 45            </v>
      </c>
      <c r="C817" s="1104" t="str">
        <f aca="false">'Смета Внутр'!C817</f>
        <v>шт</v>
      </c>
      <c r="D817" s="1109" t="n">
        <f aca="false">'Смета Внутр'!D817</f>
        <v>0</v>
      </c>
      <c r="E817" s="1104" t="n">
        <f aca="false">'Смета Внутр'!E817</f>
        <v>0.25</v>
      </c>
      <c r="F817" s="1104" t="n">
        <f aca="false">'Смета Внутр'!F817</f>
        <v>0</v>
      </c>
      <c r="G817" s="1104" t="n">
        <f aca="false">IF(E817&gt;F817,E817,F817)</f>
        <v>0.25</v>
      </c>
      <c r="H817" s="1104" t="n">
        <f aca="false">'Смета Внутр'!G817</f>
        <v>0</v>
      </c>
      <c r="I817" s="1104" t="n">
        <f aca="false">'Смета Внутр'!H817</f>
        <v>0</v>
      </c>
      <c r="J817" s="1109" t="n">
        <f aca="false">'Смета Внутр'!I817</f>
        <v>0</v>
      </c>
    </row>
    <row r="818" customFormat="false" ht="15" hidden="true" customHeight="true" outlineLevel="0" collapsed="false">
      <c r="B818" s="1104" t="str">
        <f aca="false">'Смета Внутр'!B818</f>
        <v>Доска сухая, 200*50мм</v>
      </c>
      <c r="C818" s="1104" t="str">
        <f aca="false">'Смета Внутр'!C818</f>
        <v>м3</v>
      </c>
      <c r="D818" s="1109" t="n">
        <f aca="false">'Смета Внутр'!D818</f>
        <v>0</v>
      </c>
      <c r="E818" s="1104" t="n">
        <f aca="false">'Смета Внутр'!E818</f>
        <v>9000</v>
      </c>
      <c r="F818" s="1104" t="n">
        <f aca="false">'Смета Внутр'!F818</f>
        <v>0</v>
      </c>
      <c r="G818" s="1104" t="n">
        <f aca="false">IF(E818&gt;F818,E818,F818)</f>
        <v>9000</v>
      </c>
      <c r="H818" s="1104" t="n">
        <f aca="false">'Смета Внутр'!G818</f>
        <v>0</v>
      </c>
      <c r="I818" s="1104" t="n">
        <f aca="false">'Смета Внутр'!H818</f>
        <v>0</v>
      </c>
      <c r="J818" s="1109" t="n">
        <f aca="false">'Смета Внутр'!I818</f>
        <v>0</v>
      </c>
    </row>
    <row r="819" customFormat="false" ht="15" hidden="true" customHeight="true" outlineLevel="0" collapsed="false">
      <c r="B819" s="1104" t="str">
        <f aca="false">'Смета Внутр'!B819</f>
        <v>Доска сухая, 150*50мм</v>
      </c>
      <c r="C819" s="1104" t="str">
        <f aca="false">'Смета Внутр'!C819</f>
        <v>м3</v>
      </c>
      <c r="D819" s="1109" t="n">
        <f aca="false">'Смета Внутр'!D819</f>
        <v>0</v>
      </c>
      <c r="E819" s="1104" t="n">
        <f aca="false">'Смета Внутр'!E819</f>
        <v>9000</v>
      </c>
      <c r="F819" s="1104" t="n">
        <f aca="false">'Смета Внутр'!F819</f>
        <v>0</v>
      </c>
      <c r="G819" s="1104" t="n">
        <f aca="false">IF(E819&gt;F819,E819,F819)</f>
        <v>9000</v>
      </c>
      <c r="H819" s="1104" t="n">
        <f aca="false">'Смета Внутр'!G819</f>
        <v>0</v>
      </c>
      <c r="I819" s="1104" t="n">
        <f aca="false">'Смета Внутр'!H819</f>
        <v>0</v>
      </c>
      <c r="J819" s="1109" t="n">
        <f aca="false">'Смета Внутр'!I819</f>
        <v>0</v>
      </c>
    </row>
    <row r="820" customFormat="false" ht="15" hidden="true" customHeight="true" outlineLevel="0" collapsed="false">
      <c r="B820" s="1104" t="str">
        <f aca="false">'Смета Внутр'!B820</f>
        <v>Гвозди ершоные 2,8 х 90            </v>
      </c>
      <c r="C820" s="1104" t="str">
        <f aca="false">'Смета Внутр'!C820</f>
        <v>кг</v>
      </c>
      <c r="D820" s="1109" t="n">
        <f aca="false">'Смета Внутр'!D820</f>
        <v>0</v>
      </c>
      <c r="E820" s="1104" t="n">
        <f aca="false">'Смета Внутр'!E820</f>
        <v>76.49</v>
      </c>
      <c r="F820" s="1104" t="n">
        <f aca="false">'Смета Внутр'!F820</f>
        <v>0</v>
      </c>
      <c r="G820" s="1104" t="n">
        <f aca="false">IF(E820&gt;F820,E820,F820)</f>
        <v>76.49</v>
      </c>
      <c r="H820" s="1104" t="n">
        <f aca="false">'Смета Внутр'!G820</f>
        <v>0</v>
      </c>
      <c r="I820" s="1104" t="n">
        <f aca="false">'Смета Внутр'!H820</f>
        <v>0</v>
      </c>
      <c r="J820" s="1109" t="n">
        <f aca="false">'Смета Внутр'!I820</f>
        <v>0</v>
      </c>
    </row>
    <row r="821" customFormat="false" ht="15" hidden="true" customHeight="true" outlineLevel="0" collapsed="false">
      <c r="B821" s="1104" t="str">
        <f aca="false">'Смета Внутр'!B821</f>
        <v>Доска сухая калиброванная, 190*45мм</v>
      </c>
      <c r="C821" s="1104" t="str">
        <f aca="false">'Смета Внутр'!C821</f>
        <v>м3</v>
      </c>
      <c r="D821" s="1109" t="n">
        <f aca="false">'Смета Внутр'!D821</f>
        <v>0</v>
      </c>
      <c r="E821" s="1104" t="n">
        <f aca="false">'Смета Внутр'!E821</f>
        <v>12500</v>
      </c>
      <c r="F821" s="1104" t="n">
        <f aca="false">'Смета Внутр'!F821</f>
        <v>0</v>
      </c>
      <c r="G821" s="1104" t="n">
        <f aca="false">IF(E821&gt;F821,E821,F821)</f>
        <v>12500</v>
      </c>
      <c r="H821" s="1104" t="n">
        <f aca="false">'Смета Внутр'!G821</f>
        <v>0</v>
      </c>
      <c r="I821" s="1104" t="n">
        <f aca="false">'Смета Внутр'!H821</f>
        <v>0</v>
      </c>
      <c r="J821" s="1109" t="n">
        <f aca="false">'Смета Внутр'!I821</f>
        <v>0</v>
      </c>
    </row>
    <row r="822" customFormat="false" ht="15" hidden="true" customHeight="true" outlineLevel="0" collapsed="false">
      <c r="B822" s="1104" t="str">
        <f aca="false">'Смета Внутр'!B822</f>
        <v>Доска сухая калиброванная, 145*45мм</v>
      </c>
      <c r="C822" s="1104" t="str">
        <f aca="false">'Смета Внутр'!C822</f>
        <v>м3</v>
      </c>
      <c r="D822" s="1109" t="n">
        <f aca="false">'Смета Внутр'!D822</f>
        <v>0</v>
      </c>
      <c r="E822" s="1104" t="n">
        <f aca="false">'Смета Внутр'!E822</f>
        <v>12500</v>
      </c>
      <c r="F822" s="1104" t="n">
        <f aca="false">'Смета Внутр'!F822</f>
        <v>0</v>
      </c>
      <c r="G822" s="1104" t="n">
        <f aca="false">IF(E822&gt;F822,E822,F822)</f>
        <v>12500</v>
      </c>
      <c r="H822" s="1104" t="n">
        <f aca="false">'Смета Внутр'!G822</f>
        <v>0</v>
      </c>
      <c r="I822" s="1104" t="n">
        <f aca="false">'Смета Внутр'!H822</f>
        <v>0</v>
      </c>
      <c r="J822" s="1109" t="n">
        <f aca="false">'Смета Внутр'!I822</f>
        <v>0</v>
      </c>
    </row>
    <row r="823" customFormat="false" ht="15" hidden="true" customHeight="true" outlineLevel="0" collapsed="false">
      <c r="B823" s="1104" t="str">
        <f aca="false">'Смета Внутр'!B823</f>
        <v>Гвозди ершоные 2,8 х 90            </v>
      </c>
      <c r="C823" s="1104" t="str">
        <f aca="false">'Смета Внутр'!C823</f>
        <v>кг</v>
      </c>
      <c r="D823" s="1109" t="n">
        <f aca="false">'Смета Внутр'!D823</f>
        <v>0</v>
      </c>
      <c r="E823" s="1104" t="n">
        <f aca="false">'Смета Внутр'!E823</f>
        <v>76.49</v>
      </c>
      <c r="F823" s="1104" t="n">
        <f aca="false">'Смета Внутр'!F823</f>
        <v>0</v>
      </c>
      <c r="G823" s="1104" t="n">
        <f aca="false">IF(E823&gt;F823,E823,F823)</f>
        <v>76.49</v>
      </c>
      <c r="H823" s="1104" t="n">
        <f aca="false">'Смета Внутр'!G823</f>
        <v>0</v>
      </c>
      <c r="I823" s="1104" t="n">
        <f aca="false">'Смета Внутр'!H823</f>
        <v>0</v>
      </c>
      <c r="J823" s="1109" t="n">
        <f aca="false">'Смета Внутр'!I823</f>
        <v>0</v>
      </c>
    </row>
    <row r="824" customFormat="false" ht="15" hidden="true" customHeight="true" outlineLevel="0" collapsed="false">
      <c r="B824" s="1104" t="str">
        <f aca="false">'Смета Внутр'!B824</f>
        <v>Двутавровая деревянная балка, 400*65мм</v>
      </c>
      <c r="C824" s="1104" t="str">
        <f aca="false">'Смета Внутр'!C824</f>
        <v>м.п.</v>
      </c>
      <c r="D824" s="1109" t="n">
        <f aca="false">'Смета Внутр'!D824</f>
        <v>0</v>
      </c>
      <c r="E824" s="1104" t="n">
        <f aca="false">'Смета Внутр'!E824</f>
        <v>303</v>
      </c>
      <c r="F824" s="1104" t="n">
        <f aca="false">'Смета Внутр'!F824</f>
        <v>0</v>
      </c>
      <c r="G824" s="1104" t="n">
        <f aca="false">IF(E824&gt;F824,E824,F824)</f>
        <v>303</v>
      </c>
      <c r="H824" s="1104" t="n">
        <f aca="false">'Смета Внутр'!G824</f>
        <v>0</v>
      </c>
      <c r="I824" s="1104" t="n">
        <f aca="false">'Смета Внутр'!H824</f>
        <v>0</v>
      </c>
      <c r="J824" s="1109" t="n">
        <f aca="false">'Смета Внутр'!I824</f>
        <v>0</v>
      </c>
    </row>
    <row r="825" customFormat="false" ht="15" hidden="true" customHeight="true" outlineLevel="0" collapsed="false">
      <c r="B825" s="1104" t="str">
        <f aca="false">'Смета Внутр'!B825</f>
        <v>Двутавровая деревянная балка, 400*90мм</v>
      </c>
      <c r="C825" s="1104" t="str">
        <f aca="false">'Смета Внутр'!C825</f>
        <v>м.п.</v>
      </c>
      <c r="D825" s="1109" t="n">
        <f aca="false">'Смета Внутр'!D825</f>
        <v>0</v>
      </c>
      <c r="E825" s="1104" t="n">
        <f aca="false">'Смета Внутр'!E825</f>
        <v>355</v>
      </c>
      <c r="F825" s="1104" t="n">
        <f aca="false">'Смета Внутр'!F825</f>
        <v>0</v>
      </c>
      <c r="G825" s="1104" t="n">
        <f aca="false">IF(E825&gt;F825,E825,F825)</f>
        <v>355</v>
      </c>
      <c r="H825" s="1104" t="n">
        <f aca="false">'Смета Внутр'!G825</f>
        <v>0</v>
      </c>
      <c r="I825" s="1104" t="n">
        <f aca="false">'Смета Внутр'!H825</f>
        <v>0</v>
      </c>
      <c r="J825" s="1109" t="n">
        <f aca="false">'Смета Внутр'!I825</f>
        <v>0</v>
      </c>
    </row>
    <row r="826" customFormat="false" ht="15" hidden="true" customHeight="true" outlineLevel="0" collapsed="false">
      <c r="B826" s="1104" t="str">
        <f aca="false">'Смета Внутр'!B826</f>
        <v>Двутавровая деревянная балка, 350*65мм</v>
      </c>
      <c r="C826" s="1104" t="str">
        <f aca="false">'Смета Внутр'!C826</f>
        <v>м.п.</v>
      </c>
      <c r="D826" s="1109" t="n">
        <f aca="false">'Смета Внутр'!D826</f>
        <v>0</v>
      </c>
      <c r="E826" s="1104" t="n">
        <f aca="false">'Смета Внутр'!E826</f>
        <v>287</v>
      </c>
      <c r="F826" s="1104" t="n">
        <f aca="false">'Смета Внутр'!F826</f>
        <v>0</v>
      </c>
      <c r="G826" s="1104" t="n">
        <f aca="false">IF(E826&gt;F826,E826,F826)</f>
        <v>287</v>
      </c>
      <c r="H826" s="1104" t="n">
        <f aca="false">'Смета Внутр'!G826</f>
        <v>0</v>
      </c>
      <c r="I826" s="1104" t="n">
        <f aca="false">'Смета Внутр'!H826</f>
        <v>0</v>
      </c>
      <c r="J826" s="1109" t="n">
        <f aca="false">'Смета Внутр'!I826</f>
        <v>0</v>
      </c>
    </row>
    <row r="827" customFormat="false" ht="15" hidden="true" customHeight="true" outlineLevel="0" collapsed="false">
      <c r="B827" s="1104" t="str">
        <f aca="false">'Смета Внутр'!B827</f>
        <v>Двутавровая деревянная балка, 350*90мм</v>
      </c>
      <c r="C827" s="1104" t="str">
        <f aca="false">'Смета Внутр'!C827</f>
        <v>м.п.</v>
      </c>
      <c r="D827" s="1109" t="n">
        <f aca="false">'Смета Внутр'!D827</f>
        <v>0</v>
      </c>
      <c r="E827" s="1104" t="n">
        <f aca="false">'Смета Внутр'!E827</f>
        <v>315</v>
      </c>
      <c r="F827" s="1104" t="n">
        <f aca="false">'Смета Внутр'!F827</f>
        <v>0</v>
      </c>
      <c r="G827" s="1104" t="n">
        <f aca="false">IF(E827&gt;F827,E827,F827)</f>
        <v>315</v>
      </c>
      <c r="H827" s="1104" t="n">
        <f aca="false">'Смета Внутр'!G827</f>
        <v>0</v>
      </c>
      <c r="I827" s="1104" t="n">
        <f aca="false">'Смета Внутр'!H827</f>
        <v>0</v>
      </c>
      <c r="J827" s="1109" t="n">
        <f aca="false">'Смета Внутр'!I827</f>
        <v>0</v>
      </c>
    </row>
    <row r="828" customFormat="false" ht="15" hidden="true" customHeight="true" outlineLevel="0" collapsed="false">
      <c r="B828" s="1104" t="str">
        <f aca="false">'Смета Внутр'!B828</f>
        <v>Двутавровая деревянная балка, 300*65мм</v>
      </c>
      <c r="C828" s="1104" t="str">
        <f aca="false">'Смета Внутр'!C828</f>
        <v>м.п.</v>
      </c>
      <c r="D828" s="1109" t="n">
        <f aca="false">'Смета Внутр'!D828</f>
        <v>0</v>
      </c>
      <c r="E828" s="1104" t="n">
        <f aca="false">'Смета Внутр'!E828</f>
        <v>273</v>
      </c>
      <c r="F828" s="1104" t="n">
        <f aca="false">'Смета Внутр'!F828</f>
        <v>0</v>
      </c>
      <c r="G828" s="1104" t="n">
        <f aca="false">IF(E828&gt;F828,E828,F828)</f>
        <v>273</v>
      </c>
      <c r="H828" s="1104" t="n">
        <f aca="false">'Смета Внутр'!G828</f>
        <v>0</v>
      </c>
      <c r="I828" s="1104" t="n">
        <f aca="false">'Смета Внутр'!H828</f>
        <v>0</v>
      </c>
      <c r="J828" s="1109" t="n">
        <f aca="false">'Смета Внутр'!I828</f>
        <v>0</v>
      </c>
    </row>
    <row r="829" customFormat="false" ht="15" hidden="true" customHeight="true" outlineLevel="0" collapsed="false">
      <c r="B829" s="1104" t="str">
        <f aca="false">'Смета Внутр'!B829</f>
        <v>Двутавровая деревянная балка, 300*90мм</v>
      </c>
      <c r="C829" s="1104" t="str">
        <f aca="false">'Смета Внутр'!C829</f>
        <v>м.п.</v>
      </c>
      <c r="D829" s="1109" t="n">
        <f aca="false">'Смета Внутр'!D829</f>
        <v>0</v>
      </c>
      <c r="E829" s="1104" t="n">
        <f aca="false">'Смета Внутр'!E829</f>
        <v>315</v>
      </c>
      <c r="F829" s="1104" t="n">
        <f aca="false">'Смета Внутр'!F829</f>
        <v>0</v>
      </c>
      <c r="G829" s="1104" t="n">
        <f aca="false">IF(E829&gt;F829,E829,F829)</f>
        <v>315</v>
      </c>
      <c r="H829" s="1104" t="n">
        <f aca="false">'Смета Внутр'!G829</f>
        <v>0</v>
      </c>
      <c r="I829" s="1104" t="n">
        <f aca="false">'Смета Внутр'!H829</f>
        <v>0</v>
      </c>
      <c r="J829" s="1109" t="n">
        <f aca="false">'Смета Внутр'!I829</f>
        <v>0</v>
      </c>
    </row>
    <row r="830" customFormat="false" ht="15" hidden="true" customHeight="true" outlineLevel="0" collapsed="false">
      <c r="B830" s="1104" t="str">
        <f aca="false">'Смета Внутр'!B830</f>
        <v>Двутавровая деревянная балка, 240*65мм</v>
      </c>
      <c r="C830" s="1104" t="str">
        <f aca="false">'Смета Внутр'!C830</f>
        <v>м.п.</v>
      </c>
      <c r="D830" s="1109" t="n">
        <f aca="false">'Смета Внутр'!D830</f>
        <v>0</v>
      </c>
      <c r="E830" s="1104" t="n">
        <f aca="false">'Смета Внутр'!E830</f>
        <v>263</v>
      </c>
      <c r="F830" s="1104" t="n">
        <f aca="false">'Смета Внутр'!F830</f>
        <v>0</v>
      </c>
      <c r="G830" s="1104" t="n">
        <f aca="false">IF(E830&gt;F830,E830,F830)</f>
        <v>263</v>
      </c>
      <c r="H830" s="1104" t="n">
        <f aca="false">'Смета Внутр'!G830</f>
        <v>0</v>
      </c>
      <c r="I830" s="1104" t="n">
        <f aca="false">'Смета Внутр'!H830</f>
        <v>0</v>
      </c>
      <c r="J830" s="1109" t="n">
        <f aca="false">'Смета Внутр'!I830</f>
        <v>0</v>
      </c>
    </row>
    <row r="831" customFormat="false" ht="15" hidden="true" customHeight="true" outlineLevel="0" collapsed="false">
      <c r="B831" s="1104" t="str">
        <f aca="false">'Смета Внутр'!B831</f>
        <v>Двутавровая деревянная балка, 240*90мм</v>
      </c>
      <c r="C831" s="1104" t="str">
        <f aca="false">'Смета Внутр'!C831</f>
        <v>м.п.</v>
      </c>
      <c r="D831" s="1109" t="n">
        <f aca="false">'Смета Внутр'!D831</f>
        <v>0</v>
      </c>
      <c r="E831" s="1104" t="n">
        <f aca="false">'Смета Внутр'!E831</f>
        <v>291</v>
      </c>
      <c r="F831" s="1104" t="n">
        <f aca="false">'Смета Внутр'!F831</f>
        <v>0</v>
      </c>
      <c r="G831" s="1104" t="n">
        <f aca="false">IF(E831&gt;F831,E831,F831)</f>
        <v>291</v>
      </c>
      <c r="H831" s="1104" t="n">
        <f aca="false">'Смета Внутр'!G831</f>
        <v>0</v>
      </c>
      <c r="I831" s="1104" t="n">
        <f aca="false">'Смета Внутр'!H831</f>
        <v>0</v>
      </c>
      <c r="J831" s="1109" t="n">
        <f aca="false">'Смета Внутр'!I831</f>
        <v>0</v>
      </c>
    </row>
    <row r="832" customFormat="false" ht="15" hidden="true" customHeight="true" outlineLevel="0" collapsed="false">
      <c r="B832" s="1104" t="str">
        <f aca="false">'Смета Внутр'!B832</f>
        <v>Двутавровая деревянная балка, 200*65мм</v>
      </c>
      <c r="C832" s="1104" t="str">
        <f aca="false">'Смета Внутр'!C832</f>
        <v>м.п.</v>
      </c>
      <c r="D832" s="1109" t="n">
        <f aca="false">'Смета Внутр'!D832</f>
        <v>0</v>
      </c>
      <c r="E832" s="1104" t="n">
        <f aca="false">'Смета Внутр'!E832</f>
        <v>250</v>
      </c>
      <c r="F832" s="1104" t="n">
        <f aca="false">'Смета Внутр'!F832</f>
        <v>0</v>
      </c>
      <c r="G832" s="1104" t="n">
        <f aca="false">IF(E832&gt;F832,E832,F832)</f>
        <v>250</v>
      </c>
      <c r="H832" s="1104" t="n">
        <f aca="false">'Смета Внутр'!G832</f>
        <v>0</v>
      </c>
      <c r="I832" s="1104" t="n">
        <f aca="false">'Смета Внутр'!H832</f>
        <v>0</v>
      </c>
      <c r="J832" s="1109" t="n">
        <f aca="false">'Смета Внутр'!I832</f>
        <v>0</v>
      </c>
    </row>
    <row r="833" customFormat="false" ht="15" hidden="true" customHeight="true" outlineLevel="0" collapsed="false">
      <c r="B833" s="1104" t="str">
        <f aca="false">'Смета Внутр'!B833</f>
        <v>Двутавровая деревянная балка, 200*90мм</v>
      </c>
      <c r="C833" s="1104" t="str">
        <f aca="false">'Смета Внутр'!C833</f>
        <v>м.п.</v>
      </c>
      <c r="D833" s="1109" t="n">
        <f aca="false">'Смета Внутр'!D833</f>
        <v>0</v>
      </c>
      <c r="E833" s="1104" t="n">
        <f aca="false">'Смета Внутр'!E833</f>
        <v>280</v>
      </c>
      <c r="F833" s="1104" t="n">
        <f aca="false">'Смета Внутр'!F833</f>
        <v>0</v>
      </c>
      <c r="G833" s="1104" t="n">
        <f aca="false">IF(E833&gt;F833,E833,F833)</f>
        <v>280</v>
      </c>
      <c r="H833" s="1104" t="n">
        <f aca="false">'Смета Внутр'!G833</f>
        <v>0</v>
      </c>
      <c r="I833" s="1104" t="n">
        <f aca="false">'Смета Внутр'!H833</f>
        <v>0</v>
      </c>
      <c r="J833" s="1109" t="n">
        <f aca="false">'Смета Внутр'!I833</f>
        <v>0</v>
      </c>
    </row>
    <row r="834" customFormat="false" ht="15" hidden="true" customHeight="true" outlineLevel="0" collapsed="false">
      <c r="B834" s="1104" t="str">
        <f aca="false">'Смета Внутр'!B834</f>
        <v>Двутавровая деревянная балка, 150*65мм</v>
      </c>
      <c r="C834" s="1104" t="str">
        <f aca="false">'Смета Внутр'!C834</f>
        <v>м.п.</v>
      </c>
      <c r="D834" s="1109" t="n">
        <f aca="false">'Смета Внутр'!D834</f>
        <v>0</v>
      </c>
      <c r="E834" s="1104" t="n">
        <f aca="false">'Смета Внутр'!E834</f>
        <v>220</v>
      </c>
      <c r="F834" s="1104" t="n">
        <f aca="false">'Смета Внутр'!F834</f>
        <v>0</v>
      </c>
      <c r="G834" s="1104" t="n">
        <f aca="false">IF(E834&gt;F834,E834,F834)</f>
        <v>220</v>
      </c>
      <c r="H834" s="1104" t="n">
        <f aca="false">'Смета Внутр'!G834</f>
        <v>0</v>
      </c>
      <c r="I834" s="1104" t="n">
        <f aca="false">'Смета Внутр'!H834</f>
        <v>0</v>
      </c>
      <c r="J834" s="1109" t="n">
        <f aca="false">'Смета Внутр'!I834</f>
        <v>0</v>
      </c>
    </row>
    <row r="835" customFormat="false" ht="15" hidden="true" customHeight="true" outlineLevel="0" collapsed="false">
      <c r="B835" s="1104" t="str">
        <f aca="false">'Смета Внутр'!B835</f>
        <v>Двутавровая деревянная балка, 150*90мм</v>
      </c>
      <c r="C835" s="1104" t="str">
        <f aca="false">'Смета Внутр'!C835</f>
        <v>м.п.</v>
      </c>
      <c r="D835" s="1109" t="n">
        <f aca="false">'Смета Внутр'!D835</f>
        <v>0</v>
      </c>
      <c r="E835" s="1104" t="n">
        <f aca="false">'Смета Внутр'!E835</f>
        <v>250</v>
      </c>
      <c r="F835" s="1104" t="n">
        <f aca="false">'Смета Внутр'!F835</f>
        <v>0</v>
      </c>
      <c r="G835" s="1104" t="n">
        <f aca="false">IF(E835&gt;F835,E835,F835)</f>
        <v>250</v>
      </c>
      <c r="H835" s="1104" t="n">
        <f aca="false">'Смета Внутр'!G835</f>
        <v>0</v>
      </c>
      <c r="I835" s="1104" t="n">
        <f aca="false">'Смета Внутр'!H835</f>
        <v>0</v>
      </c>
      <c r="J835" s="1109" t="n">
        <f aca="false">'Смета Внутр'!I835</f>
        <v>0</v>
      </c>
    </row>
    <row r="836" customFormat="false" ht="15" hidden="true" customHeight="true" outlineLevel="0" collapsed="false">
      <c r="B836" s="1104" t="str">
        <f aca="false">'Смета Внутр'!B836</f>
        <v>Уголок усиленный 90х70х55х2,5        </v>
      </c>
      <c r="C836" s="1104" t="str">
        <f aca="false">'Смета Внутр'!C836</f>
        <v>шт</v>
      </c>
      <c r="D836" s="1109" t="n">
        <f aca="false">'Смета Внутр'!D836</f>
        <v>0</v>
      </c>
      <c r="E836" s="1104" t="n">
        <f aca="false">'Смета Внутр'!E836</f>
        <v>30</v>
      </c>
      <c r="F836" s="1104" t="n">
        <f aca="false">'Смета Внутр'!F836</f>
        <v>0</v>
      </c>
      <c r="G836" s="1104" t="n">
        <f aca="false">IF(E836&gt;F836,E836,F836)</f>
        <v>30</v>
      </c>
      <c r="H836" s="1104" t="n">
        <f aca="false">'Смета Внутр'!G836</f>
        <v>0</v>
      </c>
      <c r="I836" s="1104" t="n">
        <f aca="false">'Смета Внутр'!H836</f>
        <v>0</v>
      </c>
      <c r="J836" s="1109" t="n">
        <f aca="false">'Смета Внутр'!I836</f>
        <v>0</v>
      </c>
    </row>
    <row r="837" customFormat="false" ht="15" hidden="true" customHeight="true" outlineLevel="0" collapsed="false">
      <c r="B837" s="1104" t="str">
        <f aca="false">'Смета Внутр'!B837</f>
        <v>Саморезы 3,5 x 55            </v>
      </c>
      <c r="C837" s="1104" t="str">
        <f aca="false">'Смета Внутр'!C837</f>
        <v>шт</v>
      </c>
      <c r="D837" s="1109" t="n">
        <f aca="false">'Смета Внутр'!D837</f>
        <v>0</v>
      </c>
      <c r="E837" s="1104" t="n">
        <f aca="false">'Смета Внутр'!E837</f>
        <v>0.3</v>
      </c>
      <c r="F837" s="1104" t="n">
        <f aca="false">'Смета Внутр'!F837</f>
        <v>0</v>
      </c>
      <c r="G837" s="1104" t="n">
        <f aca="false">IF(E837&gt;F837,E837,F837)</f>
        <v>0.3</v>
      </c>
      <c r="H837" s="1104" t="n">
        <f aca="false">'Смета Внутр'!G837</f>
        <v>0</v>
      </c>
      <c r="I837" s="1104" t="n">
        <f aca="false">'Смета Внутр'!H837</f>
        <v>0</v>
      </c>
      <c r="J837" s="1109" t="n">
        <f aca="false">'Смета Внутр'!I837</f>
        <v>0</v>
      </c>
    </row>
    <row r="838" customFormat="false" ht="15" hidden="true" customHeight="true" outlineLevel="0" collapsed="false">
      <c r="B838" s="1104" t="str">
        <f aca="false">'Смета Внутр'!B838</f>
        <v>Пенопласт ПСБ-С-35, 100мм</v>
      </c>
      <c r="C838" s="1104" t="str">
        <f aca="false">'Смета Внутр'!C838</f>
        <v>м3</v>
      </c>
      <c r="D838" s="1109" t="n">
        <f aca="false">'Смета Внутр'!D838</f>
        <v>6.4</v>
      </c>
      <c r="E838" s="1104" t="n">
        <f aca="false">'Смета Внутр'!E838</f>
        <v>3400</v>
      </c>
      <c r="F838" s="1104" t="n">
        <f aca="false">'Смета Внутр'!F838</f>
        <v>0</v>
      </c>
      <c r="G838" s="1104" t="n">
        <f aca="false">IF(E838&gt;F838,E838,F838)</f>
        <v>3400</v>
      </c>
      <c r="H838" s="1104" t="n">
        <f aca="false">'Смета Внутр'!G838</f>
        <v>21760</v>
      </c>
      <c r="I838" s="1104" t="n">
        <f aca="false">'Смета Внутр'!H838</f>
        <v>21760</v>
      </c>
      <c r="J838" s="1109" t="n">
        <f aca="false">'Смета Внутр'!I838</f>
        <v>21760</v>
      </c>
    </row>
    <row r="839" customFormat="false" ht="15" hidden="true" customHeight="true" outlineLevel="0" collapsed="false">
      <c r="B839" s="1104" t="str">
        <f aca="false">'Смета Внутр'!B839</f>
        <v>нет ветроизоляции</v>
      </c>
      <c r="C839" s="1104" t="str">
        <f aca="false">'Смета Внутр'!C839</f>
        <v>м2</v>
      </c>
      <c r="D839" s="1109" t="n">
        <f aca="false">'Смета Внутр'!D839</f>
        <v>64</v>
      </c>
      <c r="E839" s="1104" t="n">
        <f aca="false">'Смета Внутр'!E839</f>
        <v>0</v>
      </c>
      <c r="F839" s="1104" t="n">
        <f aca="false">'Смета Внутр'!F839</f>
        <v>0</v>
      </c>
      <c r="G839" s="1104" t="n">
        <f aca="false">IF(E839&gt;F839,E839,F839)</f>
        <v>0</v>
      </c>
      <c r="H839" s="1104" t="n">
        <f aca="false">'Смета Внутр'!G839</f>
        <v>0</v>
      </c>
      <c r="I839" s="1104" t="n">
        <f aca="false">'Смета Внутр'!H839</f>
        <v>0</v>
      </c>
      <c r="J839" s="1109" t="n">
        <f aca="false">'Смета Внутр'!I839</f>
        <v>0</v>
      </c>
    </row>
    <row r="840" customFormat="false" ht="15" hidden="true" customHeight="true" outlineLevel="0" collapsed="false">
      <c r="B840" s="1104" t="str">
        <f aca="false">'Смета Внутр'!B840</f>
        <v>нет пароизоляции</v>
      </c>
      <c r="C840" s="1104" t="str">
        <f aca="false">'Смета Внутр'!C840</f>
        <v>м2</v>
      </c>
      <c r="D840" s="1109" t="n">
        <f aca="false">'Смета Внутр'!D840</f>
        <v>64</v>
      </c>
      <c r="E840" s="1104" t="n">
        <f aca="false">'Смета Внутр'!E840</f>
        <v>0</v>
      </c>
      <c r="F840" s="1104" t="n">
        <f aca="false">'Смета Внутр'!F840</f>
        <v>0</v>
      </c>
      <c r="G840" s="1104" t="n">
        <f aca="false">IF(E840&gt;F840,E840,F840)</f>
        <v>0</v>
      </c>
      <c r="H840" s="1104" t="n">
        <f aca="false">'Смета Внутр'!G840</f>
        <v>0</v>
      </c>
      <c r="I840" s="1104" t="n">
        <f aca="false">'Смета Внутр'!H840</f>
        <v>0</v>
      </c>
      <c r="J840" s="1109" t="n">
        <f aca="false">'Смета Внутр'!I840</f>
        <v>0</v>
      </c>
    </row>
    <row r="841" customFormat="false" ht="15" hidden="true" customHeight="true" outlineLevel="0" collapsed="false">
      <c r="B841" s="1104" t="str">
        <f aca="false">'Смета Внутр'!B841</f>
        <v>Плита перекрытия  ЖБИ</v>
      </c>
      <c r="C841" s="1104" t="str">
        <f aca="false">'Смета Внутр'!C841</f>
        <v>м2</v>
      </c>
      <c r="D841" s="1109" t="n">
        <f aca="false">'Смета Внутр'!D841</f>
        <v>0</v>
      </c>
      <c r="E841" s="1104" t="n">
        <f aca="false">'Смета Внутр'!E841</f>
        <v>1400</v>
      </c>
      <c r="F841" s="1104" t="n">
        <f aca="false">'Смета Внутр'!F841</f>
        <v>0</v>
      </c>
      <c r="G841" s="1104" t="n">
        <f aca="false">IF(E841&gt;F841,E841,F841)</f>
        <v>1400</v>
      </c>
      <c r="H841" s="1104" t="n">
        <f aca="false">'Смета Внутр'!G841</f>
        <v>0</v>
      </c>
      <c r="I841" s="1104" t="n">
        <f aca="false">'Смета Внутр'!H841</f>
        <v>0</v>
      </c>
      <c r="J841" s="1109" t="n">
        <f aca="false">'Смета Внутр'!I841</f>
        <v>0</v>
      </c>
    </row>
    <row r="842" customFormat="false" ht="15" hidden="true" customHeight="true" outlineLevel="0" collapsed="false">
      <c r="B842" s="1104" t="str">
        <f aca="false">'Смета Внутр'!B842</f>
        <v>Раствор, м250</v>
      </c>
      <c r="C842" s="1104" t="str">
        <f aca="false">'Смета Внутр'!C842</f>
        <v>м3</v>
      </c>
      <c r="D842" s="1109" t="n">
        <f aca="false">'Смета Внутр'!D842</f>
        <v>0</v>
      </c>
      <c r="E842" s="1104" t="n">
        <f aca="false">'Смета Внутр'!E842</f>
        <v>2500</v>
      </c>
      <c r="F842" s="1104" t="n">
        <f aca="false">'Смета Внутр'!F842</f>
        <v>0</v>
      </c>
      <c r="G842" s="1104" t="n">
        <f aca="false">IF(E842&gt;F842,E842,F842)</f>
        <v>2500</v>
      </c>
      <c r="H842" s="1104" t="n">
        <f aca="false">'Смета Внутр'!G842</f>
        <v>0</v>
      </c>
      <c r="I842" s="1104" t="n">
        <f aca="false">'Смета Внутр'!H842</f>
        <v>0</v>
      </c>
      <c r="J842" s="1109" t="n">
        <f aca="false">'Смета Внутр'!I842</f>
        <v>0</v>
      </c>
    </row>
    <row r="843" customFormat="false" ht="15" hidden="true" customHeight="true" outlineLevel="0" collapsed="false">
      <c r="B843" s="1104" t="str">
        <f aca="false">'Смета Внутр'!B843</f>
        <v>Монолит, бетон, 300мм, 2 слоя</v>
      </c>
      <c r="C843" s="1104" t="str">
        <f aca="false">'Смета Внутр'!C843</f>
        <v>м2</v>
      </c>
      <c r="D843" s="1109" t="n">
        <f aca="false">'Смета Внутр'!D843</f>
        <v>0</v>
      </c>
      <c r="E843" s="1104" t="n">
        <f aca="false">'Смета Внутр'!E843</f>
        <v>1</v>
      </c>
      <c r="F843" s="1104" t="n">
        <f aca="false">'Смета Внутр'!F843</f>
        <v>0</v>
      </c>
      <c r="G843" s="1104" t="n">
        <f aca="false">IF(E843&gt;F843,E843,F843)</f>
        <v>1</v>
      </c>
      <c r="H843" s="1104" t="n">
        <f aca="false">'Смета Внутр'!G843</f>
        <v>0</v>
      </c>
      <c r="I843" s="1104" t="n">
        <f aca="false">'Смета Внутр'!H843</f>
        <v>0</v>
      </c>
      <c r="J843" s="1109" t="n">
        <f aca="false">'Смета Внутр'!I843</f>
        <v>0</v>
      </c>
    </row>
    <row r="844" customFormat="false" ht="15" hidden="true" customHeight="true" outlineLevel="0" collapsed="false">
      <c r="B844" s="1104" t="str">
        <f aca="false">'Смета Внутр'!B844</f>
        <v>Монолит, бетон, 300мм, 1 слой</v>
      </c>
      <c r="C844" s="1104" t="str">
        <f aca="false">'Смета Внутр'!C844</f>
        <v>м2</v>
      </c>
      <c r="D844" s="1109" t="n">
        <f aca="false">'Смета Внутр'!D844</f>
        <v>0</v>
      </c>
      <c r="E844" s="1104" t="n">
        <f aca="false">'Смета Внутр'!E844</f>
        <v>1</v>
      </c>
      <c r="F844" s="1104" t="n">
        <f aca="false">'Смета Внутр'!F844</f>
        <v>0</v>
      </c>
      <c r="G844" s="1104" t="n">
        <f aca="false">IF(E844&gt;F844,E844,F844)</f>
        <v>1</v>
      </c>
      <c r="H844" s="1104" t="n">
        <f aca="false">'Смета Внутр'!G844</f>
        <v>0</v>
      </c>
      <c r="I844" s="1104" t="n">
        <f aca="false">'Смета Внутр'!H844</f>
        <v>0</v>
      </c>
      <c r="J844" s="1109" t="n">
        <f aca="false">'Смета Внутр'!I844</f>
        <v>0</v>
      </c>
    </row>
    <row r="845" customFormat="false" ht="15" hidden="true" customHeight="true" outlineLevel="0" collapsed="false">
      <c r="B845" s="1104" t="str">
        <f aca="false">'Смета Внутр'!B845</f>
        <v>Монолит, бетон, 250мм, 2 слоя</v>
      </c>
      <c r="C845" s="1104" t="str">
        <f aca="false">'Смета Внутр'!C845</f>
        <v>м2</v>
      </c>
      <c r="D845" s="1109" t="n">
        <f aca="false">'Смета Внутр'!D845</f>
        <v>0</v>
      </c>
      <c r="E845" s="1104" t="n">
        <f aca="false">'Смета Внутр'!E845</f>
        <v>1</v>
      </c>
      <c r="F845" s="1104" t="n">
        <f aca="false">'Смета Внутр'!F845</f>
        <v>0</v>
      </c>
      <c r="G845" s="1104" t="n">
        <f aca="false">IF(E845&gt;F845,E845,F845)</f>
        <v>1</v>
      </c>
      <c r="H845" s="1104" t="n">
        <f aca="false">'Смета Внутр'!G845</f>
        <v>0</v>
      </c>
      <c r="I845" s="1104" t="n">
        <f aca="false">'Смета Внутр'!H845</f>
        <v>0</v>
      </c>
      <c r="J845" s="1109" t="n">
        <f aca="false">'Смета Внутр'!I845</f>
        <v>0</v>
      </c>
    </row>
    <row r="846" customFormat="false" ht="15" hidden="true" customHeight="true" outlineLevel="0" collapsed="false">
      <c r="B846" s="1104" t="str">
        <f aca="false">'Смета Внутр'!B846</f>
        <v>Монолит, бетон, 250мм, 1 слой</v>
      </c>
      <c r="C846" s="1104" t="str">
        <f aca="false">'Смета Внутр'!C846</f>
        <v>м2</v>
      </c>
      <c r="D846" s="1109" t="n">
        <f aca="false">'Смета Внутр'!D846</f>
        <v>0</v>
      </c>
      <c r="E846" s="1104" t="n">
        <f aca="false">'Смета Внутр'!E846</f>
        <v>1</v>
      </c>
      <c r="F846" s="1104" t="n">
        <f aca="false">'Смета Внутр'!F846</f>
        <v>0</v>
      </c>
      <c r="G846" s="1104" t="n">
        <f aca="false">IF(E846&gt;F846,E846,F846)</f>
        <v>1</v>
      </c>
      <c r="H846" s="1104" t="n">
        <f aca="false">'Смета Внутр'!G846</f>
        <v>0</v>
      </c>
      <c r="I846" s="1104" t="n">
        <f aca="false">'Смета Внутр'!H846</f>
        <v>0</v>
      </c>
      <c r="J846" s="1109" t="n">
        <f aca="false">'Смета Внутр'!I846</f>
        <v>0</v>
      </c>
    </row>
    <row r="847" customFormat="false" ht="15" hidden="true" customHeight="true" outlineLevel="0" collapsed="false">
      <c r="B847" s="1104" t="str">
        <f aca="false">'Смета Внутр'!B847</f>
        <v>Монолит, бетон, 200мм, 2 слоя</v>
      </c>
      <c r="C847" s="1104" t="str">
        <f aca="false">'Смета Внутр'!C847</f>
        <v>м2</v>
      </c>
      <c r="D847" s="1109" t="n">
        <f aca="false">'Смета Внутр'!D847</f>
        <v>0</v>
      </c>
      <c r="E847" s="1104" t="n">
        <f aca="false">'Смета Внутр'!E847</f>
        <v>1</v>
      </c>
      <c r="F847" s="1104" t="n">
        <f aca="false">'Смета Внутр'!F847</f>
        <v>0</v>
      </c>
      <c r="G847" s="1104" t="n">
        <f aca="false">IF(E847&gt;F847,E847,F847)</f>
        <v>1</v>
      </c>
      <c r="H847" s="1104" t="n">
        <f aca="false">'Смета Внутр'!G847</f>
        <v>0</v>
      </c>
      <c r="I847" s="1104" t="n">
        <f aca="false">'Смета Внутр'!H847</f>
        <v>0</v>
      </c>
      <c r="J847" s="1109" t="n">
        <f aca="false">'Смета Внутр'!I847</f>
        <v>0</v>
      </c>
    </row>
    <row r="848" customFormat="false" ht="15" hidden="true" customHeight="true" outlineLevel="0" collapsed="false">
      <c r="B848" s="1104" t="str">
        <f aca="false">'Смета Внутр'!B848</f>
        <v>Монолит, бетон, 200мм, 1 слой</v>
      </c>
      <c r="C848" s="1104" t="str">
        <f aca="false">'Смета Внутр'!C848</f>
        <v>м2</v>
      </c>
      <c r="D848" s="1109" t="n">
        <f aca="false">'Смета Внутр'!D848</f>
        <v>0</v>
      </c>
      <c r="E848" s="1104" t="n">
        <f aca="false">'Смета Внутр'!E848</f>
        <v>1</v>
      </c>
      <c r="F848" s="1104" t="n">
        <f aca="false">'Смета Внутр'!F848</f>
        <v>0</v>
      </c>
      <c r="G848" s="1104" t="n">
        <f aca="false">IF(E848&gt;F848,E848,F848)</f>
        <v>1</v>
      </c>
      <c r="H848" s="1104" t="n">
        <f aca="false">'Смета Внутр'!G848</f>
        <v>0</v>
      </c>
      <c r="I848" s="1104" t="n">
        <f aca="false">'Смета Внутр'!H848</f>
        <v>0</v>
      </c>
      <c r="J848" s="1109" t="n">
        <f aca="false">'Смета Внутр'!I848</f>
        <v>0</v>
      </c>
    </row>
    <row r="849" customFormat="false" ht="15" hidden="true" customHeight="true" outlineLevel="0" collapsed="false">
      <c r="B849" s="1104" t="str">
        <f aca="false">'Смета Внутр'!B849</f>
        <v>Монолит, бетон, 150мм, 2 слоя</v>
      </c>
      <c r="C849" s="1104" t="str">
        <f aca="false">'Смета Внутр'!C849</f>
        <v>м2</v>
      </c>
      <c r="D849" s="1109" t="n">
        <f aca="false">'Смета Внутр'!D849</f>
        <v>0</v>
      </c>
      <c r="E849" s="1104" t="n">
        <f aca="false">'Смета Внутр'!E849</f>
        <v>1</v>
      </c>
      <c r="F849" s="1104" t="n">
        <f aca="false">'Смета Внутр'!F849</f>
        <v>0</v>
      </c>
      <c r="G849" s="1104" t="n">
        <f aca="false">IF(E849&gt;F849,E849,F849)</f>
        <v>1</v>
      </c>
      <c r="H849" s="1104" t="n">
        <f aca="false">'Смета Внутр'!G849</f>
        <v>0</v>
      </c>
      <c r="I849" s="1104" t="n">
        <f aca="false">'Смета Внутр'!H849</f>
        <v>0</v>
      </c>
      <c r="J849" s="1109" t="n">
        <f aca="false">'Смета Внутр'!I849</f>
        <v>0</v>
      </c>
    </row>
    <row r="850" customFormat="false" ht="15" hidden="true" customHeight="true" outlineLevel="0" collapsed="false">
      <c r="B850" s="1104" t="str">
        <f aca="false">'Смета Внутр'!B850</f>
        <v>Монолит, бетон, 150мм, 1 слой</v>
      </c>
      <c r="C850" s="1104" t="str">
        <f aca="false">'Смета Внутр'!C850</f>
        <v>м2</v>
      </c>
      <c r="D850" s="1109" t="n">
        <f aca="false">'Смета Внутр'!D850</f>
        <v>0</v>
      </c>
      <c r="E850" s="1104" t="n">
        <f aca="false">'Смета Внутр'!E850</f>
        <v>1</v>
      </c>
      <c r="F850" s="1104" t="n">
        <f aca="false">'Смета Внутр'!F850</f>
        <v>0</v>
      </c>
      <c r="G850" s="1104" t="n">
        <f aca="false">IF(E850&gt;F850,E850,F850)</f>
        <v>1</v>
      </c>
      <c r="H850" s="1104" t="n">
        <f aca="false">'Смета Внутр'!G850</f>
        <v>0</v>
      </c>
      <c r="I850" s="1104" t="n">
        <f aca="false">'Смета Внутр'!H850</f>
        <v>0</v>
      </c>
      <c r="J850" s="1109" t="n">
        <f aca="false">'Смета Внутр'!I850</f>
        <v>0</v>
      </c>
    </row>
    <row r="851" customFormat="false" ht="15" hidden="true" customHeight="true" outlineLevel="0" collapsed="false">
      <c r="B851" s="1104" t="str">
        <f aca="false">'Смета Внутр'!B851</f>
        <v>доска для опалубки монолит перекрытий</v>
      </c>
      <c r="C851" s="1104" t="str">
        <f aca="false">'Смета Внутр'!C851</f>
        <v>м3</v>
      </c>
      <c r="D851" s="1109" t="n">
        <f aca="false">'Смета Внутр'!D851</f>
        <v>0</v>
      </c>
      <c r="E851" s="1104" t="n">
        <f aca="false">'Смета Внутр'!E851</f>
        <v>6500</v>
      </c>
      <c r="F851" s="1104" t="n">
        <f aca="false">'Смета Внутр'!F851</f>
        <v>0</v>
      </c>
      <c r="G851" s="1104" t="n">
        <f aca="false">IF(E851&gt;F851,E851,F851)</f>
        <v>6500</v>
      </c>
      <c r="H851" s="1104" t="n">
        <f aca="false">'Смета Внутр'!G851</f>
        <v>0</v>
      </c>
      <c r="I851" s="1104" t="n">
        <f aca="false">'Смета Внутр'!H851</f>
        <v>0</v>
      </c>
      <c r="J851" s="1109" t="n">
        <f aca="false">'Смета Внутр'!I851</f>
        <v>0</v>
      </c>
    </row>
    <row r="852" customFormat="false" ht="15" hidden="true" customHeight="true" outlineLevel="0" collapsed="false">
      <c r="B852" s="1104" t="str">
        <f aca="false">'Смета Внутр'!B852</f>
        <v>стойки под опалубку перекрытий</v>
      </c>
      <c r="C852" s="1104" t="str">
        <f aca="false">'Смета Внутр'!C852</f>
        <v>шт</v>
      </c>
      <c r="D852" s="1109" t="n">
        <f aca="false">'Смета Внутр'!D852</f>
        <v>0</v>
      </c>
      <c r="E852" s="1104" t="n">
        <f aca="false">'Смета Внутр'!E852</f>
        <v>0</v>
      </c>
      <c r="F852" s="1104" t="n">
        <f aca="false">'Смета Внутр'!F852</f>
        <v>0</v>
      </c>
      <c r="G852" s="1104" t="n">
        <f aca="false">IF(E852&gt;F852,E852,F852)</f>
        <v>0</v>
      </c>
      <c r="H852" s="1104" t="n">
        <f aca="false">'Смета Внутр'!G852</f>
        <v>0</v>
      </c>
      <c r="I852" s="1104" t="n">
        <f aca="false">'Смета Внутр'!H852</f>
        <v>0</v>
      </c>
      <c r="J852" s="1109" t="n">
        <f aca="false">'Смета Внутр'!I852</f>
        <v>0</v>
      </c>
    </row>
    <row r="853" customFormat="false" ht="15" hidden="true" customHeight="true" outlineLevel="0" collapsed="false">
      <c r="B853" s="1104" t="str">
        <f aca="false">'Смета Внутр'!B853</f>
        <v>Пленка гидроизоляционная </v>
      </c>
      <c r="C853" s="1104" t="str">
        <f aca="false">'Смета Внутр'!C853</f>
        <v>м2</v>
      </c>
      <c r="D853" s="1109" t="n">
        <f aca="false">'Смета Внутр'!D853</f>
        <v>0</v>
      </c>
      <c r="E853" s="1104" t="n">
        <f aca="false">'Смета Внутр'!E853</f>
        <v>15</v>
      </c>
      <c r="F853" s="1104" t="n">
        <f aca="false">'Смета Внутр'!F853</f>
        <v>0</v>
      </c>
      <c r="G853" s="1104" t="n">
        <f aca="false">IF(E853&gt;F853,E853,F853)</f>
        <v>15</v>
      </c>
      <c r="H853" s="1104" t="n">
        <f aca="false">'Смета Внутр'!G853</f>
        <v>0</v>
      </c>
      <c r="I853" s="1104" t="n">
        <f aca="false">'Смета Внутр'!H853</f>
        <v>0</v>
      </c>
      <c r="J853" s="1109" t="n">
        <f aca="false">'Смета Внутр'!I853</f>
        <v>0</v>
      </c>
    </row>
    <row r="854" customFormat="false" ht="15" hidden="true" customHeight="true" outlineLevel="0" collapsed="false">
      <c r="B854" s="1104" t="str">
        <f aca="false">'Смета Внутр'!B854</f>
        <v>Арматура М12</v>
      </c>
      <c r="C854" s="1104" t="str">
        <f aca="false">'Смета Внутр'!C854</f>
        <v>м.п.</v>
      </c>
      <c r="D854" s="1109" t="n">
        <f aca="false">'Смета Внутр'!D854</f>
        <v>0</v>
      </c>
      <c r="E854" s="1104" t="n">
        <f aca="false">'Смета Внутр'!E854</f>
        <v>29.2152</v>
      </c>
      <c r="F854" s="1104" t="n">
        <f aca="false">'Смета Внутр'!F854</f>
        <v>0</v>
      </c>
      <c r="G854" s="1104" t="n">
        <f aca="false">IF(E854&gt;F854,E854,F854)</f>
        <v>29.2152</v>
      </c>
      <c r="H854" s="1104" t="n">
        <f aca="false">'Смета Внутр'!G854</f>
        <v>0</v>
      </c>
      <c r="I854" s="1104" t="n">
        <f aca="false">'Смета Внутр'!H854</f>
        <v>0</v>
      </c>
      <c r="J854" s="1109" t="n">
        <f aca="false">'Смета Внутр'!I854</f>
        <v>0</v>
      </c>
    </row>
    <row r="855" customFormat="false" ht="15" hidden="true" customHeight="true" outlineLevel="0" collapsed="false">
      <c r="B855" s="1104" t="str">
        <f aca="false">'Смета Внутр'!B855</f>
        <v>Вязальная проволока</v>
      </c>
      <c r="C855" s="1104" t="str">
        <f aca="false">'Смета Внутр'!C855</f>
        <v>кг</v>
      </c>
      <c r="D855" s="1109" t="n">
        <f aca="false">'Смета Внутр'!D855</f>
        <v>0</v>
      </c>
      <c r="E855" s="1104" t="n">
        <f aca="false">'Смета Внутр'!E855</f>
        <v>80</v>
      </c>
      <c r="F855" s="1104" t="n">
        <f aca="false">'Смета Внутр'!F855</f>
        <v>0</v>
      </c>
      <c r="G855" s="1104" t="n">
        <f aca="false">IF(E855&gt;F855,E855,F855)</f>
        <v>80</v>
      </c>
      <c r="H855" s="1104" t="n">
        <f aca="false">'Смета Внутр'!G855</f>
        <v>0</v>
      </c>
      <c r="I855" s="1104" t="n">
        <f aca="false">'Смета Внутр'!H855</f>
        <v>0</v>
      </c>
      <c r="J855" s="1109" t="n">
        <f aca="false">'Смета Внутр'!I855</f>
        <v>0</v>
      </c>
    </row>
    <row r="856" customFormat="false" ht="15" hidden="true" customHeight="true" outlineLevel="0" collapsed="false">
      <c r="B856" s="1104" t="str">
        <f aca="false">'Смета Внутр'!B856</f>
        <v>Подставка под арматурный каркас</v>
      </c>
      <c r="C856" s="1104" t="str">
        <f aca="false">'Смета Внутр'!C856</f>
        <v>шт</v>
      </c>
      <c r="D856" s="1109" t="n">
        <f aca="false">'Смета Внутр'!D856</f>
        <v>0</v>
      </c>
      <c r="E856" s="1104" t="n">
        <f aca="false">'Смета Внутр'!E856</f>
        <v>5</v>
      </c>
      <c r="F856" s="1104" t="n">
        <f aca="false">'Смета Внутр'!F856</f>
        <v>0</v>
      </c>
      <c r="G856" s="1104" t="n">
        <f aca="false">IF(E856&gt;F856,E856,F856)</f>
        <v>5</v>
      </c>
      <c r="H856" s="1104" t="n">
        <f aca="false">'Смета Внутр'!G856</f>
        <v>0</v>
      </c>
      <c r="I856" s="1104" t="n">
        <f aca="false">'Смета Внутр'!H856</f>
        <v>0</v>
      </c>
      <c r="J856" s="1109" t="n">
        <f aca="false">'Смета Внутр'!I856</f>
        <v>0</v>
      </c>
    </row>
    <row r="857" customFormat="false" ht="15" hidden="true" customHeight="true" outlineLevel="0" collapsed="false">
      <c r="B857" s="1104" t="str">
        <f aca="false">'Смета Внутр'!B857</f>
        <v>бетон, м350</v>
      </c>
      <c r="C857" s="1104" t="str">
        <f aca="false">'Смета Внутр'!C857</f>
        <v>м3</v>
      </c>
      <c r="D857" s="1109" t="n">
        <f aca="false">'Смета Внутр'!D857</f>
        <v>0</v>
      </c>
      <c r="E857" s="1104" t="n">
        <f aca="false">'Смета Внутр'!E857</f>
        <v>3500</v>
      </c>
      <c r="F857" s="1104" t="n">
        <f aca="false">'Смета Внутр'!F857</f>
        <v>0</v>
      </c>
      <c r="G857" s="1104" t="n">
        <f aca="false">IF(E857&gt;F857,E857,F857)</f>
        <v>3500</v>
      </c>
      <c r="H857" s="1104" t="n">
        <f aca="false">'Смета Внутр'!G857</f>
        <v>0</v>
      </c>
      <c r="I857" s="1104" t="n">
        <f aca="false">'Смета Внутр'!H857</f>
        <v>0</v>
      </c>
      <c r="J857" s="1109" t="n">
        <f aca="false">'Смета Внутр'!I857</f>
        <v>0</v>
      </c>
    </row>
    <row r="858" customFormat="false" ht="15" hidden="true" customHeight="true" outlineLevel="0" collapsed="false">
      <c r="B858" s="1104" t="str">
        <f aca="false">'Смета Внутр'!B858</f>
        <v>Брус естественной влажности, 200*100мм</v>
      </c>
      <c r="C858" s="1104" t="str">
        <f aca="false">'Смета Внутр'!C858</f>
        <v>м3</v>
      </c>
      <c r="D858" s="1109" t="n">
        <f aca="false">'Смета Внутр'!D858</f>
        <v>0</v>
      </c>
      <c r="E858" s="1104" t="n">
        <f aca="false">'Смета Внутр'!E858</f>
        <v>6500</v>
      </c>
      <c r="F858" s="1104" t="n">
        <f aca="false">'Смета Внутр'!F858</f>
        <v>0</v>
      </c>
      <c r="G858" s="1104" t="n">
        <f aca="false">IF(E858&gt;F858,E858,F858)</f>
        <v>6500</v>
      </c>
      <c r="H858" s="1104" t="n">
        <f aca="false">'Смета Внутр'!G858</f>
        <v>0</v>
      </c>
      <c r="I858" s="1104" t="n">
        <f aca="false">'Смета Внутр'!H858</f>
        <v>0</v>
      </c>
      <c r="J858" s="1109" t="n">
        <f aca="false">'Смета Внутр'!I858</f>
        <v>0</v>
      </c>
    </row>
    <row r="859" customFormat="false" ht="15" hidden="true" customHeight="true" outlineLevel="0" collapsed="false">
      <c r="B859" s="1104" t="str">
        <f aca="false">'Смета Внутр'!B859</f>
        <v>Брус естественной влажности, 150*100мм</v>
      </c>
      <c r="C859" s="1104" t="str">
        <f aca="false">'Смета Внутр'!C859</f>
        <v>м3</v>
      </c>
      <c r="D859" s="1109" t="n">
        <f aca="false">'Смета Внутр'!D859</f>
        <v>0</v>
      </c>
      <c r="E859" s="1104" t="n">
        <f aca="false">'Смета Внутр'!E859</f>
        <v>6500</v>
      </c>
      <c r="F859" s="1104" t="n">
        <f aca="false">'Смета Внутр'!F859</f>
        <v>0</v>
      </c>
      <c r="G859" s="1104" t="n">
        <f aca="false">IF(E859&gt;F859,E859,F859)</f>
        <v>6500</v>
      </c>
      <c r="H859" s="1104" t="n">
        <f aca="false">'Смета Внутр'!G859</f>
        <v>0</v>
      </c>
      <c r="I859" s="1104" t="n">
        <f aca="false">'Смета Внутр'!H859</f>
        <v>0</v>
      </c>
      <c r="J859" s="1109" t="n">
        <f aca="false">'Смета Внутр'!I859</f>
        <v>0</v>
      </c>
    </row>
    <row r="860" customFormat="false" ht="15" hidden="true" customHeight="true" outlineLevel="0" collapsed="false">
      <c r="B860" s="1104" t="str">
        <f aca="false">'Смета Внутр'!B860</f>
        <v>Брус естественной влажности, 100*100мм</v>
      </c>
      <c r="C860" s="1104" t="str">
        <f aca="false">'Смета Внутр'!C860</f>
        <v>м3</v>
      </c>
      <c r="D860" s="1109" t="n">
        <f aca="false">'Смета Внутр'!D860</f>
        <v>0</v>
      </c>
      <c r="E860" s="1104" t="n">
        <f aca="false">'Смета Внутр'!E860</f>
        <v>6500</v>
      </c>
      <c r="F860" s="1104" t="n">
        <f aca="false">'Смета Внутр'!F860</f>
        <v>0</v>
      </c>
      <c r="G860" s="1104" t="n">
        <f aca="false">IF(E860&gt;F860,E860,F860)</f>
        <v>6500</v>
      </c>
      <c r="H860" s="1104" t="n">
        <f aca="false">'Смета Внутр'!G860</f>
        <v>0</v>
      </c>
      <c r="I860" s="1104" t="n">
        <f aca="false">'Смета Внутр'!H860</f>
        <v>0</v>
      </c>
      <c r="J860" s="1109" t="n">
        <f aca="false">'Смета Внутр'!I860</f>
        <v>0</v>
      </c>
    </row>
    <row r="861" customFormat="false" ht="15" hidden="true" customHeight="true" outlineLevel="0" collapsed="false">
      <c r="B861" s="1104" t="str">
        <f aca="false">'Смета Внутр'!B861</f>
        <v>Брус естественной влажности, 150*150мм</v>
      </c>
      <c r="C861" s="1104" t="str">
        <f aca="false">'Смета Внутр'!C861</f>
        <v>м3</v>
      </c>
      <c r="D861" s="1109" t="n">
        <f aca="false">'Смета Внутр'!D861</f>
        <v>0</v>
      </c>
      <c r="E861" s="1104" t="n">
        <f aca="false">'Смета Внутр'!E861</f>
        <v>6500</v>
      </c>
      <c r="F861" s="1104" t="n">
        <f aca="false">'Смета Внутр'!F861</f>
        <v>0</v>
      </c>
      <c r="G861" s="1104" t="n">
        <f aca="false">IF(E861&gt;F861,E861,F861)</f>
        <v>6500</v>
      </c>
      <c r="H861" s="1104" t="n">
        <f aca="false">'Смета Внутр'!G861</f>
        <v>0</v>
      </c>
      <c r="I861" s="1104" t="n">
        <f aca="false">'Смета Внутр'!H861</f>
        <v>0</v>
      </c>
      <c r="J861" s="1109" t="n">
        <f aca="false">'Смета Внутр'!I861</f>
        <v>0</v>
      </c>
    </row>
    <row r="862" customFormat="false" ht="15" hidden="true" customHeight="true" outlineLevel="0" collapsed="false">
      <c r="B862" s="1104" t="str">
        <f aca="false">'Смета Внутр'!B862</f>
        <v>Доска естественной влажности, 200*50мм</v>
      </c>
      <c r="C862" s="1104" t="str">
        <f aca="false">'Смета Внутр'!C862</f>
        <v>м3</v>
      </c>
      <c r="D862" s="1109" t="n">
        <f aca="false">'Смета Внутр'!D862</f>
        <v>0</v>
      </c>
      <c r="E862" s="1104" t="n">
        <f aca="false">'Смета Внутр'!E862</f>
        <v>6500</v>
      </c>
      <c r="F862" s="1104" t="n">
        <f aca="false">'Смета Внутр'!F862</f>
        <v>0</v>
      </c>
      <c r="G862" s="1104" t="n">
        <f aca="false">IF(E862&gt;F862,E862,F862)</f>
        <v>6500</v>
      </c>
      <c r="H862" s="1104" t="n">
        <f aca="false">'Смета Внутр'!G862</f>
        <v>0</v>
      </c>
      <c r="I862" s="1104" t="n">
        <f aca="false">'Смета Внутр'!H862</f>
        <v>0</v>
      </c>
      <c r="J862" s="1109" t="n">
        <f aca="false">'Смета Внутр'!I862</f>
        <v>0</v>
      </c>
    </row>
    <row r="863" customFormat="false" ht="15" hidden="true" customHeight="true" outlineLevel="0" collapsed="false">
      <c r="B863" s="1104" t="str">
        <f aca="false">'Смета Внутр'!B863</f>
        <v>Доска естественной влажности, 150*50мм</v>
      </c>
      <c r="C863" s="1104" t="str">
        <f aca="false">'Смета Внутр'!C863</f>
        <v>м3</v>
      </c>
      <c r="D863" s="1109" t="n">
        <f aca="false">'Смета Внутр'!D863</f>
        <v>0</v>
      </c>
      <c r="E863" s="1104" t="n">
        <f aca="false">'Смета Внутр'!E863</f>
        <v>6500</v>
      </c>
      <c r="F863" s="1104" t="n">
        <f aca="false">'Смета Внутр'!F863</f>
        <v>0</v>
      </c>
      <c r="G863" s="1104" t="n">
        <f aca="false">IF(E863&gt;F863,E863,F863)</f>
        <v>6500</v>
      </c>
      <c r="H863" s="1104" t="n">
        <f aca="false">'Смета Внутр'!G863</f>
        <v>0</v>
      </c>
      <c r="I863" s="1104" t="n">
        <f aca="false">'Смета Внутр'!H863</f>
        <v>0</v>
      </c>
      <c r="J863" s="1109" t="n">
        <f aca="false">'Смета Внутр'!I863</f>
        <v>0</v>
      </c>
    </row>
    <row r="864" customFormat="false" ht="15" hidden="true" customHeight="true" outlineLevel="0" collapsed="false">
      <c r="B864" s="1104" t="str">
        <f aca="false">'Смета Внутр'!B864</f>
        <v>Опора бруса          </v>
      </c>
      <c r="C864" s="1104" t="str">
        <f aca="false">'Смета Внутр'!C864</f>
        <v>шт</v>
      </c>
      <c r="D864" s="1109" t="n">
        <f aca="false">'Смета Внутр'!D864</f>
        <v>0</v>
      </c>
      <c r="E864" s="1104" t="n">
        <f aca="false">'Смета Внутр'!E864</f>
        <v>50</v>
      </c>
      <c r="F864" s="1104" t="n">
        <f aca="false">'Смета Внутр'!F864</f>
        <v>0</v>
      </c>
      <c r="G864" s="1104" t="n">
        <f aca="false">IF(E864&gt;F864,E864,F864)</f>
        <v>50</v>
      </c>
      <c r="H864" s="1104" t="n">
        <f aca="false">'Смета Внутр'!G864</f>
        <v>0</v>
      </c>
      <c r="I864" s="1104" t="n">
        <f aca="false">'Смета Внутр'!H864</f>
        <v>0</v>
      </c>
      <c r="J864" s="1109" t="n">
        <f aca="false">'Смета Внутр'!I864</f>
        <v>0</v>
      </c>
    </row>
    <row r="865" customFormat="false" ht="15" hidden="true" customHeight="true" outlineLevel="0" collapsed="false">
      <c r="B865" s="1104" t="str">
        <f aca="false">'Смета Внутр'!B865</f>
        <v>Болты анкерные с гайкой 8,0 x 60           </v>
      </c>
      <c r="C865" s="1104" t="str">
        <f aca="false">'Смета Внутр'!C865</f>
        <v>шт</v>
      </c>
      <c r="D865" s="1109" t="n">
        <f aca="false">'Смета Внутр'!D865</f>
        <v>0</v>
      </c>
      <c r="E865" s="1104" t="n">
        <f aca="false">'Смета Внутр'!E865</f>
        <v>4</v>
      </c>
      <c r="F865" s="1104" t="n">
        <f aca="false">'Смета Внутр'!F865</f>
        <v>0</v>
      </c>
      <c r="G865" s="1104" t="n">
        <f aca="false">IF(E865&gt;F865,E865,F865)</f>
        <v>4</v>
      </c>
      <c r="H865" s="1104" t="n">
        <f aca="false">'Смета Внутр'!G865</f>
        <v>0</v>
      </c>
      <c r="I865" s="1104" t="n">
        <f aca="false">'Смета Внутр'!H865</f>
        <v>0</v>
      </c>
      <c r="J865" s="1109" t="n">
        <f aca="false">'Смета Внутр'!I865</f>
        <v>0</v>
      </c>
    </row>
    <row r="866" customFormat="false" ht="15" hidden="true" customHeight="true" outlineLevel="0" collapsed="false">
      <c r="B866" s="1104" t="str">
        <f aca="false">'Смета Внутр'!B866</f>
        <v>Нет перекрестного пола</v>
      </c>
      <c r="C866" s="1104" t="str">
        <f aca="false">'Смета Внутр'!C866</f>
        <v>м3</v>
      </c>
      <c r="D866" s="1109" t="n">
        <f aca="false">'Смета Внутр'!D866</f>
        <v>0</v>
      </c>
      <c r="E866" s="1104" t="n">
        <f aca="false">'Смета Внутр'!E866</f>
        <v>0</v>
      </c>
      <c r="F866" s="1104" t="n">
        <f aca="false">'Смета Внутр'!F866</f>
        <v>0</v>
      </c>
      <c r="G866" s="1104" t="n">
        <f aca="false">IF(E866&gt;F866,E866,F866)</f>
        <v>0</v>
      </c>
      <c r="H866" s="1104" t="n">
        <f aca="false">'Смета Внутр'!G866</f>
        <v>0</v>
      </c>
      <c r="I866" s="1104" t="n">
        <f aca="false">'Смета Внутр'!H866</f>
        <v>0</v>
      </c>
      <c r="J866" s="1109" t="n">
        <f aca="false">'Смета Внутр'!I866</f>
        <v>0</v>
      </c>
    </row>
    <row r="867" customFormat="false" ht="15" hidden="true" customHeight="true" outlineLevel="0" collapsed="false">
      <c r="B867" s="1104" t="str">
        <f aca="false">'Смета Внутр'!B867</f>
        <v>Гвозди строительные 3,5 x 90            </v>
      </c>
      <c r="C867" s="1104" t="str">
        <f aca="false">'Смета Внутр'!C867</f>
        <v>кг</v>
      </c>
      <c r="D867" s="1109" t="n">
        <f aca="false">'Смета Внутр'!D867</f>
        <v>0</v>
      </c>
      <c r="E867" s="1104" t="n">
        <f aca="false">'Смета Внутр'!E867</f>
        <v>70</v>
      </c>
      <c r="F867" s="1104" t="n">
        <f aca="false">'Смета Внутр'!F867</f>
        <v>0</v>
      </c>
      <c r="G867" s="1104" t="n">
        <f aca="false">IF(E867&gt;F867,E867,F867)</f>
        <v>70</v>
      </c>
      <c r="H867" s="1104" t="n">
        <f aca="false">'Смета Внутр'!G867</f>
        <v>0</v>
      </c>
      <c r="I867" s="1104" t="n">
        <f aca="false">'Смета Внутр'!H867</f>
        <v>0</v>
      </c>
      <c r="J867" s="1109" t="n">
        <f aca="false">'Смета Внутр'!I867</f>
        <v>0</v>
      </c>
    </row>
    <row r="868" customFormat="false" ht="15" hidden="true" customHeight="true" outlineLevel="0" collapsed="false">
      <c r="B868" s="1104" t="str">
        <f aca="false">'Смета Внутр'!B868</f>
        <v>Sip панель 2500*625*124мм</v>
      </c>
      <c r="C868" s="1104" t="str">
        <f aca="false">'Смета Внутр'!C868</f>
        <v>м2</v>
      </c>
      <c r="D868" s="1109" t="n">
        <f aca="false">'Смета Внутр'!D868</f>
        <v>0</v>
      </c>
      <c r="E868" s="1104" t="n">
        <f aca="false">'Смета Внутр'!E868</f>
        <v>800</v>
      </c>
      <c r="F868" s="1104" t="n">
        <f aca="false">'Смета Внутр'!F868</f>
        <v>0</v>
      </c>
      <c r="G868" s="1104" t="n">
        <f aca="false">IF(E868&gt;F868,E868,F868)</f>
        <v>800</v>
      </c>
      <c r="H868" s="1104" t="n">
        <f aca="false">'Смета Внутр'!G868</f>
        <v>0</v>
      </c>
      <c r="I868" s="1104" t="n">
        <f aca="false">'Смета Внутр'!H868</f>
        <v>0</v>
      </c>
      <c r="J868" s="1109" t="n">
        <f aca="false">'Смета Внутр'!I868</f>
        <v>0</v>
      </c>
    </row>
    <row r="869" customFormat="false" ht="15" hidden="true" customHeight="true" outlineLevel="0" collapsed="false">
      <c r="B869" s="1104" t="str">
        <f aca="false">'Смета Внутр'!B869</f>
        <v>Sip панель 2500*625*174мм</v>
      </c>
      <c r="C869" s="1104" t="str">
        <f aca="false">'Смета Внутр'!C869</f>
        <v>м2</v>
      </c>
      <c r="D869" s="1109" t="n">
        <f aca="false">'Смета Внутр'!D869</f>
        <v>0</v>
      </c>
      <c r="E869" s="1104" t="n">
        <f aca="false">'Смета Внутр'!E869</f>
        <v>1200</v>
      </c>
      <c r="F869" s="1104" t="n">
        <f aca="false">'Смета Внутр'!F869</f>
        <v>0</v>
      </c>
      <c r="G869" s="1104" t="n">
        <f aca="false">IF(E869&gt;F869,E869,F869)</f>
        <v>1200</v>
      </c>
      <c r="H869" s="1104" t="n">
        <f aca="false">'Смета Внутр'!G869</f>
        <v>0</v>
      </c>
      <c r="I869" s="1104" t="n">
        <f aca="false">'Смета Внутр'!H869</f>
        <v>0</v>
      </c>
      <c r="J869" s="1109" t="n">
        <f aca="false">'Смета Внутр'!I869</f>
        <v>0</v>
      </c>
    </row>
    <row r="870" customFormat="false" ht="15" hidden="true" customHeight="true" outlineLevel="0" collapsed="false">
      <c r="B870" s="1104" t="str">
        <f aca="false">'Смета Внутр'!B870</f>
        <v>Sip панель 2500*625*224мм</v>
      </c>
      <c r="C870" s="1104" t="str">
        <f aca="false">'Смета Внутр'!C870</f>
        <v>м2</v>
      </c>
      <c r="D870" s="1109" t="n">
        <f aca="false">'Смета Внутр'!D870</f>
        <v>0</v>
      </c>
      <c r="E870" s="1104" t="n">
        <f aca="false">'Смета Внутр'!E870</f>
        <v>1400</v>
      </c>
      <c r="F870" s="1104" t="n">
        <f aca="false">'Смета Внутр'!F870</f>
        <v>0</v>
      </c>
      <c r="G870" s="1104" t="n">
        <f aca="false">IF(E870&gt;F870,E870,F870)</f>
        <v>1400</v>
      </c>
      <c r="H870" s="1104" t="n">
        <f aca="false">'Смета Внутр'!G870</f>
        <v>0</v>
      </c>
      <c r="I870" s="1104" t="n">
        <f aca="false">'Смета Внутр'!H870</f>
        <v>0</v>
      </c>
      <c r="J870" s="1109" t="n">
        <f aca="false">'Смета Внутр'!I870</f>
        <v>0</v>
      </c>
    </row>
    <row r="871" customFormat="false" ht="15" hidden="true" customHeight="true" outlineLevel="0" collapsed="false">
      <c r="B871" s="1104" t="str">
        <f aca="false">'Смета Внутр'!B871</f>
        <v>Доска сухая, 100*50мм</v>
      </c>
      <c r="C871" s="1104" t="str">
        <f aca="false">'Смета Внутр'!C871</f>
        <v>м.п.</v>
      </c>
      <c r="D871" s="1109" t="n">
        <f aca="false">'Смета Внутр'!D871</f>
        <v>0</v>
      </c>
      <c r="E871" s="1104" t="n">
        <f aca="false">'Смета Внутр'!E871</f>
        <v>45</v>
      </c>
      <c r="F871" s="1104" t="n">
        <f aca="false">'Смета Внутр'!F871</f>
        <v>0</v>
      </c>
      <c r="G871" s="1104" t="n">
        <f aca="false">IF(E871&gt;F871,E871,F871)</f>
        <v>45</v>
      </c>
      <c r="H871" s="1104" t="n">
        <f aca="false">'Смета Внутр'!G871</f>
        <v>0</v>
      </c>
      <c r="I871" s="1104" t="n">
        <f aca="false">'Смета Внутр'!H871</f>
        <v>0</v>
      </c>
      <c r="J871" s="1109" t="n">
        <f aca="false">'Смета Внутр'!I871</f>
        <v>0</v>
      </c>
    </row>
    <row r="872" customFormat="false" ht="15" hidden="true" customHeight="true" outlineLevel="0" collapsed="false">
      <c r="B872" s="1104" t="str">
        <f aca="false">'Смета Внутр'!B872</f>
        <v>Доска сухая, 150*50мм</v>
      </c>
      <c r="C872" s="1104" t="str">
        <f aca="false">'Смета Внутр'!C872</f>
        <v>м.п.</v>
      </c>
      <c r="D872" s="1109" t="n">
        <f aca="false">'Смета Внутр'!D872</f>
        <v>0</v>
      </c>
      <c r="E872" s="1104" t="n">
        <f aca="false">'Смета Внутр'!E872</f>
        <v>67.5</v>
      </c>
      <c r="F872" s="1104" t="n">
        <f aca="false">'Смета Внутр'!F872</f>
        <v>0</v>
      </c>
      <c r="G872" s="1104" t="n">
        <f aca="false">IF(E872&gt;F872,E872,F872)</f>
        <v>67.5</v>
      </c>
      <c r="H872" s="1104" t="n">
        <f aca="false">'Смета Внутр'!G872</f>
        <v>0</v>
      </c>
      <c r="I872" s="1104" t="n">
        <f aca="false">'Смета Внутр'!H872</f>
        <v>0</v>
      </c>
      <c r="J872" s="1109" t="n">
        <f aca="false">'Смета Внутр'!I872</f>
        <v>0</v>
      </c>
    </row>
    <row r="873" customFormat="false" ht="15" hidden="true" customHeight="true" outlineLevel="0" collapsed="false">
      <c r="B873" s="1104" t="str">
        <f aca="false">'Смета Внутр'!B873</f>
        <v>Доска сухая, 200*50мм</v>
      </c>
      <c r="C873" s="1104" t="str">
        <f aca="false">'Смета Внутр'!C873</f>
        <v>м.п.</v>
      </c>
      <c r="D873" s="1109" t="n">
        <f aca="false">'Смета Внутр'!D873</f>
        <v>0</v>
      </c>
      <c r="E873" s="1104" t="n">
        <f aca="false">'Смета Внутр'!E873</f>
        <v>90</v>
      </c>
      <c r="F873" s="1104" t="n">
        <f aca="false">'Смета Внутр'!F873</f>
        <v>0</v>
      </c>
      <c r="G873" s="1104" t="n">
        <f aca="false">IF(E873&gt;F873,E873,F873)</f>
        <v>90</v>
      </c>
      <c r="H873" s="1104" t="n">
        <f aca="false">'Смета Внутр'!G873</f>
        <v>0</v>
      </c>
      <c r="I873" s="1104" t="n">
        <f aca="false">'Смета Внутр'!H873</f>
        <v>0</v>
      </c>
      <c r="J873" s="1109" t="n">
        <f aca="false">'Смета Внутр'!I873</f>
        <v>0</v>
      </c>
    </row>
    <row r="874" customFormat="false" ht="15" hidden="true" customHeight="true" outlineLevel="0" collapsed="false">
      <c r="B874" s="1104" t="str">
        <f aca="false">'Смета Внутр'!B874</f>
        <v>Пена монтажная, всесезонняя 800мл</v>
      </c>
      <c r="C874" s="1104" t="str">
        <f aca="false">'Смета Внутр'!C874</f>
        <v>шт</v>
      </c>
      <c r="D874" s="1109" t="n">
        <f aca="false">'Смета Внутр'!D874</f>
        <v>0</v>
      </c>
      <c r="E874" s="1104" t="n">
        <f aca="false">'Смета Внутр'!E874</f>
        <v>300</v>
      </c>
      <c r="F874" s="1104" t="n">
        <f aca="false">'Смета Внутр'!F874</f>
        <v>0</v>
      </c>
      <c r="G874" s="1104" t="n">
        <f aca="false">IF(E874&gt;F874,E874,F874)</f>
        <v>300</v>
      </c>
      <c r="H874" s="1104" t="n">
        <f aca="false">'Смета Внутр'!G874</f>
        <v>0</v>
      </c>
      <c r="I874" s="1104" t="n">
        <f aca="false">'Смета Внутр'!H874</f>
        <v>0</v>
      </c>
      <c r="J874" s="1109" t="n">
        <f aca="false">'Смета Внутр'!I874</f>
        <v>0</v>
      </c>
    </row>
    <row r="875" customFormat="false" ht="15" hidden="true" customHeight="true" outlineLevel="0" collapsed="false">
      <c r="B875" s="1104" t="str">
        <f aca="false">'Смета Внутр'!B875</f>
        <v>Гвозди строительные 3,5 x 90            </v>
      </c>
      <c r="C875" s="1104" t="str">
        <f aca="false">'Смета Внутр'!C875</f>
        <v>шт</v>
      </c>
      <c r="D875" s="1109" t="n">
        <f aca="false">'Смета Внутр'!D875</f>
        <v>0</v>
      </c>
      <c r="E875" s="1104" t="n">
        <f aca="false">'Смета Внутр'!E875</f>
        <v>45</v>
      </c>
      <c r="F875" s="1104" t="n">
        <f aca="false">'Смета Внутр'!F875</f>
        <v>0</v>
      </c>
      <c r="G875" s="1104" t="n">
        <f aca="false">IF(E875&gt;F875,E875,F875)</f>
        <v>45</v>
      </c>
      <c r="H875" s="1104" t="n">
        <f aca="false">'Смета Внутр'!G875</f>
        <v>0</v>
      </c>
      <c r="I875" s="1104" t="n">
        <f aca="false">'Смета Внутр'!H875</f>
        <v>0</v>
      </c>
      <c r="J875" s="1109" t="n">
        <f aca="false">'Смета Внутр'!I875</f>
        <v>0</v>
      </c>
    </row>
    <row r="876" customFormat="false" ht="15" hidden="true" customHeight="true" outlineLevel="0" collapsed="false">
      <c r="B876" s="1104" t="str">
        <f aca="false">'Смета Внутр'!B876</f>
        <v>Саморезы 3,5 x 45            </v>
      </c>
      <c r="C876" s="1104" t="str">
        <f aca="false">'Смета Внутр'!C876</f>
        <v>шт</v>
      </c>
      <c r="D876" s="1109" t="n">
        <f aca="false">'Смета Внутр'!D876</f>
        <v>0</v>
      </c>
      <c r="E876" s="1104" t="n">
        <f aca="false">'Смета Внутр'!E876</f>
        <v>0.25</v>
      </c>
      <c r="F876" s="1104" t="n">
        <f aca="false">'Смета Внутр'!F876</f>
        <v>0</v>
      </c>
      <c r="G876" s="1104" t="n">
        <f aca="false">IF(E876&gt;F876,E876,F876)</f>
        <v>0.25</v>
      </c>
      <c r="H876" s="1104" t="n">
        <f aca="false">'Смета Внутр'!G876</f>
        <v>0</v>
      </c>
      <c r="I876" s="1104" t="n">
        <f aca="false">'Смета Внутр'!H876</f>
        <v>0</v>
      </c>
      <c r="J876" s="1109" t="n">
        <f aca="false">'Смета Внутр'!I876</f>
        <v>0</v>
      </c>
    </row>
    <row r="877" customFormat="false" ht="15" hidden="true" customHeight="true" outlineLevel="0" collapsed="false">
      <c r="B877" s="1104" t="str">
        <f aca="false">'Смета Внутр'!B877</f>
        <v>Доска сухая, 200*50мм</v>
      </c>
      <c r="C877" s="1104" t="str">
        <f aca="false">'Смета Внутр'!C877</f>
        <v>м3</v>
      </c>
      <c r="D877" s="1109" t="n">
        <f aca="false">'Смета Внутр'!D877</f>
        <v>0</v>
      </c>
      <c r="E877" s="1104" t="n">
        <f aca="false">'Смета Внутр'!E877</f>
        <v>9000</v>
      </c>
      <c r="F877" s="1104" t="n">
        <f aca="false">'Смета Внутр'!F877</f>
        <v>0</v>
      </c>
      <c r="G877" s="1104" t="n">
        <f aca="false">IF(E877&gt;F877,E877,F877)</f>
        <v>9000</v>
      </c>
      <c r="H877" s="1104" t="n">
        <f aca="false">'Смета Внутр'!G877</f>
        <v>0</v>
      </c>
      <c r="I877" s="1104" t="n">
        <f aca="false">'Смета Внутр'!H877</f>
        <v>0</v>
      </c>
      <c r="J877" s="1109" t="n">
        <f aca="false">'Смета Внутр'!I877</f>
        <v>0</v>
      </c>
    </row>
    <row r="878" customFormat="false" ht="15" hidden="true" customHeight="true" outlineLevel="0" collapsed="false">
      <c r="B878" s="1104" t="str">
        <f aca="false">'Смета Внутр'!B878</f>
        <v>Доска сухая, 150*50мм</v>
      </c>
      <c r="C878" s="1104" t="str">
        <f aca="false">'Смета Внутр'!C878</f>
        <v>м3</v>
      </c>
      <c r="D878" s="1109" t="n">
        <f aca="false">'Смета Внутр'!D878</f>
        <v>0</v>
      </c>
      <c r="E878" s="1104" t="n">
        <f aca="false">'Смета Внутр'!E878</f>
        <v>9000</v>
      </c>
      <c r="F878" s="1104" t="n">
        <f aca="false">'Смета Внутр'!F878</f>
        <v>0</v>
      </c>
      <c r="G878" s="1104" t="n">
        <f aca="false">IF(E878&gt;F878,E878,F878)</f>
        <v>9000</v>
      </c>
      <c r="H878" s="1104" t="n">
        <f aca="false">'Смета Внутр'!G878</f>
        <v>0</v>
      </c>
      <c r="I878" s="1104" t="n">
        <f aca="false">'Смета Внутр'!H878</f>
        <v>0</v>
      </c>
      <c r="J878" s="1109" t="n">
        <f aca="false">'Смета Внутр'!I878</f>
        <v>0</v>
      </c>
    </row>
    <row r="879" customFormat="false" ht="15" hidden="true" customHeight="true" outlineLevel="0" collapsed="false">
      <c r="B879" s="1104" t="str">
        <f aca="false">'Смета Внутр'!B879</f>
        <v>Гвозди ершоные 2,8 х 90            </v>
      </c>
      <c r="C879" s="1104" t="str">
        <f aca="false">'Смета Внутр'!C879</f>
        <v>кг</v>
      </c>
      <c r="D879" s="1109" t="n">
        <f aca="false">'Смета Внутр'!D879</f>
        <v>0</v>
      </c>
      <c r="E879" s="1104" t="n">
        <f aca="false">'Смета Внутр'!E879</f>
        <v>76.49</v>
      </c>
      <c r="F879" s="1104" t="n">
        <f aca="false">'Смета Внутр'!F879</f>
        <v>0</v>
      </c>
      <c r="G879" s="1104" t="n">
        <f aca="false">IF(E879&gt;F879,E879,F879)</f>
        <v>76.49</v>
      </c>
      <c r="H879" s="1104" t="n">
        <f aca="false">'Смета Внутр'!G879</f>
        <v>0</v>
      </c>
      <c r="I879" s="1104" t="n">
        <f aca="false">'Смета Внутр'!H879</f>
        <v>0</v>
      </c>
      <c r="J879" s="1109" t="n">
        <f aca="false">'Смета Внутр'!I879</f>
        <v>0</v>
      </c>
    </row>
    <row r="880" customFormat="false" ht="15" hidden="true" customHeight="true" outlineLevel="0" collapsed="false">
      <c r="B880" s="1104" t="str">
        <f aca="false">'Смета Внутр'!B880</f>
        <v>Доска сухая калиброванная, 190*45мм</v>
      </c>
      <c r="C880" s="1104" t="str">
        <f aca="false">'Смета Внутр'!C880</f>
        <v>м3</v>
      </c>
      <c r="D880" s="1109" t="n">
        <f aca="false">'Смета Внутр'!D880</f>
        <v>0</v>
      </c>
      <c r="E880" s="1104" t="n">
        <f aca="false">'Смета Внутр'!E880</f>
        <v>12500</v>
      </c>
      <c r="F880" s="1104" t="n">
        <f aca="false">'Смета Внутр'!F880</f>
        <v>0</v>
      </c>
      <c r="G880" s="1104" t="n">
        <f aca="false">IF(E880&gt;F880,E880,F880)</f>
        <v>12500</v>
      </c>
      <c r="H880" s="1104" t="n">
        <f aca="false">'Смета Внутр'!G880</f>
        <v>0</v>
      </c>
      <c r="I880" s="1104" t="n">
        <f aca="false">'Смета Внутр'!H880</f>
        <v>0</v>
      </c>
      <c r="J880" s="1109" t="n">
        <f aca="false">'Смета Внутр'!I880</f>
        <v>0</v>
      </c>
    </row>
    <row r="881" customFormat="false" ht="15" hidden="true" customHeight="true" outlineLevel="0" collapsed="false">
      <c r="B881" s="1104" t="str">
        <f aca="false">'Смета Внутр'!B881</f>
        <v>Доска сухая калиброванная, 145*45мм</v>
      </c>
      <c r="C881" s="1104" t="str">
        <f aca="false">'Смета Внутр'!C881</f>
        <v>м3</v>
      </c>
      <c r="D881" s="1109" t="n">
        <f aca="false">'Смета Внутр'!D881</f>
        <v>0</v>
      </c>
      <c r="E881" s="1104" t="n">
        <f aca="false">'Смета Внутр'!E881</f>
        <v>12500</v>
      </c>
      <c r="F881" s="1104" t="n">
        <f aca="false">'Смета Внутр'!F881</f>
        <v>0</v>
      </c>
      <c r="G881" s="1104" t="n">
        <f aca="false">IF(E881&gt;F881,E881,F881)</f>
        <v>12500</v>
      </c>
      <c r="H881" s="1104" t="n">
        <f aca="false">'Смета Внутр'!G881</f>
        <v>0</v>
      </c>
      <c r="I881" s="1104" t="n">
        <f aca="false">'Смета Внутр'!H881</f>
        <v>0</v>
      </c>
      <c r="J881" s="1109" t="n">
        <f aca="false">'Смета Внутр'!I881</f>
        <v>0</v>
      </c>
    </row>
    <row r="882" customFormat="false" ht="15" hidden="true" customHeight="true" outlineLevel="0" collapsed="false">
      <c r="B882" s="1104" t="str">
        <f aca="false">'Смета Внутр'!B882</f>
        <v>Гвозди ершоные 2,8 х 90            </v>
      </c>
      <c r="C882" s="1104" t="str">
        <f aca="false">'Смета Внутр'!C882</f>
        <v>кг</v>
      </c>
      <c r="D882" s="1109" t="n">
        <f aca="false">'Смета Внутр'!D882</f>
        <v>0</v>
      </c>
      <c r="E882" s="1104" t="n">
        <f aca="false">'Смета Внутр'!E882</f>
        <v>76.49</v>
      </c>
      <c r="F882" s="1104" t="n">
        <f aca="false">'Смета Внутр'!F882</f>
        <v>0</v>
      </c>
      <c r="G882" s="1104" t="n">
        <f aca="false">IF(E882&gt;F882,E882,F882)</f>
        <v>76.49</v>
      </c>
      <c r="H882" s="1104" t="n">
        <f aca="false">'Смета Внутр'!G882</f>
        <v>0</v>
      </c>
      <c r="I882" s="1104" t="n">
        <f aca="false">'Смета Внутр'!H882</f>
        <v>0</v>
      </c>
      <c r="J882" s="1109" t="n">
        <f aca="false">'Смета Внутр'!I882</f>
        <v>0</v>
      </c>
    </row>
    <row r="883" customFormat="false" ht="15" hidden="true" customHeight="true" outlineLevel="0" collapsed="false">
      <c r="B883" s="1104" t="str">
        <f aca="false">'Смета Внутр'!B883</f>
        <v>Двутавровая деревянная балка, 400*65мм</v>
      </c>
      <c r="C883" s="1104" t="str">
        <f aca="false">'Смета Внутр'!C883</f>
        <v>м.п.</v>
      </c>
      <c r="D883" s="1109" t="n">
        <f aca="false">'Смета Внутр'!D883</f>
        <v>0</v>
      </c>
      <c r="E883" s="1104" t="n">
        <f aca="false">'Смета Внутр'!E883</f>
        <v>303</v>
      </c>
      <c r="F883" s="1104" t="n">
        <f aca="false">'Смета Внутр'!F883</f>
        <v>0</v>
      </c>
      <c r="G883" s="1104" t="n">
        <f aca="false">IF(E883&gt;F883,E883,F883)</f>
        <v>303</v>
      </c>
      <c r="H883" s="1104" t="n">
        <f aca="false">'Смета Внутр'!G883</f>
        <v>0</v>
      </c>
      <c r="I883" s="1104" t="n">
        <f aca="false">'Смета Внутр'!H883</f>
        <v>0</v>
      </c>
      <c r="J883" s="1109" t="n">
        <f aca="false">'Смета Внутр'!I883</f>
        <v>0</v>
      </c>
    </row>
    <row r="884" customFormat="false" ht="15" hidden="true" customHeight="true" outlineLevel="0" collapsed="false">
      <c r="B884" s="1104" t="str">
        <f aca="false">'Смета Внутр'!B884</f>
        <v>Двутавровая деревянная балка, 400*90мм</v>
      </c>
      <c r="C884" s="1104" t="str">
        <f aca="false">'Смета Внутр'!C884</f>
        <v>м.п.</v>
      </c>
      <c r="D884" s="1109" t="n">
        <f aca="false">'Смета Внутр'!D884</f>
        <v>0</v>
      </c>
      <c r="E884" s="1104" t="n">
        <f aca="false">'Смета Внутр'!E884</f>
        <v>355</v>
      </c>
      <c r="F884" s="1104" t="n">
        <f aca="false">'Смета Внутр'!F884</f>
        <v>0</v>
      </c>
      <c r="G884" s="1104" t="n">
        <f aca="false">IF(E884&gt;F884,E884,F884)</f>
        <v>355</v>
      </c>
      <c r="H884" s="1104" t="n">
        <f aca="false">'Смета Внутр'!G884</f>
        <v>0</v>
      </c>
      <c r="I884" s="1104" t="n">
        <f aca="false">'Смета Внутр'!H884</f>
        <v>0</v>
      </c>
      <c r="J884" s="1109" t="n">
        <f aca="false">'Смета Внутр'!I884</f>
        <v>0</v>
      </c>
    </row>
    <row r="885" customFormat="false" ht="15" hidden="true" customHeight="true" outlineLevel="0" collapsed="false">
      <c r="B885" s="1104" t="str">
        <f aca="false">'Смета Внутр'!B885</f>
        <v>Двутавровая деревянная балка, 350*65мм</v>
      </c>
      <c r="C885" s="1104" t="str">
        <f aca="false">'Смета Внутр'!C885</f>
        <v>м.п.</v>
      </c>
      <c r="D885" s="1109" t="n">
        <f aca="false">'Смета Внутр'!D885</f>
        <v>0</v>
      </c>
      <c r="E885" s="1104" t="n">
        <f aca="false">'Смета Внутр'!E885</f>
        <v>287</v>
      </c>
      <c r="F885" s="1104" t="n">
        <f aca="false">'Смета Внутр'!F885</f>
        <v>0</v>
      </c>
      <c r="G885" s="1104" t="n">
        <f aca="false">IF(E885&gt;F885,E885,F885)</f>
        <v>287</v>
      </c>
      <c r="H885" s="1104" t="n">
        <f aca="false">'Смета Внутр'!G885</f>
        <v>0</v>
      </c>
      <c r="I885" s="1104" t="n">
        <f aca="false">'Смета Внутр'!H885</f>
        <v>0</v>
      </c>
      <c r="J885" s="1109" t="n">
        <f aca="false">'Смета Внутр'!I885</f>
        <v>0</v>
      </c>
    </row>
    <row r="886" customFormat="false" ht="15" hidden="true" customHeight="true" outlineLevel="0" collapsed="false">
      <c r="B886" s="1104" t="str">
        <f aca="false">'Смета Внутр'!B886</f>
        <v>Двутавровая деревянная балка, 350*90мм</v>
      </c>
      <c r="C886" s="1104" t="str">
        <f aca="false">'Смета Внутр'!C886</f>
        <v>м.п.</v>
      </c>
      <c r="D886" s="1109" t="n">
        <f aca="false">'Смета Внутр'!D886</f>
        <v>0</v>
      </c>
      <c r="E886" s="1104" t="n">
        <f aca="false">'Смета Внутр'!E886</f>
        <v>315</v>
      </c>
      <c r="F886" s="1104" t="n">
        <f aca="false">'Смета Внутр'!F886</f>
        <v>0</v>
      </c>
      <c r="G886" s="1104" t="n">
        <f aca="false">IF(E886&gt;F886,E886,F886)</f>
        <v>315</v>
      </c>
      <c r="H886" s="1104" t="n">
        <f aca="false">'Смета Внутр'!G886</f>
        <v>0</v>
      </c>
      <c r="I886" s="1104" t="n">
        <f aca="false">'Смета Внутр'!H886</f>
        <v>0</v>
      </c>
      <c r="J886" s="1109" t="n">
        <f aca="false">'Смета Внутр'!I886</f>
        <v>0</v>
      </c>
    </row>
    <row r="887" customFormat="false" ht="15" hidden="true" customHeight="true" outlineLevel="0" collapsed="false">
      <c r="B887" s="1104" t="str">
        <f aca="false">'Смета Внутр'!B887</f>
        <v>Двутавровая деревянная балка, 300*65мм</v>
      </c>
      <c r="C887" s="1104" t="str">
        <f aca="false">'Смета Внутр'!C887</f>
        <v>м.п.</v>
      </c>
      <c r="D887" s="1109" t="n">
        <f aca="false">'Смета Внутр'!D887</f>
        <v>0</v>
      </c>
      <c r="E887" s="1104" t="n">
        <f aca="false">'Смета Внутр'!E887</f>
        <v>273</v>
      </c>
      <c r="F887" s="1104" t="n">
        <f aca="false">'Смета Внутр'!F887</f>
        <v>0</v>
      </c>
      <c r="G887" s="1104" t="n">
        <f aca="false">IF(E887&gt;F887,E887,F887)</f>
        <v>273</v>
      </c>
      <c r="H887" s="1104" t="n">
        <f aca="false">'Смета Внутр'!G887</f>
        <v>0</v>
      </c>
      <c r="I887" s="1104" t="n">
        <f aca="false">'Смета Внутр'!H887</f>
        <v>0</v>
      </c>
      <c r="J887" s="1109" t="n">
        <f aca="false">'Смета Внутр'!I887</f>
        <v>0</v>
      </c>
    </row>
    <row r="888" customFormat="false" ht="15" hidden="true" customHeight="true" outlineLevel="0" collapsed="false">
      <c r="B888" s="1104" t="str">
        <f aca="false">'Смета Внутр'!B888</f>
        <v>Двутавровая деревянная балка, 300*90мм</v>
      </c>
      <c r="C888" s="1104" t="str">
        <f aca="false">'Смета Внутр'!C888</f>
        <v>м.п.</v>
      </c>
      <c r="D888" s="1109" t="n">
        <f aca="false">'Смета Внутр'!D888</f>
        <v>0</v>
      </c>
      <c r="E888" s="1104" t="n">
        <f aca="false">'Смета Внутр'!E888</f>
        <v>315</v>
      </c>
      <c r="F888" s="1104" t="n">
        <f aca="false">'Смета Внутр'!F888</f>
        <v>0</v>
      </c>
      <c r="G888" s="1104" t="n">
        <f aca="false">IF(E888&gt;F888,E888,F888)</f>
        <v>315</v>
      </c>
      <c r="H888" s="1104" t="n">
        <f aca="false">'Смета Внутр'!G888</f>
        <v>0</v>
      </c>
      <c r="I888" s="1104" t="n">
        <f aca="false">'Смета Внутр'!H888</f>
        <v>0</v>
      </c>
      <c r="J888" s="1109" t="n">
        <f aca="false">'Смета Внутр'!I888</f>
        <v>0</v>
      </c>
    </row>
    <row r="889" customFormat="false" ht="15" hidden="true" customHeight="true" outlineLevel="0" collapsed="false">
      <c r="B889" s="1104" t="str">
        <f aca="false">'Смета Внутр'!B889</f>
        <v>Двутавровая деревянная балка, 240*65мм</v>
      </c>
      <c r="C889" s="1104" t="str">
        <f aca="false">'Смета Внутр'!C889</f>
        <v>м.п.</v>
      </c>
      <c r="D889" s="1109" t="n">
        <f aca="false">'Смета Внутр'!D889</f>
        <v>0</v>
      </c>
      <c r="E889" s="1104" t="n">
        <f aca="false">'Смета Внутр'!E889</f>
        <v>263</v>
      </c>
      <c r="F889" s="1104" t="n">
        <f aca="false">'Смета Внутр'!F889</f>
        <v>0</v>
      </c>
      <c r="G889" s="1104" t="n">
        <f aca="false">IF(E889&gt;F889,E889,F889)</f>
        <v>263</v>
      </c>
      <c r="H889" s="1104" t="n">
        <f aca="false">'Смета Внутр'!G889</f>
        <v>0</v>
      </c>
      <c r="I889" s="1104" t="n">
        <f aca="false">'Смета Внутр'!H889</f>
        <v>0</v>
      </c>
      <c r="J889" s="1109" t="n">
        <f aca="false">'Смета Внутр'!I889</f>
        <v>0</v>
      </c>
    </row>
    <row r="890" customFormat="false" ht="15" hidden="true" customHeight="true" outlineLevel="0" collapsed="false">
      <c r="B890" s="1104" t="str">
        <f aca="false">'Смета Внутр'!B890</f>
        <v>Двутавровая деревянная балка, 240*90мм</v>
      </c>
      <c r="C890" s="1104" t="str">
        <f aca="false">'Смета Внутр'!C890</f>
        <v>м.п.</v>
      </c>
      <c r="D890" s="1109" t="n">
        <f aca="false">'Смета Внутр'!D890</f>
        <v>0</v>
      </c>
      <c r="E890" s="1104" t="n">
        <f aca="false">'Смета Внутр'!E890</f>
        <v>291</v>
      </c>
      <c r="F890" s="1104" t="n">
        <f aca="false">'Смета Внутр'!F890</f>
        <v>0</v>
      </c>
      <c r="G890" s="1104" t="n">
        <f aca="false">IF(E890&gt;F890,E890,F890)</f>
        <v>291</v>
      </c>
      <c r="H890" s="1104" t="n">
        <f aca="false">'Смета Внутр'!G890</f>
        <v>0</v>
      </c>
      <c r="I890" s="1104" t="n">
        <f aca="false">'Смета Внутр'!H890</f>
        <v>0</v>
      </c>
      <c r="J890" s="1109" t="n">
        <f aca="false">'Смета Внутр'!I890</f>
        <v>0</v>
      </c>
    </row>
    <row r="891" customFormat="false" ht="15" hidden="true" customHeight="true" outlineLevel="0" collapsed="false">
      <c r="B891" s="1104" t="str">
        <f aca="false">'Смета Внутр'!B891</f>
        <v>Двутавровая деревянная балка, 200*65мм</v>
      </c>
      <c r="C891" s="1104" t="str">
        <f aca="false">'Смета Внутр'!C891</f>
        <v>м.п.</v>
      </c>
      <c r="D891" s="1109" t="n">
        <f aca="false">'Смета Внутр'!D891</f>
        <v>0</v>
      </c>
      <c r="E891" s="1104" t="n">
        <f aca="false">'Смета Внутр'!E891</f>
        <v>250</v>
      </c>
      <c r="F891" s="1104" t="n">
        <f aca="false">'Смета Внутр'!F891</f>
        <v>0</v>
      </c>
      <c r="G891" s="1104" t="n">
        <f aca="false">IF(E891&gt;F891,E891,F891)</f>
        <v>250</v>
      </c>
      <c r="H891" s="1104" t="n">
        <f aca="false">'Смета Внутр'!G891</f>
        <v>0</v>
      </c>
      <c r="I891" s="1104" t="n">
        <f aca="false">'Смета Внутр'!H891</f>
        <v>0</v>
      </c>
      <c r="J891" s="1109" t="n">
        <f aca="false">'Смета Внутр'!I891</f>
        <v>0</v>
      </c>
    </row>
    <row r="892" customFormat="false" ht="15" hidden="true" customHeight="true" outlineLevel="0" collapsed="false">
      <c r="B892" s="1104" t="str">
        <f aca="false">'Смета Внутр'!B892</f>
        <v>Двутавровая деревянная балка, 200*90мм</v>
      </c>
      <c r="C892" s="1104" t="str">
        <f aca="false">'Смета Внутр'!C892</f>
        <v>м.п.</v>
      </c>
      <c r="D892" s="1109" t="n">
        <f aca="false">'Смета Внутр'!D892</f>
        <v>0</v>
      </c>
      <c r="E892" s="1104" t="n">
        <f aca="false">'Смета Внутр'!E892</f>
        <v>280</v>
      </c>
      <c r="F892" s="1104" t="n">
        <f aca="false">'Смета Внутр'!F892</f>
        <v>0</v>
      </c>
      <c r="G892" s="1104" t="n">
        <f aca="false">IF(E892&gt;F892,E892,F892)</f>
        <v>280</v>
      </c>
      <c r="H892" s="1104" t="n">
        <f aca="false">'Смета Внутр'!G892</f>
        <v>0</v>
      </c>
      <c r="I892" s="1104" t="n">
        <f aca="false">'Смета Внутр'!H892</f>
        <v>0</v>
      </c>
      <c r="J892" s="1109" t="n">
        <f aca="false">'Смета Внутр'!I892</f>
        <v>0</v>
      </c>
    </row>
    <row r="893" customFormat="false" ht="15" hidden="true" customHeight="true" outlineLevel="0" collapsed="false">
      <c r="B893" s="1104" t="str">
        <f aca="false">'Смета Внутр'!B893</f>
        <v>Двутавровая деревянная балка, 150*65мм</v>
      </c>
      <c r="C893" s="1104" t="str">
        <f aca="false">'Смета Внутр'!C893</f>
        <v>м.п.</v>
      </c>
      <c r="D893" s="1109" t="n">
        <f aca="false">'Смета Внутр'!D893</f>
        <v>0</v>
      </c>
      <c r="E893" s="1104" t="n">
        <f aca="false">'Смета Внутр'!E893</f>
        <v>220</v>
      </c>
      <c r="F893" s="1104" t="n">
        <f aca="false">'Смета Внутр'!F893</f>
        <v>0</v>
      </c>
      <c r="G893" s="1104" t="n">
        <f aca="false">IF(E893&gt;F893,E893,F893)</f>
        <v>220</v>
      </c>
      <c r="H893" s="1104" t="n">
        <f aca="false">'Смета Внутр'!G893</f>
        <v>0</v>
      </c>
      <c r="I893" s="1104" t="n">
        <f aca="false">'Смета Внутр'!H893</f>
        <v>0</v>
      </c>
      <c r="J893" s="1109" t="n">
        <f aca="false">'Смета Внутр'!I893</f>
        <v>0</v>
      </c>
    </row>
    <row r="894" customFormat="false" ht="15" hidden="true" customHeight="true" outlineLevel="0" collapsed="false">
      <c r="B894" s="1104" t="str">
        <f aca="false">'Смета Внутр'!B894</f>
        <v>Двутавровая деревянная балка, 150*90мм</v>
      </c>
      <c r="C894" s="1104" t="str">
        <f aca="false">'Смета Внутр'!C894</f>
        <v>м.п.</v>
      </c>
      <c r="D894" s="1109" t="n">
        <f aca="false">'Смета Внутр'!D894</f>
        <v>0</v>
      </c>
      <c r="E894" s="1104" t="n">
        <f aca="false">'Смета Внутр'!E894</f>
        <v>250</v>
      </c>
      <c r="F894" s="1104" t="n">
        <f aca="false">'Смета Внутр'!F894</f>
        <v>0</v>
      </c>
      <c r="G894" s="1104" t="n">
        <f aca="false">IF(E894&gt;F894,E894,F894)</f>
        <v>250</v>
      </c>
      <c r="H894" s="1104" t="n">
        <f aca="false">'Смета Внутр'!G894</f>
        <v>0</v>
      </c>
      <c r="I894" s="1104" t="n">
        <f aca="false">'Смета Внутр'!H894</f>
        <v>0</v>
      </c>
      <c r="J894" s="1109" t="n">
        <f aca="false">'Смета Внутр'!I894</f>
        <v>0</v>
      </c>
    </row>
    <row r="895" customFormat="false" ht="15" hidden="true" customHeight="true" outlineLevel="0" collapsed="false">
      <c r="B895" s="1104" t="str">
        <f aca="false">'Смета Внутр'!B895</f>
        <v>Уголок усиленный 90х70х55х2,5        </v>
      </c>
      <c r="C895" s="1104" t="str">
        <f aca="false">'Смета Внутр'!C895</f>
        <v>шт</v>
      </c>
      <c r="D895" s="1109" t="n">
        <f aca="false">'Смета Внутр'!D895</f>
        <v>0</v>
      </c>
      <c r="E895" s="1104" t="n">
        <f aca="false">'Смета Внутр'!E895</f>
        <v>30</v>
      </c>
      <c r="F895" s="1104" t="n">
        <f aca="false">'Смета Внутр'!F895</f>
        <v>0</v>
      </c>
      <c r="G895" s="1104" t="n">
        <f aca="false">IF(E895&gt;F895,E895,F895)</f>
        <v>30</v>
      </c>
      <c r="H895" s="1104" t="n">
        <f aca="false">'Смета Внутр'!G895</f>
        <v>0</v>
      </c>
      <c r="I895" s="1104" t="n">
        <f aca="false">'Смета Внутр'!H895</f>
        <v>0</v>
      </c>
      <c r="J895" s="1109" t="n">
        <f aca="false">'Смета Внутр'!I895</f>
        <v>0</v>
      </c>
    </row>
    <row r="896" customFormat="false" ht="15" hidden="true" customHeight="true" outlineLevel="0" collapsed="false">
      <c r="B896" s="1104" t="str">
        <f aca="false">'Смета Внутр'!B896</f>
        <v>Саморезы 3,5 x 55            </v>
      </c>
      <c r="C896" s="1104" t="str">
        <f aca="false">'Смета Внутр'!C896</f>
        <v>шт</v>
      </c>
      <c r="D896" s="1109" t="n">
        <f aca="false">'Смета Внутр'!D896</f>
        <v>0</v>
      </c>
      <c r="E896" s="1104" t="n">
        <f aca="false">'Смета Внутр'!E896</f>
        <v>0.3</v>
      </c>
      <c r="F896" s="1104" t="n">
        <f aca="false">'Смета Внутр'!F896</f>
        <v>0</v>
      </c>
      <c r="G896" s="1104" t="n">
        <f aca="false">IF(E896&gt;F896,E896,F896)</f>
        <v>0.3</v>
      </c>
      <c r="H896" s="1104" t="n">
        <f aca="false">'Смета Внутр'!G896</f>
        <v>0</v>
      </c>
      <c r="I896" s="1104" t="n">
        <f aca="false">'Смета Внутр'!H896</f>
        <v>0</v>
      </c>
      <c r="J896" s="1109" t="n">
        <f aca="false">'Смета Внутр'!I896</f>
        <v>0</v>
      </c>
    </row>
    <row r="897" customFormat="false" ht="15" hidden="true" customHeight="true" outlineLevel="0" collapsed="false">
      <c r="B897" s="1104" t="str">
        <f aca="false">'Смета Внутр'!B897</f>
        <v>Нет</v>
      </c>
      <c r="C897" s="1104" t="str">
        <f aca="false">'Смета Внутр'!C897</f>
        <v>м3</v>
      </c>
      <c r="D897" s="1109" t="n">
        <f aca="false">'Смета Внутр'!D897</f>
        <v>0</v>
      </c>
      <c r="E897" s="1104" t="n">
        <f aca="false">'Смета Внутр'!E897</f>
        <v>0</v>
      </c>
      <c r="F897" s="1104" t="n">
        <f aca="false">'Смета Внутр'!F897</f>
        <v>0</v>
      </c>
      <c r="G897" s="1104" t="n">
        <f aca="false">IF(E897&gt;F897,E897,F897)</f>
        <v>0</v>
      </c>
      <c r="H897" s="1104" t="n">
        <f aca="false">'Смета Внутр'!G897</f>
        <v>0</v>
      </c>
      <c r="I897" s="1104" t="n">
        <f aca="false">'Смета Внутр'!H897</f>
        <v>0</v>
      </c>
      <c r="J897" s="1109" t="n">
        <f aca="false">'Смета Внутр'!I897</f>
        <v>0</v>
      </c>
    </row>
    <row r="898" customFormat="false" ht="15" hidden="true" customHeight="true" outlineLevel="0" collapsed="false">
      <c r="B898" s="1104" t="str">
        <f aca="false">'Смета Внутр'!B898</f>
        <v>нет ветроизоляции</v>
      </c>
      <c r="C898" s="1104" t="str">
        <f aca="false">'Смета Внутр'!C898</f>
        <v>м2</v>
      </c>
      <c r="D898" s="1109" t="n">
        <f aca="false">'Смета Внутр'!D898</f>
        <v>0</v>
      </c>
      <c r="E898" s="1104" t="n">
        <f aca="false">'Смета Внутр'!E898</f>
        <v>0</v>
      </c>
      <c r="F898" s="1104" t="n">
        <f aca="false">'Смета Внутр'!F898</f>
        <v>0</v>
      </c>
      <c r="G898" s="1104" t="n">
        <f aca="false">IF(E898&gt;F898,E898,F898)</f>
        <v>0</v>
      </c>
      <c r="H898" s="1104" t="n">
        <f aca="false">'Смета Внутр'!G898</f>
        <v>0</v>
      </c>
      <c r="I898" s="1104" t="n">
        <f aca="false">'Смета Внутр'!H898</f>
        <v>0</v>
      </c>
      <c r="J898" s="1109" t="n">
        <f aca="false">'Смета Внутр'!I898</f>
        <v>0</v>
      </c>
    </row>
    <row r="899" customFormat="false" ht="15" hidden="true" customHeight="true" outlineLevel="0" collapsed="false">
      <c r="B899" s="1104" t="str">
        <f aca="false">'Смета Внутр'!B899</f>
        <v>нет пароизоляции</v>
      </c>
      <c r="C899" s="1104" t="str">
        <f aca="false">'Смета Внутр'!C899</f>
        <v>м2</v>
      </c>
      <c r="D899" s="1109" t="n">
        <f aca="false">'Смета Внутр'!D899</f>
        <v>0</v>
      </c>
      <c r="E899" s="1104" t="n">
        <f aca="false">'Смета Внутр'!E899</f>
        <v>0</v>
      </c>
      <c r="F899" s="1104" t="n">
        <f aca="false">'Смета Внутр'!F899</f>
        <v>0</v>
      </c>
      <c r="G899" s="1104" t="n">
        <f aca="false">IF(E899&gt;F899,E899,F899)</f>
        <v>0</v>
      </c>
      <c r="H899" s="1104" t="n">
        <f aca="false">'Смета Внутр'!G899</f>
        <v>0</v>
      </c>
      <c r="I899" s="1104" t="n">
        <f aca="false">'Смета Внутр'!H899</f>
        <v>0</v>
      </c>
      <c r="J899" s="1109" t="n">
        <f aca="false">'Смета Внутр'!I899</f>
        <v>0</v>
      </c>
    </row>
    <row r="900" customFormat="false" ht="15" hidden="true" customHeight="true" outlineLevel="0" collapsed="false">
      <c r="B900" s="1104" t="str">
        <f aca="false">'Смета Внутр'!B900</f>
        <v>нет</v>
      </c>
      <c r="C900" s="1104" t="str">
        <f aca="false">'Смета Внутр'!C900</f>
        <v>м3</v>
      </c>
      <c r="D900" s="1109" t="n">
        <f aca="false">'Смета Внутр'!D900</f>
        <v>0</v>
      </c>
      <c r="E900" s="1104" t="n">
        <f aca="false">'Смета Внутр'!E900</f>
        <v>0</v>
      </c>
      <c r="F900" s="1104" t="n">
        <f aca="false">'Смета Внутр'!F900</f>
        <v>0</v>
      </c>
      <c r="G900" s="1104" t="n">
        <f aca="false">IF(E900&gt;F900,E900,F900)</f>
        <v>0</v>
      </c>
      <c r="H900" s="1104" t="n">
        <f aca="false">'Смета Внутр'!G900</f>
        <v>0</v>
      </c>
      <c r="I900" s="1104" t="n">
        <f aca="false">'Смета Внутр'!H900</f>
        <v>0</v>
      </c>
      <c r="J900" s="1109" t="n">
        <f aca="false">'Смета Внутр'!I900</f>
        <v>0</v>
      </c>
    </row>
    <row r="901" customFormat="false" ht="15" hidden="true" customHeight="true" outlineLevel="0" collapsed="false">
      <c r="B901" s="1104" t="str">
        <f aca="false">'Смета Внутр'!B901</f>
        <v>нет</v>
      </c>
      <c r="C901" s="1104" t="str">
        <f aca="false">'Смета Внутр'!C901</f>
        <v>м3</v>
      </c>
      <c r="D901" s="1109" t="n">
        <f aca="false">'Смета Внутр'!D901</f>
        <v>0</v>
      </c>
      <c r="E901" s="1104" t="n">
        <f aca="false">'Смета Внутр'!E901</f>
        <v>0</v>
      </c>
      <c r="F901" s="1104" t="n">
        <f aca="false">'Смета Внутр'!F901</f>
        <v>0</v>
      </c>
      <c r="G901" s="1104" t="n">
        <f aca="false">IF(E901&gt;F901,E901,F901)</f>
        <v>0</v>
      </c>
      <c r="H901" s="1104" t="n">
        <f aca="false">'Смета Внутр'!G901</f>
        <v>0</v>
      </c>
      <c r="I901" s="1104" t="n">
        <f aca="false">'Смета Внутр'!H901</f>
        <v>0</v>
      </c>
      <c r="J901" s="1109" t="n">
        <f aca="false">'Смета Внутр'!I901</f>
        <v>0</v>
      </c>
    </row>
    <row r="902" customFormat="false" ht="15" hidden="true" customHeight="true" outlineLevel="0" collapsed="false">
      <c r="B902" s="1104" t="str">
        <f aca="false">'Смета Внутр'!B902</f>
        <v>нет</v>
      </c>
      <c r="C902" s="1104" t="str">
        <f aca="false">'Смета Внутр'!C902</f>
        <v>м3</v>
      </c>
      <c r="D902" s="1109" t="n">
        <f aca="false">'Смета Внутр'!D902</f>
        <v>0</v>
      </c>
      <c r="E902" s="1104" t="n">
        <f aca="false">'Смета Внутр'!E902</f>
        <v>0</v>
      </c>
      <c r="F902" s="1104" t="n">
        <f aca="false">'Смета Внутр'!F902</f>
        <v>0</v>
      </c>
      <c r="G902" s="1104" t="n">
        <f aca="false">IF(E902&gt;F902,E902,F902)</f>
        <v>0</v>
      </c>
      <c r="H902" s="1104" t="n">
        <f aca="false">'Смета Внутр'!G902</f>
        <v>0</v>
      </c>
      <c r="I902" s="1104" t="n">
        <f aca="false">'Смета Внутр'!H902</f>
        <v>0</v>
      </c>
      <c r="J902" s="1109" t="n">
        <f aca="false">'Смета Внутр'!I902</f>
        <v>0</v>
      </c>
    </row>
    <row r="903" customFormat="false" ht="15" hidden="true" customHeight="true" outlineLevel="0" collapsed="false">
      <c r="B903" s="1104" t="str">
        <f aca="false">'Смета Внутр'!B903</f>
        <v>нет</v>
      </c>
      <c r="C903" s="1104" t="str">
        <f aca="false">'Смета Внутр'!C903</f>
        <v>м3</v>
      </c>
      <c r="D903" s="1109" t="n">
        <f aca="false">'Смета Внутр'!D903</f>
        <v>0</v>
      </c>
      <c r="E903" s="1104" t="n">
        <f aca="false">'Смета Внутр'!E903</f>
        <v>0</v>
      </c>
      <c r="F903" s="1104" t="n">
        <f aca="false">'Смета Внутр'!F903</f>
        <v>0</v>
      </c>
      <c r="G903" s="1104" t="n">
        <f aca="false">IF(E903&gt;F903,E903,F903)</f>
        <v>0</v>
      </c>
      <c r="H903" s="1104" t="n">
        <f aca="false">'Смета Внутр'!G903</f>
        <v>0</v>
      </c>
      <c r="I903" s="1104" t="n">
        <f aca="false">'Смета Внутр'!H903</f>
        <v>0</v>
      </c>
      <c r="J903" s="1109" t="n">
        <f aca="false">'Смета Внутр'!I903</f>
        <v>0</v>
      </c>
    </row>
    <row r="904" customFormat="false" ht="15" hidden="true" customHeight="true" outlineLevel="0" collapsed="false">
      <c r="B904" s="1104" t="str">
        <f aca="false">'Смета Внутр'!B904</f>
        <v>нет</v>
      </c>
      <c r="C904" s="1104" t="str">
        <f aca="false">'Смета Внутр'!C904</f>
        <v>м3</v>
      </c>
      <c r="D904" s="1109" t="n">
        <f aca="false">'Смета Внутр'!D904</f>
        <v>0</v>
      </c>
      <c r="E904" s="1104" t="n">
        <f aca="false">'Смета Внутр'!E904</f>
        <v>0</v>
      </c>
      <c r="F904" s="1104" t="n">
        <f aca="false">'Смета Внутр'!F904</f>
        <v>0</v>
      </c>
      <c r="G904" s="1104" t="n">
        <f aca="false">IF(E904&gt;F904,E904,F904)</f>
        <v>0</v>
      </c>
      <c r="H904" s="1104" t="n">
        <f aca="false">'Смета Внутр'!G904</f>
        <v>0</v>
      </c>
      <c r="I904" s="1104" t="n">
        <f aca="false">'Смета Внутр'!H904</f>
        <v>0</v>
      </c>
      <c r="J904" s="1109" t="n">
        <f aca="false">'Смета Внутр'!I904</f>
        <v>0</v>
      </c>
    </row>
    <row r="905" customFormat="false" ht="15" hidden="true" customHeight="true" outlineLevel="0" collapsed="false">
      <c r="B905" s="1104" t="str">
        <f aca="false">'Смета Внутр'!B905</f>
        <v>нет</v>
      </c>
      <c r="C905" s="1104" t="str">
        <f aca="false">'Смета Внутр'!C905</f>
        <v>м3</v>
      </c>
      <c r="D905" s="1109" t="n">
        <f aca="false">'Смета Внутр'!D905</f>
        <v>0</v>
      </c>
      <c r="E905" s="1104" t="n">
        <f aca="false">'Смета Внутр'!E905</f>
        <v>0</v>
      </c>
      <c r="F905" s="1104" t="n">
        <f aca="false">'Смета Внутр'!F905</f>
        <v>0</v>
      </c>
      <c r="G905" s="1104" t="n">
        <f aca="false">IF(E905&gt;F905,E905,F905)</f>
        <v>0</v>
      </c>
      <c r="H905" s="1104" t="n">
        <f aca="false">'Смета Внутр'!G905</f>
        <v>0</v>
      </c>
      <c r="I905" s="1104" t="n">
        <f aca="false">'Смета Внутр'!H905</f>
        <v>0</v>
      </c>
      <c r="J905" s="1109" t="n">
        <f aca="false">'Смета Внутр'!I905</f>
        <v>0</v>
      </c>
    </row>
    <row r="906" customFormat="false" ht="15" hidden="true" customHeight="true" outlineLevel="0" collapsed="false">
      <c r="B906" s="1104" t="str">
        <f aca="false">'Смета Внутр'!B906</f>
        <v>Гвозди ершоные 2,8 х 90            </v>
      </c>
      <c r="C906" s="1104" t="str">
        <f aca="false">'Смета Внутр'!C906</f>
        <v>кг</v>
      </c>
      <c r="D906" s="1109" t="n">
        <f aca="false">'Смета Внутр'!D906</f>
        <v>0</v>
      </c>
      <c r="E906" s="1104" t="n">
        <f aca="false">'Смета Внутр'!E906</f>
        <v>76.49</v>
      </c>
      <c r="F906" s="1104" t="n">
        <f aca="false">'Смета Внутр'!F906</f>
        <v>0</v>
      </c>
      <c r="G906" s="1104" t="n">
        <f aca="false">IF(E906&gt;F906,E906,F906)</f>
        <v>76.49</v>
      </c>
      <c r="H906" s="1104" t="n">
        <f aca="false">'Смета Внутр'!G906</f>
        <v>0</v>
      </c>
      <c r="I906" s="1104" t="n">
        <f aca="false">'Смета Внутр'!H906</f>
        <v>0</v>
      </c>
      <c r="J906" s="1109" t="n">
        <f aca="false">'Смета Внутр'!I906</f>
        <v>0</v>
      </c>
    </row>
    <row r="907" customFormat="false" ht="15" hidden="true" customHeight="false" outlineLevel="0" collapsed="false">
      <c r="B907" s="1108" t="str">
        <f aca="false">'Смета Внутр'!B907</f>
        <v>Итого материалы</v>
      </c>
      <c r="C907" s="1108"/>
      <c r="D907" s="1108"/>
      <c r="E907" s="1108"/>
      <c r="F907" s="1108"/>
      <c r="G907" s="1108"/>
      <c r="H907" s="1104" t="n">
        <f aca="false">'Смета Внутр'!G907</f>
        <v>161912.141333333</v>
      </c>
      <c r="I907" s="1104" t="n">
        <f aca="false">'Смета Внутр'!H907</f>
        <v>161912.141333333</v>
      </c>
      <c r="J907" s="1109" t="n">
        <f aca="false">SUM(J727:J906)*J725</f>
        <v>161912.141333333</v>
      </c>
    </row>
    <row r="908" customFormat="false" ht="15" hidden="true" customHeight="true" outlineLevel="0" collapsed="false">
      <c r="B908" s="118" t="str">
        <f aca="false">'Смета Внутр'!B908</f>
        <v>Работы</v>
      </c>
      <c r="H908" s="118" t="n">
        <f aca="false">'Смета Внутр'!G908</f>
        <v>0</v>
      </c>
      <c r="I908" s="118" t="n">
        <f aca="false">'Смета Внутр'!H908</f>
        <v>1</v>
      </c>
      <c r="J908" s="1102" t="n">
        <f aca="false">J725</f>
        <v>1</v>
      </c>
    </row>
    <row r="909" customFormat="false" ht="15" hidden="true" customHeight="true" outlineLevel="0" collapsed="false">
      <c r="B909" s="1104" t="str">
        <f aca="false">'Смета Внутр'!B909</f>
        <v>Монтаж плит ЖБИ</v>
      </c>
      <c r="C909" s="1104" t="str">
        <f aca="false">'Смета Внутр'!C909</f>
        <v>м2</v>
      </c>
      <c r="D909" s="1109" t="n">
        <f aca="false">'Смета Внутр'!D909</f>
        <v>0</v>
      </c>
      <c r="E909" s="1104" t="n">
        <f aca="false">'Смета Внутр'!E909</f>
        <v>200</v>
      </c>
      <c r="F909" s="1104" t="n">
        <f aca="false">'Смета Внутр'!F909</f>
        <v>0</v>
      </c>
      <c r="G909" s="1104" t="n">
        <f aca="false">IF(E909&gt;F909,E909,F909)</f>
        <v>200</v>
      </c>
      <c r="H909" s="1104" t="n">
        <f aca="false">'Смета Внутр'!G909</f>
        <v>0</v>
      </c>
      <c r="I909" s="1104" t="n">
        <f aca="false">'Смета Внутр'!H909</f>
        <v>0</v>
      </c>
      <c r="J909" s="1109" t="n">
        <f aca="false">'Смета Внутр'!I909</f>
        <v>0</v>
      </c>
    </row>
    <row r="910" customFormat="false" ht="15" hidden="true" customHeight="true" outlineLevel="0" collapsed="false">
      <c r="B910" s="1104" t="str">
        <f aca="false">'Смета Внутр'!B910</f>
        <v>Монтаж опалубки</v>
      </c>
      <c r="C910" s="1104" t="str">
        <f aca="false">'Смета Внутр'!C910</f>
        <v>м2</v>
      </c>
      <c r="D910" s="1109" t="n">
        <f aca="false">'Смета Внутр'!D910</f>
        <v>0</v>
      </c>
      <c r="E910" s="1104" t="n">
        <f aca="false">'Смета Внутр'!E910</f>
        <v>200</v>
      </c>
      <c r="F910" s="1104" t="n">
        <f aca="false">'Смета Внутр'!F910</f>
        <v>0</v>
      </c>
      <c r="G910" s="1104" t="n">
        <f aca="false">IF(E910&gt;F910,E910,F910)</f>
        <v>200</v>
      </c>
      <c r="H910" s="1104" t="n">
        <f aca="false">'Смета Внутр'!G910</f>
        <v>0</v>
      </c>
      <c r="I910" s="1104" t="n">
        <f aca="false">'Смета Внутр'!H910</f>
        <v>0</v>
      </c>
      <c r="J910" s="1109" t="n">
        <f aca="false">'Смета Внутр'!I910</f>
        <v>0</v>
      </c>
    </row>
    <row r="911" customFormat="false" ht="15" hidden="true" customHeight="true" outlineLevel="0" collapsed="false">
      <c r="B911" s="1104" t="str">
        <f aca="false">'Смета Внутр'!B911</f>
        <v>Укладка пленки гидроизоляционной</v>
      </c>
      <c r="C911" s="1104" t="str">
        <f aca="false">'Смета Внутр'!C911</f>
        <v>м2</v>
      </c>
      <c r="D911" s="1109" t="n">
        <f aca="false">'Смета Внутр'!D911</f>
        <v>0</v>
      </c>
      <c r="E911" s="1104" t="n">
        <f aca="false">'Смета Внутр'!E911</f>
        <v>40</v>
      </c>
      <c r="F911" s="1104" t="n">
        <f aca="false">'Смета Внутр'!F911</f>
        <v>0</v>
      </c>
      <c r="G911" s="1104" t="n">
        <f aca="false">IF(E911&gt;F911,E911,F911)</f>
        <v>40</v>
      </c>
      <c r="H911" s="1104" t="n">
        <f aca="false">'Смета Внутр'!G911</f>
        <v>0</v>
      </c>
      <c r="I911" s="1104" t="n">
        <f aca="false">'Смета Внутр'!H911</f>
        <v>0</v>
      </c>
      <c r="J911" s="1109" t="n">
        <f aca="false">'Смета Внутр'!I911</f>
        <v>0</v>
      </c>
    </row>
    <row r="912" customFormat="false" ht="15" hidden="true" customHeight="true" outlineLevel="0" collapsed="false">
      <c r="B912" s="1104" t="str">
        <f aca="false">'Смета Внутр'!B912</f>
        <v>Армирование перекрытия/плиты</v>
      </c>
      <c r="C912" s="1104" t="str">
        <f aca="false">'Смета Внутр'!C912</f>
        <v>м2</v>
      </c>
      <c r="D912" s="1109" t="n">
        <f aca="false">'Смета Внутр'!D912</f>
        <v>0</v>
      </c>
      <c r="E912" s="1104" t="n">
        <f aca="false">'Смета Внутр'!E912</f>
        <v>300</v>
      </c>
      <c r="F912" s="1104" t="n">
        <f aca="false">'Смета Внутр'!F912</f>
        <v>0</v>
      </c>
      <c r="G912" s="1104" t="n">
        <f aca="false">IF(E912&gt;F912,E912,F912)</f>
        <v>300</v>
      </c>
      <c r="H912" s="1104" t="n">
        <f aca="false">'Смета Внутр'!G912</f>
        <v>0</v>
      </c>
      <c r="I912" s="1104" t="n">
        <f aca="false">'Смета Внутр'!H912</f>
        <v>0</v>
      </c>
      <c r="J912" s="1109" t="n">
        <f aca="false">'Смета Внутр'!I912</f>
        <v>0</v>
      </c>
    </row>
    <row r="913" customFormat="false" ht="15" hidden="true" customHeight="true" outlineLevel="0" collapsed="false">
      <c r="B913" s="1104" t="str">
        <f aca="false">'Смета Внутр'!B913</f>
        <v>Заливка бетоном перекрытия/плиты</v>
      </c>
      <c r="C913" s="1104" t="str">
        <f aca="false">'Смета Внутр'!C913</f>
        <v>м2</v>
      </c>
      <c r="D913" s="1109" t="n">
        <f aca="false">'Смета Внутр'!D913</f>
        <v>0</v>
      </c>
      <c r="E913" s="1104" t="n">
        <f aca="false">'Смета Внутр'!E913</f>
        <v>350</v>
      </c>
      <c r="F913" s="1104" t="n">
        <f aca="false">'Смета Внутр'!F913</f>
        <v>0</v>
      </c>
      <c r="G913" s="1104" t="n">
        <f aca="false">IF(E913&gt;F913,E913,F913)</f>
        <v>350</v>
      </c>
      <c r="H913" s="1104" t="n">
        <f aca="false">'Смета Внутр'!G913</f>
        <v>0</v>
      </c>
      <c r="I913" s="1104" t="n">
        <f aca="false">'Смета Внутр'!H913</f>
        <v>0</v>
      </c>
      <c r="J913" s="1109" t="n">
        <f aca="false">'Смета Внутр'!I913</f>
        <v>0</v>
      </c>
    </row>
    <row r="914" customFormat="false" ht="15" hidden="true" customHeight="true" outlineLevel="0" collapsed="false">
      <c r="B914" s="1104" t="str">
        <f aca="false">'Смета Внутр'!B914</f>
        <v>Монтаж перекрытий из бруса</v>
      </c>
      <c r="C914" s="1104" t="str">
        <f aca="false">'Смета Внутр'!C914</f>
        <v>м2</v>
      </c>
      <c r="D914" s="1109" t="n">
        <f aca="false">'Смета Внутр'!D914</f>
        <v>0</v>
      </c>
      <c r="E914" s="1104" t="n">
        <f aca="false">'Смета Внутр'!E914</f>
        <v>300</v>
      </c>
      <c r="F914" s="1104" t="n">
        <f aca="false">'Смета Внутр'!F914</f>
        <v>0</v>
      </c>
      <c r="G914" s="1104" t="n">
        <f aca="false">IF(E914&gt;F914,E914,F914)</f>
        <v>300</v>
      </c>
      <c r="H914" s="1104" t="n">
        <f aca="false">'Смета Внутр'!G914</f>
        <v>0</v>
      </c>
      <c r="I914" s="1104" t="n">
        <f aca="false">'Смета Внутр'!H914</f>
        <v>0</v>
      </c>
      <c r="J914" s="1109" t="n">
        <f aca="false">'Смета Внутр'!I914</f>
        <v>0</v>
      </c>
    </row>
    <row r="915" customFormat="false" ht="15" hidden="true" customHeight="true" outlineLevel="0" collapsed="false">
      <c r="B915" s="1104" t="str">
        <f aca="false">'Смета Внутр'!B915</f>
        <v>Монтаж перекрытий Сип-панели</v>
      </c>
      <c r="C915" s="1104" t="str">
        <f aca="false">'Смета Внутр'!C915</f>
        <v>м2</v>
      </c>
      <c r="D915" s="1109" t="n">
        <f aca="false">'Смета Внутр'!D915</f>
        <v>0</v>
      </c>
      <c r="E915" s="1104" t="n">
        <f aca="false">'Смета Внутр'!E915</f>
        <v>400</v>
      </c>
      <c r="F915" s="1104" t="n">
        <f aca="false">'Смета Внутр'!F915</f>
        <v>0</v>
      </c>
      <c r="G915" s="1104" t="n">
        <f aca="false">IF(E915&gt;F915,E915,F915)</f>
        <v>400</v>
      </c>
      <c r="H915" s="1104" t="n">
        <f aca="false">'Смета Внутр'!G915</f>
        <v>0</v>
      </c>
      <c r="I915" s="1104" t="n">
        <f aca="false">'Смета Внутр'!H915</f>
        <v>0</v>
      </c>
      <c r="J915" s="1109" t="n">
        <f aca="false">'Смета Внутр'!I915</f>
        <v>0</v>
      </c>
    </row>
    <row r="916" customFormat="false" ht="15" hidden="true" customHeight="true" outlineLevel="0" collapsed="false">
      <c r="B916" s="1104" t="str">
        <f aca="false">'Смета Внутр'!B916</f>
        <v>Монтаж перекрытий из сухой доски</v>
      </c>
      <c r="C916" s="1104" t="str">
        <f aca="false">'Смета Внутр'!C916</f>
        <v>м2</v>
      </c>
      <c r="D916" s="1109" t="n">
        <f aca="false">'Смета Внутр'!D916</f>
        <v>0</v>
      </c>
      <c r="E916" s="1104" t="n">
        <f aca="false">'Смета Внутр'!E916</f>
        <v>250</v>
      </c>
      <c r="F916" s="1104" t="n">
        <f aca="false">'Смета Внутр'!F916</f>
        <v>0</v>
      </c>
      <c r="G916" s="1104" t="n">
        <f aca="false">IF(E916&gt;F916,E916,F916)</f>
        <v>250</v>
      </c>
      <c r="H916" s="1104" t="n">
        <f aca="false">'Смета Внутр'!G916</f>
        <v>0</v>
      </c>
      <c r="I916" s="1104" t="n">
        <f aca="false">'Смета Внутр'!H916</f>
        <v>0</v>
      </c>
      <c r="J916" s="1109" t="n">
        <f aca="false">'Смета Внутр'!I916</f>
        <v>0</v>
      </c>
    </row>
    <row r="917" customFormat="false" ht="15" hidden="true" customHeight="true" outlineLevel="0" collapsed="false">
      <c r="B917" s="1104" t="str">
        <f aca="false">'Смета Внутр'!B917</f>
        <v>Монтаж перекрытий из двутавровой балки</v>
      </c>
      <c r="C917" s="1104" t="str">
        <f aca="false">'Смета Внутр'!C917</f>
        <v>м2</v>
      </c>
      <c r="D917" s="1109" t="n">
        <f aca="false">'Смета Внутр'!D917</f>
        <v>64</v>
      </c>
      <c r="E917" s="1104" t="n">
        <f aca="false">'Смета Внутр'!E917</f>
        <v>300</v>
      </c>
      <c r="F917" s="1104" t="n">
        <f aca="false">'Смета Внутр'!F917</f>
        <v>0</v>
      </c>
      <c r="G917" s="1104" t="n">
        <f aca="false">IF(E917&gt;F917,E917,F917)</f>
        <v>300</v>
      </c>
      <c r="H917" s="1104" t="n">
        <f aca="false">'Смета Внутр'!G917</f>
        <v>19200</v>
      </c>
      <c r="I917" s="1104" t="n">
        <f aca="false">'Смета Внутр'!H917</f>
        <v>19200</v>
      </c>
      <c r="J917" s="1109" t="n">
        <f aca="false">'Смета Внутр'!I917</f>
        <v>19200</v>
      </c>
    </row>
    <row r="918" customFormat="false" ht="15" hidden="true" customHeight="true" outlineLevel="0" collapsed="false">
      <c r="B918" s="1104" t="str">
        <f aca="false">'Смета Внутр'!B918</f>
        <v>Монтаж перекрестного пола</v>
      </c>
      <c r="C918" s="1104" t="str">
        <f aca="false">'Смета Внутр'!C918</f>
        <v>м2</v>
      </c>
      <c r="D918" s="1109" t="n">
        <f aca="false">'Смета Внутр'!D918</f>
        <v>0</v>
      </c>
      <c r="E918" s="1104" t="n">
        <f aca="false">'Смета Внутр'!E918</f>
        <v>200</v>
      </c>
      <c r="F918" s="1104" t="n">
        <f aca="false">'Смета Внутр'!F918</f>
        <v>0</v>
      </c>
      <c r="G918" s="1104" t="n">
        <f aca="false">IF(E918&gt;F918,E918,F918)</f>
        <v>200</v>
      </c>
      <c r="H918" s="1104" t="n">
        <f aca="false">'Смета Внутр'!G918</f>
        <v>0</v>
      </c>
      <c r="I918" s="1104" t="n">
        <f aca="false">'Смета Внутр'!H918</f>
        <v>0</v>
      </c>
      <c r="J918" s="1109" t="n">
        <f aca="false">'Смета Внутр'!I918</f>
        <v>0</v>
      </c>
    </row>
    <row r="919" customFormat="false" ht="15" hidden="true" customHeight="true" outlineLevel="0" collapsed="false">
      <c r="B919" s="1104" t="str">
        <f aca="false">'Смета Внутр'!B919</f>
        <v>Монтаж утеплителя перекрытия</v>
      </c>
      <c r="C919" s="1104" t="str">
        <f aca="false">'Смета Внутр'!C919</f>
        <v>м2</v>
      </c>
      <c r="D919" s="1109" t="n">
        <f aca="false">'Смета Внутр'!D919</f>
        <v>64</v>
      </c>
      <c r="E919" s="1104" t="n">
        <f aca="false">'Смета Внутр'!E919</f>
        <v>200</v>
      </c>
      <c r="F919" s="1104" t="n">
        <f aca="false">'Смета Внутр'!F919</f>
        <v>0</v>
      </c>
      <c r="G919" s="1104" t="n">
        <f aca="false">IF(E919&gt;F919,E919,F919)</f>
        <v>200</v>
      </c>
      <c r="H919" s="1104" t="n">
        <f aca="false">'Смета Внутр'!G919</f>
        <v>12800</v>
      </c>
      <c r="I919" s="1104" t="n">
        <f aca="false">'Смета Внутр'!H919</f>
        <v>12800</v>
      </c>
      <c r="J919" s="1109" t="n">
        <f aca="false">'Смета Внутр'!I919</f>
        <v>12800</v>
      </c>
    </row>
    <row r="920" customFormat="false" ht="15" hidden="true" customHeight="true" outlineLevel="0" collapsed="false">
      <c r="B920" s="1104" t="str">
        <f aca="false">'Смета Внутр'!B920</f>
        <v>Монтаж ветроизоляции перекрытий</v>
      </c>
      <c r="C920" s="1104" t="str">
        <f aca="false">'Смета Внутр'!C920</f>
        <v>м2</v>
      </c>
      <c r="D920" s="1109" t="n">
        <f aca="false">'Смета Внутр'!D920</f>
        <v>0</v>
      </c>
      <c r="E920" s="1104" t="n">
        <f aca="false">'Смета Внутр'!E920</f>
        <v>100</v>
      </c>
      <c r="F920" s="1104" t="n">
        <f aca="false">'Смета Внутр'!F920</f>
        <v>0</v>
      </c>
      <c r="G920" s="1104" t="n">
        <f aca="false">IF(E920&gt;F920,E920,F920)</f>
        <v>100</v>
      </c>
      <c r="H920" s="1104" t="n">
        <f aca="false">'Смета Внутр'!G920</f>
        <v>0</v>
      </c>
      <c r="I920" s="1104" t="n">
        <f aca="false">'Смета Внутр'!H920</f>
        <v>0</v>
      </c>
      <c r="J920" s="1109" t="n">
        <f aca="false">'Смета Внутр'!I920</f>
        <v>0</v>
      </c>
    </row>
    <row r="921" customFormat="false" ht="15" hidden="true" customHeight="true" outlineLevel="0" collapsed="false">
      <c r="B921" s="1104" t="str">
        <f aca="false">'Смета Внутр'!B921</f>
        <v>Монтаж пароизоляции перекрытий</v>
      </c>
      <c r="C921" s="1104" t="str">
        <f aca="false">'Смета Внутр'!C921</f>
        <v>м2</v>
      </c>
      <c r="D921" s="1109" t="n">
        <f aca="false">'Смета Внутр'!D921</f>
        <v>0</v>
      </c>
      <c r="E921" s="1104" t="n">
        <f aca="false">'Смета Внутр'!E921</f>
        <v>100</v>
      </c>
      <c r="F921" s="1104" t="n">
        <f aca="false">'Смета Внутр'!F921</f>
        <v>0</v>
      </c>
      <c r="G921" s="1104" t="n">
        <f aca="false">IF(E921&gt;F921,E921,F921)</f>
        <v>100</v>
      </c>
      <c r="H921" s="1104" t="n">
        <f aca="false">'Смета Внутр'!G921</f>
        <v>0</v>
      </c>
      <c r="I921" s="1104" t="n">
        <f aca="false">'Смета Внутр'!H921</f>
        <v>0</v>
      </c>
      <c r="J921" s="1109" t="n">
        <f aca="false">'Смета Внутр'!I921</f>
        <v>0</v>
      </c>
    </row>
    <row r="922" customFormat="false" ht="15" hidden="true" customHeight="true" outlineLevel="0" collapsed="false">
      <c r="B922" s="1104" t="str">
        <f aca="false">'Смета Внутр'!B922</f>
        <v>Монтаж плит ЖБИ</v>
      </c>
      <c r="C922" s="1104" t="str">
        <f aca="false">'Смета Внутр'!C922</f>
        <v>м2</v>
      </c>
      <c r="D922" s="1109" t="n">
        <f aca="false">'Смета Внутр'!D922</f>
        <v>0</v>
      </c>
      <c r="E922" s="1104" t="n">
        <f aca="false">'Смета Внутр'!E922</f>
        <v>200</v>
      </c>
      <c r="F922" s="1104" t="n">
        <f aca="false">'Смета Внутр'!F922</f>
        <v>0</v>
      </c>
      <c r="G922" s="1104" t="n">
        <f aca="false">IF(E922&gt;F922,E922,F922)</f>
        <v>200</v>
      </c>
      <c r="H922" s="1104" t="n">
        <f aca="false">'Смета Внутр'!G922</f>
        <v>0</v>
      </c>
      <c r="I922" s="1104" t="n">
        <f aca="false">'Смета Внутр'!H922</f>
        <v>0</v>
      </c>
      <c r="J922" s="1109" t="n">
        <f aca="false">'Смета Внутр'!I922</f>
        <v>0</v>
      </c>
    </row>
    <row r="923" customFormat="false" ht="15" hidden="true" customHeight="true" outlineLevel="0" collapsed="false">
      <c r="B923" s="1104" t="str">
        <f aca="false">'Смета Внутр'!B923</f>
        <v>Монтаж опалубки</v>
      </c>
      <c r="C923" s="1104" t="str">
        <f aca="false">'Смета Внутр'!C923</f>
        <v>м2</v>
      </c>
      <c r="D923" s="1109" t="n">
        <f aca="false">'Смета Внутр'!D923</f>
        <v>64</v>
      </c>
      <c r="E923" s="1104" t="n">
        <f aca="false">'Смета Внутр'!E923</f>
        <v>200</v>
      </c>
      <c r="F923" s="1104" t="n">
        <f aca="false">'Смета Внутр'!F923</f>
        <v>0</v>
      </c>
      <c r="G923" s="1104" t="n">
        <f aca="false">IF(E923&gt;F923,E923,F923)</f>
        <v>200</v>
      </c>
      <c r="H923" s="1104" t="n">
        <f aca="false">'Смета Внутр'!G923</f>
        <v>12800</v>
      </c>
      <c r="I923" s="1104" t="n">
        <f aca="false">'Смета Внутр'!H923</f>
        <v>12800</v>
      </c>
      <c r="J923" s="1109" t="n">
        <f aca="false">'Смета Внутр'!I923</f>
        <v>12800</v>
      </c>
    </row>
    <row r="924" customFormat="false" ht="15" hidden="true" customHeight="true" outlineLevel="0" collapsed="false">
      <c r="B924" s="1104" t="str">
        <f aca="false">'Смета Внутр'!B924</f>
        <v>Укладка пленки гидроизоляционной</v>
      </c>
      <c r="C924" s="1104" t="str">
        <f aca="false">'Смета Внутр'!C924</f>
        <v>м2</v>
      </c>
      <c r="D924" s="1109" t="n">
        <f aca="false">'Смета Внутр'!D924</f>
        <v>64</v>
      </c>
      <c r="E924" s="1104" t="n">
        <f aca="false">'Смета Внутр'!E924</f>
        <v>40</v>
      </c>
      <c r="F924" s="1104" t="n">
        <f aca="false">'Смета Внутр'!F924</f>
        <v>0</v>
      </c>
      <c r="G924" s="1104" t="n">
        <f aca="false">IF(E924&gt;F924,E924,F924)</f>
        <v>40</v>
      </c>
      <c r="H924" s="1104" t="n">
        <f aca="false">'Смета Внутр'!G924</f>
        <v>2560</v>
      </c>
      <c r="I924" s="1104" t="n">
        <f aca="false">'Смета Внутр'!H924</f>
        <v>2560</v>
      </c>
      <c r="J924" s="1109" t="n">
        <f aca="false">'Смета Внутр'!I924</f>
        <v>2560</v>
      </c>
    </row>
    <row r="925" customFormat="false" ht="15" hidden="true" customHeight="true" outlineLevel="0" collapsed="false">
      <c r="B925" s="1104" t="str">
        <f aca="false">'Смета Внутр'!B925</f>
        <v>Армирование перекрытия/плиты</v>
      </c>
      <c r="C925" s="1104" t="str">
        <f aca="false">'Смета Внутр'!C925</f>
        <v>м2</v>
      </c>
      <c r="D925" s="1109" t="n">
        <f aca="false">'Смета Внутр'!D925</f>
        <v>64</v>
      </c>
      <c r="E925" s="1104" t="n">
        <f aca="false">'Смета Внутр'!E925</f>
        <v>300</v>
      </c>
      <c r="F925" s="1104" t="n">
        <f aca="false">'Смета Внутр'!F925</f>
        <v>0</v>
      </c>
      <c r="G925" s="1104" t="n">
        <f aca="false">IF(E925&gt;F925,E925,F925)</f>
        <v>300</v>
      </c>
      <c r="H925" s="1104" t="n">
        <f aca="false">'Смета Внутр'!G925</f>
        <v>19200</v>
      </c>
      <c r="I925" s="1104" t="n">
        <f aca="false">'Смета Внутр'!H925</f>
        <v>19200</v>
      </c>
      <c r="J925" s="1109" t="n">
        <f aca="false">'Смета Внутр'!I925</f>
        <v>19200</v>
      </c>
    </row>
    <row r="926" customFormat="false" ht="15" hidden="true" customHeight="true" outlineLevel="0" collapsed="false">
      <c r="B926" s="1104" t="str">
        <f aca="false">'Смета Внутр'!B926</f>
        <v>Заливка бетоном перекрытия/плиты</v>
      </c>
      <c r="C926" s="1104" t="str">
        <f aca="false">'Смета Внутр'!C926</f>
        <v>м2</v>
      </c>
      <c r="D926" s="1109" t="n">
        <f aca="false">'Смета Внутр'!D926</f>
        <v>64</v>
      </c>
      <c r="E926" s="1104" t="n">
        <f aca="false">'Смета Внутр'!E926</f>
        <v>350</v>
      </c>
      <c r="F926" s="1104" t="n">
        <f aca="false">'Смета Внутр'!F926</f>
        <v>0</v>
      </c>
      <c r="G926" s="1104" t="n">
        <f aca="false">IF(E926&gt;F926,E926,F926)</f>
        <v>350</v>
      </c>
      <c r="H926" s="1104" t="n">
        <f aca="false">'Смета Внутр'!G926</f>
        <v>22400</v>
      </c>
      <c r="I926" s="1104" t="n">
        <f aca="false">'Смета Внутр'!H926</f>
        <v>22400</v>
      </c>
      <c r="J926" s="1109" t="n">
        <f aca="false">'Смета Внутр'!I926</f>
        <v>22400</v>
      </c>
    </row>
    <row r="927" customFormat="false" ht="15" hidden="true" customHeight="true" outlineLevel="0" collapsed="false">
      <c r="B927" s="1104" t="str">
        <f aca="false">'Смета Внутр'!B927</f>
        <v>Монтаж перекрытий из бруса</v>
      </c>
      <c r="C927" s="1104" t="str">
        <f aca="false">'Смета Внутр'!C927</f>
        <v>м2</v>
      </c>
      <c r="D927" s="1109" t="n">
        <f aca="false">'Смета Внутр'!D927</f>
        <v>0</v>
      </c>
      <c r="E927" s="1104" t="n">
        <f aca="false">'Смета Внутр'!E927</f>
        <v>300</v>
      </c>
      <c r="F927" s="1104" t="n">
        <f aca="false">'Смета Внутр'!F927</f>
        <v>0</v>
      </c>
      <c r="G927" s="1104" t="n">
        <f aca="false">IF(E927&gt;F927,E927,F927)</f>
        <v>300</v>
      </c>
      <c r="H927" s="1104" t="n">
        <f aca="false">'Смета Внутр'!G927</f>
        <v>0</v>
      </c>
      <c r="I927" s="1104" t="n">
        <f aca="false">'Смета Внутр'!H927</f>
        <v>0</v>
      </c>
      <c r="J927" s="1109" t="n">
        <f aca="false">'Смета Внутр'!I927</f>
        <v>0</v>
      </c>
    </row>
    <row r="928" customFormat="false" ht="15" hidden="true" customHeight="true" outlineLevel="0" collapsed="false">
      <c r="B928" s="1104" t="str">
        <f aca="false">'Смета Внутр'!B928</f>
        <v>Монтаж перекрытий Сип-панели</v>
      </c>
      <c r="C928" s="1104" t="str">
        <f aca="false">'Смета Внутр'!C928</f>
        <v>м2</v>
      </c>
      <c r="D928" s="1109" t="n">
        <f aca="false">'Смета Внутр'!D928</f>
        <v>0</v>
      </c>
      <c r="E928" s="1104" t="n">
        <f aca="false">'Смета Внутр'!E928</f>
        <v>400</v>
      </c>
      <c r="F928" s="1104" t="n">
        <f aca="false">'Смета Внутр'!F928</f>
        <v>0</v>
      </c>
      <c r="G928" s="1104" t="n">
        <f aca="false">IF(E928&gt;F928,E928,F928)</f>
        <v>400</v>
      </c>
      <c r="H928" s="1104" t="n">
        <f aca="false">'Смета Внутр'!G928</f>
        <v>0</v>
      </c>
      <c r="I928" s="1104" t="n">
        <f aca="false">'Смета Внутр'!H928</f>
        <v>0</v>
      </c>
      <c r="J928" s="1109" t="n">
        <f aca="false">'Смета Внутр'!I928</f>
        <v>0</v>
      </c>
    </row>
    <row r="929" customFormat="false" ht="15" hidden="true" customHeight="true" outlineLevel="0" collapsed="false">
      <c r="B929" s="1104" t="str">
        <f aca="false">'Смета Внутр'!B929</f>
        <v>Монтаж перекрытий из сухой доски</v>
      </c>
      <c r="C929" s="1104" t="str">
        <f aca="false">'Смета Внутр'!C929</f>
        <v>м2</v>
      </c>
      <c r="D929" s="1109" t="n">
        <f aca="false">'Смета Внутр'!D929</f>
        <v>0</v>
      </c>
      <c r="E929" s="1104" t="n">
        <f aca="false">'Смета Внутр'!E929</f>
        <v>250</v>
      </c>
      <c r="F929" s="1104" t="n">
        <f aca="false">'Смета Внутр'!F929</f>
        <v>0</v>
      </c>
      <c r="G929" s="1104" t="n">
        <f aca="false">IF(E929&gt;F929,E929,F929)</f>
        <v>250</v>
      </c>
      <c r="H929" s="1104" t="n">
        <f aca="false">'Смета Внутр'!G929</f>
        <v>0</v>
      </c>
      <c r="I929" s="1104" t="n">
        <f aca="false">'Смета Внутр'!H929</f>
        <v>0</v>
      </c>
      <c r="J929" s="1109" t="n">
        <f aca="false">'Смета Внутр'!I929</f>
        <v>0</v>
      </c>
    </row>
    <row r="930" customFormat="false" ht="15" hidden="true" customHeight="true" outlineLevel="0" collapsed="false">
      <c r="B930" s="1104" t="str">
        <f aca="false">'Смета Внутр'!B930</f>
        <v>Монтаж перекрытий из двутавровой балки</v>
      </c>
      <c r="C930" s="1104" t="str">
        <f aca="false">'Смета Внутр'!C930</f>
        <v>м2</v>
      </c>
      <c r="D930" s="1109" t="n">
        <f aca="false">'Смета Внутр'!D930</f>
        <v>0</v>
      </c>
      <c r="E930" s="1104" t="n">
        <f aca="false">'Смета Внутр'!E930</f>
        <v>300</v>
      </c>
      <c r="F930" s="1104" t="n">
        <f aca="false">'Смета Внутр'!F930</f>
        <v>0</v>
      </c>
      <c r="G930" s="1104" t="n">
        <f aca="false">IF(E930&gt;F930,E930,F930)</f>
        <v>300</v>
      </c>
      <c r="H930" s="1104" t="n">
        <f aca="false">'Смета Внутр'!G930</f>
        <v>0</v>
      </c>
      <c r="I930" s="1104" t="n">
        <f aca="false">'Смета Внутр'!H930</f>
        <v>0</v>
      </c>
      <c r="J930" s="1109" t="n">
        <f aca="false">'Смета Внутр'!I930</f>
        <v>0</v>
      </c>
    </row>
    <row r="931" customFormat="false" ht="15" hidden="true" customHeight="true" outlineLevel="0" collapsed="false">
      <c r="B931" s="1104" t="str">
        <f aca="false">'Смета Внутр'!B931</f>
        <v>Монтаж утеплителя перекрытия</v>
      </c>
      <c r="C931" s="1104" t="str">
        <f aca="false">'Смета Внутр'!C931</f>
        <v>м2</v>
      </c>
      <c r="D931" s="1109" t="n">
        <f aca="false">'Смета Внутр'!D931</f>
        <v>64</v>
      </c>
      <c r="E931" s="1104" t="n">
        <f aca="false">'Смета Внутр'!E931</f>
        <v>200</v>
      </c>
      <c r="F931" s="1104" t="n">
        <f aca="false">'Смета Внутр'!F931</f>
        <v>0</v>
      </c>
      <c r="G931" s="1104" t="n">
        <f aca="false">IF(E931&gt;F931,E931,F931)</f>
        <v>200</v>
      </c>
      <c r="H931" s="1104" t="n">
        <f aca="false">'Смета Внутр'!G931</f>
        <v>12800</v>
      </c>
      <c r="I931" s="1104" t="n">
        <f aca="false">'Смета Внутр'!H931</f>
        <v>12800</v>
      </c>
      <c r="J931" s="1109" t="n">
        <f aca="false">'Смета Внутр'!I931</f>
        <v>12800</v>
      </c>
    </row>
    <row r="932" customFormat="false" ht="15" hidden="true" customHeight="true" outlineLevel="0" collapsed="false">
      <c r="B932" s="1104" t="str">
        <f aca="false">'Смета Внутр'!B932</f>
        <v>Монтаж ветроизоляции перекрытий</v>
      </c>
      <c r="C932" s="1104" t="str">
        <f aca="false">'Смета Внутр'!C932</f>
        <v>м2</v>
      </c>
      <c r="D932" s="1109" t="n">
        <f aca="false">'Смета Внутр'!D932</f>
        <v>0</v>
      </c>
      <c r="E932" s="1104" t="n">
        <f aca="false">'Смета Внутр'!E932</f>
        <v>100</v>
      </c>
      <c r="F932" s="1104" t="n">
        <f aca="false">'Смета Внутр'!F932</f>
        <v>0</v>
      </c>
      <c r="G932" s="1104" t="n">
        <f aca="false">IF(E932&gt;F932,E932,F932)</f>
        <v>100</v>
      </c>
      <c r="H932" s="1104" t="n">
        <f aca="false">'Смета Внутр'!G932</f>
        <v>0</v>
      </c>
      <c r="I932" s="1104" t="n">
        <f aca="false">'Смета Внутр'!H932</f>
        <v>0</v>
      </c>
      <c r="J932" s="1109" t="n">
        <f aca="false">'Смета Внутр'!I932</f>
        <v>0</v>
      </c>
    </row>
    <row r="933" customFormat="false" ht="15" hidden="true" customHeight="true" outlineLevel="0" collapsed="false">
      <c r="B933" s="1104" t="str">
        <f aca="false">'Смета Внутр'!B933</f>
        <v>Монтаж пароизоляции перекрытий</v>
      </c>
      <c r="C933" s="1104" t="str">
        <f aca="false">'Смета Внутр'!C933</f>
        <v>м2</v>
      </c>
      <c r="D933" s="1109" t="n">
        <f aca="false">'Смета Внутр'!D933</f>
        <v>0</v>
      </c>
      <c r="E933" s="1104" t="n">
        <f aca="false">'Смета Внутр'!E933</f>
        <v>100</v>
      </c>
      <c r="F933" s="1104" t="n">
        <f aca="false">'Смета Внутр'!F933</f>
        <v>0</v>
      </c>
      <c r="G933" s="1104" t="n">
        <f aca="false">IF(E933&gt;F933,E933,F933)</f>
        <v>100</v>
      </c>
      <c r="H933" s="1104" t="n">
        <f aca="false">'Смета Внутр'!G933</f>
        <v>0</v>
      </c>
      <c r="I933" s="1104" t="n">
        <f aca="false">'Смета Внутр'!H933</f>
        <v>0</v>
      </c>
      <c r="J933" s="1109" t="n">
        <f aca="false">'Смета Внутр'!I933</f>
        <v>0</v>
      </c>
    </row>
    <row r="934" customFormat="false" ht="15" hidden="true" customHeight="true" outlineLevel="0" collapsed="false">
      <c r="B934" s="1104" t="str">
        <f aca="false">'Смета Внутр'!B934</f>
        <v>Монтаж плит ЖБИ</v>
      </c>
      <c r="C934" s="1104" t="str">
        <f aca="false">'Смета Внутр'!C934</f>
        <v>м2</v>
      </c>
      <c r="D934" s="1109" t="n">
        <f aca="false">'Смета Внутр'!D934</f>
        <v>0</v>
      </c>
      <c r="E934" s="1104" t="n">
        <f aca="false">'Смета Внутр'!E934</f>
        <v>200</v>
      </c>
      <c r="F934" s="1104" t="n">
        <f aca="false">'Смета Внутр'!F934</f>
        <v>0</v>
      </c>
      <c r="G934" s="1104" t="n">
        <f aca="false">IF(E934&gt;F934,E934,F934)</f>
        <v>200</v>
      </c>
      <c r="H934" s="1104" t="n">
        <f aca="false">'Смета Внутр'!G934</f>
        <v>0</v>
      </c>
      <c r="I934" s="1104" t="n">
        <f aca="false">'Смета Внутр'!H934</f>
        <v>0</v>
      </c>
      <c r="J934" s="1109" t="n">
        <f aca="false">'Смета Внутр'!I934</f>
        <v>0</v>
      </c>
    </row>
    <row r="935" customFormat="false" ht="15" hidden="true" customHeight="true" outlineLevel="0" collapsed="false">
      <c r="B935" s="1104" t="str">
        <f aca="false">'Смета Внутр'!B935</f>
        <v>Монтаж опалубки</v>
      </c>
      <c r="C935" s="1104" t="str">
        <f aca="false">'Смета Внутр'!C935</f>
        <v>м2</v>
      </c>
      <c r="D935" s="1109" t="n">
        <f aca="false">'Смета Внутр'!D935</f>
        <v>0</v>
      </c>
      <c r="E935" s="1104" t="n">
        <f aca="false">'Смета Внутр'!E935</f>
        <v>200</v>
      </c>
      <c r="F935" s="1104" t="n">
        <f aca="false">'Смета Внутр'!F935</f>
        <v>0</v>
      </c>
      <c r="G935" s="1104" t="n">
        <f aca="false">IF(E935&gt;F935,E935,F935)</f>
        <v>200</v>
      </c>
      <c r="H935" s="1104" t="n">
        <f aca="false">'Смета Внутр'!G935</f>
        <v>0</v>
      </c>
      <c r="I935" s="1104" t="n">
        <f aca="false">'Смета Внутр'!H935</f>
        <v>0</v>
      </c>
      <c r="J935" s="1109" t="n">
        <f aca="false">'Смета Внутр'!I935</f>
        <v>0</v>
      </c>
    </row>
    <row r="936" customFormat="false" ht="15" hidden="true" customHeight="true" outlineLevel="0" collapsed="false">
      <c r="B936" s="1104" t="str">
        <f aca="false">'Смета Внутр'!B936</f>
        <v>Укладка пленки гидроизоляционной</v>
      </c>
      <c r="C936" s="1104" t="str">
        <f aca="false">'Смета Внутр'!C936</f>
        <v>м2</v>
      </c>
      <c r="D936" s="1109" t="n">
        <f aca="false">'Смета Внутр'!D936</f>
        <v>0</v>
      </c>
      <c r="E936" s="1104" t="n">
        <f aca="false">'Смета Внутр'!E936</f>
        <v>40</v>
      </c>
      <c r="F936" s="1104" t="n">
        <f aca="false">'Смета Внутр'!F936</f>
        <v>0</v>
      </c>
      <c r="G936" s="1104" t="n">
        <f aca="false">IF(E936&gt;F936,E936,F936)</f>
        <v>40</v>
      </c>
      <c r="H936" s="1104" t="n">
        <f aca="false">'Смета Внутр'!G936</f>
        <v>0</v>
      </c>
      <c r="I936" s="1104" t="n">
        <f aca="false">'Смета Внутр'!H936</f>
        <v>0</v>
      </c>
      <c r="J936" s="1109" t="n">
        <f aca="false">'Смета Внутр'!I936</f>
        <v>0</v>
      </c>
    </row>
    <row r="937" customFormat="false" ht="15" hidden="true" customHeight="true" outlineLevel="0" collapsed="false">
      <c r="B937" s="1104" t="str">
        <f aca="false">'Смета Внутр'!B937</f>
        <v>Армирование перекрытия/плиты</v>
      </c>
      <c r="C937" s="1104" t="str">
        <f aca="false">'Смета Внутр'!C937</f>
        <v>м2</v>
      </c>
      <c r="D937" s="1109" t="n">
        <f aca="false">'Смета Внутр'!D937</f>
        <v>0</v>
      </c>
      <c r="E937" s="1104" t="n">
        <f aca="false">'Смета Внутр'!E937</f>
        <v>300</v>
      </c>
      <c r="F937" s="1104" t="n">
        <f aca="false">'Смета Внутр'!F937</f>
        <v>0</v>
      </c>
      <c r="G937" s="1104" t="n">
        <f aca="false">IF(E937&gt;F937,E937,F937)</f>
        <v>300</v>
      </c>
      <c r="H937" s="1104" t="n">
        <f aca="false">'Смета Внутр'!G937</f>
        <v>0</v>
      </c>
      <c r="I937" s="1104" t="n">
        <f aca="false">'Смета Внутр'!H937</f>
        <v>0</v>
      </c>
      <c r="J937" s="1109" t="n">
        <f aca="false">'Смета Внутр'!I937</f>
        <v>0</v>
      </c>
    </row>
    <row r="938" customFormat="false" ht="15" hidden="true" customHeight="true" outlineLevel="0" collapsed="false">
      <c r="B938" s="1104" t="str">
        <f aca="false">'Смета Внутр'!B938</f>
        <v>Заливка бетоном перекрытия/плиты</v>
      </c>
      <c r="C938" s="1104" t="str">
        <f aca="false">'Смета Внутр'!C938</f>
        <v>м2</v>
      </c>
      <c r="D938" s="1109" t="n">
        <f aca="false">'Смета Внутр'!D938</f>
        <v>0</v>
      </c>
      <c r="E938" s="1104" t="n">
        <f aca="false">'Смета Внутр'!E938</f>
        <v>350</v>
      </c>
      <c r="F938" s="1104" t="n">
        <f aca="false">'Смета Внутр'!F938</f>
        <v>0</v>
      </c>
      <c r="G938" s="1104" t="n">
        <f aca="false">IF(E938&gt;F938,E938,F938)</f>
        <v>350</v>
      </c>
      <c r="H938" s="1104" t="n">
        <f aca="false">'Смета Внутр'!G938</f>
        <v>0</v>
      </c>
      <c r="I938" s="1104" t="n">
        <f aca="false">'Смета Внутр'!H938</f>
        <v>0</v>
      </c>
      <c r="J938" s="1109" t="n">
        <f aca="false">'Смета Внутр'!I938</f>
        <v>0</v>
      </c>
    </row>
    <row r="939" customFormat="false" ht="15" hidden="true" customHeight="true" outlineLevel="0" collapsed="false">
      <c r="B939" s="1104" t="str">
        <f aca="false">'Смета Внутр'!B939</f>
        <v>Монтаж перекрытий из бруса</v>
      </c>
      <c r="C939" s="1104" t="str">
        <f aca="false">'Смета Внутр'!C939</f>
        <v>м2</v>
      </c>
      <c r="D939" s="1109" t="n">
        <f aca="false">'Смета Внутр'!D939</f>
        <v>0</v>
      </c>
      <c r="E939" s="1104" t="n">
        <f aca="false">'Смета Внутр'!E939</f>
        <v>300</v>
      </c>
      <c r="F939" s="1104" t="n">
        <f aca="false">'Смета Внутр'!F939</f>
        <v>0</v>
      </c>
      <c r="G939" s="1104" t="n">
        <f aca="false">IF(E939&gt;F939,E939,F939)</f>
        <v>300</v>
      </c>
      <c r="H939" s="1104" t="n">
        <f aca="false">'Смета Внутр'!G939</f>
        <v>0</v>
      </c>
      <c r="I939" s="1104" t="n">
        <f aca="false">'Смета Внутр'!H939</f>
        <v>0</v>
      </c>
      <c r="J939" s="1109" t="n">
        <f aca="false">'Смета Внутр'!I939</f>
        <v>0</v>
      </c>
    </row>
    <row r="940" customFormat="false" ht="15" hidden="true" customHeight="true" outlineLevel="0" collapsed="false">
      <c r="B940" s="1104" t="str">
        <f aca="false">'Смета Внутр'!B940</f>
        <v>Монтаж перекрытий Сип-панели</v>
      </c>
      <c r="C940" s="1104" t="str">
        <f aca="false">'Смета Внутр'!C940</f>
        <v>м2</v>
      </c>
      <c r="D940" s="1109" t="n">
        <f aca="false">'Смета Внутр'!D940</f>
        <v>0</v>
      </c>
      <c r="E940" s="1104" t="n">
        <f aca="false">'Смета Внутр'!E940</f>
        <v>400</v>
      </c>
      <c r="F940" s="1104" t="n">
        <f aca="false">'Смета Внутр'!F940</f>
        <v>0</v>
      </c>
      <c r="G940" s="1104" t="n">
        <f aca="false">IF(E940&gt;F940,E940,F940)</f>
        <v>400</v>
      </c>
      <c r="H940" s="1104" t="n">
        <f aca="false">'Смета Внутр'!G940</f>
        <v>0</v>
      </c>
      <c r="I940" s="1104" t="n">
        <f aca="false">'Смета Внутр'!H940</f>
        <v>0</v>
      </c>
      <c r="J940" s="1109" t="n">
        <f aca="false">'Смета Внутр'!I940</f>
        <v>0</v>
      </c>
    </row>
    <row r="941" customFormat="false" ht="15" hidden="true" customHeight="true" outlineLevel="0" collapsed="false">
      <c r="B941" s="1104" t="str">
        <f aca="false">'Смета Внутр'!B941</f>
        <v>Монтаж перекрытий из сухой доски</v>
      </c>
      <c r="C941" s="1104" t="str">
        <f aca="false">'Смета Внутр'!C941</f>
        <v>м2</v>
      </c>
      <c r="D941" s="1109" t="n">
        <f aca="false">'Смета Внутр'!D941</f>
        <v>0</v>
      </c>
      <c r="E941" s="1104" t="n">
        <f aca="false">'Смета Внутр'!E941</f>
        <v>250</v>
      </c>
      <c r="F941" s="1104" t="n">
        <f aca="false">'Смета Внутр'!F941</f>
        <v>0</v>
      </c>
      <c r="G941" s="1104" t="n">
        <f aca="false">IF(E941&gt;F941,E941,F941)</f>
        <v>250</v>
      </c>
      <c r="H941" s="1104" t="n">
        <f aca="false">'Смета Внутр'!G941</f>
        <v>0</v>
      </c>
      <c r="I941" s="1104" t="n">
        <f aca="false">'Смета Внутр'!H941</f>
        <v>0</v>
      </c>
      <c r="J941" s="1109" t="n">
        <f aca="false">'Смета Внутр'!I941</f>
        <v>0</v>
      </c>
    </row>
    <row r="942" customFormat="false" ht="15" hidden="true" customHeight="true" outlineLevel="0" collapsed="false">
      <c r="B942" s="1104" t="str">
        <f aca="false">'Смета Внутр'!B942</f>
        <v>Монтаж перекрытий из двутавровой балки</v>
      </c>
      <c r="C942" s="1104" t="str">
        <f aca="false">'Смета Внутр'!C942</f>
        <v>м2</v>
      </c>
      <c r="D942" s="1109" t="n">
        <f aca="false">'Смета Внутр'!D942</f>
        <v>0</v>
      </c>
      <c r="E942" s="1104" t="n">
        <f aca="false">'Смета Внутр'!E942</f>
        <v>300</v>
      </c>
      <c r="F942" s="1104" t="n">
        <f aca="false">'Смета Внутр'!F942</f>
        <v>0</v>
      </c>
      <c r="G942" s="1104" t="n">
        <f aca="false">IF(E942&gt;F942,E942,F942)</f>
        <v>300</v>
      </c>
      <c r="H942" s="1104" t="n">
        <f aca="false">'Смета Внутр'!G942</f>
        <v>0</v>
      </c>
      <c r="I942" s="1104" t="n">
        <f aca="false">'Смета Внутр'!H942</f>
        <v>0</v>
      </c>
      <c r="J942" s="1109" t="n">
        <f aca="false">'Смета Внутр'!I942</f>
        <v>0</v>
      </c>
    </row>
    <row r="943" customFormat="false" ht="15" hidden="true" customHeight="true" outlineLevel="0" collapsed="false">
      <c r="B943" s="1104" t="str">
        <f aca="false">'Смета Внутр'!B943</f>
        <v>Монтаж утеплителя перекрытия</v>
      </c>
      <c r="C943" s="1104" t="str">
        <f aca="false">'Смета Внутр'!C943</f>
        <v>м2</v>
      </c>
      <c r="D943" s="1109" t="n">
        <f aca="false">'Смета Внутр'!D943</f>
        <v>0</v>
      </c>
      <c r="E943" s="1104" t="n">
        <f aca="false">'Смета Внутр'!E943</f>
        <v>200</v>
      </c>
      <c r="F943" s="1104" t="n">
        <f aca="false">'Смета Внутр'!F943</f>
        <v>0</v>
      </c>
      <c r="G943" s="1104" t="n">
        <f aca="false">IF(E943&gt;F943,E943,F943)</f>
        <v>200</v>
      </c>
      <c r="H943" s="1104" t="n">
        <f aca="false">'Смета Внутр'!G943</f>
        <v>0</v>
      </c>
      <c r="I943" s="1104" t="n">
        <f aca="false">'Смета Внутр'!H943</f>
        <v>0</v>
      </c>
      <c r="J943" s="1109" t="n">
        <f aca="false">'Смета Внутр'!I943</f>
        <v>0</v>
      </c>
    </row>
    <row r="944" customFormat="false" ht="15" hidden="true" customHeight="true" outlineLevel="0" collapsed="false">
      <c r="B944" s="1104" t="str">
        <f aca="false">'Смета Внутр'!B944</f>
        <v>Монтаж ветроизоляции перекрытий</v>
      </c>
      <c r="C944" s="1104" t="str">
        <f aca="false">'Смета Внутр'!C944</f>
        <v>м2</v>
      </c>
      <c r="D944" s="1109" t="n">
        <f aca="false">'Смета Внутр'!D944</f>
        <v>0</v>
      </c>
      <c r="E944" s="1104" t="n">
        <f aca="false">'Смета Внутр'!E944</f>
        <v>100</v>
      </c>
      <c r="F944" s="1104" t="n">
        <f aca="false">'Смета Внутр'!F944</f>
        <v>0</v>
      </c>
      <c r="G944" s="1104" t="n">
        <f aca="false">IF(E944&gt;F944,E944,F944)</f>
        <v>100</v>
      </c>
      <c r="H944" s="1104" t="n">
        <f aca="false">'Смета Внутр'!G944</f>
        <v>0</v>
      </c>
      <c r="I944" s="1104" t="n">
        <f aca="false">'Смета Внутр'!H944</f>
        <v>0</v>
      </c>
      <c r="J944" s="1109" t="n">
        <f aca="false">'Смета Внутр'!I944</f>
        <v>0</v>
      </c>
    </row>
    <row r="945" customFormat="false" ht="15" hidden="true" customHeight="true" outlineLevel="0" collapsed="false">
      <c r="B945" s="1104" t="str">
        <f aca="false">'Смета Внутр'!B945</f>
        <v>Монтаж пароизоляции перекрытий</v>
      </c>
      <c r="C945" s="1104" t="str">
        <f aca="false">'Смета Внутр'!C945</f>
        <v>м2</v>
      </c>
      <c r="D945" s="1109" t="n">
        <f aca="false">'Смета Внутр'!D945</f>
        <v>0</v>
      </c>
      <c r="E945" s="1104" t="n">
        <f aca="false">'Смета Внутр'!E945</f>
        <v>100</v>
      </c>
      <c r="F945" s="1104" t="n">
        <f aca="false">'Смета Внутр'!F945</f>
        <v>0</v>
      </c>
      <c r="G945" s="1104" t="n">
        <f aca="false">IF(E945&gt;F945,E945,F945)</f>
        <v>100</v>
      </c>
      <c r="H945" s="1104" t="n">
        <f aca="false">'Смета Внутр'!G945</f>
        <v>0</v>
      </c>
      <c r="I945" s="1104" t="n">
        <f aca="false">'Смета Внутр'!H945</f>
        <v>0</v>
      </c>
      <c r="J945" s="1109" t="n">
        <f aca="false">'Смета Внутр'!I945</f>
        <v>0</v>
      </c>
    </row>
    <row r="946" customFormat="false" ht="15" hidden="true" customHeight="true" outlineLevel="0" collapsed="false">
      <c r="B946" s="1104" t="str">
        <f aca="false">'Смета Внутр'!B946</f>
        <v>Монтаж перекрестного пола</v>
      </c>
      <c r="C946" s="1104" t="str">
        <f aca="false">'Смета Внутр'!C946</f>
        <v>м2</v>
      </c>
      <c r="D946" s="1109" t="n">
        <f aca="false">'Смета Внутр'!D946</f>
        <v>0</v>
      </c>
      <c r="E946" s="1104" t="n">
        <f aca="false">'Смета Внутр'!E946</f>
        <v>200</v>
      </c>
      <c r="F946" s="1104" t="n">
        <f aca="false">'Смета Внутр'!F946</f>
        <v>0</v>
      </c>
      <c r="G946" s="1104" t="n">
        <f aca="false">IF(E946&gt;F946,E946,F946)</f>
        <v>200</v>
      </c>
      <c r="H946" s="1104" t="n">
        <f aca="false">'Смета Внутр'!G946</f>
        <v>0</v>
      </c>
      <c r="I946" s="1104" t="n">
        <f aca="false">'Смета Внутр'!H946</f>
        <v>0</v>
      </c>
      <c r="J946" s="1109" t="n">
        <f aca="false">'Смета Внутр'!I946</f>
        <v>0</v>
      </c>
    </row>
    <row r="947" customFormat="false" ht="15" hidden="true" customHeight="true" outlineLevel="0" collapsed="false">
      <c r="B947" s="1104" t="str">
        <f aca="false">'Смета Внутр'!B947</f>
        <v>Монтаж чернового пола 0 этажа</v>
      </c>
      <c r="C947" s="1104" t="str">
        <f aca="false">'Смета Внутр'!C947</f>
        <v>м2</v>
      </c>
      <c r="D947" s="1109" t="n">
        <f aca="false">'Смета Внутр'!D947</f>
        <v>0</v>
      </c>
      <c r="E947" s="1104" t="n">
        <f aca="false">'Смета Внутр'!E947</f>
        <v>150</v>
      </c>
      <c r="F947" s="1104" t="n">
        <f aca="false">'Смета Внутр'!F947</f>
        <v>0</v>
      </c>
      <c r="G947" s="1104" t="n">
        <f aca="false">IF(E947&gt;F947,E947,F947)</f>
        <v>150</v>
      </c>
      <c r="H947" s="1104" t="n">
        <f aca="false">'Смета Внутр'!G947</f>
        <v>0</v>
      </c>
      <c r="I947" s="1104" t="n">
        <f aca="false">'Смета Внутр'!H947</f>
        <v>0</v>
      </c>
      <c r="J947" s="1109" t="n">
        <f aca="false">'Смета Внутр'!I947</f>
        <v>0</v>
      </c>
    </row>
    <row r="948" customFormat="false" ht="15" hidden="true" customHeight="true" outlineLevel="0" collapsed="false">
      <c r="B948" s="1104" t="str">
        <f aca="false">'Смета Внутр'!B948</f>
        <v>Монтаж чернового пола 1 этажа</v>
      </c>
      <c r="C948" s="1104" t="str">
        <f aca="false">'Смета Внутр'!C948</f>
        <v>м2</v>
      </c>
      <c r="D948" s="1109" t="n">
        <f aca="false">'Смета Внутр'!D948</f>
        <v>0</v>
      </c>
      <c r="E948" s="1104" t="n">
        <f aca="false">'Смета Внутр'!E948</f>
        <v>150</v>
      </c>
      <c r="F948" s="1104" t="n">
        <f aca="false">'Смета Внутр'!F948</f>
        <v>0</v>
      </c>
      <c r="G948" s="1104" t="n">
        <f aca="false">IF(E948&gt;F948,E948,F948)</f>
        <v>150</v>
      </c>
      <c r="H948" s="1104" t="n">
        <f aca="false">'Смета Внутр'!G948</f>
        <v>0</v>
      </c>
      <c r="I948" s="1104" t="n">
        <f aca="false">'Смета Внутр'!H948</f>
        <v>0</v>
      </c>
      <c r="J948" s="1109" t="n">
        <f aca="false">'Смета Внутр'!I948</f>
        <v>0</v>
      </c>
    </row>
    <row r="949" customFormat="false" ht="15" hidden="true" customHeight="true" outlineLevel="0" collapsed="false">
      <c r="B949" s="1104" t="str">
        <f aca="false">'Смета Внутр'!B949</f>
        <v>Монтаж чернового пола 2 этажа</v>
      </c>
      <c r="C949" s="1104" t="str">
        <f aca="false">'Смета Внутр'!C949</f>
        <v>м2</v>
      </c>
      <c r="D949" s="1109" t="n">
        <f aca="false">'Смета Внутр'!D949</f>
        <v>0</v>
      </c>
      <c r="E949" s="1104" t="n">
        <f aca="false">'Смета Внутр'!E949</f>
        <v>150</v>
      </c>
      <c r="F949" s="1104" t="n">
        <f aca="false">'Смета Внутр'!F949</f>
        <v>0</v>
      </c>
      <c r="G949" s="1104" t="n">
        <f aca="false">IF(E949&gt;F949,E949,F949)</f>
        <v>150</v>
      </c>
      <c r="H949" s="1104" t="n">
        <f aca="false">'Смета Внутр'!G949</f>
        <v>0</v>
      </c>
      <c r="I949" s="1104" t="n">
        <f aca="false">'Смета Внутр'!H949</f>
        <v>0</v>
      </c>
      <c r="J949" s="1109" t="n">
        <f aca="false">'Смета Внутр'!I949</f>
        <v>0</v>
      </c>
    </row>
    <row r="950" customFormat="false" ht="15" hidden="true" customHeight="true" outlineLevel="0" collapsed="false">
      <c r="B950" s="1108" t="str">
        <f aca="false">'Смета Внутр'!B950</f>
        <v>Итого работы</v>
      </c>
      <c r="C950" s="1108"/>
      <c r="D950" s="1108"/>
      <c r="E950" s="1108"/>
      <c r="F950" s="1108"/>
      <c r="G950" s="1108"/>
      <c r="H950" s="1104" t="n">
        <f aca="false">'Смета Внутр'!G950</f>
        <v>101760</v>
      </c>
      <c r="I950" s="1104" t="n">
        <f aca="false">'Смета Внутр'!H950</f>
        <v>101760</v>
      </c>
      <c r="J950" s="1109" t="n">
        <f aca="false">'Смета Внутр'!I950</f>
        <v>101760</v>
      </c>
    </row>
    <row r="951" customFormat="false" ht="15" hidden="true" customHeight="true" outlineLevel="0" collapsed="false">
      <c r="B951" s="1111" t="str">
        <f aca="false">'Смета Внутр'!B951</f>
        <v>Веранда/терасса деревянная</v>
      </c>
      <c r="C951" s="1111"/>
      <c r="D951" s="1111"/>
      <c r="H951" s="118" t="n">
        <f aca="false">'Смета Внутр'!G951</f>
        <v>0</v>
      </c>
      <c r="I951" s="118" t="n">
        <f aca="false">'Смета Внутр'!H951</f>
        <v>0</v>
      </c>
      <c r="J951" s="1102" t="n">
        <f aca="false">'Смета Внутр'!I951</f>
        <v>0</v>
      </c>
    </row>
    <row r="952" customFormat="false" ht="15" hidden="true" customHeight="true" outlineLevel="0" collapsed="false">
      <c r="B952" s="118" t="str">
        <f aca="false">'Смета Внутр'!B952</f>
        <v>Материалы</v>
      </c>
      <c r="H952" s="118" t="n">
        <f aca="false">'Смета Внутр'!G952</f>
        <v>0</v>
      </c>
      <c r="I952" s="118" t="n">
        <f aca="false">'Смета Внутр'!H952</f>
        <v>0</v>
      </c>
      <c r="J952" s="1102" t="n">
        <f aca="false">'Смета Внутр'!I952</f>
        <v>0</v>
      </c>
    </row>
    <row r="953" customFormat="false" ht="15" hidden="true" customHeight="true" outlineLevel="0" collapsed="false">
      <c r="B953" s="1104" t="str">
        <f aca="false">'Смета Внутр'!B953</f>
        <v>Листв. влаж, 200*200мм</v>
      </c>
      <c r="C953" s="1104" t="str">
        <f aca="false">'Смета Внутр'!C953</f>
        <v>м3</v>
      </c>
      <c r="D953" s="1109" t="n">
        <f aca="false">'Смета Внутр'!D953</f>
        <v>0</v>
      </c>
      <c r="E953" s="1104" t="n">
        <f aca="false">'Смета Внутр'!E953</f>
        <v>9000</v>
      </c>
      <c r="F953" s="1104" t="n">
        <f aca="false">'Смета Внутр'!F953</f>
        <v>0</v>
      </c>
      <c r="G953" s="1104" t="n">
        <f aca="false">IF(E953&gt;F953,E953,F953)</f>
        <v>9000</v>
      </c>
      <c r="H953" s="1104" t="n">
        <f aca="false">'Смета Внутр'!G953</f>
        <v>0</v>
      </c>
      <c r="I953" s="1104" t="n">
        <f aca="false">'Смета Внутр'!H953</f>
        <v>0</v>
      </c>
      <c r="J953" s="1109" t="n">
        <f aca="false">'Смета Внутр'!I953</f>
        <v>0</v>
      </c>
    </row>
    <row r="954" customFormat="false" ht="15" hidden="true" customHeight="true" outlineLevel="0" collapsed="false">
      <c r="B954" s="1104" t="str">
        <f aca="false">'Смета Внутр'!B954</f>
        <v>Листв. влаж, 200*150мм</v>
      </c>
      <c r="C954" s="1104" t="str">
        <f aca="false">'Смета Внутр'!C954</f>
        <v>м3</v>
      </c>
      <c r="D954" s="1109" t="n">
        <f aca="false">'Смета Внутр'!D954</f>
        <v>0.54</v>
      </c>
      <c r="E954" s="1104" t="n">
        <f aca="false">'Смета Внутр'!E954</f>
        <v>8500</v>
      </c>
      <c r="F954" s="1104" t="n">
        <f aca="false">'Смета Внутр'!F954</f>
        <v>0</v>
      </c>
      <c r="G954" s="1104" t="n">
        <f aca="false">IF(E954&gt;F954,E954,F954)</f>
        <v>8500</v>
      </c>
      <c r="H954" s="1104" t="n">
        <f aca="false">'Смета Внутр'!G954</f>
        <v>4590</v>
      </c>
      <c r="I954" s="1104" t="n">
        <f aca="false">'Смета Внутр'!H954</f>
        <v>0</v>
      </c>
      <c r="J954" s="1109" t="n">
        <f aca="false">'Смета Внутр'!I954</f>
        <v>0</v>
      </c>
    </row>
    <row r="955" customFormat="false" ht="15" hidden="true" customHeight="true" outlineLevel="0" collapsed="false">
      <c r="B955" s="1104" t="str">
        <f aca="false">'Смета Внутр'!B955</f>
        <v>Рубероид</v>
      </c>
      <c r="C955" s="1104" t="str">
        <f aca="false">'Смета Внутр'!C955</f>
        <v>м.п.</v>
      </c>
      <c r="D955" s="1109" t="n">
        <f aca="false">'Смета Внутр'!D955</f>
        <v>0</v>
      </c>
      <c r="E955" s="1104" t="n">
        <f aca="false">'Смета Внутр'!E955</f>
        <v>30</v>
      </c>
      <c r="F955" s="1104" t="n">
        <f aca="false">'Смета Внутр'!F955</f>
        <v>0</v>
      </c>
      <c r="G955" s="1104" t="n">
        <f aca="false">IF(E955&gt;F955,E955,F955)</f>
        <v>30</v>
      </c>
      <c r="H955" s="1104" t="n">
        <f aca="false">'Смета Внутр'!G955</f>
        <v>0</v>
      </c>
      <c r="I955" s="1104" t="n">
        <f aca="false">'Смета Внутр'!H955</f>
        <v>0</v>
      </c>
      <c r="J955" s="1109" t="n">
        <f aca="false">'Смета Внутр'!I955</f>
        <v>0</v>
      </c>
    </row>
    <row r="956" customFormat="false" ht="15" hidden="true" customHeight="true" outlineLevel="0" collapsed="false">
      <c r="B956" s="1104" t="str">
        <f aca="false">'Смета Внутр'!B956</f>
        <v>Листв. влаж, 200*150мм</v>
      </c>
      <c r="C956" s="1104" t="str">
        <f aca="false">'Смета Внутр'!C956</f>
        <v>м3</v>
      </c>
      <c r="D956" s="1109" t="n">
        <f aca="false">'Смета Внутр'!D956</f>
        <v>0</v>
      </c>
      <c r="E956" s="1104" t="n">
        <f aca="false">'Смета Внутр'!E956</f>
        <v>8500</v>
      </c>
      <c r="F956" s="1104" t="n">
        <f aca="false">'Смета Внутр'!F956</f>
        <v>0</v>
      </c>
      <c r="G956" s="1104" t="n">
        <f aca="false">IF(E956&gt;F956,E956,F956)</f>
        <v>8500</v>
      </c>
      <c r="H956" s="1104" t="n">
        <f aca="false">'Смета Внутр'!G956</f>
        <v>0</v>
      </c>
      <c r="I956" s="1104" t="n">
        <f aca="false">'Смета Внутр'!H956</f>
        <v>0</v>
      </c>
      <c r="J956" s="1109" t="n">
        <f aca="false">'Смета Внутр'!I956</f>
        <v>0</v>
      </c>
    </row>
    <row r="957" customFormat="false" ht="15" hidden="true" customHeight="true" outlineLevel="0" collapsed="false">
      <c r="B957" s="1104" t="str">
        <f aca="false">'Смета Внутр'!B957</f>
        <v>Проф.брус вл. 200*150мм</v>
      </c>
      <c r="C957" s="1104" t="str">
        <f aca="false">'Смета Внутр'!C957</f>
        <v>м3</v>
      </c>
      <c r="D957" s="1109" t="n">
        <f aca="false">'Смета Внутр'!D957</f>
        <v>0.5265</v>
      </c>
      <c r="E957" s="1104" t="n">
        <f aca="false">'Смета Внутр'!E957</f>
        <v>9300</v>
      </c>
      <c r="F957" s="1104" t="n">
        <f aca="false">'Смета Внутр'!F957</f>
        <v>0</v>
      </c>
      <c r="G957" s="1104" t="n">
        <f aca="false">IF(E957&gt;F957,E957,F957)</f>
        <v>9300</v>
      </c>
      <c r="H957" s="1104" t="n">
        <f aca="false">'Смета Внутр'!G957</f>
        <v>4896.45</v>
      </c>
      <c r="I957" s="1104" t="n">
        <f aca="false">'Смета Внутр'!H957</f>
        <v>0</v>
      </c>
      <c r="J957" s="1109" t="n">
        <f aca="false">'Смета Внутр'!I957</f>
        <v>0</v>
      </c>
    </row>
    <row r="958" customFormat="false" ht="15" hidden="true" customHeight="true" outlineLevel="0" collapsed="false">
      <c r="B958" s="1104" t="str">
        <f aca="false">'Смета Внутр'!B958</f>
        <v>Брус клееный проф 2 ламель кедр Шир. 240 выс. 140</v>
      </c>
      <c r="C958" s="1104" t="str">
        <f aca="false">'Смета Внутр'!C958</f>
        <v>м3</v>
      </c>
      <c r="D958" s="1109" t="n">
        <f aca="false">'Смета Внутр'!D958</f>
        <v>0.3024</v>
      </c>
      <c r="E958" s="1104" t="n">
        <f aca="false">'Смета Внутр'!E958</f>
        <v>24000</v>
      </c>
      <c r="F958" s="1104" t="n">
        <f aca="false">'Смета Внутр'!F958</f>
        <v>0</v>
      </c>
      <c r="G958" s="1104" t="n">
        <f aca="false">IF(E958&gt;F958,E958,F958)</f>
        <v>24000</v>
      </c>
      <c r="H958" s="1104" t="n">
        <f aca="false">'Смета Внутр'!G958</f>
        <v>7257.6</v>
      </c>
      <c r="I958" s="1104" t="n">
        <f aca="false">'Смета Внутр'!H958</f>
        <v>0</v>
      </c>
      <c r="J958" s="1109" t="n">
        <f aca="false">'Смета Внутр'!I958</f>
        <v>0</v>
      </c>
    </row>
    <row r="959" customFormat="false" ht="15" hidden="true" customHeight="true" outlineLevel="0" collapsed="false">
      <c r="B959" s="1104" t="str">
        <f aca="false">'Смета Внутр'!B959</f>
        <v>Брус клееный проф 1 ламель кедр Шир. 240 выс. 140</v>
      </c>
      <c r="C959" s="1104" t="str">
        <f aca="false">'Смета Внутр'!C959</f>
        <v>м3</v>
      </c>
      <c r="D959" s="1109" t="n">
        <f aca="false">'Смета Внутр'!D959</f>
        <v>1.008</v>
      </c>
      <c r="E959" s="1104" t="n">
        <f aca="false">'Смета Внутр'!E959</f>
        <v>24000</v>
      </c>
      <c r="F959" s="1104" t="n">
        <f aca="false">'Смета Внутр'!F959</f>
        <v>0</v>
      </c>
      <c r="G959" s="1104" t="n">
        <f aca="false">IF(E959&gt;F959,E959,F959)</f>
        <v>24000</v>
      </c>
      <c r="H959" s="1104" t="n">
        <f aca="false">'Смета Внутр'!G959</f>
        <v>24192</v>
      </c>
      <c r="I959" s="1104" t="n">
        <f aca="false">'Смета Внутр'!H959</f>
        <v>0</v>
      </c>
      <c r="J959" s="1109" t="n">
        <f aca="false">'Смета Внутр'!I959</f>
        <v>0</v>
      </c>
    </row>
    <row r="960" customFormat="false" ht="15" hidden="true" customHeight="true" outlineLevel="0" collapsed="false">
      <c r="B960" s="1104" t="str">
        <f aca="false">'Смета Внутр'!B960</f>
        <v>Проф.брус вл. 200*180мм</v>
      </c>
      <c r="C960" s="1104" t="str">
        <f aca="false">'Смета Внутр'!C960</f>
        <v>м3</v>
      </c>
      <c r="D960" s="1109" t="n">
        <f aca="false">'Смета Внутр'!D960</f>
        <v>0.504</v>
      </c>
      <c r="E960" s="1104" t="n">
        <f aca="false">'Смета Внутр'!E960</f>
        <v>9300</v>
      </c>
      <c r="F960" s="1104" t="n">
        <f aca="false">'Смета Внутр'!F960</f>
        <v>0</v>
      </c>
      <c r="G960" s="1104" t="n">
        <f aca="false">IF(E960&gt;F960,E960,F960)</f>
        <v>9300</v>
      </c>
      <c r="H960" s="1104" t="n">
        <f aca="false">'Смета Внутр'!G960</f>
        <v>4687.2</v>
      </c>
      <c r="I960" s="1104" t="n">
        <f aca="false">'Смета Внутр'!H960</f>
        <v>0</v>
      </c>
      <c r="J960" s="1109" t="n">
        <f aca="false">'Смета Внутр'!I960</f>
        <v>0</v>
      </c>
    </row>
    <row r="961" customFormat="false" ht="15" hidden="true" customHeight="true" outlineLevel="0" collapsed="false">
      <c r="B961" s="1104" t="str">
        <f aca="false">'Смета Внутр'!B961</f>
        <v>Нет накладки</v>
      </c>
      <c r="C961" s="1104" t="str">
        <f aca="false">'Смета Внутр'!C961</f>
        <v>м.п.</v>
      </c>
      <c r="D961" s="1109" t="n">
        <f aca="false">'Смета Внутр'!D961</f>
        <v>9</v>
      </c>
      <c r="E961" s="1104" t="n">
        <f aca="false">'Смета Внутр'!E961</f>
        <v>0</v>
      </c>
      <c r="F961" s="1104" t="n">
        <f aca="false">'Смета Внутр'!F961</f>
        <v>0</v>
      </c>
      <c r="G961" s="1104" t="n">
        <f aca="false">IF(E961&gt;F961,E961,F961)</f>
        <v>0</v>
      </c>
      <c r="H961" s="1104" t="n">
        <f aca="false">'Смета Внутр'!G961</f>
        <v>0</v>
      </c>
      <c r="I961" s="1104" t="n">
        <f aca="false">'Смета Внутр'!H961</f>
        <v>0</v>
      </c>
      <c r="J961" s="1109" t="n">
        <f aca="false">'Смета Внутр'!I961</f>
        <v>0</v>
      </c>
    </row>
    <row r="962" customFormat="false" ht="15" hidden="true" customHeight="true" outlineLevel="0" collapsed="false">
      <c r="B962" s="1104" t="str">
        <f aca="false">'Смета Внутр'!B962</f>
        <v>Гидрокомпенсатор</v>
      </c>
      <c r="C962" s="1104" t="str">
        <f aca="false">'Смета Внутр'!C962</f>
        <v>шт</v>
      </c>
      <c r="D962" s="1109" t="n">
        <f aca="false">'Смета Внутр'!D962</f>
        <v>9</v>
      </c>
      <c r="E962" s="1104" t="n">
        <f aca="false">'Смета Внутр'!E962</f>
        <v>450</v>
      </c>
      <c r="F962" s="1104" t="n">
        <f aca="false">'Смета Внутр'!F962</f>
        <v>0</v>
      </c>
      <c r="G962" s="1104" t="n">
        <f aca="false">IF(E962&gt;F962,E962,F962)</f>
        <v>450</v>
      </c>
      <c r="H962" s="1104" t="n">
        <f aca="false">'Смета Внутр'!G962</f>
        <v>4050</v>
      </c>
      <c r="I962" s="1104" t="n">
        <f aca="false">'Смета Внутр'!H962</f>
        <v>0</v>
      </c>
      <c r="J962" s="1109" t="n">
        <f aca="false">'Смета Внутр'!I962</f>
        <v>0</v>
      </c>
    </row>
    <row r="963" customFormat="false" ht="15" hidden="true" customHeight="true" outlineLevel="0" collapsed="false">
      <c r="B963" s="1104" t="str">
        <f aca="false">'Смета Внутр'!B963</f>
        <v>Уголок усиленный 90х70х55х2,5        </v>
      </c>
      <c r="C963" s="1104" t="str">
        <f aca="false">'Смета Внутр'!C963</f>
        <v>шт</v>
      </c>
      <c r="D963" s="1109" t="n">
        <f aca="false">'Смета Внутр'!D963</f>
        <v>0</v>
      </c>
      <c r="E963" s="1104" t="n">
        <f aca="false">'Смета Внутр'!E963</f>
        <v>30</v>
      </c>
      <c r="F963" s="1104" t="n">
        <f aca="false">'Смета Внутр'!F963</f>
        <v>0</v>
      </c>
      <c r="G963" s="1104" t="n">
        <f aca="false">IF(E963&gt;F963,E963,F963)</f>
        <v>30</v>
      </c>
      <c r="H963" s="1104" t="n">
        <f aca="false">'Смета Внутр'!G963</f>
        <v>0</v>
      </c>
      <c r="I963" s="1104" t="n">
        <f aca="false">'Смета Внутр'!H963</f>
        <v>0</v>
      </c>
      <c r="J963" s="1109" t="n">
        <f aca="false">'Смета Внутр'!I963</f>
        <v>0</v>
      </c>
    </row>
    <row r="964" customFormat="false" ht="15" hidden="true" customHeight="true" outlineLevel="0" collapsed="false">
      <c r="B964" s="1104" t="str">
        <f aca="false">'Смета Внутр'!B964</f>
        <v>Нет уголков</v>
      </c>
      <c r="C964" s="1104" t="str">
        <f aca="false">'Смета Внутр'!C964</f>
        <v>шт</v>
      </c>
      <c r="D964" s="1109" t="n">
        <f aca="false">'Смета Внутр'!D964</f>
        <v>0</v>
      </c>
      <c r="E964" s="1104" t="n">
        <f aca="false">'Смета Внутр'!E964</f>
        <v>0</v>
      </c>
      <c r="F964" s="1104" t="n">
        <f aca="false">'Смета Внутр'!F964</f>
        <v>0</v>
      </c>
      <c r="G964" s="1104" t="n">
        <f aca="false">IF(E964&gt;F964,E964,F964)</f>
        <v>0</v>
      </c>
      <c r="H964" s="1104" t="n">
        <f aca="false">'Смета Внутр'!G964</f>
        <v>0</v>
      </c>
      <c r="I964" s="1104" t="n">
        <f aca="false">'Смета Внутр'!H964</f>
        <v>0</v>
      </c>
      <c r="J964" s="1109" t="n">
        <f aca="false">'Смета Внутр'!I964</f>
        <v>0</v>
      </c>
    </row>
    <row r="965" customFormat="false" ht="15" hidden="true" customHeight="true" outlineLevel="0" collapsed="false">
      <c r="B965" s="1104" t="str">
        <f aca="false">'Смета Внутр'!B965</f>
        <v>Пластина соеденительная 100х240х2           </v>
      </c>
      <c r="C965" s="1104" t="str">
        <f aca="false">'Смета Внутр'!C965</f>
        <v>шт</v>
      </c>
      <c r="D965" s="1109" t="n">
        <f aca="false">'Смета Внутр'!D965</f>
        <v>0</v>
      </c>
      <c r="E965" s="1104" t="n">
        <f aca="false">'Смета Внутр'!E965</f>
        <v>31.54</v>
      </c>
      <c r="F965" s="1104" t="n">
        <f aca="false">'Смета Внутр'!F965</f>
        <v>0</v>
      </c>
      <c r="G965" s="1104" t="n">
        <f aca="false">IF(E965&gt;F965,E965,F965)</f>
        <v>31.54</v>
      </c>
      <c r="H965" s="1104" t="n">
        <f aca="false">'Смета Внутр'!G965</f>
        <v>0</v>
      </c>
      <c r="I965" s="1104" t="n">
        <f aca="false">'Смета Внутр'!H965</f>
        <v>0</v>
      </c>
      <c r="J965" s="1109" t="n">
        <f aca="false">'Смета Внутр'!I965</f>
        <v>0</v>
      </c>
    </row>
    <row r="966" customFormat="false" ht="15" hidden="true" customHeight="true" outlineLevel="0" collapsed="false">
      <c r="B966" s="1104" t="str">
        <f aca="false">'Смета Внутр'!B966</f>
        <v>Нет пластин</v>
      </c>
      <c r="C966" s="1104" t="str">
        <f aca="false">'Смета Внутр'!C966</f>
        <v>шт</v>
      </c>
      <c r="D966" s="1109" t="n">
        <f aca="false">'Смета Внутр'!D966</f>
        <v>0</v>
      </c>
      <c r="E966" s="1104" t="n">
        <f aca="false">'Смета Внутр'!E966</f>
        <v>0</v>
      </c>
      <c r="F966" s="1104" t="n">
        <f aca="false">'Смета Внутр'!F966</f>
        <v>0</v>
      </c>
      <c r="G966" s="1104" t="n">
        <f aca="false">IF(E966&gt;F966,E966,F966)</f>
        <v>0</v>
      </c>
      <c r="H966" s="1104" t="n">
        <f aca="false">'Смета Внутр'!G966</f>
        <v>0</v>
      </c>
      <c r="I966" s="1104" t="n">
        <f aca="false">'Смета Внутр'!H966</f>
        <v>0</v>
      </c>
      <c r="J966" s="1109" t="n">
        <f aca="false">'Смета Внутр'!I966</f>
        <v>0</v>
      </c>
    </row>
    <row r="967" customFormat="false" ht="15" hidden="true" customHeight="true" outlineLevel="0" collapsed="false">
      <c r="B967" s="1104" t="str">
        <f aca="false">'Смета Внутр'!B967</f>
        <v>Болты анкерные с гайкой 12,0 x 100          </v>
      </c>
      <c r="C967" s="1104" t="str">
        <f aca="false">'Смета Внутр'!C967</f>
        <v>шт</v>
      </c>
      <c r="D967" s="1109" t="n">
        <f aca="false">'Смета Внутр'!D967</f>
        <v>0</v>
      </c>
      <c r="E967" s="1104" t="n">
        <f aca="false">'Смета Внутр'!E967</f>
        <v>11.2</v>
      </c>
      <c r="F967" s="1104" t="n">
        <f aca="false">'Смета Внутр'!F967</f>
        <v>0</v>
      </c>
      <c r="G967" s="1104" t="n">
        <f aca="false">IF(E967&gt;F967,E967,F967)</f>
        <v>11.2</v>
      </c>
      <c r="H967" s="1104" t="n">
        <f aca="false">'Смета Внутр'!G967</f>
        <v>0</v>
      </c>
      <c r="I967" s="1104" t="n">
        <f aca="false">'Смета Внутр'!H967</f>
        <v>0</v>
      </c>
      <c r="J967" s="1109" t="n">
        <f aca="false">'Смета Внутр'!I967</f>
        <v>0</v>
      </c>
    </row>
    <row r="968" customFormat="false" ht="15" hidden="true" customHeight="true" outlineLevel="0" collapsed="false">
      <c r="B968" s="1104" t="str">
        <f aca="false">'Смета Внутр'!B968</f>
        <v>Нет анкерных болтов</v>
      </c>
      <c r="C968" s="1104" t="str">
        <f aca="false">'Смета Внутр'!C968</f>
        <v>шт</v>
      </c>
      <c r="D968" s="1109" t="n">
        <f aca="false">'Смета Внутр'!D968</f>
        <v>0</v>
      </c>
      <c r="E968" s="1104" t="n">
        <f aca="false">'Смета Внутр'!E968</f>
        <v>0</v>
      </c>
      <c r="F968" s="1104" t="n">
        <f aca="false">'Смета Внутр'!F968</f>
        <v>0</v>
      </c>
      <c r="G968" s="1104" t="n">
        <f aca="false">IF(E968&gt;F968,E968,F968)</f>
        <v>0</v>
      </c>
      <c r="H968" s="1104" t="n">
        <f aca="false">'Смета Внутр'!G968</f>
        <v>0</v>
      </c>
      <c r="I968" s="1104" t="n">
        <f aca="false">'Смета Внутр'!H968</f>
        <v>0</v>
      </c>
      <c r="J968" s="1109" t="n">
        <f aca="false">'Смета Внутр'!I968</f>
        <v>0</v>
      </c>
    </row>
    <row r="969" customFormat="false" ht="15" hidden="true" customHeight="true" outlineLevel="0" collapsed="false">
      <c r="B969" s="1104" t="str">
        <f aca="false">'Смета Внутр'!B969</f>
        <v>Саморезы 3,5 x 45            </v>
      </c>
      <c r="C969" s="1104" t="str">
        <f aca="false">'Смета Внутр'!C969</f>
        <v>кг</v>
      </c>
      <c r="D969" s="1109" t="n">
        <f aca="false">'Смета Внутр'!D969</f>
        <v>0</v>
      </c>
      <c r="E969" s="1104" t="n">
        <f aca="false">'Смета Внутр'!E969</f>
        <v>105.62</v>
      </c>
      <c r="F969" s="1104" t="n">
        <f aca="false">'Смета Внутр'!F969</f>
        <v>0</v>
      </c>
      <c r="G969" s="1104" t="n">
        <f aca="false">IF(E969&gt;F969,E969,F969)</f>
        <v>105.62</v>
      </c>
      <c r="H969" s="1104" t="n">
        <f aca="false">'Смета Внутр'!G969</f>
        <v>0</v>
      </c>
      <c r="I969" s="1104" t="n">
        <f aca="false">'Смета Внутр'!H969</f>
        <v>0</v>
      </c>
      <c r="J969" s="1109" t="n">
        <f aca="false">'Смета Внутр'!I969</f>
        <v>0</v>
      </c>
    </row>
    <row r="970" customFormat="false" ht="15" hidden="true" customHeight="true" outlineLevel="0" collapsed="false">
      <c r="B970" s="1104" t="str">
        <f aca="false">'Смета Внутр'!B970</f>
        <v>Нет саморезов</v>
      </c>
      <c r="C970" s="1104" t="str">
        <f aca="false">'Смета Внутр'!C970</f>
        <v>кг</v>
      </c>
      <c r="D970" s="1109" t="n">
        <f aca="false">'Смета Внутр'!D970</f>
        <v>0</v>
      </c>
      <c r="E970" s="1104" t="n">
        <f aca="false">'Смета Внутр'!E970</f>
        <v>0</v>
      </c>
      <c r="F970" s="1104" t="n">
        <f aca="false">'Смета Внутр'!F970</f>
        <v>0</v>
      </c>
      <c r="G970" s="1104" t="n">
        <f aca="false">IF(E970&gt;F970,E970,F970)</f>
        <v>0</v>
      </c>
      <c r="H970" s="1104" t="n">
        <f aca="false">'Смета Внутр'!G970</f>
        <v>0</v>
      </c>
      <c r="I970" s="1104" t="n">
        <f aca="false">'Смета Внутр'!H970</f>
        <v>0</v>
      </c>
      <c r="J970" s="1109" t="n">
        <f aca="false">'Смета Внутр'!I970</f>
        <v>0</v>
      </c>
    </row>
    <row r="971" customFormat="false" ht="15" hidden="true" customHeight="true" outlineLevel="0" collapsed="false">
      <c r="B971" s="1104" t="str">
        <f aca="false">'Смета Внутр'!B971</f>
        <v>Гвозди строительные 2,5 x 60            </v>
      </c>
      <c r="C971" s="1104" t="str">
        <f aca="false">'Смета Внутр'!C971</f>
        <v>кг</v>
      </c>
      <c r="D971" s="1109" t="n">
        <f aca="false">'Смета Внутр'!D971</f>
        <v>0</v>
      </c>
      <c r="E971" s="1104" t="n">
        <f aca="false">'Смета Внутр'!E971</f>
        <v>70</v>
      </c>
      <c r="F971" s="1104" t="n">
        <f aca="false">'Смета Внутр'!F971</f>
        <v>0</v>
      </c>
      <c r="G971" s="1104" t="n">
        <f aca="false">IF(E971&gt;F971,E971,F971)</f>
        <v>70</v>
      </c>
      <c r="H971" s="1104" t="n">
        <f aca="false">'Смета Внутр'!G971</f>
        <v>0</v>
      </c>
      <c r="I971" s="1104" t="n">
        <f aca="false">'Смета Внутр'!H971</f>
        <v>0</v>
      </c>
      <c r="J971" s="1109" t="n">
        <f aca="false">'Смета Внутр'!I971</f>
        <v>0</v>
      </c>
    </row>
    <row r="972" customFormat="false" ht="15" hidden="true" customHeight="true" outlineLevel="0" collapsed="false">
      <c r="B972" s="1104" t="str">
        <f aca="false">'Смета Внутр'!B972</f>
        <v>Гвозди ершоные 3,4 x 60            </v>
      </c>
      <c r="C972" s="1104" t="str">
        <f aca="false">'Смета Внутр'!C972</f>
        <v>кг</v>
      </c>
      <c r="D972" s="1109" t="n">
        <f aca="false">'Смета Внутр'!D972</f>
        <v>0</v>
      </c>
      <c r="E972" s="1104" t="n">
        <f aca="false">'Смета Внутр'!E972</f>
        <v>75.51</v>
      </c>
      <c r="F972" s="1104" t="n">
        <f aca="false">'Смета Внутр'!F972</f>
        <v>0</v>
      </c>
      <c r="G972" s="1104" t="n">
        <f aca="false">IF(E972&gt;F972,E972,F972)</f>
        <v>75.51</v>
      </c>
      <c r="H972" s="1104" t="n">
        <f aca="false">'Смета Внутр'!G972</f>
        <v>0</v>
      </c>
      <c r="I972" s="1104" t="n">
        <f aca="false">'Смета Внутр'!H972</f>
        <v>0</v>
      </c>
      <c r="J972" s="1109" t="n">
        <f aca="false">'Смета Внутр'!I972</f>
        <v>0</v>
      </c>
    </row>
    <row r="973" customFormat="false" ht="15" hidden="true" customHeight="true" outlineLevel="0" collapsed="false">
      <c r="B973" s="1104" t="str">
        <f aca="false">'Смета Внутр'!B973</f>
        <v>Гидроизоляция жидкая резина 1</v>
      </c>
      <c r="C973" s="1104" t="str">
        <f aca="false">'Смета Внутр'!C973</f>
        <v>кг</v>
      </c>
      <c r="D973" s="1109" t="n">
        <f aca="false">'Смета Внутр'!D973</f>
        <v>0</v>
      </c>
      <c r="E973" s="1104" t="n">
        <f aca="false">'Смета Внутр'!E973</f>
        <v>150</v>
      </c>
      <c r="F973" s="1104" t="n">
        <f aca="false">'Смета Внутр'!F973</f>
        <v>0</v>
      </c>
      <c r="G973" s="1104" t="n">
        <f aca="false">IF(E973&gt;F973,E973,F973)</f>
        <v>150</v>
      </c>
      <c r="H973" s="1104" t="n">
        <f aca="false">'Смета Внутр'!G973</f>
        <v>0</v>
      </c>
      <c r="I973" s="1104" t="n">
        <f aca="false">'Смета Внутр'!H973</f>
        <v>0</v>
      </c>
      <c r="J973" s="1109" t="n">
        <f aca="false">'Смета Внутр'!I973</f>
        <v>0</v>
      </c>
    </row>
    <row r="974" customFormat="false" ht="15" hidden="true" customHeight="true" outlineLevel="0" collapsed="false">
      <c r="B974" s="1104" t="str">
        <f aca="false">'Смета Внутр'!B974</f>
        <v>Kronospan - OSB-3, 22мм</v>
      </c>
      <c r="C974" s="1104" t="str">
        <f aca="false">'Смета Внутр'!C974</f>
        <v>м2</v>
      </c>
      <c r="D974" s="1109" t="n">
        <f aca="false">'Смета Внутр'!D974</f>
        <v>0</v>
      </c>
      <c r="E974" s="1104" t="n">
        <f aca="false">'Смета Внутр'!E974</f>
        <v>526.666666666667</v>
      </c>
      <c r="F974" s="1104" t="n">
        <f aca="false">'Смета Внутр'!F974</f>
        <v>0</v>
      </c>
      <c r="G974" s="1104" t="n">
        <f aca="false">IF(E974&gt;F974,E974,F974)</f>
        <v>526.666666666667</v>
      </c>
      <c r="H974" s="1104" t="n">
        <f aca="false">'Смета Внутр'!G974</f>
        <v>0</v>
      </c>
      <c r="I974" s="1104" t="n">
        <f aca="false">'Смета Внутр'!H974</f>
        <v>0</v>
      </c>
      <c r="J974" s="1109" t="n">
        <f aca="false">'Смета Внутр'!I974</f>
        <v>0</v>
      </c>
    </row>
    <row r="975" customFormat="false" ht="15" hidden="true" customHeight="true" outlineLevel="0" collapsed="false">
      <c r="B975" s="1104" t="str">
        <f aca="false">'Смета Внутр'!B975</f>
        <v>Проф.брус вл. 200*150мм</v>
      </c>
      <c r="C975" s="1104" t="str">
        <f aca="false">'Смета Внутр'!C975</f>
        <v>м3</v>
      </c>
      <c r="D975" s="1109" t="n">
        <f aca="false">'Смета Внутр'!D975</f>
        <v>0.09</v>
      </c>
      <c r="E975" s="1104" t="n">
        <f aca="false">'Смета Внутр'!E975</f>
        <v>9300</v>
      </c>
      <c r="F975" s="1104" t="n">
        <f aca="false">'Смета Внутр'!F975</f>
        <v>0</v>
      </c>
      <c r="G975" s="1104" t="n">
        <f aca="false">IF(E975&gt;F975,E975,F975)</f>
        <v>9300</v>
      </c>
      <c r="H975" s="1104" t="n">
        <f aca="false">'Смета Внутр'!G975</f>
        <v>837</v>
      </c>
      <c r="I975" s="1104" t="n">
        <f aca="false">'Смета Внутр'!H975</f>
        <v>0</v>
      </c>
      <c r="J975" s="1109" t="n">
        <f aca="false">'Смета Внутр'!I975</f>
        <v>0</v>
      </c>
    </row>
    <row r="976" customFormat="false" ht="15" hidden="true" customHeight="true" outlineLevel="0" collapsed="false">
      <c r="B976" s="1104" t="str">
        <f aca="false">'Смета Внутр'!B976</f>
        <v>Брус клееный проф 2 ламель кедр Шир. 240 выс. 140</v>
      </c>
      <c r="C976" s="1104" t="str">
        <f aca="false">'Смета Внутр'!C976</f>
        <v>м3</v>
      </c>
      <c r="D976" s="1109" t="n">
        <f aca="false">'Смета Внутр'!D976</f>
        <v>0.12096</v>
      </c>
      <c r="E976" s="1104" t="n">
        <f aca="false">'Смета Внутр'!E976</f>
        <v>24000</v>
      </c>
      <c r="F976" s="1104" t="n">
        <f aca="false">'Смета Внутр'!F976</f>
        <v>0</v>
      </c>
      <c r="G976" s="1104" t="n">
        <f aca="false">IF(E976&gt;F976,E976,F976)</f>
        <v>24000</v>
      </c>
      <c r="H976" s="1104" t="n">
        <f aca="false">'Смета Внутр'!G976</f>
        <v>2903.04</v>
      </c>
      <c r="I976" s="1104" t="n">
        <f aca="false">'Смета Внутр'!H976</f>
        <v>0</v>
      </c>
      <c r="J976" s="1109" t="n">
        <f aca="false">'Смета Внутр'!I976</f>
        <v>0</v>
      </c>
    </row>
    <row r="977" customFormat="false" ht="15" hidden="true" customHeight="true" outlineLevel="0" collapsed="false">
      <c r="B977" s="1104" t="str">
        <f aca="false">'Смета Внутр'!B977</f>
        <v>Брус клееный проф 1 ламель кедр Шир. 240 выс. 140</v>
      </c>
      <c r="C977" s="1104" t="str">
        <f aca="false">'Смета Внутр'!C977</f>
        <v>м3</v>
      </c>
      <c r="D977" s="1109" t="n">
        <f aca="false">'Смета Внутр'!D977</f>
        <v>0.4368</v>
      </c>
      <c r="E977" s="1104" t="n">
        <f aca="false">'Смета Внутр'!E977</f>
        <v>24000</v>
      </c>
      <c r="F977" s="1104" t="n">
        <f aca="false">'Смета Внутр'!F977</f>
        <v>0</v>
      </c>
      <c r="G977" s="1104" t="n">
        <f aca="false">IF(E977&gt;F977,E977,F977)</f>
        <v>24000</v>
      </c>
      <c r="H977" s="1104" t="n">
        <f aca="false">'Смета Внутр'!G977</f>
        <v>10483.2</v>
      </c>
      <c r="I977" s="1104" t="n">
        <f aca="false">'Смета Внутр'!H977</f>
        <v>0</v>
      </c>
      <c r="J977" s="1109" t="n">
        <f aca="false">'Смета Внутр'!I977</f>
        <v>0</v>
      </c>
    </row>
    <row r="978" customFormat="false" ht="15" hidden="true" customHeight="true" outlineLevel="0" collapsed="false">
      <c r="B978" s="1104" t="str">
        <f aca="false">'Смета Внутр'!B978</f>
        <v>Клееная накладка на перила шир 240мм</v>
      </c>
      <c r="C978" s="1104" t="str">
        <f aca="false">'Смета Внутр'!C978</f>
        <v>м.п.</v>
      </c>
      <c r="D978" s="1109" t="n">
        <f aca="false">'Смета Внутр'!D978</f>
        <v>3.6</v>
      </c>
      <c r="E978" s="1104" t="n">
        <f aca="false">'Смета Внутр'!E978</f>
        <v>400</v>
      </c>
      <c r="F978" s="1104" t="n">
        <f aca="false">'Смета Внутр'!F978</f>
        <v>0</v>
      </c>
      <c r="G978" s="1104" t="n">
        <f aca="false">IF(E978&gt;F978,E978,F978)</f>
        <v>400</v>
      </c>
      <c r="H978" s="1104" t="n">
        <f aca="false">'Смета Внутр'!G978</f>
        <v>1440</v>
      </c>
      <c r="I978" s="1104" t="n">
        <f aca="false">'Смета Внутр'!H978</f>
        <v>0</v>
      </c>
      <c r="J978" s="1109" t="n">
        <f aca="false">'Смета Внутр'!I978</f>
        <v>0</v>
      </c>
    </row>
    <row r="979" customFormat="false" ht="15" hidden="true" customHeight="false" outlineLevel="0" collapsed="false">
      <c r="B979" s="1108" t="str">
        <f aca="false">'Смета Внутр'!B979</f>
        <v>Итого материалы</v>
      </c>
      <c r="C979" s="1108"/>
      <c r="D979" s="1108"/>
      <c r="E979" s="1108"/>
      <c r="F979" s="1108"/>
      <c r="G979" s="1108"/>
      <c r="H979" s="1104" t="n">
        <f aca="false">'Смета Внутр'!G979</f>
        <v>0</v>
      </c>
      <c r="I979" s="1104" t="n">
        <f aca="false">'Смета Внутр'!H979</f>
        <v>0</v>
      </c>
      <c r="J979" s="1109" t="n">
        <f aca="false">'Смета Внутр'!I979</f>
        <v>0</v>
      </c>
    </row>
    <row r="980" customFormat="false" ht="15" hidden="true" customHeight="true" outlineLevel="0" collapsed="false">
      <c r="B980" s="118" t="str">
        <f aca="false">'Смета Внутр'!B980</f>
        <v>Работы</v>
      </c>
      <c r="H980" s="118" t="n">
        <f aca="false">'Смета Внутр'!G980</f>
        <v>0</v>
      </c>
      <c r="I980" s="118" t="n">
        <f aca="false">'Смета Внутр'!H980</f>
        <v>0</v>
      </c>
      <c r="J980" s="1102" t="n">
        <f aca="false">'Смета Внутр'!I980</f>
        <v>0</v>
      </c>
    </row>
    <row r="981" customFormat="false" ht="15" hidden="true" customHeight="true" outlineLevel="0" collapsed="false">
      <c r="B981" s="1104" t="str">
        <f aca="false">'Смета Внутр'!B981</f>
        <v>монтаж веранды</v>
      </c>
      <c r="C981" s="1104" t="str">
        <f aca="false">'Смета Внутр'!C981</f>
        <v>м2</v>
      </c>
      <c r="D981" s="1109" t="n">
        <f aca="false">'Смета Внутр'!D981</f>
        <v>9</v>
      </c>
      <c r="E981" s="1104" t="n">
        <f aca="false">'Смета Внутр'!E981</f>
        <v>1500</v>
      </c>
      <c r="F981" s="1104" t="n">
        <f aca="false">'Смета Внутр'!F981</f>
        <v>0</v>
      </c>
      <c r="G981" s="1104" t="n">
        <f aca="false">IF(E981&gt;F981,E981,F981)</f>
        <v>1500</v>
      </c>
      <c r="H981" s="1104" t="n">
        <f aca="false">'Смета Внутр'!G981</f>
        <v>13500</v>
      </c>
      <c r="I981" s="1104" t="n">
        <f aca="false">'Смета Внутр'!H981</f>
        <v>0</v>
      </c>
      <c r="J981" s="1109" t="n">
        <f aca="false">'Смета Внутр'!I981</f>
        <v>0</v>
      </c>
    </row>
    <row r="982" customFormat="false" ht="15" hidden="true" customHeight="true" outlineLevel="0" collapsed="false">
      <c r="B982" s="1104" t="str">
        <f aca="false">'Смета Внутр'!B982</f>
        <v>монтаж лаги, перекрытия</v>
      </c>
      <c r="C982" s="1104" t="str">
        <f aca="false">'Смета Внутр'!C982</f>
        <v>м2</v>
      </c>
      <c r="D982" s="1109" t="n">
        <f aca="false">'Смета Внутр'!D982</f>
        <v>9</v>
      </c>
      <c r="E982" s="1104" t="n">
        <f aca="false">'Смета Внутр'!E982</f>
        <v>300</v>
      </c>
      <c r="F982" s="1104" t="n">
        <f aca="false">'Смета Внутр'!F982</f>
        <v>0</v>
      </c>
      <c r="G982" s="1104" t="n">
        <f aca="false">IF(E982&gt;F982,E982,F982)</f>
        <v>300</v>
      </c>
      <c r="H982" s="1104" t="n">
        <f aca="false">'Смета Внутр'!G982</f>
        <v>2700</v>
      </c>
      <c r="I982" s="1104" t="n">
        <f aca="false">'Смета Внутр'!H982</f>
        <v>0</v>
      </c>
      <c r="J982" s="1109" t="n">
        <f aca="false">'Смета Внутр'!I982</f>
        <v>0</v>
      </c>
    </row>
    <row r="983" customFormat="false" ht="15" hidden="true" customHeight="true" outlineLevel="0" collapsed="false">
      <c r="B983" s="1104" t="str">
        <f aca="false">'Смета Внутр'!B983</f>
        <v>Монтаж накладки на перила</v>
      </c>
      <c r="C983" s="1104" t="str">
        <f aca="false">'Смета Внутр'!C983</f>
        <v>м.п.</v>
      </c>
      <c r="D983" s="1109" t="n">
        <f aca="false">'Смета Внутр'!D983</f>
        <v>9</v>
      </c>
      <c r="E983" s="1104" t="n">
        <f aca="false">'Смета Внутр'!E983</f>
        <v>0</v>
      </c>
      <c r="F983" s="1104" t="n">
        <f aca="false">'Смета Внутр'!F983</f>
        <v>0</v>
      </c>
      <c r="G983" s="1104" t="n">
        <f aca="false">IF(E983&gt;F983,E983,F983)</f>
        <v>0</v>
      </c>
      <c r="H983" s="1104" t="n">
        <f aca="false">'Смета Внутр'!G983</f>
        <v>0</v>
      </c>
      <c r="I983" s="1104" t="n">
        <f aca="false">'Смета Внутр'!H983</f>
        <v>0</v>
      </c>
      <c r="J983" s="1109" t="n">
        <f aca="false">'Смета Внутр'!I983</f>
        <v>0</v>
      </c>
    </row>
    <row r="984" customFormat="false" ht="15" hidden="true" customHeight="true" outlineLevel="0" collapsed="false">
      <c r="B984" s="1104" t="str">
        <f aca="false">'Смета Внутр'!B984</f>
        <v>Монтаж перил</v>
      </c>
      <c r="C984" s="1104" t="str">
        <f aca="false">'Смета Внутр'!C984</f>
        <v>м.п.</v>
      </c>
      <c r="D984" s="1109" t="n">
        <f aca="false">'Смета Внутр'!D984</f>
        <v>9</v>
      </c>
      <c r="E984" s="1104" t="n">
        <f aca="false">'Смета Внутр'!E984</f>
        <v>500</v>
      </c>
      <c r="F984" s="1104" t="n">
        <f aca="false">'Смета Внутр'!F984</f>
        <v>0</v>
      </c>
      <c r="G984" s="1104" t="n">
        <f aca="false">IF(E984&gt;F984,E984,F984)</f>
        <v>500</v>
      </c>
      <c r="H984" s="1104" t="n">
        <f aca="false">'Смета Внутр'!G984</f>
        <v>4500</v>
      </c>
      <c r="I984" s="1104" t="n">
        <f aca="false">'Смета Внутр'!H984</f>
        <v>0</v>
      </c>
      <c r="J984" s="1109" t="n">
        <f aca="false">'Смета Внутр'!I984</f>
        <v>0</v>
      </c>
    </row>
    <row r="985" customFormat="false" ht="15" hidden="true" customHeight="true" outlineLevel="0" collapsed="false">
      <c r="B985" s="1104" t="str">
        <f aca="false">'Смета Внутр'!B985</f>
        <v>Гидроизоляция рулонная</v>
      </c>
      <c r="C985" s="1104" t="str">
        <f aca="false">'Смета Внутр'!C985</f>
        <v>м2</v>
      </c>
      <c r="D985" s="1109" t="n">
        <f aca="false">'Смета Внутр'!D985</f>
        <v>0</v>
      </c>
      <c r="E985" s="1104" t="n">
        <f aca="false">'Смета Внутр'!E985</f>
        <v>250</v>
      </c>
      <c r="F985" s="1104" t="n">
        <f aca="false">'Смета Внутр'!F985</f>
        <v>0</v>
      </c>
      <c r="G985" s="1104" t="n">
        <f aca="false">IF(E985&gt;F985,E985,F985)</f>
        <v>250</v>
      </c>
      <c r="H985" s="1104" t="n">
        <f aca="false">'Смета Внутр'!G985</f>
        <v>0</v>
      </c>
      <c r="I985" s="1104" t="n">
        <f aca="false">'Смета Внутр'!H985</f>
        <v>0</v>
      </c>
      <c r="J985" s="1109" t="n">
        <f aca="false">'Смета Внутр'!I985</f>
        <v>0</v>
      </c>
    </row>
    <row r="986" customFormat="false" ht="15" hidden="true" customHeight="true" outlineLevel="0" collapsed="false">
      <c r="B986" s="1104" t="str">
        <f aca="false">'Смета Внутр'!B986</f>
        <v>монтаж OSB пол</v>
      </c>
      <c r="C986" s="1104" t="str">
        <f aca="false">'Смета Внутр'!C986</f>
        <v>м2</v>
      </c>
      <c r="D986" s="1109" t="n">
        <f aca="false">'Смета Внутр'!D986</f>
        <v>0</v>
      </c>
      <c r="E986" s="1104" t="n">
        <f aca="false">'Смета Внутр'!E986</f>
        <v>250</v>
      </c>
      <c r="F986" s="1104" t="n">
        <f aca="false">'Смета Внутр'!F986</f>
        <v>0</v>
      </c>
      <c r="G986" s="1104" t="n">
        <f aca="false">IF(E986&gt;F986,E986,F986)</f>
        <v>250</v>
      </c>
      <c r="H986" s="1104" t="n">
        <f aca="false">'Смета Внутр'!G986</f>
        <v>0</v>
      </c>
      <c r="I986" s="1104" t="n">
        <f aca="false">'Смета Внутр'!H986</f>
        <v>0</v>
      </c>
      <c r="J986" s="1109" t="n">
        <f aca="false">'Смета Внутр'!I986</f>
        <v>0</v>
      </c>
    </row>
    <row r="987" customFormat="false" ht="15" hidden="true" customHeight="true" outlineLevel="0" collapsed="false">
      <c r="B987" s="1104" t="str">
        <f aca="false">'Смета Внутр'!B987</f>
        <v>Монтаж перил</v>
      </c>
      <c r="C987" s="1104" t="str">
        <f aca="false">'Смета Внутр'!C987</f>
        <v>м.п.</v>
      </c>
      <c r="D987" s="1109" t="n">
        <f aca="false">'Смета Внутр'!D987</f>
        <v>3.6</v>
      </c>
      <c r="E987" s="1104" t="n">
        <f aca="false">'Смета Внутр'!E987</f>
        <v>500</v>
      </c>
      <c r="F987" s="1104" t="n">
        <f aca="false">'Смета Внутр'!F987</f>
        <v>0</v>
      </c>
      <c r="G987" s="1104" t="n">
        <f aca="false">IF(E987&gt;F987,E987,F987)</f>
        <v>500</v>
      </c>
      <c r="H987" s="1104" t="n">
        <f aca="false">'Смета Внутр'!G987</f>
        <v>1800</v>
      </c>
      <c r="I987" s="1104" t="n">
        <f aca="false">'Смета Внутр'!H987</f>
        <v>0</v>
      </c>
      <c r="J987" s="1109" t="n">
        <f aca="false">'Смета Внутр'!I987</f>
        <v>0</v>
      </c>
    </row>
    <row r="988" customFormat="false" ht="15" hidden="true" customHeight="true" outlineLevel="0" collapsed="false">
      <c r="B988" s="1104" t="str">
        <f aca="false">'Смета Внутр'!B988</f>
        <v>Монтаж накладки на перила</v>
      </c>
      <c r="C988" s="1104" t="str">
        <f aca="false">'Смета Внутр'!C988</f>
        <v>м.п.</v>
      </c>
      <c r="D988" s="1109" t="n">
        <f aca="false">'Смета Внутр'!D988</f>
        <v>3.6</v>
      </c>
      <c r="E988" s="1104" t="n">
        <f aca="false">'Смета Внутр'!E988</f>
        <v>0</v>
      </c>
      <c r="F988" s="1104" t="n">
        <f aca="false">'Смета Внутр'!F988</f>
        <v>0</v>
      </c>
      <c r="G988" s="1104" t="n">
        <f aca="false">IF(E988&gt;F988,E988,F988)</f>
        <v>0</v>
      </c>
      <c r="H988" s="1104" t="n">
        <f aca="false">'Смета Внутр'!G988</f>
        <v>0</v>
      </c>
      <c r="I988" s="1104" t="n">
        <f aca="false">'Смета Внутр'!H988</f>
        <v>0</v>
      </c>
      <c r="J988" s="1109" t="n">
        <f aca="false">'Смета Внутр'!I988</f>
        <v>0</v>
      </c>
    </row>
    <row r="989" customFormat="false" ht="15" hidden="true" customHeight="true" outlineLevel="0" collapsed="false">
      <c r="B989" s="1104" t="str">
        <f aca="false">'Смета Внутр'!B989</f>
        <v>монтаж веранды/крыльцо</v>
      </c>
      <c r="C989" s="1104" t="str">
        <f aca="false">'Смета Внутр'!C989</f>
        <v>м2</v>
      </c>
      <c r="D989" s="1109" t="n">
        <f aca="false">'Смета Внутр'!D989</f>
        <v>0</v>
      </c>
      <c r="E989" s="1104" t="n">
        <f aca="false">'Смета Внутр'!E989</f>
        <v>1500</v>
      </c>
      <c r="F989" s="1104" t="n">
        <f aca="false">'Смета Внутр'!F989</f>
        <v>0</v>
      </c>
      <c r="G989" s="1104" t="n">
        <f aca="false">IF(E989&gt;F989,E989,F989)</f>
        <v>1500</v>
      </c>
      <c r="H989" s="1104" t="n">
        <f aca="false">'Смета Внутр'!G989</f>
        <v>0</v>
      </c>
      <c r="I989" s="1104" t="n">
        <f aca="false">'Смета Внутр'!H989</f>
        <v>0</v>
      </c>
      <c r="J989" s="1109" t="n">
        <f aca="false">'Смета Внутр'!I989</f>
        <v>0</v>
      </c>
    </row>
    <row r="990" customFormat="false" ht="15" hidden="true" customHeight="true" outlineLevel="0" collapsed="false">
      <c r="B990" s="1108" t="str">
        <f aca="false">'Смета Внутр'!B990</f>
        <v>Итого работы</v>
      </c>
      <c r="C990" s="1108"/>
      <c r="D990" s="1108"/>
      <c r="E990" s="1108"/>
      <c r="F990" s="1108"/>
      <c r="G990" s="1108"/>
      <c r="H990" s="1104" t="n">
        <f aca="false">'Смета Внутр'!G990</f>
        <v>0</v>
      </c>
      <c r="I990" s="1104" t="n">
        <f aca="false">'Смета Внутр'!H990</f>
        <v>0</v>
      </c>
      <c r="J990" s="1109" t="n">
        <f aca="false">'Смета Внутр'!I990</f>
        <v>0</v>
      </c>
    </row>
    <row r="991" customFormat="false" ht="15" hidden="true" customHeight="true" outlineLevel="0" collapsed="false">
      <c r="B991" s="1111" t="str">
        <f aca="false">'Смета Внутр'!B991</f>
        <v>Крыльцо</v>
      </c>
      <c r="C991" s="1111"/>
      <c r="D991" s="1111"/>
      <c r="H991" s="118" t="n">
        <f aca="false">'Смета Внутр'!G991</f>
        <v>0</v>
      </c>
      <c r="I991" s="118" t="n">
        <f aca="false">'Смета Внутр'!H991</f>
        <v>0</v>
      </c>
      <c r="J991" s="1102" t="n">
        <f aca="false">'Смета Внутр'!I991</f>
        <v>0</v>
      </c>
    </row>
    <row r="992" customFormat="false" ht="15" hidden="true" customHeight="true" outlineLevel="0" collapsed="false">
      <c r="B992" s="118" t="str">
        <f aca="false">'Смета Внутр'!B992</f>
        <v>Материалы</v>
      </c>
      <c r="H992" s="118" t="n">
        <f aca="false">'Смета Внутр'!G992</f>
        <v>0</v>
      </c>
      <c r="I992" s="118" t="n">
        <f aca="false">'Смета Внутр'!H992</f>
        <v>0</v>
      </c>
      <c r="J992" s="1102" t="n">
        <f aca="false">'Смета Внутр'!I992</f>
        <v>0</v>
      </c>
    </row>
    <row r="993" customFormat="false" ht="15" hidden="true" customHeight="true" outlineLevel="0" collapsed="false">
      <c r="B993" s="1104" t="str">
        <f aca="false">'Смета Внутр'!B993</f>
        <v>Листв. влаж, 150*150мм</v>
      </c>
      <c r="C993" s="1104" t="str">
        <f aca="false">'Смета Внутр'!C993</f>
        <v>м3</v>
      </c>
      <c r="D993" s="1109" t="n">
        <f aca="false">'Смета Внутр'!D993</f>
        <v>0.084</v>
      </c>
      <c r="E993" s="1104" t="n">
        <f aca="false">'Смета Внутр'!E993</f>
        <v>8500</v>
      </c>
      <c r="F993" s="1104" t="n">
        <f aca="false">'Смета Внутр'!F993</f>
        <v>0</v>
      </c>
      <c r="G993" s="1104" t="n">
        <f aca="false">IF(E993&gt;F993,E993,F993)</f>
        <v>8500</v>
      </c>
      <c r="H993" s="1104" t="n">
        <f aca="false">'Смета Внутр'!G993</f>
        <v>714</v>
      </c>
      <c r="I993" s="1104" t="n">
        <f aca="false">'Смета Внутр'!H993</f>
        <v>0</v>
      </c>
      <c r="J993" s="1109" t="n">
        <f aca="false">'Смета Внутр'!I993</f>
        <v>0</v>
      </c>
    </row>
    <row r="994" customFormat="false" ht="15" hidden="true" customHeight="true" outlineLevel="0" collapsed="false">
      <c r="B994" s="1104" t="str">
        <f aca="false">'Смета Внутр'!B994</f>
        <v>Листв. влаж, 150*100мм</v>
      </c>
      <c r="C994" s="1104" t="str">
        <f aca="false">'Смета Внутр'!C994</f>
        <v>м3</v>
      </c>
      <c r="D994" s="1109" t="n">
        <f aca="false">'Смета Внутр'!D994</f>
        <v>0.09</v>
      </c>
      <c r="E994" s="1104" t="n">
        <f aca="false">'Смета Внутр'!E994</f>
        <v>8500</v>
      </c>
      <c r="F994" s="1104" t="n">
        <f aca="false">'Смета Внутр'!F994</f>
        <v>0</v>
      </c>
      <c r="G994" s="1104" t="n">
        <f aca="false">IF(E994&gt;F994,E994,F994)</f>
        <v>8500</v>
      </c>
      <c r="H994" s="1104" t="n">
        <f aca="false">'Смета Внутр'!G994</f>
        <v>765</v>
      </c>
      <c r="I994" s="1104" t="n">
        <f aca="false">'Смета Внутр'!H994</f>
        <v>0</v>
      </c>
      <c r="J994" s="1109" t="n">
        <f aca="false">'Смета Внутр'!I994</f>
        <v>0</v>
      </c>
    </row>
    <row r="995" customFormat="false" ht="15" hidden="true" customHeight="true" outlineLevel="0" collapsed="false">
      <c r="B995" s="1104" t="str">
        <f aca="false">'Смета Внутр'!B995</f>
        <v>Сосна влаж, 150*100мм</v>
      </c>
      <c r="C995" s="1104" t="str">
        <f aca="false">'Смета Внутр'!C995</f>
        <v>м3</v>
      </c>
      <c r="D995" s="1109" t="n">
        <f aca="false">'Смета Внутр'!D995</f>
        <v>0.075</v>
      </c>
      <c r="E995" s="1104" t="n">
        <f aca="false">'Смета Внутр'!E995</f>
        <v>6500</v>
      </c>
      <c r="F995" s="1104" t="n">
        <f aca="false">'Смета Внутр'!F995</f>
        <v>0</v>
      </c>
      <c r="G995" s="1104" t="n">
        <f aca="false">IF(E995&gt;F995,E995,F995)</f>
        <v>6500</v>
      </c>
      <c r="H995" s="1104" t="n">
        <f aca="false">'Смета Внутр'!G995</f>
        <v>487.5</v>
      </c>
      <c r="I995" s="1104" t="n">
        <f aca="false">'Смета Внутр'!H995</f>
        <v>0</v>
      </c>
      <c r="J995" s="1109" t="n">
        <f aca="false">'Смета Внутр'!I995</f>
        <v>0</v>
      </c>
    </row>
    <row r="996" customFormat="false" ht="15" hidden="true" customHeight="true" outlineLevel="0" collapsed="false">
      <c r="B996" s="1104" t="str">
        <f aca="false">'Смета Внутр'!B996</f>
        <v>Нет</v>
      </c>
      <c r="C996" s="1104" t="str">
        <f aca="false">'Смета Внутр'!C996</f>
        <v>м3</v>
      </c>
      <c r="D996" s="1109" t="n">
        <f aca="false">'Смета Внутр'!D996</f>
        <v>11.5</v>
      </c>
      <c r="E996" s="1104" t="n">
        <f aca="false">'Смета Внутр'!E996</f>
        <v>0</v>
      </c>
      <c r="F996" s="1104" t="n">
        <f aca="false">'Смета Внутр'!F996</f>
        <v>0</v>
      </c>
      <c r="G996" s="1104" t="n">
        <f aca="false">IF(E996&gt;F996,E996,F996)</f>
        <v>0</v>
      </c>
      <c r="H996" s="1104" t="n">
        <f aca="false">'Смета Внутр'!G996</f>
        <v>0</v>
      </c>
      <c r="I996" s="1104" t="n">
        <f aca="false">'Смета Внутр'!H996</f>
        <v>0</v>
      </c>
      <c r="J996" s="1109" t="n">
        <f aca="false">'Смета Внутр'!I996</f>
        <v>0</v>
      </c>
    </row>
    <row r="997" customFormat="false" ht="15" hidden="true" customHeight="true" outlineLevel="0" collapsed="false">
      <c r="B997" s="1104" t="str">
        <f aca="false">'Смета Внутр'!B997</f>
        <v>Листв. влаж, 150*100мм</v>
      </c>
      <c r="C997" s="1104" t="str">
        <f aca="false">'Смета Внутр'!C997</f>
        <v>м3</v>
      </c>
      <c r="D997" s="1109" t="n">
        <f aca="false">'Смета Внутр'!D997</f>
        <v>0.075</v>
      </c>
      <c r="E997" s="1104" t="n">
        <f aca="false">'Смета Внутр'!E997</f>
        <v>8500</v>
      </c>
      <c r="F997" s="1104" t="n">
        <f aca="false">'Смета Внутр'!F997</f>
        <v>0</v>
      </c>
      <c r="G997" s="1104" t="n">
        <f aca="false">IF(E997&gt;F997,E997,F997)</f>
        <v>8500</v>
      </c>
      <c r="H997" s="1104" t="n">
        <f aca="false">'Смета Внутр'!G997</f>
        <v>637.5</v>
      </c>
      <c r="I997" s="1104" t="n">
        <f aca="false">'Смета Внутр'!H997</f>
        <v>0</v>
      </c>
      <c r="J997" s="1109" t="n">
        <f aca="false">'Смета Внутр'!I997</f>
        <v>0</v>
      </c>
    </row>
    <row r="998" customFormat="false" ht="15" hidden="true" customHeight="true" outlineLevel="0" collapsed="false">
      <c r="B998" s="1104" t="str">
        <f aca="false">'Смета Внутр'!B998</f>
        <v>Листв. влаж, 150*150мм</v>
      </c>
      <c r="C998" s="1104" t="str">
        <f aca="false">'Смета Внутр'!C998</f>
        <v>м3</v>
      </c>
      <c r="D998" s="1109" t="n">
        <f aca="false">'Смета Внутр'!D998</f>
        <v>0.225</v>
      </c>
      <c r="E998" s="1104" t="n">
        <f aca="false">'Смета Внутр'!E998</f>
        <v>8500</v>
      </c>
      <c r="F998" s="1104" t="n">
        <f aca="false">'Смета Внутр'!F998</f>
        <v>0</v>
      </c>
      <c r="G998" s="1104" t="n">
        <f aca="false">IF(E998&gt;F998,E998,F998)</f>
        <v>8500</v>
      </c>
      <c r="H998" s="1104" t="n">
        <f aca="false">'Смета Внутр'!G998</f>
        <v>1912.5</v>
      </c>
      <c r="I998" s="1104" t="n">
        <f aca="false">'Смета Внутр'!H998</f>
        <v>0</v>
      </c>
      <c r="J998" s="1109" t="n">
        <f aca="false">'Смета Внутр'!I998</f>
        <v>0</v>
      </c>
    </row>
    <row r="999" customFormat="false" ht="15" hidden="true" customHeight="true" outlineLevel="0" collapsed="false">
      <c r="B999" s="1104" t="str">
        <f aca="false">'Смета Внутр'!B999</f>
        <v>Нет накладки</v>
      </c>
      <c r="C999" s="1104" t="str">
        <f aca="false">'Смета Внутр'!C999</f>
        <v>м.п.</v>
      </c>
      <c r="D999" s="1109" t="n">
        <f aca="false">'Смета Внутр'!D999</f>
        <v>5</v>
      </c>
      <c r="E999" s="1104" t="n">
        <f aca="false">'Смета Внутр'!E999</f>
        <v>0</v>
      </c>
      <c r="F999" s="1104" t="n">
        <f aca="false">'Смета Внутр'!F999</f>
        <v>0</v>
      </c>
      <c r="G999" s="1104" t="n">
        <f aca="false">IF(E999&gt;F999,E999,F999)</f>
        <v>0</v>
      </c>
      <c r="H999" s="1104" t="n">
        <f aca="false">'Смета Внутр'!G999</f>
        <v>0</v>
      </c>
      <c r="I999" s="1104" t="n">
        <f aca="false">'Смета Внутр'!H999</f>
        <v>0</v>
      </c>
      <c r="J999" s="1109" t="n">
        <f aca="false">'Смета Внутр'!I999</f>
        <v>0</v>
      </c>
    </row>
    <row r="1000" customFormat="false" ht="15" hidden="true" customHeight="true" outlineLevel="0" collapsed="false">
      <c r="B1000" s="1104" t="str">
        <f aca="false">'Смета Внутр'!B1000</f>
        <v>Нет</v>
      </c>
      <c r="C1000" s="1104" t="str">
        <f aca="false">'Смета Внутр'!C1000</f>
        <v>м3</v>
      </c>
      <c r="D1000" s="1109" t="n">
        <f aca="false">'Смета Внутр'!D1000</f>
        <v>8</v>
      </c>
      <c r="E1000" s="1104" t="n">
        <f aca="false">'Смета Внутр'!E1000</f>
        <v>0</v>
      </c>
      <c r="F1000" s="1104" t="n">
        <f aca="false">'Смета Внутр'!F1000</f>
        <v>0</v>
      </c>
      <c r="G1000" s="1104" t="n">
        <f aca="false">IF(E1000&gt;F1000,E1000,F1000)</f>
        <v>0</v>
      </c>
      <c r="H1000" s="1104" t="n">
        <f aca="false">'Смета Внутр'!G1000</f>
        <v>0</v>
      </c>
      <c r="I1000" s="1104" t="n">
        <f aca="false">'Смета Внутр'!H1000</f>
        <v>0</v>
      </c>
      <c r="J1000" s="1109" t="n">
        <f aca="false">'Смета Внутр'!I1000</f>
        <v>0</v>
      </c>
    </row>
    <row r="1001" customFormat="false" ht="15" hidden="true" customHeight="true" outlineLevel="0" collapsed="false">
      <c r="B1001" s="1104" t="str">
        <f aca="false">'Смета Внутр'!B1001</f>
        <v>Уголок усиленный 90х70х55х2,5        </v>
      </c>
      <c r="C1001" s="1104" t="str">
        <f aca="false">'Смета Внутр'!C1001</f>
        <v>шт</v>
      </c>
      <c r="D1001" s="1109" t="n">
        <f aca="false">'Смета Внутр'!D1001</f>
        <v>6</v>
      </c>
      <c r="E1001" s="1104" t="n">
        <f aca="false">'Смета Внутр'!E1001</f>
        <v>30</v>
      </c>
      <c r="F1001" s="1104" t="n">
        <f aca="false">'Смета Внутр'!F1001</f>
        <v>0</v>
      </c>
      <c r="G1001" s="1104" t="n">
        <f aca="false">IF(E1001&gt;F1001,E1001,F1001)</f>
        <v>30</v>
      </c>
      <c r="H1001" s="1104" t="n">
        <f aca="false">'Смета Внутр'!G1001</f>
        <v>180</v>
      </c>
      <c r="I1001" s="1104" t="n">
        <f aca="false">'Смета Внутр'!H1001</f>
        <v>0</v>
      </c>
      <c r="J1001" s="1109" t="n">
        <f aca="false">'Смета Внутр'!I1001</f>
        <v>0</v>
      </c>
    </row>
    <row r="1002" customFormat="false" ht="15" hidden="true" customHeight="true" outlineLevel="0" collapsed="false">
      <c r="B1002" s="1104" t="str">
        <f aca="false">'Смета Внутр'!B1002</f>
        <v>Нет уголков</v>
      </c>
      <c r="C1002" s="1104" t="str">
        <f aca="false">'Смета Внутр'!C1002</f>
        <v>шт</v>
      </c>
      <c r="D1002" s="1109" t="n">
        <f aca="false">'Смета Внутр'!D1002</f>
        <v>0</v>
      </c>
      <c r="E1002" s="1104" t="n">
        <f aca="false">'Смета Внутр'!E1002</f>
        <v>0</v>
      </c>
      <c r="F1002" s="1104" t="n">
        <f aca="false">'Смета Внутр'!F1002</f>
        <v>0</v>
      </c>
      <c r="G1002" s="1104" t="n">
        <f aca="false">IF(E1002&gt;F1002,E1002,F1002)</f>
        <v>0</v>
      </c>
      <c r="H1002" s="1104" t="n">
        <f aca="false">'Смета Внутр'!G1002</f>
        <v>0</v>
      </c>
      <c r="I1002" s="1104" t="n">
        <f aca="false">'Смета Внутр'!H1002</f>
        <v>0</v>
      </c>
      <c r="J1002" s="1109" t="n">
        <f aca="false">'Смета Внутр'!I1002</f>
        <v>0</v>
      </c>
    </row>
    <row r="1003" customFormat="false" ht="15" hidden="true" customHeight="true" outlineLevel="0" collapsed="false">
      <c r="B1003" s="1104" t="str">
        <f aca="false">'Смета Внутр'!B1003</f>
        <v>Пластина соеденительная 100х240х2           </v>
      </c>
      <c r="C1003" s="1104" t="str">
        <f aca="false">'Смета Внутр'!C1003</f>
        <v>шт</v>
      </c>
      <c r="D1003" s="1109" t="n">
        <f aca="false">'Смета Внутр'!D1003</f>
        <v>2</v>
      </c>
      <c r="E1003" s="1104" t="n">
        <f aca="false">'Смета Внутр'!E1003</f>
        <v>31.54</v>
      </c>
      <c r="F1003" s="1104" t="n">
        <f aca="false">'Смета Внутр'!F1003</f>
        <v>0</v>
      </c>
      <c r="G1003" s="1104" t="n">
        <f aca="false">IF(E1003&gt;F1003,E1003,F1003)</f>
        <v>31.54</v>
      </c>
      <c r="H1003" s="1104" t="n">
        <f aca="false">'Смета Внутр'!G1003</f>
        <v>63.08</v>
      </c>
      <c r="I1003" s="1104" t="n">
        <f aca="false">'Смета Внутр'!H1003</f>
        <v>0</v>
      </c>
      <c r="J1003" s="1109" t="n">
        <f aca="false">'Смета Внутр'!I1003</f>
        <v>0</v>
      </c>
    </row>
    <row r="1004" customFormat="false" ht="15" hidden="true" customHeight="true" outlineLevel="0" collapsed="false">
      <c r="B1004" s="1104" t="str">
        <f aca="false">'Смета Внутр'!B1004</f>
        <v>Нет пластин</v>
      </c>
      <c r="C1004" s="1104" t="str">
        <f aca="false">'Смета Внутр'!C1004</f>
        <v>шт</v>
      </c>
      <c r="D1004" s="1109" t="n">
        <f aca="false">'Смета Внутр'!D1004</f>
        <v>0</v>
      </c>
      <c r="E1004" s="1104" t="n">
        <f aca="false">'Смета Внутр'!E1004</f>
        <v>0</v>
      </c>
      <c r="F1004" s="1104" t="n">
        <f aca="false">'Смета Внутр'!F1004</f>
        <v>0</v>
      </c>
      <c r="G1004" s="1104" t="n">
        <f aca="false">IF(E1004&gt;F1004,E1004,F1004)</f>
        <v>0</v>
      </c>
      <c r="H1004" s="1104" t="n">
        <f aca="false">'Смета Внутр'!G1004</f>
        <v>0</v>
      </c>
      <c r="I1004" s="1104" t="n">
        <f aca="false">'Смета Внутр'!H1004</f>
        <v>0</v>
      </c>
      <c r="J1004" s="1109" t="n">
        <f aca="false">'Смета Внутр'!I1004</f>
        <v>0</v>
      </c>
    </row>
    <row r="1005" customFormat="false" ht="15" hidden="true" customHeight="true" outlineLevel="0" collapsed="false">
      <c r="B1005" s="1104" t="str">
        <f aca="false">'Смета Внутр'!B1005</f>
        <v>Болты анкерные с гайкой 12,0 x 100          </v>
      </c>
      <c r="C1005" s="1104" t="str">
        <f aca="false">'Смета Внутр'!C1005</f>
        <v>шт</v>
      </c>
      <c r="D1005" s="1109" t="n">
        <f aca="false">'Смета Внутр'!D1005</f>
        <v>6</v>
      </c>
      <c r="E1005" s="1104" t="n">
        <f aca="false">'Смета Внутр'!E1005</f>
        <v>11.2</v>
      </c>
      <c r="F1005" s="1104" t="n">
        <f aca="false">'Смета Внутр'!F1005</f>
        <v>0</v>
      </c>
      <c r="G1005" s="1104" t="n">
        <f aca="false">IF(E1005&gt;F1005,E1005,F1005)</f>
        <v>11.2</v>
      </c>
      <c r="H1005" s="1104" t="n">
        <f aca="false">'Смета Внутр'!G1005</f>
        <v>67.2</v>
      </c>
      <c r="I1005" s="1104" t="n">
        <f aca="false">'Смета Внутр'!H1005</f>
        <v>0</v>
      </c>
      <c r="J1005" s="1109" t="n">
        <f aca="false">'Смета Внутр'!I1005</f>
        <v>0</v>
      </c>
    </row>
    <row r="1006" customFormat="false" ht="15" hidden="true" customHeight="true" outlineLevel="0" collapsed="false">
      <c r="B1006" s="1104" t="str">
        <f aca="false">'Смета Внутр'!B1006</f>
        <v>Нет анкерных болтов</v>
      </c>
      <c r="C1006" s="1104" t="str">
        <f aca="false">'Смета Внутр'!C1006</f>
        <v>шт</v>
      </c>
      <c r="D1006" s="1109" t="n">
        <f aca="false">'Смета Внутр'!D1006</f>
        <v>0</v>
      </c>
      <c r="E1006" s="1104" t="n">
        <f aca="false">'Смета Внутр'!E1006</f>
        <v>0</v>
      </c>
      <c r="F1006" s="1104" t="n">
        <f aca="false">'Смета Внутр'!F1006</f>
        <v>0</v>
      </c>
      <c r="G1006" s="1104" t="n">
        <f aca="false">IF(E1006&gt;F1006,E1006,F1006)</f>
        <v>0</v>
      </c>
      <c r="H1006" s="1104" t="n">
        <f aca="false">'Смета Внутр'!G1006</f>
        <v>0</v>
      </c>
      <c r="I1006" s="1104" t="n">
        <f aca="false">'Смета Внутр'!H1006</f>
        <v>0</v>
      </c>
      <c r="J1006" s="1109" t="n">
        <f aca="false">'Смета Внутр'!I1006</f>
        <v>0</v>
      </c>
    </row>
    <row r="1007" customFormat="false" ht="15" hidden="true" customHeight="true" outlineLevel="0" collapsed="false">
      <c r="B1007" s="1104" t="str">
        <f aca="false">'Смета Внутр'!B1007</f>
        <v>Саморезы 3,5 x 45            </v>
      </c>
      <c r="C1007" s="1104" t="str">
        <f aca="false">'Смета Внутр'!C1007</f>
        <v>кг</v>
      </c>
      <c r="D1007" s="1109" t="n">
        <f aca="false">'Смета Внутр'!D1007</f>
        <v>0</v>
      </c>
      <c r="E1007" s="1104" t="n">
        <f aca="false">'Смета Внутр'!E1007</f>
        <v>105.62</v>
      </c>
      <c r="F1007" s="1104" t="n">
        <f aca="false">'Смета Внутр'!F1007</f>
        <v>0</v>
      </c>
      <c r="G1007" s="1104" t="n">
        <f aca="false">IF(E1007&gt;F1007,E1007,F1007)</f>
        <v>105.62</v>
      </c>
      <c r="H1007" s="1104" t="n">
        <f aca="false">'Смета Внутр'!G1007</f>
        <v>0</v>
      </c>
      <c r="I1007" s="1104" t="n">
        <f aca="false">'Смета Внутр'!H1007</f>
        <v>0</v>
      </c>
      <c r="J1007" s="1109" t="n">
        <f aca="false">'Смета Внутр'!I1007</f>
        <v>0</v>
      </c>
    </row>
    <row r="1008" customFormat="false" ht="15" hidden="true" customHeight="true" outlineLevel="0" collapsed="false">
      <c r="B1008" s="1104" t="str">
        <f aca="false">'Смета Внутр'!B1008</f>
        <v>Нет саморезов</v>
      </c>
      <c r="C1008" s="1104" t="str">
        <f aca="false">'Смета Внутр'!C1008</f>
        <v>кг</v>
      </c>
      <c r="D1008" s="1109" t="n">
        <f aca="false">'Смета Внутр'!D1008</f>
        <v>0</v>
      </c>
      <c r="E1008" s="1104" t="n">
        <f aca="false">'Смета Внутр'!E1008</f>
        <v>0</v>
      </c>
      <c r="F1008" s="1104" t="n">
        <f aca="false">'Смета Внутр'!F1008</f>
        <v>0</v>
      </c>
      <c r="G1008" s="1104" t="n">
        <f aca="false">IF(E1008&gt;F1008,E1008,F1008)</f>
        <v>0</v>
      </c>
      <c r="H1008" s="1104" t="n">
        <f aca="false">'Смета Внутр'!G1008</f>
        <v>0</v>
      </c>
      <c r="I1008" s="1104" t="n">
        <f aca="false">'Смета Внутр'!H1008</f>
        <v>0</v>
      </c>
      <c r="J1008" s="1109" t="n">
        <f aca="false">'Смета Внутр'!I1008</f>
        <v>0</v>
      </c>
    </row>
    <row r="1009" customFormat="false" ht="15" hidden="true" customHeight="true" outlineLevel="0" collapsed="false">
      <c r="B1009" s="1104" t="str">
        <f aca="false">'Смета Внутр'!B1009</f>
        <v>Гвозди строительные 2,5 x 60            </v>
      </c>
      <c r="C1009" s="1104" t="str">
        <f aca="false">'Смета Внутр'!C1009</f>
        <v>кг</v>
      </c>
      <c r="D1009" s="1109" t="n">
        <f aca="false">'Смета Внутр'!D1009</f>
        <v>1</v>
      </c>
      <c r="E1009" s="1104" t="n">
        <f aca="false">'Смета Внутр'!E1009</f>
        <v>70</v>
      </c>
      <c r="F1009" s="1104" t="n">
        <f aca="false">'Смета Внутр'!F1009</f>
        <v>0</v>
      </c>
      <c r="G1009" s="1104" t="n">
        <f aca="false">IF(E1009&gt;F1009,E1009,F1009)</f>
        <v>70</v>
      </c>
      <c r="H1009" s="1104" t="n">
        <f aca="false">'Смета Внутр'!G1009</f>
        <v>70</v>
      </c>
      <c r="I1009" s="1104" t="n">
        <f aca="false">'Смета Внутр'!H1009</f>
        <v>0</v>
      </c>
      <c r="J1009" s="1109" t="n">
        <f aca="false">'Смета Внутр'!I1009</f>
        <v>0</v>
      </c>
    </row>
    <row r="1010" customFormat="false" ht="15" hidden="true" customHeight="true" outlineLevel="0" collapsed="false">
      <c r="B1010" s="1104" t="str">
        <f aca="false">'Смета Внутр'!B1010</f>
        <v>Гвозди ершоные 3,4 x 60            </v>
      </c>
      <c r="C1010" s="1104" t="str">
        <f aca="false">'Смета Внутр'!C1010</f>
        <v>кг</v>
      </c>
      <c r="D1010" s="1109" t="n">
        <f aca="false">'Смета Внутр'!D1010</f>
        <v>1</v>
      </c>
      <c r="E1010" s="1104" t="n">
        <f aca="false">'Смета Внутр'!E1010</f>
        <v>75.51</v>
      </c>
      <c r="F1010" s="1104" t="n">
        <f aca="false">'Смета Внутр'!F1010</f>
        <v>0</v>
      </c>
      <c r="G1010" s="1104" t="n">
        <f aca="false">IF(E1010&gt;F1010,E1010,F1010)</f>
        <v>75.51</v>
      </c>
      <c r="H1010" s="1104" t="n">
        <f aca="false">'Смета Внутр'!G1010</f>
        <v>75.51</v>
      </c>
      <c r="I1010" s="1104" t="n">
        <f aca="false">'Смета Внутр'!H1010</f>
        <v>0</v>
      </c>
      <c r="J1010" s="1109" t="n">
        <f aca="false">'Смета Внутр'!I1010</f>
        <v>0</v>
      </c>
    </row>
    <row r="1011" customFormat="false" ht="15" hidden="true" customHeight="false" outlineLevel="0" collapsed="false">
      <c r="B1011" s="1108" t="str">
        <f aca="false">'Смета Внутр'!B1011</f>
        <v>Итого материалы</v>
      </c>
      <c r="C1011" s="1108"/>
      <c r="D1011" s="1108"/>
      <c r="E1011" s="1108"/>
      <c r="F1011" s="1108"/>
      <c r="G1011" s="1108"/>
      <c r="H1011" s="1104" t="n">
        <f aca="false">'Смета Внутр'!G1011</f>
        <v>0</v>
      </c>
      <c r="I1011" s="1104" t="n">
        <f aca="false">'Смета Внутр'!H1011</f>
        <v>0</v>
      </c>
      <c r="J1011" s="1109" t="n">
        <f aca="false">'Смета Внутр'!I1011</f>
        <v>0</v>
      </c>
    </row>
    <row r="1012" customFormat="false" ht="15" hidden="true" customHeight="true" outlineLevel="0" collapsed="false">
      <c r="B1012" s="118" t="str">
        <f aca="false">'Смета Внутр'!B1012</f>
        <v>Работы</v>
      </c>
      <c r="H1012" s="118" t="n">
        <f aca="false">'Смета Внутр'!G1012</f>
        <v>0</v>
      </c>
      <c r="I1012" s="118" t="n">
        <f aca="false">'Смета Внутр'!H1012</f>
        <v>0</v>
      </c>
      <c r="J1012" s="1102" t="n">
        <f aca="false">'Смета Внутр'!I1012</f>
        <v>0</v>
      </c>
    </row>
    <row r="1013" customFormat="false" ht="15" hidden="true" customHeight="true" outlineLevel="0" collapsed="false">
      <c r="B1013" s="1104" t="str">
        <f aca="false">'Смета Внутр'!B1013</f>
        <v>монтаж веранды/крыльцо</v>
      </c>
      <c r="C1013" s="1104" t="str">
        <f aca="false">'Смета Внутр'!C1013</f>
        <v>м2</v>
      </c>
      <c r="D1013" s="1109" t="n">
        <f aca="false">'Смета Внутр'!D1013</f>
        <v>3</v>
      </c>
      <c r="E1013" s="1104" t="n">
        <f aca="false">'Смета Внутр'!E1013</f>
        <v>1500</v>
      </c>
      <c r="F1013" s="1104" t="n">
        <f aca="false">'Смета Внутр'!F1013</f>
        <v>0</v>
      </c>
      <c r="G1013" s="1104" t="n">
        <f aca="false">IF(E1013&gt;F1013,E1013,F1013)</f>
        <v>1500</v>
      </c>
      <c r="H1013" s="1104" t="n">
        <f aca="false">'Смета Внутр'!G1013</f>
        <v>4500</v>
      </c>
      <c r="I1013" s="1104" t="n">
        <f aca="false">'Смета Внутр'!H1013</f>
        <v>0</v>
      </c>
      <c r="J1013" s="1109" t="n">
        <f aca="false">'Смета Внутр'!I1013</f>
        <v>0</v>
      </c>
    </row>
    <row r="1014" customFormat="false" ht="15" hidden="true" customHeight="true" outlineLevel="0" collapsed="false">
      <c r="B1014" s="1108" t="str">
        <f aca="false">'Смета Внутр'!B1014</f>
        <v>Итого, работы</v>
      </c>
      <c r="C1014" s="1108"/>
      <c r="D1014" s="1108"/>
      <c r="E1014" s="1108"/>
      <c r="F1014" s="1108"/>
      <c r="G1014" s="1108"/>
      <c r="H1014" s="1104" t="n">
        <f aca="false">'Смета Внутр'!G1014</f>
        <v>0</v>
      </c>
      <c r="I1014" s="1104" t="n">
        <f aca="false">'Смета Внутр'!H1014</f>
        <v>0</v>
      </c>
      <c r="J1014" s="1109" t="n">
        <f aca="false">'Смета Внутр'!I1014</f>
        <v>0</v>
      </c>
    </row>
    <row r="1015" customFormat="false" ht="15" hidden="true" customHeight="true" outlineLevel="0" collapsed="false">
      <c r="B1015" s="1111" t="str">
        <f aca="false">'Смета Внутр'!B1015</f>
        <v>Балкон</v>
      </c>
      <c r="C1015" s="1111"/>
      <c r="D1015" s="1111"/>
      <c r="H1015" s="118" t="n">
        <f aca="false">'Смета Внутр'!G1015</f>
        <v>0</v>
      </c>
      <c r="I1015" s="118" t="n">
        <f aca="false">'Смета Внутр'!H1015</f>
        <v>0</v>
      </c>
      <c r="J1015" s="1102" t="n">
        <f aca="false">'Смета Внутр'!I1015</f>
        <v>0</v>
      </c>
    </row>
    <row r="1016" customFormat="false" ht="15" hidden="true" customHeight="true" outlineLevel="0" collapsed="false">
      <c r="B1016" s="118" t="str">
        <f aca="false">'Смета Внутр'!B1016</f>
        <v>Материалы</v>
      </c>
      <c r="H1016" s="118" t="n">
        <f aca="false">'Смета Внутр'!G1016</f>
        <v>0</v>
      </c>
      <c r="I1016" s="118" t="n">
        <f aca="false">'Смета Внутр'!H1016</f>
        <v>0</v>
      </c>
      <c r="J1016" s="1102" t="n">
        <f aca="false">'Смета Внутр'!I1016</f>
        <v>0</v>
      </c>
    </row>
    <row r="1017" customFormat="false" ht="15" hidden="true" customHeight="true" outlineLevel="0" collapsed="false">
      <c r="B1017" s="1104" t="str">
        <f aca="false">'Смета Внутр'!B1017</f>
        <v>Оцилиндрованное бревно сосна 260мм</v>
      </c>
      <c r="C1017" s="1104" t="str">
        <f aca="false">'Смета Внутр'!C1017</f>
        <v>м3</v>
      </c>
      <c r="D1017" s="1109" t="n">
        <f aca="false">'Смета Внутр'!D1017</f>
        <v>1.17</v>
      </c>
      <c r="E1017" s="1104" t="n">
        <f aca="false">'Смета Внутр'!E1017</f>
        <v>8500</v>
      </c>
      <c r="F1017" s="1104" t="n">
        <f aca="false">'Смета Внутр'!F1017</f>
        <v>0</v>
      </c>
      <c r="G1017" s="1104" t="n">
        <f aca="false">IF(E1017&gt;F1017,E1017,F1017)</f>
        <v>8500</v>
      </c>
      <c r="H1017" s="1104" t="n">
        <f aca="false">'Смета Внутр'!G1017</f>
        <v>9945</v>
      </c>
      <c r="I1017" s="1104" t="n">
        <f aca="false">'Смета Внутр'!H1017</f>
        <v>0</v>
      </c>
      <c r="J1017" s="1109" t="n">
        <f aca="false">'Смета Внутр'!I1017</f>
        <v>0</v>
      </c>
    </row>
    <row r="1018" customFormat="false" ht="15" hidden="true" customHeight="true" outlineLevel="0" collapsed="false">
      <c r="B1018" s="1104" t="str">
        <f aca="false">'Смета Внутр'!B1018</f>
        <v>Доска естественной влажности, 200*50мм</v>
      </c>
      <c r="C1018" s="1104" t="str">
        <f aca="false">'Смета Внутр'!C1018</f>
        <v>м3</v>
      </c>
      <c r="D1018" s="1109" t="n">
        <f aca="false">'Смета Внутр'!D1018</f>
        <v>0.09</v>
      </c>
      <c r="E1018" s="1104" t="n">
        <f aca="false">'Смета Внутр'!E1018</f>
        <v>6500</v>
      </c>
      <c r="F1018" s="1104" t="n">
        <f aca="false">'Смета Внутр'!F1018</f>
        <v>0</v>
      </c>
      <c r="G1018" s="1104" t="n">
        <f aca="false">IF(E1018&gt;F1018,E1018,F1018)</f>
        <v>6500</v>
      </c>
      <c r="H1018" s="1104" t="n">
        <f aca="false">'Смета Внутр'!G1018</f>
        <v>585</v>
      </c>
      <c r="I1018" s="1104" t="n">
        <f aca="false">'Смета Внутр'!H1018</f>
        <v>0</v>
      </c>
      <c r="J1018" s="1109" t="n">
        <f aca="false">'Смета Внутр'!I1018</f>
        <v>0</v>
      </c>
    </row>
    <row r="1019" customFormat="false" ht="15" hidden="true" customHeight="true" outlineLevel="0" collapsed="false">
      <c r="B1019" s="1104" t="str">
        <f aca="false">'Смета Внутр'!B1019</f>
        <v>Бензин для пилы</v>
      </c>
      <c r="C1019" s="1104" t="str">
        <f aca="false">'Смета Внутр'!C1019</f>
        <v>л</v>
      </c>
      <c r="D1019" s="1109" t="n">
        <f aca="false">'Смета Внутр'!D1019</f>
        <v>0.63</v>
      </c>
      <c r="E1019" s="1104" t="n">
        <f aca="false">'Смета Внутр'!E1019</f>
        <v>40</v>
      </c>
      <c r="F1019" s="1104" t="n">
        <f aca="false">'Смета Внутр'!F1019</f>
        <v>0</v>
      </c>
      <c r="G1019" s="1104" t="n">
        <f aca="false">IF(E1019&gt;F1019,E1019,F1019)</f>
        <v>40</v>
      </c>
      <c r="H1019" s="1104" t="n">
        <f aca="false">'Смета Внутр'!G1019</f>
        <v>25.2</v>
      </c>
      <c r="I1019" s="1104" t="n">
        <f aca="false">'Смета Внутр'!H1019</f>
        <v>0</v>
      </c>
      <c r="J1019" s="1109" t="n">
        <f aca="false">'Смета Внутр'!I1019</f>
        <v>0</v>
      </c>
    </row>
    <row r="1020" customFormat="false" ht="15" hidden="true" customHeight="true" outlineLevel="0" collapsed="false">
      <c r="B1020" s="1104" t="str">
        <f aca="false">'Смета Внутр'!B1020</f>
        <v>Масло для пилы</v>
      </c>
      <c r="C1020" s="1104" t="str">
        <f aca="false">'Смета Внутр'!C1020</f>
        <v>л</v>
      </c>
      <c r="D1020" s="1109" t="n">
        <f aca="false">'Смета Внутр'!D1020</f>
        <v>0.0525</v>
      </c>
      <c r="E1020" s="1104" t="n">
        <f aca="false">'Смета Внутр'!E1020</f>
        <v>250</v>
      </c>
      <c r="F1020" s="1104" t="n">
        <f aca="false">'Смета Внутр'!F1020</f>
        <v>0</v>
      </c>
      <c r="G1020" s="1104" t="n">
        <f aca="false">IF(E1020&gt;F1020,E1020,F1020)</f>
        <v>250</v>
      </c>
      <c r="H1020" s="1104" t="n">
        <f aca="false">'Смета Внутр'!G1020</f>
        <v>13.125</v>
      </c>
      <c r="I1020" s="1104" t="n">
        <f aca="false">'Смета Внутр'!H1020</f>
        <v>0</v>
      </c>
      <c r="J1020" s="1109" t="n">
        <f aca="false">'Смета Внутр'!I1020</f>
        <v>0</v>
      </c>
    </row>
    <row r="1021" customFormat="false" ht="15" hidden="true" customHeight="true" outlineLevel="0" collapsed="false">
      <c r="B1021" s="1104" t="str">
        <f aca="false">'Смета Внутр'!B1021</f>
        <v>Цепь для пилы</v>
      </c>
      <c r="C1021" s="1104" t="str">
        <f aca="false">'Смета Внутр'!C1021</f>
        <v>л</v>
      </c>
      <c r="D1021" s="1109" t="n">
        <f aca="false">'Смета Внутр'!D1021</f>
        <v>1</v>
      </c>
      <c r="E1021" s="1104" t="n">
        <f aca="false">'Смета Внутр'!E1021</f>
        <v>800</v>
      </c>
      <c r="F1021" s="1104" t="n">
        <f aca="false">'Смета Внутр'!F1021</f>
        <v>0</v>
      </c>
      <c r="G1021" s="1104" t="n">
        <f aca="false">IF(E1021&gt;F1021,E1021,F1021)</f>
        <v>800</v>
      </c>
      <c r="H1021" s="1104" t="n">
        <f aca="false">'Смета Внутр'!G1021</f>
        <v>800</v>
      </c>
      <c r="I1021" s="1104" t="n">
        <f aca="false">'Смета Внутр'!H1021</f>
        <v>0</v>
      </c>
      <c r="J1021" s="1109" t="n">
        <f aca="false">'Смета Внутр'!I1021</f>
        <v>0</v>
      </c>
    </row>
    <row r="1022" customFormat="false" ht="15" hidden="true" customHeight="true" outlineLevel="0" collapsed="false">
      <c r="B1022" s="1104" t="str">
        <f aca="false">'Смета Внутр'!B1022</f>
        <v>Гидроизоляция жидкая резина 1</v>
      </c>
      <c r="C1022" s="1104" t="str">
        <f aca="false">'Смета Внутр'!C1022</f>
        <v>кг</v>
      </c>
      <c r="D1022" s="1109" t="n">
        <f aca="false">'Смета Внутр'!D1022</f>
        <v>0</v>
      </c>
      <c r="E1022" s="1104" t="n">
        <f aca="false">'Смета Внутр'!E1022</f>
        <v>150</v>
      </c>
      <c r="F1022" s="1104" t="n">
        <f aca="false">'Смета Внутр'!F1022</f>
        <v>0</v>
      </c>
      <c r="G1022" s="1104" t="n">
        <f aca="false">IF(E1022&gt;F1022,E1022,F1022)</f>
        <v>150</v>
      </c>
      <c r="H1022" s="1104" t="n">
        <f aca="false">'Смета Внутр'!G1022</f>
        <v>0</v>
      </c>
      <c r="I1022" s="1104" t="n">
        <f aca="false">'Смета Внутр'!H1022</f>
        <v>0</v>
      </c>
      <c r="J1022" s="1109" t="n">
        <f aca="false">'Смета Внутр'!I1022</f>
        <v>0</v>
      </c>
    </row>
    <row r="1023" customFormat="false" ht="15" hidden="true" customHeight="true" outlineLevel="0" collapsed="false">
      <c r="B1023" s="1104" t="str">
        <f aca="false">'Смета Внутр'!B1023</f>
        <v>Kronospan - OSB-3, 22мм</v>
      </c>
      <c r="C1023" s="1104" t="str">
        <f aca="false">'Смета Внутр'!C1023</f>
        <v>м2</v>
      </c>
      <c r="D1023" s="1109" t="n">
        <f aca="false">'Смета Внутр'!D1023</f>
        <v>0</v>
      </c>
      <c r="E1023" s="1104" t="n">
        <f aca="false">'Смета Внутр'!E1023</f>
        <v>526.666666666667</v>
      </c>
      <c r="F1023" s="1104" t="n">
        <f aca="false">'Смета Внутр'!F1023</f>
        <v>0</v>
      </c>
      <c r="G1023" s="1104" t="n">
        <f aca="false">IF(E1023&gt;F1023,E1023,F1023)</f>
        <v>526.666666666667</v>
      </c>
      <c r="H1023" s="1104" t="n">
        <f aca="false">'Смета Внутр'!G1023</f>
        <v>0</v>
      </c>
      <c r="I1023" s="1104" t="n">
        <f aca="false">'Смета Внутр'!H1023</f>
        <v>0</v>
      </c>
      <c r="J1023" s="1109" t="n">
        <f aca="false">'Смета Внутр'!I1023</f>
        <v>0</v>
      </c>
    </row>
    <row r="1024" customFormat="false" ht="15" hidden="true" customHeight="true" outlineLevel="0" collapsed="false">
      <c r="B1024" s="1104" t="str">
        <f aca="false">'Смета Внутр'!B1024</f>
        <v>Проф.брус вл. 200*150мм</v>
      </c>
      <c r="C1024" s="1104" t="str">
        <f aca="false">'Смета Внутр'!C1024</f>
        <v>м3</v>
      </c>
      <c r="D1024" s="1109" t="n">
        <f aca="false">'Смета Внутр'!D1024</f>
        <v>0</v>
      </c>
      <c r="E1024" s="1104" t="n">
        <f aca="false">'Смета Внутр'!E1024</f>
        <v>9300</v>
      </c>
      <c r="F1024" s="1104" t="n">
        <f aca="false">'Смета Внутр'!F1024</f>
        <v>0</v>
      </c>
      <c r="G1024" s="1104" t="n">
        <f aca="false">IF(E1024&gt;F1024,E1024,F1024)</f>
        <v>9300</v>
      </c>
      <c r="H1024" s="1104" t="n">
        <f aca="false">'Смета Внутр'!G1024</f>
        <v>0</v>
      </c>
      <c r="I1024" s="1104" t="n">
        <f aca="false">'Смета Внутр'!H1024</f>
        <v>0</v>
      </c>
      <c r="J1024" s="1109" t="n">
        <f aca="false">'Смета Внутр'!I1024</f>
        <v>0</v>
      </c>
    </row>
    <row r="1025" customFormat="false" ht="15" hidden="true" customHeight="true" outlineLevel="0" collapsed="false">
      <c r="B1025" s="1104" t="str">
        <f aca="false">'Смета Внутр'!B1025</f>
        <v>Брус клееный проф 2 ламель кедр Шир. 240 выс. 140</v>
      </c>
      <c r="C1025" s="1104" t="str">
        <f aca="false">'Смета Внутр'!C1025</f>
        <v>м3</v>
      </c>
      <c r="D1025" s="1109" t="n">
        <f aca="false">'Смета Внутр'!D1025</f>
        <v>0</v>
      </c>
      <c r="E1025" s="1104" t="n">
        <f aca="false">'Смета Внутр'!E1025</f>
        <v>24000</v>
      </c>
      <c r="F1025" s="1104" t="n">
        <f aca="false">'Смета Внутр'!F1025</f>
        <v>0</v>
      </c>
      <c r="G1025" s="1104" t="n">
        <f aca="false">IF(E1025&gt;F1025,E1025,F1025)</f>
        <v>24000</v>
      </c>
      <c r="H1025" s="1104" t="n">
        <f aca="false">'Смета Внутр'!G1025</f>
        <v>0</v>
      </c>
      <c r="I1025" s="1104" t="n">
        <f aca="false">'Смета Внутр'!H1025</f>
        <v>0</v>
      </c>
      <c r="J1025" s="1109" t="n">
        <f aca="false">'Смета Внутр'!I1025</f>
        <v>0</v>
      </c>
    </row>
    <row r="1026" customFormat="false" ht="15" hidden="true" customHeight="true" outlineLevel="0" collapsed="false">
      <c r="B1026" s="1104" t="str">
        <f aca="false">'Смета Внутр'!B1026</f>
        <v>Брус клееный проф 1 ламель кедр Шир. 240 выс. 140</v>
      </c>
      <c r="C1026" s="1104" t="str">
        <f aca="false">'Смета Внутр'!C1026</f>
        <v>м3</v>
      </c>
      <c r="D1026" s="1109" t="n">
        <f aca="false">'Смета Внутр'!D1026</f>
        <v>0</v>
      </c>
      <c r="E1026" s="1104" t="n">
        <f aca="false">'Смета Внутр'!E1026</f>
        <v>24000</v>
      </c>
      <c r="F1026" s="1104" t="n">
        <f aca="false">'Смета Внутр'!F1026</f>
        <v>0</v>
      </c>
      <c r="G1026" s="1104" t="n">
        <f aca="false">IF(E1026&gt;F1026,E1026,F1026)</f>
        <v>24000</v>
      </c>
      <c r="H1026" s="1104" t="n">
        <f aca="false">'Смета Внутр'!G1026</f>
        <v>0</v>
      </c>
      <c r="I1026" s="1104" t="n">
        <f aca="false">'Смета Внутр'!H1026</f>
        <v>0</v>
      </c>
      <c r="J1026" s="1109" t="n">
        <f aca="false">'Смета Внутр'!I1026</f>
        <v>0</v>
      </c>
    </row>
    <row r="1027" customFormat="false" ht="15" hidden="true" customHeight="true" outlineLevel="0" collapsed="false">
      <c r="B1027" s="1104" t="str">
        <f aca="false">'Смета Внутр'!B1027</f>
        <v>Клееная накладка на перила шир 240мм</v>
      </c>
      <c r="C1027" s="1104" t="str">
        <f aca="false">'Смета Внутр'!C1027</f>
        <v>м.п.</v>
      </c>
      <c r="D1027" s="1109" t="n">
        <f aca="false">'Смета Внутр'!D1027</f>
        <v>0</v>
      </c>
      <c r="E1027" s="1104" t="n">
        <f aca="false">'Смета Внутр'!E1027</f>
        <v>400</v>
      </c>
      <c r="F1027" s="1104" t="n">
        <f aca="false">'Смета Внутр'!F1027</f>
        <v>0</v>
      </c>
      <c r="G1027" s="1104" t="n">
        <f aca="false">IF(E1027&gt;F1027,E1027,F1027)</f>
        <v>400</v>
      </c>
      <c r="H1027" s="1104" t="n">
        <f aca="false">'Смета Внутр'!G1027</f>
        <v>0</v>
      </c>
      <c r="I1027" s="1104" t="n">
        <f aca="false">'Смета Внутр'!H1027</f>
        <v>0</v>
      </c>
      <c r="J1027" s="1109" t="n">
        <f aca="false">'Смета Внутр'!I1027</f>
        <v>0</v>
      </c>
    </row>
    <row r="1028" customFormat="false" ht="15" hidden="true" customHeight="false" outlineLevel="0" collapsed="false">
      <c r="B1028" s="1108" t="str">
        <f aca="false">'Смета Внутр'!B1028</f>
        <v>Итого материалы</v>
      </c>
      <c r="C1028" s="1108"/>
      <c r="D1028" s="1108"/>
      <c r="E1028" s="1108"/>
      <c r="F1028" s="1108"/>
      <c r="G1028" s="1108"/>
      <c r="H1028" s="1104" t="n">
        <f aca="false">'Смета Внутр'!G1028</f>
        <v>0</v>
      </c>
      <c r="I1028" s="1104" t="n">
        <f aca="false">'Смета Внутр'!H1028</f>
        <v>0</v>
      </c>
      <c r="J1028" s="1109" t="n">
        <f aca="false">'Смета Внутр'!I1028</f>
        <v>0</v>
      </c>
    </row>
    <row r="1029" customFormat="false" ht="15" hidden="true" customHeight="true" outlineLevel="0" collapsed="false">
      <c r="B1029" s="118" t="str">
        <f aca="false">'Смета Внутр'!B1029</f>
        <v>Работы</v>
      </c>
      <c r="H1029" s="118" t="n">
        <f aca="false">'Смета Внутр'!G1029</f>
        <v>0</v>
      </c>
      <c r="I1029" s="118" t="n">
        <f aca="false">'Смета Внутр'!H1029</f>
        <v>0</v>
      </c>
      <c r="J1029" s="1102" t="n">
        <f aca="false">'Смета Внутр'!I1029</f>
        <v>0</v>
      </c>
    </row>
    <row r="1030" customFormat="false" ht="15" hidden="true" customHeight="true" outlineLevel="0" collapsed="false">
      <c r="B1030" s="1104" t="str">
        <f aca="false">'Смета Внутр'!B1030</f>
        <v>кладка бруса</v>
      </c>
      <c r="C1030" s="1104" t="str">
        <f aca="false">'Смета Внутр'!C1030</f>
        <v>м3</v>
      </c>
      <c r="D1030" s="1109" t="n">
        <f aca="false">'Смета Внутр'!D1030</f>
        <v>1.17</v>
      </c>
      <c r="E1030" s="1104" t="n">
        <f aca="false">'Смета Внутр'!E1030</f>
        <v>4000</v>
      </c>
      <c r="F1030" s="1104" t="n">
        <f aca="false">'Смета Внутр'!F1030</f>
        <v>0</v>
      </c>
      <c r="G1030" s="1104" t="n">
        <f aca="false">IF(E1030&gt;F1030,E1030,F1030)</f>
        <v>4000</v>
      </c>
      <c r="H1030" s="1104" t="n">
        <f aca="false">'Смета Внутр'!G1030</f>
        <v>4680</v>
      </c>
      <c r="I1030" s="1104" t="n">
        <f aca="false">'Смета Внутр'!H1030</f>
        <v>0</v>
      </c>
      <c r="J1030" s="1109" t="n">
        <f aca="false">'Смета Внутр'!I1030</f>
        <v>0</v>
      </c>
    </row>
    <row r="1031" customFormat="false" ht="15" hidden="true" customHeight="true" outlineLevel="0" collapsed="false">
      <c r="B1031" s="1104" t="str">
        <f aca="false">'Смета Внутр'!B1031</f>
        <v>Монтаж перекрытий из бруса</v>
      </c>
      <c r="C1031" s="1104" t="str">
        <f aca="false">'Смета Внутр'!C1031</f>
        <v>м2</v>
      </c>
      <c r="D1031" s="1109" t="n">
        <f aca="false">'Смета Внутр'!D1031</f>
        <v>3</v>
      </c>
      <c r="E1031" s="1104" t="n">
        <f aca="false">'Смета Внутр'!E1031</f>
        <v>300</v>
      </c>
      <c r="F1031" s="1104" t="n">
        <f aca="false">'Смета Внутр'!F1031</f>
        <v>0</v>
      </c>
      <c r="G1031" s="1104" t="n">
        <f aca="false">IF(E1031&gt;F1031,E1031,F1031)</f>
        <v>300</v>
      </c>
      <c r="H1031" s="1104" t="n">
        <f aca="false">'Смета Внутр'!G1031</f>
        <v>900</v>
      </c>
      <c r="I1031" s="1104" t="n">
        <f aca="false">'Смета Внутр'!H1031</f>
        <v>0</v>
      </c>
      <c r="J1031" s="1109" t="n">
        <f aca="false">'Смета Внутр'!I1031</f>
        <v>0</v>
      </c>
    </row>
    <row r="1032" customFormat="false" ht="15" hidden="true" customHeight="true" outlineLevel="0" collapsed="false">
      <c r="B1032" s="1104" t="str">
        <f aca="false">'Смета Внутр'!B1032</f>
        <v>Гидроизоляция рулонная</v>
      </c>
      <c r="C1032" s="1104" t="str">
        <f aca="false">'Смета Внутр'!C1032</f>
        <v>м2</v>
      </c>
      <c r="D1032" s="1109" t="n">
        <f aca="false">'Смета Внутр'!D1032</f>
        <v>0</v>
      </c>
      <c r="E1032" s="1104" t="n">
        <f aca="false">'Смета Внутр'!E1032</f>
        <v>250</v>
      </c>
      <c r="F1032" s="1104" t="n">
        <f aca="false">'Смета Внутр'!F1032</f>
        <v>0</v>
      </c>
      <c r="G1032" s="1104" t="n">
        <f aca="false">IF(E1032&gt;F1032,E1032,F1032)</f>
        <v>250</v>
      </c>
      <c r="H1032" s="1104" t="n">
        <f aca="false">'Смета Внутр'!G1032</f>
        <v>0</v>
      </c>
      <c r="I1032" s="1104" t="n">
        <f aca="false">'Смета Внутр'!H1032</f>
        <v>0</v>
      </c>
      <c r="J1032" s="1109" t="n">
        <f aca="false">'Смета Внутр'!I1032</f>
        <v>0</v>
      </c>
    </row>
    <row r="1033" customFormat="false" ht="15" hidden="true" customHeight="true" outlineLevel="0" collapsed="false">
      <c r="B1033" s="1104" t="str">
        <f aca="false">'Смета Внутр'!B1033</f>
        <v>монтаж OSB пол</v>
      </c>
      <c r="C1033" s="1104" t="str">
        <f aca="false">'Смета Внутр'!C1033</f>
        <v>м2</v>
      </c>
      <c r="D1033" s="1109" t="n">
        <f aca="false">'Смета Внутр'!D1033</f>
        <v>0</v>
      </c>
      <c r="E1033" s="1104" t="n">
        <f aca="false">'Смета Внутр'!E1033</f>
        <v>250</v>
      </c>
      <c r="F1033" s="1104" t="n">
        <f aca="false">'Смета Внутр'!F1033</f>
        <v>0</v>
      </c>
      <c r="G1033" s="1104" t="n">
        <f aca="false">IF(E1033&gt;F1033,E1033,F1033)</f>
        <v>250</v>
      </c>
      <c r="H1033" s="1104" t="n">
        <f aca="false">'Смета Внутр'!G1033</f>
        <v>0</v>
      </c>
      <c r="I1033" s="1104" t="n">
        <f aca="false">'Смета Внутр'!H1033</f>
        <v>0</v>
      </c>
      <c r="J1033" s="1109" t="n">
        <f aca="false">'Смета Внутр'!I1033</f>
        <v>0</v>
      </c>
    </row>
    <row r="1034" customFormat="false" ht="15" hidden="true" customHeight="true" outlineLevel="0" collapsed="false">
      <c r="B1034" s="1104" t="str">
        <f aca="false">'Смета Внутр'!B1034</f>
        <v>Монтаж перил</v>
      </c>
      <c r="C1034" s="1104" t="str">
        <f aca="false">'Смета Внутр'!C1034</f>
        <v>м.п.</v>
      </c>
      <c r="D1034" s="1109" t="n">
        <f aca="false">'Смета Внутр'!D1034</f>
        <v>0</v>
      </c>
      <c r="E1034" s="1104" t="n">
        <f aca="false">'Смета Внутр'!E1034</f>
        <v>500</v>
      </c>
      <c r="F1034" s="1104" t="n">
        <f aca="false">'Смета Внутр'!F1034</f>
        <v>0</v>
      </c>
      <c r="G1034" s="1104" t="n">
        <f aca="false">IF(E1034&gt;F1034,E1034,F1034)</f>
        <v>500</v>
      </c>
      <c r="H1034" s="1104" t="n">
        <f aca="false">'Смета Внутр'!G1034</f>
        <v>0</v>
      </c>
      <c r="I1034" s="1104" t="n">
        <f aca="false">'Смета Внутр'!H1034</f>
        <v>0</v>
      </c>
      <c r="J1034" s="1109" t="n">
        <f aca="false">'Смета Внутр'!I1034</f>
        <v>0</v>
      </c>
    </row>
    <row r="1035" customFormat="false" ht="15" hidden="true" customHeight="true" outlineLevel="0" collapsed="false">
      <c r="B1035" s="1104" t="str">
        <f aca="false">'Смета Внутр'!B1035</f>
        <v>Монтаж накладки на перила</v>
      </c>
      <c r="C1035" s="1104" t="str">
        <f aca="false">'Смета Внутр'!C1035</f>
        <v>м.п.</v>
      </c>
      <c r="D1035" s="1109" t="n">
        <f aca="false">'Смета Внутр'!D1035</f>
        <v>0</v>
      </c>
      <c r="E1035" s="1104" t="n">
        <f aca="false">'Смета Внутр'!E1035</f>
        <v>0</v>
      </c>
      <c r="F1035" s="1104" t="n">
        <f aca="false">'Смета Внутр'!F1035</f>
        <v>0</v>
      </c>
      <c r="G1035" s="1104" t="n">
        <f aca="false">IF(E1035&gt;F1035,E1035,F1035)</f>
        <v>0</v>
      </c>
      <c r="H1035" s="1104" t="n">
        <f aca="false">'Смета Внутр'!G1035</f>
        <v>0</v>
      </c>
      <c r="I1035" s="1104" t="n">
        <f aca="false">'Смета Внутр'!H1035</f>
        <v>0</v>
      </c>
      <c r="J1035" s="1109" t="n">
        <f aca="false">'Смета Внутр'!I1035</f>
        <v>0</v>
      </c>
    </row>
    <row r="1036" customFormat="false" ht="15" hidden="true" customHeight="true" outlineLevel="0" collapsed="false">
      <c r="B1036" s="1108" t="str">
        <f aca="false">'Смета Внутр'!B1036</f>
        <v>Итого работы</v>
      </c>
      <c r="C1036" s="1108"/>
      <c r="D1036" s="1108"/>
      <c r="E1036" s="1108"/>
      <c r="F1036" s="1108"/>
      <c r="G1036" s="1108"/>
      <c r="H1036" s="1104" t="n">
        <f aca="false">'Смета Внутр'!G1036</f>
        <v>0</v>
      </c>
      <c r="I1036" s="1104" t="n">
        <f aca="false">'Смета Внутр'!H1036</f>
        <v>0</v>
      </c>
      <c r="J1036" s="1109" t="n">
        <f aca="false">'Смета Внутр'!I1036</f>
        <v>0</v>
      </c>
    </row>
    <row r="1037" customFormat="false" ht="15" hidden="false" customHeight="true" outlineLevel="0" collapsed="false">
      <c r="B1037" s="1111" t="str">
        <f aca="false">'Смета Внутр'!B1037</f>
        <v>Кровля односкатная</v>
      </c>
      <c r="C1037" s="1111"/>
      <c r="D1037" s="1111"/>
      <c r="H1037" s="118" t="n">
        <f aca="false">'Смета Внутр'!G1037</f>
        <v>0</v>
      </c>
      <c r="I1037" s="118" t="n">
        <f aca="false">'Смета Внутр'!H1037</f>
        <v>0</v>
      </c>
      <c r="J1037" s="1102" t="n">
        <f aca="false">'Смета Внутр'!I1037</f>
        <v>0</v>
      </c>
    </row>
    <row r="1038" customFormat="false" ht="15" hidden="false" customHeight="true" outlineLevel="0" collapsed="false">
      <c r="B1038" s="118" t="str">
        <f aca="false">'Смета Внутр'!B1038</f>
        <v>Материалы</v>
      </c>
      <c r="H1038" s="118" t="n">
        <f aca="false">'Смета Внутр'!G1038</f>
        <v>0</v>
      </c>
      <c r="I1038" s="118" t="n">
        <f aca="false">'Смета Внутр'!H1038</f>
        <v>0</v>
      </c>
      <c r="J1038" s="1102" t="n">
        <f aca="false">'Смета Внутр'!I1038</f>
        <v>0</v>
      </c>
    </row>
    <row r="1039" customFormat="false" ht="15" hidden="true" customHeight="true" outlineLevel="0" collapsed="false">
      <c r="B1039" s="1104" t="str">
        <f aca="false">'Смета Внутр'!B1039</f>
        <v>нет</v>
      </c>
      <c r="C1039" s="1104" t="str">
        <f aca="false">'Смета Внутр'!C1039</f>
        <v>м3</v>
      </c>
      <c r="D1039" s="1109" t="n">
        <f aca="false">'Смета Внутр'!D1039</f>
        <v>0</v>
      </c>
      <c r="E1039" s="1104" t="n">
        <f aca="false">'Смета Внутр'!E1039</f>
        <v>0</v>
      </c>
      <c r="F1039" s="1104" t="n">
        <f aca="false">'Смета Внутр'!F1039</f>
        <v>0</v>
      </c>
      <c r="G1039" s="1104" t="n">
        <f aca="false">IF(E1039&gt;F1039,E1039,F1039)</f>
        <v>0</v>
      </c>
      <c r="H1039" s="1104" t="n">
        <f aca="false">'Смета Внутр'!G1039</f>
        <v>0</v>
      </c>
      <c r="I1039" s="1104" t="n">
        <f aca="false">'Смета Внутр'!H1039</f>
        <v>0</v>
      </c>
      <c r="J1039" s="1109" t="n">
        <f aca="false">'Смета Внутр'!I1039</f>
        <v>0</v>
      </c>
    </row>
    <row r="1040" customFormat="false" ht="15" hidden="false" customHeight="true" outlineLevel="0" collapsed="false">
      <c r="B1040" s="1104" t="str">
        <f aca="false">'Смета Внутр'!B1040</f>
        <v>Болты анкерные с гайкой 12,0 х 280          </v>
      </c>
      <c r="C1040" s="1104" t="str">
        <f aca="false">'Смета Внутр'!C1040</f>
        <v>шт</v>
      </c>
      <c r="D1040" s="1109" t="n">
        <f aca="false">'Смета Внутр'!D1040</f>
        <v>36.9990475974507</v>
      </c>
      <c r="E1040" s="1104" t="n">
        <f aca="false">'Смета Внутр'!E1040</f>
        <v>27.1</v>
      </c>
      <c r="F1040" s="1104" t="n">
        <f aca="false">'Смета Внутр'!F1040</f>
        <v>0</v>
      </c>
      <c r="G1040" s="1104" t="n">
        <f aca="false">IF(E1040&gt;F1040,E1040,F1040)</f>
        <v>27.1</v>
      </c>
      <c r="H1040" s="1104" t="n">
        <f aca="false">'Смета Внутр'!G1040</f>
        <v>1002.67418989091</v>
      </c>
      <c r="I1040" s="1104" t="n">
        <f aca="false">'Смета Внутр'!H1040</f>
        <v>0</v>
      </c>
      <c r="J1040" s="1109" t="n">
        <f aca="false">'Смета Внутр'!I1040</f>
        <v>0</v>
      </c>
    </row>
    <row r="1041" customFormat="false" ht="15" hidden="false" customHeight="true" outlineLevel="0" collapsed="false">
      <c r="B1041" s="1104" t="str">
        <f aca="false">'Смета Внутр'!B1041</f>
        <v>Доска сырая, 150*50мм</v>
      </c>
      <c r="C1041" s="1104" t="str">
        <f aca="false">'Смета Внутр'!C1041</f>
        <v>м3</v>
      </c>
      <c r="D1041" s="1109" t="n">
        <f aca="false">'Смета Внутр'!D1041</f>
        <v>0.09</v>
      </c>
      <c r="E1041" s="1104" t="n">
        <f aca="false">'Смета Внутр'!E1041</f>
        <v>6500</v>
      </c>
      <c r="F1041" s="1104" t="n">
        <f aca="false">'Смета Внутр'!F1041</f>
        <v>0</v>
      </c>
      <c r="G1041" s="1104" t="n">
        <f aca="false">IF(E1041&gt;F1041,E1041,F1041)</f>
        <v>6500</v>
      </c>
      <c r="H1041" s="1104" t="n">
        <f aca="false">'Смета Внутр'!G1041</f>
        <v>585</v>
      </c>
      <c r="I1041" s="1104" t="n">
        <f aca="false">'Смета Внутр'!H1041</f>
        <v>0</v>
      </c>
      <c r="J1041" s="1109" t="n">
        <f aca="false">'Смета Внутр'!I1041</f>
        <v>0</v>
      </c>
    </row>
    <row r="1042" customFormat="false" ht="15" hidden="false" customHeight="true" outlineLevel="0" collapsed="false">
      <c r="B1042" s="1104" t="str">
        <f aca="false">'Смета Внутр'!B1042</f>
        <v>бугель, доска </v>
      </c>
      <c r="C1042" s="1104" t="str">
        <f aca="false">'Смета Внутр'!C1042</f>
        <v>м3</v>
      </c>
      <c r="D1042" s="1109" t="n">
        <f aca="false">'Смета Внутр'!D1042</f>
        <v>0</v>
      </c>
      <c r="E1042" s="1104" t="n">
        <f aca="false">'Смета Внутр'!E1042</f>
        <v>6500</v>
      </c>
      <c r="F1042" s="1104" t="n">
        <f aca="false">'Смета Внутр'!F1042</f>
        <v>0</v>
      </c>
      <c r="G1042" s="1104" t="n">
        <f aca="false">IF(E1042&gt;F1042,E1042,F1042)</f>
        <v>6500</v>
      </c>
      <c r="H1042" s="1104" t="n">
        <f aca="false">'Смета Внутр'!G1042</f>
        <v>0</v>
      </c>
      <c r="I1042" s="1104" t="n">
        <f aca="false">'Смета Внутр'!H1042</f>
        <v>0</v>
      </c>
      <c r="J1042" s="1109" t="n">
        <f aca="false">'Смета Внутр'!I1042</f>
        <v>0</v>
      </c>
    </row>
    <row r="1043" customFormat="false" ht="15" hidden="false" customHeight="true" outlineLevel="0" collapsed="false">
      <c r="B1043" s="1104" t="str">
        <f aca="false">'Смета Внутр'!B1043</f>
        <v>стойка под конек</v>
      </c>
      <c r="C1043" s="1104" t="str">
        <f aca="false">'Смета Внутр'!C1043</f>
        <v>м3</v>
      </c>
      <c r="D1043" s="1109" t="n">
        <f aca="false">'Смета Внутр'!D1043</f>
        <v>0.0612</v>
      </c>
      <c r="E1043" s="1104" t="n">
        <f aca="false">'Смета Внутр'!E1043</f>
        <v>6500</v>
      </c>
      <c r="F1043" s="1104" t="n">
        <f aca="false">'Смета Внутр'!F1043</f>
        <v>0</v>
      </c>
      <c r="G1043" s="1104" t="n">
        <f aca="false">IF(E1043&gt;F1043,E1043,F1043)</f>
        <v>6500</v>
      </c>
      <c r="H1043" s="1104" t="n">
        <f aca="false">'Смета Внутр'!G1043</f>
        <v>397.8</v>
      </c>
      <c r="I1043" s="1104" t="n">
        <f aca="false">'Смета Внутр'!H1043</f>
        <v>0</v>
      </c>
      <c r="J1043" s="1109" t="n">
        <f aca="false">'Смета Внутр'!I1043</f>
        <v>0</v>
      </c>
    </row>
    <row r="1044" customFormat="false" ht="15" hidden="false" customHeight="true" outlineLevel="0" collapsed="false">
      <c r="B1044" s="1104" t="str">
        <f aca="false">'Смета Внутр'!B1044</f>
        <v>Сосна влаж,100*25мм</v>
      </c>
      <c r="C1044" s="1104" t="str">
        <f aca="false">'Смета Внутр'!C1044</f>
        <v>м3</v>
      </c>
      <c r="D1044" s="1109" t="n">
        <f aca="false">'Смета Внутр'!D1044</f>
        <v>0.045</v>
      </c>
      <c r="E1044" s="1104" t="n">
        <f aca="false">'Смета Внутр'!E1044</f>
        <v>6500</v>
      </c>
      <c r="F1044" s="1104" t="n">
        <f aca="false">'Смета Внутр'!F1044</f>
        <v>0</v>
      </c>
      <c r="G1044" s="1104" t="n">
        <f aca="false">IF(E1044&gt;F1044,E1044,F1044)</f>
        <v>6500</v>
      </c>
      <c r="H1044" s="1104" t="n">
        <f aca="false">'Смета Внутр'!G1044</f>
        <v>292.5</v>
      </c>
      <c r="I1044" s="1104" t="n">
        <f aca="false">'Смета Внутр'!H1044</f>
        <v>0</v>
      </c>
      <c r="J1044" s="1109" t="n">
        <f aca="false">'Смета Внутр'!I1044</f>
        <v>0</v>
      </c>
    </row>
    <row r="1045" customFormat="false" ht="15" hidden="false" customHeight="true" outlineLevel="0" collapsed="false">
      <c r="B1045" s="1104" t="str">
        <f aca="false">'Смета Внутр'!B1045</f>
        <v>Сосна влаж, 50*50мм</v>
      </c>
      <c r="C1045" s="1104" t="str">
        <f aca="false">'Смета Внутр'!C1045</f>
        <v>м3</v>
      </c>
      <c r="D1045" s="1109" t="n">
        <f aca="false">'Смета Внутр'!D1045</f>
        <v>0.0375</v>
      </c>
      <c r="E1045" s="1104" t="n">
        <f aca="false">'Смета Внутр'!E1045</f>
        <v>6500</v>
      </c>
      <c r="F1045" s="1104" t="n">
        <f aca="false">'Смета Внутр'!F1045</f>
        <v>0</v>
      </c>
      <c r="G1045" s="1104" t="n">
        <f aca="false">IF(E1045&gt;F1045,E1045,F1045)</f>
        <v>6500</v>
      </c>
      <c r="H1045" s="1104" t="n">
        <f aca="false">'Смета Внутр'!G1045</f>
        <v>243.75</v>
      </c>
      <c r="I1045" s="1104" t="n">
        <f aca="false">'Смета Внутр'!H1045</f>
        <v>0</v>
      </c>
      <c r="J1045" s="1109" t="n">
        <f aca="false">'Смета Внутр'!I1045</f>
        <v>0</v>
      </c>
    </row>
    <row r="1046" customFormat="false" ht="15" hidden="true" customHeight="true" outlineLevel="0" collapsed="false">
      <c r="B1046" s="1104" t="str">
        <f aca="false">'Смета Внутр'!B1046</f>
        <v>Нет</v>
      </c>
      <c r="C1046" s="1104" t="str">
        <f aca="false">'Смета Внутр'!C1046</f>
        <v>м3</v>
      </c>
      <c r="D1046" s="1109" t="n">
        <f aca="false">'Смета Внутр'!D1046</f>
        <v>0</v>
      </c>
      <c r="E1046" s="1104" t="n">
        <f aca="false">'Смета Внутр'!E1046</f>
        <v>0</v>
      </c>
      <c r="F1046" s="1104" t="n">
        <f aca="false">'Смета Внутр'!F1046</f>
        <v>0</v>
      </c>
      <c r="G1046" s="1104" t="n">
        <f aca="false">IF(E1046&gt;F1046,E1046,F1046)</f>
        <v>0</v>
      </c>
      <c r="H1046" s="1104" t="n">
        <f aca="false">'Смета Внутр'!G1046</f>
        <v>0</v>
      </c>
      <c r="I1046" s="1104" t="n">
        <f aca="false">'Смета Внутр'!H1046</f>
        <v>0</v>
      </c>
      <c r="J1046" s="1109" t="n">
        <f aca="false">'Смета Внутр'!I1046</f>
        <v>0</v>
      </c>
    </row>
    <row r="1047" customFormat="false" ht="15" hidden="true" customHeight="true" outlineLevel="0" collapsed="false">
      <c r="B1047" s="1104" t="str">
        <f aca="false">'Смета Внутр'!B1047</f>
        <v>Гидрокомпенсатор</v>
      </c>
      <c r="C1047" s="1104" t="str">
        <f aca="false">'Смета Внутр'!C1047</f>
        <v>шт</v>
      </c>
      <c r="D1047" s="1109" t="n">
        <f aca="false">'Смета Внутр'!D1047</f>
        <v>0</v>
      </c>
      <c r="E1047" s="1104" t="n">
        <f aca="false">'Смета Внутр'!E1047</f>
        <v>450</v>
      </c>
      <c r="F1047" s="1104" t="n">
        <f aca="false">'Смета Внутр'!F1047</f>
        <v>0</v>
      </c>
      <c r="G1047" s="1104" t="n">
        <f aca="false">IF(E1047&gt;F1047,E1047,F1047)</f>
        <v>450</v>
      </c>
      <c r="H1047" s="1104" t="n">
        <f aca="false">'Смета Внутр'!G1047</f>
        <v>0</v>
      </c>
      <c r="I1047" s="1104" t="n">
        <f aca="false">'Смета Внутр'!H1047</f>
        <v>0</v>
      </c>
      <c r="J1047" s="1109" t="n">
        <f aca="false">'Смета Внутр'!I1047</f>
        <v>0</v>
      </c>
    </row>
    <row r="1048" customFormat="false" ht="15" hidden="false" customHeight="true" outlineLevel="0" collapsed="false">
      <c r="B1048" s="1104" t="str">
        <f aca="false">'Смета Внутр'!B1048</f>
        <v>Универсальная Optima C</v>
      </c>
      <c r="C1048" s="1104" t="str">
        <f aca="false">'Смета Внутр'!C1048</f>
        <v>м2</v>
      </c>
      <c r="D1048" s="1109" t="n">
        <f aca="false">'Смета Внутр'!D1048</f>
        <v>7.2</v>
      </c>
      <c r="E1048" s="1104" t="n">
        <f aca="false">'Смета Внутр'!E1048</f>
        <v>19</v>
      </c>
      <c r="F1048" s="1104" t="n">
        <f aca="false">'Смета Внутр'!F1048</f>
        <v>0</v>
      </c>
      <c r="G1048" s="1104" t="n">
        <f aca="false">IF(E1048&gt;F1048,E1048,F1048)</f>
        <v>19</v>
      </c>
      <c r="H1048" s="1104" t="n">
        <f aca="false">'Смета Внутр'!G1048</f>
        <v>136.8</v>
      </c>
      <c r="I1048" s="1104" t="n">
        <f aca="false">'Смета Внутр'!H1048</f>
        <v>0</v>
      </c>
      <c r="J1048" s="1109" t="n">
        <f aca="false">'Смета Внутр'!I1048</f>
        <v>0</v>
      </c>
    </row>
    <row r="1049" customFormat="false" ht="15" hidden="false" customHeight="true" outlineLevel="0" collapsed="false">
      <c r="B1049" s="1104" t="str">
        <f aca="false">'Смета Внутр'!B1049</f>
        <v>Универсальная Optima C</v>
      </c>
      <c r="C1049" s="1104" t="str">
        <f aca="false">'Смета Внутр'!C1049</f>
        <v>м2</v>
      </c>
      <c r="D1049" s="1109" t="n">
        <f aca="false">'Смета Внутр'!D1049</f>
        <v>0</v>
      </c>
      <c r="E1049" s="1104" t="n">
        <f aca="false">'Смета Внутр'!E1049</f>
        <v>20</v>
      </c>
      <c r="F1049" s="1104" t="n">
        <f aca="false">'Смета Внутр'!F1049</f>
        <v>0</v>
      </c>
      <c r="G1049" s="1104" t="n">
        <f aca="false">IF(E1049&gt;F1049,E1049,F1049)</f>
        <v>20</v>
      </c>
      <c r="H1049" s="1104" t="n">
        <f aca="false">'Смета Внутр'!G1049</f>
        <v>0</v>
      </c>
      <c r="I1049" s="1104" t="n">
        <f aca="false">'Смета Внутр'!H1049</f>
        <v>0</v>
      </c>
      <c r="J1049" s="1109" t="n">
        <f aca="false">'Смета Внутр'!I1049</f>
        <v>0</v>
      </c>
    </row>
    <row r="1050" customFormat="false" ht="15" hidden="false" customHeight="true" outlineLevel="0" collapsed="false">
      <c r="B1050" s="1104" t="str">
        <f aca="false">'Смета Внутр'!B1050</f>
        <v>Плитный,28кг/м3, технониколь, 100мм</v>
      </c>
      <c r="C1050" s="1104" t="str">
        <f aca="false">'Смета Внутр'!C1050</f>
        <v>м3</v>
      </c>
      <c r="D1050" s="1109" t="n">
        <f aca="false">'Смета Внутр'!D1050</f>
        <v>0</v>
      </c>
      <c r="E1050" s="1104" t="n">
        <f aca="false">'Смета Внутр'!E1050</f>
        <v>1700</v>
      </c>
      <c r="F1050" s="1104" t="n">
        <f aca="false">'Смета Внутр'!F1050</f>
        <v>0</v>
      </c>
      <c r="G1050" s="1104" t="n">
        <f aca="false">IF(E1050&gt;F1050,E1050,F1050)</f>
        <v>1700</v>
      </c>
      <c r="H1050" s="1104" t="n">
        <f aca="false">'Смета Внутр'!G1050</f>
        <v>0</v>
      </c>
      <c r="I1050" s="1104" t="n">
        <f aca="false">'Смета Внутр'!H1050</f>
        <v>0</v>
      </c>
      <c r="J1050" s="1109" t="n">
        <f aca="false">'Смета Внутр'!I1050</f>
        <v>0</v>
      </c>
    </row>
    <row r="1051" customFormat="false" ht="15" hidden="false" customHeight="true" outlineLevel="0" collapsed="false">
      <c r="B1051" s="1104" t="str">
        <f aca="false">'Смета Внутр'!B1051</f>
        <v>Металлочерепица</v>
      </c>
      <c r="C1051" s="1104" t="str">
        <f aca="false">'Смета Внутр'!C1051</f>
        <v>м2</v>
      </c>
      <c r="D1051" s="1109" t="n">
        <f aca="false">'Смета Внутр'!D1051</f>
        <v>7.2</v>
      </c>
      <c r="E1051" s="1104" t="n">
        <f aca="false">'Смета Внутр'!E1051</f>
        <v>250</v>
      </c>
      <c r="F1051" s="1104" t="n">
        <f aca="false">'Смета Внутр'!F1051</f>
        <v>0</v>
      </c>
      <c r="G1051" s="1104" t="n">
        <f aca="false">IF(E1051&gt;F1051,E1051,F1051)</f>
        <v>250</v>
      </c>
      <c r="H1051" s="1104" t="n">
        <f aca="false">'Смета Внутр'!G1051</f>
        <v>1800</v>
      </c>
      <c r="I1051" s="1104" t="n">
        <f aca="false">'Смета Внутр'!H1051</f>
        <v>0</v>
      </c>
      <c r="J1051" s="1109" t="n">
        <f aca="false">'Смета Внутр'!I1051</f>
        <v>0</v>
      </c>
    </row>
    <row r="1052" customFormat="false" ht="15" hidden="false" customHeight="true" outlineLevel="0" collapsed="false">
      <c r="B1052" s="1104" t="str">
        <f aca="false">'Смета Внутр'!B1052</f>
        <v>Карнизная планка</v>
      </c>
      <c r="C1052" s="1104" t="str">
        <f aca="false">'Смета Внутр'!C1052</f>
        <v>м.п.</v>
      </c>
      <c r="D1052" s="1109" t="n">
        <f aca="false">'Смета Внутр'!D1052</f>
        <v>0</v>
      </c>
      <c r="E1052" s="1104" t="n">
        <f aca="false">'Смета Внутр'!E1052</f>
        <v>190</v>
      </c>
      <c r="F1052" s="1104" t="n">
        <f aca="false">'Смета Внутр'!F1052</f>
        <v>0</v>
      </c>
      <c r="G1052" s="1104" t="n">
        <f aca="false">IF(E1052&gt;F1052,E1052,F1052)</f>
        <v>190</v>
      </c>
      <c r="H1052" s="1104" t="n">
        <f aca="false">'Смета Внутр'!G1052</f>
        <v>0</v>
      </c>
      <c r="I1052" s="1104" t="n">
        <f aca="false">'Смета Внутр'!H1052</f>
        <v>0</v>
      </c>
      <c r="J1052" s="1109" t="n">
        <f aca="false">'Смета Внутр'!I1052</f>
        <v>0</v>
      </c>
    </row>
    <row r="1053" customFormat="false" ht="15" hidden="false" customHeight="true" outlineLevel="0" collapsed="false">
      <c r="B1053" s="1104" t="str">
        <f aca="false">'Смета Внутр'!B1053</f>
        <v>Торцевая планка</v>
      </c>
      <c r="C1053" s="1104" t="str">
        <f aca="false">'Смета Внутр'!C1053</f>
        <v>м.п.</v>
      </c>
      <c r="D1053" s="1109" t="n">
        <f aca="false">'Смета Внутр'!D1053</f>
        <v>0</v>
      </c>
      <c r="E1053" s="1104" t="n">
        <f aca="false">'Смета Внутр'!E1053</f>
        <v>190</v>
      </c>
      <c r="F1053" s="1104" t="n">
        <f aca="false">'Смета Внутр'!F1053</f>
        <v>0</v>
      </c>
      <c r="G1053" s="1104" t="n">
        <f aca="false">IF(E1053&gt;F1053,E1053,F1053)</f>
        <v>190</v>
      </c>
      <c r="H1053" s="1104" t="n">
        <f aca="false">'Смета Внутр'!G1053</f>
        <v>0</v>
      </c>
      <c r="I1053" s="1104" t="n">
        <f aca="false">'Смета Внутр'!H1053</f>
        <v>0</v>
      </c>
      <c r="J1053" s="1109" t="n">
        <f aca="false">'Смета Внутр'!I1053</f>
        <v>0</v>
      </c>
    </row>
    <row r="1054" customFormat="false" ht="15" hidden="false" customHeight="true" outlineLevel="0" collapsed="false">
      <c r="B1054" s="1104" t="str">
        <f aca="false">'Смета Внутр'!B1054</f>
        <v>Конек</v>
      </c>
      <c r="C1054" s="1104" t="str">
        <f aca="false">'Смета Внутр'!C1054</f>
        <v>м.п.</v>
      </c>
      <c r="D1054" s="1109" t="n">
        <f aca="false">'Смета Внутр'!D1054</f>
        <v>0</v>
      </c>
      <c r="E1054" s="1104" t="n">
        <f aca="false">'Смета Внутр'!E1054</f>
        <v>200</v>
      </c>
      <c r="F1054" s="1104" t="n">
        <f aca="false">'Смета Внутр'!F1054</f>
        <v>0</v>
      </c>
      <c r="G1054" s="1104" t="n">
        <f aca="false">IF(E1054&gt;F1054,E1054,F1054)</f>
        <v>200</v>
      </c>
      <c r="H1054" s="1104" t="n">
        <f aca="false">'Смета Внутр'!G1054</f>
        <v>0</v>
      </c>
      <c r="I1054" s="1104" t="n">
        <f aca="false">'Смета Внутр'!H1054</f>
        <v>0</v>
      </c>
      <c r="J1054" s="1109" t="n">
        <f aca="false">'Смета Внутр'!I1054</f>
        <v>0</v>
      </c>
    </row>
    <row r="1055" customFormat="false" ht="15" hidden="true" customHeight="true" outlineLevel="0" collapsed="false">
      <c r="B1055" s="1104" t="str">
        <f aca="false">'Смета Внутр'!B1055</f>
        <v>ондулин</v>
      </c>
      <c r="C1055" s="1104" t="str">
        <f aca="false">'Смета Внутр'!C1055</f>
        <v>м2</v>
      </c>
      <c r="D1055" s="1109" t="n">
        <f aca="false">'Смета Внутр'!D1055</f>
        <v>0</v>
      </c>
      <c r="E1055" s="1104" t="n">
        <f aca="false">'Смета Внутр'!E1055</f>
        <v>180</v>
      </c>
      <c r="F1055" s="1104" t="n">
        <f aca="false">'Смета Внутр'!F1055</f>
        <v>0</v>
      </c>
      <c r="G1055" s="1104" t="n">
        <f aca="false">IF(E1055&gt;F1055,E1055,F1055)</f>
        <v>180</v>
      </c>
      <c r="H1055" s="1104" t="n">
        <f aca="false">'Смета Внутр'!G1055</f>
        <v>0</v>
      </c>
      <c r="I1055" s="1104" t="n">
        <f aca="false">'Смета Внутр'!H1055</f>
        <v>0</v>
      </c>
      <c r="J1055" s="1109" t="n">
        <f aca="false">'Смета Внутр'!I1055</f>
        <v>0</v>
      </c>
    </row>
    <row r="1056" customFormat="false" ht="15" hidden="true" customHeight="true" outlineLevel="0" collapsed="false">
      <c r="B1056" s="1104" t="str">
        <f aca="false">'Смета Внутр'!B1056</f>
        <v>Карнизная планка</v>
      </c>
      <c r="C1056" s="1104" t="str">
        <f aca="false">'Смета Внутр'!C1056</f>
        <v>м.п.</v>
      </c>
      <c r="D1056" s="1109" t="n">
        <f aca="false">'Смета Внутр'!D1056</f>
        <v>0</v>
      </c>
      <c r="E1056" s="1104" t="n">
        <f aca="false">'Смета Внутр'!E1056</f>
        <v>190</v>
      </c>
      <c r="F1056" s="1104" t="n">
        <f aca="false">'Смета Внутр'!F1056</f>
        <v>0</v>
      </c>
      <c r="G1056" s="1104" t="n">
        <f aca="false">IF(E1056&gt;F1056,E1056,F1056)</f>
        <v>190</v>
      </c>
      <c r="H1056" s="1104" t="n">
        <f aca="false">'Смета Внутр'!G1056</f>
        <v>0</v>
      </c>
      <c r="I1056" s="1104" t="n">
        <f aca="false">'Смета Внутр'!H1056</f>
        <v>0</v>
      </c>
      <c r="J1056" s="1109" t="n">
        <f aca="false">'Смета Внутр'!I1056</f>
        <v>0</v>
      </c>
    </row>
    <row r="1057" customFormat="false" ht="15" hidden="true" customHeight="true" outlineLevel="0" collapsed="false">
      <c r="B1057" s="1104" t="str">
        <f aca="false">'Смета Внутр'!B1057</f>
        <v>Торцевая планка</v>
      </c>
      <c r="C1057" s="1104" t="str">
        <f aca="false">'Смета Внутр'!C1057</f>
        <v>м.п.</v>
      </c>
      <c r="D1057" s="1109" t="n">
        <f aca="false">'Смета Внутр'!D1057</f>
        <v>0</v>
      </c>
      <c r="E1057" s="1104" t="n">
        <f aca="false">'Смета Внутр'!E1057</f>
        <v>190</v>
      </c>
      <c r="F1057" s="1104" t="n">
        <f aca="false">'Смета Внутр'!F1057</f>
        <v>0</v>
      </c>
      <c r="G1057" s="1104" t="n">
        <f aca="false">IF(E1057&gt;F1057,E1057,F1057)</f>
        <v>190</v>
      </c>
      <c r="H1057" s="1104" t="n">
        <f aca="false">'Смета Внутр'!G1057</f>
        <v>0</v>
      </c>
      <c r="I1057" s="1104" t="n">
        <f aca="false">'Смета Внутр'!H1057</f>
        <v>0</v>
      </c>
      <c r="J1057" s="1109" t="n">
        <f aca="false">'Смета Внутр'!I1057</f>
        <v>0</v>
      </c>
    </row>
    <row r="1058" customFormat="false" ht="15" hidden="true" customHeight="true" outlineLevel="0" collapsed="false">
      <c r="B1058" s="1104" t="str">
        <f aca="false">'Смета Внутр'!B1058</f>
        <v>Конек</v>
      </c>
      <c r="C1058" s="1104" t="str">
        <f aca="false">'Смета Внутр'!C1058</f>
        <v>м.п</v>
      </c>
      <c r="D1058" s="1109" t="n">
        <f aca="false">'Смета Внутр'!D1058</f>
        <v>0</v>
      </c>
      <c r="E1058" s="1104" t="n">
        <f aca="false">'Смета Внутр'!E1058</f>
        <v>200</v>
      </c>
      <c r="F1058" s="1104" t="n">
        <f aca="false">'Смета Внутр'!F1058</f>
        <v>0</v>
      </c>
      <c r="G1058" s="1104" t="n">
        <f aca="false">IF(E1058&gt;F1058,E1058,F1058)</f>
        <v>200</v>
      </c>
      <c r="H1058" s="1104" t="n">
        <f aca="false">'Смета Внутр'!G1058</f>
        <v>0</v>
      </c>
      <c r="I1058" s="1104" t="n">
        <f aca="false">'Смета Внутр'!H1058</f>
        <v>0</v>
      </c>
      <c r="J1058" s="1109" t="n">
        <f aca="false">'Смета Внутр'!I1058</f>
        <v>0</v>
      </c>
    </row>
    <row r="1059" customFormat="false" ht="15" hidden="true" customHeight="true" outlineLevel="0" collapsed="false">
      <c r="B1059" s="1104" t="str">
        <f aca="false">'Смета Внутр'!B1059</f>
        <v>Ендова нижняя</v>
      </c>
      <c r="C1059" s="1104" t="str">
        <f aca="false">'Смета Внутр'!C1059</f>
        <v>м.п.</v>
      </c>
      <c r="D1059" s="1109" t="n">
        <f aca="false">'Смета Внутр'!D1059</f>
        <v>0</v>
      </c>
      <c r="E1059" s="1104" t="n">
        <f aca="false">'Смета Внутр'!E1059</f>
        <v>160</v>
      </c>
      <c r="F1059" s="1104" t="n">
        <f aca="false">'Смета Внутр'!F1059</f>
        <v>0</v>
      </c>
      <c r="G1059" s="1104" t="n">
        <f aca="false">IF(E1059&gt;F1059,E1059,F1059)</f>
        <v>160</v>
      </c>
      <c r="H1059" s="1104" t="n">
        <f aca="false">'Смета Внутр'!G1059</f>
        <v>0</v>
      </c>
      <c r="I1059" s="1104" t="n">
        <f aca="false">'Смета Внутр'!H1059</f>
        <v>0</v>
      </c>
      <c r="J1059" s="1109" t="n">
        <f aca="false">'Смета Внутр'!I1059</f>
        <v>0</v>
      </c>
    </row>
    <row r="1060" customFormat="false" ht="15" hidden="true" customHeight="true" outlineLevel="0" collapsed="false">
      <c r="B1060" s="1104" t="str">
        <f aca="false">'Смета Внутр'!B1060</f>
        <v>Ендова верхняя</v>
      </c>
      <c r="C1060" s="1104" t="str">
        <f aca="false">'Смета Внутр'!C1060</f>
        <v>м.п.</v>
      </c>
      <c r="D1060" s="1109" t="n">
        <f aca="false">'Смета Внутр'!D1060</f>
        <v>0</v>
      </c>
      <c r="E1060" s="1104" t="n">
        <f aca="false">'Смета Внутр'!E1060</f>
        <v>190</v>
      </c>
      <c r="F1060" s="1104" t="n">
        <f aca="false">'Смета Внутр'!F1060</f>
        <v>0</v>
      </c>
      <c r="G1060" s="1104" t="n">
        <f aca="false">IF(E1060&gt;F1060,E1060,F1060)</f>
        <v>190</v>
      </c>
      <c r="H1060" s="1104" t="n">
        <f aca="false">'Смета Внутр'!G1060</f>
        <v>0</v>
      </c>
      <c r="I1060" s="1104" t="n">
        <f aca="false">'Смета Внутр'!H1060</f>
        <v>0</v>
      </c>
      <c r="J1060" s="1109" t="n">
        <f aca="false">'Смета Внутр'!I1060</f>
        <v>0</v>
      </c>
    </row>
    <row r="1061" customFormat="false" ht="15" hidden="true" customHeight="true" outlineLevel="0" collapsed="false">
      <c r="B1061" s="1104" t="str">
        <f aca="false">'Смета Внутр'!B1061</f>
        <v>Планка примыкания</v>
      </c>
      <c r="C1061" s="1104" t="str">
        <f aca="false">'Смета Внутр'!C1061</f>
        <v>м.п.</v>
      </c>
      <c r="D1061" s="1109" t="n">
        <f aca="false">'Смета Внутр'!D1061</f>
        <v>0</v>
      </c>
      <c r="E1061" s="1104" t="n">
        <f aca="false">'Смета Внутр'!E1061</f>
        <v>190</v>
      </c>
      <c r="F1061" s="1104" t="n">
        <f aca="false">'Смета Внутр'!F1061</f>
        <v>0</v>
      </c>
      <c r="G1061" s="1104" t="n">
        <f aca="false">IF(E1061&gt;F1061,E1061,F1061)</f>
        <v>190</v>
      </c>
      <c r="H1061" s="1104" t="n">
        <f aca="false">'Смета Внутр'!G1061</f>
        <v>0</v>
      </c>
      <c r="I1061" s="1104" t="n">
        <f aca="false">'Смета Внутр'!H1061</f>
        <v>0</v>
      </c>
      <c r="J1061" s="1109" t="n">
        <f aca="false">'Смета Внутр'!I1061</f>
        <v>0</v>
      </c>
    </row>
    <row r="1062" customFormat="false" ht="15" hidden="true" customHeight="true" outlineLevel="0" collapsed="false">
      <c r="B1062" s="1104" t="str">
        <f aca="false">'Смета Внутр'!B1062</f>
        <v>Крепеж для ондулина</v>
      </c>
      <c r="C1062" s="1104" t="str">
        <f aca="false">'Смета Внутр'!C1062</f>
        <v>шт</v>
      </c>
      <c r="D1062" s="1109" t="n">
        <f aca="false">'Смета Внутр'!D1062</f>
        <v>0</v>
      </c>
      <c r="E1062" s="1104" t="n">
        <f aca="false">'Смета Внутр'!E1062</f>
        <v>4.5</v>
      </c>
      <c r="F1062" s="1104" t="n">
        <f aca="false">'Смета Внутр'!F1062</f>
        <v>0</v>
      </c>
      <c r="G1062" s="1104" t="n">
        <f aca="false">IF(E1062&gt;F1062,E1062,F1062)</f>
        <v>4.5</v>
      </c>
      <c r="H1062" s="1104" t="n">
        <f aca="false">'Смета Внутр'!G1062</f>
        <v>0</v>
      </c>
      <c r="I1062" s="1104" t="n">
        <f aca="false">'Смета Внутр'!H1062</f>
        <v>0</v>
      </c>
      <c r="J1062" s="1109" t="n">
        <f aca="false">'Смета Внутр'!I1062</f>
        <v>0</v>
      </c>
    </row>
    <row r="1063" customFormat="false" ht="15" hidden="true" customHeight="true" outlineLevel="0" collapsed="false">
      <c r="B1063" s="1104" t="str">
        <f aca="false">'Смета Внутр'!B1063</f>
        <v>нет</v>
      </c>
      <c r="C1063" s="1104" t="str">
        <f aca="false">'Смета Внутр'!C1063</f>
        <v>м2</v>
      </c>
      <c r="D1063" s="1109" t="n">
        <f aca="false">'Смета Внутр'!D1063</f>
        <v>116.359004924529</v>
      </c>
      <c r="E1063" s="1104" t="n">
        <f aca="false">'Смета Внутр'!E1063</f>
        <v>0</v>
      </c>
      <c r="F1063" s="1104" t="n">
        <f aca="false">'Смета Внутр'!F1063</f>
        <v>0</v>
      </c>
      <c r="G1063" s="1104" t="n">
        <f aca="false">IF(E1063&gt;F1063,E1063,F1063)</f>
        <v>0</v>
      </c>
      <c r="H1063" s="1104" t="n">
        <f aca="false">'Смета Внутр'!G1063</f>
        <v>0</v>
      </c>
      <c r="I1063" s="1104" t="n">
        <f aca="false">'Смета Внутр'!H1063</f>
        <v>0</v>
      </c>
      <c r="J1063" s="1109" t="n">
        <f aca="false">'Смета Внутр'!I1063</f>
        <v>0</v>
      </c>
    </row>
    <row r="1064" customFormat="false" ht="15" hidden="true" customHeight="true" outlineLevel="0" collapsed="false">
      <c r="B1064" s="1104" t="str">
        <f aca="false">'Смета Внутр'!B1064</f>
        <v>Рядовая черепица</v>
      </c>
      <c r="C1064" s="1104" t="str">
        <f aca="false">'Смета Внутр'!C1064</f>
        <v>м2</v>
      </c>
      <c r="D1064" s="1109" t="n">
        <f aca="false">'Смета Внутр'!D1064</f>
        <v>0</v>
      </c>
      <c r="E1064" s="1104" t="n">
        <f aca="false">'Смета Внутр'!E1064</f>
        <v>360</v>
      </c>
      <c r="F1064" s="1104" t="n">
        <f aca="false">'Смета Внутр'!F1064</f>
        <v>0</v>
      </c>
      <c r="G1064" s="1104" t="n">
        <f aca="false">IF(E1064&gt;F1064,E1064,F1064)</f>
        <v>360</v>
      </c>
      <c r="H1064" s="1104" t="n">
        <f aca="false">'Смета Внутр'!G1064</f>
        <v>0</v>
      </c>
      <c r="I1064" s="1104" t="n">
        <f aca="false">'Смета Внутр'!H1064</f>
        <v>0</v>
      </c>
      <c r="J1064" s="1109" t="n">
        <f aca="false">'Смета Внутр'!I1064</f>
        <v>0</v>
      </c>
    </row>
    <row r="1065" customFormat="false" ht="15" hidden="true" customHeight="true" outlineLevel="0" collapsed="false">
      <c r="B1065" s="1104" t="str">
        <f aca="false">'Смета Внутр'!B1065</f>
        <v>Металл оцинк защита (карниз)</v>
      </c>
      <c r="C1065" s="1104" t="str">
        <f aca="false">'Смета Внутр'!C1065</f>
        <v>м.п.</v>
      </c>
      <c r="D1065" s="1109" t="n">
        <f aca="false">'Смета Внутр'!D1065</f>
        <v>0</v>
      </c>
      <c r="E1065" s="1104" t="n">
        <f aca="false">'Смета Внутр'!E1065</f>
        <v>200</v>
      </c>
      <c r="F1065" s="1104" t="n">
        <f aca="false">'Смета Внутр'!F1065</f>
        <v>0</v>
      </c>
      <c r="G1065" s="1104" t="n">
        <f aca="false">IF(E1065&gt;F1065,E1065,F1065)</f>
        <v>200</v>
      </c>
      <c r="H1065" s="1104" t="n">
        <f aca="false">'Смета Внутр'!G1065</f>
        <v>0</v>
      </c>
      <c r="I1065" s="1104" t="n">
        <f aca="false">'Смета Внутр'!H1065</f>
        <v>0</v>
      </c>
      <c r="J1065" s="1109" t="n">
        <f aca="false">'Смета Внутр'!I1065</f>
        <v>0</v>
      </c>
    </row>
    <row r="1066" customFormat="false" ht="15" hidden="true" customHeight="true" outlineLevel="0" collapsed="false">
      <c r="B1066" s="1104" t="str">
        <f aca="false">'Смета Внутр'!B1066</f>
        <v>Подкладочный ковер</v>
      </c>
      <c r="C1066" s="1104" t="str">
        <f aca="false">'Смета Внутр'!C1066</f>
        <v>м.п.</v>
      </c>
      <c r="D1066" s="1109" t="n">
        <f aca="false">'Смета Внутр'!D1066</f>
        <v>0</v>
      </c>
      <c r="E1066" s="1104" t="n">
        <f aca="false">'Смета Внутр'!E1066</f>
        <v>220</v>
      </c>
      <c r="F1066" s="1104" t="n">
        <f aca="false">'Смета Внутр'!F1066</f>
        <v>0</v>
      </c>
      <c r="G1066" s="1104" t="n">
        <f aca="false">IF(E1066&gt;F1066,E1066,F1066)</f>
        <v>220</v>
      </c>
      <c r="H1066" s="1104" t="n">
        <f aca="false">'Смета Внутр'!G1066</f>
        <v>0</v>
      </c>
      <c r="I1066" s="1104" t="n">
        <f aca="false">'Смета Внутр'!H1066</f>
        <v>0</v>
      </c>
      <c r="J1066" s="1109" t="n">
        <f aca="false">'Смета Внутр'!I1066</f>
        <v>0</v>
      </c>
    </row>
    <row r="1067" customFormat="false" ht="15" hidden="true" customHeight="true" outlineLevel="0" collapsed="false">
      <c r="B1067" s="1104" t="str">
        <f aca="false">'Смета Внутр'!B1067</f>
        <v>Карнизная самоклеющаяся черепица</v>
      </c>
      <c r="C1067" s="1104" t="str">
        <f aca="false">'Смета Внутр'!C1067</f>
        <v>м.п.</v>
      </c>
      <c r="D1067" s="1109" t="n">
        <f aca="false">'Смета Внутр'!D1067</f>
        <v>0</v>
      </c>
      <c r="E1067" s="1104" t="n">
        <f aca="false">'Смета Внутр'!E1067</f>
        <v>220</v>
      </c>
      <c r="F1067" s="1104" t="n">
        <f aca="false">'Смета Внутр'!F1067</f>
        <v>0</v>
      </c>
      <c r="G1067" s="1104" t="n">
        <f aca="false">IF(E1067&gt;F1067,E1067,F1067)</f>
        <v>220</v>
      </c>
      <c r="H1067" s="1104" t="n">
        <f aca="false">'Смета Внутр'!G1067</f>
        <v>0</v>
      </c>
      <c r="I1067" s="1104" t="n">
        <f aca="false">'Смета Внутр'!H1067</f>
        <v>0</v>
      </c>
      <c r="J1067" s="1109" t="n">
        <f aca="false">'Смета Внутр'!I1067</f>
        <v>0</v>
      </c>
    </row>
    <row r="1068" customFormat="false" ht="15" hidden="true" customHeight="true" outlineLevel="0" collapsed="false">
      <c r="B1068" s="1104" t="str">
        <f aca="false">'Смета Внутр'!B1068</f>
        <v>Спец ковер ендова нижняя</v>
      </c>
      <c r="C1068" s="1104" t="str">
        <f aca="false">'Смета Внутр'!C1068</f>
        <v>м.п.</v>
      </c>
      <c r="D1068" s="1109" t="n">
        <f aca="false">'Смета Внутр'!D1068</f>
        <v>0</v>
      </c>
      <c r="E1068" s="1104" t="n">
        <f aca="false">'Смета Внутр'!E1068</f>
        <v>200</v>
      </c>
      <c r="F1068" s="1104" t="n">
        <f aca="false">'Смета Внутр'!F1068</f>
        <v>0</v>
      </c>
      <c r="G1068" s="1104" t="n">
        <f aca="false">IF(E1068&gt;F1068,E1068,F1068)</f>
        <v>200</v>
      </c>
      <c r="H1068" s="1104" t="n">
        <f aca="false">'Смета Внутр'!G1068</f>
        <v>0</v>
      </c>
      <c r="I1068" s="1104" t="n">
        <f aca="false">'Смета Внутр'!H1068</f>
        <v>0</v>
      </c>
      <c r="J1068" s="1109" t="n">
        <f aca="false">'Смета Внутр'!I1068</f>
        <v>0</v>
      </c>
    </row>
    <row r="1069" customFormat="false" ht="15" hidden="true" customHeight="true" outlineLevel="0" collapsed="false">
      <c r="B1069" s="1104" t="str">
        <f aca="false">'Смета Внутр'!B1069</f>
        <v>Коньковой элемент</v>
      </c>
      <c r="C1069" s="1104" t="str">
        <f aca="false">'Смета Внутр'!C1069</f>
        <v>м.п.</v>
      </c>
      <c r="D1069" s="1109" t="n">
        <f aca="false">'Смета Внутр'!D1069</f>
        <v>0</v>
      </c>
      <c r="E1069" s="1104" t="n">
        <f aca="false">'Смета Внутр'!E1069</f>
        <v>250</v>
      </c>
      <c r="F1069" s="1104" t="n">
        <f aca="false">'Смета Внутр'!F1069</f>
        <v>0</v>
      </c>
      <c r="G1069" s="1104" t="n">
        <f aca="false">IF(E1069&gt;F1069,E1069,F1069)</f>
        <v>250</v>
      </c>
      <c r="H1069" s="1104" t="n">
        <f aca="false">'Смета Внутр'!G1069</f>
        <v>0</v>
      </c>
      <c r="I1069" s="1104" t="n">
        <f aca="false">'Смета Внутр'!H1069</f>
        <v>0</v>
      </c>
      <c r="J1069" s="1109" t="n">
        <f aca="false">'Смета Внутр'!I1069</f>
        <v>0</v>
      </c>
    </row>
    <row r="1070" customFormat="false" ht="15" hidden="true" customHeight="true" outlineLevel="0" collapsed="false">
      <c r="B1070" s="1104" t="str">
        <f aca="false">'Смета Внутр'!B1070</f>
        <v>Планка премыкания</v>
      </c>
      <c r="C1070" s="1104" t="str">
        <f aca="false">'Смета Внутр'!C1070</f>
        <v>м.п.</v>
      </c>
      <c r="D1070" s="1109" t="n">
        <f aca="false">'Смета Внутр'!D1070</f>
        <v>0</v>
      </c>
      <c r="E1070" s="1104" t="n">
        <f aca="false">'Смета Внутр'!E1070</f>
        <v>200</v>
      </c>
      <c r="F1070" s="1104" t="n">
        <f aca="false">'Смета Внутр'!F1070</f>
        <v>0</v>
      </c>
      <c r="G1070" s="1104" t="n">
        <f aca="false">IF(E1070&gt;F1070,E1070,F1070)</f>
        <v>200</v>
      </c>
      <c r="H1070" s="1104" t="n">
        <f aca="false">'Смета Внутр'!G1070</f>
        <v>0</v>
      </c>
      <c r="I1070" s="1104" t="n">
        <f aca="false">'Смета Внутр'!H1070</f>
        <v>0</v>
      </c>
      <c r="J1070" s="1109" t="n">
        <f aca="false">'Смета Внутр'!I1070</f>
        <v>0</v>
      </c>
    </row>
    <row r="1071" customFormat="false" ht="15" hidden="true" customHeight="true" outlineLevel="0" collapsed="false">
      <c r="B1071" s="1104" t="str">
        <f aca="false">'Смета Внутр'!B1071</f>
        <v>Гвозди для крепления подкладочного ковра</v>
      </c>
      <c r="C1071" s="1104" t="str">
        <f aca="false">'Смета Внутр'!C1071</f>
        <v>шт</v>
      </c>
      <c r="D1071" s="1109" t="n">
        <f aca="false">'Смета Внутр'!D1071</f>
        <v>0</v>
      </c>
      <c r="E1071" s="1104" t="n">
        <f aca="false">'Смета Внутр'!E1071</f>
        <v>0.012</v>
      </c>
      <c r="F1071" s="1104" t="n">
        <f aca="false">'Смета Внутр'!F1071</f>
        <v>0</v>
      </c>
      <c r="G1071" s="1104" t="n">
        <f aca="false">IF(E1071&gt;F1071,E1071,F1071)</f>
        <v>0.012</v>
      </c>
      <c r="H1071" s="1104" t="n">
        <f aca="false">'Смета Внутр'!G1071</f>
        <v>0</v>
      </c>
      <c r="I1071" s="1104" t="n">
        <f aca="false">'Смета Внутр'!H1071</f>
        <v>0</v>
      </c>
      <c r="J1071" s="1109" t="n">
        <f aca="false">'Смета Внутр'!I1071</f>
        <v>0</v>
      </c>
    </row>
    <row r="1072" customFormat="false" ht="15" hidden="true" customHeight="true" outlineLevel="0" collapsed="false">
      <c r="B1072" s="1104" t="str">
        <f aca="false">'Смета Внутр'!B1072</f>
        <v>Гвозди для крепления черепицы</v>
      </c>
      <c r="C1072" s="1104" t="str">
        <f aca="false">'Смета Внутр'!C1072</f>
        <v>шт</v>
      </c>
      <c r="D1072" s="1109" t="n">
        <f aca="false">'Смета Внутр'!D1072</f>
        <v>0</v>
      </c>
      <c r="E1072" s="1104" t="n">
        <f aca="false">'Смета Внутр'!E1072</f>
        <v>0.25</v>
      </c>
      <c r="F1072" s="1104" t="n">
        <f aca="false">'Смета Внутр'!F1072</f>
        <v>0</v>
      </c>
      <c r="G1072" s="1104" t="n">
        <f aca="false">IF(E1072&gt;F1072,E1072,F1072)</f>
        <v>0.25</v>
      </c>
      <c r="H1072" s="1104" t="n">
        <f aca="false">'Смета Внутр'!G1072</f>
        <v>0</v>
      </c>
      <c r="I1072" s="1104" t="n">
        <f aca="false">'Смета Внутр'!H1072</f>
        <v>0</v>
      </c>
      <c r="J1072" s="1109" t="n">
        <f aca="false">'Смета Внутр'!I1072</f>
        <v>0</v>
      </c>
    </row>
    <row r="1073" customFormat="false" ht="15" hidden="true" customHeight="true" outlineLevel="0" collapsed="false">
      <c r="B1073" s="1104" t="str">
        <f aca="false">'Смета Внутр'!B1073</f>
        <v>Клей для монтажа черепицы</v>
      </c>
      <c r="C1073" s="1104" t="str">
        <f aca="false">'Смета Внутр'!C1073</f>
        <v>кг</v>
      </c>
      <c r="D1073" s="1109" t="n">
        <f aca="false">'Смета Внутр'!D1073</f>
        <v>0</v>
      </c>
      <c r="E1073" s="1104" t="n">
        <f aca="false">'Смета Внутр'!E1073</f>
        <v>250</v>
      </c>
      <c r="F1073" s="1104" t="n">
        <f aca="false">'Смета Внутр'!F1073</f>
        <v>0</v>
      </c>
      <c r="G1073" s="1104" t="n">
        <f aca="false">IF(E1073&gt;F1073,E1073,F1073)</f>
        <v>250</v>
      </c>
      <c r="H1073" s="1104" t="n">
        <f aca="false">'Смета Внутр'!G1073</f>
        <v>0</v>
      </c>
      <c r="I1073" s="1104" t="n">
        <f aca="false">'Смета Внутр'!H1073</f>
        <v>0</v>
      </c>
      <c r="J1073" s="1109" t="n">
        <f aca="false">'Смета Внутр'!I1073</f>
        <v>0</v>
      </c>
    </row>
    <row r="1074" customFormat="false" ht="15" hidden="false" customHeight="true" outlineLevel="0" collapsed="false">
      <c r="B1074" s="1104" t="str">
        <f aca="false">'Смета Внутр'!B1074</f>
        <v>желоб</v>
      </c>
      <c r="C1074" s="1104" t="str">
        <f aca="false">'Смета Внутр'!C1074</f>
        <v>м.п</v>
      </c>
      <c r="D1074" s="1109" t="n">
        <f aca="false">'Смета Внутр'!D1074</f>
        <v>0</v>
      </c>
      <c r="E1074" s="1104" t="n">
        <f aca="false">'Смета Внутр'!E1074</f>
        <v>300</v>
      </c>
      <c r="F1074" s="1104" t="n">
        <f aca="false">'Смета Внутр'!F1074</f>
        <v>0</v>
      </c>
      <c r="G1074" s="1104" t="n">
        <f aca="false">IF(E1074&gt;F1074,E1074,F1074)</f>
        <v>300</v>
      </c>
      <c r="H1074" s="1104" t="n">
        <f aca="false">'Смета Внутр'!G1074</f>
        <v>0</v>
      </c>
      <c r="I1074" s="1104" t="n">
        <f aca="false">'Смета Внутр'!H1074</f>
        <v>0</v>
      </c>
      <c r="J1074" s="1109" t="n">
        <f aca="false">'Смета Внутр'!I1074</f>
        <v>0</v>
      </c>
    </row>
    <row r="1075" customFormat="false" ht="15" hidden="false" customHeight="true" outlineLevel="0" collapsed="false">
      <c r="B1075" s="1104" t="str">
        <f aca="false">'Смета Внутр'!B1075</f>
        <v>отвод</v>
      </c>
      <c r="C1075" s="1104" t="str">
        <f aca="false">'Смета Внутр'!C1075</f>
        <v>шт</v>
      </c>
      <c r="D1075" s="1109" t="n">
        <f aca="false">'Смета Внутр'!D1075</f>
        <v>2</v>
      </c>
      <c r="E1075" s="1104" t="n">
        <f aca="false">'Смета Внутр'!E1075</f>
        <v>250</v>
      </c>
      <c r="F1075" s="1104" t="n">
        <f aca="false">'Смета Внутр'!F1075</f>
        <v>0</v>
      </c>
      <c r="G1075" s="1104" t="n">
        <f aca="false">IF(E1075&gt;F1075,E1075,F1075)</f>
        <v>250</v>
      </c>
      <c r="H1075" s="1104" t="n">
        <f aca="false">'Смета Внутр'!G1075</f>
        <v>500</v>
      </c>
      <c r="I1075" s="1104" t="n">
        <f aca="false">'Смета Внутр'!H1075</f>
        <v>0</v>
      </c>
      <c r="J1075" s="1109" t="n">
        <f aca="false">'Смета Внутр'!I1075</f>
        <v>0</v>
      </c>
    </row>
    <row r="1076" customFormat="false" ht="15" hidden="false" customHeight="true" outlineLevel="0" collapsed="false">
      <c r="B1076" s="1104" t="str">
        <f aca="false">'Смета Внутр'!B1076</f>
        <v>труба водосточная</v>
      </c>
      <c r="C1076" s="1104" t="str">
        <f aca="false">'Смета Внутр'!C1076</f>
        <v>м.п.</v>
      </c>
      <c r="D1076" s="1109" t="n">
        <f aca="false">'Смета Внутр'!D1076</f>
        <v>11.34</v>
      </c>
      <c r="E1076" s="1104" t="n">
        <f aca="false">'Смета Внутр'!E1076</f>
        <v>300</v>
      </c>
      <c r="F1076" s="1104" t="n">
        <f aca="false">'Смета Внутр'!F1076</f>
        <v>0</v>
      </c>
      <c r="G1076" s="1104" t="n">
        <f aca="false">IF(E1076&gt;F1076,E1076,F1076)</f>
        <v>300</v>
      </c>
      <c r="H1076" s="1104" t="n">
        <f aca="false">'Смета Внутр'!G1076</f>
        <v>3402</v>
      </c>
      <c r="I1076" s="1104" t="n">
        <f aca="false">'Смета Внутр'!H1076</f>
        <v>0</v>
      </c>
      <c r="J1076" s="1109" t="n">
        <f aca="false">'Смета Внутр'!I1076</f>
        <v>0</v>
      </c>
    </row>
    <row r="1077" customFormat="false" ht="15" hidden="false" customHeight="true" outlineLevel="0" collapsed="false">
      <c r="B1077" s="1104" t="str">
        <f aca="false">'Смета Внутр'!B1077</f>
        <v>заглушка для желоба</v>
      </c>
      <c r="C1077" s="1104" t="str">
        <f aca="false">'Смета Внутр'!C1077</f>
        <v>шт</v>
      </c>
      <c r="D1077" s="1109" t="n">
        <f aca="false">'Смета Внутр'!D1077</f>
        <v>2</v>
      </c>
      <c r="E1077" s="1104" t="n">
        <f aca="false">'Смета Внутр'!E1077</f>
        <v>190</v>
      </c>
      <c r="F1077" s="1104" t="n">
        <f aca="false">'Смета Внутр'!F1077</f>
        <v>0</v>
      </c>
      <c r="G1077" s="1104" t="n">
        <f aca="false">IF(E1077&gt;F1077,E1077,F1077)</f>
        <v>190</v>
      </c>
      <c r="H1077" s="1104" t="n">
        <f aca="false">'Смета Внутр'!G1077</f>
        <v>380</v>
      </c>
      <c r="I1077" s="1104" t="n">
        <f aca="false">'Смета Внутр'!H1077</f>
        <v>0</v>
      </c>
      <c r="J1077" s="1109" t="n">
        <f aca="false">'Смета Внутр'!I1077</f>
        <v>0</v>
      </c>
    </row>
    <row r="1078" customFormat="false" ht="15" hidden="false" customHeight="true" outlineLevel="0" collapsed="false">
      <c r="B1078" s="1104" t="str">
        <f aca="false">'Смета Внутр'!B1078</f>
        <v>соеденитель для желоба</v>
      </c>
      <c r="C1078" s="1104" t="str">
        <f aca="false">'Смета Внутр'!C1078</f>
        <v>шт</v>
      </c>
      <c r="D1078" s="1109" t="n">
        <f aca="false">'Смета Внутр'!D1078</f>
        <v>1</v>
      </c>
      <c r="E1078" s="1104" t="n">
        <f aca="false">'Смета Внутр'!E1078</f>
        <v>180</v>
      </c>
      <c r="F1078" s="1104" t="n">
        <f aca="false">'Смета Внутр'!F1078</f>
        <v>0</v>
      </c>
      <c r="G1078" s="1104" t="n">
        <f aca="false">IF(E1078&gt;F1078,E1078,F1078)</f>
        <v>180</v>
      </c>
      <c r="H1078" s="1104" t="n">
        <f aca="false">'Смета Внутр'!G1078</f>
        <v>180</v>
      </c>
      <c r="I1078" s="1104" t="n">
        <f aca="false">'Смета Внутр'!H1078</f>
        <v>0</v>
      </c>
      <c r="J1078" s="1109" t="n">
        <f aca="false">'Смета Внутр'!I1078</f>
        <v>0</v>
      </c>
    </row>
    <row r="1079" customFormat="false" ht="15" hidden="false" customHeight="true" outlineLevel="0" collapsed="false">
      <c r="B1079" s="1104" t="str">
        <f aca="false">'Смета Внутр'!B1079</f>
        <v>кронштейн для желоба</v>
      </c>
      <c r="C1079" s="1104" t="str">
        <f aca="false">'Смета Внутр'!C1079</f>
        <v>шт</v>
      </c>
      <c r="D1079" s="1109" t="n">
        <f aca="false">'Смета Внутр'!D1079</f>
        <v>4</v>
      </c>
      <c r="E1079" s="1104" t="n">
        <f aca="false">'Смета Внутр'!E1079</f>
        <v>130</v>
      </c>
      <c r="F1079" s="1104" t="n">
        <f aca="false">'Смета Внутр'!F1079</f>
        <v>0</v>
      </c>
      <c r="G1079" s="1104" t="n">
        <f aca="false">IF(E1079&gt;F1079,E1079,F1079)</f>
        <v>130</v>
      </c>
      <c r="H1079" s="1104" t="n">
        <f aca="false">'Смета Внутр'!G1079</f>
        <v>520</v>
      </c>
      <c r="I1079" s="1104" t="n">
        <f aca="false">'Смета Внутр'!H1079</f>
        <v>0</v>
      </c>
      <c r="J1079" s="1109" t="n">
        <f aca="false">'Смета Внутр'!I1079</f>
        <v>0</v>
      </c>
    </row>
    <row r="1080" customFormat="false" ht="15" hidden="false" customHeight="true" outlineLevel="0" collapsed="false">
      <c r="B1080" s="1104" t="str">
        <f aca="false">'Смета Внутр'!B1080</f>
        <v>переход из желоба в трубу</v>
      </c>
      <c r="C1080" s="1104" t="str">
        <f aca="false">'Смета Внутр'!C1080</f>
        <v>шт</v>
      </c>
      <c r="D1080" s="1109" t="n">
        <f aca="false">'Смета Внутр'!D1080</f>
        <v>2</v>
      </c>
      <c r="E1080" s="1104" t="n">
        <f aca="false">'Смета Внутр'!E1080</f>
        <v>350</v>
      </c>
      <c r="F1080" s="1104" t="n">
        <f aca="false">'Смета Внутр'!F1080</f>
        <v>0</v>
      </c>
      <c r="G1080" s="1104" t="n">
        <f aca="false">IF(E1080&gt;F1080,E1080,F1080)</f>
        <v>350</v>
      </c>
      <c r="H1080" s="1104" t="n">
        <f aca="false">'Смета Внутр'!G1080</f>
        <v>700</v>
      </c>
      <c r="I1080" s="1104" t="n">
        <f aca="false">'Смета Внутр'!H1080</f>
        <v>0</v>
      </c>
      <c r="J1080" s="1109" t="n">
        <f aca="false">'Смета Внутр'!I1080</f>
        <v>0</v>
      </c>
    </row>
    <row r="1081" customFormat="false" ht="15" hidden="false" customHeight="true" outlineLevel="0" collapsed="false">
      <c r="B1081" s="1104" t="str">
        <f aca="false">'Смета Внутр'!B1081</f>
        <v>лента дельта мульти бэнд</v>
      </c>
      <c r="C1081" s="1104" t="str">
        <f aca="false">'Смета Внутр'!C1081</f>
        <v>шт</v>
      </c>
      <c r="D1081" s="1109" t="n">
        <f aca="false">'Смета Внутр'!D1081</f>
        <v>0</v>
      </c>
      <c r="E1081" s="1104" t="n">
        <f aca="false">'Смета Внутр'!E1081</f>
        <v>1200</v>
      </c>
      <c r="F1081" s="1104" t="n">
        <f aca="false">'Смета Внутр'!F1081</f>
        <v>0</v>
      </c>
      <c r="G1081" s="1104" t="n">
        <f aca="false">IF(E1081&gt;F1081,E1081,F1081)</f>
        <v>1200</v>
      </c>
      <c r="H1081" s="1104" t="n">
        <f aca="false">'Смета Внутр'!G1081</f>
        <v>0</v>
      </c>
      <c r="I1081" s="1104" t="n">
        <f aca="false">'Смета Внутр'!H1081</f>
        <v>0</v>
      </c>
      <c r="J1081" s="1109" t="n">
        <f aca="false">'Смета Внутр'!I1081</f>
        <v>0</v>
      </c>
    </row>
    <row r="1082" customFormat="false" ht="15" hidden="false" customHeight="true" outlineLevel="0" collapsed="false">
      <c r="B1082" s="1104" t="str">
        <f aca="false">'Смета Внутр'!B1082</f>
        <v>лента дельта sb-60</v>
      </c>
      <c r="C1082" s="1104" t="str">
        <f aca="false">'Смета Внутр'!C1082</f>
        <v>шт</v>
      </c>
      <c r="D1082" s="1109" t="n">
        <f aca="false">'Смета Внутр'!D1082</f>
        <v>1</v>
      </c>
      <c r="E1082" s="1104" t="n">
        <f aca="false">'Смета Внутр'!E1082</f>
        <v>1100</v>
      </c>
      <c r="F1082" s="1104" t="n">
        <f aca="false">'Смета Внутр'!F1082</f>
        <v>0</v>
      </c>
      <c r="G1082" s="1104" t="n">
        <f aca="false">IF(E1082&gt;F1082,E1082,F1082)</f>
        <v>1100</v>
      </c>
      <c r="H1082" s="1104" t="n">
        <f aca="false">'Смета Внутр'!G1082</f>
        <v>1100</v>
      </c>
      <c r="I1082" s="1104" t="n">
        <f aca="false">'Смета Внутр'!H1082</f>
        <v>0</v>
      </c>
      <c r="J1082" s="1109" t="n">
        <f aca="false">'Смета Внутр'!I1082</f>
        <v>0</v>
      </c>
    </row>
    <row r="1083" customFormat="false" ht="15" hidden="true" customHeight="true" outlineLevel="0" collapsed="false">
      <c r="B1083" s="1104" t="str">
        <f aca="false">'Смета Внутр'!B1083</f>
        <v>проходка кровельная, канализационная</v>
      </c>
      <c r="C1083" s="1104" t="str">
        <f aca="false">'Смета Внутр'!C1083</f>
        <v>шт</v>
      </c>
      <c r="D1083" s="1109" t="n">
        <f aca="false">'Смета Внутр'!D1083</f>
        <v>0</v>
      </c>
      <c r="E1083" s="1104" t="n">
        <f aca="false">'Смета Внутр'!E1083</f>
        <v>3500</v>
      </c>
      <c r="F1083" s="1104" t="n">
        <f aca="false">'Смета Внутр'!F1083</f>
        <v>0</v>
      </c>
      <c r="G1083" s="1104" t="n">
        <f aca="false">IF(E1083&gt;F1083,E1083,F1083)</f>
        <v>3500</v>
      </c>
      <c r="H1083" s="1104" t="n">
        <f aca="false">'Смета Внутр'!G1083</f>
        <v>0</v>
      </c>
      <c r="I1083" s="1104" t="n">
        <f aca="false">'Смета Внутр'!H1083</f>
        <v>0</v>
      </c>
      <c r="J1083" s="1109" t="n">
        <f aca="false">'Смета Внутр'!I1083</f>
        <v>0</v>
      </c>
    </row>
    <row r="1084" customFormat="false" ht="15" hidden="true" customHeight="true" outlineLevel="0" collapsed="false">
      <c r="B1084" s="1104" t="str">
        <f aca="false">'Смета Внутр'!B1084</f>
        <v>проходка кровельная, вентиляционная</v>
      </c>
      <c r="C1084" s="1104" t="str">
        <f aca="false">'Смета Внутр'!C1084</f>
        <v>шт</v>
      </c>
      <c r="D1084" s="1109" t="n">
        <f aca="false">'Смета Внутр'!D1084</f>
        <v>0</v>
      </c>
      <c r="E1084" s="1104" t="n">
        <f aca="false">'Смета Внутр'!E1084</f>
        <v>3500</v>
      </c>
      <c r="F1084" s="1104" t="n">
        <f aca="false">'Смета Внутр'!F1084</f>
        <v>0</v>
      </c>
      <c r="G1084" s="1104" t="n">
        <f aca="false">IF(E1084&gt;F1084,E1084,F1084)</f>
        <v>3500</v>
      </c>
      <c r="H1084" s="1104" t="n">
        <f aca="false">'Смета Внутр'!G1084</f>
        <v>0</v>
      </c>
      <c r="I1084" s="1104" t="n">
        <f aca="false">'Смета Внутр'!H1084</f>
        <v>0</v>
      </c>
      <c r="J1084" s="1109" t="n">
        <f aca="false">'Смета Внутр'!I1084</f>
        <v>0</v>
      </c>
    </row>
    <row r="1085" customFormat="false" ht="15" hidden="true" customHeight="true" outlineLevel="0" collapsed="false">
      <c r="B1085" s="1104" t="str">
        <f aca="false">'Смета Внутр'!B1085</f>
        <v>проодка кровельная, труба котел</v>
      </c>
      <c r="C1085" s="1104" t="str">
        <f aca="false">'Смета Внутр'!C1085</f>
        <v>шт</v>
      </c>
      <c r="D1085" s="1109" t="n">
        <f aca="false">'Смета Внутр'!D1085</f>
        <v>0</v>
      </c>
      <c r="E1085" s="1104" t="n">
        <f aca="false">'Смета Внутр'!E1085</f>
        <v>4500</v>
      </c>
      <c r="F1085" s="1104" t="n">
        <f aca="false">'Смета Внутр'!F1085</f>
        <v>0</v>
      </c>
      <c r="G1085" s="1104" t="n">
        <f aca="false">IF(E1085&gt;F1085,E1085,F1085)</f>
        <v>4500</v>
      </c>
      <c r="H1085" s="1104" t="n">
        <f aca="false">'Смета Внутр'!G1085</f>
        <v>0</v>
      </c>
      <c r="I1085" s="1104" t="n">
        <f aca="false">'Смета Внутр'!H1085</f>
        <v>0</v>
      </c>
      <c r="J1085" s="1109" t="n">
        <f aca="false">'Смета Внутр'!I1085</f>
        <v>0</v>
      </c>
    </row>
    <row r="1086" customFormat="false" ht="15" hidden="false" customHeight="true" outlineLevel="0" collapsed="false">
      <c r="B1086" s="1104" t="str">
        <f aca="false">'Смета Внутр'!B1086</f>
        <v>Кровельный саморез</v>
      </c>
      <c r="C1086" s="1104" t="str">
        <f aca="false">'Смета Внутр'!C1086</f>
        <v>шт</v>
      </c>
      <c r="D1086" s="1109" t="n">
        <f aca="false">'Смета Внутр'!D1086</f>
        <v>86.4</v>
      </c>
      <c r="E1086" s="1104" t="n">
        <f aca="false">'Смета Внутр'!E1086</f>
        <v>2</v>
      </c>
      <c r="F1086" s="1104" t="n">
        <f aca="false">'Смета Внутр'!F1086</f>
        <v>0</v>
      </c>
      <c r="G1086" s="1104" t="n">
        <f aca="false">IF(E1086&gt;F1086,E1086,F1086)</f>
        <v>2</v>
      </c>
      <c r="H1086" s="1104" t="n">
        <f aca="false">'Смета Внутр'!G1086</f>
        <v>172.8</v>
      </c>
      <c r="I1086" s="1104" t="n">
        <f aca="false">'Смета Внутр'!H1086</f>
        <v>0</v>
      </c>
      <c r="J1086" s="1109" t="n">
        <f aca="false">'Смета Внутр'!I1086</f>
        <v>0</v>
      </c>
    </row>
    <row r="1087" customFormat="false" ht="15" hidden="false" customHeight="true" outlineLevel="0" collapsed="false">
      <c r="B1087" s="1104" t="str">
        <f aca="false">'Смета Внутр'!B1087</f>
        <v>Гвозди ершоные 3,4 x 60            </v>
      </c>
      <c r="C1087" s="1104" t="str">
        <f aca="false">'Смета Внутр'!C1087</f>
        <v>кг</v>
      </c>
      <c r="D1087" s="1109" t="n">
        <f aca="false">'Смета Внутр'!D1087</f>
        <v>0.6</v>
      </c>
      <c r="E1087" s="1104" t="n">
        <f aca="false">'Смета Внутр'!E1087</f>
        <v>75.51</v>
      </c>
      <c r="F1087" s="1104" t="n">
        <f aca="false">'Смета Внутр'!F1087</f>
        <v>0</v>
      </c>
      <c r="G1087" s="1104" t="n">
        <f aca="false">IF(E1087&gt;F1087,E1087,F1087)</f>
        <v>75.51</v>
      </c>
      <c r="H1087" s="1104" t="n">
        <f aca="false">'Смета Внутр'!G1087</f>
        <v>45.306</v>
      </c>
      <c r="I1087" s="1104" t="n">
        <f aca="false">'Смета Внутр'!H1087</f>
        <v>0</v>
      </c>
      <c r="J1087" s="1109" t="n">
        <f aca="false">'Смета Внутр'!I1087</f>
        <v>0</v>
      </c>
    </row>
    <row r="1088" customFormat="false" ht="15" hidden="false" customHeight="true" outlineLevel="0" collapsed="false">
      <c r="B1088" s="1104" t="str">
        <f aca="false">'Смета Внутр'!B1088</f>
        <v>Гвозди ершоные 2,8 х 90            </v>
      </c>
      <c r="C1088" s="1104" t="str">
        <f aca="false">'Смета Внутр'!C1088</f>
        <v>кг</v>
      </c>
      <c r="D1088" s="1109" t="n">
        <f aca="false">'Смета Внутр'!D1088</f>
        <v>0.5661</v>
      </c>
      <c r="E1088" s="1104" t="n">
        <f aca="false">'Смета Внутр'!E1088</f>
        <v>76.49</v>
      </c>
      <c r="F1088" s="1104" t="n">
        <f aca="false">'Смета Внутр'!F1088</f>
        <v>0</v>
      </c>
      <c r="G1088" s="1104" t="n">
        <f aca="false">IF(E1088&gt;F1088,E1088,F1088)</f>
        <v>76.49</v>
      </c>
      <c r="H1088" s="1104" t="n">
        <f aca="false">'Смета Внутр'!G1088</f>
        <v>43.300989</v>
      </c>
      <c r="I1088" s="1104" t="n">
        <f aca="false">'Смета Внутр'!H1088</f>
        <v>0</v>
      </c>
      <c r="J1088" s="1109" t="n">
        <f aca="false">'Смета Внутр'!I1088</f>
        <v>0</v>
      </c>
    </row>
    <row r="1089" customFormat="false" ht="15" hidden="true" customHeight="true" outlineLevel="0" collapsed="false">
      <c r="B1089" s="1104" t="str">
        <f aca="false">'Смета Внутр'!B1089</f>
        <v>Пластина соеденительная 100х240х2           </v>
      </c>
      <c r="C1089" s="1104" t="str">
        <f aca="false">'Смета Внутр'!C1089</f>
        <v>шт</v>
      </c>
      <c r="D1089" s="1109" t="n">
        <f aca="false">'Смета Внутр'!D1089</f>
        <v>0</v>
      </c>
      <c r="E1089" s="1104" t="n">
        <f aca="false">'Смета Внутр'!E1089</f>
        <v>31.54</v>
      </c>
      <c r="F1089" s="1104" t="n">
        <f aca="false">'Смета Внутр'!F1089</f>
        <v>0</v>
      </c>
      <c r="G1089" s="1104" t="n">
        <f aca="false">IF(E1089&gt;F1089,E1089,F1089)</f>
        <v>31.54</v>
      </c>
      <c r="H1089" s="1104" t="n">
        <f aca="false">'Смета Внутр'!G1089</f>
        <v>0</v>
      </c>
      <c r="I1089" s="1104" t="n">
        <f aca="false">'Смета Внутр'!H1089</f>
        <v>0</v>
      </c>
      <c r="J1089" s="1109" t="n">
        <f aca="false">'Смета Внутр'!I1089</f>
        <v>0</v>
      </c>
    </row>
    <row r="1090" customFormat="false" ht="15" hidden="false" customHeight="true" outlineLevel="0" collapsed="false">
      <c r="B1090" s="1104" t="str">
        <f aca="false">'Смета Внутр'!B1090</f>
        <v>Уголок усиленный 90х70х55х2,5        </v>
      </c>
      <c r="C1090" s="1104" t="str">
        <f aca="false">'Смета Внутр'!C1090</f>
        <v>шт</v>
      </c>
      <c r="D1090" s="1109" t="n">
        <f aca="false">'Смета Внутр'!D1090</f>
        <v>6</v>
      </c>
      <c r="E1090" s="1104" t="n">
        <f aca="false">'Смета Внутр'!E1090</f>
        <v>30</v>
      </c>
      <c r="F1090" s="1104" t="n">
        <f aca="false">'Смета Внутр'!F1090</f>
        <v>0</v>
      </c>
      <c r="G1090" s="1104" t="n">
        <f aca="false">IF(E1090&gt;F1090,E1090,F1090)</f>
        <v>30</v>
      </c>
      <c r="H1090" s="1104" t="n">
        <f aca="false">'Смета Внутр'!G1090</f>
        <v>180</v>
      </c>
      <c r="I1090" s="1104" t="n">
        <f aca="false">'Смета Внутр'!H1090</f>
        <v>0</v>
      </c>
      <c r="J1090" s="1109" t="n">
        <f aca="false">'Смета Внутр'!I1090</f>
        <v>0</v>
      </c>
    </row>
    <row r="1091" customFormat="false" ht="15" hidden="false" customHeight="false" outlineLevel="0" collapsed="false">
      <c r="B1091" s="1108" t="str">
        <f aca="false">'Смета Внутр'!B1091</f>
        <v>Итого материалы</v>
      </c>
      <c r="C1091" s="1108"/>
      <c r="D1091" s="1108"/>
      <c r="E1091" s="1108"/>
      <c r="F1091" s="1108"/>
      <c r="G1091" s="1108"/>
      <c r="H1091" s="1104" t="n">
        <f aca="false">'Смета Внутр'!G1091</f>
        <v>0</v>
      </c>
      <c r="I1091" s="1104" t="n">
        <f aca="false">'Смета Внутр'!H1091</f>
        <v>0</v>
      </c>
      <c r="J1091" s="1109" t="n">
        <f aca="false">'Смета Внутр'!I1091</f>
        <v>0</v>
      </c>
    </row>
    <row r="1092" customFormat="false" ht="15" hidden="false" customHeight="true" outlineLevel="0" collapsed="false">
      <c r="B1092" s="118" t="str">
        <f aca="false">'Смета Внутр'!B1092</f>
        <v>Работы</v>
      </c>
      <c r="H1092" s="118" t="n">
        <f aca="false">'Смета Внутр'!G1092</f>
        <v>0</v>
      </c>
      <c r="I1092" s="118" t="n">
        <f aca="false">'Смета Внутр'!H1092</f>
        <v>0</v>
      </c>
      <c r="J1092" s="1102" t="n">
        <f aca="false">'Смета Внутр'!I1092</f>
        <v>0</v>
      </c>
    </row>
    <row r="1093" customFormat="false" ht="15" hidden="false" customHeight="true" outlineLevel="0" collapsed="false">
      <c r="B1093" s="1104" t="str">
        <f aca="false">'Смета Внутр'!B1093</f>
        <v>монтаж мауэрлата</v>
      </c>
      <c r="C1093" s="1104" t="str">
        <f aca="false">'Смета Внутр'!C1093</f>
        <v>м.п.</v>
      </c>
      <c r="D1093" s="1109" t="n">
        <f aca="false">'Смета Внутр'!D1093</f>
        <v>0</v>
      </c>
      <c r="E1093" s="1104" t="n">
        <f aca="false">'Смета Внутр'!E1093</f>
        <v>250</v>
      </c>
      <c r="F1093" s="1104" t="n">
        <f aca="false">'Смета Внутр'!F1093</f>
        <v>0</v>
      </c>
      <c r="G1093" s="1104" t="n">
        <f aca="false">IF(E1093&gt;F1093,E1093,F1093)</f>
        <v>250</v>
      </c>
      <c r="H1093" s="1104" t="n">
        <f aca="false">'Смета Внутр'!G1093</f>
        <v>0</v>
      </c>
      <c r="I1093" s="1104" t="n">
        <f aca="false">'Смета Внутр'!H1093</f>
        <v>0</v>
      </c>
      <c r="J1093" s="1109" t="n">
        <f aca="false">'Смета Внутр'!I1093</f>
        <v>0</v>
      </c>
    </row>
    <row r="1094" customFormat="false" ht="15" hidden="false" customHeight="true" outlineLevel="0" collapsed="false">
      <c r="B1094" s="1104" t="str">
        <f aca="false">'Смета Внутр'!B1094</f>
        <v>монтаж стропил</v>
      </c>
      <c r="C1094" s="1104" t="str">
        <f aca="false">'Смета Внутр'!C1094</f>
        <v>м2</v>
      </c>
      <c r="D1094" s="1109" t="n">
        <f aca="false">'Смета Внутр'!D1094</f>
        <v>6</v>
      </c>
      <c r="E1094" s="1104" t="n">
        <f aca="false">'Смета Внутр'!E1094</f>
        <v>450</v>
      </c>
      <c r="F1094" s="1104" t="n">
        <f aca="false">'Смета Внутр'!F1094</f>
        <v>0</v>
      </c>
      <c r="G1094" s="1104" t="n">
        <f aca="false">IF(E1094&gt;F1094,E1094,F1094)</f>
        <v>450</v>
      </c>
      <c r="H1094" s="1104" t="n">
        <f aca="false">'Смета Внутр'!G1094</f>
        <v>2700</v>
      </c>
      <c r="I1094" s="1104" t="n">
        <f aca="false">'Смета Внутр'!H1094</f>
        <v>0</v>
      </c>
      <c r="J1094" s="1109" t="n">
        <f aca="false">'Смета Внутр'!I1094</f>
        <v>0</v>
      </c>
    </row>
    <row r="1095" customFormat="false" ht="15" hidden="false" customHeight="true" outlineLevel="0" collapsed="false">
      <c r="B1095" s="1104" t="str">
        <f aca="false">'Смета Внутр'!B1095</f>
        <v>обрешетка</v>
      </c>
      <c r="C1095" s="1104" t="str">
        <f aca="false">'Смета Внутр'!C1095</f>
        <v>м2</v>
      </c>
      <c r="D1095" s="1109" t="n">
        <f aca="false">'Смета Внутр'!D1095</f>
        <v>6</v>
      </c>
      <c r="E1095" s="1104" t="n">
        <f aca="false">'Смета Внутр'!E1095</f>
        <v>100</v>
      </c>
      <c r="F1095" s="1104" t="n">
        <f aca="false">'Смета Внутр'!F1095</f>
        <v>0</v>
      </c>
      <c r="G1095" s="1104" t="n">
        <f aca="false">IF(E1095&gt;F1095,E1095,F1095)</f>
        <v>100</v>
      </c>
      <c r="H1095" s="1104" t="n">
        <f aca="false">'Смета Внутр'!G1095</f>
        <v>600</v>
      </c>
      <c r="I1095" s="1104" t="n">
        <f aca="false">'Смета Внутр'!H1095</f>
        <v>0</v>
      </c>
      <c r="J1095" s="1109" t="n">
        <f aca="false">'Смета Внутр'!I1095</f>
        <v>0</v>
      </c>
    </row>
    <row r="1096" customFormat="false" ht="15" hidden="false" customHeight="true" outlineLevel="0" collapsed="false">
      <c r="B1096" s="1104" t="str">
        <f aca="false">'Смета Внутр'!B1096</f>
        <v>контробеш</v>
      </c>
      <c r="C1096" s="1104" t="str">
        <f aca="false">'Смета Внутр'!C1096</f>
        <v>м2</v>
      </c>
      <c r="D1096" s="1109" t="n">
        <f aca="false">'Смета Внутр'!D1096</f>
        <v>6</v>
      </c>
      <c r="E1096" s="1104" t="n">
        <f aca="false">'Смета Внутр'!E1096</f>
        <v>100</v>
      </c>
      <c r="F1096" s="1104" t="n">
        <f aca="false">'Смета Внутр'!F1096</f>
        <v>0</v>
      </c>
      <c r="G1096" s="1104" t="n">
        <f aca="false">IF(E1096&gt;F1096,E1096,F1096)</f>
        <v>100</v>
      </c>
      <c r="H1096" s="1104" t="n">
        <f aca="false">'Смета Внутр'!G1096</f>
        <v>600</v>
      </c>
      <c r="I1096" s="1104" t="n">
        <f aca="false">'Смета Внутр'!H1096</f>
        <v>0</v>
      </c>
      <c r="J1096" s="1109" t="n">
        <f aca="false">'Смета Внутр'!I1096</f>
        <v>0</v>
      </c>
    </row>
    <row r="1097" customFormat="false" ht="15" hidden="false" customHeight="true" outlineLevel="0" collapsed="false">
      <c r="B1097" s="1104" t="str">
        <f aca="false">'Смета Внутр'!B1097</f>
        <v>Монтаж металлочерепицы</v>
      </c>
      <c r="C1097" s="1104" t="str">
        <f aca="false">'Смета Внутр'!C1097</f>
        <v>м2</v>
      </c>
      <c r="D1097" s="1109" t="n">
        <f aca="false">'Смета Внутр'!D1097</f>
        <v>6</v>
      </c>
      <c r="E1097" s="1104" t="n">
        <f aca="false">'Смета Внутр'!E1097</f>
        <v>300</v>
      </c>
      <c r="F1097" s="1104" t="n">
        <f aca="false">'Смета Внутр'!F1097</f>
        <v>0</v>
      </c>
      <c r="G1097" s="1104" t="n">
        <f aca="false">IF(E1097&gt;F1097,E1097,F1097)</f>
        <v>300</v>
      </c>
      <c r="H1097" s="1104" t="n">
        <f aca="false">'Смета Внутр'!G1097</f>
        <v>1800</v>
      </c>
      <c r="I1097" s="1104" t="n">
        <f aca="false">'Смета Внутр'!H1097</f>
        <v>0</v>
      </c>
      <c r="J1097" s="1109" t="n">
        <f aca="false">'Смета Внутр'!I1097</f>
        <v>0</v>
      </c>
    </row>
    <row r="1098" customFormat="false" ht="15" hidden="true" customHeight="true" outlineLevel="0" collapsed="false">
      <c r="B1098" s="1104" t="str">
        <f aca="false">'Смета Внутр'!B1098</f>
        <v>Монтаж ондулина</v>
      </c>
      <c r="C1098" s="1104" t="str">
        <f aca="false">'Смета Внутр'!C1098</f>
        <v>м2</v>
      </c>
      <c r="D1098" s="1109" t="n">
        <f aca="false">'Смета Внутр'!D1098</f>
        <v>0</v>
      </c>
      <c r="E1098" s="1104" t="n">
        <f aca="false">'Смета Внутр'!E1098</f>
        <v>300</v>
      </c>
      <c r="F1098" s="1104" t="n">
        <f aca="false">'Смета Внутр'!F1098</f>
        <v>0</v>
      </c>
      <c r="G1098" s="1104" t="n">
        <f aca="false">IF(E1098&gt;F1098,E1098,F1098)</f>
        <v>300</v>
      </c>
      <c r="H1098" s="1104" t="n">
        <f aca="false">'Смета Внутр'!G1098</f>
        <v>0</v>
      </c>
      <c r="I1098" s="1104" t="n">
        <f aca="false">'Смета Внутр'!H1098</f>
        <v>0</v>
      </c>
      <c r="J1098" s="1109" t="n">
        <f aca="false">'Смета Внутр'!I1098</f>
        <v>0</v>
      </c>
    </row>
    <row r="1099" customFormat="false" ht="15" hidden="false" customHeight="true" outlineLevel="0" collapsed="false">
      <c r="B1099" s="1104" t="str">
        <f aca="false">'Смета Внутр'!B1099</f>
        <v>мембрана</v>
      </c>
      <c r="C1099" s="1104" t="str">
        <f aca="false">'Смета Внутр'!C1099</f>
        <v>м2</v>
      </c>
      <c r="D1099" s="1109" t="n">
        <f aca="false">'Смета Внутр'!D1099</f>
        <v>6</v>
      </c>
      <c r="E1099" s="1104" t="n">
        <f aca="false">'Смета Внутр'!E1099</f>
        <v>100</v>
      </c>
      <c r="F1099" s="1104" t="n">
        <f aca="false">'Смета Внутр'!F1099</f>
        <v>0</v>
      </c>
      <c r="G1099" s="1104" t="n">
        <f aca="false">IF(E1099&gt;F1099,E1099,F1099)</f>
        <v>100</v>
      </c>
      <c r="H1099" s="1104" t="n">
        <f aca="false">'Смета Внутр'!G1099</f>
        <v>600</v>
      </c>
      <c r="I1099" s="1104" t="n">
        <f aca="false">'Смета Внутр'!H1099</f>
        <v>0</v>
      </c>
      <c r="J1099" s="1109" t="n">
        <f aca="false">'Смета Внутр'!I1099</f>
        <v>0</v>
      </c>
    </row>
    <row r="1100" customFormat="false" ht="15" hidden="false" customHeight="true" outlineLevel="0" collapsed="false">
      <c r="B1100" s="1104" t="str">
        <f aca="false">'Смета Внутр'!B1100</f>
        <v>пароизоляц</v>
      </c>
      <c r="C1100" s="1104" t="str">
        <f aca="false">'Смета Внутр'!C1100</f>
        <v>м2</v>
      </c>
      <c r="D1100" s="1109" t="n">
        <f aca="false">'Смета Внутр'!D1100</f>
        <v>6</v>
      </c>
      <c r="E1100" s="1104" t="n">
        <f aca="false">'Смета Внутр'!E1100</f>
        <v>100</v>
      </c>
      <c r="F1100" s="1104" t="n">
        <f aca="false">'Смета Внутр'!F1100</f>
        <v>0</v>
      </c>
      <c r="G1100" s="1104" t="n">
        <f aca="false">IF(E1100&gt;F1100,E1100,F1100)</f>
        <v>100</v>
      </c>
      <c r="H1100" s="1104" t="n">
        <f aca="false">'Смета Внутр'!G1100</f>
        <v>600</v>
      </c>
      <c r="I1100" s="1104" t="n">
        <f aca="false">'Смета Внутр'!H1100</f>
        <v>0</v>
      </c>
      <c r="J1100" s="1109" t="n">
        <f aca="false">'Смета Внутр'!I1100</f>
        <v>0</v>
      </c>
    </row>
    <row r="1101" customFormat="false" ht="15" hidden="false" customHeight="true" outlineLevel="0" collapsed="false">
      <c r="B1101" s="1104" t="str">
        <f aca="false">'Смета Внутр'!B1101</f>
        <v>утеплитель</v>
      </c>
      <c r="C1101" s="1104" t="str">
        <f aca="false">'Смета Внутр'!C1101</f>
        <v>м2</v>
      </c>
      <c r="D1101" s="1109" t="n">
        <f aca="false">'Смета Внутр'!D1101</f>
        <v>0</v>
      </c>
      <c r="E1101" s="1104" t="n">
        <f aca="false">'Смета Внутр'!E1101</f>
        <v>200</v>
      </c>
      <c r="F1101" s="1104" t="n">
        <f aca="false">'Смета Внутр'!F1101</f>
        <v>0</v>
      </c>
      <c r="G1101" s="1104" t="n">
        <f aca="false">IF(E1101&gt;F1101,E1101,F1101)</f>
        <v>200</v>
      </c>
      <c r="H1101" s="1104" t="n">
        <f aca="false">'Смета Внутр'!G1101</f>
        <v>0</v>
      </c>
      <c r="I1101" s="1104" t="n">
        <f aca="false">'Смета Внутр'!H1101</f>
        <v>0</v>
      </c>
      <c r="J1101" s="1109" t="n">
        <f aca="false">'Смета Внутр'!I1101</f>
        <v>0</v>
      </c>
    </row>
    <row r="1102" customFormat="false" ht="15" hidden="false" customHeight="true" outlineLevel="0" collapsed="false">
      <c r="B1102" s="1104" t="str">
        <f aca="false">'Смета Внутр'!B1102</f>
        <v>карнизная планка</v>
      </c>
      <c r="C1102" s="1104" t="str">
        <f aca="false">'Смета Внутр'!C1102</f>
        <v>м2</v>
      </c>
      <c r="D1102" s="1109" t="n">
        <f aca="false">'Смета Внутр'!D1102</f>
        <v>0</v>
      </c>
      <c r="E1102" s="1104" t="n">
        <f aca="false">'Смета Внутр'!E1102</f>
        <v>100</v>
      </c>
      <c r="F1102" s="1104" t="n">
        <f aca="false">'Смета Внутр'!F1102</f>
        <v>0</v>
      </c>
      <c r="G1102" s="1104" t="n">
        <f aca="false">IF(E1102&gt;F1102,E1102,F1102)</f>
        <v>100</v>
      </c>
      <c r="H1102" s="1104" t="n">
        <f aca="false">'Смета Внутр'!G1102</f>
        <v>0</v>
      </c>
      <c r="I1102" s="1104" t="n">
        <f aca="false">'Смета Внутр'!H1102</f>
        <v>0</v>
      </c>
      <c r="J1102" s="1109" t="n">
        <f aca="false">'Смета Внутр'!I1102</f>
        <v>0</v>
      </c>
    </row>
    <row r="1103" customFormat="false" ht="15" hidden="false" customHeight="true" outlineLevel="0" collapsed="false">
      <c r="B1103" s="1104" t="str">
        <f aca="false">'Смета Внутр'!B1103</f>
        <v>торцевая планка</v>
      </c>
      <c r="C1103" s="1104" t="str">
        <f aca="false">'Смета Внутр'!C1103</f>
        <v>м2</v>
      </c>
      <c r="D1103" s="1109" t="n">
        <f aca="false">'Смета Внутр'!D1103</f>
        <v>0</v>
      </c>
      <c r="E1103" s="1104" t="n">
        <f aca="false">'Смета Внутр'!E1103</f>
        <v>100</v>
      </c>
      <c r="F1103" s="1104" t="n">
        <f aca="false">'Смета Внутр'!F1103</f>
        <v>0</v>
      </c>
      <c r="G1103" s="1104" t="n">
        <f aca="false">IF(E1103&gt;F1103,E1103,F1103)</f>
        <v>100</v>
      </c>
      <c r="H1103" s="1104" t="n">
        <f aca="false">'Смета Внутр'!G1103</f>
        <v>0</v>
      </c>
      <c r="I1103" s="1104" t="n">
        <f aca="false">'Смета Внутр'!H1103</f>
        <v>0</v>
      </c>
      <c r="J1103" s="1109" t="n">
        <f aca="false">'Смета Внутр'!I1103</f>
        <v>0</v>
      </c>
    </row>
    <row r="1104" customFormat="false" ht="15" hidden="false" customHeight="true" outlineLevel="0" collapsed="false">
      <c r="B1104" s="1104" t="str">
        <f aca="false">'Смета Внутр'!B1104</f>
        <v>конек</v>
      </c>
      <c r="C1104" s="1104" t="str">
        <f aca="false">'Смета Внутр'!C1104</f>
        <v>м.п.</v>
      </c>
      <c r="D1104" s="1109" t="n">
        <f aca="false">'Смета Внутр'!D1104</f>
        <v>0</v>
      </c>
      <c r="E1104" s="1104" t="n">
        <f aca="false">'Смета Внутр'!E1104</f>
        <v>300</v>
      </c>
      <c r="F1104" s="1104" t="n">
        <f aca="false">'Смета Внутр'!F1104</f>
        <v>0</v>
      </c>
      <c r="G1104" s="1104" t="n">
        <f aca="false">IF(E1104&gt;F1104,E1104,F1104)</f>
        <v>300</v>
      </c>
      <c r="H1104" s="1104" t="n">
        <f aca="false">'Смета Внутр'!G1104</f>
        <v>0</v>
      </c>
      <c r="I1104" s="1104" t="n">
        <f aca="false">'Смета Внутр'!H1104</f>
        <v>0</v>
      </c>
      <c r="J1104" s="1109" t="n">
        <f aca="false">'Смета Внутр'!I1104</f>
        <v>0</v>
      </c>
    </row>
    <row r="1105" customFormat="false" ht="15" hidden="false" customHeight="true" outlineLevel="0" collapsed="false">
      <c r="B1105" s="1104" t="str">
        <f aca="false">'Смета Внутр'!B1105</f>
        <v>желоб водосточный</v>
      </c>
      <c r="C1105" s="1104" t="str">
        <f aca="false">'Смета Внутр'!C1105</f>
        <v>м.п.</v>
      </c>
      <c r="D1105" s="1109" t="n">
        <f aca="false">'Смета Внутр'!D1105</f>
        <v>0</v>
      </c>
      <c r="E1105" s="1104" t="n">
        <f aca="false">'Смета Внутр'!E1105</f>
        <v>300</v>
      </c>
      <c r="F1105" s="1104" t="n">
        <f aca="false">'Смета Внутр'!F1105</f>
        <v>0</v>
      </c>
      <c r="G1105" s="1104" t="n">
        <f aca="false">IF(E1105&gt;F1105,E1105,F1105)</f>
        <v>300</v>
      </c>
      <c r="H1105" s="1104" t="n">
        <f aca="false">'Смета Внутр'!G1105</f>
        <v>0</v>
      </c>
      <c r="I1105" s="1104" t="n">
        <f aca="false">'Смета Внутр'!H1105</f>
        <v>0</v>
      </c>
      <c r="J1105" s="1109" t="n">
        <f aca="false">'Смета Внутр'!I1105</f>
        <v>0</v>
      </c>
    </row>
    <row r="1106" customFormat="false" ht="15" hidden="false" customHeight="true" outlineLevel="0" collapsed="false">
      <c r="B1106" s="1104" t="str">
        <f aca="false">'Смета Внутр'!B1106</f>
        <v>труба водосточная</v>
      </c>
      <c r="C1106" s="1104" t="str">
        <f aca="false">'Смета Внутр'!C1106</f>
        <v>м.п.</v>
      </c>
      <c r="D1106" s="1109" t="n">
        <f aca="false">'Смета Внутр'!D1106</f>
        <v>11.34</v>
      </c>
      <c r="E1106" s="1104" t="n">
        <f aca="false">'Смета Внутр'!E1106</f>
        <v>300</v>
      </c>
      <c r="F1106" s="1104" t="n">
        <f aca="false">'Смета Внутр'!F1106</f>
        <v>0</v>
      </c>
      <c r="G1106" s="1104" t="n">
        <f aca="false">IF(E1106&gt;F1106,E1106,F1106)</f>
        <v>300</v>
      </c>
      <c r="H1106" s="1104" t="n">
        <f aca="false">'Смета Внутр'!G1106</f>
        <v>3402</v>
      </c>
      <c r="I1106" s="1104" t="n">
        <f aca="false">'Смета Внутр'!H1106</f>
        <v>0</v>
      </c>
      <c r="J1106" s="1109" t="n">
        <f aca="false">'Смета Внутр'!I1106</f>
        <v>0</v>
      </c>
    </row>
    <row r="1107" customFormat="false" ht="15" hidden="true" customHeight="true" outlineLevel="0" collapsed="false">
      <c r="B1107" s="1104" t="str">
        <f aca="false">'Смета Внутр'!B1107</f>
        <v>Монтаж фанеры/osb</v>
      </c>
      <c r="C1107" s="1104" t="str">
        <f aca="false">'Смета Внутр'!C1107</f>
        <v>м2</v>
      </c>
      <c r="D1107" s="1109" t="n">
        <f aca="false">'Смета Внутр'!D1107</f>
        <v>0</v>
      </c>
      <c r="E1107" s="1104" t="n">
        <f aca="false">'Смета Внутр'!E1107</f>
        <v>200</v>
      </c>
      <c r="F1107" s="1104" t="n">
        <f aca="false">'Смета Внутр'!F1107</f>
        <v>0</v>
      </c>
      <c r="G1107" s="1104" t="n">
        <f aca="false">IF(E1107&gt;F1107,E1107,F1107)</f>
        <v>200</v>
      </c>
      <c r="H1107" s="1104" t="n">
        <f aca="false">'Смета Внутр'!G1107</f>
        <v>0</v>
      </c>
      <c r="I1107" s="1104" t="n">
        <f aca="false">'Смета Внутр'!H1107</f>
        <v>0</v>
      </c>
      <c r="J1107" s="1109" t="n">
        <f aca="false">'Смета Внутр'!I1107</f>
        <v>0</v>
      </c>
    </row>
    <row r="1108" customFormat="false" ht="15" hidden="true" customHeight="true" outlineLevel="0" collapsed="false">
      <c r="B1108" s="1104" t="str">
        <f aca="false">'Смета Внутр'!B1108</f>
        <v>монтаж подкладочного ковра</v>
      </c>
      <c r="C1108" s="1104" t="str">
        <f aca="false">'Смета Внутр'!C1108</f>
        <v>м2</v>
      </c>
      <c r="D1108" s="1109" t="n">
        <f aca="false">'Смета Внутр'!D1108</f>
        <v>0</v>
      </c>
      <c r="E1108" s="1104" t="n">
        <f aca="false">'Смета Внутр'!E1108</f>
        <v>150</v>
      </c>
      <c r="F1108" s="1104" t="n">
        <f aca="false">'Смета Внутр'!F1108</f>
        <v>0</v>
      </c>
      <c r="G1108" s="1104" t="n">
        <f aca="false">IF(E1108&gt;F1108,E1108,F1108)</f>
        <v>150</v>
      </c>
      <c r="H1108" s="1104" t="n">
        <f aca="false">'Смета Внутр'!G1108</f>
        <v>0</v>
      </c>
      <c r="I1108" s="1104" t="n">
        <f aca="false">'Смета Внутр'!H1108</f>
        <v>0</v>
      </c>
      <c r="J1108" s="1109" t="n">
        <f aca="false">'Смета Внутр'!I1108</f>
        <v>0</v>
      </c>
    </row>
    <row r="1109" customFormat="false" ht="15" hidden="true" customHeight="true" outlineLevel="0" collapsed="false">
      <c r="B1109" s="1104" t="str">
        <f aca="false">'Смета Внутр'!B1109</f>
        <v>Монтаж мягкой кровли</v>
      </c>
      <c r="C1109" s="1104" t="str">
        <f aca="false">'Смета Внутр'!C1109</f>
        <v>м2</v>
      </c>
      <c r="D1109" s="1109" t="n">
        <f aca="false">'Смета Внутр'!D1109</f>
        <v>0</v>
      </c>
      <c r="E1109" s="1104" t="n">
        <f aca="false">'Смета Внутр'!E1109</f>
        <v>350</v>
      </c>
      <c r="F1109" s="1104" t="n">
        <f aca="false">'Смета Внутр'!F1109</f>
        <v>0</v>
      </c>
      <c r="G1109" s="1104" t="n">
        <f aca="false">IF(E1109&gt;F1109,E1109,F1109)</f>
        <v>350</v>
      </c>
      <c r="H1109" s="1104" t="n">
        <f aca="false">'Смета Внутр'!G1109</f>
        <v>0</v>
      </c>
      <c r="I1109" s="1104" t="n">
        <f aca="false">'Смета Внутр'!H1109</f>
        <v>0</v>
      </c>
      <c r="J1109" s="1109" t="n">
        <f aca="false">'Смета Внутр'!I1109</f>
        <v>0</v>
      </c>
    </row>
    <row r="1110" customFormat="false" ht="15" hidden="false" customHeight="true" outlineLevel="0" collapsed="false">
      <c r="B1110" s="1108" t="str">
        <f aca="false">'Смета Внутр'!B1110</f>
        <v>Итого работы</v>
      </c>
      <c r="C1110" s="1108"/>
      <c r="D1110" s="1108"/>
      <c r="E1110" s="1108"/>
      <c r="F1110" s="1108"/>
      <c r="G1110" s="1108"/>
      <c r="H1110" s="1104" t="n">
        <f aca="false">'Смета Внутр'!G1110</f>
        <v>0</v>
      </c>
      <c r="I1110" s="1104" t="n">
        <f aca="false">'Смета Внутр'!H1110</f>
        <v>0</v>
      </c>
      <c r="J1110" s="1109" t="n">
        <f aca="false">'Смета Внутр'!I1110</f>
        <v>0</v>
      </c>
    </row>
    <row r="1111" customFormat="false" ht="15" hidden="true" customHeight="true" outlineLevel="0" collapsed="false">
      <c r="B1111" s="1111" t="str">
        <f aca="false">'Смета Внутр'!B1111</f>
        <v>Кровля двускатная</v>
      </c>
      <c r="C1111" s="1111"/>
      <c r="D1111" s="1111"/>
      <c r="H1111" s="118" t="n">
        <f aca="false">'Смета Внутр'!G1111</f>
        <v>0</v>
      </c>
      <c r="I1111" s="118" t="n">
        <f aca="false">'Смета Внутр'!H1111</f>
        <v>1</v>
      </c>
      <c r="J1111" s="1102" t="n">
        <f aca="false">'Смета Внутр'!I1111</f>
        <v>1</v>
      </c>
    </row>
    <row r="1112" customFormat="false" ht="15" hidden="true" customHeight="true" outlineLevel="0" collapsed="false">
      <c r="B1112" s="118" t="str">
        <f aca="false">'Смета Внутр'!B1112</f>
        <v>Материалы</v>
      </c>
      <c r="H1112" s="118" t="n">
        <f aca="false">'Смета Внутр'!G1112</f>
        <v>0</v>
      </c>
      <c r="I1112" s="118" t="n">
        <f aca="false">'Смета Внутр'!H1112</f>
        <v>1</v>
      </c>
      <c r="J1112" s="1102" t="n">
        <f aca="false">'Смета Внутр'!I1112</f>
        <v>1</v>
      </c>
    </row>
    <row r="1113" customFormat="false" ht="15" hidden="true" customHeight="true" outlineLevel="0" collapsed="false">
      <c r="B1113" s="1104" t="str">
        <f aca="false">'Смета Внутр'!B1113</f>
        <v>нет</v>
      </c>
      <c r="C1113" s="1104" t="str">
        <f aca="false">'Смета Внутр'!C1113</f>
        <v>м3</v>
      </c>
      <c r="D1113" s="1109" t="n">
        <f aca="false">'Смета Внутр'!D1113</f>
        <v>0</v>
      </c>
      <c r="E1113" s="1104" t="n">
        <f aca="false">'Смета Внутр'!E1113</f>
        <v>0</v>
      </c>
      <c r="F1113" s="1104" t="n">
        <f aca="false">'Смета Внутр'!F1113</f>
        <v>0</v>
      </c>
      <c r="G1113" s="1104" t="n">
        <f aca="false">IF(E1113&gt;F1113,E1113,F1113)</f>
        <v>0</v>
      </c>
      <c r="H1113" s="1104" t="n">
        <f aca="false">'Смета Внутр'!G1113</f>
        <v>0</v>
      </c>
      <c r="I1113" s="1104" t="n">
        <f aca="false">'Смета Внутр'!H1113</f>
        <v>0</v>
      </c>
      <c r="J1113" s="1109" t="n">
        <f aca="false">'Смета Внутр'!I1113</f>
        <v>0</v>
      </c>
    </row>
    <row r="1114" customFormat="false" ht="15" hidden="true" customHeight="true" outlineLevel="0" collapsed="false">
      <c r="B1114" s="1104" t="str">
        <f aca="false">'Смета Внутр'!B1114</f>
        <v>Болты анкерные с гайкой 12,0 х 280          </v>
      </c>
      <c r="C1114" s="1104" t="str">
        <f aca="false">'Смета Внутр'!C1114</f>
        <v>шт</v>
      </c>
      <c r="D1114" s="1109" t="n">
        <f aca="false">'Смета Внутр'!D1114</f>
        <v>36.9990475974507</v>
      </c>
      <c r="E1114" s="1104" t="n">
        <f aca="false">'Смета Внутр'!E1114</f>
        <v>27.1</v>
      </c>
      <c r="F1114" s="1104" t="n">
        <f aca="false">'Смета Внутр'!F1114</f>
        <v>0</v>
      </c>
      <c r="G1114" s="1104" t="n">
        <f aca="false">IF(E1114&gt;F1114,E1114,F1114)</f>
        <v>27.1</v>
      </c>
      <c r="H1114" s="1104" t="n">
        <f aca="false">'Смета Внутр'!G1114</f>
        <v>1002.67418989091</v>
      </c>
      <c r="I1114" s="1104" t="n">
        <f aca="false">'Смета Внутр'!H1114</f>
        <v>1002.67418989091</v>
      </c>
      <c r="J1114" s="1109" t="n">
        <f aca="false">'Смета Внутр'!I1114</f>
        <v>1002.67418989091</v>
      </c>
    </row>
    <row r="1115" customFormat="false" ht="15" hidden="true" customHeight="true" outlineLevel="0" collapsed="false">
      <c r="B1115" s="1104" t="str">
        <f aca="false">'Смета Внутр'!B1115</f>
        <v>Доска сухая, 200*50мм</v>
      </c>
      <c r="C1115" s="1104" t="str">
        <f aca="false">'Смета Внутр'!C1115</f>
        <v>м3</v>
      </c>
      <c r="D1115" s="1109" t="n">
        <f aca="false">'Смета Внутр'!D1115</f>
        <v>1.3582236137642</v>
      </c>
      <c r="E1115" s="1104" t="n">
        <f aca="false">'Смета Внутр'!E1115</f>
        <v>9000</v>
      </c>
      <c r="F1115" s="1104" t="n">
        <f aca="false">'Смета Внутр'!F1115</f>
        <v>0</v>
      </c>
      <c r="G1115" s="1104" t="n">
        <f aca="false">IF(E1115&gt;F1115,E1115,F1115)</f>
        <v>9000</v>
      </c>
      <c r="H1115" s="1104" t="n">
        <f aca="false">'Смета Внутр'!G1115</f>
        <v>12224.0125238778</v>
      </c>
      <c r="I1115" s="1104" t="n">
        <f aca="false">'Смета Внутр'!H1115</f>
        <v>12224.0125238778</v>
      </c>
      <c r="J1115" s="1109" t="n">
        <f aca="false">'Смета Внутр'!I1115</f>
        <v>12224.0125238778</v>
      </c>
    </row>
    <row r="1116" customFormat="false" ht="15" hidden="true" customHeight="true" outlineLevel="0" collapsed="false">
      <c r="B1116" s="1104" t="str">
        <f aca="false">'Смета Внутр'!B1116</f>
        <v>бугель, доска </v>
      </c>
      <c r="C1116" s="1104" t="str">
        <f aca="false">'Смета Внутр'!C1116</f>
        <v>м3</v>
      </c>
      <c r="D1116" s="1109" t="n">
        <f aca="false">'Смета Внутр'!D1116</f>
        <v>0.624</v>
      </c>
      <c r="E1116" s="1104" t="n">
        <f aca="false">'Смета Внутр'!E1116</f>
        <v>9000</v>
      </c>
      <c r="F1116" s="1104" t="n">
        <f aca="false">'Смета Внутр'!F1116</f>
        <v>0</v>
      </c>
      <c r="G1116" s="1104" t="n">
        <f aca="false">IF(E1116&gt;F1116,E1116,F1116)</f>
        <v>9000</v>
      </c>
      <c r="H1116" s="1104" t="n">
        <f aca="false">'Смета Внутр'!G1116</f>
        <v>5616</v>
      </c>
      <c r="I1116" s="1104" t="n">
        <f aca="false">'Смета Внутр'!H1116</f>
        <v>5616</v>
      </c>
      <c r="J1116" s="1109" t="n">
        <f aca="false">'Смета Внутр'!I1116</f>
        <v>5616</v>
      </c>
    </row>
    <row r="1117" customFormat="false" ht="15" hidden="true" customHeight="true" outlineLevel="0" collapsed="false">
      <c r="B1117" s="1104" t="str">
        <f aca="false">'Смета Внутр'!B1117</f>
        <v>стойка под конек</v>
      </c>
      <c r="C1117" s="1104" t="str">
        <f aca="false">'Смета Внутр'!C1117</f>
        <v>м3</v>
      </c>
      <c r="D1117" s="1109" t="n">
        <f aca="false">'Смета Внутр'!D1117</f>
        <v>0.75</v>
      </c>
      <c r="E1117" s="1104" t="n">
        <f aca="false">'Смета Внутр'!E1117</f>
        <v>9000</v>
      </c>
      <c r="F1117" s="1104" t="n">
        <f aca="false">'Смета Внутр'!F1117</f>
        <v>0</v>
      </c>
      <c r="G1117" s="1104" t="n">
        <f aca="false">IF(E1117&gt;F1117,E1117,F1117)</f>
        <v>9000</v>
      </c>
      <c r="H1117" s="1104" t="n">
        <f aca="false">'Смета Внутр'!G1117</f>
        <v>6750</v>
      </c>
      <c r="I1117" s="1104" t="n">
        <f aca="false">'Смета Внутр'!H1117</f>
        <v>6750</v>
      </c>
      <c r="J1117" s="1109" t="n">
        <f aca="false">'Смета Внутр'!I1117</f>
        <v>6750</v>
      </c>
    </row>
    <row r="1118" customFormat="false" ht="15" hidden="true" customHeight="true" outlineLevel="0" collapsed="false">
      <c r="B1118" s="1104" t="str">
        <f aca="false">'Смета Внутр'!B1118</f>
        <v>Сосна влаж,100*25мм</v>
      </c>
      <c r="C1118" s="1104" t="str">
        <f aca="false">'Смета Внутр'!C1118</f>
        <v>м3</v>
      </c>
      <c r="D1118" s="1109" t="n">
        <f aca="false">'Смета Внутр'!D1118</f>
        <v>1.05780913567754</v>
      </c>
      <c r="E1118" s="1104" t="n">
        <f aca="false">'Смета Внутр'!E1118</f>
        <v>6500</v>
      </c>
      <c r="F1118" s="1104" t="n">
        <f aca="false">'Смета Внутр'!F1118</f>
        <v>0</v>
      </c>
      <c r="G1118" s="1104" t="n">
        <f aca="false">IF(E1118&gt;F1118,E1118,F1118)</f>
        <v>6500</v>
      </c>
      <c r="H1118" s="1104" t="n">
        <f aca="false">'Смета Внутр'!G1118</f>
        <v>6875.75938190401</v>
      </c>
      <c r="I1118" s="1104" t="n">
        <f aca="false">'Смета Внутр'!H1118</f>
        <v>6875.75938190401</v>
      </c>
      <c r="J1118" s="1109" t="n">
        <f aca="false">'Смета Внутр'!I1118</f>
        <v>6875.75938190401</v>
      </c>
    </row>
    <row r="1119" customFormat="false" ht="15" hidden="true" customHeight="true" outlineLevel="0" collapsed="false">
      <c r="B1119" s="1104" t="str">
        <f aca="false">'Смета Внутр'!B1119</f>
        <v>Сосна влаж, 50*50мм</v>
      </c>
      <c r="C1119" s="1104" t="str">
        <f aca="false">'Смета Внутр'!C1119</f>
        <v>шт</v>
      </c>
      <c r="D1119" s="1109" t="n">
        <f aca="false">'Смета Внутр'!D1119</f>
        <v>0.470137393634462</v>
      </c>
      <c r="E1119" s="1104" t="n">
        <f aca="false">'Смета Внутр'!E1119</f>
        <v>6500</v>
      </c>
      <c r="F1119" s="1104" t="n">
        <f aca="false">'Смета Внутр'!F1119</f>
        <v>0</v>
      </c>
      <c r="G1119" s="1104" t="n">
        <f aca="false">IF(E1119&gt;F1119,E1119,F1119)</f>
        <v>6500</v>
      </c>
      <c r="H1119" s="1104" t="n">
        <f aca="false">'Смета Внутр'!G1119</f>
        <v>3055.893058624</v>
      </c>
      <c r="I1119" s="1104" t="n">
        <f aca="false">'Смета Внутр'!H1119</f>
        <v>3055.893058624</v>
      </c>
      <c r="J1119" s="1109" t="n">
        <f aca="false">'Смета Внутр'!I1119</f>
        <v>3055.893058624</v>
      </c>
    </row>
    <row r="1120" customFormat="false" ht="15" hidden="true" customHeight="true" outlineLevel="0" collapsed="false">
      <c r="B1120" s="1104" t="str">
        <f aca="false">'Смета Внутр'!B1120</f>
        <v>Нет</v>
      </c>
      <c r="C1120" s="1104" t="str">
        <f aca="false">'Смета Внутр'!C1120</f>
        <v>м.п.</v>
      </c>
      <c r="D1120" s="1109" t="n">
        <f aca="false">'Смета Внутр'!D1120</f>
        <v>0</v>
      </c>
      <c r="E1120" s="1104" t="n">
        <f aca="false">'Смета Внутр'!E1120</f>
        <v>0</v>
      </c>
      <c r="F1120" s="1104" t="n">
        <f aca="false">'Смета Внутр'!F1120</f>
        <v>0</v>
      </c>
      <c r="G1120" s="1104" t="n">
        <f aca="false">IF(E1120&gt;F1120,E1120,F1120)</f>
        <v>0</v>
      </c>
      <c r="H1120" s="1104" t="n">
        <f aca="false">'Смета Внутр'!G1120</f>
        <v>0</v>
      </c>
      <c r="I1120" s="1104" t="n">
        <f aca="false">'Смета Внутр'!H1120</f>
        <v>0</v>
      </c>
      <c r="J1120" s="1109" t="n">
        <f aca="false">'Смета Внутр'!I1120</f>
        <v>0</v>
      </c>
    </row>
    <row r="1121" customFormat="false" ht="15" hidden="true" customHeight="true" outlineLevel="0" collapsed="false">
      <c r="B1121" s="1104" t="str">
        <f aca="false">'Смета Внутр'!B1121</f>
        <v>Гидрокомпенсатор</v>
      </c>
      <c r="C1121" s="1104" t="str">
        <f aca="false">'Смета Внутр'!C1121</f>
        <v>шт.</v>
      </c>
      <c r="D1121" s="1109" t="n">
        <f aca="false">'Смета Внутр'!D1121</f>
        <v>0</v>
      </c>
      <c r="E1121" s="1104" t="n">
        <f aca="false">'Смета Внутр'!E1121</f>
        <v>450</v>
      </c>
      <c r="F1121" s="1104" t="n">
        <f aca="false">'Смета Внутр'!F1121</f>
        <v>0</v>
      </c>
      <c r="G1121" s="1104" t="n">
        <f aca="false">IF(E1121&gt;F1121,E1121,F1121)</f>
        <v>450</v>
      </c>
      <c r="H1121" s="1104" t="n">
        <f aca="false">'Смета Внутр'!G1121</f>
        <v>0</v>
      </c>
      <c r="I1121" s="1104" t="n">
        <f aca="false">'Смета Внутр'!H1121</f>
        <v>0</v>
      </c>
      <c r="J1121" s="1109" t="n">
        <f aca="false">'Смета Внутр'!I1121</f>
        <v>0</v>
      </c>
    </row>
    <row r="1122" customFormat="false" ht="15" hidden="true" customHeight="true" outlineLevel="0" collapsed="false">
      <c r="B1122" s="1104" t="str">
        <f aca="false">'Смета Внутр'!B1122</f>
        <v>Универсальная Optima C</v>
      </c>
      <c r="C1122" s="1104" t="str">
        <f aca="false">'Смета Внутр'!C1122</f>
        <v>м2</v>
      </c>
      <c r="D1122" s="1109" t="n">
        <f aca="false">'Смета Внутр'!D1122</f>
        <v>126.937096281305</v>
      </c>
      <c r="E1122" s="1104" t="n">
        <f aca="false">'Смета Внутр'!E1122</f>
        <v>19</v>
      </c>
      <c r="F1122" s="1104" t="n">
        <f aca="false">'Смета Внутр'!F1122</f>
        <v>0</v>
      </c>
      <c r="G1122" s="1104" t="n">
        <f aca="false">IF(E1122&gt;F1122,E1122,F1122)</f>
        <v>19</v>
      </c>
      <c r="H1122" s="1104" t="n">
        <f aca="false">'Смета Внутр'!G1122</f>
        <v>2411.80482934479</v>
      </c>
      <c r="I1122" s="1104" t="n">
        <f aca="false">'Смета Внутр'!H1122</f>
        <v>2411.80482934479</v>
      </c>
      <c r="J1122" s="1109" t="n">
        <f aca="false">'Смета Внутр'!I1122</f>
        <v>2411.80482934479</v>
      </c>
    </row>
    <row r="1123" customFormat="false" ht="15" hidden="true" customHeight="true" outlineLevel="0" collapsed="false">
      <c r="B1123" s="1104" t="str">
        <f aca="false">'Смета Внутр'!B1123</f>
        <v>Универсальная Optima C</v>
      </c>
      <c r="C1123" s="1104" t="str">
        <f aca="false">'Смета Внутр'!C1123</f>
        <v>м2</v>
      </c>
      <c r="D1123" s="1109" t="n">
        <f aca="false">'Смета Внутр'!D1123</f>
        <v>116.359004924529</v>
      </c>
      <c r="E1123" s="1104" t="n">
        <f aca="false">'Смета Внутр'!E1123</f>
        <v>20</v>
      </c>
      <c r="F1123" s="1104" t="n">
        <f aca="false">'Смета Внутр'!F1123</f>
        <v>0</v>
      </c>
      <c r="G1123" s="1104" t="n">
        <f aca="false">IF(E1123&gt;F1123,E1123,F1123)</f>
        <v>20</v>
      </c>
      <c r="H1123" s="1104" t="n">
        <f aca="false">'Смета Внутр'!G1123</f>
        <v>2327.18009849059</v>
      </c>
      <c r="I1123" s="1104" t="n">
        <f aca="false">'Смета Внутр'!H1123</f>
        <v>2327.18009849059</v>
      </c>
      <c r="J1123" s="1109" t="n">
        <f aca="false">'Смета Внутр'!I1123</f>
        <v>2327.18009849059</v>
      </c>
    </row>
    <row r="1124" customFormat="false" ht="15" hidden="true" customHeight="true" outlineLevel="0" collapsed="false">
      <c r="B1124" s="1104" t="str">
        <f aca="false">'Смета Внутр'!B1124</f>
        <v>Плитный,28кг/м3, технониколь, 100мм</v>
      </c>
      <c r="C1124" s="1104" t="str">
        <f aca="false">'Смета Внутр'!C1124</f>
        <v>м3</v>
      </c>
      <c r="D1124" s="1109" t="n">
        <f aca="false">'Смета Внутр'!D1124</f>
        <v>8.60274787268924</v>
      </c>
      <c r="E1124" s="1104" t="n">
        <f aca="false">'Смета Внутр'!E1124</f>
        <v>1700</v>
      </c>
      <c r="F1124" s="1104" t="n">
        <f aca="false">'Смета Внутр'!F1124</f>
        <v>0</v>
      </c>
      <c r="G1124" s="1104" t="n">
        <f aca="false">IF(E1124&gt;F1124,E1124,F1124)</f>
        <v>1700</v>
      </c>
      <c r="H1124" s="1104" t="n">
        <f aca="false">'Смета Внутр'!G1124</f>
        <v>14624.6713835717</v>
      </c>
      <c r="I1124" s="1104" t="n">
        <f aca="false">'Смета Внутр'!H1124</f>
        <v>14624.6713835717</v>
      </c>
      <c r="J1124" s="1109" t="n">
        <f aca="false">'Смета Внутр'!I1124</f>
        <v>14624.6713835717</v>
      </c>
    </row>
    <row r="1125" customFormat="false" ht="15" hidden="true" customHeight="true" outlineLevel="0" collapsed="false">
      <c r="B1125" s="1104" t="str">
        <f aca="false">'Смета Внутр'!B1125</f>
        <v>Металлочерепица</v>
      </c>
      <c r="C1125" s="1104" t="str">
        <f aca="false">'Смета Внутр'!C1125</f>
        <v>м2</v>
      </c>
      <c r="D1125" s="1109" t="n">
        <f aca="false">'Смета Внутр'!D1125</f>
        <v>105.780913567754</v>
      </c>
      <c r="E1125" s="1104" t="n">
        <f aca="false">'Смета Внутр'!E1125</f>
        <v>250</v>
      </c>
      <c r="F1125" s="1104" t="n">
        <f aca="false">'Смета Внутр'!F1125</f>
        <v>0</v>
      </c>
      <c r="G1125" s="1104" t="n">
        <f aca="false">IF(E1125&gt;F1125,E1125,F1125)</f>
        <v>250</v>
      </c>
      <c r="H1125" s="1104" t="n">
        <f aca="false">'Смета Внутр'!G1125</f>
        <v>26445.2283919385</v>
      </c>
      <c r="I1125" s="1104" t="n">
        <f aca="false">'Смета Внутр'!H1125</f>
        <v>26445.2283919385</v>
      </c>
      <c r="J1125" s="1109" t="n">
        <f aca="false">'Смета Внутр'!I1125</f>
        <v>26445.2283919385</v>
      </c>
    </row>
    <row r="1126" customFormat="false" ht="15" hidden="true" customHeight="true" outlineLevel="0" collapsed="false">
      <c r="B1126" s="1104" t="str">
        <f aca="false">'Смета Внутр'!B1126</f>
        <v>Карнизная планка</v>
      </c>
      <c r="C1126" s="1104" t="str">
        <f aca="false">'Смета Внутр'!C1126</f>
        <v>м.п.</v>
      </c>
      <c r="D1126" s="1109" t="n">
        <f aca="false">'Смета Внутр'!D1126</f>
        <v>18</v>
      </c>
      <c r="E1126" s="1104" t="n">
        <f aca="false">'Смета Внутр'!E1126</f>
        <v>190</v>
      </c>
      <c r="F1126" s="1104" t="n">
        <f aca="false">'Смета Внутр'!F1126</f>
        <v>0</v>
      </c>
      <c r="G1126" s="1104" t="n">
        <f aca="false">IF(E1126&gt;F1126,E1126,F1126)</f>
        <v>190</v>
      </c>
      <c r="H1126" s="1104" t="n">
        <f aca="false">'Смета Внутр'!G1126</f>
        <v>3420</v>
      </c>
      <c r="I1126" s="1104" t="n">
        <f aca="false">'Смета Внутр'!H1126</f>
        <v>3420</v>
      </c>
      <c r="J1126" s="1109" t="n">
        <f aca="false">'Смета Внутр'!I1126</f>
        <v>3420</v>
      </c>
    </row>
    <row r="1127" customFormat="false" ht="15" hidden="true" customHeight="true" outlineLevel="0" collapsed="false">
      <c r="B1127" s="1104" t="str">
        <f aca="false">'Смета Внутр'!B1127</f>
        <v>Торцевая планка</v>
      </c>
      <c r="C1127" s="1104" t="str">
        <f aca="false">'Смета Внутр'!C1127</f>
        <v>м.п.</v>
      </c>
      <c r="D1127" s="1109" t="n">
        <f aca="false">'Смета Внутр'!D1127</f>
        <v>23.5068696817231</v>
      </c>
      <c r="E1127" s="1104" t="n">
        <f aca="false">'Смета Внутр'!E1127</f>
        <v>190</v>
      </c>
      <c r="F1127" s="1104" t="n">
        <f aca="false">'Смета Внутр'!F1127</f>
        <v>0</v>
      </c>
      <c r="G1127" s="1104" t="n">
        <f aca="false">IF(E1127&gt;F1127,E1127,F1127)</f>
        <v>190</v>
      </c>
      <c r="H1127" s="1104" t="n">
        <f aca="false">'Смета Внутр'!G1127</f>
        <v>4466.30523952739</v>
      </c>
      <c r="I1127" s="1104" t="n">
        <f aca="false">'Смета Внутр'!H1127</f>
        <v>4466.30523952739</v>
      </c>
      <c r="J1127" s="1109" t="n">
        <f aca="false">'Смета Внутр'!I1127</f>
        <v>4466.30523952739</v>
      </c>
    </row>
    <row r="1128" customFormat="false" ht="15" hidden="true" customHeight="true" outlineLevel="0" collapsed="false">
      <c r="B1128" s="1104" t="str">
        <f aca="false">'Смета Внутр'!B1128</f>
        <v>Конек</v>
      </c>
      <c r="C1128" s="1104" t="str">
        <f aca="false">'Смета Внутр'!C1128</f>
        <v>м.п.</v>
      </c>
      <c r="D1128" s="1109" t="n">
        <f aca="false">'Смета Внутр'!D1128</f>
        <v>9</v>
      </c>
      <c r="E1128" s="1104" t="n">
        <f aca="false">'Смета Внутр'!E1128</f>
        <v>200</v>
      </c>
      <c r="F1128" s="1104" t="n">
        <f aca="false">'Смета Внутр'!F1128</f>
        <v>0</v>
      </c>
      <c r="G1128" s="1104" t="n">
        <f aca="false">IF(E1128&gt;F1128,E1128,F1128)</f>
        <v>200</v>
      </c>
      <c r="H1128" s="1104" t="n">
        <f aca="false">'Смета Внутр'!G1128</f>
        <v>1800</v>
      </c>
      <c r="I1128" s="1104" t="n">
        <f aca="false">'Смета Внутр'!H1128</f>
        <v>1800</v>
      </c>
      <c r="J1128" s="1109" t="n">
        <f aca="false">'Смета Внутр'!I1128</f>
        <v>1800</v>
      </c>
    </row>
    <row r="1129" customFormat="false" ht="15" hidden="true" customHeight="true" outlineLevel="0" collapsed="false">
      <c r="B1129" s="1104" t="str">
        <f aca="false">'Смета Внутр'!B1129</f>
        <v>ондулин</v>
      </c>
      <c r="C1129" s="1104" t="str">
        <f aca="false">'Смета Внутр'!C1129</f>
        <v>м2</v>
      </c>
      <c r="D1129" s="1109" t="n">
        <f aca="false">'Смета Внутр'!D1129</f>
        <v>0</v>
      </c>
      <c r="E1129" s="1104" t="n">
        <f aca="false">'Смета Внутр'!E1129</f>
        <v>180</v>
      </c>
      <c r="F1129" s="1104" t="n">
        <f aca="false">'Смета Внутр'!F1129</f>
        <v>0</v>
      </c>
      <c r="G1129" s="1104" t="n">
        <f aca="false">IF(E1129&gt;F1129,E1129,F1129)</f>
        <v>180</v>
      </c>
      <c r="H1129" s="1104" t="n">
        <f aca="false">'Смета Внутр'!G1129</f>
        <v>0</v>
      </c>
      <c r="I1129" s="1104" t="n">
        <f aca="false">'Смета Внутр'!H1129</f>
        <v>0</v>
      </c>
      <c r="J1129" s="1109" t="n">
        <f aca="false">'Смета Внутр'!I1129</f>
        <v>0</v>
      </c>
    </row>
    <row r="1130" customFormat="false" ht="15" hidden="true" customHeight="true" outlineLevel="0" collapsed="false">
      <c r="B1130" s="1104" t="str">
        <f aca="false">'Смета Внутр'!B1130</f>
        <v>Карнизная планка</v>
      </c>
      <c r="C1130" s="1104" t="str">
        <f aca="false">'Смета Внутр'!C1130</f>
        <v>м.п.</v>
      </c>
      <c r="D1130" s="1109" t="n">
        <f aca="false">'Смета Внутр'!D1130</f>
        <v>0</v>
      </c>
      <c r="E1130" s="1104" t="n">
        <f aca="false">'Смета Внутр'!E1130</f>
        <v>190</v>
      </c>
      <c r="F1130" s="1104" t="n">
        <f aca="false">'Смета Внутр'!F1130</f>
        <v>0</v>
      </c>
      <c r="G1130" s="1104" t="n">
        <f aca="false">IF(E1130&gt;F1130,E1130,F1130)</f>
        <v>190</v>
      </c>
      <c r="H1130" s="1104" t="n">
        <f aca="false">'Смета Внутр'!G1130</f>
        <v>0</v>
      </c>
      <c r="I1130" s="1104" t="n">
        <f aca="false">'Смета Внутр'!H1130</f>
        <v>0</v>
      </c>
      <c r="J1130" s="1109" t="n">
        <f aca="false">'Смета Внутр'!I1130</f>
        <v>0</v>
      </c>
    </row>
    <row r="1131" customFormat="false" ht="15" hidden="true" customHeight="true" outlineLevel="0" collapsed="false">
      <c r="B1131" s="1104" t="str">
        <f aca="false">'Смета Внутр'!B1131</f>
        <v>Торцевая планка</v>
      </c>
      <c r="C1131" s="1104" t="str">
        <f aca="false">'Смета Внутр'!C1131</f>
        <v>м.п.</v>
      </c>
      <c r="D1131" s="1109" t="n">
        <f aca="false">'Смета Внутр'!D1131</f>
        <v>0</v>
      </c>
      <c r="E1131" s="1104" t="n">
        <f aca="false">'Смета Внутр'!E1131</f>
        <v>190</v>
      </c>
      <c r="F1131" s="1104" t="n">
        <f aca="false">'Смета Внутр'!F1131</f>
        <v>0</v>
      </c>
      <c r="G1131" s="1104" t="n">
        <f aca="false">IF(E1131&gt;F1131,E1131,F1131)</f>
        <v>190</v>
      </c>
      <c r="H1131" s="1104" t="n">
        <f aca="false">'Смета Внутр'!G1131</f>
        <v>0</v>
      </c>
      <c r="I1131" s="1104" t="n">
        <f aca="false">'Смета Внутр'!H1131</f>
        <v>0</v>
      </c>
      <c r="J1131" s="1109" t="n">
        <f aca="false">'Смета Внутр'!I1131</f>
        <v>0</v>
      </c>
    </row>
    <row r="1132" customFormat="false" ht="15" hidden="true" customHeight="true" outlineLevel="0" collapsed="false">
      <c r="B1132" s="1104" t="str">
        <f aca="false">'Смета Внутр'!B1132</f>
        <v>Конек</v>
      </c>
      <c r="C1132" s="1104" t="str">
        <f aca="false">'Смета Внутр'!C1132</f>
        <v>м.п</v>
      </c>
      <c r="D1132" s="1109" t="n">
        <f aca="false">'Смета Внутр'!D1132</f>
        <v>0</v>
      </c>
      <c r="E1132" s="1104" t="n">
        <f aca="false">'Смета Внутр'!E1132</f>
        <v>200</v>
      </c>
      <c r="F1132" s="1104" t="n">
        <f aca="false">'Смета Внутр'!F1132</f>
        <v>0</v>
      </c>
      <c r="G1132" s="1104" t="n">
        <f aca="false">IF(E1132&gt;F1132,E1132,F1132)</f>
        <v>200</v>
      </c>
      <c r="H1132" s="1104" t="n">
        <f aca="false">'Смета Внутр'!G1132</f>
        <v>0</v>
      </c>
      <c r="I1132" s="1104" t="n">
        <f aca="false">'Смета Внутр'!H1132</f>
        <v>0</v>
      </c>
      <c r="J1132" s="1109" t="n">
        <f aca="false">'Смета Внутр'!I1132</f>
        <v>0</v>
      </c>
    </row>
    <row r="1133" customFormat="false" ht="15" hidden="true" customHeight="true" outlineLevel="0" collapsed="false">
      <c r="B1133" s="1104" t="str">
        <f aca="false">'Смета Внутр'!B1133</f>
        <v>Ендова нижняя</v>
      </c>
      <c r="C1133" s="1104" t="str">
        <f aca="false">'Смета Внутр'!C1133</f>
        <v>м.п.</v>
      </c>
      <c r="D1133" s="1109" t="n">
        <f aca="false">'Смета Внутр'!D1133</f>
        <v>0</v>
      </c>
      <c r="E1133" s="1104" t="n">
        <f aca="false">'Смета Внутр'!E1133</f>
        <v>160</v>
      </c>
      <c r="F1133" s="1104" t="n">
        <f aca="false">'Смета Внутр'!F1133</f>
        <v>0</v>
      </c>
      <c r="G1133" s="1104" t="n">
        <f aca="false">IF(E1133&gt;F1133,E1133,F1133)</f>
        <v>160</v>
      </c>
      <c r="H1133" s="1104" t="n">
        <f aca="false">'Смета Внутр'!G1133</f>
        <v>0</v>
      </c>
      <c r="I1133" s="1104" t="n">
        <f aca="false">'Смета Внутр'!H1133</f>
        <v>0</v>
      </c>
      <c r="J1133" s="1109" t="n">
        <f aca="false">'Смета Внутр'!I1133</f>
        <v>0</v>
      </c>
    </row>
    <row r="1134" customFormat="false" ht="15" hidden="true" customHeight="true" outlineLevel="0" collapsed="false">
      <c r="B1134" s="1104" t="str">
        <f aca="false">'Смета Внутр'!B1134</f>
        <v>Ендова верхняя</v>
      </c>
      <c r="C1134" s="1104" t="str">
        <f aca="false">'Смета Внутр'!C1134</f>
        <v>м.п.</v>
      </c>
      <c r="D1134" s="1109" t="n">
        <f aca="false">'Смета Внутр'!D1134</f>
        <v>0</v>
      </c>
      <c r="E1134" s="1104" t="n">
        <f aca="false">'Смета Внутр'!E1134</f>
        <v>190</v>
      </c>
      <c r="F1134" s="1104" t="n">
        <f aca="false">'Смета Внутр'!F1134</f>
        <v>0</v>
      </c>
      <c r="G1134" s="1104" t="n">
        <f aca="false">IF(E1134&gt;F1134,E1134,F1134)</f>
        <v>190</v>
      </c>
      <c r="H1134" s="1104" t="n">
        <f aca="false">'Смета Внутр'!G1134</f>
        <v>0</v>
      </c>
      <c r="I1134" s="1104" t="n">
        <f aca="false">'Смета Внутр'!H1134</f>
        <v>0</v>
      </c>
      <c r="J1134" s="1109" t="n">
        <f aca="false">'Смета Внутр'!I1134</f>
        <v>0</v>
      </c>
    </row>
    <row r="1135" customFormat="false" ht="15" hidden="true" customHeight="true" outlineLevel="0" collapsed="false">
      <c r="B1135" s="1104" t="str">
        <f aca="false">'Смета Внутр'!B1135</f>
        <v>Планка примыкания</v>
      </c>
      <c r="C1135" s="1104" t="str">
        <f aca="false">'Смета Внутр'!C1135</f>
        <v>м.п.</v>
      </c>
      <c r="D1135" s="1109" t="n">
        <f aca="false">'Смета Внутр'!D1135</f>
        <v>0</v>
      </c>
      <c r="E1135" s="1104" t="n">
        <f aca="false">'Смета Внутр'!E1135</f>
        <v>190</v>
      </c>
      <c r="F1135" s="1104" t="n">
        <f aca="false">'Смета Внутр'!F1135</f>
        <v>0</v>
      </c>
      <c r="G1135" s="1104" t="n">
        <f aca="false">IF(E1135&gt;F1135,E1135,F1135)</f>
        <v>190</v>
      </c>
      <c r="H1135" s="1104" t="n">
        <f aca="false">'Смета Внутр'!G1135</f>
        <v>0</v>
      </c>
      <c r="I1135" s="1104" t="n">
        <f aca="false">'Смета Внутр'!H1135</f>
        <v>0</v>
      </c>
      <c r="J1135" s="1109" t="n">
        <f aca="false">'Смета Внутр'!I1135</f>
        <v>0</v>
      </c>
    </row>
    <row r="1136" customFormat="false" ht="15" hidden="true" customHeight="true" outlineLevel="0" collapsed="false">
      <c r="B1136" s="1104" t="str">
        <f aca="false">'Смета Внутр'!B1136</f>
        <v>Крепеж для ондулина</v>
      </c>
      <c r="C1136" s="1104" t="str">
        <f aca="false">'Смета Внутр'!C1136</f>
        <v>шт</v>
      </c>
      <c r="D1136" s="1109" t="n">
        <f aca="false">'Смета Внутр'!D1136</f>
        <v>0</v>
      </c>
      <c r="E1136" s="1104" t="n">
        <f aca="false">'Смета Внутр'!E1136</f>
        <v>4.5</v>
      </c>
      <c r="F1136" s="1104" t="n">
        <f aca="false">'Смета Внутр'!F1136</f>
        <v>0</v>
      </c>
      <c r="G1136" s="1104" t="n">
        <f aca="false">IF(E1136&gt;F1136,E1136,F1136)</f>
        <v>4.5</v>
      </c>
      <c r="H1136" s="1104" t="n">
        <f aca="false">'Смета Внутр'!G1136</f>
        <v>0</v>
      </c>
      <c r="I1136" s="1104" t="n">
        <f aca="false">'Смета Внутр'!H1136</f>
        <v>0</v>
      </c>
      <c r="J1136" s="1109" t="n">
        <f aca="false">'Смета Внутр'!I1136</f>
        <v>0</v>
      </c>
    </row>
    <row r="1137" customFormat="false" ht="15" hidden="true" customHeight="true" outlineLevel="0" collapsed="false">
      <c r="B1137" s="1104" t="str">
        <f aca="false">'Смета Внутр'!B1137</f>
        <v>нет</v>
      </c>
      <c r="C1137" s="1104" t="str">
        <f aca="false">'Смета Внутр'!C1137</f>
        <v>м2</v>
      </c>
      <c r="D1137" s="1109" t="n">
        <f aca="false">'Смета Внутр'!D1137</f>
        <v>116.359004924529</v>
      </c>
      <c r="E1137" s="1104" t="n">
        <f aca="false">'Смета Внутр'!E1137</f>
        <v>0</v>
      </c>
      <c r="F1137" s="1104" t="n">
        <f aca="false">'Смета Внутр'!F1137</f>
        <v>0</v>
      </c>
      <c r="G1137" s="1104" t="n">
        <f aca="false">IF(E1137&gt;F1137,E1137,F1137)</f>
        <v>0</v>
      </c>
      <c r="H1137" s="1104" t="n">
        <f aca="false">'Смета Внутр'!G1137</f>
        <v>0</v>
      </c>
      <c r="I1137" s="1104" t="n">
        <f aca="false">'Смета Внутр'!H1137</f>
        <v>0</v>
      </c>
      <c r="J1137" s="1109" t="n">
        <f aca="false">'Смета Внутр'!I1137</f>
        <v>0</v>
      </c>
    </row>
    <row r="1138" customFormat="false" ht="15" hidden="true" customHeight="true" outlineLevel="0" collapsed="false">
      <c r="B1138" s="1104" t="str">
        <f aca="false">'Смета Внутр'!B1138</f>
        <v>Рядовая черепица</v>
      </c>
      <c r="C1138" s="1104" t="str">
        <f aca="false">'Смета Внутр'!C1138</f>
        <v>м2</v>
      </c>
      <c r="D1138" s="1109" t="n">
        <f aca="false">'Смета Внутр'!D1138</f>
        <v>0</v>
      </c>
      <c r="E1138" s="1104" t="n">
        <f aca="false">'Смета Внутр'!E1138</f>
        <v>360</v>
      </c>
      <c r="F1138" s="1104" t="n">
        <f aca="false">'Смета Внутр'!F1138</f>
        <v>0</v>
      </c>
      <c r="G1138" s="1104" t="n">
        <f aca="false">IF(E1138&gt;F1138,E1138,F1138)</f>
        <v>360</v>
      </c>
      <c r="H1138" s="1104" t="n">
        <f aca="false">'Смета Внутр'!G1138</f>
        <v>0</v>
      </c>
      <c r="I1138" s="1104" t="n">
        <f aca="false">'Смета Внутр'!H1138</f>
        <v>0</v>
      </c>
      <c r="J1138" s="1109" t="n">
        <f aca="false">'Смета Внутр'!I1138</f>
        <v>0</v>
      </c>
    </row>
    <row r="1139" customFormat="false" ht="15" hidden="true" customHeight="true" outlineLevel="0" collapsed="false">
      <c r="B1139" s="1104" t="str">
        <f aca="false">'Смета Внутр'!B1139</f>
        <v>Металл оцинк защита (карниз)</v>
      </c>
      <c r="C1139" s="1104" t="str">
        <f aca="false">'Смета Внутр'!C1139</f>
        <v>м.п.</v>
      </c>
      <c r="D1139" s="1109" t="n">
        <f aca="false">'Смета Внутр'!D1139</f>
        <v>0</v>
      </c>
      <c r="E1139" s="1104" t="n">
        <f aca="false">'Смета Внутр'!E1139</f>
        <v>200</v>
      </c>
      <c r="F1139" s="1104" t="n">
        <f aca="false">'Смета Внутр'!F1139</f>
        <v>0</v>
      </c>
      <c r="G1139" s="1104" t="n">
        <f aca="false">IF(E1139&gt;F1139,E1139,F1139)</f>
        <v>200</v>
      </c>
      <c r="H1139" s="1104" t="n">
        <f aca="false">'Смета Внутр'!G1139</f>
        <v>0</v>
      </c>
      <c r="I1139" s="1104" t="n">
        <f aca="false">'Смета Внутр'!H1139</f>
        <v>0</v>
      </c>
      <c r="J1139" s="1109" t="n">
        <f aca="false">'Смета Внутр'!I1139</f>
        <v>0</v>
      </c>
    </row>
    <row r="1140" customFormat="false" ht="15" hidden="true" customHeight="true" outlineLevel="0" collapsed="false">
      <c r="B1140" s="1104" t="str">
        <f aca="false">'Смета Внутр'!B1140</f>
        <v>Подкладочный ковер</v>
      </c>
      <c r="C1140" s="1104" t="str">
        <f aca="false">'Смета Внутр'!C1140</f>
        <v>м.п.</v>
      </c>
      <c r="D1140" s="1109" t="n">
        <f aca="false">'Смета Внутр'!D1140</f>
        <v>0</v>
      </c>
      <c r="E1140" s="1104" t="n">
        <f aca="false">'Смета Внутр'!E1140</f>
        <v>220</v>
      </c>
      <c r="F1140" s="1104" t="n">
        <f aca="false">'Смета Внутр'!F1140</f>
        <v>0</v>
      </c>
      <c r="G1140" s="1104" t="n">
        <f aca="false">IF(E1140&gt;F1140,E1140,F1140)</f>
        <v>220</v>
      </c>
      <c r="H1140" s="1104" t="n">
        <f aca="false">'Смета Внутр'!G1140</f>
        <v>0</v>
      </c>
      <c r="I1140" s="1104" t="n">
        <f aca="false">'Смета Внутр'!H1140</f>
        <v>0</v>
      </c>
      <c r="J1140" s="1109" t="n">
        <f aca="false">'Смета Внутр'!I1140</f>
        <v>0</v>
      </c>
    </row>
    <row r="1141" customFormat="false" ht="15" hidden="true" customHeight="true" outlineLevel="0" collapsed="false">
      <c r="B1141" s="1104" t="str">
        <f aca="false">'Смета Внутр'!B1141</f>
        <v>Карнизная самоклеющаяся черепица</v>
      </c>
      <c r="C1141" s="1104" t="str">
        <f aca="false">'Смета Внутр'!C1141</f>
        <v>м.п.</v>
      </c>
      <c r="D1141" s="1109" t="n">
        <f aca="false">'Смета Внутр'!D1141</f>
        <v>0</v>
      </c>
      <c r="E1141" s="1104" t="n">
        <f aca="false">'Смета Внутр'!E1141</f>
        <v>220</v>
      </c>
      <c r="F1141" s="1104" t="n">
        <f aca="false">'Смета Внутр'!F1141</f>
        <v>0</v>
      </c>
      <c r="G1141" s="1104" t="n">
        <f aca="false">IF(E1141&gt;F1141,E1141,F1141)</f>
        <v>220</v>
      </c>
      <c r="H1141" s="1104" t="n">
        <f aca="false">'Смета Внутр'!G1141</f>
        <v>0</v>
      </c>
      <c r="I1141" s="1104" t="n">
        <f aca="false">'Смета Внутр'!H1141</f>
        <v>0</v>
      </c>
      <c r="J1141" s="1109" t="n">
        <f aca="false">'Смета Внутр'!I1141</f>
        <v>0</v>
      </c>
    </row>
    <row r="1142" customFormat="false" ht="15" hidden="true" customHeight="true" outlineLevel="0" collapsed="false">
      <c r="B1142" s="1104" t="str">
        <f aca="false">'Смета Внутр'!B1142</f>
        <v>Спец ковер ендова нижняя</v>
      </c>
      <c r="C1142" s="1104" t="str">
        <f aca="false">'Смета Внутр'!C1142</f>
        <v>м.п.</v>
      </c>
      <c r="D1142" s="1109" t="n">
        <f aca="false">'Смета Внутр'!D1142</f>
        <v>0</v>
      </c>
      <c r="E1142" s="1104" t="n">
        <f aca="false">'Смета Внутр'!E1142</f>
        <v>200</v>
      </c>
      <c r="F1142" s="1104" t="n">
        <f aca="false">'Смета Внутр'!F1142</f>
        <v>0</v>
      </c>
      <c r="G1142" s="1104" t="n">
        <f aca="false">IF(E1142&gt;F1142,E1142,F1142)</f>
        <v>200</v>
      </c>
      <c r="H1142" s="1104" t="n">
        <f aca="false">'Смета Внутр'!G1142</f>
        <v>0</v>
      </c>
      <c r="I1142" s="1104" t="n">
        <f aca="false">'Смета Внутр'!H1142</f>
        <v>0</v>
      </c>
      <c r="J1142" s="1109" t="n">
        <f aca="false">'Смета Внутр'!I1142</f>
        <v>0</v>
      </c>
    </row>
    <row r="1143" customFormat="false" ht="15" hidden="true" customHeight="true" outlineLevel="0" collapsed="false">
      <c r="B1143" s="1104" t="str">
        <f aca="false">'Смета Внутр'!B1143</f>
        <v>Коньковой элемент</v>
      </c>
      <c r="C1143" s="1104" t="str">
        <f aca="false">'Смета Внутр'!C1143</f>
        <v>м.п.</v>
      </c>
      <c r="D1143" s="1109" t="n">
        <f aca="false">'Смета Внутр'!D1143</f>
        <v>0</v>
      </c>
      <c r="E1143" s="1104" t="n">
        <f aca="false">'Смета Внутр'!E1143</f>
        <v>250</v>
      </c>
      <c r="F1143" s="1104" t="n">
        <f aca="false">'Смета Внутр'!F1143</f>
        <v>0</v>
      </c>
      <c r="G1143" s="1104" t="n">
        <f aca="false">IF(E1143&gt;F1143,E1143,F1143)</f>
        <v>250</v>
      </c>
      <c r="H1143" s="1104" t="n">
        <f aca="false">'Смета Внутр'!G1143</f>
        <v>0</v>
      </c>
      <c r="I1143" s="1104" t="n">
        <f aca="false">'Смета Внутр'!H1143</f>
        <v>0</v>
      </c>
      <c r="J1143" s="1109" t="n">
        <f aca="false">'Смета Внутр'!I1143</f>
        <v>0</v>
      </c>
    </row>
    <row r="1144" customFormat="false" ht="15" hidden="true" customHeight="true" outlineLevel="0" collapsed="false">
      <c r="B1144" s="1104" t="str">
        <f aca="false">'Смета Внутр'!B1144</f>
        <v>Планка премыкания</v>
      </c>
      <c r="C1144" s="1104" t="str">
        <f aca="false">'Смета Внутр'!C1144</f>
        <v>м.п.</v>
      </c>
      <c r="D1144" s="1109" t="n">
        <f aca="false">'Смета Внутр'!D1144</f>
        <v>0</v>
      </c>
      <c r="E1144" s="1104" t="n">
        <f aca="false">'Смета Внутр'!E1144</f>
        <v>200</v>
      </c>
      <c r="F1144" s="1104" t="n">
        <f aca="false">'Смета Внутр'!F1144</f>
        <v>0</v>
      </c>
      <c r="G1144" s="1104" t="n">
        <f aca="false">IF(E1144&gt;F1144,E1144,F1144)</f>
        <v>200</v>
      </c>
      <c r="H1144" s="1104" t="n">
        <f aca="false">'Смета Внутр'!G1144</f>
        <v>0</v>
      </c>
      <c r="I1144" s="1104" t="n">
        <f aca="false">'Смета Внутр'!H1144</f>
        <v>0</v>
      </c>
      <c r="J1144" s="1109" t="n">
        <f aca="false">'Смета Внутр'!I1144</f>
        <v>0</v>
      </c>
    </row>
    <row r="1145" customFormat="false" ht="15" hidden="true" customHeight="true" outlineLevel="0" collapsed="false">
      <c r="B1145" s="1104" t="str">
        <f aca="false">'Смета Внутр'!B1145</f>
        <v>Гвозди для крепления подкладочного ковра</v>
      </c>
      <c r="C1145" s="1104" t="str">
        <f aca="false">'Смета Внутр'!C1145</f>
        <v>шт</v>
      </c>
      <c r="D1145" s="1109" t="n">
        <f aca="false">'Смета Внутр'!D1145</f>
        <v>0</v>
      </c>
      <c r="E1145" s="1104" t="n">
        <f aca="false">'Смета Внутр'!E1145</f>
        <v>0.012</v>
      </c>
      <c r="F1145" s="1104" t="n">
        <f aca="false">'Смета Внутр'!F1145</f>
        <v>0</v>
      </c>
      <c r="G1145" s="1104" t="n">
        <f aca="false">IF(E1145&gt;F1145,E1145,F1145)</f>
        <v>0.012</v>
      </c>
      <c r="H1145" s="1104" t="n">
        <f aca="false">'Смета Внутр'!G1145</f>
        <v>0</v>
      </c>
      <c r="I1145" s="1104" t="n">
        <f aca="false">'Смета Внутр'!H1145</f>
        <v>0</v>
      </c>
      <c r="J1145" s="1109" t="n">
        <f aca="false">'Смета Внутр'!I1145</f>
        <v>0</v>
      </c>
    </row>
    <row r="1146" customFormat="false" ht="15" hidden="true" customHeight="true" outlineLevel="0" collapsed="false">
      <c r="B1146" s="1104" t="str">
        <f aca="false">'Смета Внутр'!B1146</f>
        <v>Гвозди для крепления черепицы</v>
      </c>
      <c r="C1146" s="1104" t="str">
        <f aca="false">'Смета Внутр'!C1146</f>
        <v>шт</v>
      </c>
      <c r="D1146" s="1109" t="n">
        <f aca="false">'Смета Внутр'!D1146</f>
        <v>0</v>
      </c>
      <c r="E1146" s="1104" t="n">
        <f aca="false">'Смета Внутр'!E1146</f>
        <v>0.25</v>
      </c>
      <c r="F1146" s="1104" t="n">
        <f aca="false">'Смета Внутр'!F1146</f>
        <v>0</v>
      </c>
      <c r="G1146" s="1104" t="n">
        <f aca="false">IF(E1146&gt;F1146,E1146,F1146)</f>
        <v>0.25</v>
      </c>
      <c r="H1146" s="1104" t="n">
        <f aca="false">'Смета Внутр'!G1146</f>
        <v>0</v>
      </c>
      <c r="I1146" s="1104" t="n">
        <f aca="false">'Смета Внутр'!H1146</f>
        <v>0</v>
      </c>
      <c r="J1146" s="1109" t="n">
        <f aca="false">'Смета Внутр'!I1146</f>
        <v>0</v>
      </c>
    </row>
    <row r="1147" customFormat="false" ht="15" hidden="true" customHeight="true" outlineLevel="0" collapsed="false">
      <c r="B1147" s="1104" t="str">
        <f aca="false">'Смета Внутр'!B1147</f>
        <v>Клей для монтажа черепицы</v>
      </c>
      <c r="C1147" s="1104" t="str">
        <f aca="false">'Смета Внутр'!C1147</f>
        <v>кг</v>
      </c>
      <c r="D1147" s="1109" t="n">
        <f aca="false">'Смета Внутр'!D1147</f>
        <v>0</v>
      </c>
      <c r="E1147" s="1104" t="n">
        <f aca="false">'Смета Внутр'!E1147</f>
        <v>250</v>
      </c>
      <c r="F1147" s="1104" t="n">
        <f aca="false">'Смета Внутр'!F1147</f>
        <v>0</v>
      </c>
      <c r="G1147" s="1104" t="n">
        <f aca="false">IF(E1147&gt;F1147,E1147,F1147)</f>
        <v>250</v>
      </c>
      <c r="H1147" s="1104" t="n">
        <f aca="false">'Смета Внутр'!G1147</f>
        <v>0</v>
      </c>
      <c r="I1147" s="1104" t="n">
        <f aca="false">'Смета Внутр'!H1147</f>
        <v>0</v>
      </c>
      <c r="J1147" s="1109" t="n">
        <f aca="false">'Смета Внутр'!I1147</f>
        <v>0</v>
      </c>
    </row>
    <row r="1148" customFormat="false" ht="15" hidden="true" customHeight="true" outlineLevel="0" collapsed="false">
      <c r="B1148" s="1104" t="str">
        <f aca="false">'Смета Внутр'!B1148</f>
        <v>желоб</v>
      </c>
      <c r="C1148" s="1104" t="str">
        <f aca="false">'Смета Внутр'!C1148</f>
        <v>м.п</v>
      </c>
      <c r="D1148" s="1109" t="n">
        <f aca="false">'Смета Внутр'!D1148</f>
        <v>18</v>
      </c>
      <c r="E1148" s="1104" t="n">
        <f aca="false">'Смета Внутр'!E1148</f>
        <v>300</v>
      </c>
      <c r="F1148" s="1104" t="n">
        <f aca="false">'Смета Внутр'!F1148</f>
        <v>0</v>
      </c>
      <c r="G1148" s="1104" t="n">
        <f aca="false">IF(E1148&gt;F1148,E1148,F1148)</f>
        <v>300</v>
      </c>
      <c r="H1148" s="1104" t="n">
        <f aca="false">'Смета Внутр'!G1148</f>
        <v>5400</v>
      </c>
      <c r="I1148" s="1104" t="n">
        <f aca="false">'Смета Внутр'!H1148</f>
        <v>5400</v>
      </c>
      <c r="J1148" s="1109" t="n">
        <f aca="false">'Смета Внутр'!I1148</f>
        <v>5400</v>
      </c>
    </row>
    <row r="1149" customFormat="false" ht="15" hidden="true" customHeight="true" outlineLevel="0" collapsed="false">
      <c r="B1149" s="1104" t="str">
        <f aca="false">'Смета Внутр'!B1149</f>
        <v>отвод</v>
      </c>
      <c r="C1149" s="1104" t="str">
        <f aca="false">'Смета Внутр'!C1149</f>
        <v>шт</v>
      </c>
      <c r="D1149" s="1109" t="n">
        <f aca="false">'Смета Внутр'!D1149</f>
        <v>4</v>
      </c>
      <c r="E1149" s="1104" t="n">
        <f aca="false">'Смета Внутр'!E1149</f>
        <v>250</v>
      </c>
      <c r="F1149" s="1104" t="n">
        <f aca="false">'Смета Внутр'!F1149</f>
        <v>0</v>
      </c>
      <c r="G1149" s="1104" t="n">
        <f aca="false">IF(E1149&gt;F1149,E1149,F1149)</f>
        <v>250</v>
      </c>
      <c r="H1149" s="1104" t="n">
        <f aca="false">'Смета Внутр'!G1149</f>
        <v>1000</v>
      </c>
      <c r="I1149" s="1104" t="n">
        <f aca="false">'Смета Внутр'!H1149</f>
        <v>1000</v>
      </c>
      <c r="J1149" s="1109" t="n">
        <f aca="false">'Смета Внутр'!I1149</f>
        <v>1000</v>
      </c>
    </row>
    <row r="1150" customFormat="false" ht="15" hidden="true" customHeight="true" outlineLevel="0" collapsed="false">
      <c r="B1150" s="1104" t="str">
        <f aca="false">'Смета Внутр'!B1150</f>
        <v>труба водосточная</v>
      </c>
      <c r="C1150" s="1104" t="str">
        <f aca="false">'Смета Внутр'!C1150</f>
        <v>м.п.</v>
      </c>
      <c r="D1150" s="1109" t="n">
        <f aca="false">'Смета Внутр'!D1150</f>
        <v>10.8</v>
      </c>
      <c r="E1150" s="1104" t="n">
        <f aca="false">'Смета Внутр'!E1150</f>
        <v>300</v>
      </c>
      <c r="F1150" s="1104" t="n">
        <f aca="false">'Смета Внутр'!F1150</f>
        <v>0</v>
      </c>
      <c r="G1150" s="1104" t="n">
        <f aca="false">IF(E1150&gt;F1150,E1150,F1150)</f>
        <v>300</v>
      </c>
      <c r="H1150" s="1104" t="n">
        <f aca="false">'Смета Внутр'!G1150</f>
        <v>3240</v>
      </c>
      <c r="I1150" s="1104" t="n">
        <f aca="false">'Смета Внутр'!H1150</f>
        <v>3240</v>
      </c>
      <c r="J1150" s="1109" t="n">
        <f aca="false">'Смета Внутр'!I1150</f>
        <v>3240</v>
      </c>
    </row>
    <row r="1151" customFormat="false" ht="15" hidden="true" customHeight="true" outlineLevel="0" collapsed="false">
      <c r="B1151" s="1104" t="str">
        <f aca="false">'Смета Внутр'!B1151</f>
        <v>заглушка для желоба</v>
      </c>
      <c r="C1151" s="1104" t="str">
        <f aca="false">'Смета Внутр'!C1151</f>
        <v>шт</v>
      </c>
      <c r="D1151" s="1109" t="n">
        <f aca="false">'Смета Внутр'!D1151</f>
        <v>4</v>
      </c>
      <c r="E1151" s="1104" t="n">
        <f aca="false">'Смета Внутр'!E1151</f>
        <v>190</v>
      </c>
      <c r="F1151" s="1104" t="n">
        <f aca="false">'Смета Внутр'!F1151</f>
        <v>0</v>
      </c>
      <c r="G1151" s="1104" t="n">
        <f aca="false">IF(E1151&gt;F1151,E1151,F1151)</f>
        <v>190</v>
      </c>
      <c r="H1151" s="1104" t="n">
        <f aca="false">'Смета Внутр'!G1151</f>
        <v>760</v>
      </c>
      <c r="I1151" s="1104" t="n">
        <f aca="false">'Смета Внутр'!H1151</f>
        <v>760</v>
      </c>
      <c r="J1151" s="1109" t="n">
        <f aca="false">'Смета Внутр'!I1151</f>
        <v>760</v>
      </c>
    </row>
    <row r="1152" customFormat="false" ht="15" hidden="true" customHeight="true" outlineLevel="0" collapsed="false">
      <c r="B1152" s="1104" t="str">
        <f aca="false">'Смета Внутр'!B1152</f>
        <v>соеденитель для желоба</v>
      </c>
      <c r="C1152" s="1104" t="str">
        <f aca="false">'Смета Внутр'!C1152</f>
        <v>шт</v>
      </c>
      <c r="D1152" s="1109" t="n">
        <f aca="false">'Смета Внутр'!D1152</f>
        <v>9</v>
      </c>
      <c r="E1152" s="1104" t="n">
        <f aca="false">'Смета Внутр'!E1152</f>
        <v>180</v>
      </c>
      <c r="F1152" s="1104" t="n">
        <f aca="false">'Смета Внутр'!F1152</f>
        <v>0</v>
      </c>
      <c r="G1152" s="1104" t="n">
        <f aca="false">IF(E1152&gt;F1152,E1152,F1152)</f>
        <v>180</v>
      </c>
      <c r="H1152" s="1104" t="n">
        <f aca="false">'Смета Внутр'!G1152</f>
        <v>1620</v>
      </c>
      <c r="I1152" s="1104" t="n">
        <f aca="false">'Смета Внутр'!H1152</f>
        <v>1620</v>
      </c>
      <c r="J1152" s="1109" t="n">
        <f aca="false">'Смета Внутр'!I1152</f>
        <v>1620</v>
      </c>
    </row>
    <row r="1153" customFormat="false" ht="15" hidden="true" customHeight="true" outlineLevel="0" collapsed="false">
      <c r="B1153" s="1104" t="str">
        <f aca="false">'Смета Внутр'!B1153</f>
        <v>кронштейн для желоба</v>
      </c>
      <c r="C1153" s="1104" t="str">
        <f aca="false">'Смета Внутр'!C1153</f>
        <v>шт</v>
      </c>
      <c r="D1153" s="1109" t="n">
        <f aca="false">'Смета Внутр'!D1153</f>
        <v>36</v>
      </c>
      <c r="E1153" s="1104" t="n">
        <f aca="false">'Смета Внутр'!E1153</f>
        <v>130</v>
      </c>
      <c r="F1153" s="1104" t="n">
        <f aca="false">'Смета Внутр'!F1153</f>
        <v>0</v>
      </c>
      <c r="G1153" s="1104" t="n">
        <f aca="false">IF(E1153&gt;F1153,E1153,F1153)</f>
        <v>130</v>
      </c>
      <c r="H1153" s="1104" t="n">
        <f aca="false">'Смета Внутр'!G1153</f>
        <v>4680</v>
      </c>
      <c r="I1153" s="1104" t="n">
        <f aca="false">'Смета Внутр'!H1153</f>
        <v>4680</v>
      </c>
      <c r="J1153" s="1109" t="n">
        <f aca="false">'Смета Внутр'!I1153</f>
        <v>4680</v>
      </c>
    </row>
    <row r="1154" customFormat="false" ht="15" hidden="true" customHeight="true" outlineLevel="0" collapsed="false">
      <c r="B1154" s="1104" t="str">
        <f aca="false">'Смета Внутр'!B1154</f>
        <v>переход из желоба в трубу</v>
      </c>
      <c r="C1154" s="1104" t="str">
        <f aca="false">'Смета Внутр'!C1154</f>
        <v>шт</v>
      </c>
      <c r="D1154" s="1109" t="n">
        <f aca="false">'Смета Внутр'!D1154</f>
        <v>2</v>
      </c>
      <c r="E1154" s="1104" t="n">
        <f aca="false">'Смета Внутр'!E1154</f>
        <v>350</v>
      </c>
      <c r="F1154" s="1104" t="n">
        <f aca="false">'Смета Внутр'!F1154</f>
        <v>0</v>
      </c>
      <c r="G1154" s="1104" t="n">
        <f aca="false">IF(E1154&gt;F1154,E1154,F1154)</f>
        <v>350</v>
      </c>
      <c r="H1154" s="1104" t="n">
        <f aca="false">'Смета Внутр'!G1154</f>
        <v>700</v>
      </c>
      <c r="I1154" s="1104" t="n">
        <f aca="false">'Смета Внутр'!H1154</f>
        <v>700</v>
      </c>
      <c r="J1154" s="1109" t="n">
        <f aca="false">'Смета Внутр'!I1154</f>
        <v>700</v>
      </c>
    </row>
    <row r="1155" customFormat="false" ht="15" hidden="true" customHeight="true" outlineLevel="0" collapsed="false">
      <c r="B1155" s="1104" t="str">
        <f aca="false">'Смета Внутр'!B1155</f>
        <v>лента дельта мульти бэнд</v>
      </c>
      <c r="C1155" s="1104" t="str">
        <f aca="false">'Смета Внутр'!C1155</f>
        <v>шт</v>
      </c>
      <c r="D1155" s="1109" t="n">
        <f aca="false">'Смета Внутр'!D1155</f>
        <v>9</v>
      </c>
      <c r="E1155" s="1104" t="n">
        <f aca="false">'Смета Внутр'!E1155</f>
        <v>1200</v>
      </c>
      <c r="F1155" s="1104" t="n">
        <f aca="false">'Смета Внутр'!F1155</f>
        <v>0</v>
      </c>
      <c r="G1155" s="1104" t="n">
        <f aca="false">IF(E1155&gt;F1155,E1155,F1155)</f>
        <v>1200</v>
      </c>
      <c r="H1155" s="1104" t="n">
        <f aca="false">'Смета Внутр'!G1155</f>
        <v>10800</v>
      </c>
      <c r="I1155" s="1104" t="n">
        <f aca="false">'Смета Внутр'!H1155</f>
        <v>10800</v>
      </c>
      <c r="J1155" s="1109" t="n">
        <f aca="false">'Смета Внутр'!I1155</f>
        <v>10800</v>
      </c>
    </row>
    <row r="1156" customFormat="false" ht="15" hidden="true" customHeight="true" outlineLevel="0" collapsed="false">
      <c r="B1156" s="1104" t="str">
        <f aca="false">'Смета Внутр'!B1156</f>
        <v>лента дельта sb-60</v>
      </c>
      <c r="C1156" s="1104" t="str">
        <f aca="false">'Смета Внутр'!C1156</f>
        <v>шт</v>
      </c>
      <c r="D1156" s="1109" t="n">
        <f aca="false">'Смета Внутр'!D1156</f>
        <v>5</v>
      </c>
      <c r="E1156" s="1104" t="n">
        <f aca="false">'Смета Внутр'!E1156</f>
        <v>1100</v>
      </c>
      <c r="F1156" s="1104" t="n">
        <f aca="false">'Смета Внутр'!F1156</f>
        <v>0</v>
      </c>
      <c r="G1156" s="1104" t="n">
        <f aca="false">IF(E1156&gt;F1156,E1156,F1156)</f>
        <v>1100</v>
      </c>
      <c r="H1156" s="1104" t="n">
        <f aca="false">'Смета Внутр'!G1156</f>
        <v>5500</v>
      </c>
      <c r="I1156" s="1104" t="n">
        <f aca="false">'Смета Внутр'!H1156</f>
        <v>5500</v>
      </c>
      <c r="J1156" s="1109" t="n">
        <f aca="false">'Смета Внутр'!I1156</f>
        <v>5500</v>
      </c>
    </row>
    <row r="1157" customFormat="false" ht="15" hidden="true" customHeight="true" outlineLevel="0" collapsed="false">
      <c r="B1157" s="1104" t="str">
        <f aca="false">'Смета Внутр'!B1157</f>
        <v>проходка кровельная, канализационная</v>
      </c>
      <c r="C1157" s="1104" t="str">
        <f aca="false">'Смета Внутр'!C1157</f>
        <v>шт</v>
      </c>
      <c r="D1157" s="1109" t="n">
        <f aca="false">'Смета Внутр'!D1157</f>
        <v>0</v>
      </c>
      <c r="E1157" s="1104" t="n">
        <f aca="false">'Смета Внутр'!E1157</f>
        <v>3500</v>
      </c>
      <c r="F1157" s="1104" t="n">
        <f aca="false">'Смета Внутр'!F1157</f>
        <v>0</v>
      </c>
      <c r="G1157" s="1104" t="n">
        <f aca="false">IF(E1157&gt;F1157,E1157,F1157)</f>
        <v>3500</v>
      </c>
      <c r="H1157" s="1104" t="n">
        <f aca="false">'Смета Внутр'!G1157</f>
        <v>0</v>
      </c>
      <c r="I1157" s="1104" t="n">
        <f aca="false">'Смета Внутр'!H1157</f>
        <v>0</v>
      </c>
      <c r="J1157" s="1109" t="n">
        <f aca="false">'Смета Внутр'!I1157</f>
        <v>0</v>
      </c>
    </row>
    <row r="1158" customFormat="false" ht="15" hidden="true" customHeight="true" outlineLevel="0" collapsed="false">
      <c r="B1158" s="1104" t="str">
        <f aca="false">'Смета Внутр'!B1158</f>
        <v>проходка кровельная, вентиляционная</v>
      </c>
      <c r="C1158" s="1104" t="str">
        <f aca="false">'Смета Внутр'!C1158</f>
        <v>шт</v>
      </c>
      <c r="D1158" s="1109" t="n">
        <f aca="false">'Смета Внутр'!D1158</f>
        <v>0</v>
      </c>
      <c r="E1158" s="1104" t="n">
        <f aca="false">'Смета Внутр'!E1158</f>
        <v>3500</v>
      </c>
      <c r="F1158" s="1104" t="n">
        <f aca="false">'Смета Внутр'!F1158</f>
        <v>0</v>
      </c>
      <c r="G1158" s="1104" t="n">
        <f aca="false">IF(E1158&gt;F1158,E1158,F1158)</f>
        <v>3500</v>
      </c>
      <c r="H1158" s="1104" t="n">
        <f aca="false">'Смета Внутр'!G1158</f>
        <v>0</v>
      </c>
      <c r="I1158" s="1104" t="n">
        <f aca="false">'Смета Внутр'!H1158</f>
        <v>0</v>
      </c>
      <c r="J1158" s="1109" t="n">
        <f aca="false">'Смета Внутр'!I1158</f>
        <v>0</v>
      </c>
    </row>
    <row r="1159" customFormat="false" ht="15" hidden="true" customHeight="true" outlineLevel="0" collapsed="false">
      <c r="B1159" s="1104" t="str">
        <f aca="false">'Смета Внутр'!B1159</f>
        <v>проодка кровельная, труба котел</v>
      </c>
      <c r="C1159" s="1104" t="str">
        <f aca="false">'Смета Внутр'!C1159</f>
        <v>шт</v>
      </c>
      <c r="D1159" s="1109" t="n">
        <f aca="false">'Смета Внутр'!D1159</f>
        <v>0</v>
      </c>
      <c r="E1159" s="1104" t="n">
        <f aca="false">'Смета Внутр'!E1159</f>
        <v>4500</v>
      </c>
      <c r="F1159" s="1104" t="n">
        <f aca="false">'Смета Внутр'!F1159</f>
        <v>0</v>
      </c>
      <c r="G1159" s="1104" t="n">
        <f aca="false">IF(E1159&gt;F1159,E1159,F1159)</f>
        <v>4500</v>
      </c>
      <c r="H1159" s="1104" t="n">
        <f aca="false">'Смета Внутр'!G1159</f>
        <v>0</v>
      </c>
      <c r="I1159" s="1104" t="n">
        <f aca="false">'Смета Внутр'!H1159</f>
        <v>0</v>
      </c>
      <c r="J1159" s="1109" t="n">
        <f aca="false">'Смета Внутр'!I1159</f>
        <v>0</v>
      </c>
    </row>
    <row r="1160" customFormat="false" ht="15" hidden="true" customHeight="true" outlineLevel="0" collapsed="false">
      <c r="B1160" s="1104" t="str">
        <f aca="false">'Смета Внутр'!B1160</f>
        <v>Кровельный саморез</v>
      </c>
      <c r="C1160" s="1104" t="str">
        <f aca="false">'Смета Внутр'!C1160</f>
        <v>шт</v>
      </c>
      <c r="D1160" s="1109" t="n">
        <f aca="false">'Смета Внутр'!D1160</f>
        <v>1269.37096281305</v>
      </c>
      <c r="E1160" s="1104" t="n">
        <f aca="false">'Смета Внутр'!E1160</f>
        <v>2</v>
      </c>
      <c r="F1160" s="1104" t="n">
        <f aca="false">'Смета Внутр'!F1160</f>
        <v>0</v>
      </c>
      <c r="G1160" s="1104" t="n">
        <f aca="false">IF(E1160&gt;F1160,E1160,F1160)</f>
        <v>2</v>
      </c>
      <c r="H1160" s="1104" t="n">
        <f aca="false">'Смета Внутр'!G1160</f>
        <v>2538.74192562609</v>
      </c>
      <c r="I1160" s="1104" t="n">
        <f aca="false">'Смета Внутр'!H1160</f>
        <v>2538.74192562609</v>
      </c>
      <c r="J1160" s="1109" t="n">
        <f aca="false">'Смета Внутр'!I1160</f>
        <v>2538.74192562609</v>
      </c>
    </row>
    <row r="1161" customFormat="false" ht="15" hidden="true" customHeight="true" outlineLevel="0" collapsed="false">
      <c r="B1161" s="1104" t="str">
        <f aca="false">'Смета Внутр'!B1161</f>
        <v>Гвозди ершоные 3,4 x 60            </v>
      </c>
      <c r="C1161" s="1104" t="str">
        <f aca="false">'Смета Внутр'!C1161</f>
        <v>кг</v>
      </c>
      <c r="D1161" s="1109" t="n">
        <f aca="false">'Смета Внутр'!D1161</f>
        <v>7.05206090451693</v>
      </c>
      <c r="E1161" s="1104" t="n">
        <f aca="false">'Смета Внутр'!E1161</f>
        <v>75.51</v>
      </c>
      <c r="F1161" s="1104" t="n">
        <f aca="false">'Смета Внутр'!F1161</f>
        <v>0</v>
      </c>
      <c r="G1161" s="1104" t="n">
        <f aca="false">IF(E1161&gt;F1161,E1161,F1161)</f>
        <v>75.51</v>
      </c>
      <c r="H1161" s="1104" t="n">
        <f aca="false">'Смета Внутр'!G1161</f>
        <v>532.501118900073</v>
      </c>
      <c r="I1161" s="1104" t="n">
        <f aca="false">'Смета Внутр'!H1161</f>
        <v>532.501118900073</v>
      </c>
      <c r="J1161" s="1109" t="n">
        <f aca="false">'Смета Внутр'!I1161</f>
        <v>532.501118900073</v>
      </c>
    </row>
    <row r="1162" customFormat="false" ht="15" hidden="true" customHeight="true" outlineLevel="0" collapsed="false">
      <c r="B1162" s="1104" t="str">
        <f aca="false">'Смета Внутр'!B1162</f>
        <v>Гвозди ершоные 2,8 х 90            </v>
      </c>
      <c r="C1162" s="1104" t="str">
        <f aca="false">'Смета Внутр'!C1162</f>
        <v>кг</v>
      </c>
      <c r="D1162" s="1109" t="n">
        <f aca="false">'Смета Внутр'!D1162</f>
        <v>27.322236137642</v>
      </c>
      <c r="E1162" s="1104" t="n">
        <f aca="false">'Смета Внутр'!E1162</f>
        <v>76.49</v>
      </c>
      <c r="F1162" s="1104" t="n">
        <f aca="false">'Смета Внутр'!F1162</f>
        <v>0</v>
      </c>
      <c r="G1162" s="1104" t="n">
        <f aca="false">IF(E1162&gt;F1162,E1162,F1162)</f>
        <v>76.49</v>
      </c>
      <c r="H1162" s="1104" t="n">
        <f aca="false">'Смета Внутр'!G1162</f>
        <v>2089.87784216824</v>
      </c>
      <c r="I1162" s="1104" t="n">
        <f aca="false">'Смета Внутр'!H1162</f>
        <v>2089.87784216824</v>
      </c>
      <c r="J1162" s="1109" t="n">
        <f aca="false">'Смета Внутр'!I1162</f>
        <v>2089.87784216824</v>
      </c>
    </row>
    <row r="1163" customFormat="false" ht="15" hidden="true" customHeight="true" outlineLevel="0" collapsed="false">
      <c r="B1163" s="1104" t="str">
        <f aca="false">'Смета Внутр'!B1163</f>
        <v>Пластина соеденительная 100х240х2           </v>
      </c>
      <c r="C1163" s="1104" t="str">
        <f aca="false">'Смета Внутр'!C1163</f>
        <v>шт</v>
      </c>
      <c r="D1163" s="1109" t="n">
        <f aca="false">'Смета Внутр'!D1163</f>
        <v>32</v>
      </c>
      <c r="E1163" s="1104" t="n">
        <f aca="false">'Смета Внутр'!E1163</f>
        <v>31.54</v>
      </c>
      <c r="F1163" s="1104" t="n">
        <f aca="false">'Смета Внутр'!F1163</f>
        <v>0</v>
      </c>
      <c r="G1163" s="1104" t="n">
        <f aca="false">IF(E1163&gt;F1163,E1163,F1163)</f>
        <v>31.54</v>
      </c>
      <c r="H1163" s="1104" t="n">
        <f aca="false">'Смета Внутр'!G1163</f>
        <v>1009.28</v>
      </c>
      <c r="I1163" s="1104" t="n">
        <f aca="false">'Смета Внутр'!H1163</f>
        <v>1009.28</v>
      </c>
      <c r="J1163" s="1109" t="n">
        <f aca="false">'Смета Внутр'!I1163</f>
        <v>1009.28</v>
      </c>
    </row>
    <row r="1164" customFormat="false" ht="15" hidden="true" customHeight="true" outlineLevel="0" collapsed="false">
      <c r="B1164" s="1104" t="str">
        <f aca="false">'Смета Внутр'!B1164</f>
        <v>Уголок усиленный 90х70х55х2,5        </v>
      </c>
      <c r="C1164" s="1104" t="str">
        <f aca="false">'Смета Внутр'!C1164</f>
        <v>шт</v>
      </c>
      <c r="D1164" s="1109" t="n">
        <f aca="false">'Смета Внутр'!D1164</f>
        <v>32</v>
      </c>
      <c r="E1164" s="1104" t="n">
        <f aca="false">'Смета Внутр'!E1164</f>
        <v>30</v>
      </c>
      <c r="F1164" s="1104" t="n">
        <f aca="false">'Смета Внутр'!F1164</f>
        <v>0</v>
      </c>
      <c r="G1164" s="1104" t="n">
        <f aca="false">IF(E1164&gt;F1164,E1164,F1164)</f>
        <v>30</v>
      </c>
      <c r="H1164" s="1104" t="n">
        <f aca="false">'Смета Внутр'!G1164</f>
        <v>960</v>
      </c>
      <c r="I1164" s="1104" t="n">
        <f aca="false">'Смета Внутр'!H1164</f>
        <v>960</v>
      </c>
      <c r="J1164" s="1109" t="n">
        <f aca="false">'Смета Внутр'!I1164</f>
        <v>960</v>
      </c>
    </row>
    <row r="1165" customFormat="false" ht="15" hidden="true" customHeight="false" outlineLevel="0" collapsed="false">
      <c r="B1165" s="1108" t="str">
        <f aca="false">'Смета Внутр'!B1165</f>
        <v>Итого материалы</v>
      </c>
      <c r="C1165" s="1108"/>
      <c r="D1165" s="1108"/>
      <c r="E1165" s="1108"/>
      <c r="F1165" s="1108"/>
      <c r="G1165" s="1108"/>
      <c r="H1165" s="1104" t="n">
        <f aca="false">'Смета Внутр'!G1165</f>
        <v>131849.929983864</v>
      </c>
      <c r="I1165" s="1104" t="n">
        <f aca="false">'Смета Внутр'!H1165</f>
        <v>131849.929983864</v>
      </c>
      <c r="J1165" s="1109" t="n">
        <f aca="false">'Смета Внутр'!I1165</f>
        <v>131849.929983864</v>
      </c>
    </row>
    <row r="1166" customFormat="false" ht="15" hidden="true" customHeight="true" outlineLevel="0" collapsed="false">
      <c r="B1166" s="118" t="str">
        <f aca="false">'Смета Внутр'!B1166</f>
        <v>Работы</v>
      </c>
      <c r="H1166" s="118" t="n">
        <f aca="false">'Смета Внутр'!G1166</f>
        <v>0</v>
      </c>
      <c r="I1166" s="118" t="n">
        <f aca="false">'Смета Внутр'!H1166</f>
        <v>1</v>
      </c>
      <c r="J1166" s="1102" t="n">
        <f aca="false">'Смета Внутр'!I1166</f>
        <v>1</v>
      </c>
    </row>
    <row r="1167" customFormat="false" ht="15" hidden="true" customHeight="true" outlineLevel="0" collapsed="false">
      <c r="B1167" s="1104" t="str">
        <f aca="false">'Смета Внутр'!B1167</f>
        <v>монтаж мауэрлата</v>
      </c>
      <c r="C1167" s="1104" t="str">
        <f aca="false">'Смета Внутр'!C1167</f>
        <v>м.п.</v>
      </c>
      <c r="D1167" s="1109" t="n">
        <f aca="false">'Смета Внутр'!D1167</f>
        <v>36.9990475974507</v>
      </c>
      <c r="E1167" s="1104" t="n">
        <f aca="false">'Смета Внутр'!E1167</f>
        <v>250</v>
      </c>
      <c r="F1167" s="1104" t="n">
        <f aca="false">'Смета Внутр'!F1167</f>
        <v>0</v>
      </c>
      <c r="G1167" s="1104" t="n">
        <f aca="false">IF(E1167&gt;F1167,E1167,F1167)</f>
        <v>250</v>
      </c>
      <c r="H1167" s="1104" t="n">
        <f aca="false">'Смета Внутр'!G1167</f>
        <v>9249.76189936267</v>
      </c>
      <c r="I1167" s="1104" t="n">
        <f aca="false">'Смета Внутр'!H1167</f>
        <v>9249.76189936267</v>
      </c>
      <c r="J1167" s="1109" t="n">
        <f aca="false">'Смета Внутр'!I1167</f>
        <v>9249.76189936267</v>
      </c>
    </row>
    <row r="1168" customFormat="false" ht="15" hidden="true" customHeight="true" outlineLevel="0" collapsed="false">
      <c r="B1168" s="1104" t="str">
        <f aca="false">'Смета Внутр'!B1168</f>
        <v>монтаж стропил</v>
      </c>
      <c r="C1168" s="1104" t="str">
        <f aca="false">'Смета Внутр'!C1168</f>
        <v>м2</v>
      </c>
      <c r="D1168" s="1109" t="n">
        <f aca="false">'Смета Внутр'!D1168</f>
        <v>105.780913567754</v>
      </c>
      <c r="E1168" s="1104" t="n">
        <f aca="false">'Смета Внутр'!E1168</f>
        <v>450</v>
      </c>
      <c r="F1168" s="1104" t="n">
        <f aca="false">'Смета Внутр'!F1168</f>
        <v>0</v>
      </c>
      <c r="G1168" s="1104" t="n">
        <f aca="false">IF(E1168&gt;F1168,E1168,F1168)</f>
        <v>450</v>
      </c>
      <c r="H1168" s="1104" t="n">
        <f aca="false">'Смета Внутр'!G1168</f>
        <v>47601.4111054893</v>
      </c>
      <c r="I1168" s="1104" t="n">
        <f aca="false">'Смета Внутр'!H1168</f>
        <v>47601.4111054893</v>
      </c>
      <c r="J1168" s="1109" t="n">
        <f aca="false">'Смета Внутр'!I1168</f>
        <v>47601.4111054893</v>
      </c>
    </row>
    <row r="1169" customFormat="false" ht="15" hidden="true" customHeight="true" outlineLevel="0" collapsed="false">
      <c r="B1169" s="1104" t="str">
        <f aca="false">'Смета Внутр'!B1169</f>
        <v>обрешетка</v>
      </c>
      <c r="C1169" s="1104" t="str">
        <f aca="false">'Смета Внутр'!C1169</f>
        <v>м2</v>
      </c>
      <c r="D1169" s="1109" t="n">
        <f aca="false">'Смета Внутр'!D1169</f>
        <v>105.780913567754</v>
      </c>
      <c r="E1169" s="1104" t="n">
        <f aca="false">'Смета Внутр'!E1169</f>
        <v>100</v>
      </c>
      <c r="F1169" s="1104" t="n">
        <f aca="false">'Смета Внутр'!F1169</f>
        <v>0</v>
      </c>
      <c r="G1169" s="1104" t="n">
        <f aca="false">IF(E1169&gt;F1169,E1169,F1169)</f>
        <v>100</v>
      </c>
      <c r="H1169" s="1104" t="n">
        <f aca="false">'Смета Внутр'!G1169</f>
        <v>10578.0913567754</v>
      </c>
      <c r="I1169" s="1104" t="n">
        <f aca="false">'Смета Внутр'!H1169</f>
        <v>10578.0913567754</v>
      </c>
      <c r="J1169" s="1109" t="n">
        <f aca="false">'Смета Внутр'!I1169</f>
        <v>10578.0913567754</v>
      </c>
    </row>
    <row r="1170" customFormat="false" ht="15" hidden="true" customHeight="true" outlineLevel="0" collapsed="false">
      <c r="B1170" s="1104" t="str">
        <f aca="false">'Смета Внутр'!B1170</f>
        <v>контробеш</v>
      </c>
      <c r="C1170" s="1104" t="str">
        <f aca="false">'Смета Внутр'!C1170</f>
        <v>м2</v>
      </c>
      <c r="D1170" s="1109" t="n">
        <f aca="false">'Смета Внутр'!D1170</f>
        <v>105.780913567754</v>
      </c>
      <c r="E1170" s="1104" t="n">
        <f aca="false">'Смета Внутр'!E1170</f>
        <v>100</v>
      </c>
      <c r="F1170" s="1104" t="n">
        <f aca="false">'Смета Внутр'!F1170</f>
        <v>0</v>
      </c>
      <c r="G1170" s="1104" t="n">
        <f aca="false">IF(E1170&gt;F1170,E1170,F1170)</f>
        <v>100</v>
      </c>
      <c r="H1170" s="1104" t="n">
        <f aca="false">'Смета Внутр'!G1170</f>
        <v>10578.0913567754</v>
      </c>
      <c r="I1170" s="1104" t="n">
        <f aca="false">'Смета Внутр'!H1170</f>
        <v>10578.0913567754</v>
      </c>
      <c r="J1170" s="1109" t="n">
        <f aca="false">'Смета Внутр'!I1170</f>
        <v>10578.0913567754</v>
      </c>
    </row>
    <row r="1171" customFormat="false" ht="15" hidden="true" customHeight="true" outlineLevel="0" collapsed="false">
      <c r="B1171" s="1104" t="str">
        <f aca="false">'Смета Внутр'!B1171</f>
        <v>Монтаж металлочерепицы</v>
      </c>
      <c r="C1171" s="1104" t="str">
        <f aca="false">'Смета Внутр'!C1171</f>
        <v>м2</v>
      </c>
      <c r="D1171" s="1109" t="n">
        <f aca="false">'Смета Внутр'!D1171</f>
        <v>105.780913567754</v>
      </c>
      <c r="E1171" s="1104" t="n">
        <f aca="false">'Смета Внутр'!E1171</f>
        <v>300</v>
      </c>
      <c r="F1171" s="1104" t="n">
        <f aca="false">'Смета Внутр'!F1171</f>
        <v>0</v>
      </c>
      <c r="G1171" s="1104" t="n">
        <f aca="false">IF(E1171&gt;F1171,E1171,F1171)</f>
        <v>300</v>
      </c>
      <c r="H1171" s="1104" t="n">
        <f aca="false">'Смета Внутр'!G1171</f>
        <v>31734.2740703262</v>
      </c>
      <c r="I1171" s="1104" t="n">
        <f aca="false">'Смета Внутр'!H1171</f>
        <v>31734.2740703262</v>
      </c>
      <c r="J1171" s="1109" t="n">
        <f aca="false">'Смета Внутр'!I1171</f>
        <v>31734.2740703262</v>
      </c>
    </row>
    <row r="1172" customFormat="false" ht="15" hidden="true" customHeight="true" outlineLevel="0" collapsed="false">
      <c r="B1172" s="1104" t="str">
        <f aca="false">'Смета Внутр'!B1172</f>
        <v>Монтаж ондулина</v>
      </c>
      <c r="C1172" s="1104" t="str">
        <f aca="false">'Смета Внутр'!C1172</f>
        <v>м2</v>
      </c>
      <c r="D1172" s="1109" t="n">
        <f aca="false">'Смета Внутр'!D1172</f>
        <v>0</v>
      </c>
      <c r="E1172" s="1104" t="n">
        <f aca="false">'Смета Внутр'!E1172</f>
        <v>300</v>
      </c>
      <c r="F1172" s="1104" t="n">
        <f aca="false">'Смета Внутр'!F1172</f>
        <v>0</v>
      </c>
      <c r="G1172" s="1104" t="n">
        <f aca="false">IF(E1172&gt;F1172,E1172,F1172)</f>
        <v>300</v>
      </c>
      <c r="H1172" s="1104" t="n">
        <f aca="false">'Смета Внутр'!G1172</f>
        <v>0</v>
      </c>
      <c r="I1172" s="1104" t="n">
        <f aca="false">'Смета Внутр'!H1172</f>
        <v>0</v>
      </c>
      <c r="J1172" s="1109" t="n">
        <f aca="false">'Смета Внутр'!I1172</f>
        <v>0</v>
      </c>
    </row>
    <row r="1173" customFormat="false" ht="15" hidden="true" customHeight="true" outlineLevel="0" collapsed="false">
      <c r="B1173" s="1104" t="str">
        <f aca="false">'Смета Внутр'!B1173</f>
        <v>мембрана</v>
      </c>
      <c r="C1173" s="1104" t="str">
        <f aca="false">'Смета Внутр'!C1173</f>
        <v>м2</v>
      </c>
      <c r="D1173" s="1109" t="n">
        <f aca="false">'Смета Внутр'!D1173</f>
        <v>105.780913567754</v>
      </c>
      <c r="E1173" s="1104" t="n">
        <f aca="false">'Смета Внутр'!E1173</f>
        <v>100</v>
      </c>
      <c r="F1173" s="1104" t="n">
        <f aca="false">'Смета Внутр'!F1173</f>
        <v>0</v>
      </c>
      <c r="G1173" s="1104" t="n">
        <f aca="false">IF(E1173&gt;F1173,E1173,F1173)</f>
        <v>100</v>
      </c>
      <c r="H1173" s="1104" t="n">
        <f aca="false">'Смета Внутр'!G1173</f>
        <v>10578.0913567754</v>
      </c>
      <c r="I1173" s="1104" t="n">
        <f aca="false">'Смета Внутр'!H1173</f>
        <v>10578.0913567754</v>
      </c>
      <c r="J1173" s="1109" t="n">
        <f aca="false">'Смета Внутр'!I1173</f>
        <v>10578.0913567754</v>
      </c>
    </row>
    <row r="1174" customFormat="false" ht="15" hidden="true" customHeight="true" outlineLevel="0" collapsed="false">
      <c r="B1174" s="1104" t="str">
        <f aca="false">'Смета Внутр'!B1174</f>
        <v>пароизоляц</v>
      </c>
      <c r="C1174" s="1104" t="str">
        <f aca="false">'Смета Внутр'!C1174</f>
        <v>м2</v>
      </c>
      <c r="D1174" s="1109" t="n">
        <f aca="false">'Смета Внутр'!D1174</f>
        <v>105.780913567754</v>
      </c>
      <c r="E1174" s="1104" t="n">
        <f aca="false">'Смета Внутр'!E1174</f>
        <v>100</v>
      </c>
      <c r="F1174" s="1104" t="n">
        <f aca="false">'Смета Внутр'!F1174</f>
        <v>0</v>
      </c>
      <c r="G1174" s="1104" t="n">
        <f aca="false">IF(E1174&gt;F1174,E1174,F1174)</f>
        <v>100</v>
      </c>
      <c r="H1174" s="1104" t="n">
        <f aca="false">'Смета Внутр'!G1174</f>
        <v>10578.0913567754</v>
      </c>
      <c r="I1174" s="1104" t="n">
        <f aca="false">'Смета Внутр'!H1174</f>
        <v>10578.0913567754</v>
      </c>
      <c r="J1174" s="1109" t="n">
        <f aca="false">'Смета Внутр'!I1174</f>
        <v>10578.0913567754</v>
      </c>
    </row>
    <row r="1175" customFormat="false" ht="15" hidden="true" customHeight="true" outlineLevel="0" collapsed="false">
      <c r="B1175" s="1104" t="str">
        <f aca="false">'Смета Внутр'!B1175</f>
        <v>утеплитель</v>
      </c>
      <c r="C1175" s="1104" t="str">
        <f aca="false">'Смета Внутр'!C1175</f>
        <v>м2</v>
      </c>
      <c r="D1175" s="1109" t="n">
        <f aca="false">'Смета Внутр'!D1175</f>
        <v>105.780913567754</v>
      </c>
      <c r="E1175" s="1104" t="n">
        <f aca="false">'Смета Внутр'!E1175</f>
        <v>200</v>
      </c>
      <c r="F1175" s="1104" t="n">
        <f aca="false">'Смета Внутр'!F1175</f>
        <v>0</v>
      </c>
      <c r="G1175" s="1104" t="n">
        <f aca="false">IF(E1175&gt;F1175,E1175,F1175)</f>
        <v>200</v>
      </c>
      <c r="H1175" s="1104" t="n">
        <f aca="false">'Смета Внутр'!G1175</f>
        <v>21156.1827135508</v>
      </c>
      <c r="I1175" s="1104" t="n">
        <f aca="false">'Смета Внутр'!H1175</f>
        <v>21156.1827135508</v>
      </c>
      <c r="J1175" s="1109" t="n">
        <f aca="false">'Смета Внутр'!I1175</f>
        <v>21156.1827135508</v>
      </c>
    </row>
    <row r="1176" customFormat="false" ht="15" hidden="true" customHeight="true" outlineLevel="0" collapsed="false">
      <c r="B1176" s="1104" t="str">
        <f aca="false">'Смета Внутр'!B1176</f>
        <v>карнизная планка</v>
      </c>
      <c r="C1176" s="1104" t="str">
        <f aca="false">'Смета Внутр'!C1176</f>
        <v>м.п.</v>
      </c>
      <c r="D1176" s="1109" t="n">
        <f aca="false">'Смета Внутр'!D1176</f>
        <v>18</v>
      </c>
      <c r="E1176" s="1104" t="n">
        <f aca="false">'Смета Внутр'!E1176</f>
        <v>100</v>
      </c>
      <c r="F1176" s="1104" t="n">
        <f aca="false">'Смета Внутр'!F1176</f>
        <v>0</v>
      </c>
      <c r="G1176" s="1104" t="n">
        <f aca="false">IF(E1176&gt;F1176,E1176,F1176)</f>
        <v>100</v>
      </c>
      <c r="H1176" s="1104" t="n">
        <f aca="false">'Смета Внутр'!G1176</f>
        <v>1800</v>
      </c>
      <c r="I1176" s="1104" t="n">
        <f aca="false">'Смета Внутр'!H1176</f>
        <v>1800</v>
      </c>
      <c r="J1176" s="1109" t="n">
        <f aca="false">'Смета Внутр'!I1176</f>
        <v>1800</v>
      </c>
    </row>
    <row r="1177" customFormat="false" ht="15" hidden="true" customHeight="true" outlineLevel="0" collapsed="false">
      <c r="B1177" s="1104" t="str">
        <f aca="false">'Смета Внутр'!B1177</f>
        <v>торцевая планка</v>
      </c>
      <c r="C1177" s="1104" t="str">
        <f aca="false">'Смета Внутр'!C1177</f>
        <v>м.п.</v>
      </c>
      <c r="D1177" s="1109" t="n">
        <f aca="false">'Смета Внутр'!D1177</f>
        <v>23.5068696817231</v>
      </c>
      <c r="E1177" s="1104" t="n">
        <f aca="false">'Смета Внутр'!E1177</f>
        <v>100</v>
      </c>
      <c r="F1177" s="1104" t="n">
        <f aca="false">'Смета Внутр'!F1177</f>
        <v>0</v>
      </c>
      <c r="G1177" s="1104" t="n">
        <f aca="false">IF(E1177&gt;F1177,E1177,F1177)</f>
        <v>100</v>
      </c>
      <c r="H1177" s="1104" t="n">
        <f aca="false">'Смета Внутр'!G1177</f>
        <v>2350.68696817231</v>
      </c>
      <c r="I1177" s="1104" t="n">
        <f aca="false">'Смета Внутр'!H1177</f>
        <v>2350.68696817231</v>
      </c>
      <c r="J1177" s="1109" t="n">
        <f aca="false">'Смета Внутр'!I1177</f>
        <v>2350.68696817231</v>
      </c>
    </row>
    <row r="1178" customFormat="false" ht="15" hidden="true" customHeight="true" outlineLevel="0" collapsed="false">
      <c r="B1178" s="1104" t="str">
        <f aca="false">'Смета Внутр'!B1178</f>
        <v>конек</v>
      </c>
      <c r="C1178" s="1104" t="str">
        <f aca="false">'Смета Внутр'!C1178</f>
        <v>м.п.</v>
      </c>
      <c r="D1178" s="1109" t="n">
        <f aca="false">'Смета Внутр'!D1178</f>
        <v>9</v>
      </c>
      <c r="E1178" s="1104" t="n">
        <f aca="false">'Смета Внутр'!E1178</f>
        <v>300</v>
      </c>
      <c r="F1178" s="1104" t="n">
        <f aca="false">'Смета Внутр'!F1178</f>
        <v>0</v>
      </c>
      <c r="G1178" s="1104" t="n">
        <f aca="false">IF(E1178&gt;F1178,E1178,F1178)</f>
        <v>300</v>
      </c>
      <c r="H1178" s="1104" t="n">
        <f aca="false">'Смета Внутр'!G1178</f>
        <v>2700</v>
      </c>
      <c r="I1178" s="1104" t="n">
        <f aca="false">'Смета Внутр'!H1178</f>
        <v>2700</v>
      </c>
      <c r="J1178" s="1109" t="n">
        <f aca="false">'Смета Внутр'!I1178</f>
        <v>2700</v>
      </c>
    </row>
    <row r="1179" customFormat="false" ht="15" hidden="true" customHeight="true" outlineLevel="0" collapsed="false">
      <c r="B1179" s="1104" t="str">
        <f aca="false">'Смета Внутр'!B1179</f>
        <v>желоб водосточный</v>
      </c>
      <c r="C1179" s="1104" t="str">
        <f aca="false">'Смета Внутр'!C1179</f>
        <v>м.п.</v>
      </c>
      <c r="D1179" s="1109" t="n">
        <f aca="false">'Смета Внутр'!D1179</f>
        <v>18</v>
      </c>
      <c r="E1179" s="1104" t="n">
        <f aca="false">'Смета Внутр'!E1179</f>
        <v>300</v>
      </c>
      <c r="F1179" s="1104" t="n">
        <f aca="false">'Смета Внутр'!F1179</f>
        <v>0</v>
      </c>
      <c r="G1179" s="1104" t="n">
        <f aca="false">IF(E1179&gt;F1179,E1179,F1179)</f>
        <v>300</v>
      </c>
      <c r="H1179" s="1104" t="n">
        <f aca="false">'Смета Внутр'!G1179</f>
        <v>5400</v>
      </c>
      <c r="I1179" s="1104" t="n">
        <f aca="false">'Смета Внутр'!H1179</f>
        <v>5400</v>
      </c>
      <c r="J1179" s="1109" t="n">
        <f aca="false">'Смета Внутр'!I1179</f>
        <v>5400</v>
      </c>
    </row>
    <row r="1180" customFormat="false" ht="15" hidden="true" customHeight="true" outlineLevel="0" collapsed="false">
      <c r="B1180" s="1104" t="str">
        <f aca="false">'Смета Внутр'!B1180</f>
        <v>труба водосточная</v>
      </c>
      <c r="C1180" s="1104" t="str">
        <f aca="false">'Смета Внутр'!C1180</f>
        <v>м.п.</v>
      </c>
      <c r="D1180" s="1109" t="n">
        <f aca="false">'Смета Внутр'!D1180</f>
        <v>10.8</v>
      </c>
      <c r="E1180" s="1104" t="n">
        <f aca="false">'Смета Внутр'!E1180</f>
        <v>300</v>
      </c>
      <c r="F1180" s="1104" t="n">
        <f aca="false">'Смета Внутр'!F1180</f>
        <v>0</v>
      </c>
      <c r="G1180" s="1104" t="n">
        <f aca="false">IF(E1180&gt;F1180,E1180,F1180)</f>
        <v>300</v>
      </c>
      <c r="H1180" s="1104" t="n">
        <f aca="false">'Смета Внутр'!G1180</f>
        <v>3240</v>
      </c>
      <c r="I1180" s="1104" t="n">
        <f aca="false">'Смета Внутр'!H1180</f>
        <v>3240</v>
      </c>
      <c r="J1180" s="1109" t="n">
        <f aca="false">'Смета Внутр'!I1180</f>
        <v>3240</v>
      </c>
    </row>
    <row r="1181" customFormat="false" ht="15" hidden="true" customHeight="true" outlineLevel="0" collapsed="false">
      <c r="B1181" s="1104" t="str">
        <f aca="false">'Смета Внутр'!B1181</f>
        <v>Монтаж фанеры/osb</v>
      </c>
      <c r="C1181" s="1104" t="str">
        <f aca="false">'Смета Внутр'!C1181</f>
        <v>м2</v>
      </c>
      <c r="D1181" s="1109" t="n">
        <f aca="false">'Смета Внутр'!D1181</f>
        <v>0</v>
      </c>
      <c r="E1181" s="1104" t="n">
        <f aca="false">'Смета Внутр'!E1181</f>
        <v>200</v>
      </c>
      <c r="F1181" s="1104" t="n">
        <f aca="false">'Смета Внутр'!F1181</f>
        <v>0</v>
      </c>
      <c r="G1181" s="1104" t="n">
        <f aca="false">IF(E1181&gt;F1181,E1181,F1181)</f>
        <v>200</v>
      </c>
      <c r="H1181" s="1104" t="n">
        <f aca="false">'Смета Внутр'!G1181</f>
        <v>0</v>
      </c>
      <c r="I1181" s="1104" t="n">
        <f aca="false">'Смета Внутр'!H1181</f>
        <v>0</v>
      </c>
      <c r="J1181" s="1109" t="n">
        <f aca="false">'Смета Внутр'!I1181</f>
        <v>0</v>
      </c>
    </row>
    <row r="1182" customFormat="false" ht="15" hidden="true" customHeight="true" outlineLevel="0" collapsed="false">
      <c r="B1182" s="1104" t="str">
        <f aca="false">'Смета Внутр'!B1182</f>
        <v>монтаж подкладочного ковра</v>
      </c>
      <c r="C1182" s="1104" t="str">
        <f aca="false">'Смета Внутр'!C1182</f>
        <v>м2</v>
      </c>
      <c r="D1182" s="1109" t="n">
        <f aca="false">'Смета Внутр'!D1182</f>
        <v>0</v>
      </c>
      <c r="E1182" s="1104" t="n">
        <f aca="false">'Смета Внутр'!E1182</f>
        <v>0</v>
      </c>
      <c r="F1182" s="1104" t="n">
        <f aca="false">'Смета Внутр'!F1182</f>
        <v>0</v>
      </c>
      <c r="G1182" s="1104" t="n">
        <f aca="false">IF(E1182&gt;F1182,E1182,F1182)</f>
        <v>0</v>
      </c>
      <c r="H1182" s="1104" t="n">
        <f aca="false">'Смета Внутр'!G1182</f>
        <v>0</v>
      </c>
      <c r="I1182" s="1104" t="n">
        <f aca="false">'Смета Внутр'!H1182</f>
        <v>0</v>
      </c>
      <c r="J1182" s="1109" t="n">
        <f aca="false">'Смета Внутр'!I1182</f>
        <v>0</v>
      </c>
    </row>
    <row r="1183" customFormat="false" ht="15" hidden="true" customHeight="true" outlineLevel="0" collapsed="false">
      <c r="B1183" s="1104" t="str">
        <f aca="false">'Смета Внутр'!B1183</f>
        <v>Монтаж мягкой кровли</v>
      </c>
      <c r="C1183" s="1104" t="str">
        <f aca="false">'Смета Внутр'!C1183</f>
        <v>м2</v>
      </c>
      <c r="D1183" s="1109" t="n">
        <f aca="false">'Смета Внутр'!D1183</f>
        <v>0</v>
      </c>
      <c r="E1183" s="1104" t="n">
        <f aca="false">'Смета Внутр'!E1183</f>
        <v>0</v>
      </c>
      <c r="F1183" s="1104" t="n">
        <f aca="false">'Смета Внутр'!F1183</f>
        <v>0</v>
      </c>
      <c r="G1183" s="1104" t="n">
        <f aca="false">IF(E1183&gt;F1183,E1183,F1183)</f>
        <v>0</v>
      </c>
      <c r="H1183" s="1104" t="n">
        <f aca="false">'Смета Внутр'!G1183</f>
        <v>0</v>
      </c>
      <c r="I1183" s="1104" t="n">
        <f aca="false">'Смета Внутр'!H1183</f>
        <v>0</v>
      </c>
      <c r="J1183" s="1109" t="n">
        <f aca="false">'Смета Внутр'!I1183</f>
        <v>0</v>
      </c>
    </row>
    <row r="1184" customFormat="false" ht="15" hidden="true" customHeight="true" outlineLevel="0" collapsed="false">
      <c r="B1184" s="1108" t="str">
        <f aca="false">'Смета Внутр'!B1184</f>
        <v>Итого работы</v>
      </c>
      <c r="C1184" s="1108"/>
      <c r="D1184" s="1108"/>
      <c r="E1184" s="1108"/>
      <c r="F1184" s="1108"/>
      <c r="G1184" s="1108"/>
      <c r="H1184" s="1104" t="n">
        <f aca="false">'Смета Внутр'!G1184</f>
        <v>167544.682184003</v>
      </c>
      <c r="I1184" s="1104" t="n">
        <f aca="false">'Смета Внутр'!H1184</f>
        <v>167544.682184003</v>
      </c>
      <c r="J1184" s="1109" t="n">
        <f aca="false">'Смета Внутр'!I1184</f>
        <v>167544.682184003</v>
      </c>
    </row>
    <row r="1185" customFormat="false" ht="15" hidden="true" customHeight="true" outlineLevel="0" collapsed="false">
      <c r="B1185" s="1111" t="str">
        <f aca="false">'Смета Внутр'!B1185</f>
        <v>Кровля четырехскатная</v>
      </c>
      <c r="C1185" s="1111"/>
      <c r="D1185" s="1111"/>
      <c r="H1185" s="118" t="n">
        <f aca="false">'Смета Внутр'!G1185</f>
        <v>0</v>
      </c>
      <c r="I1185" s="118" t="n">
        <f aca="false">'Смета Внутр'!H1185</f>
        <v>0</v>
      </c>
      <c r="J1185" s="1102" t="n">
        <f aca="false">'Смета Внутр'!I1185</f>
        <v>0</v>
      </c>
    </row>
    <row r="1186" customFormat="false" ht="15" hidden="true" customHeight="true" outlineLevel="0" collapsed="false">
      <c r="B1186" s="118" t="str">
        <f aca="false">'Смета Внутр'!B1186</f>
        <v>Материалы</v>
      </c>
      <c r="H1186" s="118" t="n">
        <f aca="false">'Смета Внутр'!G1186</f>
        <v>0</v>
      </c>
      <c r="I1186" s="118" t="n">
        <f aca="false">'Смета Внутр'!H1186</f>
        <v>0</v>
      </c>
      <c r="J1186" s="1102" t="n">
        <f aca="false">'Смета Внутр'!I1186</f>
        <v>0</v>
      </c>
    </row>
    <row r="1187" customFormat="false" ht="15" hidden="true" customHeight="true" outlineLevel="0" collapsed="false">
      <c r="B1187" s="1104" t="str">
        <f aca="false">'Смета Внутр'!B1187</f>
        <v>нет</v>
      </c>
      <c r="C1187" s="1104" t="str">
        <f aca="false">'Смета Внутр'!C1187</f>
        <v>м3</v>
      </c>
      <c r="D1187" s="1109" t="n">
        <f aca="false">'Смета Внутр'!D1187</f>
        <v>0</v>
      </c>
      <c r="E1187" s="1104" t="n">
        <f aca="false">'Смета Внутр'!E1187</f>
        <v>0</v>
      </c>
      <c r="F1187" s="1104" t="n">
        <f aca="false">'Смета Внутр'!F1187</f>
        <v>0</v>
      </c>
      <c r="G1187" s="1104" t="n">
        <f aca="false">IF(E1187&gt;F1187,E1187,F1187)</f>
        <v>0</v>
      </c>
      <c r="H1187" s="1104" t="n">
        <f aca="false">'Смета Внутр'!G1187</f>
        <v>0</v>
      </c>
      <c r="I1187" s="1104" t="n">
        <f aca="false">'Смета Внутр'!H1187</f>
        <v>0</v>
      </c>
      <c r="J1187" s="1109" t="n">
        <f aca="false">'Смета Внутр'!I1187</f>
        <v>0</v>
      </c>
    </row>
    <row r="1188" customFormat="false" ht="15" hidden="true" customHeight="true" outlineLevel="0" collapsed="false">
      <c r="B1188" s="1104" t="str">
        <f aca="false">'Смета Внутр'!B1188</f>
        <v>Болты анкерные с гайкой 12,0 х 280          </v>
      </c>
      <c r="C1188" s="1104" t="str">
        <f aca="false">'Смета Внутр'!C1188</f>
        <v>шт</v>
      </c>
      <c r="D1188" s="1109" t="n">
        <f aca="false">'Смета Внутр'!D1188</f>
        <v>35.2</v>
      </c>
      <c r="E1188" s="1104" t="n">
        <f aca="false">'Смета Внутр'!E1188</f>
        <v>27.1</v>
      </c>
      <c r="F1188" s="1104" t="n">
        <f aca="false">'Смета Внутр'!F1188</f>
        <v>0</v>
      </c>
      <c r="G1188" s="1104" t="n">
        <f aca="false">IF(E1188&gt;F1188,E1188,F1188)</f>
        <v>27.1</v>
      </c>
      <c r="H1188" s="1104" t="n">
        <f aca="false">'Смета Внутр'!G1188</f>
        <v>953.92</v>
      </c>
      <c r="I1188" s="1104" t="n">
        <f aca="false">'Смета Внутр'!H1188</f>
        <v>0</v>
      </c>
      <c r="J1188" s="1109" t="n">
        <f aca="false">'Смета Внутр'!I1188</f>
        <v>0</v>
      </c>
    </row>
    <row r="1189" customFormat="false" ht="15" hidden="true" customHeight="true" outlineLevel="0" collapsed="false">
      <c r="B1189" s="1104" t="str">
        <f aca="false">'Смета Внутр'!B1189</f>
        <v>Доска сырая, 150*50мм</v>
      </c>
      <c r="C1189" s="1104" t="str">
        <f aca="false">'Смета Внутр'!C1189</f>
        <v>м3</v>
      </c>
      <c r="D1189" s="1109" t="n">
        <f aca="false">'Смета Внутр'!D1189</f>
        <v>2.29942915439753</v>
      </c>
      <c r="E1189" s="1104" t="n">
        <f aca="false">'Смета Внутр'!E1189</f>
        <v>6500</v>
      </c>
      <c r="F1189" s="1104" t="n">
        <f aca="false">'Смета Внутр'!F1189</f>
        <v>0</v>
      </c>
      <c r="G1189" s="1104" t="n">
        <f aca="false">IF(E1189&gt;F1189,E1189,F1189)</f>
        <v>6500</v>
      </c>
      <c r="H1189" s="1104" t="n">
        <f aca="false">'Смета Внутр'!G1189</f>
        <v>14946.289503584</v>
      </c>
      <c r="I1189" s="1104" t="n">
        <f aca="false">'Смета Внутр'!H1189</f>
        <v>0</v>
      </c>
      <c r="J1189" s="1109" t="n">
        <f aca="false">'Смета Внутр'!I1189</f>
        <v>0</v>
      </c>
    </row>
    <row r="1190" customFormat="false" ht="15" hidden="true" customHeight="true" outlineLevel="0" collapsed="false">
      <c r="B1190" s="1104" t="str">
        <f aca="false">'Смета Внутр'!B1190</f>
        <v>бугель, доска </v>
      </c>
      <c r="C1190" s="1104" t="str">
        <f aca="false">'Смета Внутр'!C1190</f>
        <v>м3</v>
      </c>
      <c r="D1190" s="1109" t="n">
        <f aca="false">'Смета Внутр'!D1190</f>
        <v>0.21</v>
      </c>
      <c r="E1190" s="1104" t="n">
        <f aca="false">'Смета Внутр'!E1190</f>
        <v>6500</v>
      </c>
      <c r="F1190" s="1104" t="n">
        <f aca="false">'Смета Внутр'!F1190</f>
        <v>0</v>
      </c>
      <c r="G1190" s="1104" t="n">
        <f aca="false">IF(E1190&gt;F1190,E1190,F1190)</f>
        <v>6500</v>
      </c>
      <c r="H1190" s="1104" t="n">
        <f aca="false">'Смета Внутр'!G1190</f>
        <v>1365</v>
      </c>
      <c r="I1190" s="1104" t="n">
        <f aca="false">'Смета Внутр'!H1190</f>
        <v>0</v>
      </c>
      <c r="J1190" s="1109" t="n">
        <f aca="false">'Смета Внутр'!I1190</f>
        <v>0</v>
      </c>
    </row>
    <row r="1191" customFormat="false" ht="15" hidden="true" customHeight="true" outlineLevel="0" collapsed="false">
      <c r="B1191" s="1104" t="str">
        <f aca="false">'Смета Внутр'!B1191</f>
        <v>стойка под конек</v>
      </c>
      <c r="C1191" s="1104" t="str">
        <f aca="false">'Смета Внутр'!C1191</f>
        <v>м3</v>
      </c>
      <c r="D1191" s="1109" t="n">
        <f aca="false">'Смета Внутр'!D1191</f>
        <v>0.08925</v>
      </c>
      <c r="E1191" s="1104" t="n">
        <f aca="false">'Смета Внутр'!E1191</f>
        <v>6500</v>
      </c>
      <c r="F1191" s="1104" t="n">
        <f aca="false">'Смета Внутр'!F1191</f>
        <v>0</v>
      </c>
      <c r="G1191" s="1104" t="n">
        <f aca="false">IF(E1191&gt;F1191,E1191,F1191)</f>
        <v>6500</v>
      </c>
      <c r="H1191" s="1104" t="n">
        <f aca="false">'Смета Внутр'!G1191</f>
        <v>580.125</v>
      </c>
      <c r="I1191" s="1104" t="n">
        <f aca="false">'Смета Внутр'!H1191</f>
        <v>0</v>
      </c>
      <c r="J1191" s="1109" t="n">
        <f aca="false">'Смета Внутр'!I1191</f>
        <v>0</v>
      </c>
    </row>
    <row r="1192" customFormat="false" ht="15" hidden="true" customHeight="true" outlineLevel="0" collapsed="false">
      <c r="B1192" s="1104" t="str">
        <f aca="false">'Смета Внутр'!B1192</f>
        <v>Сосна влаж,100*25мм</v>
      </c>
      <c r="C1192" s="1104" t="str">
        <f aca="false">'Смета Внутр'!C1192</f>
        <v>м3</v>
      </c>
      <c r="D1192" s="1109" t="n">
        <f aca="false">'Смета Внутр'!D1192</f>
        <v>1.11063020763307</v>
      </c>
      <c r="E1192" s="1104" t="n">
        <f aca="false">'Смета Внутр'!E1192</f>
        <v>6500</v>
      </c>
      <c r="F1192" s="1104" t="n">
        <f aca="false">'Смета Внутр'!F1192</f>
        <v>0</v>
      </c>
      <c r="G1192" s="1104" t="n">
        <f aca="false">IF(E1192&gt;F1192,E1192,F1192)</f>
        <v>6500</v>
      </c>
      <c r="H1192" s="1104" t="n">
        <f aca="false">'Смета Внутр'!G1192</f>
        <v>7219.09634961497</v>
      </c>
      <c r="I1192" s="1104" t="n">
        <f aca="false">'Смета Внутр'!H1192</f>
        <v>0</v>
      </c>
      <c r="J1192" s="1109" t="n">
        <f aca="false">'Смета Внутр'!I1192</f>
        <v>0</v>
      </c>
    </row>
    <row r="1193" customFormat="false" ht="15" hidden="true" customHeight="true" outlineLevel="0" collapsed="false">
      <c r="B1193" s="1104" t="str">
        <f aca="false">'Смета Внутр'!B1193</f>
        <v>Сосна влаж, 50*50мм</v>
      </c>
      <c r="C1193" s="1104" t="str">
        <f aca="false">'Смета Внутр'!C1193</f>
        <v>м3</v>
      </c>
      <c r="D1193" s="1109" t="n">
        <f aca="false">'Смета Внутр'!D1193</f>
        <v>1.11063020763307</v>
      </c>
      <c r="E1193" s="1104" t="n">
        <f aca="false">'Смета Внутр'!E1193</f>
        <v>6500</v>
      </c>
      <c r="F1193" s="1104" t="n">
        <f aca="false">'Смета Внутр'!F1193</f>
        <v>0</v>
      </c>
      <c r="G1193" s="1104" t="n">
        <f aca="false">IF(E1193&gt;F1193,E1193,F1193)</f>
        <v>6500</v>
      </c>
      <c r="H1193" s="1104" t="n">
        <f aca="false">'Смета Внутр'!G1193</f>
        <v>7219.09634961497</v>
      </c>
      <c r="I1193" s="1104" t="n">
        <f aca="false">'Смета Внутр'!H1193</f>
        <v>0</v>
      </c>
      <c r="J1193" s="1109" t="n">
        <f aca="false">'Смета Внутр'!I1193</f>
        <v>0</v>
      </c>
    </row>
    <row r="1194" customFormat="false" ht="15" hidden="true" customHeight="true" outlineLevel="0" collapsed="false">
      <c r="B1194" s="1104" t="str">
        <f aca="false">'Смета Внутр'!B1194</f>
        <v>Универсальная Optima C</v>
      </c>
      <c r="C1194" s="1104" t="str">
        <f aca="false">'Смета Внутр'!C1194</f>
        <v>м2</v>
      </c>
      <c r="D1194" s="1109" t="n">
        <f aca="false">'Смета Внутр'!D1194</f>
        <v>148.08402768441</v>
      </c>
      <c r="E1194" s="1104" t="n">
        <f aca="false">'Смета Внутр'!E1194</f>
        <v>19</v>
      </c>
      <c r="F1194" s="1104" t="n">
        <f aca="false">'Смета Внутр'!F1194</f>
        <v>0</v>
      </c>
      <c r="G1194" s="1104" t="n">
        <f aca="false">IF(E1194&gt;F1194,E1194,F1194)</f>
        <v>19</v>
      </c>
      <c r="H1194" s="1104" t="n">
        <f aca="false">'Смета Внутр'!G1194</f>
        <v>2813.59652600378</v>
      </c>
      <c r="I1194" s="1104" t="n">
        <f aca="false">'Смета Внутр'!H1194</f>
        <v>0</v>
      </c>
      <c r="J1194" s="1109" t="n">
        <f aca="false">'Смета Внутр'!I1194</f>
        <v>0</v>
      </c>
    </row>
    <row r="1195" customFormat="false" ht="15" hidden="true" customHeight="true" outlineLevel="0" collapsed="false">
      <c r="B1195" s="1104" t="str">
        <f aca="false">'Смета Внутр'!B1195</f>
        <v>Универсальная Optima C</v>
      </c>
      <c r="C1195" s="1104" t="str">
        <f aca="false">'Смета Внутр'!C1195</f>
        <v>м2</v>
      </c>
      <c r="D1195" s="1109" t="n">
        <f aca="false">'Смета Внутр'!D1195</f>
        <v>148.08402768441</v>
      </c>
      <c r="E1195" s="1104" t="n">
        <f aca="false">'Смета Внутр'!E1195</f>
        <v>20</v>
      </c>
      <c r="F1195" s="1104" t="n">
        <f aca="false">'Смета Внутр'!F1195</f>
        <v>0</v>
      </c>
      <c r="G1195" s="1104" t="n">
        <f aca="false">IF(E1195&gt;F1195,E1195,F1195)</f>
        <v>20</v>
      </c>
      <c r="H1195" s="1104" t="n">
        <f aca="false">'Смета Внутр'!G1195</f>
        <v>2961.68055368819</v>
      </c>
      <c r="I1195" s="1104" t="n">
        <f aca="false">'Смета Внутр'!H1195</f>
        <v>0</v>
      </c>
      <c r="J1195" s="1109" t="n">
        <f aca="false">'Смета Внутр'!I1195</f>
        <v>0</v>
      </c>
    </row>
    <row r="1196" customFormat="false" ht="15" hidden="true" customHeight="true" outlineLevel="0" collapsed="false">
      <c r="B1196" s="1104" t="str">
        <f aca="false">'Смета Внутр'!B1196</f>
        <v>Плитный,28кг/м3, технониколь, 100мм</v>
      </c>
      <c r="C1196" s="1104" t="str">
        <f aca="false">'Смета Внутр'!C1196</f>
        <v>м3</v>
      </c>
      <c r="D1196" s="1109" t="n">
        <f aca="false">'Смета Внутр'!D1196</f>
        <v>10.5774305488864</v>
      </c>
      <c r="E1196" s="1104" t="n">
        <f aca="false">'Смета Внутр'!E1196</f>
        <v>1700</v>
      </c>
      <c r="F1196" s="1104" t="n">
        <f aca="false">'Смета Внутр'!F1196</f>
        <v>0</v>
      </c>
      <c r="G1196" s="1104" t="n">
        <f aca="false">IF(E1196&gt;F1196,E1196,F1196)</f>
        <v>1700</v>
      </c>
      <c r="H1196" s="1104" t="n">
        <f aca="false">'Смета Внутр'!G1196</f>
        <v>17981.6319331069</v>
      </c>
      <c r="I1196" s="1104" t="n">
        <f aca="false">'Смета Внутр'!H1196</f>
        <v>0</v>
      </c>
      <c r="J1196" s="1109" t="n">
        <f aca="false">'Смета Внутр'!I1196</f>
        <v>0</v>
      </c>
    </row>
    <row r="1197" customFormat="false" ht="15" hidden="true" customHeight="true" outlineLevel="0" collapsed="false">
      <c r="B1197" s="1104" t="str">
        <f aca="false">'Смета Внутр'!B1197</f>
        <v>металлочерепица</v>
      </c>
      <c r="C1197" s="1104" t="str">
        <f aca="false">'Смета Внутр'!C1197</f>
        <v>м2</v>
      </c>
      <c r="D1197" s="1109" t="n">
        <f aca="false">'Смета Внутр'!D1197</f>
        <v>148.08402768441</v>
      </c>
      <c r="E1197" s="1104" t="n">
        <f aca="false">'Смета Внутр'!E1197</f>
        <v>250</v>
      </c>
      <c r="F1197" s="1104" t="n">
        <f aca="false">'Смета Внутр'!F1197</f>
        <v>0</v>
      </c>
      <c r="G1197" s="1104" t="n">
        <f aca="false">IF(E1197&gt;F1197,E1197,F1197)</f>
        <v>250</v>
      </c>
      <c r="H1197" s="1104" t="n">
        <f aca="false">'Смета Внутр'!G1197</f>
        <v>37021.0069211024</v>
      </c>
      <c r="I1197" s="1104" t="n">
        <f aca="false">'Смета Внутр'!H1197</f>
        <v>0</v>
      </c>
      <c r="J1197" s="1109" t="n">
        <f aca="false">'Смета Внутр'!I1197</f>
        <v>0</v>
      </c>
    </row>
    <row r="1198" customFormat="false" ht="15" hidden="true" customHeight="true" outlineLevel="0" collapsed="false">
      <c r="B1198" s="1104" t="str">
        <f aca="false">'Смета Внутр'!B1198</f>
        <v>Конек</v>
      </c>
      <c r="C1198" s="1104" t="str">
        <f aca="false">'Смета Внутр'!C1198</f>
        <v>м.п.</v>
      </c>
      <c r="D1198" s="1109" t="n">
        <f aca="false">'Смета Внутр'!D1198</f>
        <v>28.6093426907597</v>
      </c>
      <c r="E1198" s="1104" t="n">
        <f aca="false">'Смета Внутр'!E1198</f>
        <v>200</v>
      </c>
      <c r="F1198" s="1104" t="n">
        <f aca="false">'Смета Внутр'!F1198</f>
        <v>0</v>
      </c>
      <c r="G1198" s="1104" t="n">
        <f aca="false">IF(E1198&gt;F1198,E1198,F1198)</f>
        <v>200</v>
      </c>
      <c r="H1198" s="1104" t="n">
        <f aca="false">'Смета Внутр'!G1198</f>
        <v>5721.86853815194</v>
      </c>
      <c r="I1198" s="1104" t="n">
        <f aca="false">'Смета Внутр'!H1198</f>
        <v>0</v>
      </c>
      <c r="J1198" s="1109" t="n">
        <f aca="false">'Смета Внутр'!I1198</f>
        <v>0</v>
      </c>
    </row>
    <row r="1199" customFormat="false" ht="15" hidden="true" customHeight="true" outlineLevel="0" collapsed="false">
      <c r="B1199" s="1104" t="str">
        <f aca="false">'Смета Внутр'!B1199</f>
        <v>Карнизная планка</v>
      </c>
      <c r="C1199" s="1104" t="str">
        <f aca="false">'Смета Внутр'!C1199</f>
        <v>м.п.</v>
      </c>
      <c r="D1199" s="1109" t="n">
        <f aca="false">'Смета Внутр'!D1199</f>
        <v>72</v>
      </c>
      <c r="E1199" s="1104" t="n">
        <f aca="false">'Смета Внутр'!E1199</f>
        <v>190</v>
      </c>
      <c r="F1199" s="1104" t="n">
        <f aca="false">'Смета Внутр'!F1199</f>
        <v>0</v>
      </c>
      <c r="G1199" s="1104" t="n">
        <f aca="false">IF(E1199&gt;F1199,E1199,F1199)</f>
        <v>190</v>
      </c>
      <c r="H1199" s="1104" t="n">
        <f aca="false">'Смета Внутр'!G1199</f>
        <v>13680</v>
      </c>
      <c r="I1199" s="1104" t="n">
        <f aca="false">'Смета Внутр'!H1199</f>
        <v>0</v>
      </c>
      <c r="J1199" s="1109" t="n">
        <f aca="false">'Смета Внутр'!I1199</f>
        <v>0</v>
      </c>
    </row>
    <row r="1200" customFormat="false" ht="15" hidden="true" customHeight="true" outlineLevel="0" collapsed="false">
      <c r="B1200" s="1104" t="str">
        <f aca="false">'Смета Внутр'!B1200</f>
        <v>ондулин</v>
      </c>
      <c r="C1200" s="1104" t="str">
        <f aca="false">'Смета Внутр'!C1200</f>
        <v>м2</v>
      </c>
      <c r="D1200" s="1109" t="n">
        <f aca="false">'Смета Внутр'!D1200</f>
        <v>0</v>
      </c>
      <c r="E1200" s="1104" t="n">
        <f aca="false">'Смета Внутр'!E1200</f>
        <v>180</v>
      </c>
      <c r="F1200" s="1104" t="n">
        <f aca="false">'Смета Внутр'!F1200</f>
        <v>0</v>
      </c>
      <c r="G1200" s="1104" t="n">
        <f aca="false">IF(E1200&gt;F1200,E1200,F1200)</f>
        <v>180</v>
      </c>
      <c r="H1200" s="1104" t="n">
        <f aca="false">'Смета Внутр'!G1200</f>
        <v>0</v>
      </c>
      <c r="I1200" s="1104" t="n">
        <f aca="false">'Смета Внутр'!H1200</f>
        <v>0</v>
      </c>
      <c r="J1200" s="1109" t="n">
        <f aca="false">'Смета Внутр'!I1200</f>
        <v>0</v>
      </c>
    </row>
    <row r="1201" customFormat="false" ht="15" hidden="true" customHeight="true" outlineLevel="0" collapsed="false">
      <c r="B1201" s="1104" t="str">
        <f aca="false">'Смета Внутр'!B1201</f>
        <v>Карнизная планка</v>
      </c>
      <c r="C1201" s="1104" t="str">
        <f aca="false">'Смета Внутр'!C1201</f>
        <v>м.п.</v>
      </c>
      <c r="D1201" s="1109" t="n">
        <f aca="false">'Смета Внутр'!D1201</f>
        <v>0</v>
      </c>
      <c r="E1201" s="1104" t="n">
        <f aca="false">'Смета Внутр'!E1201</f>
        <v>190</v>
      </c>
      <c r="F1201" s="1104" t="n">
        <f aca="false">'Смета Внутр'!F1201</f>
        <v>0</v>
      </c>
      <c r="G1201" s="1104" t="n">
        <f aca="false">IF(E1201&gt;F1201,E1201,F1201)</f>
        <v>190</v>
      </c>
      <c r="H1201" s="1104" t="n">
        <f aca="false">'Смета Внутр'!G1201</f>
        <v>0</v>
      </c>
      <c r="I1201" s="1104" t="n">
        <f aca="false">'Смета Внутр'!H1201</f>
        <v>0</v>
      </c>
      <c r="J1201" s="1109" t="n">
        <f aca="false">'Смета Внутр'!I1201</f>
        <v>0</v>
      </c>
    </row>
    <row r="1202" customFormat="false" ht="15" hidden="true" customHeight="true" outlineLevel="0" collapsed="false">
      <c r="B1202" s="1104" t="str">
        <f aca="false">'Смета Внутр'!B1202</f>
        <v>Конек</v>
      </c>
      <c r="C1202" s="1104" t="str">
        <f aca="false">'Смета Внутр'!C1202</f>
        <v>м.п.</v>
      </c>
      <c r="D1202" s="1109" t="n">
        <f aca="false">'Смета Внутр'!D1202</f>
        <v>0</v>
      </c>
      <c r="E1202" s="1104" t="n">
        <f aca="false">'Смета Внутр'!E1202</f>
        <v>200</v>
      </c>
      <c r="F1202" s="1104" t="n">
        <f aca="false">'Смета Внутр'!F1202</f>
        <v>0</v>
      </c>
      <c r="G1202" s="1104" t="n">
        <f aca="false">IF(E1202&gt;F1202,E1202,F1202)</f>
        <v>200</v>
      </c>
      <c r="H1202" s="1104" t="n">
        <f aca="false">'Смета Внутр'!G1202</f>
        <v>0</v>
      </c>
      <c r="I1202" s="1104" t="n">
        <f aca="false">'Смета Внутр'!H1202</f>
        <v>0</v>
      </c>
      <c r="J1202" s="1109" t="n">
        <f aca="false">'Смета Внутр'!I1202</f>
        <v>0</v>
      </c>
    </row>
    <row r="1203" customFormat="false" ht="15" hidden="true" customHeight="true" outlineLevel="0" collapsed="false">
      <c r="B1203" s="1104" t="str">
        <f aca="false">'Смета Внутр'!B1203</f>
        <v>Крепеж для ондулина</v>
      </c>
      <c r="C1203" s="1104" t="str">
        <f aca="false">'Смета Внутр'!C1203</f>
        <v>шт</v>
      </c>
      <c r="D1203" s="1109" t="n">
        <f aca="false">'Смета Внутр'!D1203</f>
        <v>0</v>
      </c>
      <c r="E1203" s="1104" t="n">
        <f aca="false">'Смета Внутр'!E1203</f>
        <v>4.5</v>
      </c>
      <c r="F1203" s="1104" t="n">
        <f aca="false">'Смета Внутр'!F1203</f>
        <v>0</v>
      </c>
      <c r="G1203" s="1104" t="n">
        <f aca="false">IF(E1203&gt;F1203,E1203,F1203)</f>
        <v>4.5</v>
      </c>
      <c r="H1203" s="1104" t="n">
        <f aca="false">'Смета Внутр'!G1203</f>
        <v>0</v>
      </c>
      <c r="I1203" s="1104" t="n">
        <f aca="false">'Смета Внутр'!H1203</f>
        <v>0</v>
      </c>
      <c r="J1203" s="1109" t="n">
        <f aca="false">'Смета Внутр'!I1203</f>
        <v>0</v>
      </c>
    </row>
    <row r="1204" customFormat="false" ht="15" hidden="true" customHeight="true" outlineLevel="0" collapsed="false">
      <c r="B1204" s="1104" t="str">
        <f aca="false">'Смета Внутр'!B1204</f>
        <v>нет</v>
      </c>
      <c r="C1204" s="1104" t="str">
        <f aca="false">'Смета Внутр'!C1204</f>
        <v>м2</v>
      </c>
      <c r="D1204" s="1109" t="n">
        <f aca="false">'Смета Внутр'!D1204</f>
        <v>148.08402768441</v>
      </c>
      <c r="E1204" s="1104" t="n">
        <f aca="false">'Смета Внутр'!E1204</f>
        <v>0</v>
      </c>
      <c r="F1204" s="1104" t="n">
        <f aca="false">'Смета Внутр'!F1204</f>
        <v>0</v>
      </c>
      <c r="G1204" s="1104" t="n">
        <f aca="false">IF(E1204&gt;F1204,E1204,F1204)</f>
        <v>0</v>
      </c>
      <c r="H1204" s="1104" t="n">
        <f aca="false">'Смета Внутр'!G1204</f>
        <v>0</v>
      </c>
      <c r="I1204" s="1104" t="n">
        <f aca="false">'Смета Внутр'!H1204</f>
        <v>0</v>
      </c>
      <c r="J1204" s="1109" t="n">
        <f aca="false">'Смета Внутр'!I1204</f>
        <v>0</v>
      </c>
    </row>
    <row r="1205" customFormat="false" ht="15" hidden="true" customHeight="true" outlineLevel="0" collapsed="false">
      <c r="B1205" s="1104" t="str">
        <f aca="false">'Смета Внутр'!B1205</f>
        <v>Рядовая черепица</v>
      </c>
      <c r="C1205" s="1104" t="str">
        <f aca="false">'Смета Внутр'!C1205</f>
        <v>м.п.</v>
      </c>
      <c r="D1205" s="1109" t="n">
        <f aca="false">'Смета Внутр'!D1205</f>
        <v>0</v>
      </c>
      <c r="E1205" s="1104" t="n">
        <f aca="false">'Смета Внутр'!E1205</f>
        <v>360</v>
      </c>
      <c r="F1205" s="1104" t="n">
        <f aca="false">'Смета Внутр'!F1205</f>
        <v>0</v>
      </c>
      <c r="G1205" s="1104" t="n">
        <f aca="false">IF(E1205&gt;F1205,E1205,F1205)</f>
        <v>360</v>
      </c>
      <c r="H1205" s="1104" t="n">
        <f aca="false">'Смета Внутр'!G1205</f>
        <v>0</v>
      </c>
      <c r="I1205" s="1104" t="n">
        <f aca="false">'Смета Внутр'!H1205</f>
        <v>0</v>
      </c>
      <c r="J1205" s="1109" t="n">
        <f aca="false">'Смета Внутр'!I1205</f>
        <v>0</v>
      </c>
    </row>
    <row r="1206" customFormat="false" ht="15" hidden="true" customHeight="true" outlineLevel="0" collapsed="false">
      <c r="B1206" s="1104" t="str">
        <f aca="false">'Смета Внутр'!B1206</f>
        <v>Металл оцинк защита (карниз)</v>
      </c>
      <c r="C1206" s="1104" t="str">
        <f aca="false">'Смета Внутр'!C1206</f>
        <v>м.п.</v>
      </c>
      <c r="D1206" s="1109" t="n">
        <f aca="false">'Смета Внутр'!D1206</f>
        <v>0</v>
      </c>
      <c r="E1206" s="1104" t="n">
        <f aca="false">'Смета Внутр'!E1206</f>
        <v>200</v>
      </c>
      <c r="F1206" s="1104" t="n">
        <f aca="false">'Смета Внутр'!F1206</f>
        <v>0</v>
      </c>
      <c r="G1206" s="1104" t="n">
        <f aca="false">IF(E1206&gt;F1206,E1206,F1206)</f>
        <v>200</v>
      </c>
      <c r="H1206" s="1104" t="n">
        <f aca="false">'Смета Внутр'!G1206</f>
        <v>0</v>
      </c>
      <c r="I1206" s="1104" t="n">
        <f aca="false">'Смета Внутр'!H1206</f>
        <v>0</v>
      </c>
      <c r="J1206" s="1109" t="n">
        <f aca="false">'Смета Внутр'!I1206</f>
        <v>0</v>
      </c>
    </row>
    <row r="1207" customFormat="false" ht="15" hidden="true" customHeight="true" outlineLevel="0" collapsed="false">
      <c r="B1207" s="1104" t="str">
        <f aca="false">'Смета Внутр'!B1207</f>
        <v>Подкладочный ковер</v>
      </c>
      <c r="C1207" s="1104" t="str">
        <f aca="false">'Смета Внутр'!C1207</f>
        <v>м2</v>
      </c>
      <c r="D1207" s="1109" t="n">
        <f aca="false">'Смета Внутр'!D1207</f>
        <v>0</v>
      </c>
      <c r="E1207" s="1104" t="n">
        <f aca="false">'Смета Внутр'!E1207</f>
        <v>220</v>
      </c>
      <c r="F1207" s="1104" t="n">
        <f aca="false">'Смета Внутр'!F1207</f>
        <v>0</v>
      </c>
      <c r="G1207" s="1104" t="n">
        <f aca="false">IF(E1207&gt;F1207,E1207,F1207)</f>
        <v>220</v>
      </c>
      <c r="H1207" s="1104" t="n">
        <f aca="false">'Смета Внутр'!G1207</f>
        <v>0</v>
      </c>
      <c r="I1207" s="1104" t="n">
        <f aca="false">'Смета Внутр'!H1207</f>
        <v>0</v>
      </c>
      <c r="J1207" s="1109" t="n">
        <f aca="false">'Смета Внутр'!I1207</f>
        <v>0</v>
      </c>
    </row>
    <row r="1208" customFormat="false" ht="15" hidden="true" customHeight="true" outlineLevel="0" collapsed="false">
      <c r="B1208" s="1104" t="str">
        <f aca="false">'Смета Внутр'!B1208</f>
        <v>Карнизная самоклеющаяся черепица</v>
      </c>
      <c r="C1208" s="1104" t="str">
        <f aca="false">'Смета Внутр'!C1208</f>
        <v>м2</v>
      </c>
      <c r="D1208" s="1109" t="n">
        <f aca="false">'Смета Внутр'!D1208</f>
        <v>0</v>
      </c>
      <c r="E1208" s="1104" t="n">
        <f aca="false">'Смета Внутр'!E1208</f>
        <v>220</v>
      </c>
      <c r="F1208" s="1104" t="n">
        <f aca="false">'Смета Внутр'!F1208</f>
        <v>0</v>
      </c>
      <c r="G1208" s="1104" t="n">
        <f aca="false">IF(E1208&gt;F1208,E1208,F1208)</f>
        <v>220</v>
      </c>
      <c r="H1208" s="1104" t="n">
        <f aca="false">'Смета Внутр'!G1208</f>
        <v>0</v>
      </c>
      <c r="I1208" s="1104" t="n">
        <f aca="false">'Смета Внутр'!H1208</f>
        <v>0</v>
      </c>
      <c r="J1208" s="1109" t="n">
        <f aca="false">'Смета Внутр'!I1208</f>
        <v>0</v>
      </c>
    </row>
    <row r="1209" customFormat="false" ht="15" hidden="true" customHeight="true" outlineLevel="0" collapsed="false">
      <c r="B1209" s="1104" t="str">
        <f aca="false">'Смета Внутр'!B1209</f>
        <v>Спец ковер ендова нижняя</v>
      </c>
      <c r="C1209" s="1104" t="str">
        <f aca="false">'Смета Внутр'!C1209</f>
        <v>м.п</v>
      </c>
      <c r="D1209" s="1109" t="n">
        <f aca="false">'Смета Внутр'!D1209</f>
        <v>0</v>
      </c>
      <c r="E1209" s="1104" t="n">
        <f aca="false">'Смета Внутр'!E1209</f>
        <v>200</v>
      </c>
      <c r="F1209" s="1104" t="n">
        <f aca="false">'Смета Внутр'!F1209</f>
        <v>0</v>
      </c>
      <c r="G1209" s="1104" t="n">
        <f aca="false">IF(E1209&gt;F1209,E1209,F1209)</f>
        <v>200</v>
      </c>
      <c r="H1209" s="1104" t="n">
        <f aca="false">'Смета Внутр'!G1209</f>
        <v>0</v>
      </c>
      <c r="I1209" s="1104" t="n">
        <f aca="false">'Смета Внутр'!H1209</f>
        <v>0</v>
      </c>
      <c r="J1209" s="1109" t="n">
        <f aca="false">'Смета Внутр'!I1209</f>
        <v>0</v>
      </c>
    </row>
    <row r="1210" customFormat="false" ht="15" hidden="true" customHeight="true" outlineLevel="0" collapsed="false">
      <c r="B1210" s="1104" t="str">
        <f aca="false">'Смета Внутр'!B1210</f>
        <v>Коньковой элемент</v>
      </c>
      <c r="C1210" s="1104" t="str">
        <f aca="false">'Смета Внутр'!C1210</f>
        <v>м.п</v>
      </c>
      <c r="D1210" s="1109" t="n">
        <f aca="false">'Смета Внутр'!D1210</f>
        <v>0</v>
      </c>
      <c r="E1210" s="1104" t="n">
        <f aca="false">'Смета Внутр'!E1210</f>
        <v>250</v>
      </c>
      <c r="F1210" s="1104" t="n">
        <f aca="false">'Смета Внутр'!F1210</f>
        <v>0</v>
      </c>
      <c r="G1210" s="1104" t="n">
        <f aca="false">IF(E1210&gt;F1210,E1210,F1210)</f>
        <v>250</v>
      </c>
      <c r="H1210" s="1104" t="n">
        <f aca="false">'Смета Внутр'!G1210</f>
        <v>0</v>
      </c>
      <c r="I1210" s="1104" t="n">
        <f aca="false">'Смета Внутр'!H1210</f>
        <v>0</v>
      </c>
      <c r="J1210" s="1109" t="n">
        <f aca="false">'Смета Внутр'!I1210</f>
        <v>0</v>
      </c>
    </row>
    <row r="1211" customFormat="false" ht="15" hidden="true" customHeight="true" outlineLevel="0" collapsed="false">
      <c r="B1211" s="1104" t="str">
        <f aca="false">'Смета Внутр'!B1211</f>
        <v>Планка премыкания</v>
      </c>
      <c r="C1211" s="1104" t="str">
        <f aca="false">'Смета Внутр'!C1211</f>
        <v>м.п.</v>
      </c>
      <c r="D1211" s="1109" t="n">
        <f aca="false">'Смета Внутр'!D1211</f>
        <v>0</v>
      </c>
      <c r="E1211" s="1104" t="n">
        <f aca="false">'Смета Внутр'!E1211</f>
        <v>200</v>
      </c>
      <c r="F1211" s="1104" t="n">
        <f aca="false">'Смета Внутр'!F1211</f>
        <v>0</v>
      </c>
      <c r="G1211" s="1104" t="n">
        <f aca="false">IF(E1211&gt;F1211,E1211,F1211)</f>
        <v>200</v>
      </c>
      <c r="H1211" s="1104" t="n">
        <f aca="false">'Смета Внутр'!G1211</f>
        <v>0</v>
      </c>
      <c r="I1211" s="1104" t="n">
        <f aca="false">'Смета Внутр'!H1211</f>
        <v>0</v>
      </c>
      <c r="J1211" s="1109" t="n">
        <f aca="false">'Смета Внутр'!I1211</f>
        <v>0</v>
      </c>
    </row>
    <row r="1212" customFormat="false" ht="15" hidden="true" customHeight="true" outlineLevel="0" collapsed="false">
      <c r="B1212" s="1104" t="str">
        <f aca="false">'Смета Внутр'!B1212</f>
        <v>Гвозди для крепления подкладочного ковра</v>
      </c>
      <c r="C1212" s="1104" t="str">
        <f aca="false">'Смета Внутр'!C1212</f>
        <v>шт</v>
      </c>
      <c r="D1212" s="1109" t="n">
        <f aca="false">'Смета Внутр'!D1212</f>
        <v>0</v>
      </c>
      <c r="E1212" s="1104" t="n">
        <f aca="false">'Смета Внутр'!E1212</f>
        <v>0.012</v>
      </c>
      <c r="F1212" s="1104" t="n">
        <f aca="false">'Смета Внутр'!F1212</f>
        <v>0</v>
      </c>
      <c r="G1212" s="1104" t="n">
        <f aca="false">IF(E1212&gt;F1212,E1212,F1212)</f>
        <v>0.012</v>
      </c>
      <c r="H1212" s="1104" t="n">
        <f aca="false">'Смета Внутр'!G1212</f>
        <v>0</v>
      </c>
      <c r="I1212" s="1104" t="n">
        <f aca="false">'Смета Внутр'!H1212</f>
        <v>0</v>
      </c>
      <c r="J1212" s="1109" t="n">
        <f aca="false">'Смета Внутр'!I1212</f>
        <v>0</v>
      </c>
    </row>
    <row r="1213" customFormat="false" ht="15" hidden="true" customHeight="true" outlineLevel="0" collapsed="false">
      <c r="B1213" s="1104" t="str">
        <f aca="false">'Смета Внутр'!B1213</f>
        <v>Гвозди для крепления черепицы</v>
      </c>
      <c r="C1213" s="1104" t="str">
        <f aca="false">'Смета Внутр'!C1213</f>
        <v>шт</v>
      </c>
      <c r="D1213" s="1109" t="n">
        <f aca="false">'Смета Внутр'!D1213</f>
        <v>0</v>
      </c>
      <c r="E1213" s="1104" t="n">
        <f aca="false">'Смета Внутр'!E1213</f>
        <v>0.25</v>
      </c>
      <c r="F1213" s="1104" t="n">
        <f aca="false">'Смета Внутр'!F1213</f>
        <v>0</v>
      </c>
      <c r="G1213" s="1104" t="n">
        <f aca="false">IF(E1213&gt;F1213,E1213,F1213)</f>
        <v>0.25</v>
      </c>
      <c r="H1213" s="1104" t="n">
        <f aca="false">'Смета Внутр'!G1213</f>
        <v>0</v>
      </c>
      <c r="I1213" s="1104" t="n">
        <f aca="false">'Смета Внутр'!H1213</f>
        <v>0</v>
      </c>
      <c r="J1213" s="1109" t="n">
        <f aca="false">'Смета Внутр'!I1213</f>
        <v>0</v>
      </c>
    </row>
    <row r="1214" customFormat="false" ht="15" hidden="true" customHeight="true" outlineLevel="0" collapsed="false">
      <c r="B1214" s="1104" t="str">
        <f aca="false">'Смета Внутр'!B1214</f>
        <v>Клей для монтажа черепицы</v>
      </c>
      <c r="C1214" s="1104" t="str">
        <f aca="false">'Смета Внутр'!C1214</f>
        <v>кг</v>
      </c>
      <c r="D1214" s="1109" t="n">
        <f aca="false">'Смета Внутр'!D1214</f>
        <v>0</v>
      </c>
      <c r="E1214" s="1104" t="n">
        <f aca="false">'Смета Внутр'!E1214</f>
        <v>250</v>
      </c>
      <c r="F1214" s="1104" t="n">
        <f aca="false">'Смета Внутр'!F1214</f>
        <v>0</v>
      </c>
      <c r="G1214" s="1104" t="n">
        <f aca="false">IF(E1214&gt;F1214,E1214,F1214)</f>
        <v>250</v>
      </c>
      <c r="H1214" s="1104" t="n">
        <f aca="false">'Смета Внутр'!G1214</f>
        <v>0</v>
      </c>
      <c r="I1214" s="1104" t="n">
        <f aca="false">'Смета Внутр'!H1214</f>
        <v>0</v>
      </c>
      <c r="J1214" s="1109" t="n">
        <f aca="false">'Смета Внутр'!I1214</f>
        <v>0</v>
      </c>
    </row>
    <row r="1215" customFormat="false" ht="15" hidden="true" customHeight="true" outlineLevel="0" collapsed="false">
      <c r="B1215" s="1104" t="str">
        <f aca="false">'Смета Внутр'!B1215</f>
        <v>желоб</v>
      </c>
      <c r="C1215" s="1104" t="str">
        <f aca="false">'Смета Внутр'!C1215</f>
        <v>м.п</v>
      </c>
      <c r="D1215" s="1109" t="n">
        <f aca="false">'Смета Внутр'!D1215</f>
        <v>34</v>
      </c>
      <c r="E1215" s="1104" t="n">
        <f aca="false">'Смета Внутр'!E1215</f>
        <v>300</v>
      </c>
      <c r="F1215" s="1104" t="n">
        <f aca="false">'Смета Внутр'!F1215</f>
        <v>0</v>
      </c>
      <c r="G1215" s="1104" t="n">
        <f aca="false">IF(E1215&gt;F1215,E1215,F1215)</f>
        <v>300</v>
      </c>
      <c r="H1215" s="1104" t="n">
        <f aca="false">'Смета Внутр'!G1215</f>
        <v>10200</v>
      </c>
      <c r="I1215" s="1104" t="n">
        <f aca="false">'Смета Внутр'!H1215</f>
        <v>0</v>
      </c>
      <c r="J1215" s="1109" t="n">
        <f aca="false">'Смета Внутр'!I1215</f>
        <v>0</v>
      </c>
    </row>
    <row r="1216" customFormat="false" ht="15" hidden="true" customHeight="true" outlineLevel="0" collapsed="false">
      <c r="B1216" s="1104" t="str">
        <f aca="false">'Смета Внутр'!B1216</f>
        <v>отвод</v>
      </c>
      <c r="C1216" s="1104" t="str">
        <f aca="false">'Смета Внутр'!C1216</f>
        <v>шт</v>
      </c>
      <c r="D1216" s="1109" t="n">
        <f aca="false">'Смета Внутр'!D1216</f>
        <v>4</v>
      </c>
      <c r="E1216" s="1104" t="n">
        <f aca="false">'Смета Внутр'!E1216</f>
        <v>250</v>
      </c>
      <c r="F1216" s="1104" t="n">
        <f aca="false">'Смета Внутр'!F1216</f>
        <v>0</v>
      </c>
      <c r="G1216" s="1104" t="n">
        <f aca="false">IF(E1216&gt;F1216,E1216,F1216)</f>
        <v>250</v>
      </c>
      <c r="H1216" s="1104" t="n">
        <f aca="false">'Смета Внутр'!G1216</f>
        <v>1000</v>
      </c>
      <c r="I1216" s="1104" t="n">
        <f aca="false">'Смета Внутр'!H1216</f>
        <v>0</v>
      </c>
      <c r="J1216" s="1109" t="n">
        <f aca="false">'Смета Внутр'!I1216</f>
        <v>0</v>
      </c>
    </row>
    <row r="1217" customFormat="false" ht="15" hidden="true" customHeight="true" outlineLevel="0" collapsed="false">
      <c r="B1217" s="1104" t="str">
        <f aca="false">'Смета Внутр'!B1217</f>
        <v>труба водосточная</v>
      </c>
      <c r="C1217" s="1104" t="str">
        <f aca="false">'Смета Внутр'!C1217</f>
        <v>м.п.</v>
      </c>
      <c r="D1217" s="1109" t="n">
        <f aca="false">'Смета Внутр'!D1217</f>
        <v>9.68</v>
      </c>
      <c r="E1217" s="1104" t="n">
        <f aca="false">'Смета Внутр'!E1217</f>
        <v>300</v>
      </c>
      <c r="F1217" s="1104" t="n">
        <f aca="false">'Смета Внутр'!F1217</f>
        <v>0</v>
      </c>
      <c r="G1217" s="1104" t="n">
        <f aca="false">IF(E1217&gt;F1217,E1217,F1217)</f>
        <v>300</v>
      </c>
      <c r="H1217" s="1104" t="n">
        <f aca="false">'Смета Внутр'!G1217</f>
        <v>2904</v>
      </c>
      <c r="I1217" s="1104" t="n">
        <f aca="false">'Смета Внутр'!H1217</f>
        <v>0</v>
      </c>
      <c r="J1217" s="1109" t="n">
        <f aca="false">'Смета Внутр'!I1217</f>
        <v>0</v>
      </c>
    </row>
    <row r="1218" customFormat="false" ht="15" hidden="true" customHeight="true" outlineLevel="0" collapsed="false">
      <c r="B1218" s="1104" t="str">
        <f aca="false">'Смета Внутр'!B1218</f>
        <v>заглушка для желоба</v>
      </c>
      <c r="C1218" s="1104" t="str">
        <f aca="false">'Смета Внутр'!C1218</f>
        <v>шт</v>
      </c>
      <c r="D1218" s="1109" t="n">
        <f aca="false">'Смета Внутр'!D1218</f>
        <v>4</v>
      </c>
      <c r="E1218" s="1104" t="n">
        <f aca="false">'Смета Внутр'!E1218</f>
        <v>190</v>
      </c>
      <c r="F1218" s="1104" t="n">
        <f aca="false">'Смета Внутр'!F1218</f>
        <v>0</v>
      </c>
      <c r="G1218" s="1104" t="n">
        <f aca="false">IF(E1218&gt;F1218,E1218,F1218)</f>
        <v>190</v>
      </c>
      <c r="H1218" s="1104" t="n">
        <f aca="false">'Смета Внутр'!G1218</f>
        <v>760</v>
      </c>
      <c r="I1218" s="1104" t="n">
        <f aca="false">'Смета Внутр'!H1218</f>
        <v>0</v>
      </c>
      <c r="J1218" s="1109" t="n">
        <f aca="false">'Смета Внутр'!I1218</f>
        <v>0</v>
      </c>
    </row>
    <row r="1219" customFormat="false" ht="15" hidden="true" customHeight="true" outlineLevel="0" collapsed="false">
      <c r="B1219" s="1104" t="str">
        <f aca="false">'Смета Внутр'!B1219</f>
        <v>соеденитель для желоба</v>
      </c>
      <c r="C1219" s="1104" t="str">
        <f aca="false">'Смета Внутр'!C1219</f>
        <v>шт</v>
      </c>
      <c r="D1219" s="1109" t="n">
        <f aca="false">'Смета Внутр'!D1219</f>
        <v>12.3333333333333</v>
      </c>
      <c r="E1219" s="1104" t="n">
        <f aca="false">'Смета Внутр'!E1219</f>
        <v>180</v>
      </c>
      <c r="F1219" s="1104" t="n">
        <f aca="false">'Смета Внутр'!F1219</f>
        <v>0</v>
      </c>
      <c r="G1219" s="1104" t="n">
        <f aca="false">IF(E1219&gt;F1219,E1219,F1219)</f>
        <v>180</v>
      </c>
      <c r="H1219" s="1104" t="n">
        <f aca="false">'Смета Внутр'!G1219</f>
        <v>2220</v>
      </c>
      <c r="I1219" s="1104" t="n">
        <f aca="false">'Смета Внутр'!H1219</f>
        <v>0</v>
      </c>
      <c r="J1219" s="1109" t="n">
        <f aca="false">'Смета Внутр'!I1219</f>
        <v>0</v>
      </c>
    </row>
    <row r="1220" customFormat="false" ht="15" hidden="true" customHeight="true" outlineLevel="0" collapsed="false">
      <c r="B1220" s="1104" t="str">
        <f aca="false">'Смета Внутр'!B1220</f>
        <v>кронштейн для желоба</v>
      </c>
      <c r="C1220" s="1104" t="str">
        <f aca="false">'Смета Внутр'!C1220</f>
        <v>шт</v>
      </c>
      <c r="D1220" s="1109" t="n">
        <f aca="false">'Смета Внутр'!D1220</f>
        <v>113.333333333333</v>
      </c>
      <c r="E1220" s="1104" t="n">
        <f aca="false">'Смета Внутр'!E1220</f>
        <v>130</v>
      </c>
      <c r="F1220" s="1104" t="n">
        <f aca="false">'Смета Внутр'!F1220</f>
        <v>0</v>
      </c>
      <c r="G1220" s="1104" t="n">
        <f aca="false">IF(E1220&gt;F1220,E1220,F1220)</f>
        <v>130</v>
      </c>
      <c r="H1220" s="1104" t="n">
        <f aca="false">'Смета Внутр'!G1220</f>
        <v>14733.3333333333</v>
      </c>
      <c r="I1220" s="1104" t="n">
        <f aca="false">'Смета Внутр'!H1220</f>
        <v>0</v>
      </c>
      <c r="J1220" s="1109" t="n">
        <f aca="false">'Смета Внутр'!I1220</f>
        <v>0</v>
      </c>
    </row>
    <row r="1221" customFormat="false" ht="15" hidden="true" customHeight="true" outlineLevel="0" collapsed="false">
      <c r="B1221" s="1104" t="str">
        <f aca="false">'Смета Внутр'!B1221</f>
        <v>переход из желоба в трубу</v>
      </c>
      <c r="C1221" s="1104" t="str">
        <f aca="false">'Смета Внутр'!C1221</f>
        <v>шт</v>
      </c>
      <c r="D1221" s="1109" t="n">
        <f aca="false">'Смета Внутр'!D1221</f>
        <v>2</v>
      </c>
      <c r="E1221" s="1104" t="n">
        <f aca="false">'Смета Внутр'!E1221</f>
        <v>350</v>
      </c>
      <c r="F1221" s="1104" t="n">
        <f aca="false">'Смета Внутр'!F1221</f>
        <v>0</v>
      </c>
      <c r="G1221" s="1104" t="n">
        <f aca="false">IF(E1221&gt;F1221,E1221,F1221)</f>
        <v>350</v>
      </c>
      <c r="H1221" s="1104" t="n">
        <f aca="false">'Смета Внутр'!G1221</f>
        <v>700</v>
      </c>
      <c r="I1221" s="1104" t="n">
        <f aca="false">'Смета Внутр'!H1221</f>
        <v>0</v>
      </c>
      <c r="J1221" s="1109" t="n">
        <f aca="false">'Смета Внутр'!I1221</f>
        <v>0</v>
      </c>
    </row>
    <row r="1222" customFormat="false" ht="15" hidden="true" customHeight="true" outlineLevel="0" collapsed="false">
      <c r="B1222" s="1104" t="str">
        <f aca="false">'Смета Внутр'!B1222</f>
        <v>лента дельта мульти бэнд</v>
      </c>
      <c r="C1222" s="1104" t="str">
        <f aca="false">'Смета Внутр'!C1222</f>
        <v>шт</v>
      </c>
      <c r="D1222" s="1109" t="n">
        <f aca="false">'Смета Внутр'!D1222</f>
        <v>1</v>
      </c>
      <c r="E1222" s="1104" t="n">
        <f aca="false">'Смета Внутр'!E1222</f>
        <v>1200</v>
      </c>
      <c r="F1222" s="1104" t="n">
        <f aca="false">'Смета Внутр'!F1222</f>
        <v>0</v>
      </c>
      <c r="G1222" s="1104" t="n">
        <f aca="false">IF(E1222&gt;F1222,E1222,F1222)</f>
        <v>1200</v>
      </c>
      <c r="H1222" s="1104" t="n">
        <f aca="false">'Смета Внутр'!G1222</f>
        <v>1200</v>
      </c>
      <c r="I1222" s="1104" t="n">
        <f aca="false">'Смета Внутр'!H1222</f>
        <v>0</v>
      </c>
      <c r="J1222" s="1109" t="n">
        <f aca="false">'Смета Внутр'!I1222</f>
        <v>0</v>
      </c>
    </row>
    <row r="1223" customFormat="false" ht="15" hidden="true" customHeight="true" outlineLevel="0" collapsed="false">
      <c r="B1223" s="1104" t="str">
        <f aca="false">'Смета Внутр'!B1223</f>
        <v>лента дельта sb-60</v>
      </c>
      <c r="C1223" s="1104" t="str">
        <f aca="false">'Смета Внутр'!C1223</f>
        <v>шт</v>
      </c>
      <c r="D1223" s="1109" t="n">
        <f aca="false">'Смета Внутр'!D1223</f>
        <v>7.05162036592427</v>
      </c>
      <c r="E1223" s="1104" t="n">
        <f aca="false">'Смета Внутр'!E1223</f>
        <v>1100</v>
      </c>
      <c r="F1223" s="1104" t="n">
        <f aca="false">'Смета Внутр'!F1223</f>
        <v>0</v>
      </c>
      <c r="G1223" s="1104" t="n">
        <f aca="false">IF(E1223&gt;F1223,E1223,F1223)</f>
        <v>1100</v>
      </c>
      <c r="H1223" s="1104" t="n">
        <f aca="false">'Смета Внутр'!G1223</f>
        <v>7756.7824025167</v>
      </c>
      <c r="I1223" s="1104" t="n">
        <f aca="false">'Смета Внутр'!H1223</f>
        <v>0</v>
      </c>
      <c r="J1223" s="1109" t="n">
        <f aca="false">'Смета Внутр'!I1223</f>
        <v>0</v>
      </c>
    </row>
    <row r="1224" customFormat="false" ht="15" hidden="true" customHeight="true" outlineLevel="0" collapsed="false">
      <c r="B1224" s="1104" t="str">
        <f aca="false">'Смета Внутр'!B1224</f>
        <v>проходка кровельная, канализационная</v>
      </c>
      <c r="C1224" s="1104" t="str">
        <f aca="false">'Смета Внутр'!C1224</f>
        <v>шт</v>
      </c>
      <c r="D1224" s="1109" t="n">
        <f aca="false">'Смета Внутр'!D1224</f>
        <v>0</v>
      </c>
      <c r="E1224" s="1104" t="n">
        <f aca="false">'Смета Внутр'!E1224</f>
        <v>3500</v>
      </c>
      <c r="F1224" s="1104" t="n">
        <f aca="false">'Смета Внутр'!F1224</f>
        <v>0</v>
      </c>
      <c r="G1224" s="1104" t="n">
        <f aca="false">IF(E1224&gt;F1224,E1224,F1224)</f>
        <v>3500</v>
      </c>
      <c r="H1224" s="1104" t="n">
        <f aca="false">'Смета Внутр'!G1224</f>
        <v>0</v>
      </c>
      <c r="I1224" s="1104" t="n">
        <f aca="false">'Смета Внутр'!H1224</f>
        <v>0</v>
      </c>
      <c r="J1224" s="1109" t="n">
        <f aca="false">'Смета Внутр'!I1224</f>
        <v>0</v>
      </c>
    </row>
    <row r="1225" customFormat="false" ht="15" hidden="true" customHeight="true" outlineLevel="0" collapsed="false">
      <c r="B1225" s="1104" t="str">
        <f aca="false">'Смета Внутр'!B1225</f>
        <v>проходка кровельная, вентиляционная</v>
      </c>
      <c r="C1225" s="1104" t="str">
        <f aca="false">'Смета Внутр'!C1225</f>
        <v>шт</v>
      </c>
      <c r="D1225" s="1109" t="n">
        <f aca="false">'Смета Внутр'!D1225</f>
        <v>0</v>
      </c>
      <c r="E1225" s="1104" t="n">
        <f aca="false">'Смета Внутр'!E1225</f>
        <v>3500</v>
      </c>
      <c r="F1225" s="1104" t="n">
        <f aca="false">'Смета Внутр'!F1225</f>
        <v>0</v>
      </c>
      <c r="G1225" s="1104" t="n">
        <f aca="false">IF(E1225&gt;F1225,E1225,F1225)</f>
        <v>3500</v>
      </c>
      <c r="H1225" s="1104" t="n">
        <f aca="false">'Смета Внутр'!G1225</f>
        <v>0</v>
      </c>
      <c r="I1225" s="1104" t="n">
        <f aca="false">'Смета Внутр'!H1225</f>
        <v>0</v>
      </c>
      <c r="J1225" s="1109" t="n">
        <f aca="false">'Смета Внутр'!I1225</f>
        <v>0</v>
      </c>
    </row>
    <row r="1226" customFormat="false" ht="15" hidden="true" customHeight="true" outlineLevel="0" collapsed="false">
      <c r="B1226" s="1104" t="str">
        <f aca="false">'Смета Внутр'!B1226</f>
        <v>проодка кровельная, труба котел</v>
      </c>
      <c r="C1226" s="1104" t="str">
        <f aca="false">'Смета Внутр'!C1226</f>
        <v>шт</v>
      </c>
      <c r="D1226" s="1109" t="n">
        <f aca="false">'Смета Внутр'!D1226</f>
        <v>0</v>
      </c>
      <c r="E1226" s="1104" t="n">
        <f aca="false">'Смета Внутр'!E1226</f>
        <v>4500</v>
      </c>
      <c r="F1226" s="1104" t="n">
        <f aca="false">'Смета Внутр'!F1226</f>
        <v>0</v>
      </c>
      <c r="G1226" s="1104" t="n">
        <f aca="false">IF(E1226&gt;F1226,E1226,F1226)</f>
        <v>4500</v>
      </c>
      <c r="H1226" s="1104" t="n">
        <f aca="false">'Смета Внутр'!G1226</f>
        <v>0</v>
      </c>
      <c r="I1226" s="1104" t="n">
        <f aca="false">'Смета Внутр'!H1226</f>
        <v>0</v>
      </c>
      <c r="J1226" s="1109" t="n">
        <f aca="false">'Смета Внутр'!I1226</f>
        <v>0</v>
      </c>
    </row>
    <row r="1227" customFormat="false" ht="15" hidden="true" customHeight="true" outlineLevel="0" collapsed="false">
      <c r="B1227" s="1104" t="str">
        <f aca="false">'Смета Внутр'!B1227</f>
        <v>Кровельный саморез</v>
      </c>
      <c r="C1227" s="1104" t="str">
        <f aca="false">'Смета Внутр'!C1227</f>
        <v>шт</v>
      </c>
      <c r="D1227" s="1109" t="n">
        <f aca="false">'Смета Внутр'!D1227</f>
        <v>1269.29166586637</v>
      </c>
      <c r="E1227" s="1104" t="n">
        <f aca="false">'Смета Внутр'!E1227</f>
        <v>2</v>
      </c>
      <c r="F1227" s="1104" t="n">
        <f aca="false">'Смета Внутр'!F1227</f>
        <v>0</v>
      </c>
      <c r="G1227" s="1104" t="n">
        <f aca="false">IF(E1227&gt;F1227,E1227,F1227)</f>
        <v>2</v>
      </c>
      <c r="H1227" s="1104" t="n">
        <f aca="false">'Смета Внутр'!G1227</f>
        <v>2538.58333173274</v>
      </c>
      <c r="I1227" s="1104" t="n">
        <f aca="false">'Смета Внутр'!H1227</f>
        <v>0</v>
      </c>
      <c r="J1227" s="1109" t="n">
        <f aca="false">'Смета Внутр'!I1227</f>
        <v>0</v>
      </c>
    </row>
    <row r="1228" customFormat="false" ht="15" hidden="true" customHeight="true" outlineLevel="0" collapsed="false">
      <c r="B1228" s="1104" t="str">
        <f aca="false">'Смета Внутр'!B1228</f>
        <v>Гвозди ершоные 3,4 x 60            </v>
      </c>
      <c r="C1228" s="1104" t="str">
        <f aca="false">'Смета Внутр'!C1228</f>
        <v>кг</v>
      </c>
      <c r="D1228" s="1109" t="n">
        <f aca="false">'Смета Внутр'!D1228</f>
        <v>11.1063020763307</v>
      </c>
      <c r="E1228" s="1104" t="n">
        <f aca="false">'Смета Внутр'!E1228</f>
        <v>75.51</v>
      </c>
      <c r="F1228" s="1104" t="n">
        <f aca="false">'Смета Внутр'!F1228</f>
        <v>0</v>
      </c>
      <c r="G1228" s="1104" t="n">
        <f aca="false">IF(E1228&gt;F1228,E1228,F1228)</f>
        <v>75.51</v>
      </c>
      <c r="H1228" s="1104" t="n">
        <f aca="false">'Смета Внутр'!G1228</f>
        <v>838.636869783733</v>
      </c>
      <c r="I1228" s="1104" t="n">
        <f aca="false">'Смета Внутр'!H1228</f>
        <v>0</v>
      </c>
      <c r="J1228" s="1109" t="n">
        <f aca="false">'Смета Внутр'!I1228</f>
        <v>0</v>
      </c>
    </row>
    <row r="1229" customFormat="false" ht="15" hidden="true" customHeight="true" outlineLevel="0" collapsed="false">
      <c r="B1229" s="1104" t="str">
        <f aca="false">'Смета Внутр'!B1229</f>
        <v>Гвозди строительные 3,5 x 90            </v>
      </c>
      <c r="C1229" s="1104" t="str">
        <f aca="false">'Смета Внутр'!C1229</f>
        <v>кг</v>
      </c>
      <c r="D1229" s="1109" t="n">
        <f aca="false">'Смета Внутр'!D1229</f>
        <v>15.5920749263852</v>
      </c>
      <c r="E1229" s="1104" t="n">
        <f aca="false">'Смета Внутр'!E1229</f>
        <v>76.49</v>
      </c>
      <c r="F1229" s="1104" t="n">
        <f aca="false">'Смета Внутр'!F1229</f>
        <v>0</v>
      </c>
      <c r="G1229" s="1104" t="n">
        <f aca="false">IF(E1229&gt;F1229,E1229,F1229)</f>
        <v>76.49</v>
      </c>
      <c r="H1229" s="1104" t="n">
        <f aca="false">'Смета Внутр'!G1229</f>
        <v>1192.6378111192</v>
      </c>
      <c r="I1229" s="1104" t="n">
        <f aca="false">'Смета Внутр'!H1229</f>
        <v>0</v>
      </c>
      <c r="J1229" s="1109" t="n">
        <f aca="false">'Смета Внутр'!I1229</f>
        <v>0</v>
      </c>
    </row>
    <row r="1230" customFormat="false" ht="15" hidden="true" customHeight="true" outlineLevel="0" collapsed="false">
      <c r="B1230" s="1104" t="str">
        <f aca="false">'Смета Внутр'!B1230</f>
        <v>Пластина соеденительная 100х240х2           </v>
      </c>
      <c r="C1230" s="1104" t="str">
        <f aca="false">'Смета Внутр'!C1230</f>
        <v>шт</v>
      </c>
      <c r="D1230" s="1109" t="n">
        <f aca="false">'Смета Внутр'!D1230</f>
        <v>15.1106150698377</v>
      </c>
      <c r="E1230" s="1104" t="n">
        <f aca="false">'Смета Внутр'!E1230</f>
        <v>31.54</v>
      </c>
      <c r="F1230" s="1104" t="n">
        <f aca="false">'Смета Внутр'!F1230</f>
        <v>0</v>
      </c>
      <c r="G1230" s="1104" t="n">
        <f aca="false">IF(E1230&gt;F1230,E1230,F1230)</f>
        <v>31.54</v>
      </c>
      <c r="H1230" s="1104" t="n">
        <f aca="false">'Смета Внутр'!G1230</f>
        <v>476.588799302682</v>
      </c>
      <c r="I1230" s="1104" t="n">
        <f aca="false">'Смета Внутр'!H1230</f>
        <v>0</v>
      </c>
      <c r="J1230" s="1109" t="n">
        <f aca="false">'Смета Внутр'!I1230</f>
        <v>0</v>
      </c>
    </row>
    <row r="1231" customFormat="false" ht="15" hidden="true" customHeight="true" outlineLevel="0" collapsed="false">
      <c r="B1231" s="1104" t="str">
        <f aca="false">'Смета Внутр'!B1231</f>
        <v>Уголок усиленный 90х70х55х2,5        </v>
      </c>
      <c r="C1231" s="1104" t="str">
        <f aca="false">'Смета Внутр'!C1231</f>
        <v>шт</v>
      </c>
      <c r="D1231" s="1109" t="n">
        <f aca="false">'Смета Внутр'!D1231</f>
        <v>211.548610977728</v>
      </c>
      <c r="E1231" s="1104" t="n">
        <f aca="false">'Смета Внутр'!E1231</f>
        <v>30</v>
      </c>
      <c r="F1231" s="1104" t="n">
        <f aca="false">'Смета Внутр'!F1231</f>
        <v>0</v>
      </c>
      <c r="G1231" s="1104" t="n">
        <f aca="false">IF(E1231&gt;F1231,E1231,F1231)</f>
        <v>30</v>
      </c>
      <c r="H1231" s="1104" t="n">
        <f aca="false">'Смета Внутр'!G1231</f>
        <v>6346.45832933184</v>
      </c>
      <c r="I1231" s="1104" t="n">
        <f aca="false">'Смета Внутр'!H1231</f>
        <v>0</v>
      </c>
      <c r="J1231" s="1109" t="n">
        <f aca="false">'Смета Внутр'!I1231</f>
        <v>0</v>
      </c>
    </row>
    <row r="1232" customFormat="false" ht="15" hidden="true" customHeight="false" outlineLevel="0" collapsed="false">
      <c r="B1232" s="1108" t="str">
        <f aca="false">'Смета Внутр'!B1232</f>
        <v>Итого материалы</v>
      </c>
      <c r="C1232" s="1108"/>
      <c r="D1232" s="1108"/>
      <c r="E1232" s="1108"/>
      <c r="F1232" s="1108"/>
      <c r="G1232" s="1108"/>
      <c r="H1232" s="1104" t="n">
        <f aca="false">'Смета Внутр'!G1232</f>
        <v>0</v>
      </c>
      <c r="I1232" s="1104" t="n">
        <f aca="false">'Смета Внутр'!H1232</f>
        <v>0</v>
      </c>
      <c r="J1232" s="1109" t="n">
        <f aca="false">'Смета Внутр'!I1232</f>
        <v>0</v>
      </c>
    </row>
    <row r="1233" customFormat="false" ht="15" hidden="true" customHeight="true" outlineLevel="0" collapsed="false">
      <c r="B1233" s="118" t="str">
        <f aca="false">'Смета Внутр'!B1233</f>
        <v>Работы</v>
      </c>
      <c r="H1233" s="118" t="n">
        <f aca="false">'Смета Внутр'!G1233</f>
        <v>0</v>
      </c>
      <c r="I1233" s="118" t="n">
        <f aca="false">'Смета Внутр'!H1233</f>
        <v>0</v>
      </c>
      <c r="J1233" s="1102" t="n">
        <f aca="false">'Смета Внутр'!I1233</f>
        <v>0</v>
      </c>
    </row>
    <row r="1234" customFormat="false" ht="15" hidden="true" customHeight="true" outlineLevel="0" collapsed="false">
      <c r="B1234" s="1104" t="str">
        <f aca="false">'Смета Внутр'!B1234</f>
        <v>монтаж мауэрлат</v>
      </c>
      <c r="C1234" s="1104" t="str">
        <f aca="false">'Смета Внутр'!C1234</f>
        <v>м.п.</v>
      </c>
      <c r="D1234" s="1109" t="n">
        <f aca="false">'Смета Внутр'!D1234</f>
        <v>32</v>
      </c>
      <c r="E1234" s="1104" t="n">
        <f aca="false">'Смета Внутр'!E1234</f>
        <v>250</v>
      </c>
      <c r="F1234" s="1104" t="n">
        <f aca="false">'Смета Внутр'!F1234</f>
        <v>0</v>
      </c>
      <c r="G1234" s="1104" t="n">
        <f aca="false">IF(E1234&gt;F1234,E1234,F1234)</f>
        <v>250</v>
      </c>
      <c r="H1234" s="1104" t="n">
        <f aca="false">'Смета Внутр'!G1234</f>
        <v>8000</v>
      </c>
      <c r="I1234" s="1104" t="n">
        <f aca="false">'Смета Внутр'!H1234</f>
        <v>0</v>
      </c>
      <c r="J1234" s="1109" t="n">
        <f aca="false">'Смета Внутр'!I1234</f>
        <v>0</v>
      </c>
    </row>
    <row r="1235" customFormat="false" ht="15" hidden="true" customHeight="true" outlineLevel="0" collapsed="false">
      <c r="B1235" s="1104" t="str">
        <f aca="false">'Смета Внутр'!B1235</f>
        <v>монтаж стропил</v>
      </c>
      <c r="C1235" s="1104" t="str">
        <f aca="false">'Смета Внутр'!C1235</f>
        <v>м2</v>
      </c>
      <c r="D1235" s="1109" t="n">
        <f aca="false">'Смета Внутр'!D1235</f>
        <v>105.774305488864</v>
      </c>
      <c r="E1235" s="1104" t="n">
        <f aca="false">'Смета Внутр'!E1235</f>
        <v>450</v>
      </c>
      <c r="F1235" s="1104" t="n">
        <f aca="false">'Смета Внутр'!F1235</f>
        <v>0</v>
      </c>
      <c r="G1235" s="1104" t="n">
        <f aca="false">IF(E1235&gt;F1235,E1235,F1235)</f>
        <v>450</v>
      </c>
      <c r="H1235" s="1104" t="n">
        <f aca="false">'Смета Внутр'!G1235</f>
        <v>47598.4374699888</v>
      </c>
      <c r="I1235" s="1104" t="n">
        <f aca="false">'Смета Внутр'!H1235</f>
        <v>0</v>
      </c>
      <c r="J1235" s="1109" t="n">
        <f aca="false">'Смета Внутр'!I1235</f>
        <v>0</v>
      </c>
    </row>
    <row r="1236" customFormat="false" ht="15" hidden="true" customHeight="true" outlineLevel="0" collapsed="false">
      <c r="B1236" s="1104" t="str">
        <f aca="false">'Смета Внутр'!B1236</f>
        <v>обрешетка</v>
      </c>
      <c r="C1236" s="1104" t="str">
        <f aca="false">'Смета Внутр'!C1236</f>
        <v>м2</v>
      </c>
      <c r="D1236" s="1109" t="n">
        <f aca="false">'Смета Внутр'!D1236</f>
        <v>105.774305488864</v>
      </c>
      <c r="E1236" s="1104" t="n">
        <f aca="false">'Смета Внутр'!E1236</f>
        <v>100</v>
      </c>
      <c r="F1236" s="1104" t="n">
        <f aca="false">'Смета Внутр'!F1236</f>
        <v>0</v>
      </c>
      <c r="G1236" s="1104" t="n">
        <f aca="false">IF(E1236&gt;F1236,E1236,F1236)</f>
        <v>100</v>
      </c>
      <c r="H1236" s="1104" t="n">
        <f aca="false">'Смета Внутр'!G1236</f>
        <v>10577.4305488864</v>
      </c>
      <c r="I1236" s="1104" t="n">
        <f aca="false">'Смета Внутр'!H1236</f>
        <v>0</v>
      </c>
      <c r="J1236" s="1109" t="n">
        <f aca="false">'Смета Внутр'!I1236</f>
        <v>0</v>
      </c>
    </row>
    <row r="1237" customFormat="false" ht="15" hidden="true" customHeight="true" outlineLevel="0" collapsed="false">
      <c r="B1237" s="1104" t="str">
        <f aca="false">'Смета Внутр'!B1237</f>
        <v>контробеш</v>
      </c>
      <c r="C1237" s="1104" t="str">
        <f aca="false">'Смета Внутр'!C1237</f>
        <v>м2</v>
      </c>
      <c r="D1237" s="1109" t="n">
        <f aca="false">'Смета Внутр'!D1237</f>
        <v>105.774305488864</v>
      </c>
      <c r="E1237" s="1104" t="n">
        <f aca="false">'Смета Внутр'!E1237</f>
        <v>100</v>
      </c>
      <c r="F1237" s="1104" t="n">
        <f aca="false">'Смета Внутр'!F1237</f>
        <v>0</v>
      </c>
      <c r="G1237" s="1104" t="n">
        <f aca="false">IF(E1237&gt;F1237,E1237,F1237)</f>
        <v>100</v>
      </c>
      <c r="H1237" s="1104" t="n">
        <f aca="false">'Смета Внутр'!G1237</f>
        <v>10577.4305488864</v>
      </c>
      <c r="I1237" s="1104" t="n">
        <f aca="false">'Смета Внутр'!H1237</f>
        <v>0</v>
      </c>
      <c r="J1237" s="1109" t="n">
        <f aca="false">'Смета Внутр'!I1237</f>
        <v>0</v>
      </c>
    </row>
    <row r="1238" customFormat="false" ht="15" hidden="true" customHeight="true" outlineLevel="0" collapsed="false">
      <c r="B1238" s="1104" t="str">
        <f aca="false">'Смета Внутр'!B1238</f>
        <v>мембрана</v>
      </c>
      <c r="C1238" s="1104" t="str">
        <f aca="false">'Смета Внутр'!C1238</f>
        <v>м2</v>
      </c>
      <c r="D1238" s="1109" t="n">
        <f aca="false">'Смета Внутр'!D1238</f>
        <v>105.774305488864</v>
      </c>
      <c r="E1238" s="1104" t="n">
        <f aca="false">'Смета Внутр'!E1238</f>
        <v>100</v>
      </c>
      <c r="F1238" s="1104" t="n">
        <f aca="false">'Смета Внутр'!F1238</f>
        <v>0</v>
      </c>
      <c r="G1238" s="1104" t="n">
        <f aca="false">IF(E1238&gt;F1238,E1238,F1238)</f>
        <v>100</v>
      </c>
      <c r="H1238" s="1104" t="n">
        <f aca="false">'Смета Внутр'!G1238</f>
        <v>10577.4305488864</v>
      </c>
      <c r="I1238" s="1104" t="n">
        <f aca="false">'Смета Внутр'!H1238</f>
        <v>0</v>
      </c>
      <c r="J1238" s="1109" t="n">
        <f aca="false">'Смета Внутр'!I1238</f>
        <v>0</v>
      </c>
    </row>
    <row r="1239" customFormat="false" ht="15" hidden="true" customHeight="true" outlineLevel="0" collapsed="false">
      <c r="B1239" s="1104" t="str">
        <f aca="false">'Смета Внутр'!B1239</f>
        <v>пароизоляц</v>
      </c>
      <c r="C1239" s="1104" t="str">
        <f aca="false">'Смета Внутр'!C1239</f>
        <v>м2</v>
      </c>
      <c r="D1239" s="1109" t="n">
        <f aca="false">'Смета Внутр'!D1239</f>
        <v>105.774305488864</v>
      </c>
      <c r="E1239" s="1104" t="n">
        <f aca="false">'Смета Внутр'!E1239</f>
        <v>100</v>
      </c>
      <c r="F1239" s="1104" t="n">
        <f aca="false">'Смета Внутр'!F1239</f>
        <v>0</v>
      </c>
      <c r="G1239" s="1104" t="n">
        <f aca="false">IF(E1239&gt;F1239,E1239,F1239)</f>
        <v>100</v>
      </c>
      <c r="H1239" s="1104" t="n">
        <f aca="false">'Смета Внутр'!G1239</f>
        <v>10577.4305488864</v>
      </c>
      <c r="I1239" s="1104" t="n">
        <f aca="false">'Смета Внутр'!H1239</f>
        <v>0</v>
      </c>
      <c r="J1239" s="1109" t="n">
        <f aca="false">'Смета Внутр'!I1239</f>
        <v>0</v>
      </c>
    </row>
    <row r="1240" customFormat="false" ht="15" hidden="true" customHeight="true" outlineLevel="0" collapsed="false">
      <c r="B1240" s="1104" t="str">
        <f aca="false">'Смета Внутр'!B1240</f>
        <v>утеплитель</v>
      </c>
      <c r="C1240" s="1104" t="str">
        <f aca="false">'Смета Внутр'!C1240</f>
        <v>м2</v>
      </c>
      <c r="D1240" s="1109" t="n">
        <f aca="false">'Смета Внутр'!D1240</f>
        <v>105.774305488864</v>
      </c>
      <c r="E1240" s="1104" t="n">
        <f aca="false">'Смета Внутр'!E1240</f>
        <v>200</v>
      </c>
      <c r="F1240" s="1104" t="n">
        <f aca="false">'Смета Внутр'!F1240</f>
        <v>0</v>
      </c>
      <c r="G1240" s="1104" t="n">
        <f aca="false">IF(E1240&gt;F1240,E1240,F1240)</f>
        <v>200</v>
      </c>
      <c r="H1240" s="1104" t="n">
        <f aca="false">'Смета Внутр'!G1240</f>
        <v>21154.8610977728</v>
      </c>
      <c r="I1240" s="1104" t="n">
        <f aca="false">'Смета Внутр'!H1240</f>
        <v>0</v>
      </c>
      <c r="J1240" s="1109" t="n">
        <f aca="false">'Смета Внутр'!I1240</f>
        <v>0</v>
      </c>
    </row>
    <row r="1241" customFormat="false" ht="15" hidden="true" customHeight="true" outlineLevel="0" collapsed="false">
      <c r="B1241" s="1104" t="str">
        <f aca="false">'Смета Внутр'!B1241</f>
        <v>Монтаж металлочерепицы</v>
      </c>
      <c r="C1241" s="1104" t="str">
        <f aca="false">'Смета Внутр'!C1241</f>
        <v>м2</v>
      </c>
      <c r="D1241" s="1109" t="n">
        <f aca="false">'Смета Внутр'!D1241</f>
        <v>96.1584595353309</v>
      </c>
      <c r="E1241" s="1104" t="n">
        <f aca="false">'Смета Внутр'!E1241</f>
        <v>300</v>
      </c>
      <c r="F1241" s="1104" t="n">
        <f aca="false">'Смета Внутр'!F1241</f>
        <v>0</v>
      </c>
      <c r="G1241" s="1104" t="n">
        <f aca="false">IF(E1241&gt;F1241,E1241,F1241)</f>
        <v>300</v>
      </c>
      <c r="H1241" s="1104" t="n">
        <f aca="false">'Смета Внутр'!G1241</f>
        <v>28847.5378605993</v>
      </c>
      <c r="I1241" s="1104" t="n">
        <f aca="false">'Смета Внутр'!H1241</f>
        <v>0</v>
      </c>
      <c r="J1241" s="1109" t="n">
        <f aca="false">'Смета Внутр'!I1241</f>
        <v>0</v>
      </c>
    </row>
    <row r="1242" customFormat="false" ht="15" hidden="true" customHeight="true" outlineLevel="0" collapsed="false">
      <c r="B1242" s="1104" t="str">
        <f aca="false">'Смета Внутр'!B1242</f>
        <v>Монтаж ондулина</v>
      </c>
      <c r="C1242" s="1104" t="str">
        <f aca="false">'Смета Внутр'!C1242</f>
        <v>м2</v>
      </c>
      <c r="D1242" s="1109" t="n">
        <f aca="false">'Смета Внутр'!D1242</f>
        <v>0</v>
      </c>
      <c r="E1242" s="1104" t="n">
        <f aca="false">'Смета Внутр'!E1242</f>
        <v>300</v>
      </c>
      <c r="F1242" s="1104" t="n">
        <f aca="false">'Смета Внутр'!F1242</f>
        <v>0</v>
      </c>
      <c r="G1242" s="1104" t="n">
        <f aca="false">IF(E1242&gt;F1242,E1242,F1242)</f>
        <v>300</v>
      </c>
      <c r="H1242" s="1104" t="n">
        <f aca="false">'Смета Внутр'!G1242</f>
        <v>0</v>
      </c>
      <c r="I1242" s="1104" t="n">
        <f aca="false">'Смета Внутр'!H1242</f>
        <v>0</v>
      </c>
      <c r="J1242" s="1109" t="n">
        <f aca="false">'Смета Внутр'!I1242</f>
        <v>0</v>
      </c>
    </row>
    <row r="1243" customFormat="false" ht="15" hidden="true" customHeight="true" outlineLevel="0" collapsed="false">
      <c r="B1243" s="1104" t="str">
        <f aca="false">'Смета Внутр'!B1243</f>
        <v>капельник планка</v>
      </c>
      <c r="C1243" s="1104" t="str">
        <f aca="false">'Смета Внутр'!C1243</f>
        <v>м.п.</v>
      </c>
      <c r="D1243" s="1109" t="n">
        <f aca="false">'Смета Внутр'!D1243</f>
        <v>72</v>
      </c>
      <c r="E1243" s="1104" t="n">
        <f aca="false">'Смета Внутр'!E1243</f>
        <v>100</v>
      </c>
      <c r="F1243" s="1104" t="n">
        <f aca="false">'Смета Внутр'!F1243</f>
        <v>0</v>
      </c>
      <c r="G1243" s="1104" t="n">
        <f aca="false">IF(E1243&gt;F1243,E1243,F1243)</f>
        <v>100</v>
      </c>
      <c r="H1243" s="1104" t="n">
        <f aca="false">'Смета Внутр'!G1243</f>
        <v>7200</v>
      </c>
      <c r="I1243" s="1104" t="n">
        <f aca="false">'Смета Внутр'!H1243</f>
        <v>0</v>
      </c>
      <c r="J1243" s="1109" t="n">
        <f aca="false">'Смета Внутр'!I1243</f>
        <v>0</v>
      </c>
    </row>
    <row r="1244" customFormat="false" ht="15" hidden="true" customHeight="true" outlineLevel="0" collapsed="false">
      <c r="B1244" s="1104" t="str">
        <f aca="false">'Смета Внутр'!B1244</f>
        <v>желоб водосточный</v>
      </c>
      <c r="C1244" s="1104" t="str">
        <f aca="false">'Смета Внутр'!C1244</f>
        <v>м.п.</v>
      </c>
      <c r="D1244" s="1109" t="n">
        <f aca="false">'Смета Внутр'!D1244</f>
        <v>34</v>
      </c>
      <c r="E1244" s="1104" t="n">
        <f aca="false">'Смета Внутр'!E1244</f>
        <v>300</v>
      </c>
      <c r="F1244" s="1104" t="n">
        <f aca="false">'Смета Внутр'!F1244</f>
        <v>0</v>
      </c>
      <c r="G1244" s="1104" t="n">
        <f aca="false">IF(E1244&gt;F1244,E1244,F1244)</f>
        <v>300</v>
      </c>
      <c r="H1244" s="1104" t="n">
        <f aca="false">'Смета Внутр'!G1244</f>
        <v>10200</v>
      </c>
      <c r="I1244" s="1104" t="n">
        <f aca="false">'Смета Внутр'!H1244</f>
        <v>0</v>
      </c>
      <c r="J1244" s="1109" t="n">
        <f aca="false">'Смета Внутр'!I1244</f>
        <v>0</v>
      </c>
    </row>
    <row r="1245" customFormat="false" ht="15" hidden="true" customHeight="true" outlineLevel="0" collapsed="false">
      <c r="B1245" s="1104" t="str">
        <f aca="false">'Смета Внутр'!B1245</f>
        <v>труба водосточная</v>
      </c>
      <c r="C1245" s="1104" t="str">
        <f aca="false">'Смета Внутр'!C1245</f>
        <v>м.п.</v>
      </c>
      <c r="D1245" s="1109" t="n">
        <f aca="false">'Смета Внутр'!D1245</f>
        <v>9.68</v>
      </c>
      <c r="E1245" s="1104" t="n">
        <f aca="false">'Смета Внутр'!E1245</f>
        <v>300</v>
      </c>
      <c r="F1245" s="1104" t="n">
        <f aca="false">'Смета Внутр'!F1245</f>
        <v>0</v>
      </c>
      <c r="G1245" s="1104" t="n">
        <f aca="false">IF(E1245&gt;F1245,E1245,F1245)</f>
        <v>300</v>
      </c>
      <c r="H1245" s="1104" t="n">
        <f aca="false">'Смета Внутр'!G1245</f>
        <v>2904</v>
      </c>
      <c r="I1245" s="1104" t="n">
        <f aca="false">'Смета Внутр'!H1245</f>
        <v>0</v>
      </c>
      <c r="J1245" s="1109" t="n">
        <f aca="false">'Смета Внутр'!I1245</f>
        <v>0</v>
      </c>
    </row>
    <row r="1246" customFormat="false" ht="15" hidden="true" customHeight="true" outlineLevel="0" collapsed="false">
      <c r="B1246" s="1104" t="str">
        <f aca="false">'Смета Внутр'!B1246</f>
        <v>конек</v>
      </c>
      <c r="C1246" s="1104" t="str">
        <f aca="false">'Смета Внутр'!C1246</f>
        <v>м.п.</v>
      </c>
      <c r="D1246" s="1109" t="n">
        <f aca="false">'Смета Внутр'!D1246</f>
        <v>28.6093426907597</v>
      </c>
      <c r="E1246" s="1104" t="n">
        <f aca="false">'Смета Внутр'!E1246</f>
        <v>300</v>
      </c>
      <c r="F1246" s="1104" t="n">
        <f aca="false">'Смета Внутр'!F1246</f>
        <v>0</v>
      </c>
      <c r="G1246" s="1104" t="n">
        <f aca="false">IF(E1246&gt;F1246,E1246,F1246)</f>
        <v>300</v>
      </c>
      <c r="H1246" s="1104" t="n">
        <f aca="false">'Смета Внутр'!G1246</f>
        <v>8582.80280722791</v>
      </c>
      <c r="I1246" s="1104" t="n">
        <f aca="false">'Смета Внутр'!H1246</f>
        <v>0</v>
      </c>
      <c r="J1246" s="1109" t="n">
        <f aca="false">'Смета Внутр'!I1246</f>
        <v>0</v>
      </c>
    </row>
    <row r="1247" customFormat="false" ht="15" hidden="true" customHeight="true" outlineLevel="0" collapsed="false">
      <c r="B1247" s="1104" t="str">
        <f aca="false">'Смета Внутр'!B1247</f>
        <v>Монтаж фанеры/osb</v>
      </c>
      <c r="C1247" s="1104" t="str">
        <f aca="false">'Смета Внутр'!C1247</f>
        <v>м2</v>
      </c>
      <c r="D1247" s="1109" t="n">
        <f aca="false">'Смета Внутр'!D1247</f>
        <v>0</v>
      </c>
      <c r="E1247" s="1104" t="n">
        <f aca="false">'Смета Внутр'!E1247</f>
        <v>200</v>
      </c>
      <c r="F1247" s="1104" t="n">
        <f aca="false">'Смета Внутр'!F1247</f>
        <v>0</v>
      </c>
      <c r="G1247" s="1104" t="n">
        <f aca="false">IF(E1247&gt;F1247,E1247,F1247)</f>
        <v>200</v>
      </c>
      <c r="H1247" s="1104" t="n">
        <f aca="false">'Смета Внутр'!G1247</f>
        <v>0</v>
      </c>
      <c r="I1247" s="1104" t="n">
        <f aca="false">'Смета Внутр'!H1247</f>
        <v>0</v>
      </c>
      <c r="J1247" s="1109" t="n">
        <f aca="false">'Смета Внутр'!I1247</f>
        <v>0</v>
      </c>
    </row>
    <row r="1248" customFormat="false" ht="15" hidden="true" customHeight="true" outlineLevel="0" collapsed="false">
      <c r="B1248" s="1104" t="str">
        <f aca="false">'Смета Внутр'!B1248</f>
        <v>монтаж подкладочного ковра</v>
      </c>
      <c r="C1248" s="1104" t="str">
        <f aca="false">'Смета Внутр'!C1248</f>
        <v>м2</v>
      </c>
      <c r="D1248" s="1109" t="n">
        <f aca="false">'Смета Внутр'!D1248</f>
        <v>0</v>
      </c>
      <c r="E1248" s="1104" t="n">
        <f aca="false">'Смета Внутр'!E1248</f>
        <v>150</v>
      </c>
      <c r="F1248" s="1104" t="n">
        <f aca="false">'Смета Внутр'!F1248</f>
        <v>0</v>
      </c>
      <c r="G1248" s="1104" t="n">
        <f aca="false">IF(E1248&gt;F1248,E1248,F1248)</f>
        <v>150</v>
      </c>
      <c r="H1248" s="1104" t="n">
        <f aca="false">'Смета Внутр'!G1248</f>
        <v>0</v>
      </c>
      <c r="I1248" s="1104" t="n">
        <f aca="false">'Смета Внутр'!H1248</f>
        <v>0</v>
      </c>
      <c r="J1248" s="1109" t="n">
        <f aca="false">'Смета Внутр'!I1248</f>
        <v>0</v>
      </c>
    </row>
    <row r="1249" customFormat="false" ht="15" hidden="true" customHeight="true" outlineLevel="0" collapsed="false">
      <c r="B1249" s="1104" t="str">
        <f aca="false">'Смета Внутр'!B1249</f>
        <v>Монтаж мягкой кровли</v>
      </c>
      <c r="C1249" s="1104" t="str">
        <f aca="false">'Смета Внутр'!C1249</f>
        <v>м2</v>
      </c>
      <c r="D1249" s="1109" t="n">
        <f aca="false">'Смета Внутр'!D1249</f>
        <v>0</v>
      </c>
      <c r="E1249" s="1104" t="n">
        <f aca="false">'Смета Внутр'!E1249</f>
        <v>350</v>
      </c>
      <c r="F1249" s="1104" t="n">
        <f aca="false">'Смета Внутр'!F1249</f>
        <v>0</v>
      </c>
      <c r="G1249" s="1104" t="n">
        <f aca="false">IF(E1249&gt;F1249,E1249,F1249)</f>
        <v>350</v>
      </c>
      <c r="H1249" s="1104" t="n">
        <f aca="false">'Смета Внутр'!G1249</f>
        <v>0</v>
      </c>
      <c r="I1249" s="1104" t="n">
        <f aca="false">'Смета Внутр'!H1249</f>
        <v>0</v>
      </c>
      <c r="J1249" s="1109" t="n">
        <f aca="false">'Смета Внутр'!I1249</f>
        <v>0</v>
      </c>
    </row>
    <row r="1250" customFormat="false" ht="15" hidden="true" customHeight="true" outlineLevel="0" collapsed="false">
      <c r="B1250" s="1108" t="str">
        <f aca="false">'Смета Внутр'!B1250</f>
        <v>Итого работы</v>
      </c>
      <c r="C1250" s="1108"/>
      <c r="D1250" s="1108"/>
      <c r="E1250" s="1108"/>
      <c r="F1250" s="1108"/>
      <c r="G1250" s="1108"/>
      <c r="H1250" s="1104" t="n">
        <f aca="false">'Смета Внутр'!G1250</f>
        <v>0</v>
      </c>
      <c r="I1250" s="1104" t="n">
        <f aca="false">'Смета Внутр'!H1250</f>
        <v>0</v>
      </c>
      <c r="J1250" s="1109" t="n">
        <f aca="false">'Смета Внутр'!I1250</f>
        <v>0</v>
      </c>
    </row>
    <row r="1251" customFormat="false" ht="15" hidden="true" customHeight="true" outlineLevel="0" collapsed="false">
      <c r="B1251" s="1111" t="str">
        <f aca="false">'Смета Внутр'!B1251</f>
        <v>Кровля Полу-Вальмовая</v>
      </c>
      <c r="C1251" s="1111"/>
      <c r="D1251" s="1111"/>
      <c r="H1251" s="118" t="n">
        <f aca="false">'Смета Внутр'!G1251</f>
        <v>0</v>
      </c>
      <c r="I1251" s="118" t="n">
        <f aca="false">'Смета Внутр'!H1251</f>
        <v>0</v>
      </c>
      <c r="J1251" s="1102" t="n">
        <f aca="false">'Смета Внутр'!I1251</f>
        <v>0</v>
      </c>
    </row>
    <row r="1252" customFormat="false" ht="15" hidden="true" customHeight="true" outlineLevel="0" collapsed="false">
      <c r="B1252" s="118" t="str">
        <f aca="false">'Смета Внутр'!B1252</f>
        <v>Материалы</v>
      </c>
      <c r="H1252" s="118" t="n">
        <f aca="false">'Смета Внутр'!G1252</f>
        <v>0</v>
      </c>
      <c r="I1252" s="118" t="n">
        <f aca="false">'Смета Внутр'!H1252</f>
        <v>0</v>
      </c>
      <c r="J1252" s="1102" t="n">
        <f aca="false">'Смета Внутр'!I1252</f>
        <v>0</v>
      </c>
    </row>
    <row r="1253" customFormat="false" ht="15" hidden="true" customHeight="true" outlineLevel="0" collapsed="false">
      <c r="B1253" s="1104" t="str">
        <f aca="false">'Смета Внутр'!B1253</f>
        <v>нет</v>
      </c>
      <c r="C1253" s="1104" t="str">
        <f aca="false">'Смета Внутр'!C1253</f>
        <v>м3</v>
      </c>
      <c r="D1253" s="1109" t="n">
        <f aca="false">'Смета Внутр'!D1253</f>
        <v>0</v>
      </c>
      <c r="E1253" s="1104" t="n">
        <f aca="false">'Смета Внутр'!E1253</f>
        <v>0</v>
      </c>
      <c r="F1253" s="1104" t="n">
        <f aca="false">'Смета Внутр'!F1253</f>
        <v>0</v>
      </c>
      <c r="G1253" s="1104" t="n">
        <f aca="false">IF(E1253&gt;F1253,E1253,F1253)</f>
        <v>0</v>
      </c>
      <c r="H1253" s="1104" t="n">
        <f aca="false">'Смета Внутр'!G1253</f>
        <v>0</v>
      </c>
      <c r="I1253" s="1104" t="n">
        <f aca="false">'Смета Внутр'!H1253</f>
        <v>0</v>
      </c>
      <c r="J1253" s="1109" t="n">
        <f aca="false">'Смета Внутр'!I1253</f>
        <v>0</v>
      </c>
    </row>
    <row r="1254" customFormat="false" ht="15" hidden="true" customHeight="true" outlineLevel="0" collapsed="false">
      <c r="B1254" s="1104" t="str">
        <f aca="false">'Смета Внутр'!B1254</f>
        <v>Болты анкерные с гайкой 12,0 х 280          </v>
      </c>
      <c r="C1254" s="1104" t="str">
        <f aca="false">'Смета Внутр'!C1254</f>
        <v>шт</v>
      </c>
      <c r="D1254" s="1109" t="n">
        <f aca="false">'Смета Внутр'!D1254</f>
        <v>110.5307463295</v>
      </c>
      <c r="E1254" s="1104" t="n">
        <f aca="false">'Смета Внутр'!E1254</f>
        <v>27.1</v>
      </c>
      <c r="F1254" s="1104" t="n">
        <f aca="false">'Смета Внутр'!F1254</f>
        <v>0</v>
      </c>
      <c r="G1254" s="1104" t="n">
        <f aca="false">IF(E1254&gt;F1254,E1254,F1254)</f>
        <v>27.1</v>
      </c>
      <c r="H1254" s="1104" t="n">
        <f aca="false">'Смета Внутр'!G1254</f>
        <v>2995.38322552944</v>
      </c>
      <c r="I1254" s="1104" t="n">
        <f aca="false">'Смета Внутр'!H1254</f>
        <v>0</v>
      </c>
      <c r="J1254" s="1109" t="n">
        <f aca="false">'Смета Внутр'!I1254</f>
        <v>0</v>
      </c>
    </row>
    <row r="1255" customFormat="false" ht="15" hidden="true" customHeight="true" outlineLevel="0" collapsed="false">
      <c r="B1255" s="1104" t="str">
        <f aca="false">'Смета Внутр'!B1255</f>
        <v>Доска сырая, 150*50мм</v>
      </c>
      <c r="C1255" s="1104" t="str">
        <f aca="false">'Смета Внутр'!C1255</f>
        <v>м3</v>
      </c>
      <c r="D1255" s="1109" t="n">
        <f aca="false">'Смета Внутр'!D1255</f>
        <v>2.72103693695345</v>
      </c>
      <c r="E1255" s="1104" t="n">
        <f aca="false">'Смета Внутр'!E1255</f>
        <v>6500</v>
      </c>
      <c r="F1255" s="1104" t="n">
        <f aca="false">'Смета Внутр'!F1255</f>
        <v>0</v>
      </c>
      <c r="G1255" s="1104" t="n">
        <f aca="false">IF(E1255&gt;F1255,E1255,F1255)</f>
        <v>6500</v>
      </c>
      <c r="H1255" s="1104" t="n">
        <f aca="false">'Смета Внутр'!G1255</f>
        <v>17686.7400901975</v>
      </c>
      <c r="I1255" s="1104" t="n">
        <f aca="false">'Смета Внутр'!H1255</f>
        <v>0</v>
      </c>
      <c r="J1255" s="1109" t="n">
        <f aca="false">'Смета Внутр'!I1255</f>
        <v>0</v>
      </c>
    </row>
    <row r="1256" customFormat="false" ht="15" hidden="true" customHeight="true" outlineLevel="0" collapsed="false">
      <c r="B1256" s="1104" t="str">
        <f aca="false">'Смета Внутр'!B1256</f>
        <v>бугель, доска </v>
      </c>
      <c r="C1256" s="1104" t="str">
        <f aca="false">'Смета Внутр'!C1256</f>
        <v>м3</v>
      </c>
      <c r="D1256" s="1109" t="n">
        <f aca="false">'Смета Внутр'!D1256</f>
        <v>0.495</v>
      </c>
      <c r="E1256" s="1104" t="n">
        <f aca="false">'Смета Внутр'!E1256</f>
        <v>6500</v>
      </c>
      <c r="F1256" s="1104" t="n">
        <f aca="false">'Смета Внутр'!F1256</f>
        <v>0</v>
      </c>
      <c r="G1256" s="1104" t="n">
        <f aca="false">IF(E1256&gt;F1256,E1256,F1256)</f>
        <v>6500</v>
      </c>
      <c r="H1256" s="1104" t="n">
        <f aca="false">'Смета Внутр'!G1256</f>
        <v>3217.5</v>
      </c>
      <c r="I1256" s="1104" t="n">
        <f aca="false">'Смета Внутр'!H1256</f>
        <v>0</v>
      </c>
      <c r="J1256" s="1109" t="n">
        <f aca="false">'Смета Внутр'!I1256</f>
        <v>0</v>
      </c>
    </row>
    <row r="1257" customFormat="false" ht="15" hidden="true" customHeight="true" outlineLevel="0" collapsed="false">
      <c r="B1257" s="1104" t="str">
        <f aca="false">'Смета Внутр'!B1257</f>
        <v>стойка под конек</v>
      </c>
      <c r="C1257" s="1104" t="str">
        <f aca="false">'Смета Внутр'!C1257</f>
        <v>м3</v>
      </c>
      <c r="D1257" s="1109" t="n">
        <f aca="false">'Смета Внутр'!D1257</f>
        <v>0.072</v>
      </c>
      <c r="E1257" s="1104" t="n">
        <f aca="false">'Смета Внутр'!E1257</f>
        <v>6500</v>
      </c>
      <c r="F1257" s="1104" t="n">
        <f aca="false">'Смета Внутр'!F1257</f>
        <v>0</v>
      </c>
      <c r="G1257" s="1104" t="n">
        <f aca="false">IF(E1257&gt;F1257,E1257,F1257)</f>
        <v>6500</v>
      </c>
      <c r="H1257" s="1104" t="n">
        <f aca="false">'Смета Внутр'!G1257</f>
        <v>468</v>
      </c>
      <c r="I1257" s="1104" t="n">
        <f aca="false">'Смета Внутр'!H1257</f>
        <v>0</v>
      </c>
      <c r="J1257" s="1109" t="n">
        <f aca="false">'Смета Внутр'!I1257</f>
        <v>0</v>
      </c>
    </row>
    <row r="1258" customFormat="false" ht="15" hidden="true" customHeight="true" outlineLevel="0" collapsed="false">
      <c r="B1258" s="1104" t="str">
        <f aca="false">'Смета Внутр'!B1258</f>
        <v>Сосна влаж,100*25мм</v>
      </c>
      <c r="C1258" s="1104" t="str">
        <f aca="false">'Смета Внутр'!C1258</f>
        <v>м3</v>
      </c>
      <c r="D1258" s="1109" t="n">
        <f aca="false">'Смета Внутр'!D1258</f>
        <v>1.24340242764109</v>
      </c>
      <c r="E1258" s="1104" t="n">
        <f aca="false">'Смета Внутр'!E1258</f>
        <v>6500</v>
      </c>
      <c r="F1258" s="1104" t="n">
        <f aca="false">'Смета Внутр'!F1258</f>
        <v>0</v>
      </c>
      <c r="G1258" s="1104" t="n">
        <f aca="false">IF(E1258&gt;F1258,E1258,F1258)</f>
        <v>6500</v>
      </c>
      <c r="H1258" s="1104" t="n">
        <f aca="false">'Смета Внутр'!G1258</f>
        <v>8082.11577966709</v>
      </c>
      <c r="I1258" s="1104" t="n">
        <f aca="false">'Смета Внутр'!H1258</f>
        <v>0</v>
      </c>
      <c r="J1258" s="1109" t="n">
        <f aca="false">'Смета Внутр'!I1258</f>
        <v>0</v>
      </c>
    </row>
    <row r="1259" customFormat="false" ht="15" hidden="true" customHeight="true" outlineLevel="0" collapsed="false">
      <c r="B1259" s="1104" t="str">
        <f aca="false">'Смета Внутр'!B1259</f>
        <v>Сосна влаж, 50*50мм</v>
      </c>
      <c r="C1259" s="1104" t="str">
        <f aca="false">'Смета Внутр'!C1259</f>
        <v>м3</v>
      </c>
      <c r="D1259" s="1109" t="n">
        <f aca="false">'Смета Внутр'!D1259</f>
        <v>0.956463405877762</v>
      </c>
      <c r="E1259" s="1104" t="n">
        <f aca="false">'Смета Внутр'!E1259</f>
        <v>6500</v>
      </c>
      <c r="F1259" s="1104" t="n">
        <f aca="false">'Смета Внутр'!F1259</f>
        <v>0</v>
      </c>
      <c r="G1259" s="1104" t="n">
        <f aca="false">IF(E1259&gt;F1259,E1259,F1259)</f>
        <v>6500</v>
      </c>
      <c r="H1259" s="1104" t="n">
        <f aca="false">'Смета Внутр'!G1259</f>
        <v>6217.01213820546</v>
      </c>
      <c r="I1259" s="1104" t="n">
        <f aca="false">'Смета Внутр'!H1259</f>
        <v>0</v>
      </c>
      <c r="J1259" s="1109" t="n">
        <f aca="false">'Смета Внутр'!I1259</f>
        <v>0</v>
      </c>
    </row>
    <row r="1260" customFormat="false" ht="15" hidden="true" customHeight="true" outlineLevel="0" collapsed="false">
      <c r="B1260" s="1104" t="str">
        <f aca="false">'Смета Внутр'!B1260</f>
        <v>Универсальная Optima C</v>
      </c>
      <c r="C1260" s="1104" t="str">
        <f aca="false">'Смета Внутр'!C1260</f>
        <v>м2</v>
      </c>
      <c r="D1260" s="1109" t="n">
        <f aca="false">'Смета Внутр'!D1260</f>
        <v>178.539835763849</v>
      </c>
      <c r="E1260" s="1104" t="n">
        <f aca="false">'Смета Внутр'!E1260</f>
        <v>19</v>
      </c>
      <c r="F1260" s="1104" t="n">
        <f aca="false">'Смета Внутр'!F1260</f>
        <v>0</v>
      </c>
      <c r="G1260" s="1104" t="n">
        <f aca="false">IF(E1260&gt;F1260,E1260,F1260)</f>
        <v>19</v>
      </c>
      <c r="H1260" s="1104" t="n">
        <f aca="false">'Смета Внутр'!G1260</f>
        <v>3392.25687951313</v>
      </c>
      <c r="I1260" s="1104" t="n">
        <f aca="false">'Смета Внутр'!H1260</f>
        <v>0</v>
      </c>
      <c r="J1260" s="1109" t="n">
        <f aca="false">'Смета Внутр'!I1260</f>
        <v>0</v>
      </c>
    </row>
    <row r="1261" customFormat="false" ht="15" hidden="true" customHeight="true" outlineLevel="0" collapsed="false">
      <c r="B1261" s="1104" t="str">
        <f aca="false">'Смета Внутр'!B1261</f>
        <v>Универсальная Optima C</v>
      </c>
      <c r="C1261" s="1104" t="str">
        <f aca="false">'Смета Внутр'!C1261</f>
        <v>м2</v>
      </c>
      <c r="D1261" s="1109" t="n">
        <f aca="false">'Смета Внутр'!D1261</f>
        <v>178.539835763849</v>
      </c>
      <c r="E1261" s="1104" t="n">
        <f aca="false">'Смета Внутр'!E1261</f>
        <v>20</v>
      </c>
      <c r="F1261" s="1104" t="n">
        <f aca="false">'Смета Внутр'!F1261</f>
        <v>0</v>
      </c>
      <c r="G1261" s="1104" t="n">
        <f aca="false">IF(E1261&gt;F1261,E1261,F1261)</f>
        <v>20</v>
      </c>
      <c r="H1261" s="1104" t="n">
        <f aca="false">'Смета Внутр'!G1261</f>
        <v>3570.79671527698</v>
      </c>
      <c r="I1261" s="1104" t="n">
        <f aca="false">'Смета Внутр'!H1261</f>
        <v>0</v>
      </c>
      <c r="J1261" s="1109" t="n">
        <f aca="false">'Смета Внутр'!I1261</f>
        <v>0</v>
      </c>
    </row>
    <row r="1262" customFormat="false" ht="15" hidden="true" customHeight="true" outlineLevel="0" collapsed="false">
      <c r="B1262" s="1104" t="str">
        <f aca="false">'Смета Внутр'!B1262</f>
        <v>Плитный,28кг/м3, технониколь, 100мм</v>
      </c>
      <c r="C1262" s="1104" t="str">
        <f aca="false">'Смета Внутр'!C1262</f>
        <v>м3</v>
      </c>
      <c r="D1262" s="1109" t="n">
        <f aca="false">'Смета Внутр'!D1262</f>
        <v>12.7528454117035</v>
      </c>
      <c r="E1262" s="1104" t="n">
        <f aca="false">'Смета Внутр'!E1262</f>
        <v>1700</v>
      </c>
      <c r="F1262" s="1104" t="n">
        <f aca="false">'Смета Внутр'!F1262</f>
        <v>0</v>
      </c>
      <c r="G1262" s="1104" t="n">
        <f aca="false">IF(E1262&gt;F1262,E1262,F1262)</f>
        <v>1700</v>
      </c>
      <c r="H1262" s="1104" t="n">
        <f aca="false">'Смета Внутр'!G1262</f>
        <v>21679.8371998959</v>
      </c>
      <c r="I1262" s="1104" t="n">
        <f aca="false">'Смета Внутр'!H1262</f>
        <v>0</v>
      </c>
      <c r="J1262" s="1109" t="n">
        <f aca="false">'Смета Внутр'!I1262</f>
        <v>0</v>
      </c>
    </row>
    <row r="1263" customFormat="false" ht="15" hidden="true" customHeight="true" outlineLevel="0" collapsed="false">
      <c r="B1263" s="1104" t="str">
        <f aca="false">'Смета Внутр'!B1263</f>
        <v>металлочерепица</v>
      </c>
      <c r="C1263" s="1104" t="str">
        <f aca="false">'Смета Внутр'!C1263</f>
        <v>м2</v>
      </c>
      <c r="D1263" s="1109" t="n">
        <f aca="false">'Смета Внутр'!D1263</f>
        <v>178.539835763849</v>
      </c>
      <c r="E1263" s="1104" t="n">
        <f aca="false">'Смета Внутр'!E1263</f>
        <v>250</v>
      </c>
      <c r="F1263" s="1104" t="n">
        <f aca="false">'Смета Внутр'!F1263</f>
        <v>0</v>
      </c>
      <c r="G1263" s="1104" t="n">
        <f aca="false">IF(E1263&gt;F1263,E1263,F1263)</f>
        <v>250</v>
      </c>
      <c r="H1263" s="1104" t="n">
        <f aca="false">'Смета Внутр'!G1263</f>
        <v>44634.9589409622</v>
      </c>
      <c r="I1263" s="1104" t="n">
        <f aca="false">'Смета Внутр'!H1263</f>
        <v>0</v>
      </c>
      <c r="J1263" s="1109" t="n">
        <f aca="false">'Смета Внутр'!I1263</f>
        <v>0</v>
      </c>
    </row>
    <row r="1264" customFormat="false" ht="15" hidden="true" customHeight="true" outlineLevel="0" collapsed="false">
      <c r="B1264" s="1104" t="str">
        <f aca="false">'Смета Внутр'!B1264</f>
        <v>Карнизная планка</v>
      </c>
      <c r="C1264" s="1104" t="str">
        <f aca="false">'Смета Внутр'!C1264</f>
        <v>м.п.</v>
      </c>
      <c r="D1264" s="1109" t="n">
        <f aca="false">'Смета Внутр'!D1264</f>
        <v>50</v>
      </c>
      <c r="E1264" s="1104" t="n">
        <f aca="false">'Смета Внутр'!E1264</f>
        <v>200</v>
      </c>
      <c r="F1264" s="1104" t="n">
        <f aca="false">'Смета Внутр'!F1264</f>
        <v>0</v>
      </c>
      <c r="G1264" s="1104" t="n">
        <f aca="false">IF(E1264&gt;F1264,E1264,F1264)</f>
        <v>200</v>
      </c>
      <c r="H1264" s="1104" t="n">
        <f aca="false">'Смета Внутр'!G1264</f>
        <v>10000</v>
      </c>
      <c r="I1264" s="1104" t="n">
        <f aca="false">'Смета Внутр'!H1264</f>
        <v>0</v>
      </c>
      <c r="J1264" s="1109" t="n">
        <f aca="false">'Смета Внутр'!I1264</f>
        <v>0</v>
      </c>
    </row>
    <row r="1265" customFormat="false" ht="15" hidden="true" customHeight="true" outlineLevel="0" collapsed="false">
      <c r="B1265" s="1104" t="str">
        <f aca="false">'Смета Внутр'!B1265</f>
        <v>Торцевая планка</v>
      </c>
      <c r="C1265" s="1104" t="str">
        <f aca="false">'Смета Внутр'!C1265</f>
        <v>м.п.</v>
      </c>
      <c r="D1265" s="1109" t="n">
        <f aca="false">'Смета Внутр'!D1265</f>
        <v>16.9752761391384</v>
      </c>
      <c r="E1265" s="1104" t="n">
        <f aca="false">'Смета Внутр'!E1265</f>
        <v>200</v>
      </c>
      <c r="F1265" s="1104" t="n">
        <f aca="false">'Смета Внутр'!F1265</f>
        <v>0</v>
      </c>
      <c r="G1265" s="1104" t="n">
        <f aca="false">IF(E1265&gt;F1265,E1265,F1265)</f>
        <v>200</v>
      </c>
      <c r="H1265" s="1104" t="n">
        <f aca="false">'Смета Внутр'!G1265</f>
        <v>3395.05522782767</v>
      </c>
      <c r="I1265" s="1104" t="n">
        <f aca="false">'Смета Внутр'!H1265</f>
        <v>0</v>
      </c>
      <c r="J1265" s="1109" t="n">
        <f aca="false">'Смета Внутр'!I1265</f>
        <v>0</v>
      </c>
    </row>
    <row r="1266" customFormat="false" ht="15" hidden="true" customHeight="true" outlineLevel="0" collapsed="false">
      <c r="B1266" s="1104" t="str">
        <f aca="false">'Смета Внутр'!B1266</f>
        <v>Конек</v>
      </c>
      <c r="C1266" s="1104" t="str">
        <f aca="false">'Смета Внутр'!C1266</f>
        <v>м.п.</v>
      </c>
      <c r="D1266" s="1109" t="n">
        <f aca="false">'Смета Внутр'!D1266</f>
        <v>27.5581347885125</v>
      </c>
      <c r="E1266" s="1104" t="n">
        <f aca="false">'Смета Внутр'!E1266</f>
        <v>230</v>
      </c>
      <c r="F1266" s="1104" t="n">
        <f aca="false">'Смета Внутр'!F1266</f>
        <v>0</v>
      </c>
      <c r="G1266" s="1104" t="n">
        <f aca="false">IF(E1266&gt;F1266,E1266,F1266)</f>
        <v>230</v>
      </c>
      <c r="H1266" s="1104" t="n">
        <f aca="false">'Смета Внутр'!G1266</f>
        <v>6338.37100135789</v>
      </c>
      <c r="I1266" s="1104" t="n">
        <f aca="false">'Смета Внутр'!H1266</f>
        <v>0</v>
      </c>
      <c r="J1266" s="1109" t="n">
        <f aca="false">'Смета Внутр'!I1266</f>
        <v>0</v>
      </c>
    </row>
    <row r="1267" customFormat="false" ht="15" hidden="true" customHeight="true" outlineLevel="0" collapsed="false">
      <c r="B1267" s="1104" t="str">
        <f aca="false">'Смета Внутр'!B1267</f>
        <v>ондулин</v>
      </c>
      <c r="C1267" s="1104" t="str">
        <f aca="false">'Смета Внутр'!C1267</f>
        <v>м2</v>
      </c>
      <c r="D1267" s="1109" t="n">
        <f aca="false">'Смета Внутр'!D1267</f>
        <v>0</v>
      </c>
      <c r="E1267" s="1104" t="n">
        <f aca="false">'Смета Внутр'!E1267</f>
        <v>180</v>
      </c>
      <c r="F1267" s="1104" t="n">
        <f aca="false">'Смета Внутр'!F1267</f>
        <v>0</v>
      </c>
      <c r="G1267" s="1104" t="n">
        <f aca="false">IF(E1267&gt;F1267,E1267,F1267)</f>
        <v>180</v>
      </c>
      <c r="H1267" s="1104" t="n">
        <f aca="false">'Смета Внутр'!G1267</f>
        <v>0</v>
      </c>
      <c r="I1267" s="1104" t="n">
        <f aca="false">'Смета Внутр'!H1267</f>
        <v>0</v>
      </c>
      <c r="J1267" s="1109" t="n">
        <f aca="false">'Смета Внутр'!I1267</f>
        <v>0</v>
      </c>
    </row>
    <row r="1268" customFormat="false" ht="15" hidden="true" customHeight="true" outlineLevel="0" collapsed="false">
      <c r="B1268" s="1104" t="str">
        <f aca="false">'Смета Внутр'!B1268</f>
        <v>Карнизная планка</v>
      </c>
      <c r="C1268" s="1104" t="str">
        <f aca="false">'Смета Внутр'!C1268</f>
        <v>м.п.</v>
      </c>
      <c r="D1268" s="1109" t="n">
        <f aca="false">'Смета Внутр'!D1268</f>
        <v>0</v>
      </c>
      <c r="E1268" s="1104" t="n">
        <f aca="false">'Смета Внутр'!E1268</f>
        <v>190</v>
      </c>
      <c r="F1268" s="1104" t="n">
        <f aca="false">'Смета Внутр'!F1268</f>
        <v>0</v>
      </c>
      <c r="G1268" s="1104" t="n">
        <f aca="false">IF(E1268&gt;F1268,E1268,F1268)</f>
        <v>190</v>
      </c>
      <c r="H1268" s="1104" t="n">
        <f aca="false">'Смета Внутр'!G1268</f>
        <v>0</v>
      </c>
      <c r="I1268" s="1104" t="n">
        <f aca="false">'Смета Внутр'!H1268</f>
        <v>0</v>
      </c>
      <c r="J1268" s="1109" t="n">
        <f aca="false">'Смета Внутр'!I1268</f>
        <v>0</v>
      </c>
    </row>
    <row r="1269" customFormat="false" ht="15" hidden="true" customHeight="true" outlineLevel="0" collapsed="false">
      <c r="B1269" s="1104" t="str">
        <f aca="false">'Смета Внутр'!B1269</f>
        <v>Торцевая планка</v>
      </c>
      <c r="C1269" s="1104" t="str">
        <f aca="false">'Смета Внутр'!C1269</f>
        <v>м.п.</v>
      </c>
      <c r="D1269" s="1109" t="n">
        <f aca="false">'Смета Внутр'!D1269</f>
        <v>0</v>
      </c>
      <c r="E1269" s="1104" t="n">
        <f aca="false">'Смета Внутр'!E1269</f>
        <v>190</v>
      </c>
      <c r="F1269" s="1104" t="n">
        <f aca="false">'Смета Внутр'!F1269</f>
        <v>0</v>
      </c>
      <c r="G1269" s="1104" t="n">
        <f aca="false">IF(E1269&gt;F1269,E1269,F1269)</f>
        <v>190</v>
      </c>
      <c r="H1269" s="1104" t="n">
        <f aca="false">'Смета Внутр'!G1269</f>
        <v>0</v>
      </c>
      <c r="I1269" s="1104" t="n">
        <f aca="false">'Смета Внутр'!H1269</f>
        <v>0</v>
      </c>
      <c r="J1269" s="1109" t="n">
        <f aca="false">'Смета Внутр'!I1269</f>
        <v>0</v>
      </c>
    </row>
    <row r="1270" customFormat="false" ht="15" hidden="true" customHeight="true" outlineLevel="0" collapsed="false">
      <c r="B1270" s="1104" t="str">
        <f aca="false">'Смета Внутр'!B1270</f>
        <v>Конек</v>
      </c>
      <c r="C1270" s="1104" t="str">
        <f aca="false">'Смета Внутр'!C1270</f>
        <v>м.п.</v>
      </c>
      <c r="D1270" s="1109" t="n">
        <f aca="false">'Смета Внутр'!D1270</f>
        <v>0</v>
      </c>
      <c r="E1270" s="1104" t="n">
        <f aca="false">'Смета Внутр'!E1270</f>
        <v>200</v>
      </c>
      <c r="F1270" s="1104" t="n">
        <f aca="false">'Смета Внутр'!F1270</f>
        <v>0</v>
      </c>
      <c r="G1270" s="1104" t="n">
        <f aca="false">IF(E1270&gt;F1270,E1270,F1270)</f>
        <v>200</v>
      </c>
      <c r="H1270" s="1104" t="n">
        <f aca="false">'Смета Внутр'!G1270</f>
        <v>0</v>
      </c>
      <c r="I1270" s="1104" t="n">
        <f aca="false">'Смета Внутр'!H1270</f>
        <v>0</v>
      </c>
      <c r="J1270" s="1109" t="n">
        <f aca="false">'Смета Внутр'!I1270</f>
        <v>0</v>
      </c>
    </row>
    <row r="1271" customFormat="false" ht="15" hidden="true" customHeight="true" outlineLevel="0" collapsed="false">
      <c r="B1271" s="1104" t="str">
        <f aca="false">'Смета Внутр'!B1271</f>
        <v>Ендова нижняя</v>
      </c>
      <c r="C1271" s="1104" t="str">
        <f aca="false">'Смета Внутр'!C1271</f>
        <v>м.п.</v>
      </c>
      <c r="D1271" s="1109" t="n">
        <f aca="false">'Смета Внутр'!D1271</f>
        <v>0</v>
      </c>
      <c r="E1271" s="1104" t="n">
        <f aca="false">'Смета Внутр'!E1271</f>
        <v>160</v>
      </c>
      <c r="F1271" s="1104" t="n">
        <f aca="false">'Смета Внутр'!F1271</f>
        <v>0</v>
      </c>
      <c r="G1271" s="1104" t="n">
        <f aca="false">IF(E1271&gt;F1271,E1271,F1271)</f>
        <v>160</v>
      </c>
      <c r="H1271" s="1104" t="n">
        <f aca="false">'Смета Внутр'!G1271</f>
        <v>0</v>
      </c>
      <c r="I1271" s="1104" t="n">
        <f aca="false">'Смета Внутр'!H1271</f>
        <v>0</v>
      </c>
      <c r="J1271" s="1109" t="n">
        <f aca="false">'Смета Внутр'!I1271</f>
        <v>0</v>
      </c>
    </row>
    <row r="1272" customFormat="false" ht="15" hidden="true" customHeight="true" outlineLevel="0" collapsed="false">
      <c r="B1272" s="1104" t="str">
        <f aca="false">'Смета Внутр'!B1272</f>
        <v>Ендова верхняя</v>
      </c>
      <c r="C1272" s="1104" t="str">
        <f aca="false">'Смета Внутр'!C1272</f>
        <v>м.п.</v>
      </c>
      <c r="D1272" s="1109" t="n">
        <f aca="false">'Смета Внутр'!D1272</f>
        <v>0</v>
      </c>
      <c r="E1272" s="1104" t="n">
        <f aca="false">'Смета Внутр'!E1272</f>
        <v>190</v>
      </c>
      <c r="F1272" s="1104" t="n">
        <f aca="false">'Смета Внутр'!F1272</f>
        <v>0</v>
      </c>
      <c r="G1272" s="1104" t="n">
        <f aca="false">IF(E1272&gt;F1272,E1272,F1272)</f>
        <v>190</v>
      </c>
      <c r="H1272" s="1104" t="n">
        <f aca="false">'Смета Внутр'!G1272</f>
        <v>0</v>
      </c>
      <c r="I1272" s="1104" t="n">
        <f aca="false">'Смета Внутр'!H1272</f>
        <v>0</v>
      </c>
      <c r="J1272" s="1109" t="n">
        <f aca="false">'Смета Внутр'!I1272</f>
        <v>0</v>
      </c>
    </row>
    <row r="1273" customFormat="false" ht="15" hidden="true" customHeight="true" outlineLevel="0" collapsed="false">
      <c r="B1273" s="1104" t="str">
        <f aca="false">'Смета Внутр'!B1273</f>
        <v>Планка примыкания</v>
      </c>
      <c r="C1273" s="1104" t="str">
        <f aca="false">'Смета Внутр'!C1273</f>
        <v>м.п.</v>
      </c>
      <c r="D1273" s="1109" t="n">
        <f aca="false">'Смета Внутр'!D1273</f>
        <v>0</v>
      </c>
      <c r="E1273" s="1104" t="n">
        <f aca="false">'Смета Внутр'!E1273</f>
        <v>190</v>
      </c>
      <c r="F1273" s="1104" t="n">
        <f aca="false">'Смета Внутр'!F1273</f>
        <v>0</v>
      </c>
      <c r="G1273" s="1104" t="n">
        <f aca="false">IF(E1273&gt;F1273,E1273,F1273)</f>
        <v>190</v>
      </c>
      <c r="H1273" s="1104" t="n">
        <f aca="false">'Смета Внутр'!G1273</f>
        <v>0</v>
      </c>
      <c r="I1273" s="1104" t="n">
        <f aca="false">'Смета Внутр'!H1273</f>
        <v>0</v>
      </c>
      <c r="J1273" s="1109" t="n">
        <f aca="false">'Смета Внутр'!I1273</f>
        <v>0</v>
      </c>
    </row>
    <row r="1274" customFormat="false" ht="15" hidden="true" customHeight="true" outlineLevel="0" collapsed="false">
      <c r="B1274" s="1104" t="str">
        <f aca="false">'Смета Внутр'!B1274</f>
        <v>Крепеж для ондулина</v>
      </c>
      <c r="C1274" s="1104" t="str">
        <f aca="false">'Смета Внутр'!C1274</f>
        <v>шт</v>
      </c>
      <c r="D1274" s="1109" t="n">
        <f aca="false">'Смета Внутр'!D1274</f>
        <v>0</v>
      </c>
      <c r="E1274" s="1104" t="n">
        <f aca="false">'Смета Внутр'!E1274</f>
        <v>4.5</v>
      </c>
      <c r="F1274" s="1104" t="n">
        <f aca="false">'Смета Внутр'!F1274</f>
        <v>0</v>
      </c>
      <c r="G1274" s="1104" t="n">
        <f aca="false">IF(E1274&gt;F1274,E1274,F1274)</f>
        <v>4.5</v>
      </c>
      <c r="H1274" s="1104" t="n">
        <f aca="false">'Смета Внутр'!G1274</f>
        <v>0</v>
      </c>
      <c r="I1274" s="1104" t="n">
        <f aca="false">'Смета Внутр'!H1274</f>
        <v>0</v>
      </c>
      <c r="J1274" s="1109" t="n">
        <f aca="false">'Смета Внутр'!I1274</f>
        <v>0</v>
      </c>
    </row>
    <row r="1275" customFormat="false" ht="15" hidden="true" customHeight="true" outlineLevel="0" collapsed="false">
      <c r="B1275" s="1104" t="str">
        <f aca="false">'Смета Внутр'!B1275</f>
        <v>нет</v>
      </c>
      <c r="C1275" s="1104" t="str">
        <f aca="false">'Смета Внутр'!C1275</f>
        <v>м2</v>
      </c>
      <c r="D1275" s="1109" t="n">
        <f aca="false">'Смета Внутр'!D1275</f>
        <v>146.65772223459</v>
      </c>
      <c r="E1275" s="1104" t="n">
        <f aca="false">'Смета Внутр'!E1275</f>
        <v>0</v>
      </c>
      <c r="F1275" s="1104" t="n">
        <f aca="false">'Смета Внутр'!F1275</f>
        <v>0</v>
      </c>
      <c r="G1275" s="1104" t="n">
        <f aca="false">IF(E1275&gt;F1275,E1275,F1275)</f>
        <v>0</v>
      </c>
      <c r="H1275" s="1104" t="n">
        <f aca="false">'Смета Внутр'!G1275</f>
        <v>0</v>
      </c>
      <c r="I1275" s="1104" t="n">
        <f aca="false">'Смета Внутр'!H1275</f>
        <v>0</v>
      </c>
      <c r="J1275" s="1109" t="n">
        <f aca="false">'Смета Внутр'!I1275</f>
        <v>0</v>
      </c>
    </row>
    <row r="1276" customFormat="false" ht="15" hidden="true" customHeight="true" outlineLevel="0" collapsed="false">
      <c r="B1276" s="1104" t="str">
        <f aca="false">'Смета Внутр'!B1276</f>
        <v>Рядовая черепица</v>
      </c>
      <c r="C1276" s="1104" t="str">
        <f aca="false">'Смета Внутр'!C1276</f>
        <v>м2</v>
      </c>
      <c r="D1276" s="1109" t="n">
        <f aca="false">'Смета Внутр'!D1276</f>
        <v>0</v>
      </c>
      <c r="E1276" s="1104" t="n">
        <f aca="false">'Смета Внутр'!E1276</f>
        <v>360</v>
      </c>
      <c r="F1276" s="1104" t="n">
        <f aca="false">'Смета Внутр'!F1276</f>
        <v>0</v>
      </c>
      <c r="G1276" s="1104" t="n">
        <f aca="false">IF(E1276&gt;F1276,E1276,F1276)</f>
        <v>360</v>
      </c>
      <c r="H1276" s="1104" t="n">
        <f aca="false">'Смета Внутр'!G1276</f>
        <v>0</v>
      </c>
      <c r="I1276" s="1104" t="n">
        <f aca="false">'Смета Внутр'!H1276</f>
        <v>0</v>
      </c>
      <c r="J1276" s="1109" t="n">
        <f aca="false">'Смета Внутр'!I1276</f>
        <v>0</v>
      </c>
    </row>
    <row r="1277" customFormat="false" ht="15" hidden="true" customHeight="true" outlineLevel="0" collapsed="false">
      <c r="B1277" s="1104" t="str">
        <f aca="false">'Смета Внутр'!B1277</f>
        <v>Металл оцинк защита (карниз)</v>
      </c>
      <c r="C1277" s="1104" t="str">
        <f aca="false">'Смета Внутр'!C1277</f>
        <v>м.п.</v>
      </c>
      <c r="D1277" s="1109" t="n">
        <f aca="false">'Смета Внутр'!D1277</f>
        <v>0</v>
      </c>
      <c r="E1277" s="1104" t="n">
        <f aca="false">'Смета Внутр'!E1277</f>
        <v>200</v>
      </c>
      <c r="F1277" s="1104" t="n">
        <f aca="false">'Смета Внутр'!F1277</f>
        <v>0</v>
      </c>
      <c r="G1277" s="1104" t="n">
        <f aca="false">IF(E1277&gt;F1277,E1277,F1277)</f>
        <v>200</v>
      </c>
      <c r="H1277" s="1104" t="n">
        <f aca="false">'Смета Внутр'!G1277</f>
        <v>0</v>
      </c>
      <c r="I1277" s="1104" t="n">
        <f aca="false">'Смета Внутр'!H1277</f>
        <v>0</v>
      </c>
      <c r="J1277" s="1109" t="n">
        <f aca="false">'Смета Внутр'!I1277</f>
        <v>0</v>
      </c>
    </row>
    <row r="1278" customFormat="false" ht="15" hidden="true" customHeight="true" outlineLevel="0" collapsed="false">
      <c r="B1278" s="1104" t="str">
        <f aca="false">'Смета Внутр'!B1278</f>
        <v>Подкладочный ковер</v>
      </c>
      <c r="C1278" s="1104" t="str">
        <f aca="false">'Смета Внутр'!C1278</f>
        <v>м.п.</v>
      </c>
      <c r="D1278" s="1109" t="n">
        <f aca="false">'Смета Внутр'!D1278</f>
        <v>0</v>
      </c>
      <c r="E1278" s="1104" t="n">
        <f aca="false">'Смета Внутр'!E1278</f>
        <v>220</v>
      </c>
      <c r="F1278" s="1104" t="n">
        <f aca="false">'Смета Внутр'!F1278</f>
        <v>0</v>
      </c>
      <c r="G1278" s="1104" t="n">
        <f aca="false">IF(E1278&gt;F1278,E1278,F1278)</f>
        <v>220</v>
      </c>
      <c r="H1278" s="1104" t="n">
        <f aca="false">'Смета Внутр'!G1278</f>
        <v>0</v>
      </c>
      <c r="I1278" s="1104" t="n">
        <f aca="false">'Смета Внутр'!H1278</f>
        <v>0</v>
      </c>
      <c r="J1278" s="1109" t="n">
        <f aca="false">'Смета Внутр'!I1278</f>
        <v>0</v>
      </c>
    </row>
    <row r="1279" customFormat="false" ht="15" hidden="true" customHeight="true" outlineLevel="0" collapsed="false">
      <c r="B1279" s="1104" t="str">
        <f aca="false">'Смета Внутр'!B1279</f>
        <v>Карнизная самоклеющаяся черепица</v>
      </c>
      <c r="C1279" s="1104" t="str">
        <f aca="false">'Смета Внутр'!C1279</f>
        <v>м.п.</v>
      </c>
      <c r="D1279" s="1109" t="n">
        <f aca="false">'Смета Внутр'!D1279</f>
        <v>0</v>
      </c>
      <c r="E1279" s="1104" t="n">
        <f aca="false">'Смета Внутр'!E1279</f>
        <v>220</v>
      </c>
      <c r="F1279" s="1104" t="n">
        <f aca="false">'Смета Внутр'!F1279</f>
        <v>0</v>
      </c>
      <c r="G1279" s="1104" t="n">
        <f aca="false">IF(E1279&gt;F1279,E1279,F1279)</f>
        <v>220</v>
      </c>
      <c r="H1279" s="1104" t="n">
        <f aca="false">'Смета Внутр'!G1279</f>
        <v>0</v>
      </c>
      <c r="I1279" s="1104" t="n">
        <f aca="false">'Смета Внутр'!H1279</f>
        <v>0</v>
      </c>
      <c r="J1279" s="1109" t="n">
        <f aca="false">'Смета Внутр'!I1279</f>
        <v>0</v>
      </c>
    </row>
    <row r="1280" customFormat="false" ht="15" hidden="true" customHeight="true" outlineLevel="0" collapsed="false">
      <c r="B1280" s="1104" t="str">
        <f aca="false">'Смета Внутр'!B1280</f>
        <v>Спец ковер ендова нижняя</v>
      </c>
      <c r="C1280" s="1104" t="str">
        <f aca="false">'Смета Внутр'!C1280</f>
        <v>м.п.</v>
      </c>
      <c r="D1280" s="1109" t="n">
        <f aca="false">'Смета Внутр'!D1280</f>
        <v>0</v>
      </c>
      <c r="E1280" s="1104" t="n">
        <f aca="false">'Смета Внутр'!E1280</f>
        <v>200</v>
      </c>
      <c r="F1280" s="1104" t="n">
        <f aca="false">'Смета Внутр'!F1280</f>
        <v>0</v>
      </c>
      <c r="G1280" s="1104" t="n">
        <f aca="false">IF(E1280&gt;F1280,E1280,F1280)</f>
        <v>200</v>
      </c>
      <c r="H1280" s="1104" t="n">
        <f aca="false">'Смета Внутр'!G1280</f>
        <v>0</v>
      </c>
      <c r="I1280" s="1104" t="n">
        <f aca="false">'Смета Внутр'!H1280</f>
        <v>0</v>
      </c>
      <c r="J1280" s="1109" t="n">
        <f aca="false">'Смета Внутр'!I1280</f>
        <v>0</v>
      </c>
    </row>
    <row r="1281" customFormat="false" ht="15" hidden="true" customHeight="true" outlineLevel="0" collapsed="false">
      <c r="B1281" s="1104" t="str">
        <f aca="false">'Смета Внутр'!B1281</f>
        <v>Коньковой элемент</v>
      </c>
      <c r="C1281" s="1104" t="str">
        <f aca="false">'Смета Внутр'!C1281</f>
        <v>м.п.</v>
      </c>
      <c r="D1281" s="1109" t="n">
        <f aca="false">'Смета Внутр'!D1281</f>
        <v>0</v>
      </c>
      <c r="E1281" s="1104" t="n">
        <f aca="false">'Смета Внутр'!E1281</f>
        <v>250</v>
      </c>
      <c r="F1281" s="1104" t="n">
        <f aca="false">'Смета Внутр'!F1281</f>
        <v>0</v>
      </c>
      <c r="G1281" s="1104" t="n">
        <f aca="false">IF(E1281&gt;F1281,E1281,F1281)</f>
        <v>250</v>
      </c>
      <c r="H1281" s="1104" t="n">
        <f aca="false">'Смета Внутр'!G1281</f>
        <v>0</v>
      </c>
      <c r="I1281" s="1104" t="n">
        <f aca="false">'Смета Внутр'!H1281</f>
        <v>0</v>
      </c>
      <c r="J1281" s="1109" t="n">
        <f aca="false">'Смета Внутр'!I1281</f>
        <v>0</v>
      </c>
    </row>
    <row r="1282" customFormat="false" ht="15" hidden="true" customHeight="true" outlineLevel="0" collapsed="false">
      <c r="B1282" s="1104" t="str">
        <f aca="false">'Смета Внутр'!B1282</f>
        <v>Планка премыкания</v>
      </c>
      <c r="C1282" s="1104" t="str">
        <f aca="false">'Смета Внутр'!C1282</f>
        <v>м.п.</v>
      </c>
      <c r="D1282" s="1109" t="n">
        <f aca="false">'Смета Внутр'!D1282</f>
        <v>0</v>
      </c>
      <c r="E1282" s="1104" t="n">
        <f aca="false">'Смета Внутр'!E1282</f>
        <v>200</v>
      </c>
      <c r="F1282" s="1104" t="n">
        <f aca="false">'Смета Внутр'!F1282</f>
        <v>0</v>
      </c>
      <c r="G1282" s="1104" t="n">
        <f aca="false">IF(E1282&gt;F1282,E1282,F1282)</f>
        <v>200</v>
      </c>
      <c r="H1282" s="1104" t="n">
        <f aca="false">'Смета Внутр'!G1282</f>
        <v>0</v>
      </c>
      <c r="I1282" s="1104" t="n">
        <f aca="false">'Смета Внутр'!H1282</f>
        <v>0</v>
      </c>
      <c r="J1282" s="1109" t="n">
        <f aca="false">'Смета Внутр'!I1282</f>
        <v>0</v>
      </c>
    </row>
    <row r="1283" customFormat="false" ht="15" hidden="true" customHeight="true" outlineLevel="0" collapsed="false">
      <c r="B1283" s="1104" t="str">
        <f aca="false">'Смета Внутр'!B1283</f>
        <v>Гвозди для крепления подкладочного ковра</v>
      </c>
      <c r="C1283" s="1104" t="str">
        <f aca="false">'Смета Внутр'!C1283</f>
        <v>шт</v>
      </c>
      <c r="D1283" s="1109" t="n">
        <f aca="false">'Смета Внутр'!D1283</f>
        <v>0</v>
      </c>
      <c r="E1283" s="1104" t="n">
        <f aca="false">'Смета Внутр'!E1283</f>
        <v>0.012</v>
      </c>
      <c r="F1283" s="1104" t="n">
        <f aca="false">'Смета Внутр'!F1283</f>
        <v>0</v>
      </c>
      <c r="G1283" s="1104" t="n">
        <f aca="false">IF(E1283&gt;F1283,E1283,F1283)</f>
        <v>0.012</v>
      </c>
      <c r="H1283" s="1104" t="n">
        <f aca="false">'Смета Внутр'!G1283</f>
        <v>0</v>
      </c>
      <c r="I1283" s="1104" t="n">
        <f aca="false">'Смета Внутр'!H1283</f>
        <v>0</v>
      </c>
      <c r="J1283" s="1109" t="n">
        <f aca="false">'Смета Внутр'!I1283</f>
        <v>0</v>
      </c>
    </row>
    <row r="1284" customFormat="false" ht="15" hidden="true" customHeight="true" outlineLevel="0" collapsed="false">
      <c r="B1284" s="1104" t="str">
        <f aca="false">'Смета Внутр'!B1284</f>
        <v>Гвозди для крепления черепицы</v>
      </c>
      <c r="C1284" s="1104" t="str">
        <f aca="false">'Смета Внутр'!C1284</f>
        <v>шт</v>
      </c>
      <c r="D1284" s="1109" t="n">
        <f aca="false">'Смета Внутр'!D1284</f>
        <v>0</v>
      </c>
      <c r="E1284" s="1104" t="n">
        <f aca="false">'Смета Внутр'!E1284</f>
        <v>0.25</v>
      </c>
      <c r="F1284" s="1104" t="n">
        <f aca="false">'Смета Внутр'!F1284</f>
        <v>0</v>
      </c>
      <c r="G1284" s="1104" t="n">
        <f aca="false">IF(E1284&gt;F1284,E1284,F1284)</f>
        <v>0.25</v>
      </c>
      <c r="H1284" s="1104" t="n">
        <f aca="false">'Смета Внутр'!G1284</f>
        <v>0</v>
      </c>
      <c r="I1284" s="1104" t="n">
        <f aca="false">'Смета Внутр'!H1284</f>
        <v>0</v>
      </c>
      <c r="J1284" s="1109" t="n">
        <f aca="false">'Смета Внутр'!I1284</f>
        <v>0</v>
      </c>
    </row>
    <row r="1285" customFormat="false" ht="15" hidden="true" customHeight="true" outlineLevel="0" collapsed="false">
      <c r="B1285" s="1104" t="str">
        <f aca="false">'Смета Внутр'!B1285</f>
        <v>Клей для монтажа черепицы</v>
      </c>
      <c r="C1285" s="1104" t="str">
        <f aca="false">'Смета Внутр'!C1285</f>
        <v>кг</v>
      </c>
      <c r="D1285" s="1109" t="n">
        <f aca="false">'Смета Внутр'!D1285</f>
        <v>0</v>
      </c>
      <c r="E1285" s="1104" t="n">
        <f aca="false">'Смета Внутр'!E1285</f>
        <v>250</v>
      </c>
      <c r="F1285" s="1104" t="n">
        <f aca="false">'Смета Внутр'!F1285</f>
        <v>0</v>
      </c>
      <c r="G1285" s="1104" t="n">
        <f aca="false">IF(E1285&gt;F1285,E1285,F1285)</f>
        <v>250</v>
      </c>
      <c r="H1285" s="1104" t="n">
        <f aca="false">'Смета Внутр'!G1285</f>
        <v>0</v>
      </c>
      <c r="I1285" s="1104" t="n">
        <f aca="false">'Смета Внутр'!H1285</f>
        <v>0</v>
      </c>
      <c r="J1285" s="1109" t="n">
        <f aca="false">'Смета Внутр'!I1285</f>
        <v>0</v>
      </c>
    </row>
    <row r="1286" customFormat="false" ht="15" hidden="true" customHeight="true" outlineLevel="0" collapsed="false">
      <c r="B1286" s="1104" t="str">
        <f aca="false">'Смета Внутр'!B1286</f>
        <v>желоб</v>
      </c>
      <c r="C1286" s="1104" t="str">
        <f aca="false">'Смета Внутр'!C1286</f>
        <v>м.п</v>
      </c>
      <c r="D1286" s="1109" t="n">
        <f aca="false">'Смета Внутр'!D1286</f>
        <v>41.6666666666667</v>
      </c>
      <c r="E1286" s="1104" t="n">
        <f aca="false">'Смета Внутр'!E1286</f>
        <v>300</v>
      </c>
      <c r="F1286" s="1104" t="n">
        <f aca="false">'Смета Внутр'!F1286</f>
        <v>0</v>
      </c>
      <c r="G1286" s="1104" t="n">
        <f aca="false">IF(E1286&gt;F1286,E1286,F1286)</f>
        <v>300</v>
      </c>
      <c r="H1286" s="1104" t="n">
        <f aca="false">'Смета Внутр'!G1286</f>
        <v>12500</v>
      </c>
      <c r="I1286" s="1104" t="n">
        <f aca="false">'Смета Внутр'!H1286</f>
        <v>0</v>
      </c>
      <c r="J1286" s="1109" t="n">
        <f aca="false">'Смета Внутр'!I1286</f>
        <v>0</v>
      </c>
    </row>
    <row r="1287" customFormat="false" ht="15" hidden="true" customHeight="true" outlineLevel="0" collapsed="false">
      <c r="B1287" s="1104" t="str">
        <f aca="false">'Смета Внутр'!B1287</f>
        <v>отвод</v>
      </c>
      <c r="C1287" s="1104" t="str">
        <f aca="false">'Смета Внутр'!C1287</f>
        <v>шт</v>
      </c>
      <c r="D1287" s="1109" t="n">
        <f aca="false">'Смета Внутр'!D1287</f>
        <v>4</v>
      </c>
      <c r="E1287" s="1104" t="n">
        <f aca="false">'Смета Внутр'!E1287</f>
        <v>250</v>
      </c>
      <c r="F1287" s="1104" t="n">
        <f aca="false">'Смета Внутр'!F1287</f>
        <v>0</v>
      </c>
      <c r="G1287" s="1104" t="n">
        <f aca="false">IF(E1287&gt;F1287,E1287,F1287)</f>
        <v>250</v>
      </c>
      <c r="H1287" s="1104" t="n">
        <f aca="false">'Смета Внутр'!G1287</f>
        <v>1000</v>
      </c>
      <c r="I1287" s="1104" t="n">
        <f aca="false">'Смета Внутр'!H1287</f>
        <v>0</v>
      </c>
      <c r="J1287" s="1109" t="n">
        <f aca="false">'Смета Внутр'!I1287</f>
        <v>0</v>
      </c>
    </row>
    <row r="1288" customFormat="false" ht="15" hidden="true" customHeight="true" outlineLevel="0" collapsed="false">
      <c r="B1288" s="1104" t="str">
        <f aca="false">'Смета Внутр'!B1288</f>
        <v>труба водосточная</v>
      </c>
      <c r="C1288" s="1104" t="str">
        <f aca="false">'Смета Внутр'!C1288</f>
        <v>м.п.</v>
      </c>
      <c r="D1288" s="1109" t="n">
        <f aca="false">'Смета Внутр'!D1288</f>
        <v>50</v>
      </c>
      <c r="E1288" s="1104" t="n">
        <f aca="false">'Смета Внутр'!E1288</f>
        <v>300</v>
      </c>
      <c r="F1288" s="1104" t="n">
        <f aca="false">'Смета Внутр'!F1288</f>
        <v>0</v>
      </c>
      <c r="G1288" s="1104" t="n">
        <f aca="false">IF(E1288&gt;F1288,E1288,F1288)</f>
        <v>300</v>
      </c>
      <c r="H1288" s="1104" t="n">
        <f aca="false">'Смета Внутр'!G1288</f>
        <v>15000</v>
      </c>
      <c r="I1288" s="1104" t="n">
        <f aca="false">'Смета Внутр'!H1288</f>
        <v>0</v>
      </c>
      <c r="J1288" s="1109" t="n">
        <f aca="false">'Смета Внутр'!I1288</f>
        <v>0</v>
      </c>
    </row>
    <row r="1289" customFormat="false" ht="15" hidden="true" customHeight="true" outlineLevel="0" collapsed="false">
      <c r="B1289" s="1104" t="str">
        <f aca="false">'Смета Внутр'!B1289</f>
        <v>заглушка для желоба</v>
      </c>
      <c r="C1289" s="1104" t="str">
        <f aca="false">'Смета Внутр'!C1289</f>
        <v>шт</v>
      </c>
      <c r="D1289" s="1109" t="n">
        <f aca="false">'Смета Внутр'!D1289</f>
        <v>4</v>
      </c>
      <c r="E1289" s="1104" t="n">
        <f aca="false">'Смета Внутр'!E1289</f>
        <v>190</v>
      </c>
      <c r="F1289" s="1104" t="n">
        <f aca="false">'Смета Внутр'!F1289</f>
        <v>0</v>
      </c>
      <c r="G1289" s="1104" t="n">
        <f aca="false">IF(E1289&gt;F1289,E1289,F1289)</f>
        <v>190</v>
      </c>
      <c r="H1289" s="1104" t="n">
        <f aca="false">'Смета Внутр'!G1289</f>
        <v>760</v>
      </c>
      <c r="I1289" s="1104" t="n">
        <f aca="false">'Смета Внутр'!H1289</f>
        <v>0</v>
      </c>
      <c r="J1289" s="1109" t="n">
        <f aca="false">'Смета Внутр'!I1289</f>
        <v>0</v>
      </c>
    </row>
    <row r="1290" customFormat="false" ht="15" hidden="true" customHeight="true" outlineLevel="0" collapsed="false">
      <c r="B1290" s="1104" t="str">
        <f aca="false">'Смета Внутр'!B1290</f>
        <v>соеденитель для желоба</v>
      </c>
      <c r="C1290" s="1104" t="str">
        <f aca="false">'Смета Внутр'!C1290</f>
        <v>шт</v>
      </c>
      <c r="D1290" s="1109" t="n">
        <f aca="false">'Смета Внутр'!D1290</f>
        <v>14.8888888888889</v>
      </c>
      <c r="E1290" s="1104" t="n">
        <f aca="false">'Смета Внутр'!E1290</f>
        <v>180</v>
      </c>
      <c r="F1290" s="1104" t="n">
        <f aca="false">'Смета Внутр'!F1290</f>
        <v>0</v>
      </c>
      <c r="G1290" s="1104" t="n">
        <f aca="false">IF(E1290&gt;F1290,E1290,F1290)</f>
        <v>180</v>
      </c>
      <c r="H1290" s="1104" t="n">
        <f aca="false">'Смета Внутр'!G1290</f>
        <v>2680</v>
      </c>
      <c r="I1290" s="1104" t="n">
        <f aca="false">'Смета Внутр'!H1290</f>
        <v>0</v>
      </c>
      <c r="J1290" s="1109" t="n">
        <f aca="false">'Смета Внутр'!I1290</f>
        <v>0</v>
      </c>
    </row>
    <row r="1291" customFormat="false" ht="15" hidden="true" customHeight="true" outlineLevel="0" collapsed="false">
      <c r="B1291" s="1104" t="str">
        <f aca="false">'Смета Внутр'!B1291</f>
        <v>кронштейн для желоба</v>
      </c>
      <c r="C1291" s="1104" t="str">
        <f aca="false">'Смета Внутр'!C1291</f>
        <v>шт</v>
      </c>
      <c r="D1291" s="1109" t="n">
        <f aca="false">'Смета Внутр'!D1291</f>
        <v>104.166666666667</v>
      </c>
      <c r="E1291" s="1104" t="n">
        <f aca="false">'Смета Внутр'!E1291</f>
        <v>130</v>
      </c>
      <c r="F1291" s="1104" t="n">
        <f aca="false">'Смета Внутр'!F1291</f>
        <v>0</v>
      </c>
      <c r="G1291" s="1104" t="n">
        <f aca="false">IF(E1291&gt;F1291,E1291,F1291)</f>
        <v>130</v>
      </c>
      <c r="H1291" s="1104" t="n">
        <f aca="false">'Смета Внутр'!G1291</f>
        <v>13541.6666666667</v>
      </c>
      <c r="I1291" s="1104" t="n">
        <f aca="false">'Смета Внутр'!H1291</f>
        <v>0</v>
      </c>
      <c r="J1291" s="1109" t="n">
        <f aca="false">'Смета Внутр'!I1291</f>
        <v>0</v>
      </c>
    </row>
    <row r="1292" customFormat="false" ht="15" hidden="true" customHeight="true" outlineLevel="0" collapsed="false">
      <c r="B1292" s="1104" t="str">
        <f aca="false">'Смета Внутр'!B1292</f>
        <v>переход из желоба в трубу</v>
      </c>
      <c r="C1292" s="1104" t="str">
        <f aca="false">'Смета Внутр'!C1292</f>
        <v>шт</v>
      </c>
      <c r="D1292" s="1109" t="n">
        <f aca="false">'Смета Внутр'!D1292</f>
        <v>4</v>
      </c>
      <c r="E1292" s="1104" t="n">
        <f aca="false">'Смета Внутр'!E1292</f>
        <v>350</v>
      </c>
      <c r="F1292" s="1104" t="n">
        <f aca="false">'Смета Внутр'!F1292</f>
        <v>0</v>
      </c>
      <c r="G1292" s="1104" t="n">
        <f aca="false">IF(E1292&gt;F1292,E1292,F1292)</f>
        <v>350</v>
      </c>
      <c r="H1292" s="1104" t="n">
        <f aca="false">'Смета Внутр'!G1292</f>
        <v>1400</v>
      </c>
      <c r="I1292" s="1104" t="n">
        <f aca="false">'Смета Внутр'!H1292</f>
        <v>0</v>
      </c>
      <c r="J1292" s="1109" t="n">
        <f aca="false">'Смета Внутр'!I1292</f>
        <v>0</v>
      </c>
    </row>
    <row r="1293" customFormat="false" ht="15" hidden="true" customHeight="true" outlineLevel="0" collapsed="false">
      <c r="B1293" s="1104" t="str">
        <f aca="false">'Смета Внутр'!B1293</f>
        <v>лента дельта мульти бэнд</v>
      </c>
      <c r="C1293" s="1104" t="str">
        <f aca="false">'Смета Внутр'!C1293</f>
        <v>шт</v>
      </c>
      <c r="D1293" s="1109" t="n">
        <f aca="false">'Смета Внутр'!D1293</f>
        <v>1</v>
      </c>
      <c r="E1293" s="1104" t="n">
        <f aca="false">'Смета Внутр'!E1293</f>
        <v>1200</v>
      </c>
      <c r="F1293" s="1104" t="n">
        <f aca="false">'Смета Внутр'!F1293</f>
        <v>0</v>
      </c>
      <c r="G1293" s="1104" t="n">
        <f aca="false">IF(E1293&gt;F1293,E1293,F1293)</f>
        <v>1200</v>
      </c>
      <c r="H1293" s="1104" t="n">
        <f aca="false">'Смета Внутр'!G1293</f>
        <v>1200</v>
      </c>
      <c r="I1293" s="1104" t="n">
        <f aca="false">'Смета Внутр'!H1293</f>
        <v>0</v>
      </c>
      <c r="J1293" s="1109" t="n">
        <f aca="false">'Смета Внутр'!I1293</f>
        <v>0</v>
      </c>
    </row>
    <row r="1294" customFormat="false" ht="15" hidden="true" customHeight="true" outlineLevel="0" collapsed="false">
      <c r="B1294" s="1104" t="str">
        <f aca="false">'Смета Внутр'!B1294</f>
        <v>лента дельта sb-60</v>
      </c>
      <c r="C1294" s="1104" t="str">
        <f aca="false">'Смета Внутр'!C1294</f>
        <v>шт</v>
      </c>
      <c r="D1294" s="1109" t="n">
        <f aca="false">'Смета Внутр'!D1294</f>
        <v>8.50189694113567</v>
      </c>
      <c r="E1294" s="1104" t="n">
        <f aca="false">'Смета Внутр'!E1294</f>
        <v>1100</v>
      </c>
      <c r="F1294" s="1104" t="n">
        <f aca="false">'Смета Внутр'!F1294</f>
        <v>0</v>
      </c>
      <c r="G1294" s="1104" t="n">
        <f aca="false">IF(E1294&gt;F1294,E1294,F1294)</f>
        <v>1100</v>
      </c>
      <c r="H1294" s="1104" t="n">
        <f aca="false">'Смета Внутр'!G1294</f>
        <v>9352.08663524923</v>
      </c>
      <c r="I1294" s="1104" t="n">
        <f aca="false">'Смета Внутр'!H1294</f>
        <v>0</v>
      </c>
      <c r="J1294" s="1109" t="n">
        <f aca="false">'Смета Внутр'!I1294</f>
        <v>0</v>
      </c>
    </row>
    <row r="1295" customFormat="false" ht="15" hidden="true" customHeight="true" outlineLevel="0" collapsed="false">
      <c r="B1295" s="1104" t="str">
        <f aca="false">'Смета Внутр'!B1295</f>
        <v>проходка кровельная, канализационная</v>
      </c>
      <c r="C1295" s="1104" t="str">
        <f aca="false">'Смета Внутр'!C1295</f>
        <v>шт</v>
      </c>
      <c r="D1295" s="1109" t="n">
        <f aca="false">'Смета Внутр'!D1295</f>
        <v>0</v>
      </c>
      <c r="E1295" s="1104" t="n">
        <f aca="false">'Смета Внутр'!E1295</f>
        <v>3500</v>
      </c>
      <c r="F1295" s="1104" t="n">
        <f aca="false">'Смета Внутр'!F1295</f>
        <v>0</v>
      </c>
      <c r="G1295" s="1104" t="n">
        <f aca="false">IF(E1295&gt;F1295,E1295,F1295)</f>
        <v>3500</v>
      </c>
      <c r="H1295" s="1104" t="n">
        <f aca="false">'Смета Внутр'!G1295</f>
        <v>0</v>
      </c>
      <c r="I1295" s="1104" t="n">
        <f aca="false">'Смета Внутр'!H1295</f>
        <v>0</v>
      </c>
      <c r="J1295" s="1109" t="n">
        <f aca="false">'Смета Внутр'!I1295</f>
        <v>0</v>
      </c>
    </row>
    <row r="1296" customFormat="false" ht="15" hidden="true" customHeight="true" outlineLevel="0" collapsed="false">
      <c r="B1296" s="1104" t="str">
        <f aca="false">'Смета Внутр'!B1296</f>
        <v>проходка кровельная, вентиляционная</v>
      </c>
      <c r="C1296" s="1104" t="str">
        <f aca="false">'Смета Внутр'!C1296</f>
        <v>шт</v>
      </c>
      <c r="D1296" s="1109" t="n">
        <f aca="false">'Смета Внутр'!D1296</f>
        <v>0</v>
      </c>
      <c r="E1296" s="1104" t="n">
        <f aca="false">'Смета Внутр'!E1296</f>
        <v>3500</v>
      </c>
      <c r="F1296" s="1104" t="n">
        <f aca="false">'Смета Внутр'!F1296</f>
        <v>0</v>
      </c>
      <c r="G1296" s="1104" t="n">
        <f aca="false">IF(E1296&gt;F1296,E1296,F1296)</f>
        <v>3500</v>
      </c>
      <c r="H1296" s="1104" t="n">
        <f aca="false">'Смета Внутр'!G1296</f>
        <v>0</v>
      </c>
      <c r="I1296" s="1104" t="n">
        <f aca="false">'Смета Внутр'!H1296</f>
        <v>0</v>
      </c>
      <c r="J1296" s="1109" t="n">
        <f aca="false">'Смета Внутр'!I1296</f>
        <v>0</v>
      </c>
    </row>
    <row r="1297" customFormat="false" ht="15" hidden="true" customHeight="true" outlineLevel="0" collapsed="false">
      <c r="B1297" s="1104" t="str">
        <f aca="false">'Смета Внутр'!B1297</f>
        <v>проодка кровельная, труба котел</v>
      </c>
      <c r="C1297" s="1104" t="str">
        <f aca="false">'Смета Внутр'!C1297</f>
        <v>шт</v>
      </c>
      <c r="D1297" s="1109" t="n">
        <f aca="false">'Смета Внутр'!D1297</f>
        <v>0</v>
      </c>
      <c r="E1297" s="1104" t="n">
        <f aca="false">'Смета Внутр'!E1297</f>
        <v>4500</v>
      </c>
      <c r="F1297" s="1104" t="n">
        <f aca="false">'Смета Внутр'!F1297</f>
        <v>0</v>
      </c>
      <c r="G1297" s="1104" t="n">
        <f aca="false">IF(E1297&gt;F1297,E1297,F1297)</f>
        <v>4500</v>
      </c>
      <c r="H1297" s="1104" t="n">
        <f aca="false">'Смета Внутр'!G1297</f>
        <v>0</v>
      </c>
      <c r="I1297" s="1104" t="n">
        <f aca="false">'Смета Внутр'!H1297</f>
        <v>0</v>
      </c>
      <c r="J1297" s="1109" t="n">
        <f aca="false">'Смета Внутр'!I1297</f>
        <v>0</v>
      </c>
    </row>
    <row r="1298" customFormat="false" ht="15" hidden="true" customHeight="true" outlineLevel="0" collapsed="false">
      <c r="B1298" s="1104" t="str">
        <f aca="false">'Смета Внутр'!B1298</f>
        <v>Кровельный саморез</v>
      </c>
      <c r="C1298" s="1104" t="str">
        <f aca="false">'Смета Внутр'!C1298</f>
        <v>шт</v>
      </c>
      <c r="D1298" s="1109" t="n">
        <f aca="false">'Смета Внутр'!D1298</f>
        <v>1530.34144940442</v>
      </c>
      <c r="E1298" s="1104" t="n">
        <f aca="false">'Смета Внутр'!E1298</f>
        <v>2</v>
      </c>
      <c r="F1298" s="1104" t="n">
        <f aca="false">'Смета Внутр'!F1298</f>
        <v>0</v>
      </c>
      <c r="G1298" s="1104" t="n">
        <f aca="false">IF(E1298&gt;F1298,E1298,F1298)</f>
        <v>2</v>
      </c>
      <c r="H1298" s="1104" t="n">
        <f aca="false">'Смета Внутр'!G1298</f>
        <v>3060.68289880884</v>
      </c>
      <c r="I1298" s="1104" t="n">
        <f aca="false">'Смета Внутр'!H1298</f>
        <v>0</v>
      </c>
      <c r="J1298" s="1109" t="n">
        <f aca="false">'Смета Внутр'!I1298</f>
        <v>0</v>
      </c>
    </row>
    <row r="1299" customFormat="false" ht="15" hidden="true" customHeight="true" outlineLevel="0" collapsed="false">
      <c r="B1299" s="1104" t="str">
        <f aca="false">'Смета Внутр'!B1299</f>
        <v>Гвозди ершоные 3,4 x 60            </v>
      </c>
      <c r="C1299" s="1104" t="str">
        <f aca="false">'Смета Внутр'!C1299</f>
        <v>кг</v>
      </c>
      <c r="D1299" s="1109" t="n">
        <f aca="false">'Смета Внутр'!D1299</f>
        <v>12.4340242764109</v>
      </c>
      <c r="E1299" s="1104" t="n">
        <f aca="false">'Смета Внутр'!E1299</f>
        <v>75.51</v>
      </c>
      <c r="F1299" s="1104" t="n">
        <f aca="false">'Смета Внутр'!F1299</f>
        <v>0</v>
      </c>
      <c r="G1299" s="1104" t="n">
        <f aca="false">IF(E1299&gt;F1299,E1299,F1299)</f>
        <v>75.51</v>
      </c>
      <c r="H1299" s="1104" t="n">
        <f aca="false">'Смета Внутр'!G1299</f>
        <v>938.893173111788</v>
      </c>
      <c r="I1299" s="1104" t="n">
        <f aca="false">'Смета Внутр'!H1299</f>
        <v>0</v>
      </c>
      <c r="J1299" s="1109" t="n">
        <f aca="false">'Смета Внутр'!I1299</f>
        <v>0</v>
      </c>
    </row>
    <row r="1300" customFormat="false" ht="15" hidden="true" customHeight="true" outlineLevel="0" collapsed="false">
      <c r="B1300" s="1104" t="str">
        <f aca="false">'Смета Внутр'!B1300</f>
        <v>Гвозди ершоные 2,8 х 90            </v>
      </c>
      <c r="C1300" s="1104" t="str">
        <f aca="false">'Смета Внутр'!C1300</f>
        <v>кг</v>
      </c>
      <c r="D1300" s="1109" t="n">
        <f aca="false">'Смета Внутр'!D1300</f>
        <v>19.7282216217207</v>
      </c>
      <c r="E1300" s="1104" t="n">
        <f aca="false">'Смета Внутр'!E1300</f>
        <v>76.49</v>
      </c>
      <c r="F1300" s="1104" t="n">
        <f aca="false">'Смета Внутр'!F1300</f>
        <v>0</v>
      </c>
      <c r="G1300" s="1104" t="n">
        <f aca="false">IF(E1300&gt;F1300,E1300,F1300)</f>
        <v>76.49</v>
      </c>
      <c r="H1300" s="1104" t="n">
        <f aca="false">'Смета Внутр'!G1300</f>
        <v>1509.01167184542</v>
      </c>
      <c r="I1300" s="1104" t="n">
        <f aca="false">'Смета Внутр'!H1300</f>
        <v>0</v>
      </c>
      <c r="J1300" s="1109" t="n">
        <f aca="false">'Смета Внутр'!I1300</f>
        <v>0</v>
      </c>
    </row>
    <row r="1301" customFormat="false" ht="15" hidden="true" customHeight="true" outlineLevel="0" collapsed="false">
      <c r="B1301" s="1104" t="str">
        <f aca="false">'Смета Внутр'!B1301</f>
        <v>Пластина соеденительная 100х240х2           </v>
      </c>
      <c r="C1301" s="1104" t="str">
        <f aca="false">'Смета Внутр'!C1301</f>
        <v>шт</v>
      </c>
      <c r="D1301" s="1109" t="n">
        <f aca="false">'Смета Внутр'!D1301</f>
        <v>18.2183505881479</v>
      </c>
      <c r="E1301" s="1104" t="n">
        <f aca="false">'Смета Внутр'!E1301</f>
        <v>31.54</v>
      </c>
      <c r="F1301" s="1104" t="n">
        <f aca="false">'Смета Внутр'!F1301</f>
        <v>0</v>
      </c>
      <c r="G1301" s="1104" t="n">
        <f aca="false">IF(E1301&gt;F1301,E1301,F1301)</f>
        <v>31.54</v>
      </c>
      <c r="H1301" s="1104" t="n">
        <f aca="false">'Смета Внутр'!G1301</f>
        <v>574.606777550183</v>
      </c>
      <c r="I1301" s="1104" t="n">
        <f aca="false">'Смета Внутр'!H1301</f>
        <v>0</v>
      </c>
      <c r="J1301" s="1109" t="n">
        <f aca="false">'Смета Внутр'!I1301</f>
        <v>0</v>
      </c>
    </row>
    <row r="1302" customFormat="false" ht="15" hidden="true" customHeight="true" outlineLevel="0" collapsed="false">
      <c r="B1302" s="1104" t="str">
        <f aca="false">'Смета Внутр'!B1302</f>
        <v>Уголок усиленный 90х70х55х2,5        </v>
      </c>
      <c r="C1302" s="1104" t="str">
        <f aca="false">'Смета Внутр'!C1302</f>
        <v>шт</v>
      </c>
      <c r="D1302" s="1109" t="n">
        <f aca="false">'Смета Внутр'!D1302</f>
        <v>255.05690823407</v>
      </c>
      <c r="E1302" s="1104" t="n">
        <f aca="false">'Смета Внутр'!E1302</f>
        <v>30</v>
      </c>
      <c r="F1302" s="1104" t="n">
        <f aca="false">'Смета Внутр'!F1302</f>
        <v>0</v>
      </c>
      <c r="G1302" s="1104" t="n">
        <f aca="false">IF(E1302&gt;F1302,E1302,F1302)</f>
        <v>30</v>
      </c>
      <c r="H1302" s="1104" t="n">
        <f aca="false">'Смета Внутр'!G1302</f>
        <v>7651.7072470221</v>
      </c>
      <c r="I1302" s="1104" t="n">
        <f aca="false">'Смета Внутр'!H1302</f>
        <v>0</v>
      </c>
      <c r="J1302" s="1109" t="n">
        <f aca="false">'Смета Внутр'!I1302</f>
        <v>0</v>
      </c>
    </row>
    <row r="1303" customFormat="false" ht="15" hidden="true" customHeight="false" outlineLevel="0" collapsed="false">
      <c r="B1303" s="1108" t="str">
        <f aca="false">'Смета Внутр'!B1303</f>
        <v>Итого материалы</v>
      </c>
      <c r="C1303" s="1108"/>
      <c r="D1303" s="1108"/>
      <c r="E1303" s="1108"/>
      <c r="F1303" s="1108"/>
      <c r="G1303" s="1108"/>
      <c r="H1303" s="1104" t="n">
        <f aca="false">'Смета Внутр'!G1303</f>
        <v>0</v>
      </c>
      <c r="I1303" s="1104" t="n">
        <f aca="false">'Смета Внутр'!H1303</f>
        <v>0</v>
      </c>
      <c r="J1303" s="1109" t="n">
        <f aca="false">'Смета Внутр'!I1303</f>
        <v>0</v>
      </c>
    </row>
    <row r="1304" customFormat="false" ht="15" hidden="true" customHeight="true" outlineLevel="0" collapsed="false">
      <c r="B1304" s="118" t="str">
        <f aca="false">'Смета Внутр'!B1304</f>
        <v>Работы</v>
      </c>
      <c r="H1304" s="118" t="n">
        <f aca="false">'Смета Внутр'!G1304</f>
        <v>0</v>
      </c>
      <c r="I1304" s="118" t="n">
        <f aca="false">'Смета Внутр'!H1304</f>
        <v>0</v>
      </c>
      <c r="J1304" s="1102" t="n">
        <f aca="false">'Смета Внутр'!I1304</f>
        <v>0</v>
      </c>
    </row>
    <row r="1305" customFormat="false" ht="15" hidden="true" customHeight="true" outlineLevel="0" collapsed="false">
      <c r="B1305" s="1104" t="str">
        <f aca="false">'Смета Внутр'!B1305</f>
        <v>монтаж мауэрлат</v>
      </c>
      <c r="C1305" s="1104" t="str">
        <f aca="false">'Смета Внутр'!C1305</f>
        <v>м.п.</v>
      </c>
      <c r="D1305" s="1109" t="n">
        <f aca="false">'Смета Внутр'!D1305</f>
        <v>110.5307463295</v>
      </c>
      <c r="E1305" s="1104" t="n">
        <f aca="false">'Смета Внутр'!E1305</f>
        <v>250</v>
      </c>
      <c r="F1305" s="1104" t="n">
        <f aca="false">'Смета Внутр'!F1305</f>
        <v>0</v>
      </c>
      <c r="G1305" s="1104" t="n">
        <f aca="false">IF(E1305&gt;F1305,E1305,F1305)</f>
        <v>250</v>
      </c>
      <c r="H1305" s="1104" t="n">
        <f aca="false">'Смета Внутр'!G1305</f>
        <v>27632.6865823749</v>
      </c>
      <c r="I1305" s="1104" t="n">
        <f aca="false">'Смета Внутр'!H1305</f>
        <v>0</v>
      </c>
      <c r="J1305" s="1109" t="n">
        <f aca="false">'Смета Внутр'!I1305</f>
        <v>0</v>
      </c>
    </row>
    <row r="1306" customFormat="false" ht="15" hidden="true" customHeight="true" outlineLevel="0" collapsed="false">
      <c r="B1306" s="1104" t="str">
        <f aca="false">'Смета Внутр'!B1306</f>
        <v>монтаж стропил</v>
      </c>
      <c r="C1306" s="1104" t="str">
        <f aca="false">'Смета Внутр'!C1306</f>
        <v>м2</v>
      </c>
      <c r="D1306" s="1109" t="n">
        <f aca="false">'Смета Внутр'!D1306</f>
        <v>127.528454117035</v>
      </c>
      <c r="E1306" s="1104" t="n">
        <f aca="false">'Смета Внутр'!E1306</f>
        <v>450</v>
      </c>
      <c r="F1306" s="1104" t="n">
        <f aca="false">'Смета Внутр'!F1306</f>
        <v>0</v>
      </c>
      <c r="G1306" s="1104" t="n">
        <f aca="false">IF(E1306&gt;F1306,E1306,F1306)</f>
        <v>450</v>
      </c>
      <c r="H1306" s="1104" t="n">
        <f aca="false">'Смета Внутр'!G1306</f>
        <v>57387.8043526657</v>
      </c>
      <c r="I1306" s="1104" t="n">
        <f aca="false">'Смета Внутр'!H1306</f>
        <v>0</v>
      </c>
      <c r="J1306" s="1109" t="n">
        <f aca="false">'Смета Внутр'!I1306</f>
        <v>0</v>
      </c>
    </row>
    <row r="1307" customFormat="false" ht="15" hidden="true" customHeight="true" outlineLevel="0" collapsed="false">
      <c r="B1307" s="1104" t="str">
        <f aca="false">'Смета Внутр'!B1307</f>
        <v>обрешетка</v>
      </c>
      <c r="C1307" s="1104" t="str">
        <f aca="false">'Смета Внутр'!C1307</f>
        <v>м2</v>
      </c>
      <c r="D1307" s="1109" t="n">
        <f aca="false">'Смета Внутр'!D1307</f>
        <v>127.528454117035</v>
      </c>
      <c r="E1307" s="1104" t="n">
        <f aca="false">'Смета Внутр'!E1307</f>
        <v>100</v>
      </c>
      <c r="F1307" s="1104" t="n">
        <f aca="false">'Смета Внутр'!F1307</f>
        <v>0</v>
      </c>
      <c r="G1307" s="1104" t="n">
        <f aca="false">IF(E1307&gt;F1307,E1307,F1307)</f>
        <v>100</v>
      </c>
      <c r="H1307" s="1104" t="n">
        <f aca="false">'Смета Внутр'!G1307</f>
        <v>12752.8454117035</v>
      </c>
      <c r="I1307" s="1104" t="n">
        <f aca="false">'Смета Внутр'!H1307</f>
        <v>0</v>
      </c>
      <c r="J1307" s="1109" t="n">
        <f aca="false">'Смета Внутр'!I1307</f>
        <v>0</v>
      </c>
    </row>
    <row r="1308" customFormat="false" ht="15" hidden="true" customHeight="true" outlineLevel="0" collapsed="false">
      <c r="B1308" s="1104" t="str">
        <f aca="false">'Смета Внутр'!B1308</f>
        <v>контробеш</v>
      </c>
      <c r="C1308" s="1104" t="str">
        <f aca="false">'Смета Внутр'!C1308</f>
        <v>м2</v>
      </c>
      <c r="D1308" s="1109" t="n">
        <f aca="false">'Смета Внутр'!D1308</f>
        <v>127.528454117035</v>
      </c>
      <c r="E1308" s="1104" t="n">
        <f aca="false">'Смета Внутр'!E1308</f>
        <v>100</v>
      </c>
      <c r="F1308" s="1104" t="n">
        <f aca="false">'Смета Внутр'!F1308</f>
        <v>0</v>
      </c>
      <c r="G1308" s="1104" t="n">
        <f aca="false">IF(E1308&gt;F1308,E1308,F1308)</f>
        <v>100</v>
      </c>
      <c r="H1308" s="1104" t="n">
        <f aca="false">'Смета Внутр'!G1308</f>
        <v>12752.8454117035</v>
      </c>
      <c r="I1308" s="1104" t="n">
        <f aca="false">'Смета Внутр'!H1308</f>
        <v>0</v>
      </c>
      <c r="J1308" s="1109" t="n">
        <f aca="false">'Смета Внутр'!I1308</f>
        <v>0</v>
      </c>
    </row>
    <row r="1309" customFormat="false" ht="15" hidden="true" customHeight="true" outlineLevel="0" collapsed="false">
      <c r="B1309" s="1104" t="str">
        <f aca="false">'Смета Внутр'!B1309</f>
        <v>мембрана</v>
      </c>
      <c r="C1309" s="1104" t="str">
        <f aca="false">'Смета Внутр'!C1309</f>
        <v>м2</v>
      </c>
      <c r="D1309" s="1109" t="n">
        <f aca="false">'Смета Внутр'!D1309</f>
        <v>127.528454117035</v>
      </c>
      <c r="E1309" s="1104" t="n">
        <f aca="false">'Смета Внутр'!E1309</f>
        <v>100</v>
      </c>
      <c r="F1309" s="1104" t="n">
        <f aca="false">'Смета Внутр'!F1309</f>
        <v>0</v>
      </c>
      <c r="G1309" s="1104" t="n">
        <f aca="false">IF(E1309&gt;F1309,E1309,F1309)</f>
        <v>100</v>
      </c>
      <c r="H1309" s="1104" t="n">
        <f aca="false">'Смета Внутр'!G1309</f>
        <v>12752.8454117035</v>
      </c>
      <c r="I1309" s="1104" t="n">
        <f aca="false">'Смета Внутр'!H1309</f>
        <v>0</v>
      </c>
      <c r="J1309" s="1109" t="n">
        <f aca="false">'Смета Внутр'!I1309</f>
        <v>0</v>
      </c>
    </row>
    <row r="1310" customFormat="false" ht="15" hidden="true" customHeight="true" outlineLevel="0" collapsed="false">
      <c r="B1310" s="1104" t="str">
        <f aca="false">'Смета Внутр'!B1310</f>
        <v>пароизоляц</v>
      </c>
      <c r="C1310" s="1104" t="str">
        <f aca="false">'Смета Внутр'!C1310</f>
        <v>м2</v>
      </c>
      <c r="D1310" s="1109" t="n">
        <f aca="false">'Смета Внутр'!D1310</f>
        <v>127.528454117035</v>
      </c>
      <c r="E1310" s="1104" t="n">
        <f aca="false">'Смета Внутр'!E1310</f>
        <v>100</v>
      </c>
      <c r="F1310" s="1104" t="n">
        <f aca="false">'Смета Внутр'!F1310</f>
        <v>0</v>
      </c>
      <c r="G1310" s="1104" t="n">
        <f aca="false">IF(E1310&gt;F1310,E1310,F1310)</f>
        <v>100</v>
      </c>
      <c r="H1310" s="1104" t="n">
        <f aca="false">'Смета Внутр'!G1310</f>
        <v>12752.8454117035</v>
      </c>
      <c r="I1310" s="1104" t="n">
        <f aca="false">'Смета Внутр'!H1310</f>
        <v>0</v>
      </c>
      <c r="J1310" s="1109" t="n">
        <f aca="false">'Смета Внутр'!I1310</f>
        <v>0</v>
      </c>
    </row>
    <row r="1311" customFormat="false" ht="15" hidden="true" customHeight="true" outlineLevel="0" collapsed="false">
      <c r="B1311" s="1104" t="str">
        <f aca="false">'Смета Внутр'!B1311</f>
        <v>утеплитель</v>
      </c>
      <c r="C1311" s="1104" t="str">
        <f aca="false">'Смета Внутр'!C1311</f>
        <v>м2</v>
      </c>
      <c r="D1311" s="1109" t="n">
        <f aca="false">'Смета Внутр'!D1311</f>
        <v>127.528454117035</v>
      </c>
      <c r="E1311" s="1104" t="n">
        <f aca="false">'Смета Внутр'!E1311</f>
        <v>200</v>
      </c>
      <c r="F1311" s="1104" t="n">
        <f aca="false">'Смета Внутр'!F1311</f>
        <v>0</v>
      </c>
      <c r="G1311" s="1104" t="n">
        <f aca="false">IF(E1311&gt;F1311,E1311,F1311)</f>
        <v>200</v>
      </c>
      <c r="H1311" s="1104" t="n">
        <f aca="false">'Смета Внутр'!G1311</f>
        <v>25505.690823407</v>
      </c>
      <c r="I1311" s="1104" t="n">
        <f aca="false">'Смета Внутр'!H1311</f>
        <v>0</v>
      </c>
      <c r="J1311" s="1109" t="n">
        <f aca="false">'Смета Внутр'!I1311</f>
        <v>0</v>
      </c>
    </row>
    <row r="1312" customFormat="false" ht="15" hidden="true" customHeight="true" outlineLevel="0" collapsed="false">
      <c r="B1312" s="1104" t="str">
        <f aca="false">'Смета Внутр'!B1312</f>
        <v>Монтаж металлочерепицы</v>
      </c>
      <c r="C1312" s="1104" t="str">
        <f aca="false">'Смета Внутр'!C1312</f>
        <v>м2</v>
      </c>
      <c r="D1312" s="1109" t="n">
        <f aca="false">'Смета Внутр'!D1312</f>
        <v>127.528454117035</v>
      </c>
      <c r="E1312" s="1104" t="n">
        <f aca="false">'Смета Внутр'!E1312</f>
        <v>300</v>
      </c>
      <c r="F1312" s="1104" t="n">
        <f aca="false">'Смета Внутр'!F1312</f>
        <v>0</v>
      </c>
      <c r="G1312" s="1104" t="n">
        <f aca="false">IF(E1312&gt;F1312,E1312,F1312)</f>
        <v>300</v>
      </c>
      <c r="H1312" s="1104" t="n">
        <f aca="false">'Смета Внутр'!G1312</f>
        <v>38258.5362351105</v>
      </c>
      <c r="I1312" s="1104" t="n">
        <f aca="false">'Смета Внутр'!H1312</f>
        <v>0</v>
      </c>
      <c r="J1312" s="1109" t="n">
        <f aca="false">'Смета Внутр'!I1312</f>
        <v>0</v>
      </c>
    </row>
    <row r="1313" customFormat="false" ht="15" hidden="true" customHeight="true" outlineLevel="0" collapsed="false">
      <c r="B1313" s="1104" t="str">
        <f aca="false">'Смета Внутр'!B1313</f>
        <v>ендова верхняя планка</v>
      </c>
      <c r="C1313" s="1104" t="str">
        <f aca="false">'Смета Внутр'!C1313</f>
        <v>м.п.</v>
      </c>
      <c r="D1313" s="1109" t="n">
        <f aca="false">'Смета Внутр'!D1313</f>
        <v>0</v>
      </c>
      <c r="E1313" s="1104" t="n">
        <f aca="false">'Смета Внутр'!E1313</f>
        <v>100</v>
      </c>
      <c r="F1313" s="1104" t="n">
        <f aca="false">'Смета Внутр'!F1313</f>
        <v>0</v>
      </c>
      <c r="G1313" s="1104" t="n">
        <f aca="false">IF(E1313&gt;F1313,E1313,F1313)</f>
        <v>100</v>
      </c>
      <c r="H1313" s="1104" t="n">
        <f aca="false">'Смета Внутр'!G1313</f>
        <v>0</v>
      </c>
      <c r="I1313" s="1104" t="n">
        <f aca="false">'Смета Внутр'!H1313</f>
        <v>0</v>
      </c>
      <c r="J1313" s="1109" t="n">
        <f aca="false">'Смета Внутр'!I1313</f>
        <v>0</v>
      </c>
    </row>
    <row r="1314" customFormat="false" ht="15" hidden="true" customHeight="true" outlineLevel="0" collapsed="false">
      <c r="B1314" s="1104" t="str">
        <f aca="false">'Смета Внутр'!B1314</f>
        <v>капельник планка</v>
      </c>
      <c r="C1314" s="1104" t="str">
        <f aca="false">'Смета Внутр'!C1314</f>
        <v>м.п.</v>
      </c>
      <c r="D1314" s="1109" t="n">
        <f aca="false">'Смета Внутр'!D1314</f>
        <v>50</v>
      </c>
      <c r="E1314" s="1104" t="n">
        <f aca="false">'Смета Внутр'!E1314</f>
        <v>100</v>
      </c>
      <c r="F1314" s="1104" t="n">
        <f aca="false">'Смета Внутр'!F1314</f>
        <v>0</v>
      </c>
      <c r="G1314" s="1104" t="n">
        <f aca="false">IF(E1314&gt;F1314,E1314,F1314)</f>
        <v>100</v>
      </c>
      <c r="H1314" s="1104" t="n">
        <f aca="false">'Смета Внутр'!G1314</f>
        <v>5000</v>
      </c>
      <c r="I1314" s="1104" t="n">
        <f aca="false">'Смета Внутр'!H1314</f>
        <v>0</v>
      </c>
      <c r="J1314" s="1109" t="n">
        <f aca="false">'Смета Внутр'!I1314</f>
        <v>0</v>
      </c>
    </row>
    <row r="1315" customFormat="false" ht="15" hidden="true" customHeight="true" outlineLevel="0" collapsed="false">
      <c r="B1315" s="1104" t="str">
        <f aca="false">'Смета Внутр'!B1315</f>
        <v>желоб водосточный</v>
      </c>
      <c r="C1315" s="1104" t="str">
        <f aca="false">'Смета Внутр'!C1315</f>
        <v>м.п.</v>
      </c>
      <c r="D1315" s="1109" t="n">
        <f aca="false">'Смета Внутр'!D1315</f>
        <v>41.6666666666667</v>
      </c>
      <c r="E1315" s="1104" t="n">
        <f aca="false">'Смета Внутр'!E1315</f>
        <v>300</v>
      </c>
      <c r="F1315" s="1104" t="n">
        <f aca="false">'Смета Внутр'!F1315</f>
        <v>0</v>
      </c>
      <c r="G1315" s="1104" t="n">
        <f aca="false">IF(E1315&gt;F1315,E1315,F1315)</f>
        <v>300</v>
      </c>
      <c r="H1315" s="1104" t="n">
        <f aca="false">'Смета Внутр'!G1315</f>
        <v>12500</v>
      </c>
      <c r="I1315" s="1104" t="n">
        <f aca="false">'Смета Внутр'!H1315</f>
        <v>0</v>
      </c>
      <c r="J1315" s="1109" t="n">
        <f aca="false">'Смета Внутр'!I1315</f>
        <v>0</v>
      </c>
    </row>
    <row r="1316" customFormat="false" ht="15" hidden="true" customHeight="true" outlineLevel="0" collapsed="false">
      <c r="B1316" s="1104" t="str">
        <f aca="false">'Смета Внутр'!B1316</f>
        <v>труба водосточная</v>
      </c>
      <c r="C1316" s="1104" t="str">
        <f aca="false">'Смета Внутр'!C1316</f>
        <v>м.п.</v>
      </c>
      <c r="D1316" s="1109" t="n">
        <f aca="false">'Смета Внутр'!D1316</f>
        <v>50</v>
      </c>
      <c r="E1316" s="1104" t="n">
        <f aca="false">'Смета Внутр'!E1316</f>
        <v>300</v>
      </c>
      <c r="F1316" s="1104" t="n">
        <f aca="false">'Смета Внутр'!F1316</f>
        <v>0</v>
      </c>
      <c r="G1316" s="1104" t="n">
        <f aca="false">IF(E1316&gt;F1316,E1316,F1316)</f>
        <v>300</v>
      </c>
      <c r="H1316" s="1104" t="n">
        <f aca="false">'Смета Внутр'!G1316</f>
        <v>15000</v>
      </c>
      <c r="I1316" s="1104" t="n">
        <f aca="false">'Смета Внутр'!H1316</f>
        <v>0</v>
      </c>
      <c r="J1316" s="1109" t="n">
        <f aca="false">'Смета Внутр'!I1316</f>
        <v>0</v>
      </c>
    </row>
    <row r="1317" customFormat="false" ht="15" hidden="true" customHeight="true" outlineLevel="0" collapsed="false">
      <c r="B1317" s="1104" t="str">
        <f aca="false">'Смета Внутр'!B1317</f>
        <v>карнизная планка</v>
      </c>
      <c r="C1317" s="1104" t="str">
        <f aca="false">'Смета Внутр'!C1317</f>
        <v>м.п.</v>
      </c>
      <c r="D1317" s="1109" t="n">
        <f aca="false">'Смета Внутр'!D1317</f>
        <v>16.9752761391384</v>
      </c>
      <c r="E1317" s="1104" t="n">
        <f aca="false">'Смета Внутр'!E1317</f>
        <v>300</v>
      </c>
      <c r="F1317" s="1104" t="n">
        <f aca="false">'Смета Внутр'!F1317</f>
        <v>0</v>
      </c>
      <c r="G1317" s="1104" t="n">
        <f aca="false">IF(E1317&gt;F1317,E1317,F1317)</f>
        <v>300</v>
      </c>
      <c r="H1317" s="1104" t="n">
        <f aca="false">'Смета Внутр'!G1317</f>
        <v>5092.58284174151</v>
      </c>
      <c r="I1317" s="1104" t="n">
        <f aca="false">'Смета Внутр'!H1317</f>
        <v>0</v>
      </c>
      <c r="J1317" s="1109" t="n">
        <f aca="false">'Смета Внутр'!I1317</f>
        <v>0</v>
      </c>
    </row>
    <row r="1318" customFormat="false" ht="15" hidden="true" customHeight="true" outlineLevel="0" collapsed="false">
      <c r="B1318" s="1104" t="str">
        <f aca="false">'Смета Внутр'!B1318</f>
        <v>конек</v>
      </c>
      <c r="C1318" s="1104" t="str">
        <f aca="false">'Смета Внутр'!C1318</f>
        <v>м.п.</v>
      </c>
      <c r="D1318" s="1109" t="n">
        <f aca="false">'Смета Внутр'!D1318</f>
        <v>6</v>
      </c>
      <c r="E1318" s="1104" t="n">
        <f aca="false">'Смета Внутр'!E1318</f>
        <v>300</v>
      </c>
      <c r="F1318" s="1104" t="n">
        <f aca="false">'Смета Внутр'!F1318</f>
        <v>0</v>
      </c>
      <c r="G1318" s="1104" t="n">
        <f aca="false">IF(E1318&gt;F1318,E1318,F1318)</f>
        <v>300</v>
      </c>
      <c r="H1318" s="1104" t="n">
        <f aca="false">'Смета Внутр'!G1318</f>
        <v>1800</v>
      </c>
      <c r="I1318" s="1104" t="n">
        <f aca="false">'Смета Внутр'!H1318</f>
        <v>0</v>
      </c>
      <c r="J1318" s="1109" t="n">
        <f aca="false">'Смета Внутр'!I1318</f>
        <v>0</v>
      </c>
    </row>
    <row r="1319" customFormat="false" ht="15" hidden="true" customHeight="true" outlineLevel="0" collapsed="false">
      <c r="B1319" s="1104" t="str">
        <f aca="false">'Смета Внутр'!B1319</f>
        <v>Монтаж ондулина</v>
      </c>
      <c r="C1319" s="1104" t="str">
        <f aca="false">'Смета Внутр'!C1319</f>
        <v>м2</v>
      </c>
      <c r="D1319" s="1109" t="n">
        <f aca="false">'Смета Внутр'!D1319</f>
        <v>0</v>
      </c>
      <c r="E1319" s="1104" t="n">
        <f aca="false">'Смета Внутр'!E1319</f>
        <v>300</v>
      </c>
      <c r="F1319" s="1104" t="n">
        <f aca="false">'Смета Внутр'!F1319</f>
        <v>0</v>
      </c>
      <c r="G1319" s="1104" t="n">
        <f aca="false">IF(E1319&gt;F1319,E1319,F1319)</f>
        <v>300</v>
      </c>
      <c r="H1319" s="1104" t="n">
        <f aca="false">'Смета Внутр'!G1319</f>
        <v>0</v>
      </c>
      <c r="I1319" s="1104" t="n">
        <f aca="false">'Смета Внутр'!H1319</f>
        <v>0</v>
      </c>
      <c r="J1319" s="1109" t="n">
        <f aca="false">'Смета Внутр'!I1319</f>
        <v>0</v>
      </c>
    </row>
    <row r="1320" customFormat="false" ht="15" hidden="true" customHeight="true" outlineLevel="0" collapsed="false">
      <c r="B1320" s="1104" t="str">
        <f aca="false">'Смета Внутр'!B1320</f>
        <v>Монтаж фанеры/osb</v>
      </c>
      <c r="C1320" s="1104" t="str">
        <f aca="false">'Смета Внутр'!C1320</f>
        <v>м2</v>
      </c>
      <c r="D1320" s="1109" t="n">
        <f aca="false">'Смета Внутр'!D1320</f>
        <v>0</v>
      </c>
      <c r="E1320" s="1104" t="n">
        <f aca="false">'Смета Внутр'!E1320</f>
        <v>200</v>
      </c>
      <c r="F1320" s="1104" t="n">
        <f aca="false">'Смета Внутр'!F1320</f>
        <v>0</v>
      </c>
      <c r="G1320" s="1104" t="n">
        <f aca="false">IF(E1320&gt;F1320,E1320,F1320)</f>
        <v>200</v>
      </c>
      <c r="H1320" s="1104" t="n">
        <f aca="false">'Смета Внутр'!G1320</f>
        <v>0</v>
      </c>
      <c r="I1320" s="1104" t="n">
        <f aca="false">'Смета Внутр'!H1320</f>
        <v>0</v>
      </c>
      <c r="J1320" s="1109" t="n">
        <f aca="false">'Смета Внутр'!I1320</f>
        <v>0</v>
      </c>
    </row>
    <row r="1321" customFormat="false" ht="15" hidden="true" customHeight="true" outlineLevel="0" collapsed="false">
      <c r="B1321" s="1104" t="str">
        <f aca="false">'Смета Внутр'!B1321</f>
        <v>монтаж подкладочного ковра</v>
      </c>
      <c r="C1321" s="1104" t="str">
        <f aca="false">'Смета Внутр'!C1321</f>
        <v>м2</v>
      </c>
      <c r="D1321" s="1109" t="n">
        <f aca="false">'Смета Внутр'!D1321</f>
        <v>0</v>
      </c>
      <c r="E1321" s="1104" t="n">
        <f aca="false">'Смета Внутр'!E1321</f>
        <v>150</v>
      </c>
      <c r="F1321" s="1104" t="n">
        <f aca="false">'Смета Внутр'!F1321</f>
        <v>0</v>
      </c>
      <c r="G1321" s="1104" t="n">
        <f aca="false">IF(E1321&gt;F1321,E1321,F1321)</f>
        <v>150</v>
      </c>
      <c r="H1321" s="1104" t="n">
        <f aca="false">'Смета Внутр'!G1321</f>
        <v>0</v>
      </c>
      <c r="I1321" s="1104" t="n">
        <f aca="false">'Смета Внутр'!H1321</f>
        <v>0</v>
      </c>
      <c r="J1321" s="1109" t="n">
        <f aca="false">'Смета Внутр'!I1321</f>
        <v>0</v>
      </c>
    </row>
    <row r="1322" customFormat="false" ht="15" hidden="true" customHeight="true" outlineLevel="0" collapsed="false">
      <c r="B1322" s="1104" t="str">
        <f aca="false">'Смета Внутр'!B1322</f>
        <v>Монтаж мягкой кровли</v>
      </c>
      <c r="C1322" s="1104" t="str">
        <f aca="false">'Смета Внутр'!C1322</f>
        <v>м2</v>
      </c>
      <c r="D1322" s="1109" t="n">
        <f aca="false">'Смета Внутр'!D1322</f>
        <v>0</v>
      </c>
      <c r="E1322" s="1104" t="n">
        <f aca="false">'Смета Внутр'!E1322</f>
        <v>350</v>
      </c>
      <c r="F1322" s="1104" t="n">
        <f aca="false">'Смета Внутр'!F1322</f>
        <v>0</v>
      </c>
      <c r="G1322" s="1104" t="n">
        <f aca="false">IF(E1322&gt;F1322,E1322,F1322)</f>
        <v>350</v>
      </c>
      <c r="H1322" s="1104" t="n">
        <f aca="false">'Смета Внутр'!G1322</f>
        <v>0</v>
      </c>
      <c r="I1322" s="1104" t="n">
        <f aca="false">'Смета Внутр'!H1322</f>
        <v>0</v>
      </c>
      <c r="J1322" s="1109" t="n">
        <f aca="false">'Смета Внутр'!I1322</f>
        <v>0</v>
      </c>
    </row>
    <row r="1323" customFormat="false" ht="15" hidden="true" customHeight="true" outlineLevel="0" collapsed="false">
      <c r="B1323" s="1108" t="str">
        <f aca="false">'Смета Внутр'!B1323</f>
        <v>Итого работы</v>
      </c>
      <c r="C1323" s="1108"/>
      <c r="D1323" s="1108"/>
      <c r="E1323" s="1108"/>
      <c r="F1323" s="1108"/>
      <c r="G1323" s="1108"/>
      <c r="H1323" s="1104" t="n">
        <f aca="false">'Смета Внутр'!G1323</f>
        <v>0</v>
      </c>
      <c r="I1323" s="1104" t="n">
        <f aca="false">'Смета Внутр'!H1323</f>
        <v>0</v>
      </c>
      <c r="J1323" s="1109" t="n">
        <f aca="false">'Смета Внутр'!I1323</f>
        <v>0</v>
      </c>
    </row>
    <row r="1324" customFormat="false" ht="15" hidden="true" customHeight="true" outlineLevel="0" collapsed="false">
      <c r="B1324" s="1111" t="str">
        <f aca="false">'Смета Внутр'!B1324</f>
        <v>Элементы на кровле</v>
      </c>
      <c r="C1324" s="1111"/>
      <c r="D1324" s="1111"/>
      <c r="H1324" s="118" t="n">
        <f aca="false">'Смета Внутр'!G1324</f>
        <v>0</v>
      </c>
      <c r="I1324" s="118" t="n">
        <f aca="false">'Смета Внутр'!H1324</f>
        <v>0</v>
      </c>
      <c r="J1324" s="1102" t="n">
        <f aca="false">'Смета Внутр'!I1324</f>
        <v>0</v>
      </c>
    </row>
    <row r="1325" customFormat="false" ht="15" hidden="true" customHeight="true" outlineLevel="0" collapsed="false">
      <c r="B1325" s="118" t="str">
        <f aca="false">'Смета Внутр'!B1325</f>
        <v>Материалы</v>
      </c>
      <c r="H1325" s="118" t="n">
        <f aca="false">'Смета Внутр'!G1325</f>
        <v>0</v>
      </c>
      <c r="I1325" s="118" t="n">
        <f aca="false">'Смета Внутр'!H1325</f>
        <v>0</v>
      </c>
      <c r="J1325" s="1102" t="n">
        <f aca="false">'Смета Внутр'!I1325</f>
        <v>0</v>
      </c>
    </row>
    <row r="1326" customFormat="false" ht="15" hidden="true" customHeight="true" outlineLevel="0" collapsed="false">
      <c r="B1326" s="1104" t="str">
        <f aca="false">'Смета Внутр'!B1326</f>
        <v>Доска сухая, 200*50мм</v>
      </c>
      <c r="C1326" s="1104" t="str">
        <f aca="false">'Смета Внутр'!C1326</f>
        <v>м3</v>
      </c>
      <c r="D1326" s="1109" t="n">
        <f aca="false">'Смета Внутр'!D1326</f>
        <v>1.22337146290992</v>
      </c>
      <c r="E1326" s="1104" t="n">
        <f aca="false">'Смета Внутр'!E1326</f>
        <v>9000</v>
      </c>
      <c r="F1326" s="1104" t="n">
        <f aca="false">'Смета Внутр'!F1326</f>
        <v>0</v>
      </c>
      <c r="G1326" s="1104" t="n">
        <f aca="false">IF(E1326&gt;F1326,E1326,F1326)</f>
        <v>9000</v>
      </c>
      <c r="H1326" s="1104" t="n">
        <f aca="false">'Смета Внутр'!G1326</f>
        <v>11010.3431661892</v>
      </c>
      <c r="I1326" s="1104" t="n">
        <f aca="false">'Смета Внутр'!H1326</f>
        <v>0</v>
      </c>
      <c r="J1326" s="1109" t="n">
        <f aca="false">'Смета Внутр'!I1326</f>
        <v>0</v>
      </c>
    </row>
    <row r="1327" customFormat="false" ht="15" hidden="true" customHeight="true" outlineLevel="0" collapsed="false">
      <c r="B1327" s="1104" t="str">
        <f aca="false">'Смета Внутр'!B1327</f>
        <v>бугель, доска </v>
      </c>
      <c r="C1327" s="1104" t="str">
        <f aca="false">'Смета Внутр'!C1327</f>
        <v>м3</v>
      </c>
      <c r="D1327" s="1109" t="n">
        <f aca="false">'Смета Внутр'!D1327</f>
        <v>0.297</v>
      </c>
      <c r="E1327" s="1104" t="n">
        <f aca="false">'Смета Внутр'!E1327</f>
        <v>9000</v>
      </c>
      <c r="F1327" s="1104" t="n">
        <f aca="false">'Смета Внутр'!F1327</f>
        <v>0</v>
      </c>
      <c r="G1327" s="1104" t="n">
        <f aca="false">IF(E1327&gt;F1327,E1327,F1327)</f>
        <v>9000</v>
      </c>
      <c r="H1327" s="1104" t="n">
        <f aca="false">'Смета Внутр'!G1327</f>
        <v>2673</v>
      </c>
      <c r="I1327" s="1104" t="n">
        <f aca="false">'Смета Внутр'!H1327</f>
        <v>0</v>
      </c>
      <c r="J1327" s="1109" t="n">
        <f aca="false">'Смета Внутр'!I1327</f>
        <v>0</v>
      </c>
    </row>
    <row r="1328" customFormat="false" ht="15" hidden="true" customHeight="true" outlineLevel="0" collapsed="false">
      <c r="B1328" s="1104" t="str">
        <f aca="false">'Смета Внутр'!B1328</f>
        <v>стойка под конек</v>
      </c>
      <c r="C1328" s="1104" t="str">
        <f aca="false">'Смета Внутр'!C1328</f>
        <v>м3</v>
      </c>
      <c r="D1328" s="1109" t="n">
        <f aca="false">'Смета Внутр'!D1328</f>
        <v>0.421770876399966</v>
      </c>
      <c r="E1328" s="1104" t="n">
        <f aca="false">'Смета Внутр'!E1328</f>
        <v>9000</v>
      </c>
      <c r="F1328" s="1104" t="n">
        <f aca="false">'Смета Внутр'!F1328</f>
        <v>0</v>
      </c>
      <c r="G1328" s="1104" t="n">
        <f aca="false">IF(E1328&gt;F1328,E1328,F1328)</f>
        <v>9000</v>
      </c>
      <c r="H1328" s="1104" t="n">
        <f aca="false">'Смета Внутр'!G1328</f>
        <v>3795.9378875997</v>
      </c>
      <c r="I1328" s="1104" t="n">
        <f aca="false">'Смета Внутр'!H1328</f>
        <v>0</v>
      </c>
      <c r="J1328" s="1109" t="n">
        <f aca="false">'Смета Внутр'!I1328</f>
        <v>0</v>
      </c>
    </row>
    <row r="1329" customFormat="false" ht="15" hidden="true" customHeight="true" outlineLevel="0" collapsed="false">
      <c r="B1329" s="1104" t="str">
        <f aca="false">'Смета Внутр'!B1329</f>
        <v>Сосна влаж,100*25мм</v>
      </c>
      <c r="C1329" s="1104" t="str">
        <f aca="false">'Смета Внутр'!C1329</f>
        <v>м3</v>
      </c>
      <c r="D1329" s="1109" t="n">
        <f aca="false">'Смета Внутр'!D1329</f>
        <v>0.50612505167996</v>
      </c>
      <c r="E1329" s="1104" t="n">
        <f aca="false">'Смета Внутр'!E1329</f>
        <v>6500</v>
      </c>
      <c r="F1329" s="1104" t="n">
        <f aca="false">'Смета Внутр'!F1329</f>
        <v>0</v>
      </c>
      <c r="G1329" s="1104" t="n">
        <f aca="false">IF(E1329&gt;F1329,E1329,F1329)</f>
        <v>6500</v>
      </c>
      <c r="H1329" s="1104" t="n">
        <f aca="false">'Смета Внутр'!G1329</f>
        <v>3289.81283591974</v>
      </c>
      <c r="I1329" s="1104" t="n">
        <f aca="false">'Смета Внутр'!H1329</f>
        <v>0</v>
      </c>
      <c r="J1329" s="1109" t="n">
        <f aca="false">'Смета Внутр'!I1329</f>
        <v>0</v>
      </c>
    </row>
    <row r="1330" customFormat="false" ht="15" hidden="true" customHeight="true" outlineLevel="0" collapsed="false">
      <c r="B1330" s="1104" t="str">
        <f aca="false">'Смета Внутр'!B1330</f>
        <v>Доска сухая, калибр., 35*45мм</v>
      </c>
      <c r="C1330" s="1104" t="str">
        <f aca="false">'Смета Внутр'!C1330</f>
        <v>шт</v>
      </c>
      <c r="D1330" s="1109" t="n">
        <f aca="false">'Смета Внутр'!D1330</f>
        <v>0.116250597807741</v>
      </c>
      <c r="E1330" s="1104" t="n">
        <f aca="false">'Смета Внутр'!E1330</f>
        <v>12500</v>
      </c>
      <c r="F1330" s="1104" t="n">
        <f aca="false">'Смета Внутр'!F1330</f>
        <v>0</v>
      </c>
      <c r="G1330" s="1104" t="n">
        <f aca="false">IF(E1330&gt;F1330,E1330,F1330)</f>
        <v>12500</v>
      </c>
      <c r="H1330" s="1104" t="n">
        <f aca="false">'Смета Внутр'!G1330</f>
        <v>1453.13247259676</v>
      </c>
      <c r="I1330" s="1104" t="n">
        <f aca="false">'Смета Внутр'!H1330</f>
        <v>0</v>
      </c>
      <c r="J1330" s="1109" t="n">
        <f aca="false">'Смета Внутр'!I1330</f>
        <v>0</v>
      </c>
    </row>
    <row r="1331" customFormat="false" ht="15" hidden="true" customHeight="true" outlineLevel="0" collapsed="false">
      <c r="B1331" s="1104" t="str">
        <f aca="false">'Смета Внутр'!B1331</f>
        <v>нет ветроизоляции</v>
      </c>
      <c r="C1331" s="1104" t="str">
        <f aca="false">'Смета Внутр'!C1331</f>
        <v>м2</v>
      </c>
      <c r="D1331" s="1109" t="n">
        <f aca="false">'Смета Внутр'!D1331</f>
        <v>24.0409399547981</v>
      </c>
      <c r="E1331" s="1104" t="n">
        <f aca="false">'Смета Внутр'!E1331</f>
        <v>0</v>
      </c>
      <c r="F1331" s="1104" t="n">
        <f aca="false">'Смета Внутр'!F1331</f>
        <v>0</v>
      </c>
      <c r="G1331" s="1104" t="n">
        <f aca="false">IF(E1331&gt;F1331,E1331,F1331)</f>
        <v>0</v>
      </c>
      <c r="H1331" s="1104" t="n">
        <f aca="false">'Смета Внутр'!G1331</f>
        <v>0</v>
      </c>
      <c r="I1331" s="1104" t="n">
        <f aca="false">'Смета Внутр'!H1331</f>
        <v>0</v>
      </c>
      <c r="J1331" s="1109" t="n">
        <f aca="false">'Смета Внутр'!I1331</f>
        <v>0</v>
      </c>
    </row>
    <row r="1332" customFormat="false" ht="15" hidden="true" customHeight="true" outlineLevel="0" collapsed="false">
      <c r="B1332" s="1104" t="str">
        <f aca="false">'Смета Внутр'!B1332</f>
        <v>нет пароизоляции</v>
      </c>
      <c r="C1332" s="1104" t="str">
        <f aca="false">'Смета Внутр'!C1332</f>
        <v>м2</v>
      </c>
      <c r="D1332" s="1109" t="n">
        <f aca="false">'Смета Внутр'!D1332</f>
        <v>22.0375282918982</v>
      </c>
      <c r="E1332" s="1104" t="n">
        <f aca="false">'Смета Внутр'!E1332</f>
        <v>0</v>
      </c>
      <c r="F1332" s="1104" t="n">
        <f aca="false">'Смета Внутр'!F1332</f>
        <v>0</v>
      </c>
      <c r="G1332" s="1104" t="n">
        <f aca="false">IF(E1332&gt;F1332,E1332,F1332)</f>
        <v>0</v>
      </c>
      <c r="H1332" s="1104" t="n">
        <f aca="false">'Смета Внутр'!G1332</f>
        <v>0</v>
      </c>
      <c r="I1332" s="1104" t="n">
        <f aca="false">'Смета Внутр'!H1332</f>
        <v>0</v>
      </c>
      <c r="J1332" s="1109" t="n">
        <f aca="false">'Смета Внутр'!I1332</f>
        <v>0</v>
      </c>
    </row>
    <row r="1333" customFormat="false" ht="15" hidden="true" customHeight="true" outlineLevel="0" collapsed="false">
      <c r="B1333" s="1104" t="str">
        <f aca="false">'Смета Внутр'!B1333</f>
        <v>Плитный,28кг/м3, технониколь, 100мм</v>
      </c>
      <c r="C1333" s="1104" t="str">
        <f aca="false">'Смета Внутр'!C1333</f>
        <v>м3</v>
      </c>
      <c r="D1333" s="1109" t="n">
        <f aca="false">'Смета Внутр'!D1333</f>
        <v>2.00341166289984</v>
      </c>
      <c r="E1333" s="1104" t="n">
        <f aca="false">'Смета Внутр'!E1333</f>
        <v>1700</v>
      </c>
      <c r="F1333" s="1104" t="n">
        <f aca="false">'Смета Внутр'!F1333</f>
        <v>0</v>
      </c>
      <c r="G1333" s="1104" t="n">
        <f aca="false">IF(E1333&gt;F1333,E1333,F1333)</f>
        <v>1700</v>
      </c>
      <c r="H1333" s="1104" t="n">
        <f aca="false">'Смета Внутр'!G1333</f>
        <v>3405.79982692973</v>
      </c>
      <c r="I1333" s="1104" t="n">
        <f aca="false">'Смета Внутр'!H1333</f>
        <v>0</v>
      </c>
      <c r="J1333" s="1109" t="n">
        <f aca="false">'Смета Внутр'!I1333</f>
        <v>0</v>
      </c>
    </row>
    <row r="1334" customFormat="false" ht="15" hidden="true" customHeight="true" outlineLevel="0" collapsed="false">
      <c r="B1334" s="1104" t="str">
        <f aca="false">'Смета Внутр'!B1334</f>
        <v>Металлочерепица</v>
      </c>
      <c r="C1334" s="1104" t="str">
        <f aca="false">'Смета Внутр'!C1334</f>
        <v>м2</v>
      </c>
      <c r="D1334" s="1109" t="n">
        <f aca="false">'Смета Внутр'!D1334</f>
        <v>28.0477632805978</v>
      </c>
      <c r="E1334" s="1104" t="n">
        <f aca="false">'Смета Внутр'!E1334</f>
        <v>250</v>
      </c>
      <c r="F1334" s="1104" t="n">
        <f aca="false">'Смета Внутр'!F1334</f>
        <v>0</v>
      </c>
      <c r="G1334" s="1104" t="n">
        <f aca="false">IF(E1334&gt;F1334,E1334,F1334)</f>
        <v>250</v>
      </c>
      <c r="H1334" s="1104" t="n">
        <f aca="false">'Смета Внутр'!G1334</f>
        <v>7011.94082014944</v>
      </c>
      <c r="I1334" s="1104" t="n">
        <f aca="false">'Смета Внутр'!H1334</f>
        <v>0</v>
      </c>
      <c r="J1334" s="1109" t="n">
        <f aca="false">'Смета Внутр'!I1334</f>
        <v>0</v>
      </c>
    </row>
    <row r="1335" customFormat="false" ht="15" hidden="true" customHeight="true" outlineLevel="0" collapsed="false">
      <c r="B1335" s="1104" t="str">
        <f aca="false">'Смета Внутр'!B1335</f>
        <v>Карнизная планка</v>
      </c>
      <c r="C1335" s="1104" t="str">
        <f aca="false">'Смета Внутр'!C1335</f>
        <v>м.п.</v>
      </c>
      <c r="D1335" s="1109" t="n">
        <f aca="false">'Смета Внутр'!D1335</f>
        <v>4</v>
      </c>
      <c r="E1335" s="1104" t="n">
        <f aca="false">'Смета Внутр'!E1335</f>
        <v>200</v>
      </c>
      <c r="F1335" s="1104" t="n">
        <f aca="false">'Смета Внутр'!F1335</f>
        <v>0</v>
      </c>
      <c r="G1335" s="1104" t="n">
        <f aca="false">IF(E1335&gt;F1335,E1335,F1335)</f>
        <v>200</v>
      </c>
      <c r="H1335" s="1104" t="n">
        <f aca="false">'Смета Внутр'!G1335</f>
        <v>800</v>
      </c>
      <c r="I1335" s="1104" t="n">
        <f aca="false">'Смета Внутр'!H1335</f>
        <v>0</v>
      </c>
      <c r="J1335" s="1109" t="n">
        <f aca="false">'Смета Внутр'!I1335</f>
        <v>0</v>
      </c>
    </row>
    <row r="1336" customFormat="false" ht="15" hidden="true" customHeight="true" outlineLevel="0" collapsed="false">
      <c r="B1336" s="1104" t="str">
        <f aca="false">'Смета Внутр'!B1336</f>
        <v>Торцевая планка</v>
      </c>
      <c r="C1336" s="1104" t="str">
        <f aca="false">'Смета Внутр'!C1336</f>
        <v>м.п.</v>
      </c>
      <c r="D1336" s="1109" t="n">
        <f aca="false">'Смета Внутр'!D1336</f>
        <v>10.5442719099992</v>
      </c>
      <c r="E1336" s="1104" t="n">
        <f aca="false">'Смета Внутр'!E1336</f>
        <v>200</v>
      </c>
      <c r="F1336" s="1104" t="n">
        <f aca="false">'Смета Внутр'!F1336</f>
        <v>0</v>
      </c>
      <c r="G1336" s="1104" t="n">
        <f aca="false">IF(E1336&gt;F1336,E1336,F1336)</f>
        <v>200</v>
      </c>
      <c r="H1336" s="1104" t="n">
        <f aca="false">'Смета Внутр'!G1336</f>
        <v>2108.85438199983</v>
      </c>
      <c r="I1336" s="1104" t="n">
        <f aca="false">'Смета Внутр'!H1336</f>
        <v>0</v>
      </c>
      <c r="J1336" s="1109" t="n">
        <f aca="false">'Смета Внутр'!I1336</f>
        <v>0</v>
      </c>
    </row>
    <row r="1337" customFormat="false" ht="15" hidden="true" customHeight="true" outlineLevel="0" collapsed="false">
      <c r="B1337" s="1104" t="str">
        <f aca="false">'Смета Внутр'!B1337</f>
        <v>Конек</v>
      </c>
      <c r="C1337" s="1104" t="str">
        <f aca="false">'Смета Внутр'!C1337</f>
        <v>м.п.</v>
      </c>
      <c r="D1337" s="1109" t="n">
        <f aca="false">'Смета Внутр'!D1337</f>
        <v>4.8</v>
      </c>
      <c r="E1337" s="1104" t="n">
        <f aca="false">'Смета Внутр'!E1337</f>
        <v>230</v>
      </c>
      <c r="F1337" s="1104" t="n">
        <f aca="false">'Смета Внутр'!F1337</f>
        <v>0</v>
      </c>
      <c r="G1337" s="1104" t="n">
        <f aca="false">IF(E1337&gt;F1337,E1337,F1337)</f>
        <v>230</v>
      </c>
      <c r="H1337" s="1104" t="n">
        <f aca="false">'Смета Внутр'!G1337</f>
        <v>1104</v>
      </c>
      <c r="I1337" s="1104" t="n">
        <f aca="false">'Смета Внутр'!H1337</f>
        <v>0</v>
      </c>
      <c r="J1337" s="1109" t="n">
        <f aca="false">'Смета Внутр'!I1337</f>
        <v>0</v>
      </c>
    </row>
    <row r="1338" customFormat="false" ht="15" hidden="true" customHeight="true" outlineLevel="0" collapsed="false">
      <c r="B1338" s="1104" t="str">
        <f aca="false">'Смета Внутр'!B1338</f>
        <v>Ендова нижняя</v>
      </c>
      <c r="C1338" s="1104" t="str">
        <f aca="false">'Смета Внутр'!C1338</f>
        <v>м.п.</v>
      </c>
      <c r="D1338" s="1109" t="n">
        <f aca="false">'Смета Внутр'!D1338</f>
        <v>12.1426168033242</v>
      </c>
      <c r="E1338" s="1104" t="n">
        <f aca="false">'Смета Внутр'!E1338</f>
        <v>160</v>
      </c>
      <c r="F1338" s="1104" t="n">
        <f aca="false">'Смета Внутр'!F1338</f>
        <v>0</v>
      </c>
      <c r="G1338" s="1104" t="n">
        <f aca="false">IF(E1338&gt;F1338,E1338,F1338)</f>
        <v>160</v>
      </c>
      <c r="H1338" s="1104" t="n">
        <f aca="false">'Смета Внутр'!G1338</f>
        <v>1942.81868853187</v>
      </c>
      <c r="I1338" s="1104" t="n">
        <f aca="false">'Смета Внутр'!H1338</f>
        <v>0</v>
      </c>
      <c r="J1338" s="1109" t="n">
        <f aca="false">'Смета Внутр'!I1338</f>
        <v>0</v>
      </c>
    </row>
    <row r="1339" customFormat="false" ht="15" hidden="true" customHeight="true" outlineLevel="0" collapsed="false">
      <c r="B1339" s="1104" t="str">
        <f aca="false">'Смета Внутр'!B1339</f>
        <v>Ендова верхняя</v>
      </c>
      <c r="C1339" s="1104" t="str">
        <f aca="false">'Смета Внутр'!C1339</f>
        <v>м.п.</v>
      </c>
      <c r="D1339" s="1109" t="n">
        <f aca="false">'Смета Внутр'!D1339</f>
        <v>12.1426168033242</v>
      </c>
      <c r="E1339" s="1104" t="n">
        <f aca="false">'Смета Внутр'!E1339</f>
        <v>190</v>
      </c>
      <c r="F1339" s="1104" t="n">
        <f aca="false">'Смета Внутр'!F1339</f>
        <v>0</v>
      </c>
      <c r="G1339" s="1104" t="n">
        <f aca="false">IF(E1339&gt;F1339,E1339,F1339)</f>
        <v>190</v>
      </c>
      <c r="H1339" s="1104" t="n">
        <f aca="false">'Смета Внутр'!G1339</f>
        <v>2307.09719263159</v>
      </c>
      <c r="I1339" s="1104" t="n">
        <f aca="false">'Смета Внутр'!H1339</f>
        <v>0</v>
      </c>
      <c r="J1339" s="1109" t="n">
        <f aca="false">'Смета Внутр'!I1339</f>
        <v>0</v>
      </c>
    </row>
    <row r="1340" customFormat="false" ht="15" hidden="true" customHeight="true" outlineLevel="0" collapsed="false">
      <c r="B1340" s="1104" t="str">
        <f aca="false">'Смета Внутр'!B1340</f>
        <v>ондулин</v>
      </c>
      <c r="C1340" s="1104" t="str">
        <f aca="false">'Смета Внутр'!C1340</f>
        <v>м2</v>
      </c>
      <c r="D1340" s="1109" t="n">
        <f aca="false">'Смета Внутр'!D1340</f>
        <v>0</v>
      </c>
      <c r="E1340" s="1104" t="n">
        <f aca="false">'Смета Внутр'!E1340</f>
        <v>180</v>
      </c>
      <c r="F1340" s="1104" t="n">
        <f aca="false">'Смета Внутр'!F1340</f>
        <v>0</v>
      </c>
      <c r="G1340" s="1104" t="n">
        <f aca="false">IF(E1340&gt;F1340,E1340,F1340)</f>
        <v>180</v>
      </c>
      <c r="H1340" s="1104" t="n">
        <f aca="false">'Смета Внутр'!G1340</f>
        <v>0</v>
      </c>
      <c r="I1340" s="1104" t="n">
        <f aca="false">'Смета Внутр'!H1340</f>
        <v>0</v>
      </c>
      <c r="J1340" s="1109" t="n">
        <f aca="false">'Смета Внутр'!I1340</f>
        <v>0</v>
      </c>
    </row>
    <row r="1341" customFormat="false" ht="15" hidden="true" customHeight="true" outlineLevel="0" collapsed="false">
      <c r="B1341" s="1104" t="str">
        <f aca="false">'Смета Внутр'!B1341</f>
        <v>Карнизная планка</v>
      </c>
      <c r="C1341" s="1104" t="str">
        <f aca="false">'Смета Внутр'!C1341</f>
        <v>м.п.</v>
      </c>
      <c r="D1341" s="1109" t="n">
        <f aca="false">'Смета Внутр'!D1341</f>
        <v>0</v>
      </c>
      <c r="E1341" s="1104" t="n">
        <f aca="false">'Смета Внутр'!E1341</f>
        <v>190</v>
      </c>
      <c r="F1341" s="1104" t="n">
        <f aca="false">'Смета Внутр'!F1341</f>
        <v>0</v>
      </c>
      <c r="G1341" s="1104" t="n">
        <f aca="false">IF(E1341&gt;F1341,E1341,F1341)</f>
        <v>190</v>
      </c>
      <c r="H1341" s="1104" t="n">
        <f aca="false">'Смета Внутр'!G1341</f>
        <v>0</v>
      </c>
      <c r="I1341" s="1104" t="n">
        <f aca="false">'Смета Внутр'!H1341</f>
        <v>0</v>
      </c>
      <c r="J1341" s="1109" t="n">
        <f aca="false">'Смета Внутр'!I1341</f>
        <v>0</v>
      </c>
    </row>
    <row r="1342" customFormat="false" ht="15" hidden="true" customHeight="true" outlineLevel="0" collapsed="false">
      <c r="B1342" s="1104" t="str">
        <f aca="false">'Смета Внутр'!B1342</f>
        <v>Торцевая планка</v>
      </c>
      <c r="C1342" s="1104" t="str">
        <f aca="false">'Смета Внутр'!C1342</f>
        <v>м.п.</v>
      </c>
      <c r="D1342" s="1109" t="n">
        <f aca="false">'Смета Внутр'!D1342</f>
        <v>0</v>
      </c>
      <c r="E1342" s="1104" t="n">
        <f aca="false">'Смета Внутр'!E1342</f>
        <v>190</v>
      </c>
      <c r="F1342" s="1104" t="n">
        <f aca="false">'Смета Внутр'!F1342</f>
        <v>0</v>
      </c>
      <c r="G1342" s="1104" t="n">
        <f aca="false">IF(E1342&gt;F1342,E1342,F1342)</f>
        <v>190</v>
      </c>
      <c r="H1342" s="1104" t="n">
        <f aca="false">'Смета Внутр'!G1342</f>
        <v>0</v>
      </c>
      <c r="I1342" s="1104" t="n">
        <f aca="false">'Смета Внутр'!H1342</f>
        <v>0</v>
      </c>
      <c r="J1342" s="1109" t="n">
        <f aca="false">'Смета Внутр'!I1342</f>
        <v>0</v>
      </c>
    </row>
    <row r="1343" customFormat="false" ht="15" hidden="true" customHeight="true" outlineLevel="0" collapsed="false">
      <c r="B1343" s="1104" t="str">
        <f aca="false">'Смета Внутр'!B1343</f>
        <v>Конек</v>
      </c>
      <c r="C1343" s="1104" t="str">
        <f aca="false">'Смета Внутр'!C1343</f>
        <v>м.п.</v>
      </c>
      <c r="D1343" s="1109" t="n">
        <f aca="false">'Смета Внутр'!D1343</f>
        <v>0</v>
      </c>
      <c r="E1343" s="1104" t="n">
        <f aca="false">'Смета Внутр'!E1343</f>
        <v>200</v>
      </c>
      <c r="F1343" s="1104" t="n">
        <f aca="false">'Смета Внутр'!F1343</f>
        <v>0</v>
      </c>
      <c r="G1343" s="1104" t="n">
        <f aca="false">IF(E1343&gt;F1343,E1343,F1343)</f>
        <v>200</v>
      </c>
      <c r="H1343" s="1104" t="n">
        <f aca="false">'Смета Внутр'!G1343</f>
        <v>0</v>
      </c>
      <c r="I1343" s="1104" t="n">
        <f aca="false">'Смета Внутр'!H1343</f>
        <v>0</v>
      </c>
      <c r="J1343" s="1109" t="n">
        <f aca="false">'Смета Внутр'!I1343</f>
        <v>0</v>
      </c>
    </row>
    <row r="1344" customFormat="false" ht="15" hidden="true" customHeight="true" outlineLevel="0" collapsed="false">
      <c r="B1344" s="1104" t="str">
        <f aca="false">'Смета Внутр'!B1344</f>
        <v>Ендова нижняя</v>
      </c>
      <c r="C1344" s="1104" t="str">
        <f aca="false">'Смета Внутр'!C1344</f>
        <v>м.п.</v>
      </c>
      <c r="D1344" s="1109" t="n">
        <f aca="false">'Смета Внутр'!D1344</f>
        <v>0</v>
      </c>
      <c r="E1344" s="1104" t="n">
        <f aca="false">'Смета Внутр'!E1344</f>
        <v>160</v>
      </c>
      <c r="F1344" s="1104" t="n">
        <f aca="false">'Смета Внутр'!F1344</f>
        <v>0</v>
      </c>
      <c r="G1344" s="1104" t="n">
        <f aca="false">IF(E1344&gt;F1344,E1344,F1344)</f>
        <v>160</v>
      </c>
      <c r="H1344" s="1104" t="n">
        <f aca="false">'Смета Внутр'!G1344</f>
        <v>0</v>
      </c>
      <c r="I1344" s="1104" t="n">
        <f aca="false">'Смета Внутр'!H1344</f>
        <v>0</v>
      </c>
      <c r="J1344" s="1109" t="n">
        <f aca="false">'Смета Внутр'!I1344</f>
        <v>0</v>
      </c>
    </row>
    <row r="1345" customFormat="false" ht="15" hidden="true" customHeight="true" outlineLevel="0" collapsed="false">
      <c r="B1345" s="1104" t="str">
        <f aca="false">'Смета Внутр'!B1345</f>
        <v>Ендова верхняя</v>
      </c>
      <c r="C1345" s="1104" t="str">
        <f aca="false">'Смета Внутр'!C1345</f>
        <v>м.п.</v>
      </c>
      <c r="D1345" s="1109" t="n">
        <f aca="false">'Смета Внутр'!D1345</f>
        <v>0</v>
      </c>
      <c r="E1345" s="1104" t="n">
        <f aca="false">'Смета Внутр'!E1345</f>
        <v>190</v>
      </c>
      <c r="F1345" s="1104" t="n">
        <f aca="false">'Смета Внутр'!F1345</f>
        <v>0</v>
      </c>
      <c r="G1345" s="1104" t="n">
        <f aca="false">IF(E1345&gt;F1345,E1345,F1345)</f>
        <v>190</v>
      </c>
      <c r="H1345" s="1104" t="n">
        <f aca="false">'Смета Внутр'!G1345</f>
        <v>0</v>
      </c>
      <c r="I1345" s="1104" t="n">
        <f aca="false">'Смета Внутр'!H1345</f>
        <v>0</v>
      </c>
      <c r="J1345" s="1109" t="n">
        <f aca="false">'Смета Внутр'!I1345</f>
        <v>0</v>
      </c>
    </row>
    <row r="1346" customFormat="false" ht="15" hidden="true" customHeight="true" outlineLevel="0" collapsed="false">
      <c r="B1346" s="1104" t="str">
        <f aca="false">'Смета Внутр'!B1346</f>
        <v>Планка примыкания</v>
      </c>
      <c r="C1346" s="1104" t="str">
        <f aca="false">'Смета Внутр'!C1346</f>
        <v>м.п.</v>
      </c>
      <c r="D1346" s="1109" t="n">
        <f aca="false">'Смета Внутр'!D1346</f>
        <v>0</v>
      </c>
      <c r="E1346" s="1104" t="n">
        <f aca="false">'Смета Внутр'!E1346</f>
        <v>190</v>
      </c>
      <c r="F1346" s="1104" t="n">
        <f aca="false">'Смета Внутр'!F1346</f>
        <v>0</v>
      </c>
      <c r="G1346" s="1104" t="n">
        <f aca="false">IF(E1346&gt;F1346,E1346,F1346)</f>
        <v>190</v>
      </c>
      <c r="H1346" s="1104" t="n">
        <f aca="false">'Смета Внутр'!G1346</f>
        <v>0</v>
      </c>
      <c r="I1346" s="1104" t="n">
        <f aca="false">'Смета Внутр'!H1346</f>
        <v>0</v>
      </c>
      <c r="J1346" s="1109" t="n">
        <f aca="false">'Смета Внутр'!I1346</f>
        <v>0</v>
      </c>
    </row>
    <row r="1347" customFormat="false" ht="15" hidden="true" customHeight="true" outlineLevel="0" collapsed="false">
      <c r="B1347" s="1104" t="str">
        <f aca="false">'Смета Внутр'!B1347</f>
        <v>Крепеж для ондулина</v>
      </c>
      <c r="C1347" s="1104" t="str">
        <f aca="false">'Смета Внутр'!C1347</f>
        <v>шт</v>
      </c>
      <c r="D1347" s="1109" t="n">
        <f aca="false">'Смета Внутр'!D1347</f>
        <v>0</v>
      </c>
      <c r="E1347" s="1104" t="n">
        <f aca="false">'Смета Внутр'!E1347</f>
        <v>4.5</v>
      </c>
      <c r="F1347" s="1104" t="n">
        <f aca="false">'Смета Внутр'!F1347</f>
        <v>0</v>
      </c>
      <c r="G1347" s="1104" t="n">
        <f aca="false">IF(E1347&gt;F1347,E1347,F1347)</f>
        <v>4.5</v>
      </c>
      <c r="H1347" s="1104" t="n">
        <f aca="false">'Смета Внутр'!G1347</f>
        <v>0</v>
      </c>
      <c r="I1347" s="1104" t="n">
        <f aca="false">'Смета Внутр'!H1347</f>
        <v>0</v>
      </c>
      <c r="J1347" s="1109" t="n">
        <f aca="false">'Смета Внутр'!I1347</f>
        <v>0</v>
      </c>
    </row>
    <row r="1348" customFormat="false" ht="15" hidden="true" customHeight="true" outlineLevel="0" collapsed="false">
      <c r="B1348" s="1104" t="str">
        <f aca="false">'Смета Внутр'!B1348</f>
        <v>Фанера Березовая марка ФК - влагостойкая,  18 мм </v>
      </c>
      <c r="C1348" s="1104" t="str">
        <f aca="false">'Смета Внутр'!C1348</f>
        <v>м2</v>
      </c>
      <c r="D1348" s="1109" t="n">
        <f aca="false">'Смета Внутр'!D1348</f>
        <v>22.0375282918982</v>
      </c>
      <c r="E1348" s="1104" t="n">
        <f aca="false">'Смета Внутр'!E1348</f>
        <v>533.333333333333</v>
      </c>
      <c r="F1348" s="1104" t="n">
        <f aca="false">'Смета Внутр'!F1348</f>
        <v>0</v>
      </c>
      <c r="G1348" s="1104" t="n">
        <f aca="false">IF(E1348&gt;F1348,E1348,F1348)</f>
        <v>533.333333333333</v>
      </c>
      <c r="H1348" s="1104" t="n">
        <f aca="false">'Смета Внутр'!G1348</f>
        <v>11753.3484223457</v>
      </c>
      <c r="I1348" s="1104" t="n">
        <f aca="false">'Смета Внутр'!H1348</f>
        <v>0</v>
      </c>
      <c r="J1348" s="1109" t="n">
        <f aca="false">'Смета Внутр'!I1348</f>
        <v>0</v>
      </c>
    </row>
    <row r="1349" customFormat="false" ht="15" hidden="true" customHeight="true" outlineLevel="0" collapsed="false">
      <c r="B1349" s="1104" t="str">
        <f aca="false">'Смета Внутр'!B1349</f>
        <v>Рядовая черепица</v>
      </c>
      <c r="C1349" s="1104" t="str">
        <f aca="false">'Смета Внутр'!C1349</f>
        <v>м2</v>
      </c>
      <c r="D1349" s="1109" t="n">
        <f aca="false">'Смета Внутр'!D1349</f>
        <v>0</v>
      </c>
      <c r="E1349" s="1104" t="n">
        <f aca="false">'Смета Внутр'!E1349</f>
        <v>360</v>
      </c>
      <c r="F1349" s="1104" t="n">
        <f aca="false">'Смета Внутр'!F1349</f>
        <v>0</v>
      </c>
      <c r="G1349" s="1104" t="n">
        <f aca="false">IF(E1349&gt;F1349,E1349,F1349)</f>
        <v>360</v>
      </c>
      <c r="H1349" s="1104" t="n">
        <f aca="false">'Смета Внутр'!G1349</f>
        <v>0</v>
      </c>
      <c r="I1349" s="1104" t="n">
        <f aca="false">'Смета Внутр'!H1349</f>
        <v>0</v>
      </c>
      <c r="J1349" s="1109" t="n">
        <f aca="false">'Смета Внутр'!I1349</f>
        <v>0</v>
      </c>
    </row>
    <row r="1350" customFormat="false" ht="15" hidden="true" customHeight="true" outlineLevel="0" collapsed="false">
      <c r="B1350" s="1104" t="str">
        <f aca="false">'Смета Внутр'!B1350</f>
        <v>Металл оцинк защита (карниз)</v>
      </c>
      <c r="C1350" s="1104" t="str">
        <f aca="false">'Смета Внутр'!C1350</f>
        <v>м.п.</v>
      </c>
      <c r="D1350" s="1109" t="n">
        <f aca="false">'Смета Внутр'!D1350</f>
        <v>0</v>
      </c>
      <c r="E1350" s="1104" t="n">
        <f aca="false">'Смета Внутр'!E1350</f>
        <v>200</v>
      </c>
      <c r="F1350" s="1104" t="n">
        <f aca="false">'Смета Внутр'!F1350</f>
        <v>0</v>
      </c>
      <c r="G1350" s="1104" t="n">
        <f aca="false">IF(E1350&gt;F1350,E1350,F1350)</f>
        <v>200</v>
      </c>
      <c r="H1350" s="1104" t="n">
        <f aca="false">'Смета Внутр'!G1350</f>
        <v>0</v>
      </c>
      <c r="I1350" s="1104" t="n">
        <f aca="false">'Смета Внутр'!H1350</f>
        <v>0</v>
      </c>
      <c r="J1350" s="1109" t="n">
        <f aca="false">'Смета Внутр'!I1350</f>
        <v>0</v>
      </c>
    </row>
    <row r="1351" customFormat="false" ht="15" hidden="true" customHeight="true" outlineLevel="0" collapsed="false">
      <c r="B1351" s="1104" t="str">
        <f aca="false">'Смета Внутр'!B1351</f>
        <v>Подкладочный ковер</v>
      </c>
      <c r="C1351" s="1104" t="str">
        <f aca="false">'Смета Внутр'!C1351</f>
        <v>м.п.</v>
      </c>
      <c r="D1351" s="1109" t="n">
        <f aca="false">'Смета Внутр'!D1351</f>
        <v>0</v>
      </c>
      <c r="E1351" s="1104" t="n">
        <f aca="false">'Смета Внутр'!E1351</f>
        <v>220</v>
      </c>
      <c r="F1351" s="1104" t="n">
        <f aca="false">'Смета Внутр'!F1351</f>
        <v>0</v>
      </c>
      <c r="G1351" s="1104" t="n">
        <f aca="false">IF(E1351&gt;F1351,E1351,F1351)</f>
        <v>220</v>
      </c>
      <c r="H1351" s="1104" t="n">
        <f aca="false">'Смета Внутр'!G1351</f>
        <v>0</v>
      </c>
      <c r="I1351" s="1104" t="n">
        <f aca="false">'Смета Внутр'!H1351</f>
        <v>0</v>
      </c>
      <c r="J1351" s="1109" t="n">
        <f aca="false">'Смета Внутр'!I1351</f>
        <v>0</v>
      </c>
    </row>
    <row r="1352" customFormat="false" ht="15" hidden="true" customHeight="true" outlineLevel="0" collapsed="false">
      <c r="B1352" s="1104" t="str">
        <f aca="false">'Смета Внутр'!B1352</f>
        <v>Карнизная самоклеющаяся черепица</v>
      </c>
      <c r="C1352" s="1104" t="str">
        <f aca="false">'Смета Внутр'!C1352</f>
        <v>м.п.</v>
      </c>
      <c r="D1352" s="1109" t="n">
        <f aca="false">'Смета Внутр'!D1352</f>
        <v>0</v>
      </c>
      <c r="E1352" s="1104" t="n">
        <f aca="false">'Смета Внутр'!E1352</f>
        <v>220</v>
      </c>
      <c r="F1352" s="1104" t="n">
        <f aca="false">'Смета Внутр'!F1352</f>
        <v>0</v>
      </c>
      <c r="G1352" s="1104" t="n">
        <f aca="false">IF(E1352&gt;F1352,E1352,F1352)</f>
        <v>220</v>
      </c>
      <c r="H1352" s="1104" t="n">
        <f aca="false">'Смета Внутр'!G1352</f>
        <v>0</v>
      </c>
      <c r="I1352" s="1104" t="n">
        <f aca="false">'Смета Внутр'!H1352</f>
        <v>0</v>
      </c>
      <c r="J1352" s="1109" t="n">
        <f aca="false">'Смета Внутр'!I1352</f>
        <v>0</v>
      </c>
    </row>
    <row r="1353" customFormat="false" ht="15" hidden="true" customHeight="true" outlineLevel="0" collapsed="false">
      <c r="B1353" s="1104" t="str">
        <f aca="false">'Смета Внутр'!B1353</f>
        <v>Спец ковер ендова нижняя</v>
      </c>
      <c r="C1353" s="1104" t="str">
        <f aca="false">'Смета Внутр'!C1353</f>
        <v>м.п.</v>
      </c>
      <c r="D1353" s="1109" t="n">
        <f aca="false">'Смета Внутр'!D1353</f>
        <v>0</v>
      </c>
      <c r="E1353" s="1104" t="n">
        <f aca="false">'Смета Внутр'!E1353</f>
        <v>200</v>
      </c>
      <c r="F1353" s="1104" t="n">
        <f aca="false">'Смета Внутр'!F1353</f>
        <v>0</v>
      </c>
      <c r="G1353" s="1104" t="n">
        <f aca="false">IF(E1353&gt;F1353,E1353,F1353)</f>
        <v>200</v>
      </c>
      <c r="H1353" s="1104" t="n">
        <f aca="false">'Смета Внутр'!G1353</f>
        <v>0</v>
      </c>
      <c r="I1353" s="1104" t="n">
        <f aca="false">'Смета Внутр'!H1353</f>
        <v>0</v>
      </c>
      <c r="J1353" s="1109" t="n">
        <f aca="false">'Смета Внутр'!I1353</f>
        <v>0</v>
      </c>
    </row>
    <row r="1354" customFormat="false" ht="15" hidden="true" customHeight="true" outlineLevel="0" collapsed="false">
      <c r="B1354" s="1104" t="str">
        <f aca="false">'Смета Внутр'!B1354</f>
        <v>Коньковой элемент</v>
      </c>
      <c r="C1354" s="1104" t="str">
        <f aca="false">'Смета Внутр'!C1354</f>
        <v>м.п.</v>
      </c>
      <c r="D1354" s="1109" t="n">
        <f aca="false">'Смета Внутр'!D1354</f>
        <v>0</v>
      </c>
      <c r="E1354" s="1104" t="n">
        <f aca="false">'Смета Внутр'!E1354</f>
        <v>250</v>
      </c>
      <c r="F1354" s="1104" t="n">
        <f aca="false">'Смета Внутр'!F1354</f>
        <v>0</v>
      </c>
      <c r="G1354" s="1104" t="n">
        <f aca="false">IF(E1354&gt;F1354,E1354,F1354)</f>
        <v>250</v>
      </c>
      <c r="H1354" s="1104" t="n">
        <f aca="false">'Смета Внутр'!G1354</f>
        <v>0</v>
      </c>
      <c r="I1354" s="1104" t="n">
        <f aca="false">'Смета Внутр'!H1354</f>
        <v>0</v>
      </c>
      <c r="J1354" s="1109" t="n">
        <f aca="false">'Смета Внутр'!I1354</f>
        <v>0</v>
      </c>
    </row>
    <row r="1355" customFormat="false" ht="15" hidden="true" customHeight="true" outlineLevel="0" collapsed="false">
      <c r="B1355" s="1104" t="str">
        <f aca="false">'Смета Внутр'!B1355</f>
        <v>Планка премыкания</v>
      </c>
      <c r="C1355" s="1104" t="str">
        <f aca="false">'Смета Внутр'!C1355</f>
        <v>м.п.</v>
      </c>
      <c r="D1355" s="1109" t="n">
        <f aca="false">'Смета Внутр'!D1355</f>
        <v>0</v>
      </c>
      <c r="E1355" s="1104" t="n">
        <f aca="false">'Смета Внутр'!E1355</f>
        <v>200</v>
      </c>
      <c r="F1355" s="1104" t="n">
        <f aca="false">'Смета Внутр'!F1355</f>
        <v>0</v>
      </c>
      <c r="G1355" s="1104" t="n">
        <f aca="false">IF(E1355&gt;F1355,E1355,F1355)</f>
        <v>200</v>
      </c>
      <c r="H1355" s="1104" t="n">
        <f aca="false">'Смета Внутр'!G1355</f>
        <v>0</v>
      </c>
      <c r="I1355" s="1104" t="n">
        <f aca="false">'Смета Внутр'!H1355</f>
        <v>0</v>
      </c>
      <c r="J1355" s="1109" t="n">
        <f aca="false">'Смета Внутр'!I1355</f>
        <v>0</v>
      </c>
    </row>
    <row r="1356" customFormat="false" ht="15" hidden="true" customHeight="true" outlineLevel="0" collapsed="false">
      <c r="B1356" s="1104" t="str">
        <f aca="false">'Смета Внутр'!B1356</f>
        <v>Гвозди для крепления подкладочного ковра</v>
      </c>
      <c r="C1356" s="1104" t="str">
        <f aca="false">'Смета Внутр'!C1356</f>
        <v>шт</v>
      </c>
      <c r="D1356" s="1109" t="n">
        <f aca="false">'Смета Внутр'!D1356</f>
        <v>0</v>
      </c>
      <c r="E1356" s="1104" t="n">
        <f aca="false">'Смета Внутр'!E1356</f>
        <v>0.012</v>
      </c>
      <c r="F1356" s="1104" t="n">
        <f aca="false">'Смета Внутр'!F1356</f>
        <v>0</v>
      </c>
      <c r="G1356" s="1104" t="n">
        <f aca="false">IF(E1356&gt;F1356,E1356,F1356)</f>
        <v>0.012</v>
      </c>
      <c r="H1356" s="1104" t="n">
        <f aca="false">'Смета Внутр'!G1356</f>
        <v>0</v>
      </c>
      <c r="I1356" s="1104" t="n">
        <f aca="false">'Смета Внутр'!H1356</f>
        <v>0</v>
      </c>
      <c r="J1356" s="1109" t="n">
        <f aca="false">'Смета Внутр'!I1356</f>
        <v>0</v>
      </c>
    </row>
    <row r="1357" customFormat="false" ht="15" hidden="true" customHeight="true" outlineLevel="0" collapsed="false">
      <c r="B1357" s="1104" t="str">
        <f aca="false">'Смета Внутр'!B1357</f>
        <v>Гвозди для крепления черепицы</v>
      </c>
      <c r="C1357" s="1104" t="str">
        <f aca="false">'Смета Внутр'!C1357</f>
        <v>шт</v>
      </c>
      <c r="D1357" s="1109" t="n">
        <f aca="false">'Смета Внутр'!D1357</f>
        <v>0</v>
      </c>
      <c r="E1357" s="1104" t="n">
        <f aca="false">'Смета Внутр'!E1357</f>
        <v>0.25</v>
      </c>
      <c r="F1357" s="1104" t="n">
        <f aca="false">'Смета Внутр'!F1357</f>
        <v>0</v>
      </c>
      <c r="G1357" s="1104" t="n">
        <f aca="false">IF(E1357&gt;F1357,E1357,F1357)</f>
        <v>0.25</v>
      </c>
      <c r="H1357" s="1104" t="n">
        <f aca="false">'Смета Внутр'!G1357</f>
        <v>0</v>
      </c>
      <c r="I1357" s="1104" t="n">
        <f aca="false">'Смета Внутр'!H1357</f>
        <v>0</v>
      </c>
      <c r="J1357" s="1109" t="n">
        <f aca="false">'Смета Внутр'!I1357</f>
        <v>0</v>
      </c>
    </row>
    <row r="1358" customFormat="false" ht="15" hidden="true" customHeight="true" outlineLevel="0" collapsed="false">
      <c r="B1358" s="1104" t="str">
        <f aca="false">'Смета Внутр'!B1358</f>
        <v>Клей для монтажа черепицы</v>
      </c>
      <c r="C1358" s="1104" t="str">
        <f aca="false">'Смета Внутр'!C1358</f>
        <v>кг</v>
      </c>
      <c r="D1358" s="1109" t="n">
        <f aca="false">'Смета Внутр'!D1358</f>
        <v>0</v>
      </c>
      <c r="E1358" s="1104" t="n">
        <f aca="false">'Смета Внутр'!E1358</f>
        <v>250</v>
      </c>
      <c r="F1358" s="1104" t="n">
        <f aca="false">'Смета Внутр'!F1358</f>
        <v>0</v>
      </c>
      <c r="G1358" s="1104" t="n">
        <f aca="false">IF(E1358&gt;F1358,E1358,F1358)</f>
        <v>250</v>
      </c>
      <c r="H1358" s="1104" t="n">
        <f aca="false">'Смета Внутр'!G1358</f>
        <v>0</v>
      </c>
      <c r="I1358" s="1104" t="n">
        <f aca="false">'Смета Внутр'!H1358</f>
        <v>0</v>
      </c>
      <c r="J1358" s="1109" t="n">
        <f aca="false">'Смета Внутр'!I1358</f>
        <v>0</v>
      </c>
    </row>
    <row r="1359" customFormat="false" ht="15" hidden="true" customHeight="true" outlineLevel="0" collapsed="false">
      <c r="B1359" s="1104" t="str">
        <f aca="false">'Смета Внутр'!B1359</f>
        <v>лента дельта мульти бэнд</v>
      </c>
      <c r="C1359" s="1104" t="str">
        <f aca="false">'Смета Внутр'!C1359</f>
        <v>шт</v>
      </c>
      <c r="D1359" s="1109" t="n">
        <f aca="false">'Смета Внутр'!D1359</f>
        <v>1.6695097190832</v>
      </c>
      <c r="E1359" s="1104" t="n">
        <f aca="false">'Смета Внутр'!E1359</f>
        <v>1200</v>
      </c>
      <c r="F1359" s="1104" t="n">
        <f aca="false">'Смета Внутр'!F1359</f>
        <v>0</v>
      </c>
      <c r="G1359" s="1104" t="n">
        <f aca="false">IF(E1359&gt;F1359,E1359,F1359)</f>
        <v>1200</v>
      </c>
      <c r="H1359" s="1104" t="n">
        <f aca="false">'Смета Внутр'!G1359</f>
        <v>2003.41166289984</v>
      </c>
      <c r="I1359" s="1104" t="n">
        <f aca="false">'Смета Внутр'!H1359</f>
        <v>0</v>
      </c>
      <c r="J1359" s="1109" t="n">
        <f aca="false">'Смета Внутр'!I1359</f>
        <v>0</v>
      </c>
    </row>
    <row r="1360" customFormat="false" ht="15" hidden="true" customHeight="true" outlineLevel="0" collapsed="false">
      <c r="B1360" s="1104" t="str">
        <f aca="false">'Смета Внутр'!B1360</f>
        <v>лента дельта sb-60</v>
      </c>
      <c r="C1360" s="1104" t="str">
        <f aca="false">'Смета Внутр'!C1360</f>
        <v>шт</v>
      </c>
      <c r="D1360" s="1109" t="n">
        <f aca="false">'Смета Внутр'!D1360</f>
        <v>0.801364665159936</v>
      </c>
      <c r="E1360" s="1104" t="n">
        <f aca="false">'Смета Внутр'!E1360</f>
        <v>1100</v>
      </c>
      <c r="F1360" s="1104" t="n">
        <f aca="false">'Смета Внутр'!F1360</f>
        <v>0</v>
      </c>
      <c r="G1360" s="1104" t="n">
        <f aca="false">IF(E1360&gt;F1360,E1360,F1360)</f>
        <v>1100</v>
      </c>
      <c r="H1360" s="1104" t="n">
        <f aca="false">'Смета Внутр'!G1360</f>
        <v>881.50113167593</v>
      </c>
      <c r="I1360" s="1104" t="n">
        <f aca="false">'Смета Внутр'!H1360</f>
        <v>0</v>
      </c>
      <c r="J1360" s="1109" t="n">
        <f aca="false">'Смета Внутр'!I1360</f>
        <v>0</v>
      </c>
    </row>
    <row r="1361" customFormat="false" ht="15" hidden="true" customHeight="true" outlineLevel="0" collapsed="false">
      <c r="B1361" s="1104" t="str">
        <f aca="false">'Смета Внутр'!B1361</f>
        <v>Кровельный саморез</v>
      </c>
      <c r="C1361" s="1104" t="str">
        <f aca="false">'Смета Внутр'!C1361</f>
        <v>шт</v>
      </c>
      <c r="D1361" s="1109" t="n">
        <f aca="false">'Смета Внутр'!D1361</f>
        <v>240.409399547981</v>
      </c>
      <c r="E1361" s="1104" t="n">
        <f aca="false">'Смета Внутр'!E1361</f>
        <v>2</v>
      </c>
      <c r="F1361" s="1104" t="n">
        <f aca="false">'Смета Внутр'!F1361</f>
        <v>0</v>
      </c>
      <c r="G1361" s="1104" t="n">
        <f aca="false">IF(E1361&gt;F1361,E1361,F1361)</f>
        <v>2</v>
      </c>
      <c r="H1361" s="1104" t="n">
        <f aca="false">'Смета Внутр'!G1361</f>
        <v>480.818799095962</v>
      </c>
      <c r="I1361" s="1104" t="n">
        <f aca="false">'Смета Внутр'!H1361</f>
        <v>0</v>
      </c>
      <c r="J1361" s="1109" t="n">
        <f aca="false">'Смета Внутр'!I1361</f>
        <v>0</v>
      </c>
    </row>
    <row r="1362" customFormat="false" ht="15" hidden="true" customHeight="true" outlineLevel="0" collapsed="false">
      <c r="B1362" s="1104" t="str">
        <f aca="false">'Смета Внутр'!B1362</f>
        <v>Гвозди ершоные 3,4 x 60            </v>
      </c>
      <c r="C1362" s="1104" t="str">
        <f aca="false">'Смета Внутр'!C1362</f>
        <v>кг</v>
      </c>
      <c r="D1362" s="1109" t="n">
        <f aca="false">'Смета Внутр'!D1362</f>
        <v>7.5918757751994</v>
      </c>
      <c r="E1362" s="1104" t="n">
        <f aca="false">'Смета Внутр'!E1362</f>
        <v>75.51</v>
      </c>
      <c r="F1362" s="1104" t="n">
        <f aca="false">'Смета Внутр'!F1362</f>
        <v>0</v>
      </c>
      <c r="G1362" s="1104" t="n">
        <f aca="false">IF(E1362&gt;F1362,E1362,F1362)</f>
        <v>75.51</v>
      </c>
      <c r="H1362" s="1104" t="n">
        <f aca="false">'Смета Внутр'!G1362</f>
        <v>573.262539785306</v>
      </c>
      <c r="I1362" s="1104" t="n">
        <f aca="false">'Смета Внутр'!H1362</f>
        <v>0</v>
      </c>
      <c r="J1362" s="1109" t="n">
        <f aca="false">'Смета Внутр'!I1362</f>
        <v>0</v>
      </c>
    </row>
    <row r="1363" customFormat="false" ht="15" hidden="true" customHeight="true" outlineLevel="0" collapsed="false">
      <c r="B1363" s="1104" t="str">
        <f aca="false">'Смета Внутр'!B1363</f>
        <v>Гвозди ершоные 2,8 х 90            </v>
      </c>
      <c r="C1363" s="1104" t="str">
        <f aca="false">'Смета Внутр'!C1363</f>
        <v>кг</v>
      </c>
      <c r="D1363" s="1109" t="n">
        <f aca="false">'Смета Внутр'!D1363</f>
        <v>19.4214233930988</v>
      </c>
      <c r="E1363" s="1104" t="n">
        <f aca="false">'Смета Внутр'!E1363</f>
        <v>76.49</v>
      </c>
      <c r="F1363" s="1104" t="n">
        <f aca="false">'Смета Внутр'!F1363</f>
        <v>0</v>
      </c>
      <c r="G1363" s="1104" t="n">
        <f aca="false">IF(E1363&gt;F1363,E1363,F1363)</f>
        <v>76.49</v>
      </c>
      <c r="H1363" s="1104" t="n">
        <f aca="false">'Смета Внутр'!G1363</f>
        <v>1485.54467533813</v>
      </c>
      <c r="I1363" s="1104" t="n">
        <f aca="false">'Смета Внутр'!H1363</f>
        <v>0</v>
      </c>
      <c r="J1363" s="1109" t="n">
        <f aca="false">'Смета Внутр'!I1363</f>
        <v>0</v>
      </c>
    </row>
    <row r="1364" customFormat="false" ht="15" hidden="true" customHeight="true" outlineLevel="0" collapsed="false">
      <c r="B1364" s="1104" t="str">
        <f aca="false">'Смета Внутр'!B1364</f>
        <v>Пластина соеденительная 100х240х2           </v>
      </c>
      <c r="C1364" s="1104" t="str">
        <f aca="false">'Смета Внутр'!C1364</f>
        <v>шт</v>
      </c>
      <c r="D1364" s="1109" t="n">
        <f aca="false">'Смета Внутр'!D1364</f>
        <v>18</v>
      </c>
      <c r="E1364" s="1104" t="n">
        <f aca="false">'Смета Внутр'!E1364</f>
        <v>31.54</v>
      </c>
      <c r="F1364" s="1104" t="n">
        <f aca="false">'Смета Внутр'!F1364</f>
        <v>0</v>
      </c>
      <c r="G1364" s="1104" t="n">
        <f aca="false">IF(E1364&gt;F1364,E1364,F1364)</f>
        <v>31.54</v>
      </c>
      <c r="H1364" s="1104" t="n">
        <f aca="false">'Смета Внутр'!G1364</f>
        <v>567.72</v>
      </c>
      <c r="I1364" s="1104" t="n">
        <f aca="false">'Смета Внутр'!H1364</f>
        <v>0</v>
      </c>
      <c r="J1364" s="1109" t="n">
        <f aca="false">'Смета Внутр'!I1364</f>
        <v>0</v>
      </c>
    </row>
    <row r="1365" customFormat="false" ht="15" hidden="true" customHeight="true" outlineLevel="0" collapsed="false">
      <c r="B1365" s="1104" t="str">
        <f aca="false">'Смета Внутр'!B1365</f>
        <v>Уголок усиленный 90х70х55х2,5        </v>
      </c>
      <c r="C1365" s="1104" t="str">
        <f aca="false">'Смета Внутр'!C1365</f>
        <v>шт</v>
      </c>
      <c r="D1365" s="1109" t="n">
        <f aca="false">'Смета Внутр'!D1365</f>
        <v>18</v>
      </c>
      <c r="E1365" s="1104" t="n">
        <f aca="false">'Смета Внутр'!E1365</f>
        <v>30</v>
      </c>
      <c r="F1365" s="1104" t="n">
        <f aca="false">'Смета Внутр'!F1365</f>
        <v>0</v>
      </c>
      <c r="G1365" s="1104" t="n">
        <f aca="false">IF(E1365&gt;F1365,E1365,F1365)</f>
        <v>30</v>
      </c>
      <c r="H1365" s="1104" t="n">
        <f aca="false">'Смета Внутр'!G1365</f>
        <v>540</v>
      </c>
      <c r="I1365" s="1104" t="n">
        <f aca="false">'Смета Внутр'!H1365</f>
        <v>0</v>
      </c>
      <c r="J1365" s="1109" t="n">
        <f aca="false">'Смета Внутр'!I1365</f>
        <v>0</v>
      </c>
    </row>
    <row r="1366" customFormat="false" ht="15" hidden="true" customHeight="false" outlineLevel="0" collapsed="false">
      <c r="B1366" s="1108" t="str">
        <f aca="false">'Смета Внутр'!B1366</f>
        <v>Итого материалы</v>
      </c>
      <c r="C1366" s="1108"/>
      <c r="D1366" s="1108"/>
      <c r="E1366" s="1108"/>
      <c r="F1366" s="1108"/>
      <c r="G1366" s="1108"/>
      <c r="H1366" s="1104" t="n">
        <f aca="false">'Смета Внутр'!G1366</f>
        <v>0</v>
      </c>
      <c r="I1366" s="1104" t="n">
        <f aca="false">'Смета Внутр'!H1366</f>
        <v>0</v>
      </c>
      <c r="J1366" s="1109" t="n">
        <f aca="false">'Смета Внутр'!I1366</f>
        <v>0</v>
      </c>
    </row>
    <row r="1367" customFormat="false" ht="15" hidden="true" customHeight="true" outlineLevel="0" collapsed="false">
      <c r="B1367" s="118" t="str">
        <f aca="false">'Смета Внутр'!B1367</f>
        <v>Работы</v>
      </c>
      <c r="H1367" s="118" t="n">
        <f aca="false">'Смета Внутр'!G1367</f>
        <v>0</v>
      </c>
      <c r="I1367" s="118" t="n">
        <f aca="false">'Смета Внутр'!H1367</f>
        <v>0</v>
      </c>
      <c r="J1367" s="1102" t="n">
        <f aca="false">'Смета Внутр'!I1367</f>
        <v>0</v>
      </c>
    </row>
    <row r="1368" customFormat="false" ht="15" hidden="true" customHeight="true" outlineLevel="0" collapsed="false">
      <c r="B1368" s="1104" t="str">
        <f aca="false">'Смета Внутр'!B1368</f>
        <v>монтаж стропил</v>
      </c>
      <c r="C1368" s="1104" t="str">
        <f aca="false">'Смета Внутр'!C1368</f>
        <v>м2</v>
      </c>
      <c r="D1368" s="1109" t="n">
        <f aca="false">'Смета Внутр'!D1368</f>
        <v>20.0341166289984</v>
      </c>
      <c r="E1368" s="1104" t="n">
        <f aca="false">'Смета Внутр'!E1368</f>
        <v>450</v>
      </c>
      <c r="F1368" s="1104" t="n">
        <f aca="false">'Смета Внутр'!F1368</f>
        <v>0</v>
      </c>
      <c r="G1368" s="1104" t="n">
        <f aca="false">IF(E1368&gt;F1368,E1368,F1368)</f>
        <v>450</v>
      </c>
      <c r="H1368" s="1104" t="n">
        <f aca="false">'Смета Внутр'!G1368</f>
        <v>9015.35248304928</v>
      </c>
      <c r="I1368" s="1104" t="n">
        <f aca="false">'Смета Внутр'!H1368</f>
        <v>0</v>
      </c>
      <c r="J1368" s="1109" t="n">
        <f aca="false">'Смета Внутр'!I1368</f>
        <v>0</v>
      </c>
    </row>
    <row r="1369" customFormat="false" ht="15" hidden="true" customHeight="true" outlineLevel="0" collapsed="false">
      <c r="B1369" s="1104" t="str">
        <f aca="false">'Смета Внутр'!B1369</f>
        <v>обрешетка</v>
      </c>
      <c r="C1369" s="1104" t="str">
        <f aca="false">'Смета Внутр'!C1369</f>
        <v>м2</v>
      </c>
      <c r="D1369" s="1109" t="n">
        <f aca="false">'Смета Внутр'!D1369</f>
        <v>20.0341166289984</v>
      </c>
      <c r="E1369" s="1104" t="n">
        <f aca="false">'Смета Внутр'!E1369</f>
        <v>100</v>
      </c>
      <c r="F1369" s="1104" t="n">
        <f aca="false">'Смета Внутр'!F1369</f>
        <v>0</v>
      </c>
      <c r="G1369" s="1104" t="n">
        <f aca="false">IF(E1369&gt;F1369,E1369,F1369)</f>
        <v>100</v>
      </c>
      <c r="H1369" s="1104" t="n">
        <f aca="false">'Смета Внутр'!G1369</f>
        <v>2003.41166289984</v>
      </c>
      <c r="I1369" s="1104" t="n">
        <f aca="false">'Смета Внутр'!H1369</f>
        <v>0</v>
      </c>
      <c r="J1369" s="1109" t="n">
        <f aca="false">'Смета Внутр'!I1369</f>
        <v>0</v>
      </c>
    </row>
    <row r="1370" customFormat="false" ht="15" hidden="true" customHeight="true" outlineLevel="0" collapsed="false">
      <c r="B1370" s="1104" t="str">
        <f aca="false">'Смета Внутр'!B1370</f>
        <v>контробеш</v>
      </c>
      <c r="C1370" s="1104" t="str">
        <f aca="false">'Смета Внутр'!C1370</f>
        <v>м2</v>
      </c>
      <c r="D1370" s="1109" t="n">
        <f aca="false">'Смета Внутр'!D1370</f>
        <v>20.0341166289984</v>
      </c>
      <c r="E1370" s="1104" t="n">
        <f aca="false">'Смета Внутр'!E1370</f>
        <v>100</v>
      </c>
      <c r="F1370" s="1104" t="n">
        <f aca="false">'Смета Внутр'!F1370</f>
        <v>0</v>
      </c>
      <c r="G1370" s="1104" t="n">
        <f aca="false">IF(E1370&gt;F1370,E1370,F1370)</f>
        <v>100</v>
      </c>
      <c r="H1370" s="1104" t="n">
        <f aca="false">'Смета Внутр'!G1370</f>
        <v>2003.41166289984</v>
      </c>
      <c r="I1370" s="1104" t="n">
        <f aca="false">'Смета Внутр'!H1370</f>
        <v>0</v>
      </c>
      <c r="J1370" s="1109" t="n">
        <f aca="false">'Смета Внутр'!I1370</f>
        <v>0</v>
      </c>
    </row>
    <row r="1371" customFormat="false" ht="15" hidden="true" customHeight="true" outlineLevel="0" collapsed="false">
      <c r="B1371" s="1104" t="str">
        <f aca="false">'Смета Внутр'!B1371</f>
        <v>мембрана</v>
      </c>
      <c r="C1371" s="1104" t="str">
        <f aca="false">'Смета Внутр'!C1371</f>
        <v>м2</v>
      </c>
      <c r="D1371" s="1109" t="n">
        <f aca="false">'Смета Внутр'!D1371</f>
        <v>0</v>
      </c>
      <c r="E1371" s="1104" t="n">
        <f aca="false">'Смета Внутр'!E1371</f>
        <v>100</v>
      </c>
      <c r="F1371" s="1104" t="n">
        <f aca="false">'Смета Внутр'!F1371</f>
        <v>0</v>
      </c>
      <c r="G1371" s="1104" t="n">
        <f aca="false">IF(E1371&gt;F1371,E1371,F1371)</f>
        <v>100</v>
      </c>
      <c r="H1371" s="1104" t="n">
        <f aca="false">'Смета Внутр'!G1371</f>
        <v>0</v>
      </c>
      <c r="I1371" s="1104" t="n">
        <f aca="false">'Смета Внутр'!H1371</f>
        <v>0</v>
      </c>
      <c r="J1371" s="1109" t="n">
        <f aca="false">'Смета Внутр'!I1371</f>
        <v>0</v>
      </c>
    </row>
    <row r="1372" customFormat="false" ht="15" hidden="true" customHeight="true" outlineLevel="0" collapsed="false">
      <c r="B1372" s="1104" t="str">
        <f aca="false">'Смета Внутр'!B1372</f>
        <v>пароизоляц</v>
      </c>
      <c r="C1372" s="1104" t="str">
        <f aca="false">'Смета Внутр'!C1372</f>
        <v>м2</v>
      </c>
      <c r="D1372" s="1109" t="n">
        <f aca="false">'Смета Внутр'!D1372</f>
        <v>0</v>
      </c>
      <c r="E1372" s="1104" t="n">
        <f aca="false">'Смета Внутр'!E1372</f>
        <v>100</v>
      </c>
      <c r="F1372" s="1104" t="n">
        <f aca="false">'Смета Внутр'!F1372</f>
        <v>0</v>
      </c>
      <c r="G1372" s="1104" t="n">
        <f aca="false">IF(E1372&gt;F1372,E1372,F1372)</f>
        <v>100</v>
      </c>
      <c r="H1372" s="1104" t="n">
        <f aca="false">'Смета Внутр'!G1372</f>
        <v>0</v>
      </c>
      <c r="I1372" s="1104" t="n">
        <f aca="false">'Смета Внутр'!H1372</f>
        <v>0</v>
      </c>
      <c r="J1372" s="1109" t="n">
        <f aca="false">'Смета Внутр'!I1372</f>
        <v>0</v>
      </c>
    </row>
    <row r="1373" customFormat="false" ht="15" hidden="true" customHeight="true" outlineLevel="0" collapsed="false">
      <c r="B1373" s="1104" t="str">
        <f aca="false">'Смета Внутр'!B1373</f>
        <v>утеплитель</v>
      </c>
      <c r="C1373" s="1104" t="str">
        <f aca="false">'Смета Внутр'!C1373</f>
        <v>м2</v>
      </c>
      <c r="D1373" s="1109" t="n">
        <f aca="false">'Смета Внутр'!D1373</f>
        <v>20.0341166289984</v>
      </c>
      <c r="E1373" s="1104" t="n">
        <f aca="false">'Смета Внутр'!E1373</f>
        <v>200</v>
      </c>
      <c r="F1373" s="1104" t="n">
        <f aca="false">'Смета Внутр'!F1373</f>
        <v>0</v>
      </c>
      <c r="G1373" s="1104" t="n">
        <f aca="false">IF(E1373&gt;F1373,E1373,F1373)</f>
        <v>200</v>
      </c>
      <c r="H1373" s="1104" t="n">
        <f aca="false">'Смета Внутр'!G1373</f>
        <v>4006.82332579968</v>
      </c>
      <c r="I1373" s="1104" t="n">
        <f aca="false">'Смета Внутр'!H1373</f>
        <v>0</v>
      </c>
      <c r="J1373" s="1109" t="n">
        <f aca="false">'Смета Внутр'!I1373</f>
        <v>0</v>
      </c>
    </row>
    <row r="1374" customFormat="false" ht="15" hidden="true" customHeight="true" outlineLevel="0" collapsed="false">
      <c r="B1374" s="1104" t="str">
        <f aca="false">'Смета Внутр'!B1374</f>
        <v>Монтаж металлочерепицы</v>
      </c>
      <c r="C1374" s="1104" t="str">
        <f aca="false">'Смета Внутр'!C1374</f>
        <v>м2</v>
      </c>
      <c r="D1374" s="1109" t="n">
        <f aca="false">'Смета Внутр'!D1374</f>
        <v>20.0341166289984</v>
      </c>
      <c r="E1374" s="1104" t="n">
        <f aca="false">'Смета Внутр'!E1374</f>
        <v>300</v>
      </c>
      <c r="F1374" s="1104" t="n">
        <f aca="false">'Смета Внутр'!F1374</f>
        <v>0</v>
      </c>
      <c r="G1374" s="1104" t="n">
        <f aca="false">IF(E1374&gt;F1374,E1374,F1374)</f>
        <v>300</v>
      </c>
      <c r="H1374" s="1104" t="n">
        <f aca="false">'Смета Внутр'!G1374</f>
        <v>6010.23498869952</v>
      </c>
      <c r="I1374" s="1104" t="n">
        <f aca="false">'Смета Внутр'!H1374</f>
        <v>0</v>
      </c>
      <c r="J1374" s="1109" t="n">
        <f aca="false">'Смета Внутр'!I1374</f>
        <v>0</v>
      </c>
    </row>
    <row r="1375" customFormat="false" ht="15" hidden="true" customHeight="true" outlineLevel="0" collapsed="false">
      <c r="B1375" s="1104" t="str">
        <f aca="false">'Смета Внутр'!B1375</f>
        <v>карнизная планка</v>
      </c>
      <c r="C1375" s="1104" t="str">
        <f aca="false">'Смета Внутр'!C1375</f>
        <v>м.п.</v>
      </c>
      <c r="D1375" s="1109" t="n">
        <f aca="false">'Смета Внутр'!D1375</f>
        <v>4</v>
      </c>
      <c r="E1375" s="1104" t="n">
        <f aca="false">'Смета Внутр'!E1375</f>
        <v>100</v>
      </c>
      <c r="F1375" s="1104" t="n">
        <f aca="false">'Смета Внутр'!F1375</f>
        <v>0</v>
      </c>
      <c r="G1375" s="1104" t="n">
        <f aca="false">IF(E1375&gt;F1375,E1375,F1375)</f>
        <v>100</v>
      </c>
      <c r="H1375" s="1104" t="n">
        <f aca="false">'Смета Внутр'!G1375</f>
        <v>400</v>
      </c>
      <c r="I1375" s="1104" t="n">
        <f aca="false">'Смета Внутр'!H1375</f>
        <v>0</v>
      </c>
      <c r="J1375" s="1109" t="n">
        <f aca="false">'Смета Внутр'!I1375</f>
        <v>0</v>
      </c>
    </row>
    <row r="1376" customFormat="false" ht="15" hidden="true" customHeight="true" outlineLevel="0" collapsed="false">
      <c r="B1376" s="1104" t="str">
        <f aca="false">'Смета Внутр'!B1376</f>
        <v>торцевая планка</v>
      </c>
      <c r="C1376" s="1104" t="str">
        <f aca="false">'Смета Внутр'!C1376</f>
        <v>м.п.</v>
      </c>
      <c r="D1376" s="1109" t="n">
        <f aca="false">'Смета Внутр'!D1376</f>
        <v>10.5442719099992</v>
      </c>
      <c r="E1376" s="1104" t="n">
        <f aca="false">'Смета Внутр'!E1376</f>
        <v>100</v>
      </c>
      <c r="F1376" s="1104" t="n">
        <f aca="false">'Смета Внутр'!F1376</f>
        <v>0</v>
      </c>
      <c r="G1376" s="1104" t="n">
        <f aca="false">IF(E1376&gt;F1376,E1376,F1376)</f>
        <v>100</v>
      </c>
      <c r="H1376" s="1104" t="n">
        <f aca="false">'Смета Внутр'!G1376</f>
        <v>1054.42719099992</v>
      </c>
      <c r="I1376" s="1104" t="n">
        <f aca="false">'Смета Внутр'!H1376</f>
        <v>0</v>
      </c>
      <c r="J1376" s="1109" t="n">
        <f aca="false">'Смета Внутр'!I1376</f>
        <v>0</v>
      </c>
    </row>
    <row r="1377" customFormat="false" ht="15" hidden="true" customHeight="true" outlineLevel="0" collapsed="false">
      <c r="B1377" s="1104" t="str">
        <f aca="false">'Смета Внутр'!B1377</f>
        <v>Монтаж ондулина</v>
      </c>
      <c r="C1377" s="1104" t="str">
        <f aca="false">'Смета Внутр'!C1377</f>
        <v>м2</v>
      </c>
      <c r="D1377" s="1109" t="n">
        <f aca="false">'Смета Внутр'!D1377</f>
        <v>0</v>
      </c>
      <c r="E1377" s="1104" t="n">
        <f aca="false">'Смета Внутр'!E1377</f>
        <v>300</v>
      </c>
      <c r="F1377" s="1104" t="n">
        <f aca="false">'Смета Внутр'!F1377</f>
        <v>0</v>
      </c>
      <c r="G1377" s="1104" t="n">
        <f aca="false">IF(E1377&gt;F1377,E1377,F1377)</f>
        <v>300</v>
      </c>
      <c r="H1377" s="1104" t="n">
        <f aca="false">'Смета Внутр'!G1377</f>
        <v>0</v>
      </c>
      <c r="I1377" s="1104" t="n">
        <f aca="false">'Смета Внутр'!H1377</f>
        <v>0</v>
      </c>
      <c r="J1377" s="1109" t="n">
        <f aca="false">'Смета Внутр'!I1377</f>
        <v>0</v>
      </c>
    </row>
    <row r="1378" customFormat="false" ht="15" hidden="true" customHeight="true" outlineLevel="0" collapsed="false">
      <c r="B1378" s="1104" t="str">
        <f aca="false">'Смета Внутр'!B1378</f>
        <v>Монтаж фанеры/osb</v>
      </c>
      <c r="C1378" s="1104" t="str">
        <f aca="false">'Смета Внутр'!C1378</f>
        <v>м2</v>
      </c>
      <c r="D1378" s="1109" t="n">
        <f aca="false">'Смета Внутр'!D1378</f>
        <v>20.0341166289984</v>
      </c>
      <c r="E1378" s="1104" t="n">
        <f aca="false">'Смета Внутр'!E1378</f>
        <v>200</v>
      </c>
      <c r="F1378" s="1104" t="n">
        <f aca="false">'Смета Внутр'!F1378</f>
        <v>0</v>
      </c>
      <c r="G1378" s="1104" t="n">
        <f aca="false">IF(E1378&gt;F1378,E1378,F1378)</f>
        <v>200</v>
      </c>
      <c r="H1378" s="1104" t="n">
        <f aca="false">'Смета Внутр'!G1378</f>
        <v>4006.82332579968</v>
      </c>
      <c r="I1378" s="1104" t="n">
        <f aca="false">'Смета Внутр'!H1378</f>
        <v>0</v>
      </c>
      <c r="J1378" s="1109" t="n">
        <f aca="false">'Смета Внутр'!I1378</f>
        <v>0</v>
      </c>
    </row>
    <row r="1379" customFormat="false" ht="15" hidden="true" customHeight="true" outlineLevel="0" collapsed="false">
      <c r="B1379" s="1104" t="str">
        <f aca="false">'Смета Внутр'!B1379</f>
        <v>монтаж подкладочного ковра</v>
      </c>
      <c r="C1379" s="1104" t="str">
        <f aca="false">'Смета Внутр'!C1379</f>
        <v>м2</v>
      </c>
      <c r="D1379" s="1109" t="n">
        <f aca="false">'Смета Внутр'!D1379</f>
        <v>0</v>
      </c>
      <c r="E1379" s="1104" t="n">
        <f aca="false">'Смета Внутр'!E1379</f>
        <v>150</v>
      </c>
      <c r="F1379" s="1104" t="n">
        <f aca="false">'Смета Внутр'!F1379</f>
        <v>0</v>
      </c>
      <c r="G1379" s="1104" t="n">
        <f aca="false">IF(E1379&gt;F1379,E1379,F1379)</f>
        <v>150</v>
      </c>
      <c r="H1379" s="1104" t="n">
        <f aca="false">'Смета Внутр'!G1379</f>
        <v>0</v>
      </c>
      <c r="I1379" s="1104" t="n">
        <f aca="false">'Смета Внутр'!H1379</f>
        <v>0</v>
      </c>
      <c r="J1379" s="1109" t="n">
        <f aca="false">'Смета Внутр'!I1379</f>
        <v>0</v>
      </c>
    </row>
    <row r="1380" customFormat="false" ht="15" hidden="true" customHeight="true" outlineLevel="0" collapsed="false">
      <c r="B1380" s="1104" t="str">
        <f aca="false">'Смета Внутр'!B1380</f>
        <v>Монтаж мягкой кровли</v>
      </c>
      <c r="C1380" s="1104" t="str">
        <f aca="false">'Смета Внутр'!C1380</f>
        <v>м2</v>
      </c>
      <c r="D1380" s="1109" t="n">
        <f aca="false">'Смета Внутр'!D1380</f>
        <v>0</v>
      </c>
      <c r="E1380" s="1104" t="n">
        <f aca="false">'Смета Внутр'!E1380</f>
        <v>350</v>
      </c>
      <c r="F1380" s="1104" t="n">
        <f aca="false">'Смета Внутр'!F1380</f>
        <v>0</v>
      </c>
      <c r="G1380" s="1104" t="n">
        <f aca="false">IF(E1380&gt;F1380,E1380,F1380)</f>
        <v>350</v>
      </c>
      <c r="H1380" s="1104" t="n">
        <f aca="false">'Смета Внутр'!G1380</f>
        <v>0</v>
      </c>
      <c r="I1380" s="1104" t="n">
        <f aca="false">'Смета Внутр'!H1380</f>
        <v>0</v>
      </c>
      <c r="J1380" s="1109" t="n">
        <f aca="false">'Смета Внутр'!I1380</f>
        <v>0</v>
      </c>
    </row>
    <row r="1381" customFormat="false" ht="15" hidden="true" customHeight="true" outlineLevel="0" collapsed="false">
      <c r="B1381" s="1108" t="str">
        <f aca="false">'Смета Внутр'!B1381</f>
        <v>Итого работы</v>
      </c>
      <c r="C1381" s="1108"/>
      <c r="D1381" s="1108"/>
      <c r="E1381" s="1108"/>
      <c r="F1381" s="1108"/>
      <c r="G1381" s="1108"/>
      <c r="H1381" s="1104" t="n">
        <f aca="false">'Смета Внутр'!G1381</f>
        <v>0</v>
      </c>
      <c r="I1381" s="1104" t="n">
        <f aca="false">'Смета Внутр'!H1381</f>
        <v>0</v>
      </c>
      <c r="J1381" s="1109" t="n">
        <f aca="false">'Смета Внутр'!I1381</f>
        <v>0</v>
      </c>
    </row>
    <row r="1382" customFormat="false" ht="15" hidden="true" customHeight="true" outlineLevel="0" collapsed="false">
      <c r="B1382" s="1111" t="str">
        <f aca="false">'Смета Внутр'!B1382</f>
        <v>Кровля на пристройке</v>
      </c>
      <c r="C1382" s="1111"/>
      <c r="D1382" s="1111"/>
      <c r="H1382" s="118" t="n">
        <f aca="false">'Смета Внутр'!G1382</f>
        <v>0</v>
      </c>
      <c r="I1382" s="118" t="n">
        <f aca="false">'Смета Внутр'!H1382</f>
        <v>0</v>
      </c>
      <c r="J1382" s="1102" t="n">
        <f aca="false">'Смета Внутр'!I1382</f>
        <v>0</v>
      </c>
    </row>
    <row r="1383" customFormat="false" ht="15" hidden="true" customHeight="true" outlineLevel="0" collapsed="false">
      <c r="B1383" s="118" t="str">
        <f aca="false">'Смета Внутр'!B1383</f>
        <v>Материалы</v>
      </c>
      <c r="H1383" s="118" t="n">
        <f aca="false">'Смета Внутр'!G1383</f>
        <v>0</v>
      </c>
      <c r="I1383" s="118" t="n">
        <f aca="false">'Смета Внутр'!H1383</f>
        <v>0</v>
      </c>
      <c r="J1383" s="1102" t="n">
        <f aca="false">'Смета Внутр'!I1383</f>
        <v>0</v>
      </c>
    </row>
    <row r="1384" customFormat="false" ht="15" hidden="true" customHeight="true" outlineLevel="0" collapsed="false">
      <c r="B1384" s="1104" t="str">
        <f aca="false">'Смета Внутр'!B1384</f>
        <v>Доска сухая калиброванная, 190*45мм</v>
      </c>
      <c r="C1384" s="1104" t="str">
        <f aca="false">'Смета Внутр'!C1384</f>
        <v>м3</v>
      </c>
      <c r="D1384" s="1109" t="n">
        <f aca="false">'Смета Внутр'!D1384</f>
        <v>0</v>
      </c>
      <c r="E1384" s="1104" t="n">
        <f aca="false">'Смета Внутр'!E1384</f>
        <v>12500</v>
      </c>
      <c r="F1384" s="1104" t="n">
        <f aca="false">'Смета Внутр'!F1384</f>
        <v>0</v>
      </c>
      <c r="G1384" s="1104" t="n">
        <f aca="false">IF(E1384&gt;F1384,E1384,F1384)</f>
        <v>12500</v>
      </c>
      <c r="H1384" s="1104" t="n">
        <f aca="false">'Смета Внутр'!G1384</f>
        <v>0</v>
      </c>
      <c r="I1384" s="1104" t="n">
        <f aca="false">'Смета Внутр'!H1384</f>
        <v>0</v>
      </c>
      <c r="J1384" s="1109" t="n">
        <f aca="false">'Смета Внутр'!I1384</f>
        <v>0</v>
      </c>
    </row>
    <row r="1385" customFormat="false" ht="15" hidden="true" customHeight="true" outlineLevel="0" collapsed="false">
      <c r="B1385" s="1104" t="str">
        <f aca="false">'Смета Внутр'!B1385</f>
        <v>Болты анкерные с гайкой 12,0 х 280          </v>
      </c>
      <c r="C1385" s="1104" t="str">
        <f aca="false">'Смета Внутр'!C1385</f>
        <v>шт</v>
      </c>
      <c r="D1385" s="1109" t="n">
        <f aca="false">'Смета Внутр'!D1385</f>
        <v>0</v>
      </c>
      <c r="E1385" s="1104" t="n">
        <f aca="false">'Смета Внутр'!E1385</f>
        <v>27.1</v>
      </c>
      <c r="F1385" s="1104" t="n">
        <f aca="false">'Смета Внутр'!F1385</f>
        <v>0</v>
      </c>
      <c r="G1385" s="1104" t="n">
        <f aca="false">IF(E1385&gt;F1385,E1385,F1385)</f>
        <v>27.1</v>
      </c>
      <c r="H1385" s="1104" t="n">
        <f aca="false">'Смета Внутр'!G1385</f>
        <v>0</v>
      </c>
      <c r="I1385" s="1104" t="n">
        <f aca="false">'Смета Внутр'!H1385</f>
        <v>0</v>
      </c>
      <c r="J1385" s="1109" t="n">
        <f aca="false">'Смета Внутр'!I1385</f>
        <v>0</v>
      </c>
    </row>
    <row r="1386" customFormat="false" ht="15" hidden="true" customHeight="true" outlineLevel="0" collapsed="false">
      <c r="B1386" s="1104" t="str">
        <f aca="false">'Смета Внутр'!B1386</f>
        <v>Доска сухая, 200*50мм</v>
      </c>
      <c r="C1386" s="1104" t="str">
        <f aca="false">'Смета Внутр'!C1386</f>
        <v>м3</v>
      </c>
      <c r="D1386" s="1109" t="n">
        <f aca="false">'Смета Внутр'!D1386</f>
        <v>0</v>
      </c>
      <c r="E1386" s="1104" t="n">
        <f aca="false">'Смета Внутр'!E1386</f>
        <v>9000</v>
      </c>
      <c r="F1386" s="1104" t="n">
        <f aca="false">'Смета Внутр'!F1386</f>
        <v>0</v>
      </c>
      <c r="G1386" s="1104" t="n">
        <f aca="false">IF(E1386&gt;F1386,E1386,F1386)</f>
        <v>9000</v>
      </c>
      <c r="H1386" s="1104" t="n">
        <f aca="false">'Смета Внутр'!G1386</f>
        <v>0</v>
      </c>
      <c r="I1386" s="1104" t="n">
        <f aca="false">'Смета Внутр'!H1386</f>
        <v>0</v>
      </c>
      <c r="J1386" s="1109" t="n">
        <f aca="false">'Смета Внутр'!I1386</f>
        <v>0</v>
      </c>
    </row>
    <row r="1387" customFormat="false" ht="15" hidden="true" customHeight="true" outlineLevel="0" collapsed="false">
      <c r="B1387" s="1104" t="str">
        <f aca="false">'Смета Внутр'!B1387</f>
        <v>бугель, доска </v>
      </c>
      <c r="C1387" s="1104" t="str">
        <f aca="false">'Смета Внутр'!C1387</f>
        <v>м3</v>
      </c>
      <c r="D1387" s="1109" t="n">
        <f aca="false">'Смета Внутр'!D1387</f>
        <v>0</v>
      </c>
      <c r="E1387" s="1104" t="n">
        <f aca="false">'Смета Внутр'!E1387</f>
        <v>9000</v>
      </c>
      <c r="F1387" s="1104" t="n">
        <f aca="false">'Смета Внутр'!F1387</f>
        <v>0</v>
      </c>
      <c r="G1387" s="1104" t="n">
        <f aca="false">IF(E1387&gt;F1387,E1387,F1387)</f>
        <v>9000</v>
      </c>
      <c r="H1387" s="1104" t="n">
        <f aca="false">'Смета Внутр'!G1387</f>
        <v>0</v>
      </c>
      <c r="I1387" s="1104" t="n">
        <f aca="false">'Смета Внутр'!H1387</f>
        <v>0</v>
      </c>
      <c r="J1387" s="1109" t="n">
        <f aca="false">'Смета Внутр'!I1387</f>
        <v>0</v>
      </c>
    </row>
    <row r="1388" customFormat="false" ht="15" hidden="true" customHeight="true" outlineLevel="0" collapsed="false">
      <c r="B1388" s="1104" t="str">
        <f aca="false">'Смета Внутр'!B1388</f>
        <v>Сосна влаж,100*25мм</v>
      </c>
      <c r="C1388" s="1104" t="str">
        <f aca="false">'Смета Внутр'!C1388</f>
        <v>м3</v>
      </c>
      <c r="D1388" s="1109" t="n">
        <f aca="false">'Смета Внутр'!D1388</f>
        <v>0</v>
      </c>
      <c r="E1388" s="1104" t="n">
        <f aca="false">'Смета Внутр'!E1388</f>
        <v>6500</v>
      </c>
      <c r="F1388" s="1104" t="n">
        <f aca="false">'Смета Внутр'!F1388</f>
        <v>0</v>
      </c>
      <c r="G1388" s="1104" t="n">
        <f aca="false">IF(E1388&gt;F1388,E1388,F1388)</f>
        <v>6500</v>
      </c>
      <c r="H1388" s="1104" t="n">
        <f aca="false">'Смета Внутр'!G1388</f>
        <v>0</v>
      </c>
      <c r="I1388" s="1104" t="n">
        <f aca="false">'Смета Внутр'!H1388</f>
        <v>0</v>
      </c>
      <c r="J1388" s="1109" t="n">
        <f aca="false">'Смета Внутр'!I1388</f>
        <v>0</v>
      </c>
    </row>
    <row r="1389" customFormat="false" ht="15" hidden="true" customHeight="true" outlineLevel="0" collapsed="false">
      <c r="B1389" s="1104" t="str">
        <f aca="false">'Смета Внутр'!B1389</f>
        <v>Доска сухая, калибр., 35*45мм</v>
      </c>
      <c r="C1389" s="1104" t="str">
        <f aca="false">'Смета Внутр'!C1389</f>
        <v>шт</v>
      </c>
      <c r="D1389" s="1109" t="n">
        <f aca="false">'Смета Внутр'!D1389</f>
        <v>0</v>
      </c>
      <c r="E1389" s="1104" t="n">
        <f aca="false">'Смета Внутр'!E1389</f>
        <v>12500</v>
      </c>
      <c r="F1389" s="1104" t="n">
        <f aca="false">'Смета Внутр'!F1389</f>
        <v>0</v>
      </c>
      <c r="G1389" s="1104" t="n">
        <f aca="false">IF(E1389&gt;F1389,E1389,F1389)</f>
        <v>12500</v>
      </c>
      <c r="H1389" s="1104" t="n">
        <f aca="false">'Смета Внутр'!G1389</f>
        <v>0</v>
      </c>
      <c r="I1389" s="1104" t="n">
        <f aca="false">'Смета Внутр'!H1389</f>
        <v>0</v>
      </c>
      <c r="J1389" s="1109" t="n">
        <f aca="false">'Смета Внутр'!I1389</f>
        <v>0</v>
      </c>
    </row>
    <row r="1390" customFormat="false" ht="15" hidden="true" customHeight="true" outlineLevel="0" collapsed="false">
      <c r="B1390" s="1104" t="str">
        <f aca="false">'Смета Внутр'!B1390</f>
        <v>Мембраны Tyvek Soft</v>
      </c>
      <c r="C1390" s="1104" t="str">
        <f aca="false">'Смета Внутр'!C1390</f>
        <v>м2</v>
      </c>
      <c r="D1390" s="1109" t="n">
        <f aca="false">'Смета Внутр'!D1390</f>
        <v>0</v>
      </c>
      <c r="E1390" s="1104" t="n">
        <f aca="false">'Смета Внутр'!E1390</f>
        <v>86</v>
      </c>
      <c r="F1390" s="1104" t="n">
        <f aca="false">'Смета Внутр'!F1390</f>
        <v>0</v>
      </c>
      <c r="G1390" s="1104" t="n">
        <f aca="false">IF(E1390&gt;F1390,E1390,F1390)</f>
        <v>86</v>
      </c>
      <c r="H1390" s="1104" t="n">
        <f aca="false">'Смета Внутр'!G1390</f>
        <v>0</v>
      </c>
      <c r="I1390" s="1104" t="n">
        <f aca="false">'Смета Внутр'!H1390</f>
        <v>0</v>
      </c>
      <c r="J1390" s="1109" t="n">
        <f aca="false">'Смета Внутр'!I1390</f>
        <v>0</v>
      </c>
    </row>
    <row r="1391" customFormat="false" ht="15" hidden="true" customHeight="true" outlineLevel="0" collapsed="false">
      <c r="B1391" s="1104" t="str">
        <f aca="false">'Смета Внутр'!B1391</f>
        <v>Пленка Delta-Reflex</v>
      </c>
      <c r="C1391" s="1104" t="str">
        <f aca="false">'Смета Внутр'!C1391</f>
        <v>м2</v>
      </c>
      <c r="D1391" s="1109" t="n">
        <f aca="false">'Смета Внутр'!D1391</f>
        <v>0</v>
      </c>
      <c r="E1391" s="1104" t="n">
        <f aca="false">'Смета Внутр'!E1391</f>
        <v>156</v>
      </c>
      <c r="F1391" s="1104" t="n">
        <f aca="false">'Смета Внутр'!F1391</f>
        <v>0</v>
      </c>
      <c r="G1391" s="1104" t="n">
        <f aca="false">IF(E1391&gt;F1391,E1391,F1391)</f>
        <v>156</v>
      </c>
      <c r="H1391" s="1104" t="n">
        <f aca="false">'Смета Внутр'!G1391</f>
        <v>0</v>
      </c>
      <c r="I1391" s="1104" t="n">
        <f aca="false">'Смета Внутр'!H1391</f>
        <v>0</v>
      </c>
      <c r="J1391" s="1109" t="n">
        <f aca="false">'Смета Внутр'!I1391</f>
        <v>0</v>
      </c>
    </row>
    <row r="1392" customFormat="false" ht="15" hidden="true" customHeight="true" outlineLevel="0" collapsed="false">
      <c r="B1392" s="1104" t="str">
        <f aca="false">'Смета Внутр'!B1392</f>
        <v>Плитный,28кг/м3, технониколь, 200мм</v>
      </c>
      <c r="C1392" s="1104" t="str">
        <f aca="false">'Смета Внутр'!C1392</f>
        <v>м3</v>
      </c>
      <c r="D1392" s="1109" t="n">
        <f aca="false">'Смета Внутр'!D1392</f>
        <v>0</v>
      </c>
      <c r="E1392" s="1104" t="n">
        <f aca="false">'Смета Внутр'!E1392</f>
        <v>1700</v>
      </c>
      <c r="F1392" s="1104" t="n">
        <f aca="false">'Смета Внутр'!F1392</f>
        <v>0</v>
      </c>
      <c r="G1392" s="1104" t="n">
        <f aca="false">IF(E1392&gt;F1392,E1392,F1392)</f>
        <v>1700</v>
      </c>
      <c r="H1392" s="1104" t="n">
        <f aca="false">'Смета Внутр'!G1392</f>
        <v>0</v>
      </c>
      <c r="I1392" s="1104" t="n">
        <f aca="false">'Смета Внутр'!H1392</f>
        <v>0</v>
      </c>
      <c r="J1392" s="1109" t="n">
        <f aca="false">'Смета Внутр'!I1392</f>
        <v>0</v>
      </c>
    </row>
    <row r="1393" customFormat="false" ht="15" hidden="true" customHeight="true" outlineLevel="0" collapsed="false">
      <c r="B1393" s="1104" t="str">
        <f aca="false">'Смета Внутр'!B1393</f>
        <v>металлочерепица</v>
      </c>
      <c r="C1393" s="1104" t="str">
        <f aca="false">'Смета Внутр'!C1393</f>
        <v>м2</v>
      </c>
      <c r="D1393" s="1109" t="n">
        <f aca="false">'Смета Внутр'!D1393</f>
        <v>0</v>
      </c>
      <c r="E1393" s="1104" t="n">
        <f aca="false">'Смета Внутр'!E1393</f>
        <v>250</v>
      </c>
      <c r="F1393" s="1104" t="n">
        <f aca="false">'Смета Внутр'!F1393</f>
        <v>0</v>
      </c>
      <c r="G1393" s="1104" t="n">
        <f aca="false">IF(E1393&gt;F1393,E1393,F1393)</f>
        <v>250</v>
      </c>
      <c r="H1393" s="1104" t="n">
        <f aca="false">'Смета Внутр'!G1393</f>
        <v>0</v>
      </c>
      <c r="I1393" s="1104" t="n">
        <f aca="false">'Смета Внутр'!H1393</f>
        <v>0</v>
      </c>
      <c r="J1393" s="1109" t="n">
        <f aca="false">'Смета Внутр'!I1393</f>
        <v>0</v>
      </c>
    </row>
    <row r="1394" customFormat="false" ht="15" hidden="true" customHeight="true" outlineLevel="0" collapsed="false">
      <c r="B1394" s="1104" t="str">
        <f aca="false">'Смета Внутр'!B1394</f>
        <v>Карнизная планка</v>
      </c>
      <c r="C1394" s="1104" t="str">
        <f aca="false">'Смета Внутр'!C1394</f>
        <v>м.п.</v>
      </c>
      <c r="D1394" s="1109" t="n">
        <f aca="false">'Смета Внутр'!D1394</f>
        <v>0</v>
      </c>
      <c r="E1394" s="1104" t="n">
        <f aca="false">'Смета Внутр'!E1394</f>
        <v>200</v>
      </c>
      <c r="F1394" s="1104" t="n">
        <f aca="false">'Смета Внутр'!F1394</f>
        <v>0</v>
      </c>
      <c r="G1394" s="1104" t="n">
        <f aca="false">IF(E1394&gt;F1394,E1394,F1394)</f>
        <v>200</v>
      </c>
      <c r="H1394" s="1104" t="n">
        <f aca="false">'Смета Внутр'!G1394</f>
        <v>0</v>
      </c>
      <c r="I1394" s="1104" t="n">
        <f aca="false">'Смета Внутр'!H1394</f>
        <v>0</v>
      </c>
      <c r="J1394" s="1109" t="n">
        <f aca="false">'Смета Внутр'!I1394</f>
        <v>0</v>
      </c>
    </row>
    <row r="1395" customFormat="false" ht="15" hidden="true" customHeight="true" outlineLevel="0" collapsed="false">
      <c r="B1395" s="1104" t="str">
        <f aca="false">'Смета Внутр'!B1395</f>
        <v>Торцевая планка</v>
      </c>
      <c r="C1395" s="1104" t="str">
        <f aca="false">'Смета Внутр'!C1395</f>
        <v>м.п.</v>
      </c>
      <c r="D1395" s="1109" t="n">
        <f aca="false">'Смета Внутр'!D1395</f>
        <v>0</v>
      </c>
      <c r="E1395" s="1104" t="n">
        <f aca="false">'Смета Внутр'!E1395</f>
        <v>200</v>
      </c>
      <c r="F1395" s="1104" t="n">
        <f aca="false">'Смета Внутр'!F1395</f>
        <v>0</v>
      </c>
      <c r="G1395" s="1104" t="n">
        <f aca="false">IF(E1395&gt;F1395,E1395,F1395)</f>
        <v>200</v>
      </c>
      <c r="H1395" s="1104" t="n">
        <f aca="false">'Смета Внутр'!G1395</f>
        <v>0</v>
      </c>
      <c r="I1395" s="1104" t="n">
        <f aca="false">'Смета Внутр'!H1395</f>
        <v>0</v>
      </c>
      <c r="J1395" s="1109" t="n">
        <f aca="false">'Смета Внутр'!I1395</f>
        <v>0</v>
      </c>
    </row>
    <row r="1396" customFormat="false" ht="15" hidden="true" customHeight="true" outlineLevel="0" collapsed="false">
      <c r="B1396" s="1104" t="str">
        <f aca="false">'Смета Внутр'!B1396</f>
        <v>Конек</v>
      </c>
      <c r="C1396" s="1104" t="str">
        <f aca="false">'Смета Внутр'!C1396</f>
        <v>м.п.</v>
      </c>
      <c r="D1396" s="1109" t="n">
        <f aca="false">'Смета Внутр'!D1396</f>
        <v>0</v>
      </c>
      <c r="E1396" s="1104" t="n">
        <f aca="false">'Смета Внутр'!E1396</f>
        <v>230</v>
      </c>
      <c r="F1396" s="1104" t="n">
        <f aca="false">'Смета Внутр'!F1396</f>
        <v>0</v>
      </c>
      <c r="G1396" s="1104" t="n">
        <f aca="false">IF(E1396&gt;F1396,E1396,F1396)</f>
        <v>230</v>
      </c>
      <c r="H1396" s="1104" t="n">
        <f aca="false">'Смета Внутр'!G1396</f>
        <v>0</v>
      </c>
      <c r="I1396" s="1104" t="n">
        <f aca="false">'Смета Внутр'!H1396</f>
        <v>0</v>
      </c>
      <c r="J1396" s="1109" t="n">
        <f aca="false">'Смета Внутр'!I1396</f>
        <v>0</v>
      </c>
    </row>
    <row r="1397" customFormat="false" ht="15" hidden="true" customHeight="true" outlineLevel="0" collapsed="false">
      <c r="B1397" s="1104" t="str">
        <f aca="false">'Смета Внутр'!B1397</f>
        <v>Ендова нижняя</v>
      </c>
      <c r="C1397" s="1104" t="str">
        <f aca="false">'Смета Внутр'!C1397</f>
        <v>м.п</v>
      </c>
      <c r="D1397" s="1109" t="n">
        <f aca="false">'Смета Внутр'!D1397</f>
        <v>0</v>
      </c>
      <c r="E1397" s="1104" t="n">
        <f aca="false">'Смета Внутр'!E1397</f>
        <v>160</v>
      </c>
      <c r="F1397" s="1104" t="n">
        <f aca="false">'Смета Внутр'!F1397</f>
        <v>0</v>
      </c>
      <c r="G1397" s="1104" t="n">
        <f aca="false">IF(E1397&gt;F1397,E1397,F1397)</f>
        <v>160</v>
      </c>
      <c r="H1397" s="1104" t="n">
        <f aca="false">'Смета Внутр'!G1397</f>
        <v>0</v>
      </c>
      <c r="I1397" s="1104" t="n">
        <f aca="false">'Смета Внутр'!H1397</f>
        <v>0</v>
      </c>
      <c r="J1397" s="1109" t="n">
        <f aca="false">'Смета Внутр'!I1397</f>
        <v>0</v>
      </c>
    </row>
    <row r="1398" customFormat="false" ht="15" hidden="true" customHeight="true" outlineLevel="0" collapsed="false">
      <c r="B1398" s="1104" t="str">
        <f aca="false">'Смета Внутр'!B1398</f>
        <v>Планка примыкания</v>
      </c>
      <c r="C1398" s="1104" t="str">
        <f aca="false">'Смета Внутр'!C1398</f>
        <v>м.п.</v>
      </c>
      <c r="D1398" s="1109" t="n">
        <f aca="false">'Смета Внутр'!D1398</f>
        <v>0</v>
      </c>
      <c r="E1398" s="1104" t="n">
        <f aca="false">'Смета Внутр'!E1398</f>
        <v>190</v>
      </c>
      <c r="F1398" s="1104" t="n">
        <f aca="false">'Смета Внутр'!F1398</f>
        <v>0</v>
      </c>
      <c r="G1398" s="1104" t="n">
        <f aca="false">IF(E1398&gt;F1398,E1398,F1398)</f>
        <v>190</v>
      </c>
      <c r="H1398" s="1104" t="n">
        <f aca="false">'Смета Внутр'!G1398</f>
        <v>0</v>
      </c>
      <c r="I1398" s="1104" t="n">
        <f aca="false">'Смета Внутр'!H1398</f>
        <v>0</v>
      </c>
      <c r="J1398" s="1109" t="n">
        <f aca="false">'Смета Внутр'!I1398</f>
        <v>0</v>
      </c>
    </row>
    <row r="1399" customFormat="false" ht="15" hidden="true" customHeight="true" outlineLevel="0" collapsed="false">
      <c r="B1399" s="1104" t="str">
        <f aca="false">'Смета Внутр'!B1399</f>
        <v>ондулин</v>
      </c>
      <c r="C1399" s="1104" t="str">
        <f aca="false">'Смета Внутр'!C1399</f>
        <v>м2</v>
      </c>
      <c r="D1399" s="1109" t="n">
        <f aca="false">'Смета Внутр'!D1399</f>
        <v>0</v>
      </c>
      <c r="E1399" s="1104" t="n">
        <f aca="false">'Смета Внутр'!E1399</f>
        <v>180</v>
      </c>
      <c r="F1399" s="1104" t="n">
        <f aca="false">'Смета Внутр'!F1399</f>
        <v>0</v>
      </c>
      <c r="G1399" s="1104" t="n">
        <f aca="false">IF(E1399&gt;F1399,E1399,F1399)</f>
        <v>180</v>
      </c>
      <c r="H1399" s="1104" t="n">
        <f aca="false">'Смета Внутр'!G1399</f>
        <v>0</v>
      </c>
      <c r="I1399" s="1104" t="n">
        <f aca="false">'Смета Внутр'!H1399</f>
        <v>0</v>
      </c>
      <c r="J1399" s="1109" t="n">
        <f aca="false">'Смета Внутр'!I1399</f>
        <v>0</v>
      </c>
    </row>
    <row r="1400" customFormat="false" ht="15" hidden="true" customHeight="true" outlineLevel="0" collapsed="false">
      <c r="B1400" s="1104" t="str">
        <f aca="false">'Смета Внутр'!B1400</f>
        <v>Карнизная планка</v>
      </c>
      <c r="C1400" s="1104" t="str">
        <f aca="false">'Смета Внутр'!C1400</f>
        <v>м.п.</v>
      </c>
      <c r="D1400" s="1109" t="n">
        <f aca="false">'Смета Внутр'!D1400</f>
        <v>0</v>
      </c>
      <c r="E1400" s="1104" t="n">
        <f aca="false">'Смета Внутр'!E1400</f>
        <v>190</v>
      </c>
      <c r="F1400" s="1104" t="n">
        <f aca="false">'Смета Внутр'!F1400</f>
        <v>0</v>
      </c>
      <c r="G1400" s="1104" t="n">
        <f aca="false">IF(E1400&gt;F1400,E1400,F1400)</f>
        <v>190</v>
      </c>
      <c r="H1400" s="1104" t="n">
        <f aca="false">'Смета Внутр'!G1400</f>
        <v>0</v>
      </c>
      <c r="I1400" s="1104" t="n">
        <f aca="false">'Смета Внутр'!H1400</f>
        <v>0</v>
      </c>
      <c r="J1400" s="1109" t="n">
        <f aca="false">'Смета Внутр'!I1400</f>
        <v>0</v>
      </c>
    </row>
    <row r="1401" customFormat="false" ht="15" hidden="true" customHeight="true" outlineLevel="0" collapsed="false">
      <c r="B1401" s="1104" t="str">
        <f aca="false">'Смета Внутр'!B1401</f>
        <v>Торцевая планка</v>
      </c>
      <c r="C1401" s="1104" t="str">
        <f aca="false">'Смета Внутр'!C1401</f>
        <v>м.п.</v>
      </c>
      <c r="D1401" s="1109" t="n">
        <f aca="false">'Смета Внутр'!D1401</f>
        <v>0</v>
      </c>
      <c r="E1401" s="1104" t="n">
        <f aca="false">'Смета Внутр'!E1401</f>
        <v>190</v>
      </c>
      <c r="F1401" s="1104" t="n">
        <f aca="false">'Смета Внутр'!F1401</f>
        <v>0</v>
      </c>
      <c r="G1401" s="1104" t="n">
        <f aca="false">IF(E1401&gt;F1401,E1401,F1401)</f>
        <v>190</v>
      </c>
      <c r="H1401" s="1104" t="n">
        <f aca="false">'Смета Внутр'!G1401</f>
        <v>0</v>
      </c>
      <c r="I1401" s="1104" t="n">
        <f aca="false">'Смета Внутр'!H1401</f>
        <v>0</v>
      </c>
      <c r="J1401" s="1109" t="n">
        <f aca="false">'Смета Внутр'!I1401</f>
        <v>0</v>
      </c>
    </row>
    <row r="1402" customFormat="false" ht="15" hidden="true" customHeight="true" outlineLevel="0" collapsed="false">
      <c r="B1402" s="1104" t="str">
        <f aca="false">'Смета Внутр'!B1402</f>
        <v>Конек</v>
      </c>
      <c r="C1402" s="1104" t="str">
        <f aca="false">'Смета Внутр'!C1402</f>
        <v>м.п.</v>
      </c>
      <c r="D1402" s="1109" t="n">
        <f aca="false">'Смета Внутр'!D1402</f>
        <v>0</v>
      </c>
      <c r="E1402" s="1104" t="n">
        <f aca="false">'Смета Внутр'!E1402</f>
        <v>200</v>
      </c>
      <c r="F1402" s="1104" t="n">
        <f aca="false">'Смета Внутр'!F1402</f>
        <v>0</v>
      </c>
      <c r="G1402" s="1104" t="n">
        <f aca="false">IF(E1402&gt;F1402,E1402,F1402)</f>
        <v>200</v>
      </c>
      <c r="H1402" s="1104" t="n">
        <f aca="false">'Смета Внутр'!G1402</f>
        <v>0</v>
      </c>
      <c r="I1402" s="1104" t="n">
        <f aca="false">'Смета Внутр'!H1402</f>
        <v>0</v>
      </c>
      <c r="J1402" s="1109" t="n">
        <f aca="false">'Смета Внутр'!I1402</f>
        <v>0</v>
      </c>
    </row>
    <row r="1403" customFormat="false" ht="15" hidden="true" customHeight="true" outlineLevel="0" collapsed="false">
      <c r="B1403" s="1104" t="str">
        <f aca="false">'Смета Внутр'!B1403</f>
        <v>Ендова нижняя</v>
      </c>
      <c r="C1403" s="1104" t="str">
        <f aca="false">'Смета Внутр'!C1403</f>
        <v>м.п.</v>
      </c>
      <c r="D1403" s="1109" t="n">
        <f aca="false">'Смета Внутр'!D1403</f>
        <v>0</v>
      </c>
      <c r="E1403" s="1104" t="n">
        <f aca="false">'Смета Внутр'!E1403</f>
        <v>160</v>
      </c>
      <c r="F1403" s="1104" t="n">
        <f aca="false">'Смета Внутр'!F1403</f>
        <v>0</v>
      </c>
      <c r="G1403" s="1104" t="n">
        <f aca="false">IF(E1403&gt;F1403,E1403,F1403)</f>
        <v>160</v>
      </c>
      <c r="H1403" s="1104" t="n">
        <f aca="false">'Смета Внутр'!G1403</f>
        <v>0</v>
      </c>
      <c r="I1403" s="1104" t="n">
        <f aca="false">'Смета Внутр'!H1403</f>
        <v>0</v>
      </c>
      <c r="J1403" s="1109" t="n">
        <f aca="false">'Смета Внутр'!I1403</f>
        <v>0</v>
      </c>
    </row>
    <row r="1404" customFormat="false" ht="15" hidden="true" customHeight="true" outlineLevel="0" collapsed="false">
      <c r="B1404" s="1104" t="str">
        <f aca="false">'Смета Внутр'!B1404</f>
        <v>Ендова верхняя</v>
      </c>
      <c r="C1404" s="1104" t="str">
        <f aca="false">'Смета Внутр'!C1404</f>
        <v>м.п.</v>
      </c>
      <c r="D1404" s="1109" t="n">
        <f aca="false">'Смета Внутр'!D1404</f>
        <v>0</v>
      </c>
      <c r="E1404" s="1104" t="n">
        <f aca="false">'Смета Внутр'!E1404</f>
        <v>190</v>
      </c>
      <c r="F1404" s="1104" t="n">
        <f aca="false">'Смета Внутр'!F1404</f>
        <v>0</v>
      </c>
      <c r="G1404" s="1104" t="n">
        <f aca="false">IF(E1404&gt;F1404,E1404,F1404)</f>
        <v>190</v>
      </c>
      <c r="H1404" s="1104" t="n">
        <f aca="false">'Смета Внутр'!G1404</f>
        <v>0</v>
      </c>
      <c r="I1404" s="1104" t="n">
        <f aca="false">'Смета Внутр'!H1404</f>
        <v>0</v>
      </c>
      <c r="J1404" s="1109" t="n">
        <f aca="false">'Смета Внутр'!I1404</f>
        <v>0</v>
      </c>
    </row>
    <row r="1405" customFormat="false" ht="15" hidden="true" customHeight="true" outlineLevel="0" collapsed="false">
      <c r="B1405" s="1104" t="str">
        <f aca="false">'Смета Внутр'!B1405</f>
        <v>Планка примыкания</v>
      </c>
      <c r="C1405" s="1104" t="str">
        <f aca="false">'Смета Внутр'!C1405</f>
        <v>м.п.</v>
      </c>
      <c r="D1405" s="1109" t="n">
        <f aca="false">'Смета Внутр'!D1405</f>
        <v>0</v>
      </c>
      <c r="E1405" s="1104" t="n">
        <f aca="false">'Смета Внутр'!E1405</f>
        <v>190</v>
      </c>
      <c r="F1405" s="1104" t="n">
        <f aca="false">'Смета Внутр'!F1405</f>
        <v>0</v>
      </c>
      <c r="G1405" s="1104" t="n">
        <f aca="false">IF(E1405&gt;F1405,E1405,F1405)</f>
        <v>190</v>
      </c>
      <c r="H1405" s="1104" t="n">
        <f aca="false">'Смета Внутр'!G1405</f>
        <v>0</v>
      </c>
      <c r="I1405" s="1104" t="n">
        <f aca="false">'Смета Внутр'!H1405</f>
        <v>0</v>
      </c>
      <c r="J1405" s="1109" t="n">
        <f aca="false">'Смета Внутр'!I1405</f>
        <v>0</v>
      </c>
    </row>
    <row r="1406" customFormat="false" ht="15" hidden="true" customHeight="true" outlineLevel="0" collapsed="false">
      <c r="B1406" s="1104" t="str">
        <f aca="false">'Смета Внутр'!B1406</f>
        <v>Крепеж для ондулина</v>
      </c>
      <c r="C1406" s="1104" t="str">
        <f aca="false">'Смета Внутр'!C1406</f>
        <v>шт</v>
      </c>
      <c r="D1406" s="1109" t="n">
        <f aca="false">'Смета Внутр'!D1406</f>
        <v>0</v>
      </c>
      <c r="E1406" s="1104" t="n">
        <f aca="false">'Смета Внутр'!E1406</f>
        <v>4.5</v>
      </c>
      <c r="F1406" s="1104" t="n">
        <f aca="false">'Смета Внутр'!F1406</f>
        <v>0</v>
      </c>
      <c r="G1406" s="1104" t="n">
        <f aca="false">IF(E1406&gt;F1406,E1406,F1406)</f>
        <v>4.5</v>
      </c>
      <c r="H1406" s="1104" t="n">
        <f aca="false">'Смета Внутр'!G1406</f>
        <v>0</v>
      </c>
      <c r="I1406" s="1104" t="n">
        <f aca="false">'Смета Внутр'!H1406</f>
        <v>0</v>
      </c>
      <c r="J1406" s="1109" t="n">
        <f aca="false">'Смета Внутр'!I1406</f>
        <v>0</v>
      </c>
    </row>
    <row r="1407" customFormat="false" ht="15" hidden="true" customHeight="true" outlineLevel="0" collapsed="false">
      <c r="B1407" s="1104" t="str">
        <f aca="false">'Смета Внутр'!B1407</f>
        <v>нет</v>
      </c>
      <c r="C1407" s="1104" t="str">
        <f aca="false">'Смета Внутр'!C1407</f>
        <v>м2</v>
      </c>
      <c r="D1407" s="1109" t="n">
        <f aca="false">'Смета Внутр'!D1407</f>
        <v>0</v>
      </c>
      <c r="E1407" s="1104" t="n">
        <f aca="false">'Смета Внутр'!E1407</f>
        <v>0</v>
      </c>
      <c r="F1407" s="1104" t="n">
        <f aca="false">'Смета Внутр'!F1407</f>
        <v>0</v>
      </c>
      <c r="G1407" s="1104" t="n">
        <f aca="false">IF(E1407&gt;F1407,E1407,F1407)</f>
        <v>0</v>
      </c>
      <c r="H1407" s="1104" t="n">
        <f aca="false">'Смета Внутр'!G1407</f>
        <v>0</v>
      </c>
      <c r="I1407" s="1104" t="n">
        <f aca="false">'Смета Внутр'!H1407</f>
        <v>0</v>
      </c>
      <c r="J1407" s="1109" t="n">
        <f aca="false">'Смета Внутр'!I1407</f>
        <v>0</v>
      </c>
    </row>
    <row r="1408" customFormat="false" ht="15" hidden="true" customHeight="true" outlineLevel="0" collapsed="false">
      <c r="B1408" s="1104" t="str">
        <f aca="false">'Смета Внутр'!B1408</f>
        <v>Рядовая черепица</v>
      </c>
      <c r="C1408" s="1104" t="str">
        <f aca="false">'Смета Внутр'!C1408</f>
        <v>м2</v>
      </c>
      <c r="D1408" s="1109" t="n">
        <f aca="false">'Смета Внутр'!D1408</f>
        <v>0</v>
      </c>
      <c r="E1408" s="1104" t="n">
        <f aca="false">'Смета Внутр'!E1408</f>
        <v>360</v>
      </c>
      <c r="F1408" s="1104" t="n">
        <f aca="false">'Смета Внутр'!F1408</f>
        <v>0</v>
      </c>
      <c r="G1408" s="1104" t="n">
        <f aca="false">IF(E1408&gt;F1408,E1408,F1408)</f>
        <v>360</v>
      </c>
      <c r="H1408" s="1104" t="n">
        <f aca="false">'Смета Внутр'!G1408</f>
        <v>0</v>
      </c>
      <c r="I1408" s="1104" t="n">
        <f aca="false">'Смета Внутр'!H1408</f>
        <v>0</v>
      </c>
      <c r="J1408" s="1109" t="n">
        <f aca="false">'Смета Внутр'!I1408</f>
        <v>0</v>
      </c>
    </row>
    <row r="1409" customFormat="false" ht="15" hidden="true" customHeight="true" outlineLevel="0" collapsed="false">
      <c r="B1409" s="1104" t="str">
        <f aca="false">'Смета Внутр'!B1409</f>
        <v>Металл оцинк защита (карниз)</v>
      </c>
      <c r="C1409" s="1104" t="str">
        <f aca="false">'Смета Внутр'!C1409</f>
        <v>м.п.</v>
      </c>
      <c r="D1409" s="1109" t="n">
        <f aca="false">'Смета Внутр'!D1409</f>
        <v>0</v>
      </c>
      <c r="E1409" s="1104" t="n">
        <f aca="false">'Смета Внутр'!E1409</f>
        <v>200</v>
      </c>
      <c r="F1409" s="1104" t="n">
        <f aca="false">'Смета Внутр'!F1409</f>
        <v>0</v>
      </c>
      <c r="G1409" s="1104" t="n">
        <f aca="false">IF(E1409&gt;F1409,E1409,F1409)</f>
        <v>200</v>
      </c>
      <c r="H1409" s="1104" t="n">
        <f aca="false">'Смета Внутр'!G1409</f>
        <v>0</v>
      </c>
      <c r="I1409" s="1104" t="n">
        <f aca="false">'Смета Внутр'!H1409</f>
        <v>0</v>
      </c>
      <c r="J1409" s="1109" t="n">
        <f aca="false">'Смета Внутр'!I1409</f>
        <v>0</v>
      </c>
    </row>
    <row r="1410" customFormat="false" ht="15" hidden="true" customHeight="true" outlineLevel="0" collapsed="false">
      <c r="B1410" s="1104" t="str">
        <f aca="false">'Смета Внутр'!B1410</f>
        <v>Подкладочный ковер</v>
      </c>
      <c r="C1410" s="1104" t="str">
        <f aca="false">'Смета Внутр'!C1410</f>
        <v>м.п.</v>
      </c>
      <c r="D1410" s="1109" t="n">
        <f aca="false">'Смета Внутр'!D1410</f>
        <v>0</v>
      </c>
      <c r="E1410" s="1104" t="n">
        <f aca="false">'Смета Внутр'!E1410</f>
        <v>220</v>
      </c>
      <c r="F1410" s="1104" t="n">
        <f aca="false">'Смета Внутр'!F1410</f>
        <v>0</v>
      </c>
      <c r="G1410" s="1104" t="n">
        <f aca="false">IF(E1410&gt;F1410,E1410,F1410)</f>
        <v>220</v>
      </c>
      <c r="H1410" s="1104" t="n">
        <f aca="false">'Смета Внутр'!G1410</f>
        <v>0</v>
      </c>
      <c r="I1410" s="1104" t="n">
        <f aca="false">'Смета Внутр'!H1410</f>
        <v>0</v>
      </c>
      <c r="J1410" s="1109" t="n">
        <f aca="false">'Смета Внутр'!I1410</f>
        <v>0</v>
      </c>
    </row>
    <row r="1411" customFormat="false" ht="15" hidden="true" customHeight="true" outlineLevel="0" collapsed="false">
      <c r="B1411" s="1104" t="str">
        <f aca="false">'Смета Внутр'!B1411</f>
        <v>Карнизная самоклеющаяся черепица</v>
      </c>
      <c r="C1411" s="1104" t="str">
        <f aca="false">'Смета Внутр'!C1411</f>
        <v>м.п.</v>
      </c>
      <c r="D1411" s="1109" t="n">
        <f aca="false">'Смета Внутр'!D1411</f>
        <v>0</v>
      </c>
      <c r="E1411" s="1104" t="n">
        <f aca="false">'Смета Внутр'!E1411</f>
        <v>220</v>
      </c>
      <c r="F1411" s="1104" t="n">
        <f aca="false">'Смета Внутр'!F1411</f>
        <v>0</v>
      </c>
      <c r="G1411" s="1104" t="n">
        <f aca="false">IF(E1411&gt;F1411,E1411,F1411)</f>
        <v>220</v>
      </c>
      <c r="H1411" s="1104" t="n">
        <f aca="false">'Смета Внутр'!G1411</f>
        <v>0</v>
      </c>
      <c r="I1411" s="1104" t="n">
        <f aca="false">'Смета Внутр'!H1411</f>
        <v>0</v>
      </c>
      <c r="J1411" s="1109" t="n">
        <f aca="false">'Смета Внутр'!I1411</f>
        <v>0</v>
      </c>
    </row>
    <row r="1412" customFormat="false" ht="15" hidden="true" customHeight="true" outlineLevel="0" collapsed="false">
      <c r="B1412" s="1104" t="str">
        <f aca="false">'Смета Внутр'!B1412</f>
        <v>Спец ковер ендова нижняя</v>
      </c>
      <c r="C1412" s="1104" t="str">
        <f aca="false">'Смета Внутр'!C1412</f>
        <v>м.п.</v>
      </c>
      <c r="D1412" s="1109" t="n">
        <f aca="false">'Смета Внутр'!D1412</f>
        <v>0</v>
      </c>
      <c r="E1412" s="1104" t="n">
        <f aca="false">'Смета Внутр'!E1412</f>
        <v>200</v>
      </c>
      <c r="F1412" s="1104" t="n">
        <f aca="false">'Смета Внутр'!F1412</f>
        <v>0</v>
      </c>
      <c r="G1412" s="1104" t="n">
        <f aca="false">IF(E1412&gt;F1412,E1412,F1412)</f>
        <v>200</v>
      </c>
      <c r="H1412" s="1104" t="n">
        <f aca="false">'Смета Внутр'!G1412</f>
        <v>0</v>
      </c>
      <c r="I1412" s="1104" t="n">
        <f aca="false">'Смета Внутр'!H1412</f>
        <v>0</v>
      </c>
      <c r="J1412" s="1109" t="n">
        <f aca="false">'Смета Внутр'!I1412</f>
        <v>0</v>
      </c>
    </row>
    <row r="1413" customFormat="false" ht="15" hidden="true" customHeight="true" outlineLevel="0" collapsed="false">
      <c r="B1413" s="1104" t="str">
        <f aca="false">'Смета Внутр'!B1413</f>
        <v>Коньковой элемент</v>
      </c>
      <c r="C1413" s="1104" t="str">
        <f aca="false">'Смета Внутр'!C1413</f>
        <v>м.п.</v>
      </c>
      <c r="D1413" s="1109" t="n">
        <f aca="false">'Смета Внутр'!D1413</f>
        <v>0</v>
      </c>
      <c r="E1413" s="1104" t="n">
        <f aca="false">'Смета Внутр'!E1413</f>
        <v>250</v>
      </c>
      <c r="F1413" s="1104" t="n">
        <f aca="false">'Смета Внутр'!F1413</f>
        <v>0</v>
      </c>
      <c r="G1413" s="1104" t="n">
        <f aca="false">IF(E1413&gt;F1413,E1413,F1413)</f>
        <v>250</v>
      </c>
      <c r="H1413" s="1104" t="n">
        <f aca="false">'Смета Внутр'!G1413</f>
        <v>0</v>
      </c>
      <c r="I1413" s="1104" t="n">
        <f aca="false">'Смета Внутр'!H1413</f>
        <v>0</v>
      </c>
      <c r="J1413" s="1109" t="n">
        <f aca="false">'Смета Внутр'!I1413</f>
        <v>0</v>
      </c>
    </row>
    <row r="1414" customFormat="false" ht="15" hidden="true" customHeight="true" outlineLevel="0" collapsed="false">
      <c r="B1414" s="1104" t="str">
        <f aca="false">'Смета Внутр'!B1414</f>
        <v>Планка премыкания</v>
      </c>
      <c r="C1414" s="1104" t="str">
        <f aca="false">'Смета Внутр'!C1414</f>
        <v>м.п.</v>
      </c>
      <c r="D1414" s="1109" t="n">
        <f aca="false">'Смета Внутр'!D1414</f>
        <v>0</v>
      </c>
      <c r="E1414" s="1104" t="n">
        <f aca="false">'Смета Внутр'!E1414</f>
        <v>200</v>
      </c>
      <c r="F1414" s="1104" t="n">
        <f aca="false">'Смета Внутр'!F1414</f>
        <v>0</v>
      </c>
      <c r="G1414" s="1104" t="n">
        <f aca="false">IF(E1414&gt;F1414,E1414,F1414)</f>
        <v>200</v>
      </c>
      <c r="H1414" s="1104" t="n">
        <f aca="false">'Смета Внутр'!G1414</f>
        <v>0</v>
      </c>
      <c r="I1414" s="1104" t="n">
        <f aca="false">'Смета Внутр'!H1414</f>
        <v>0</v>
      </c>
      <c r="J1414" s="1109" t="n">
        <f aca="false">'Смета Внутр'!I1414</f>
        <v>0</v>
      </c>
    </row>
    <row r="1415" customFormat="false" ht="15" hidden="true" customHeight="true" outlineLevel="0" collapsed="false">
      <c r="B1415" s="1104" t="str">
        <f aca="false">'Смета Внутр'!B1415</f>
        <v>Гвозди для крепления подкладочного ковра</v>
      </c>
      <c r="C1415" s="1104" t="str">
        <f aca="false">'Смета Внутр'!C1415</f>
        <v>шт</v>
      </c>
      <c r="D1415" s="1109" t="n">
        <f aca="false">'Смета Внутр'!D1415</f>
        <v>0</v>
      </c>
      <c r="E1415" s="1104" t="n">
        <f aca="false">'Смета Внутр'!E1415</f>
        <v>0.012</v>
      </c>
      <c r="F1415" s="1104" t="n">
        <f aca="false">'Смета Внутр'!F1415</f>
        <v>0</v>
      </c>
      <c r="G1415" s="1104" t="n">
        <f aca="false">IF(E1415&gt;F1415,E1415,F1415)</f>
        <v>0.012</v>
      </c>
      <c r="H1415" s="1104" t="n">
        <f aca="false">'Смета Внутр'!G1415</f>
        <v>0</v>
      </c>
      <c r="I1415" s="1104" t="n">
        <f aca="false">'Смета Внутр'!H1415</f>
        <v>0</v>
      </c>
      <c r="J1415" s="1109" t="n">
        <f aca="false">'Смета Внутр'!I1415</f>
        <v>0</v>
      </c>
    </row>
    <row r="1416" customFormat="false" ht="15" hidden="true" customHeight="true" outlineLevel="0" collapsed="false">
      <c r="B1416" s="1104" t="str">
        <f aca="false">'Смета Внутр'!B1416</f>
        <v>Гвозди для крепления черепицы</v>
      </c>
      <c r="C1416" s="1104" t="str">
        <f aca="false">'Смета Внутр'!C1416</f>
        <v>шт</v>
      </c>
      <c r="D1416" s="1109" t="n">
        <f aca="false">'Смета Внутр'!D1416</f>
        <v>0</v>
      </c>
      <c r="E1416" s="1104" t="n">
        <f aca="false">'Смета Внутр'!E1416</f>
        <v>0.25</v>
      </c>
      <c r="F1416" s="1104" t="n">
        <f aca="false">'Смета Внутр'!F1416</f>
        <v>0</v>
      </c>
      <c r="G1416" s="1104" t="n">
        <f aca="false">IF(E1416&gt;F1416,E1416,F1416)</f>
        <v>0.25</v>
      </c>
      <c r="H1416" s="1104" t="n">
        <f aca="false">'Смета Внутр'!G1416</f>
        <v>0</v>
      </c>
      <c r="I1416" s="1104" t="n">
        <f aca="false">'Смета Внутр'!H1416</f>
        <v>0</v>
      </c>
      <c r="J1416" s="1109" t="n">
        <f aca="false">'Смета Внутр'!I1416</f>
        <v>0</v>
      </c>
    </row>
    <row r="1417" customFormat="false" ht="15" hidden="true" customHeight="true" outlineLevel="0" collapsed="false">
      <c r="B1417" s="1104" t="str">
        <f aca="false">'Смета Внутр'!B1417</f>
        <v>Клей для монтажа черепицы</v>
      </c>
      <c r="C1417" s="1104" t="str">
        <f aca="false">'Смета Внутр'!C1417</f>
        <v>кг</v>
      </c>
      <c r="D1417" s="1109" t="n">
        <f aca="false">'Смета Внутр'!D1417</f>
        <v>0</v>
      </c>
      <c r="E1417" s="1104" t="n">
        <f aca="false">'Смета Внутр'!E1417</f>
        <v>250</v>
      </c>
      <c r="F1417" s="1104" t="n">
        <f aca="false">'Смета Внутр'!F1417</f>
        <v>0</v>
      </c>
      <c r="G1417" s="1104" t="n">
        <f aca="false">IF(E1417&gt;F1417,E1417,F1417)</f>
        <v>250</v>
      </c>
      <c r="H1417" s="1104" t="n">
        <f aca="false">'Смета Внутр'!G1417</f>
        <v>0</v>
      </c>
      <c r="I1417" s="1104" t="n">
        <f aca="false">'Смета Внутр'!H1417</f>
        <v>0</v>
      </c>
      <c r="J1417" s="1109" t="n">
        <f aca="false">'Смета Внутр'!I1417</f>
        <v>0</v>
      </c>
    </row>
    <row r="1418" customFormat="false" ht="15" hidden="true" customHeight="true" outlineLevel="0" collapsed="false">
      <c r="B1418" s="1104" t="str">
        <f aca="false">'Смета Внутр'!B1418</f>
        <v>желоб</v>
      </c>
      <c r="C1418" s="1104" t="str">
        <f aca="false">'Смета Внутр'!C1418</f>
        <v>м.п</v>
      </c>
      <c r="D1418" s="1109" t="n">
        <f aca="false">'Смета Внутр'!D1418</f>
        <v>0</v>
      </c>
      <c r="E1418" s="1104" t="n">
        <f aca="false">'Смета Внутр'!E1418</f>
        <v>300</v>
      </c>
      <c r="F1418" s="1104" t="n">
        <f aca="false">'Смета Внутр'!F1418</f>
        <v>0</v>
      </c>
      <c r="G1418" s="1104" t="n">
        <f aca="false">IF(E1418&gt;F1418,E1418,F1418)</f>
        <v>300</v>
      </c>
      <c r="H1418" s="1104" t="n">
        <f aca="false">'Смета Внутр'!G1418</f>
        <v>0</v>
      </c>
      <c r="I1418" s="1104" t="n">
        <f aca="false">'Смета Внутр'!H1418</f>
        <v>0</v>
      </c>
      <c r="J1418" s="1109" t="n">
        <f aca="false">'Смета Внутр'!I1418</f>
        <v>0</v>
      </c>
    </row>
    <row r="1419" customFormat="false" ht="15" hidden="true" customHeight="true" outlineLevel="0" collapsed="false">
      <c r="B1419" s="1104" t="str">
        <f aca="false">'Смета Внутр'!B1419</f>
        <v>отвод</v>
      </c>
      <c r="C1419" s="1104" t="str">
        <f aca="false">'Смета Внутр'!C1419</f>
        <v>шт</v>
      </c>
      <c r="D1419" s="1109" t="n">
        <f aca="false">'Смета Внутр'!D1419</f>
        <v>0</v>
      </c>
      <c r="E1419" s="1104" t="n">
        <f aca="false">'Смета Внутр'!E1419</f>
        <v>250</v>
      </c>
      <c r="F1419" s="1104" t="n">
        <f aca="false">'Смета Внутр'!F1419</f>
        <v>0</v>
      </c>
      <c r="G1419" s="1104" t="n">
        <f aca="false">IF(E1419&gt;F1419,E1419,F1419)</f>
        <v>250</v>
      </c>
      <c r="H1419" s="1104" t="n">
        <f aca="false">'Смета Внутр'!G1419</f>
        <v>0</v>
      </c>
      <c r="I1419" s="1104" t="n">
        <f aca="false">'Смета Внутр'!H1419</f>
        <v>0</v>
      </c>
      <c r="J1419" s="1109" t="n">
        <f aca="false">'Смета Внутр'!I1419</f>
        <v>0</v>
      </c>
    </row>
    <row r="1420" customFormat="false" ht="15" hidden="true" customHeight="true" outlineLevel="0" collapsed="false">
      <c r="B1420" s="1104" t="str">
        <f aca="false">'Смета Внутр'!B1420</f>
        <v>труба водосточная</v>
      </c>
      <c r="C1420" s="1104" t="str">
        <f aca="false">'Смета Внутр'!C1420</f>
        <v>м.п.</v>
      </c>
      <c r="D1420" s="1109" t="n">
        <f aca="false">'Смета Внутр'!D1420</f>
        <v>0</v>
      </c>
      <c r="E1420" s="1104" t="n">
        <f aca="false">'Смета Внутр'!E1420</f>
        <v>300</v>
      </c>
      <c r="F1420" s="1104" t="n">
        <f aca="false">'Смета Внутр'!F1420</f>
        <v>0</v>
      </c>
      <c r="G1420" s="1104" t="n">
        <f aca="false">IF(E1420&gt;F1420,E1420,F1420)</f>
        <v>300</v>
      </c>
      <c r="H1420" s="1104" t="n">
        <f aca="false">'Смета Внутр'!G1420</f>
        <v>0</v>
      </c>
      <c r="I1420" s="1104" t="n">
        <f aca="false">'Смета Внутр'!H1420</f>
        <v>0</v>
      </c>
      <c r="J1420" s="1109" t="n">
        <f aca="false">'Смета Внутр'!I1420</f>
        <v>0</v>
      </c>
    </row>
    <row r="1421" customFormat="false" ht="15" hidden="true" customHeight="true" outlineLevel="0" collapsed="false">
      <c r="B1421" s="1104" t="str">
        <f aca="false">'Смета Внутр'!B1421</f>
        <v>заглушка для желоба</v>
      </c>
      <c r="C1421" s="1104" t="str">
        <f aca="false">'Смета Внутр'!C1421</f>
        <v>шт</v>
      </c>
      <c r="D1421" s="1109" t="n">
        <f aca="false">'Смета Внутр'!D1421</f>
        <v>0</v>
      </c>
      <c r="E1421" s="1104" t="n">
        <f aca="false">'Смета Внутр'!E1421</f>
        <v>190</v>
      </c>
      <c r="F1421" s="1104" t="n">
        <f aca="false">'Смета Внутр'!F1421</f>
        <v>0</v>
      </c>
      <c r="G1421" s="1104" t="n">
        <f aca="false">IF(E1421&gt;F1421,E1421,F1421)</f>
        <v>190</v>
      </c>
      <c r="H1421" s="1104" t="n">
        <f aca="false">'Смета Внутр'!G1421</f>
        <v>0</v>
      </c>
      <c r="I1421" s="1104" t="n">
        <f aca="false">'Смета Внутр'!H1421</f>
        <v>0</v>
      </c>
      <c r="J1421" s="1109" t="n">
        <f aca="false">'Смета Внутр'!I1421</f>
        <v>0</v>
      </c>
    </row>
    <row r="1422" customFormat="false" ht="15" hidden="true" customHeight="true" outlineLevel="0" collapsed="false">
      <c r="B1422" s="1104" t="str">
        <f aca="false">'Смета Внутр'!B1422</f>
        <v>соеденитель для желоба</v>
      </c>
      <c r="C1422" s="1104" t="str">
        <f aca="false">'Смета Внутр'!C1422</f>
        <v>шт</v>
      </c>
      <c r="D1422" s="1109" t="n">
        <f aca="false">'Смета Внутр'!D1422</f>
        <v>2</v>
      </c>
      <c r="E1422" s="1104" t="n">
        <f aca="false">'Смета Внутр'!E1422</f>
        <v>180</v>
      </c>
      <c r="F1422" s="1104" t="n">
        <f aca="false">'Смета Внутр'!F1422</f>
        <v>0</v>
      </c>
      <c r="G1422" s="1104" t="n">
        <f aca="false">IF(E1422&gt;F1422,E1422,F1422)</f>
        <v>180</v>
      </c>
      <c r="H1422" s="1104" t="n">
        <f aca="false">'Смета Внутр'!G1422</f>
        <v>360</v>
      </c>
      <c r="I1422" s="1104" t="n">
        <f aca="false">'Смета Внутр'!H1422</f>
        <v>0</v>
      </c>
      <c r="J1422" s="1109" t="n">
        <f aca="false">'Смета Внутр'!I1422</f>
        <v>0</v>
      </c>
    </row>
    <row r="1423" customFormat="false" ht="15" hidden="true" customHeight="true" outlineLevel="0" collapsed="false">
      <c r="B1423" s="1104" t="str">
        <f aca="false">'Смета Внутр'!B1423</f>
        <v>кронштейн для желоба</v>
      </c>
      <c r="C1423" s="1104" t="str">
        <f aca="false">'Смета Внутр'!C1423</f>
        <v>шт</v>
      </c>
      <c r="D1423" s="1109" t="n">
        <f aca="false">'Смета Внутр'!D1423</f>
        <v>0</v>
      </c>
      <c r="E1423" s="1104" t="n">
        <f aca="false">'Смета Внутр'!E1423</f>
        <v>130</v>
      </c>
      <c r="F1423" s="1104" t="n">
        <f aca="false">'Смета Внутр'!F1423</f>
        <v>0</v>
      </c>
      <c r="G1423" s="1104" t="n">
        <f aca="false">IF(E1423&gt;F1423,E1423,F1423)</f>
        <v>130</v>
      </c>
      <c r="H1423" s="1104" t="n">
        <f aca="false">'Смета Внутр'!G1423</f>
        <v>0</v>
      </c>
      <c r="I1423" s="1104" t="n">
        <f aca="false">'Смета Внутр'!H1423</f>
        <v>0</v>
      </c>
      <c r="J1423" s="1109" t="n">
        <f aca="false">'Смета Внутр'!I1423</f>
        <v>0</v>
      </c>
    </row>
    <row r="1424" customFormat="false" ht="15" hidden="true" customHeight="true" outlineLevel="0" collapsed="false">
      <c r="B1424" s="1104" t="str">
        <f aca="false">'Смета Внутр'!B1424</f>
        <v>переход из желоба в трубу</v>
      </c>
      <c r="C1424" s="1104" t="str">
        <f aca="false">'Смета Внутр'!C1424</f>
        <v>шт</v>
      </c>
      <c r="D1424" s="1109" t="n">
        <f aca="false">'Смета Внутр'!D1424</f>
        <v>0</v>
      </c>
      <c r="E1424" s="1104" t="n">
        <f aca="false">'Смета Внутр'!E1424</f>
        <v>350</v>
      </c>
      <c r="F1424" s="1104" t="n">
        <f aca="false">'Смета Внутр'!F1424</f>
        <v>0</v>
      </c>
      <c r="G1424" s="1104" t="n">
        <f aca="false">IF(E1424&gt;F1424,E1424,F1424)</f>
        <v>350</v>
      </c>
      <c r="H1424" s="1104" t="n">
        <f aca="false">'Смета Внутр'!G1424</f>
        <v>0</v>
      </c>
      <c r="I1424" s="1104" t="n">
        <f aca="false">'Смета Внутр'!H1424</f>
        <v>0</v>
      </c>
      <c r="J1424" s="1109" t="n">
        <f aca="false">'Смета Внутр'!I1424</f>
        <v>0</v>
      </c>
    </row>
    <row r="1425" customFormat="false" ht="15" hidden="true" customHeight="true" outlineLevel="0" collapsed="false">
      <c r="B1425" s="1104" t="str">
        <f aca="false">'Смета Внутр'!B1425</f>
        <v>лента дельта мульти бэнд</v>
      </c>
      <c r="C1425" s="1104" t="str">
        <f aca="false">'Смета Внутр'!C1425</f>
        <v>шт</v>
      </c>
      <c r="D1425" s="1109" t="n">
        <f aca="false">'Смета Внутр'!D1425</f>
        <v>0</v>
      </c>
      <c r="E1425" s="1104" t="n">
        <f aca="false">'Смета Внутр'!E1425</f>
        <v>1200</v>
      </c>
      <c r="F1425" s="1104" t="n">
        <f aca="false">'Смета Внутр'!F1425</f>
        <v>0</v>
      </c>
      <c r="G1425" s="1104" t="n">
        <f aca="false">IF(E1425&gt;F1425,E1425,F1425)</f>
        <v>1200</v>
      </c>
      <c r="H1425" s="1104" t="n">
        <f aca="false">'Смета Внутр'!G1425</f>
        <v>0</v>
      </c>
      <c r="I1425" s="1104" t="n">
        <f aca="false">'Смета Внутр'!H1425</f>
        <v>0</v>
      </c>
      <c r="J1425" s="1109" t="n">
        <f aca="false">'Смета Внутр'!I1425</f>
        <v>0</v>
      </c>
    </row>
    <row r="1426" customFormat="false" ht="15" hidden="true" customHeight="true" outlineLevel="0" collapsed="false">
      <c r="B1426" s="1104" t="str">
        <f aca="false">'Смета Внутр'!B1426</f>
        <v>лента дельта sb-60</v>
      </c>
      <c r="C1426" s="1104" t="str">
        <f aca="false">'Смета Внутр'!C1426</f>
        <v>шт</v>
      </c>
      <c r="D1426" s="1109" t="n">
        <f aca="false">'Смета Внутр'!D1426</f>
        <v>0</v>
      </c>
      <c r="E1426" s="1104" t="n">
        <f aca="false">'Смета Внутр'!E1426</f>
        <v>1100</v>
      </c>
      <c r="F1426" s="1104" t="n">
        <f aca="false">'Смета Внутр'!F1426</f>
        <v>0</v>
      </c>
      <c r="G1426" s="1104" t="n">
        <f aca="false">IF(E1426&gt;F1426,E1426,F1426)</f>
        <v>1100</v>
      </c>
      <c r="H1426" s="1104" t="n">
        <f aca="false">'Смета Внутр'!G1426</f>
        <v>0</v>
      </c>
      <c r="I1426" s="1104" t="n">
        <f aca="false">'Смета Внутр'!H1426</f>
        <v>0</v>
      </c>
      <c r="J1426" s="1109" t="n">
        <f aca="false">'Смета Внутр'!I1426</f>
        <v>0</v>
      </c>
    </row>
    <row r="1427" customFormat="false" ht="15" hidden="true" customHeight="true" outlineLevel="0" collapsed="false">
      <c r="B1427" s="1104" t="str">
        <f aca="false">'Смета Внутр'!B1427</f>
        <v>Кровельный саморез</v>
      </c>
      <c r="C1427" s="1104" t="str">
        <f aca="false">'Смета Внутр'!C1427</f>
        <v>шт</v>
      </c>
      <c r="D1427" s="1109" t="n">
        <f aca="false">'Смета Внутр'!D1427</f>
        <v>0</v>
      </c>
      <c r="E1427" s="1104" t="n">
        <f aca="false">'Смета Внутр'!E1427</f>
        <v>2</v>
      </c>
      <c r="F1427" s="1104" t="n">
        <f aca="false">'Смета Внутр'!F1427</f>
        <v>0</v>
      </c>
      <c r="G1427" s="1104" t="n">
        <f aca="false">IF(E1427&gt;F1427,E1427,F1427)</f>
        <v>2</v>
      </c>
      <c r="H1427" s="1104" t="n">
        <f aca="false">'Смета Внутр'!G1427</f>
        <v>0</v>
      </c>
      <c r="I1427" s="1104" t="n">
        <f aca="false">'Смета Внутр'!H1427</f>
        <v>0</v>
      </c>
      <c r="J1427" s="1109" t="n">
        <f aca="false">'Смета Внутр'!I1427</f>
        <v>0</v>
      </c>
    </row>
    <row r="1428" customFormat="false" ht="15" hidden="true" customHeight="true" outlineLevel="0" collapsed="false">
      <c r="B1428" s="1104" t="str">
        <f aca="false">'Смета Внутр'!B1428</f>
        <v>Гвозди ершоные 3,4 x 60            </v>
      </c>
      <c r="C1428" s="1104" t="str">
        <f aca="false">'Смета Внутр'!C1428</f>
        <v>кг</v>
      </c>
      <c r="D1428" s="1109" t="n">
        <f aca="false">'Смета Внутр'!D1428</f>
        <v>0</v>
      </c>
      <c r="E1428" s="1104" t="n">
        <f aca="false">'Смета Внутр'!E1428</f>
        <v>75.51</v>
      </c>
      <c r="F1428" s="1104" t="n">
        <f aca="false">'Смета Внутр'!F1428</f>
        <v>0</v>
      </c>
      <c r="G1428" s="1104" t="n">
        <f aca="false">IF(E1428&gt;F1428,E1428,F1428)</f>
        <v>75.51</v>
      </c>
      <c r="H1428" s="1104" t="n">
        <f aca="false">'Смета Внутр'!G1428</f>
        <v>0</v>
      </c>
      <c r="I1428" s="1104" t="n">
        <f aca="false">'Смета Внутр'!H1428</f>
        <v>0</v>
      </c>
      <c r="J1428" s="1109" t="n">
        <f aca="false">'Смета Внутр'!I1428</f>
        <v>0</v>
      </c>
    </row>
    <row r="1429" customFormat="false" ht="15" hidden="true" customHeight="true" outlineLevel="0" collapsed="false">
      <c r="B1429" s="1104" t="str">
        <f aca="false">'Смета Внутр'!B1429</f>
        <v>Гвозди ершоные 2,8 х 90            </v>
      </c>
      <c r="C1429" s="1104" t="str">
        <f aca="false">'Смета Внутр'!C1429</f>
        <v>кг</v>
      </c>
      <c r="D1429" s="1109" t="n">
        <f aca="false">'Смета Внутр'!D1429</f>
        <v>0</v>
      </c>
      <c r="E1429" s="1104" t="n">
        <f aca="false">'Смета Внутр'!E1429</f>
        <v>76.49</v>
      </c>
      <c r="F1429" s="1104" t="n">
        <f aca="false">'Смета Внутр'!F1429</f>
        <v>0</v>
      </c>
      <c r="G1429" s="1104" t="n">
        <f aca="false">IF(E1429&gt;F1429,E1429,F1429)</f>
        <v>76.49</v>
      </c>
      <c r="H1429" s="1104" t="n">
        <f aca="false">'Смета Внутр'!G1429</f>
        <v>0</v>
      </c>
      <c r="I1429" s="1104" t="n">
        <f aca="false">'Смета Внутр'!H1429</f>
        <v>0</v>
      </c>
      <c r="J1429" s="1109" t="n">
        <f aca="false">'Смета Внутр'!I1429</f>
        <v>0</v>
      </c>
    </row>
    <row r="1430" customFormat="false" ht="15" hidden="true" customHeight="true" outlineLevel="0" collapsed="false">
      <c r="B1430" s="1104" t="str">
        <f aca="false">'Смета Внутр'!B1430</f>
        <v>Уголок усиленный 90х70х55х2,5        </v>
      </c>
      <c r="C1430" s="1104" t="str">
        <f aca="false">'Смета Внутр'!C1430</f>
        <v>шт</v>
      </c>
      <c r="D1430" s="1109" t="n">
        <f aca="false">'Смета Внутр'!D1430</f>
        <v>0</v>
      </c>
      <c r="E1430" s="1104" t="n">
        <f aca="false">'Смета Внутр'!E1430</f>
        <v>30</v>
      </c>
      <c r="F1430" s="1104" t="n">
        <f aca="false">'Смета Внутр'!F1430</f>
        <v>0</v>
      </c>
      <c r="G1430" s="1104" t="n">
        <f aca="false">IF(E1430&gt;F1430,E1430,F1430)</f>
        <v>30</v>
      </c>
      <c r="H1430" s="1104" t="n">
        <f aca="false">'Смета Внутр'!G1430</f>
        <v>0</v>
      </c>
      <c r="I1430" s="1104" t="n">
        <f aca="false">'Смета Внутр'!H1430</f>
        <v>0</v>
      </c>
      <c r="J1430" s="1109" t="n">
        <f aca="false">'Смета Внутр'!I1430</f>
        <v>0</v>
      </c>
    </row>
    <row r="1431" customFormat="false" ht="15" hidden="true" customHeight="false" outlineLevel="0" collapsed="false">
      <c r="B1431" s="1108" t="str">
        <f aca="false">'Смета Внутр'!B1431</f>
        <v>Итого материалы</v>
      </c>
      <c r="C1431" s="1108"/>
      <c r="D1431" s="1108"/>
      <c r="E1431" s="1108"/>
      <c r="F1431" s="1108"/>
      <c r="G1431" s="1108"/>
      <c r="H1431" s="1104" t="n">
        <f aca="false">'Смета Внутр'!G1431</f>
        <v>0</v>
      </c>
      <c r="I1431" s="1104" t="n">
        <f aca="false">'Смета Внутр'!H1431</f>
        <v>0</v>
      </c>
      <c r="J1431" s="1109" t="n">
        <f aca="false">'Смета Внутр'!I1431</f>
        <v>0</v>
      </c>
    </row>
    <row r="1432" customFormat="false" ht="15" hidden="true" customHeight="true" outlineLevel="0" collapsed="false">
      <c r="B1432" s="118" t="str">
        <f aca="false">'Смета Внутр'!B1432</f>
        <v>Работы</v>
      </c>
      <c r="H1432" s="118" t="n">
        <f aca="false">'Смета Внутр'!G1432</f>
        <v>0</v>
      </c>
      <c r="I1432" s="118" t="n">
        <f aca="false">'Смета Внутр'!H1432</f>
        <v>0</v>
      </c>
      <c r="J1432" s="1102" t="n">
        <f aca="false">'Смета Внутр'!I1432</f>
        <v>0</v>
      </c>
    </row>
    <row r="1433" customFormat="false" ht="15" hidden="true" customHeight="true" outlineLevel="0" collapsed="false">
      <c r="B1433" s="1104" t="str">
        <f aca="false">'Смета Внутр'!B1433</f>
        <v>монтаж мауэрлат</v>
      </c>
      <c r="C1433" s="1104" t="str">
        <f aca="false">'Смета Внутр'!C1433</f>
        <v>м.п.</v>
      </c>
      <c r="D1433" s="1109" t="n">
        <f aca="false">'Смета Внутр'!D1433</f>
        <v>0</v>
      </c>
      <c r="E1433" s="1104" t="n">
        <f aca="false">'Смета Внутр'!E1433</f>
        <v>250</v>
      </c>
      <c r="F1433" s="1104" t="n">
        <f aca="false">'Смета Внутр'!F1433</f>
        <v>0</v>
      </c>
      <c r="G1433" s="1104" t="n">
        <f aca="false">IF(E1433&gt;F1433,E1433,F1433)</f>
        <v>250</v>
      </c>
      <c r="H1433" s="1104" t="n">
        <f aca="false">'Смета Внутр'!G1433</f>
        <v>0</v>
      </c>
      <c r="I1433" s="1104" t="n">
        <f aca="false">'Смета Внутр'!H1433</f>
        <v>0</v>
      </c>
      <c r="J1433" s="1109" t="n">
        <f aca="false">'Смета Внутр'!I1433</f>
        <v>0</v>
      </c>
    </row>
    <row r="1434" customFormat="false" ht="15" hidden="true" customHeight="true" outlineLevel="0" collapsed="false">
      <c r="B1434" s="1104" t="str">
        <f aca="false">'Смета Внутр'!B1434</f>
        <v>монтаж стропил</v>
      </c>
      <c r="C1434" s="1104" t="str">
        <f aca="false">'Смета Внутр'!C1434</f>
        <v>м2</v>
      </c>
      <c r="D1434" s="1109" t="n">
        <f aca="false">'Смета Внутр'!D1434</f>
        <v>0</v>
      </c>
      <c r="E1434" s="1104" t="n">
        <f aca="false">'Смета Внутр'!E1434</f>
        <v>450</v>
      </c>
      <c r="F1434" s="1104" t="n">
        <f aca="false">'Смета Внутр'!F1434</f>
        <v>0</v>
      </c>
      <c r="G1434" s="1104" t="n">
        <f aca="false">IF(E1434&gt;F1434,E1434,F1434)</f>
        <v>450</v>
      </c>
      <c r="H1434" s="1104" t="n">
        <f aca="false">'Смета Внутр'!G1434</f>
        <v>0</v>
      </c>
      <c r="I1434" s="1104" t="n">
        <f aca="false">'Смета Внутр'!H1434</f>
        <v>0</v>
      </c>
      <c r="J1434" s="1109" t="n">
        <f aca="false">'Смета Внутр'!I1434</f>
        <v>0</v>
      </c>
    </row>
    <row r="1435" customFormat="false" ht="15" hidden="true" customHeight="true" outlineLevel="0" collapsed="false">
      <c r="B1435" s="1104" t="str">
        <f aca="false">'Смета Внутр'!B1435</f>
        <v>обрешетка</v>
      </c>
      <c r="C1435" s="1104" t="str">
        <f aca="false">'Смета Внутр'!C1435</f>
        <v>м2</v>
      </c>
      <c r="D1435" s="1109" t="n">
        <f aca="false">'Смета Внутр'!D1435</f>
        <v>0</v>
      </c>
      <c r="E1435" s="1104" t="n">
        <f aca="false">'Смета Внутр'!E1435</f>
        <v>100</v>
      </c>
      <c r="F1435" s="1104" t="n">
        <f aca="false">'Смета Внутр'!F1435</f>
        <v>0</v>
      </c>
      <c r="G1435" s="1104" t="n">
        <f aca="false">IF(E1435&gt;F1435,E1435,F1435)</f>
        <v>100</v>
      </c>
      <c r="H1435" s="1104" t="n">
        <f aca="false">'Смета Внутр'!G1435</f>
        <v>0</v>
      </c>
      <c r="I1435" s="1104" t="n">
        <f aca="false">'Смета Внутр'!H1435</f>
        <v>0</v>
      </c>
      <c r="J1435" s="1109" t="n">
        <f aca="false">'Смета Внутр'!I1435</f>
        <v>0</v>
      </c>
    </row>
    <row r="1436" customFormat="false" ht="15" hidden="true" customHeight="true" outlineLevel="0" collapsed="false">
      <c r="B1436" s="1104" t="str">
        <f aca="false">'Смета Внутр'!B1436</f>
        <v>контробеш</v>
      </c>
      <c r="C1436" s="1104" t="str">
        <f aca="false">'Смета Внутр'!C1436</f>
        <v>м2</v>
      </c>
      <c r="D1436" s="1109" t="n">
        <f aca="false">'Смета Внутр'!D1436</f>
        <v>0</v>
      </c>
      <c r="E1436" s="1104" t="n">
        <f aca="false">'Смета Внутр'!E1436</f>
        <v>100</v>
      </c>
      <c r="F1436" s="1104" t="n">
        <f aca="false">'Смета Внутр'!F1436</f>
        <v>0</v>
      </c>
      <c r="G1436" s="1104" t="n">
        <f aca="false">IF(E1436&gt;F1436,E1436,F1436)</f>
        <v>100</v>
      </c>
      <c r="H1436" s="1104" t="n">
        <f aca="false">'Смета Внутр'!G1436</f>
        <v>0</v>
      </c>
      <c r="I1436" s="1104" t="n">
        <f aca="false">'Смета Внутр'!H1436</f>
        <v>0</v>
      </c>
      <c r="J1436" s="1109" t="n">
        <f aca="false">'Смета Внутр'!I1436</f>
        <v>0</v>
      </c>
    </row>
    <row r="1437" customFormat="false" ht="15" hidden="true" customHeight="true" outlineLevel="0" collapsed="false">
      <c r="B1437" s="1104" t="str">
        <f aca="false">'Смета Внутр'!B1437</f>
        <v>мембрана</v>
      </c>
      <c r="C1437" s="1104" t="str">
        <f aca="false">'Смета Внутр'!C1437</f>
        <v>м2</v>
      </c>
      <c r="D1437" s="1109" t="n">
        <f aca="false">'Смета Внутр'!D1437</f>
        <v>0</v>
      </c>
      <c r="E1437" s="1104" t="n">
        <f aca="false">'Смета Внутр'!E1437</f>
        <v>100</v>
      </c>
      <c r="F1437" s="1104" t="n">
        <f aca="false">'Смета Внутр'!F1437</f>
        <v>0</v>
      </c>
      <c r="G1437" s="1104" t="n">
        <f aca="false">IF(E1437&gt;F1437,E1437,F1437)</f>
        <v>100</v>
      </c>
      <c r="H1437" s="1104" t="n">
        <f aca="false">'Смета Внутр'!G1437</f>
        <v>0</v>
      </c>
      <c r="I1437" s="1104" t="n">
        <f aca="false">'Смета Внутр'!H1437</f>
        <v>0</v>
      </c>
      <c r="J1437" s="1109" t="n">
        <f aca="false">'Смета Внутр'!I1437</f>
        <v>0</v>
      </c>
    </row>
    <row r="1438" customFormat="false" ht="15" hidden="true" customHeight="true" outlineLevel="0" collapsed="false">
      <c r="B1438" s="1104" t="str">
        <f aca="false">'Смета Внутр'!B1438</f>
        <v>пароизоляц</v>
      </c>
      <c r="C1438" s="1104" t="str">
        <f aca="false">'Смета Внутр'!C1438</f>
        <v>м2</v>
      </c>
      <c r="D1438" s="1109" t="n">
        <f aca="false">'Смета Внутр'!D1438</f>
        <v>0</v>
      </c>
      <c r="E1438" s="1104" t="n">
        <f aca="false">'Смета Внутр'!E1438</f>
        <v>100</v>
      </c>
      <c r="F1438" s="1104" t="n">
        <f aca="false">'Смета Внутр'!F1438</f>
        <v>0</v>
      </c>
      <c r="G1438" s="1104" t="n">
        <f aca="false">IF(E1438&gt;F1438,E1438,F1438)</f>
        <v>100</v>
      </c>
      <c r="H1438" s="1104" t="n">
        <f aca="false">'Смета Внутр'!G1438</f>
        <v>0</v>
      </c>
      <c r="I1438" s="1104" t="n">
        <f aca="false">'Смета Внутр'!H1438</f>
        <v>0</v>
      </c>
      <c r="J1438" s="1109" t="n">
        <f aca="false">'Смета Внутр'!I1438</f>
        <v>0</v>
      </c>
    </row>
    <row r="1439" customFormat="false" ht="15" hidden="true" customHeight="true" outlineLevel="0" collapsed="false">
      <c r="B1439" s="1104" t="str">
        <f aca="false">'Смета Внутр'!B1439</f>
        <v>утеплитель</v>
      </c>
      <c r="C1439" s="1104" t="str">
        <f aca="false">'Смета Внутр'!C1439</f>
        <v>м2</v>
      </c>
      <c r="D1439" s="1109" t="n">
        <f aca="false">'Смета Внутр'!D1439</f>
        <v>0</v>
      </c>
      <c r="E1439" s="1104" t="n">
        <f aca="false">'Смета Внутр'!E1439</f>
        <v>200</v>
      </c>
      <c r="F1439" s="1104" t="n">
        <f aca="false">'Смета Внутр'!F1439</f>
        <v>0</v>
      </c>
      <c r="G1439" s="1104" t="n">
        <f aca="false">IF(E1439&gt;F1439,E1439,F1439)</f>
        <v>200</v>
      </c>
      <c r="H1439" s="1104" t="n">
        <f aca="false">'Смета Внутр'!G1439</f>
        <v>0</v>
      </c>
      <c r="I1439" s="1104" t="n">
        <f aca="false">'Смета Внутр'!H1439</f>
        <v>0</v>
      </c>
      <c r="J1439" s="1109" t="n">
        <f aca="false">'Смета Внутр'!I1439</f>
        <v>0</v>
      </c>
    </row>
    <row r="1440" customFormat="false" ht="15" hidden="true" customHeight="true" outlineLevel="0" collapsed="false">
      <c r="B1440" s="1104" t="str">
        <f aca="false">'Смета Внутр'!B1440</f>
        <v>Монтаж металлочерепицы</v>
      </c>
      <c r="C1440" s="1104" t="str">
        <f aca="false">'Смета Внутр'!C1440</f>
        <v>м2</v>
      </c>
      <c r="D1440" s="1109" t="n">
        <f aca="false">'Смета Внутр'!D1440</f>
        <v>0</v>
      </c>
      <c r="E1440" s="1104" t="n">
        <f aca="false">'Смета Внутр'!E1440</f>
        <v>300</v>
      </c>
      <c r="F1440" s="1104" t="n">
        <f aca="false">'Смета Внутр'!F1440</f>
        <v>0</v>
      </c>
      <c r="G1440" s="1104" t="n">
        <f aca="false">IF(E1440&gt;F1440,E1440,F1440)</f>
        <v>300</v>
      </c>
      <c r="H1440" s="1104" t="n">
        <f aca="false">'Смета Внутр'!G1440</f>
        <v>0</v>
      </c>
      <c r="I1440" s="1104" t="n">
        <f aca="false">'Смета Внутр'!H1440</f>
        <v>0</v>
      </c>
      <c r="J1440" s="1109" t="n">
        <f aca="false">'Смета Внутр'!I1440</f>
        <v>0</v>
      </c>
    </row>
    <row r="1441" customFormat="false" ht="15" hidden="true" customHeight="true" outlineLevel="0" collapsed="false">
      <c r="B1441" s="1104" t="str">
        <f aca="false">'Смета Внутр'!B1441</f>
        <v>карнизная планка</v>
      </c>
      <c r="C1441" s="1104" t="str">
        <f aca="false">'Смета Внутр'!C1441</f>
        <v>м2</v>
      </c>
      <c r="D1441" s="1109" t="n">
        <f aca="false">'Смета Внутр'!D1441</f>
        <v>0</v>
      </c>
      <c r="E1441" s="1104" t="n">
        <f aca="false">'Смета Внутр'!E1441</f>
        <v>100</v>
      </c>
      <c r="F1441" s="1104" t="n">
        <f aca="false">'Смета Внутр'!F1441</f>
        <v>0</v>
      </c>
      <c r="G1441" s="1104" t="n">
        <f aca="false">IF(E1441&gt;F1441,E1441,F1441)</f>
        <v>100</v>
      </c>
      <c r="H1441" s="1104" t="n">
        <f aca="false">'Смета Внутр'!G1441</f>
        <v>0</v>
      </c>
      <c r="I1441" s="1104" t="n">
        <f aca="false">'Смета Внутр'!H1441</f>
        <v>0</v>
      </c>
      <c r="J1441" s="1109" t="n">
        <f aca="false">'Смета Внутр'!I1441</f>
        <v>0</v>
      </c>
    </row>
    <row r="1442" customFormat="false" ht="15" hidden="true" customHeight="true" outlineLevel="0" collapsed="false">
      <c r="B1442" s="1104" t="str">
        <f aca="false">'Смета Внутр'!B1442</f>
        <v>торцевая планка</v>
      </c>
      <c r="C1442" s="1104" t="str">
        <f aca="false">'Смета Внутр'!C1442</f>
        <v>м2</v>
      </c>
      <c r="D1442" s="1109" t="n">
        <f aca="false">'Смета Внутр'!D1442</f>
        <v>0</v>
      </c>
      <c r="E1442" s="1104" t="n">
        <f aca="false">'Смета Внутр'!E1442</f>
        <v>100</v>
      </c>
      <c r="F1442" s="1104" t="n">
        <f aca="false">'Смета Внутр'!F1442</f>
        <v>0</v>
      </c>
      <c r="G1442" s="1104" t="n">
        <f aca="false">IF(E1442&gt;F1442,E1442,F1442)</f>
        <v>100</v>
      </c>
      <c r="H1442" s="1104" t="n">
        <f aca="false">'Смета Внутр'!G1442</f>
        <v>0</v>
      </c>
      <c r="I1442" s="1104" t="n">
        <f aca="false">'Смета Внутр'!H1442</f>
        <v>0</v>
      </c>
      <c r="J1442" s="1109" t="n">
        <f aca="false">'Смета Внутр'!I1442</f>
        <v>0</v>
      </c>
    </row>
    <row r="1443" customFormat="false" ht="15" hidden="true" customHeight="true" outlineLevel="0" collapsed="false">
      <c r="B1443" s="1104" t="str">
        <f aca="false">'Смета Внутр'!B1443</f>
        <v>желоб водосточный</v>
      </c>
      <c r="C1443" s="1104" t="str">
        <f aca="false">'Смета Внутр'!C1443</f>
        <v>м.п.</v>
      </c>
      <c r="D1443" s="1109" t="n">
        <f aca="false">'Смета Внутр'!D1443</f>
        <v>0</v>
      </c>
      <c r="E1443" s="1104" t="n">
        <f aca="false">'Смета Внутр'!E1443</f>
        <v>300</v>
      </c>
      <c r="F1443" s="1104" t="n">
        <f aca="false">'Смета Внутр'!F1443</f>
        <v>0</v>
      </c>
      <c r="G1443" s="1104" t="n">
        <f aca="false">IF(E1443&gt;F1443,E1443,F1443)</f>
        <v>300</v>
      </c>
      <c r="H1443" s="1104" t="n">
        <f aca="false">'Смета Внутр'!G1443</f>
        <v>0</v>
      </c>
      <c r="I1443" s="1104" t="n">
        <f aca="false">'Смета Внутр'!H1443</f>
        <v>0</v>
      </c>
      <c r="J1443" s="1109" t="n">
        <f aca="false">'Смета Внутр'!I1443</f>
        <v>0</v>
      </c>
    </row>
    <row r="1444" customFormat="false" ht="15" hidden="true" customHeight="true" outlineLevel="0" collapsed="false">
      <c r="B1444" s="1104" t="str">
        <f aca="false">'Смета Внутр'!B1444</f>
        <v>труба водосточная</v>
      </c>
      <c r="C1444" s="1104" t="str">
        <f aca="false">'Смета Внутр'!C1444</f>
        <v>м.п.</v>
      </c>
      <c r="D1444" s="1109" t="n">
        <f aca="false">'Смета Внутр'!D1444</f>
        <v>0</v>
      </c>
      <c r="E1444" s="1104" t="n">
        <f aca="false">'Смета Внутр'!E1444</f>
        <v>300</v>
      </c>
      <c r="F1444" s="1104" t="n">
        <f aca="false">'Смета Внутр'!F1444</f>
        <v>0</v>
      </c>
      <c r="G1444" s="1104" t="n">
        <f aca="false">IF(E1444&gt;F1444,E1444,F1444)</f>
        <v>300</v>
      </c>
      <c r="H1444" s="1104" t="n">
        <f aca="false">'Смета Внутр'!G1444</f>
        <v>0</v>
      </c>
      <c r="I1444" s="1104" t="n">
        <f aca="false">'Смета Внутр'!H1444</f>
        <v>0</v>
      </c>
      <c r="J1444" s="1109" t="n">
        <f aca="false">'Смета Внутр'!I1444</f>
        <v>0</v>
      </c>
    </row>
    <row r="1445" customFormat="false" ht="15" hidden="true" customHeight="true" outlineLevel="0" collapsed="false">
      <c r="B1445" s="1104" t="str">
        <f aca="false">'Смета Внутр'!B1445</f>
        <v>ендова внутр/наружн</v>
      </c>
      <c r="C1445" s="1104" t="str">
        <f aca="false">'Смета Внутр'!C1445</f>
        <v>м.п.</v>
      </c>
      <c r="D1445" s="1109" t="n">
        <f aca="false">'Смета Внутр'!D1445</f>
        <v>0</v>
      </c>
      <c r="E1445" s="1104" t="n">
        <f aca="false">'Смета Внутр'!E1445</f>
        <v>300</v>
      </c>
      <c r="F1445" s="1104" t="n">
        <f aca="false">'Смета Внутр'!F1445</f>
        <v>0</v>
      </c>
      <c r="G1445" s="1104" t="n">
        <f aca="false">IF(E1445&gt;F1445,E1445,F1445)</f>
        <v>300</v>
      </c>
      <c r="H1445" s="1104" t="n">
        <f aca="false">'Смета Внутр'!G1445</f>
        <v>0</v>
      </c>
      <c r="I1445" s="1104" t="n">
        <f aca="false">'Смета Внутр'!H1445</f>
        <v>0</v>
      </c>
      <c r="J1445" s="1109" t="n">
        <f aca="false">'Смета Внутр'!I1445</f>
        <v>0</v>
      </c>
    </row>
    <row r="1446" customFormat="false" ht="15" hidden="true" customHeight="true" outlineLevel="0" collapsed="false">
      <c r="B1446" s="1104" t="str">
        <f aca="false">'Смета Внутр'!B1446</f>
        <v>Монтаж ондулина</v>
      </c>
      <c r="C1446" s="1104" t="str">
        <f aca="false">'Смета Внутр'!C1446</f>
        <v>м2</v>
      </c>
      <c r="D1446" s="1109" t="n">
        <f aca="false">'Смета Внутр'!D1446</f>
        <v>0</v>
      </c>
      <c r="E1446" s="1104" t="n">
        <f aca="false">'Смета Внутр'!E1446</f>
        <v>300</v>
      </c>
      <c r="F1446" s="1104" t="n">
        <f aca="false">'Смета Внутр'!F1446</f>
        <v>0</v>
      </c>
      <c r="G1446" s="1104" t="n">
        <f aca="false">IF(E1446&gt;F1446,E1446,F1446)</f>
        <v>300</v>
      </c>
      <c r="H1446" s="1104" t="n">
        <f aca="false">'Смета Внутр'!G1446</f>
        <v>0</v>
      </c>
      <c r="I1446" s="1104" t="n">
        <f aca="false">'Смета Внутр'!H1446</f>
        <v>0</v>
      </c>
      <c r="J1446" s="1109" t="n">
        <f aca="false">'Смета Внутр'!I1446</f>
        <v>0</v>
      </c>
    </row>
    <row r="1447" customFormat="false" ht="15" hidden="true" customHeight="true" outlineLevel="0" collapsed="false">
      <c r="B1447" s="1104" t="str">
        <f aca="false">'Смета Внутр'!B1447</f>
        <v>Монтаж фанеры/osb</v>
      </c>
      <c r="C1447" s="1104" t="str">
        <f aca="false">'Смета Внутр'!C1447</f>
        <v>м2</v>
      </c>
      <c r="D1447" s="1109" t="n">
        <f aca="false">'Смета Внутр'!D1447</f>
        <v>0</v>
      </c>
      <c r="E1447" s="1104" t="n">
        <f aca="false">'Смета Внутр'!E1447</f>
        <v>200</v>
      </c>
      <c r="F1447" s="1104" t="n">
        <f aca="false">'Смета Внутр'!F1447</f>
        <v>0</v>
      </c>
      <c r="G1447" s="1104" t="n">
        <f aca="false">IF(E1447&gt;F1447,E1447,F1447)</f>
        <v>200</v>
      </c>
      <c r="H1447" s="1104" t="n">
        <f aca="false">'Смета Внутр'!G1447</f>
        <v>0</v>
      </c>
      <c r="I1447" s="1104" t="n">
        <f aca="false">'Смета Внутр'!H1447</f>
        <v>0</v>
      </c>
      <c r="J1447" s="1109" t="n">
        <f aca="false">'Смета Внутр'!I1447</f>
        <v>0</v>
      </c>
    </row>
    <row r="1448" customFormat="false" ht="15" hidden="true" customHeight="true" outlineLevel="0" collapsed="false">
      <c r="B1448" s="1104" t="str">
        <f aca="false">'Смета Внутр'!B1448</f>
        <v>монтаж подкладочного ковра</v>
      </c>
      <c r="C1448" s="1104" t="str">
        <f aca="false">'Смета Внутр'!C1448</f>
        <v>м2</v>
      </c>
      <c r="D1448" s="1109" t="n">
        <f aca="false">'Смета Внутр'!D1448</f>
        <v>0</v>
      </c>
      <c r="E1448" s="1104" t="n">
        <f aca="false">'Смета Внутр'!E1448</f>
        <v>150</v>
      </c>
      <c r="F1448" s="1104" t="n">
        <f aca="false">'Смета Внутр'!F1448</f>
        <v>0</v>
      </c>
      <c r="G1448" s="1104" t="n">
        <f aca="false">IF(E1448&gt;F1448,E1448,F1448)</f>
        <v>150</v>
      </c>
      <c r="H1448" s="1104" t="n">
        <f aca="false">'Смета Внутр'!G1448</f>
        <v>0</v>
      </c>
      <c r="I1448" s="1104" t="n">
        <f aca="false">'Смета Внутр'!H1448</f>
        <v>0</v>
      </c>
      <c r="J1448" s="1109" t="n">
        <f aca="false">'Смета Внутр'!I1448</f>
        <v>0</v>
      </c>
    </row>
    <row r="1449" customFormat="false" ht="15" hidden="true" customHeight="true" outlineLevel="0" collapsed="false">
      <c r="B1449" s="1104" t="str">
        <f aca="false">'Смета Внутр'!B1449</f>
        <v>Монтаж мягкой кровли</v>
      </c>
      <c r="C1449" s="1104" t="str">
        <f aca="false">'Смета Внутр'!C1449</f>
        <v>м2</v>
      </c>
      <c r="D1449" s="1109" t="n">
        <f aca="false">'Смета Внутр'!D1449</f>
        <v>0</v>
      </c>
      <c r="E1449" s="1104" t="n">
        <f aca="false">'Смета Внутр'!E1449</f>
        <v>350</v>
      </c>
      <c r="F1449" s="1104" t="n">
        <f aca="false">'Смета Внутр'!F1449</f>
        <v>0</v>
      </c>
      <c r="G1449" s="1104" t="n">
        <f aca="false">IF(E1449&gt;F1449,E1449,F1449)</f>
        <v>350</v>
      </c>
      <c r="H1449" s="1104" t="n">
        <f aca="false">'Смета Внутр'!G1449</f>
        <v>0</v>
      </c>
      <c r="I1449" s="1104" t="n">
        <f aca="false">'Смета Внутр'!H1449</f>
        <v>0</v>
      </c>
      <c r="J1449" s="1109" t="n">
        <f aca="false">'Смета Внутр'!I1449</f>
        <v>0</v>
      </c>
    </row>
    <row r="1450" customFormat="false" ht="15" hidden="true" customHeight="true" outlineLevel="0" collapsed="false">
      <c r="B1450" s="1108" t="str">
        <f aca="false">'Смета Внутр'!B1450</f>
        <v>Итого работы</v>
      </c>
      <c r="C1450" s="1108"/>
      <c r="D1450" s="1108"/>
      <c r="E1450" s="1108"/>
      <c r="F1450" s="1108"/>
      <c r="G1450" s="1108"/>
      <c r="H1450" s="1104" t="n">
        <f aca="false">'Смета Внутр'!G1450</f>
        <v>0</v>
      </c>
      <c r="I1450" s="1104" t="n">
        <f aca="false">'Смета Внутр'!H1450</f>
        <v>0</v>
      </c>
      <c r="J1450" s="1109" t="n">
        <f aca="false">'Смета Внутр'!I1450</f>
        <v>0</v>
      </c>
    </row>
    <row r="1451" customFormat="false" ht="15" hidden="true" customHeight="true" outlineLevel="0" collapsed="false">
      <c r="B1451" s="1111" t="str">
        <f aca="false">'Смета Внутр'!B1451</f>
        <v>Кровля на Эркере</v>
      </c>
      <c r="C1451" s="1111"/>
      <c r="D1451" s="1111"/>
      <c r="H1451" s="118" t="n">
        <f aca="false">'Смета Внутр'!G1451</f>
        <v>0</v>
      </c>
      <c r="I1451" s="118" t="n">
        <f aca="false">'Смета Внутр'!H1451</f>
        <v>0</v>
      </c>
      <c r="J1451" s="1102" t="n">
        <f aca="false">'Смета Внутр'!I1451</f>
        <v>0</v>
      </c>
    </row>
    <row r="1452" customFormat="false" ht="15" hidden="true" customHeight="true" outlineLevel="0" collapsed="false">
      <c r="B1452" s="118" t="str">
        <f aca="false">'Смета Внутр'!B1452</f>
        <v>Материалы</v>
      </c>
      <c r="H1452" s="118" t="n">
        <f aca="false">'Смета Внутр'!G1452</f>
        <v>0</v>
      </c>
      <c r="I1452" s="118" t="n">
        <f aca="false">'Смета Внутр'!H1452</f>
        <v>0</v>
      </c>
      <c r="J1452" s="1102" t="n">
        <f aca="false">'Смета Внутр'!I1452</f>
        <v>0</v>
      </c>
    </row>
    <row r="1453" customFormat="false" ht="15" hidden="true" customHeight="true" outlineLevel="0" collapsed="false">
      <c r="B1453" s="1104" t="str">
        <f aca="false">'Смета Внутр'!B1453</f>
        <v>нет</v>
      </c>
      <c r="C1453" s="1104" t="str">
        <f aca="false">'Смета Внутр'!C1453</f>
        <v>м3</v>
      </c>
      <c r="D1453" s="1109" t="n">
        <f aca="false">'Смета Внутр'!D1453</f>
        <v>0</v>
      </c>
      <c r="E1453" s="1104" t="n">
        <f aca="false">'Смета Внутр'!E1453</f>
        <v>0</v>
      </c>
      <c r="F1453" s="1104" t="n">
        <f aca="false">'Смета Внутр'!F1453</f>
        <v>0</v>
      </c>
      <c r="G1453" s="1104" t="n">
        <f aca="false">IF(E1453&gt;F1453,E1453,F1453)</f>
        <v>0</v>
      </c>
      <c r="H1453" s="1104" t="n">
        <f aca="false">'Смета Внутр'!G1453</f>
        <v>0</v>
      </c>
      <c r="I1453" s="1104" t="n">
        <f aca="false">'Смета Внутр'!H1453</f>
        <v>0</v>
      </c>
      <c r="J1453" s="1109" t="n">
        <f aca="false">'Смета Внутр'!I1453</f>
        <v>0</v>
      </c>
    </row>
    <row r="1454" customFormat="false" ht="15" hidden="true" customHeight="true" outlineLevel="0" collapsed="false">
      <c r="B1454" s="1104" t="str">
        <f aca="false">'Смета Внутр'!B1454</f>
        <v>Болты анкерные с гайкой 12,0 х 280          </v>
      </c>
      <c r="C1454" s="1104" t="str">
        <f aca="false">'Смета Внутр'!C1454</f>
        <v>шт</v>
      </c>
      <c r="D1454" s="1109" t="n">
        <f aca="false">'Смета Внутр'!D1454</f>
        <v>0</v>
      </c>
      <c r="E1454" s="1104" t="n">
        <f aca="false">'Смета Внутр'!E1454</f>
        <v>27.1</v>
      </c>
      <c r="F1454" s="1104" t="n">
        <f aca="false">'Смета Внутр'!F1454</f>
        <v>0</v>
      </c>
      <c r="G1454" s="1104" t="n">
        <f aca="false">IF(E1454&gt;F1454,E1454,F1454)</f>
        <v>27.1</v>
      </c>
      <c r="H1454" s="1104" t="n">
        <f aca="false">'Смета Внутр'!G1454</f>
        <v>0</v>
      </c>
      <c r="I1454" s="1104" t="n">
        <f aca="false">'Смета Внутр'!H1454</f>
        <v>0</v>
      </c>
      <c r="J1454" s="1109" t="n">
        <f aca="false">'Смета Внутр'!I1454</f>
        <v>0</v>
      </c>
    </row>
    <row r="1455" customFormat="false" ht="15" hidden="true" customHeight="true" outlineLevel="0" collapsed="false">
      <c r="B1455" s="1104" t="str">
        <f aca="false">'Смета Внутр'!B1455</f>
        <v>Доска сырая, 150*50мм</v>
      </c>
      <c r="C1455" s="1104" t="str">
        <f aca="false">'Смета Внутр'!C1455</f>
        <v>м3</v>
      </c>
      <c r="D1455" s="1109" t="n">
        <f aca="false">'Смета Внутр'!D1455</f>
        <v>0</v>
      </c>
      <c r="E1455" s="1104" t="n">
        <f aca="false">'Смета Внутр'!E1455</f>
        <v>6500</v>
      </c>
      <c r="F1455" s="1104" t="n">
        <f aca="false">'Смета Внутр'!F1455</f>
        <v>0</v>
      </c>
      <c r="G1455" s="1104" t="n">
        <f aca="false">IF(E1455&gt;F1455,E1455,F1455)</f>
        <v>6500</v>
      </c>
      <c r="H1455" s="1104" t="n">
        <f aca="false">'Смета Внутр'!G1455</f>
        <v>0</v>
      </c>
      <c r="I1455" s="1104" t="n">
        <f aca="false">'Смета Внутр'!H1455</f>
        <v>0</v>
      </c>
      <c r="J1455" s="1109" t="n">
        <f aca="false">'Смета Внутр'!I1455</f>
        <v>0</v>
      </c>
    </row>
    <row r="1456" customFormat="false" ht="15" hidden="true" customHeight="true" outlineLevel="0" collapsed="false">
      <c r="B1456" s="1104" t="str">
        <f aca="false">'Смета Внутр'!B1456</f>
        <v>Сосна влаж,100*25мм</v>
      </c>
      <c r="C1456" s="1104" t="str">
        <f aca="false">'Смета Внутр'!C1456</f>
        <v>м3</v>
      </c>
      <c r="D1456" s="1109" t="n">
        <f aca="false">'Смета Внутр'!D1456</f>
        <v>0</v>
      </c>
      <c r="E1456" s="1104" t="n">
        <f aca="false">'Смета Внутр'!E1456</f>
        <v>6500</v>
      </c>
      <c r="F1456" s="1104" t="n">
        <f aca="false">'Смета Внутр'!F1456</f>
        <v>0</v>
      </c>
      <c r="G1456" s="1104" t="n">
        <f aca="false">IF(E1456&gt;F1456,E1456,F1456)</f>
        <v>6500</v>
      </c>
      <c r="H1456" s="1104" t="n">
        <f aca="false">'Смета Внутр'!G1456</f>
        <v>0</v>
      </c>
      <c r="I1456" s="1104" t="n">
        <f aca="false">'Смета Внутр'!H1456</f>
        <v>0</v>
      </c>
      <c r="J1456" s="1109" t="n">
        <f aca="false">'Смета Внутр'!I1456</f>
        <v>0</v>
      </c>
    </row>
    <row r="1457" customFormat="false" ht="15" hidden="true" customHeight="true" outlineLevel="0" collapsed="false">
      <c r="B1457" s="1104" t="str">
        <f aca="false">'Смета Внутр'!B1457</f>
        <v>Доска сухая, калибр., 35*45мм</v>
      </c>
      <c r="C1457" s="1104" t="str">
        <f aca="false">'Смета Внутр'!C1457</f>
        <v>шт</v>
      </c>
      <c r="D1457" s="1109" t="n">
        <f aca="false">'Смета Внутр'!D1457</f>
        <v>0</v>
      </c>
      <c r="E1457" s="1104" t="n">
        <f aca="false">'Смета Внутр'!E1457</f>
        <v>12500</v>
      </c>
      <c r="F1457" s="1104" t="n">
        <f aca="false">'Смета Внутр'!F1457</f>
        <v>0</v>
      </c>
      <c r="G1457" s="1104" t="n">
        <f aca="false">IF(E1457&gt;F1457,E1457,F1457)</f>
        <v>12500</v>
      </c>
      <c r="H1457" s="1104" t="n">
        <f aca="false">'Смета Внутр'!G1457</f>
        <v>0</v>
      </c>
      <c r="I1457" s="1104" t="n">
        <f aca="false">'Смета Внутр'!H1457</f>
        <v>0</v>
      </c>
      <c r="J1457" s="1109" t="n">
        <f aca="false">'Смета Внутр'!I1457</f>
        <v>0</v>
      </c>
    </row>
    <row r="1458" customFormat="false" ht="15" hidden="true" customHeight="true" outlineLevel="0" collapsed="false">
      <c r="B1458" s="1104" t="str">
        <f aca="false">'Смета Внутр'!B1458</f>
        <v>нет ветроизоляции</v>
      </c>
      <c r="C1458" s="1104" t="str">
        <f aca="false">'Смета Внутр'!C1458</f>
        <v>м2</v>
      </c>
      <c r="D1458" s="1109" t="n">
        <f aca="false">'Смета Внутр'!D1458</f>
        <v>0</v>
      </c>
      <c r="E1458" s="1104" t="n">
        <f aca="false">'Смета Внутр'!E1458</f>
        <v>0</v>
      </c>
      <c r="F1458" s="1104" t="n">
        <f aca="false">'Смета Внутр'!F1458</f>
        <v>0</v>
      </c>
      <c r="G1458" s="1104" t="n">
        <f aca="false">IF(E1458&gt;F1458,E1458,F1458)</f>
        <v>0</v>
      </c>
      <c r="H1458" s="1104" t="n">
        <f aca="false">'Смета Внутр'!G1458</f>
        <v>0</v>
      </c>
      <c r="I1458" s="1104" t="n">
        <f aca="false">'Смета Внутр'!H1458</f>
        <v>0</v>
      </c>
      <c r="J1458" s="1109" t="n">
        <f aca="false">'Смета Внутр'!I1458</f>
        <v>0</v>
      </c>
    </row>
    <row r="1459" customFormat="false" ht="15" hidden="true" customHeight="true" outlineLevel="0" collapsed="false">
      <c r="B1459" s="1104" t="str">
        <f aca="false">'Смета Внутр'!B1459</f>
        <v>нет пароизоляции</v>
      </c>
      <c r="C1459" s="1104" t="str">
        <f aca="false">'Смета Внутр'!C1459</f>
        <v>м2</v>
      </c>
      <c r="D1459" s="1109" t="n">
        <f aca="false">'Смета Внутр'!D1459</f>
        <v>0</v>
      </c>
      <c r="E1459" s="1104" t="n">
        <f aca="false">'Смета Внутр'!E1459</f>
        <v>0</v>
      </c>
      <c r="F1459" s="1104" t="n">
        <f aca="false">'Смета Внутр'!F1459</f>
        <v>0</v>
      </c>
      <c r="G1459" s="1104" t="n">
        <f aca="false">IF(E1459&gt;F1459,E1459,F1459)</f>
        <v>0</v>
      </c>
      <c r="H1459" s="1104" t="n">
        <f aca="false">'Смета Внутр'!G1459</f>
        <v>0</v>
      </c>
      <c r="I1459" s="1104" t="n">
        <f aca="false">'Смета Внутр'!H1459</f>
        <v>0</v>
      </c>
      <c r="J1459" s="1109" t="n">
        <f aca="false">'Смета Внутр'!I1459</f>
        <v>0</v>
      </c>
    </row>
    <row r="1460" customFormat="false" ht="15" hidden="true" customHeight="true" outlineLevel="0" collapsed="false">
      <c r="B1460" s="1104" t="str">
        <f aca="false">'Смета Внутр'!B1460</f>
        <v>Плитный,28кг/м3, технониколь, 100мм</v>
      </c>
      <c r="C1460" s="1104" t="str">
        <f aca="false">'Смета Внутр'!C1460</f>
        <v>м3</v>
      </c>
      <c r="D1460" s="1109" t="n">
        <f aca="false">'Смета Внутр'!D1460</f>
        <v>1.32975746684072</v>
      </c>
      <c r="E1460" s="1104" t="n">
        <f aca="false">'Смета Внутр'!E1460</f>
        <v>1700</v>
      </c>
      <c r="F1460" s="1104" t="n">
        <f aca="false">'Смета Внутр'!F1460</f>
        <v>0</v>
      </c>
      <c r="G1460" s="1104" t="n">
        <f aca="false">IF(E1460&gt;F1460,E1460,F1460)</f>
        <v>1700</v>
      </c>
      <c r="H1460" s="1104" t="n">
        <f aca="false">'Смета Внутр'!G1460</f>
        <v>2260.58769362923</v>
      </c>
      <c r="I1460" s="1104" t="n">
        <f aca="false">'Смета Внутр'!H1460</f>
        <v>0</v>
      </c>
      <c r="J1460" s="1109" t="n">
        <f aca="false">'Смета Внутр'!I1460</f>
        <v>0</v>
      </c>
    </row>
    <row r="1461" customFormat="false" ht="15" hidden="true" customHeight="true" outlineLevel="0" collapsed="false">
      <c r="B1461" s="1104" t="str">
        <f aca="false">'Смета Внутр'!B1461</f>
        <v>металлочерепица</v>
      </c>
      <c r="C1461" s="1104" t="str">
        <f aca="false">'Смета Внутр'!C1461</f>
        <v>м2</v>
      </c>
      <c r="D1461" s="1109" t="n">
        <f aca="false">'Смета Внутр'!D1461</f>
        <v>0</v>
      </c>
      <c r="E1461" s="1104" t="n">
        <f aca="false">'Смета Внутр'!E1461</f>
        <v>250</v>
      </c>
      <c r="F1461" s="1104" t="n">
        <f aca="false">'Смета Внутр'!F1461</f>
        <v>0</v>
      </c>
      <c r="G1461" s="1104" t="n">
        <f aca="false">IF(E1461&gt;F1461,E1461,F1461)</f>
        <v>250</v>
      </c>
      <c r="H1461" s="1104" t="n">
        <f aca="false">'Смета Внутр'!G1461</f>
        <v>0</v>
      </c>
      <c r="I1461" s="1104" t="n">
        <f aca="false">'Смета Внутр'!H1461</f>
        <v>0</v>
      </c>
      <c r="J1461" s="1109" t="n">
        <f aca="false">'Смета Внутр'!I1461</f>
        <v>0</v>
      </c>
    </row>
    <row r="1462" customFormat="false" ht="15" hidden="true" customHeight="true" outlineLevel="0" collapsed="false">
      <c r="B1462" s="1104" t="str">
        <f aca="false">'Смета Внутр'!B1462</f>
        <v>Карнизная планка</v>
      </c>
      <c r="C1462" s="1104" t="str">
        <f aca="false">'Смета Внутр'!C1462</f>
        <v>м.п.</v>
      </c>
      <c r="D1462" s="1109" t="n">
        <f aca="false">'Смета Внутр'!D1462</f>
        <v>0</v>
      </c>
      <c r="E1462" s="1104" t="n">
        <f aca="false">'Смета Внутр'!E1462</f>
        <v>200</v>
      </c>
      <c r="F1462" s="1104" t="n">
        <f aca="false">'Смета Внутр'!F1462</f>
        <v>0</v>
      </c>
      <c r="G1462" s="1104" t="n">
        <f aca="false">IF(E1462&gt;F1462,E1462,F1462)</f>
        <v>200</v>
      </c>
      <c r="H1462" s="1104" t="n">
        <f aca="false">'Смета Внутр'!G1462</f>
        <v>0</v>
      </c>
      <c r="I1462" s="1104" t="n">
        <f aca="false">'Смета Внутр'!H1462</f>
        <v>0</v>
      </c>
      <c r="J1462" s="1109" t="n">
        <f aca="false">'Смета Внутр'!I1462</f>
        <v>0</v>
      </c>
    </row>
    <row r="1463" customFormat="false" ht="15" hidden="true" customHeight="true" outlineLevel="0" collapsed="false">
      <c r="B1463" s="1104" t="str">
        <f aca="false">'Смета Внутр'!B1463</f>
        <v>Конек</v>
      </c>
      <c r="C1463" s="1104" t="str">
        <f aca="false">'Смета Внутр'!C1463</f>
        <v>м.п.</v>
      </c>
      <c r="D1463" s="1109" t="n">
        <f aca="false">'Смета Внутр'!D1463</f>
        <v>0</v>
      </c>
      <c r="E1463" s="1104" t="n">
        <f aca="false">'Смета Внутр'!E1463</f>
        <v>230</v>
      </c>
      <c r="F1463" s="1104" t="n">
        <f aca="false">'Смета Внутр'!F1463</f>
        <v>0</v>
      </c>
      <c r="G1463" s="1104" t="n">
        <f aca="false">IF(E1463&gt;F1463,E1463,F1463)</f>
        <v>230</v>
      </c>
      <c r="H1463" s="1104" t="n">
        <f aca="false">'Смета Внутр'!G1463</f>
        <v>0</v>
      </c>
      <c r="I1463" s="1104" t="n">
        <f aca="false">'Смета Внутр'!H1463</f>
        <v>0</v>
      </c>
      <c r="J1463" s="1109" t="n">
        <f aca="false">'Смета Внутр'!I1463</f>
        <v>0</v>
      </c>
    </row>
    <row r="1464" customFormat="false" ht="15" hidden="true" customHeight="true" outlineLevel="0" collapsed="false">
      <c r="B1464" s="1104" t="str">
        <f aca="false">'Смета Внутр'!B1464</f>
        <v>Ендова нижняя</v>
      </c>
      <c r="C1464" s="1104" t="str">
        <f aca="false">'Смета Внутр'!C1464</f>
        <v>м.п</v>
      </c>
      <c r="D1464" s="1109" t="n">
        <f aca="false">'Смета Внутр'!D1464</f>
        <v>0</v>
      </c>
      <c r="E1464" s="1104" t="n">
        <f aca="false">'Смета Внутр'!E1464</f>
        <v>160</v>
      </c>
      <c r="F1464" s="1104" t="n">
        <f aca="false">'Смета Внутр'!F1464</f>
        <v>0</v>
      </c>
      <c r="G1464" s="1104" t="n">
        <f aca="false">IF(E1464&gt;F1464,E1464,F1464)</f>
        <v>160</v>
      </c>
      <c r="H1464" s="1104" t="n">
        <f aca="false">'Смета Внутр'!G1464</f>
        <v>0</v>
      </c>
      <c r="I1464" s="1104" t="n">
        <f aca="false">'Смета Внутр'!H1464</f>
        <v>0</v>
      </c>
      <c r="J1464" s="1109" t="n">
        <f aca="false">'Смета Внутр'!I1464</f>
        <v>0</v>
      </c>
    </row>
    <row r="1465" customFormat="false" ht="15" hidden="true" customHeight="true" outlineLevel="0" collapsed="false">
      <c r="B1465" s="1104" t="str">
        <f aca="false">'Смета Внутр'!B1465</f>
        <v>Планка примыкания</v>
      </c>
      <c r="C1465" s="1104" t="str">
        <f aca="false">'Смета Внутр'!C1465</f>
        <v>м.п</v>
      </c>
      <c r="D1465" s="1109" t="n">
        <f aca="false">'Смета Внутр'!D1465</f>
        <v>0</v>
      </c>
      <c r="E1465" s="1104" t="n">
        <f aca="false">'Смета Внутр'!E1465</f>
        <v>190</v>
      </c>
      <c r="F1465" s="1104" t="n">
        <f aca="false">'Смета Внутр'!F1465</f>
        <v>0</v>
      </c>
      <c r="G1465" s="1104" t="n">
        <f aca="false">IF(E1465&gt;F1465,E1465,F1465)</f>
        <v>190</v>
      </c>
      <c r="H1465" s="1104" t="n">
        <f aca="false">'Смета Внутр'!G1465</f>
        <v>0</v>
      </c>
      <c r="I1465" s="1104" t="n">
        <f aca="false">'Смета Внутр'!H1465</f>
        <v>0</v>
      </c>
      <c r="J1465" s="1109" t="n">
        <f aca="false">'Смета Внутр'!I1465</f>
        <v>0</v>
      </c>
    </row>
    <row r="1466" customFormat="false" ht="15" hidden="true" customHeight="true" outlineLevel="0" collapsed="false">
      <c r="B1466" s="1104" t="str">
        <f aca="false">'Смета Внутр'!B1466</f>
        <v>ондулин</v>
      </c>
      <c r="C1466" s="1104" t="str">
        <f aca="false">'Смета Внутр'!C1466</f>
        <v>м2</v>
      </c>
      <c r="D1466" s="1109" t="n">
        <f aca="false">'Смета Внутр'!D1466</f>
        <v>0</v>
      </c>
      <c r="E1466" s="1104" t="n">
        <f aca="false">'Смета Внутр'!E1466</f>
        <v>180</v>
      </c>
      <c r="F1466" s="1104" t="n">
        <f aca="false">'Смета Внутр'!F1466</f>
        <v>0</v>
      </c>
      <c r="G1466" s="1104" t="n">
        <f aca="false">IF(E1466&gt;F1466,E1466,F1466)</f>
        <v>180</v>
      </c>
      <c r="H1466" s="1104" t="n">
        <f aca="false">'Смета Внутр'!G1466</f>
        <v>0</v>
      </c>
      <c r="I1466" s="1104" t="n">
        <f aca="false">'Смета Внутр'!H1466</f>
        <v>0</v>
      </c>
      <c r="J1466" s="1109" t="n">
        <f aca="false">'Смета Внутр'!I1466</f>
        <v>0</v>
      </c>
    </row>
    <row r="1467" customFormat="false" ht="15" hidden="true" customHeight="true" outlineLevel="0" collapsed="false">
      <c r="B1467" s="1104" t="str">
        <f aca="false">'Смета Внутр'!B1467</f>
        <v>Карнизная планка</v>
      </c>
      <c r="C1467" s="1104" t="str">
        <f aca="false">'Смета Внутр'!C1467</f>
        <v>м.п.</v>
      </c>
      <c r="D1467" s="1109" t="n">
        <f aca="false">'Смета Внутр'!D1467</f>
        <v>0</v>
      </c>
      <c r="E1467" s="1104" t="n">
        <f aca="false">'Смета Внутр'!E1467</f>
        <v>190</v>
      </c>
      <c r="F1467" s="1104" t="n">
        <f aca="false">'Смета Внутр'!F1467</f>
        <v>0</v>
      </c>
      <c r="G1467" s="1104" t="n">
        <f aca="false">IF(E1467&gt;F1467,E1467,F1467)</f>
        <v>190</v>
      </c>
      <c r="H1467" s="1104" t="n">
        <f aca="false">'Смета Внутр'!G1467</f>
        <v>0</v>
      </c>
      <c r="I1467" s="1104" t="n">
        <f aca="false">'Смета Внутр'!H1467</f>
        <v>0</v>
      </c>
      <c r="J1467" s="1109" t="n">
        <f aca="false">'Смета Внутр'!I1467</f>
        <v>0</v>
      </c>
    </row>
    <row r="1468" customFormat="false" ht="15" hidden="true" customHeight="true" outlineLevel="0" collapsed="false">
      <c r="B1468" s="1104" t="str">
        <f aca="false">'Смета Внутр'!B1468</f>
        <v>Торцевая планка</v>
      </c>
      <c r="C1468" s="1104" t="str">
        <f aca="false">'Смета Внутр'!C1468</f>
        <v>м.п.</v>
      </c>
      <c r="D1468" s="1109" t="n">
        <f aca="false">'Смета Внутр'!D1468</f>
        <v>0</v>
      </c>
      <c r="E1468" s="1104" t="n">
        <f aca="false">'Смета Внутр'!E1468</f>
        <v>190</v>
      </c>
      <c r="F1468" s="1104" t="n">
        <f aca="false">'Смета Внутр'!F1468</f>
        <v>0</v>
      </c>
      <c r="G1468" s="1104" t="n">
        <f aca="false">IF(E1468&gt;F1468,E1468,F1468)</f>
        <v>190</v>
      </c>
      <c r="H1468" s="1104" t="n">
        <f aca="false">'Смета Внутр'!G1468</f>
        <v>0</v>
      </c>
      <c r="I1468" s="1104" t="n">
        <f aca="false">'Смета Внутр'!H1468</f>
        <v>0</v>
      </c>
      <c r="J1468" s="1109" t="n">
        <f aca="false">'Смета Внутр'!I1468</f>
        <v>0</v>
      </c>
    </row>
    <row r="1469" customFormat="false" ht="15" hidden="true" customHeight="true" outlineLevel="0" collapsed="false">
      <c r="B1469" s="1104" t="str">
        <f aca="false">'Смета Внутр'!B1469</f>
        <v>Конек</v>
      </c>
      <c r="C1469" s="1104" t="str">
        <f aca="false">'Смета Внутр'!C1469</f>
        <v>м.п.</v>
      </c>
      <c r="D1469" s="1109" t="n">
        <f aca="false">'Смета Внутр'!D1469</f>
        <v>0</v>
      </c>
      <c r="E1469" s="1104" t="n">
        <f aca="false">'Смета Внутр'!E1469</f>
        <v>200</v>
      </c>
      <c r="F1469" s="1104" t="n">
        <f aca="false">'Смета Внутр'!F1469</f>
        <v>0</v>
      </c>
      <c r="G1469" s="1104" t="n">
        <f aca="false">IF(E1469&gt;F1469,E1469,F1469)</f>
        <v>200</v>
      </c>
      <c r="H1469" s="1104" t="n">
        <f aca="false">'Смета Внутр'!G1469</f>
        <v>0</v>
      </c>
      <c r="I1469" s="1104" t="n">
        <f aca="false">'Смета Внутр'!H1469</f>
        <v>0</v>
      </c>
      <c r="J1469" s="1109" t="n">
        <f aca="false">'Смета Внутр'!I1469</f>
        <v>0</v>
      </c>
    </row>
    <row r="1470" customFormat="false" ht="15" hidden="true" customHeight="true" outlineLevel="0" collapsed="false">
      <c r="B1470" s="1104" t="str">
        <f aca="false">'Смета Внутр'!B1470</f>
        <v>Ендова нижняя</v>
      </c>
      <c r="C1470" s="1104" t="str">
        <f aca="false">'Смета Внутр'!C1470</f>
        <v>м.п.</v>
      </c>
      <c r="D1470" s="1109" t="n">
        <f aca="false">'Смета Внутр'!D1470</f>
        <v>0</v>
      </c>
      <c r="E1470" s="1104" t="n">
        <f aca="false">'Смета Внутр'!E1470</f>
        <v>160</v>
      </c>
      <c r="F1470" s="1104" t="n">
        <f aca="false">'Смета Внутр'!F1470</f>
        <v>0</v>
      </c>
      <c r="G1470" s="1104" t="n">
        <f aca="false">IF(E1470&gt;F1470,E1470,F1470)</f>
        <v>160</v>
      </c>
      <c r="H1470" s="1104" t="n">
        <f aca="false">'Смета Внутр'!G1470</f>
        <v>0</v>
      </c>
      <c r="I1470" s="1104" t="n">
        <f aca="false">'Смета Внутр'!H1470</f>
        <v>0</v>
      </c>
      <c r="J1470" s="1109" t="n">
        <f aca="false">'Смета Внутр'!I1470</f>
        <v>0</v>
      </c>
    </row>
    <row r="1471" customFormat="false" ht="15" hidden="true" customHeight="true" outlineLevel="0" collapsed="false">
      <c r="B1471" s="1104" t="str">
        <f aca="false">'Смета Внутр'!B1471</f>
        <v>Ендова верхняя</v>
      </c>
      <c r="C1471" s="1104" t="str">
        <f aca="false">'Смета Внутр'!C1471</f>
        <v>м.п.</v>
      </c>
      <c r="D1471" s="1109" t="n">
        <f aca="false">'Смета Внутр'!D1471</f>
        <v>0</v>
      </c>
      <c r="E1471" s="1104" t="n">
        <f aca="false">'Смета Внутр'!E1471</f>
        <v>190</v>
      </c>
      <c r="F1471" s="1104" t="n">
        <f aca="false">'Смета Внутр'!F1471</f>
        <v>0</v>
      </c>
      <c r="G1471" s="1104" t="n">
        <f aca="false">IF(E1471&gt;F1471,E1471,F1471)</f>
        <v>190</v>
      </c>
      <c r="H1471" s="1104" t="n">
        <f aca="false">'Смета Внутр'!G1471</f>
        <v>0</v>
      </c>
      <c r="I1471" s="1104" t="n">
        <f aca="false">'Смета Внутр'!H1471</f>
        <v>0</v>
      </c>
      <c r="J1471" s="1109" t="n">
        <f aca="false">'Смета Внутр'!I1471</f>
        <v>0</v>
      </c>
    </row>
    <row r="1472" customFormat="false" ht="15" hidden="true" customHeight="true" outlineLevel="0" collapsed="false">
      <c r="B1472" s="1104" t="str">
        <f aca="false">'Смета Внутр'!B1472</f>
        <v>Планка примыкания</v>
      </c>
      <c r="C1472" s="1104" t="str">
        <f aca="false">'Смета Внутр'!C1472</f>
        <v>м.п.</v>
      </c>
      <c r="D1472" s="1109" t="n">
        <f aca="false">'Смета Внутр'!D1472</f>
        <v>0</v>
      </c>
      <c r="E1472" s="1104" t="n">
        <f aca="false">'Смета Внутр'!E1472</f>
        <v>190</v>
      </c>
      <c r="F1472" s="1104" t="n">
        <f aca="false">'Смета Внутр'!F1472</f>
        <v>0</v>
      </c>
      <c r="G1472" s="1104" t="n">
        <f aca="false">IF(E1472&gt;F1472,E1472,F1472)</f>
        <v>190</v>
      </c>
      <c r="H1472" s="1104" t="n">
        <f aca="false">'Смета Внутр'!G1472</f>
        <v>0</v>
      </c>
      <c r="I1472" s="1104" t="n">
        <f aca="false">'Смета Внутр'!H1472</f>
        <v>0</v>
      </c>
      <c r="J1472" s="1109" t="n">
        <f aca="false">'Смета Внутр'!I1472</f>
        <v>0</v>
      </c>
    </row>
    <row r="1473" customFormat="false" ht="15" hidden="true" customHeight="true" outlineLevel="0" collapsed="false">
      <c r="B1473" s="1104" t="str">
        <f aca="false">'Смета Внутр'!B1473</f>
        <v>Крепеж для ондулина</v>
      </c>
      <c r="C1473" s="1104" t="str">
        <f aca="false">'Смета Внутр'!C1473</f>
        <v>шт</v>
      </c>
      <c r="D1473" s="1109" t="n">
        <f aca="false">'Смета Внутр'!D1473</f>
        <v>0</v>
      </c>
      <c r="E1473" s="1104" t="n">
        <f aca="false">'Смета Внутр'!E1473</f>
        <v>4.5</v>
      </c>
      <c r="F1473" s="1104" t="n">
        <f aca="false">'Смета Внутр'!F1473</f>
        <v>0</v>
      </c>
      <c r="G1473" s="1104" t="n">
        <f aca="false">IF(E1473&gt;F1473,E1473,F1473)</f>
        <v>4.5</v>
      </c>
      <c r="H1473" s="1104" t="n">
        <f aca="false">'Смета Внутр'!G1473</f>
        <v>0</v>
      </c>
      <c r="I1473" s="1104" t="n">
        <f aca="false">'Смета Внутр'!H1473</f>
        <v>0</v>
      </c>
      <c r="J1473" s="1109" t="n">
        <f aca="false">'Смета Внутр'!I1473</f>
        <v>0</v>
      </c>
    </row>
    <row r="1474" customFormat="false" ht="15" hidden="true" customHeight="true" outlineLevel="0" collapsed="false">
      <c r="B1474" s="1104" t="str">
        <f aca="false">'Смета Внутр'!B1474</f>
        <v>нет</v>
      </c>
      <c r="C1474" s="1104" t="str">
        <f aca="false">'Смета Внутр'!C1474</f>
        <v>м2</v>
      </c>
      <c r="D1474" s="1109" t="n">
        <f aca="false">'Смета Внутр'!D1474</f>
        <v>0</v>
      </c>
      <c r="E1474" s="1104" t="n">
        <f aca="false">'Смета Внутр'!E1474</f>
        <v>0</v>
      </c>
      <c r="F1474" s="1104" t="n">
        <f aca="false">'Смета Внутр'!F1474</f>
        <v>0</v>
      </c>
      <c r="G1474" s="1104" t="n">
        <f aca="false">IF(E1474&gt;F1474,E1474,F1474)</f>
        <v>0</v>
      </c>
      <c r="H1474" s="1104" t="n">
        <f aca="false">'Смета Внутр'!G1474</f>
        <v>0</v>
      </c>
      <c r="I1474" s="1104" t="n">
        <f aca="false">'Смета Внутр'!H1474</f>
        <v>0</v>
      </c>
      <c r="J1474" s="1109" t="n">
        <f aca="false">'Смета Внутр'!I1474</f>
        <v>0</v>
      </c>
    </row>
    <row r="1475" customFormat="false" ht="15" hidden="true" customHeight="true" outlineLevel="0" collapsed="false">
      <c r="B1475" s="1104" t="str">
        <f aca="false">'Смета Внутр'!B1475</f>
        <v>Рядовая черепица</v>
      </c>
      <c r="C1475" s="1104" t="str">
        <f aca="false">'Смета Внутр'!C1475</f>
        <v>м2</v>
      </c>
      <c r="D1475" s="1109" t="n">
        <f aca="false">'Смета Внутр'!D1475</f>
        <v>0</v>
      </c>
      <c r="E1475" s="1104" t="n">
        <f aca="false">'Смета Внутр'!E1475</f>
        <v>360</v>
      </c>
      <c r="F1475" s="1104" t="n">
        <f aca="false">'Смета Внутр'!F1475</f>
        <v>0</v>
      </c>
      <c r="G1475" s="1104" t="n">
        <f aca="false">IF(E1475&gt;F1475,E1475,F1475)</f>
        <v>360</v>
      </c>
      <c r="H1475" s="1104" t="n">
        <f aca="false">'Смета Внутр'!G1475</f>
        <v>0</v>
      </c>
      <c r="I1475" s="1104" t="n">
        <f aca="false">'Смета Внутр'!H1475</f>
        <v>0</v>
      </c>
      <c r="J1475" s="1109" t="n">
        <f aca="false">'Смета Внутр'!I1475</f>
        <v>0</v>
      </c>
    </row>
    <row r="1476" customFormat="false" ht="15" hidden="true" customHeight="true" outlineLevel="0" collapsed="false">
      <c r="B1476" s="1104" t="str">
        <f aca="false">'Смета Внутр'!B1476</f>
        <v>Металл оцинк защита (карниз)</v>
      </c>
      <c r="C1476" s="1104" t="str">
        <f aca="false">'Смета Внутр'!C1476</f>
        <v>м.п.</v>
      </c>
      <c r="D1476" s="1109" t="n">
        <f aca="false">'Смета Внутр'!D1476</f>
        <v>0</v>
      </c>
      <c r="E1476" s="1104" t="n">
        <f aca="false">'Смета Внутр'!E1476</f>
        <v>200</v>
      </c>
      <c r="F1476" s="1104" t="n">
        <f aca="false">'Смета Внутр'!F1476</f>
        <v>0</v>
      </c>
      <c r="G1476" s="1104" t="n">
        <f aca="false">IF(E1476&gt;F1476,E1476,F1476)</f>
        <v>200</v>
      </c>
      <c r="H1476" s="1104" t="n">
        <f aca="false">'Смета Внутр'!G1476</f>
        <v>0</v>
      </c>
      <c r="I1476" s="1104" t="n">
        <f aca="false">'Смета Внутр'!H1476</f>
        <v>0</v>
      </c>
      <c r="J1476" s="1109" t="n">
        <f aca="false">'Смета Внутр'!I1476</f>
        <v>0</v>
      </c>
    </row>
    <row r="1477" customFormat="false" ht="15" hidden="true" customHeight="true" outlineLevel="0" collapsed="false">
      <c r="B1477" s="1104" t="str">
        <f aca="false">'Смета Внутр'!B1477</f>
        <v>Подкладочный ковер</v>
      </c>
      <c r="C1477" s="1104" t="str">
        <f aca="false">'Смета Внутр'!C1477</f>
        <v>м.п.</v>
      </c>
      <c r="D1477" s="1109" t="n">
        <f aca="false">'Смета Внутр'!D1477</f>
        <v>0</v>
      </c>
      <c r="E1477" s="1104" t="n">
        <f aca="false">'Смета Внутр'!E1477</f>
        <v>220</v>
      </c>
      <c r="F1477" s="1104" t="n">
        <f aca="false">'Смета Внутр'!F1477</f>
        <v>0</v>
      </c>
      <c r="G1477" s="1104" t="n">
        <f aca="false">IF(E1477&gt;F1477,E1477,F1477)</f>
        <v>220</v>
      </c>
      <c r="H1477" s="1104" t="n">
        <f aca="false">'Смета Внутр'!G1477</f>
        <v>0</v>
      </c>
      <c r="I1477" s="1104" t="n">
        <f aca="false">'Смета Внутр'!H1477</f>
        <v>0</v>
      </c>
      <c r="J1477" s="1109" t="n">
        <f aca="false">'Смета Внутр'!I1477</f>
        <v>0</v>
      </c>
    </row>
    <row r="1478" customFormat="false" ht="15" hidden="true" customHeight="true" outlineLevel="0" collapsed="false">
      <c r="B1478" s="1104" t="str">
        <f aca="false">'Смета Внутр'!B1478</f>
        <v>Карнизная самоклеющаяся черепица</v>
      </c>
      <c r="C1478" s="1104" t="str">
        <f aca="false">'Смета Внутр'!C1478</f>
        <v>м.п.</v>
      </c>
      <c r="D1478" s="1109" t="n">
        <f aca="false">'Смета Внутр'!D1478</f>
        <v>0</v>
      </c>
      <c r="E1478" s="1104" t="n">
        <f aca="false">'Смета Внутр'!E1478</f>
        <v>220</v>
      </c>
      <c r="F1478" s="1104" t="n">
        <f aca="false">'Смета Внутр'!F1478</f>
        <v>0</v>
      </c>
      <c r="G1478" s="1104" t="n">
        <f aca="false">IF(E1478&gt;F1478,E1478,F1478)</f>
        <v>220</v>
      </c>
      <c r="H1478" s="1104" t="n">
        <f aca="false">'Смета Внутр'!G1478</f>
        <v>0</v>
      </c>
      <c r="I1478" s="1104" t="n">
        <f aca="false">'Смета Внутр'!H1478</f>
        <v>0</v>
      </c>
      <c r="J1478" s="1109" t="n">
        <f aca="false">'Смета Внутр'!I1478</f>
        <v>0</v>
      </c>
    </row>
    <row r="1479" customFormat="false" ht="15" hidden="true" customHeight="true" outlineLevel="0" collapsed="false">
      <c r="B1479" s="1104" t="str">
        <f aca="false">'Смета Внутр'!B1479</f>
        <v>Спец ковер ендова нижняя</v>
      </c>
      <c r="C1479" s="1104" t="str">
        <f aca="false">'Смета Внутр'!C1479</f>
        <v>м.п.</v>
      </c>
      <c r="D1479" s="1109" t="n">
        <f aca="false">'Смета Внутр'!D1479</f>
        <v>0</v>
      </c>
      <c r="E1479" s="1104" t="n">
        <f aca="false">'Смета Внутр'!E1479</f>
        <v>200</v>
      </c>
      <c r="F1479" s="1104" t="n">
        <f aca="false">'Смета Внутр'!F1479</f>
        <v>0</v>
      </c>
      <c r="G1479" s="1104" t="n">
        <f aca="false">IF(E1479&gt;F1479,E1479,F1479)</f>
        <v>200</v>
      </c>
      <c r="H1479" s="1104" t="n">
        <f aca="false">'Смета Внутр'!G1479</f>
        <v>0</v>
      </c>
      <c r="I1479" s="1104" t="n">
        <f aca="false">'Смета Внутр'!H1479</f>
        <v>0</v>
      </c>
      <c r="J1479" s="1109" t="n">
        <f aca="false">'Смета Внутр'!I1479</f>
        <v>0</v>
      </c>
    </row>
    <row r="1480" customFormat="false" ht="15" hidden="true" customHeight="true" outlineLevel="0" collapsed="false">
      <c r="B1480" s="1104" t="str">
        <f aca="false">'Смета Внутр'!B1480</f>
        <v>Коньковой элемент</v>
      </c>
      <c r="C1480" s="1104" t="str">
        <f aca="false">'Смета Внутр'!C1480</f>
        <v>м.п.</v>
      </c>
      <c r="D1480" s="1109" t="n">
        <f aca="false">'Смета Внутр'!D1480</f>
        <v>0</v>
      </c>
      <c r="E1480" s="1104" t="n">
        <f aca="false">'Смета Внутр'!E1480</f>
        <v>250</v>
      </c>
      <c r="F1480" s="1104" t="n">
        <f aca="false">'Смета Внутр'!F1480</f>
        <v>0</v>
      </c>
      <c r="G1480" s="1104" t="n">
        <f aca="false">IF(E1480&gt;F1480,E1480,F1480)</f>
        <v>250</v>
      </c>
      <c r="H1480" s="1104" t="n">
        <f aca="false">'Смета Внутр'!G1480</f>
        <v>0</v>
      </c>
      <c r="I1480" s="1104" t="n">
        <f aca="false">'Смета Внутр'!H1480</f>
        <v>0</v>
      </c>
      <c r="J1480" s="1109" t="n">
        <f aca="false">'Смета Внутр'!I1480</f>
        <v>0</v>
      </c>
    </row>
    <row r="1481" customFormat="false" ht="15" hidden="true" customHeight="true" outlineLevel="0" collapsed="false">
      <c r="B1481" s="1104" t="str">
        <f aca="false">'Смета Внутр'!B1481</f>
        <v>Планка премыкания</v>
      </c>
      <c r="C1481" s="1104" t="str">
        <f aca="false">'Смета Внутр'!C1481</f>
        <v>м.п.</v>
      </c>
      <c r="D1481" s="1109" t="n">
        <f aca="false">'Смета Внутр'!D1481</f>
        <v>0</v>
      </c>
      <c r="E1481" s="1104" t="n">
        <f aca="false">'Смета Внутр'!E1481</f>
        <v>200</v>
      </c>
      <c r="F1481" s="1104" t="n">
        <f aca="false">'Смета Внутр'!F1481</f>
        <v>0</v>
      </c>
      <c r="G1481" s="1104" t="n">
        <f aca="false">IF(E1481&gt;F1481,E1481,F1481)</f>
        <v>200</v>
      </c>
      <c r="H1481" s="1104" t="n">
        <f aca="false">'Смета Внутр'!G1481</f>
        <v>0</v>
      </c>
      <c r="I1481" s="1104" t="n">
        <f aca="false">'Смета Внутр'!H1481</f>
        <v>0</v>
      </c>
      <c r="J1481" s="1109" t="n">
        <f aca="false">'Смета Внутр'!I1481</f>
        <v>0</v>
      </c>
    </row>
    <row r="1482" customFormat="false" ht="15" hidden="true" customHeight="true" outlineLevel="0" collapsed="false">
      <c r="B1482" s="1104" t="str">
        <f aca="false">'Смета Внутр'!B1482</f>
        <v>Гвозди для крепления подкладочного ковра</v>
      </c>
      <c r="C1482" s="1104" t="str">
        <f aca="false">'Смета Внутр'!C1482</f>
        <v>шт</v>
      </c>
      <c r="D1482" s="1109" t="n">
        <f aca="false">'Смета Внутр'!D1482</f>
        <v>0</v>
      </c>
      <c r="E1482" s="1104" t="n">
        <f aca="false">'Смета Внутр'!E1482</f>
        <v>0.012</v>
      </c>
      <c r="F1482" s="1104" t="n">
        <f aca="false">'Смета Внутр'!F1482</f>
        <v>0</v>
      </c>
      <c r="G1482" s="1104" t="n">
        <f aca="false">IF(E1482&gt;F1482,E1482,F1482)</f>
        <v>0.012</v>
      </c>
      <c r="H1482" s="1104" t="n">
        <f aca="false">'Смета Внутр'!G1482</f>
        <v>0</v>
      </c>
      <c r="I1482" s="1104" t="n">
        <f aca="false">'Смета Внутр'!H1482</f>
        <v>0</v>
      </c>
      <c r="J1482" s="1109" t="n">
        <f aca="false">'Смета Внутр'!I1482</f>
        <v>0</v>
      </c>
    </row>
    <row r="1483" customFormat="false" ht="15" hidden="true" customHeight="true" outlineLevel="0" collapsed="false">
      <c r="B1483" s="1104" t="str">
        <f aca="false">'Смета Внутр'!B1483</f>
        <v>Гвозди для крепления черепицы</v>
      </c>
      <c r="C1483" s="1104" t="str">
        <f aca="false">'Смета Внутр'!C1483</f>
        <v>шт</v>
      </c>
      <c r="D1483" s="1109" t="n">
        <f aca="false">'Смета Внутр'!D1483</f>
        <v>0</v>
      </c>
      <c r="E1483" s="1104" t="n">
        <f aca="false">'Смета Внутр'!E1483</f>
        <v>0.25</v>
      </c>
      <c r="F1483" s="1104" t="n">
        <f aca="false">'Смета Внутр'!F1483</f>
        <v>0</v>
      </c>
      <c r="G1483" s="1104" t="n">
        <f aca="false">IF(E1483&gt;F1483,E1483,F1483)</f>
        <v>0.25</v>
      </c>
      <c r="H1483" s="1104" t="n">
        <f aca="false">'Смета Внутр'!G1483</f>
        <v>0</v>
      </c>
      <c r="I1483" s="1104" t="n">
        <f aca="false">'Смета Внутр'!H1483</f>
        <v>0</v>
      </c>
      <c r="J1483" s="1109" t="n">
        <f aca="false">'Смета Внутр'!I1483</f>
        <v>0</v>
      </c>
    </row>
    <row r="1484" customFormat="false" ht="15" hidden="true" customHeight="true" outlineLevel="0" collapsed="false">
      <c r="B1484" s="1104" t="str">
        <f aca="false">'Смета Внутр'!B1484</f>
        <v>Клей для монтажа черепицы</v>
      </c>
      <c r="C1484" s="1104" t="str">
        <f aca="false">'Смета Внутр'!C1484</f>
        <v>кг</v>
      </c>
      <c r="D1484" s="1109" t="n">
        <f aca="false">'Смета Внутр'!D1484</f>
        <v>0</v>
      </c>
      <c r="E1484" s="1104" t="n">
        <f aca="false">'Смета Внутр'!E1484</f>
        <v>250</v>
      </c>
      <c r="F1484" s="1104" t="n">
        <f aca="false">'Смета Внутр'!F1484</f>
        <v>0</v>
      </c>
      <c r="G1484" s="1104" t="n">
        <f aca="false">IF(E1484&gt;F1484,E1484,F1484)</f>
        <v>250</v>
      </c>
      <c r="H1484" s="1104" t="n">
        <f aca="false">'Смета Внутр'!G1484</f>
        <v>0</v>
      </c>
      <c r="I1484" s="1104" t="n">
        <f aca="false">'Смета Внутр'!H1484</f>
        <v>0</v>
      </c>
      <c r="J1484" s="1109" t="n">
        <f aca="false">'Смета Внутр'!I1484</f>
        <v>0</v>
      </c>
    </row>
    <row r="1485" customFormat="false" ht="15" hidden="true" customHeight="true" outlineLevel="0" collapsed="false">
      <c r="B1485" s="1104" t="str">
        <f aca="false">'Смета Внутр'!B1485</f>
        <v>желоб</v>
      </c>
      <c r="C1485" s="1104" t="str">
        <f aca="false">'Смета Внутр'!C1485</f>
        <v>м.п</v>
      </c>
      <c r="D1485" s="1109" t="n">
        <f aca="false">'Смета Внутр'!D1485</f>
        <v>0</v>
      </c>
      <c r="E1485" s="1104" t="n">
        <f aca="false">'Смета Внутр'!E1485</f>
        <v>300</v>
      </c>
      <c r="F1485" s="1104" t="n">
        <f aca="false">'Смета Внутр'!F1485</f>
        <v>0</v>
      </c>
      <c r="G1485" s="1104" t="n">
        <f aca="false">IF(E1485&gt;F1485,E1485,F1485)</f>
        <v>300</v>
      </c>
      <c r="H1485" s="1104" t="n">
        <f aca="false">'Смета Внутр'!G1485</f>
        <v>0</v>
      </c>
      <c r="I1485" s="1104" t="n">
        <f aca="false">'Смета Внутр'!H1485</f>
        <v>0</v>
      </c>
      <c r="J1485" s="1109" t="n">
        <f aca="false">'Смета Внутр'!I1485</f>
        <v>0</v>
      </c>
    </row>
    <row r="1486" customFormat="false" ht="15" hidden="true" customHeight="true" outlineLevel="0" collapsed="false">
      <c r="B1486" s="1104" t="str">
        <f aca="false">'Смета Внутр'!B1486</f>
        <v>отвод</v>
      </c>
      <c r="C1486" s="1104" t="str">
        <f aca="false">'Смета Внутр'!C1486</f>
        <v>шт</v>
      </c>
      <c r="D1486" s="1109" t="n">
        <f aca="false">'Смета Внутр'!D1486</f>
        <v>4</v>
      </c>
      <c r="E1486" s="1104" t="n">
        <f aca="false">'Смета Внутр'!E1486</f>
        <v>250</v>
      </c>
      <c r="F1486" s="1104" t="n">
        <f aca="false">'Смета Внутр'!F1486</f>
        <v>0</v>
      </c>
      <c r="G1486" s="1104" t="n">
        <f aca="false">IF(E1486&gt;F1486,E1486,F1486)</f>
        <v>250</v>
      </c>
      <c r="H1486" s="1104" t="n">
        <f aca="false">'Смета Внутр'!G1486</f>
        <v>1000</v>
      </c>
      <c r="I1486" s="1104" t="n">
        <f aca="false">'Смета Внутр'!H1486</f>
        <v>0</v>
      </c>
      <c r="J1486" s="1109" t="n">
        <f aca="false">'Смета Внутр'!I1486</f>
        <v>0</v>
      </c>
    </row>
    <row r="1487" customFormat="false" ht="15" hidden="true" customHeight="true" outlineLevel="0" collapsed="false">
      <c r="B1487" s="1104" t="str">
        <f aca="false">'Смета Внутр'!B1487</f>
        <v>труба водосточная</v>
      </c>
      <c r="C1487" s="1104" t="str">
        <f aca="false">'Смета Внутр'!C1487</f>
        <v>м.п.</v>
      </c>
      <c r="D1487" s="1109" t="n">
        <f aca="false">'Смета Внутр'!D1487</f>
        <v>0</v>
      </c>
      <c r="E1487" s="1104" t="n">
        <f aca="false">'Смета Внутр'!E1487</f>
        <v>300</v>
      </c>
      <c r="F1487" s="1104" t="n">
        <f aca="false">'Смета Внутр'!F1487</f>
        <v>0</v>
      </c>
      <c r="G1487" s="1104" t="n">
        <f aca="false">IF(E1487&gt;F1487,E1487,F1487)</f>
        <v>300</v>
      </c>
      <c r="H1487" s="1104" t="n">
        <f aca="false">'Смета Внутр'!G1487</f>
        <v>0</v>
      </c>
      <c r="I1487" s="1104" t="n">
        <f aca="false">'Смета Внутр'!H1487</f>
        <v>0</v>
      </c>
      <c r="J1487" s="1109" t="n">
        <f aca="false">'Смета Внутр'!I1487</f>
        <v>0</v>
      </c>
    </row>
    <row r="1488" customFormat="false" ht="15" hidden="true" customHeight="true" outlineLevel="0" collapsed="false">
      <c r="B1488" s="1104" t="str">
        <f aca="false">'Смета Внутр'!B1488</f>
        <v>заглушка для желоба</v>
      </c>
      <c r="C1488" s="1104" t="str">
        <f aca="false">'Смета Внутр'!C1488</f>
        <v>шт</v>
      </c>
      <c r="D1488" s="1109" t="n">
        <f aca="false">'Смета Внутр'!D1488</f>
        <v>0</v>
      </c>
      <c r="E1488" s="1104" t="n">
        <f aca="false">'Смета Внутр'!E1488</f>
        <v>190</v>
      </c>
      <c r="F1488" s="1104" t="n">
        <f aca="false">'Смета Внутр'!F1488</f>
        <v>0</v>
      </c>
      <c r="G1488" s="1104" t="n">
        <f aca="false">IF(E1488&gt;F1488,E1488,F1488)</f>
        <v>190</v>
      </c>
      <c r="H1488" s="1104" t="n">
        <f aca="false">'Смета Внутр'!G1488</f>
        <v>0</v>
      </c>
      <c r="I1488" s="1104" t="n">
        <f aca="false">'Смета Внутр'!H1488</f>
        <v>0</v>
      </c>
      <c r="J1488" s="1109" t="n">
        <f aca="false">'Смета Внутр'!I1488</f>
        <v>0</v>
      </c>
    </row>
    <row r="1489" customFormat="false" ht="15" hidden="true" customHeight="true" outlineLevel="0" collapsed="false">
      <c r="B1489" s="1104" t="str">
        <f aca="false">'Смета Внутр'!B1489</f>
        <v>соеденитель для желоба</v>
      </c>
      <c r="C1489" s="1104" t="str">
        <f aca="false">'Смета Внутр'!C1489</f>
        <v>шт</v>
      </c>
      <c r="D1489" s="1109" t="n">
        <f aca="false">'Смета Внутр'!D1489</f>
        <v>0</v>
      </c>
      <c r="E1489" s="1104" t="n">
        <f aca="false">'Смета Внутр'!E1489</f>
        <v>180</v>
      </c>
      <c r="F1489" s="1104" t="n">
        <f aca="false">'Смета Внутр'!F1489</f>
        <v>0</v>
      </c>
      <c r="G1489" s="1104" t="n">
        <f aca="false">IF(E1489&gt;F1489,E1489,F1489)</f>
        <v>180</v>
      </c>
      <c r="H1489" s="1104" t="n">
        <f aca="false">'Смета Внутр'!G1489</f>
        <v>0</v>
      </c>
      <c r="I1489" s="1104" t="n">
        <f aca="false">'Смета Внутр'!H1489</f>
        <v>0</v>
      </c>
      <c r="J1489" s="1109" t="n">
        <f aca="false">'Смета Внутр'!I1489</f>
        <v>0</v>
      </c>
    </row>
    <row r="1490" customFormat="false" ht="15" hidden="true" customHeight="true" outlineLevel="0" collapsed="false">
      <c r="B1490" s="1104" t="str">
        <f aca="false">'Смета Внутр'!B1490</f>
        <v>кронштейн для желоба</v>
      </c>
      <c r="C1490" s="1104" t="str">
        <f aca="false">'Смета Внутр'!C1490</f>
        <v>шт</v>
      </c>
      <c r="D1490" s="1109" t="n">
        <f aca="false">'Смета Внутр'!D1490</f>
        <v>0</v>
      </c>
      <c r="E1490" s="1104" t="n">
        <f aca="false">'Смета Внутр'!E1490</f>
        <v>130</v>
      </c>
      <c r="F1490" s="1104" t="n">
        <f aca="false">'Смета Внутр'!F1490</f>
        <v>0</v>
      </c>
      <c r="G1490" s="1104" t="n">
        <f aca="false">IF(E1490&gt;F1490,E1490,F1490)</f>
        <v>130</v>
      </c>
      <c r="H1490" s="1104" t="n">
        <f aca="false">'Смета Внутр'!G1490</f>
        <v>0</v>
      </c>
      <c r="I1490" s="1104" t="n">
        <f aca="false">'Смета Внутр'!H1490</f>
        <v>0</v>
      </c>
      <c r="J1490" s="1109" t="n">
        <f aca="false">'Смета Внутр'!I1490</f>
        <v>0</v>
      </c>
    </row>
    <row r="1491" customFormat="false" ht="15" hidden="true" customHeight="true" outlineLevel="0" collapsed="false">
      <c r="B1491" s="1104" t="str">
        <f aca="false">'Смета Внутр'!B1491</f>
        <v>переход из желоба в трубу</v>
      </c>
      <c r="C1491" s="1104" t="str">
        <f aca="false">'Смета Внутр'!C1491</f>
        <v>шт</v>
      </c>
      <c r="D1491" s="1109" t="n">
        <f aca="false">'Смета Внутр'!D1491</f>
        <v>2</v>
      </c>
      <c r="E1491" s="1104" t="n">
        <f aca="false">'Смета Внутр'!E1491</f>
        <v>350</v>
      </c>
      <c r="F1491" s="1104" t="n">
        <f aca="false">'Смета Внутр'!F1491</f>
        <v>0</v>
      </c>
      <c r="G1491" s="1104" t="n">
        <f aca="false">IF(E1491&gt;F1491,E1491,F1491)</f>
        <v>350</v>
      </c>
      <c r="H1491" s="1104" t="n">
        <f aca="false">'Смета Внутр'!G1491</f>
        <v>700</v>
      </c>
      <c r="I1491" s="1104" t="n">
        <f aca="false">'Смета Внутр'!H1491</f>
        <v>0</v>
      </c>
      <c r="J1491" s="1109" t="n">
        <f aca="false">'Смета Внутр'!I1491</f>
        <v>0</v>
      </c>
    </row>
    <row r="1492" customFormat="false" ht="15" hidden="true" customHeight="true" outlineLevel="0" collapsed="false">
      <c r="B1492" s="1104" t="str">
        <f aca="false">'Смета Внутр'!B1492</f>
        <v>лента дельта мульти бэнд</v>
      </c>
      <c r="C1492" s="1104" t="str">
        <f aca="false">'Смета Внутр'!C1492</f>
        <v>шт</v>
      </c>
      <c r="D1492" s="1109" t="n">
        <f aca="false">'Смета Внутр'!D1492</f>
        <v>0</v>
      </c>
      <c r="E1492" s="1104" t="n">
        <f aca="false">'Смета Внутр'!E1492</f>
        <v>1200</v>
      </c>
      <c r="F1492" s="1104" t="n">
        <f aca="false">'Смета Внутр'!F1492</f>
        <v>0</v>
      </c>
      <c r="G1492" s="1104" t="n">
        <f aca="false">IF(E1492&gt;F1492,E1492,F1492)</f>
        <v>1200</v>
      </c>
      <c r="H1492" s="1104" t="n">
        <f aca="false">'Смета Внутр'!G1492</f>
        <v>0</v>
      </c>
      <c r="I1492" s="1104" t="n">
        <f aca="false">'Смета Внутр'!H1492</f>
        <v>0</v>
      </c>
      <c r="J1492" s="1109" t="n">
        <f aca="false">'Смета Внутр'!I1492</f>
        <v>0</v>
      </c>
    </row>
    <row r="1493" customFormat="false" ht="15" hidden="true" customHeight="true" outlineLevel="0" collapsed="false">
      <c r="B1493" s="1104" t="str">
        <f aca="false">'Смета Внутр'!B1493</f>
        <v>лента дельта sb-60</v>
      </c>
      <c r="C1493" s="1104" t="str">
        <f aca="false">'Смета Внутр'!C1493</f>
        <v>шт</v>
      </c>
      <c r="D1493" s="1109" t="n">
        <f aca="false">'Смета Внутр'!D1493</f>
        <v>0</v>
      </c>
      <c r="E1493" s="1104" t="n">
        <f aca="false">'Смета Внутр'!E1493</f>
        <v>1100</v>
      </c>
      <c r="F1493" s="1104" t="n">
        <f aca="false">'Смета Внутр'!F1493</f>
        <v>0</v>
      </c>
      <c r="G1493" s="1104" t="n">
        <f aca="false">IF(E1493&gt;F1493,E1493,F1493)</f>
        <v>1100</v>
      </c>
      <c r="H1493" s="1104" t="n">
        <f aca="false">'Смета Внутр'!G1493</f>
        <v>0</v>
      </c>
      <c r="I1493" s="1104" t="n">
        <f aca="false">'Смета Внутр'!H1493</f>
        <v>0</v>
      </c>
      <c r="J1493" s="1109" t="n">
        <f aca="false">'Смета Внутр'!I1493</f>
        <v>0</v>
      </c>
    </row>
    <row r="1494" customFormat="false" ht="15" hidden="true" customHeight="true" outlineLevel="0" collapsed="false">
      <c r="B1494" s="1104" t="str">
        <f aca="false">'Смета Внутр'!B1494</f>
        <v>Кровельный саморез</v>
      </c>
      <c r="C1494" s="1104" t="str">
        <f aca="false">'Смета Внутр'!C1494</f>
        <v>шт</v>
      </c>
      <c r="D1494" s="1109" t="n">
        <f aca="false">'Смета Внутр'!D1494</f>
        <v>0</v>
      </c>
      <c r="E1494" s="1104" t="n">
        <f aca="false">'Смета Внутр'!E1494</f>
        <v>2</v>
      </c>
      <c r="F1494" s="1104" t="n">
        <f aca="false">'Смета Внутр'!F1494</f>
        <v>0</v>
      </c>
      <c r="G1494" s="1104" t="n">
        <f aca="false">IF(E1494&gt;F1494,E1494,F1494)</f>
        <v>2</v>
      </c>
      <c r="H1494" s="1104" t="n">
        <f aca="false">'Смета Внутр'!G1494</f>
        <v>0</v>
      </c>
      <c r="I1494" s="1104" t="n">
        <f aca="false">'Смета Внутр'!H1494</f>
        <v>0</v>
      </c>
      <c r="J1494" s="1109" t="n">
        <f aca="false">'Смета Внутр'!I1494</f>
        <v>0</v>
      </c>
    </row>
    <row r="1495" customFormat="false" ht="15" hidden="true" customHeight="true" outlineLevel="0" collapsed="false">
      <c r="B1495" s="1104" t="str">
        <f aca="false">'Смета Внутр'!B1495</f>
        <v>Гвозди ершоные 3,4 x 60            </v>
      </c>
      <c r="C1495" s="1104" t="str">
        <f aca="false">'Смета Внутр'!C1495</f>
        <v>кг</v>
      </c>
      <c r="D1495" s="1109" t="n">
        <f aca="false">'Смета Внутр'!D1495</f>
        <v>0</v>
      </c>
      <c r="E1495" s="1104" t="n">
        <f aca="false">'Смета Внутр'!E1495</f>
        <v>75.51</v>
      </c>
      <c r="F1495" s="1104" t="n">
        <f aca="false">'Смета Внутр'!F1495</f>
        <v>0</v>
      </c>
      <c r="G1495" s="1104" t="n">
        <f aca="false">IF(E1495&gt;F1495,E1495,F1495)</f>
        <v>75.51</v>
      </c>
      <c r="H1495" s="1104" t="n">
        <f aca="false">'Смета Внутр'!G1495</f>
        <v>0</v>
      </c>
      <c r="I1495" s="1104" t="n">
        <f aca="false">'Смета Внутр'!H1495</f>
        <v>0</v>
      </c>
      <c r="J1495" s="1109" t="n">
        <f aca="false">'Смета Внутр'!I1495</f>
        <v>0</v>
      </c>
    </row>
    <row r="1496" customFormat="false" ht="15" hidden="true" customHeight="true" outlineLevel="0" collapsed="false">
      <c r="B1496" s="1104" t="str">
        <f aca="false">'Смета Внутр'!B1496</f>
        <v>Гвозди ершоные 2,8 х 90            </v>
      </c>
      <c r="C1496" s="1104" t="str">
        <f aca="false">'Смета Внутр'!C1496</f>
        <v>кг</v>
      </c>
      <c r="D1496" s="1109" t="n">
        <f aca="false">'Смета Внутр'!D1496</f>
        <v>0</v>
      </c>
      <c r="E1496" s="1104" t="n">
        <f aca="false">'Смета Внутр'!E1496</f>
        <v>76.49</v>
      </c>
      <c r="F1496" s="1104" t="n">
        <f aca="false">'Смета Внутр'!F1496</f>
        <v>0</v>
      </c>
      <c r="G1496" s="1104" t="n">
        <f aca="false">IF(E1496&gt;F1496,E1496,F1496)</f>
        <v>76.49</v>
      </c>
      <c r="H1496" s="1104" t="n">
        <f aca="false">'Смета Внутр'!G1496</f>
        <v>0</v>
      </c>
      <c r="I1496" s="1104" t="n">
        <f aca="false">'Смета Внутр'!H1496</f>
        <v>0</v>
      </c>
      <c r="J1496" s="1109" t="n">
        <f aca="false">'Смета Внутр'!I1496</f>
        <v>0</v>
      </c>
    </row>
    <row r="1497" customFormat="false" ht="15" hidden="true" customHeight="true" outlineLevel="0" collapsed="false">
      <c r="B1497" s="1104" t="str">
        <f aca="false">'Смета Внутр'!B1497</f>
        <v>Пластина соеденительная 100х240х2           </v>
      </c>
      <c r="C1497" s="1104" t="str">
        <f aca="false">'Смета Внутр'!C1497</f>
        <v>шт</v>
      </c>
      <c r="D1497" s="1109" t="n">
        <f aca="false">'Смета Внутр'!D1497</f>
        <v>2</v>
      </c>
      <c r="E1497" s="1104" t="n">
        <f aca="false">'Смета Внутр'!E1497</f>
        <v>31.54</v>
      </c>
      <c r="F1497" s="1104" t="n">
        <f aca="false">'Смета Внутр'!F1497</f>
        <v>0</v>
      </c>
      <c r="G1497" s="1104" t="n">
        <f aca="false">IF(E1497&gt;F1497,E1497,F1497)</f>
        <v>31.54</v>
      </c>
      <c r="H1497" s="1104" t="n">
        <f aca="false">'Смета Внутр'!G1497</f>
        <v>63.08</v>
      </c>
      <c r="I1497" s="1104" t="n">
        <f aca="false">'Смета Внутр'!H1497</f>
        <v>0</v>
      </c>
      <c r="J1497" s="1109" t="n">
        <f aca="false">'Смета Внутр'!I1497</f>
        <v>0</v>
      </c>
    </row>
    <row r="1498" customFormat="false" ht="15" hidden="true" customHeight="true" outlineLevel="0" collapsed="false">
      <c r="B1498" s="1104" t="str">
        <f aca="false">'Смета Внутр'!B1498</f>
        <v>Уголок усиленный 90х70х55х2,5        </v>
      </c>
      <c r="C1498" s="1104" t="str">
        <f aca="false">'Смета Внутр'!C1498</f>
        <v>шт</v>
      </c>
      <c r="D1498" s="1109" t="n">
        <f aca="false">'Смета Внутр'!D1498</f>
        <v>3</v>
      </c>
      <c r="E1498" s="1104" t="n">
        <f aca="false">'Смета Внутр'!E1498</f>
        <v>30</v>
      </c>
      <c r="F1498" s="1104" t="n">
        <f aca="false">'Смета Внутр'!F1498</f>
        <v>0</v>
      </c>
      <c r="G1498" s="1104" t="n">
        <f aca="false">IF(E1498&gt;F1498,E1498,F1498)</f>
        <v>30</v>
      </c>
      <c r="H1498" s="1104" t="n">
        <f aca="false">'Смета Внутр'!G1498</f>
        <v>90</v>
      </c>
      <c r="I1498" s="1104" t="n">
        <f aca="false">'Смета Внутр'!H1498</f>
        <v>0</v>
      </c>
      <c r="J1498" s="1109" t="n">
        <f aca="false">'Смета Внутр'!I1498</f>
        <v>0</v>
      </c>
    </row>
    <row r="1499" customFormat="false" ht="15" hidden="true" customHeight="false" outlineLevel="0" collapsed="false">
      <c r="B1499" s="1108" t="str">
        <f aca="false">'Смета Внутр'!B1499</f>
        <v>Итого материалы</v>
      </c>
      <c r="C1499" s="1108"/>
      <c r="D1499" s="1108"/>
      <c r="E1499" s="1108"/>
      <c r="F1499" s="1108"/>
      <c r="G1499" s="1108"/>
      <c r="H1499" s="1104" t="n">
        <f aca="false">'Смета Внутр'!G1499</f>
        <v>0</v>
      </c>
      <c r="I1499" s="1104" t="n">
        <f aca="false">'Смета Внутр'!H1499</f>
        <v>0</v>
      </c>
      <c r="J1499" s="1109" t="n">
        <f aca="false">'Смета Внутр'!I1499</f>
        <v>0</v>
      </c>
    </row>
    <row r="1500" customFormat="false" ht="15" hidden="true" customHeight="true" outlineLevel="0" collapsed="false">
      <c r="B1500" s="118" t="str">
        <f aca="false">'Смета Внутр'!B1500</f>
        <v>Работы</v>
      </c>
      <c r="H1500" s="118" t="n">
        <f aca="false">'Смета Внутр'!G1500</f>
        <v>0</v>
      </c>
      <c r="I1500" s="118" t="n">
        <f aca="false">'Смета Внутр'!H1500</f>
        <v>0</v>
      </c>
      <c r="J1500" s="1102" t="n">
        <f aca="false">'Смета Внутр'!I1500</f>
        <v>0</v>
      </c>
    </row>
    <row r="1501" customFormat="false" ht="15" hidden="true" customHeight="true" outlineLevel="0" collapsed="false">
      <c r="B1501" s="1104" t="str">
        <f aca="false">'Смета Внутр'!B1501</f>
        <v>монтаж мауэрлат</v>
      </c>
      <c r="C1501" s="1104" t="str">
        <f aca="false">'Смета Внутр'!C1501</f>
        <v>м.п.</v>
      </c>
      <c r="D1501" s="1109" t="n">
        <f aca="false">'Смета Внутр'!D1501</f>
        <v>0</v>
      </c>
      <c r="E1501" s="1104" t="n">
        <f aca="false">'Смета Внутр'!E1501</f>
        <v>250</v>
      </c>
      <c r="F1501" s="1104" t="n">
        <f aca="false">'Смета Внутр'!F1501</f>
        <v>0</v>
      </c>
      <c r="G1501" s="1104" t="n">
        <f aca="false">IF(E1501&gt;F1501,E1501,F1501)</f>
        <v>250</v>
      </c>
      <c r="H1501" s="1104" t="n">
        <f aca="false">'Смета Внутр'!G1501</f>
        <v>0</v>
      </c>
      <c r="I1501" s="1104" t="n">
        <f aca="false">'Смета Внутр'!H1501</f>
        <v>0</v>
      </c>
      <c r="J1501" s="1109" t="n">
        <f aca="false">'Смета Внутр'!I1501</f>
        <v>0</v>
      </c>
    </row>
    <row r="1502" customFormat="false" ht="15" hidden="true" customHeight="true" outlineLevel="0" collapsed="false">
      <c r="B1502" s="1104" t="str">
        <f aca="false">'Смета Внутр'!B1502</f>
        <v>монтаж стропил</v>
      </c>
      <c r="C1502" s="1104" t="str">
        <f aca="false">'Смета Внутр'!C1502</f>
        <v>м2</v>
      </c>
      <c r="D1502" s="1109" t="n">
        <f aca="false">'Смета Внутр'!D1502</f>
        <v>0</v>
      </c>
      <c r="E1502" s="1104" t="n">
        <f aca="false">'Смета Внутр'!E1502</f>
        <v>450</v>
      </c>
      <c r="F1502" s="1104" t="n">
        <f aca="false">'Смета Внутр'!F1502</f>
        <v>0</v>
      </c>
      <c r="G1502" s="1104" t="n">
        <f aca="false">IF(E1502&gt;F1502,E1502,F1502)</f>
        <v>450</v>
      </c>
      <c r="H1502" s="1104" t="n">
        <f aca="false">'Смета Внутр'!G1502</f>
        <v>0</v>
      </c>
      <c r="I1502" s="1104" t="n">
        <f aca="false">'Смета Внутр'!H1502</f>
        <v>0</v>
      </c>
      <c r="J1502" s="1109" t="n">
        <f aca="false">'Смета Внутр'!I1502</f>
        <v>0</v>
      </c>
    </row>
    <row r="1503" customFormat="false" ht="15" hidden="true" customHeight="true" outlineLevel="0" collapsed="false">
      <c r="B1503" s="1104" t="str">
        <f aca="false">'Смета Внутр'!B1503</f>
        <v>обрешетка</v>
      </c>
      <c r="C1503" s="1104" t="str">
        <f aca="false">'Смета Внутр'!C1503</f>
        <v>м2</v>
      </c>
      <c r="D1503" s="1109" t="n">
        <f aca="false">'Смета Внутр'!D1503</f>
        <v>0</v>
      </c>
      <c r="E1503" s="1104" t="n">
        <f aca="false">'Смета Внутр'!E1503</f>
        <v>100</v>
      </c>
      <c r="F1503" s="1104" t="n">
        <f aca="false">'Смета Внутр'!F1503</f>
        <v>0</v>
      </c>
      <c r="G1503" s="1104" t="n">
        <f aca="false">IF(E1503&gt;F1503,E1503,F1503)</f>
        <v>100</v>
      </c>
      <c r="H1503" s="1104" t="n">
        <f aca="false">'Смета Внутр'!G1503</f>
        <v>0</v>
      </c>
      <c r="I1503" s="1104" t="n">
        <f aca="false">'Смета Внутр'!H1503</f>
        <v>0</v>
      </c>
      <c r="J1503" s="1109" t="n">
        <f aca="false">'Смета Внутр'!I1503</f>
        <v>0</v>
      </c>
    </row>
    <row r="1504" customFormat="false" ht="15" hidden="true" customHeight="true" outlineLevel="0" collapsed="false">
      <c r="B1504" s="1104" t="str">
        <f aca="false">'Смета Внутр'!B1504</f>
        <v>контробеш</v>
      </c>
      <c r="C1504" s="1104" t="str">
        <f aca="false">'Смета Внутр'!C1504</f>
        <v>м2</v>
      </c>
      <c r="D1504" s="1109" t="n">
        <f aca="false">'Смета Внутр'!D1504</f>
        <v>0</v>
      </c>
      <c r="E1504" s="1104" t="n">
        <f aca="false">'Смета Внутр'!E1504</f>
        <v>100</v>
      </c>
      <c r="F1504" s="1104" t="n">
        <f aca="false">'Смета Внутр'!F1504</f>
        <v>0</v>
      </c>
      <c r="G1504" s="1104" t="n">
        <f aca="false">IF(E1504&gt;F1504,E1504,F1504)</f>
        <v>100</v>
      </c>
      <c r="H1504" s="1104" t="n">
        <f aca="false">'Смета Внутр'!G1504</f>
        <v>0</v>
      </c>
      <c r="I1504" s="1104" t="n">
        <f aca="false">'Смета Внутр'!H1504</f>
        <v>0</v>
      </c>
      <c r="J1504" s="1109" t="n">
        <f aca="false">'Смета Внутр'!I1504</f>
        <v>0</v>
      </c>
    </row>
    <row r="1505" customFormat="false" ht="15" hidden="true" customHeight="true" outlineLevel="0" collapsed="false">
      <c r="B1505" s="1104" t="str">
        <f aca="false">'Смета Внутр'!B1505</f>
        <v>мембрана</v>
      </c>
      <c r="C1505" s="1104" t="str">
        <f aca="false">'Смета Внутр'!C1505</f>
        <v>м2</v>
      </c>
      <c r="D1505" s="1109" t="n">
        <f aca="false">'Смета Внутр'!D1505</f>
        <v>0</v>
      </c>
      <c r="E1505" s="1104" t="n">
        <f aca="false">'Смета Внутр'!E1505</f>
        <v>100</v>
      </c>
      <c r="F1505" s="1104" t="n">
        <f aca="false">'Смета Внутр'!F1505</f>
        <v>0</v>
      </c>
      <c r="G1505" s="1104" t="n">
        <f aca="false">IF(E1505&gt;F1505,E1505,F1505)</f>
        <v>100</v>
      </c>
      <c r="H1505" s="1104" t="n">
        <f aca="false">'Смета Внутр'!G1505</f>
        <v>0</v>
      </c>
      <c r="I1505" s="1104" t="n">
        <f aca="false">'Смета Внутр'!H1505</f>
        <v>0</v>
      </c>
      <c r="J1505" s="1109" t="n">
        <f aca="false">'Смета Внутр'!I1505</f>
        <v>0</v>
      </c>
    </row>
    <row r="1506" customFormat="false" ht="15" hidden="true" customHeight="true" outlineLevel="0" collapsed="false">
      <c r="B1506" s="1104" t="str">
        <f aca="false">'Смета Внутр'!B1506</f>
        <v>пароизоляц</v>
      </c>
      <c r="C1506" s="1104" t="str">
        <f aca="false">'Смета Внутр'!C1506</f>
        <v>м2</v>
      </c>
      <c r="D1506" s="1109" t="n">
        <f aca="false">'Смета Внутр'!D1506</f>
        <v>0</v>
      </c>
      <c r="E1506" s="1104" t="n">
        <f aca="false">'Смета Внутр'!E1506</f>
        <v>100</v>
      </c>
      <c r="F1506" s="1104" t="n">
        <f aca="false">'Смета Внутр'!F1506</f>
        <v>0</v>
      </c>
      <c r="G1506" s="1104" t="n">
        <f aca="false">IF(E1506&gt;F1506,E1506,F1506)</f>
        <v>100</v>
      </c>
      <c r="H1506" s="1104" t="n">
        <f aca="false">'Смета Внутр'!G1506</f>
        <v>0</v>
      </c>
      <c r="I1506" s="1104" t="n">
        <f aca="false">'Смета Внутр'!H1506</f>
        <v>0</v>
      </c>
      <c r="J1506" s="1109" t="n">
        <f aca="false">'Смета Внутр'!I1506</f>
        <v>0</v>
      </c>
    </row>
    <row r="1507" customFormat="false" ht="15" hidden="true" customHeight="true" outlineLevel="0" collapsed="false">
      <c r="B1507" s="1104" t="str">
        <f aca="false">'Смета Внутр'!B1507</f>
        <v>утеплитель</v>
      </c>
      <c r="C1507" s="1104" t="str">
        <f aca="false">'Смета Внутр'!C1507</f>
        <v>м2</v>
      </c>
      <c r="D1507" s="1109" t="n">
        <f aca="false">'Смета Внутр'!D1507</f>
        <v>0</v>
      </c>
      <c r="E1507" s="1104" t="n">
        <f aca="false">'Смета Внутр'!E1507</f>
        <v>200</v>
      </c>
      <c r="F1507" s="1104" t="n">
        <f aca="false">'Смета Внутр'!F1507</f>
        <v>0</v>
      </c>
      <c r="G1507" s="1104" t="n">
        <f aca="false">IF(E1507&gt;F1507,E1507,F1507)</f>
        <v>200</v>
      </c>
      <c r="H1507" s="1104" t="n">
        <f aca="false">'Смета Внутр'!G1507</f>
        <v>0</v>
      </c>
      <c r="I1507" s="1104" t="n">
        <f aca="false">'Смета Внутр'!H1507</f>
        <v>0</v>
      </c>
      <c r="J1507" s="1109" t="n">
        <f aca="false">'Смета Внутр'!I1507</f>
        <v>0</v>
      </c>
    </row>
    <row r="1508" customFormat="false" ht="15" hidden="true" customHeight="true" outlineLevel="0" collapsed="false">
      <c r="B1508" s="1104" t="str">
        <f aca="false">'Смета Внутр'!B1508</f>
        <v>Монтаж металлочерепицы</v>
      </c>
      <c r="C1508" s="1104" t="str">
        <f aca="false">'Смета Внутр'!C1508</f>
        <v>м2</v>
      </c>
      <c r="D1508" s="1109" t="n">
        <f aca="false">'Смета Внутр'!D1508</f>
        <v>0</v>
      </c>
      <c r="E1508" s="1104" t="n">
        <f aca="false">'Смета Внутр'!E1508</f>
        <v>300</v>
      </c>
      <c r="F1508" s="1104" t="n">
        <f aca="false">'Смета Внутр'!F1508</f>
        <v>0</v>
      </c>
      <c r="G1508" s="1104" t="n">
        <f aca="false">IF(E1508&gt;F1508,E1508,F1508)</f>
        <v>300</v>
      </c>
      <c r="H1508" s="1104" t="n">
        <f aca="false">'Смета Внутр'!G1508</f>
        <v>0</v>
      </c>
      <c r="I1508" s="1104" t="n">
        <f aca="false">'Смета Внутр'!H1508</f>
        <v>0</v>
      </c>
      <c r="J1508" s="1109" t="n">
        <f aca="false">'Смета Внутр'!I1508</f>
        <v>0</v>
      </c>
    </row>
    <row r="1509" customFormat="false" ht="15" hidden="true" customHeight="true" outlineLevel="0" collapsed="false">
      <c r="B1509" s="1104" t="str">
        <f aca="false">'Смета Внутр'!B1509</f>
        <v>карнизная планка</v>
      </c>
      <c r="C1509" s="1104" t="str">
        <f aca="false">'Смета Внутр'!C1509</f>
        <v>м2</v>
      </c>
      <c r="D1509" s="1109" t="n">
        <f aca="false">'Смета Внутр'!D1509</f>
        <v>0</v>
      </c>
      <c r="E1509" s="1104" t="n">
        <f aca="false">'Смета Внутр'!E1509</f>
        <v>100</v>
      </c>
      <c r="F1509" s="1104" t="n">
        <f aca="false">'Смета Внутр'!F1509</f>
        <v>0</v>
      </c>
      <c r="G1509" s="1104" t="n">
        <f aca="false">IF(E1509&gt;F1509,E1509,F1509)</f>
        <v>100</v>
      </c>
      <c r="H1509" s="1104" t="n">
        <f aca="false">'Смета Внутр'!G1509</f>
        <v>0</v>
      </c>
      <c r="I1509" s="1104" t="n">
        <f aca="false">'Смета Внутр'!H1509</f>
        <v>0</v>
      </c>
      <c r="J1509" s="1109" t="n">
        <f aca="false">'Смета Внутр'!I1509</f>
        <v>0</v>
      </c>
    </row>
    <row r="1510" customFormat="false" ht="15" hidden="true" customHeight="true" outlineLevel="0" collapsed="false">
      <c r="B1510" s="1104" t="str">
        <f aca="false">'Смета Внутр'!B1510</f>
        <v>желоб водосточный</v>
      </c>
      <c r="C1510" s="1104" t="str">
        <f aca="false">'Смета Внутр'!C1510</f>
        <v>м.п.</v>
      </c>
      <c r="D1510" s="1109" t="n">
        <f aca="false">'Смета Внутр'!D1510</f>
        <v>0</v>
      </c>
      <c r="E1510" s="1104" t="n">
        <f aca="false">'Смета Внутр'!E1510</f>
        <v>300</v>
      </c>
      <c r="F1510" s="1104" t="n">
        <f aca="false">'Смета Внутр'!F1510</f>
        <v>0</v>
      </c>
      <c r="G1510" s="1104" t="n">
        <f aca="false">IF(E1510&gt;F1510,E1510,F1510)</f>
        <v>300</v>
      </c>
      <c r="H1510" s="1104" t="n">
        <f aca="false">'Смета Внутр'!G1510</f>
        <v>0</v>
      </c>
      <c r="I1510" s="1104" t="n">
        <f aca="false">'Смета Внутр'!H1510</f>
        <v>0</v>
      </c>
      <c r="J1510" s="1109" t="n">
        <f aca="false">'Смета Внутр'!I1510</f>
        <v>0</v>
      </c>
    </row>
    <row r="1511" customFormat="false" ht="15" hidden="true" customHeight="true" outlineLevel="0" collapsed="false">
      <c r="B1511" s="1104" t="str">
        <f aca="false">'Смета Внутр'!B1511</f>
        <v>труба водосточная</v>
      </c>
      <c r="C1511" s="1104" t="str">
        <f aca="false">'Смета Внутр'!C1511</f>
        <v>м.п.</v>
      </c>
      <c r="D1511" s="1109" t="n">
        <f aca="false">'Смета Внутр'!D1511</f>
        <v>0</v>
      </c>
      <c r="E1511" s="1104" t="n">
        <f aca="false">'Смета Внутр'!E1511</f>
        <v>300</v>
      </c>
      <c r="F1511" s="1104" t="n">
        <f aca="false">'Смета Внутр'!F1511</f>
        <v>0</v>
      </c>
      <c r="G1511" s="1104" t="n">
        <f aca="false">IF(E1511&gt;F1511,E1511,F1511)</f>
        <v>300</v>
      </c>
      <c r="H1511" s="1104" t="n">
        <f aca="false">'Смета Внутр'!G1511</f>
        <v>0</v>
      </c>
      <c r="I1511" s="1104" t="n">
        <f aca="false">'Смета Внутр'!H1511</f>
        <v>0</v>
      </c>
      <c r="J1511" s="1109" t="n">
        <f aca="false">'Смета Внутр'!I1511</f>
        <v>0</v>
      </c>
    </row>
    <row r="1512" customFormat="false" ht="15" hidden="true" customHeight="true" outlineLevel="0" collapsed="false">
      <c r="B1512" s="1104" t="str">
        <f aca="false">'Смета Внутр'!B1512</f>
        <v>ендова внутр/наружн</v>
      </c>
      <c r="C1512" s="1104" t="str">
        <f aca="false">'Смета Внутр'!C1512</f>
        <v>м.п.</v>
      </c>
      <c r="D1512" s="1109" t="n">
        <f aca="false">'Смета Внутр'!D1512</f>
        <v>0</v>
      </c>
      <c r="E1512" s="1104" t="n">
        <f aca="false">'Смета Внутр'!E1512</f>
        <v>300</v>
      </c>
      <c r="F1512" s="1104" t="n">
        <f aca="false">'Смета Внутр'!F1512</f>
        <v>0</v>
      </c>
      <c r="G1512" s="1104" t="n">
        <f aca="false">IF(E1512&gt;F1512,E1512,F1512)</f>
        <v>300</v>
      </c>
      <c r="H1512" s="1104" t="n">
        <f aca="false">'Смета Внутр'!G1512</f>
        <v>0</v>
      </c>
      <c r="I1512" s="1104" t="n">
        <f aca="false">'Смета Внутр'!H1512</f>
        <v>0</v>
      </c>
      <c r="J1512" s="1109" t="n">
        <f aca="false">'Смета Внутр'!I1512</f>
        <v>0</v>
      </c>
    </row>
    <row r="1513" customFormat="false" ht="15" hidden="true" customHeight="true" outlineLevel="0" collapsed="false">
      <c r="B1513" s="1104" t="str">
        <f aca="false">'Смета Внутр'!B1513</f>
        <v>Монтаж фанеры/osb</v>
      </c>
      <c r="C1513" s="1104" t="str">
        <f aca="false">'Смета Внутр'!C1513</f>
        <v>м2</v>
      </c>
      <c r="D1513" s="1109" t="n">
        <f aca="false">'Смета Внутр'!D1513</f>
        <v>0</v>
      </c>
      <c r="E1513" s="1104" t="n">
        <f aca="false">'Смета Внутр'!E1513</f>
        <v>200</v>
      </c>
      <c r="F1513" s="1104" t="n">
        <f aca="false">'Смета Внутр'!F1513</f>
        <v>0</v>
      </c>
      <c r="G1513" s="1104" t="n">
        <f aca="false">IF(E1513&gt;F1513,E1513,F1513)</f>
        <v>200</v>
      </c>
      <c r="H1513" s="1104" t="n">
        <f aca="false">'Смета Внутр'!G1513</f>
        <v>0</v>
      </c>
      <c r="I1513" s="1104" t="n">
        <f aca="false">'Смета Внутр'!H1513</f>
        <v>0</v>
      </c>
      <c r="J1513" s="1109" t="n">
        <f aca="false">'Смета Внутр'!I1513</f>
        <v>0</v>
      </c>
    </row>
    <row r="1514" customFormat="false" ht="15" hidden="true" customHeight="true" outlineLevel="0" collapsed="false">
      <c r="B1514" s="1104" t="str">
        <f aca="false">'Смета Внутр'!B1514</f>
        <v>монтаж подкладочного ковра</v>
      </c>
      <c r="C1514" s="1104" t="str">
        <f aca="false">'Смета Внутр'!C1514</f>
        <v>м2</v>
      </c>
      <c r="D1514" s="1109" t="n">
        <f aca="false">'Смета Внутр'!D1514</f>
        <v>0</v>
      </c>
      <c r="E1514" s="1104" t="n">
        <f aca="false">'Смета Внутр'!E1514</f>
        <v>150</v>
      </c>
      <c r="F1514" s="1104" t="n">
        <f aca="false">'Смета Внутр'!F1514</f>
        <v>0</v>
      </c>
      <c r="G1514" s="1104" t="n">
        <f aca="false">IF(E1514&gt;F1514,E1514,F1514)</f>
        <v>150</v>
      </c>
      <c r="H1514" s="1104" t="n">
        <f aca="false">'Смета Внутр'!G1514</f>
        <v>0</v>
      </c>
      <c r="I1514" s="1104" t="n">
        <f aca="false">'Смета Внутр'!H1514</f>
        <v>0</v>
      </c>
      <c r="J1514" s="1109" t="n">
        <f aca="false">'Смета Внутр'!I1514</f>
        <v>0</v>
      </c>
    </row>
    <row r="1515" customFormat="false" ht="15" hidden="true" customHeight="true" outlineLevel="0" collapsed="false">
      <c r="B1515" s="1104" t="str">
        <f aca="false">'Смета Внутр'!B1515</f>
        <v>Монтаж мягкой кровли</v>
      </c>
      <c r="C1515" s="1104" t="str">
        <f aca="false">'Смета Внутр'!C1515</f>
        <v>м2</v>
      </c>
      <c r="D1515" s="1109" t="n">
        <f aca="false">'Смета Внутр'!D1515</f>
        <v>0</v>
      </c>
      <c r="E1515" s="1104" t="n">
        <f aca="false">'Смета Внутр'!E1515</f>
        <v>350</v>
      </c>
      <c r="F1515" s="1104" t="n">
        <f aca="false">'Смета Внутр'!F1515</f>
        <v>0</v>
      </c>
      <c r="G1515" s="1104" t="n">
        <f aca="false">IF(E1515&gt;F1515,E1515,F1515)</f>
        <v>350</v>
      </c>
      <c r="H1515" s="1104" t="n">
        <f aca="false">'Смета Внутр'!G1515</f>
        <v>0</v>
      </c>
      <c r="I1515" s="1104" t="n">
        <f aca="false">'Смета Внутр'!H1515</f>
        <v>0</v>
      </c>
      <c r="J1515" s="1109" t="n">
        <f aca="false">'Смета Внутр'!I1515</f>
        <v>0</v>
      </c>
    </row>
    <row r="1516" customFormat="false" ht="15" hidden="true" customHeight="true" outlineLevel="0" collapsed="false">
      <c r="B1516" s="1108" t="str">
        <f aca="false">'Смета Внутр'!B1516</f>
        <v>Итого работы</v>
      </c>
      <c r="C1516" s="1108"/>
      <c r="D1516" s="1108"/>
      <c r="E1516" s="1108"/>
      <c r="F1516" s="1108"/>
      <c r="G1516" s="1108"/>
      <c r="H1516" s="1104" t="n">
        <f aca="false">'Смета Внутр'!G1516</f>
        <v>0</v>
      </c>
      <c r="I1516" s="1104" t="n">
        <f aca="false">'Смета Внутр'!H1516</f>
        <v>0</v>
      </c>
      <c r="J1516" s="1109" t="n">
        <f aca="false">'Смета Внутр'!I1516</f>
        <v>0</v>
      </c>
    </row>
    <row r="1517" customFormat="false" ht="15" hidden="true" customHeight="true" outlineLevel="0" collapsed="false">
      <c r="B1517" s="1111" t="str">
        <f aca="false">'Смета Внутр'!B1517</f>
        <v>Кровля на террасу/веранду</v>
      </c>
      <c r="C1517" s="1111"/>
      <c r="D1517" s="1111"/>
      <c r="H1517" s="118" t="n">
        <f aca="false">'Смета Внутр'!G1517</f>
        <v>0</v>
      </c>
      <c r="I1517" s="118" t="n">
        <f aca="false">'Смета Внутр'!H1517</f>
        <v>0</v>
      </c>
      <c r="J1517" s="1102" t="n">
        <f aca="false">'Смета Внутр'!I1517</f>
        <v>0</v>
      </c>
    </row>
    <row r="1518" customFormat="false" ht="15" hidden="true" customHeight="true" outlineLevel="0" collapsed="false">
      <c r="B1518" s="118" t="str">
        <f aca="false">'Смета Внутр'!B1518</f>
        <v>Материалы</v>
      </c>
      <c r="H1518" s="118" t="n">
        <f aca="false">'Смета Внутр'!G1518</f>
        <v>0</v>
      </c>
      <c r="I1518" s="118" t="n">
        <f aca="false">'Смета Внутр'!H1518</f>
        <v>0</v>
      </c>
      <c r="J1518" s="1102" t="n">
        <f aca="false">'Смета Внутр'!I1518</f>
        <v>0</v>
      </c>
    </row>
    <row r="1519" customFormat="false" ht="15" hidden="true" customHeight="true" outlineLevel="0" collapsed="false">
      <c r="B1519" s="1104" t="str">
        <f aca="false">'Смета Внутр'!B1519</f>
        <v>Доска сухая, 200*50мм</v>
      </c>
      <c r="C1519" s="1104" t="str">
        <f aca="false">'Смета Внутр'!C1519</f>
        <v>м3</v>
      </c>
      <c r="D1519" s="1109" t="n">
        <f aca="false">'Смета Внутр'!D1519</f>
        <v>0</v>
      </c>
      <c r="E1519" s="1104" t="n">
        <f aca="false">'Смета Внутр'!E1519</f>
        <v>9000</v>
      </c>
      <c r="F1519" s="1104" t="n">
        <f aca="false">'Смета Внутр'!F1519</f>
        <v>0</v>
      </c>
      <c r="G1519" s="1104" t="n">
        <f aca="false">IF(E1519&gt;F1519,E1519,F1519)</f>
        <v>9000</v>
      </c>
      <c r="H1519" s="1104" t="n">
        <f aca="false">'Смета Внутр'!G1519</f>
        <v>0</v>
      </c>
      <c r="I1519" s="1104" t="n">
        <f aca="false">'Смета Внутр'!H1519</f>
        <v>0</v>
      </c>
      <c r="J1519" s="1109" t="n">
        <f aca="false">'Смета Внутр'!I1519</f>
        <v>0</v>
      </c>
    </row>
    <row r="1520" customFormat="false" ht="15" hidden="true" customHeight="true" outlineLevel="0" collapsed="false">
      <c r="B1520" s="1104" t="str">
        <f aca="false">'Смета Внутр'!B1520</f>
        <v>Сосна влаж,100*25мм</v>
      </c>
      <c r="C1520" s="1104" t="str">
        <f aca="false">'Смета Внутр'!C1520</f>
        <v>м3</v>
      </c>
      <c r="D1520" s="1109" t="n">
        <f aca="false">'Смета Внутр'!D1520</f>
        <v>0</v>
      </c>
      <c r="E1520" s="1104" t="n">
        <f aca="false">'Смета Внутр'!E1520</f>
        <v>6500</v>
      </c>
      <c r="F1520" s="1104" t="n">
        <f aca="false">'Смета Внутр'!F1520</f>
        <v>0</v>
      </c>
      <c r="G1520" s="1104" t="n">
        <f aca="false">IF(E1520&gt;F1520,E1520,F1520)</f>
        <v>6500</v>
      </c>
      <c r="H1520" s="1104" t="n">
        <f aca="false">'Смета Внутр'!G1520</f>
        <v>0</v>
      </c>
      <c r="I1520" s="1104" t="n">
        <f aca="false">'Смета Внутр'!H1520</f>
        <v>0</v>
      </c>
      <c r="J1520" s="1109" t="n">
        <f aca="false">'Смета Внутр'!I1520</f>
        <v>0</v>
      </c>
    </row>
    <row r="1521" customFormat="false" ht="15" hidden="true" customHeight="true" outlineLevel="0" collapsed="false">
      <c r="B1521" s="1104" t="str">
        <f aca="false">'Смета Внутр'!B1521</f>
        <v>Доска сухая, калибр., 35*45мм</v>
      </c>
      <c r="C1521" s="1104" t="str">
        <f aca="false">'Смета Внутр'!C1521</f>
        <v>шт</v>
      </c>
      <c r="D1521" s="1109" t="n">
        <f aca="false">'Смета Внутр'!D1521</f>
        <v>0</v>
      </c>
      <c r="E1521" s="1104" t="n">
        <f aca="false">'Смета Внутр'!E1521</f>
        <v>12500</v>
      </c>
      <c r="F1521" s="1104" t="n">
        <f aca="false">'Смета Внутр'!F1521</f>
        <v>0</v>
      </c>
      <c r="G1521" s="1104" t="n">
        <f aca="false">IF(E1521&gt;F1521,E1521,F1521)</f>
        <v>12500</v>
      </c>
      <c r="H1521" s="1104" t="n">
        <f aca="false">'Смета Внутр'!G1521</f>
        <v>0</v>
      </c>
      <c r="I1521" s="1104" t="n">
        <f aca="false">'Смета Внутр'!H1521</f>
        <v>0</v>
      </c>
      <c r="J1521" s="1109" t="n">
        <f aca="false">'Смета Внутр'!I1521</f>
        <v>0</v>
      </c>
    </row>
    <row r="1522" customFormat="false" ht="15" hidden="true" customHeight="true" outlineLevel="0" collapsed="false">
      <c r="B1522" s="1104" t="str">
        <f aca="false">'Смета Внутр'!B1522</f>
        <v>нет ветроизоляции</v>
      </c>
      <c r="C1522" s="1104" t="str">
        <f aca="false">'Смета Внутр'!C1522</f>
        <v>м2</v>
      </c>
      <c r="D1522" s="1109" t="n">
        <f aca="false">'Смета Внутр'!D1522</f>
        <v>0</v>
      </c>
      <c r="E1522" s="1104" t="n">
        <f aca="false">'Смета Внутр'!E1522</f>
        <v>0</v>
      </c>
      <c r="F1522" s="1104" t="n">
        <f aca="false">'Смета Внутр'!F1522</f>
        <v>0</v>
      </c>
      <c r="G1522" s="1104" t="n">
        <f aca="false">IF(E1522&gt;F1522,E1522,F1522)</f>
        <v>0</v>
      </c>
      <c r="H1522" s="1104" t="n">
        <f aca="false">'Смета Внутр'!G1522</f>
        <v>0</v>
      </c>
      <c r="I1522" s="1104" t="n">
        <f aca="false">'Смета Внутр'!H1522</f>
        <v>0</v>
      </c>
      <c r="J1522" s="1109" t="n">
        <f aca="false">'Смета Внутр'!I1522</f>
        <v>0</v>
      </c>
    </row>
    <row r="1523" customFormat="false" ht="15" hidden="true" customHeight="true" outlineLevel="0" collapsed="false">
      <c r="B1523" s="1104" t="str">
        <f aca="false">'Смета Внутр'!B1523</f>
        <v>металлочерепица</v>
      </c>
      <c r="C1523" s="1104" t="str">
        <f aca="false">'Смета Внутр'!C1523</f>
        <v>м2</v>
      </c>
      <c r="D1523" s="1109" t="n">
        <f aca="false">'Смета Внутр'!D1523</f>
        <v>0</v>
      </c>
      <c r="E1523" s="1104" t="n">
        <f aca="false">'Смета Внутр'!E1523</f>
        <v>250</v>
      </c>
      <c r="F1523" s="1104" t="n">
        <f aca="false">'Смета Внутр'!F1523</f>
        <v>0</v>
      </c>
      <c r="G1523" s="1104" t="n">
        <f aca="false">IF(E1523&gt;F1523,E1523,F1523)</f>
        <v>250</v>
      </c>
      <c r="H1523" s="1104" t="n">
        <f aca="false">'Смета Внутр'!G1523</f>
        <v>0</v>
      </c>
      <c r="I1523" s="1104" t="n">
        <f aca="false">'Смета Внутр'!H1523</f>
        <v>0</v>
      </c>
      <c r="J1523" s="1109" t="n">
        <f aca="false">'Смета Внутр'!I1523</f>
        <v>0</v>
      </c>
    </row>
    <row r="1524" customFormat="false" ht="15" hidden="true" customHeight="true" outlineLevel="0" collapsed="false">
      <c r="B1524" s="1104" t="str">
        <f aca="false">'Смета Внутр'!B1524</f>
        <v>карнизная планка</v>
      </c>
      <c r="C1524" s="1104" t="str">
        <f aca="false">'Смета Внутр'!C1524</f>
        <v>м.п.</v>
      </c>
      <c r="D1524" s="1109" t="n">
        <f aca="false">'Смета Внутр'!D1524</f>
        <v>0</v>
      </c>
      <c r="E1524" s="1104" t="n">
        <f aca="false">'Смета Внутр'!E1524</f>
        <v>200</v>
      </c>
      <c r="F1524" s="1104" t="n">
        <f aca="false">'Смета Внутр'!F1524</f>
        <v>0</v>
      </c>
      <c r="G1524" s="1104" t="n">
        <f aca="false">IF(E1524&gt;F1524,E1524,F1524)</f>
        <v>200</v>
      </c>
      <c r="H1524" s="1104" t="n">
        <f aca="false">'Смета Внутр'!G1524</f>
        <v>0</v>
      </c>
      <c r="I1524" s="1104" t="n">
        <f aca="false">'Смета Внутр'!H1524</f>
        <v>0</v>
      </c>
      <c r="J1524" s="1109" t="n">
        <f aca="false">'Смета Внутр'!I1524</f>
        <v>0</v>
      </c>
    </row>
    <row r="1525" customFormat="false" ht="15" hidden="true" customHeight="true" outlineLevel="0" collapsed="false">
      <c r="B1525" s="1104" t="str">
        <f aca="false">'Смета Внутр'!B1525</f>
        <v>торцевая планка</v>
      </c>
      <c r="C1525" s="1104" t="str">
        <f aca="false">'Смета Внутр'!C1525</f>
        <v>м.п.</v>
      </c>
      <c r="D1525" s="1109" t="n">
        <f aca="false">'Смета Внутр'!D1525</f>
        <v>0</v>
      </c>
      <c r="E1525" s="1104" t="n">
        <f aca="false">'Смета Внутр'!E1525</f>
        <v>200</v>
      </c>
      <c r="F1525" s="1104" t="n">
        <f aca="false">'Смета Внутр'!F1525</f>
        <v>0</v>
      </c>
      <c r="G1525" s="1104" t="n">
        <f aca="false">IF(E1525&gt;F1525,E1525,F1525)</f>
        <v>200</v>
      </c>
      <c r="H1525" s="1104" t="n">
        <f aca="false">'Смета Внутр'!G1525</f>
        <v>0</v>
      </c>
      <c r="I1525" s="1104" t="n">
        <f aca="false">'Смета Внутр'!H1525</f>
        <v>0</v>
      </c>
      <c r="J1525" s="1109" t="n">
        <f aca="false">'Смета Внутр'!I1525</f>
        <v>0</v>
      </c>
    </row>
    <row r="1526" customFormat="false" ht="15" hidden="true" customHeight="true" outlineLevel="0" collapsed="false">
      <c r="B1526" s="1104" t="str">
        <f aca="false">'Смета Внутр'!B1526</f>
        <v>конек</v>
      </c>
      <c r="C1526" s="1104" t="str">
        <f aca="false">'Смета Внутр'!C1526</f>
        <v>м.п.</v>
      </c>
      <c r="D1526" s="1109" t="n">
        <f aca="false">'Смета Внутр'!D1526</f>
        <v>0</v>
      </c>
      <c r="E1526" s="1104" t="n">
        <f aca="false">'Смета Внутр'!E1526</f>
        <v>230</v>
      </c>
      <c r="F1526" s="1104" t="n">
        <f aca="false">'Смета Внутр'!F1526</f>
        <v>0</v>
      </c>
      <c r="G1526" s="1104" t="n">
        <f aca="false">IF(E1526&gt;F1526,E1526,F1526)</f>
        <v>230</v>
      </c>
      <c r="H1526" s="1104" t="n">
        <f aca="false">'Смета Внутр'!G1526</f>
        <v>0</v>
      </c>
      <c r="I1526" s="1104" t="n">
        <f aca="false">'Смета Внутр'!H1526</f>
        <v>0</v>
      </c>
      <c r="J1526" s="1109" t="n">
        <f aca="false">'Смета Внутр'!I1526</f>
        <v>0</v>
      </c>
    </row>
    <row r="1527" customFormat="false" ht="15" hidden="true" customHeight="true" outlineLevel="0" collapsed="false">
      <c r="B1527" s="1104" t="str">
        <f aca="false">'Смета Внутр'!B1527</f>
        <v>ондулин</v>
      </c>
      <c r="C1527" s="1104" t="str">
        <f aca="false">'Смета Внутр'!C1527</f>
        <v>м2</v>
      </c>
      <c r="D1527" s="1109" t="n">
        <f aca="false">'Смета Внутр'!D1527</f>
        <v>0</v>
      </c>
      <c r="E1527" s="1104" t="n">
        <f aca="false">'Смета Внутр'!E1527</f>
        <v>180</v>
      </c>
      <c r="F1527" s="1104" t="n">
        <f aca="false">'Смета Внутр'!F1527</f>
        <v>0</v>
      </c>
      <c r="G1527" s="1104" t="n">
        <f aca="false">IF(E1527&gt;F1527,E1527,F1527)</f>
        <v>180</v>
      </c>
      <c r="H1527" s="1104" t="n">
        <f aca="false">'Смета Внутр'!G1527</f>
        <v>0</v>
      </c>
      <c r="I1527" s="1104" t="n">
        <f aca="false">'Смета Внутр'!H1527</f>
        <v>0</v>
      </c>
      <c r="J1527" s="1109" t="n">
        <f aca="false">'Смета Внутр'!I1527</f>
        <v>0</v>
      </c>
    </row>
    <row r="1528" customFormat="false" ht="15" hidden="true" customHeight="true" outlineLevel="0" collapsed="false">
      <c r="B1528" s="1104" t="str">
        <f aca="false">'Смета Внутр'!B1528</f>
        <v>Карнизная планка</v>
      </c>
      <c r="C1528" s="1104" t="str">
        <f aca="false">'Смета Внутр'!C1528</f>
        <v>м.п.</v>
      </c>
      <c r="D1528" s="1109" t="n">
        <f aca="false">'Смета Внутр'!D1528</f>
        <v>0</v>
      </c>
      <c r="E1528" s="1104" t="n">
        <f aca="false">'Смета Внутр'!E1528</f>
        <v>190</v>
      </c>
      <c r="F1528" s="1104" t="n">
        <f aca="false">'Смета Внутр'!F1528</f>
        <v>0</v>
      </c>
      <c r="G1528" s="1104" t="n">
        <f aca="false">IF(E1528&gt;F1528,E1528,F1528)</f>
        <v>190</v>
      </c>
      <c r="H1528" s="1104" t="n">
        <f aca="false">'Смета Внутр'!G1528</f>
        <v>0</v>
      </c>
      <c r="I1528" s="1104" t="n">
        <f aca="false">'Смета Внутр'!H1528</f>
        <v>0</v>
      </c>
      <c r="J1528" s="1109" t="n">
        <f aca="false">'Смета Внутр'!I1528</f>
        <v>0</v>
      </c>
    </row>
    <row r="1529" customFormat="false" ht="15" hidden="true" customHeight="true" outlineLevel="0" collapsed="false">
      <c r="B1529" s="1104" t="str">
        <f aca="false">'Смета Внутр'!B1529</f>
        <v>Торцевая планка</v>
      </c>
      <c r="C1529" s="1104" t="str">
        <f aca="false">'Смета Внутр'!C1529</f>
        <v>м.п.</v>
      </c>
      <c r="D1529" s="1109" t="n">
        <f aca="false">'Смета Внутр'!D1529</f>
        <v>0</v>
      </c>
      <c r="E1529" s="1104" t="n">
        <f aca="false">'Смета Внутр'!E1529</f>
        <v>190</v>
      </c>
      <c r="F1529" s="1104" t="n">
        <f aca="false">'Смета Внутр'!F1529</f>
        <v>0</v>
      </c>
      <c r="G1529" s="1104" t="n">
        <f aca="false">IF(E1529&gt;F1529,E1529,F1529)</f>
        <v>190</v>
      </c>
      <c r="H1529" s="1104" t="n">
        <f aca="false">'Смета Внутр'!G1529</f>
        <v>0</v>
      </c>
      <c r="I1529" s="1104" t="n">
        <f aca="false">'Смета Внутр'!H1529</f>
        <v>0</v>
      </c>
      <c r="J1529" s="1109" t="n">
        <f aca="false">'Смета Внутр'!I1529</f>
        <v>0</v>
      </c>
    </row>
    <row r="1530" customFormat="false" ht="15" hidden="true" customHeight="true" outlineLevel="0" collapsed="false">
      <c r="B1530" s="1104" t="str">
        <f aca="false">'Смета Внутр'!B1530</f>
        <v>Конек</v>
      </c>
      <c r="C1530" s="1104" t="str">
        <f aca="false">'Смета Внутр'!C1530</f>
        <v>м.п.</v>
      </c>
      <c r="D1530" s="1109" t="n">
        <f aca="false">'Смета Внутр'!D1530</f>
        <v>0</v>
      </c>
      <c r="E1530" s="1104" t="n">
        <f aca="false">'Смета Внутр'!E1530</f>
        <v>200</v>
      </c>
      <c r="F1530" s="1104" t="n">
        <f aca="false">'Смета Внутр'!F1530</f>
        <v>0</v>
      </c>
      <c r="G1530" s="1104" t="n">
        <f aca="false">IF(E1530&gt;F1530,E1530,F1530)</f>
        <v>200</v>
      </c>
      <c r="H1530" s="1104" t="n">
        <f aca="false">'Смета Внутр'!G1530</f>
        <v>0</v>
      </c>
      <c r="I1530" s="1104" t="n">
        <f aca="false">'Смета Внутр'!H1530</f>
        <v>0</v>
      </c>
      <c r="J1530" s="1109" t="n">
        <f aca="false">'Смета Внутр'!I1530</f>
        <v>0</v>
      </c>
    </row>
    <row r="1531" customFormat="false" ht="15" hidden="true" customHeight="true" outlineLevel="0" collapsed="false">
      <c r="B1531" s="1104" t="str">
        <f aca="false">'Смета Внутр'!B1531</f>
        <v>Ендова нижняя</v>
      </c>
      <c r="C1531" s="1104" t="str">
        <f aca="false">'Смета Внутр'!C1531</f>
        <v>м.п.</v>
      </c>
      <c r="D1531" s="1109" t="n">
        <f aca="false">'Смета Внутр'!D1531</f>
        <v>0</v>
      </c>
      <c r="E1531" s="1104" t="n">
        <f aca="false">'Смета Внутр'!E1531</f>
        <v>160</v>
      </c>
      <c r="F1531" s="1104" t="n">
        <f aca="false">'Смета Внутр'!F1531</f>
        <v>0</v>
      </c>
      <c r="G1531" s="1104" t="n">
        <f aca="false">IF(E1531&gt;F1531,E1531,F1531)</f>
        <v>160</v>
      </c>
      <c r="H1531" s="1104" t="n">
        <f aca="false">'Смета Внутр'!G1531</f>
        <v>0</v>
      </c>
      <c r="I1531" s="1104" t="n">
        <f aca="false">'Смета Внутр'!H1531</f>
        <v>0</v>
      </c>
      <c r="J1531" s="1109" t="n">
        <f aca="false">'Смета Внутр'!I1531</f>
        <v>0</v>
      </c>
    </row>
    <row r="1532" customFormat="false" ht="15" hidden="true" customHeight="true" outlineLevel="0" collapsed="false">
      <c r="B1532" s="1104" t="str">
        <f aca="false">'Смета Внутр'!B1532</f>
        <v>Ендова верхняя</v>
      </c>
      <c r="C1532" s="1104" t="str">
        <f aca="false">'Смета Внутр'!C1532</f>
        <v>м.п.</v>
      </c>
      <c r="D1532" s="1109" t="n">
        <f aca="false">'Смета Внутр'!D1532</f>
        <v>0</v>
      </c>
      <c r="E1532" s="1104" t="n">
        <f aca="false">'Смета Внутр'!E1532</f>
        <v>190</v>
      </c>
      <c r="F1532" s="1104" t="n">
        <f aca="false">'Смета Внутр'!F1532</f>
        <v>0</v>
      </c>
      <c r="G1532" s="1104" t="n">
        <f aca="false">IF(E1532&gt;F1532,E1532,F1532)</f>
        <v>190</v>
      </c>
      <c r="H1532" s="1104" t="n">
        <f aca="false">'Смета Внутр'!G1532</f>
        <v>0</v>
      </c>
      <c r="I1532" s="1104" t="n">
        <f aca="false">'Смета Внутр'!H1532</f>
        <v>0</v>
      </c>
      <c r="J1532" s="1109" t="n">
        <f aca="false">'Смета Внутр'!I1532</f>
        <v>0</v>
      </c>
    </row>
    <row r="1533" customFormat="false" ht="15" hidden="true" customHeight="true" outlineLevel="0" collapsed="false">
      <c r="B1533" s="1104" t="str">
        <f aca="false">'Смета Внутр'!B1533</f>
        <v>Планка примыкания</v>
      </c>
      <c r="C1533" s="1104" t="str">
        <f aca="false">'Смета Внутр'!C1533</f>
        <v>м.п.</v>
      </c>
      <c r="D1533" s="1109" t="n">
        <f aca="false">'Смета Внутр'!D1533</f>
        <v>0</v>
      </c>
      <c r="E1533" s="1104" t="n">
        <f aca="false">'Смета Внутр'!E1533</f>
        <v>190</v>
      </c>
      <c r="F1533" s="1104" t="n">
        <f aca="false">'Смета Внутр'!F1533</f>
        <v>0</v>
      </c>
      <c r="G1533" s="1104" t="n">
        <f aca="false">IF(E1533&gt;F1533,E1533,F1533)</f>
        <v>190</v>
      </c>
      <c r="H1533" s="1104" t="n">
        <f aca="false">'Смета Внутр'!G1533</f>
        <v>0</v>
      </c>
      <c r="I1533" s="1104" t="n">
        <f aca="false">'Смета Внутр'!H1533</f>
        <v>0</v>
      </c>
      <c r="J1533" s="1109" t="n">
        <f aca="false">'Смета Внутр'!I1533</f>
        <v>0</v>
      </c>
    </row>
    <row r="1534" customFormat="false" ht="15" hidden="true" customHeight="true" outlineLevel="0" collapsed="false">
      <c r="B1534" s="1104" t="str">
        <f aca="false">'Смета Внутр'!B1534</f>
        <v>Крепеж для ондулина</v>
      </c>
      <c r="C1534" s="1104" t="str">
        <f aca="false">'Смета Внутр'!C1534</f>
        <v>шт</v>
      </c>
      <c r="D1534" s="1109" t="n">
        <f aca="false">'Смета Внутр'!D1534</f>
        <v>0</v>
      </c>
      <c r="E1534" s="1104" t="n">
        <f aca="false">'Смета Внутр'!E1534</f>
        <v>4.5</v>
      </c>
      <c r="F1534" s="1104" t="n">
        <f aca="false">'Смета Внутр'!F1534</f>
        <v>0</v>
      </c>
      <c r="G1534" s="1104" t="n">
        <f aca="false">IF(E1534&gt;F1534,E1534,F1534)</f>
        <v>4.5</v>
      </c>
      <c r="H1534" s="1104" t="n">
        <f aca="false">'Смета Внутр'!G1534</f>
        <v>0</v>
      </c>
      <c r="I1534" s="1104" t="n">
        <f aca="false">'Смета Внутр'!H1534</f>
        <v>0</v>
      </c>
      <c r="J1534" s="1109" t="n">
        <f aca="false">'Смета Внутр'!I1534</f>
        <v>0</v>
      </c>
    </row>
    <row r="1535" customFormat="false" ht="15" hidden="true" customHeight="true" outlineLevel="0" collapsed="false">
      <c r="B1535" s="1104" t="str">
        <f aca="false">'Смета Внутр'!B1535</f>
        <v>нет</v>
      </c>
      <c r="C1535" s="1104" t="str">
        <f aca="false">'Смета Внутр'!C1535</f>
        <v>м2</v>
      </c>
      <c r="D1535" s="1109" t="n">
        <f aca="false">'Смета Внутр'!D1535</f>
        <v>21.4120474499754</v>
      </c>
      <c r="E1535" s="1104" t="n">
        <f aca="false">'Смета Внутр'!E1535</f>
        <v>0</v>
      </c>
      <c r="F1535" s="1104" t="n">
        <f aca="false">'Смета Внутр'!F1535</f>
        <v>0</v>
      </c>
      <c r="G1535" s="1104" t="n">
        <f aca="false">IF(E1535&gt;F1535,E1535,F1535)</f>
        <v>0</v>
      </c>
      <c r="H1535" s="1104" t="n">
        <f aca="false">'Смета Внутр'!G1535</f>
        <v>0</v>
      </c>
      <c r="I1535" s="1104" t="n">
        <f aca="false">'Смета Внутр'!H1535</f>
        <v>0</v>
      </c>
      <c r="J1535" s="1109" t="n">
        <f aca="false">'Смета Внутр'!I1535</f>
        <v>0</v>
      </c>
    </row>
    <row r="1536" customFormat="false" ht="15" hidden="true" customHeight="true" outlineLevel="0" collapsed="false">
      <c r="B1536" s="1104" t="str">
        <f aca="false">'Смета Внутр'!B1536</f>
        <v>Рядовая черепица</v>
      </c>
      <c r="C1536" s="1104" t="str">
        <f aca="false">'Смета Внутр'!C1536</f>
        <v>м2</v>
      </c>
      <c r="D1536" s="1109" t="n">
        <f aca="false">'Смета Внутр'!D1536</f>
        <v>0</v>
      </c>
      <c r="E1536" s="1104" t="n">
        <f aca="false">'Смета Внутр'!E1536</f>
        <v>360</v>
      </c>
      <c r="F1536" s="1104" t="n">
        <f aca="false">'Смета Внутр'!F1536</f>
        <v>0</v>
      </c>
      <c r="G1536" s="1104" t="n">
        <f aca="false">IF(E1536&gt;F1536,E1536,F1536)</f>
        <v>360</v>
      </c>
      <c r="H1536" s="1104" t="n">
        <f aca="false">'Смета Внутр'!G1536</f>
        <v>0</v>
      </c>
      <c r="I1536" s="1104" t="n">
        <f aca="false">'Смета Внутр'!H1536</f>
        <v>0</v>
      </c>
      <c r="J1536" s="1109" t="n">
        <f aca="false">'Смета Внутр'!I1536</f>
        <v>0</v>
      </c>
    </row>
    <row r="1537" customFormat="false" ht="15" hidden="true" customHeight="true" outlineLevel="0" collapsed="false">
      <c r="B1537" s="1104" t="str">
        <f aca="false">'Смета Внутр'!B1537</f>
        <v>Металл оцинк защита (карниз)</v>
      </c>
      <c r="C1537" s="1104" t="str">
        <f aca="false">'Смета Внутр'!C1537</f>
        <v>м.п.</v>
      </c>
      <c r="D1537" s="1109" t="n">
        <f aca="false">'Смета Внутр'!D1537</f>
        <v>0</v>
      </c>
      <c r="E1537" s="1104" t="n">
        <f aca="false">'Смета Внутр'!E1537</f>
        <v>200</v>
      </c>
      <c r="F1537" s="1104" t="n">
        <f aca="false">'Смета Внутр'!F1537</f>
        <v>0</v>
      </c>
      <c r="G1537" s="1104" t="n">
        <f aca="false">IF(E1537&gt;F1537,E1537,F1537)</f>
        <v>200</v>
      </c>
      <c r="H1537" s="1104" t="n">
        <f aca="false">'Смета Внутр'!G1537</f>
        <v>0</v>
      </c>
      <c r="I1537" s="1104" t="n">
        <f aca="false">'Смета Внутр'!H1537</f>
        <v>0</v>
      </c>
      <c r="J1537" s="1109" t="n">
        <f aca="false">'Смета Внутр'!I1537</f>
        <v>0</v>
      </c>
    </row>
    <row r="1538" customFormat="false" ht="15" hidden="true" customHeight="true" outlineLevel="0" collapsed="false">
      <c r="B1538" s="1104" t="str">
        <f aca="false">'Смета Внутр'!B1538</f>
        <v>Подкладочный ковер</v>
      </c>
      <c r="C1538" s="1104" t="str">
        <f aca="false">'Смета Внутр'!C1538</f>
        <v>м.п.</v>
      </c>
      <c r="D1538" s="1109" t="n">
        <f aca="false">'Смета Внутр'!D1538</f>
        <v>0</v>
      </c>
      <c r="E1538" s="1104" t="n">
        <f aca="false">'Смета Внутр'!E1538</f>
        <v>220</v>
      </c>
      <c r="F1538" s="1104" t="n">
        <f aca="false">'Смета Внутр'!F1538</f>
        <v>0</v>
      </c>
      <c r="G1538" s="1104" t="n">
        <f aca="false">IF(E1538&gt;F1538,E1538,F1538)</f>
        <v>220</v>
      </c>
      <c r="H1538" s="1104" t="n">
        <f aca="false">'Смета Внутр'!G1538</f>
        <v>0</v>
      </c>
      <c r="I1538" s="1104" t="n">
        <f aca="false">'Смета Внутр'!H1538</f>
        <v>0</v>
      </c>
      <c r="J1538" s="1109" t="n">
        <f aca="false">'Смета Внутр'!I1538</f>
        <v>0</v>
      </c>
    </row>
    <row r="1539" customFormat="false" ht="15" hidden="true" customHeight="true" outlineLevel="0" collapsed="false">
      <c r="B1539" s="1104" t="str">
        <f aca="false">'Смета Внутр'!B1539</f>
        <v>Карнизная самоклеющаяся черепица</v>
      </c>
      <c r="C1539" s="1104" t="str">
        <f aca="false">'Смета Внутр'!C1539</f>
        <v>м.п.</v>
      </c>
      <c r="D1539" s="1109" t="n">
        <f aca="false">'Смета Внутр'!D1539</f>
        <v>0</v>
      </c>
      <c r="E1539" s="1104" t="n">
        <f aca="false">'Смета Внутр'!E1539</f>
        <v>220</v>
      </c>
      <c r="F1539" s="1104" t="n">
        <f aca="false">'Смета Внутр'!F1539</f>
        <v>0</v>
      </c>
      <c r="G1539" s="1104" t="n">
        <f aca="false">IF(E1539&gt;F1539,E1539,F1539)</f>
        <v>220</v>
      </c>
      <c r="H1539" s="1104" t="n">
        <f aca="false">'Смета Внутр'!G1539</f>
        <v>0</v>
      </c>
      <c r="I1539" s="1104" t="n">
        <f aca="false">'Смета Внутр'!H1539</f>
        <v>0</v>
      </c>
      <c r="J1539" s="1109" t="n">
        <f aca="false">'Смета Внутр'!I1539</f>
        <v>0</v>
      </c>
    </row>
    <row r="1540" customFormat="false" ht="15" hidden="true" customHeight="true" outlineLevel="0" collapsed="false">
      <c r="B1540" s="1104" t="str">
        <f aca="false">'Смета Внутр'!B1540</f>
        <v>Спец ковер ендова нижняя</v>
      </c>
      <c r="C1540" s="1104" t="str">
        <f aca="false">'Смета Внутр'!C1540</f>
        <v>м.п.</v>
      </c>
      <c r="D1540" s="1109" t="n">
        <f aca="false">'Смета Внутр'!D1540</f>
        <v>0</v>
      </c>
      <c r="E1540" s="1104" t="n">
        <f aca="false">'Смета Внутр'!E1540</f>
        <v>200</v>
      </c>
      <c r="F1540" s="1104" t="n">
        <f aca="false">'Смета Внутр'!F1540</f>
        <v>0</v>
      </c>
      <c r="G1540" s="1104" t="n">
        <f aca="false">IF(E1540&gt;F1540,E1540,F1540)</f>
        <v>200</v>
      </c>
      <c r="H1540" s="1104" t="n">
        <f aca="false">'Смета Внутр'!G1540</f>
        <v>0</v>
      </c>
      <c r="I1540" s="1104" t="n">
        <f aca="false">'Смета Внутр'!H1540</f>
        <v>0</v>
      </c>
      <c r="J1540" s="1109" t="n">
        <f aca="false">'Смета Внутр'!I1540</f>
        <v>0</v>
      </c>
    </row>
    <row r="1541" customFormat="false" ht="15" hidden="true" customHeight="true" outlineLevel="0" collapsed="false">
      <c r="B1541" s="1104" t="str">
        <f aca="false">'Смета Внутр'!B1541</f>
        <v>Коньковой элемент</v>
      </c>
      <c r="C1541" s="1104" t="str">
        <f aca="false">'Смета Внутр'!C1541</f>
        <v>м.п.</v>
      </c>
      <c r="D1541" s="1109" t="n">
        <f aca="false">'Смета Внутр'!D1541</f>
        <v>0</v>
      </c>
      <c r="E1541" s="1104" t="n">
        <f aca="false">'Смета Внутр'!E1541</f>
        <v>250</v>
      </c>
      <c r="F1541" s="1104" t="n">
        <f aca="false">'Смета Внутр'!F1541</f>
        <v>0</v>
      </c>
      <c r="G1541" s="1104" t="n">
        <f aca="false">IF(E1541&gt;F1541,E1541,F1541)</f>
        <v>250</v>
      </c>
      <c r="H1541" s="1104" t="n">
        <f aca="false">'Смета Внутр'!G1541</f>
        <v>0</v>
      </c>
      <c r="I1541" s="1104" t="n">
        <f aca="false">'Смета Внутр'!H1541</f>
        <v>0</v>
      </c>
      <c r="J1541" s="1109" t="n">
        <f aca="false">'Смета Внутр'!I1541</f>
        <v>0</v>
      </c>
    </row>
    <row r="1542" customFormat="false" ht="15" hidden="true" customHeight="true" outlineLevel="0" collapsed="false">
      <c r="B1542" s="1104" t="str">
        <f aca="false">'Смета Внутр'!B1542</f>
        <v>Планка премыкания</v>
      </c>
      <c r="C1542" s="1104" t="str">
        <f aca="false">'Смета Внутр'!C1542</f>
        <v>м.п.</v>
      </c>
      <c r="D1542" s="1109" t="n">
        <f aca="false">'Смета Внутр'!D1542</f>
        <v>0</v>
      </c>
      <c r="E1542" s="1104" t="n">
        <f aca="false">'Смета Внутр'!E1542</f>
        <v>200</v>
      </c>
      <c r="F1542" s="1104" t="n">
        <f aca="false">'Смета Внутр'!F1542</f>
        <v>0</v>
      </c>
      <c r="G1542" s="1104" t="n">
        <f aca="false">IF(E1542&gt;F1542,E1542,F1542)</f>
        <v>200</v>
      </c>
      <c r="H1542" s="1104" t="n">
        <f aca="false">'Смета Внутр'!G1542</f>
        <v>0</v>
      </c>
      <c r="I1542" s="1104" t="n">
        <f aca="false">'Смета Внутр'!H1542</f>
        <v>0</v>
      </c>
      <c r="J1542" s="1109" t="n">
        <f aca="false">'Смета Внутр'!I1542</f>
        <v>0</v>
      </c>
    </row>
    <row r="1543" customFormat="false" ht="15" hidden="true" customHeight="true" outlineLevel="0" collapsed="false">
      <c r="B1543" s="1104" t="str">
        <f aca="false">'Смета Внутр'!B1543</f>
        <v>Гвозди для крепления подкладочного ковра</v>
      </c>
      <c r="C1543" s="1104" t="str">
        <f aca="false">'Смета Внутр'!C1543</f>
        <v>шт</v>
      </c>
      <c r="D1543" s="1109" t="n">
        <f aca="false">'Смета Внутр'!D1543</f>
        <v>0</v>
      </c>
      <c r="E1543" s="1104" t="n">
        <f aca="false">'Смета Внутр'!E1543</f>
        <v>0.012</v>
      </c>
      <c r="F1543" s="1104" t="n">
        <f aca="false">'Смета Внутр'!F1543</f>
        <v>0</v>
      </c>
      <c r="G1543" s="1104" t="n">
        <f aca="false">IF(E1543&gt;F1543,E1543,F1543)</f>
        <v>0.012</v>
      </c>
      <c r="H1543" s="1104" t="n">
        <f aca="false">'Смета Внутр'!G1543</f>
        <v>0</v>
      </c>
      <c r="I1543" s="1104" t="n">
        <f aca="false">'Смета Внутр'!H1543</f>
        <v>0</v>
      </c>
      <c r="J1543" s="1109" t="n">
        <f aca="false">'Смета Внутр'!I1543</f>
        <v>0</v>
      </c>
    </row>
    <row r="1544" customFormat="false" ht="15" hidden="true" customHeight="true" outlineLevel="0" collapsed="false">
      <c r="B1544" s="1104" t="str">
        <f aca="false">'Смета Внутр'!B1544</f>
        <v>Гвозди для крепления черепицы</v>
      </c>
      <c r="C1544" s="1104" t="str">
        <f aca="false">'Смета Внутр'!C1544</f>
        <v>шт</v>
      </c>
      <c r="D1544" s="1109" t="n">
        <f aca="false">'Смета Внутр'!D1544</f>
        <v>0</v>
      </c>
      <c r="E1544" s="1104" t="n">
        <f aca="false">'Смета Внутр'!E1544</f>
        <v>0.25</v>
      </c>
      <c r="F1544" s="1104" t="n">
        <f aca="false">'Смета Внутр'!F1544</f>
        <v>0</v>
      </c>
      <c r="G1544" s="1104" t="n">
        <f aca="false">IF(E1544&gt;F1544,E1544,F1544)</f>
        <v>0.25</v>
      </c>
      <c r="H1544" s="1104" t="n">
        <f aca="false">'Смета Внутр'!G1544</f>
        <v>0</v>
      </c>
      <c r="I1544" s="1104" t="n">
        <f aca="false">'Смета Внутр'!H1544</f>
        <v>0</v>
      </c>
      <c r="J1544" s="1109" t="n">
        <f aca="false">'Смета Внутр'!I1544</f>
        <v>0</v>
      </c>
    </row>
    <row r="1545" customFormat="false" ht="15" hidden="true" customHeight="true" outlineLevel="0" collapsed="false">
      <c r="B1545" s="1104" t="str">
        <f aca="false">'Смета Внутр'!B1545</f>
        <v>Клей для монтажа черепицы</v>
      </c>
      <c r="C1545" s="1104" t="str">
        <f aca="false">'Смета Внутр'!C1545</f>
        <v>кг</v>
      </c>
      <c r="D1545" s="1109" t="n">
        <f aca="false">'Смета Внутр'!D1545</f>
        <v>0</v>
      </c>
      <c r="E1545" s="1104" t="n">
        <f aca="false">'Смета Внутр'!E1545</f>
        <v>250</v>
      </c>
      <c r="F1545" s="1104" t="n">
        <f aca="false">'Смета Внутр'!F1545</f>
        <v>0</v>
      </c>
      <c r="G1545" s="1104" t="n">
        <f aca="false">IF(E1545&gt;F1545,E1545,F1545)</f>
        <v>250</v>
      </c>
      <c r="H1545" s="1104" t="n">
        <f aca="false">'Смета Внутр'!G1545</f>
        <v>0</v>
      </c>
      <c r="I1545" s="1104" t="n">
        <f aca="false">'Смета Внутр'!H1545</f>
        <v>0</v>
      </c>
      <c r="J1545" s="1109" t="n">
        <f aca="false">'Смета Внутр'!I1545</f>
        <v>0</v>
      </c>
    </row>
    <row r="1546" customFormat="false" ht="15" hidden="true" customHeight="true" outlineLevel="0" collapsed="false">
      <c r="B1546" s="1104" t="str">
        <f aca="false">'Смета Внутр'!B1546</f>
        <v>желоб</v>
      </c>
      <c r="C1546" s="1104" t="str">
        <f aca="false">'Смета Внутр'!C1546</f>
        <v>м.п</v>
      </c>
      <c r="D1546" s="1109" t="n">
        <f aca="false">'Смета Внутр'!D1546</f>
        <v>7.6</v>
      </c>
      <c r="E1546" s="1104" t="n">
        <f aca="false">'Смета Внутр'!E1546</f>
        <v>300</v>
      </c>
      <c r="F1546" s="1104" t="n">
        <f aca="false">'Смета Внутр'!F1546</f>
        <v>0</v>
      </c>
      <c r="G1546" s="1104" t="n">
        <f aca="false">IF(E1546&gt;F1546,E1546,F1546)</f>
        <v>300</v>
      </c>
      <c r="H1546" s="1104" t="n">
        <f aca="false">'Смета Внутр'!G1546</f>
        <v>2280</v>
      </c>
      <c r="I1546" s="1104" t="n">
        <f aca="false">'Смета Внутр'!H1546</f>
        <v>0</v>
      </c>
      <c r="J1546" s="1109" t="n">
        <f aca="false">'Смета Внутр'!I1546</f>
        <v>0</v>
      </c>
    </row>
    <row r="1547" customFormat="false" ht="15" hidden="true" customHeight="true" outlineLevel="0" collapsed="false">
      <c r="B1547" s="1104" t="str">
        <f aca="false">'Смета Внутр'!B1547</f>
        <v>отвод</v>
      </c>
      <c r="C1547" s="1104" t="str">
        <f aca="false">'Смета Внутр'!C1547</f>
        <v>шт</v>
      </c>
      <c r="D1547" s="1109" t="n">
        <f aca="false">'Смета Внутр'!D1547</f>
        <v>0</v>
      </c>
      <c r="E1547" s="1104" t="n">
        <f aca="false">'Смета Внутр'!E1547</f>
        <v>250</v>
      </c>
      <c r="F1547" s="1104" t="n">
        <f aca="false">'Смета Внутр'!F1547</f>
        <v>0</v>
      </c>
      <c r="G1547" s="1104" t="n">
        <f aca="false">IF(E1547&gt;F1547,E1547,F1547)</f>
        <v>250</v>
      </c>
      <c r="H1547" s="1104" t="n">
        <f aca="false">'Смета Внутр'!G1547</f>
        <v>0</v>
      </c>
      <c r="I1547" s="1104" t="n">
        <f aca="false">'Смета Внутр'!H1547</f>
        <v>0</v>
      </c>
      <c r="J1547" s="1109" t="n">
        <f aca="false">'Смета Внутр'!I1547</f>
        <v>0</v>
      </c>
    </row>
    <row r="1548" customFormat="false" ht="15" hidden="true" customHeight="true" outlineLevel="0" collapsed="false">
      <c r="B1548" s="1104" t="str">
        <f aca="false">'Смета Внутр'!B1548</f>
        <v>труба водосточная</v>
      </c>
      <c r="C1548" s="1104" t="str">
        <f aca="false">'Смета Внутр'!C1548</f>
        <v>м.п.</v>
      </c>
      <c r="D1548" s="1109" t="n">
        <f aca="false">'Смета Внутр'!D1548</f>
        <v>3.7</v>
      </c>
      <c r="E1548" s="1104" t="n">
        <f aca="false">'Смета Внутр'!E1548</f>
        <v>300</v>
      </c>
      <c r="F1548" s="1104" t="n">
        <f aca="false">'Смета Внутр'!F1548</f>
        <v>0</v>
      </c>
      <c r="G1548" s="1104" t="n">
        <f aca="false">IF(E1548&gt;F1548,E1548,F1548)</f>
        <v>300</v>
      </c>
      <c r="H1548" s="1104" t="n">
        <f aca="false">'Смета Внутр'!G1548</f>
        <v>1110</v>
      </c>
      <c r="I1548" s="1104" t="n">
        <f aca="false">'Смета Внутр'!H1548</f>
        <v>0</v>
      </c>
      <c r="J1548" s="1109" t="n">
        <f aca="false">'Смета Внутр'!I1548</f>
        <v>0</v>
      </c>
    </row>
    <row r="1549" customFormat="false" ht="15" hidden="true" customHeight="true" outlineLevel="0" collapsed="false">
      <c r="B1549" s="1104" t="str">
        <f aca="false">'Смета Внутр'!B1549</f>
        <v>заглушка для желоба</v>
      </c>
      <c r="C1549" s="1104" t="str">
        <f aca="false">'Смета Внутр'!C1549</f>
        <v>шт</v>
      </c>
      <c r="D1549" s="1109" t="n">
        <f aca="false">'Смета Внутр'!D1549</f>
        <v>0</v>
      </c>
      <c r="E1549" s="1104" t="n">
        <f aca="false">'Смета Внутр'!E1549</f>
        <v>190</v>
      </c>
      <c r="F1549" s="1104" t="n">
        <f aca="false">'Смета Внутр'!F1549</f>
        <v>0</v>
      </c>
      <c r="G1549" s="1104" t="n">
        <f aca="false">IF(E1549&gt;F1549,E1549,F1549)</f>
        <v>190</v>
      </c>
      <c r="H1549" s="1104" t="n">
        <f aca="false">'Смета Внутр'!G1549</f>
        <v>0</v>
      </c>
      <c r="I1549" s="1104" t="n">
        <f aca="false">'Смета Внутр'!H1549</f>
        <v>0</v>
      </c>
      <c r="J1549" s="1109" t="n">
        <f aca="false">'Смета Внутр'!I1549</f>
        <v>0</v>
      </c>
    </row>
    <row r="1550" customFormat="false" ht="15" hidden="true" customHeight="true" outlineLevel="0" collapsed="false">
      <c r="B1550" s="1104" t="str">
        <f aca="false">'Смета Внутр'!B1550</f>
        <v>соеденитель для желоба</v>
      </c>
      <c r="C1550" s="1104" t="str">
        <f aca="false">'Смета Внутр'!C1550</f>
        <v>шт</v>
      </c>
      <c r="D1550" s="1109" t="n">
        <f aca="false">'Смета Внутр'!D1550</f>
        <v>0</v>
      </c>
      <c r="E1550" s="1104" t="n">
        <f aca="false">'Смета Внутр'!E1550</f>
        <v>180</v>
      </c>
      <c r="F1550" s="1104" t="n">
        <f aca="false">'Смета Внутр'!F1550</f>
        <v>0</v>
      </c>
      <c r="G1550" s="1104" t="n">
        <f aca="false">IF(E1550&gt;F1550,E1550,F1550)</f>
        <v>180</v>
      </c>
      <c r="H1550" s="1104" t="n">
        <f aca="false">'Смета Внутр'!G1550</f>
        <v>0</v>
      </c>
      <c r="I1550" s="1104" t="n">
        <f aca="false">'Смета Внутр'!H1550</f>
        <v>0</v>
      </c>
      <c r="J1550" s="1109" t="n">
        <f aca="false">'Смета Внутр'!I1550</f>
        <v>0</v>
      </c>
    </row>
    <row r="1551" customFormat="false" ht="15" hidden="true" customHeight="true" outlineLevel="0" collapsed="false">
      <c r="B1551" s="1104" t="str">
        <f aca="false">'Смета Внутр'!B1551</f>
        <v>кронштейн для желоба</v>
      </c>
      <c r="C1551" s="1104" t="str">
        <f aca="false">'Смета Внутр'!C1551</f>
        <v>шт</v>
      </c>
      <c r="D1551" s="1109" t="n">
        <f aca="false">'Смета Внутр'!D1551</f>
        <v>0</v>
      </c>
      <c r="E1551" s="1104" t="n">
        <f aca="false">'Смета Внутр'!E1551</f>
        <v>130</v>
      </c>
      <c r="F1551" s="1104" t="n">
        <f aca="false">'Смета Внутр'!F1551</f>
        <v>0</v>
      </c>
      <c r="G1551" s="1104" t="n">
        <f aca="false">IF(E1551&gt;F1551,E1551,F1551)</f>
        <v>130</v>
      </c>
      <c r="H1551" s="1104" t="n">
        <f aca="false">'Смета Внутр'!G1551</f>
        <v>0</v>
      </c>
      <c r="I1551" s="1104" t="n">
        <f aca="false">'Смета Внутр'!H1551</f>
        <v>0</v>
      </c>
      <c r="J1551" s="1109" t="n">
        <f aca="false">'Смета Внутр'!I1551</f>
        <v>0</v>
      </c>
    </row>
    <row r="1552" customFormat="false" ht="15" hidden="true" customHeight="true" outlineLevel="0" collapsed="false">
      <c r="B1552" s="1104" t="str">
        <f aca="false">'Смета Внутр'!B1552</f>
        <v>переход из желоба в трубу</v>
      </c>
      <c r="C1552" s="1104" t="str">
        <f aca="false">'Смета Внутр'!C1552</f>
        <v>шт</v>
      </c>
      <c r="D1552" s="1109" t="n">
        <f aca="false">'Смета Внутр'!D1552</f>
        <v>0</v>
      </c>
      <c r="E1552" s="1104" t="n">
        <f aca="false">'Смета Внутр'!E1552</f>
        <v>350</v>
      </c>
      <c r="F1552" s="1104" t="n">
        <f aca="false">'Смета Внутр'!F1552</f>
        <v>0</v>
      </c>
      <c r="G1552" s="1104" t="n">
        <f aca="false">IF(E1552&gt;F1552,E1552,F1552)</f>
        <v>350</v>
      </c>
      <c r="H1552" s="1104" t="n">
        <f aca="false">'Смета Внутр'!G1552</f>
        <v>0</v>
      </c>
      <c r="I1552" s="1104" t="n">
        <f aca="false">'Смета Внутр'!H1552</f>
        <v>0</v>
      </c>
      <c r="J1552" s="1109" t="n">
        <f aca="false">'Смета Внутр'!I1552</f>
        <v>0</v>
      </c>
    </row>
    <row r="1553" customFormat="false" ht="15" hidden="true" customHeight="true" outlineLevel="0" collapsed="false">
      <c r="B1553" s="1104" t="str">
        <f aca="false">'Смета Внутр'!B1553</f>
        <v>лента дельта мульти бэнд</v>
      </c>
      <c r="C1553" s="1104" t="str">
        <f aca="false">'Смета Внутр'!C1553</f>
        <v>шт</v>
      </c>
      <c r="D1553" s="1109" t="n">
        <f aca="false">'Смета Внутр'!D1553</f>
        <v>0</v>
      </c>
      <c r="E1553" s="1104" t="n">
        <f aca="false">'Смета Внутр'!E1553</f>
        <v>1200</v>
      </c>
      <c r="F1553" s="1104" t="n">
        <f aca="false">'Смета Внутр'!F1553</f>
        <v>0</v>
      </c>
      <c r="G1553" s="1104" t="n">
        <f aca="false">IF(E1553&gt;F1553,E1553,F1553)</f>
        <v>1200</v>
      </c>
      <c r="H1553" s="1104" t="n">
        <f aca="false">'Смета Внутр'!G1553</f>
        <v>0</v>
      </c>
      <c r="I1553" s="1104" t="n">
        <f aca="false">'Смета Внутр'!H1553</f>
        <v>0</v>
      </c>
      <c r="J1553" s="1109" t="n">
        <f aca="false">'Смета Внутр'!I1553</f>
        <v>0</v>
      </c>
    </row>
    <row r="1554" customFormat="false" ht="15" hidden="true" customHeight="true" outlineLevel="0" collapsed="false">
      <c r="B1554" s="1104" t="str">
        <f aca="false">'Смета Внутр'!B1554</f>
        <v>лента дельта sb-60</v>
      </c>
      <c r="C1554" s="1104" t="str">
        <f aca="false">'Смета Внутр'!C1554</f>
        <v>шт</v>
      </c>
      <c r="D1554" s="1109" t="n">
        <f aca="false">'Смета Внутр'!D1554</f>
        <v>0</v>
      </c>
      <c r="E1554" s="1104" t="n">
        <f aca="false">'Смета Внутр'!E1554</f>
        <v>1100</v>
      </c>
      <c r="F1554" s="1104" t="n">
        <f aca="false">'Смета Внутр'!F1554</f>
        <v>0</v>
      </c>
      <c r="G1554" s="1104" t="n">
        <f aca="false">IF(E1554&gt;F1554,E1554,F1554)</f>
        <v>1100</v>
      </c>
      <c r="H1554" s="1104" t="n">
        <f aca="false">'Смета Внутр'!G1554</f>
        <v>0</v>
      </c>
      <c r="I1554" s="1104" t="n">
        <f aca="false">'Смета Внутр'!H1554</f>
        <v>0</v>
      </c>
      <c r="J1554" s="1109" t="n">
        <f aca="false">'Смета Внутр'!I1554</f>
        <v>0</v>
      </c>
    </row>
    <row r="1555" customFormat="false" ht="15" hidden="true" customHeight="true" outlineLevel="0" collapsed="false">
      <c r="B1555" s="1104" t="str">
        <f aca="false">'Смета Внутр'!B1555</f>
        <v>Кровельный саморез</v>
      </c>
      <c r="C1555" s="1104" t="str">
        <f aca="false">'Смета Внутр'!C1555</f>
        <v>шт</v>
      </c>
      <c r="D1555" s="1109" t="n">
        <f aca="false">'Смета Внутр'!D1555</f>
        <v>0</v>
      </c>
      <c r="E1555" s="1104" t="n">
        <f aca="false">'Смета Внутр'!E1555</f>
        <v>2</v>
      </c>
      <c r="F1555" s="1104" t="n">
        <f aca="false">'Смета Внутр'!F1555</f>
        <v>0</v>
      </c>
      <c r="G1555" s="1104" t="n">
        <f aca="false">IF(E1555&gt;F1555,E1555,F1555)</f>
        <v>2</v>
      </c>
      <c r="H1555" s="1104" t="n">
        <f aca="false">'Смета Внутр'!G1555</f>
        <v>0</v>
      </c>
      <c r="I1555" s="1104" t="n">
        <f aca="false">'Смета Внутр'!H1555</f>
        <v>0</v>
      </c>
      <c r="J1555" s="1109" t="n">
        <f aca="false">'Смета Внутр'!I1555</f>
        <v>0</v>
      </c>
    </row>
    <row r="1556" customFormat="false" ht="15" hidden="true" customHeight="true" outlineLevel="0" collapsed="false">
      <c r="B1556" s="1104" t="str">
        <f aca="false">'Смета Внутр'!B1556</f>
        <v>Гвозди ершоные 3,4 x 60            </v>
      </c>
      <c r="C1556" s="1104" t="str">
        <f aca="false">'Смета Внутр'!C1556</f>
        <v>кг</v>
      </c>
      <c r="D1556" s="1109" t="n">
        <f aca="false">'Смета Внутр'!D1556</f>
        <v>0</v>
      </c>
      <c r="E1556" s="1104" t="n">
        <f aca="false">'Смета Внутр'!E1556</f>
        <v>75.51</v>
      </c>
      <c r="F1556" s="1104" t="n">
        <f aca="false">'Смета Внутр'!F1556</f>
        <v>0</v>
      </c>
      <c r="G1556" s="1104" t="n">
        <f aca="false">IF(E1556&gt;F1556,E1556,F1556)</f>
        <v>75.51</v>
      </c>
      <c r="H1556" s="1104" t="n">
        <f aca="false">'Смета Внутр'!G1556</f>
        <v>0</v>
      </c>
      <c r="I1556" s="1104" t="n">
        <f aca="false">'Смета Внутр'!H1556</f>
        <v>0</v>
      </c>
      <c r="J1556" s="1109" t="n">
        <f aca="false">'Смета Внутр'!I1556</f>
        <v>0</v>
      </c>
    </row>
    <row r="1557" customFormat="false" ht="15" hidden="true" customHeight="true" outlineLevel="0" collapsed="false">
      <c r="B1557" s="1104" t="str">
        <f aca="false">'Смета Внутр'!B1557</f>
        <v>Гвозди ершоные 2,8 х 90            </v>
      </c>
      <c r="C1557" s="1104" t="str">
        <f aca="false">'Смета Внутр'!C1557</f>
        <v>шт</v>
      </c>
      <c r="D1557" s="1109" t="n">
        <f aca="false">'Смета Внутр'!D1557</f>
        <v>0</v>
      </c>
      <c r="E1557" s="1104" t="n">
        <f aca="false">'Смета Внутр'!E1557</f>
        <v>76.49</v>
      </c>
      <c r="F1557" s="1104" t="n">
        <f aca="false">'Смета Внутр'!F1557</f>
        <v>0</v>
      </c>
      <c r="G1557" s="1104" t="n">
        <f aca="false">IF(E1557&gt;F1557,E1557,F1557)</f>
        <v>76.49</v>
      </c>
      <c r="H1557" s="1104" t="n">
        <f aca="false">'Смета Внутр'!G1557</f>
        <v>0</v>
      </c>
      <c r="I1557" s="1104" t="n">
        <f aca="false">'Смета Внутр'!H1557</f>
        <v>0</v>
      </c>
      <c r="J1557" s="1109" t="n">
        <f aca="false">'Смета Внутр'!I1557</f>
        <v>0</v>
      </c>
    </row>
    <row r="1558" customFormat="false" ht="15" hidden="true" customHeight="true" outlineLevel="0" collapsed="false">
      <c r="B1558" s="1104" t="str">
        <f aca="false">'Смета Внутр'!B1558</f>
        <v>Пластина соеденительная 100х240х2           </v>
      </c>
      <c r="C1558" s="1104" t="str">
        <f aca="false">'Смета Внутр'!C1558</f>
        <v>шт</v>
      </c>
      <c r="D1558" s="1109" t="n">
        <f aca="false">'Смета Внутр'!D1558</f>
        <v>0</v>
      </c>
      <c r="E1558" s="1104" t="n">
        <f aca="false">'Смета Внутр'!E1558</f>
        <v>31.54</v>
      </c>
      <c r="F1558" s="1104" t="n">
        <f aca="false">'Смета Внутр'!F1558</f>
        <v>0</v>
      </c>
      <c r="G1558" s="1104" t="n">
        <f aca="false">IF(E1558&gt;F1558,E1558,F1558)</f>
        <v>31.54</v>
      </c>
      <c r="H1558" s="1104" t="n">
        <f aca="false">'Смета Внутр'!G1558</f>
        <v>0</v>
      </c>
      <c r="I1558" s="1104" t="n">
        <f aca="false">'Смета Внутр'!H1558</f>
        <v>0</v>
      </c>
      <c r="J1558" s="1109" t="n">
        <f aca="false">'Смета Внутр'!I1558</f>
        <v>0</v>
      </c>
    </row>
    <row r="1559" customFormat="false" ht="15" hidden="true" customHeight="true" outlineLevel="0" collapsed="false">
      <c r="B1559" s="1104" t="str">
        <f aca="false">'Смета Внутр'!B1559</f>
        <v>Уголок усиленный 90х70х55х2,5        </v>
      </c>
      <c r="C1559" s="1104" t="str">
        <f aca="false">'Смета Внутр'!C1559</f>
        <v>шт</v>
      </c>
      <c r="D1559" s="1109" t="n">
        <f aca="false">'Смета Внутр'!D1559</f>
        <v>0</v>
      </c>
      <c r="E1559" s="1104" t="n">
        <f aca="false">'Смета Внутр'!E1559</f>
        <v>30</v>
      </c>
      <c r="F1559" s="1104" t="n">
        <f aca="false">'Смета Внутр'!F1559</f>
        <v>0</v>
      </c>
      <c r="G1559" s="1104" t="n">
        <f aca="false">IF(E1559&gt;F1559,E1559,F1559)</f>
        <v>30</v>
      </c>
      <c r="H1559" s="1104" t="n">
        <f aca="false">'Смета Внутр'!G1559</f>
        <v>0</v>
      </c>
      <c r="I1559" s="1104" t="n">
        <f aca="false">'Смета Внутр'!H1559</f>
        <v>0</v>
      </c>
      <c r="J1559" s="1109" t="n">
        <f aca="false">'Смета Внутр'!I1559</f>
        <v>0</v>
      </c>
    </row>
    <row r="1560" customFormat="false" ht="15" hidden="true" customHeight="false" outlineLevel="0" collapsed="false">
      <c r="B1560" s="1108" t="str">
        <f aca="false">'Смета Внутр'!B1560</f>
        <v>Итого материалы</v>
      </c>
      <c r="C1560" s="1108"/>
      <c r="D1560" s="1108"/>
      <c r="E1560" s="1108"/>
      <c r="F1560" s="1108"/>
      <c r="G1560" s="1108"/>
      <c r="H1560" s="1104" t="n">
        <f aca="false">'Смета Внутр'!G1560</f>
        <v>0</v>
      </c>
      <c r="I1560" s="1104" t="n">
        <f aca="false">'Смета Внутр'!H1560</f>
        <v>0</v>
      </c>
      <c r="J1560" s="1109" t="n">
        <f aca="false">'Смета Внутр'!I1560</f>
        <v>0</v>
      </c>
    </row>
    <row r="1561" customFormat="false" ht="15" hidden="true" customHeight="true" outlineLevel="0" collapsed="false">
      <c r="B1561" s="118" t="str">
        <f aca="false">'Смета Внутр'!B1561</f>
        <v>Работы</v>
      </c>
      <c r="H1561" s="118" t="n">
        <f aca="false">'Смета Внутр'!G1561</f>
        <v>0</v>
      </c>
      <c r="I1561" s="118" t="n">
        <f aca="false">'Смета Внутр'!H1561</f>
        <v>0</v>
      </c>
      <c r="J1561" s="1102" t="n">
        <f aca="false">'Смета Внутр'!I1561</f>
        <v>0</v>
      </c>
    </row>
    <row r="1562" customFormat="false" ht="15" hidden="true" customHeight="true" outlineLevel="0" collapsed="false">
      <c r="B1562" s="1104" t="str">
        <f aca="false">'Смета Внутр'!B1562</f>
        <v>монтаж стропил</v>
      </c>
      <c r="C1562" s="1104" t="str">
        <f aca="false">'Смета Внутр'!C1562</f>
        <v>м2</v>
      </c>
      <c r="D1562" s="1109" t="n">
        <f aca="false">'Смета Внутр'!D1562</f>
        <v>0</v>
      </c>
      <c r="E1562" s="1104" t="n">
        <f aca="false">'Смета Внутр'!E1562</f>
        <v>450</v>
      </c>
      <c r="F1562" s="1104" t="n">
        <f aca="false">'Смета Внутр'!F1562</f>
        <v>0</v>
      </c>
      <c r="G1562" s="1104" t="n">
        <f aca="false">IF(E1562&gt;F1562,E1562,F1562)</f>
        <v>450</v>
      </c>
      <c r="H1562" s="1104" t="n">
        <f aca="false">'Смета Внутр'!G1562</f>
        <v>0</v>
      </c>
      <c r="I1562" s="1104" t="n">
        <f aca="false">'Смета Внутр'!H1562</f>
        <v>0</v>
      </c>
      <c r="J1562" s="1109" t="n">
        <f aca="false">'Смета Внутр'!I1562</f>
        <v>0</v>
      </c>
    </row>
    <row r="1563" customFormat="false" ht="15" hidden="true" customHeight="true" outlineLevel="0" collapsed="false">
      <c r="B1563" s="1104" t="str">
        <f aca="false">'Смета Внутр'!B1563</f>
        <v>обрешетка</v>
      </c>
      <c r="C1563" s="1104" t="str">
        <f aca="false">'Смета Внутр'!C1563</f>
        <v>м2</v>
      </c>
      <c r="D1563" s="1109" t="n">
        <f aca="false">'Смета Внутр'!D1563</f>
        <v>0</v>
      </c>
      <c r="E1563" s="1104" t="n">
        <f aca="false">'Смета Внутр'!E1563</f>
        <v>100</v>
      </c>
      <c r="F1563" s="1104" t="n">
        <f aca="false">'Смета Внутр'!F1563</f>
        <v>0</v>
      </c>
      <c r="G1563" s="1104" t="n">
        <f aca="false">IF(E1563&gt;F1563,E1563,F1563)</f>
        <v>100</v>
      </c>
      <c r="H1563" s="1104" t="n">
        <f aca="false">'Смета Внутр'!G1563</f>
        <v>0</v>
      </c>
      <c r="I1563" s="1104" t="n">
        <f aca="false">'Смета Внутр'!H1563</f>
        <v>0</v>
      </c>
      <c r="J1563" s="1109" t="n">
        <f aca="false">'Смета Внутр'!I1563</f>
        <v>0</v>
      </c>
    </row>
    <row r="1564" customFormat="false" ht="15" hidden="true" customHeight="true" outlineLevel="0" collapsed="false">
      <c r="B1564" s="1104" t="str">
        <f aca="false">'Смета Внутр'!B1564</f>
        <v>контробеш</v>
      </c>
      <c r="C1564" s="1104" t="str">
        <f aca="false">'Смета Внутр'!C1564</f>
        <v>м2</v>
      </c>
      <c r="D1564" s="1109" t="n">
        <f aca="false">'Смета Внутр'!D1564</f>
        <v>0</v>
      </c>
      <c r="E1564" s="1104" t="n">
        <f aca="false">'Смета Внутр'!E1564</f>
        <v>100</v>
      </c>
      <c r="F1564" s="1104" t="n">
        <f aca="false">'Смета Внутр'!F1564</f>
        <v>0</v>
      </c>
      <c r="G1564" s="1104" t="n">
        <f aca="false">IF(E1564&gt;F1564,E1564,F1564)</f>
        <v>100</v>
      </c>
      <c r="H1564" s="1104" t="n">
        <f aca="false">'Смета Внутр'!G1564</f>
        <v>0</v>
      </c>
      <c r="I1564" s="1104" t="n">
        <f aca="false">'Смета Внутр'!H1564</f>
        <v>0</v>
      </c>
      <c r="J1564" s="1109" t="n">
        <f aca="false">'Смета Внутр'!I1564</f>
        <v>0</v>
      </c>
    </row>
    <row r="1565" customFormat="false" ht="15" hidden="true" customHeight="true" outlineLevel="0" collapsed="false">
      <c r="B1565" s="1104" t="str">
        <f aca="false">'Смета Внутр'!B1565</f>
        <v>мембрана</v>
      </c>
      <c r="C1565" s="1104" t="str">
        <f aca="false">'Смета Внутр'!C1565</f>
        <v>м2</v>
      </c>
      <c r="D1565" s="1109" t="n">
        <f aca="false">'Смета Внутр'!D1565</f>
        <v>0</v>
      </c>
      <c r="E1565" s="1104" t="n">
        <f aca="false">'Смета Внутр'!E1565</f>
        <v>100</v>
      </c>
      <c r="F1565" s="1104" t="n">
        <f aca="false">'Смета Внутр'!F1565</f>
        <v>0</v>
      </c>
      <c r="G1565" s="1104" t="n">
        <f aca="false">IF(E1565&gt;F1565,E1565,F1565)</f>
        <v>100</v>
      </c>
      <c r="H1565" s="1104" t="n">
        <f aca="false">'Смета Внутр'!G1565</f>
        <v>0</v>
      </c>
      <c r="I1565" s="1104" t="n">
        <f aca="false">'Смета Внутр'!H1565</f>
        <v>0</v>
      </c>
      <c r="J1565" s="1109" t="n">
        <f aca="false">'Смета Внутр'!I1565</f>
        <v>0</v>
      </c>
    </row>
    <row r="1566" customFormat="false" ht="15" hidden="true" customHeight="true" outlineLevel="0" collapsed="false">
      <c r="B1566" s="1104" t="str">
        <f aca="false">'Смета Внутр'!B1566</f>
        <v>Монтаж металлочерепицы</v>
      </c>
      <c r="C1566" s="1104" t="str">
        <f aca="false">'Смета Внутр'!C1566</f>
        <v>м2</v>
      </c>
      <c r="D1566" s="1109" t="n">
        <f aca="false">'Смета Внутр'!D1566</f>
        <v>0</v>
      </c>
      <c r="E1566" s="1104" t="n">
        <f aca="false">'Смета Внутр'!E1566</f>
        <v>300</v>
      </c>
      <c r="F1566" s="1104" t="n">
        <f aca="false">'Смета Внутр'!F1566</f>
        <v>0</v>
      </c>
      <c r="G1566" s="1104" t="n">
        <f aca="false">IF(E1566&gt;F1566,E1566,F1566)</f>
        <v>300</v>
      </c>
      <c r="H1566" s="1104" t="n">
        <f aca="false">'Смета Внутр'!G1566</f>
        <v>0</v>
      </c>
      <c r="I1566" s="1104" t="n">
        <f aca="false">'Смета Внутр'!H1566</f>
        <v>0</v>
      </c>
      <c r="J1566" s="1109" t="n">
        <f aca="false">'Смета Внутр'!I1566</f>
        <v>0</v>
      </c>
    </row>
    <row r="1567" customFormat="false" ht="15" hidden="true" customHeight="true" outlineLevel="0" collapsed="false">
      <c r="B1567" s="1104" t="str">
        <f aca="false">'Смета Внутр'!B1567</f>
        <v>карнизная планка</v>
      </c>
      <c r="C1567" s="1104" t="str">
        <f aca="false">'Смета Внутр'!C1567</f>
        <v>м2</v>
      </c>
      <c r="D1567" s="1109" t="n">
        <f aca="false">'Смета Внутр'!D1567</f>
        <v>0</v>
      </c>
      <c r="E1567" s="1104" t="n">
        <f aca="false">'Смета Внутр'!E1567</f>
        <v>100</v>
      </c>
      <c r="F1567" s="1104" t="n">
        <f aca="false">'Смета Внутр'!F1567</f>
        <v>0</v>
      </c>
      <c r="G1567" s="1104" t="n">
        <f aca="false">IF(E1567&gt;F1567,E1567,F1567)</f>
        <v>100</v>
      </c>
      <c r="H1567" s="1104" t="n">
        <f aca="false">'Смета Внутр'!G1567</f>
        <v>0</v>
      </c>
      <c r="I1567" s="1104" t="n">
        <f aca="false">'Смета Внутр'!H1567</f>
        <v>0</v>
      </c>
      <c r="J1567" s="1109" t="n">
        <f aca="false">'Смета Внутр'!I1567</f>
        <v>0</v>
      </c>
    </row>
    <row r="1568" customFormat="false" ht="15" hidden="true" customHeight="true" outlineLevel="0" collapsed="false">
      <c r="B1568" s="1104" t="str">
        <f aca="false">'Смета Внутр'!B1568</f>
        <v>торцевая планка</v>
      </c>
      <c r="C1568" s="1104" t="str">
        <f aca="false">'Смета Внутр'!C1568</f>
        <v>м2</v>
      </c>
      <c r="D1568" s="1109" t="n">
        <f aca="false">'Смета Внутр'!D1568</f>
        <v>0</v>
      </c>
      <c r="E1568" s="1104" t="n">
        <f aca="false">'Смета Внутр'!E1568</f>
        <v>100</v>
      </c>
      <c r="F1568" s="1104" t="n">
        <f aca="false">'Смета Внутр'!F1568</f>
        <v>0</v>
      </c>
      <c r="G1568" s="1104" t="n">
        <f aca="false">IF(E1568&gt;F1568,E1568,F1568)</f>
        <v>100</v>
      </c>
      <c r="H1568" s="1104" t="n">
        <f aca="false">'Смета Внутр'!G1568</f>
        <v>0</v>
      </c>
      <c r="I1568" s="1104" t="n">
        <f aca="false">'Смета Внутр'!H1568</f>
        <v>0</v>
      </c>
      <c r="J1568" s="1109" t="n">
        <f aca="false">'Смета Внутр'!I1568</f>
        <v>0</v>
      </c>
    </row>
    <row r="1569" customFormat="false" ht="15" hidden="true" customHeight="true" outlineLevel="0" collapsed="false">
      <c r="B1569" s="1104" t="str">
        <f aca="false">'Смета Внутр'!B1569</f>
        <v>желоб водосточный</v>
      </c>
      <c r="C1569" s="1104" t="str">
        <f aca="false">'Смета Внутр'!C1569</f>
        <v>м.п.</v>
      </c>
      <c r="D1569" s="1109" t="n">
        <f aca="false">'Смета Внутр'!D1569</f>
        <v>0</v>
      </c>
      <c r="E1569" s="1104" t="n">
        <f aca="false">'Смета Внутр'!E1569</f>
        <v>300</v>
      </c>
      <c r="F1569" s="1104" t="n">
        <f aca="false">'Смета Внутр'!F1569</f>
        <v>0</v>
      </c>
      <c r="G1569" s="1104" t="n">
        <f aca="false">IF(E1569&gt;F1569,E1569,F1569)</f>
        <v>300</v>
      </c>
      <c r="H1569" s="1104" t="n">
        <f aca="false">'Смета Внутр'!G1569</f>
        <v>0</v>
      </c>
      <c r="I1569" s="1104" t="n">
        <f aca="false">'Смета Внутр'!H1569</f>
        <v>0</v>
      </c>
      <c r="J1569" s="1109" t="n">
        <f aca="false">'Смета Внутр'!I1569</f>
        <v>0</v>
      </c>
    </row>
    <row r="1570" customFormat="false" ht="15" hidden="true" customHeight="true" outlineLevel="0" collapsed="false">
      <c r="B1570" s="1104" t="str">
        <f aca="false">'Смета Внутр'!B1570</f>
        <v>труба водосточная</v>
      </c>
      <c r="C1570" s="1104" t="str">
        <f aca="false">'Смета Внутр'!C1570</f>
        <v>м.п.</v>
      </c>
      <c r="D1570" s="1109" t="n">
        <f aca="false">'Смета Внутр'!D1570</f>
        <v>0</v>
      </c>
      <c r="E1570" s="1104" t="n">
        <f aca="false">'Смета Внутр'!E1570</f>
        <v>300</v>
      </c>
      <c r="F1570" s="1104" t="n">
        <f aca="false">'Смета Внутр'!F1570</f>
        <v>0</v>
      </c>
      <c r="G1570" s="1104" t="n">
        <f aca="false">IF(E1570&gt;F1570,E1570,F1570)</f>
        <v>300</v>
      </c>
      <c r="H1570" s="1104" t="n">
        <f aca="false">'Смета Внутр'!G1570</f>
        <v>0</v>
      </c>
      <c r="I1570" s="1104" t="n">
        <f aca="false">'Смета Внутр'!H1570</f>
        <v>0</v>
      </c>
      <c r="J1570" s="1109" t="n">
        <f aca="false">'Смета Внутр'!I1570</f>
        <v>0</v>
      </c>
    </row>
    <row r="1571" customFormat="false" ht="15" hidden="true" customHeight="true" outlineLevel="0" collapsed="false">
      <c r="B1571" s="1104" t="str">
        <f aca="false">'Смета Внутр'!B1571</f>
        <v>Монтаж ондулина</v>
      </c>
      <c r="C1571" s="1104" t="str">
        <f aca="false">'Смета Внутр'!C1571</f>
        <v>м2</v>
      </c>
      <c r="D1571" s="1109" t="n">
        <f aca="false">'Смета Внутр'!D1571</f>
        <v>0</v>
      </c>
      <c r="E1571" s="1104" t="n">
        <f aca="false">'Смета Внутр'!E1571</f>
        <v>300</v>
      </c>
      <c r="F1571" s="1104" t="n">
        <f aca="false">'Смета Внутр'!F1571</f>
        <v>0</v>
      </c>
      <c r="G1571" s="1104" t="n">
        <f aca="false">IF(E1571&gt;F1571,E1571,F1571)</f>
        <v>300</v>
      </c>
      <c r="H1571" s="1104" t="n">
        <f aca="false">'Смета Внутр'!G1571</f>
        <v>0</v>
      </c>
      <c r="I1571" s="1104" t="n">
        <f aca="false">'Смета Внутр'!H1571</f>
        <v>0</v>
      </c>
      <c r="J1571" s="1109" t="n">
        <f aca="false">'Смета Внутр'!I1571</f>
        <v>0</v>
      </c>
    </row>
    <row r="1572" customFormat="false" ht="15" hidden="true" customHeight="true" outlineLevel="0" collapsed="false">
      <c r="B1572" s="1104" t="str">
        <f aca="false">'Смета Внутр'!B1572</f>
        <v>Монтаж фанеры/osb</v>
      </c>
      <c r="C1572" s="1104" t="str">
        <f aca="false">'Смета Внутр'!C1572</f>
        <v>м2</v>
      </c>
      <c r="D1572" s="1109" t="n">
        <f aca="false">'Смета Внутр'!D1572</f>
        <v>0</v>
      </c>
      <c r="E1572" s="1104" t="n">
        <f aca="false">'Смета Внутр'!E1572</f>
        <v>200</v>
      </c>
      <c r="F1572" s="1104" t="n">
        <f aca="false">'Смета Внутр'!F1572</f>
        <v>0</v>
      </c>
      <c r="G1572" s="1104" t="n">
        <f aca="false">IF(E1572&gt;F1572,E1572,F1572)</f>
        <v>200</v>
      </c>
      <c r="H1572" s="1104" t="n">
        <f aca="false">'Смета Внутр'!G1572</f>
        <v>0</v>
      </c>
      <c r="I1572" s="1104" t="n">
        <f aca="false">'Смета Внутр'!H1572</f>
        <v>0</v>
      </c>
      <c r="J1572" s="1109" t="n">
        <f aca="false">'Смета Внутр'!I1572</f>
        <v>0</v>
      </c>
    </row>
    <row r="1573" customFormat="false" ht="15" hidden="true" customHeight="true" outlineLevel="0" collapsed="false">
      <c r="B1573" s="1104" t="str">
        <f aca="false">'Смета Внутр'!B1573</f>
        <v>монтаж подкладочного ковра</v>
      </c>
      <c r="C1573" s="1104" t="str">
        <f aca="false">'Смета Внутр'!C1573</f>
        <v>м2</v>
      </c>
      <c r="D1573" s="1109" t="n">
        <f aca="false">'Смета Внутр'!D1573</f>
        <v>0</v>
      </c>
      <c r="E1573" s="1104" t="n">
        <f aca="false">'Смета Внутр'!E1573</f>
        <v>150</v>
      </c>
      <c r="F1573" s="1104" t="n">
        <f aca="false">'Смета Внутр'!F1573</f>
        <v>0</v>
      </c>
      <c r="G1573" s="1104" t="n">
        <f aca="false">IF(E1573&gt;F1573,E1573,F1573)</f>
        <v>150</v>
      </c>
      <c r="H1573" s="1104" t="n">
        <f aca="false">'Смета Внутр'!G1573</f>
        <v>0</v>
      </c>
      <c r="I1573" s="1104" t="n">
        <f aca="false">'Смета Внутр'!H1573</f>
        <v>0</v>
      </c>
      <c r="J1573" s="1109" t="n">
        <f aca="false">'Смета Внутр'!I1573</f>
        <v>0</v>
      </c>
    </row>
    <row r="1574" customFormat="false" ht="15" hidden="true" customHeight="true" outlineLevel="0" collapsed="false">
      <c r="B1574" s="1104" t="str">
        <f aca="false">'Смета Внутр'!B1574</f>
        <v>Монтаж мягкой кровли</v>
      </c>
      <c r="C1574" s="1104" t="str">
        <f aca="false">'Смета Внутр'!C1574</f>
        <v>м2</v>
      </c>
      <c r="D1574" s="1109" t="n">
        <f aca="false">'Смета Внутр'!D1574</f>
        <v>0</v>
      </c>
      <c r="E1574" s="1104" t="n">
        <f aca="false">'Смета Внутр'!E1574</f>
        <v>350</v>
      </c>
      <c r="F1574" s="1104" t="n">
        <f aca="false">'Смета Внутр'!F1574</f>
        <v>0</v>
      </c>
      <c r="G1574" s="1104" t="n">
        <f aca="false">IF(E1574&gt;F1574,E1574,F1574)</f>
        <v>350</v>
      </c>
      <c r="H1574" s="1104" t="n">
        <f aca="false">'Смета Внутр'!G1574</f>
        <v>0</v>
      </c>
      <c r="I1574" s="1104" t="n">
        <f aca="false">'Смета Внутр'!H1574</f>
        <v>0</v>
      </c>
      <c r="J1574" s="1109" t="n">
        <f aca="false">'Смета Внутр'!I1574</f>
        <v>0</v>
      </c>
    </row>
    <row r="1575" customFormat="false" ht="15" hidden="true" customHeight="true" outlineLevel="0" collapsed="false">
      <c r="B1575" s="1108" t="str">
        <f aca="false">'Смета Внутр'!B1575</f>
        <v>Итого работы</v>
      </c>
      <c r="C1575" s="1108"/>
      <c r="D1575" s="1108"/>
      <c r="E1575" s="1108"/>
      <c r="F1575" s="1108"/>
      <c r="G1575" s="1108"/>
      <c r="H1575" s="1104" t="n">
        <f aca="false">'Смета Внутр'!G1575</f>
        <v>0</v>
      </c>
      <c r="I1575" s="1104" t="n">
        <f aca="false">'Смета Внутр'!H1575</f>
        <v>0</v>
      </c>
      <c r="J1575" s="1109" t="n">
        <f aca="false">'Смета Внутр'!I1575</f>
        <v>0</v>
      </c>
    </row>
    <row r="1576" customFormat="false" ht="15" hidden="true" customHeight="true" outlineLevel="0" collapsed="false">
      <c r="B1576" s="1111" t="str">
        <f aca="false">'Смета Внутр'!B1576</f>
        <v>Кровля на крыльцо</v>
      </c>
      <c r="C1576" s="1111"/>
      <c r="D1576" s="1111"/>
      <c r="H1576" s="118" t="n">
        <f aca="false">'Смета Внутр'!G1576</f>
        <v>0</v>
      </c>
      <c r="I1576" s="118" t="n">
        <f aca="false">'Смета Внутр'!H1576</f>
        <v>0</v>
      </c>
      <c r="J1576" s="1102" t="n">
        <f aca="false">'Смета Внутр'!I1576</f>
        <v>0</v>
      </c>
    </row>
    <row r="1577" customFormat="false" ht="15" hidden="true" customHeight="true" outlineLevel="0" collapsed="false">
      <c r="B1577" s="118" t="str">
        <f aca="false">'Смета Внутр'!B1577</f>
        <v>Материалы</v>
      </c>
      <c r="H1577" s="118" t="n">
        <f aca="false">'Смета Внутр'!G1577</f>
        <v>0</v>
      </c>
      <c r="I1577" s="118" t="n">
        <f aca="false">'Смета Внутр'!H1577</f>
        <v>0</v>
      </c>
      <c r="J1577" s="1102" t="n">
        <f aca="false">'Смета Внутр'!I1577</f>
        <v>0</v>
      </c>
    </row>
    <row r="1578" customFormat="false" ht="15" hidden="true" customHeight="true" outlineLevel="0" collapsed="false">
      <c r="B1578" s="1104" t="str">
        <f aca="false">'Смета Внутр'!B1578</f>
        <v>Доска сухая, 150*50мм</v>
      </c>
      <c r="C1578" s="1104" t="str">
        <f aca="false">'Смета Внутр'!C1578</f>
        <v>м3</v>
      </c>
      <c r="D1578" s="1109" t="n">
        <f aca="false">'Смета Внутр'!D1578</f>
        <v>0.205269268270725</v>
      </c>
      <c r="E1578" s="1104" t="n">
        <f aca="false">'Смета Внутр'!E1578</f>
        <v>9000</v>
      </c>
      <c r="F1578" s="1104" t="n">
        <f aca="false">'Смета Внутр'!F1578</f>
        <v>0</v>
      </c>
      <c r="G1578" s="1104" t="n">
        <f aca="false">IF(E1578&gt;F1578,E1578,F1578)</f>
        <v>9000</v>
      </c>
      <c r="H1578" s="1104" t="n">
        <f aca="false">'Смета Внутр'!G1578</f>
        <v>1847.42341443653</v>
      </c>
      <c r="I1578" s="1104" t="n">
        <f aca="false">'Смета Внутр'!H1578</f>
        <v>0</v>
      </c>
      <c r="J1578" s="1109" t="n">
        <f aca="false">'Смета Внутр'!I1578</f>
        <v>0</v>
      </c>
    </row>
    <row r="1579" customFormat="false" ht="15" hidden="true" customHeight="true" outlineLevel="0" collapsed="false">
      <c r="B1579" s="1104" t="str">
        <f aca="false">'Смета Внутр'!B1579</f>
        <v>Сосна влаж,100*25мм</v>
      </c>
      <c r="C1579" s="1104" t="str">
        <f aca="false">'Смета Внутр'!C1579</f>
        <v>м3</v>
      </c>
      <c r="D1579" s="1109" t="n">
        <f aca="false">'Смета Внутр'!D1579</f>
        <v>0.0676107863314507</v>
      </c>
      <c r="E1579" s="1104" t="n">
        <f aca="false">'Смета Внутр'!E1579</f>
        <v>6500</v>
      </c>
      <c r="F1579" s="1104" t="n">
        <f aca="false">'Смета Внутр'!F1579</f>
        <v>0</v>
      </c>
      <c r="G1579" s="1104" t="n">
        <f aca="false">IF(E1579&gt;F1579,E1579,F1579)</f>
        <v>6500</v>
      </c>
      <c r="H1579" s="1104" t="n">
        <f aca="false">'Смета Внутр'!G1579</f>
        <v>439.470111154429</v>
      </c>
      <c r="I1579" s="1104" t="n">
        <f aca="false">'Смета Внутр'!H1579</f>
        <v>0</v>
      </c>
      <c r="J1579" s="1109" t="n">
        <f aca="false">'Смета Внутр'!I1579</f>
        <v>0</v>
      </c>
    </row>
    <row r="1580" customFormat="false" ht="15" hidden="true" customHeight="true" outlineLevel="0" collapsed="false">
      <c r="B1580" s="1104" t="str">
        <f aca="false">'Смета Внутр'!B1580</f>
        <v>нет</v>
      </c>
      <c r="C1580" s="1104" t="str">
        <f aca="false">'Смета Внутр'!C1580</f>
        <v>м2</v>
      </c>
      <c r="D1580" s="1109" t="n">
        <f aca="false">'Смета Внутр'!D1580</f>
        <v>0</v>
      </c>
      <c r="E1580" s="1104" t="n">
        <f aca="false">'Смета Внутр'!E1580</f>
        <v>0</v>
      </c>
      <c r="F1580" s="1104" t="n">
        <f aca="false">'Смета Внутр'!F1580</f>
        <v>0</v>
      </c>
      <c r="G1580" s="1104" t="n">
        <f aca="false">IF(E1580&gt;F1580,E1580,F1580)</f>
        <v>0</v>
      </c>
      <c r="H1580" s="1104" t="n">
        <f aca="false">'Смета Внутр'!G1580</f>
        <v>0</v>
      </c>
      <c r="I1580" s="1104" t="n">
        <f aca="false">'Смета Внутр'!H1580</f>
        <v>0</v>
      </c>
      <c r="J1580" s="1109" t="n">
        <f aca="false">'Смета Внутр'!I1580</f>
        <v>0</v>
      </c>
    </row>
    <row r="1581" customFormat="false" ht="15" hidden="true" customHeight="true" outlineLevel="0" collapsed="false">
      <c r="B1581" s="1104" t="str">
        <f aca="false">'Смета Внутр'!B1581</f>
        <v>нет</v>
      </c>
      <c r="C1581" s="1104" t="str">
        <f aca="false">'Смета Внутр'!C1581</f>
        <v>м2</v>
      </c>
      <c r="D1581" s="1109" t="n">
        <f aca="false">'Смета Внутр'!D1581</f>
        <v>10.8177258130321</v>
      </c>
      <c r="E1581" s="1104" t="n">
        <f aca="false">'Смета Внутр'!E1581</f>
        <v>0</v>
      </c>
      <c r="F1581" s="1104" t="n">
        <f aca="false">'Смета Внутр'!F1581</f>
        <v>0</v>
      </c>
      <c r="G1581" s="1104" t="n">
        <f aca="false">IF(E1581&gt;F1581,E1581,F1581)</f>
        <v>0</v>
      </c>
      <c r="H1581" s="1104" t="n">
        <f aca="false">'Смета Внутр'!G1581</f>
        <v>0</v>
      </c>
      <c r="I1581" s="1104" t="n">
        <f aca="false">'Смета Внутр'!H1581</f>
        <v>0</v>
      </c>
      <c r="J1581" s="1109" t="n">
        <f aca="false">'Смета Внутр'!I1581</f>
        <v>0</v>
      </c>
    </row>
    <row r="1582" customFormat="false" ht="15" hidden="true" customHeight="true" outlineLevel="0" collapsed="false">
      <c r="B1582" s="1104" t="str">
        <f aca="false">'Смета Внутр'!B1582</f>
        <v>Мембраны Tyvek Solid</v>
      </c>
      <c r="C1582" s="1104" t="str">
        <f aca="false">'Смета Внутр'!C1582</f>
        <v>м2</v>
      </c>
      <c r="D1582" s="1109" t="n">
        <f aca="false">'Смета Внутр'!D1582</f>
        <v>10.8177258130321</v>
      </c>
      <c r="E1582" s="1104" t="n">
        <f aca="false">'Смета Внутр'!E1582</f>
        <v>99</v>
      </c>
      <c r="F1582" s="1104" t="n">
        <f aca="false">'Смета Внутр'!F1582</f>
        <v>0</v>
      </c>
      <c r="G1582" s="1104" t="n">
        <f aca="false">IF(E1582&gt;F1582,E1582,F1582)</f>
        <v>99</v>
      </c>
      <c r="H1582" s="1104" t="n">
        <f aca="false">'Смета Внутр'!G1582</f>
        <v>1070.95485549018</v>
      </c>
      <c r="I1582" s="1104" t="n">
        <f aca="false">'Смета Внутр'!H1582</f>
        <v>0</v>
      </c>
      <c r="J1582" s="1109" t="n">
        <f aca="false">'Смета Внутр'!I1582</f>
        <v>0</v>
      </c>
    </row>
    <row r="1583" customFormat="false" ht="15" hidden="true" customHeight="true" outlineLevel="0" collapsed="false">
      <c r="B1583" s="1104" t="str">
        <f aca="false">'Смета Внутр'!B1583</f>
        <v>металлочерепица</v>
      </c>
      <c r="C1583" s="1104" t="str">
        <f aca="false">'Смета Внутр'!C1583</f>
        <v>м2</v>
      </c>
      <c r="D1583" s="1109" t="n">
        <f aca="false">'Смета Внутр'!D1583</f>
        <v>10.8177258130321</v>
      </c>
      <c r="E1583" s="1104" t="n">
        <f aca="false">'Смета Внутр'!E1583</f>
        <v>250</v>
      </c>
      <c r="F1583" s="1104" t="n">
        <f aca="false">'Смета Внутр'!F1583</f>
        <v>0</v>
      </c>
      <c r="G1583" s="1104" t="n">
        <f aca="false">IF(E1583&gt;F1583,E1583,F1583)</f>
        <v>250</v>
      </c>
      <c r="H1583" s="1104" t="n">
        <f aca="false">'Смета Внутр'!G1583</f>
        <v>2704.43145325803</v>
      </c>
      <c r="I1583" s="1104" t="n">
        <f aca="false">'Смета Внутр'!H1583</f>
        <v>0</v>
      </c>
      <c r="J1583" s="1109" t="n">
        <f aca="false">'Смета Внутр'!I1583</f>
        <v>0</v>
      </c>
    </row>
    <row r="1584" customFormat="false" ht="15" hidden="true" customHeight="true" outlineLevel="0" collapsed="false">
      <c r="B1584" s="1104" t="str">
        <f aca="false">'Смета Внутр'!B1584</f>
        <v>карнизная планка</v>
      </c>
      <c r="C1584" s="1104" t="str">
        <f aca="false">'Смета Внутр'!C1584</f>
        <v>м.п.</v>
      </c>
      <c r="D1584" s="1109" t="n">
        <f aca="false">'Смета Внутр'!D1584</f>
        <v>4.18</v>
      </c>
      <c r="E1584" s="1104" t="n">
        <f aca="false">'Смета Внутр'!E1584</f>
        <v>200</v>
      </c>
      <c r="F1584" s="1104" t="n">
        <f aca="false">'Смета Внутр'!F1584</f>
        <v>0</v>
      </c>
      <c r="G1584" s="1104" t="n">
        <f aca="false">IF(E1584&gt;F1584,E1584,F1584)</f>
        <v>200</v>
      </c>
      <c r="H1584" s="1104" t="n">
        <f aca="false">'Смета Внутр'!G1584</f>
        <v>836</v>
      </c>
      <c r="I1584" s="1104" t="n">
        <f aca="false">'Смета Внутр'!H1584</f>
        <v>0</v>
      </c>
      <c r="J1584" s="1109" t="n">
        <f aca="false">'Смета Внутр'!I1584</f>
        <v>0</v>
      </c>
    </row>
    <row r="1585" customFormat="false" ht="15" hidden="true" customHeight="true" outlineLevel="0" collapsed="false">
      <c r="B1585" s="1104" t="str">
        <f aca="false">'Смета Внутр'!B1585</f>
        <v>торцевая планка</v>
      </c>
      <c r="C1585" s="1104" t="str">
        <f aca="false">'Смета Внутр'!C1585</f>
        <v>м.п.</v>
      </c>
      <c r="D1585" s="1109" t="n">
        <f aca="false">'Смета Внутр'!D1585</f>
        <v>5.21907824312953</v>
      </c>
      <c r="E1585" s="1104" t="n">
        <f aca="false">'Смета Внутр'!E1585</f>
        <v>200</v>
      </c>
      <c r="F1585" s="1104" t="n">
        <f aca="false">'Смета Внутр'!F1585</f>
        <v>0</v>
      </c>
      <c r="G1585" s="1104" t="n">
        <f aca="false">IF(E1585&gt;F1585,E1585,F1585)</f>
        <v>200</v>
      </c>
      <c r="H1585" s="1104" t="n">
        <f aca="false">'Смета Внутр'!G1585</f>
        <v>1043.81564862591</v>
      </c>
      <c r="I1585" s="1104" t="n">
        <f aca="false">'Смета Внутр'!H1585</f>
        <v>0</v>
      </c>
      <c r="J1585" s="1109" t="n">
        <f aca="false">'Смета Внутр'!I1585</f>
        <v>0</v>
      </c>
    </row>
    <row r="1586" customFormat="false" ht="15" hidden="true" customHeight="true" outlineLevel="0" collapsed="false">
      <c r="B1586" s="1104" t="str">
        <f aca="false">'Смета Внутр'!B1586</f>
        <v>конек</v>
      </c>
      <c r="C1586" s="1104" t="str">
        <f aca="false">'Смета Внутр'!C1586</f>
        <v>м.п.</v>
      </c>
      <c r="D1586" s="1109" t="n">
        <f aca="false">'Смета Внутр'!D1586</f>
        <v>0</v>
      </c>
      <c r="E1586" s="1104" t="n">
        <f aca="false">'Смета Внутр'!E1586</f>
        <v>230</v>
      </c>
      <c r="F1586" s="1104" t="n">
        <f aca="false">'Смета Внутр'!F1586</f>
        <v>0</v>
      </c>
      <c r="G1586" s="1104" t="n">
        <f aca="false">IF(E1586&gt;F1586,E1586,F1586)</f>
        <v>230</v>
      </c>
      <c r="H1586" s="1104" t="n">
        <f aca="false">'Смета Внутр'!G1586</f>
        <v>0</v>
      </c>
      <c r="I1586" s="1104" t="n">
        <f aca="false">'Смета Внутр'!H1586</f>
        <v>0</v>
      </c>
      <c r="J1586" s="1109" t="n">
        <f aca="false">'Смета Внутр'!I1586</f>
        <v>0</v>
      </c>
    </row>
    <row r="1587" customFormat="false" ht="15" hidden="true" customHeight="true" outlineLevel="0" collapsed="false">
      <c r="B1587" s="1104" t="str">
        <f aca="false">'Смета Внутр'!B1587</f>
        <v>ондулин</v>
      </c>
      <c r="C1587" s="1104" t="str">
        <f aca="false">'Смета Внутр'!C1587</f>
        <v>м2</v>
      </c>
      <c r="D1587" s="1109" t="n">
        <f aca="false">'Смета Внутр'!D1587</f>
        <v>0</v>
      </c>
      <c r="E1587" s="1104" t="n">
        <f aca="false">'Смета Внутр'!E1587</f>
        <v>180</v>
      </c>
      <c r="F1587" s="1104" t="n">
        <f aca="false">'Смета Внутр'!F1587</f>
        <v>0</v>
      </c>
      <c r="G1587" s="1104" t="n">
        <f aca="false">IF(E1587&gt;F1587,E1587,F1587)</f>
        <v>180</v>
      </c>
      <c r="H1587" s="1104" t="n">
        <f aca="false">'Смета Внутр'!G1587</f>
        <v>0</v>
      </c>
      <c r="I1587" s="1104" t="n">
        <f aca="false">'Смета Внутр'!H1587</f>
        <v>0</v>
      </c>
      <c r="J1587" s="1109" t="n">
        <f aca="false">'Смета Внутр'!I1587</f>
        <v>0</v>
      </c>
    </row>
    <row r="1588" customFormat="false" ht="15" hidden="true" customHeight="true" outlineLevel="0" collapsed="false">
      <c r="B1588" s="1104" t="str">
        <f aca="false">'Смета Внутр'!B1588</f>
        <v>Карнизная планка</v>
      </c>
      <c r="C1588" s="1104" t="str">
        <f aca="false">'Смета Внутр'!C1588</f>
        <v>м.п.</v>
      </c>
      <c r="D1588" s="1109" t="n">
        <f aca="false">'Смета Внутр'!D1588</f>
        <v>0</v>
      </c>
      <c r="E1588" s="1104" t="n">
        <f aca="false">'Смета Внутр'!E1588</f>
        <v>190</v>
      </c>
      <c r="F1588" s="1104" t="n">
        <f aca="false">'Смета Внутр'!F1588</f>
        <v>0</v>
      </c>
      <c r="G1588" s="1104" t="n">
        <f aca="false">IF(E1588&gt;F1588,E1588,F1588)</f>
        <v>190</v>
      </c>
      <c r="H1588" s="1104" t="n">
        <f aca="false">'Смета Внутр'!G1588</f>
        <v>0</v>
      </c>
      <c r="I1588" s="1104" t="n">
        <f aca="false">'Смета Внутр'!H1588</f>
        <v>0</v>
      </c>
      <c r="J1588" s="1109" t="n">
        <f aca="false">'Смета Внутр'!I1588</f>
        <v>0</v>
      </c>
    </row>
    <row r="1589" customFormat="false" ht="15" hidden="true" customHeight="true" outlineLevel="0" collapsed="false">
      <c r="B1589" s="1104" t="str">
        <f aca="false">'Смета Внутр'!B1589</f>
        <v>Торцевая планка</v>
      </c>
      <c r="C1589" s="1104" t="str">
        <f aca="false">'Смета Внутр'!C1589</f>
        <v>м.п.</v>
      </c>
      <c r="D1589" s="1109" t="n">
        <f aca="false">'Смета Внутр'!D1589</f>
        <v>0</v>
      </c>
      <c r="E1589" s="1104" t="n">
        <f aca="false">'Смета Внутр'!E1589</f>
        <v>190</v>
      </c>
      <c r="F1589" s="1104" t="n">
        <f aca="false">'Смета Внутр'!F1589</f>
        <v>0</v>
      </c>
      <c r="G1589" s="1104" t="n">
        <f aca="false">IF(E1589&gt;F1589,E1589,F1589)</f>
        <v>190</v>
      </c>
      <c r="H1589" s="1104" t="n">
        <f aca="false">'Смета Внутр'!G1589</f>
        <v>0</v>
      </c>
      <c r="I1589" s="1104" t="n">
        <f aca="false">'Смета Внутр'!H1589</f>
        <v>0</v>
      </c>
      <c r="J1589" s="1109" t="n">
        <f aca="false">'Смета Внутр'!I1589</f>
        <v>0</v>
      </c>
    </row>
    <row r="1590" customFormat="false" ht="15" hidden="true" customHeight="true" outlineLevel="0" collapsed="false">
      <c r="B1590" s="1104" t="str">
        <f aca="false">'Смета Внутр'!B1590</f>
        <v>Конек</v>
      </c>
      <c r="C1590" s="1104" t="str">
        <f aca="false">'Смета Внутр'!C1590</f>
        <v>м.п.</v>
      </c>
      <c r="D1590" s="1109" t="n">
        <f aca="false">'Смета Внутр'!D1590</f>
        <v>0</v>
      </c>
      <c r="E1590" s="1104" t="n">
        <f aca="false">'Смета Внутр'!E1590</f>
        <v>200</v>
      </c>
      <c r="F1590" s="1104" t="n">
        <f aca="false">'Смета Внутр'!F1590</f>
        <v>0</v>
      </c>
      <c r="G1590" s="1104" t="n">
        <f aca="false">IF(E1590&gt;F1590,E1590,F1590)</f>
        <v>200</v>
      </c>
      <c r="H1590" s="1104" t="n">
        <f aca="false">'Смета Внутр'!G1590</f>
        <v>0</v>
      </c>
      <c r="I1590" s="1104" t="n">
        <f aca="false">'Смета Внутр'!H1590</f>
        <v>0</v>
      </c>
      <c r="J1590" s="1109" t="n">
        <f aca="false">'Смета Внутр'!I1590</f>
        <v>0</v>
      </c>
    </row>
    <row r="1591" customFormat="false" ht="15" hidden="true" customHeight="true" outlineLevel="0" collapsed="false">
      <c r="B1591" s="1104" t="str">
        <f aca="false">'Смета Внутр'!B1591</f>
        <v>Ендова нижняя</v>
      </c>
      <c r="C1591" s="1104" t="str">
        <f aca="false">'Смета Внутр'!C1591</f>
        <v>м.п.</v>
      </c>
      <c r="D1591" s="1109" t="n">
        <f aca="false">'Смета Внутр'!D1591</f>
        <v>0</v>
      </c>
      <c r="E1591" s="1104" t="n">
        <f aca="false">'Смета Внутр'!E1591</f>
        <v>160</v>
      </c>
      <c r="F1591" s="1104" t="n">
        <f aca="false">'Смета Внутр'!F1591</f>
        <v>0</v>
      </c>
      <c r="G1591" s="1104" t="n">
        <f aca="false">IF(E1591&gt;F1591,E1591,F1591)</f>
        <v>160</v>
      </c>
      <c r="H1591" s="1104" t="n">
        <f aca="false">'Смета Внутр'!G1591</f>
        <v>0</v>
      </c>
      <c r="I1591" s="1104" t="n">
        <f aca="false">'Смета Внутр'!H1591</f>
        <v>0</v>
      </c>
      <c r="J1591" s="1109" t="n">
        <f aca="false">'Смета Внутр'!I1591</f>
        <v>0</v>
      </c>
    </row>
    <row r="1592" customFormat="false" ht="15" hidden="true" customHeight="true" outlineLevel="0" collapsed="false">
      <c r="B1592" s="1104" t="str">
        <f aca="false">'Смета Внутр'!B1592</f>
        <v>Ендова верхняя</v>
      </c>
      <c r="C1592" s="1104" t="str">
        <f aca="false">'Смета Внутр'!C1592</f>
        <v>м.п.</v>
      </c>
      <c r="D1592" s="1109" t="n">
        <f aca="false">'Смета Внутр'!D1592</f>
        <v>0</v>
      </c>
      <c r="E1592" s="1104" t="n">
        <f aca="false">'Смета Внутр'!E1592</f>
        <v>190</v>
      </c>
      <c r="F1592" s="1104" t="n">
        <f aca="false">'Смета Внутр'!F1592</f>
        <v>0</v>
      </c>
      <c r="G1592" s="1104" t="n">
        <f aca="false">IF(E1592&gt;F1592,E1592,F1592)</f>
        <v>190</v>
      </c>
      <c r="H1592" s="1104" t="n">
        <f aca="false">'Смета Внутр'!G1592</f>
        <v>0</v>
      </c>
      <c r="I1592" s="1104" t="n">
        <f aca="false">'Смета Внутр'!H1592</f>
        <v>0</v>
      </c>
      <c r="J1592" s="1109" t="n">
        <f aca="false">'Смета Внутр'!I1592</f>
        <v>0</v>
      </c>
    </row>
    <row r="1593" customFormat="false" ht="15" hidden="true" customHeight="true" outlineLevel="0" collapsed="false">
      <c r="B1593" s="1104" t="str">
        <f aca="false">'Смета Внутр'!B1593</f>
        <v>Планка примыкания</v>
      </c>
      <c r="C1593" s="1104" t="str">
        <f aca="false">'Смета Внутр'!C1593</f>
        <v>м.п.</v>
      </c>
      <c r="D1593" s="1109" t="n">
        <f aca="false">'Смета Внутр'!D1593</f>
        <v>0</v>
      </c>
      <c r="E1593" s="1104" t="n">
        <f aca="false">'Смета Внутр'!E1593</f>
        <v>190</v>
      </c>
      <c r="F1593" s="1104" t="n">
        <f aca="false">'Смета Внутр'!F1593</f>
        <v>0</v>
      </c>
      <c r="G1593" s="1104" t="n">
        <f aca="false">IF(E1593&gt;F1593,E1593,F1593)</f>
        <v>190</v>
      </c>
      <c r="H1593" s="1104" t="n">
        <f aca="false">'Смета Внутр'!G1593</f>
        <v>0</v>
      </c>
      <c r="I1593" s="1104" t="n">
        <f aca="false">'Смета Внутр'!H1593</f>
        <v>0</v>
      </c>
      <c r="J1593" s="1109" t="n">
        <f aca="false">'Смета Внутр'!I1593</f>
        <v>0</v>
      </c>
    </row>
    <row r="1594" customFormat="false" ht="15" hidden="true" customHeight="true" outlineLevel="0" collapsed="false">
      <c r="B1594" s="1104" t="str">
        <f aca="false">'Смета Внутр'!B1594</f>
        <v>Крепеж для ондулина</v>
      </c>
      <c r="C1594" s="1104" t="str">
        <f aca="false">'Смета Внутр'!C1594</f>
        <v>шт</v>
      </c>
      <c r="D1594" s="1109" t="n">
        <f aca="false">'Смета Внутр'!D1594</f>
        <v>0</v>
      </c>
      <c r="E1594" s="1104" t="n">
        <f aca="false">'Смета Внутр'!E1594</f>
        <v>4.5</v>
      </c>
      <c r="F1594" s="1104" t="n">
        <f aca="false">'Смета Внутр'!F1594</f>
        <v>0</v>
      </c>
      <c r="G1594" s="1104" t="n">
        <f aca="false">IF(E1594&gt;F1594,E1594,F1594)</f>
        <v>4.5</v>
      </c>
      <c r="H1594" s="1104" t="n">
        <f aca="false">'Смета Внутр'!G1594</f>
        <v>0</v>
      </c>
      <c r="I1594" s="1104" t="n">
        <f aca="false">'Смета Внутр'!H1594</f>
        <v>0</v>
      </c>
      <c r="J1594" s="1109" t="n">
        <f aca="false">'Смета Внутр'!I1594</f>
        <v>0</v>
      </c>
    </row>
    <row r="1595" customFormat="false" ht="15" hidden="true" customHeight="true" outlineLevel="0" collapsed="false">
      <c r="B1595" s="1104" t="str">
        <f aca="false">'Смета Внутр'!B1595</f>
        <v>Рядовая черепица</v>
      </c>
      <c r="C1595" s="1104" t="str">
        <f aca="false">'Смета Внутр'!C1595</f>
        <v>м2</v>
      </c>
      <c r="D1595" s="1109" t="n">
        <f aca="false">'Смета Внутр'!D1595</f>
        <v>0</v>
      </c>
      <c r="E1595" s="1104" t="n">
        <f aca="false">'Смета Внутр'!E1595</f>
        <v>360</v>
      </c>
      <c r="F1595" s="1104" t="n">
        <f aca="false">'Смета Внутр'!F1595</f>
        <v>0</v>
      </c>
      <c r="G1595" s="1104" t="n">
        <f aca="false">IF(E1595&gt;F1595,E1595,F1595)</f>
        <v>360</v>
      </c>
      <c r="H1595" s="1104" t="n">
        <f aca="false">'Смета Внутр'!G1595</f>
        <v>0</v>
      </c>
      <c r="I1595" s="1104" t="n">
        <f aca="false">'Смета Внутр'!H1595</f>
        <v>0</v>
      </c>
      <c r="J1595" s="1109" t="n">
        <f aca="false">'Смета Внутр'!I1595</f>
        <v>0</v>
      </c>
    </row>
    <row r="1596" customFormat="false" ht="15" hidden="true" customHeight="true" outlineLevel="0" collapsed="false">
      <c r="B1596" s="1104" t="str">
        <f aca="false">'Смета Внутр'!B1596</f>
        <v>Металл оцинк защита (карниз)</v>
      </c>
      <c r="C1596" s="1104" t="str">
        <f aca="false">'Смета Внутр'!C1596</f>
        <v>м.п.</v>
      </c>
      <c r="D1596" s="1109" t="n">
        <f aca="false">'Смета Внутр'!D1596</f>
        <v>0</v>
      </c>
      <c r="E1596" s="1104" t="n">
        <f aca="false">'Смета Внутр'!E1596</f>
        <v>200</v>
      </c>
      <c r="F1596" s="1104" t="n">
        <f aca="false">'Смета Внутр'!F1596</f>
        <v>0</v>
      </c>
      <c r="G1596" s="1104" t="n">
        <f aca="false">IF(E1596&gt;F1596,E1596,F1596)</f>
        <v>200</v>
      </c>
      <c r="H1596" s="1104" t="n">
        <f aca="false">'Смета Внутр'!G1596</f>
        <v>0</v>
      </c>
      <c r="I1596" s="1104" t="n">
        <f aca="false">'Смета Внутр'!H1596</f>
        <v>0</v>
      </c>
      <c r="J1596" s="1109" t="n">
        <f aca="false">'Смета Внутр'!I1596</f>
        <v>0</v>
      </c>
    </row>
    <row r="1597" customFormat="false" ht="15" hidden="true" customHeight="true" outlineLevel="0" collapsed="false">
      <c r="B1597" s="1104" t="str">
        <f aca="false">'Смета Внутр'!B1597</f>
        <v>Подкладочный ковер</v>
      </c>
      <c r="C1597" s="1104" t="str">
        <f aca="false">'Смета Внутр'!C1597</f>
        <v>м.п.</v>
      </c>
      <c r="D1597" s="1109" t="n">
        <f aca="false">'Смета Внутр'!D1597</f>
        <v>0</v>
      </c>
      <c r="E1597" s="1104" t="n">
        <f aca="false">'Смета Внутр'!E1597</f>
        <v>220</v>
      </c>
      <c r="F1597" s="1104" t="n">
        <f aca="false">'Смета Внутр'!F1597</f>
        <v>0</v>
      </c>
      <c r="G1597" s="1104" t="n">
        <f aca="false">IF(E1597&gt;F1597,E1597,F1597)</f>
        <v>220</v>
      </c>
      <c r="H1597" s="1104" t="n">
        <f aca="false">'Смета Внутр'!G1597</f>
        <v>0</v>
      </c>
      <c r="I1597" s="1104" t="n">
        <f aca="false">'Смета Внутр'!H1597</f>
        <v>0</v>
      </c>
      <c r="J1597" s="1109" t="n">
        <f aca="false">'Смета Внутр'!I1597</f>
        <v>0</v>
      </c>
    </row>
    <row r="1598" customFormat="false" ht="15" hidden="true" customHeight="true" outlineLevel="0" collapsed="false">
      <c r="B1598" s="1104" t="str">
        <f aca="false">'Смета Внутр'!B1598</f>
        <v>Карнизная самоклеющаяся черепица</v>
      </c>
      <c r="C1598" s="1104" t="str">
        <f aca="false">'Смета Внутр'!C1598</f>
        <v>м.п.</v>
      </c>
      <c r="D1598" s="1109" t="n">
        <f aca="false">'Смета Внутр'!D1598</f>
        <v>0</v>
      </c>
      <c r="E1598" s="1104" t="n">
        <f aca="false">'Смета Внутр'!E1598</f>
        <v>220</v>
      </c>
      <c r="F1598" s="1104" t="n">
        <f aca="false">'Смета Внутр'!F1598</f>
        <v>0</v>
      </c>
      <c r="G1598" s="1104" t="n">
        <f aca="false">IF(E1598&gt;F1598,E1598,F1598)</f>
        <v>220</v>
      </c>
      <c r="H1598" s="1104" t="n">
        <f aca="false">'Смета Внутр'!G1598</f>
        <v>0</v>
      </c>
      <c r="I1598" s="1104" t="n">
        <f aca="false">'Смета Внутр'!H1598</f>
        <v>0</v>
      </c>
      <c r="J1598" s="1109" t="n">
        <f aca="false">'Смета Внутр'!I1598</f>
        <v>0</v>
      </c>
    </row>
    <row r="1599" customFormat="false" ht="15" hidden="true" customHeight="true" outlineLevel="0" collapsed="false">
      <c r="B1599" s="1104" t="str">
        <f aca="false">'Смета Внутр'!B1599</f>
        <v>Спец ковер ендова нижняя</v>
      </c>
      <c r="C1599" s="1104" t="str">
        <f aca="false">'Смета Внутр'!C1599</f>
        <v>м.п.</v>
      </c>
      <c r="D1599" s="1109" t="n">
        <f aca="false">'Смета Внутр'!D1599</f>
        <v>0</v>
      </c>
      <c r="E1599" s="1104" t="n">
        <f aca="false">'Смета Внутр'!E1599</f>
        <v>200</v>
      </c>
      <c r="F1599" s="1104" t="n">
        <f aca="false">'Смета Внутр'!F1599</f>
        <v>0</v>
      </c>
      <c r="G1599" s="1104" t="n">
        <f aca="false">IF(E1599&gt;F1599,E1599,F1599)</f>
        <v>200</v>
      </c>
      <c r="H1599" s="1104" t="n">
        <f aca="false">'Смета Внутр'!G1599</f>
        <v>0</v>
      </c>
      <c r="I1599" s="1104" t="n">
        <f aca="false">'Смета Внутр'!H1599</f>
        <v>0</v>
      </c>
      <c r="J1599" s="1109" t="n">
        <f aca="false">'Смета Внутр'!I1599</f>
        <v>0</v>
      </c>
    </row>
    <row r="1600" customFormat="false" ht="15" hidden="true" customHeight="true" outlineLevel="0" collapsed="false">
      <c r="B1600" s="1104" t="str">
        <f aca="false">'Смета Внутр'!B1600</f>
        <v>Коньковой элемент</v>
      </c>
      <c r="C1600" s="1104" t="str">
        <f aca="false">'Смета Внутр'!C1600</f>
        <v>м.п.</v>
      </c>
      <c r="D1600" s="1109" t="n">
        <f aca="false">'Смета Внутр'!D1600</f>
        <v>0</v>
      </c>
      <c r="E1600" s="1104" t="n">
        <f aca="false">'Смета Внутр'!E1600</f>
        <v>250</v>
      </c>
      <c r="F1600" s="1104" t="n">
        <f aca="false">'Смета Внутр'!F1600</f>
        <v>0</v>
      </c>
      <c r="G1600" s="1104" t="n">
        <f aca="false">IF(E1600&gt;F1600,E1600,F1600)</f>
        <v>250</v>
      </c>
      <c r="H1600" s="1104" t="n">
        <f aca="false">'Смета Внутр'!G1600</f>
        <v>0</v>
      </c>
      <c r="I1600" s="1104" t="n">
        <f aca="false">'Смета Внутр'!H1600</f>
        <v>0</v>
      </c>
      <c r="J1600" s="1109" t="n">
        <f aca="false">'Смета Внутр'!I1600</f>
        <v>0</v>
      </c>
    </row>
    <row r="1601" customFormat="false" ht="15" hidden="true" customHeight="true" outlineLevel="0" collapsed="false">
      <c r="B1601" s="1104" t="str">
        <f aca="false">'Смета Внутр'!B1601</f>
        <v>Планка премыкания</v>
      </c>
      <c r="C1601" s="1104" t="str">
        <f aca="false">'Смета Внутр'!C1601</f>
        <v>м.п.</v>
      </c>
      <c r="D1601" s="1109" t="n">
        <f aca="false">'Смета Внутр'!D1601</f>
        <v>0</v>
      </c>
      <c r="E1601" s="1104" t="n">
        <f aca="false">'Смета Внутр'!E1601</f>
        <v>200</v>
      </c>
      <c r="F1601" s="1104" t="n">
        <f aca="false">'Смета Внутр'!F1601</f>
        <v>0</v>
      </c>
      <c r="G1601" s="1104" t="n">
        <f aca="false">IF(E1601&gt;F1601,E1601,F1601)</f>
        <v>200</v>
      </c>
      <c r="H1601" s="1104" t="n">
        <f aca="false">'Смета Внутр'!G1601</f>
        <v>0</v>
      </c>
      <c r="I1601" s="1104" t="n">
        <f aca="false">'Смета Внутр'!H1601</f>
        <v>0</v>
      </c>
      <c r="J1601" s="1109" t="n">
        <f aca="false">'Смета Внутр'!I1601</f>
        <v>0</v>
      </c>
    </row>
    <row r="1602" customFormat="false" ht="15" hidden="true" customHeight="true" outlineLevel="0" collapsed="false">
      <c r="B1602" s="1104" t="str">
        <f aca="false">'Смета Внутр'!B1602</f>
        <v>Гвозди для крепления подкладочного ковра</v>
      </c>
      <c r="C1602" s="1104" t="str">
        <f aca="false">'Смета Внутр'!C1602</f>
        <v>шт</v>
      </c>
      <c r="D1602" s="1109" t="n">
        <f aca="false">'Смета Внутр'!D1602</f>
        <v>0</v>
      </c>
      <c r="E1602" s="1104" t="n">
        <f aca="false">'Смета Внутр'!E1602</f>
        <v>0.012</v>
      </c>
      <c r="F1602" s="1104" t="n">
        <f aca="false">'Смета Внутр'!F1602</f>
        <v>0</v>
      </c>
      <c r="G1602" s="1104" t="n">
        <f aca="false">IF(E1602&gt;F1602,E1602,F1602)</f>
        <v>0.012</v>
      </c>
      <c r="H1602" s="1104" t="n">
        <f aca="false">'Смета Внутр'!G1602</f>
        <v>0</v>
      </c>
      <c r="I1602" s="1104" t="n">
        <f aca="false">'Смета Внутр'!H1602</f>
        <v>0</v>
      </c>
      <c r="J1602" s="1109" t="n">
        <f aca="false">'Смета Внутр'!I1602</f>
        <v>0</v>
      </c>
    </row>
    <row r="1603" customFormat="false" ht="15" hidden="true" customHeight="true" outlineLevel="0" collapsed="false">
      <c r="B1603" s="1104" t="str">
        <f aca="false">'Смета Внутр'!B1603</f>
        <v>Гвозди для крепления черепицы</v>
      </c>
      <c r="C1603" s="1104" t="str">
        <f aca="false">'Смета Внутр'!C1603</f>
        <v>шт</v>
      </c>
      <c r="D1603" s="1109" t="n">
        <f aca="false">'Смета Внутр'!D1603</f>
        <v>0</v>
      </c>
      <c r="E1603" s="1104" t="n">
        <f aca="false">'Смета Внутр'!E1603</f>
        <v>0.25</v>
      </c>
      <c r="F1603" s="1104" t="n">
        <f aca="false">'Смета Внутр'!F1603</f>
        <v>0</v>
      </c>
      <c r="G1603" s="1104" t="n">
        <f aca="false">IF(E1603&gt;F1603,E1603,F1603)</f>
        <v>0.25</v>
      </c>
      <c r="H1603" s="1104" t="n">
        <f aca="false">'Смета Внутр'!G1603</f>
        <v>0</v>
      </c>
      <c r="I1603" s="1104" t="n">
        <f aca="false">'Смета Внутр'!H1603</f>
        <v>0</v>
      </c>
      <c r="J1603" s="1109" t="n">
        <f aca="false">'Смета Внутр'!I1603</f>
        <v>0</v>
      </c>
    </row>
    <row r="1604" customFormat="false" ht="15" hidden="true" customHeight="true" outlineLevel="0" collapsed="false">
      <c r="B1604" s="1104" t="str">
        <f aca="false">'Смета Внутр'!B1604</f>
        <v>Клей для монтажа черепицы</v>
      </c>
      <c r="C1604" s="1104" t="str">
        <f aca="false">'Смета Внутр'!C1604</f>
        <v>кг</v>
      </c>
      <c r="D1604" s="1109" t="n">
        <f aca="false">'Смета Внутр'!D1604</f>
        <v>0</v>
      </c>
      <c r="E1604" s="1104" t="n">
        <f aca="false">'Смета Внутр'!E1604</f>
        <v>250</v>
      </c>
      <c r="F1604" s="1104" t="n">
        <f aca="false">'Смета Внутр'!F1604</f>
        <v>0</v>
      </c>
      <c r="G1604" s="1104" t="n">
        <f aca="false">IF(E1604&gt;F1604,E1604,F1604)</f>
        <v>250</v>
      </c>
      <c r="H1604" s="1104" t="n">
        <f aca="false">'Смета Внутр'!G1604</f>
        <v>0</v>
      </c>
      <c r="I1604" s="1104" t="n">
        <f aca="false">'Смета Внутр'!H1604</f>
        <v>0</v>
      </c>
      <c r="J1604" s="1109" t="n">
        <f aca="false">'Смета Внутр'!I1604</f>
        <v>0</v>
      </c>
    </row>
    <row r="1605" customFormat="false" ht="15" hidden="true" customHeight="true" outlineLevel="0" collapsed="false">
      <c r="B1605" s="1104" t="str">
        <f aca="false">'Смета Внутр'!B1605</f>
        <v>желоб</v>
      </c>
      <c r="C1605" s="1104" t="str">
        <f aca="false">'Смета Внутр'!C1605</f>
        <v>м.п</v>
      </c>
      <c r="D1605" s="1109" t="n">
        <f aca="false">'Смета Внутр'!D1605</f>
        <v>4.18</v>
      </c>
      <c r="E1605" s="1104" t="n">
        <f aca="false">'Смета Внутр'!E1605</f>
        <v>300</v>
      </c>
      <c r="F1605" s="1104" t="n">
        <f aca="false">'Смета Внутр'!F1605</f>
        <v>0</v>
      </c>
      <c r="G1605" s="1104" t="n">
        <f aca="false">IF(E1605&gt;F1605,E1605,F1605)</f>
        <v>300</v>
      </c>
      <c r="H1605" s="1104" t="n">
        <f aca="false">'Смета Внутр'!G1605</f>
        <v>1254</v>
      </c>
      <c r="I1605" s="1104" t="n">
        <f aca="false">'Смета Внутр'!H1605</f>
        <v>0</v>
      </c>
      <c r="J1605" s="1109" t="n">
        <f aca="false">'Смета Внутр'!I1605</f>
        <v>0</v>
      </c>
    </row>
    <row r="1606" customFormat="false" ht="15" hidden="true" customHeight="true" outlineLevel="0" collapsed="false">
      <c r="B1606" s="1104" t="str">
        <f aca="false">'Смета Внутр'!B1606</f>
        <v>отвод</v>
      </c>
      <c r="C1606" s="1104" t="str">
        <f aca="false">'Смета Внутр'!C1606</f>
        <v>шт</v>
      </c>
      <c r="D1606" s="1109" t="n">
        <f aca="false">'Смета Внутр'!D1606</f>
        <v>2</v>
      </c>
      <c r="E1606" s="1104" t="n">
        <f aca="false">'Смета Внутр'!E1606</f>
        <v>250</v>
      </c>
      <c r="F1606" s="1104" t="n">
        <f aca="false">'Смета Внутр'!F1606</f>
        <v>0</v>
      </c>
      <c r="G1606" s="1104" t="n">
        <f aca="false">IF(E1606&gt;F1606,E1606,F1606)</f>
        <v>250</v>
      </c>
      <c r="H1606" s="1104" t="n">
        <f aca="false">'Смета Внутр'!G1606</f>
        <v>500</v>
      </c>
      <c r="I1606" s="1104" t="n">
        <f aca="false">'Смета Внутр'!H1606</f>
        <v>0</v>
      </c>
      <c r="J1606" s="1109" t="n">
        <f aca="false">'Смета Внутр'!I1606</f>
        <v>0</v>
      </c>
    </row>
    <row r="1607" customFormat="false" ht="15" hidden="true" customHeight="true" outlineLevel="0" collapsed="false">
      <c r="B1607" s="1104" t="str">
        <f aca="false">'Смета Внутр'!B1607</f>
        <v>труба водосточная</v>
      </c>
      <c r="C1607" s="1104" t="str">
        <f aca="false">'Смета Внутр'!C1607</f>
        <v>м.п.</v>
      </c>
      <c r="D1607" s="1109" t="n">
        <f aca="false">'Смета Внутр'!D1607</f>
        <v>0</v>
      </c>
      <c r="E1607" s="1104" t="n">
        <f aca="false">'Смета Внутр'!E1607</f>
        <v>300</v>
      </c>
      <c r="F1607" s="1104" t="n">
        <f aca="false">'Смета Внутр'!F1607</f>
        <v>0</v>
      </c>
      <c r="G1607" s="1104" t="n">
        <f aca="false">IF(E1607&gt;F1607,E1607,F1607)</f>
        <v>300</v>
      </c>
      <c r="H1607" s="1104" t="n">
        <f aca="false">'Смета Внутр'!G1607</f>
        <v>0</v>
      </c>
      <c r="I1607" s="1104" t="n">
        <f aca="false">'Смета Внутр'!H1607</f>
        <v>0</v>
      </c>
      <c r="J1607" s="1109" t="n">
        <f aca="false">'Смета Внутр'!I1607</f>
        <v>0</v>
      </c>
    </row>
    <row r="1608" customFormat="false" ht="15" hidden="true" customHeight="true" outlineLevel="0" collapsed="false">
      <c r="B1608" s="1104" t="str">
        <f aca="false">'Смета Внутр'!B1608</f>
        <v>заглушка для желоба</v>
      </c>
      <c r="C1608" s="1104" t="str">
        <f aca="false">'Смета Внутр'!C1608</f>
        <v>шт</v>
      </c>
      <c r="D1608" s="1109" t="n">
        <f aca="false">'Смета Внутр'!D1608</f>
        <v>2</v>
      </c>
      <c r="E1608" s="1104" t="n">
        <f aca="false">'Смета Внутр'!E1608</f>
        <v>190</v>
      </c>
      <c r="F1608" s="1104" t="n">
        <f aca="false">'Смета Внутр'!F1608</f>
        <v>0</v>
      </c>
      <c r="G1608" s="1104" t="n">
        <f aca="false">IF(E1608&gt;F1608,E1608,F1608)</f>
        <v>190</v>
      </c>
      <c r="H1608" s="1104" t="n">
        <f aca="false">'Смета Внутр'!G1608</f>
        <v>380</v>
      </c>
      <c r="I1608" s="1104" t="n">
        <f aca="false">'Смета Внутр'!H1608</f>
        <v>0</v>
      </c>
      <c r="J1608" s="1109" t="n">
        <f aca="false">'Смета Внутр'!I1608</f>
        <v>0</v>
      </c>
    </row>
    <row r="1609" customFormat="false" ht="15" hidden="true" customHeight="true" outlineLevel="0" collapsed="false">
      <c r="B1609" s="1104" t="str">
        <f aca="false">'Смета Внутр'!B1609</f>
        <v>соеденитель для желоба</v>
      </c>
      <c r="C1609" s="1104" t="str">
        <f aca="false">'Смета Внутр'!C1609</f>
        <v>шт</v>
      </c>
      <c r="D1609" s="1109" t="n">
        <f aca="false">'Смета Внутр'!D1609</f>
        <v>2</v>
      </c>
      <c r="E1609" s="1104" t="n">
        <f aca="false">'Смета Внутр'!E1609</f>
        <v>180</v>
      </c>
      <c r="F1609" s="1104" t="n">
        <f aca="false">'Смета Внутр'!F1609</f>
        <v>0</v>
      </c>
      <c r="G1609" s="1104" t="n">
        <f aca="false">IF(E1609&gt;F1609,E1609,F1609)</f>
        <v>180</v>
      </c>
      <c r="H1609" s="1104" t="n">
        <f aca="false">'Смета Внутр'!G1609</f>
        <v>360</v>
      </c>
      <c r="I1609" s="1104" t="n">
        <f aca="false">'Смета Внутр'!H1609</f>
        <v>0</v>
      </c>
      <c r="J1609" s="1109" t="n">
        <f aca="false">'Смета Внутр'!I1609</f>
        <v>0</v>
      </c>
    </row>
    <row r="1610" customFormat="false" ht="15" hidden="true" customHeight="true" outlineLevel="0" collapsed="false">
      <c r="B1610" s="1104" t="str">
        <f aca="false">'Смета Внутр'!B1610</f>
        <v>кронштейн для желоба</v>
      </c>
      <c r="C1610" s="1104" t="str">
        <f aca="false">'Смета Внутр'!C1610</f>
        <v>шт</v>
      </c>
      <c r="D1610" s="1109" t="n">
        <f aca="false">'Смета Внутр'!D1610</f>
        <v>10.45</v>
      </c>
      <c r="E1610" s="1104" t="n">
        <f aca="false">'Смета Внутр'!E1610</f>
        <v>130</v>
      </c>
      <c r="F1610" s="1104" t="n">
        <f aca="false">'Смета Внутр'!F1610</f>
        <v>0</v>
      </c>
      <c r="G1610" s="1104" t="n">
        <f aca="false">IF(E1610&gt;F1610,E1610,F1610)</f>
        <v>130</v>
      </c>
      <c r="H1610" s="1104" t="n">
        <f aca="false">'Смета Внутр'!G1610</f>
        <v>1358.5</v>
      </c>
      <c r="I1610" s="1104" t="n">
        <f aca="false">'Смета Внутр'!H1610</f>
        <v>0</v>
      </c>
      <c r="J1610" s="1109" t="n">
        <f aca="false">'Смета Внутр'!I1610</f>
        <v>0</v>
      </c>
    </row>
    <row r="1611" customFormat="false" ht="15" hidden="true" customHeight="true" outlineLevel="0" collapsed="false">
      <c r="B1611" s="1104" t="str">
        <f aca="false">'Смета Внутр'!B1611</f>
        <v>переход из желоба в трубу</v>
      </c>
      <c r="C1611" s="1104" t="str">
        <f aca="false">'Смета Внутр'!C1611</f>
        <v>шт</v>
      </c>
      <c r="D1611" s="1109" t="n">
        <f aca="false">'Смета Внутр'!D1611</f>
        <v>2</v>
      </c>
      <c r="E1611" s="1104" t="n">
        <f aca="false">'Смета Внутр'!E1611</f>
        <v>350</v>
      </c>
      <c r="F1611" s="1104" t="n">
        <f aca="false">'Смета Внутр'!F1611</f>
        <v>0</v>
      </c>
      <c r="G1611" s="1104" t="n">
        <f aca="false">IF(E1611&gt;F1611,E1611,F1611)</f>
        <v>350</v>
      </c>
      <c r="H1611" s="1104" t="n">
        <f aca="false">'Смета Внутр'!G1611</f>
        <v>700</v>
      </c>
      <c r="I1611" s="1104" t="n">
        <f aca="false">'Смета Внутр'!H1611</f>
        <v>0</v>
      </c>
      <c r="J1611" s="1109" t="n">
        <f aca="false">'Смета Внутр'!I1611</f>
        <v>0</v>
      </c>
    </row>
    <row r="1612" customFormat="false" ht="15" hidden="true" customHeight="true" outlineLevel="0" collapsed="false">
      <c r="B1612" s="1104" t="str">
        <f aca="false">'Смета Внутр'!B1612</f>
        <v>лента дельта мульти бэнд</v>
      </c>
      <c r="C1612" s="1104" t="str">
        <f aca="false">'Смета Внутр'!C1612</f>
        <v>шт</v>
      </c>
      <c r="D1612" s="1109" t="n">
        <f aca="false">'Смета Внутр'!D1612</f>
        <v>0.257564900310288</v>
      </c>
      <c r="E1612" s="1104" t="n">
        <f aca="false">'Смета Внутр'!E1612</f>
        <v>1200</v>
      </c>
      <c r="F1612" s="1104" t="n">
        <f aca="false">'Смета Внутр'!F1612</f>
        <v>0</v>
      </c>
      <c r="G1612" s="1104" t="n">
        <f aca="false">IF(E1612&gt;F1612,E1612,F1612)</f>
        <v>1200</v>
      </c>
      <c r="H1612" s="1104" t="n">
        <f aca="false">'Смета Внутр'!G1612</f>
        <v>309.077880372346</v>
      </c>
      <c r="I1612" s="1104" t="n">
        <f aca="false">'Смета Внутр'!H1612</f>
        <v>0</v>
      </c>
      <c r="J1612" s="1109" t="n">
        <f aca="false">'Смета Внутр'!I1612</f>
        <v>0</v>
      </c>
    </row>
    <row r="1613" customFormat="false" ht="15" hidden="true" customHeight="true" outlineLevel="0" collapsed="false">
      <c r="B1613" s="1104" t="str">
        <f aca="false">'Смета Внутр'!B1613</f>
        <v>лента дельта sb-60</v>
      </c>
      <c r="C1613" s="1104" t="str">
        <f aca="false">'Смета Внутр'!C1613</f>
        <v>шт</v>
      </c>
      <c r="D1613" s="1109" t="n">
        <f aca="false">'Смета Внутр'!D1613</f>
        <v>0.200328255796891</v>
      </c>
      <c r="E1613" s="1104" t="n">
        <f aca="false">'Смета Внутр'!E1613</f>
        <v>1100</v>
      </c>
      <c r="F1613" s="1104" t="n">
        <f aca="false">'Смета Внутр'!F1613</f>
        <v>0</v>
      </c>
      <c r="G1613" s="1104" t="n">
        <f aca="false">IF(E1613&gt;F1613,E1613,F1613)</f>
        <v>1100</v>
      </c>
      <c r="H1613" s="1104" t="n">
        <f aca="false">'Смета Внутр'!G1613</f>
        <v>220.36108137658</v>
      </c>
      <c r="I1613" s="1104" t="n">
        <f aca="false">'Смета Внутр'!H1613</f>
        <v>0</v>
      </c>
      <c r="J1613" s="1109" t="n">
        <f aca="false">'Смета Внутр'!I1613</f>
        <v>0</v>
      </c>
    </row>
    <row r="1614" customFormat="false" ht="15" hidden="true" customHeight="true" outlineLevel="0" collapsed="false">
      <c r="B1614" s="1104" t="str">
        <f aca="false">'Смета Внутр'!B1614</f>
        <v>Кровельный саморез</v>
      </c>
      <c r="C1614" s="1104" t="str">
        <f aca="false">'Смета Внутр'!C1614</f>
        <v>шт</v>
      </c>
      <c r="D1614" s="1109" t="n">
        <f aca="false">'Смета Внутр'!D1614</f>
        <v>108.177258130321</v>
      </c>
      <c r="E1614" s="1104" t="n">
        <f aca="false">'Смета Внутр'!E1614</f>
        <v>2</v>
      </c>
      <c r="F1614" s="1104" t="n">
        <f aca="false">'Смета Внутр'!F1614</f>
        <v>0</v>
      </c>
      <c r="G1614" s="1104" t="n">
        <f aca="false">IF(E1614&gt;F1614,E1614,F1614)</f>
        <v>2</v>
      </c>
      <c r="H1614" s="1104" t="n">
        <f aca="false">'Смета Внутр'!G1614</f>
        <v>216.354516260642</v>
      </c>
      <c r="I1614" s="1104" t="n">
        <f aca="false">'Смета Внутр'!H1614</f>
        <v>0</v>
      </c>
      <c r="J1614" s="1109" t="n">
        <f aca="false">'Смета Внутр'!I1614</f>
        <v>0</v>
      </c>
    </row>
    <row r="1615" customFormat="false" ht="15" hidden="true" customHeight="false" outlineLevel="0" collapsed="false">
      <c r="B1615" s="1108" t="str">
        <f aca="false">'Смета Внутр'!B1615</f>
        <v>Итого материалы</v>
      </c>
      <c r="C1615" s="1108"/>
      <c r="D1615" s="1108"/>
      <c r="E1615" s="1108"/>
      <c r="F1615" s="1108"/>
      <c r="G1615" s="1108"/>
      <c r="H1615" s="1104" t="n">
        <f aca="false">'Смета Внутр'!G1615</f>
        <v>0</v>
      </c>
      <c r="I1615" s="1104" t="n">
        <f aca="false">'Смета Внутр'!H1615</f>
        <v>0</v>
      </c>
      <c r="J1615" s="1109" t="n">
        <f aca="false">'Смета Внутр'!I1615</f>
        <v>0</v>
      </c>
    </row>
    <row r="1616" customFormat="false" ht="15" hidden="true" customHeight="true" outlineLevel="0" collapsed="false">
      <c r="B1616" s="118" t="str">
        <f aca="false">'Смета Внутр'!B1616</f>
        <v>Работы</v>
      </c>
      <c r="H1616" s="118" t="n">
        <f aca="false">'Смета Внутр'!G1616</f>
        <v>0</v>
      </c>
      <c r="I1616" s="118" t="n">
        <f aca="false">'Смета Внутр'!H1616</f>
        <v>0</v>
      </c>
      <c r="J1616" s="1102" t="n">
        <f aca="false">'Смета Внутр'!I1616</f>
        <v>0</v>
      </c>
    </row>
    <row r="1617" customFormat="false" ht="15" hidden="true" customHeight="true" outlineLevel="0" collapsed="false">
      <c r="B1617" s="1104" t="str">
        <f aca="false">'Смета Внутр'!B1617</f>
        <v>монтаж стропил</v>
      </c>
      <c r="C1617" s="1104" t="str">
        <f aca="false">'Смета Внутр'!C1617</f>
        <v>м2</v>
      </c>
      <c r="D1617" s="1109" t="n">
        <f aca="false">'Смета Внутр'!D1617</f>
        <v>9.01477151086009</v>
      </c>
      <c r="E1617" s="1104" t="n">
        <f aca="false">'Смета Внутр'!E1617</f>
        <v>450</v>
      </c>
      <c r="F1617" s="1104" t="n">
        <f aca="false">'Смета Внутр'!F1617</f>
        <v>0</v>
      </c>
      <c r="G1617" s="1104" t="n">
        <f aca="false">IF(E1617&gt;F1617,E1617,F1617)</f>
        <v>450</v>
      </c>
      <c r="H1617" s="1104" t="n">
        <f aca="false">'Смета Внутр'!G1617</f>
        <v>4056.64717988704</v>
      </c>
      <c r="I1617" s="1104" t="n">
        <f aca="false">'Смета Внутр'!H1617</f>
        <v>0</v>
      </c>
      <c r="J1617" s="1109" t="n">
        <f aca="false">'Смета Внутр'!I1617</f>
        <v>0</v>
      </c>
    </row>
    <row r="1618" customFormat="false" ht="15" hidden="true" customHeight="true" outlineLevel="0" collapsed="false">
      <c r="B1618" s="1104" t="str">
        <f aca="false">'Смета Внутр'!B1618</f>
        <v>обрешетка</v>
      </c>
      <c r="C1618" s="1104" t="str">
        <f aca="false">'Смета Внутр'!C1618</f>
        <v>м2</v>
      </c>
      <c r="D1618" s="1109" t="n">
        <f aca="false">'Смета Внутр'!D1618</f>
        <v>9.01477151086009</v>
      </c>
      <c r="E1618" s="1104" t="n">
        <f aca="false">'Смета Внутр'!E1618</f>
        <v>100</v>
      </c>
      <c r="F1618" s="1104" t="n">
        <f aca="false">'Смета Внутр'!F1618</f>
        <v>0</v>
      </c>
      <c r="G1618" s="1104" t="n">
        <f aca="false">IF(E1618&gt;F1618,E1618,F1618)</f>
        <v>100</v>
      </c>
      <c r="H1618" s="1104" t="n">
        <f aca="false">'Смета Внутр'!G1618</f>
        <v>901.477151086009</v>
      </c>
      <c r="I1618" s="1104" t="n">
        <f aca="false">'Смета Внутр'!H1618</f>
        <v>0</v>
      </c>
      <c r="J1618" s="1109" t="n">
        <f aca="false">'Смета Внутр'!I1618</f>
        <v>0</v>
      </c>
    </row>
    <row r="1619" customFormat="false" ht="15" hidden="true" customHeight="true" outlineLevel="0" collapsed="false">
      <c r="B1619" s="1104" t="str">
        <f aca="false">'Смета Внутр'!B1619</f>
        <v>контробеш</v>
      </c>
      <c r="C1619" s="1104" t="str">
        <f aca="false">'Смета Внутр'!C1619</f>
        <v>м2</v>
      </c>
      <c r="D1619" s="1109" t="n">
        <f aca="false">'Смета Внутр'!D1619</f>
        <v>0</v>
      </c>
      <c r="E1619" s="1104" t="n">
        <f aca="false">'Смета Внутр'!E1619</f>
        <v>100</v>
      </c>
      <c r="F1619" s="1104" t="n">
        <f aca="false">'Смета Внутр'!F1619</f>
        <v>0</v>
      </c>
      <c r="G1619" s="1104" t="n">
        <f aca="false">IF(E1619&gt;F1619,E1619,F1619)</f>
        <v>100</v>
      </c>
      <c r="H1619" s="1104" t="n">
        <f aca="false">'Смета Внутр'!G1619</f>
        <v>0</v>
      </c>
      <c r="I1619" s="1104" t="n">
        <f aca="false">'Смета Внутр'!H1619</f>
        <v>0</v>
      </c>
      <c r="J1619" s="1109" t="n">
        <f aca="false">'Смета Внутр'!I1619</f>
        <v>0</v>
      </c>
    </row>
    <row r="1620" customFormat="false" ht="15" hidden="true" customHeight="true" outlineLevel="0" collapsed="false">
      <c r="B1620" s="1104" t="str">
        <f aca="false">'Смета Внутр'!B1620</f>
        <v>мембрана</v>
      </c>
      <c r="C1620" s="1104" t="str">
        <f aca="false">'Смета Внутр'!C1620</f>
        <v>м2</v>
      </c>
      <c r="D1620" s="1109" t="n">
        <f aca="false">'Смета Внутр'!D1620</f>
        <v>9.01477151086009</v>
      </c>
      <c r="E1620" s="1104" t="n">
        <f aca="false">'Смета Внутр'!E1620</f>
        <v>100</v>
      </c>
      <c r="F1620" s="1104" t="n">
        <f aca="false">'Смета Внутр'!F1620</f>
        <v>0</v>
      </c>
      <c r="G1620" s="1104" t="n">
        <f aca="false">IF(E1620&gt;F1620,E1620,F1620)</f>
        <v>100</v>
      </c>
      <c r="H1620" s="1104" t="n">
        <f aca="false">'Смета Внутр'!G1620</f>
        <v>901.477151086009</v>
      </c>
      <c r="I1620" s="1104" t="n">
        <f aca="false">'Смета Внутр'!H1620</f>
        <v>0</v>
      </c>
      <c r="J1620" s="1109" t="n">
        <f aca="false">'Смета Внутр'!I1620</f>
        <v>0</v>
      </c>
    </row>
    <row r="1621" customFormat="false" ht="15" hidden="true" customHeight="true" outlineLevel="0" collapsed="false">
      <c r="B1621" s="1104" t="str">
        <f aca="false">'Смета Внутр'!B1621</f>
        <v>Монтаж металлочерепицы</v>
      </c>
      <c r="C1621" s="1104" t="str">
        <f aca="false">'Смета Внутр'!C1621</f>
        <v>м2</v>
      </c>
      <c r="D1621" s="1109" t="n">
        <f aca="false">'Смета Внутр'!D1621</f>
        <v>9.01477151086009</v>
      </c>
      <c r="E1621" s="1104" t="n">
        <f aca="false">'Смета Внутр'!E1621</f>
        <v>300</v>
      </c>
      <c r="F1621" s="1104" t="n">
        <f aca="false">'Смета Внутр'!F1621</f>
        <v>0</v>
      </c>
      <c r="G1621" s="1104" t="n">
        <f aca="false">IF(E1621&gt;F1621,E1621,F1621)</f>
        <v>300</v>
      </c>
      <c r="H1621" s="1104" t="n">
        <f aca="false">'Смета Внутр'!G1621</f>
        <v>2704.43145325803</v>
      </c>
      <c r="I1621" s="1104" t="n">
        <f aca="false">'Смета Внутр'!H1621</f>
        <v>0</v>
      </c>
      <c r="J1621" s="1109" t="n">
        <f aca="false">'Смета Внутр'!I1621</f>
        <v>0</v>
      </c>
    </row>
    <row r="1622" customFormat="false" ht="15" hidden="true" customHeight="true" outlineLevel="0" collapsed="false">
      <c r="B1622" s="1104" t="str">
        <f aca="false">'Смета Внутр'!B1622</f>
        <v>карнизная планка</v>
      </c>
      <c r="C1622" s="1104" t="str">
        <f aca="false">'Смета Внутр'!C1622</f>
        <v>м2</v>
      </c>
      <c r="D1622" s="1109" t="n">
        <f aca="false">'Смета Внутр'!D1622</f>
        <v>4.18</v>
      </c>
      <c r="E1622" s="1104" t="n">
        <f aca="false">'Смета Внутр'!E1622</f>
        <v>100</v>
      </c>
      <c r="F1622" s="1104" t="n">
        <f aca="false">'Смета Внутр'!F1622</f>
        <v>0</v>
      </c>
      <c r="G1622" s="1104" t="n">
        <f aca="false">IF(E1622&gt;F1622,E1622,F1622)</f>
        <v>100</v>
      </c>
      <c r="H1622" s="1104" t="n">
        <f aca="false">'Смета Внутр'!G1622</f>
        <v>418</v>
      </c>
      <c r="I1622" s="1104" t="n">
        <f aca="false">'Смета Внутр'!H1622</f>
        <v>0</v>
      </c>
      <c r="J1622" s="1109" t="n">
        <f aca="false">'Смета Внутр'!I1622</f>
        <v>0</v>
      </c>
    </row>
    <row r="1623" customFormat="false" ht="15" hidden="true" customHeight="true" outlineLevel="0" collapsed="false">
      <c r="B1623" s="1104" t="str">
        <f aca="false">'Смета Внутр'!B1623</f>
        <v>торцевая планка</v>
      </c>
      <c r="C1623" s="1104" t="str">
        <f aca="false">'Смета Внутр'!C1623</f>
        <v>м2</v>
      </c>
      <c r="D1623" s="1109" t="n">
        <f aca="false">'Смета Внутр'!D1623</f>
        <v>5.21907824312953</v>
      </c>
      <c r="E1623" s="1104" t="n">
        <f aca="false">'Смета Внутр'!E1623</f>
        <v>100</v>
      </c>
      <c r="F1623" s="1104" t="n">
        <f aca="false">'Смета Внутр'!F1623</f>
        <v>0</v>
      </c>
      <c r="G1623" s="1104" t="n">
        <f aca="false">IF(E1623&gt;F1623,E1623,F1623)</f>
        <v>100</v>
      </c>
      <c r="H1623" s="1104" t="n">
        <f aca="false">'Смета Внутр'!G1623</f>
        <v>521.907824312953</v>
      </c>
      <c r="I1623" s="1104" t="n">
        <f aca="false">'Смета Внутр'!H1623</f>
        <v>0</v>
      </c>
      <c r="J1623" s="1109" t="n">
        <f aca="false">'Смета Внутр'!I1623</f>
        <v>0</v>
      </c>
    </row>
    <row r="1624" customFormat="false" ht="15" hidden="true" customHeight="true" outlineLevel="0" collapsed="false">
      <c r="B1624" s="1104" t="str">
        <f aca="false">'Смета Внутр'!B1624</f>
        <v>желоб водосточный</v>
      </c>
      <c r="C1624" s="1104" t="str">
        <f aca="false">'Смета Внутр'!C1624</f>
        <v>м.п.</v>
      </c>
      <c r="D1624" s="1109" t="n">
        <f aca="false">'Смета Внутр'!D1624</f>
        <v>4.18</v>
      </c>
      <c r="E1624" s="1104" t="n">
        <f aca="false">'Смета Внутр'!E1624</f>
        <v>300</v>
      </c>
      <c r="F1624" s="1104" t="n">
        <f aca="false">'Смета Внутр'!F1624</f>
        <v>0</v>
      </c>
      <c r="G1624" s="1104" t="n">
        <f aca="false">IF(E1624&gt;F1624,E1624,F1624)</f>
        <v>300</v>
      </c>
      <c r="H1624" s="1104" t="n">
        <f aca="false">'Смета Внутр'!G1624</f>
        <v>1254</v>
      </c>
      <c r="I1624" s="1104" t="n">
        <f aca="false">'Смета Внутр'!H1624</f>
        <v>0</v>
      </c>
      <c r="J1624" s="1109" t="n">
        <f aca="false">'Смета Внутр'!I1624</f>
        <v>0</v>
      </c>
    </row>
    <row r="1625" customFormat="false" ht="15" hidden="true" customHeight="true" outlineLevel="0" collapsed="false">
      <c r="B1625" s="1104" t="str">
        <f aca="false">'Смета Внутр'!B1625</f>
        <v>труба водосточная</v>
      </c>
      <c r="C1625" s="1104" t="str">
        <f aca="false">'Смета Внутр'!C1625</f>
        <v>м.п.</v>
      </c>
      <c r="D1625" s="1109" t="n">
        <f aca="false">'Смета Внутр'!D1625</f>
        <v>0</v>
      </c>
      <c r="E1625" s="1104" t="n">
        <f aca="false">'Смета Внутр'!E1625</f>
        <v>300</v>
      </c>
      <c r="F1625" s="1104" t="n">
        <f aca="false">'Смета Внутр'!F1625</f>
        <v>0</v>
      </c>
      <c r="G1625" s="1104" t="n">
        <f aca="false">IF(E1625&gt;F1625,E1625,F1625)</f>
        <v>300</v>
      </c>
      <c r="H1625" s="1104" t="n">
        <f aca="false">'Смета Внутр'!G1625</f>
        <v>0</v>
      </c>
      <c r="I1625" s="1104" t="n">
        <f aca="false">'Смета Внутр'!H1625</f>
        <v>0</v>
      </c>
      <c r="J1625" s="1109" t="n">
        <f aca="false">'Смета Внутр'!I1625</f>
        <v>0</v>
      </c>
    </row>
    <row r="1626" customFormat="false" ht="15" hidden="true" customHeight="true" outlineLevel="0" collapsed="false">
      <c r="B1626" s="1104" t="str">
        <f aca="false">'Смета Внутр'!B1626</f>
        <v>Монтаж ондулина</v>
      </c>
      <c r="C1626" s="1104" t="str">
        <f aca="false">'Смета Внутр'!C1626</f>
        <v>м2</v>
      </c>
      <c r="D1626" s="1109" t="n">
        <f aca="false">'Смета Внутр'!D1626</f>
        <v>0</v>
      </c>
      <c r="E1626" s="1104" t="n">
        <f aca="false">'Смета Внутр'!E1626</f>
        <v>300</v>
      </c>
      <c r="F1626" s="1104" t="n">
        <f aca="false">'Смета Внутр'!F1626</f>
        <v>0</v>
      </c>
      <c r="G1626" s="1104" t="n">
        <f aca="false">IF(E1626&gt;F1626,E1626,F1626)</f>
        <v>300</v>
      </c>
      <c r="H1626" s="1104" t="n">
        <f aca="false">'Смета Внутр'!G1626</f>
        <v>0</v>
      </c>
      <c r="I1626" s="1104" t="n">
        <f aca="false">'Смета Внутр'!H1626</f>
        <v>0</v>
      </c>
      <c r="J1626" s="1109" t="n">
        <f aca="false">'Смета Внутр'!I1626</f>
        <v>0</v>
      </c>
    </row>
    <row r="1627" customFormat="false" ht="15" hidden="true" customHeight="true" outlineLevel="0" collapsed="false">
      <c r="B1627" s="1104" t="str">
        <f aca="false">'Смета Внутр'!B1627</f>
        <v>Монтаж фанеры/osb</v>
      </c>
      <c r="C1627" s="1104" t="str">
        <f aca="false">'Смета Внутр'!C1627</f>
        <v>м2</v>
      </c>
      <c r="D1627" s="1109" t="n">
        <f aca="false">'Смета Внутр'!D1627</f>
        <v>0</v>
      </c>
      <c r="E1627" s="1104" t="n">
        <f aca="false">'Смета Внутр'!E1627</f>
        <v>200</v>
      </c>
      <c r="F1627" s="1104" t="n">
        <f aca="false">'Смета Внутр'!F1627</f>
        <v>0</v>
      </c>
      <c r="G1627" s="1104" t="n">
        <f aca="false">IF(E1627&gt;F1627,E1627,F1627)</f>
        <v>200</v>
      </c>
      <c r="H1627" s="1104" t="n">
        <f aca="false">'Смета Внутр'!G1627</f>
        <v>0</v>
      </c>
      <c r="I1627" s="1104" t="n">
        <f aca="false">'Смета Внутр'!H1627</f>
        <v>0</v>
      </c>
      <c r="J1627" s="1109" t="n">
        <f aca="false">'Смета Внутр'!I1627</f>
        <v>0</v>
      </c>
    </row>
    <row r="1628" customFormat="false" ht="15" hidden="true" customHeight="true" outlineLevel="0" collapsed="false">
      <c r="B1628" s="1104" t="str">
        <f aca="false">'Смета Внутр'!B1628</f>
        <v>монтаж подкладочного ковра</v>
      </c>
      <c r="C1628" s="1104" t="str">
        <f aca="false">'Смета Внутр'!C1628</f>
        <v>м2</v>
      </c>
      <c r="D1628" s="1109" t="n">
        <f aca="false">'Смета Внутр'!D1628</f>
        <v>0</v>
      </c>
      <c r="E1628" s="1104" t="n">
        <f aca="false">'Смета Внутр'!E1628</f>
        <v>150</v>
      </c>
      <c r="F1628" s="1104" t="n">
        <f aca="false">'Смета Внутр'!F1628</f>
        <v>0</v>
      </c>
      <c r="G1628" s="1104" t="n">
        <f aca="false">IF(E1628&gt;F1628,E1628,F1628)</f>
        <v>150</v>
      </c>
      <c r="H1628" s="1104" t="n">
        <f aca="false">'Смета Внутр'!G1628</f>
        <v>0</v>
      </c>
      <c r="I1628" s="1104" t="n">
        <f aca="false">'Смета Внутр'!H1628</f>
        <v>0</v>
      </c>
      <c r="J1628" s="1109" t="n">
        <f aca="false">'Смета Внутр'!I1628</f>
        <v>0</v>
      </c>
    </row>
    <row r="1629" customFormat="false" ht="15" hidden="true" customHeight="true" outlineLevel="0" collapsed="false">
      <c r="B1629" s="1104" t="str">
        <f aca="false">'Смета Внутр'!B1629</f>
        <v>Монтаж мягкой кровли</v>
      </c>
      <c r="C1629" s="1104" t="str">
        <f aca="false">'Смета Внутр'!C1629</f>
        <v>м2</v>
      </c>
      <c r="D1629" s="1109" t="n">
        <f aca="false">'Смета Внутр'!D1629</f>
        <v>0</v>
      </c>
      <c r="E1629" s="1104" t="n">
        <f aca="false">'Смета Внутр'!E1629</f>
        <v>350</v>
      </c>
      <c r="F1629" s="1104" t="n">
        <f aca="false">'Смета Внутр'!F1629</f>
        <v>0</v>
      </c>
      <c r="G1629" s="1104" t="n">
        <f aca="false">IF(E1629&gt;F1629,E1629,F1629)</f>
        <v>350</v>
      </c>
      <c r="H1629" s="1104" t="n">
        <f aca="false">'Смета Внутр'!G1629</f>
        <v>0</v>
      </c>
      <c r="I1629" s="1104" t="n">
        <f aca="false">'Смета Внутр'!H1629</f>
        <v>0</v>
      </c>
      <c r="J1629" s="1109" t="n">
        <f aca="false">'Смета Внутр'!I1629</f>
        <v>0</v>
      </c>
    </row>
    <row r="1630" customFormat="false" ht="15" hidden="true" customHeight="true" outlineLevel="0" collapsed="false">
      <c r="B1630" s="1104" t="str">
        <f aca="false">'Смета Внутр'!B1630</f>
        <v>Монтаж планки примыкания</v>
      </c>
      <c r="C1630" s="1104" t="str">
        <f aca="false">'Смета Внутр'!C1630</f>
        <v>м.п.</v>
      </c>
      <c r="D1630" s="1109" t="n">
        <f aca="false">'Смета Внутр'!D1630</f>
        <v>0</v>
      </c>
      <c r="E1630" s="1104" t="n">
        <f aca="false">'Смета Внутр'!E1630</f>
        <v>200</v>
      </c>
      <c r="F1630" s="1104" t="n">
        <f aca="false">'Смета Внутр'!F1630</f>
        <v>0</v>
      </c>
      <c r="G1630" s="1104" t="n">
        <f aca="false">IF(E1630&gt;F1630,E1630,F1630)</f>
        <v>200</v>
      </c>
      <c r="H1630" s="1104" t="n">
        <f aca="false">'Смета Внутр'!G1630</f>
        <v>0</v>
      </c>
      <c r="I1630" s="1104" t="n">
        <f aca="false">'Смета Внутр'!H1630</f>
        <v>0</v>
      </c>
      <c r="J1630" s="1109" t="n">
        <f aca="false">'Смета Внутр'!I1630</f>
        <v>0</v>
      </c>
    </row>
    <row r="1631" customFormat="false" ht="15" hidden="true" customHeight="true" outlineLevel="0" collapsed="false">
      <c r="B1631" s="1108" t="str">
        <f aca="false">'Смета Внутр'!B1631</f>
        <v>Итого работы</v>
      </c>
      <c r="C1631" s="1108"/>
      <c r="D1631" s="1108"/>
      <c r="E1631" s="1108"/>
      <c r="F1631" s="1108"/>
      <c r="G1631" s="1108"/>
      <c r="H1631" s="1104" t="n">
        <f aca="false">'Смета Внутр'!G1631</f>
        <v>0</v>
      </c>
      <c r="I1631" s="1104" t="n">
        <f aca="false">'Смета Внутр'!H1631</f>
        <v>0</v>
      </c>
      <c r="J1631" s="1109" t="n">
        <f aca="false">'Смета Внутр'!I1631</f>
        <v>0</v>
      </c>
    </row>
    <row r="1632" customFormat="false" ht="15" hidden="true" customHeight="true" outlineLevel="0" collapsed="false">
      <c r="B1632" s="1111" t="str">
        <f aca="false">'Смета Внутр'!B1632</f>
        <v>Окна и двери</v>
      </c>
      <c r="C1632" s="1111"/>
      <c r="D1632" s="1111"/>
      <c r="H1632" s="118" t="n">
        <f aca="false">'Смета Внутр'!G1632</f>
        <v>0</v>
      </c>
      <c r="I1632" s="118" t="n">
        <f aca="false">'Смета Внутр'!H1632</f>
        <v>0</v>
      </c>
      <c r="J1632" s="1102" t="n">
        <f aca="false">'Смета Внутр'!I1632</f>
        <v>0</v>
      </c>
    </row>
    <row r="1633" customFormat="false" ht="15" hidden="true" customHeight="true" outlineLevel="0" collapsed="false">
      <c r="B1633" s="118" t="str">
        <f aca="false">'Смета Внутр'!B1633</f>
        <v>Материалы</v>
      </c>
      <c r="H1633" s="118" t="n">
        <f aca="false">'Смета Внутр'!G1633</f>
        <v>0</v>
      </c>
      <c r="I1633" s="118" t="n">
        <f aca="false">'Смета Внутр'!H1633</f>
        <v>0</v>
      </c>
      <c r="J1633" s="1102" t="n">
        <f aca="false">'Смета Внутр'!I1633</f>
        <v>0</v>
      </c>
    </row>
    <row r="1634" customFormat="false" ht="15" hidden="true" customHeight="true" outlineLevel="0" collapsed="false">
      <c r="B1634" s="1104" t="str">
        <f aca="false">'Смета Внутр'!B1634</f>
        <v>окна   </v>
      </c>
      <c r="C1634" s="1104" t="str">
        <f aca="false">'Смета Внутр'!C1634</f>
        <v>м2</v>
      </c>
      <c r="D1634" s="1109" t="n">
        <f aca="false">'Смета Внутр'!D1634</f>
        <v>1.2</v>
      </c>
      <c r="E1634" s="1104" t="n">
        <f aca="false">'Смета Внутр'!E1634</f>
        <v>3500</v>
      </c>
      <c r="F1634" s="1104" t="n">
        <f aca="false">'Смета Внутр'!F1634</f>
        <v>0</v>
      </c>
      <c r="G1634" s="1104" t="n">
        <f aca="false">IF(E1634&gt;F1634,E1634,F1634)</f>
        <v>3500</v>
      </c>
      <c r="H1634" s="1104" t="n">
        <f aca="false">'Смета Внутр'!G1634</f>
        <v>4200</v>
      </c>
      <c r="I1634" s="1104" t="n">
        <f aca="false">'Смета Внутр'!H1634</f>
        <v>0</v>
      </c>
      <c r="J1634" s="1109" t="n">
        <f aca="false">'Смета Внутр'!I1634</f>
        <v>0</v>
      </c>
    </row>
    <row r="1635" customFormat="false" ht="15" hidden="true" customHeight="true" outlineLevel="0" collapsed="false">
      <c r="B1635" s="1104" t="str">
        <f aca="false">'Смета Внутр'!B1635</f>
        <v>подоконник</v>
      </c>
      <c r="C1635" s="1104" t="str">
        <f aca="false">'Смета Внутр'!C1635</f>
        <v>м.п.</v>
      </c>
      <c r="D1635" s="1109" t="n">
        <f aca="false">'Смета Внутр'!D1635</f>
        <v>1</v>
      </c>
      <c r="E1635" s="1104" t="n">
        <f aca="false">'Смета Внутр'!E1635</f>
        <v>200</v>
      </c>
      <c r="F1635" s="1104" t="n">
        <f aca="false">'Смета Внутр'!F1635</f>
        <v>0</v>
      </c>
      <c r="G1635" s="1104" t="n">
        <f aca="false">IF(E1635&gt;F1635,E1635,F1635)</f>
        <v>200</v>
      </c>
      <c r="H1635" s="1104" t="n">
        <f aca="false">'Смета Внутр'!G1635</f>
        <v>200</v>
      </c>
      <c r="I1635" s="1104" t="n">
        <f aca="false">'Смета Внутр'!H1635</f>
        <v>0</v>
      </c>
      <c r="J1635" s="1109" t="n">
        <f aca="false">'Смета Внутр'!I1635</f>
        <v>0</v>
      </c>
    </row>
    <row r="1636" customFormat="false" ht="15" hidden="true" customHeight="true" outlineLevel="0" collapsed="false">
      <c r="B1636" s="1104" t="str">
        <f aca="false">'Смета Внутр'!B1636</f>
        <v>направляющие для откосов внутр</v>
      </c>
      <c r="C1636" s="1104" t="str">
        <f aca="false">'Смета Внутр'!C1636</f>
        <v>шт</v>
      </c>
      <c r="D1636" s="1109" t="n">
        <f aca="false">'Смета Внутр'!D1636</f>
        <v>3.4</v>
      </c>
      <c r="E1636" s="1104" t="n">
        <f aca="false">'Смета Внутр'!E1636</f>
        <v>50</v>
      </c>
      <c r="F1636" s="1104" t="n">
        <f aca="false">'Смета Внутр'!F1636</f>
        <v>0</v>
      </c>
      <c r="G1636" s="1104" t="n">
        <f aca="false">IF(E1636&gt;F1636,E1636,F1636)</f>
        <v>50</v>
      </c>
      <c r="H1636" s="1104" t="n">
        <f aca="false">'Смета Внутр'!G1636</f>
        <v>170</v>
      </c>
      <c r="I1636" s="1104" t="n">
        <f aca="false">'Смета Внутр'!H1636</f>
        <v>0</v>
      </c>
      <c r="J1636" s="1109" t="n">
        <f aca="false">'Смета Внутр'!I1636</f>
        <v>0</v>
      </c>
    </row>
    <row r="1637" customFormat="false" ht="15" hidden="true" customHeight="true" outlineLevel="0" collapsed="false">
      <c r="B1637" s="1104" t="str">
        <f aca="false">'Смета Внутр'!B1637</f>
        <v>откосы внутр</v>
      </c>
      <c r="C1637" s="1104" t="str">
        <f aca="false">'Смета Внутр'!C1637</f>
        <v>шт</v>
      </c>
      <c r="D1637" s="1109" t="n">
        <f aca="false">'Смета Внутр'!D1637</f>
        <v>3.4</v>
      </c>
      <c r="E1637" s="1104" t="n">
        <f aca="false">'Смета Внутр'!E1637</f>
        <v>100</v>
      </c>
      <c r="F1637" s="1104" t="n">
        <f aca="false">'Смета Внутр'!F1637</f>
        <v>0</v>
      </c>
      <c r="G1637" s="1104" t="n">
        <f aca="false">IF(E1637&gt;F1637,E1637,F1637)</f>
        <v>100</v>
      </c>
      <c r="H1637" s="1104" t="n">
        <f aca="false">'Смета Внутр'!G1637</f>
        <v>340</v>
      </c>
      <c r="I1637" s="1104" t="n">
        <f aca="false">'Смета Внутр'!H1637</f>
        <v>0</v>
      </c>
      <c r="J1637" s="1109" t="n">
        <f aca="false">'Смета Внутр'!I1637</f>
        <v>0</v>
      </c>
    </row>
    <row r="1638" customFormat="false" ht="15" hidden="true" customHeight="true" outlineLevel="0" collapsed="false">
      <c r="B1638" s="1104" t="str">
        <f aca="false">'Смета Внутр'!B1638</f>
        <v>уголок для откосов внутр</v>
      </c>
      <c r="C1638" s="1104" t="str">
        <f aca="false">'Смета Внутр'!C1638</f>
        <v>шт</v>
      </c>
      <c r="D1638" s="1109" t="n">
        <f aca="false">'Смета Внутр'!D1638</f>
        <v>3.4</v>
      </c>
      <c r="E1638" s="1104" t="n">
        <f aca="false">'Смета Внутр'!E1638</f>
        <v>50</v>
      </c>
      <c r="F1638" s="1104" t="n">
        <f aca="false">'Смета Внутр'!F1638</f>
        <v>0</v>
      </c>
      <c r="G1638" s="1104" t="n">
        <f aca="false">IF(E1638&gt;F1638,E1638,F1638)</f>
        <v>50</v>
      </c>
      <c r="H1638" s="1104" t="n">
        <f aca="false">'Смета Внутр'!G1638</f>
        <v>170</v>
      </c>
      <c r="I1638" s="1104" t="n">
        <f aca="false">'Смета Внутр'!H1638</f>
        <v>0</v>
      </c>
      <c r="J1638" s="1109" t="n">
        <f aca="false">'Смета Внутр'!I1638</f>
        <v>0</v>
      </c>
    </row>
    <row r="1639" customFormat="false" ht="15" hidden="true" customHeight="true" outlineLevel="0" collapsed="false">
      <c r="B1639" s="1104" t="str">
        <f aca="false">'Смета Внутр'!B1639</f>
        <v>отлив</v>
      </c>
      <c r="C1639" s="1104" t="str">
        <f aca="false">'Смета Внутр'!C1639</f>
        <v>шт</v>
      </c>
      <c r="D1639" s="1109" t="n">
        <f aca="false">'Смета Внутр'!D1639</f>
        <v>0</v>
      </c>
      <c r="E1639" s="1104" t="n">
        <f aca="false">'Смета Внутр'!E1639</f>
        <v>130</v>
      </c>
      <c r="F1639" s="1104" t="n">
        <f aca="false">'Смета Внутр'!F1639</f>
        <v>0</v>
      </c>
      <c r="G1639" s="1104" t="n">
        <f aca="false">IF(E1639&gt;F1639,E1639,F1639)</f>
        <v>130</v>
      </c>
      <c r="H1639" s="1104" t="n">
        <f aca="false">'Смета Внутр'!G1639</f>
        <v>0</v>
      </c>
      <c r="I1639" s="1104" t="n">
        <f aca="false">'Смета Внутр'!H1639</f>
        <v>0</v>
      </c>
      <c r="J1639" s="1109" t="n">
        <f aca="false">'Смета Внутр'!I1639</f>
        <v>0</v>
      </c>
    </row>
    <row r="1640" customFormat="false" ht="15" hidden="true" customHeight="true" outlineLevel="0" collapsed="false">
      <c r="B1640" s="1104" t="str">
        <f aca="false">'Смета Внутр'!B1640</f>
        <v>откосы нар</v>
      </c>
      <c r="C1640" s="1104" t="str">
        <f aca="false">'Смета Внутр'!C1640</f>
        <v>шт</v>
      </c>
      <c r="D1640" s="1109" t="n">
        <f aca="false">'Смета Внутр'!D1640</f>
        <v>0</v>
      </c>
      <c r="E1640" s="1104" t="n">
        <f aca="false">'Смета Внутр'!E1640</f>
        <v>150</v>
      </c>
      <c r="F1640" s="1104" t="n">
        <f aca="false">'Смета Внутр'!F1640</f>
        <v>0</v>
      </c>
      <c r="G1640" s="1104" t="n">
        <f aca="false">IF(E1640&gt;F1640,E1640,F1640)</f>
        <v>150</v>
      </c>
      <c r="H1640" s="1104" t="n">
        <f aca="false">'Смета Внутр'!G1640</f>
        <v>0</v>
      </c>
      <c r="I1640" s="1104" t="n">
        <f aca="false">'Смета Внутр'!H1640</f>
        <v>0</v>
      </c>
      <c r="J1640" s="1109" t="n">
        <f aca="false">'Смета Внутр'!I1640</f>
        <v>0</v>
      </c>
    </row>
    <row r="1641" customFormat="false" ht="15" hidden="true" customHeight="true" outlineLevel="0" collapsed="false">
      <c r="B1641" s="1104" t="str">
        <f aca="false">'Смета Внутр'!B1641</f>
        <v>направляющие для откосов нар</v>
      </c>
      <c r="C1641" s="1104" t="str">
        <f aca="false">'Смета Внутр'!C1641</f>
        <v>шт</v>
      </c>
      <c r="D1641" s="1109" t="n">
        <f aca="false">'Смета Внутр'!D1641</f>
        <v>0</v>
      </c>
      <c r="E1641" s="1104" t="n">
        <f aca="false">'Смета Внутр'!E1641</f>
        <v>80</v>
      </c>
      <c r="F1641" s="1104" t="n">
        <f aca="false">'Смета Внутр'!F1641</f>
        <v>0</v>
      </c>
      <c r="G1641" s="1104" t="n">
        <f aca="false">IF(E1641&gt;F1641,E1641,F1641)</f>
        <v>80</v>
      </c>
      <c r="H1641" s="1104" t="n">
        <f aca="false">'Смета Внутр'!G1641</f>
        <v>0</v>
      </c>
      <c r="I1641" s="1104" t="n">
        <f aca="false">'Смета Внутр'!H1641</f>
        <v>0</v>
      </c>
      <c r="J1641" s="1109" t="n">
        <f aca="false">'Смета Внутр'!I1641</f>
        <v>0</v>
      </c>
    </row>
    <row r="1642" customFormat="false" ht="15" hidden="true" customHeight="true" outlineLevel="0" collapsed="false">
      <c r="B1642" s="1104" t="str">
        <f aca="false">'Смета Внутр'!B1642</f>
        <v>уголок для откосов нар</v>
      </c>
      <c r="C1642" s="1104" t="str">
        <f aca="false">'Смета Внутр'!C1642</f>
        <v>шт</v>
      </c>
      <c r="D1642" s="1109" t="n">
        <f aca="false">'Смета Внутр'!D1642</f>
        <v>0</v>
      </c>
      <c r="E1642" s="1104" t="n">
        <f aca="false">'Смета Внутр'!E1642</f>
        <v>60</v>
      </c>
      <c r="F1642" s="1104" t="n">
        <f aca="false">'Смета Внутр'!F1642</f>
        <v>0</v>
      </c>
      <c r="G1642" s="1104" t="n">
        <f aca="false">IF(E1642&gt;F1642,E1642,F1642)</f>
        <v>60</v>
      </c>
      <c r="H1642" s="1104" t="n">
        <f aca="false">'Смета Внутр'!G1642</f>
        <v>0</v>
      </c>
      <c r="I1642" s="1104" t="n">
        <f aca="false">'Смета Внутр'!H1642</f>
        <v>0</v>
      </c>
      <c r="J1642" s="1109" t="n">
        <f aca="false">'Смета Внутр'!I1642</f>
        <v>0</v>
      </c>
    </row>
    <row r="1643" customFormat="false" ht="15" hidden="true" customHeight="true" outlineLevel="0" collapsed="false">
      <c r="B1643" s="1104" t="str">
        <f aca="false">'Смета Внутр'!B1643</f>
        <v>ветроизоляция окон</v>
      </c>
      <c r="C1643" s="1104" t="str">
        <f aca="false">'Смета Внутр'!C1643</f>
        <v>м.п.</v>
      </c>
      <c r="D1643" s="1109" t="n">
        <f aca="false">'Смета Внутр'!D1643</f>
        <v>0</v>
      </c>
      <c r="E1643" s="1104" t="n">
        <f aca="false">'Смета Внутр'!E1643</f>
        <v>40</v>
      </c>
      <c r="F1643" s="1104" t="n">
        <f aca="false">'Смета Внутр'!F1643</f>
        <v>0</v>
      </c>
      <c r="G1643" s="1104" t="n">
        <f aca="false">IF(E1643&gt;F1643,E1643,F1643)</f>
        <v>40</v>
      </c>
      <c r="H1643" s="1104" t="n">
        <f aca="false">'Смета Внутр'!G1643</f>
        <v>0</v>
      </c>
      <c r="I1643" s="1104" t="n">
        <f aca="false">'Смета Внутр'!H1643</f>
        <v>0</v>
      </c>
      <c r="J1643" s="1109" t="n">
        <f aca="false">'Смета Внутр'!I1643</f>
        <v>0</v>
      </c>
    </row>
    <row r="1644" customFormat="false" ht="15" hidden="true" customHeight="true" outlineLevel="0" collapsed="false">
      <c r="B1644" s="1104" t="str">
        <f aca="false">'Смета Внутр'!B1644</f>
        <v>пароизоляция окон</v>
      </c>
      <c r="C1644" s="1104" t="str">
        <f aca="false">'Смета Внутр'!C1644</f>
        <v>шт</v>
      </c>
      <c r="D1644" s="1109" t="n">
        <f aca="false">'Смета Внутр'!D1644</f>
        <v>3.4</v>
      </c>
      <c r="E1644" s="1104" t="n">
        <f aca="false">'Смета Внутр'!E1644</f>
        <v>40</v>
      </c>
      <c r="F1644" s="1104" t="n">
        <f aca="false">'Смета Внутр'!F1644</f>
        <v>0</v>
      </c>
      <c r="G1644" s="1104" t="n">
        <f aca="false">IF(E1644&gt;F1644,E1644,F1644)</f>
        <v>40</v>
      </c>
      <c r="H1644" s="1104" t="n">
        <f aca="false">'Смета Внутр'!G1644</f>
        <v>136</v>
      </c>
      <c r="I1644" s="1104" t="n">
        <f aca="false">'Смета Внутр'!H1644</f>
        <v>0</v>
      </c>
      <c r="J1644" s="1109" t="n">
        <f aca="false">'Смета Внутр'!I1644</f>
        <v>0</v>
      </c>
    </row>
    <row r="1645" customFormat="false" ht="15" hidden="true" customHeight="true" outlineLevel="0" collapsed="false">
      <c r="B1645" s="1104" t="str">
        <f aca="false">'Смета Внутр'!B1645</f>
        <v>крепления</v>
      </c>
      <c r="C1645" s="1104" t="str">
        <f aca="false">'Смета Внутр'!C1645</f>
        <v>шт</v>
      </c>
      <c r="D1645" s="1109" t="n">
        <f aca="false">'Смета Внутр'!D1645</f>
        <v>8</v>
      </c>
      <c r="E1645" s="1104" t="n">
        <f aca="false">'Смета Внутр'!E1645</f>
        <v>15</v>
      </c>
      <c r="F1645" s="1104" t="n">
        <f aca="false">'Смета Внутр'!F1645</f>
        <v>0</v>
      </c>
      <c r="G1645" s="1104" t="n">
        <f aca="false">IF(E1645&gt;F1645,E1645,F1645)</f>
        <v>15</v>
      </c>
      <c r="H1645" s="1104" t="n">
        <f aca="false">'Смета Внутр'!G1645</f>
        <v>120</v>
      </c>
      <c r="I1645" s="1104" t="n">
        <f aca="false">'Смета Внутр'!H1645</f>
        <v>0</v>
      </c>
      <c r="J1645" s="1109" t="n">
        <f aca="false">'Смета Внутр'!I1645</f>
        <v>0</v>
      </c>
    </row>
    <row r="1646" customFormat="false" ht="15" hidden="true" customHeight="true" outlineLevel="0" collapsed="false">
      <c r="B1646" s="1104" t="str">
        <f aca="false">'Смета Внутр'!B1646</f>
        <v>Пена монтажная, всесезонняя 800мл</v>
      </c>
      <c r="C1646" s="1104" t="str">
        <f aca="false">'Смета Внутр'!C1646</f>
        <v>шт</v>
      </c>
      <c r="D1646" s="1109" t="n">
        <f aca="false">'Смета Внутр'!D1646</f>
        <v>1</v>
      </c>
      <c r="E1646" s="1104" t="n">
        <f aca="false">'Смета Внутр'!E1646</f>
        <v>300</v>
      </c>
      <c r="F1646" s="1104" t="n">
        <f aca="false">'Смета Внутр'!F1646</f>
        <v>0</v>
      </c>
      <c r="G1646" s="1104" t="n">
        <f aca="false">IF(E1646&gt;F1646,E1646,F1646)</f>
        <v>300</v>
      </c>
      <c r="H1646" s="1104" t="n">
        <f aca="false">'Смета Внутр'!G1646</f>
        <v>300</v>
      </c>
      <c r="I1646" s="1104" t="n">
        <f aca="false">'Смета Внутр'!H1646</f>
        <v>0</v>
      </c>
      <c r="J1646" s="1109" t="n">
        <f aca="false">'Смета Внутр'!I1646</f>
        <v>0</v>
      </c>
    </row>
    <row r="1647" customFormat="false" ht="15" hidden="true" customHeight="true" outlineLevel="0" collapsed="false">
      <c r="B1647" s="1104" t="str">
        <f aca="false">'Смета Внутр'!B1647</f>
        <v>Французские окна</v>
      </c>
      <c r="C1647" s="1104" t="str">
        <f aca="false">'Смета Внутр'!C1647</f>
        <v>м2</v>
      </c>
      <c r="D1647" s="1109" t="n">
        <f aca="false">'Смета Внутр'!D1647</f>
        <v>0</v>
      </c>
      <c r="E1647" s="1104" t="n">
        <f aca="false">'Смета Внутр'!E1647</f>
        <v>6000</v>
      </c>
      <c r="F1647" s="1104" t="n">
        <f aca="false">'Смета Внутр'!F1647</f>
        <v>0</v>
      </c>
      <c r="G1647" s="1104" t="n">
        <f aca="false">IF(E1647&gt;F1647,E1647,F1647)</f>
        <v>6000</v>
      </c>
      <c r="H1647" s="1104" t="n">
        <f aca="false">'Смета Внутр'!G1647</f>
        <v>0</v>
      </c>
      <c r="I1647" s="1104" t="n">
        <f aca="false">'Смета Внутр'!H1647</f>
        <v>0</v>
      </c>
      <c r="J1647" s="1109" t="n">
        <f aca="false">'Смета Внутр'!I1647</f>
        <v>0</v>
      </c>
    </row>
    <row r="1648" customFormat="false" ht="15" hidden="true" customHeight="true" outlineLevel="0" collapsed="false">
      <c r="B1648" s="1104" t="str">
        <f aca="false">'Смета Внутр'!B1648</f>
        <v>анкерный болт для крепления окно фр</v>
      </c>
      <c r="C1648" s="1104" t="str">
        <f aca="false">'Смета Внутр'!C1648</f>
        <v>шт</v>
      </c>
      <c r="D1648" s="1109" t="n">
        <f aca="false">'Смета Внутр'!D1648</f>
        <v>0</v>
      </c>
      <c r="E1648" s="1104" t="n">
        <f aca="false">'Смета Внутр'!E1648</f>
        <v>20</v>
      </c>
      <c r="F1648" s="1104" t="n">
        <f aca="false">'Смета Внутр'!F1648</f>
        <v>0</v>
      </c>
      <c r="G1648" s="1104" t="n">
        <f aca="false">IF(E1648&gt;F1648,E1648,F1648)</f>
        <v>20</v>
      </c>
      <c r="H1648" s="1104" t="n">
        <f aca="false">'Смета Внутр'!G1648</f>
        <v>0</v>
      </c>
      <c r="I1648" s="1104" t="n">
        <f aca="false">'Смета Внутр'!H1648</f>
        <v>0</v>
      </c>
      <c r="J1648" s="1109" t="n">
        <f aca="false">'Смета Внутр'!I1648</f>
        <v>0</v>
      </c>
    </row>
    <row r="1649" customFormat="false" ht="15" hidden="true" customHeight="true" outlineLevel="0" collapsed="false">
      <c r="B1649" s="1104" t="str">
        <f aca="false">'Смета Внутр'!B1649</f>
        <v>Пена монтажная, всесезонняя 800мл</v>
      </c>
      <c r="C1649" s="1104" t="str">
        <f aca="false">'Смета Внутр'!C1649</f>
        <v>шт</v>
      </c>
      <c r="D1649" s="1109" t="n">
        <f aca="false">'Смета Внутр'!D1649</f>
        <v>0</v>
      </c>
      <c r="E1649" s="1104" t="n">
        <f aca="false">'Смета Внутр'!E1649</f>
        <v>300</v>
      </c>
      <c r="F1649" s="1104" t="n">
        <f aca="false">'Смета Внутр'!F1649</f>
        <v>0</v>
      </c>
      <c r="G1649" s="1104" t="n">
        <f aca="false">IF(E1649&gt;F1649,E1649,F1649)</f>
        <v>300</v>
      </c>
      <c r="H1649" s="1104" t="n">
        <f aca="false">'Смета Внутр'!G1649</f>
        <v>0</v>
      </c>
      <c r="I1649" s="1104" t="n">
        <f aca="false">'Смета Внутр'!H1649</f>
        <v>0</v>
      </c>
      <c r="J1649" s="1109" t="n">
        <f aca="false">'Смета Внутр'!I1649</f>
        <v>0</v>
      </c>
    </row>
    <row r="1650" customFormat="false" ht="15" hidden="true" customHeight="true" outlineLevel="0" collapsed="false">
      <c r="B1650" s="1104" t="str">
        <f aca="false">'Смета Внутр'!B1650</f>
        <v>пластины для крепления</v>
      </c>
      <c r="C1650" s="1104" t="str">
        <f aca="false">'Смета Внутр'!C1650</f>
        <v>шт</v>
      </c>
      <c r="D1650" s="1109" t="n">
        <f aca="false">'Смета Внутр'!D1650</f>
        <v>0</v>
      </c>
      <c r="E1650" s="1104" t="n">
        <f aca="false">'Смета Внутр'!E1650</f>
        <v>25</v>
      </c>
      <c r="F1650" s="1104" t="n">
        <f aca="false">'Смета Внутр'!F1650</f>
        <v>0</v>
      </c>
      <c r="G1650" s="1104" t="n">
        <f aca="false">IF(E1650&gt;F1650,E1650,F1650)</f>
        <v>25</v>
      </c>
      <c r="H1650" s="1104" t="n">
        <f aca="false">'Смета Внутр'!G1650</f>
        <v>0</v>
      </c>
      <c r="I1650" s="1104" t="n">
        <f aca="false">'Смета Внутр'!H1650</f>
        <v>0</v>
      </c>
      <c r="J1650" s="1109" t="n">
        <f aca="false">'Смета Внутр'!I1650</f>
        <v>0</v>
      </c>
    </row>
    <row r="1651" customFormat="false" ht="15" hidden="true" customHeight="true" outlineLevel="0" collapsed="false">
      <c r="B1651" s="1104" t="str">
        <f aca="false">'Смета Внутр'!B1651</f>
        <v>Двери входные</v>
      </c>
      <c r="C1651" s="1104" t="str">
        <f aca="false">'Смета Внутр'!C1651</f>
        <v>шт</v>
      </c>
      <c r="D1651" s="1109" t="n">
        <f aca="false">'Смета Внутр'!D1651</f>
        <v>1</v>
      </c>
      <c r="E1651" s="1104" t="n">
        <f aca="false">'Смета Внутр'!E1651</f>
        <v>12000</v>
      </c>
      <c r="F1651" s="1104" t="n">
        <f aca="false">'Смета Внутр'!F1651</f>
        <v>0</v>
      </c>
      <c r="G1651" s="1104" t="n">
        <f aca="false">IF(E1651&gt;F1651,E1651,F1651)</f>
        <v>12000</v>
      </c>
      <c r="H1651" s="1104" t="n">
        <f aca="false">'Смета Внутр'!G1651</f>
        <v>12000</v>
      </c>
      <c r="I1651" s="1104" t="n">
        <f aca="false">'Смета Внутр'!H1651</f>
        <v>0</v>
      </c>
      <c r="J1651" s="1109" t="n">
        <f aca="false">'Смета Внутр'!I1651</f>
        <v>0</v>
      </c>
    </row>
    <row r="1652" customFormat="false" ht="15" hidden="true" customHeight="true" outlineLevel="0" collapsed="false">
      <c r="B1652" s="1104" t="str">
        <f aca="false">'Смета Внутр'!B1652</f>
        <v>Анкер болт, 12*200</v>
      </c>
      <c r="C1652" s="1104" t="str">
        <f aca="false">'Смета Внутр'!C1652</f>
        <v>шт</v>
      </c>
      <c r="D1652" s="1109" t="n">
        <f aca="false">'Смета Внутр'!D1652</f>
        <v>6</v>
      </c>
      <c r="E1652" s="1104" t="n">
        <f aca="false">'Смета Внутр'!E1652</f>
        <v>0</v>
      </c>
      <c r="F1652" s="1104" t="n">
        <f aca="false">'Смета Внутр'!F1652</f>
        <v>0</v>
      </c>
      <c r="G1652" s="1104" t="n">
        <f aca="false">IF(E1652&gt;F1652,E1652,F1652)</f>
        <v>0</v>
      </c>
      <c r="H1652" s="1104" t="n">
        <f aca="false">'Смета Внутр'!G1652</f>
        <v>0</v>
      </c>
      <c r="I1652" s="1104" t="n">
        <f aca="false">'Смета Внутр'!H1652</f>
        <v>0</v>
      </c>
      <c r="J1652" s="1109" t="n">
        <f aca="false">'Смета Внутр'!I1652</f>
        <v>0</v>
      </c>
    </row>
    <row r="1653" customFormat="false" ht="15" hidden="true" customHeight="true" outlineLevel="0" collapsed="false">
      <c r="B1653" s="1104" t="str">
        <f aca="false">'Смета Внутр'!B1653</f>
        <v>Пена монтажная</v>
      </c>
      <c r="C1653" s="1104" t="str">
        <f aca="false">'Смета Внутр'!C1653</f>
        <v>шт</v>
      </c>
      <c r="D1653" s="1109" t="n">
        <f aca="false">'Смета Внутр'!D1653</f>
        <v>1</v>
      </c>
      <c r="E1653" s="1104" t="n">
        <f aca="false">'Смета Внутр'!E1653</f>
        <v>0</v>
      </c>
      <c r="F1653" s="1104" t="n">
        <f aca="false">'Смета Внутр'!F1653</f>
        <v>0</v>
      </c>
      <c r="G1653" s="1104" t="n">
        <f aca="false">IF(E1653&gt;F1653,E1653,F1653)</f>
        <v>0</v>
      </c>
      <c r="H1653" s="1104" t="n">
        <f aca="false">'Смета Внутр'!G1653</f>
        <v>0</v>
      </c>
      <c r="I1653" s="1104" t="n">
        <f aca="false">'Смета Внутр'!H1653</f>
        <v>0</v>
      </c>
      <c r="J1653" s="1109" t="n">
        <f aca="false">'Смета Внутр'!I1653</f>
        <v>0</v>
      </c>
    </row>
    <row r="1654" customFormat="false" ht="15" hidden="true" customHeight="false" outlineLevel="0" collapsed="false">
      <c r="B1654" s="1108" t="str">
        <f aca="false">'Смета Внутр'!B1654</f>
        <v>Итого материалы</v>
      </c>
      <c r="C1654" s="1108"/>
      <c r="D1654" s="1108"/>
      <c r="E1654" s="1108"/>
      <c r="F1654" s="1108"/>
      <c r="G1654" s="1108"/>
      <c r="H1654" s="1104" t="n">
        <f aca="false">'Смета Внутр'!G1654</f>
        <v>0</v>
      </c>
      <c r="I1654" s="1104" t="n">
        <f aca="false">'Смета Внутр'!H1654</f>
        <v>0</v>
      </c>
      <c r="J1654" s="1109" t="n">
        <f aca="false">'Смета Внутр'!I1654</f>
        <v>0</v>
      </c>
    </row>
    <row r="1655" customFormat="false" ht="15" hidden="true" customHeight="true" outlineLevel="0" collapsed="false">
      <c r="B1655" s="118" t="str">
        <f aca="false">'Смета Внутр'!B1655</f>
        <v>Работы</v>
      </c>
      <c r="H1655" s="118" t="n">
        <f aca="false">'Смета Внутр'!G1655</f>
        <v>0</v>
      </c>
      <c r="I1655" s="118" t="n">
        <f aca="false">'Смета Внутр'!H1655</f>
        <v>0</v>
      </c>
      <c r="J1655" s="1102" t="n">
        <f aca="false">'Смета Внутр'!I1655</f>
        <v>0</v>
      </c>
    </row>
    <row r="1656" customFormat="false" ht="15" hidden="true" customHeight="true" outlineLevel="0" collapsed="false">
      <c r="B1656" s="1104" t="str">
        <f aca="false">'Смета Внутр'!B1656</f>
        <v>монтаж окон</v>
      </c>
      <c r="C1656" s="1104" t="str">
        <f aca="false">'Смета Внутр'!C1656</f>
        <v>шт</v>
      </c>
      <c r="D1656" s="1109" t="n">
        <f aca="false">'Смета Внутр'!D1656</f>
        <v>1</v>
      </c>
      <c r="E1656" s="1104" t="n">
        <f aca="false">'Смета Внутр'!E1656</f>
        <v>1000</v>
      </c>
      <c r="F1656" s="1104" t="n">
        <f aca="false">'Смета Внутр'!F1656</f>
        <v>0</v>
      </c>
      <c r="G1656" s="1104" t="n">
        <f aca="false">IF(E1656&gt;F1656,E1656,F1656)</f>
        <v>1000</v>
      </c>
      <c r="H1656" s="1104" t="n">
        <f aca="false">'Смета Внутр'!G1656</f>
        <v>1000</v>
      </c>
      <c r="I1656" s="1104" t="n">
        <f aca="false">'Смета Внутр'!H1656</f>
        <v>0</v>
      </c>
      <c r="J1656" s="1109" t="n">
        <f aca="false">'Смета Внутр'!I1656</f>
        <v>0</v>
      </c>
    </row>
    <row r="1657" customFormat="false" ht="15" hidden="true" customHeight="true" outlineLevel="0" collapsed="false">
      <c r="B1657" s="1104" t="str">
        <f aca="false">'Смета Внутр'!B1657</f>
        <v>монтаж подоконника</v>
      </c>
      <c r="C1657" s="1104" t="str">
        <f aca="false">'Смета Внутр'!C1657</f>
        <v>шт</v>
      </c>
      <c r="D1657" s="1109" t="n">
        <f aca="false">'Смета Внутр'!D1657</f>
        <v>1</v>
      </c>
      <c r="E1657" s="1104" t="n">
        <f aca="false">'Смета Внутр'!E1657</f>
        <v>400</v>
      </c>
      <c r="F1657" s="1104" t="n">
        <f aca="false">'Смета Внутр'!F1657</f>
        <v>0</v>
      </c>
      <c r="G1657" s="1104" t="n">
        <f aca="false">IF(E1657&gt;F1657,E1657,F1657)</f>
        <v>400</v>
      </c>
      <c r="H1657" s="1104" t="n">
        <f aca="false">'Смета Внутр'!G1657</f>
        <v>400</v>
      </c>
      <c r="I1657" s="1104" t="n">
        <f aca="false">'Смета Внутр'!H1657</f>
        <v>0</v>
      </c>
      <c r="J1657" s="1109" t="n">
        <f aca="false">'Смета Внутр'!I1657</f>
        <v>0</v>
      </c>
    </row>
    <row r="1658" customFormat="false" ht="15" hidden="true" customHeight="true" outlineLevel="0" collapsed="false">
      <c r="B1658" s="1104" t="str">
        <f aca="false">'Смета Внутр'!B1658</f>
        <v>монтаж откосов вн</v>
      </c>
      <c r="C1658" s="1104" t="str">
        <f aca="false">'Смета Внутр'!C1658</f>
        <v>шт</v>
      </c>
      <c r="D1658" s="1109" t="n">
        <f aca="false">'Смета Внутр'!D1658</f>
        <v>3.4</v>
      </c>
      <c r="E1658" s="1104" t="n">
        <f aca="false">'Смета Внутр'!E1658</f>
        <v>150</v>
      </c>
      <c r="F1658" s="1104" t="n">
        <f aca="false">'Смета Внутр'!F1658</f>
        <v>0</v>
      </c>
      <c r="G1658" s="1104" t="n">
        <f aca="false">IF(E1658&gt;F1658,E1658,F1658)</f>
        <v>150</v>
      </c>
      <c r="H1658" s="1104" t="n">
        <f aca="false">'Смета Внутр'!G1658</f>
        <v>510</v>
      </c>
      <c r="I1658" s="1104" t="n">
        <f aca="false">'Смета Внутр'!H1658</f>
        <v>0</v>
      </c>
      <c r="J1658" s="1109" t="n">
        <f aca="false">'Смета Внутр'!I1658</f>
        <v>0</v>
      </c>
    </row>
    <row r="1659" customFormat="false" ht="15" hidden="true" customHeight="true" outlineLevel="0" collapsed="false">
      <c r="B1659" s="1104" t="str">
        <f aca="false">'Смета Внутр'!B1659</f>
        <v>монтаж направл вн</v>
      </c>
      <c r="C1659" s="1104" t="str">
        <f aca="false">'Смета Внутр'!C1659</f>
        <v>шт</v>
      </c>
      <c r="D1659" s="1109" t="n">
        <f aca="false">'Смета Внутр'!D1659</f>
        <v>3.4</v>
      </c>
      <c r="E1659" s="1104" t="n">
        <f aca="false">'Смета Внутр'!E1659</f>
        <v>50</v>
      </c>
      <c r="F1659" s="1104" t="n">
        <f aca="false">'Смета Внутр'!F1659</f>
        <v>0</v>
      </c>
      <c r="G1659" s="1104" t="n">
        <f aca="false">IF(E1659&gt;F1659,E1659,F1659)</f>
        <v>50</v>
      </c>
      <c r="H1659" s="1104" t="n">
        <f aca="false">'Смета Внутр'!G1659</f>
        <v>170</v>
      </c>
      <c r="I1659" s="1104" t="n">
        <f aca="false">'Смета Внутр'!H1659</f>
        <v>0</v>
      </c>
      <c r="J1659" s="1109" t="n">
        <f aca="false">'Смета Внутр'!I1659</f>
        <v>0</v>
      </c>
    </row>
    <row r="1660" customFormat="false" ht="15" hidden="true" customHeight="true" outlineLevel="0" collapsed="false">
      <c r="B1660" s="1104" t="str">
        <f aca="false">'Смета Внутр'!B1660</f>
        <v>монтаж уголков вн</v>
      </c>
      <c r="C1660" s="1104" t="str">
        <f aca="false">'Смета Внутр'!C1660</f>
        <v>шт</v>
      </c>
      <c r="D1660" s="1109" t="n">
        <f aca="false">'Смета Внутр'!D1660</f>
        <v>3.4</v>
      </c>
      <c r="E1660" s="1104" t="n">
        <f aca="false">'Смета Внутр'!E1660</f>
        <v>50</v>
      </c>
      <c r="F1660" s="1104" t="n">
        <f aca="false">'Смета Внутр'!F1660</f>
        <v>0</v>
      </c>
      <c r="G1660" s="1104" t="n">
        <f aca="false">IF(E1660&gt;F1660,E1660,F1660)</f>
        <v>50</v>
      </c>
      <c r="H1660" s="1104" t="n">
        <f aca="false">'Смета Внутр'!G1660</f>
        <v>170</v>
      </c>
      <c r="I1660" s="1104" t="n">
        <f aca="false">'Смета Внутр'!H1660</f>
        <v>0</v>
      </c>
      <c r="J1660" s="1109" t="n">
        <f aca="false">'Смета Внутр'!I1660</f>
        <v>0</v>
      </c>
    </row>
    <row r="1661" customFormat="false" ht="15" hidden="true" customHeight="true" outlineLevel="0" collapsed="false">
      <c r="B1661" s="1104" t="str">
        <f aca="false">'Смета Внутр'!B1661</f>
        <v>монтаж отлива</v>
      </c>
      <c r="C1661" s="1104" t="str">
        <f aca="false">'Смета Внутр'!C1661</f>
        <v>шт</v>
      </c>
      <c r="D1661" s="1109" t="n">
        <f aca="false">'Смета Внутр'!D1661</f>
        <v>0</v>
      </c>
      <c r="E1661" s="1104" t="n">
        <f aca="false">'Смета Внутр'!E1661</f>
        <v>150</v>
      </c>
      <c r="F1661" s="1104" t="n">
        <f aca="false">'Смета Внутр'!F1661</f>
        <v>0</v>
      </c>
      <c r="G1661" s="1104" t="n">
        <f aca="false">IF(E1661&gt;F1661,E1661,F1661)</f>
        <v>150</v>
      </c>
      <c r="H1661" s="1104" t="n">
        <f aca="false">'Смета Внутр'!G1661</f>
        <v>0</v>
      </c>
      <c r="I1661" s="1104" t="n">
        <f aca="false">'Смета Внутр'!H1661</f>
        <v>0</v>
      </c>
      <c r="J1661" s="1109" t="n">
        <f aca="false">'Смета Внутр'!I1661</f>
        <v>0</v>
      </c>
    </row>
    <row r="1662" customFormat="false" ht="15" hidden="true" customHeight="true" outlineLevel="0" collapsed="false">
      <c r="B1662" s="1104" t="str">
        <f aca="false">'Смета Внутр'!B1662</f>
        <v>монтаж откосов</v>
      </c>
      <c r="C1662" s="1104" t="str">
        <f aca="false">'Смета Внутр'!C1662</f>
        <v>шт</v>
      </c>
      <c r="D1662" s="1109" t="n">
        <f aca="false">'Смета Внутр'!D1662</f>
        <v>0</v>
      </c>
      <c r="E1662" s="1104" t="n">
        <f aca="false">'Смета Внутр'!E1662</f>
        <v>250</v>
      </c>
      <c r="F1662" s="1104" t="n">
        <f aca="false">'Смета Внутр'!F1662</f>
        <v>0</v>
      </c>
      <c r="G1662" s="1104" t="n">
        <f aca="false">IF(E1662&gt;F1662,E1662,F1662)</f>
        <v>250</v>
      </c>
      <c r="H1662" s="1104" t="n">
        <f aca="false">'Смета Внутр'!G1662</f>
        <v>0</v>
      </c>
      <c r="I1662" s="1104" t="n">
        <f aca="false">'Смета Внутр'!H1662</f>
        <v>0</v>
      </c>
      <c r="J1662" s="1109" t="n">
        <f aca="false">'Смета Внутр'!I1662</f>
        <v>0</v>
      </c>
    </row>
    <row r="1663" customFormat="false" ht="15" hidden="true" customHeight="true" outlineLevel="0" collapsed="false">
      <c r="B1663" s="1104" t="str">
        <f aca="false">'Смета Внутр'!B1663</f>
        <v>монтаж направляющ</v>
      </c>
      <c r="C1663" s="1104" t="str">
        <f aca="false">'Смета Внутр'!C1663</f>
        <v>шт</v>
      </c>
      <c r="D1663" s="1109" t="n">
        <f aca="false">'Смета Внутр'!D1663</f>
        <v>0</v>
      </c>
      <c r="E1663" s="1104" t="n">
        <f aca="false">'Смета Внутр'!E1663</f>
        <v>50</v>
      </c>
      <c r="F1663" s="1104" t="n">
        <f aca="false">'Смета Внутр'!F1663</f>
        <v>0</v>
      </c>
      <c r="G1663" s="1104" t="n">
        <f aca="false">IF(E1663&gt;F1663,E1663,F1663)</f>
        <v>50</v>
      </c>
      <c r="H1663" s="1104" t="n">
        <f aca="false">'Смета Внутр'!G1663</f>
        <v>0</v>
      </c>
      <c r="I1663" s="1104" t="n">
        <f aca="false">'Смета Внутр'!H1663</f>
        <v>0</v>
      </c>
      <c r="J1663" s="1109" t="n">
        <f aca="false">'Смета Внутр'!I1663</f>
        <v>0</v>
      </c>
    </row>
    <row r="1664" customFormat="false" ht="15" hidden="true" customHeight="true" outlineLevel="0" collapsed="false">
      <c r="B1664" s="1104" t="str">
        <f aca="false">'Смета Внутр'!B1664</f>
        <v>монтаж уголков</v>
      </c>
      <c r="C1664" s="1104" t="str">
        <f aca="false">'Смета Внутр'!C1664</f>
        <v>шт</v>
      </c>
      <c r="D1664" s="1109" t="n">
        <f aca="false">'Смета Внутр'!D1664</f>
        <v>0</v>
      </c>
      <c r="E1664" s="1104" t="n">
        <f aca="false">'Смета Внутр'!E1664</f>
        <v>50</v>
      </c>
      <c r="F1664" s="1104" t="n">
        <f aca="false">'Смета Внутр'!F1664</f>
        <v>0</v>
      </c>
      <c r="G1664" s="1104" t="n">
        <f aca="false">IF(E1664&gt;F1664,E1664,F1664)</f>
        <v>50</v>
      </c>
      <c r="H1664" s="1104" t="n">
        <f aca="false">'Смета Внутр'!G1664</f>
        <v>0</v>
      </c>
      <c r="I1664" s="1104" t="n">
        <f aca="false">'Смета Внутр'!H1664</f>
        <v>0</v>
      </c>
      <c r="J1664" s="1109" t="n">
        <f aca="false">'Смета Внутр'!I1664</f>
        <v>0</v>
      </c>
    </row>
    <row r="1665" customFormat="false" ht="15" hidden="true" customHeight="true" outlineLevel="0" collapsed="false">
      <c r="B1665" s="1104" t="str">
        <f aca="false">'Смета Внутр'!B1665</f>
        <v>монтаж ветроизоляции</v>
      </c>
      <c r="C1665" s="1104" t="str">
        <f aca="false">'Смета Внутр'!C1665</f>
        <v>м.п.</v>
      </c>
      <c r="D1665" s="1109" t="n">
        <f aca="false">'Смета Внутр'!D1665</f>
        <v>0</v>
      </c>
      <c r="E1665" s="1104" t="n">
        <f aca="false">'Смета Внутр'!E1665</f>
        <v>50</v>
      </c>
      <c r="F1665" s="1104" t="n">
        <f aca="false">'Смета Внутр'!F1665</f>
        <v>0</v>
      </c>
      <c r="G1665" s="1104" t="n">
        <f aca="false">IF(E1665&gt;F1665,E1665,F1665)</f>
        <v>50</v>
      </c>
      <c r="H1665" s="1104" t="n">
        <f aca="false">'Смета Внутр'!G1665</f>
        <v>0</v>
      </c>
      <c r="I1665" s="1104" t="n">
        <f aca="false">'Смета Внутр'!H1665</f>
        <v>0</v>
      </c>
      <c r="J1665" s="1109" t="n">
        <f aca="false">'Смета Внутр'!I1665</f>
        <v>0</v>
      </c>
    </row>
    <row r="1666" customFormat="false" ht="15" hidden="true" customHeight="true" outlineLevel="0" collapsed="false">
      <c r="B1666" s="1104" t="str">
        <f aca="false">'Смета Внутр'!B1666</f>
        <v>монтаж пароизоляции</v>
      </c>
      <c r="C1666" s="1104" t="str">
        <f aca="false">'Смета Внутр'!C1666</f>
        <v>м.п.</v>
      </c>
      <c r="D1666" s="1109" t="n">
        <f aca="false">'Смета Внутр'!D1666</f>
        <v>3.4</v>
      </c>
      <c r="E1666" s="1104" t="n">
        <f aca="false">'Смета Внутр'!E1666</f>
        <v>50</v>
      </c>
      <c r="F1666" s="1104" t="n">
        <f aca="false">'Смета Внутр'!F1666</f>
        <v>0</v>
      </c>
      <c r="G1666" s="1104" t="n">
        <f aca="false">IF(E1666&gt;F1666,E1666,F1666)</f>
        <v>50</v>
      </c>
      <c r="H1666" s="1104" t="n">
        <f aca="false">'Смета Внутр'!G1666</f>
        <v>170</v>
      </c>
      <c r="I1666" s="1104" t="n">
        <f aca="false">'Смета Внутр'!H1666</f>
        <v>0</v>
      </c>
      <c r="J1666" s="1109" t="n">
        <f aca="false">'Смета Внутр'!I1666</f>
        <v>0</v>
      </c>
    </row>
    <row r="1667" customFormat="false" ht="15" hidden="true" customHeight="true" outlineLevel="0" collapsed="false">
      <c r="B1667" s="1104" t="str">
        <f aca="false">'Смета Внутр'!B1667</f>
        <v>Двери входные</v>
      </c>
      <c r="C1667" s="1104" t="str">
        <f aca="false">'Смета Внутр'!C1667</f>
        <v>шт</v>
      </c>
      <c r="D1667" s="1109" t="n">
        <f aca="false">'Смета Внутр'!D1667</f>
        <v>1</v>
      </c>
      <c r="E1667" s="1104" t="n">
        <f aca="false">'Смета Внутр'!E1667</f>
        <v>2000</v>
      </c>
      <c r="F1667" s="1104" t="n">
        <f aca="false">'Смета Внутр'!F1667</f>
        <v>0</v>
      </c>
      <c r="G1667" s="1104" t="n">
        <f aca="false">IF(E1667&gt;F1667,E1667,F1667)</f>
        <v>2000</v>
      </c>
      <c r="H1667" s="1104" t="n">
        <f aca="false">'Смета Внутр'!G1667</f>
        <v>2000</v>
      </c>
      <c r="I1667" s="1104" t="n">
        <f aca="false">'Смета Внутр'!H1667</f>
        <v>0</v>
      </c>
      <c r="J1667" s="1109" t="n">
        <f aca="false">'Смета Внутр'!I1667</f>
        <v>0</v>
      </c>
    </row>
    <row r="1668" customFormat="false" ht="15" hidden="true" customHeight="true" outlineLevel="0" collapsed="false">
      <c r="B1668" s="1104" t="str">
        <f aca="false">'Смета Внутр'!B1668</f>
        <v>монтаж франццзских окон</v>
      </c>
      <c r="C1668" s="1104" t="str">
        <f aca="false">'Смета Внутр'!C1668</f>
        <v>шт</v>
      </c>
      <c r="D1668" s="1109" t="n">
        <f aca="false">'Смета Внутр'!D1668</f>
        <v>0</v>
      </c>
      <c r="E1668" s="1104" t="n">
        <f aca="false">'Смета Внутр'!E1668</f>
        <v>4500</v>
      </c>
      <c r="F1668" s="1104" t="n">
        <f aca="false">'Смета Внутр'!F1668</f>
        <v>0</v>
      </c>
      <c r="G1668" s="1104" t="n">
        <f aca="false">IF(E1668&gt;F1668,E1668,F1668)</f>
        <v>4500</v>
      </c>
      <c r="H1668" s="1104" t="n">
        <f aca="false">'Смета Внутр'!G1668</f>
        <v>0</v>
      </c>
      <c r="I1668" s="1104" t="n">
        <f aca="false">'Смета Внутр'!H1668</f>
        <v>0</v>
      </c>
      <c r="J1668" s="1109" t="n">
        <f aca="false">'Смета Внутр'!I1668</f>
        <v>0</v>
      </c>
    </row>
    <row r="1669" customFormat="false" ht="15" hidden="true" customHeight="true" outlineLevel="0" collapsed="false">
      <c r="B1669" s="1108" t="str">
        <f aca="false">'Смета Внутр'!B1669</f>
        <v>Итого работы</v>
      </c>
      <c r="C1669" s="1108"/>
      <c r="D1669" s="1108"/>
      <c r="E1669" s="1108"/>
      <c r="F1669" s="1108"/>
      <c r="G1669" s="1108"/>
      <c r="H1669" s="1104" t="n">
        <f aca="false">'Смета Внутр'!G1669</f>
        <v>0</v>
      </c>
      <c r="I1669" s="1104" t="n">
        <f aca="false">'Смета Внутр'!H1669</f>
        <v>0</v>
      </c>
      <c r="J1669" s="1109" t="n">
        <f aca="false">'Смета Внутр'!I1669</f>
        <v>0</v>
      </c>
    </row>
    <row r="1670" customFormat="false" ht="15" hidden="true" customHeight="true" outlineLevel="0" collapsed="false">
      <c r="B1670" s="1111" t="str">
        <f aca="false">'Смета Внутр'!B1670</f>
        <v>Лестница двухмаршевая</v>
      </c>
      <c r="C1670" s="1111"/>
      <c r="D1670" s="1111"/>
      <c r="H1670" s="118" t="n">
        <f aca="false">'Смета Внутр'!G1670</f>
        <v>0</v>
      </c>
      <c r="I1670" s="118" t="n">
        <f aca="false">'Смета Внутр'!H1670</f>
        <v>0</v>
      </c>
      <c r="J1670" s="1102" t="n">
        <f aca="false">'Смета Внутр'!I1670</f>
        <v>0</v>
      </c>
    </row>
    <row r="1671" customFormat="false" ht="15" hidden="true" customHeight="true" outlineLevel="0" collapsed="false">
      <c r="B1671" s="118" t="str">
        <f aca="false">'Смета Внутр'!B1671</f>
        <v>Материалы</v>
      </c>
      <c r="H1671" s="118" t="n">
        <f aca="false">'Смета Внутр'!G1671</f>
        <v>0</v>
      </c>
      <c r="I1671" s="118" t="n">
        <f aca="false">'Смета Внутр'!H1671</f>
        <v>0</v>
      </c>
      <c r="J1671" s="1102" t="n">
        <f aca="false">'Смета Внутр'!I1671</f>
        <v>0</v>
      </c>
    </row>
    <row r="1672" customFormat="false" ht="15" hidden="true" customHeight="true" outlineLevel="0" collapsed="false">
      <c r="B1672" s="1104" t="str">
        <f aca="false">'Смета Внутр'!B1672</f>
        <v>ступени хвоя</v>
      </c>
      <c r="C1672" s="1104" t="str">
        <f aca="false">'Смета Внутр'!C1672</f>
        <v>шт</v>
      </c>
      <c r="D1672" s="1109" t="n">
        <f aca="false">'Смета Внутр'!D1672</f>
        <v>18</v>
      </c>
      <c r="E1672" s="1104" t="n">
        <f aca="false">'Смета Внутр'!E1672</f>
        <v>400</v>
      </c>
      <c r="F1672" s="1104" t="n">
        <f aca="false">'Смета Внутр'!F1672</f>
        <v>0</v>
      </c>
      <c r="G1672" s="1104" t="n">
        <f aca="false">IF(E1672&gt;F1672,E1672,F1672)</f>
        <v>400</v>
      </c>
      <c r="H1672" s="1104" t="n">
        <f aca="false">'Смета Внутр'!G1672</f>
        <v>7200</v>
      </c>
      <c r="I1672" s="1104" t="n">
        <f aca="false">'Смета Внутр'!H1672</f>
        <v>0</v>
      </c>
      <c r="J1672" s="1109" t="n">
        <f aca="false">'Смета Внутр'!I1672</f>
        <v>0</v>
      </c>
    </row>
    <row r="1673" customFormat="false" ht="15" hidden="true" customHeight="true" outlineLevel="0" collapsed="false">
      <c r="B1673" s="1104" t="str">
        <f aca="false">'Смета Внутр'!B1673</f>
        <v>площадка хвоя</v>
      </c>
      <c r="C1673" s="1104" t="str">
        <f aca="false">'Смета Внутр'!C1673</f>
        <v>шт</v>
      </c>
      <c r="D1673" s="1109" t="n">
        <f aca="false">'Смета Внутр'!D1673</f>
        <v>1</v>
      </c>
      <c r="E1673" s="1104" t="n">
        <f aca="false">'Смета Внутр'!E1673</f>
        <v>2000</v>
      </c>
      <c r="F1673" s="1104" t="n">
        <f aca="false">'Смета Внутр'!F1673</f>
        <v>0</v>
      </c>
      <c r="G1673" s="1104" t="n">
        <f aca="false">IF(E1673&gt;F1673,E1673,F1673)</f>
        <v>2000</v>
      </c>
      <c r="H1673" s="1104" t="n">
        <f aca="false">'Смета Внутр'!G1673</f>
        <v>2000</v>
      </c>
      <c r="I1673" s="1104" t="n">
        <f aca="false">'Смета Внутр'!H1673</f>
        <v>0</v>
      </c>
      <c r="J1673" s="1109" t="n">
        <f aca="false">'Смета Внутр'!I1673</f>
        <v>0</v>
      </c>
    </row>
    <row r="1674" customFormat="false" ht="15" hidden="true" customHeight="true" outlineLevel="0" collapsed="false">
      <c r="B1674" s="1104" t="str">
        <f aca="false">'Смета Внутр'!B1674</f>
        <v>столб под площадку, 2м</v>
      </c>
      <c r="C1674" s="1104" t="str">
        <f aca="false">'Смета Внутр'!C1674</f>
        <v>шт</v>
      </c>
      <c r="D1674" s="1109" t="n">
        <f aca="false">'Смета Внутр'!D1674</f>
        <v>4</v>
      </c>
      <c r="E1674" s="1104" t="n">
        <f aca="false">'Смета Внутр'!E1674</f>
        <v>1000</v>
      </c>
      <c r="F1674" s="1104" t="n">
        <f aca="false">'Смета Внутр'!F1674</f>
        <v>0</v>
      </c>
      <c r="G1674" s="1104" t="n">
        <f aca="false">IF(E1674&gt;F1674,E1674,F1674)</f>
        <v>1000</v>
      </c>
      <c r="H1674" s="1104" t="n">
        <f aca="false">'Смета Внутр'!G1674</f>
        <v>4000</v>
      </c>
      <c r="I1674" s="1104" t="n">
        <f aca="false">'Смета Внутр'!H1674</f>
        <v>0</v>
      </c>
      <c r="J1674" s="1109" t="n">
        <f aca="false">'Смета Внутр'!I1674</f>
        <v>0</v>
      </c>
    </row>
    <row r="1675" customFormat="false" ht="15" hidden="true" customHeight="true" outlineLevel="0" collapsed="false">
      <c r="B1675" s="1104" t="str">
        <f aca="false">'Смета Внутр'!B1675</f>
        <v>столб обвязка перил 1 и 2 этажа</v>
      </c>
      <c r="C1675" s="1104" t="str">
        <f aca="false">'Смета Внутр'!C1675</f>
        <v>шт</v>
      </c>
      <c r="D1675" s="1109" t="n">
        <f aca="false">'Смета Внутр'!D1675</f>
        <v>1</v>
      </c>
      <c r="E1675" s="1104" t="n">
        <f aca="false">'Смета Внутр'!E1675</f>
        <v>900</v>
      </c>
      <c r="F1675" s="1104" t="n">
        <f aca="false">'Смета Внутр'!F1675</f>
        <v>0</v>
      </c>
      <c r="G1675" s="1104" t="n">
        <f aca="false">IF(E1675&gt;F1675,E1675,F1675)</f>
        <v>900</v>
      </c>
      <c r="H1675" s="1104" t="n">
        <f aca="false">'Смета Внутр'!G1675</f>
        <v>900</v>
      </c>
      <c r="I1675" s="1104" t="n">
        <f aca="false">'Смета Внутр'!H1675</f>
        <v>0</v>
      </c>
      <c r="J1675" s="1109" t="n">
        <f aca="false">'Смета Внутр'!I1675</f>
        <v>0</v>
      </c>
    </row>
    <row r="1676" customFormat="false" ht="15" hidden="true" customHeight="true" outlineLevel="0" collapsed="false">
      <c r="B1676" s="1104" t="str">
        <f aca="false">'Смета Внутр'!B1676</f>
        <v>балясина 80*80, первая</v>
      </c>
      <c r="C1676" s="1104" t="str">
        <f aca="false">'Смета Внутр'!C1676</f>
        <v>шт</v>
      </c>
      <c r="D1676" s="1109" t="n">
        <f aca="false">'Смета Внутр'!D1676</f>
        <v>2</v>
      </c>
      <c r="E1676" s="1104" t="n">
        <f aca="false">'Смета Внутр'!E1676</f>
        <v>500</v>
      </c>
      <c r="F1676" s="1104" t="n">
        <f aca="false">'Смета Внутр'!F1676</f>
        <v>0</v>
      </c>
      <c r="G1676" s="1104" t="n">
        <f aca="false">IF(E1676&gt;F1676,E1676,F1676)</f>
        <v>500</v>
      </c>
      <c r="H1676" s="1104" t="n">
        <f aca="false">'Смета Внутр'!G1676</f>
        <v>1000</v>
      </c>
      <c r="I1676" s="1104" t="n">
        <f aca="false">'Смета Внутр'!H1676</f>
        <v>0</v>
      </c>
      <c r="J1676" s="1109" t="n">
        <f aca="false">'Смета Внутр'!I1676</f>
        <v>0</v>
      </c>
    </row>
    <row r="1677" customFormat="false" ht="15" hidden="true" customHeight="true" outlineLevel="0" collapsed="false">
      <c r="B1677" s="1104" t="str">
        <f aca="false">'Смета Внутр'!B1677</f>
        <v>тетева, 3м.п.</v>
      </c>
      <c r="C1677" s="1104" t="str">
        <f aca="false">'Смета Внутр'!C1677</f>
        <v>шт</v>
      </c>
      <c r="D1677" s="1109" t="n">
        <f aca="false">'Смета Внутр'!D1677</f>
        <v>4</v>
      </c>
      <c r="E1677" s="1104" t="n">
        <f aca="false">'Смета Внутр'!E1677</f>
        <v>1500</v>
      </c>
      <c r="F1677" s="1104" t="n">
        <f aca="false">'Смета Внутр'!F1677</f>
        <v>0</v>
      </c>
      <c r="G1677" s="1104" t="n">
        <f aca="false">IF(E1677&gt;F1677,E1677,F1677)</f>
        <v>1500</v>
      </c>
      <c r="H1677" s="1104" t="n">
        <f aca="false">'Смета Внутр'!G1677</f>
        <v>6000</v>
      </c>
      <c r="I1677" s="1104" t="n">
        <f aca="false">'Смета Внутр'!H1677</f>
        <v>0</v>
      </c>
      <c r="J1677" s="1109" t="n">
        <f aca="false">'Смета Внутр'!I1677</f>
        <v>0</v>
      </c>
    </row>
    <row r="1678" customFormat="false" ht="15" hidden="true" customHeight="true" outlineLevel="0" collapsed="false">
      <c r="B1678" s="1104" t="str">
        <f aca="false">'Смета Внутр'!B1678</f>
        <v>крепления для ступеней, болт</v>
      </c>
      <c r="C1678" s="1104" t="str">
        <f aca="false">'Смета Внутр'!C1678</f>
        <v>шт</v>
      </c>
      <c r="D1678" s="1109" t="n">
        <f aca="false">'Смета Внутр'!D1678</f>
        <v>108</v>
      </c>
      <c r="E1678" s="1104" t="n">
        <f aca="false">'Смета Внутр'!E1678</f>
        <v>15</v>
      </c>
      <c r="F1678" s="1104" t="n">
        <f aca="false">'Смета Внутр'!F1678</f>
        <v>0</v>
      </c>
      <c r="G1678" s="1104" t="n">
        <f aca="false">IF(E1678&gt;F1678,E1678,F1678)</f>
        <v>15</v>
      </c>
      <c r="H1678" s="1104" t="n">
        <f aca="false">'Смета Внутр'!G1678</f>
        <v>1620</v>
      </c>
      <c r="I1678" s="1104" t="n">
        <f aca="false">'Смета Внутр'!H1678</f>
        <v>0</v>
      </c>
      <c r="J1678" s="1109" t="n">
        <f aca="false">'Смета Внутр'!I1678</f>
        <v>0</v>
      </c>
    </row>
    <row r="1679" customFormat="false" ht="15" hidden="true" customHeight="true" outlineLevel="0" collapsed="false">
      <c r="B1679" s="1104" t="str">
        <f aca="false">'Смета Внутр'!B1679</f>
        <v>крепления для площадки</v>
      </c>
      <c r="C1679" s="1104" t="str">
        <f aca="false">'Смета Внутр'!C1679</f>
        <v>шт</v>
      </c>
      <c r="D1679" s="1109" t="n">
        <f aca="false">'Смета Внутр'!D1679</f>
        <v>8</v>
      </c>
      <c r="E1679" s="1104" t="n">
        <f aca="false">'Смета Внутр'!E1679</f>
        <v>20</v>
      </c>
      <c r="F1679" s="1104" t="n">
        <f aca="false">'Смета Внутр'!F1679</f>
        <v>0</v>
      </c>
      <c r="G1679" s="1104" t="n">
        <f aca="false">IF(E1679&gt;F1679,E1679,F1679)</f>
        <v>20</v>
      </c>
      <c r="H1679" s="1104" t="n">
        <f aca="false">'Смета Внутр'!G1679</f>
        <v>160</v>
      </c>
      <c r="I1679" s="1104" t="n">
        <f aca="false">'Смета Внутр'!H1679</f>
        <v>0</v>
      </c>
      <c r="J1679" s="1109" t="n">
        <f aca="false">'Смета Внутр'!I1679</f>
        <v>0</v>
      </c>
    </row>
    <row r="1680" customFormat="false" ht="15" hidden="true" customHeight="true" outlineLevel="0" collapsed="false">
      <c r="B1680" s="1104" t="str">
        <f aca="false">'Смета Внутр'!B1680</f>
        <v>поручни</v>
      </c>
      <c r="C1680" s="1104" t="str">
        <f aca="false">'Смета Внутр'!C1680</f>
        <v>шт</v>
      </c>
      <c r="D1680" s="1109" t="n">
        <f aca="false">'Смета Внутр'!D1680</f>
        <v>4</v>
      </c>
      <c r="E1680" s="1104" t="n">
        <f aca="false">'Смета Внутр'!E1680</f>
        <v>200</v>
      </c>
      <c r="F1680" s="1104" t="n">
        <f aca="false">'Смета Внутр'!F1680</f>
        <v>0</v>
      </c>
      <c r="G1680" s="1104" t="n">
        <f aca="false">IF(E1680&gt;F1680,E1680,F1680)</f>
        <v>200</v>
      </c>
      <c r="H1680" s="1104" t="n">
        <f aca="false">'Смета Внутр'!G1680</f>
        <v>800</v>
      </c>
      <c r="I1680" s="1104" t="n">
        <f aca="false">'Смета Внутр'!H1680</f>
        <v>0</v>
      </c>
      <c r="J1680" s="1109" t="n">
        <f aca="false">'Смета Внутр'!I1680</f>
        <v>0</v>
      </c>
    </row>
    <row r="1681" customFormat="false" ht="15" hidden="true" customHeight="true" outlineLevel="0" collapsed="false">
      <c r="B1681" s="1104" t="str">
        <f aca="false">'Смета Внутр'!B1681</f>
        <v>балясины</v>
      </c>
      <c r="C1681" s="1104" t="str">
        <f aca="false">'Смета Внутр'!C1681</f>
        <v>шт</v>
      </c>
      <c r="D1681" s="1109" t="n">
        <f aca="false">'Смета Внутр'!D1681</f>
        <v>25</v>
      </c>
      <c r="E1681" s="1104" t="n">
        <f aca="false">'Смета Внутр'!E1681</f>
        <v>100</v>
      </c>
      <c r="F1681" s="1104" t="n">
        <f aca="false">'Смета Внутр'!F1681</f>
        <v>0</v>
      </c>
      <c r="G1681" s="1104" t="n">
        <f aca="false">IF(E1681&gt;F1681,E1681,F1681)</f>
        <v>100</v>
      </c>
      <c r="H1681" s="1104" t="n">
        <f aca="false">'Смета Внутр'!G1681</f>
        <v>2500</v>
      </c>
      <c r="I1681" s="1104" t="n">
        <f aca="false">'Смета Внутр'!H1681</f>
        <v>0</v>
      </c>
      <c r="J1681" s="1109" t="n">
        <f aca="false">'Смета Внутр'!I1681</f>
        <v>0</v>
      </c>
    </row>
    <row r="1682" customFormat="false" ht="15" hidden="true" customHeight="false" outlineLevel="0" collapsed="false">
      <c r="B1682" s="1108" t="str">
        <f aca="false">'Смета Внутр'!B1682</f>
        <v>Итого материалы</v>
      </c>
      <c r="C1682" s="1108"/>
      <c r="D1682" s="1108"/>
      <c r="E1682" s="1108"/>
      <c r="F1682" s="1108"/>
      <c r="G1682" s="1108"/>
      <c r="H1682" s="1104" t="n">
        <f aca="false">'Смета Внутр'!G1682</f>
        <v>0</v>
      </c>
      <c r="I1682" s="1104" t="n">
        <f aca="false">'Смета Внутр'!H1682</f>
        <v>0</v>
      </c>
      <c r="J1682" s="1109" t="n">
        <f aca="false">'Смета Внутр'!I1682</f>
        <v>0</v>
      </c>
    </row>
    <row r="1683" customFormat="false" ht="15" hidden="true" customHeight="true" outlineLevel="0" collapsed="false">
      <c r="B1683" s="118" t="str">
        <f aca="false">'Смета Внутр'!B1683</f>
        <v>Работы</v>
      </c>
      <c r="H1683" s="118" t="n">
        <f aca="false">'Смета Внутр'!G1683</f>
        <v>0</v>
      </c>
      <c r="I1683" s="118" t="n">
        <f aca="false">'Смета Внутр'!H1683</f>
        <v>0</v>
      </c>
      <c r="J1683" s="1102" t="n">
        <f aca="false">'Смета Внутр'!I1683</f>
        <v>0</v>
      </c>
    </row>
    <row r="1684" customFormat="false" ht="15" hidden="true" customHeight="true" outlineLevel="0" collapsed="false">
      <c r="B1684" s="1104" t="str">
        <f aca="false">'Смета Внутр'!B1684</f>
        <v>сборка лестницы</v>
      </c>
      <c r="C1684" s="1104" t="str">
        <f aca="false">'Смета Внутр'!C1684</f>
        <v>шт</v>
      </c>
      <c r="D1684" s="1109" t="n">
        <f aca="false">'Смета Внутр'!D1684</f>
        <v>1</v>
      </c>
      <c r="E1684" s="1104" t="n">
        <f aca="false">'Смета Внутр'!E1684</f>
        <v>20000</v>
      </c>
      <c r="F1684" s="1104" t="n">
        <f aca="false">'Смета Внутр'!F1684</f>
        <v>0</v>
      </c>
      <c r="G1684" s="1104" t="n">
        <f aca="false">IF(E1684&gt;F1684,E1684,F1684)</f>
        <v>20000</v>
      </c>
      <c r="H1684" s="1104" t="n">
        <f aca="false">'Смета Внутр'!G1684</f>
        <v>20000</v>
      </c>
      <c r="I1684" s="1104" t="n">
        <f aca="false">'Смета Внутр'!H1684</f>
        <v>0</v>
      </c>
      <c r="J1684" s="1109" t="n">
        <f aca="false">'Смета Внутр'!I1684</f>
        <v>0</v>
      </c>
    </row>
    <row r="1685" customFormat="false" ht="15" hidden="true" customHeight="true" outlineLevel="0" collapsed="false">
      <c r="B1685" s="1108" t="str">
        <f aca="false">'Смета Внутр'!B1685</f>
        <v>Итого работы</v>
      </c>
      <c r="C1685" s="1108"/>
      <c r="D1685" s="1108"/>
      <c r="E1685" s="1108"/>
      <c r="F1685" s="1108"/>
      <c r="G1685" s="1108"/>
      <c r="H1685" s="1104" t="n">
        <f aca="false">'Смета Внутр'!G1685</f>
        <v>0</v>
      </c>
      <c r="I1685" s="1104" t="n">
        <f aca="false">'Смета Внутр'!H1685</f>
        <v>0</v>
      </c>
      <c r="J1685" s="1109" t="n">
        <f aca="false">'Смета Внутр'!I1685</f>
        <v>0</v>
      </c>
    </row>
    <row r="1686" customFormat="false" ht="15" hidden="true" customHeight="true" outlineLevel="0" collapsed="false">
      <c r="B1686" s="1111" t="str">
        <f aca="false">'Смета Внутр'!B1686</f>
        <v>Мансардные окна</v>
      </c>
      <c r="C1686" s="1111"/>
      <c r="D1686" s="1111"/>
      <c r="H1686" s="118" t="n">
        <f aca="false">'Смета Внутр'!G1686</f>
        <v>0</v>
      </c>
      <c r="I1686" s="118" t="n">
        <f aca="false">'Смета Внутр'!H1686</f>
        <v>0</v>
      </c>
      <c r="J1686" s="1102" t="n">
        <f aca="false">'Смета Внутр'!I1686</f>
        <v>0</v>
      </c>
    </row>
    <row r="1687" customFormat="false" ht="15" hidden="true" customHeight="true" outlineLevel="0" collapsed="false">
      <c r="B1687" s="118" t="str">
        <f aca="false">'Смета Внутр'!B1687</f>
        <v>Материалы</v>
      </c>
      <c r="H1687" s="118" t="n">
        <f aca="false">'Смета Внутр'!G1687</f>
        <v>0</v>
      </c>
      <c r="I1687" s="118" t="n">
        <f aca="false">'Смета Внутр'!H1687</f>
        <v>0</v>
      </c>
      <c r="J1687" s="1102" t="n">
        <f aca="false">'Смета Внутр'!I1687</f>
        <v>0</v>
      </c>
    </row>
    <row r="1688" customFormat="false" ht="15" hidden="true" customHeight="true" outlineLevel="0" collapsed="false">
      <c r="B1688" s="1104" t="str">
        <f aca="false">'Смета Внутр'!B1688</f>
        <v>MR10 78X160</v>
      </c>
      <c r="C1688" s="1104" t="str">
        <f aca="false">'Смета Внутр'!C1688</f>
        <v>шт</v>
      </c>
      <c r="D1688" s="1109" t="n">
        <f aca="false">'Смета Внутр'!D1688</f>
        <v>1</v>
      </c>
      <c r="E1688" s="1104" t="n">
        <f aca="false">'Смета Внутр'!E1688</f>
        <v>22353</v>
      </c>
      <c r="F1688" s="1104" t="n">
        <f aca="false">'Смета Внутр'!F1688</f>
        <v>0</v>
      </c>
      <c r="G1688" s="1104" t="n">
        <f aca="false">IF(E1688&gt;F1688,E1688,F1688)</f>
        <v>22353</v>
      </c>
      <c r="H1688" s="1104" t="n">
        <f aca="false">'Смета Внутр'!G1688</f>
        <v>22353</v>
      </c>
      <c r="I1688" s="1104" t="n">
        <f aca="false">'Смета Внутр'!H1688</f>
        <v>0</v>
      </c>
      <c r="J1688" s="1109" t="n">
        <f aca="false">'Смета Внутр'!I1688</f>
        <v>0</v>
      </c>
    </row>
    <row r="1689" customFormat="false" ht="15" hidden="true" customHeight="true" outlineLevel="0" collapsed="false">
      <c r="B1689" s="1104" t="str">
        <f aca="false">'Смета Внутр'!B1689</f>
        <v>MR08 78X140</v>
      </c>
      <c r="C1689" s="1104" t="str">
        <f aca="false">'Смета Внутр'!C1689</f>
        <v>шт</v>
      </c>
      <c r="D1689" s="1109" t="n">
        <f aca="false">'Смета Внутр'!D1689</f>
        <v>2</v>
      </c>
      <c r="E1689" s="1104" t="n">
        <f aca="false">'Смета Внутр'!E1689</f>
        <v>21506</v>
      </c>
      <c r="F1689" s="1104" t="n">
        <f aca="false">'Смета Внутр'!F1689</f>
        <v>0</v>
      </c>
      <c r="G1689" s="1104" t="n">
        <f aca="false">IF(E1689&gt;F1689,E1689,F1689)</f>
        <v>21506</v>
      </c>
      <c r="H1689" s="1104" t="n">
        <f aca="false">'Смета Внутр'!G1689</f>
        <v>43012</v>
      </c>
      <c r="I1689" s="1104" t="n">
        <f aca="false">'Смета Внутр'!H1689</f>
        <v>0</v>
      </c>
      <c r="J1689" s="1109" t="n">
        <f aca="false">'Смета Внутр'!I1689</f>
        <v>0</v>
      </c>
    </row>
    <row r="1690" customFormat="false" ht="15" hidden="true" customHeight="true" outlineLevel="0" collapsed="false">
      <c r="B1690" s="1104" t="str">
        <f aca="false">'Смета Внутр'!B1690</f>
        <v>MR10 78X160</v>
      </c>
      <c r="C1690" s="1104" t="str">
        <f aca="false">'Смета Внутр'!C1690</f>
        <v>шт</v>
      </c>
      <c r="D1690" s="1109" t="n">
        <f aca="false">'Смета Внутр'!D1690</f>
        <v>5</v>
      </c>
      <c r="E1690" s="1104" t="n">
        <f aca="false">'Смета Внутр'!E1690</f>
        <v>22353</v>
      </c>
      <c r="F1690" s="1104" t="n">
        <f aca="false">'Смета Внутр'!F1690</f>
        <v>0</v>
      </c>
      <c r="G1690" s="1104" t="n">
        <f aca="false">IF(E1690&gt;F1690,E1690,F1690)</f>
        <v>22353</v>
      </c>
      <c r="H1690" s="1104" t="n">
        <f aca="false">'Смета Внутр'!G1690</f>
        <v>111765</v>
      </c>
      <c r="I1690" s="1104" t="n">
        <f aca="false">'Смета Внутр'!H1690</f>
        <v>0</v>
      </c>
      <c r="J1690" s="1109" t="n">
        <f aca="false">'Смета Внутр'!I1690</f>
        <v>0</v>
      </c>
    </row>
    <row r="1691" customFormat="false" ht="15" hidden="true" customHeight="true" outlineLevel="0" collapsed="false">
      <c r="B1691" s="1104" t="str">
        <f aca="false">'Смета Внутр'!B1691</f>
        <v>MR04 78X98</v>
      </c>
      <c r="C1691" s="1104" t="str">
        <f aca="false">'Смета Внутр'!C1691</f>
        <v>шт</v>
      </c>
      <c r="D1691" s="1109" t="n">
        <f aca="false">'Смета Внутр'!D1691</f>
        <v>0</v>
      </c>
      <c r="E1691" s="1104" t="n">
        <f aca="false">'Смета Внутр'!E1691</f>
        <v>18658</v>
      </c>
      <c r="F1691" s="1104" t="n">
        <f aca="false">'Смета Внутр'!F1691</f>
        <v>0</v>
      </c>
      <c r="G1691" s="1104" t="n">
        <f aca="false">IF(E1691&gt;F1691,E1691,F1691)</f>
        <v>18658</v>
      </c>
      <c r="H1691" s="1104" t="n">
        <f aca="false">'Смета Внутр'!G1691</f>
        <v>0</v>
      </c>
      <c r="I1691" s="1104" t="n">
        <f aca="false">'Смета Внутр'!H1691</f>
        <v>0</v>
      </c>
      <c r="J1691" s="1109" t="n">
        <f aca="false">'Смета Внутр'!I1691</f>
        <v>0</v>
      </c>
    </row>
    <row r="1692" customFormat="false" ht="15" hidden="true" customHeight="false" outlineLevel="0" collapsed="false">
      <c r="B1692" s="1108" t="str">
        <f aca="false">'Смета Внутр'!B1692</f>
        <v>Итого материалы</v>
      </c>
      <c r="C1692" s="1108"/>
      <c r="D1692" s="1108"/>
      <c r="E1692" s="1108"/>
      <c r="F1692" s="1108"/>
      <c r="G1692" s="1108"/>
      <c r="H1692" s="1104" t="n">
        <f aca="false">'Смета Внутр'!G1692</f>
        <v>0</v>
      </c>
      <c r="I1692" s="1104" t="n">
        <f aca="false">'Смета Внутр'!H1692</f>
        <v>0</v>
      </c>
      <c r="J1692" s="1109" t="n">
        <f aca="false">'Смета Внутр'!I1692</f>
        <v>0</v>
      </c>
    </row>
    <row r="1693" customFormat="false" ht="15" hidden="true" customHeight="true" outlineLevel="0" collapsed="false">
      <c r="B1693" s="118" t="str">
        <f aca="false">'Смета Внутр'!B1693</f>
        <v>Работы</v>
      </c>
      <c r="H1693" s="118" t="n">
        <f aca="false">'Смета Внутр'!G1693</f>
        <v>0</v>
      </c>
      <c r="I1693" s="118" t="n">
        <f aca="false">'Смета Внутр'!H1693</f>
        <v>0</v>
      </c>
      <c r="J1693" s="1102" t="n">
        <f aca="false">'Смета Внутр'!I1693</f>
        <v>0</v>
      </c>
    </row>
    <row r="1694" customFormat="false" ht="15" hidden="true" customHeight="true" outlineLevel="0" collapsed="false">
      <c r="B1694" s="1104" t="str">
        <f aca="false">'Смета Внутр'!B1694</f>
        <v>MR10 78X160</v>
      </c>
      <c r="C1694" s="1104" t="str">
        <f aca="false">'Смета Внутр'!C1694</f>
        <v>шт</v>
      </c>
      <c r="D1694" s="1109" t="n">
        <f aca="false">'Смета Внутр'!D1694</f>
        <v>1</v>
      </c>
      <c r="E1694" s="1104" t="n">
        <f aca="false">'Смета Внутр'!E1694</f>
        <v>4200</v>
      </c>
      <c r="F1694" s="1104" t="n">
        <f aca="false">'Смета Внутр'!F1694</f>
        <v>0</v>
      </c>
      <c r="G1694" s="1104" t="n">
        <f aca="false">IF(E1694&gt;F1694,E1694,F1694)</f>
        <v>4200</v>
      </c>
      <c r="H1694" s="1104" t="n">
        <f aca="false">'Смета Внутр'!G1694</f>
        <v>4200</v>
      </c>
      <c r="I1694" s="1104" t="n">
        <f aca="false">'Смета Внутр'!H1694</f>
        <v>0</v>
      </c>
      <c r="J1694" s="1109" t="n">
        <f aca="false">'Смета Внутр'!I1694</f>
        <v>0</v>
      </c>
    </row>
    <row r="1695" customFormat="false" ht="15" hidden="true" customHeight="true" outlineLevel="0" collapsed="false">
      <c r="B1695" s="1104" t="str">
        <f aca="false">'Смета Внутр'!B1695</f>
        <v>MR08 78X140</v>
      </c>
      <c r="C1695" s="1104" t="str">
        <f aca="false">'Смета Внутр'!C1695</f>
        <v>шт</v>
      </c>
      <c r="D1695" s="1109" t="n">
        <f aca="false">'Смета Внутр'!D1695</f>
        <v>2</v>
      </c>
      <c r="E1695" s="1104" t="n">
        <f aca="false">'Смета Внутр'!E1695</f>
        <v>4000</v>
      </c>
      <c r="F1695" s="1104" t="n">
        <f aca="false">'Смета Внутр'!F1695</f>
        <v>0</v>
      </c>
      <c r="G1695" s="1104" t="n">
        <f aca="false">IF(E1695&gt;F1695,E1695,F1695)</f>
        <v>4000</v>
      </c>
      <c r="H1695" s="1104" t="n">
        <f aca="false">'Смета Внутр'!G1695</f>
        <v>8000</v>
      </c>
      <c r="I1695" s="1104" t="n">
        <f aca="false">'Смета Внутр'!H1695</f>
        <v>0</v>
      </c>
      <c r="J1695" s="1109" t="n">
        <f aca="false">'Смета Внутр'!I1695</f>
        <v>0</v>
      </c>
    </row>
    <row r="1696" customFormat="false" ht="15" hidden="true" customHeight="true" outlineLevel="0" collapsed="false">
      <c r="B1696" s="1104" t="str">
        <f aca="false">'Смета Внутр'!B1696</f>
        <v>MR10 78X160</v>
      </c>
      <c r="C1696" s="1104" t="str">
        <f aca="false">'Смета Внутр'!C1696</f>
        <v>шт</v>
      </c>
      <c r="D1696" s="1109" t="n">
        <f aca="false">'Смета Внутр'!D1696</f>
        <v>5</v>
      </c>
      <c r="E1696" s="1104" t="n">
        <f aca="false">'Смета Внутр'!E1696</f>
        <v>4200</v>
      </c>
      <c r="F1696" s="1104" t="n">
        <f aca="false">'Смета Внутр'!F1696</f>
        <v>0</v>
      </c>
      <c r="G1696" s="1104" t="n">
        <f aca="false">IF(E1696&gt;F1696,E1696,F1696)</f>
        <v>4200</v>
      </c>
      <c r="H1696" s="1104" t="n">
        <f aca="false">'Смета Внутр'!G1696</f>
        <v>21000</v>
      </c>
      <c r="I1696" s="1104" t="n">
        <f aca="false">'Смета Внутр'!H1696</f>
        <v>0</v>
      </c>
      <c r="J1696" s="1109" t="n">
        <f aca="false">'Смета Внутр'!I1696</f>
        <v>0</v>
      </c>
    </row>
    <row r="1697" customFormat="false" ht="15" hidden="true" customHeight="true" outlineLevel="0" collapsed="false">
      <c r="B1697" s="1104" t="str">
        <f aca="false">'Смета Внутр'!B1697</f>
        <v>MR04 78X98</v>
      </c>
      <c r="C1697" s="1104" t="str">
        <f aca="false">'Смета Внутр'!C1697</f>
        <v>шт</v>
      </c>
      <c r="D1697" s="1109" t="n">
        <f aca="false">'Смета Внутр'!D1697</f>
        <v>0</v>
      </c>
      <c r="E1697" s="1104" t="n">
        <f aca="false">'Смета Внутр'!E1697</f>
        <v>3700</v>
      </c>
      <c r="F1697" s="1104" t="n">
        <f aca="false">'Смета Внутр'!F1697</f>
        <v>0</v>
      </c>
      <c r="G1697" s="1104" t="n">
        <f aca="false">IF(E1697&gt;F1697,E1697,F1697)</f>
        <v>3700</v>
      </c>
      <c r="H1697" s="1104" t="n">
        <f aca="false">'Смета Внутр'!G1697</f>
        <v>0</v>
      </c>
      <c r="I1697" s="1104" t="n">
        <f aca="false">'Смета Внутр'!H1697</f>
        <v>0</v>
      </c>
      <c r="J1697" s="1109" t="n">
        <f aca="false">'Смета Внутр'!I1697</f>
        <v>0</v>
      </c>
    </row>
    <row r="1698" customFormat="false" ht="15" hidden="true" customHeight="true" outlineLevel="0" collapsed="false">
      <c r="B1698" s="1108" t="str">
        <f aca="false">'Смета Внутр'!B1698</f>
        <v>Итого работы</v>
      </c>
      <c r="C1698" s="1108"/>
      <c r="D1698" s="1108"/>
      <c r="E1698" s="1108"/>
      <c r="F1698" s="1108"/>
      <c r="G1698" s="1108"/>
      <c r="H1698" s="1104" t="n">
        <f aca="false">'Смета Внутр'!G1698</f>
        <v>0</v>
      </c>
      <c r="I1698" s="1104" t="n">
        <f aca="false">'Смета Внутр'!H1698</f>
        <v>0</v>
      </c>
      <c r="J1698" s="1109" t="n">
        <f aca="false">'Смета Внутр'!I1698</f>
        <v>0</v>
      </c>
    </row>
    <row r="1699" customFormat="false" ht="15" hidden="false" customHeight="true" outlineLevel="0" collapsed="false">
      <c r="B1699" s="1111" t="str">
        <f aca="false">'Смета Внутр'!B1699</f>
        <v>Отделка внешняя</v>
      </c>
      <c r="C1699" s="1111"/>
      <c r="D1699" s="1111"/>
      <c r="H1699" s="118" t="n">
        <f aca="false">'Смета Внутр'!G1699</f>
        <v>0</v>
      </c>
      <c r="I1699" s="118" t="n">
        <f aca="false">'Смета Внутр'!H1699</f>
        <v>1</v>
      </c>
      <c r="J1699" s="1102" t="n">
        <f aca="false">'Смета Внутр'!I1699</f>
        <v>1</v>
      </c>
    </row>
    <row r="1700" customFormat="false" ht="15" hidden="false" customHeight="true" outlineLevel="0" collapsed="false">
      <c r="B1700" s="118" t="str">
        <f aca="false">'Смета Внутр'!B1700</f>
        <v>Материалы</v>
      </c>
      <c r="H1700" s="118" t="n">
        <f aca="false">'Смета Внутр'!G1700</f>
        <v>0</v>
      </c>
      <c r="I1700" s="118" t="n">
        <f aca="false">'Смета Внутр'!H1700</f>
        <v>1</v>
      </c>
      <c r="J1700" s="1102" t="n">
        <f aca="false">'Смета Внутр'!I1700</f>
        <v>1</v>
      </c>
    </row>
    <row r="1701" customFormat="false" ht="15" hidden="false" customHeight="true" outlineLevel="0" collapsed="false">
      <c r="B1701" s="1105" t="str">
        <f aca="false">'Смета Внутр'!B1701</f>
        <v>дом, стены</v>
      </c>
      <c r="C1701" s="1105"/>
      <c r="D1701" s="1105"/>
      <c r="E1701" s="1105"/>
      <c r="F1701" s="1105"/>
      <c r="G1701" s="1105"/>
      <c r="H1701" s="1104" t="n">
        <f aca="false">'Смета Внутр'!G1701</f>
        <v>0</v>
      </c>
      <c r="I1701" s="1104" t="n">
        <f aca="false">'Смета Внутр'!H1701</f>
        <v>1</v>
      </c>
      <c r="J1701" s="1107" t="n">
        <f aca="false">'Смета Внутр'!I1701</f>
        <v>1</v>
      </c>
    </row>
    <row r="1702" customFormat="false" ht="15" hidden="true" customHeight="true" outlineLevel="0" collapsed="false">
      <c r="B1702" s="1104" t="str">
        <f aca="false">'Смета Внутр'!B1702</f>
        <v>нет</v>
      </c>
      <c r="C1702" s="1104" t="str">
        <f aca="false">'Смета Внутр'!C1702</f>
        <v>м.п.</v>
      </c>
      <c r="D1702" s="1109" t="n">
        <f aca="false">'Смета Внутр'!D1702</f>
        <v>357.5815</v>
      </c>
      <c r="E1702" s="1104" t="n">
        <f aca="false">'Смета Внутр'!E1702</f>
        <v>0</v>
      </c>
      <c r="F1702" s="1104" t="n">
        <f aca="false">'Смета Внутр'!F1702</f>
        <v>0</v>
      </c>
      <c r="G1702" s="1104" t="n">
        <f aca="false">IF(E1702&gt;F1702,E1702,F1702)</f>
        <v>0</v>
      </c>
      <c r="H1702" s="1104" t="n">
        <f aca="false">'Смета Внутр'!G1702</f>
        <v>0</v>
      </c>
      <c r="I1702" s="1104" t="n">
        <f aca="false">'Смета Внутр'!H1702</f>
        <v>0</v>
      </c>
      <c r="J1702" s="1109" t="n">
        <f aca="false">'Смета Внутр'!I1702</f>
        <v>0</v>
      </c>
    </row>
    <row r="1703" customFormat="false" ht="15" hidden="true" customHeight="true" outlineLevel="0" collapsed="false">
      <c r="B1703" s="1104" t="str">
        <f aca="false">'Смета Внутр'!B1703</f>
        <v>Нет кронштейна</v>
      </c>
      <c r="C1703" s="1104" t="str">
        <f aca="false">'Смета Внутр'!C1703</f>
        <v>шт</v>
      </c>
      <c r="D1703" s="1109" t="n">
        <f aca="false">'Смета Внутр'!D1703</f>
        <v>858.1956</v>
      </c>
      <c r="E1703" s="1104" t="n">
        <f aca="false">'Смета Внутр'!E1703</f>
        <v>0</v>
      </c>
      <c r="F1703" s="1104" t="n">
        <f aca="false">'Смета Внутр'!F1703</f>
        <v>0</v>
      </c>
      <c r="G1703" s="1104" t="n">
        <f aca="false">IF(E1703&gt;F1703,E1703,F1703)</f>
        <v>0</v>
      </c>
      <c r="H1703" s="1104" t="n">
        <f aca="false">'Смета Внутр'!G1703</f>
        <v>0</v>
      </c>
      <c r="I1703" s="1104" t="n">
        <f aca="false">'Смета Внутр'!H1703</f>
        <v>0</v>
      </c>
      <c r="J1703" s="1109" t="n">
        <f aca="false">'Смета Внутр'!I1703</f>
        <v>0</v>
      </c>
    </row>
    <row r="1704" customFormat="false" ht="15" hidden="true" customHeight="true" outlineLevel="0" collapsed="false">
      <c r="B1704" s="1104" t="str">
        <f aca="false">'Смета Внутр'!B1704</f>
        <v>Саморезы 3,5 x 45            </v>
      </c>
      <c r="C1704" s="1104" t="str">
        <f aca="false">'Смета Внутр'!C1704</f>
        <v>шт</v>
      </c>
      <c r="D1704" s="1109" t="n">
        <f aca="false">'Смета Внутр'!D1704</f>
        <v>0</v>
      </c>
      <c r="E1704" s="1104" t="n">
        <f aca="false">'Смета Внутр'!E1704</f>
        <v>0.25</v>
      </c>
      <c r="F1704" s="1104" t="n">
        <f aca="false">'Смета Внутр'!F1704</f>
        <v>0</v>
      </c>
      <c r="G1704" s="1104" t="n">
        <f aca="false">IF(E1704&gt;F1704,E1704,F1704)</f>
        <v>0.25</v>
      </c>
      <c r="H1704" s="1104" t="n">
        <f aca="false">'Смета Внутр'!G1704</f>
        <v>0</v>
      </c>
      <c r="I1704" s="1104" t="n">
        <f aca="false">'Смета Внутр'!H1704</f>
        <v>0</v>
      </c>
      <c r="J1704" s="1109" t="n">
        <f aca="false">'Смета Внутр'!I1704</f>
        <v>0</v>
      </c>
    </row>
    <row r="1705" customFormat="false" ht="15" hidden="true" customHeight="true" outlineLevel="0" collapsed="false">
      <c r="B1705" s="1104" t="str">
        <f aca="false">'Смета Внутр'!B1705</f>
        <v>Болты анкерные с гайкой 10,0 х 97           </v>
      </c>
      <c r="C1705" s="1104" t="str">
        <f aca="false">'Смета Внутр'!C1705</f>
        <v>шт</v>
      </c>
      <c r="D1705" s="1109" t="n">
        <f aca="false">'Смета Внутр'!D1705</f>
        <v>0</v>
      </c>
      <c r="E1705" s="1104" t="n">
        <f aca="false">'Смета Внутр'!E1705</f>
        <v>7.4</v>
      </c>
      <c r="F1705" s="1104" t="n">
        <f aca="false">'Смета Внутр'!F1705</f>
        <v>0</v>
      </c>
      <c r="G1705" s="1104" t="n">
        <f aca="false">IF(E1705&gt;F1705,E1705,F1705)</f>
        <v>7.4</v>
      </c>
      <c r="H1705" s="1104" t="n">
        <f aca="false">'Смета Внутр'!G1705</f>
        <v>0</v>
      </c>
      <c r="I1705" s="1104" t="n">
        <f aca="false">'Смета Внутр'!H1705</f>
        <v>0</v>
      </c>
      <c r="J1705" s="1109" t="n">
        <f aca="false">'Смета Внутр'!I1705</f>
        <v>0</v>
      </c>
    </row>
    <row r="1706" customFormat="false" ht="15" hidden="true" customHeight="true" outlineLevel="0" collapsed="false">
      <c r="B1706" s="1104" t="n">
        <f aca="false">'Смета Внутр'!B1706</f>
        <v>0</v>
      </c>
      <c r="C1706" s="1104" t="str">
        <f aca="false">'Смета Внутр'!C1706</f>
        <v>м2</v>
      </c>
      <c r="D1706" s="1109" t="n">
        <f aca="false">'Смета Внутр'!D1706</f>
        <v>0</v>
      </c>
      <c r="E1706" s="1104" t="n">
        <f aca="false">'Смета Внутр'!E1706</f>
        <v>0</v>
      </c>
      <c r="F1706" s="1104" t="n">
        <f aca="false">'Смета Внутр'!F1706</f>
        <v>0</v>
      </c>
      <c r="G1706" s="1104" t="n">
        <f aca="false">IF(E1706&gt;F1706,E1706,F1706)</f>
        <v>0</v>
      </c>
      <c r="H1706" s="1104" t="n">
        <f aca="false">'Смета Внутр'!G1706</f>
        <v>0</v>
      </c>
      <c r="I1706" s="1104" t="n">
        <f aca="false">'Смета Внутр'!H1706</f>
        <v>0</v>
      </c>
      <c r="J1706" s="1109" t="n">
        <f aca="false">'Смета Внутр'!I1706</f>
        <v>0</v>
      </c>
    </row>
    <row r="1707" customFormat="false" ht="15" hidden="true" customHeight="true" outlineLevel="0" collapsed="false">
      <c r="B1707" s="1104" t="str">
        <f aca="false">'Смета Внутр'!B1707</f>
        <v>Цемент, мешок, 50кг</v>
      </c>
      <c r="C1707" s="1104" t="str">
        <f aca="false">'Смета Внутр'!C1707</f>
        <v>меш</v>
      </c>
      <c r="D1707" s="1109" t="n">
        <f aca="false">'Смета Внутр'!D1707</f>
        <v>0</v>
      </c>
      <c r="E1707" s="1104" t="n">
        <f aca="false">'Смета Внутр'!E1707</f>
        <v>250</v>
      </c>
      <c r="F1707" s="1104" t="n">
        <f aca="false">'Смета Внутр'!F1707</f>
        <v>0</v>
      </c>
      <c r="G1707" s="1104" t="n">
        <f aca="false">IF(E1707&gt;F1707,E1707,F1707)</f>
        <v>250</v>
      </c>
      <c r="H1707" s="1104" t="n">
        <f aca="false">'Смета Внутр'!G1707</f>
        <v>0</v>
      </c>
      <c r="I1707" s="1104" t="n">
        <f aca="false">'Смета Внутр'!H1707</f>
        <v>0</v>
      </c>
      <c r="J1707" s="1109" t="n">
        <f aca="false">'Смета Внутр'!I1707</f>
        <v>0</v>
      </c>
    </row>
    <row r="1708" customFormat="false" ht="15" hidden="true" customHeight="true" outlineLevel="0" collapsed="false">
      <c r="B1708" s="1104" t="str">
        <f aca="false">'Смета Внутр'!B1708</f>
        <v>Песок, м3</v>
      </c>
      <c r="C1708" s="1104" t="str">
        <f aca="false">'Смета Внутр'!C1708</f>
        <v>м3</v>
      </c>
      <c r="D1708" s="1109" t="n">
        <f aca="false">'Смета Внутр'!D1708</f>
        <v>0</v>
      </c>
      <c r="E1708" s="1104" t="n">
        <f aca="false">'Смета Внутр'!E1708</f>
        <v>250</v>
      </c>
      <c r="F1708" s="1104" t="n">
        <f aca="false">'Смета Внутр'!F1708</f>
        <v>0</v>
      </c>
      <c r="G1708" s="1104" t="n">
        <f aca="false">IF(E1708&gt;F1708,E1708,F1708)</f>
        <v>250</v>
      </c>
      <c r="H1708" s="1104" t="n">
        <f aca="false">'Смета Внутр'!G1708</f>
        <v>0</v>
      </c>
      <c r="I1708" s="1104" t="n">
        <f aca="false">'Смета Внутр'!H1708</f>
        <v>0</v>
      </c>
      <c r="J1708" s="1109" t="n">
        <f aca="false">'Смета Внутр'!I1708</f>
        <v>0</v>
      </c>
    </row>
    <row r="1709" customFormat="false" ht="15" hidden="true" customHeight="true" outlineLevel="0" collapsed="false">
      <c r="B1709" s="1104" t="str">
        <f aca="false">'Смета Внутр'!B1709</f>
        <v>Кладочная сетка, 100*100/150*150/200*200мм</v>
      </c>
      <c r="C1709" s="1104" t="str">
        <f aca="false">'Смета Внутр'!C1709</f>
        <v>м2</v>
      </c>
      <c r="D1709" s="1109" t="n">
        <f aca="false">'Смета Внутр'!D1709</f>
        <v>0</v>
      </c>
      <c r="E1709" s="1104" t="n">
        <f aca="false">'Смета Внутр'!E1709</f>
        <v>70</v>
      </c>
      <c r="F1709" s="1104" t="n">
        <f aca="false">'Смета Внутр'!F1709</f>
        <v>0</v>
      </c>
      <c r="G1709" s="1104" t="n">
        <f aca="false">IF(E1709&gt;F1709,E1709,F1709)</f>
        <v>70</v>
      </c>
      <c r="H1709" s="1104" t="n">
        <f aca="false">'Смета Внутр'!G1709</f>
        <v>0</v>
      </c>
      <c r="I1709" s="1104" t="n">
        <f aca="false">'Смета Внутр'!H1709</f>
        <v>0</v>
      </c>
      <c r="J1709" s="1109" t="n">
        <f aca="false">'Смета Внутр'!I1709</f>
        <v>0</v>
      </c>
    </row>
    <row r="1710" customFormat="false" ht="15" hidden="true" customHeight="true" outlineLevel="0" collapsed="false">
      <c r="B1710" s="1104" t="str">
        <f aca="false">'Смета Внутр'!B1710</f>
        <v>сайдинг виниловый</v>
      </c>
      <c r="C1710" s="1104" t="str">
        <f aca="false">'Смета Внутр'!C1710</f>
        <v>м2</v>
      </c>
      <c r="D1710" s="1109" t="n">
        <f aca="false">'Смета Внутр'!D1710</f>
        <v>0</v>
      </c>
      <c r="E1710" s="1104" t="n">
        <f aca="false">'Смета Внутр'!E1710</f>
        <v>350</v>
      </c>
      <c r="F1710" s="1104" t="n">
        <f aca="false">'Смета Внутр'!F1710</f>
        <v>0</v>
      </c>
      <c r="G1710" s="1104" t="n">
        <f aca="false">IF(E1710&gt;F1710,E1710,F1710)</f>
        <v>350</v>
      </c>
      <c r="H1710" s="1104" t="n">
        <f aca="false">'Смета Внутр'!G1710</f>
        <v>0</v>
      </c>
      <c r="I1710" s="1104" t="n">
        <f aca="false">'Смета Внутр'!H1710</f>
        <v>0</v>
      </c>
      <c r="J1710" s="1109" t="n">
        <f aca="false">'Смета Внутр'!I1710</f>
        <v>0</v>
      </c>
    </row>
    <row r="1711" customFormat="false" ht="15" hidden="true" customHeight="true" outlineLevel="0" collapsed="false">
      <c r="B1711" s="1104" t="str">
        <f aca="false">'Смета Внутр'!B1711</f>
        <v>доборные элементы для винил сайдинга</v>
      </c>
      <c r="C1711" s="1104" t="str">
        <f aca="false">'Смета Внутр'!C1711</f>
        <v>шт</v>
      </c>
      <c r="D1711" s="1109" t="n">
        <f aca="false">'Смета Внутр'!D1711</f>
        <v>0</v>
      </c>
      <c r="E1711" s="1104" t="n">
        <f aca="false">'Смета Внутр'!E1711</f>
        <v>300</v>
      </c>
      <c r="F1711" s="1104" t="n">
        <f aca="false">'Смета Внутр'!F1711</f>
        <v>0</v>
      </c>
      <c r="G1711" s="1104" t="n">
        <f aca="false">IF(E1711&gt;F1711,E1711,F1711)</f>
        <v>300</v>
      </c>
      <c r="H1711" s="1104" t="n">
        <f aca="false">'Смета Внутр'!G1711</f>
        <v>0</v>
      </c>
      <c r="I1711" s="1104" t="n">
        <f aca="false">'Смета Внутр'!H1711</f>
        <v>0</v>
      </c>
      <c r="J1711" s="1109" t="n">
        <f aca="false">'Смета Внутр'!I1711</f>
        <v>0</v>
      </c>
    </row>
    <row r="1712" customFormat="false" ht="15" hidden="false" customHeight="true" outlineLevel="0" collapsed="false">
      <c r="B1712" s="1104" t="str">
        <f aca="false">'Смета Внутр'!B1712</f>
        <v>сайдинг металлический</v>
      </c>
      <c r="C1712" s="1104" t="str">
        <f aca="false">'Смета Внутр'!C1712</f>
        <v>м2</v>
      </c>
      <c r="D1712" s="1109" t="n">
        <f aca="false">'Смета Внутр'!D1712</f>
        <v>0</v>
      </c>
      <c r="E1712" s="1104" t="n">
        <f aca="false">'Смета Внутр'!E1712</f>
        <v>550</v>
      </c>
      <c r="F1712" s="1104" t="n">
        <f aca="false">'Смета Внутр'!F1712</f>
        <v>0</v>
      </c>
      <c r="G1712" s="1104" t="n">
        <f aca="false">IF(E1712&gt;F1712,E1712,F1712)</f>
        <v>550</v>
      </c>
      <c r="H1712" s="1104" t="n">
        <f aca="false">'Смета Внутр'!G1712</f>
        <v>0</v>
      </c>
      <c r="I1712" s="1104" t="n">
        <f aca="false">'Смета Внутр'!H1712</f>
        <v>0</v>
      </c>
      <c r="J1712" s="1109" t="n">
        <f aca="false">'Смета Внутр'!I1712</f>
        <v>0</v>
      </c>
    </row>
    <row r="1713" customFormat="false" ht="15" hidden="false" customHeight="true" outlineLevel="0" collapsed="false">
      <c r="B1713" s="1104" t="str">
        <f aca="false">'Смета Внутр'!B1713</f>
        <v>доборные элементы для метал сайдинга</v>
      </c>
      <c r="C1713" s="1104" t="str">
        <f aca="false">'Смета Внутр'!C1713</f>
        <v>шт</v>
      </c>
      <c r="D1713" s="1109" t="n">
        <f aca="false">'Смета Внутр'!D1713</f>
        <v>0</v>
      </c>
      <c r="E1713" s="1104" t="n">
        <f aca="false">'Смета Внутр'!E1713</f>
        <v>350</v>
      </c>
      <c r="F1713" s="1104" t="n">
        <f aca="false">'Смета Внутр'!F1713</f>
        <v>0</v>
      </c>
      <c r="G1713" s="1104" t="n">
        <f aca="false">IF(E1713&gt;F1713,E1713,F1713)</f>
        <v>350</v>
      </c>
      <c r="H1713" s="1104" t="n">
        <f aca="false">'Смета Внутр'!G1713</f>
        <v>0</v>
      </c>
      <c r="I1713" s="1104" t="n">
        <f aca="false">'Смета Внутр'!H1713</f>
        <v>0</v>
      </c>
      <c r="J1713" s="1109" t="n">
        <f aca="false">'Смета Внутр'!I1713</f>
        <v>0</v>
      </c>
    </row>
    <row r="1714" customFormat="false" ht="15" hidden="true" customHeight="true" outlineLevel="0" collapsed="false">
      <c r="B1714" s="1104" t="n">
        <f aca="false">'Смета Внутр'!B1714</f>
        <v>0</v>
      </c>
      <c r="C1714" s="1104" t="str">
        <f aca="false">'Смета Внутр'!C1714</f>
        <v>м2</v>
      </c>
      <c r="D1714" s="1109" t="n">
        <f aca="false">'Смета Внутр'!D1714</f>
        <v>0</v>
      </c>
      <c r="E1714" s="1104" t="n">
        <f aca="false">'Смета Внутр'!E1714</f>
        <v>0</v>
      </c>
      <c r="F1714" s="1104" t="n">
        <f aca="false">'Смета Внутр'!F1714</f>
        <v>0</v>
      </c>
      <c r="G1714" s="1104" t="n">
        <f aca="false">IF(E1714&gt;F1714,E1714,F1714)</f>
        <v>0</v>
      </c>
      <c r="H1714" s="1104" t="n">
        <f aca="false">'Смета Внутр'!G1714</f>
        <v>0</v>
      </c>
      <c r="I1714" s="1104" t="n">
        <f aca="false">'Смета Внутр'!H1714</f>
        <v>0</v>
      </c>
      <c r="J1714" s="1109" t="n">
        <f aca="false">'Смета Внутр'!I1714</f>
        <v>0</v>
      </c>
    </row>
    <row r="1715" customFormat="false" ht="15" hidden="true" customHeight="true" outlineLevel="0" collapsed="false">
      <c r="B1715" s="1104" t="str">
        <f aca="false">'Смета Внутр'!B1715</f>
        <v>крепления для планкена, змейка</v>
      </c>
      <c r="C1715" s="1104" t="str">
        <f aca="false">'Смета Внутр'!C1715</f>
        <v>шт</v>
      </c>
      <c r="D1715" s="1109" t="n">
        <f aca="false">'Смета Внутр'!D1715</f>
        <v>0</v>
      </c>
      <c r="E1715" s="1104" t="n">
        <f aca="false">'Смета Внутр'!E1715</f>
        <v>15</v>
      </c>
      <c r="F1715" s="1104" t="n">
        <f aca="false">'Смета Внутр'!F1715</f>
        <v>0</v>
      </c>
      <c r="G1715" s="1104" t="n">
        <f aca="false">IF(E1715&gt;F1715,E1715,F1715)</f>
        <v>15</v>
      </c>
      <c r="H1715" s="1104" t="n">
        <f aca="false">'Смета Внутр'!G1715</f>
        <v>0</v>
      </c>
      <c r="I1715" s="1104" t="n">
        <f aca="false">'Смета Внутр'!H1715</f>
        <v>0</v>
      </c>
      <c r="J1715" s="1109" t="n">
        <f aca="false">'Смета Внутр'!I1715</f>
        <v>0</v>
      </c>
    </row>
    <row r="1716" customFormat="false" ht="15" hidden="true" customHeight="true" outlineLevel="0" collapsed="false">
      <c r="B1716" s="1104" t="n">
        <f aca="false">'Смета Внутр'!B1716</f>
        <v>0</v>
      </c>
      <c r="C1716" s="1104" t="str">
        <f aca="false">'Смета Внутр'!C1716</f>
        <v>м2</v>
      </c>
      <c r="D1716" s="1109" t="n">
        <f aca="false">'Смета Внутр'!D1716</f>
        <v>0</v>
      </c>
      <c r="E1716" s="1104" t="n">
        <f aca="false">'Смета Внутр'!E1716</f>
        <v>1000</v>
      </c>
      <c r="F1716" s="1104" t="n">
        <f aca="false">'Смета Внутр'!F1716</f>
        <v>0</v>
      </c>
      <c r="G1716" s="1104" t="n">
        <f aca="false">IF(E1716&gt;F1716,E1716,F1716)</f>
        <v>1000</v>
      </c>
      <c r="H1716" s="1104" t="n">
        <f aca="false">'Смета Внутр'!G1716</f>
        <v>0</v>
      </c>
      <c r="I1716" s="1104" t="n">
        <f aca="false">'Смета Внутр'!H1716</f>
        <v>0</v>
      </c>
      <c r="J1716" s="1109" t="n">
        <f aca="false">'Смета Внутр'!I1716</f>
        <v>0</v>
      </c>
    </row>
    <row r="1717" customFormat="false" ht="15" hidden="true" customHeight="true" outlineLevel="0" collapsed="false">
      <c r="B1717" s="1104" t="n">
        <f aca="false">'Смета Внутр'!B1717</f>
        <v>0</v>
      </c>
      <c r="C1717" s="1104" t="str">
        <f aca="false">'Смета Внутр'!C1717</f>
        <v>м2</v>
      </c>
      <c r="D1717" s="1109" t="n">
        <f aca="false">'Смета Внутр'!D1717</f>
        <v>0</v>
      </c>
      <c r="E1717" s="1104" t="n">
        <f aca="false">'Смета Внутр'!E1717</f>
        <v>0</v>
      </c>
      <c r="F1717" s="1104" t="n">
        <f aca="false">'Смета Внутр'!F1717</f>
        <v>0</v>
      </c>
      <c r="G1717" s="1104" t="n">
        <f aca="false">IF(E1717&gt;F1717,E1717,F1717)</f>
        <v>0</v>
      </c>
      <c r="H1717" s="1104" t="n">
        <f aca="false">'Смета Внутр'!G1717</f>
        <v>0</v>
      </c>
      <c r="I1717" s="1104" t="n">
        <f aca="false">'Смета Внутр'!H1717</f>
        <v>0</v>
      </c>
      <c r="J1717" s="1109" t="n">
        <f aca="false">'Смета Внутр'!I1717</f>
        <v>0</v>
      </c>
    </row>
    <row r="1718" customFormat="false" ht="15" hidden="true" customHeight="true" outlineLevel="0" collapsed="false">
      <c r="B1718" s="1104" t="str">
        <f aca="false">'Смета Внутр'!B1718</f>
        <v>клей для камня </v>
      </c>
      <c r="C1718" s="1104" t="str">
        <f aca="false">'Смета Внутр'!C1718</f>
        <v>меш</v>
      </c>
      <c r="D1718" s="1109" t="n">
        <f aca="false">'Смета Внутр'!D1718</f>
        <v>0</v>
      </c>
      <c r="E1718" s="1104" t="n">
        <f aca="false">'Смета Внутр'!E1718</f>
        <v>250</v>
      </c>
      <c r="F1718" s="1104" t="n">
        <f aca="false">'Смета Внутр'!F1718</f>
        <v>0</v>
      </c>
      <c r="G1718" s="1104" t="n">
        <f aca="false">IF(E1718&gt;F1718,E1718,F1718)</f>
        <v>250</v>
      </c>
      <c r="H1718" s="1104" t="n">
        <f aca="false">'Смета Внутр'!G1718</f>
        <v>0</v>
      </c>
      <c r="I1718" s="1104" t="n">
        <f aca="false">'Смета Внутр'!H1718</f>
        <v>0</v>
      </c>
      <c r="J1718" s="1109" t="n">
        <f aca="false">'Смета Внутр'!I1718</f>
        <v>0</v>
      </c>
    </row>
    <row r="1719" customFormat="false" ht="15" hidden="true" customHeight="true" outlineLevel="0" collapsed="false">
      <c r="B1719" s="1104" t="str">
        <f aca="false">'Смета Внутр'!B1719</f>
        <v>Нет грунтовки</v>
      </c>
      <c r="C1719" s="1104" t="str">
        <f aca="false">'Смета Внутр'!C1719</f>
        <v>л</v>
      </c>
      <c r="D1719" s="1109" t="n">
        <f aca="false">'Смета Внутр'!D1719</f>
        <v>0</v>
      </c>
      <c r="E1719" s="1104" t="n">
        <f aca="false">'Смета Внутр'!E1719</f>
        <v>0</v>
      </c>
      <c r="F1719" s="1104" t="n">
        <f aca="false">'Смета Внутр'!F1719</f>
        <v>0</v>
      </c>
      <c r="G1719" s="1104" t="n">
        <f aca="false">IF(E1719&gt;F1719,E1719,F1719)</f>
        <v>0</v>
      </c>
      <c r="H1719" s="1104" t="n">
        <f aca="false">'Смета Внутр'!G1719</f>
        <v>0</v>
      </c>
      <c r="I1719" s="1104" t="n">
        <f aca="false">'Смета Внутр'!H1719</f>
        <v>0</v>
      </c>
      <c r="J1719" s="1109" t="n">
        <f aca="false">'Смета Внутр'!I1719</f>
        <v>0</v>
      </c>
    </row>
    <row r="1720" customFormat="false" ht="15" hidden="true" customHeight="true" outlineLevel="0" collapsed="false">
      <c r="B1720" s="1104" t="str">
        <f aca="false">'Смета Внутр'!B1720</f>
        <v>Нет пропитки</v>
      </c>
      <c r="C1720" s="1104" t="str">
        <f aca="false">'Смета Внутр'!C1720</f>
        <v>л</v>
      </c>
      <c r="D1720" s="1109" t="n">
        <f aca="false">'Смета Внутр'!D1720</f>
        <v>0</v>
      </c>
      <c r="E1720" s="1104" t="n">
        <f aca="false">'Смета Внутр'!E1720</f>
        <v>0</v>
      </c>
      <c r="F1720" s="1104" t="n">
        <f aca="false">'Смета Внутр'!F1720</f>
        <v>0</v>
      </c>
      <c r="G1720" s="1104" t="n">
        <f aca="false">IF(E1720&gt;F1720,E1720,F1720)</f>
        <v>0</v>
      </c>
      <c r="H1720" s="1104" t="n">
        <f aca="false">'Смета Внутр'!G1720</f>
        <v>0</v>
      </c>
      <c r="I1720" s="1104" t="n">
        <f aca="false">'Смета Внутр'!H1720</f>
        <v>0</v>
      </c>
      <c r="J1720" s="1109" t="n">
        <f aca="false">'Смета Внутр'!I1720</f>
        <v>0</v>
      </c>
    </row>
    <row r="1721" customFormat="false" ht="15" hidden="true" customHeight="true" outlineLevel="0" collapsed="false">
      <c r="B1721" s="1104" t="str">
        <f aca="false">'Смета Внутр'!B1721</f>
        <v>Нет лака</v>
      </c>
      <c r="C1721" s="1104" t="str">
        <f aca="false">'Смета Внутр'!C1721</f>
        <v>л</v>
      </c>
      <c r="D1721" s="1109" t="n">
        <f aca="false">'Смета Внутр'!D1721</f>
        <v>0</v>
      </c>
      <c r="E1721" s="1104" t="n">
        <f aca="false">'Смета Внутр'!E1721</f>
        <v>0</v>
      </c>
      <c r="F1721" s="1104" t="n">
        <f aca="false">'Смета Внутр'!F1721</f>
        <v>0</v>
      </c>
      <c r="G1721" s="1104" t="n">
        <f aca="false">IF(E1721&gt;F1721,E1721,F1721)</f>
        <v>0</v>
      </c>
      <c r="H1721" s="1104" t="n">
        <f aca="false">'Смета Внутр'!G1721</f>
        <v>0</v>
      </c>
      <c r="I1721" s="1104" t="n">
        <f aca="false">'Смета Внутр'!H1721</f>
        <v>0</v>
      </c>
      <c r="J1721" s="1109" t="n">
        <f aca="false">'Смета Внутр'!I1721</f>
        <v>0</v>
      </c>
    </row>
    <row r="1722" customFormat="false" ht="15" hidden="true" customHeight="true" outlineLevel="0" collapsed="false">
      <c r="B1722" s="1104" t="str">
        <f aca="false">'Смета Внутр'!B1722</f>
        <v>Нет</v>
      </c>
      <c r="C1722" s="1104" t="str">
        <f aca="false">'Смета Внутр'!C1722</f>
        <v>м3</v>
      </c>
      <c r="D1722" s="1109" t="n">
        <f aca="false">'Смета Внутр'!D1722</f>
        <v>0</v>
      </c>
      <c r="E1722" s="1104" t="n">
        <f aca="false">'Смета Внутр'!E1722</f>
        <v>0</v>
      </c>
      <c r="F1722" s="1104" t="n">
        <f aca="false">'Смета Внутр'!F1722</f>
        <v>0</v>
      </c>
      <c r="G1722" s="1104" t="n">
        <f aca="false">IF(E1722&gt;F1722,E1722,F1722)</f>
        <v>0</v>
      </c>
      <c r="H1722" s="1104" t="n">
        <f aca="false">'Смета Внутр'!G1722</f>
        <v>0</v>
      </c>
      <c r="I1722" s="1104" t="n">
        <f aca="false">'Смета Внутр'!H1722</f>
        <v>0</v>
      </c>
      <c r="J1722" s="1109" t="n">
        <f aca="false">'Смета Внутр'!I1722</f>
        <v>0</v>
      </c>
    </row>
    <row r="1723" customFormat="false" ht="15" hidden="true" customHeight="true" outlineLevel="0" collapsed="false">
      <c r="B1723" s="1104" t="str">
        <f aca="false">'Смета Внутр'!B1723</f>
        <v>Декоративная штукатурка кароед 2 мм</v>
      </c>
      <c r="C1723" s="1104" t="str">
        <f aca="false">'Смета Внутр'!C1723</f>
        <v>меш</v>
      </c>
      <c r="D1723" s="1109" t="n">
        <f aca="false">'Смета Внутр'!D1723</f>
        <v>23</v>
      </c>
      <c r="E1723" s="1104" t="n">
        <f aca="false">'Смета Внутр'!E1723</f>
        <v>470</v>
      </c>
      <c r="F1723" s="1104" t="n">
        <f aca="false">'Смета Внутр'!F1723</f>
        <v>0</v>
      </c>
      <c r="G1723" s="1104" t="n">
        <f aca="false">IF(E1723&gt;F1723,E1723,F1723)</f>
        <v>470</v>
      </c>
      <c r="H1723" s="1104" t="n">
        <f aca="false">'Смета Внутр'!G1723</f>
        <v>10810</v>
      </c>
      <c r="I1723" s="1104" t="n">
        <f aca="false">'Смета Внутр'!H1723</f>
        <v>10810</v>
      </c>
      <c r="J1723" s="1109" t="n">
        <f aca="false">'Смета Внутр'!I1723</f>
        <v>10810</v>
      </c>
    </row>
    <row r="1724" customFormat="false" ht="15" hidden="true" customHeight="true" outlineLevel="0" collapsed="false">
      <c r="B1724" s="1104" t="str">
        <f aca="false">'Смета Внутр'!B1724</f>
        <v>Сетка штукатурная ПВС 40 Оцинкованная рулон</v>
      </c>
      <c r="C1724" s="1104" t="str">
        <f aca="false">'Смета Внутр'!C1724</f>
        <v>м2</v>
      </c>
      <c r="D1724" s="1109" t="n">
        <f aca="false">'Смета Внутр'!D1724</f>
        <v>226.759</v>
      </c>
      <c r="E1724" s="1104" t="n">
        <f aca="false">'Смета Внутр'!E1724</f>
        <v>15</v>
      </c>
      <c r="F1724" s="1104" t="n">
        <f aca="false">'Смета Внутр'!F1724</f>
        <v>0</v>
      </c>
      <c r="G1724" s="1104" t="n">
        <f aca="false">IF(E1724&gt;F1724,E1724,F1724)</f>
        <v>15</v>
      </c>
      <c r="H1724" s="1104" t="n">
        <f aca="false">'Смета Внутр'!G1724</f>
        <v>3401.385</v>
      </c>
      <c r="I1724" s="1104" t="n">
        <f aca="false">'Смета Внутр'!H1724</f>
        <v>3401.385</v>
      </c>
      <c r="J1724" s="1109" t="n">
        <f aca="false">'Смета Внутр'!I1724</f>
        <v>3401.385</v>
      </c>
    </row>
    <row r="1725" customFormat="false" ht="15" hidden="true" customHeight="true" outlineLevel="0" collapsed="false">
      <c r="B1725" s="1104" t="str">
        <f aca="false">'Смета Внутр'!B1725</f>
        <v>Штукатурка для наружних работ</v>
      </c>
      <c r="C1725" s="1104" t="str">
        <f aca="false">'Смета Внутр'!C1725</f>
        <v>м2</v>
      </c>
      <c r="D1725" s="1109" t="n">
        <f aca="false">'Смета Внутр'!D1725</f>
        <v>23</v>
      </c>
      <c r="E1725" s="1104" t="n">
        <f aca="false">'Смета Внутр'!E1725</f>
        <v>390</v>
      </c>
      <c r="F1725" s="1104" t="n">
        <f aca="false">'Смета Внутр'!F1725</f>
        <v>0</v>
      </c>
      <c r="G1725" s="1104" t="n">
        <f aca="false">IF(E1725&gt;F1725,E1725,F1725)</f>
        <v>390</v>
      </c>
      <c r="H1725" s="1104" t="n">
        <f aca="false">'Смета Внутр'!G1725</f>
        <v>8970</v>
      </c>
      <c r="I1725" s="1104" t="n">
        <f aca="false">'Смета Внутр'!H1725</f>
        <v>8970</v>
      </c>
      <c r="J1725" s="1109" t="n">
        <f aca="false">'Смета Внутр'!I1725</f>
        <v>8970</v>
      </c>
    </row>
    <row r="1726" customFormat="false" ht="15" hidden="true" customHeight="true" outlineLevel="0" collapsed="false">
      <c r="B1726" s="1105" t="str">
        <f aca="false">'Смета Внутр'!B1726</f>
        <v>цоколь</v>
      </c>
      <c r="C1726" s="1105"/>
      <c r="D1726" s="1105"/>
      <c r="E1726" s="1105"/>
      <c r="F1726" s="1105"/>
      <c r="G1726" s="1105"/>
      <c r="H1726" s="1104" t="n">
        <f aca="false">'Смета Внутр'!G1726</f>
        <v>0</v>
      </c>
      <c r="I1726" s="1104" t="n">
        <f aca="false">'Смета Внутр'!H1726</f>
        <v>0</v>
      </c>
      <c r="J1726" s="1107" t="n">
        <f aca="false">'Смета Внутр'!I1726</f>
        <v>0</v>
      </c>
    </row>
    <row r="1727" customFormat="false" ht="15" hidden="true" customHeight="true" outlineLevel="0" collapsed="false">
      <c r="B1727" s="1104" t="str">
        <f aca="false">'Смета Внутр'!B1727</f>
        <v>отлив металлический</v>
      </c>
      <c r="C1727" s="1104" t="str">
        <f aca="false">'Смета Внутр'!C1727</f>
        <v>м.п.</v>
      </c>
      <c r="D1727" s="1109" t="n">
        <f aca="false">'Смета Внутр'!D1727</f>
        <v>0</v>
      </c>
      <c r="E1727" s="1104" t="n">
        <f aca="false">'Смета Внутр'!E1727</f>
        <v>100</v>
      </c>
      <c r="F1727" s="1104" t="n">
        <f aca="false">'Смета Внутр'!F1727</f>
        <v>0</v>
      </c>
      <c r="G1727" s="1104" t="n">
        <f aca="false">IF(E1727&gt;F1727,E1727,F1727)</f>
        <v>100</v>
      </c>
      <c r="H1727" s="1104" t="n">
        <f aca="false">'Смета Внутр'!G1727</f>
        <v>0</v>
      </c>
      <c r="I1727" s="1104" t="n">
        <f aca="false">'Смета Внутр'!H1727</f>
        <v>0</v>
      </c>
      <c r="J1727" s="1109" t="n">
        <f aca="false">'Смета Внутр'!I1727</f>
        <v>0</v>
      </c>
    </row>
    <row r="1728" customFormat="false" ht="15" hidden="true" customHeight="true" outlineLevel="0" collapsed="false">
      <c r="B1728" s="1104" t="str">
        <f aca="false">'Смета Внутр'!B1728</f>
        <v>сайдинг металлический</v>
      </c>
      <c r="C1728" s="1104" t="str">
        <f aca="false">'Смета Внутр'!C1728</f>
        <v>м2</v>
      </c>
      <c r="D1728" s="1109" t="n">
        <f aca="false">'Смета Внутр'!D1728</f>
        <v>0</v>
      </c>
      <c r="E1728" s="1104" t="n">
        <f aca="false">'Смета Внутр'!E1728</f>
        <v>550</v>
      </c>
      <c r="F1728" s="1104" t="n">
        <f aca="false">'Смета Внутр'!F1728</f>
        <v>0</v>
      </c>
      <c r="G1728" s="1104" t="n">
        <f aca="false">IF(E1728&gt;F1728,E1728,F1728)</f>
        <v>550</v>
      </c>
      <c r="H1728" s="1104" t="n">
        <f aca="false">'Смета Внутр'!G1728</f>
        <v>0</v>
      </c>
      <c r="I1728" s="1104" t="n">
        <f aca="false">'Смета Внутр'!H1728</f>
        <v>0</v>
      </c>
      <c r="J1728" s="1109" t="n">
        <f aca="false">'Смета Внутр'!I1728</f>
        <v>0</v>
      </c>
    </row>
    <row r="1729" customFormat="false" ht="15" hidden="true" customHeight="true" outlineLevel="0" collapsed="false">
      <c r="B1729" s="1104" t="str">
        <f aca="false">'Смета Внутр'!B1729</f>
        <v>камень природный</v>
      </c>
      <c r="C1729" s="1104" t="str">
        <f aca="false">'Смета Внутр'!C1729</f>
        <v>м2</v>
      </c>
      <c r="D1729" s="1109" t="n">
        <f aca="false">'Смета Внутр'!D1729</f>
        <v>0</v>
      </c>
      <c r="E1729" s="1104" t="n">
        <f aca="false">'Смета Внутр'!E1729</f>
        <v>600</v>
      </c>
      <c r="F1729" s="1104" t="n">
        <f aca="false">'Смета Внутр'!F1729</f>
        <v>0</v>
      </c>
      <c r="G1729" s="1104" t="n">
        <f aca="false">IF(E1729&gt;F1729,E1729,F1729)</f>
        <v>600</v>
      </c>
      <c r="H1729" s="1104" t="n">
        <f aca="false">'Смета Внутр'!G1729</f>
        <v>0</v>
      </c>
      <c r="I1729" s="1104" t="n">
        <f aca="false">'Смета Внутр'!H1729</f>
        <v>0</v>
      </c>
      <c r="J1729" s="1109" t="n">
        <f aca="false">'Смета Внутр'!I1729</f>
        <v>0</v>
      </c>
    </row>
    <row r="1730" customFormat="false" ht="15" hidden="true" customHeight="true" outlineLevel="0" collapsed="false">
      <c r="B1730" s="1104" t="str">
        <f aca="false">'Смета Внутр'!B1730</f>
        <v>камень искуственный</v>
      </c>
      <c r="C1730" s="1104" t="str">
        <f aca="false">'Смета Внутр'!C1730</f>
        <v>м2</v>
      </c>
      <c r="D1730" s="1109" t="n">
        <f aca="false">'Смета Внутр'!D1730</f>
        <v>0</v>
      </c>
      <c r="E1730" s="1104" t="n">
        <f aca="false">'Смета Внутр'!E1730</f>
        <v>1000</v>
      </c>
      <c r="F1730" s="1104" t="n">
        <f aca="false">'Смета Внутр'!F1730</f>
        <v>0</v>
      </c>
      <c r="G1730" s="1104" t="n">
        <f aca="false">IF(E1730&gt;F1730,E1730,F1730)</f>
        <v>1000</v>
      </c>
      <c r="H1730" s="1104" t="n">
        <f aca="false">'Смета Внутр'!G1730</f>
        <v>0</v>
      </c>
      <c r="I1730" s="1104" t="n">
        <f aca="false">'Смета Внутр'!H1730</f>
        <v>0</v>
      </c>
      <c r="J1730" s="1109" t="n">
        <f aca="false">'Смета Внутр'!I1730</f>
        <v>0</v>
      </c>
    </row>
    <row r="1731" customFormat="false" ht="15" hidden="true" customHeight="true" outlineLevel="0" collapsed="false">
      <c r="B1731" s="1104" t="str">
        <f aca="false">'Смета Внутр'!B1731</f>
        <v>клей для камня </v>
      </c>
      <c r="C1731" s="1104" t="str">
        <f aca="false">'Смета Внутр'!C1731</f>
        <v>меш</v>
      </c>
      <c r="D1731" s="1109" t="n">
        <f aca="false">'Смета Внутр'!D1731</f>
        <v>0</v>
      </c>
      <c r="E1731" s="1104" t="n">
        <f aca="false">'Смета Внутр'!E1731</f>
        <v>250</v>
      </c>
      <c r="F1731" s="1104" t="n">
        <f aca="false">'Смета Внутр'!F1731</f>
        <v>0</v>
      </c>
      <c r="G1731" s="1104" t="n">
        <f aca="false">IF(E1731&gt;F1731,E1731,F1731)</f>
        <v>250</v>
      </c>
      <c r="H1731" s="1104" t="n">
        <f aca="false">'Смета Внутр'!G1731</f>
        <v>0</v>
      </c>
      <c r="I1731" s="1104" t="n">
        <f aca="false">'Смета Внутр'!H1731</f>
        <v>0</v>
      </c>
      <c r="J1731" s="1109" t="n">
        <f aca="false">'Смета Внутр'!I1731</f>
        <v>0</v>
      </c>
    </row>
    <row r="1732" customFormat="false" ht="15" hidden="true" customHeight="true" outlineLevel="0" collapsed="false">
      <c r="B1732" s="1104" t="str">
        <f aca="false">'Смета Внутр'!B1732</f>
        <v>Нет грунтовки</v>
      </c>
      <c r="C1732" s="1104" t="str">
        <f aca="false">'Смета Внутр'!C1732</f>
        <v>л</v>
      </c>
      <c r="D1732" s="1109" t="n">
        <f aca="false">'Смета Внутр'!D1732</f>
        <v>0</v>
      </c>
      <c r="E1732" s="1104" t="n">
        <f aca="false">'Смета Внутр'!E1732</f>
        <v>0</v>
      </c>
      <c r="F1732" s="1104" t="n">
        <f aca="false">'Смета Внутр'!F1732</f>
        <v>0</v>
      </c>
      <c r="G1732" s="1104" t="n">
        <f aca="false">IF(E1732&gt;F1732,E1732,F1732)</f>
        <v>0</v>
      </c>
      <c r="H1732" s="1104" t="n">
        <f aca="false">'Смета Внутр'!G1732</f>
        <v>0</v>
      </c>
      <c r="I1732" s="1104" t="n">
        <f aca="false">'Смета Внутр'!H1732</f>
        <v>0</v>
      </c>
      <c r="J1732" s="1109" t="n">
        <f aca="false">'Смета Внутр'!I1732</f>
        <v>0</v>
      </c>
    </row>
    <row r="1733" customFormat="false" ht="15" hidden="true" customHeight="true" outlineLevel="0" collapsed="false">
      <c r="B1733" s="1104" t="str">
        <f aca="false">'Смета Внутр'!B1733</f>
        <v>нет</v>
      </c>
      <c r="C1733" s="1104" t="str">
        <f aca="false">'Смета Внутр'!C1733</f>
        <v>м.п.</v>
      </c>
      <c r="D1733" s="1109" t="n">
        <f aca="false">'Смета Внутр'!D1733</f>
        <v>38.88</v>
      </c>
      <c r="E1733" s="1104" t="n">
        <f aca="false">'Смета Внутр'!E1733</f>
        <v>0</v>
      </c>
      <c r="F1733" s="1104" t="n">
        <f aca="false">'Смета Внутр'!F1733</f>
        <v>0</v>
      </c>
      <c r="G1733" s="1104" t="n">
        <f aca="false">IF(E1733&gt;F1733,E1733,F1733)</f>
        <v>0</v>
      </c>
      <c r="H1733" s="1104" t="n">
        <f aca="false">'Смета Внутр'!G1733</f>
        <v>0</v>
      </c>
      <c r="I1733" s="1104" t="n">
        <f aca="false">'Смета Внутр'!H1733</f>
        <v>0</v>
      </c>
      <c r="J1733" s="1109" t="n">
        <f aca="false">'Смета Внутр'!I1733</f>
        <v>0</v>
      </c>
    </row>
    <row r="1734" customFormat="false" ht="15" hidden="true" customHeight="true" outlineLevel="0" collapsed="false">
      <c r="B1734" s="1104" t="str">
        <f aca="false">'Смета Внутр'!B1734</f>
        <v>Фасадный кронштейн КК 120</v>
      </c>
      <c r="C1734" s="1104" t="str">
        <f aca="false">'Смета Внутр'!C1734</f>
        <v>шт</v>
      </c>
      <c r="D1734" s="1109" t="n">
        <f aca="false">'Смета Внутр'!D1734</f>
        <v>0</v>
      </c>
      <c r="E1734" s="1104" t="n">
        <f aca="false">'Смета Внутр'!E1734</f>
        <v>19</v>
      </c>
      <c r="F1734" s="1104" t="n">
        <f aca="false">'Смета Внутр'!F1734</f>
        <v>0</v>
      </c>
      <c r="G1734" s="1104" t="n">
        <f aca="false">IF(E1734&gt;F1734,E1734,F1734)</f>
        <v>19</v>
      </c>
      <c r="H1734" s="1104" t="n">
        <f aca="false">'Смета Внутр'!G1734</f>
        <v>0</v>
      </c>
      <c r="I1734" s="1104" t="n">
        <f aca="false">'Смета Внутр'!H1734</f>
        <v>0</v>
      </c>
      <c r="J1734" s="1109" t="n">
        <f aca="false">'Смета Внутр'!I1734</f>
        <v>0</v>
      </c>
    </row>
    <row r="1735" customFormat="false" ht="15" hidden="true" customHeight="true" outlineLevel="0" collapsed="false">
      <c r="B1735" s="1104" t="str">
        <f aca="false">'Смета Внутр'!B1735</f>
        <v>Болты анкерные с гайкой 10,0 х 97           </v>
      </c>
      <c r="C1735" s="1104" t="str">
        <f aca="false">'Смета Внутр'!C1735</f>
        <v>шт</v>
      </c>
      <c r="D1735" s="1109" t="n">
        <f aca="false">'Смета Внутр'!D1735</f>
        <v>0</v>
      </c>
      <c r="E1735" s="1104" t="n">
        <f aca="false">'Смета Внутр'!E1735</f>
        <v>7.4</v>
      </c>
      <c r="F1735" s="1104" t="n">
        <f aca="false">'Смета Внутр'!F1735</f>
        <v>0</v>
      </c>
      <c r="G1735" s="1104" t="n">
        <f aca="false">IF(E1735&gt;F1735,E1735,F1735)</f>
        <v>7.4</v>
      </c>
      <c r="H1735" s="1104" t="n">
        <f aca="false">'Смета Внутр'!G1735</f>
        <v>0</v>
      </c>
      <c r="I1735" s="1104" t="n">
        <f aca="false">'Смета Внутр'!H1735</f>
        <v>0</v>
      </c>
      <c r="J1735" s="1109" t="n">
        <f aca="false">'Смета Внутр'!I1735</f>
        <v>0</v>
      </c>
    </row>
    <row r="1736" customFormat="false" ht="15" hidden="true" customHeight="true" outlineLevel="0" collapsed="false">
      <c r="B1736" s="1104" t="str">
        <f aca="false">'Смета Внутр'!B1736</f>
        <v>Саморезы 3,5 x 45            </v>
      </c>
      <c r="C1736" s="1104" t="str">
        <f aca="false">'Смета Внутр'!C1736</f>
        <v>шт</v>
      </c>
      <c r="D1736" s="1109" t="n">
        <f aca="false">'Смета Внутр'!D1736</f>
        <v>0</v>
      </c>
      <c r="E1736" s="1104" t="n">
        <f aca="false">'Смета Внутр'!E1736</f>
        <v>0.25</v>
      </c>
      <c r="F1736" s="1104" t="n">
        <f aca="false">'Смета Внутр'!F1736</f>
        <v>0</v>
      </c>
      <c r="G1736" s="1104" t="n">
        <f aca="false">IF(E1736&gt;F1736,E1736,F1736)</f>
        <v>0.25</v>
      </c>
      <c r="H1736" s="1104" t="n">
        <f aca="false">'Смета Внутр'!G1736</f>
        <v>0</v>
      </c>
      <c r="I1736" s="1104" t="n">
        <f aca="false">'Смета Внутр'!H1736</f>
        <v>0</v>
      </c>
      <c r="J1736" s="1109" t="n">
        <f aca="false">'Смета Внутр'!I1736</f>
        <v>0</v>
      </c>
    </row>
    <row r="1737" customFormat="false" ht="15" hidden="true" customHeight="true" outlineLevel="0" collapsed="false">
      <c r="B1737" s="1104" t="str">
        <f aca="false">'Смета Внутр'!B1737</f>
        <v>Плоский шифер 8 мм</v>
      </c>
      <c r="C1737" s="1104" t="str">
        <f aca="false">'Смета Внутр'!C1737</f>
        <v>м2</v>
      </c>
      <c r="D1737" s="1109" t="n">
        <f aca="false">'Смета Внутр'!D1737</f>
        <v>0</v>
      </c>
      <c r="E1737" s="1104" t="n">
        <f aca="false">'Смета Внутр'!E1737</f>
        <v>85</v>
      </c>
      <c r="F1737" s="1104" t="n">
        <f aca="false">'Смета Внутр'!F1737</f>
        <v>0</v>
      </c>
      <c r="G1737" s="1104" t="n">
        <f aca="false">IF(E1737&gt;F1737,E1737,F1737)</f>
        <v>85</v>
      </c>
      <c r="H1737" s="1104" t="n">
        <f aca="false">'Смета Внутр'!G1737</f>
        <v>0</v>
      </c>
      <c r="I1737" s="1104" t="n">
        <f aca="false">'Смета Внутр'!H1737</f>
        <v>0</v>
      </c>
      <c r="J1737" s="1109" t="n">
        <f aca="false">'Смета Внутр'!I1737</f>
        <v>0</v>
      </c>
    </row>
    <row r="1738" customFormat="false" ht="15" hidden="true" customHeight="true" outlineLevel="0" collapsed="false">
      <c r="B1738" s="1104" t="str">
        <f aca="false">'Смета Внутр'!B1738</f>
        <v>кровля, подшивка свесов</v>
      </c>
      <c r="C1738" s="1104"/>
      <c r="D1738" s="1109"/>
      <c r="E1738" s="1104"/>
      <c r="F1738" s="1104"/>
      <c r="G1738" s="1104"/>
      <c r="H1738" s="1104" t="n">
        <f aca="false">'Смета Внутр'!G1738</f>
        <v>0</v>
      </c>
      <c r="I1738" s="1104" t="n">
        <f aca="false">'Смета Внутр'!H1738</f>
        <v>0</v>
      </c>
      <c r="J1738" s="1109" t="n">
        <f aca="false">'Смета Внутр'!I1738</f>
        <v>0</v>
      </c>
    </row>
    <row r="1739" customFormat="false" ht="15" hidden="true" customHeight="true" outlineLevel="0" collapsed="false">
      <c r="B1739" s="1104" t="str">
        <f aca="false">'Смета Внутр'!B1739</f>
        <v>планкен</v>
      </c>
      <c r="C1739" s="1104" t="str">
        <f aca="false">'Смета Внутр'!C1739</f>
        <v>м2</v>
      </c>
      <c r="D1739" s="1109" t="n">
        <f aca="false">'Смета Внутр'!D1739</f>
        <v>0</v>
      </c>
      <c r="E1739" s="1104" t="n">
        <f aca="false">'Смета Внутр'!E1739</f>
        <v>0</v>
      </c>
      <c r="F1739" s="1104" t="n">
        <f aca="false">'Смета Внутр'!F1739</f>
        <v>0</v>
      </c>
      <c r="G1739" s="1104" t="n">
        <f aca="false">IF(E1739&gt;F1739,E1739,F1739)</f>
        <v>0</v>
      </c>
      <c r="H1739" s="1104" t="n">
        <f aca="false">'Смета Внутр'!G1739</f>
        <v>0</v>
      </c>
      <c r="I1739" s="1104" t="n">
        <f aca="false">'Смета Внутр'!H1739</f>
        <v>0</v>
      </c>
      <c r="J1739" s="1109" t="n">
        <f aca="false">'Смета Внутр'!I1739</f>
        <v>0</v>
      </c>
    </row>
    <row r="1740" customFormat="false" ht="15" hidden="true" customHeight="true" outlineLevel="0" collapsed="false">
      <c r="B1740" s="1104" t="str">
        <f aca="false">'Смета Внутр'!B1740</f>
        <v>Доска сухая, калибр., 35*45мм</v>
      </c>
      <c r="C1740" s="1104" t="str">
        <f aca="false">'Смета Внутр'!C1740</f>
        <v>м.п.</v>
      </c>
      <c r="D1740" s="1109" t="n">
        <f aca="false">'Смета Внутр'!D1740</f>
        <v>0</v>
      </c>
      <c r="E1740" s="1104" t="n">
        <f aca="false">'Смета Внутр'!E1740</f>
        <v>19.6875</v>
      </c>
      <c r="F1740" s="1104" t="n">
        <f aca="false">'Смета Внутр'!F1740</f>
        <v>0</v>
      </c>
      <c r="G1740" s="1104" t="n">
        <f aca="false">IF(E1740&gt;F1740,E1740,F1740)</f>
        <v>19.6875</v>
      </c>
      <c r="H1740" s="1104" t="n">
        <f aca="false">'Смета Внутр'!G1740</f>
        <v>0</v>
      </c>
      <c r="I1740" s="1104" t="n">
        <f aca="false">'Смета Внутр'!H1740</f>
        <v>0</v>
      </c>
      <c r="J1740" s="1109" t="n">
        <f aca="false">'Смета Внутр'!I1740</f>
        <v>0</v>
      </c>
    </row>
    <row r="1741" customFormat="false" ht="15" hidden="true" customHeight="true" outlineLevel="0" collapsed="false">
      <c r="B1741" s="1104" t="str">
        <f aca="false">'Смета Внутр'!B1741</f>
        <v>сайдинг</v>
      </c>
      <c r="C1741" s="1104" t="str">
        <f aca="false">'Смета Внутр'!C1741</f>
        <v>м2</v>
      </c>
      <c r="D1741" s="1109" t="n">
        <f aca="false">'Смета Внутр'!D1741</f>
        <v>0</v>
      </c>
      <c r="E1741" s="1104" t="n">
        <f aca="false">'Смета Внутр'!E1741</f>
        <v>350</v>
      </c>
      <c r="F1741" s="1104" t="n">
        <f aca="false">'Смета Внутр'!F1741</f>
        <v>0</v>
      </c>
      <c r="G1741" s="1104" t="n">
        <f aca="false">IF(E1741&gt;F1741,E1741,F1741)</f>
        <v>350</v>
      </c>
      <c r="H1741" s="1104" t="n">
        <f aca="false">'Смета Внутр'!G1741</f>
        <v>0</v>
      </c>
      <c r="I1741" s="1104" t="n">
        <f aca="false">'Смета Внутр'!H1741</f>
        <v>0</v>
      </c>
      <c r="J1741" s="1109" t="n">
        <f aca="false">'Смета Внутр'!I1741</f>
        <v>0</v>
      </c>
    </row>
    <row r="1742" customFormat="false" ht="15" hidden="true" customHeight="true" outlineLevel="0" collapsed="false">
      <c r="B1742" s="1104" t="str">
        <f aca="false">'Смета Внутр'!B1742</f>
        <v>торцевая планка винил</v>
      </c>
      <c r="C1742" s="1104" t="str">
        <f aca="false">'Смета Внутр'!C1742</f>
        <v>м.п.</v>
      </c>
      <c r="D1742" s="1109" t="n">
        <f aca="false">'Смета Внутр'!D1742</f>
        <v>0</v>
      </c>
      <c r="E1742" s="1104" t="n">
        <f aca="false">'Смета Внутр'!E1742</f>
        <v>60</v>
      </c>
      <c r="F1742" s="1104" t="n">
        <f aca="false">'Смета Внутр'!F1742</f>
        <v>0</v>
      </c>
      <c r="G1742" s="1104" t="n">
        <f aca="false">IF(E1742&gt;F1742,E1742,F1742)</f>
        <v>60</v>
      </c>
      <c r="H1742" s="1104" t="n">
        <f aca="false">'Смета Внутр'!G1742</f>
        <v>0</v>
      </c>
      <c r="I1742" s="1104" t="n">
        <f aca="false">'Смета Внутр'!H1742</f>
        <v>0</v>
      </c>
      <c r="J1742" s="1109" t="n">
        <f aca="false">'Смета Внутр'!I1742</f>
        <v>0</v>
      </c>
    </row>
    <row r="1743" customFormat="false" ht="15" hidden="true" customHeight="true" outlineLevel="0" collapsed="false">
      <c r="B1743" s="1104" t="str">
        <f aca="false">'Смета Внутр'!B1743</f>
        <v>стартовый профиль для сайдинга</v>
      </c>
      <c r="C1743" s="1104" t="str">
        <f aca="false">'Смета Внутр'!C1743</f>
        <v>м.п.</v>
      </c>
      <c r="D1743" s="1109" t="n">
        <f aca="false">'Смета Внутр'!D1743</f>
        <v>0</v>
      </c>
      <c r="E1743" s="1104" t="n">
        <f aca="false">'Смета Внутр'!E1743</f>
        <v>40</v>
      </c>
      <c r="F1743" s="1104" t="n">
        <f aca="false">'Смета Внутр'!F1743</f>
        <v>0</v>
      </c>
      <c r="G1743" s="1104" t="n">
        <f aca="false">IF(E1743&gt;F1743,E1743,F1743)</f>
        <v>40</v>
      </c>
      <c r="H1743" s="1104" t="n">
        <f aca="false">'Смета Внутр'!G1743</f>
        <v>0</v>
      </c>
      <c r="I1743" s="1104" t="n">
        <f aca="false">'Смета Внутр'!H1743</f>
        <v>0</v>
      </c>
      <c r="J1743" s="1109" t="n">
        <f aca="false">'Смета Внутр'!I1743</f>
        <v>0</v>
      </c>
    </row>
    <row r="1744" customFormat="false" ht="15" hidden="true" customHeight="true" outlineLevel="0" collapsed="false">
      <c r="B1744" s="1104" t="str">
        <f aca="false">'Смета Внутр'!B1744</f>
        <v>Саморезы 3,5 x 45            </v>
      </c>
      <c r="C1744" s="1104" t="str">
        <f aca="false">'Смета Внутр'!C1744</f>
        <v>шт</v>
      </c>
      <c r="D1744" s="1109" t="n">
        <f aca="false">'Смета Внутр'!D1744</f>
        <v>0</v>
      </c>
      <c r="E1744" s="1104" t="n">
        <f aca="false">'Смета Внутр'!E1744</f>
        <v>0.25</v>
      </c>
      <c r="F1744" s="1104" t="n">
        <f aca="false">'Смета Внутр'!F1744</f>
        <v>0</v>
      </c>
      <c r="G1744" s="1104" t="n">
        <f aca="false">IF(E1744&gt;F1744,E1744,F1744)</f>
        <v>0.25</v>
      </c>
      <c r="H1744" s="1104" t="n">
        <f aca="false">'Смета Внутр'!G1744</f>
        <v>0</v>
      </c>
      <c r="I1744" s="1104" t="n">
        <f aca="false">'Смета Внутр'!H1744</f>
        <v>0</v>
      </c>
      <c r="J1744" s="1109" t="n">
        <f aca="false">'Смета Внутр'!I1744</f>
        <v>0</v>
      </c>
    </row>
    <row r="1745" customFormat="false" ht="15" hidden="true" customHeight="true" outlineLevel="0" collapsed="false">
      <c r="B1745" s="1104" t="str">
        <f aca="false">'Смета Внутр'!B1745</f>
        <v>Саморезы 4,2 х 75            </v>
      </c>
      <c r="C1745" s="1104" t="str">
        <f aca="false">'Смета Внутр'!C1745</f>
        <v>шт</v>
      </c>
      <c r="D1745" s="1109" t="n">
        <f aca="false">'Смета Внутр'!D1745</f>
        <v>0</v>
      </c>
      <c r="E1745" s="1104" t="n">
        <f aca="false">'Смета Внутр'!E1745</f>
        <v>0.45</v>
      </c>
      <c r="F1745" s="1104" t="n">
        <f aca="false">'Смета Внутр'!F1745</f>
        <v>0</v>
      </c>
      <c r="G1745" s="1104" t="n">
        <f aca="false">IF(E1745&gt;F1745,E1745,F1745)</f>
        <v>0.45</v>
      </c>
      <c r="H1745" s="1104" t="n">
        <f aca="false">'Смета Внутр'!G1745</f>
        <v>0</v>
      </c>
      <c r="I1745" s="1104" t="n">
        <f aca="false">'Смета Внутр'!H1745</f>
        <v>0</v>
      </c>
      <c r="J1745" s="1109" t="n">
        <f aca="false">'Смета Внутр'!I1745</f>
        <v>0</v>
      </c>
    </row>
    <row r="1746" customFormat="false" ht="15" hidden="false" customHeight="false" outlineLevel="0" collapsed="false">
      <c r="B1746" s="1108" t="str">
        <f aca="false">'Смета Внутр'!B1746</f>
        <v>Итого материалы</v>
      </c>
      <c r="C1746" s="1108"/>
      <c r="D1746" s="1108"/>
      <c r="E1746" s="1108"/>
      <c r="F1746" s="1108"/>
      <c r="G1746" s="1108"/>
      <c r="H1746" s="1104" t="n">
        <f aca="false">'Смета Внутр'!G1746</f>
        <v>23181.385</v>
      </c>
      <c r="I1746" s="1104" t="n">
        <f aca="false">'Смета Внутр'!H1746</f>
        <v>23181.385</v>
      </c>
      <c r="J1746" s="1109" t="n">
        <f aca="false">'Смета Внутр'!I1746</f>
        <v>23181.385</v>
      </c>
    </row>
    <row r="1747" customFormat="false" ht="15" hidden="false" customHeight="true" outlineLevel="0" collapsed="false">
      <c r="B1747" s="118" t="str">
        <f aca="false">'Смета Внутр'!B1747</f>
        <v>Работы</v>
      </c>
      <c r="H1747" s="118" t="n">
        <f aca="false">'Смета Внутр'!G1747</f>
        <v>0</v>
      </c>
      <c r="I1747" s="118" t="n">
        <f aca="false">'Смета Внутр'!H1747</f>
        <v>1</v>
      </c>
      <c r="J1747" s="1102" t="n">
        <f aca="false">'Смета Внутр'!I1747</f>
        <v>1</v>
      </c>
    </row>
    <row r="1748" customFormat="false" ht="15" hidden="false" customHeight="true" outlineLevel="0" collapsed="false">
      <c r="B1748" s="1105" t="str">
        <f aca="false">'Смета Внутр'!B1748</f>
        <v>стены</v>
      </c>
      <c r="C1748" s="1105"/>
      <c r="D1748" s="1105"/>
      <c r="E1748" s="1105"/>
      <c r="F1748" s="1105"/>
      <c r="G1748" s="1105"/>
      <c r="H1748" s="1104" t="n">
        <f aca="false">'Смета Внутр'!G1748</f>
        <v>0</v>
      </c>
      <c r="I1748" s="1104" t="n">
        <f aca="false">'Смета Внутр'!H1748</f>
        <v>1</v>
      </c>
      <c r="J1748" s="1107" t="n">
        <f aca="false">'Смета Внутр'!I1748</f>
        <v>1</v>
      </c>
    </row>
    <row r="1749" customFormat="false" ht="15" hidden="true" customHeight="true" outlineLevel="0" collapsed="false">
      <c r="B1749" s="1104" t="str">
        <f aca="false">'Смета Внутр'!B1749</f>
        <v>кладка кирпича облицов</v>
      </c>
      <c r="C1749" s="1104" t="str">
        <f aca="false">'Смета Внутр'!C1749</f>
        <v>м2</v>
      </c>
      <c r="D1749" s="1109" t="n">
        <f aca="false">'Смета Внутр'!D1749</f>
        <v>0</v>
      </c>
      <c r="E1749" s="1104" t="n">
        <f aca="false">'Смета Внутр'!E1749</f>
        <v>500</v>
      </c>
      <c r="F1749" s="1104" t="n">
        <f aca="false">'Смета Внутр'!F1749</f>
        <v>0</v>
      </c>
      <c r="G1749" s="1104" t="n">
        <f aca="false">IF(E1749&gt;F1749,E1749,F1749)</f>
        <v>500</v>
      </c>
      <c r="H1749" s="1104" t="n">
        <f aca="false">'Смета Внутр'!G1749</f>
        <v>0</v>
      </c>
      <c r="I1749" s="1104" t="n">
        <f aca="false">'Смета Внутр'!H1749</f>
        <v>0</v>
      </c>
      <c r="J1749" s="1109" t="n">
        <f aca="false">'Смета Внутр'!I1749</f>
        <v>0</v>
      </c>
    </row>
    <row r="1750" customFormat="false" ht="15" hidden="true" customHeight="true" outlineLevel="0" collapsed="false">
      <c r="B1750" s="1104" t="str">
        <f aca="false">'Смета Внутр'!B1750</f>
        <v>монтаж подсистемы</v>
      </c>
      <c r="C1750" s="1104" t="str">
        <f aca="false">'Смета Внутр'!C1750</f>
        <v>м2</v>
      </c>
      <c r="D1750" s="1109" t="n">
        <f aca="false">'Смета Внутр'!D1750</f>
        <v>0</v>
      </c>
      <c r="E1750" s="1104" t="n">
        <f aca="false">'Смета Внутр'!E1750</f>
        <v>200</v>
      </c>
      <c r="F1750" s="1104" t="n">
        <f aca="false">'Смета Внутр'!F1750</f>
        <v>0</v>
      </c>
      <c r="G1750" s="1104" t="n">
        <f aca="false">IF(E1750&gt;F1750,E1750,F1750)</f>
        <v>200</v>
      </c>
      <c r="H1750" s="1104" t="n">
        <f aca="false">'Смета Внутр'!G1750</f>
        <v>0</v>
      </c>
      <c r="I1750" s="1104" t="n">
        <f aca="false">'Смета Внутр'!H1750</f>
        <v>0</v>
      </c>
      <c r="J1750" s="1109" t="n">
        <f aca="false">'Смета Внутр'!I1750</f>
        <v>0</v>
      </c>
    </row>
    <row r="1751" customFormat="false" ht="15" hidden="true" customHeight="true" outlineLevel="0" collapsed="false">
      <c r="B1751" s="1104" t="str">
        <f aca="false">'Смета Внутр'!B1751</f>
        <v>сайдинг виниловый</v>
      </c>
      <c r="C1751" s="1104" t="str">
        <f aca="false">'Смета Внутр'!C1751</f>
        <v>м2</v>
      </c>
      <c r="D1751" s="1109" t="n">
        <f aca="false">'Смета Внутр'!D1751</f>
        <v>0</v>
      </c>
      <c r="E1751" s="1104" t="n">
        <f aca="false">'Смета Внутр'!E1751</f>
        <v>300</v>
      </c>
      <c r="F1751" s="1104" t="n">
        <f aca="false">'Смета Внутр'!F1751</f>
        <v>0</v>
      </c>
      <c r="G1751" s="1104" t="n">
        <f aca="false">IF(E1751&gt;F1751,E1751,F1751)</f>
        <v>300</v>
      </c>
      <c r="H1751" s="1104" t="n">
        <f aca="false">'Смета Внутр'!G1751</f>
        <v>0</v>
      </c>
      <c r="I1751" s="1104" t="n">
        <f aca="false">'Смета Внутр'!H1751</f>
        <v>0</v>
      </c>
      <c r="J1751" s="1109" t="n">
        <f aca="false">'Смета Внутр'!I1751</f>
        <v>0</v>
      </c>
    </row>
    <row r="1752" customFormat="false" ht="15" hidden="false" customHeight="true" outlineLevel="0" collapsed="false">
      <c r="B1752" s="1104" t="str">
        <f aca="false">'Смета Внутр'!B1752</f>
        <v>сайдинг металл</v>
      </c>
      <c r="C1752" s="1104" t="str">
        <f aca="false">'Смета Внутр'!C1752</f>
        <v>м2</v>
      </c>
      <c r="D1752" s="1109" t="n">
        <f aca="false">'Смета Внутр'!D1752</f>
        <v>0</v>
      </c>
      <c r="E1752" s="1104" t="n">
        <f aca="false">'Смета Внутр'!E1752</f>
        <v>350</v>
      </c>
      <c r="F1752" s="1104" t="n">
        <f aca="false">'Смета Внутр'!F1752</f>
        <v>0</v>
      </c>
      <c r="G1752" s="1104" t="n">
        <f aca="false">IF(E1752&gt;F1752,E1752,F1752)</f>
        <v>350</v>
      </c>
      <c r="H1752" s="1104" t="n">
        <f aca="false">'Смета Внутр'!G1752</f>
        <v>0</v>
      </c>
      <c r="I1752" s="1104" t="n">
        <f aca="false">'Смета Внутр'!H1752</f>
        <v>0</v>
      </c>
      <c r="J1752" s="1109" t="n">
        <f aca="false">'Смета Внутр'!I1752</f>
        <v>0</v>
      </c>
    </row>
    <row r="1753" customFormat="false" ht="15" hidden="true" customHeight="true" outlineLevel="0" collapsed="false">
      <c r="B1753" s="1104" t="str">
        <f aca="false">'Смета Внутр'!B1753</f>
        <v>планкен</v>
      </c>
      <c r="C1753" s="1104" t="str">
        <f aca="false">'Смета Внутр'!C1753</f>
        <v>м2</v>
      </c>
      <c r="D1753" s="1109" t="n">
        <f aca="false">'Смета Внутр'!D1753</f>
        <v>0</v>
      </c>
      <c r="E1753" s="1104" t="n">
        <f aca="false">'Смета Внутр'!E1753</f>
        <v>500</v>
      </c>
      <c r="F1753" s="1104" t="n">
        <f aca="false">'Смета Внутр'!F1753</f>
        <v>0</v>
      </c>
      <c r="G1753" s="1104" t="n">
        <f aca="false">IF(E1753&gt;F1753,E1753,F1753)</f>
        <v>500</v>
      </c>
      <c r="H1753" s="1104" t="n">
        <f aca="false">'Смета Внутр'!G1753</f>
        <v>0</v>
      </c>
      <c r="I1753" s="1104" t="n">
        <f aca="false">'Смета Внутр'!H1753</f>
        <v>0</v>
      </c>
      <c r="J1753" s="1109" t="n">
        <f aca="false">'Смета Внутр'!I1753</f>
        <v>0</v>
      </c>
    </row>
    <row r="1754" customFormat="false" ht="15" hidden="true" customHeight="true" outlineLevel="0" collapsed="false">
      <c r="B1754" s="1104" t="str">
        <f aca="false">'Смета Внутр'!B1754</f>
        <v>камень</v>
      </c>
      <c r="C1754" s="1104" t="str">
        <f aca="false">'Смета Внутр'!C1754</f>
        <v>м2</v>
      </c>
      <c r="D1754" s="1109" t="n">
        <f aca="false">'Смета Внутр'!D1754</f>
        <v>0</v>
      </c>
      <c r="E1754" s="1104" t="n">
        <f aca="false">'Смета Внутр'!E1754</f>
        <v>600</v>
      </c>
      <c r="F1754" s="1104" t="n">
        <f aca="false">'Смета Внутр'!F1754</f>
        <v>0</v>
      </c>
      <c r="G1754" s="1104" t="n">
        <f aca="false">IF(E1754&gt;F1754,E1754,F1754)</f>
        <v>600</v>
      </c>
      <c r="H1754" s="1104" t="n">
        <f aca="false">'Смета Внутр'!G1754</f>
        <v>0</v>
      </c>
      <c r="I1754" s="1104" t="n">
        <f aca="false">'Смета Внутр'!H1754</f>
        <v>0</v>
      </c>
      <c r="J1754" s="1109" t="n">
        <f aca="false">'Смета Внутр'!I1754</f>
        <v>0</v>
      </c>
    </row>
    <row r="1755" customFormat="false" ht="15" hidden="true" customHeight="true" outlineLevel="0" collapsed="false">
      <c r="B1755" s="1104" t="str">
        <f aca="false">'Смета Внутр'!B1755</f>
        <v>окрашивание поверхности</v>
      </c>
      <c r="C1755" s="1104" t="str">
        <f aca="false">'Смета Внутр'!C1755</f>
        <v>м2</v>
      </c>
      <c r="D1755" s="1109" t="n">
        <f aca="false">'Смета Внутр'!D1755</f>
        <v>0</v>
      </c>
      <c r="E1755" s="1104" t="n">
        <f aca="false">'Смета Внутр'!E1755</f>
        <v>200</v>
      </c>
      <c r="F1755" s="1104" t="n">
        <f aca="false">'Смета Внутр'!F1755</f>
        <v>0</v>
      </c>
      <c r="G1755" s="1104" t="n">
        <f aca="false">IF(E1755&gt;F1755,E1755,F1755)</f>
        <v>200</v>
      </c>
      <c r="H1755" s="1104" t="n">
        <f aca="false">'Смета Внутр'!G1755</f>
        <v>0</v>
      </c>
      <c r="I1755" s="1104" t="n">
        <f aca="false">'Смета Внутр'!H1755</f>
        <v>0</v>
      </c>
      <c r="J1755" s="1109" t="n">
        <f aca="false">'Смета Внутр'!I1755</f>
        <v>0</v>
      </c>
    </row>
    <row r="1756" customFormat="false" ht="15" hidden="true" customHeight="true" outlineLevel="0" collapsed="false">
      <c r="B1756" s="1104" t="str">
        <f aca="false">'Смета Внутр'!B1756</f>
        <v>лакирование пов-ти</v>
      </c>
      <c r="C1756" s="1104" t="str">
        <f aca="false">'Смета Внутр'!C1756</f>
        <v>м2</v>
      </c>
      <c r="D1756" s="1109" t="n">
        <f aca="false">'Смета Внутр'!D1756</f>
        <v>0</v>
      </c>
      <c r="E1756" s="1104" t="n">
        <f aca="false">'Смета Внутр'!E1756</f>
        <v>300</v>
      </c>
      <c r="F1756" s="1104" t="n">
        <f aca="false">'Смета Внутр'!F1756</f>
        <v>0</v>
      </c>
      <c r="G1756" s="1104" t="n">
        <f aca="false">IF(E1756&gt;F1756,E1756,F1756)</f>
        <v>300</v>
      </c>
      <c r="H1756" s="1104" t="n">
        <f aca="false">'Смета Внутр'!G1756</f>
        <v>0</v>
      </c>
      <c r="I1756" s="1104" t="n">
        <f aca="false">'Смета Внутр'!H1756</f>
        <v>0</v>
      </c>
      <c r="J1756" s="1109" t="n">
        <f aca="false">'Смета Внутр'!I1756</f>
        <v>0</v>
      </c>
    </row>
    <row r="1757" customFormat="false" ht="15" hidden="true" customHeight="true" outlineLevel="0" collapsed="false">
      <c r="B1757" s="1104" t="str">
        <f aca="false">'Смета Внутр'!B1757</f>
        <v>монтаж плоский шифер</v>
      </c>
      <c r="C1757" s="1104" t="str">
        <f aca="false">'Смета Внутр'!C1757</f>
        <v>м2</v>
      </c>
      <c r="D1757" s="1109" t="n">
        <f aca="false">'Смета Внутр'!D1757</f>
        <v>0</v>
      </c>
      <c r="E1757" s="1104" t="n">
        <f aca="false">'Смета Внутр'!E1757</f>
        <v>120</v>
      </c>
      <c r="F1757" s="1104" t="n">
        <f aca="false">'Смета Внутр'!F1757</f>
        <v>0</v>
      </c>
      <c r="G1757" s="1104" t="n">
        <f aca="false">IF(E1757&gt;F1757,E1757,F1757)</f>
        <v>120</v>
      </c>
      <c r="H1757" s="1104" t="n">
        <f aca="false">'Смета Внутр'!G1757</f>
        <v>0</v>
      </c>
      <c r="I1757" s="1104" t="n">
        <f aca="false">'Смета Внутр'!H1757</f>
        <v>0</v>
      </c>
      <c r="J1757" s="1109" t="n">
        <f aca="false">'Смета Внутр'!I1757</f>
        <v>0</v>
      </c>
    </row>
    <row r="1758" customFormat="false" ht="15" hidden="true" customHeight="true" outlineLevel="0" collapsed="false">
      <c r="B1758" s="1104" t="str">
        <f aca="false">'Смета Внутр'!B1758</f>
        <v>имитация бруса</v>
      </c>
      <c r="C1758" s="1104" t="str">
        <f aca="false">'Смета Внутр'!C1758</f>
        <v>м2</v>
      </c>
      <c r="D1758" s="1109" t="n">
        <f aca="false">'Смета Внутр'!D1758</f>
        <v>0</v>
      </c>
      <c r="E1758" s="1104" t="n">
        <f aca="false">'Смета Внутр'!E1758</f>
        <v>400</v>
      </c>
      <c r="F1758" s="1104" t="n">
        <f aca="false">'Смета Внутр'!F1758</f>
        <v>0</v>
      </c>
      <c r="G1758" s="1104" t="n">
        <f aca="false">IF(E1758&gt;F1758,E1758,F1758)</f>
        <v>400</v>
      </c>
      <c r="H1758" s="1104" t="n">
        <f aca="false">'Смета Внутр'!G1758</f>
        <v>0</v>
      </c>
      <c r="I1758" s="1104" t="n">
        <f aca="false">'Смета Внутр'!H1758</f>
        <v>0</v>
      </c>
      <c r="J1758" s="1109" t="n">
        <f aca="false">'Смета Внутр'!I1758</f>
        <v>0</v>
      </c>
    </row>
    <row r="1759" customFormat="false" ht="15" hidden="true" customHeight="true" outlineLevel="0" collapsed="false">
      <c r="B1759" s="1104" t="str">
        <f aca="false">'Смета Внутр'!B1759</f>
        <v>Утепление наружних стен</v>
      </c>
      <c r="C1759" s="1104" t="str">
        <f aca="false">'Смета Внутр'!C1759</f>
        <v>м2</v>
      </c>
      <c r="D1759" s="1109" t="n">
        <f aca="false">'Смета Внутр'!D1759</f>
        <v>0</v>
      </c>
      <c r="E1759" s="1104" t="n">
        <f aca="false">'Смета Внутр'!E1759</f>
        <v>200</v>
      </c>
      <c r="F1759" s="1104" t="n">
        <f aca="false">'Смета Внутр'!F1759</f>
        <v>0</v>
      </c>
      <c r="G1759" s="1104" t="n">
        <f aca="false">IF(E1759&gt;F1759,E1759,F1759)</f>
        <v>200</v>
      </c>
      <c r="H1759" s="1104" t="n">
        <f aca="false">'Смета Внутр'!G1759</f>
        <v>0</v>
      </c>
      <c r="I1759" s="1104" t="n">
        <f aca="false">'Смета Внутр'!H1759</f>
        <v>0</v>
      </c>
      <c r="J1759" s="1109" t="n">
        <f aca="false">'Смета Внутр'!I1759</f>
        <v>0</v>
      </c>
    </row>
    <row r="1760" customFormat="false" ht="15" hidden="true" customHeight="true" outlineLevel="0" collapsed="false">
      <c r="B1760" s="1104" t="str">
        <f aca="false">'Смета Внутр'!B1760</f>
        <v>Оштукатуривание поверхности, подготовка</v>
      </c>
      <c r="C1760" s="1104" t="str">
        <f aca="false">'Смета Внутр'!C1760</f>
        <v>м2</v>
      </c>
      <c r="D1760" s="1109" t="n">
        <f aca="false">'Смета Внутр'!D1760</f>
        <v>174.43</v>
      </c>
      <c r="E1760" s="1104" t="n">
        <f aca="false">'Смета Внутр'!E1760</f>
        <v>400</v>
      </c>
      <c r="F1760" s="1104" t="n">
        <f aca="false">'Смета Внутр'!F1760</f>
        <v>0</v>
      </c>
      <c r="G1760" s="1104" t="n">
        <f aca="false">IF(E1760&gt;F1760,E1760,F1760)</f>
        <v>400</v>
      </c>
      <c r="H1760" s="1104" t="n">
        <f aca="false">'Смета Внутр'!G1760</f>
        <v>69772</v>
      </c>
      <c r="I1760" s="1104" t="n">
        <f aca="false">'Смета Внутр'!H1760</f>
        <v>69772</v>
      </c>
      <c r="J1760" s="1109" t="n">
        <f aca="false">'Смета Внутр'!I1760</f>
        <v>69772</v>
      </c>
    </row>
    <row r="1761" customFormat="false" ht="15" hidden="true" customHeight="true" outlineLevel="0" collapsed="false">
      <c r="B1761" s="1104" t="str">
        <f aca="false">'Смета Внутр'!B1761</f>
        <v>Наклейка сетки</v>
      </c>
      <c r="C1761" s="1104" t="str">
        <f aca="false">'Смета Внутр'!C1761</f>
        <v>м2</v>
      </c>
      <c r="D1761" s="1109" t="n">
        <f aca="false">'Смета Внутр'!D1761</f>
        <v>174.43</v>
      </c>
      <c r="E1761" s="1104" t="n">
        <f aca="false">'Смета Внутр'!E1761</f>
        <v>200</v>
      </c>
      <c r="F1761" s="1104" t="n">
        <f aca="false">'Смета Внутр'!F1761</f>
        <v>0</v>
      </c>
      <c r="G1761" s="1104" t="n">
        <f aca="false">IF(E1761&gt;F1761,E1761,F1761)</f>
        <v>200</v>
      </c>
      <c r="H1761" s="1104" t="n">
        <f aca="false">'Смета Внутр'!G1761</f>
        <v>34886</v>
      </c>
      <c r="I1761" s="1104" t="n">
        <f aca="false">'Смета Внутр'!H1761</f>
        <v>34886</v>
      </c>
      <c r="J1761" s="1109" t="n">
        <f aca="false">'Смета Внутр'!I1761</f>
        <v>34886</v>
      </c>
    </row>
    <row r="1762" customFormat="false" ht="15" hidden="true" customHeight="true" outlineLevel="0" collapsed="false">
      <c r="B1762" s="1104" t="str">
        <f aca="false">'Смета Внутр'!B1762</f>
        <v>Нанесение декоративной штукатурки</v>
      </c>
      <c r="C1762" s="1104" t="str">
        <f aca="false">'Смета Внутр'!C1762</f>
        <v>м2</v>
      </c>
      <c r="D1762" s="1109" t="n">
        <f aca="false">'Смета Внутр'!D1762</f>
        <v>174.43</v>
      </c>
      <c r="E1762" s="1104" t="n">
        <f aca="false">'Смета Внутр'!E1762</f>
        <v>600</v>
      </c>
      <c r="F1762" s="1104" t="n">
        <f aca="false">'Смета Внутр'!F1762</f>
        <v>0</v>
      </c>
      <c r="G1762" s="1104" t="n">
        <f aca="false">IF(E1762&gt;F1762,E1762,F1762)</f>
        <v>600</v>
      </c>
      <c r="H1762" s="1104" t="n">
        <f aca="false">'Смета Внутр'!G1762</f>
        <v>104658</v>
      </c>
      <c r="I1762" s="1104" t="n">
        <f aca="false">'Смета Внутр'!H1762</f>
        <v>104658</v>
      </c>
      <c r="J1762" s="1109" t="n">
        <f aca="false">'Смета Внутр'!I1762</f>
        <v>104658</v>
      </c>
    </row>
    <row r="1763" customFormat="false" ht="15" hidden="true" customHeight="true" outlineLevel="0" collapsed="false">
      <c r="B1763" s="1105" t="str">
        <f aca="false">'Смета Внутр'!B1763</f>
        <v>цоколь</v>
      </c>
      <c r="C1763" s="1105"/>
      <c r="D1763" s="1105"/>
      <c r="E1763" s="1105"/>
      <c r="F1763" s="1105"/>
      <c r="G1763" s="1105"/>
      <c r="H1763" s="1104" t="n">
        <f aca="false">'Смета Внутр'!G1763</f>
        <v>0</v>
      </c>
      <c r="I1763" s="1104" t="n">
        <f aca="false">'Смета Внутр'!H1763</f>
        <v>0</v>
      </c>
      <c r="J1763" s="1107" t="n">
        <f aca="false">'Смета Внутр'!I1763</f>
        <v>0</v>
      </c>
    </row>
    <row r="1764" customFormat="false" ht="15" hidden="true" customHeight="true" outlineLevel="0" collapsed="false">
      <c r="B1764" s="1104" t="str">
        <f aca="false">'Смета Внутр'!B1764</f>
        <v>монтаж подсистемы</v>
      </c>
      <c r="C1764" s="1104" t="str">
        <f aca="false">'Смета Внутр'!C1764</f>
        <v>м2</v>
      </c>
      <c r="D1764" s="1109" t="n">
        <f aca="false">'Смета Внутр'!D1764</f>
        <v>0</v>
      </c>
      <c r="E1764" s="1104" t="n">
        <f aca="false">'Смета Внутр'!E1764</f>
        <v>200</v>
      </c>
      <c r="F1764" s="1104" t="n">
        <f aca="false">'Смета Внутр'!F1764</f>
        <v>0</v>
      </c>
      <c r="G1764" s="1104" t="n">
        <f aca="false">IF(E1764&gt;F1764,E1764,F1764)</f>
        <v>200</v>
      </c>
      <c r="H1764" s="1104" t="n">
        <f aca="false">'Смета Внутр'!G1764</f>
        <v>0</v>
      </c>
      <c r="I1764" s="1104" t="n">
        <f aca="false">'Смета Внутр'!H1764</f>
        <v>0</v>
      </c>
      <c r="J1764" s="1109" t="n">
        <f aca="false">'Смета Внутр'!I1764</f>
        <v>0</v>
      </c>
    </row>
    <row r="1765" customFormat="false" ht="15" hidden="true" customHeight="true" outlineLevel="0" collapsed="false">
      <c r="B1765" s="1104" t="str">
        <f aca="false">'Смета Внутр'!B1765</f>
        <v>монтаж отлив</v>
      </c>
      <c r="C1765" s="1104" t="str">
        <f aca="false">'Смета Внутр'!C1765</f>
        <v>м.п.</v>
      </c>
      <c r="D1765" s="1109" t="n">
        <f aca="false">'Смета Внутр'!D1765</f>
        <v>0</v>
      </c>
      <c r="E1765" s="1104" t="n">
        <f aca="false">'Смета Внутр'!E1765</f>
        <v>120</v>
      </c>
      <c r="F1765" s="1104" t="n">
        <f aca="false">'Смета Внутр'!F1765</f>
        <v>0</v>
      </c>
      <c r="G1765" s="1104" t="n">
        <f aca="false">IF(E1765&gt;F1765,E1765,F1765)</f>
        <v>120</v>
      </c>
      <c r="H1765" s="1104" t="n">
        <f aca="false">'Смета Внутр'!G1765</f>
        <v>0</v>
      </c>
      <c r="I1765" s="1104" t="n">
        <f aca="false">'Смета Внутр'!H1765</f>
        <v>0</v>
      </c>
      <c r="J1765" s="1109" t="n">
        <f aca="false">'Смета Внутр'!I1765</f>
        <v>0</v>
      </c>
    </row>
    <row r="1766" customFormat="false" ht="15" hidden="true" customHeight="true" outlineLevel="0" collapsed="false">
      <c r="B1766" s="1104" t="str">
        <f aca="false">'Смета Внутр'!B1766</f>
        <v>монтаж плоский шифер</v>
      </c>
      <c r="C1766" s="1104" t="str">
        <f aca="false">'Смета Внутр'!C1766</f>
        <v>м2</v>
      </c>
      <c r="D1766" s="1109" t="n">
        <f aca="false">'Смета Внутр'!D1766</f>
        <v>0</v>
      </c>
      <c r="E1766" s="1104" t="n">
        <f aca="false">'Смета Внутр'!E1766</f>
        <v>120</v>
      </c>
      <c r="F1766" s="1104" t="n">
        <f aca="false">'Смета Внутр'!F1766</f>
        <v>0</v>
      </c>
      <c r="G1766" s="1104" t="n">
        <f aca="false">IF(E1766&gt;F1766,E1766,F1766)</f>
        <v>120</v>
      </c>
      <c r="H1766" s="1104" t="n">
        <f aca="false">'Смета Внутр'!G1766</f>
        <v>0</v>
      </c>
      <c r="I1766" s="1104" t="n">
        <f aca="false">'Смета Внутр'!H1766</f>
        <v>0</v>
      </c>
      <c r="J1766" s="1109" t="n">
        <f aca="false">'Смета Внутр'!I1766</f>
        <v>0</v>
      </c>
    </row>
    <row r="1767" customFormat="false" ht="15" hidden="true" customHeight="true" outlineLevel="0" collapsed="false">
      <c r="B1767" s="1104" t="str">
        <f aca="false">'Смета Внутр'!B1767</f>
        <v>сайдинг металл сайдинг</v>
      </c>
      <c r="C1767" s="1104" t="str">
        <f aca="false">'Смета Внутр'!C1767</f>
        <v>м2</v>
      </c>
      <c r="D1767" s="1109" t="n">
        <f aca="false">'Смета Внутр'!D1767</f>
        <v>0</v>
      </c>
      <c r="E1767" s="1104" t="n">
        <f aca="false">'Смета Внутр'!E1767</f>
        <v>350</v>
      </c>
      <c r="F1767" s="1104" t="n">
        <f aca="false">'Смета Внутр'!F1767</f>
        <v>0</v>
      </c>
      <c r="G1767" s="1104" t="n">
        <f aca="false">IF(E1767&gt;F1767,E1767,F1767)</f>
        <v>350</v>
      </c>
      <c r="H1767" s="1104" t="n">
        <f aca="false">'Смета Внутр'!G1767</f>
        <v>0</v>
      </c>
      <c r="I1767" s="1104" t="n">
        <f aca="false">'Смета Внутр'!H1767</f>
        <v>0</v>
      </c>
      <c r="J1767" s="1109" t="n">
        <f aca="false">'Смета Внутр'!I1767</f>
        <v>0</v>
      </c>
    </row>
    <row r="1768" customFormat="false" ht="15" hidden="true" customHeight="true" outlineLevel="0" collapsed="false">
      <c r="B1768" s="1104" t="str">
        <f aca="false">'Смета Внутр'!B1768</f>
        <v>монтаж камень природ</v>
      </c>
      <c r="C1768" s="1104" t="str">
        <f aca="false">'Смета Внутр'!C1768</f>
        <v>м2</v>
      </c>
      <c r="D1768" s="1109" t="n">
        <f aca="false">'Смета Внутр'!D1768</f>
        <v>0</v>
      </c>
      <c r="E1768" s="1104" t="n">
        <f aca="false">'Смета Внутр'!E1768</f>
        <v>900</v>
      </c>
      <c r="F1768" s="1104" t="n">
        <f aca="false">'Смета Внутр'!F1768</f>
        <v>0</v>
      </c>
      <c r="G1768" s="1104" t="n">
        <f aca="false">IF(E1768&gt;F1768,E1768,F1768)</f>
        <v>900</v>
      </c>
      <c r="H1768" s="1104" t="n">
        <f aca="false">'Смета Внутр'!G1768</f>
        <v>0</v>
      </c>
      <c r="I1768" s="1104" t="n">
        <f aca="false">'Смета Внутр'!H1768</f>
        <v>0</v>
      </c>
      <c r="J1768" s="1109" t="n">
        <f aca="false">'Смета Внутр'!I1768</f>
        <v>0</v>
      </c>
    </row>
    <row r="1769" customFormat="false" ht="15" hidden="true" customHeight="true" outlineLevel="0" collapsed="false">
      <c r="B1769" s="1104" t="str">
        <f aca="false">'Смета Внутр'!B1769</f>
        <v>монтаж камень искуст-ый</v>
      </c>
      <c r="C1769" s="1104" t="str">
        <f aca="false">'Смета Внутр'!C1769</f>
        <v>м2</v>
      </c>
      <c r="D1769" s="1109" t="n">
        <f aca="false">'Смета Внутр'!D1769</f>
        <v>0</v>
      </c>
      <c r="E1769" s="1104" t="n">
        <f aca="false">'Смета Внутр'!E1769</f>
        <v>800</v>
      </c>
      <c r="F1769" s="1104" t="n">
        <f aca="false">'Смета Внутр'!F1769</f>
        <v>0</v>
      </c>
      <c r="G1769" s="1104" t="n">
        <f aca="false">IF(E1769&gt;F1769,E1769,F1769)</f>
        <v>800</v>
      </c>
      <c r="H1769" s="1104" t="n">
        <f aca="false">'Смета Внутр'!G1769</f>
        <v>0</v>
      </c>
      <c r="I1769" s="1104" t="n">
        <f aca="false">'Смета Внутр'!H1769</f>
        <v>0</v>
      </c>
      <c r="J1769" s="1109" t="n">
        <f aca="false">'Смета Внутр'!I1769</f>
        <v>0</v>
      </c>
    </row>
    <row r="1770" customFormat="false" ht="15" hidden="true" customHeight="true" outlineLevel="0" collapsed="false">
      <c r="B1770" s="1104" t="str">
        <f aca="false">'Смета Внутр'!B1770</f>
        <v>карнизы</v>
      </c>
      <c r="C1770" s="1104"/>
      <c r="D1770" s="1109"/>
      <c r="E1770" s="1104"/>
      <c r="F1770" s="1104"/>
      <c r="G1770" s="1104"/>
      <c r="H1770" s="1104" t="n">
        <f aca="false">'Смета Внутр'!G1770</f>
        <v>0</v>
      </c>
      <c r="I1770" s="1104" t="n">
        <f aca="false">'Смета Внутр'!H1770</f>
        <v>0</v>
      </c>
      <c r="J1770" s="1109" t="n">
        <f aca="false">'Смета Внутр'!I1770</f>
        <v>0</v>
      </c>
    </row>
    <row r="1771" customFormat="false" ht="15" hidden="true" customHeight="true" outlineLevel="0" collapsed="false">
      <c r="B1771" s="1104" t="str">
        <f aca="false">'Смета Внутр'!B1771</f>
        <v>планкен</v>
      </c>
      <c r="C1771" s="1104" t="str">
        <f aca="false">'Смета Внутр'!C1771</f>
        <v>м2</v>
      </c>
      <c r="D1771" s="1109" t="n">
        <f aca="false">'Смета Внутр'!D1771</f>
        <v>0</v>
      </c>
      <c r="E1771" s="1104" t="n">
        <f aca="false">'Смета Внутр'!E1771</f>
        <v>600</v>
      </c>
      <c r="F1771" s="1104" t="n">
        <f aca="false">'Смета Внутр'!F1771</f>
        <v>0</v>
      </c>
      <c r="G1771" s="1104" t="n">
        <f aca="false">IF(E1771&gt;F1771,E1771,F1771)</f>
        <v>600</v>
      </c>
      <c r="H1771" s="1104" t="n">
        <f aca="false">'Смета Внутр'!G1771</f>
        <v>0</v>
      </c>
      <c r="I1771" s="1104" t="n">
        <f aca="false">'Смета Внутр'!H1771</f>
        <v>0</v>
      </c>
      <c r="J1771" s="1109" t="n">
        <f aca="false">'Смета Внутр'!I1771</f>
        <v>0</v>
      </c>
    </row>
    <row r="1772" customFormat="false" ht="15" hidden="true" customHeight="true" outlineLevel="0" collapsed="false">
      <c r="B1772" s="1104" t="str">
        <f aca="false">'Смета Внутр'!B1772</f>
        <v>сайдинг</v>
      </c>
      <c r="C1772" s="1104" t="str">
        <f aca="false">'Смета Внутр'!C1772</f>
        <v>м2</v>
      </c>
      <c r="D1772" s="1109" t="n">
        <f aca="false">'Смета Внутр'!D1772</f>
        <v>0</v>
      </c>
      <c r="E1772" s="1104" t="n">
        <f aca="false">'Смета Внутр'!E1772</f>
        <v>500</v>
      </c>
      <c r="F1772" s="1104" t="n">
        <f aca="false">'Смета Внутр'!F1772</f>
        <v>0</v>
      </c>
      <c r="G1772" s="1104" t="n">
        <f aca="false">IF(E1772&gt;F1772,E1772,F1772)</f>
        <v>500</v>
      </c>
      <c r="H1772" s="1104" t="n">
        <f aca="false">'Смета Внутр'!G1772</f>
        <v>0</v>
      </c>
      <c r="I1772" s="1104" t="n">
        <f aca="false">'Смета Внутр'!H1772</f>
        <v>0</v>
      </c>
      <c r="J1772" s="1109" t="n">
        <f aca="false">'Смета Внутр'!I1772</f>
        <v>0</v>
      </c>
    </row>
    <row r="1773" customFormat="false" ht="15" hidden="true" customHeight="true" outlineLevel="0" collapsed="false">
      <c r="B1773" s="1104" t="str">
        <f aca="false">'Смета Внутр'!B1773</f>
        <v>монтаж леса стрительные</v>
      </c>
      <c r="C1773" s="1104" t="str">
        <f aca="false">'Смета Внутр'!C1773</f>
        <v>м2</v>
      </c>
      <c r="D1773" s="1109" t="n">
        <f aca="false">'Смета Внутр'!D1773</f>
        <v>0</v>
      </c>
      <c r="E1773" s="1104" t="n">
        <f aca="false">'Смета Внутр'!E1773</f>
        <v>100</v>
      </c>
      <c r="F1773" s="1104" t="n">
        <f aca="false">'Смета Внутр'!F1773</f>
        <v>0</v>
      </c>
      <c r="G1773" s="1104" t="n">
        <f aca="false">IF(E1773&gt;F1773,E1773,F1773)</f>
        <v>100</v>
      </c>
      <c r="H1773" s="1104" t="n">
        <f aca="false">'Смета Внутр'!G1773</f>
        <v>0</v>
      </c>
      <c r="I1773" s="1104" t="n">
        <f aca="false">'Смета Внутр'!H1773</f>
        <v>0</v>
      </c>
      <c r="J1773" s="1109" t="n">
        <f aca="false">'Смета Внутр'!I1773</f>
        <v>0</v>
      </c>
    </row>
    <row r="1774" customFormat="false" ht="15" hidden="false" customHeight="true" outlineLevel="0" collapsed="false">
      <c r="B1774" s="1108" t="str">
        <f aca="false">'Смета Внутр'!B1774</f>
        <v>Итого работы</v>
      </c>
      <c r="C1774" s="1108"/>
      <c r="D1774" s="1108"/>
      <c r="E1774" s="1108"/>
      <c r="F1774" s="1108"/>
      <c r="G1774" s="1108"/>
      <c r="H1774" s="1104" t="n">
        <f aca="false">'Смета Внутр'!G1774</f>
        <v>209316</v>
      </c>
      <c r="I1774" s="1104" t="n">
        <f aca="false">'Смета Внутр'!H1774</f>
        <v>209317</v>
      </c>
      <c r="J1774" s="1109" t="n">
        <f aca="false">'Смета Внутр'!I1774</f>
        <v>209317</v>
      </c>
    </row>
    <row r="1775" customFormat="false" ht="15" hidden="true" customHeight="true" outlineLevel="0" collapsed="false">
      <c r="B1775" s="1111" t="str">
        <f aca="false">'Смета Внутр'!B1775</f>
        <v>Чистовая отделка</v>
      </c>
      <c r="C1775" s="1111"/>
      <c r="D1775" s="1111"/>
      <c r="H1775" s="118" t="n">
        <f aca="false">'Смета Внутр'!G1775</f>
        <v>0</v>
      </c>
      <c r="I1775" s="118" t="n">
        <f aca="false">'Смета Внутр'!H1775</f>
        <v>1</v>
      </c>
      <c r="J1775" s="1102" t="n">
        <f aca="false">'Смета Внутр'!I1775</f>
        <v>1</v>
      </c>
    </row>
    <row r="1776" customFormat="false" ht="15" hidden="true" customHeight="true" outlineLevel="0" collapsed="false">
      <c r="B1776" s="118" t="str">
        <f aca="false">'Смета Внутр'!B1776</f>
        <v>Материалы</v>
      </c>
      <c r="H1776" s="118" t="n">
        <f aca="false">'Смета Внутр'!G1776</f>
        <v>0</v>
      </c>
      <c r="I1776" s="118" t="n">
        <f aca="false">'Смета Внутр'!H1776</f>
        <v>1</v>
      </c>
      <c r="J1776" s="1102" t="n">
        <f aca="false">'Смета Внутр'!I1776</f>
        <v>1</v>
      </c>
    </row>
    <row r="1777" customFormat="false" ht="15" hidden="true" customHeight="true" outlineLevel="0" collapsed="false">
      <c r="B1777" s="1105" t="str">
        <f aca="false">'Смета Внутр'!B1777</f>
        <v>Стены</v>
      </c>
      <c r="C1777" s="1105"/>
      <c r="D1777" s="1105"/>
      <c r="E1777" s="1105"/>
      <c r="F1777" s="1105"/>
      <c r="G1777" s="1105"/>
      <c r="H1777" s="1104" t="n">
        <f aca="false">'Смета Внутр'!G1777</f>
        <v>0</v>
      </c>
      <c r="I1777" s="1104" t="n">
        <f aca="false">'Смета Внутр'!H1777</f>
        <v>1</v>
      </c>
      <c r="J1777" s="1107" t="n">
        <f aca="false">'Смета Внутр'!I1777</f>
        <v>1</v>
      </c>
    </row>
    <row r="1778" customFormat="false" ht="15" hidden="true" customHeight="true" outlineLevel="0" collapsed="false">
      <c r="B1778" s="1104" t="str">
        <f aca="false">'Смета Внутр'!B1778</f>
        <v>ГКЛ, 12мм</v>
      </c>
      <c r="C1778" s="1104" t="str">
        <f aca="false">'Смета Внутр'!C1778</f>
        <v>м2</v>
      </c>
      <c r="D1778" s="1109" t="n">
        <f aca="false">'Смета Внутр'!D1778</f>
        <v>0</v>
      </c>
      <c r="E1778" s="1104" t="n">
        <f aca="false">'Смета Внутр'!E1778</f>
        <v>90</v>
      </c>
      <c r="F1778" s="1104" t="n">
        <f aca="false">'Смета Внутр'!F1778</f>
        <v>0</v>
      </c>
      <c r="G1778" s="1104" t="n">
        <f aca="false">IF(E1778&gt;F1778,E1778,F1778)</f>
        <v>90</v>
      </c>
      <c r="H1778" s="1104" t="n">
        <f aca="false">'Смета Внутр'!G1778</f>
        <v>0</v>
      </c>
      <c r="I1778" s="1104" t="n">
        <f aca="false">'Смета Внутр'!H1778</f>
        <v>0</v>
      </c>
      <c r="J1778" s="1109" t="n">
        <f aca="false">'Смета Внутр'!I1778</f>
        <v>0</v>
      </c>
    </row>
    <row r="1779" customFormat="false" ht="15" hidden="true" customHeight="true" outlineLevel="0" collapsed="false">
      <c r="B1779" s="1104" t="str">
        <f aca="false">'Смета Внутр'!B1779</f>
        <v>профиль 60/27/3000</v>
      </c>
      <c r="C1779" s="1104" t="str">
        <f aca="false">'Смета Внутр'!C1779</f>
        <v>шт</v>
      </c>
      <c r="D1779" s="1109" t="n">
        <f aca="false">'Смета Внутр'!D1779</f>
        <v>0</v>
      </c>
      <c r="E1779" s="1104" t="n">
        <f aca="false">'Смета Внутр'!E1779</f>
        <v>100</v>
      </c>
      <c r="F1779" s="1104" t="n">
        <f aca="false">'Смета Внутр'!F1779</f>
        <v>0</v>
      </c>
      <c r="G1779" s="1104" t="n">
        <f aca="false">IF(E1779&gt;F1779,E1779,F1779)</f>
        <v>100</v>
      </c>
      <c r="H1779" s="1104" t="n">
        <f aca="false">'Смета Внутр'!G1779</f>
        <v>0</v>
      </c>
      <c r="I1779" s="1104" t="n">
        <f aca="false">'Смета Внутр'!H1779</f>
        <v>0</v>
      </c>
      <c r="J1779" s="1109" t="n">
        <f aca="false">'Смета Внутр'!I1779</f>
        <v>0</v>
      </c>
    </row>
    <row r="1780" customFormat="false" ht="15" hidden="true" customHeight="true" outlineLevel="0" collapsed="false">
      <c r="B1780" s="1104" t="str">
        <f aca="false">'Смета Внутр'!B1780</f>
        <v>профиль 27/28/3000</v>
      </c>
      <c r="C1780" s="1104" t="str">
        <f aca="false">'Смета Внутр'!C1780</f>
        <v>шт</v>
      </c>
      <c r="D1780" s="1109" t="n">
        <f aca="false">'Смета Внутр'!D1780</f>
        <v>0</v>
      </c>
      <c r="E1780" s="1104" t="n">
        <f aca="false">'Смета Внутр'!E1780</f>
        <v>100</v>
      </c>
      <c r="F1780" s="1104" t="n">
        <f aca="false">'Смета Внутр'!F1780</f>
        <v>0</v>
      </c>
      <c r="G1780" s="1104" t="n">
        <f aca="false">IF(E1780&gt;F1780,E1780,F1780)</f>
        <v>100</v>
      </c>
      <c r="H1780" s="1104" t="n">
        <f aca="false">'Смета Внутр'!G1780</f>
        <v>0</v>
      </c>
      <c r="I1780" s="1104" t="n">
        <f aca="false">'Смета Внутр'!H1780</f>
        <v>0</v>
      </c>
      <c r="J1780" s="1109" t="n">
        <f aca="false">'Смета Внутр'!I1780</f>
        <v>0</v>
      </c>
    </row>
    <row r="1781" customFormat="false" ht="15" hidden="true" customHeight="true" outlineLevel="0" collapsed="false">
      <c r="B1781" s="1104" t="str">
        <f aca="false">'Смета Внутр'!B1781</f>
        <v>подвес прямой</v>
      </c>
      <c r="C1781" s="1104" t="str">
        <f aca="false">'Смета Внутр'!C1781</f>
        <v>шт</v>
      </c>
      <c r="D1781" s="1109" t="n">
        <f aca="false">'Смета Внутр'!D1781</f>
        <v>0</v>
      </c>
      <c r="E1781" s="1104" t="n">
        <f aca="false">'Смета Внутр'!E1781</f>
        <v>9</v>
      </c>
      <c r="F1781" s="1104" t="n">
        <f aca="false">'Смета Внутр'!F1781</f>
        <v>0</v>
      </c>
      <c r="G1781" s="1104" t="n">
        <f aca="false">IF(E1781&gt;F1781,E1781,F1781)</f>
        <v>9</v>
      </c>
      <c r="H1781" s="1104" t="n">
        <f aca="false">'Смета Внутр'!G1781</f>
        <v>0</v>
      </c>
      <c r="I1781" s="1104" t="n">
        <f aca="false">'Смета Внутр'!H1781</f>
        <v>0</v>
      </c>
      <c r="J1781" s="1109" t="n">
        <f aca="false">'Смета Внутр'!I1781</f>
        <v>0</v>
      </c>
    </row>
    <row r="1782" customFormat="false" ht="15" hidden="true" customHeight="true" outlineLevel="0" collapsed="false">
      <c r="B1782" s="1104" t="str">
        <f aca="false">'Смета Внутр'!B1782</f>
        <v>саморез металл/металл, 13мм</v>
      </c>
      <c r="C1782" s="1104" t="str">
        <f aca="false">'Смета Внутр'!C1782</f>
        <v>шт</v>
      </c>
      <c r="D1782" s="1109" t="n">
        <f aca="false">'Смета Внутр'!D1782</f>
        <v>0</v>
      </c>
      <c r="E1782" s="1104" t="n">
        <f aca="false">'Смета Внутр'!E1782</f>
        <v>0.025</v>
      </c>
      <c r="F1782" s="1104" t="n">
        <f aca="false">'Смета Внутр'!F1782</f>
        <v>0</v>
      </c>
      <c r="G1782" s="1104" t="n">
        <f aca="false">IF(E1782&gt;F1782,E1782,F1782)</f>
        <v>0.025</v>
      </c>
      <c r="H1782" s="1104" t="n">
        <f aca="false">'Смета Внутр'!G1782</f>
        <v>0</v>
      </c>
      <c r="I1782" s="1104" t="n">
        <f aca="false">'Смета Внутр'!H1782</f>
        <v>0</v>
      </c>
      <c r="J1782" s="1109" t="n">
        <f aca="false">'Смета Внутр'!I1782</f>
        <v>0</v>
      </c>
    </row>
    <row r="1783" customFormat="false" ht="15" hidden="true" customHeight="true" outlineLevel="0" collapsed="false">
      <c r="B1783" s="1104" t="str">
        <f aca="false">'Смета Внутр'!B1783</f>
        <v>саморез гкл/металл, 25мм</v>
      </c>
      <c r="C1783" s="1104" t="str">
        <f aca="false">'Смета Внутр'!C1783</f>
        <v>шт</v>
      </c>
      <c r="D1783" s="1109" t="n">
        <f aca="false">'Смета Внутр'!D1783</f>
        <v>0</v>
      </c>
      <c r="E1783" s="1104" t="n">
        <f aca="false">'Смета Внутр'!E1783</f>
        <v>0.025</v>
      </c>
      <c r="F1783" s="1104" t="n">
        <f aca="false">'Смета Внутр'!F1783</f>
        <v>0</v>
      </c>
      <c r="G1783" s="1104" t="n">
        <f aca="false">IF(E1783&gt;F1783,E1783,F1783)</f>
        <v>0.025</v>
      </c>
      <c r="H1783" s="1104" t="n">
        <f aca="false">'Смета Внутр'!G1783</f>
        <v>0</v>
      </c>
      <c r="I1783" s="1104" t="n">
        <f aca="false">'Смета Внутр'!H1783</f>
        <v>0</v>
      </c>
      <c r="J1783" s="1109" t="n">
        <f aca="false">'Смета Внутр'!I1783</f>
        <v>0</v>
      </c>
    </row>
    <row r="1784" customFormat="false" ht="15" hidden="true" customHeight="true" outlineLevel="0" collapsed="false">
      <c r="B1784" s="1104" t="str">
        <f aca="false">'Смета Внутр'!B1784</f>
        <v>грунтовка, 10л</v>
      </c>
      <c r="C1784" s="1104" t="str">
        <f aca="false">'Смета Внутр'!C1784</f>
        <v>шт</v>
      </c>
      <c r="D1784" s="1109" t="n">
        <f aca="false">'Смета Внутр'!D1784</f>
        <v>0</v>
      </c>
      <c r="E1784" s="1104" t="n">
        <f aca="false">'Смета Внутр'!E1784</f>
        <v>500</v>
      </c>
      <c r="F1784" s="1104" t="n">
        <f aca="false">'Смета Внутр'!F1784</f>
        <v>0</v>
      </c>
      <c r="G1784" s="1104" t="n">
        <f aca="false">IF(E1784&gt;F1784,E1784,F1784)</f>
        <v>500</v>
      </c>
      <c r="H1784" s="1104" t="n">
        <f aca="false">'Смета Внутр'!G1784</f>
        <v>0</v>
      </c>
      <c r="I1784" s="1104" t="n">
        <f aca="false">'Смета Внутр'!H1784</f>
        <v>0</v>
      </c>
      <c r="J1784" s="1109" t="n">
        <f aca="false">'Смета Внутр'!I1784</f>
        <v>0</v>
      </c>
    </row>
    <row r="1785" customFormat="false" ht="15" hidden="true" customHeight="true" outlineLevel="0" collapsed="false">
      <c r="B1785" s="1104" t="str">
        <f aca="false">'Смета Внутр'!B1785</f>
        <v>шпаклевка для швов, 25кг</v>
      </c>
      <c r="C1785" s="1104" t="str">
        <f aca="false">'Смета Внутр'!C1785</f>
        <v>шт</v>
      </c>
      <c r="D1785" s="1109" t="n">
        <f aca="false">'Смета Внутр'!D1785</f>
        <v>0</v>
      </c>
      <c r="E1785" s="1104" t="n">
        <f aca="false">'Смета Внутр'!E1785</f>
        <v>500</v>
      </c>
      <c r="F1785" s="1104" t="n">
        <f aca="false">'Смета Внутр'!F1785</f>
        <v>0</v>
      </c>
      <c r="G1785" s="1104" t="n">
        <f aca="false">IF(E1785&gt;F1785,E1785,F1785)</f>
        <v>500</v>
      </c>
      <c r="H1785" s="1104" t="n">
        <f aca="false">'Смета Внутр'!G1785</f>
        <v>0</v>
      </c>
      <c r="I1785" s="1104" t="n">
        <f aca="false">'Смета Внутр'!H1785</f>
        <v>0</v>
      </c>
      <c r="J1785" s="1109" t="n">
        <f aca="false">'Смета Внутр'!I1785</f>
        <v>0</v>
      </c>
    </row>
    <row r="1786" customFormat="false" ht="15" hidden="true" customHeight="true" outlineLevel="0" collapsed="false">
      <c r="B1786" s="1104" t="str">
        <f aca="false">'Смета Внутр'!B1786</f>
        <v>шпаклевка финишная, 25кг</v>
      </c>
      <c r="C1786" s="1104" t="str">
        <f aca="false">'Смета Внутр'!C1786</f>
        <v>шт</v>
      </c>
      <c r="D1786" s="1109" t="n">
        <f aca="false">'Смета Внутр'!D1786</f>
        <v>0</v>
      </c>
      <c r="E1786" s="1104" t="n">
        <f aca="false">'Смета Внутр'!E1786</f>
        <v>400</v>
      </c>
      <c r="F1786" s="1104" t="n">
        <f aca="false">'Смета Внутр'!F1786</f>
        <v>0</v>
      </c>
      <c r="G1786" s="1104" t="n">
        <f aca="false">IF(E1786&gt;F1786,E1786,F1786)</f>
        <v>400</v>
      </c>
      <c r="H1786" s="1104" t="n">
        <f aca="false">'Смета Внутр'!G1786</f>
        <v>0</v>
      </c>
      <c r="I1786" s="1104" t="n">
        <f aca="false">'Смета Внутр'!H1786</f>
        <v>0</v>
      </c>
      <c r="J1786" s="1109" t="n">
        <f aca="false">'Смета Внутр'!I1786</f>
        <v>0</v>
      </c>
    </row>
    <row r="1787" customFormat="false" ht="15" hidden="true" customHeight="true" outlineLevel="0" collapsed="false">
      <c r="B1787" s="1104" t="str">
        <f aca="false">'Смета Внутр'!B1787</f>
        <v>серпянка для швов, 50м.п.</v>
      </c>
      <c r="C1787" s="1104" t="str">
        <f aca="false">'Смета Внутр'!C1787</f>
        <v>шт</v>
      </c>
      <c r="D1787" s="1109" t="n">
        <f aca="false">'Смета Внутр'!D1787</f>
        <v>0</v>
      </c>
      <c r="E1787" s="1104" t="n">
        <f aca="false">'Смета Внутр'!E1787</f>
        <v>100</v>
      </c>
      <c r="F1787" s="1104" t="n">
        <f aca="false">'Смета Внутр'!F1787</f>
        <v>0</v>
      </c>
      <c r="G1787" s="1104" t="n">
        <f aca="false">IF(E1787&gt;F1787,E1787,F1787)</f>
        <v>100</v>
      </c>
      <c r="H1787" s="1104" t="n">
        <f aca="false">'Смета Внутр'!G1787</f>
        <v>0</v>
      </c>
      <c r="I1787" s="1104" t="n">
        <f aca="false">'Смета Внутр'!H1787</f>
        <v>0</v>
      </c>
      <c r="J1787" s="1109" t="n">
        <f aca="false">'Смета Внутр'!I1787</f>
        <v>0</v>
      </c>
    </row>
    <row r="1788" customFormat="false" ht="15" hidden="true" customHeight="true" outlineLevel="0" collapsed="false">
      <c r="B1788" s="1104" t="str">
        <f aca="false">'Смета Внутр'!B1788</f>
        <v>обои</v>
      </c>
      <c r="C1788" s="1104" t="str">
        <f aca="false">'Смета Внутр'!C1788</f>
        <v>м2</v>
      </c>
      <c r="D1788" s="1109" t="n">
        <f aca="false">'Смета Внутр'!D1788</f>
        <v>0</v>
      </c>
      <c r="E1788" s="1104" t="n">
        <f aca="false">'Смета Внутр'!E1788</f>
        <v>30</v>
      </c>
      <c r="F1788" s="1104" t="n">
        <f aca="false">'Смета Внутр'!F1788</f>
        <v>0</v>
      </c>
      <c r="G1788" s="1104" t="n">
        <f aca="false">IF(E1788&gt;F1788,E1788,F1788)</f>
        <v>30</v>
      </c>
      <c r="H1788" s="1104" t="n">
        <f aca="false">'Смета Внутр'!G1788</f>
        <v>0</v>
      </c>
      <c r="I1788" s="1104" t="n">
        <f aca="false">'Смета Внутр'!H1788</f>
        <v>0</v>
      </c>
      <c r="J1788" s="1109" t="n">
        <f aca="false">'Смета Внутр'!I1788</f>
        <v>0</v>
      </c>
    </row>
    <row r="1789" customFormat="false" ht="15" hidden="true" customHeight="true" outlineLevel="0" collapsed="false">
      <c r="B1789" s="1104" t="str">
        <f aca="false">'Смета Внутр'!B1789</f>
        <v>клей обойный</v>
      </c>
      <c r="C1789" s="1104" t="str">
        <f aca="false">'Смета Внутр'!C1789</f>
        <v>шт</v>
      </c>
      <c r="D1789" s="1109" t="n">
        <f aca="false">'Смета Внутр'!D1789</f>
        <v>0</v>
      </c>
      <c r="E1789" s="1104" t="n">
        <f aca="false">'Смета Внутр'!E1789</f>
        <v>120</v>
      </c>
      <c r="F1789" s="1104" t="n">
        <f aca="false">'Смета Внутр'!F1789</f>
        <v>0</v>
      </c>
      <c r="G1789" s="1104" t="n">
        <f aca="false">IF(E1789&gt;F1789,E1789,F1789)</f>
        <v>120</v>
      </c>
      <c r="H1789" s="1104" t="n">
        <f aca="false">'Смета Внутр'!G1789</f>
        <v>0</v>
      </c>
      <c r="I1789" s="1104" t="n">
        <f aca="false">'Смета Внутр'!H1789</f>
        <v>0</v>
      </c>
      <c r="J1789" s="1109" t="n">
        <f aca="false">'Смета Внутр'!I1789</f>
        <v>0</v>
      </c>
    </row>
    <row r="1790" customFormat="false" ht="15" hidden="true" customHeight="true" outlineLevel="0" collapsed="false">
      <c r="B1790" s="1104" t="str">
        <f aca="false">'Смета Внутр'!B1790</f>
        <v>краска для стен, 10л</v>
      </c>
      <c r="C1790" s="1104" t="str">
        <f aca="false">'Смета Внутр'!C1790</f>
        <v>шт</v>
      </c>
      <c r="D1790" s="1109" t="n">
        <f aca="false">'Смета Внутр'!D1790</f>
        <v>0</v>
      </c>
      <c r="E1790" s="1104" t="n">
        <f aca="false">'Смета Внутр'!E1790</f>
        <v>900</v>
      </c>
      <c r="F1790" s="1104" t="n">
        <f aca="false">'Смета Внутр'!F1790</f>
        <v>0</v>
      </c>
      <c r="G1790" s="1104" t="n">
        <f aca="false">IF(E1790&gt;F1790,E1790,F1790)</f>
        <v>900</v>
      </c>
      <c r="H1790" s="1104" t="n">
        <f aca="false">'Смета Внутр'!G1790</f>
        <v>0</v>
      </c>
      <c r="I1790" s="1104" t="n">
        <f aca="false">'Смета Внутр'!H1790</f>
        <v>0</v>
      </c>
      <c r="J1790" s="1109" t="n">
        <f aca="false">'Смета Внутр'!I1790</f>
        <v>0</v>
      </c>
    </row>
    <row r="1791" customFormat="false" ht="15" hidden="true" customHeight="true" outlineLevel="0" collapsed="false">
      <c r="B1791" s="1104" t="str">
        <f aca="false">'Смета Внутр'!B1791</f>
        <v>имитация бруса</v>
      </c>
      <c r="C1791" s="1104" t="str">
        <f aca="false">'Смета Внутр'!C1791</f>
        <v>м2</v>
      </c>
      <c r="D1791" s="1109" t="n">
        <f aca="false">'Смета Внутр'!D1791</f>
        <v>263.26</v>
      </c>
      <c r="E1791" s="1104" t="n">
        <f aca="false">'Смета Внутр'!E1791</f>
        <v>350</v>
      </c>
      <c r="F1791" s="1104" t="n">
        <f aca="false">'Смета Внутр'!F1791</f>
        <v>0</v>
      </c>
      <c r="G1791" s="1104" t="n">
        <f aca="false">IF(E1791&gt;F1791,E1791,F1791)</f>
        <v>350</v>
      </c>
      <c r="H1791" s="1104" t="n">
        <f aca="false">'Смета Внутр'!G1791</f>
        <v>92141</v>
      </c>
      <c r="I1791" s="1104" t="n">
        <f aca="false">'Смета Внутр'!H1791</f>
        <v>92141</v>
      </c>
      <c r="J1791" s="1109" t="n">
        <f aca="false">'Смета Внутр'!I1791</f>
        <v>92141</v>
      </c>
    </row>
    <row r="1792" customFormat="false" ht="15" hidden="true" customHeight="true" outlineLevel="0" collapsed="false">
      <c r="B1792" s="1104" t="str">
        <f aca="false">'Смета Внутр'!B1792</f>
        <v>блокхаус</v>
      </c>
      <c r="C1792" s="1104" t="str">
        <f aca="false">'Смета Внутр'!C1792</f>
        <v>м2</v>
      </c>
      <c r="D1792" s="1109" t="n">
        <f aca="false">'Смета Внутр'!D1792</f>
        <v>0</v>
      </c>
      <c r="E1792" s="1104" t="n">
        <f aca="false">'Смета Внутр'!E1792</f>
        <v>500</v>
      </c>
      <c r="F1792" s="1104" t="n">
        <f aca="false">'Смета Внутр'!F1792</f>
        <v>0</v>
      </c>
      <c r="G1792" s="1104" t="n">
        <f aca="false">IF(E1792&gt;F1792,E1792,F1792)</f>
        <v>500</v>
      </c>
      <c r="H1792" s="1104" t="n">
        <f aca="false">'Смета Внутр'!G1792</f>
        <v>0</v>
      </c>
      <c r="I1792" s="1104" t="n">
        <f aca="false">'Смета Внутр'!H1792</f>
        <v>0</v>
      </c>
      <c r="J1792" s="1109" t="n">
        <f aca="false">'Смета Внутр'!I1792</f>
        <v>0</v>
      </c>
    </row>
    <row r="1793" customFormat="false" ht="15" hidden="true" customHeight="true" outlineLevel="0" collapsed="false">
      <c r="B1793" s="1104" t="str">
        <f aca="false">'Смета Внутр'!B1793</f>
        <v>вагонка</v>
      </c>
      <c r="C1793" s="1104" t="str">
        <f aca="false">'Смета Внутр'!C1793</f>
        <v>м2</v>
      </c>
      <c r="D1793" s="1109" t="n">
        <f aca="false">'Смета Внутр'!D1793</f>
        <v>0</v>
      </c>
      <c r="E1793" s="1104" t="n">
        <f aca="false">'Смета Внутр'!E1793</f>
        <v>250</v>
      </c>
      <c r="F1793" s="1104" t="n">
        <f aca="false">'Смета Внутр'!F1793</f>
        <v>0</v>
      </c>
      <c r="G1793" s="1104" t="n">
        <f aca="false">IF(E1793&gt;F1793,E1793,F1793)</f>
        <v>250</v>
      </c>
      <c r="H1793" s="1104" t="n">
        <f aca="false">'Смета Внутр'!G1793</f>
        <v>0</v>
      </c>
      <c r="I1793" s="1104" t="n">
        <f aca="false">'Смета Внутр'!H1793</f>
        <v>0</v>
      </c>
      <c r="J1793" s="1109" t="n">
        <f aca="false">'Смета Внутр'!I1793</f>
        <v>0</v>
      </c>
    </row>
    <row r="1794" customFormat="false" ht="15" hidden="true" customHeight="true" outlineLevel="0" collapsed="false">
      <c r="B1794" s="1104" t="str">
        <f aca="false">'Смета Внутр'!B1794</f>
        <v>подсистема, брусок</v>
      </c>
      <c r="C1794" s="1104" t="str">
        <f aca="false">'Смета Внутр'!C1794</f>
        <v>м.п.</v>
      </c>
      <c r="D1794" s="1109" t="n">
        <f aca="false">'Смета Внутр'!D1794</f>
        <v>0</v>
      </c>
      <c r="E1794" s="1104" t="n">
        <f aca="false">'Смета Внутр'!E1794</f>
        <v>6</v>
      </c>
      <c r="F1794" s="1104" t="n">
        <f aca="false">'Смета Внутр'!F1794</f>
        <v>0</v>
      </c>
      <c r="G1794" s="1104" t="n">
        <f aca="false">IF(E1794&gt;F1794,E1794,F1794)</f>
        <v>6</v>
      </c>
      <c r="H1794" s="1104" t="n">
        <f aca="false">'Смета Внутр'!G1794</f>
        <v>0</v>
      </c>
      <c r="I1794" s="1104" t="n">
        <f aca="false">'Смета Внутр'!H1794</f>
        <v>0</v>
      </c>
      <c r="J1794" s="1109" t="n">
        <f aca="false">'Смета Внутр'!I1794</f>
        <v>0</v>
      </c>
    </row>
    <row r="1795" customFormat="false" ht="15" hidden="true" customHeight="true" outlineLevel="0" collapsed="false">
      <c r="B1795" s="1104" t="str">
        <f aca="false">'Смета Внутр'!B1795</f>
        <v>уголок крепежный</v>
      </c>
      <c r="C1795" s="1104" t="str">
        <f aca="false">'Смета Внутр'!C1795</f>
        <v>шт</v>
      </c>
      <c r="D1795" s="1109" t="n">
        <f aca="false">'Смета Внутр'!D1795</f>
        <v>0</v>
      </c>
      <c r="E1795" s="1104" t="n">
        <f aca="false">'Смета Внутр'!E1795</f>
        <v>8</v>
      </c>
      <c r="F1795" s="1104" t="n">
        <f aca="false">'Смета Внутр'!F1795</f>
        <v>0</v>
      </c>
      <c r="G1795" s="1104" t="n">
        <f aca="false">IF(E1795&gt;F1795,E1795,F1795)</f>
        <v>8</v>
      </c>
      <c r="H1795" s="1104" t="n">
        <f aca="false">'Смета Внутр'!G1795</f>
        <v>0</v>
      </c>
      <c r="I1795" s="1104" t="n">
        <f aca="false">'Смета Внутр'!H1795</f>
        <v>0</v>
      </c>
      <c r="J1795" s="1109" t="n">
        <f aca="false">'Смета Внутр'!I1795</f>
        <v>0</v>
      </c>
    </row>
    <row r="1796" customFormat="false" ht="15" hidden="true" customHeight="true" outlineLevel="0" collapsed="false">
      <c r="B1796" s="1104" t="str">
        <f aca="false">'Смета Внутр'!B1796</f>
        <v>гвозди/саморезы для крепления подсистемы</v>
      </c>
      <c r="C1796" s="1104" t="str">
        <f aca="false">'Смета Внутр'!C1796</f>
        <v>шт</v>
      </c>
      <c r="D1796" s="1109" t="n">
        <f aca="false">'Смета Внутр'!D1796</f>
        <v>0</v>
      </c>
      <c r="E1796" s="1104" t="n">
        <f aca="false">'Смета Внутр'!E1796</f>
        <v>0.02</v>
      </c>
      <c r="F1796" s="1104" t="n">
        <f aca="false">'Смета Внутр'!F1796</f>
        <v>0</v>
      </c>
      <c r="G1796" s="1104" t="n">
        <f aca="false">IF(E1796&gt;F1796,E1796,F1796)</f>
        <v>0.02</v>
      </c>
      <c r="H1796" s="1104" t="n">
        <f aca="false">'Смета Внутр'!G1796</f>
        <v>0</v>
      </c>
      <c r="I1796" s="1104" t="n">
        <f aca="false">'Смета Внутр'!H1796</f>
        <v>0</v>
      </c>
      <c r="J1796" s="1109" t="n">
        <f aca="false">'Смета Внутр'!I1796</f>
        <v>0</v>
      </c>
    </row>
    <row r="1797" customFormat="false" ht="15" hidden="true" customHeight="true" outlineLevel="0" collapsed="false">
      <c r="B1797" s="1104" t="str">
        <f aca="false">'Смета Внутр'!B1797</f>
        <v>гвозди/саморезы для крепления</v>
      </c>
      <c r="C1797" s="1104" t="str">
        <f aca="false">'Смета Внутр'!C1797</f>
        <v>шт</v>
      </c>
      <c r="D1797" s="1109" t="n">
        <f aca="false">'Смета Внутр'!D1797</f>
        <v>5265.2</v>
      </c>
      <c r="E1797" s="1104" t="n">
        <f aca="false">'Смета Внутр'!E1797</f>
        <v>0.02</v>
      </c>
      <c r="F1797" s="1104" t="n">
        <f aca="false">'Смета Внутр'!F1797</f>
        <v>0</v>
      </c>
      <c r="G1797" s="1104" t="n">
        <f aca="false">IF(E1797&gt;F1797,E1797,F1797)</f>
        <v>0.02</v>
      </c>
      <c r="H1797" s="1104" t="n">
        <f aca="false">'Смета Внутр'!G1797</f>
        <v>105.304</v>
      </c>
      <c r="I1797" s="1104" t="n">
        <f aca="false">'Смета Внутр'!H1797</f>
        <v>105.304</v>
      </c>
      <c r="J1797" s="1109" t="n">
        <f aca="false">'Смета Внутр'!I1797</f>
        <v>105.304</v>
      </c>
    </row>
    <row r="1798" customFormat="false" ht="15" hidden="true" customHeight="true" outlineLevel="0" collapsed="false">
      <c r="B1798" s="1104" t="str">
        <f aca="false">'Смета Внутр'!B1798</f>
        <v>Монтаж евровагонка</v>
      </c>
      <c r="C1798" s="1104" t="str">
        <f aca="false">'Смета Внутр'!C1798</f>
        <v>м2</v>
      </c>
      <c r="D1798" s="1109" t="n">
        <f aca="false">'Смета Внутр'!D1798</f>
        <v>0</v>
      </c>
      <c r="E1798" s="1104" t="n">
        <f aca="false">'Смета Внутр'!E1798</f>
        <v>400</v>
      </c>
      <c r="F1798" s="1104" t="n">
        <f aca="false">'Смета Внутр'!F1798</f>
        <v>0</v>
      </c>
      <c r="G1798" s="1104" t="n">
        <f aca="false">IF(E1798&gt;F1798,E1798,F1798)</f>
        <v>400</v>
      </c>
      <c r="H1798" s="1104" t="n">
        <f aca="false">'Смета Внутр'!G1798</f>
        <v>0</v>
      </c>
      <c r="I1798" s="1104" t="n">
        <f aca="false">'Смета Внутр'!H1798</f>
        <v>0</v>
      </c>
      <c r="J1798" s="1109" t="n">
        <f aca="false">'Смета Внутр'!I1798</f>
        <v>0</v>
      </c>
    </row>
    <row r="1799" customFormat="false" ht="15" hidden="true" customHeight="true" outlineLevel="0" collapsed="false">
      <c r="B1799" s="1104" t="str">
        <f aca="false">'Смета Внутр'!B1799</f>
        <v>Монтаж вагонка штиль</v>
      </c>
      <c r="C1799" s="1104" t="str">
        <f aca="false">'Смета Внутр'!C1799</f>
        <v>м2</v>
      </c>
      <c r="D1799" s="1109" t="n">
        <f aca="false">'Смета Внутр'!D1799</f>
        <v>0</v>
      </c>
      <c r="E1799" s="1104" t="n">
        <f aca="false">'Смета Внутр'!E1799</f>
        <v>400</v>
      </c>
      <c r="F1799" s="1104" t="n">
        <f aca="false">'Смета Внутр'!F1799</f>
        <v>0</v>
      </c>
      <c r="G1799" s="1104" t="n">
        <f aca="false">IF(E1799&gt;F1799,E1799,F1799)</f>
        <v>400</v>
      </c>
      <c r="H1799" s="1104" t="n">
        <f aca="false">'Смета Внутр'!G1799</f>
        <v>0</v>
      </c>
      <c r="I1799" s="1104" t="n">
        <f aca="false">'Смета Внутр'!H1799</f>
        <v>0</v>
      </c>
      <c r="J1799" s="1109" t="n">
        <f aca="false">'Смета Внутр'!I1799</f>
        <v>0</v>
      </c>
    </row>
    <row r="1800" customFormat="false" ht="15" hidden="true" customHeight="true" outlineLevel="0" collapsed="false">
      <c r="B1800" s="1104" t="str">
        <f aca="false">'Смета Внутр'!B1800</f>
        <v>Монтаж софт лайн</v>
      </c>
      <c r="C1800" s="1104" t="str">
        <f aca="false">'Смета Внутр'!C1800</f>
        <v>м2</v>
      </c>
      <c r="D1800" s="1109" t="n">
        <f aca="false">'Смета Внутр'!D1800</f>
        <v>0</v>
      </c>
      <c r="E1800" s="1104" t="n">
        <f aca="false">'Смета Внутр'!E1800</f>
        <v>400</v>
      </c>
      <c r="F1800" s="1104" t="n">
        <f aca="false">'Смета Внутр'!F1800</f>
        <v>0</v>
      </c>
      <c r="G1800" s="1104" t="n">
        <f aca="false">IF(E1800&gt;F1800,E1800,F1800)</f>
        <v>400</v>
      </c>
      <c r="H1800" s="1104" t="n">
        <f aca="false">'Смета Внутр'!G1800</f>
        <v>0</v>
      </c>
      <c r="I1800" s="1104" t="n">
        <f aca="false">'Смета Внутр'!H1800</f>
        <v>0</v>
      </c>
      <c r="J1800" s="1109" t="n">
        <f aca="false">'Смета Внутр'!I1800</f>
        <v>0</v>
      </c>
    </row>
    <row r="1801" customFormat="false" ht="15" hidden="true" customHeight="true" outlineLevel="0" collapsed="false">
      <c r="B1801" s="1104" t="str">
        <f aca="false">'Смета Внутр'!B1801</f>
        <v>Монтаж блокхаус</v>
      </c>
      <c r="C1801" s="1104" t="str">
        <f aca="false">'Смета Внутр'!C1801</f>
        <v>м2</v>
      </c>
      <c r="D1801" s="1109" t="n">
        <f aca="false">'Смета Внутр'!D1801</f>
        <v>0</v>
      </c>
      <c r="E1801" s="1104" t="n">
        <f aca="false">'Смета Внутр'!E1801</f>
        <v>400</v>
      </c>
      <c r="F1801" s="1104" t="n">
        <f aca="false">'Смета Внутр'!F1801</f>
        <v>0</v>
      </c>
      <c r="G1801" s="1104" t="n">
        <f aca="false">IF(E1801&gt;F1801,E1801,F1801)</f>
        <v>400</v>
      </c>
      <c r="H1801" s="1104" t="n">
        <f aca="false">'Смета Внутр'!G1801</f>
        <v>0</v>
      </c>
      <c r="I1801" s="1104" t="n">
        <f aca="false">'Смета Внутр'!H1801</f>
        <v>0</v>
      </c>
      <c r="J1801" s="1109" t="n">
        <f aca="false">'Смета Внутр'!I1801</f>
        <v>0</v>
      </c>
    </row>
    <row r="1802" customFormat="false" ht="15" hidden="true" customHeight="true" outlineLevel="0" collapsed="false">
      <c r="B1802" s="1105" t="str">
        <f aca="false">'Смета Внутр'!B1802</f>
        <v>Потолок</v>
      </c>
      <c r="C1802" s="1105"/>
      <c r="D1802" s="1105"/>
      <c r="E1802" s="1105"/>
      <c r="F1802" s="1105"/>
      <c r="G1802" s="1105"/>
      <c r="H1802" s="1104" t="n">
        <f aca="false">'Смета Внутр'!G1802</f>
        <v>0</v>
      </c>
      <c r="I1802" s="1104" t="n">
        <f aca="false">'Смета Внутр'!H1802</f>
        <v>1</v>
      </c>
      <c r="J1802" s="1107" t="n">
        <f aca="false">'Смета Внутр'!I1802</f>
        <v>1</v>
      </c>
    </row>
    <row r="1803" customFormat="false" ht="15" hidden="true" customHeight="true" outlineLevel="0" collapsed="false">
      <c r="B1803" s="1104" t="str">
        <f aca="false">'Смета Внутр'!B1803</f>
        <v>ГКЛ, 9мм</v>
      </c>
      <c r="C1803" s="1104" t="str">
        <f aca="false">'Смета Внутр'!C1803</f>
        <v>м2</v>
      </c>
      <c r="D1803" s="1109" t="n">
        <f aca="false">'Смета Внутр'!D1803</f>
        <v>0</v>
      </c>
      <c r="E1803" s="1104" t="n">
        <f aca="false">'Смета Внутр'!E1803</f>
        <v>80</v>
      </c>
      <c r="F1803" s="1104" t="n">
        <f aca="false">'Смета Внутр'!F1803</f>
        <v>0</v>
      </c>
      <c r="G1803" s="1104" t="n">
        <f aca="false">IF(E1803&gt;F1803,E1803,F1803)</f>
        <v>80</v>
      </c>
      <c r="H1803" s="1104" t="n">
        <f aca="false">'Смета Внутр'!G1803</f>
        <v>0</v>
      </c>
      <c r="I1803" s="1104" t="n">
        <f aca="false">'Смета Внутр'!H1803</f>
        <v>0</v>
      </c>
      <c r="J1803" s="1109" t="n">
        <f aca="false">'Смета Внутр'!I1803</f>
        <v>0</v>
      </c>
    </row>
    <row r="1804" customFormat="false" ht="15" hidden="true" customHeight="true" outlineLevel="0" collapsed="false">
      <c r="B1804" s="1104" t="str">
        <f aca="false">'Смета Внутр'!B1804</f>
        <v>профиль 60/27/3000</v>
      </c>
      <c r="C1804" s="1104" t="str">
        <f aca="false">'Смета Внутр'!C1804</f>
        <v>шт</v>
      </c>
      <c r="D1804" s="1109" t="n">
        <f aca="false">'Смета Внутр'!D1804</f>
        <v>0</v>
      </c>
      <c r="E1804" s="1104" t="n">
        <f aca="false">'Смета Внутр'!E1804</f>
        <v>100</v>
      </c>
      <c r="F1804" s="1104" t="n">
        <f aca="false">'Смета Внутр'!F1804</f>
        <v>0</v>
      </c>
      <c r="G1804" s="1104" t="n">
        <f aca="false">IF(E1804&gt;F1804,E1804,F1804)</f>
        <v>100</v>
      </c>
      <c r="H1804" s="1104" t="n">
        <f aca="false">'Смета Внутр'!G1804</f>
        <v>0</v>
      </c>
      <c r="I1804" s="1104" t="n">
        <f aca="false">'Смета Внутр'!H1804</f>
        <v>0</v>
      </c>
      <c r="J1804" s="1109" t="n">
        <f aca="false">'Смета Внутр'!I1804</f>
        <v>0</v>
      </c>
    </row>
    <row r="1805" customFormat="false" ht="15" hidden="true" customHeight="true" outlineLevel="0" collapsed="false">
      <c r="B1805" s="1104" t="str">
        <f aca="false">'Смета Внутр'!B1805</f>
        <v>профиль 27/28/3000</v>
      </c>
      <c r="C1805" s="1104" t="str">
        <f aca="false">'Смета Внутр'!C1805</f>
        <v>шт</v>
      </c>
      <c r="D1805" s="1109" t="n">
        <f aca="false">'Смета Внутр'!D1805</f>
        <v>0</v>
      </c>
      <c r="E1805" s="1104" t="n">
        <f aca="false">'Смета Внутр'!E1805</f>
        <v>100</v>
      </c>
      <c r="F1805" s="1104" t="n">
        <f aca="false">'Смета Внутр'!F1805</f>
        <v>0</v>
      </c>
      <c r="G1805" s="1104" t="n">
        <f aca="false">IF(E1805&gt;F1805,E1805,F1805)</f>
        <v>100</v>
      </c>
      <c r="H1805" s="1104" t="n">
        <f aca="false">'Смета Внутр'!G1805</f>
        <v>0</v>
      </c>
      <c r="I1805" s="1104" t="n">
        <f aca="false">'Смета Внутр'!H1805</f>
        <v>0</v>
      </c>
      <c r="J1805" s="1109" t="n">
        <f aca="false">'Смета Внутр'!I1805</f>
        <v>0</v>
      </c>
    </row>
    <row r="1806" customFormat="false" ht="15" hidden="true" customHeight="true" outlineLevel="0" collapsed="false">
      <c r="B1806" s="1104" t="str">
        <f aca="false">'Смета Внутр'!B1806</f>
        <v>подвес прямой</v>
      </c>
      <c r="C1806" s="1104" t="str">
        <f aca="false">'Смета Внутр'!C1806</f>
        <v>шт</v>
      </c>
      <c r="D1806" s="1109" t="n">
        <f aca="false">'Смета Внутр'!D1806</f>
        <v>0</v>
      </c>
      <c r="E1806" s="1104" t="n">
        <f aca="false">'Смета Внутр'!E1806</f>
        <v>9</v>
      </c>
      <c r="F1806" s="1104" t="n">
        <f aca="false">'Смета Внутр'!F1806</f>
        <v>0</v>
      </c>
      <c r="G1806" s="1104" t="n">
        <f aca="false">IF(E1806&gt;F1806,E1806,F1806)</f>
        <v>9</v>
      </c>
      <c r="H1806" s="1104" t="n">
        <f aca="false">'Смета Внутр'!G1806</f>
        <v>0</v>
      </c>
      <c r="I1806" s="1104" t="n">
        <f aca="false">'Смета Внутр'!H1806</f>
        <v>0</v>
      </c>
      <c r="J1806" s="1109" t="n">
        <f aca="false">'Смета Внутр'!I1806</f>
        <v>0</v>
      </c>
    </row>
    <row r="1807" customFormat="false" ht="15" hidden="true" customHeight="true" outlineLevel="0" collapsed="false">
      <c r="B1807" s="1104" t="str">
        <f aca="false">'Смета Внутр'!B1807</f>
        <v>саморез металл/металл, 13мм</v>
      </c>
      <c r="C1807" s="1104" t="str">
        <f aca="false">'Смета Внутр'!C1807</f>
        <v>шт</v>
      </c>
      <c r="D1807" s="1109" t="n">
        <f aca="false">'Смета Внутр'!D1807</f>
        <v>0</v>
      </c>
      <c r="E1807" s="1104" t="n">
        <f aca="false">'Смета Внутр'!E1807</f>
        <v>0.025</v>
      </c>
      <c r="F1807" s="1104" t="n">
        <f aca="false">'Смета Внутр'!F1807</f>
        <v>0</v>
      </c>
      <c r="G1807" s="1104" t="n">
        <f aca="false">IF(E1807&gt;F1807,E1807,F1807)</f>
        <v>0.025</v>
      </c>
      <c r="H1807" s="1104" t="n">
        <f aca="false">'Смета Внутр'!G1807</f>
        <v>0</v>
      </c>
      <c r="I1807" s="1104" t="n">
        <f aca="false">'Смета Внутр'!H1807</f>
        <v>0</v>
      </c>
      <c r="J1807" s="1109" t="n">
        <f aca="false">'Смета Внутр'!I1807</f>
        <v>0</v>
      </c>
    </row>
    <row r="1808" customFormat="false" ht="15" hidden="true" customHeight="true" outlineLevel="0" collapsed="false">
      <c r="B1808" s="1104" t="str">
        <f aca="false">'Смета Внутр'!B1808</f>
        <v>саморез гкл/металл, 25мм</v>
      </c>
      <c r="C1808" s="1104" t="str">
        <f aca="false">'Смета Внутр'!C1808</f>
        <v>шт</v>
      </c>
      <c r="D1808" s="1109" t="n">
        <f aca="false">'Смета Внутр'!D1808</f>
        <v>0</v>
      </c>
      <c r="E1808" s="1104" t="n">
        <f aca="false">'Смета Внутр'!E1808</f>
        <v>0.025</v>
      </c>
      <c r="F1808" s="1104" t="n">
        <f aca="false">'Смета Внутр'!F1808</f>
        <v>0</v>
      </c>
      <c r="G1808" s="1104" t="n">
        <f aca="false">IF(E1808&gt;F1808,E1808,F1808)</f>
        <v>0.025</v>
      </c>
      <c r="H1808" s="1104" t="n">
        <f aca="false">'Смета Внутр'!G1808</f>
        <v>0</v>
      </c>
      <c r="I1808" s="1104" t="n">
        <f aca="false">'Смета Внутр'!H1808</f>
        <v>0</v>
      </c>
      <c r="J1808" s="1109" t="n">
        <f aca="false">'Смета Внутр'!I1808</f>
        <v>0</v>
      </c>
    </row>
    <row r="1809" customFormat="false" ht="15" hidden="true" customHeight="true" outlineLevel="0" collapsed="false">
      <c r="B1809" s="1104" t="str">
        <f aca="false">'Смета Внутр'!B1809</f>
        <v>грунтовка, 10л</v>
      </c>
      <c r="C1809" s="1104" t="str">
        <f aca="false">'Смета Внутр'!C1809</f>
        <v>шт</v>
      </c>
      <c r="D1809" s="1109" t="n">
        <f aca="false">'Смета Внутр'!D1809</f>
        <v>0</v>
      </c>
      <c r="E1809" s="1104" t="n">
        <f aca="false">'Смета Внутр'!E1809</f>
        <v>500</v>
      </c>
      <c r="F1809" s="1104" t="n">
        <f aca="false">'Смета Внутр'!F1809</f>
        <v>0</v>
      </c>
      <c r="G1809" s="1104" t="n">
        <f aca="false">IF(E1809&gt;F1809,E1809,F1809)</f>
        <v>500</v>
      </c>
      <c r="H1809" s="1104" t="n">
        <f aca="false">'Смета Внутр'!G1809</f>
        <v>0</v>
      </c>
      <c r="I1809" s="1104" t="n">
        <f aca="false">'Смета Внутр'!H1809</f>
        <v>0</v>
      </c>
      <c r="J1809" s="1109" t="n">
        <f aca="false">'Смета Внутр'!I1809</f>
        <v>0</v>
      </c>
    </row>
    <row r="1810" customFormat="false" ht="15" hidden="true" customHeight="true" outlineLevel="0" collapsed="false">
      <c r="B1810" s="1104" t="str">
        <f aca="false">'Смета Внутр'!B1810</f>
        <v>шпаклевка для швов, 25кг</v>
      </c>
      <c r="C1810" s="1104" t="str">
        <f aca="false">'Смета Внутр'!C1810</f>
        <v>шт</v>
      </c>
      <c r="D1810" s="1109" t="n">
        <f aca="false">'Смета Внутр'!D1810</f>
        <v>0</v>
      </c>
      <c r="E1810" s="1104" t="n">
        <f aca="false">'Смета Внутр'!E1810</f>
        <v>500</v>
      </c>
      <c r="F1810" s="1104" t="n">
        <f aca="false">'Смета Внутр'!F1810</f>
        <v>0</v>
      </c>
      <c r="G1810" s="1104" t="n">
        <f aca="false">IF(E1810&gt;F1810,E1810,F1810)</f>
        <v>500</v>
      </c>
      <c r="H1810" s="1104" t="n">
        <f aca="false">'Смета Внутр'!G1810</f>
        <v>0</v>
      </c>
      <c r="I1810" s="1104" t="n">
        <f aca="false">'Смета Внутр'!H1810</f>
        <v>0</v>
      </c>
      <c r="J1810" s="1109" t="n">
        <f aca="false">'Смета Внутр'!I1810</f>
        <v>0</v>
      </c>
    </row>
    <row r="1811" customFormat="false" ht="15" hidden="true" customHeight="true" outlineLevel="0" collapsed="false">
      <c r="B1811" s="1104" t="str">
        <f aca="false">'Смета Внутр'!B1811</f>
        <v>шпаклевка финишная, 25кг</v>
      </c>
      <c r="C1811" s="1104" t="str">
        <f aca="false">'Смета Внутр'!C1811</f>
        <v>шт</v>
      </c>
      <c r="D1811" s="1109" t="n">
        <f aca="false">'Смета Внутр'!D1811</f>
        <v>0</v>
      </c>
      <c r="E1811" s="1104" t="n">
        <f aca="false">'Смета Внутр'!E1811</f>
        <v>400</v>
      </c>
      <c r="F1811" s="1104" t="n">
        <f aca="false">'Смета Внутр'!F1811</f>
        <v>0</v>
      </c>
      <c r="G1811" s="1104" t="n">
        <f aca="false">IF(E1811&gt;F1811,E1811,F1811)</f>
        <v>400</v>
      </c>
      <c r="H1811" s="1104" t="n">
        <f aca="false">'Смета Внутр'!G1811</f>
        <v>0</v>
      </c>
      <c r="I1811" s="1104" t="n">
        <f aca="false">'Смета Внутр'!H1811</f>
        <v>0</v>
      </c>
      <c r="J1811" s="1109" t="n">
        <f aca="false">'Смета Внутр'!I1811</f>
        <v>0</v>
      </c>
    </row>
    <row r="1812" customFormat="false" ht="15" hidden="true" customHeight="true" outlineLevel="0" collapsed="false">
      <c r="B1812" s="1104" t="str">
        <f aca="false">'Смета Внутр'!B1812</f>
        <v>серпянка для швов, 50м.п.</v>
      </c>
      <c r="C1812" s="1104" t="str">
        <f aca="false">'Смета Внутр'!C1812</f>
        <v>шт</v>
      </c>
      <c r="D1812" s="1109" t="n">
        <f aca="false">'Смета Внутр'!D1812</f>
        <v>0</v>
      </c>
      <c r="E1812" s="1104" t="n">
        <f aca="false">'Смета Внутр'!E1812</f>
        <v>100</v>
      </c>
      <c r="F1812" s="1104" t="n">
        <f aca="false">'Смета Внутр'!F1812</f>
        <v>0</v>
      </c>
      <c r="G1812" s="1104" t="n">
        <f aca="false">IF(E1812&gt;F1812,E1812,F1812)</f>
        <v>100</v>
      </c>
      <c r="H1812" s="1104" t="n">
        <f aca="false">'Смета Внутр'!G1812</f>
        <v>0</v>
      </c>
      <c r="I1812" s="1104" t="n">
        <f aca="false">'Смета Внутр'!H1812</f>
        <v>0</v>
      </c>
      <c r="J1812" s="1109" t="n">
        <f aca="false">'Смета Внутр'!I1812</f>
        <v>0</v>
      </c>
    </row>
    <row r="1813" customFormat="false" ht="15" hidden="true" customHeight="true" outlineLevel="0" collapsed="false">
      <c r="B1813" s="1104" t="str">
        <f aca="false">'Смета Внутр'!B1813</f>
        <v>краска для потолков, 10л</v>
      </c>
      <c r="C1813" s="1104" t="str">
        <f aca="false">'Смета Внутр'!C1813</f>
        <v>шт</v>
      </c>
      <c r="D1813" s="1109" t="n">
        <f aca="false">'Смета Внутр'!D1813</f>
        <v>0</v>
      </c>
      <c r="E1813" s="1104" t="n">
        <f aca="false">'Смета Внутр'!E1813</f>
        <v>1200</v>
      </c>
      <c r="F1813" s="1104" t="n">
        <f aca="false">'Смета Внутр'!F1813</f>
        <v>0</v>
      </c>
      <c r="G1813" s="1104" t="n">
        <f aca="false">IF(E1813&gt;F1813,E1813,F1813)</f>
        <v>1200</v>
      </c>
      <c r="H1813" s="1104" t="n">
        <f aca="false">'Смета Внутр'!G1813</f>
        <v>0</v>
      </c>
      <c r="I1813" s="1104" t="n">
        <f aca="false">'Смета Внутр'!H1813</f>
        <v>0</v>
      </c>
      <c r="J1813" s="1109" t="n">
        <f aca="false">'Смета Внутр'!I1813</f>
        <v>0</v>
      </c>
    </row>
    <row r="1814" customFormat="false" ht="15" hidden="true" customHeight="true" outlineLevel="0" collapsed="false">
      <c r="B1814" s="1104" t="str">
        <f aca="false">'Смета Внутр'!B1814</f>
        <v>багет 1мп</v>
      </c>
      <c r="C1814" s="1104" t="str">
        <f aca="false">'Смета Внутр'!C1814</f>
        <v>м.п.</v>
      </c>
      <c r="D1814" s="1109" t="n">
        <f aca="false">'Смета Внутр'!D1814</f>
        <v>0</v>
      </c>
      <c r="E1814" s="1104" t="n">
        <f aca="false">'Смета Внутр'!E1814</f>
        <v>10</v>
      </c>
      <c r="F1814" s="1104" t="n">
        <f aca="false">'Смета Внутр'!F1814</f>
        <v>0</v>
      </c>
      <c r="G1814" s="1104" t="n">
        <f aca="false">IF(E1814&gt;F1814,E1814,F1814)</f>
        <v>10</v>
      </c>
      <c r="H1814" s="1104" t="n">
        <f aca="false">'Смета Внутр'!G1814</f>
        <v>0</v>
      </c>
      <c r="I1814" s="1104" t="n">
        <f aca="false">'Смета Внутр'!H1814</f>
        <v>0</v>
      </c>
      <c r="J1814" s="1109" t="n">
        <f aca="false">'Смета Внутр'!I1814</f>
        <v>0</v>
      </c>
    </row>
    <row r="1815" customFormat="false" ht="15" hidden="true" customHeight="true" outlineLevel="0" collapsed="false">
      <c r="B1815" s="1104" t="str">
        <f aca="false">'Смета Внутр'!B1815</f>
        <v>шпаклевка для багета, 5 кг</v>
      </c>
      <c r="C1815" s="1104" t="str">
        <f aca="false">'Смета Внутр'!C1815</f>
        <v>шт</v>
      </c>
      <c r="D1815" s="1109" t="n">
        <f aca="false">'Смета Внутр'!D1815</f>
        <v>0</v>
      </c>
      <c r="E1815" s="1104" t="n">
        <f aca="false">'Смета Внутр'!E1815</f>
        <v>100</v>
      </c>
      <c r="F1815" s="1104" t="n">
        <f aca="false">'Смета Внутр'!F1815</f>
        <v>0</v>
      </c>
      <c r="G1815" s="1104" t="n">
        <f aca="false">IF(E1815&gt;F1815,E1815,F1815)</f>
        <v>100</v>
      </c>
      <c r="H1815" s="1104" t="n">
        <f aca="false">'Смета Внутр'!G1815</f>
        <v>0</v>
      </c>
      <c r="I1815" s="1104" t="n">
        <f aca="false">'Смета Внутр'!H1815</f>
        <v>0</v>
      </c>
      <c r="J1815" s="1109" t="n">
        <f aca="false">'Смета Внутр'!I1815</f>
        <v>0</v>
      </c>
    </row>
    <row r="1816" customFormat="false" ht="15" hidden="true" customHeight="true" outlineLevel="0" collapsed="false">
      <c r="B1816" s="1104" t="str">
        <f aca="false">'Смета Внутр'!B1816</f>
        <v>краска для багета, 5 л</v>
      </c>
      <c r="C1816" s="1104" t="str">
        <f aca="false">'Смета Внутр'!C1816</f>
        <v>шт</v>
      </c>
      <c r="D1816" s="1109" t="n">
        <f aca="false">'Смета Внутр'!D1816</f>
        <v>0</v>
      </c>
      <c r="E1816" s="1104" t="n">
        <f aca="false">'Смета Внутр'!E1816</f>
        <v>190</v>
      </c>
      <c r="F1816" s="1104" t="n">
        <f aca="false">'Смета Внутр'!F1816</f>
        <v>0</v>
      </c>
      <c r="G1816" s="1104" t="n">
        <f aca="false">IF(E1816&gt;F1816,E1816,F1816)</f>
        <v>190</v>
      </c>
      <c r="H1816" s="1104" t="n">
        <f aca="false">'Смета Внутр'!G1816</f>
        <v>0</v>
      </c>
      <c r="I1816" s="1104" t="n">
        <f aca="false">'Смета Внутр'!H1816</f>
        <v>0</v>
      </c>
      <c r="J1816" s="1109" t="n">
        <f aca="false">'Смета Внутр'!I1816</f>
        <v>0</v>
      </c>
    </row>
    <row r="1817" customFormat="false" ht="15" hidden="true" customHeight="true" outlineLevel="0" collapsed="false">
      <c r="B1817" s="1104" t="str">
        <f aca="false">'Смета Внутр'!B1817</f>
        <v>наждачная бумага финишная</v>
      </c>
      <c r="C1817" s="1104" t="str">
        <f aca="false">'Смета Внутр'!C1817</f>
        <v>м2</v>
      </c>
      <c r="D1817" s="1109" t="n">
        <f aca="false">'Смета Внутр'!D1817</f>
        <v>0</v>
      </c>
      <c r="E1817" s="1104" t="n">
        <f aca="false">'Смета Внутр'!E1817</f>
        <v>120</v>
      </c>
      <c r="F1817" s="1104" t="n">
        <f aca="false">'Смета Внутр'!F1817</f>
        <v>0</v>
      </c>
      <c r="G1817" s="1104" t="n">
        <f aca="false">IF(E1817&gt;F1817,E1817,F1817)</f>
        <v>120</v>
      </c>
      <c r="H1817" s="1104" t="n">
        <f aca="false">'Смета Внутр'!G1817</f>
        <v>0</v>
      </c>
      <c r="I1817" s="1104" t="n">
        <f aca="false">'Смета Внутр'!H1817</f>
        <v>0</v>
      </c>
      <c r="J1817" s="1109" t="n">
        <f aca="false">'Смета Внутр'!I1817</f>
        <v>0</v>
      </c>
    </row>
    <row r="1818" customFormat="false" ht="15" hidden="true" customHeight="true" outlineLevel="0" collapsed="false">
      <c r="B1818" s="1104" t="str">
        <f aca="false">'Смета Внутр'!B1818</f>
        <v>натяжной потолок</v>
      </c>
      <c r="C1818" s="1104" t="str">
        <f aca="false">'Смета Внутр'!C1818</f>
        <v>м2</v>
      </c>
      <c r="D1818" s="1109" t="n">
        <f aca="false">'Смета Внутр'!D1818</f>
        <v>0</v>
      </c>
      <c r="E1818" s="1104" t="n">
        <f aca="false">'Смета Внутр'!E1818</f>
        <v>400</v>
      </c>
      <c r="F1818" s="1104" t="n">
        <f aca="false">'Смета Внутр'!F1818</f>
        <v>0</v>
      </c>
      <c r="G1818" s="1104" t="n">
        <f aca="false">IF(E1818&gt;F1818,E1818,F1818)</f>
        <v>400</v>
      </c>
      <c r="H1818" s="1104" t="n">
        <f aca="false">'Смета Внутр'!G1818</f>
        <v>0</v>
      </c>
      <c r="I1818" s="1104" t="n">
        <f aca="false">'Смета Внутр'!H1818</f>
        <v>0</v>
      </c>
      <c r="J1818" s="1109" t="n">
        <f aca="false">'Смета Внутр'!I1818</f>
        <v>0</v>
      </c>
    </row>
    <row r="1819" customFormat="false" ht="15" hidden="true" customHeight="true" outlineLevel="0" collapsed="false">
      <c r="B1819" s="1104" t="str">
        <f aca="false">'Смета Внутр'!B1819</f>
        <v>имитация бруса</v>
      </c>
      <c r="C1819" s="1104" t="str">
        <f aca="false">'Смета Внутр'!C1819</f>
        <v>м2</v>
      </c>
      <c r="D1819" s="1109" t="n">
        <f aca="false">'Смета Внутр'!D1819</f>
        <v>0</v>
      </c>
      <c r="E1819" s="1104" t="n">
        <f aca="false">'Смета Внутр'!E1819</f>
        <v>350</v>
      </c>
      <c r="F1819" s="1104" t="n">
        <f aca="false">'Смета Внутр'!F1819</f>
        <v>0</v>
      </c>
      <c r="G1819" s="1104" t="n">
        <f aca="false">IF(E1819&gt;F1819,E1819,F1819)</f>
        <v>350</v>
      </c>
      <c r="H1819" s="1104" t="n">
        <f aca="false">'Смета Внутр'!G1819</f>
        <v>0</v>
      </c>
      <c r="I1819" s="1104" t="n">
        <f aca="false">'Смета Внутр'!H1819</f>
        <v>0</v>
      </c>
      <c r="J1819" s="1109" t="n">
        <f aca="false">'Смета Внутр'!I1819</f>
        <v>0</v>
      </c>
    </row>
    <row r="1820" customFormat="false" ht="15" hidden="true" customHeight="true" outlineLevel="0" collapsed="false">
      <c r="B1820" s="1104" t="str">
        <f aca="false">'Смета Внутр'!B1820</f>
        <v>блокхаус</v>
      </c>
      <c r="C1820" s="1104" t="str">
        <f aca="false">'Смета Внутр'!C1820</f>
        <v>м2</v>
      </c>
      <c r="D1820" s="1109" t="n">
        <f aca="false">'Смета Внутр'!D1820</f>
        <v>0</v>
      </c>
      <c r="E1820" s="1104" t="n">
        <f aca="false">'Смета Внутр'!E1820</f>
        <v>500</v>
      </c>
      <c r="F1820" s="1104" t="n">
        <f aca="false">'Смета Внутр'!F1820</f>
        <v>0</v>
      </c>
      <c r="G1820" s="1104" t="n">
        <f aca="false">IF(E1820&gt;F1820,E1820,F1820)</f>
        <v>500</v>
      </c>
      <c r="H1820" s="1104" t="n">
        <f aca="false">'Смета Внутр'!G1820</f>
        <v>0</v>
      </c>
      <c r="I1820" s="1104" t="n">
        <f aca="false">'Смета Внутр'!H1820</f>
        <v>0</v>
      </c>
      <c r="J1820" s="1109" t="n">
        <f aca="false">'Смета Внутр'!I1820</f>
        <v>0</v>
      </c>
    </row>
    <row r="1821" customFormat="false" ht="15" hidden="true" customHeight="true" outlineLevel="0" collapsed="false">
      <c r="B1821" s="1104" t="str">
        <f aca="false">'Смета Внутр'!B1821</f>
        <v>вагонка</v>
      </c>
      <c r="C1821" s="1104" t="str">
        <f aca="false">'Смета Внутр'!C1821</f>
        <v>м2</v>
      </c>
      <c r="D1821" s="1109" t="n">
        <f aca="false">'Смета Внутр'!D1821</f>
        <v>88.7321893085902</v>
      </c>
      <c r="E1821" s="1104" t="n">
        <f aca="false">'Смета Внутр'!E1821</f>
        <v>250</v>
      </c>
      <c r="F1821" s="1104" t="n">
        <f aca="false">'Смета Внутр'!F1821</f>
        <v>0</v>
      </c>
      <c r="G1821" s="1104" t="n">
        <f aca="false">IF(E1821&gt;F1821,E1821,F1821)</f>
        <v>250</v>
      </c>
      <c r="H1821" s="1104" t="n">
        <f aca="false">'Смета Внутр'!G1821</f>
        <v>22183.0473271476</v>
      </c>
      <c r="I1821" s="1104" t="n">
        <f aca="false">'Смета Внутр'!H1821</f>
        <v>22183.0473271476</v>
      </c>
      <c r="J1821" s="1109" t="n">
        <f aca="false">'Смета Внутр'!I1821</f>
        <v>22183.0473271476</v>
      </c>
    </row>
    <row r="1822" customFormat="false" ht="15" hidden="true" customHeight="true" outlineLevel="0" collapsed="false">
      <c r="B1822" s="1104" t="str">
        <f aca="false">'Смета Внутр'!B1822</f>
        <v>подсистема, брусок</v>
      </c>
      <c r="C1822" s="1104" t="str">
        <f aca="false">'Смета Внутр'!C1822</f>
        <v>м.п.</v>
      </c>
      <c r="D1822" s="1109" t="n">
        <f aca="false">'Смета Внутр'!D1822</f>
        <v>0</v>
      </c>
      <c r="E1822" s="1104" t="n">
        <f aca="false">'Смета Внутр'!E1822</f>
        <v>6</v>
      </c>
      <c r="F1822" s="1104" t="n">
        <f aca="false">'Смета Внутр'!F1822</f>
        <v>0</v>
      </c>
      <c r="G1822" s="1104" t="n">
        <f aca="false">IF(E1822&gt;F1822,E1822,F1822)</f>
        <v>6</v>
      </c>
      <c r="H1822" s="1104" t="n">
        <f aca="false">'Смета Внутр'!G1822</f>
        <v>0</v>
      </c>
      <c r="I1822" s="1104" t="n">
        <f aca="false">'Смета Внутр'!H1822</f>
        <v>0</v>
      </c>
      <c r="J1822" s="1109" t="n">
        <f aca="false">'Смета Внутр'!I1822</f>
        <v>0</v>
      </c>
    </row>
    <row r="1823" customFormat="false" ht="15" hidden="true" customHeight="true" outlineLevel="0" collapsed="false">
      <c r="B1823" s="1104" t="str">
        <f aca="false">'Смета Внутр'!B1823</f>
        <v>уголок крепежный</v>
      </c>
      <c r="C1823" s="1104" t="str">
        <f aca="false">'Смета Внутр'!C1823</f>
        <v>шт</v>
      </c>
      <c r="D1823" s="1109" t="n">
        <f aca="false">'Смета Внутр'!D1823</f>
        <v>0</v>
      </c>
      <c r="E1823" s="1104" t="n">
        <f aca="false">'Смета Внутр'!E1823</f>
        <v>8</v>
      </c>
      <c r="F1823" s="1104" t="n">
        <f aca="false">'Смета Внутр'!F1823</f>
        <v>0</v>
      </c>
      <c r="G1823" s="1104" t="n">
        <f aca="false">IF(E1823&gt;F1823,E1823,F1823)</f>
        <v>8</v>
      </c>
      <c r="H1823" s="1104" t="n">
        <f aca="false">'Смета Внутр'!G1823</f>
        <v>0</v>
      </c>
      <c r="I1823" s="1104" t="n">
        <f aca="false">'Смета Внутр'!H1823</f>
        <v>0</v>
      </c>
      <c r="J1823" s="1109" t="n">
        <f aca="false">'Смета Внутр'!I1823</f>
        <v>0</v>
      </c>
    </row>
    <row r="1824" customFormat="false" ht="15" hidden="true" customHeight="true" outlineLevel="0" collapsed="false">
      <c r="B1824" s="1104" t="str">
        <f aca="false">'Смета Внутр'!B1824</f>
        <v>гвозди/саморезы для крепления подсистемы</v>
      </c>
      <c r="C1824" s="1104" t="str">
        <f aca="false">'Смета Внутр'!C1824</f>
        <v>шт</v>
      </c>
      <c r="D1824" s="1109" t="n">
        <f aca="false">'Смета Внутр'!D1824</f>
        <v>0</v>
      </c>
      <c r="E1824" s="1104" t="n">
        <f aca="false">'Смета Внутр'!E1824</f>
        <v>0.02</v>
      </c>
      <c r="F1824" s="1104" t="n">
        <f aca="false">'Смета Внутр'!F1824</f>
        <v>0</v>
      </c>
      <c r="G1824" s="1104" t="n">
        <f aca="false">IF(E1824&gt;F1824,E1824,F1824)</f>
        <v>0.02</v>
      </c>
      <c r="H1824" s="1104" t="n">
        <f aca="false">'Смета Внутр'!G1824</f>
        <v>0</v>
      </c>
      <c r="I1824" s="1104" t="n">
        <f aca="false">'Смета Внутр'!H1824</f>
        <v>0</v>
      </c>
      <c r="J1824" s="1109" t="n">
        <f aca="false">'Смета Внутр'!I1824</f>
        <v>0</v>
      </c>
    </row>
    <row r="1825" customFormat="false" ht="15" hidden="true" customHeight="true" outlineLevel="0" collapsed="false">
      <c r="B1825" s="1104" t="str">
        <f aca="false">'Смета Внутр'!B1825</f>
        <v>гвозди/саморезы для крепления</v>
      </c>
      <c r="C1825" s="1104" t="str">
        <f aca="false">'Смета Внутр'!C1825</f>
        <v>шт</v>
      </c>
      <c r="D1825" s="1109" t="n">
        <f aca="false">'Смета Внутр'!D1825</f>
        <v>1774.6437861718</v>
      </c>
      <c r="E1825" s="1104" t="n">
        <f aca="false">'Смета Внутр'!E1825</f>
        <v>0.02</v>
      </c>
      <c r="F1825" s="1104" t="n">
        <f aca="false">'Смета Внутр'!F1825</f>
        <v>0</v>
      </c>
      <c r="G1825" s="1104" t="n">
        <f aca="false">IF(E1825&gt;F1825,E1825,F1825)</f>
        <v>0.02</v>
      </c>
      <c r="H1825" s="1104" t="n">
        <f aca="false">'Смета Внутр'!G1825</f>
        <v>35.4928757234361</v>
      </c>
      <c r="I1825" s="1104" t="n">
        <f aca="false">'Смета Внутр'!H1825</f>
        <v>35.4928757234361</v>
      </c>
      <c r="J1825" s="1109" t="n">
        <f aca="false">'Смета Внутр'!I1825</f>
        <v>35.4928757234361</v>
      </c>
    </row>
    <row r="1826" customFormat="false" ht="15" hidden="true" customHeight="true" outlineLevel="0" collapsed="false">
      <c r="B1826" s="1105" t="str">
        <f aca="false">'Смета Внутр'!B1826</f>
        <v>Пол</v>
      </c>
      <c r="C1826" s="1105"/>
      <c r="D1826" s="1105"/>
      <c r="E1826" s="1105"/>
      <c r="F1826" s="1105"/>
      <c r="G1826" s="1105"/>
      <c r="H1826" s="1104" t="n">
        <f aca="false">'Смета Внутр'!G1826</f>
        <v>0</v>
      </c>
      <c r="I1826" s="1104" t="n">
        <f aca="false">'Смета Внутр'!H1826</f>
        <v>0</v>
      </c>
      <c r="J1826" s="1107" t="n">
        <f aca="false">'Смета Внутр'!I1826</f>
        <v>0</v>
      </c>
    </row>
    <row r="1827" customFormat="false" ht="15" hidden="true" customHeight="true" outlineLevel="0" collapsed="false">
      <c r="B1827" s="1104" t="str">
        <f aca="false">'Смета Внутр'!B1827</f>
        <v>подложка под покрытие</v>
      </c>
      <c r="C1827" s="1104" t="str">
        <f aca="false">'Смета Внутр'!C1827</f>
        <v>м2</v>
      </c>
      <c r="D1827" s="1109" t="n">
        <f aca="false">'Смета Внутр'!D1827</f>
        <v>0</v>
      </c>
      <c r="E1827" s="1104" t="n">
        <f aca="false">'Смета Внутр'!E1827</f>
        <v>50</v>
      </c>
      <c r="F1827" s="1104" t="n">
        <f aca="false">'Смета Внутр'!F1827</f>
        <v>0</v>
      </c>
      <c r="G1827" s="1104" t="n">
        <f aca="false">IF(E1827&gt;F1827,E1827,F1827)</f>
        <v>50</v>
      </c>
      <c r="H1827" s="1104" t="n">
        <f aca="false">'Смета Внутр'!G1827</f>
        <v>0</v>
      </c>
      <c r="I1827" s="1104" t="n">
        <f aca="false">'Смета Внутр'!H1827</f>
        <v>0</v>
      </c>
      <c r="J1827" s="1109" t="n">
        <f aca="false">'Смета Внутр'!I1827</f>
        <v>0</v>
      </c>
    </row>
    <row r="1828" customFormat="false" ht="15" hidden="true" customHeight="true" outlineLevel="0" collapsed="false">
      <c r="B1828" s="1104" t="str">
        <f aca="false">'Смета Внутр'!B1828</f>
        <v>линолеум</v>
      </c>
      <c r="C1828" s="1104" t="str">
        <f aca="false">'Смета Внутр'!C1828</f>
        <v>м2</v>
      </c>
      <c r="D1828" s="1109" t="n">
        <f aca="false">'Смета Внутр'!D1828</f>
        <v>0</v>
      </c>
      <c r="E1828" s="1104" t="n">
        <f aca="false">'Смета Внутр'!E1828</f>
        <v>350</v>
      </c>
      <c r="F1828" s="1104" t="n">
        <f aca="false">'Смета Внутр'!F1828</f>
        <v>0</v>
      </c>
      <c r="G1828" s="1104" t="n">
        <f aca="false">IF(E1828&gt;F1828,E1828,F1828)</f>
        <v>350</v>
      </c>
      <c r="H1828" s="1104" t="n">
        <f aca="false">'Смета Внутр'!G1828</f>
        <v>0</v>
      </c>
      <c r="I1828" s="1104" t="n">
        <f aca="false">'Смета Внутр'!H1828</f>
        <v>0</v>
      </c>
      <c r="J1828" s="1109" t="n">
        <f aca="false">'Смета Внутр'!I1828</f>
        <v>0</v>
      </c>
    </row>
    <row r="1829" customFormat="false" ht="15" hidden="true" customHeight="true" outlineLevel="0" collapsed="false">
      <c r="B1829" s="1104" t="str">
        <f aca="false">'Смета Внутр'!B1829</f>
        <v>ламинат</v>
      </c>
      <c r="C1829" s="1104" t="str">
        <f aca="false">'Смета Внутр'!C1829</f>
        <v>м2</v>
      </c>
      <c r="D1829" s="1109" t="n">
        <f aca="false">'Смета Внутр'!D1829</f>
        <v>0</v>
      </c>
      <c r="E1829" s="1104" t="n">
        <f aca="false">'Смета Внутр'!E1829</f>
        <v>450</v>
      </c>
      <c r="F1829" s="1104" t="n">
        <f aca="false">'Смета Внутр'!F1829</f>
        <v>0</v>
      </c>
      <c r="G1829" s="1104" t="n">
        <f aca="false">IF(E1829&gt;F1829,E1829,F1829)</f>
        <v>450</v>
      </c>
      <c r="H1829" s="1104" t="n">
        <f aca="false">'Смета Внутр'!G1829</f>
        <v>0</v>
      </c>
      <c r="I1829" s="1104" t="n">
        <f aca="false">'Смета Внутр'!H1829</f>
        <v>0</v>
      </c>
      <c r="J1829" s="1109" t="n">
        <f aca="false">'Смета Внутр'!I1829</f>
        <v>0</v>
      </c>
    </row>
    <row r="1830" customFormat="false" ht="15" hidden="true" customHeight="true" outlineLevel="0" collapsed="false">
      <c r="B1830" s="1104" t="str">
        <f aca="false">'Смета Внутр'!B1830</f>
        <v>уголки, расходные материалы</v>
      </c>
      <c r="C1830" s="1104" t="str">
        <f aca="false">'Смета Внутр'!C1830</f>
        <v>шт</v>
      </c>
      <c r="D1830" s="1109" t="n">
        <f aca="false">'Смета Внутр'!D1830</f>
        <v>0</v>
      </c>
      <c r="E1830" s="1104" t="n">
        <f aca="false">'Смета Внутр'!E1830</f>
        <v>35</v>
      </c>
      <c r="F1830" s="1104" t="n">
        <f aca="false">'Смета Внутр'!F1830</f>
        <v>0</v>
      </c>
      <c r="G1830" s="1104" t="n">
        <f aca="false">IF(E1830&gt;F1830,E1830,F1830)</f>
        <v>35</v>
      </c>
      <c r="H1830" s="1104" t="n">
        <f aca="false">'Смета Внутр'!G1830</f>
        <v>0</v>
      </c>
      <c r="I1830" s="1104" t="n">
        <f aca="false">'Смета Внутр'!H1830</f>
        <v>0</v>
      </c>
      <c r="J1830" s="1109" t="n">
        <f aca="false">'Смета Внутр'!I1830</f>
        <v>0</v>
      </c>
    </row>
    <row r="1831" customFormat="false" ht="15" hidden="true" customHeight="true" outlineLevel="0" collapsed="false">
      <c r="B1831" s="1104" t="str">
        <f aca="false">'Смета Внутр'!B1831</f>
        <v>плинтус</v>
      </c>
      <c r="C1831" s="1104" t="str">
        <f aca="false">'Смета Внутр'!C1831</f>
        <v>м.п.</v>
      </c>
      <c r="D1831" s="1109" t="n">
        <f aca="false">'Смета Внутр'!D1831</f>
        <v>0</v>
      </c>
      <c r="E1831" s="1104" t="n">
        <f aca="false">'Смета Внутр'!E1831</f>
        <v>35</v>
      </c>
      <c r="F1831" s="1104" t="n">
        <f aca="false">'Смета Внутр'!F1831</f>
        <v>0</v>
      </c>
      <c r="G1831" s="1104" t="n">
        <f aca="false">IF(E1831&gt;F1831,E1831,F1831)</f>
        <v>35</v>
      </c>
      <c r="H1831" s="1104" t="n">
        <f aca="false">'Смета Внутр'!G1831</f>
        <v>0</v>
      </c>
      <c r="I1831" s="1104" t="n">
        <f aca="false">'Смета Внутр'!H1831</f>
        <v>0</v>
      </c>
      <c r="J1831" s="1109" t="n">
        <f aca="false">'Смета Внутр'!I1831</f>
        <v>0</v>
      </c>
    </row>
    <row r="1832" customFormat="false" ht="15" hidden="true" customHeight="true" outlineLevel="0" collapsed="false">
      <c r="B1832" s="1104" t="str">
        <f aca="false">'Смета Внутр'!B1832</f>
        <v>кафель</v>
      </c>
      <c r="C1832" s="1104" t="str">
        <f aca="false">'Смета Внутр'!C1832</f>
        <v>м2</v>
      </c>
      <c r="D1832" s="1109" t="n">
        <f aca="false">'Смета Внутр'!D1832</f>
        <v>0</v>
      </c>
      <c r="E1832" s="1104" t="n">
        <f aca="false">'Смета Внутр'!E1832</f>
        <v>500</v>
      </c>
      <c r="F1832" s="1104" t="n">
        <f aca="false">'Смета Внутр'!F1832</f>
        <v>0</v>
      </c>
      <c r="G1832" s="1104" t="n">
        <f aca="false">IF(E1832&gt;F1832,E1832,F1832)</f>
        <v>500</v>
      </c>
      <c r="H1832" s="1104" t="n">
        <f aca="false">'Смета Внутр'!G1832</f>
        <v>0</v>
      </c>
      <c r="I1832" s="1104" t="n">
        <f aca="false">'Смета Внутр'!H1832</f>
        <v>0</v>
      </c>
      <c r="J1832" s="1109" t="n">
        <f aca="false">'Смета Внутр'!I1832</f>
        <v>0</v>
      </c>
    </row>
    <row r="1833" customFormat="false" ht="15" hidden="true" customHeight="true" outlineLevel="0" collapsed="false">
      <c r="B1833" s="1104" t="str">
        <f aca="false">'Смета Внутр'!B1833</f>
        <v>клей для кафеля, 25кг</v>
      </c>
      <c r="C1833" s="1104" t="str">
        <f aca="false">'Смета Внутр'!C1833</f>
        <v>шт</v>
      </c>
      <c r="D1833" s="1109" t="n">
        <f aca="false">'Смета Внутр'!D1833</f>
        <v>0</v>
      </c>
      <c r="E1833" s="1104" t="n">
        <f aca="false">'Смета Внутр'!E1833</f>
        <v>250</v>
      </c>
      <c r="F1833" s="1104" t="n">
        <f aca="false">'Смета Внутр'!F1833</f>
        <v>0</v>
      </c>
      <c r="G1833" s="1104" t="n">
        <f aca="false">IF(E1833&gt;F1833,E1833,F1833)</f>
        <v>250</v>
      </c>
      <c r="H1833" s="1104" t="n">
        <f aca="false">'Смета Внутр'!G1833</f>
        <v>0</v>
      </c>
      <c r="I1833" s="1104" t="n">
        <f aca="false">'Смета Внутр'!H1833</f>
        <v>0</v>
      </c>
      <c r="J1833" s="1109" t="n">
        <f aca="false">'Смета Внутр'!I1833</f>
        <v>0</v>
      </c>
    </row>
    <row r="1834" customFormat="false" ht="15" hidden="true" customHeight="true" outlineLevel="0" collapsed="false">
      <c r="B1834" s="1104" t="str">
        <f aca="false">'Смета Внутр'!B1834</f>
        <v>грунтовка, 10л</v>
      </c>
      <c r="C1834" s="1104" t="str">
        <f aca="false">'Смета Внутр'!C1834</f>
        <v>шт</v>
      </c>
      <c r="D1834" s="1109" t="n">
        <f aca="false">'Смета Внутр'!D1834</f>
        <v>0</v>
      </c>
      <c r="E1834" s="1104" t="n">
        <f aca="false">'Смета Внутр'!E1834</f>
        <v>500</v>
      </c>
      <c r="F1834" s="1104" t="n">
        <f aca="false">'Смета Внутр'!F1834</f>
        <v>0</v>
      </c>
      <c r="G1834" s="1104" t="n">
        <f aca="false">IF(E1834&gt;F1834,E1834,F1834)</f>
        <v>500</v>
      </c>
      <c r="H1834" s="1104" t="n">
        <f aca="false">'Смета Внутр'!G1834</f>
        <v>0</v>
      </c>
      <c r="I1834" s="1104" t="n">
        <f aca="false">'Смета Внутр'!H1834</f>
        <v>0</v>
      </c>
      <c r="J1834" s="1109" t="n">
        <f aca="false">'Смета Внутр'!I1834</f>
        <v>0</v>
      </c>
    </row>
    <row r="1835" customFormat="false" ht="15" hidden="true" customHeight="true" outlineLevel="0" collapsed="false">
      <c r="B1835" s="1104" t="str">
        <f aca="false">'Смета Внутр'!B1835</f>
        <v>крестики, 100шт</v>
      </c>
      <c r="C1835" s="1104" t="str">
        <f aca="false">'Смета Внутр'!C1835</f>
        <v>шт</v>
      </c>
      <c r="D1835" s="1109" t="n">
        <f aca="false">'Смета Внутр'!D1835</f>
        <v>0</v>
      </c>
      <c r="E1835" s="1104" t="n">
        <f aca="false">'Смета Внутр'!E1835</f>
        <v>200</v>
      </c>
      <c r="F1835" s="1104" t="n">
        <f aca="false">'Смета Внутр'!F1835</f>
        <v>0</v>
      </c>
      <c r="G1835" s="1104" t="n">
        <f aca="false">IF(E1835&gt;F1835,E1835,F1835)</f>
        <v>200</v>
      </c>
      <c r="H1835" s="1104" t="n">
        <f aca="false">'Смета Внутр'!G1835</f>
        <v>0</v>
      </c>
      <c r="I1835" s="1104" t="n">
        <f aca="false">'Смета Внутр'!H1835</f>
        <v>0</v>
      </c>
      <c r="J1835" s="1109" t="n">
        <f aca="false">'Смета Внутр'!I1835</f>
        <v>0</v>
      </c>
    </row>
    <row r="1836" customFormat="false" ht="15" hidden="true" customHeight="true" outlineLevel="0" collapsed="false">
      <c r="B1836" s="1104" t="str">
        <f aca="false">'Смета Внутр'!B1836</f>
        <v>затирка для швов</v>
      </c>
      <c r="C1836" s="1104" t="str">
        <f aca="false">'Смета Внутр'!C1836</f>
        <v>шт</v>
      </c>
      <c r="D1836" s="1109" t="n">
        <f aca="false">'Смета Внутр'!D1836</f>
        <v>0</v>
      </c>
      <c r="E1836" s="1104" t="n">
        <f aca="false">'Смета Внутр'!E1836</f>
        <v>400</v>
      </c>
      <c r="F1836" s="1104" t="n">
        <f aca="false">'Смета Внутр'!F1836</f>
        <v>0</v>
      </c>
      <c r="G1836" s="1104" t="n">
        <f aca="false">IF(E1836&gt;F1836,E1836,F1836)</f>
        <v>400</v>
      </c>
      <c r="H1836" s="1104" t="n">
        <f aca="false">'Смета Внутр'!G1836</f>
        <v>0</v>
      </c>
      <c r="I1836" s="1104" t="n">
        <f aca="false">'Смета Внутр'!H1836</f>
        <v>0</v>
      </c>
      <c r="J1836" s="1109" t="n">
        <f aca="false">'Смета Внутр'!I1836</f>
        <v>0</v>
      </c>
    </row>
    <row r="1837" customFormat="false" ht="15" hidden="true" customHeight="true" outlineLevel="0" collapsed="false">
      <c r="B1837" s="1105" t="str">
        <f aca="false">'Смета Внутр'!B1837</f>
        <v>санузел/ванная</v>
      </c>
      <c r="C1837" s="1105"/>
      <c r="D1837" s="1105"/>
      <c r="E1837" s="1105"/>
      <c r="F1837" s="1105"/>
      <c r="G1837" s="1105"/>
      <c r="H1837" s="1104" t="n">
        <f aca="false">'Смета Внутр'!G1837</f>
        <v>0</v>
      </c>
      <c r="I1837" s="1104" t="n">
        <f aca="false">'Смета Внутр'!H1837</f>
        <v>0</v>
      </c>
      <c r="J1837" s="1107" t="n">
        <f aca="false">'Смета Внутр'!I1837</f>
        <v>0</v>
      </c>
    </row>
    <row r="1838" customFormat="false" ht="15" hidden="true" customHeight="true" outlineLevel="0" collapsed="false">
      <c r="B1838" s="1104" t="str">
        <f aca="false">'Смета Внутр'!B1838</f>
        <v>кафель стены</v>
      </c>
      <c r="C1838" s="1104" t="str">
        <f aca="false">'Смета Внутр'!C1838</f>
        <v>м2</v>
      </c>
      <c r="D1838" s="1109" t="n">
        <f aca="false">'Смета Внутр'!D1838</f>
        <v>0</v>
      </c>
      <c r="E1838" s="1104" t="n">
        <f aca="false">'Смета Внутр'!E1838</f>
        <v>500</v>
      </c>
      <c r="F1838" s="1104" t="n">
        <f aca="false">'Смета Внутр'!F1838</f>
        <v>0</v>
      </c>
      <c r="G1838" s="1104" t="n">
        <f aca="false">IF(E1838&gt;F1838,E1838,F1838)</f>
        <v>500</v>
      </c>
      <c r="H1838" s="1104" t="n">
        <f aca="false">'Смета Внутр'!G1838</f>
        <v>0</v>
      </c>
      <c r="I1838" s="1104" t="n">
        <f aca="false">'Смета Внутр'!H1838</f>
        <v>0</v>
      </c>
      <c r="J1838" s="1109" t="n">
        <f aca="false">'Смета Внутр'!I1838</f>
        <v>0</v>
      </c>
    </row>
    <row r="1839" customFormat="false" ht="15" hidden="true" customHeight="true" outlineLevel="0" collapsed="false">
      <c r="B1839" s="1104" t="str">
        <f aca="false">'Смета Внутр'!B1839</f>
        <v>кафель потолок</v>
      </c>
      <c r="C1839" s="1104" t="str">
        <f aca="false">'Смета Внутр'!C1839</f>
        <v>м2</v>
      </c>
      <c r="D1839" s="1109" t="n">
        <f aca="false">'Смета Внутр'!D1839</f>
        <v>0</v>
      </c>
      <c r="E1839" s="1104" t="n">
        <f aca="false">'Смета Внутр'!E1839</f>
        <v>500</v>
      </c>
      <c r="F1839" s="1104" t="n">
        <f aca="false">'Смета Внутр'!F1839</f>
        <v>0</v>
      </c>
      <c r="G1839" s="1104" t="n">
        <f aca="false">IF(E1839&gt;F1839,E1839,F1839)</f>
        <v>500</v>
      </c>
      <c r="H1839" s="1104" t="n">
        <f aca="false">'Смета Внутр'!G1839</f>
        <v>0</v>
      </c>
      <c r="I1839" s="1104" t="n">
        <f aca="false">'Смета Внутр'!H1839</f>
        <v>0</v>
      </c>
      <c r="J1839" s="1109" t="n">
        <f aca="false">'Смета Внутр'!I1839</f>
        <v>0</v>
      </c>
    </row>
    <row r="1840" customFormat="false" ht="15" hidden="true" customHeight="true" outlineLevel="0" collapsed="false">
      <c r="B1840" s="1104" t="str">
        <f aca="false">'Смета Внутр'!B1840</f>
        <v>кафель пол</v>
      </c>
      <c r="C1840" s="1104" t="str">
        <f aca="false">'Смета Внутр'!C1840</f>
        <v>м2</v>
      </c>
      <c r="D1840" s="1109" t="n">
        <f aca="false">'Смета Внутр'!D1840</f>
        <v>0</v>
      </c>
      <c r="E1840" s="1104" t="n">
        <f aca="false">'Смета Внутр'!E1840</f>
        <v>500</v>
      </c>
      <c r="F1840" s="1104" t="n">
        <f aca="false">'Смета Внутр'!F1840</f>
        <v>0</v>
      </c>
      <c r="G1840" s="1104" t="n">
        <f aca="false">IF(E1840&gt;F1840,E1840,F1840)</f>
        <v>500</v>
      </c>
      <c r="H1840" s="1104" t="n">
        <f aca="false">'Смета Внутр'!G1840</f>
        <v>0</v>
      </c>
      <c r="I1840" s="1104" t="n">
        <f aca="false">'Смета Внутр'!H1840</f>
        <v>0</v>
      </c>
      <c r="J1840" s="1109" t="n">
        <f aca="false">'Смета Внутр'!I1840</f>
        <v>0</v>
      </c>
    </row>
    <row r="1841" customFormat="false" ht="15" hidden="true" customHeight="true" outlineLevel="0" collapsed="false">
      <c r="B1841" s="1104" t="str">
        <f aca="false">'Смета Внутр'!B1841</f>
        <v>клей для кафеля, 25кг</v>
      </c>
      <c r="C1841" s="1104" t="str">
        <f aca="false">'Смета Внутр'!C1841</f>
        <v>шт</v>
      </c>
      <c r="D1841" s="1109" t="n">
        <f aca="false">'Смета Внутр'!D1841</f>
        <v>0</v>
      </c>
      <c r="E1841" s="1104" t="n">
        <f aca="false">'Смета Внутр'!E1841</f>
        <v>250</v>
      </c>
      <c r="F1841" s="1104" t="n">
        <f aca="false">'Смета Внутр'!F1841</f>
        <v>0</v>
      </c>
      <c r="G1841" s="1104" t="n">
        <f aca="false">IF(E1841&gt;F1841,E1841,F1841)</f>
        <v>250</v>
      </c>
      <c r="H1841" s="1104" t="n">
        <f aca="false">'Смета Внутр'!G1841</f>
        <v>0</v>
      </c>
      <c r="I1841" s="1104" t="n">
        <f aca="false">'Смета Внутр'!H1841</f>
        <v>0</v>
      </c>
      <c r="J1841" s="1109" t="n">
        <f aca="false">'Смета Внутр'!I1841</f>
        <v>0</v>
      </c>
    </row>
    <row r="1842" customFormat="false" ht="15" hidden="true" customHeight="true" outlineLevel="0" collapsed="false">
      <c r="B1842" s="1104" t="str">
        <f aca="false">'Смета Внутр'!B1842</f>
        <v>грунтовка, 10л</v>
      </c>
      <c r="C1842" s="1104" t="str">
        <f aca="false">'Смета Внутр'!C1842</f>
        <v>шт</v>
      </c>
      <c r="D1842" s="1109" t="n">
        <f aca="false">'Смета Внутр'!D1842</f>
        <v>0</v>
      </c>
      <c r="E1842" s="1104" t="n">
        <f aca="false">'Смета Внутр'!E1842</f>
        <v>500</v>
      </c>
      <c r="F1842" s="1104" t="n">
        <f aca="false">'Смета Внутр'!F1842</f>
        <v>0</v>
      </c>
      <c r="G1842" s="1104" t="n">
        <f aca="false">IF(E1842&gt;F1842,E1842,F1842)</f>
        <v>500</v>
      </c>
      <c r="H1842" s="1104" t="n">
        <f aca="false">'Смета Внутр'!G1842</f>
        <v>0</v>
      </c>
      <c r="I1842" s="1104" t="n">
        <f aca="false">'Смета Внутр'!H1842</f>
        <v>0</v>
      </c>
      <c r="J1842" s="1109" t="n">
        <f aca="false">'Смета Внутр'!I1842</f>
        <v>0</v>
      </c>
    </row>
    <row r="1843" customFormat="false" ht="15" hidden="true" customHeight="true" outlineLevel="0" collapsed="false">
      <c r="B1843" s="1104" t="str">
        <f aca="false">'Смета Внутр'!B1843</f>
        <v>крестики, 100 шт</v>
      </c>
      <c r="C1843" s="1104" t="str">
        <f aca="false">'Смета Внутр'!C1843</f>
        <v>шт</v>
      </c>
      <c r="D1843" s="1109" t="n">
        <f aca="false">'Смета Внутр'!D1843</f>
        <v>0</v>
      </c>
      <c r="E1843" s="1104" t="n">
        <f aca="false">'Смета Внутр'!E1843</f>
        <v>200</v>
      </c>
      <c r="F1843" s="1104" t="n">
        <f aca="false">'Смета Внутр'!F1843</f>
        <v>0</v>
      </c>
      <c r="G1843" s="1104" t="n">
        <f aca="false">IF(E1843&gt;F1843,E1843,F1843)</f>
        <v>200</v>
      </c>
      <c r="H1843" s="1104" t="n">
        <f aca="false">'Смета Внутр'!G1843</f>
        <v>0</v>
      </c>
      <c r="I1843" s="1104" t="n">
        <f aca="false">'Смета Внутр'!H1843</f>
        <v>0</v>
      </c>
      <c r="J1843" s="1109" t="n">
        <f aca="false">'Смета Внутр'!I1843</f>
        <v>0</v>
      </c>
    </row>
    <row r="1844" customFormat="false" ht="15" hidden="true" customHeight="true" outlineLevel="0" collapsed="false">
      <c r="B1844" s="1104" t="str">
        <f aca="false">'Смета Внутр'!B1844</f>
        <v>затирка для швов</v>
      </c>
      <c r="C1844" s="1104" t="str">
        <f aca="false">'Смета Внутр'!C1844</f>
        <v>шт</v>
      </c>
      <c r="D1844" s="1109" t="n">
        <f aca="false">'Смета Внутр'!D1844</f>
        <v>0</v>
      </c>
      <c r="E1844" s="1104" t="n">
        <f aca="false">'Смета Внутр'!E1844</f>
        <v>400</v>
      </c>
      <c r="F1844" s="1104" t="n">
        <f aca="false">'Смета Внутр'!F1844</f>
        <v>0</v>
      </c>
      <c r="G1844" s="1104" t="n">
        <f aca="false">IF(E1844&gt;F1844,E1844,F1844)</f>
        <v>400</v>
      </c>
      <c r="H1844" s="1104" t="n">
        <f aca="false">'Смета Внутр'!G1844</f>
        <v>0</v>
      </c>
      <c r="I1844" s="1104" t="n">
        <f aca="false">'Смета Внутр'!H1844</f>
        <v>0</v>
      </c>
      <c r="J1844" s="1109" t="n">
        <f aca="false">'Смета Внутр'!I1844</f>
        <v>0</v>
      </c>
    </row>
    <row r="1845" customFormat="false" ht="15" hidden="true" customHeight="true" outlineLevel="0" collapsed="false">
      <c r="B1845" s="1104" t="str">
        <f aca="false">'Смета Внутр'!B1845</f>
        <v>стеновые панели пластик стены</v>
      </c>
      <c r="C1845" s="1104" t="str">
        <f aca="false">'Смета Внутр'!C1845</f>
        <v>м2</v>
      </c>
      <c r="D1845" s="1109" t="n">
        <f aca="false">'Смета Внутр'!D1845</f>
        <v>0</v>
      </c>
      <c r="E1845" s="1104" t="n">
        <f aca="false">'Смета Внутр'!E1845</f>
        <v>250</v>
      </c>
      <c r="F1845" s="1104" t="n">
        <f aca="false">'Смета Внутр'!F1845</f>
        <v>0</v>
      </c>
      <c r="G1845" s="1104" t="n">
        <f aca="false">IF(E1845&gt;F1845,E1845,F1845)</f>
        <v>250</v>
      </c>
      <c r="H1845" s="1104" t="n">
        <f aca="false">'Смета Внутр'!G1845</f>
        <v>0</v>
      </c>
      <c r="I1845" s="1104" t="n">
        <f aca="false">'Смета Внутр'!H1845</f>
        <v>0</v>
      </c>
      <c r="J1845" s="1109" t="n">
        <f aca="false">'Смета Внутр'!I1845</f>
        <v>0</v>
      </c>
    </row>
    <row r="1846" customFormat="false" ht="15" hidden="true" customHeight="true" outlineLevel="0" collapsed="false">
      <c r="B1846" s="1104" t="str">
        <f aca="false">'Смета Внутр'!B1846</f>
        <v>стеновые панели пластик потолок</v>
      </c>
      <c r="C1846" s="1104" t="str">
        <f aca="false">'Смета Внутр'!C1846</f>
        <v>м2</v>
      </c>
      <c r="D1846" s="1109" t="n">
        <f aca="false">'Смета Внутр'!D1846</f>
        <v>0</v>
      </c>
      <c r="E1846" s="1104" t="n">
        <f aca="false">'Смета Внутр'!E1846</f>
        <v>250</v>
      </c>
      <c r="F1846" s="1104" t="n">
        <f aca="false">'Смета Внутр'!F1846</f>
        <v>0</v>
      </c>
      <c r="G1846" s="1104" t="n">
        <f aca="false">IF(E1846&gt;F1846,E1846,F1846)</f>
        <v>250</v>
      </c>
      <c r="H1846" s="1104" t="n">
        <f aca="false">'Смета Внутр'!G1846</f>
        <v>0</v>
      </c>
      <c r="I1846" s="1104" t="n">
        <f aca="false">'Смета Внутр'!H1846</f>
        <v>0</v>
      </c>
      <c r="J1846" s="1109" t="n">
        <f aca="false">'Смета Внутр'!I1846</f>
        <v>0</v>
      </c>
    </row>
    <row r="1847" customFormat="false" ht="15" hidden="true" customHeight="true" outlineLevel="0" collapsed="false">
      <c r="B1847" s="1104" t="str">
        <f aca="false">'Смета Внутр'!B1847</f>
        <v>скобы для крепления панелей, 1000шт/уп</v>
      </c>
      <c r="C1847" s="1104" t="str">
        <f aca="false">'Смета Внутр'!C1847</f>
        <v>шт</v>
      </c>
      <c r="D1847" s="1109" t="n">
        <f aca="false">'Смета Внутр'!D1847</f>
        <v>0</v>
      </c>
      <c r="E1847" s="1104" t="n">
        <f aca="false">'Смета Внутр'!E1847</f>
        <v>120</v>
      </c>
      <c r="F1847" s="1104" t="n">
        <f aca="false">'Смета Внутр'!F1847</f>
        <v>0</v>
      </c>
      <c r="G1847" s="1104" t="n">
        <f aca="false">IF(E1847&gt;F1847,E1847,F1847)</f>
        <v>120</v>
      </c>
      <c r="H1847" s="1104" t="n">
        <f aca="false">'Смета Внутр'!G1847</f>
        <v>0</v>
      </c>
      <c r="I1847" s="1104" t="n">
        <f aca="false">'Смета Внутр'!H1847</f>
        <v>0</v>
      </c>
      <c r="J1847" s="1109" t="n">
        <f aca="false">'Смета Внутр'!I1847</f>
        <v>0</v>
      </c>
    </row>
    <row r="1848" customFormat="false" ht="15" hidden="true" customHeight="true" outlineLevel="0" collapsed="false">
      <c r="B1848" s="1104" t="str">
        <f aca="false">'Смета Внутр'!B1848</f>
        <v>натяжной потолок</v>
      </c>
      <c r="C1848" s="1104" t="str">
        <f aca="false">'Смета Внутр'!C1848</f>
        <v>м2</v>
      </c>
      <c r="D1848" s="1109" t="n">
        <f aca="false">'Смета Внутр'!D1848</f>
        <v>0</v>
      </c>
      <c r="E1848" s="1104" t="n">
        <f aca="false">'Смета Внутр'!E1848</f>
        <v>400</v>
      </c>
      <c r="F1848" s="1104" t="n">
        <f aca="false">'Смета Внутр'!F1848</f>
        <v>0</v>
      </c>
      <c r="G1848" s="1104" t="n">
        <f aca="false">IF(E1848&gt;F1848,E1848,F1848)</f>
        <v>400</v>
      </c>
      <c r="H1848" s="1104" t="n">
        <f aca="false">'Смета Внутр'!G1848</f>
        <v>0</v>
      </c>
      <c r="I1848" s="1104" t="n">
        <f aca="false">'Смета Внутр'!H1848</f>
        <v>0</v>
      </c>
      <c r="J1848" s="1109" t="n">
        <f aca="false">'Смета Внутр'!I1848</f>
        <v>0</v>
      </c>
    </row>
    <row r="1849" customFormat="false" ht="15" hidden="true" customHeight="true" outlineLevel="0" collapsed="false">
      <c r="B1849" s="1104" t="str">
        <f aca="false">'Смета Внутр'!B1849</f>
        <v>Двери межкомнатные </v>
      </c>
      <c r="C1849" s="1104"/>
      <c r="D1849" s="1109"/>
      <c r="E1849" s="1104"/>
      <c r="F1849" s="1104"/>
      <c r="G1849" s="1104"/>
      <c r="H1849" s="1104" t="n">
        <f aca="false">'Смета Внутр'!G1849</f>
        <v>0</v>
      </c>
      <c r="I1849" s="1104" t="n">
        <f aca="false">'Смета Внутр'!H1849</f>
        <v>0</v>
      </c>
      <c r="J1849" s="1109" t="n">
        <f aca="false">'Смета Внутр'!I1849</f>
        <v>0</v>
      </c>
    </row>
    <row r="1850" customFormat="false" ht="15" hidden="true" customHeight="true" outlineLevel="0" collapsed="false">
      <c r="B1850" s="1104" t="str">
        <f aca="false">'Смета Внутр'!B1850</f>
        <v>двери межкомнатные </v>
      </c>
      <c r="C1850" s="1104" t="str">
        <f aca="false">'Смета Внутр'!C1850</f>
        <v>шт</v>
      </c>
      <c r="D1850" s="1109" t="n">
        <f aca="false">'Смета Внутр'!D1850</f>
        <v>0</v>
      </c>
      <c r="E1850" s="1104" t="n">
        <f aca="false">'Смета Внутр'!E1850</f>
        <v>1900</v>
      </c>
      <c r="F1850" s="1104" t="n">
        <f aca="false">'Смета Внутр'!F1850</f>
        <v>0</v>
      </c>
      <c r="G1850" s="1104" t="n">
        <f aca="false">IF(E1850&gt;F1850,E1850,F1850)</f>
        <v>1900</v>
      </c>
      <c r="H1850" s="1104" t="n">
        <f aca="false">'Смета Внутр'!G1850</f>
        <v>0</v>
      </c>
      <c r="I1850" s="1104" t="n">
        <f aca="false">'Смета Внутр'!H1850</f>
        <v>0</v>
      </c>
      <c r="J1850" s="1109" t="n">
        <f aca="false">'Смета Внутр'!I1850</f>
        <v>0</v>
      </c>
    </row>
    <row r="1851" customFormat="false" ht="15" hidden="true" customHeight="true" outlineLevel="0" collapsed="false">
      <c r="B1851" s="1104" t="str">
        <f aca="false">'Смета Внутр'!B1851</f>
        <v>пена монтажная для дверей</v>
      </c>
      <c r="C1851" s="1104" t="str">
        <f aca="false">'Смета Внутр'!C1851</f>
        <v>шт</v>
      </c>
      <c r="D1851" s="1109" t="n">
        <f aca="false">'Смета Внутр'!D1851</f>
        <v>0</v>
      </c>
      <c r="E1851" s="1104" t="n">
        <f aca="false">'Смета Внутр'!E1851</f>
        <v>250</v>
      </c>
      <c r="F1851" s="1104" t="n">
        <f aca="false">'Смета Внутр'!F1851</f>
        <v>0</v>
      </c>
      <c r="G1851" s="1104" t="n">
        <f aca="false">IF(E1851&gt;F1851,E1851,F1851)</f>
        <v>250</v>
      </c>
      <c r="H1851" s="1104" t="n">
        <f aca="false">'Смета Внутр'!G1851</f>
        <v>0</v>
      </c>
      <c r="I1851" s="1104" t="n">
        <f aca="false">'Смета Внутр'!H1851</f>
        <v>0</v>
      </c>
      <c r="J1851" s="1109" t="n">
        <f aca="false">'Смета Внутр'!I1851</f>
        <v>0</v>
      </c>
    </row>
    <row r="1852" customFormat="false" ht="15" hidden="true" customHeight="true" outlineLevel="0" collapsed="false">
      <c r="B1852" s="1104" t="str">
        <f aca="false">'Смета Внутр'!B1852</f>
        <v>порожки металлические </v>
      </c>
      <c r="C1852" s="1104" t="str">
        <f aca="false">'Смета Внутр'!C1852</f>
        <v>шт</v>
      </c>
      <c r="D1852" s="1109" t="n">
        <f aca="false">'Смета Внутр'!D1852</f>
        <v>0</v>
      </c>
      <c r="E1852" s="1104" t="n">
        <f aca="false">'Смета Внутр'!E1852</f>
        <v>100</v>
      </c>
      <c r="F1852" s="1104" t="n">
        <f aca="false">'Смета Внутр'!F1852</f>
        <v>0</v>
      </c>
      <c r="G1852" s="1104" t="n">
        <f aca="false">IF(E1852&gt;F1852,E1852,F1852)</f>
        <v>100</v>
      </c>
      <c r="H1852" s="1104" t="n">
        <f aca="false">'Смета Внутр'!G1852</f>
        <v>0</v>
      </c>
      <c r="I1852" s="1104" t="n">
        <f aca="false">'Смета Внутр'!H1852</f>
        <v>0</v>
      </c>
      <c r="J1852" s="1109" t="n">
        <f aca="false">'Смета Внутр'!I1852</f>
        <v>0</v>
      </c>
    </row>
    <row r="1853" customFormat="false" ht="15" hidden="true" customHeight="true" outlineLevel="0" collapsed="false">
      <c r="B1853" s="1104" t="str">
        <f aca="false">'Смета Внутр'!B1853</f>
        <v>отбойник для дверей</v>
      </c>
      <c r="C1853" s="1104" t="str">
        <f aca="false">'Смета Внутр'!C1853</f>
        <v>шт</v>
      </c>
      <c r="D1853" s="1109" t="n">
        <f aca="false">'Смета Внутр'!D1853</f>
        <v>0</v>
      </c>
      <c r="E1853" s="1104" t="n">
        <f aca="false">'Смета Внутр'!E1853</f>
        <v>100</v>
      </c>
      <c r="F1853" s="1104" t="n">
        <f aca="false">'Смета Внутр'!F1853</f>
        <v>0</v>
      </c>
      <c r="G1853" s="1104" t="n">
        <f aca="false">IF(E1853&gt;F1853,E1853,F1853)</f>
        <v>100</v>
      </c>
      <c r="H1853" s="1104" t="n">
        <f aca="false">'Смета Внутр'!G1853</f>
        <v>0</v>
      </c>
      <c r="I1853" s="1104" t="n">
        <f aca="false">'Смета Внутр'!H1853</f>
        <v>0</v>
      </c>
      <c r="J1853" s="1109" t="n">
        <f aca="false">'Смета Внутр'!I1853</f>
        <v>0</v>
      </c>
    </row>
    <row r="1854" customFormat="false" ht="15" hidden="true" customHeight="true" outlineLevel="0" collapsed="false">
      <c r="B1854" s="1104" t="str">
        <f aca="false">'Смета Внутр'!B1854</f>
        <v>коробка для дверей</v>
      </c>
      <c r="C1854" s="1104" t="str">
        <f aca="false">'Смета Внутр'!C1854</f>
        <v>шт</v>
      </c>
      <c r="D1854" s="1109" t="n">
        <f aca="false">'Смета Внутр'!D1854</f>
        <v>0</v>
      </c>
      <c r="E1854" s="1104" t="n">
        <f aca="false">'Смета Внутр'!E1854</f>
        <v>250</v>
      </c>
      <c r="F1854" s="1104" t="n">
        <f aca="false">'Смета Внутр'!F1854</f>
        <v>0</v>
      </c>
      <c r="G1854" s="1104" t="n">
        <f aca="false">IF(E1854&gt;F1854,E1854,F1854)</f>
        <v>250</v>
      </c>
      <c r="H1854" s="1104" t="n">
        <f aca="false">'Смета Внутр'!G1854</f>
        <v>0</v>
      </c>
      <c r="I1854" s="1104" t="n">
        <f aca="false">'Смета Внутр'!H1854</f>
        <v>0</v>
      </c>
      <c r="J1854" s="1109" t="n">
        <f aca="false">'Смета Внутр'!I1854</f>
        <v>0</v>
      </c>
    </row>
    <row r="1855" customFormat="false" ht="15" hidden="true" customHeight="true" outlineLevel="0" collapsed="false">
      <c r="B1855" s="1104" t="str">
        <f aca="false">'Смета Внутр'!B1855</f>
        <v>наличник на дверь, комплект</v>
      </c>
      <c r="C1855" s="1104" t="str">
        <f aca="false">'Смета Внутр'!C1855</f>
        <v>шт</v>
      </c>
      <c r="D1855" s="1109" t="n">
        <f aca="false">'Смета Внутр'!D1855</f>
        <v>0</v>
      </c>
      <c r="E1855" s="1104" t="n">
        <f aca="false">'Смета Внутр'!E1855</f>
        <v>500</v>
      </c>
      <c r="F1855" s="1104" t="n">
        <f aca="false">'Смета Внутр'!F1855</f>
        <v>0</v>
      </c>
      <c r="G1855" s="1104" t="n">
        <f aca="false">IF(E1855&gt;F1855,E1855,F1855)</f>
        <v>500</v>
      </c>
      <c r="H1855" s="1104" t="n">
        <f aca="false">'Смета Внутр'!G1855</f>
        <v>0</v>
      </c>
      <c r="I1855" s="1104" t="n">
        <f aca="false">'Смета Внутр'!H1855</f>
        <v>0</v>
      </c>
      <c r="J1855" s="1109" t="n">
        <f aca="false">'Смета Внутр'!I1855</f>
        <v>0</v>
      </c>
    </row>
    <row r="1856" customFormat="false" ht="15" hidden="true" customHeight="false" outlineLevel="0" collapsed="false">
      <c r="B1856" s="1108" t="str">
        <f aca="false">'Смета Внутр'!B1856</f>
        <v>Итого материалы</v>
      </c>
      <c r="C1856" s="1108"/>
      <c r="D1856" s="1108"/>
      <c r="E1856" s="1108"/>
      <c r="F1856" s="1108"/>
      <c r="G1856" s="1108"/>
      <c r="H1856" s="1104" t="n">
        <f aca="false">'Смета Внутр'!G1856</f>
        <v>114464.844202871</v>
      </c>
      <c r="I1856" s="1104" t="n">
        <f aca="false">'Смета Внутр'!H1856</f>
        <v>114465.844202871</v>
      </c>
      <c r="J1856" s="1109" t="n">
        <f aca="false">'Смета Внутр'!I1856</f>
        <v>114465.844202871</v>
      </c>
    </row>
    <row r="1857" customFormat="false" ht="15" hidden="true" customHeight="true" outlineLevel="0" collapsed="false">
      <c r="B1857" s="118" t="str">
        <f aca="false">'Смета Внутр'!B1857</f>
        <v>Работы</v>
      </c>
      <c r="H1857" s="118" t="n">
        <f aca="false">'Смета Внутр'!G1857</f>
        <v>0</v>
      </c>
      <c r="I1857" s="118" t="n">
        <f aca="false">'Смета Внутр'!H1857</f>
        <v>1</v>
      </c>
      <c r="J1857" s="1102" t="n">
        <f aca="false">'Смета Внутр'!I1857</f>
        <v>1</v>
      </c>
    </row>
    <row r="1858" customFormat="false" ht="15" hidden="true" customHeight="true" outlineLevel="0" collapsed="false">
      <c r="B1858" s="1105" t="str">
        <f aca="false">'Смета Внутр'!B1858</f>
        <v>стены</v>
      </c>
      <c r="C1858" s="1105"/>
      <c r="D1858" s="1105"/>
      <c r="E1858" s="1105"/>
      <c r="F1858" s="1105"/>
      <c r="G1858" s="1105"/>
      <c r="H1858" s="1104" t="n">
        <f aca="false">'Смета Внутр'!G1858</f>
        <v>0</v>
      </c>
      <c r="I1858" s="1104" t="n">
        <f aca="false">'Смета Внутр'!H1858</f>
        <v>1</v>
      </c>
      <c r="J1858" s="1107" t="n">
        <f aca="false">'Смета Внутр'!I1858</f>
        <v>1</v>
      </c>
    </row>
    <row r="1859" customFormat="false" ht="15" hidden="true" customHeight="true" outlineLevel="0" collapsed="false">
      <c r="B1859" s="1104" t="str">
        <f aca="false">'Смета Внутр'!B1859</f>
        <v>монтаж гкл стены</v>
      </c>
      <c r="C1859" s="1104" t="str">
        <f aca="false">'Смета Внутр'!C1859</f>
        <v>м2</v>
      </c>
      <c r="D1859" s="1109" t="n">
        <f aca="false">'Смета Внутр'!D1859</f>
        <v>0</v>
      </c>
      <c r="E1859" s="1104" t="n">
        <f aca="false">'Смета Внутр'!E1859</f>
        <v>100</v>
      </c>
      <c r="F1859" s="1104" t="n">
        <f aca="false">'Смета Внутр'!F1859</f>
        <v>0</v>
      </c>
      <c r="G1859" s="1104" t="n">
        <f aca="false">IF(E1859&gt;F1859,E1859,F1859)</f>
        <v>100</v>
      </c>
      <c r="H1859" s="1104" t="n">
        <f aca="false">'Смета Внутр'!G1859</f>
        <v>0</v>
      </c>
      <c r="I1859" s="1104" t="n">
        <f aca="false">'Смета Внутр'!H1859</f>
        <v>0</v>
      </c>
      <c r="J1859" s="1109" t="n">
        <f aca="false">'Смета Внутр'!I1859</f>
        <v>0</v>
      </c>
    </row>
    <row r="1860" customFormat="false" ht="15" hidden="true" customHeight="true" outlineLevel="0" collapsed="false">
      <c r="B1860" s="1104" t="str">
        <f aca="false">'Смета Внутр'!B1860</f>
        <v>монтаж подсистемы</v>
      </c>
      <c r="C1860" s="1104" t="str">
        <f aca="false">'Смета Внутр'!C1860</f>
        <v>м2</v>
      </c>
      <c r="D1860" s="1109" t="n">
        <f aca="false">'Смета Внутр'!D1860</f>
        <v>0</v>
      </c>
      <c r="E1860" s="1104" t="n">
        <f aca="false">'Смета Внутр'!E1860</f>
        <v>90</v>
      </c>
      <c r="F1860" s="1104" t="n">
        <f aca="false">'Смета Внутр'!F1860</f>
        <v>0</v>
      </c>
      <c r="G1860" s="1104" t="n">
        <f aca="false">IF(E1860&gt;F1860,E1860,F1860)</f>
        <v>90</v>
      </c>
      <c r="H1860" s="1104" t="n">
        <f aca="false">'Смета Внутр'!G1860</f>
        <v>0</v>
      </c>
      <c r="I1860" s="1104" t="n">
        <f aca="false">'Смета Внутр'!H1860</f>
        <v>0</v>
      </c>
      <c r="J1860" s="1109" t="n">
        <f aca="false">'Смета Внутр'!I1860</f>
        <v>0</v>
      </c>
    </row>
    <row r="1861" customFormat="false" ht="15" hidden="true" customHeight="true" outlineLevel="0" collapsed="false">
      <c r="B1861" s="1104" t="str">
        <f aca="false">'Смета Внутр'!B1861</f>
        <v>шпаклевка швов стены</v>
      </c>
      <c r="C1861" s="1104" t="str">
        <f aca="false">'Смета Внутр'!C1861</f>
        <v>м2</v>
      </c>
      <c r="D1861" s="1109" t="n">
        <f aca="false">'Смета Внутр'!D1861</f>
        <v>0</v>
      </c>
      <c r="E1861" s="1104" t="n">
        <f aca="false">'Смета Внутр'!E1861</f>
        <v>50</v>
      </c>
      <c r="F1861" s="1104" t="n">
        <f aca="false">'Смета Внутр'!F1861</f>
        <v>0</v>
      </c>
      <c r="G1861" s="1104" t="n">
        <f aca="false">IF(E1861&gt;F1861,E1861,F1861)</f>
        <v>50</v>
      </c>
      <c r="H1861" s="1104" t="n">
        <f aca="false">'Смета Внутр'!G1861</f>
        <v>0</v>
      </c>
      <c r="I1861" s="1104" t="n">
        <f aca="false">'Смета Внутр'!H1861</f>
        <v>0</v>
      </c>
      <c r="J1861" s="1109" t="n">
        <f aca="false">'Смета Внутр'!I1861</f>
        <v>0</v>
      </c>
    </row>
    <row r="1862" customFormat="false" ht="15" hidden="true" customHeight="true" outlineLevel="0" collapsed="false">
      <c r="B1862" s="1104" t="str">
        <f aca="false">'Смета Внутр'!B1862</f>
        <v>шпаклевка финишная стены</v>
      </c>
      <c r="C1862" s="1104" t="str">
        <f aca="false">'Смета Внутр'!C1862</f>
        <v>м2</v>
      </c>
      <c r="D1862" s="1109" t="n">
        <f aca="false">'Смета Внутр'!D1862</f>
        <v>0</v>
      </c>
      <c r="E1862" s="1104" t="n">
        <f aca="false">'Смета Внутр'!E1862</f>
        <v>100</v>
      </c>
      <c r="F1862" s="1104" t="n">
        <f aca="false">'Смета Внутр'!F1862</f>
        <v>0</v>
      </c>
      <c r="G1862" s="1104" t="n">
        <f aca="false">IF(E1862&gt;F1862,E1862,F1862)</f>
        <v>100</v>
      </c>
      <c r="H1862" s="1104" t="n">
        <f aca="false">'Смета Внутр'!G1862</f>
        <v>0</v>
      </c>
      <c r="I1862" s="1104" t="n">
        <f aca="false">'Смета Внутр'!H1862</f>
        <v>0</v>
      </c>
      <c r="J1862" s="1109" t="n">
        <f aca="false">'Смета Внутр'!I1862</f>
        <v>0</v>
      </c>
    </row>
    <row r="1863" customFormat="false" ht="15" hidden="true" customHeight="true" outlineLevel="0" collapsed="false">
      <c r="B1863" s="1104" t="str">
        <f aca="false">'Смета Внутр'!B1863</f>
        <v>оклейка обои</v>
      </c>
      <c r="C1863" s="1104" t="str">
        <f aca="false">'Смета Внутр'!C1863</f>
        <v>м2</v>
      </c>
      <c r="D1863" s="1109" t="n">
        <f aca="false">'Смета Внутр'!D1863</f>
        <v>0</v>
      </c>
      <c r="E1863" s="1104" t="n">
        <f aca="false">'Смета Внутр'!E1863</f>
        <v>120</v>
      </c>
      <c r="F1863" s="1104" t="n">
        <f aca="false">'Смета Внутр'!F1863</f>
        <v>0</v>
      </c>
      <c r="G1863" s="1104" t="n">
        <f aca="false">IF(E1863&gt;F1863,E1863,F1863)</f>
        <v>120</v>
      </c>
      <c r="H1863" s="1104" t="n">
        <f aca="false">'Смета Внутр'!G1863</f>
        <v>0</v>
      </c>
      <c r="I1863" s="1104" t="n">
        <f aca="false">'Смета Внутр'!H1863</f>
        <v>0</v>
      </c>
      <c r="J1863" s="1109" t="n">
        <f aca="false">'Смета Внутр'!I1863</f>
        <v>0</v>
      </c>
    </row>
    <row r="1864" customFormat="false" ht="15" hidden="true" customHeight="true" outlineLevel="0" collapsed="false">
      <c r="B1864" s="1104" t="str">
        <f aca="false">'Смета Внутр'!B1864</f>
        <v>покраска стен</v>
      </c>
      <c r="C1864" s="1104" t="str">
        <f aca="false">'Смета Внутр'!C1864</f>
        <v>м2</v>
      </c>
      <c r="D1864" s="1109" t="n">
        <f aca="false">'Смета Внутр'!D1864</f>
        <v>0</v>
      </c>
      <c r="E1864" s="1104" t="n">
        <f aca="false">'Смета Внутр'!E1864</f>
        <v>100</v>
      </c>
      <c r="F1864" s="1104" t="n">
        <f aca="false">'Смета Внутр'!F1864</f>
        <v>0</v>
      </c>
      <c r="G1864" s="1104" t="n">
        <f aca="false">IF(E1864&gt;F1864,E1864,F1864)</f>
        <v>100</v>
      </c>
      <c r="H1864" s="1104" t="n">
        <f aca="false">'Смета Внутр'!G1864</f>
        <v>0</v>
      </c>
      <c r="I1864" s="1104" t="n">
        <f aca="false">'Смета Внутр'!H1864</f>
        <v>0</v>
      </c>
      <c r="J1864" s="1109" t="n">
        <f aca="false">'Смета Внутр'!I1864</f>
        <v>0</v>
      </c>
    </row>
    <row r="1865" customFormat="false" ht="15" hidden="true" customHeight="true" outlineLevel="0" collapsed="false">
      <c r="B1865" s="1104" t="str">
        <f aca="false">'Смета Внутр'!B1865</f>
        <v>имитация бруса</v>
      </c>
      <c r="C1865" s="1104" t="str">
        <f aca="false">'Смета Внутр'!C1865</f>
        <v>м2</v>
      </c>
      <c r="D1865" s="1109" t="n">
        <f aca="false">'Смета Внутр'!D1865</f>
        <v>263.26</v>
      </c>
      <c r="E1865" s="1104" t="n">
        <f aca="false">'Смета Внутр'!E1865</f>
        <v>400</v>
      </c>
      <c r="F1865" s="1104" t="n">
        <f aca="false">'Смета Внутр'!F1865</f>
        <v>0</v>
      </c>
      <c r="G1865" s="1104" t="n">
        <f aca="false">IF(E1865&gt;F1865,E1865,F1865)</f>
        <v>400</v>
      </c>
      <c r="H1865" s="1104" t="n">
        <f aca="false">'Смета Внутр'!G1865</f>
        <v>105304</v>
      </c>
      <c r="I1865" s="1104" t="n">
        <f aca="false">'Смета Внутр'!H1865</f>
        <v>105304</v>
      </c>
      <c r="J1865" s="1109" t="n">
        <f aca="false">'Смета Внутр'!I1865</f>
        <v>105304</v>
      </c>
    </row>
    <row r="1866" customFormat="false" ht="15" hidden="true" customHeight="true" outlineLevel="0" collapsed="false">
      <c r="B1866" s="1104" t="str">
        <f aca="false">'Смета Внутр'!B1866</f>
        <v>блокхаус</v>
      </c>
      <c r="C1866" s="1104" t="str">
        <f aca="false">'Смета Внутр'!C1866</f>
        <v>м2</v>
      </c>
      <c r="D1866" s="1109" t="n">
        <f aca="false">'Смета Внутр'!D1866</f>
        <v>0</v>
      </c>
      <c r="E1866" s="1104" t="n">
        <f aca="false">'Смета Внутр'!E1866</f>
        <v>400</v>
      </c>
      <c r="F1866" s="1104" t="n">
        <f aca="false">'Смета Внутр'!F1866</f>
        <v>0</v>
      </c>
      <c r="G1866" s="1104" t="n">
        <f aca="false">IF(E1866&gt;F1866,E1866,F1866)</f>
        <v>400</v>
      </c>
      <c r="H1866" s="1104" t="n">
        <f aca="false">'Смета Внутр'!G1866</f>
        <v>0</v>
      </c>
      <c r="I1866" s="1104" t="n">
        <f aca="false">'Смета Внутр'!H1866</f>
        <v>0</v>
      </c>
      <c r="J1866" s="1109" t="n">
        <f aca="false">'Смета Внутр'!I1866</f>
        <v>0</v>
      </c>
    </row>
    <row r="1867" customFormat="false" ht="15" hidden="true" customHeight="true" outlineLevel="0" collapsed="false">
      <c r="B1867" s="1104" t="str">
        <f aca="false">'Смета Внутр'!B1867</f>
        <v>вагонка</v>
      </c>
      <c r="C1867" s="1104" t="str">
        <f aca="false">'Смета Внутр'!C1867</f>
        <v>м2</v>
      </c>
      <c r="D1867" s="1109" t="n">
        <f aca="false">'Смета Внутр'!D1867</f>
        <v>0</v>
      </c>
      <c r="E1867" s="1104" t="n">
        <f aca="false">'Смета Внутр'!E1867</f>
        <v>400</v>
      </c>
      <c r="F1867" s="1104" t="n">
        <f aca="false">'Смета Внутр'!F1867</f>
        <v>0</v>
      </c>
      <c r="G1867" s="1104" t="n">
        <f aca="false">IF(E1867&gt;F1867,E1867,F1867)</f>
        <v>400</v>
      </c>
      <c r="H1867" s="1104" t="n">
        <f aca="false">'Смета Внутр'!G1867</f>
        <v>0</v>
      </c>
      <c r="I1867" s="1104" t="n">
        <f aca="false">'Смета Внутр'!H1867</f>
        <v>0</v>
      </c>
      <c r="J1867" s="1109" t="n">
        <f aca="false">'Смета Внутр'!I1867</f>
        <v>0</v>
      </c>
    </row>
    <row r="1868" customFormat="false" ht="15" hidden="true" customHeight="true" outlineLevel="0" collapsed="false">
      <c r="B1868" s="1104" t="str">
        <f aca="false">'Смета Внутр'!B1868</f>
        <v>подсистема, брусок</v>
      </c>
      <c r="C1868" s="1104" t="str">
        <f aca="false">'Смета Внутр'!C1868</f>
        <v>м2</v>
      </c>
      <c r="D1868" s="1109" t="n">
        <f aca="false">'Смета Внутр'!D1868</f>
        <v>0</v>
      </c>
      <c r="E1868" s="1104" t="n">
        <f aca="false">'Смета Внутр'!E1868</f>
        <v>100</v>
      </c>
      <c r="F1868" s="1104" t="n">
        <f aca="false">'Смета Внутр'!F1868</f>
        <v>0</v>
      </c>
      <c r="G1868" s="1104" t="n">
        <f aca="false">IF(E1868&gt;F1868,E1868,F1868)</f>
        <v>100</v>
      </c>
      <c r="H1868" s="1104" t="n">
        <f aca="false">'Смета Внутр'!G1868</f>
        <v>0</v>
      </c>
      <c r="I1868" s="1104" t="n">
        <f aca="false">'Смета Внутр'!H1868</f>
        <v>0</v>
      </c>
      <c r="J1868" s="1109" t="n">
        <f aca="false">'Смета Внутр'!I1868</f>
        <v>0</v>
      </c>
    </row>
    <row r="1869" customFormat="false" ht="15" hidden="true" customHeight="true" outlineLevel="0" collapsed="false">
      <c r="B1869" s="1105" t="str">
        <f aca="false">'Смета Внутр'!B1869</f>
        <v>потолок</v>
      </c>
      <c r="C1869" s="1105"/>
      <c r="D1869" s="1105"/>
      <c r="E1869" s="1105"/>
      <c r="F1869" s="1105"/>
      <c r="G1869" s="1105"/>
      <c r="H1869" s="1104" t="n">
        <f aca="false">'Смета Внутр'!G1869</f>
        <v>0</v>
      </c>
      <c r="I1869" s="1104" t="n">
        <f aca="false">'Смета Внутр'!H1869</f>
        <v>1</v>
      </c>
      <c r="J1869" s="1107" t="n">
        <f aca="false">'Смета Внутр'!I1869</f>
        <v>1</v>
      </c>
    </row>
    <row r="1870" customFormat="false" ht="15" hidden="true" customHeight="true" outlineLevel="0" collapsed="false">
      <c r="B1870" s="1104" t="str">
        <f aca="false">'Смета Внутр'!B1870</f>
        <v>монтаж гкл потолок</v>
      </c>
      <c r="C1870" s="1104" t="str">
        <f aca="false">'Смета Внутр'!C1870</f>
        <v>м2</v>
      </c>
      <c r="D1870" s="1109" t="n">
        <f aca="false">'Смета Внутр'!D1870</f>
        <v>0</v>
      </c>
      <c r="E1870" s="1104" t="n">
        <f aca="false">'Смета Внутр'!E1870</f>
        <v>150</v>
      </c>
      <c r="F1870" s="1104" t="n">
        <f aca="false">'Смета Внутр'!F1870</f>
        <v>0</v>
      </c>
      <c r="G1870" s="1104" t="n">
        <f aca="false">IF(E1870&gt;F1870,E1870,F1870)</f>
        <v>150</v>
      </c>
      <c r="H1870" s="1104" t="n">
        <f aca="false">'Смета Внутр'!G1870</f>
        <v>0</v>
      </c>
      <c r="I1870" s="1104" t="n">
        <f aca="false">'Смета Внутр'!H1870</f>
        <v>0</v>
      </c>
      <c r="J1870" s="1109" t="n">
        <f aca="false">'Смета Внутр'!I1870</f>
        <v>0</v>
      </c>
    </row>
    <row r="1871" customFormat="false" ht="15" hidden="true" customHeight="true" outlineLevel="0" collapsed="false">
      <c r="B1871" s="1104" t="str">
        <f aca="false">'Смета Внутр'!B1871</f>
        <v>монтаж подсистемы</v>
      </c>
      <c r="C1871" s="1104" t="str">
        <f aca="false">'Смета Внутр'!C1871</f>
        <v>м2</v>
      </c>
      <c r="D1871" s="1109" t="n">
        <f aca="false">'Смета Внутр'!D1871</f>
        <v>0</v>
      </c>
      <c r="E1871" s="1104" t="n">
        <f aca="false">'Смета Внутр'!E1871</f>
        <v>120</v>
      </c>
      <c r="F1871" s="1104" t="n">
        <f aca="false">'Смета Внутр'!F1871</f>
        <v>0</v>
      </c>
      <c r="G1871" s="1104" t="n">
        <f aca="false">IF(E1871&gt;F1871,E1871,F1871)</f>
        <v>120</v>
      </c>
      <c r="H1871" s="1104" t="n">
        <f aca="false">'Смета Внутр'!G1871</f>
        <v>0</v>
      </c>
      <c r="I1871" s="1104" t="n">
        <f aca="false">'Смета Внутр'!H1871</f>
        <v>0</v>
      </c>
      <c r="J1871" s="1109" t="n">
        <f aca="false">'Смета Внутр'!I1871</f>
        <v>0</v>
      </c>
    </row>
    <row r="1872" customFormat="false" ht="15" hidden="true" customHeight="true" outlineLevel="0" collapsed="false">
      <c r="B1872" s="1104" t="str">
        <f aca="false">'Смета Внутр'!B1872</f>
        <v>шпаклевка швов потолок</v>
      </c>
      <c r="C1872" s="1104" t="str">
        <f aca="false">'Смета Внутр'!C1872</f>
        <v>м2</v>
      </c>
      <c r="D1872" s="1109" t="n">
        <f aca="false">'Смета Внутр'!D1872</f>
        <v>0</v>
      </c>
      <c r="E1872" s="1104" t="n">
        <f aca="false">'Смета Внутр'!E1872</f>
        <v>80</v>
      </c>
      <c r="F1872" s="1104" t="n">
        <f aca="false">'Смета Внутр'!F1872</f>
        <v>0</v>
      </c>
      <c r="G1872" s="1104" t="n">
        <f aca="false">IF(E1872&gt;F1872,E1872,F1872)</f>
        <v>80</v>
      </c>
      <c r="H1872" s="1104" t="n">
        <f aca="false">'Смета Внутр'!G1872</f>
        <v>0</v>
      </c>
      <c r="I1872" s="1104" t="n">
        <f aca="false">'Смета Внутр'!H1872</f>
        <v>0</v>
      </c>
      <c r="J1872" s="1109" t="n">
        <f aca="false">'Смета Внутр'!I1872</f>
        <v>0</v>
      </c>
    </row>
    <row r="1873" customFormat="false" ht="15" hidden="true" customHeight="true" outlineLevel="0" collapsed="false">
      <c r="B1873" s="1104" t="str">
        <f aca="false">'Смета Внутр'!B1873</f>
        <v>шпаклевка финишная пот</v>
      </c>
      <c r="C1873" s="1104" t="str">
        <f aca="false">'Смета Внутр'!C1873</f>
        <v>м2</v>
      </c>
      <c r="D1873" s="1109" t="n">
        <f aca="false">'Смета Внутр'!D1873</f>
        <v>0</v>
      </c>
      <c r="E1873" s="1104" t="n">
        <f aca="false">'Смета Внутр'!E1873</f>
        <v>100</v>
      </c>
      <c r="F1873" s="1104" t="n">
        <f aca="false">'Смета Внутр'!F1873</f>
        <v>0</v>
      </c>
      <c r="G1873" s="1104" t="n">
        <f aca="false">IF(E1873&gt;F1873,E1873,F1873)</f>
        <v>100</v>
      </c>
      <c r="H1873" s="1104" t="n">
        <f aca="false">'Смета Внутр'!G1873</f>
        <v>0</v>
      </c>
      <c r="I1873" s="1104" t="n">
        <f aca="false">'Смета Внутр'!H1873</f>
        <v>0</v>
      </c>
      <c r="J1873" s="1109" t="n">
        <f aca="false">'Смета Внутр'!I1873</f>
        <v>0</v>
      </c>
    </row>
    <row r="1874" customFormat="false" ht="15" hidden="true" customHeight="true" outlineLevel="0" collapsed="false">
      <c r="B1874" s="1104" t="str">
        <f aca="false">'Смета Внутр'!B1874</f>
        <v>окраска потолка</v>
      </c>
      <c r="C1874" s="1104" t="str">
        <f aca="false">'Смета Внутр'!C1874</f>
        <v>м2</v>
      </c>
      <c r="D1874" s="1109" t="n">
        <f aca="false">'Смета Внутр'!D1874</f>
        <v>0</v>
      </c>
      <c r="E1874" s="1104" t="n">
        <f aca="false">'Смета Внутр'!E1874</f>
        <v>150</v>
      </c>
      <c r="F1874" s="1104" t="n">
        <f aca="false">'Смета Внутр'!F1874</f>
        <v>0</v>
      </c>
      <c r="G1874" s="1104" t="n">
        <f aca="false">IF(E1874&gt;F1874,E1874,F1874)</f>
        <v>150</v>
      </c>
      <c r="H1874" s="1104" t="n">
        <f aca="false">'Смета Внутр'!G1874</f>
        <v>0</v>
      </c>
      <c r="I1874" s="1104" t="n">
        <f aca="false">'Смета Внутр'!H1874</f>
        <v>0</v>
      </c>
      <c r="J1874" s="1109" t="n">
        <f aca="false">'Смета Внутр'!I1874</f>
        <v>0</v>
      </c>
    </row>
    <row r="1875" customFormat="false" ht="15" hidden="true" customHeight="true" outlineLevel="0" collapsed="false">
      <c r="B1875" s="1104" t="str">
        <f aca="false">'Смета Внутр'!B1875</f>
        <v>натяжной потолок</v>
      </c>
      <c r="C1875" s="1104" t="str">
        <f aca="false">'Смета Внутр'!C1875</f>
        <v>м2</v>
      </c>
      <c r="D1875" s="1109" t="n">
        <f aca="false">'Смета Внутр'!D1875</f>
        <v>0</v>
      </c>
      <c r="E1875" s="1104" t="n">
        <f aca="false">'Смета Внутр'!E1875</f>
        <v>300</v>
      </c>
      <c r="F1875" s="1104" t="n">
        <f aca="false">'Смета Внутр'!F1875</f>
        <v>0</v>
      </c>
      <c r="G1875" s="1104" t="n">
        <f aca="false">IF(E1875&gt;F1875,E1875,F1875)</f>
        <v>300</v>
      </c>
      <c r="H1875" s="1104" t="n">
        <f aca="false">'Смета Внутр'!G1875</f>
        <v>0</v>
      </c>
      <c r="I1875" s="1104" t="n">
        <f aca="false">'Смета Внутр'!H1875</f>
        <v>0</v>
      </c>
      <c r="J1875" s="1109" t="n">
        <f aca="false">'Смета Внутр'!I1875</f>
        <v>0</v>
      </c>
    </row>
    <row r="1876" customFormat="false" ht="15" hidden="true" customHeight="true" outlineLevel="0" collapsed="false">
      <c r="B1876" s="1104" t="str">
        <f aca="false">'Смета Внутр'!B1876</f>
        <v>багем монтаж</v>
      </c>
      <c r="C1876" s="1104" t="str">
        <f aca="false">'Смета Внутр'!C1876</f>
        <v>м.п.</v>
      </c>
      <c r="D1876" s="1109" t="n">
        <f aca="false">'Смета Внутр'!D1876</f>
        <v>0</v>
      </c>
      <c r="E1876" s="1104" t="n">
        <f aca="false">'Смета Внутр'!E1876</f>
        <v>50</v>
      </c>
      <c r="F1876" s="1104" t="n">
        <f aca="false">'Смета Внутр'!F1876</f>
        <v>0</v>
      </c>
      <c r="G1876" s="1104" t="n">
        <f aca="false">IF(E1876&gt;F1876,E1876,F1876)</f>
        <v>50</v>
      </c>
      <c r="H1876" s="1104" t="n">
        <f aca="false">'Смета Внутр'!G1876</f>
        <v>0</v>
      </c>
      <c r="I1876" s="1104" t="n">
        <f aca="false">'Смета Внутр'!H1876</f>
        <v>0</v>
      </c>
      <c r="J1876" s="1109" t="n">
        <f aca="false">'Смета Внутр'!I1876</f>
        <v>0</v>
      </c>
    </row>
    <row r="1877" customFormat="false" ht="15" hidden="true" customHeight="true" outlineLevel="0" collapsed="false">
      <c r="B1877" s="1104" t="str">
        <f aca="false">'Смета Внутр'!B1877</f>
        <v>багет шпаклевка</v>
      </c>
      <c r="C1877" s="1104" t="str">
        <f aca="false">'Смета Внутр'!C1877</f>
        <v>м.п.</v>
      </c>
      <c r="D1877" s="1109" t="n">
        <f aca="false">'Смета Внутр'!D1877</f>
        <v>0</v>
      </c>
      <c r="E1877" s="1104" t="n">
        <f aca="false">'Смета Внутр'!E1877</f>
        <v>50</v>
      </c>
      <c r="F1877" s="1104" t="n">
        <f aca="false">'Смета Внутр'!F1877</f>
        <v>0</v>
      </c>
      <c r="G1877" s="1104" t="n">
        <f aca="false">IF(E1877&gt;F1877,E1877,F1877)</f>
        <v>50</v>
      </c>
      <c r="H1877" s="1104" t="n">
        <f aca="false">'Смета Внутр'!G1877</f>
        <v>0</v>
      </c>
      <c r="I1877" s="1104" t="n">
        <f aca="false">'Смета Внутр'!H1877</f>
        <v>0</v>
      </c>
      <c r="J1877" s="1109" t="n">
        <f aca="false">'Смета Внутр'!I1877</f>
        <v>0</v>
      </c>
    </row>
    <row r="1878" customFormat="false" ht="15" hidden="true" customHeight="true" outlineLevel="0" collapsed="false">
      <c r="B1878" s="1104" t="str">
        <f aca="false">'Смета Внутр'!B1878</f>
        <v>багет покраска</v>
      </c>
      <c r="C1878" s="1104" t="str">
        <f aca="false">'Смета Внутр'!C1878</f>
        <v>м.п.</v>
      </c>
      <c r="D1878" s="1109" t="n">
        <f aca="false">'Смета Внутр'!D1878</f>
        <v>0</v>
      </c>
      <c r="E1878" s="1104" t="n">
        <f aca="false">'Смета Внутр'!E1878</f>
        <v>50</v>
      </c>
      <c r="F1878" s="1104" t="n">
        <f aca="false">'Смета Внутр'!F1878</f>
        <v>0</v>
      </c>
      <c r="G1878" s="1104" t="n">
        <f aca="false">IF(E1878&gt;F1878,E1878,F1878)</f>
        <v>50</v>
      </c>
      <c r="H1878" s="1104" t="n">
        <f aca="false">'Смета Внутр'!G1878</f>
        <v>0</v>
      </c>
      <c r="I1878" s="1104" t="n">
        <f aca="false">'Смета Внутр'!H1878</f>
        <v>0</v>
      </c>
      <c r="J1878" s="1109" t="n">
        <f aca="false">'Смета Внутр'!I1878</f>
        <v>0</v>
      </c>
    </row>
    <row r="1879" customFormat="false" ht="15" hidden="true" customHeight="true" outlineLevel="0" collapsed="false">
      <c r="B1879" s="1104" t="str">
        <f aca="false">'Смета Внутр'!B1879</f>
        <v>имитация бруса</v>
      </c>
      <c r="C1879" s="1104" t="str">
        <f aca="false">'Смета Внутр'!C1879</f>
        <v>м2</v>
      </c>
      <c r="D1879" s="1109" t="n">
        <f aca="false">'Смета Внутр'!D1879</f>
        <v>0</v>
      </c>
      <c r="E1879" s="1104" t="n">
        <f aca="false">'Смета Внутр'!E1879</f>
        <v>400</v>
      </c>
      <c r="F1879" s="1104" t="n">
        <f aca="false">'Смета Внутр'!F1879</f>
        <v>0</v>
      </c>
      <c r="G1879" s="1104" t="n">
        <f aca="false">IF(E1879&gt;F1879,E1879,F1879)</f>
        <v>400</v>
      </c>
      <c r="H1879" s="1104" t="n">
        <f aca="false">'Смета Внутр'!G1879</f>
        <v>0</v>
      </c>
      <c r="I1879" s="1104" t="n">
        <f aca="false">'Смета Внутр'!H1879</f>
        <v>0</v>
      </c>
      <c r="J1879" s="1109" t="n">
        <f aca="false">'Смета Внутр'!I1879</f>
        <v>0</v>
      </c>
    </row>
    <row r="1880" customFormat="false" ht="15" hidden="true" customHeight="true" outlineLevel="0" collapsed="false">
      <c r="B1880" s="1104" t="str">
        <f aca="false">'Смета Внутр'!B1880</f>
        <v>блокхаус</v>
      </c>
      <c r="C1880" s="1104" t="str">
        <f aca="false">'Смета Внутр'!C1880</f>
        <v>м2</v>
      </c>
      <c r="D1880" s="1109" t="n">
        <f aca="false">'Смета Внутр'!D1880</f>
        <v>0</v>
      </c>
      <c r="E1880" s="1104" t="n">
        <f aca="false">'Смета Внутр'!E1880</f>
        <v>400</v>
      </c>
      <c r="F1880" s="1104" t="n">
        <f aca="false">'Смета Внутр'!F1880</f>
        <v>0</v>
      </c>
      <c r="G1880" s="1104" t="n">
        <f aca="false">IF(E1880&gt;F1880,E1880,F1880)</f>
        <v>400</v>
      </c>
      <c r="H1880" s="1104" t="n">
        <f aca="false">'Смета Внутр'!G1880</f>
        <v>0</v>
      </c>
      <c r="I1880" s="1104" t="n">
        <f aca="false">'Смета Внутр'!H1880</f>
        <v>0</v>
      </c>
      <c r="J1880" s="1109" t="n">
        <f aca="false">'Смета Внутр'!I1880</f>
        <v>0</v>
      </c>
    </row>
    <row r="1881" customFormat="false" ht="15" hidden="true" customHeight="true" outlineLevel="0" collapsed="false">
      <c r="B1881" s="1104" t="str">
        <f aca="false">'Смета Внутр'!B1881</f>
        <v>вагонка</v>
      </c>
      <c r="C1881" s="1104" t="str">
        <f aca="false">'Смета Внутр'!C1881</f>
        <v>м2</v>
      </c>
      <c r="D1881" s="1109" t="n">
        <f aca="false">'Смета Внутр'!D1881</f>
        <v>88.7321893085902</v>
      </c>
      <c r="E1881" s="1104" t="n">
        <f aca="false">'Смета Внутр'!E1881</f>
        <v>400</v>
      </c>
      <c r="F1881" s="1104" t="n">
        <f aca="false">'Смета Внутр'!F1881</f>
        <v>0</v>
      </c>
      <c r="G1881" s="1104" t="n">
        <f aca="false">IF(E1881&gt;F1881,E1881,F1881)</f>
        <v>400</v>
      </c>
      <c r="H1881" s="1104" t="n">
        <f aca="false">'Смета Внутр'!G1881</f>
        <v>35492.8757234361</v>
      </c>
      <c r="I1881" s="1104" t="n">
        <f aca="false">'Смета Внутр'!H1881</f>
        <v>35492.8757234361</v>
      </c>
      <c r="J1881" s="1109" t="n">
        <f aca="false">'Смета Внутр'!I1881</f>
        <v>35492.8757234361</v>
      </c>
    </row>
    <row r="1882" customFormat="false" ht="15" hidden="true" customHeight="true" outlineLevel="0" collapsed="false">
      <c r="B1882" s="1104" t="str">
        <f aca="false">'Смета Внутр'!B1882</f>
        <v>подсистема, брусок</v>
      </c>
      <c r="C1882" s="1104" t="str">
        <f aca="false">'Смета Внутр'!C1882</f>
        <v>м2</v>
      </c>
      <c r="D1882" s="1109" t="n">
        <f aca="false">'Смета Внутр'!D1882</f>
        <v>0</v>
      </c>
      <c r="E1882" s="1104" t="n">
        <f aca="false">'Смета Внутр'!E1882</f>
        <v>100</v>
      </c>
      <c r="F1882" s="1104" t="n">
        <f aca="false">'Смета Внутр'!F1882</f>
        <v>0</v>
      </c>
      <c r="G1882" s="1104" t="n">
        <f aca="false">IF(E1882&gt;F1882,E1882,F1882)</f>
        <v>100</v>
      </c>
      <c r="H1882" s="1104" t="n">
        <f aca="false">'Смета Внутр'!G1882</f>
        <v>0</v>
      </c>
      <c r="I1882" s="1104" t="n">
        <f aca="false">'Смета Внутр'!H1882</f>
        <v>0</v>
      </c>
      <c r="J1882" s="1109" t="n">
        <f aca="false">'Смета Внутр'!I1882</f>
        <v>0</v>
      </c>
    </row>
    <row r="1883" customFormat="false" ht="15" hidden="true" customHeight="true" outlineLevel="0" collapsed="false">
      <c r="B1883" s="1105" t="str">
        <f aca="false">'Смета Внутр'!B1883</f>
        <v>пол</v>
      </c>
      <c r="C1883" s="1105"/>
      <c r="D1883" s="1105"/>
      <c r="E1883" s="1105"/>
      <c r="F1883" s="1105"/>
      <c r="G1883" s="1105"/>
      <c r="H1883" s="1104" t="n">
        <f aca="false">'Смета Внутр'!G1883</f>
        <v>0</v>
      </c>
      <c r="I1883" s="1104" t="n">
        <f aca="false">'Смета Внутр'!H1883</f>
        <v>0</v>
      </c>
      <c r="J1883" s="1107" t="n">
        <f aca="false">'Смета Внутр'!I1883</f>
        <v>0</v>
      </c>
    </row>
    <row r="1884" customFormat="false" ht="15" hidden="true" customHeight="true" outlineLevel="0" collapsed="false">
      <c r="B1884" s="1104" t="str">
        <f aca="false">'Смета Внутр'!B1884</f>
        <v>подложка</v>
      </c>
      <c r="C1884" s="1104" t="str">
        <f aca="false">'Смета Внутр'!C1884</f>
        <v>м2</v>
      </c>
      <c r="D1884" s="1109" t="n">
        <f aca="false">'Смета Внутр'!D1884</f>
        <v>0</v>
      </c>
      <c r="E1884" s="1104" t="n">
        <f aca="false">'Смета Внутр'!E1884</f>
        <v>30</v>
      </c>
      <c r="F1884" s="1104" t="n">
        <f aca="false">'Смета Внутр'!F1884</f>
        <v>0</v>
      </c>
      <c r="G1884" s="1104" t="n">
        <f aca="false">IF(E1884&gt;F1884,E1884,F1884)</f>
        <v>30</v>
      </c>
      <c r="H1884" s="1104" t="n">
        <f aca="false">'Смета Внутр'!G1884</f>
        <v>0</v>
      </c>
      <c r="I1884" s="1104" t="n">
        <f aca="false">'Смета Внутр'!H1884</f>
        <v>0</v>
      </c>
      <c r="J1884" s="1109" t="n">
        <f aca="false">'Смета Внутр'!I1884</f>
        <v>0</v>
      </c>
    </row>
    <row r="1885" customFormat="false" ht="15" hidden="true" customHeight="true" outlineLevel="0" collapsed="false">
      <c r="B1885" s="1104" t="str">
        <f aca="false">'Смета Внутр'!B1885</f>
        <v>линолеум</v>
      </c>
      <c r="C1885" s="1104" t="str">
        <f aca="false">'Смета Внутр'!C1885</f>
        <v>м2</v>
      </c>
      <c r="D1885" s="1109" t="n">
        <f aca="false">'Смета Внутр'!D1885</f>
        <v>0</v>
      </c>
      <c r="E1885" s="1104" t="n">
        <f aca="false">'Смета Внутр'!E1885</f>
        <v>150</v>
      </c>
      <c r="F1885" s="1104" t="n">
        <f aca="false">'Смета Внутр'!F1885</f>
        <v>0</v>
      </c>
      <c r="G1885" s="1104" t="n">
        <f aca="false">IF(E1885&gt;F1885,E1885,F1885)</f>
        <v>150</v>
      </c>
      <c r="H1885" s="1104" t="n">
        <f aca="false">'Смета Внутр'!G1885</f>
        <v>0</v>
      </c>
      <c r="I1885" s="1104" t="n">
        <f aca="false">'Смета Внутр'!H1885</f>
        <v>0</v>
      </c>
      <c r="J1885" s="1109" t="n">
        <f aca="false">'Смета Внутр'!I1885</f>
        <v>0</v>
      </c>
    </row>
    <row r="1886" customFormat="false" ht="15" hidden="true" customHeight="true" outlineLevel="0" collapsed="false">
      <c r="B1886" s="1104" t="str">
        <f aca="false">'Смета Внутр'!B1886</f>
        <v>ламинат</v>
      </c>
      <c r="C1886" s="1104" t="str">
        <f aca="false">'Смета Внутр'!C1886</f>
        <v>м2</v>
      </c>
      <c r="D1886" s="1109" t="n">
        <f aca="false">'Смета Внутр'!D1886</f>
        <v>0</v>
      </c>
      <c r="E1886" s="1104" t="n">
        <f aca="false">'Смета Внутр'!E1886</f>
        <v>150</v>
      </c>
      <c r="F1886" s="1104" t="n">
        <f aca="false">'Смета Внутр'!F1886</f>
        <v>0</v>
      </c>
      <c r="G1886" s="1104" t="n">
        <f aca="false">IF(E1886&gt;F1886,E1886,F1886)</f>
        <v>150</v>
      </c>
      <c r="H1886" s="1104" t="n">
        <f aca="false">'Смета Внутр'!G1886</f>
        <v>0</v>
      </c>
      <c r="I1886" s="1104" t="n">
        <f aca="false">'Смета Внутр'!H1886</f>
        <v>0</v>
      </c>
      <c r="J1886" s="1109" t="n">
        <f aca="false">'Смета Внутр'!I1886</f>
        <v>0</v>
      </c>
    </row>
    <row r="1887" customFormat="false" ht="15" hidden="true" customHeight="true" outlineLevel="0" collapsed="false">
      <c r="B1887" s="1104" t="str">
        <f aca="false">'Смета Внутр'!B1887</f>
        <v>плинтус</v>
      </c>
      <c r="C1887" s="1104" t="str">
        <f aca="false">'Смета Внутр'!C1887</f>
        <v>м.п.</v>
      </c>
      <c r="D1887" s="1109" t="n">
        <f aca="false">'Смета Внутр'!D1887</f>
        <v>0</v>
      </c>
      <c r="E1887" s="1104" t="n">
        <f aca="false">'Смета Внутр'!E1887</f>
        <v>150</v>
      </c>
      <c r="F1887" s="1104" t="n">
        <f aca="false">'Смета Внутр'!F1887</f>
        <v>0</v>
      </c>
      <c r="G1887" s="1104" t="n">
        <f aca="false">IF(E1887&gt;F1887,E1887,F1887)</f>
        <v>150</v>
      </c>
      <c r="H1887" s="1104" t="n">
        <f aca="false">'Смета Внутр'!G1887</f>
        <v>0</v>
      </c>
      <c r="I1887" s="1104" t="n">
        <f aca="false">'Смета Внутр'!H1887</f>
        <v>0</v>
      </c>
      <c r="J1887" s="1109" t="n">
        <f aca="false">'Смета Внутр'!I1887</f>
        <v>0</v>
      </c>
    </row>
    <row r="1888" customFormat="false" ht="15" hidden="true" customHeight="true" outlineLevel="0" collapsed="false">
      <c r="B1888" s="1104" t="str">
        <f aca="false">'Смета Внутр'!B1888</f>
        <v>кафель</v>
      </c>
      <c r="C1888" s="1104" t="str">
        <f aca="false">'Смета Внутр'!C1888</f>
        <v>м2</v>
      </c>
      <c r="D1888" s="1109" t="n">
        <f aca="false">'Смета Внутр'!D1888</f>
        <v>0</v>
      </c>
      <c r="E1888" s="1104" t="n">
        <f aca="false">'Смета Внутр'!E1888</f>
        <v>600</v>
      </c>
      <c r="F1888" s="1104" t="n">
        <f aca="false">'Смета Внутр'!F1888</f>
        <v>0</v>
      </c>
      <c r="G1888" s="1104" t="n">
        <f aca="false">IF(E1888&gt;F1888,E1888,F1888)</f>
        <v>600</v>
      </c>
      <c r="H1888" s="1104" t="n">
        <f aca="false">'Смета Внутр'!G1888</f>
        <v>0</v>
      </c>
      <c r="I1888" s="1104" t="n">
        <f aca="false">'Смета Внутр'!H1888</f>
        <v>0</v>
      </c>
      <c r="J1888" s="1109" t="n">
        <f aca="false">'Смета Внутр'!I1888</f>
        <v>0</v>
      </c>
    </row>
    <row r="1889" customFormat="false" ht="15" hidden="true" customHeight="true" outlineLevel="0" collapsed="false">
      <c r="B1889" s="1105" t="str">
        <f aca="false">'Смета Внутр'!B1889</f>
        <v>санузел/ванная</v>
      </c>
      <c r="C1889" s="1105"/>
      <c r="D1889" s="1105"/>
      <c r="E1889" s="1105"/>
      <c r="F1889" s="1105"/>
      <c r="G1889" s="1105"/>
      <c r="H1889" s="1104" t="n">
        <f aca="false">'Смета Внутр'!G1889</f>
        <v>0</v>
      </c>
      <c r="I1889" s="1104" t="n">
        <f aca="false">'Смета Внутр'!H1889</f>
        <v>0</v>
      </c>
      <c r="J1889" s="1107" t="n">
        <f aca="false">'Смета Внутр'!I1889</f>
        <v>0</v>
      </c>
    </row>
    <row r="1890" customFormat="false" ht="15" hidden="true" customHeight="true" outlineLevel="0" collapsed="false">
      <c r="B1890" s="1104" t="str">
        <f aca="false">'Смета Внутр'!B1890</f>
        <v>кафель стены</v>
      </c>
      <c r="C1890" s="1104" t="str">
        <f aca="false">'Смета Внутр'!C1890</f>
        <v>м2</v>
      </c>
      <c r="D1890" s="1109" t="n">
        <f aca="false">'Смета Внутр'!D1890</f>
        <v>0</v>
      </c>
      <c r="E1890" s="1104" t="n">
        <f aca="false">'Смета Внутр'!E1890</f>
        <v>600</v>
      </c>
      <c r="F1890" s="1104" t="n">
        <f aca="false">'Смета Внутр'!F1890</f>
        <v>0</v>
      </c>
      <c r="G1890" s="1104" t="n">
        <f aca="false">IF(E1890&gt;F1890,E1890,F1890)</f>
        <v>600</v>
      </c>
      <c r="H1890" s="1104" t="n">
        <f aca="false">'Смета Внутр'!G1890</f>
        <v>0</v>
      </c>
      <c r="I1890" s="1104" t="n">
        <f aca="false">'Смета Внутр'!H1890</f>
        <v>0</v>
      </c>
      <c r="J1890" s="1109" t="n">
        <f aca="false">'Смета Внутр'!I1890</f>
        <v>0</v>
      </c>
    </row>
    <row r="1891" customFormat="false" ht="15" hidden="true" customHeight="true" outlineLevel="0" collapsed="false">
      <c r="B1891" s="1104" t="str">
        <f aca="false">'Смета Внутр'!B1891</f>
        <v>кафель потолок</v>
      </c>
      <c r="C1891" s="1104" t="str">
        <f aca="false">'Смета Внутр'!C1891</f>
        <v>м2</v>
      </c>
      <c r="D1891" s="1109" t="n">
        <f aca="false">'Смета Внутр'!D1891</f>
        <v>0</v>
      </c>
      <c r="E1891" s="1104" t="n">
        <f aca="false">'Смета Внутр'!E1891</f>
        <v>600</v>
      </c>
      <c r="F1891" s="1104" t="n">
        <f aca="false">'Смета Внутр'!F1891</f>
        <v>0</v>
      </c>
      <c r="G1891" s="1104" t="n">
        <f aca="false">IF(E1891&gt;F1891,E1891,F1891)</f>
        <v>600</v>
      </c>
      <c r="H1891" s="1104" t="n">
        <f aca="false">'Смета Внутр'!G1891</f>
        <v>0</v>
      </c>
      <c r="I1891" s="1104" t="n">
        <f aca="false">'Смета Внутр'!H1891</f>
        <v>0</v>
      </c>
      <c r="J1891" s="1109" t="n">
        <f aca="false">'Смета Внутр'!I1891</f>
        <v>0</v>
      </c>
    </row>
    <row r="1892" customFormat="false" ht="15" hidden="true" customHeight="true" outlineLevel="0" collapsed="false">
      <c r="B1892" s="1104" t="str">
        <f aca="false">'Смета Внутр'!B1892</f>
        <v>кафель пол</v>
      </c>
      <c r="C1892" s="1104" t="str">
        <f aca="false">'Смета Внутр'!C1892</f>
        <v>м2</v>
      </c>
      <c r="D1892" s="1109" t="n">
        <f aca="false">'Смета Внутр'!D1892</f>
        <v>0</v>
      </c>
      <c r="E1892" s="1104" t="n">
        <f aca="false">'Смета Внутр'!E1892</f>
        <v>600</v>
      </c>
      <c r="F1892" s="1104" t="n">
        <f aca="false">'Смета Внутр'!F1892</f>
        <v>0</v>
      </c>
      <c r="G1892" s="1104" t="n">
        <f aca="false">IF(E1892&gt;F1892,E1892,F1892)</f>
        <v>600</v>
      </c>
      <c r="H1892" s="1104" t="n">
        <f aca="false">'Смета Внутр'!G1892</f>
        <v>0</v>
      </c>
      <c r="I1892" s="1104" t="n">
        <f aca="false">'Смета Внутр'!H1892</f>
        <v>0</v>
      </c>
      <c r="J1892" s="1109" t="n">
        <f aca="false">'Смета Внутр'!I1892</f>
        <v>0</v>
      </c>
    </row>
    <row r="1893" customFormat="false" ht="15" hidden="true" customHeight="true" outlineLevel="0" collapsed="false">
      <c r="B1893" s="1104" t="str">
        <f aca="false">'Смета Внутр'!B1893</f>
        <v>панели пластик стены</v>
      </c>
      <c r="C1893" s="1104" t="str">
        <f aca="false">'Смета Внутр'!C1893</f>
        <v>м2</v>
      </c>
      <c r="D1893" s="1109" t="n">
        <f aca="false">'Смета Внутр'!D1893</f>
        <v>0</v>
      </c>
      <c r="E1893" s="1104" t="n">
        <f aca="false">'Смета Внутр'!E1893</f>
        <v>150</v>
      </c>
      <c r="F1893" s="1104" t="n">
        <f aca="false">'Смета Внутр'!F1893</f>
        <v>0</v>
      </c>
      <c r="G1893" s="1104" t="n">
        <f aca="false">IF(E1893&gt;F1893,E1893,F1893)</f>
        <v>150</v>
      </c>
      <c r="H1893" s="1104" t="n">
        <f aca="false">'Смета Внутр'!G1893</f>
        <v>0</v>
      </c>
      <c r="I1893" s="1104" t="n">
        <f aca="false">'Смета Внутр'!H1893</f>
        <v>0</v>
      </c>
      <c r="J1893" s="1109" t="n">
        <f aca="false">'Смета Внутр'!I1893</f>
        <v>0</v>
      </c>
    </row>
    <row r="1894" customFormat="false" ht="15" hidden="true" customHeight="true" outlineLevel="0" collapsed="false">
      <c r="B1894" s="1104" t="str">
        <f aca="false">'Смета Внутр'!B1894</f>
        <v>панели пластик потолок</v>
      </c>
      <c r="C1894" s="1104" t="str">
        <f aca="false">'Смета Внутр'!C1894</f>
        <v>м2</v>
      </c>
      <c r="D1894" s="1109" t="n">
        <f aca="false">'Смета Внутр'!D1894</f>
        <v>0</v>
      </c>
      <c r="E1894" s="1104" t="n">
        <f aca="false">'Смета Внутр'!E1894</f>
        <v>150</v>
      </c>
      <c r="F1894" s="1104" t="n">
        <f aca="false">'Смета Внутр'!F1894</f>
        <v>0</v>
      </c>
      <c r="G1894" s="1104" t="n">
        <f aca="false">IF(E1894&gt;F1894,E1894,F1894)</f>
        <v>150</v>
      </c>
      <c r="H1894" s="1104" t="n">
        <f aca="false">'Смета Внутр'!G1894</f>
        <v>0</v>
      </c>
      <c r="I1894" s="1104" t="n">
        <f aca="false">'Смета Внутр'!H1894</f>
        <v>0</v>
      </c>
      <c r="J1894" s="1109" t="n">
        <f aca="false">'Смета Внутр'!I1894</f>
        <v>0</v>
      </c>
    </row>
    <row r="1895" customFormat="false" ht="15" hidden="true" customHeight="true" outlineLevel="0" collapsed="false">
      <c r="B1895" s="1104" t="str">
        <f aca="false">'Смета Внутр'!B1895</f>
        <v>натяжной потолок</v>
      </c>
      <c r="C1895" s="1104" t="str">
        <f aca="false">'Смета Внутр'!C1895</f>
        <v>м2</v>
      </c>
      <c r="D1895" s="1109" t="n">
        <f aca="false">'Смета Внутр'!D1895</f>
        <v>0</v>
      </c>
      <c r="E1895" s="1104" t="n">
        <f aca="false">'Смета Внутр'!E1895</f>
        <v>300</v>
      </c>
      <c r="F1895" s="1104" t="n">
        <f aca="false">'Смета Внутр'!F1895</f>
        <v>0</v>
      </c>
      <c r="G1895" s="1104" t="n">
        <f aca="false">IF(E1895&gt;F1895,E1895,F1895)</f>
        <v>300</v>
      </c>
      <c r="H1895" s="1104" t="n">
        <f aca="false">'Смета Внутр'!G1895</f>
        <v>0</v>
      </c>
      <c r="I1895" s="1104" t="n">
        <f aca="false">'Смета Внутр'!H1895</f>
        <v>0</v>
      </c>
      <c r="J1895" s="1109" t="n">
        <f aca="false">'Смета Внутр'!I1895</f>
        <v>0</v>
      </c>
    </row>
    <row r="1896" customFormat="false" ht="15" hidden="true" customHeight="true" outlineLevel="0" collapsed="false">
      <c r="B1896" s="1104" t="str">
        <f aca="false">'Смета Внутр'!B1896</f>
        <v>Двери межкомнатные </v>
      </c>
      <c r="C1896" s="1104"/>
      <c r="D1896" s="1109"/>
      <c r="E1896" s="1104"/>
      <c r="F1896" s="1104"/>
      <c r="G1896" s="1104"/>
      <c r="H1896" s="1104" t="n">
        <f aca="false">'Смета Внутр'!G1896</f>
        <v>0</v>
      </c>
      <c r="I1896" s="1104" t="n">
        <f aca="false">'Смета Внутр'!H1896</f>
        <v>0</v>
      </c>
      <c r="J1896" s="1109" t="n">
        <f aca="false">'Смета Внутр'!I1896</f>
        <v>0</v>
      </c>
    </row>
    <row r="1897" customFormat="false" ht="15" hidden="true" customHeight="true" outlineLevel="0" collapsed="false">
      <c r="B1897" s="1104" t="str">
        <f aca="false">'Смета Внутр'!B1897</f>
        <v>устанвка дверей</v>
      </c>
      <c r="C1897" s="1104" t="str">
        <f aca="false">'Смета Внутр'!C1897</f>
        <v>шт</v>
      </c>
      <c r="D1897" s="1109" t="n">
        <f aca="false">'Смета Внутр'!D1897</f>
        <v>0</v>
      </c>
      <c r="E1897" s="1104" t="n">
        <f aca="false">'Смета Внутр'!E1897</f>
        <v>1200</v>
      </c>
      <c r="F1897" s="1104" t="n">
        <f aca="false">'Смета Внутр'!F1897</f>
        <v>0</v>
      </c>
      <c r="G1897" s="1104" t="n">
        <f aca="false">IF(E1897&gt;F1897,E1897,F1897)</f>
        <v>1200</v>
      </c>
      <c r="H1897" s="1104" t="n">
        <f aca="false">'Смета Внутр'!G1897</f>
        <v>0</v>
      </c>
      <c r="I1897" s="1104" t="n">
        <f aca="false">'Смета Внутр'!H1897</f>
        <v>0</v>
      </c>
      <c r="J1897" s="1109" t="n">
        <f aca="false">'Смета Внутр'!I1897</f>
        <v>0</v>
      </c>
    </row>
    <row r="1898" customFormat="false" ht="15" hidden="true" customHeight="true" outlineLevel="0" collapsed="false">
      <c r="B1898" s="1104" t="str">
        <f aca="false">'Смета Внутр'!B1898</f>
        <v>монтаж коробки</v>
      </c>
      <c r="C1898" s="1104" t="str">
        <f aca="false">'Смета Внутр'!C1898</f>
        <v>шт</v>
      </c>
      <c r="D1898" s="1109" t="n">
        <f aca="false">'Смета Внутр'!D1898</f>
        <v>0</v>
      </c>
      <c r="E1898" s="1104" t="n">
        <f aca="false">'Смета Внутр'!E1898</f>
        <v>250</v>
      </c>
      <c r="F1898" s="1104" t="n">
        <f aca="false">'Смета Внутр'!F1898</f>
        <v>0</v>
      </c>
      <c r="G1898" s="1104" t="n">
        <f aca="false">IF(E1898&gt;F1898,E1898,F1898)</f>
        <v>250</v>
      </c>
      <c r="H1898" s="1104" t="n">
        <f aca="false">'Смета Внутр'!G1898</f>
        <v>0</v>
      </c>
      <c r="I1898" s="1104" t="n">
        <f aca="false">'Смета Внутр'!H1898</f>
        <v>0</v>
      </c>
      <c r="J1898" s="1109" t="n">
        <f aca="false">'Смета Внутр'!I1898</f>
        <v>0</v>
      </c>
    </row>
    <row r="1899" customFormat="false" ht="15" hidden="true" customHeight="true" outlineLevel="0" collapsed="false">
      <c r="B1899" s="1104" t="str">
        <f aca="false">'Смета Внутр'!B1899</f>
        <v>монтаж наличников</v>
      </c>
      <c r="C1899" s="1104" t="str">
        <f aca="false">'Смета Внутр'!C1899</f>
        <v>шт</v>
      </c>
      <c r="D1899" s="1109" t="n">
        <f aca="false">'Смета Внутр'!D1899</f>
        <v>0</v>
      </c>
      <c r="E1899" s="1104" t="n">
        <f aca="false">'Смета Внутр'!E1899</f>
        <v>250</v>
      </c>
      <c r="F1899" s="1104" t="n">
        <f aca="false">'Смета Внутр'!F1899</f>
        <v>0</v>
      </c>
      <c r="G1899" s="1104" t="n">
        <f aca="false">IF(E1899&gt;F1899,E1899,F1899)</f>
        <v>250</v>
      </c>
      <c r="H1899" s="1104" t="n">
        <f aca="false">'Смета Внутр'!G1899</f>
        <v>0</v>
      </c>
      <c r="I1899" s="1104" t="n">
        <f aca="false">'Смета Внутр'!H1899</f>
        <v>0</v>
      </c>
      <c r="J1899" s="1109" t="n">
        <f aca="false">'Смета Внутр'!I1899</f>
        <v>0</v>
      </c>
    </row>
    <row r="1900" customFormat="false" ht="15" hidden="true" customHeight="true" outlineLevel="0" collapsed="false">
      <c r="B1900" s="1104" t="str">
        <f aca="false">'Смета Внутр'!B1900</f>
        <v>монтаж порожков</v>
      </c>
      <c r="C1900" s="1104" t="str">
        <f aca="false">'Смета Внутр'!C1900</f>
        <v>шт</v>
      </c>
      <c r="D1900" s="1109" t="n">
        <f aca="false">'Смета Внутр'!D1900</f>
        <v>0</v>
      </c>
      <c r="E1900" s="1104" t="n">
        <f aca="false">'Смета Внутр'!E1900</f>
        <v>100</v>
      </c>
      <c r="F1900" s="1104" t="n">
        <f aca="false">'Смета Внутр'!F1900</f>
        <v>0</v>
      </c>
      <c r="G1900" s="1104" t="n">
        <f aca="false">IF(E1900&gt;F1900,E1900,F1900)</f>
        <v>100</v>
      </c>
      <c r="H1900" s="1104" t="n">
        <f aca="false">'Смета Внутр'!G1900</f>
        <v>0</v>
      </c>
      <c r="I1900" s="1104" t="n">
        <f aca="false">'Смета Внутр'!H1900</f>
        <v>0</v>
      </c>
      <c r="J1900" s="1109" t="n">
        <f aca="false">'Смета Внутр'!I1900</f>
        <v>0</v>
      </c>
    </row>
    <row r="1901" customFormat="false" ht="15" hidden="true" customHeight="true" outlineLevel="0" collapsed="false">
      <c r="B1901" s="1104" t="str">
        <f aca="false">'Смета Внутр'!B1901</f>
        <v>монтаж отбойников</v>
      </c>
      <c r="C1901" s="1104" t="str">
        <f aca="false">'Смета Внутр'!C1901</f>
        <v>шт</v>
      </c>
      <c r="D1901" s="1109" t="n">
        <f aca="false">'Смета Внутр'!D1901</f>
        <v>0</v>
      </c>
      <c r="E1901" s="1104" t="n">
        <f aca="false">'Смета Внутр'!E1901</f>
        <v>80</v>
      </c>
      <c r="F1901" s="1104" t="n">
        <f aca="false">'Смета Внутр'!F1901</f>
        <v>0</v>
      </c>
      <c r="G1901" s="1104" t="n">
        <f aca="false">IF(E1901&gt;F1901,E1901,F1901)</f>
        <v>80</v>
      </c>
      <c r="H1901" s="1104" t="n">
        <f aca="false">'Смета Внутр'!G1901</f>
        <v>0</v>
      </c>
      <c r="I1901" s="1104" t="n">
        <f aca="false">'Смета Внутр'!H1901</f>
        <v>0</v>
      </c>
      <c r="J1901" s="1109" t="n">
        <f aca="false">'Смета Внутр'!I1901</f>
        <v>0</v>
      </c>
    </row>
    <row r="1902" customFormat="false" ht="15" hidden="true" customHeight="true" outlineLevel="0" collapsed="false">
      <c r="B1902" s="1108" t="str">
        <f aca="false">'Смета Внутр'!B1902</f>
        <v>Итого работы</v>
      </c>
      <c r="C1902" s="1108"/>
      <c r="D1902" s="1108"/>
      <c r="E1902" s="1108"/>
      <c r="F1902" s="1108"/>
      <c r="G1902" s="1108"/>
      <c r="H1902" s="1104" t="n">
        <f aca="false">'Смета Внутр'!G1902</f>
        <v>140796.875723436</v>
      </c>
      <c r="I1902" s="1104" t="n">
        <f aca="false">'Смета Внутр'!H1902</f>
        <v>140797.875723436</v>
      </c>
      <c r="J1902" s="1109" t="n">
        <f aca="false">'Смета Внутр'!I1902</f>
        <v>140797.875723436</v>
      </c>
    </row>
    <row r="1903" customFormat="false" ht="15" hidden="true" customHeight="true" outlineLevel="0" collapsed="false">
      <c r="B1903" s="1111" t="str">
        <f aca="false">'Смета Внутр'!B1903</f>
        <v>Электрика</v>
      </c>
      <c r="C1903" s="1111"/>
      <c r="D1903" s="1111"/>
      <c r="H1903" s="118" t="n">
        <f aca="false">'Смета Внутр'!G1903</f>
        <v>0</v>
      </c>
      <c r="I1903" s="118" t="n">
        <f aca="false">'Смета Внутр'!H1903</f>
        <v>0</v>
      </c>
      <c r="J1903" s="1102" t="n">
        <f aca="false">'Смета Внутр'!I1903</f>
        <v>0</v>
      </c>
    </row>
    <row r="1904" customFormat="false" ht="15" hidden="true" customHeight="true" outlineLevel="0" collapsed="false">
      <c r="B1904" s="118" t="str">
        <f aca="false">'Смета Внутр'!B1904</f>
        <v>Материалы</v>
      </c>
      <c r="H1904" s="118" t="n">
        <f aca="false">'Смета Внутр'!G1904</f>
        <v>0</v>
      </c>
      <c r="I1904" s="118" t="n">
        <f aca="false">'Смета Внутр'!H1904</f>
        <v>0</v>
      </c>
      <c r="J1904" s="1102" t="n">
        <f aca="false">'Смета Внутр'!I1904</f>
        <v>0</v>
      </c>
    </row>
    <row r="1905" customFormat="false" ht="15" hidden="true" customHeight="true" outlineLevel="0" collapsed="false">
      <c r="B1905" s="1104" t="str">
        <f aca="false">'Смета Внутр'!B1905</f>
        <v>Кабель ВВГнг(А)-LS 3х2,5 0,66</v>
      </c>
      <c r="C1905" s="1104" t="str">
        <f aca="false">'Смета Внутр'!C1905</f>
        <v>м.п.</v>
      </c>
      <c r="D1905" s="1109" t="n">
        <f aca="false">'Смета Внутр'!D1905</f>
        <v>180.64</v>
      </c>
      <c r="E1905" s="1104" t="n">
        <f aca="false">'Смета Внутр'!E1905</f>
        <v>47.36</v>
      </c>
      <c r="F1905" s="1104" t="n">
        <f aca="false">'Смета Внутр'!F1905</f>
        <v>0</v>
      </c>
      <c r="G1905" s="1104" t="n">
        <f aca="false">IF(E1905&gt;F1905,E1905,F1905)</f>
        <v>47.36</v>
      </c>
      <c r="H1905" s="1104" t="n">
        <f aca="false">'Смета Внутр'!G1905</f>
        <v>8555.1104</v>
      </c>
      <c r="I1905" s="1104" t="n">
        <f aca="false">'Смета Внутр'!H1905</f>
        <v>0</v>
      </c>
      <c r="J1905" s="1109" t="n">
        <f aca="false">'Смета Внутр'!I1905</f>
        <v>0</v>
      </c>
    </row>
    <row r="1906" customFormat="false" ht="15" hidden="true" customHeight="true" outlineLevel="0" collapsed="false">
      <c r="B1906" s="1104" t="str">
        <f aca="false">'Смета Внутр'!B1906</f>
        <v>Труба ПВХ гофрировонная гибкая 20</v>
      </c>
      <c r="C1906" s="1104" t="str">
        <f aca="false">'Смета Внутр'!C1906</f>
        <v>м.п.</v>
      </c>
      <c r="D1906" s="1109" t="n">
        <f aca="false">'Смета Внутр'!D1906</f>
        <v>198.704</v>
      </c>
      <c r="E1906" s="1104" t="n">
        <f aca="false">'Смета Внутр'!E1906</f>
        <v>5.02</v>
      </c>
      <c r="F1906" s="1104" t="n">
        <f aca="false">'Смета Внутр'!F1906</f>
        <v>0</v>
      </c>
      <c r="G1906" s="1104" t="n">
        <f aca="false">IF(E1906&gt;F1906,E1906,F1906)</f>
        <v>5.02</v>
      </c>
      <c r="H1906" s="1104" t="n">
        <f aca="false">'Смета Внутр'!G1906</f>
        <v>997.49408</v>
      </c>
      <c r="I1906" s="1104" t="n">
        <f aca="false">'Смета Внутр'!H1906</f>
        <v>0</v>
      </c>
      <c r="J1906" s="1109" t="n">
        <f aca="false">'Смета Внутр'!I1906</f>
        <v>0</v>
      </c>
    </row>
    <row r="1907" customFormat="false" ht="15" hidden="true" customHeight="true" outlineLevel="0" collapsed="false">
      <c r="B1907" s="1104" t="str">
        <f aca="false">'Смета Внутр'!B1907</f>
        <v>Кабель ВВГнг(А)-LS 3х1,5 0,66</v>
      </c>
      <c r="C1907" s="1104" t="str">
        <f aca="false">'Смета Внутр'!C1907</f>
        <v>м.п.</v>
      </c>
      <c r="D1907" s="1109" t="n">
        <f aca="false">'Смета Внутр'!D1907</f>
        <v>327.36</v>
      </c>
      <c r="E1907" s="1104" t="n">
        <f aca="false">'Смета Внутр'!E1907</f>
        <v>29.81</v>
      </c>
      <c r="F1907" s="1104" t="n">
        <f aca="false">'Смета Внутр'!F1907</f>
        <v>0</v>
      </c>
      <c r="G1907" s="1104" t="n">
        <f aca="false">IF(E1907&gt;F1907,E1907,F1907)</f>
        <v>29.81</v>
      </c>
      <c r="H1907" s="1104" t="n">
        <f aca="false">'Смета Внутр'!G1907</f>
        <v>9758.6016</v>
      </c>
      <c r="I1907" s="1104" t="n">
        <f aca="false">'Смета Внутр'!H1907</f>
        <v>0</v>
      </c>
      <c r="J1907" s="1109" t="n">
        <f aca="false">'Смета Внутр'!I1907</f>
        <v>0</v>
      </c>
    </row>
    <row r="1908" customFormat="false" ht="15" hidden="true" customHeight="true" outlineLevel="0" collapsed="false">
      <c r="B1908" s="1104" t="str">
        <f aca="false">'Смета Внутр'!B1908</f>
        <v>Труба ПВХ гофрировонная гибкая 25</v>
      </c>
      <c r="C1908" s="1104" t="str">
        <f aca="false">'Смета Внутр'!C1908</f>
        <v>м.п.</v>
      </c>
      <c r="D1908" s="1109" t="n">
        <f aca="false">'Смета Внутр'!D1908</f>
        <v>360.096</v>
      </c>
      <c r="E1908" s="1104" t="n">
        <f aca="false">'Смета Внутр'!E1908</f>
        <v>6.38</v>
      </c>
      <c r="F1908" s="1104" t="n">
        <f aca="false">'Смета Внутр'!F1908</f>
        <v>0</v>
      </c>
      <c r="G1908" s="1104" t="n">
        <f aca="false">IF(E1908&gt;F1908,E1908,F1908)</f>
        <v>6.38</v>
      </c>
      <c r="H1908" s="1104" t="n">
        <f aca="false">'Смета Внутр'!G1908</f>
        <v>2297.41248</v>
      </c>
      <c r="I1908" s="1104" t="n">
        <f aca="false">'Смета Внутр'!H1908</f>
        <v>0</v>
      </c>
      <c r="J1908" s="1109" t="n">
        <f aca="false">'Смета Внутр'!I1908</f>
        <v>0</v>
      </c>
    </row>
    <row r="1909" customFormat="false" ht="15" hidden="true" customHeight="true" outlineLevel="0" collapsed="false">
      <c r="B1909" s="1104" t="str">
        <f aca="false">'Смета Внутр'!B1909</f>
        <v>Кабель ВВГнг(А)-LS 3х4 0,66</v>
      </c>
      <c r="C1909" s="1104" t="str">
        <f aca="false">'Смета Внутр'!C1909</f>
        <v>м.п.</v>
      </c>
      <c r="D1909" s="1109" t="n">
        <f aca="false">'Смета Внутр'!D1909</f>
        <v>60</v>
      </c>
      <c r="E1909" s="1104" t="n">
        <f aca="false">'Смета Внутр'!E1909</f>
        <v>68</v>
      </c>
      <c r="F1909" s="1104" t="n">
        <f aca="false">'Смета Внутр'!F1909</f>
        <v>0</v>
      </c>
      <c r="G1909" s="1104" t="n">
        <f aca="false">IF(E1909&gt;F1909,E1909,F1909)</f>
        <v>68</v>
      </c>
      <c r="H1909" s="1104" t="n">
        <f aca="false">'Смета Внутр'!G1909</f>
        <v>4080</v>
      </c>
      <c r="I1909" s="1104" t="n">
        <f aca="false">'Смета Внутр'!H1909</f>
        <v>0</v>
      </c>
      <c r="J1909" s="1109" t="n">
        <f aca="false">'Смета Внутр'!I1909</f>
        <v>0</v>
      </c>
    </row>
    <row r="1910" customFormat="false" ht="15" hidden="true" customHeight="true" outlineLevel="0" collapsed="false">
      <c r="B1910" s="1104" t="str">
        <f aca="false">'Смета Внутр'!B1910</f>
        <v>Труба ПВХ гофрировонная гибкая 32</v>
      </c>
      <c r="C1910" s="1104" t="str">
        <f aca="false">'Смета Внутр'!C1910</f>
        <v>м.п.</v>
      </c>
      <c r="D1910" s="1109" t="n">
        <f aca="false">'Смета Внутр'!D1910</f>
        <v>66</v>
      </c>
      <c r="E1910" s="1104" t="n">
        <f aca="false">'Смета Внутр'!E1910</f>
        <v>6.38</v>
      </c>
      <c r="F1910" s="1104" t="n">
        <f aca="false">'Смета Внутр'!F1910</f>
        <v>0</v>
      </c>
      <c r="G1910" s="1104" t="n">
        <f aca="false">IF(E1910&gt;F1910,E1910,F1910)</f>
        <v>6.38</v>
      </c>
      <c r="H1910" s="1104" t="n">
        <f aca="false">'Смета Внутр'!G1910</f>
        <v>421.08</v>
      </c>
      <c r="I1910" s="1104" t="n">
        <f aca="false">'Смета Внутр'!H1910</f>
        <v>0</v>
      </c>
      <c r="J1910" s="1109" t="n">
        <f aca="false">'Смета Внутр'!I1910</f>
        <v>0</v>
      </c>
    </row>
    <row r="1911" customFormat="false" ht="15" hidden="true" customHeight="true" outlineLevel="0" collapsed="false">
      <c r="B1911" s="1104" t="str">
        <f aca="false">'Смета Внутр'!B1911</f>
        <v>крепления для гофры</v>
      </c>
      <c r="C1911" s="1104" t="str">
        <f aca="false">'Смета Внутр'!C1911</f>
        <v>шт</v>
      </c>
      <c r="D1911" s="1109" t="n">
        <f aca="false">'Смета Внутр'!D1911</f>
        <v>607</v>
      </c>
      <c r="E1911" s="1104" t="n">
        <f aca="false">'Смета Внутр'!E1911</f>
        <v>1</v>
      </c>
      <c r="F1911" s="1104" t="n">
        <f aca="false">'Смета Внутр'!F1911</f>
        <v>0</v>
      </c>
      <c r="G1911" s="1104" t="n">
        <f aca="false">IF(E1911&gt;F1911,E1911,F1911)</f>
        <v>1</v>
      </c>
      <c r="H1911" s="1104" t="n">
        <f aca="false">'Смета Внутр'!G1911</f>
        <v>607</v>
      </c>
      <c r="I1911" s="1104" t="n">
        <f aca="false">'Смета Внутр'!H1911</f>
        <v>0</v>
      </c>
      <c r="J1911" s="1109" t="n">
        <f aca="false">'Смета Внутр'!I1911</f>
        <v>0</v>
      </c>
    </row>
    <row r="1912" customFormat="false" ht="15" hidden="true" customHeight="true" outlineLevel="0" collapsed="false">
      <c r="B1912" s="1104" t="str">
        <f aca="false">'Смета Внутр'!B1912</f>
        <v>саморез для крепления гофры</v>
      </c>
      <c r="C1912" s="1104" t="str">
        <f aca="false">'Смета Внутр'!C1912</f>
        <v>шт</v>
      </c>
      <c r="D1912" s="1109" t="n">
        <f aca="false">'Смета Внутр'!D1912</f>
        <v>1214</v>
      </c>
      <c r="E1912" s="1104" t="n">
        <f aca="false">'Смета Внутр'!E1912</f>
        <v>0.25</v>
      </c>
      <c r="F1912" s="1104" t="n">
        <f aca="false">'Смета Внутр'!F1912</f>
        <v>0</v>
      </c>
      <c r="G1912" s="1104" t="n">
        <f aca="false">IF(E1912&gt;F1912,E1912,F1912)</f>
        <v>0.25</v>
      </c>
      <c r="H1912" s="1104" t="n">
        <f aca="false">'Смета Внутр'!G1912</f>
        <v>303.5</v>
      </c>
      <c r="I1912" s="1104" t="n">
        <f aca="false">'Смета Внутр'!H1912</f>
        <v>0</v>
      </c>
      <c r="J1912" s="1109" t="n">
        <f aca="false">'Смета Внутр'!I1912</f>
        <v>0</v>
      </c>
    </row>
    <row r="1913" customFormat="false" ht="15" hidden="true" customHeight="true" outlineLevel="0" collapsed="false">
      <c r="B1913" s="1104" t="str">
        <f aca="false">'Смета Внутр'!B1913</f>
        <v>Коробка распределения</v>
      </c>
      <c r="C1913" s="1104" t="str">
        <f aca="false">'Смета Внутр'!C1913</f>
        <v>шт</v>
      </c>
      <c r="D1913" s="1109" t="n">
        <f aca="false">'Смета Внутр'!D1913</f>
        <v>12</v>
      </c>
      <c r="E1913" s="1104" t="n">
        <f aca="false">'Смета Внутр'!E1913</f>
        <v>20</v>
      </c>
      <c r="F1913" s="1104" t="n">
        <f aca="false">'Смета Внутр'!F1913</f>
        <v>0</v>
      </c>
      <c r="G1913" s="1104" t="n">
        <f aca="false">IF(E1913&gt;F1913,E1913,F1913)</f>
        <v>20</v>
      </c>
      <c r="H1913" s="1104" t="n">
        <f aca="false">'Смета Внутр'!G1913</f>
        <v>240</v>
      </c>
      <c r="I1913" s="1104" t="n">
        <f aca="false">'Смета Внутр'!H1913</f>
        <v>0</v>
      </c>
      <c r="J1913" s="1109" t="n">
        <f aca="false">'Смета Внутр'!I1913</f>
        <v>0</v>
      </c>
    </row>
    <row r="1914" customFormat="false" ht="15" hidden="true" customHeight="true" outlineLevel="0" collapsed="false">
      <c r="B1914" s="1104" t="str">
        <f aca="false">'Смета Внутр'!B1914</f>
        <v>Вага</v>
      </c>
      <c r="C1914" s="1104" t="str">
        <f aca="false">'Смета Внутр'!C1914</f>
        <v>шт</v>
      </c>
      <c r="D1914" s="1109" t="n">
        <f aca="false">'Смета Внутр'!D1914</f>
        <v>480</v>
      </c>
      <c r="E1914" s="1104" t="n">
        <f aca="false">'Смета Внутр'!E1914</f>
        <v>10</v>
      </c>
      <c r="F1914" s="1104" t="n">
        <f aca="false">'Смета Внутр'!F1914</f>
        <v>0</v>
      </c>
      <c r="G1914" s="1104" t="n">
        <f aca="false">IF(E1914&gt;F1914,E1914,F1914)</f>
        <v>10</v>
      </c>
      <c r="H1914" s="1104" t="n">
        <f aca="false">'Смета Внутр'!G1914</f>
        <v>4800</v>
      </c>
      <c r="I1914" s="1104" t="n">
        <f aca="false">'Смета Внутр'!H1914</f>
        <v>0</v>
      </c>
      <c r="J1914" s="1109" t="n">
        <f aca="false">'Смета Внутр'!I1914</f>
        <v>0</v>
      </c>
    </row>
    <row r="1915" customFormat="false" ht="15" hidden="true" customHeight="true" outlineLevel="0" collapsed="false">
      <c r="B1915" s="1104" t="str">
        <f aca="false">'Смета Внутр'!B1915</f>
        <v>Щиток электрический</v>
      </c>
      <c r="C1915" s="1104" t="str">
        <f aca="false">'Смета Внутр'!C1915</f>
        <v>шт</v>
      </c>
      <c r="D1915" s="1109" t="n">
        <f aca="false">'Смета Внутр'!D1915</f>
        <v>1</v>
      </c>
      <c r="E1915" s="1104" t="n">
        <f aca="false">'Смета Внутр'!E1915</f>
        <v>1200</v>
      </c>
      <c r="F1915" s="1104" t="n">
        <f aca="false">'Смета Внутр'!F1915</f>
        <v>0</v>
      </c>
      <c r="G1915" s="1104" t="n">
        <f aca="false">IF(E1915&gt;F1915,E1915,F1915)</f>
        <v>1200</v>
      </c>
      <c r="H1915" s="1104" t="n">
        <f aca="false">'Смета Внутр'!G1915</f>
        <v>1200</v>
      </c>
      <c r="I1915" s="1104" t="n">
        <f aca="false">'Смета Внутр'!H1915</f>
        <v>0</v>
      </c>
      <c r="J1915" s="1109" t="n">
        <f aca="false">'Смета Внутр'!I1915</f>
        <v>0</v>
      </c>
    </row>
    <row r="1916" customFormat="false" ht="15" hidden="true" customHeight="true" outlineLevel="0" collapsed="false">
      <c r="B1916" s="1104" t="str">
        <f aca="false">'Смета Внутр'!B1916</f>
        <v>автомат, 3 полюса, 32амп</v>
      </c>
      <c r="C1916" s="1104" t="str">
        <f aca="false">'Смета Внутр'!C1916</f>
        <v>шт</v>
      </c>
      <c r="D1916" s="1109" t="n">
        <f aca="false">'Смета Внутр'!D1916</f>
        <v>2</v>
      </c>
      <c r="E1916" s="1104" t="n">
        <f aca="false">'Смета Внутр'!E1916</f>
        <v>180</v>
      </c>
      <c r="F1916" s="1104" t="n">
        <f aca="false">'Смета Внутр'!F1916</f>
        <v>0</v>
      </c>
      <c r="G1916" s="1104" t="n">
        <f aca="false">IF(E1916&gt;F1916,E1916,F1916)</f>
        <v>180</v>
      </c>
      <c r="H1916" s="1104" t="n">
        <f aca="false">'Смета Внутр'!G1916</f>
        <v>360</v>
      </c>
      <c r="I1916" s="1104" t="n">
        <f aca="false">'Смета Внутр'!H1916</f>
        <v>0</v>
      </c>
      <c r="J1916" s="1109" t="n">
        <f aca="false">'Смета Внутр'!I1916</f>
        <v>0</v>
      </c>
    </row>
    <row r="1917" customFormat="false" ht="15" hidden="true" customHeight="true" outlineLevel="0" collapsed="false">
      <c r="B1917" s="1104" t="str">
        <f aca="false">'Смета Внутр'!B1917</f>
        <v>автомат, 1 полюс, 16амп</v>
      </c>
      <c r="C1917" s="1104" t="str">
        <f aca="false">'Смета Внутр'!C1917</f>
        <v>шт</v>
      </c>
      <c r="D1917" s="1109" t="n">
        <f aca="false">'Смета Внутр'!D1917</f>
        <v>20</v>
      </c>
      <c r="E1917" s="1104" t="n">
        <f aca="false">'Смета Внутр'!E1917</f>
        <v>70</v>
      </c>
      <c r="F1917" s="1104" t="n">
        <f aca="false">'Смета Внутр'!F1917</f>
        <v>0</v>
      </c>
      <c r="G1917" s="1104" t="n">
        <f aca="false">IF(E1917&gt;F1917,E1917,F1917)</f>
        <v>70</v>
      </c>
      <c r="H1917" s="1104" t="n">
        <f aca="false">'Смета Внутр'!G1917</f>
        <v>1400</v>
      </c>
      <c r="I1917" s="1104" t="n">
        <f aca="false">'Смета Внутр'!H1917</f>
        <v>0</v>
      </c>
      <c r="J1917" s="1109" t="n">
        <f aca="false">'Смета Внутр'!I1917</f>
        <v>0</v>
      </c>
    </row>
    <row r="1918" customFormat="false" ht="15" hidden="true" customHeight="true" outlineLevel="0" collapsed="false">
      <c r="B1918" s="1104" t="str">
        <f aca="false">'Смета Внутр'!B1918</f>
        <v>автомат, 1 полюс, 25 амп</v>
      </c>
      <c r="C1918" s="1104" t="str">
        <f aca="false">'Смета Внутр'!C1918</f>
        <v>шт</v>
      </c>
      <c r="D1918" s="1109" t="n">
        <f aca="false">'Смета Внутр'!D1918</f>
        <v>2</v>
      </c>
      <c r="E1918" s="1104" t="n">
        <f aca="false">'Смета Внутр'!E1918</f>
        <v>167</v>
      </c>
      <c r="F1918" s="1104" t="n">
        <f aca="false">'Смета Внутр'!F1918</f>
        <v>0</v>
      </c>
      <c r="G1918" s="1104" t="n">
        <f aca="false">IF(E1918&gt;F1918,E1918,F1918)</f>
        <v>167</v>
      </c>
      <c r="H1918" s="1104" t="n">
        <f aca="false">'Смета Внутр'!G1918</f>
        <v>334</v>
      </c>
      <c r="I1918" s="1104" t="n">
        <f aca="false">'Смета Внутр'!H1918</f>
        <v>0</v>
      </c>
      <c r="J1918" s="1109" t="n">
        <f aca="false">'Смета Внутр'!I1918</f>
        <v>0</v>
      </c>
    </row>
    <row r="1919" customFormat="false" ht="15" hidden="true" customHeight="true" outlineLevel="0" collapsed="false">
      <c r="B1919" s="1104" t="str">
        <f aca="false">'Смета Внутр'!B1919</f>
        <v>Коробка электрическая</v>
      </c>
      <c r="C1919" s="1104" t="str">
        <f aca="false">'Смета Внутр'!C1919</f>
        <v>шт</v>
      </c>
      <c r="D1919" s="1109" t="n">
        <f aca="false">'Смета Внутр'!D1919</f>
        <v>60</v>
      </c>
      <c r="E1919" s="1104" t="n">
        <f aca="false">'Смета Внутр'!E1919</f>
        <v>6</v>
      </c>
      <c r="F1919" s="1104" t="n">
        <f aca="false">'Смета Внутр'!F1919</f>
        <v>0</v>
      </c>
      <c r="G1919" s="1104" t="n">
        <f aca="false">IF(E1919&gt;F1919,E1919,F1919)</f>
        <v>6</v>
      </c>
      <c r="H1919" s="1104" t="n">
        <f aca="false">'Смета Внутр'!G1919</f>
        <v>360</v>
      </c>
      <c r="I1919" s="1104" t="n">
        <f aca="false">'Смета Внутр'!H1919</f>
        <v>0</v>
      </c>
      <c r="J1919" s="1109" t="n">
        <f aca="false">'Смета Внутр'!I1919</f>
        <v>0</v>
      </c>
    </row>
    <row r="1920" customFormat="false" ht="15" hidden="true" customHeight="true" outlineLevel="0" collapsed="false">
      <c r="B1920" s="1104" t="str">
        <f aca="false">'Смета Внутр'!B1920</f>
        <v>Розетка 2</v>
      </c>
      <c r="C1920" s="1104" t="str">
        <f aca="false">'Смета Внутр'!C1920</f>
        <v>шт</v>
      </c>
      <c r="D1920" s="1109" t="n">
        <f aca="false">'Смета Внутр'!D1920</f>
        <v>40</v>
      </c>
      <c r="E1920" s="1104" t="n">
        <f aca="false">'Смета Внутр'!E1920</f>
        <v>100</v>
      </c>
      <c r="F1920" s="1104" t="n">
        <f aca="false">'Смета Внутр'!F1920</f>
        <v>0</v>
      </c>
      <c r="G1920" s="1104" t="n">
        <f aca="false">IF(E1920&gt;F1920,E1920,F1920)</f>
        <v>100</v>
      </c>
      <c r="H1920" s="1104" t="n">
        <f aca="false">'Смета Внутр'!G1920</f>
        <v>4000</v>
      </c>
      <c r="I1920" s="1104" t="n">
        <f aca="false">'Смета Внутр'!H1920</f>
        <v>0</v>
      </c>
      <c r="J1920" s="1109" t="n">
        <f aca="false">'Смета Внутр'!I1920</f>
        <v>0</v>
      </c>
    </row>
    <row r="1921" customFormat="false" ht="15" hidden="true" customHeight="true" outlineLevel="0" collapsed="false">
      <c r="B1921" s="1104" t="str">
        <f aca="false">'Смета Внутр'!B1921</f>
        <v>Выключатель 3</v>
      </c>
      <c r="C1921" s="1104" t="str">
        <f aca="false">'Смета Внутр'!C1921</f>
        <v>шт</v>
      </c>
      <c r="D1921" s="1109" t="n">
        <f aca="false">'Смета Внутр'!D1921</f>
        <v>20</v>
      </c>
      <c r="E1921" s="1104" t="n">
        <f aca="false">'Смета Внутр'!E1921</f>
        <v>100</v>
      </c>
      <c r="F1921" s="1104" t="n">
        <f aca="false">'Смета Внутр'!F1921</f>
        <v>0</v>
      </c>
      <c r="G1921" s="1104" t="n">
        <f aca="false">IF(E1921&gt;F1921,E1921,F1921)</f>
        <v>100</v>
      </c>
      <c r="H1921" s="1104" t="n">
        <f aca="false">'Смета Внутр'!G1921</f>
        <v>2000</v>
      </c>
      <c r="I1921" s="1104" t="n">
        <f aca="false">'Смета Внутр'!H1921</f>
        <v>0</v>
      </c>
      <c r="J1921" s="1109" t="n">
        <f aca="false">'Смета Внутр'!I1921</f>
        <v>0</v>
      </c>
    </row>
    <row r="1922" customFormat="false" ht="15" hidden="true" customHeight="false" outlineLevel="0" collapsed="false">
      <c r="B1922" s="1108" t="str">
        <f aca="false">'Смета Внутр'!B1922</f>
        <v>Итого материалы</v>
      </c>
      <c r="C1922" s="1108"/>
      <c r="D1922" s="1108"/>
      <c r="E1922" s="1108"/>
      <c r="F1922" s="1108"/>
      <c r="G1922" s="1108"/>
      <c r="H1922" s="1104" t="n">
        <f aca="false">'Смета Внутр'!G1922</f>
        <v>0</v>
      </c>
      <c r="I1922" s="1104" t="n">
        <f aca="false">'Смета Внутр'!H1922</f>
        <v>0</v>
      </c>
      <c r="J1922" s="1109" t="n">
        <f aca="false">'Смета Внутр'!I1922</f>
        <v>0</v>
      </c>
    </row>
    <row r="1923" customFormat="false" ht="15" hidden="true" customHeight="true" outlineLevel="0" collapsed="false">
      <c r="B1923" s="118" t="str">
        <f aca="false">'Смета Внутр'!B1923</f>
        <v>Работы</v>
      </c>
      <c r="H1923" s="118" t="n">
        <f aca="false">'Смета Внутр'!G1923</f>
        <v>0</v>
      </c>
      <c r="I1923" s="118" t="n">
        <f aca="false">'Смета Внутр'!H1923</f>
        <v>0</v>
      </c>
      <c r="J1923" s="1102" t="n">
        <f aca="false">'Смета Внутр'!I1923</f>
        <v>0</v>
      </c>
    </row>
    <row r="1924" customFormat="false" ht="15" hidden="true" customHeight="true" outlineLevel="0" collapsed="false">
      <c r="B1924" s="1104" t="str">
        <f aca="false">'Смета Внутр'!B1924</f>
        <v>монтаж кабеля</v>
      </c>
      <c r="C1924" s="1104" t="str">
        <f aca="false">'Смета Внутр'!C1924</f>
        <v>м.п.</v>
      </c>
      <c r="D1924" s="1109" t="n">
        <f aca="false">'Смета Внутр'!D1924</f>
        <v>568</v>
      </c>
      <c r="E1924" s="1104" t="n">
        <f aca="false">'Смета Внутр'!E1924</f>
        <v>100</v>
      </c>
      <c r="F1924" s="1104" t="n">
        <f aca="false">'Смета Внутр'!F1924</f>
        <v>0</v>
      </c>
      <c r="G1924" s="1104" t="n">
        <f aca="false">IF(E1924&gt;F1924,E1924,F1924)</f>
        <v>100</v>
      </c>
      <c r="H1924" s="1104" t="n">
        <f aca="false">'Смета Внутр'!G1924</f>
        <v>56800</v>
      </c>
      <c r="I1924" s="1104" t="n">
        <f aca="false">'Смета Внутр'!H1924</f>
        <v>0</v>
      </c>
      <c r="J1924" s="1109" t="n">
        <f aca="false">'Смета Внутр'!I1924</f>
        <v>0</v>
      </c>
    </row>
    <row r="1925" customFormat="false" ht="15" hidden="true" customHeight="true" outlineLevel="0" collapsed="false">
      <c r="B1925" s="1104" t="str">
        <f aca="false">'Смета Внутр'!B1925</f>
        <v>монтаж гофры</v>
      </c>
      <c r="C1925" s="1104" t="str">
        <f aca="false">'Смета Внутр'!C1925</f>
        <v>м.п.</v>
      </c>
      <c r="D1925" s="1109" t="n">
        <f aca="false">'Смета Внутр'!D1925</f>
        <v>568</v>
      </c>
      <c r="E1925" s="1104" t="n">
        <f aca="false">'Смета Внутр'!E1925</f>
        <v>50</v>
      </c>
      <c r="F1925" s="1104" t="n">
        <f aca="false">'Смета Внутр'!F1925</f>
        <v>0</v>
      </c>
      <c r="G1925" s="1104" t="n">
        <f aca="false">IF(E1925&gt;F1925,E1925,F1925)</f>
        <v>50</v>
      </c>
      <c r="H1925" s="1104" t="n">
        <f aca="false">'Смета Внутр'!G1925</f>
        <v>28400</v>
      </c>
      <c r="I1925" s="1104" t="n">
        <f aca="false">'Смета Внутр'!H1925</f>
        <v>0</v>
      </c>
      <c r="J1925" s="1109" t="n">
        <f aca="false">'Смета Внутр'!I1925</f>
        <v>0</v>
      </c>
    </row>
    <row r="1926" customFormat="false" ht="15" hidden="true" customHeight="true" outlineLevel="0" collapsed="false">
      <c r="B1926" s="1104" t="str">
        <f aca="false">'Смета Внутр'!B1926</f>
        <v>монтаж коробок распр</v>
      </c>
      <c r="C1926" s="1104" t="str">
        <f aca="false">'Смета Внутр'!C1926</f>
        <v>шт.</v>
      </c>
      <c r="D1926" s="1109" t="n">
        <f aca="false">'Смета Внутр'!D1926</f>
        <v>12</v>
      </c>
      <c r="E1926" s="1104" t="n">
        <f aca="false">'Смета Внутр'!E1926</f>
        <v>500</v>
      </c>
      <c r="F1926" s="1104" t="n">
        <f aca="false">'Смета Внутр'!F1926</f>
        <v>0</v>
      </c>
      <c r="G1926" s="1104" t="n">
        <f aca="false">IF(E1926&gt;F1926,E1926,F1926)</f>
        <v>500</v>
      </c>
      <c r="H1926" s="1104" t="n">
        <f aca="false">'Смета Внутр'!G1926</f>
        <v>6000</v>
      </c>
      <c r="I1926" s="1104" t="n">
        <f aca="false">'Смета Внутр'!H1926</f>
        <v>0</v>
      </c>
      <c r="J1926" s="1109" t="n">
        <f aca="false">'Смета Внутр'!I1926</f>
        <v>0</v>
      </c>
    </row>
    <row r="1927" customFormat="false" ht="15" hidden="true" customHeight="true" outlineLevel="0" collapsed="false">
      <c r="B1927" s="1104" t="str">
        <f aca="false">'Смета Внутр'!B1927</f>
        <v>монтаж коробок роз</v>
      </c>
      <c r="C1927" s="1104" t="str">
        <f aca="false">'Смета Внутр'!C1927</f>
        <v>шт.</v>
      </c>
      <c r="D1927" s="1109" t="n">
        <f aca="false">'Смета Внутр'!D1927</f>
        <v>40</v>
      </c>
      <c r="E1927" s="1104" t="n">
        <f aca="false">'Смета Внутр'!E1927</f>
        <v>200</v>
      </c>
      <c r="F1927" s="1104" t="n">
        <f aca="false">'Смета Внутр'!F1927</f>
        <v>0</v>
      </c>
      <c r="G1927" s="1104" t="n">
        <f aca="false">IF(E1927&gt;F1927,E1927,F1927)</f>
        <v>200</v>
      </c>
      <c r="H1927" s="1104" t="n">
        <f aca="false">'Смета Внутр'!G1927</f>
        <v>8000</v>
      </c>
      <c r="I1927" s="1104" t="n">
        <f aca="false">'Смета Внутр'!H1927</f>
        <v>0</v>
      </c>
      <c r="J1927" s="1109" t="n">
        <f aca="false">'Смета Внутр'!I1927</f>
        <v>0</v>
      </c>
    </row>
    <row r="1928" customFormat="false" ht="15" hidden="true" customHeight="true" outlineLevel="0" collapsed="false">
      <c r="B1928" s="1104" t="str">
        <f aca="false">'Смета Внутр'!B1928</f>
        <v>монтаж коробок выкл</v>
      </c>
      <c r="C1928" s="1104" t="str">
        <f aca="false">'Смета Внутр'!C1928</f>
        <v>шт.</v>
      </c>
      <c r="D1928" s="1109" t="n">
        <f aca="false">'Смета Внутр'!D1928</f>
        <v>20</v>
      </c>
      <c r="E1928" s="1104" t="n">
        <f aca="false">'Смета Внутр'!E1928</f>
        <v>200</v>
      </c>
      <c r="F1928" s="1104" t="n">
        <f aca="false">'Смета Внутр'!F1928</f>
        <v>0</v>
      </c>
      <c r="G1928" s="1104" t="n">
        <f aca="false">IF(E1928&gt;F1928,E1928,F1928)</f>
        <v>200</v>
      </c>
      <c r="H1928" s="1104" t="n">
        <f aca="false">'Смета Внутр'!G1928</f>
        <v>4000</v>
      </c>
      <c r="I1928" s="1104" t="n">
        <f aca="false">'Смета Внутр'!H1928</f>
        <v>0</v>
      </c>
      <c r="J1928" s="1109" t="n">
        <f aca="false">'Смета Внутр'!I1928</f>
        <v>0</v>
      </c>
    </row>
    <row r="1929" customFormat="false" ht="15" hidden="true" customHeight="true" outlineLevel="0" collapsed="false">
      <c r="B1929" s="1104" t="str">
        <f aca="false">'Смета Внутр'!B1929</f>
        <v>монтаж щитка</v>
      </c>
      <c r="C1929" s="1104" t="str">
        <f aca="false">'Смета Внутр'!C1929</f>
        <v>шт.</v>
      </c>
      <c r="D1929" s="1109" t="n">
        <f aca="false">'Смета Внутр'!D1929</f>
        <v>1</v>
      </c>
      <c r="E1929" s="1104" t="n">
        <f aca="false">'Смета Внутр'!E1929</f>
        <v>6000</v>
      </c>
      <c r="F1929" s="1104" t="n">
        <f aca="false">'Смета Внутр'!F1929</f>
        <v>0</v>
      </c>
      <c r="G1929" s="1104" t="n">
        <f aca="false">IF(E1929&gt;F1929,E1929,F1929)</f>
        <v>6000</v>
      </c>
      <c r="H1929" s="1104" t="n">
        <f aca="false">'Смета Внутр'!G1929</f>
        <v>6000</v>
      </c>
      <c r="I1929" s="1104" t="n">
        <f aca="false">'Смета Внутр'!H1929</f>
        <v>0</v>
      </c>
      <c r="J1929" s="1109" t="n">
        <f aca="false">'Смета Внутр'!I1929</f>
        <v>0</v>
      </c>
    </row>
    <row r="1930" customFormat="false" ht="15" hidden="true" customHeight="true" outlineLevel="0" collapsed="false">
      <c r="B1930" s="1104" t="str">
        <f aca="false">'Смета Внутр'!B1930</f>
        <v>установка розеток</v>
      </c>
      <c r="C1930" s="1104" t="str">
        <f aca="false">'Смета Внутр'!C1930</f>
        <v>шт.</v>
      </c>
      <c r="D1930" s="1109" t="n">
        <f aca="false">'Смета Внутр'!D1930</f>
        <v>40</v>
      </c>
      <c r="E1930" s="1104" t="n">
        <f aca="false">'Смета Внутр'!E1930</f>
        <v>250</v>
      </c>
      <c r="F1930" s="1104" t="n">
        <f aca="false">'Смета Внутр'!F1930</f>
        <v>0</v>
      </c>
      <c r="G1930" s="1104" t="n">
        <f aca="false">IF(E1930&gt;F1930,E1930,F1930)</f>
        <v>250</v>
      </c>
      <c r="H1930" s="1104" t="n">
        <f aca="false">'Смета Внутр'!G1930</f>
        <v>10000</v>
      </c>
      <c r="I1930" s="1104" t="n">
        <f aca="false">'Смета Внутр'!H1930</f>
        <v>0</v>
      </c>
      <c r="J1930" s="1109" t="n">
        <f aca="false">'Смета Внутр'!I1930</f>
        <v>0</v>
      </c>
    </row>
    <row r="1931" customFormat="false" ht="15" hidden="true" customHeight="true" outlineLevel="0" collapsed="false">
      <c r="B1931" s="1104" t="str">
        <f aca="false">'Смета Внутр'!B1931</f>
        <v>установка выключателей</v>
      </c>
      <c r="C1931" s="1104" t="str">
        <f aca="false">'Смета Внутр'!C1931</f>
        <v>шт.</v>
      </c>
      <c r="D1931" s="1109" t="n">
        <f aca="false">'Смета Внутр'!D1931</f>
        <v>20</v>
      </c>
      <c r="E1931" s="1104" t="n">
        <f aca="false">'Смета Внутр'!E1931</f>
        <v>250</v>
      </c>
      <c r="F1931" s="1104" t="n">
        <f aca="false">'Смета Внутр'!F1931</f>
        <v>0</v>
      </c>
      <c r="G1931" s="1104" t="n">
        <f aca="false">IF(E1931&gt;F1931,E1931,F1931)</f>
        <v>250</v>
      </c>
      <c r="H1931" s="1104" t="n">
        <f aca="false">'Смета Внутр'!G1931</f>
        <v>5000</v>
      </c>
      <c r="I1931" s="1104" t="n">
        <f aca="false">'Смета Внутр'!H1931</f>
        <v>0</v>
      </c>
      <c r="J1931" s="1109" t="n">
        <f aca="false">'Смета Внутр'!I1931</f>
        <v>0</v>
      </c>
    </row>
    <row r="1932" customFormat="false" ht="15" hidden="true" customHeight="true" outlineLevel="0" collapsed="false">
      <c r="B1932" s="1108" t="str">
        <f aca="false">'Смета Внутр'!B1932</f>
        <v>Итого работы</v>
      </c>
      <c r="C1932" s="1108"/>
      <c r="D1932" s="1108"/>
      <c r="E1932" s="1108"/>
      <c r="F1932" s="1108"/>
      <c r="G1932" s="1108"/>
      <c r="H1932" s="1104" t="n">
        <f aca="false">'Смета Внутр'!G1932</f>
        <v>0</v>
      </c>
      <c r="I1932" s="1104" t="n">
        <f aca="false">'Смета Внутр'!H1932</f>
        <v>0</v>
      </c>
      <c r="J1932" s="1109" t="n">
        <f aca="false">'Смета Внутр'!I1932</f>
        <v>0</v>
      </c>
    </row>
    <row r="1933" customFormat="false" ht="15" hidden="true" customHeight="true" outlineLevel="0" collapsed="false">
      <c r="B1933" s="1135" t="str">
        <f aca="false">'Смета Внутр'!B1933</f>
        <v>Отопление радиаторное, холодное и горячее водоснабжение</v>
      </c>
      <c r="C1933" s="1135"/>
      <c r="D1933" s="1135"/>
      <c r="H1933" s="118" t="n">
        <f aca="false">'Смета Внутр'!G1933</f>
        <v>0</v>
      </c>
      <c r="I1933" s="118" t="n">
        <f aca="false">'Смета Внутр'!H1933</f>
        <v>0</v>
      </c>
      <c r="J1933" s="1102" t="n">
        <f aca="false">'Смета Внутр'!I1933</f>
        <v>0</v>
      </c>
    </row>
    <row r="1934" customFormat="false" ht="15" hidden="true" customHeight="true" outlineLevel="0" collapsed="false">
      <c r="B1934" s="118" t="str">
        <f aca="false">'Смета Внутр'!B1934</f>
        <v>Материалы</v>
      </c>
      <c r="H1934" s="118" t="n">
        <f aca="false">'Смета Внутр'!G1934</f>
        <v>0</v>
      </c>
      <c r="I1934" s="118" t="n">
        <f aca="false">'Смета Внутр'!H1934</f>
        <v>0</v>
      </c>
      <c r="J1934" s="1102" t="n">
        <f aca="false">'Смета Внутр'!I1934</f>
        <v>0</v>
      </c>
    </row>
    <row r="1935" customFormat="false" ht="15" hidden="true" customHeight="true" outlineLevel="0" collapsed="false">
      <c r="B1935" s="1104" t="str">
        <f aca="false">'Смета Внутр'!B1935</f>
        <v>труба диам 25/32 отопление</v>
      </c>
      <c r="C1935" s="1104" t="str">
        <f aca="false">'Смета Внутр'!C1935</f>
        <v>м.п.</v>
      </c>
      <c r="D1935" s="1109" t="n">
        <f aca="false">'Смета Внутр'!D1935</f>
        <v>210.08</v>
      </c>
      <c r="E1935" s="1104" t="n">
        <f aca="false">'Смета Внутр'!E1935</f>
        <v>40</v>
      </c>
      <c r="F1935" s="1104" t="n">
        <f aca="false">'Смета Внутр'!F1935</f>
        <v>0</v>
      </c>
      <c r="G1935" s="1104" t="n">
        <f aca="false">IF(E1935&gt;F1935,E1935,F1935)</f>
        <v>40</v>
      </c>
      <c r="H1935" s="1104" t="n">
        <f aca="false">'Смета Внутр'!G1935</f>
        <v>8403.2</v>
      </c>
      <c r="I1935" s="1104" t="n">
        <f aca="false">'Смета Внутр'!H1935</f>
        <v>0</v>
      </c>
      <c r="J1935" s="1109" t="n">
        <f aca="false">'Смета Внутр'!I1935</f>
        <v>0</v>
      </c>
    </row>
    <row r="1936" customFormat="false" ht="15" hidden="true" customHeight="true" outlineLevel="0" collapsed="false">
      <c r="B1936" s="1104" t="str">
        <f aca="false">'Смета Внутр'!B1936</f>
        <v>соеденители для трубы</v>
      </c>
      <c r="C1936" s="1104" t="str">
        <f aca="false">'Смета Внутр'!C1936</f>
        <v>шт</v>
      </c>
      <c r="D1936" s="1109" t="n">
        <f aca="false">'Смета Внутр'!D1936</f>
        <v>70.0266666666667</v>
      </c>
      <c r="E1936" s="1104" t="n">
        <f aca="false">'Смета Внутр'!E1936</f>
        <v>10</v>
      </c>
      <c r="F1936" s="1104" t="n">
        <f aca="false">'Смета Внутр'!F1936</f>
        <v>0</v>
      </c>
      <c r="G1936" s="1104" t="n">
        <f aca="false">IF(E1936&gt;F1936,E1936,F1936)</f>
        <v>10</v>
      </c>
      <c r="H1936" s="1104" t="n">
        <f aca="false">'Смета Внутр'!G1936</f>
        <v>700.266666666667</v>
      </c>
      <c r="I1936" s="1104" t="n">
        <f aca="false">'Смета Внутр'!H1936</f>
        <v>0</v>
      </c>
      <c r="J1936" s="1109" t="n">
        <f aca="false">'Смета Внутр'!I1936</f>
        <v>0</v>
      </c>
    </row>
    <row r="1937" customFormat="false" ht="15" hidden="true" customHeight="true" outlineLevel="0" collapsed="false">
      <c r="B1937" s="1104" t="str">
        <f aca="false">'Смета Внутр'!B1937</f>
        <v>уголок 90 град</v>
      </c>
      <c r="C1937" s="1104" t="str">
        <f aca="false">'Смета Внутр'!C1937</f>
        <v>шт</v>
      </c>
      <c r="D1937" s="1109" t="n">
        <f aca="false">'Смета Внутр'!D1937</f>
        <v>84.032</v>
      </c>
      <c r="E1937" s="1104" t="n">
        <f aca="false">'Смета Внутр'!E1937</f>
        <v>10</v>
      </c>
      <c r="F1937" s="1104" t="n">
        <f aca="false">'Смета Внутр'!F1937</f>
        <v>0</v>
      </c>
      <c r="G1937" s="1104" t="n">
        <f aca="false">IF(E1937&gt;F1937,E1937,F1937)</f>
        <v>10</v>
      </c>
      <c r="H1937" s="1104" t="n">
        <f aca="false">'Смета Внутр'!G1937</f>
        <v>840.32</v>
      </c>
      <c r="I1937" s="1104" t="n">
        <f aca="false">'Смета Внутр'!H1937</f>
        <v>0</v>
      </c>
      <c r="J1937" s="1109" t="n">
        <f aca="false">'Смета Внутр'!I1937</f>
        <v>0</v>
      </c>
    </row>
    <row r="1938" customFormat="false" ht="15" hidden="true" customHeight="true" outlineLevel="0" collapsed="false">
      <c r="B1938" s="1104" t="str">
        <f aca="false">'Смета Внутр'!B1938</f>
        <v>радиаторы, 1 секция</v>
      </c>
      <c r="C1938" s="1104" t="str">
        <f aca="false">'Смета Внутр'!C1938</f>
        <v>шт</v>
      </c>
      <c r="D1938" s="1109" t="n">
        <f aca="false">'Смета Внутр'!D1938</f>
        <v>64</v>
      </c>
      <c r="E1938" s="1104" t="n">
        <f aca="false">'Смета Внутр'!E1938</f>
        <v>300</v>
      </c>
      <c r="F1938" s="1104" t="n">
        <f aca="false">'Смета Внутр'!F1938</f>
        <v>0</v>
      </c>
      <c r="G1938" s="1104" t="n">
        <f aca="false">IF(E1938&gt;F1938,E1938,F1938)</f>
        <v>300</v>
      </c>
      <c r="H1938" s="1104" t="n">
        <f aca="false">'Смета Внутр'!G1938</f>
        <v>19200</v>
      </c>
      <c r="I1938" s="1104" t="n">
        <f aca="false">'Смета Внутр'!H1938</f>
        <v>0</v>
      </c>
      <c r="J1938" s="1109" t="n">
        <f aca="false">'Смета Внутр'!I1938</f>
        <v>0</v>
      </c>
    </row>
    <row r="1939" customFormat="false" ht="15" hidden="true" customHeight="true" outlineLevel="0" collapsed="false">
      <c r="B1939" s="1104" t="str">
        <f aca="false">'Смета Внутр'!B1939</f>
        <v>комплектующие для радиаторов</v>
      </c>
      <c r="C1939" s="1104" t="str">
        <f aca="false">'Смета Внутр'!C1939</f>
        <v>шт</v>
      </c>
      <c r="D1939" s="1109" t="n">
        <f aca="false">'Смета Внутр'!D1939</f>
        <v>64</v>
      </c>
      <c r="E1939" s="1104" t="n">
        <f aca="false">'Смета Внутр'!E1939</f>
        <v>250</v>
      </c>
      <c r="F1939" s="1104" t="n">
        <f aca="false">'Смета Внутр'!F1939</f>
        <v>0</v>
      </c>
      <c r="G1939" s="1104" t="n">
        <f aca="false">IF(E1939&gt;F1939,E1939,F1939)</f>
        <v>250</v>
      </c>
      <c r="H1939" s="1104" t="n">
        <f aca="false">'Смета Внутр'!G1939</f>
        <v>16000</v>
      </c>
      <c r="I1939" s="1104" t="n">
        <f aca="false">'Смета Внутр'!H1939</f>
        <v>0</v>
      </c>
      <c r="J1939" s="1109" t="n">
        <f aca="false">'Смета Внутр'!I1939</f>
        <v>0</v>
      </c>
    </row>
    <row r="1940" customFormat="false" ht="15" hidden="true" customHeight="true" outlineLevel="0" collapsed="false">
      <c r="B1940" s="1104" t="str">
        <f aca="false">'Смета Внутр'!B1940</f>
        <v>кран американка ду 25/32 для радиаторов</v>
      </c>
      <c r="C1940" s="1104" t="str">
        <f aca="false">'Смета Внутр'!C1940</f>
        <v>шт</v>
      </c>
      <c r="D1940" s="1109" t="n">
        <f aca="false">'Смета Внутр'!D1940</f>
        <v>128</v>
      </c>
      <c r="E1940" s="1104" t="n">
        <f aca="false">'Смета Внутр'!E1940</f>
        <v>300</v>
      </c>
      <c r="F1940" s="1104" t="n">
        <f aca="false">'Смета Внутр'!F1940</f>
        <v>0</v>
      </c>
      <c r="G1940" s="1104" t="n">
        <f aca="false">IF(E1940&gt;F1940,E1940,F1940)</f>
        <v>300</v>
      </c>
      <c r="H1940" s="1104" t="n">
        <f aca="false">'Смета Внутр'!G1940</f>
        <v>38400</v>
      </c>
      <c r="I1940" s="1104" t="n">
        <f aca="false">'Смета Внутр'!H1940</f>
        <v>0</v>
      </c>
      <c r="J1940" s="1109" t="n">
        <f aca="false">'Смета Внутр'!I1940</f>
        <v>0</v>
      </c>
    </row>
    <row r="1941" customFormat="false" ht="15" hidden="true" customHeight="true" outlineLevel="0" collapsed="false">
      <c r="B1941" s="1104" t="str">
        <f aca="false">'Смета Внутр'!B1941</f>
        <v>кран гайка/резьба ду 25/32</v>
      </c>
      <c r="C1941" s="1104" t="str">
        <f aca="false">'Смета Внутр'!C1941</f>
        <v>шт</v>
      </c>
      <c r="D1941" s="1109" t="n">
        <f aca="false">'Смета Внутр'!D1941</f>
        <v>128</v>
      </c>
      <c r="E1941" s="1104" t="n">
        <f aca="false">'Смета Внутр'!E1941</f>
        <v>200</v>
      </c>
      <c r="F1941" s="1104" t="n">
        <f aca="false">'Смета Внутр'!F1941</f>
        <v>0</v>
      </c>
      <c r="G1941" s="1104" t="n">
        <f aca="false">IF(E1941&gt;F1941,E1941,F1941)</f>
        <v>200</v>
      </c>
      <c r="H1941" s="1104" t="n">
        <f aca="false">'Смета Внутр'!G1941</f>
        <v>25600</v>
      </c>
      <c r="I1941" s="1104" t="n">
        <f aca="false">'Смета Внутр'!H1941</f>
        <v>0</v>
      </c>
      <c r="J1941" s="1109" t="n">
        <f aca="false">'Смета Внутр'!I1941</f>
        <v>0</v>
      </c>
    </row>
    <row r="1942" customFormat="false" ht="15" hidden="true" customHeight="true" outlineLevel="0" collapsed="false">
      <c r="B1942" s="1104" t="str">
        <f aca="false">'Смета Внутр'!B1942</f>
        <v>труба диам 20 вода</v>
      </c>
      <c r="C1942" s="1104" t="str">
        <f aca="false">'Смета Внутр'!C1942</f>
        <v>м.п.</v>
      </c>
      <c r="D1942" s="1109" t="n">
        <f aca="false">'Смета Внутр'!D1942</f>
        <v>30</v>
      </c>
      <c r="E1942" s="1104" t="n">
        <f aca="false">'Смета Внутр'!E1942</f>
        <v>36</v>
      </c>
      <c r="F1942" s="1104" t="n">
        <f aca="false">'Смета Внутр'!F1942</f>
        <v>0</v>
      </c>
      <c r="G1942" s="1104" t="n">
        <f aca="false">IF(E1942&gt;F1942,E1942,F1942)</f>
        <v>36</v>
      </c>
      <c r="H1942" s="1104" t="n">
        <f aca="false">'Смета Внутр'!G1942</f>
        <v>1080</v>
      </c>
      <c r="I1942" s="1104" t="n">
        <f aca="false">'Смета Внутр'!H1942</f>
        <v>0</v>
      </c>
      <c r="J1942" s="1109" t="n">
        <f aca="false">'Смета Внутр'!I1942</f>
        <v>0</v>
      </c>
    </row>
    <row r="1943" customFormat="false" ht="15" hidden="true" customHeight="true" outlineLevel="0" collapsed="false">
      <c r="B1943" s="1104" t="str">
        <f aca="false">'Смета Внутр'!B1943</f>
        <v>комплектующие для хол и гор водоснаб</v>
      </c>
      <c r="C1943" s="1104" t="str">
        <f aca="false">'Смета Внутр'!C1943</f>
        <v>шт</v>
      </c>
      <c r="D1943" s="1109" t="n">
        <f aca="false">'Смета Внутр'!D1943</f>
        <v>1</v>
      </c>
      <c r="E1943" s="1104" t="n">
        <f aca="false">'Смета Внутр'!E1943</f>
        <v>100</v>
      </c>
      <c r="F1943" s="1104" t="n">
        <f aca="false">'Смета Внутр'!F1943</f>
        <v>0</v>
      </c>
      <c r="G1943" s="1104" t="n">
        <f aca="false">IF(E1943&gt;F1943,E1943,F1943)</f>
        <v>100</v>
      </c>
      <c r="H1943" s="1104" t="n">
        <f aca="false">'Смета Внутр'!G1943</f>
        <v>100</v>
      </c>
      <c r="I1943" s="1104" t="n">
        <f aca="false">'Смета Внутр'!H1943</f>
        <v>0</v>
      </c>
      <c r="J1943" s="1109" t="n">
        <f aca="false">'Смета Внутр'!I1943</f>
        <v>0</v>
      </c>
    </row>
    <row r="1944" customFormat="false" ht="15" hidden="true" customHeight="true" outlineLevel="0" collapsed="false">
      <c r="B1944" s="1104" t="str">
        <f aca="false">'Смета Внутр'!B1944</f>
        <v>соеденители для трубы</v>
      </c>
      <c r="C1944" s="1104" t="str">
        <f aca="false">'Смета Внутр'!C1944</f>
        <v>шт</v>
      </c>
      <c r="D1944" s="1109" t="n">
        <f aca="false">'Смета Внутр'!D1944</f>
        <v>10</v>
      </c>
      <c r="E1944" s="1104" t="n">
        <f aca="false">'Смета Внутр'!E1944</f>
        <v>10</v>
      </c>
      <c r="F1944" s="1104" t="n">
        <f aca="false">'Смета Внутр'!F1944</f>
        <v>0</v>
      </c>
      <c r="G1944" s="1104" t="n">
        <f aca="false">IF(E1944&gt;F1944,E1944,F1944)</f>
        <v>10</v>
      </c>
      <c r="H1944" s="1104" t="n">
        <f aca="false">'Смета Внутр'!G1944</f>
        <v>100</v>
      </c>
      <c r="I1944" s="1104" t="n">
        <f aca="false">'Смета Внутр'!H1944</f>
        <v>0</v>
      </c>
      <c r="J1944" s="1109" t="n">
        <f aca="false">'Смета Внутр'!I1944</f>
        <v>0</v>
      </c>
    </row>
    <row r="1945" customFormat="false" ht="15" hidden="true" customHeight="true" outlineLevel="0" collapsed="false">
      <c r="B1945" s="1104" t="str">
        <f aca="false">'Смета Внутр'!B1945</f>
        <v>уголок 90 град</v>
      </c>
      <c r="C1945" s="1104" t="str">
        <f aca="false">'Смета Внутр'!C1945</f>
        <v>шт</v>
      </c>
      <c r="D1945" s="1109" t="n">
        <f aca="false">'Смета Внутр'!D1945</f>
        <v>15</v>
      </c>
      <c r="E1945" s="1104" t="n">
        <f aca="false">'Смета Внутр'!E1945</f>
        <v>10</v>
      </c>
      <c r="F1945" s="1104" t="n">
        <f aca="false">'Смета Внутр'!F1945</f>
        <v>0</v>
      </c>
      <c r="G1945" s="1104" t="n">
        <f aca="false">IF(E1945&gt;F1945,E1945,F1945)</f>
        <v>10</v>
      </c>
      <c r="H1945" s="1104" t="n">
        <f aca="false">'Смета Внутр'!G1945</f>
        <v>150</v>
      </c>
      <c r="I1945" s="1104" t="n">
        <f aca="false">'Смета Внутр'!H1945</f>
        <v>0</v>
      </c>
      <c r="J1945" s="1109" t="n">
        <f aca="false">'Смета Внутр'!I1945</f>
        <v>0</v>
      </c>
    </row>
    <row r="1946" customFormat="false" ht="15" hidden="true" customHeight="false" outlineLevel="0" collapsed="false">
      <c r="B1946" s="1108" t="str">
        <f aca="false">'Смета Внутр'!B1946</f>
        <v>Итого материалы</v>
      </c>
      <c r="C1946" s="1108"/>
      <c r="D1946" s="1108"/>
      <c r="E1946" s="1108"/>
      <c r="F1946" s="1108"/>
      <c r="G1946" s="1108"/>
      <c r="H1946" s="1104" t="n">
        <f aca="false">'Смета Внутр'!G1946</f>
        <v>0</v>
      </c>
      <c r="I1946" s="1104" t="n">
        <f aca="false">'Смета Внутр'!H1946</f>
        <v>0</v>
      </c>
      <c r="J1946" s="1109" t="n">
        <f aca="false">'Смета Внутр'!I1946</f>
        <v>0</v>
      </c>
    </row>
    <row r="1947" customFormat="false" ht="15" hidden="true" customHeight="true" outlineLevel="0" collapsed="false">
      <c r="B1947" s="118" t="str">
        <f aca="false">'Смета Внутр'!B1947</f>
        <v>Работы</v>
      </c>
      <c r="H1947" s="118" t="n">
        <f aca="false">'Смета Внутр'!G1947</f>
        <v>0</v>
      </c>
      <c r="I1947" s="118" t="n">
        <f aca="false">'Смета Внутр'!H1947</f>
        <v>0</v>
      </c>
      <c r="J1947" s="1102" t="n">
        <f aca="false">'Смета Внутр'!I1947</f>
        <v>0</v>
      </c>
    </row>
    <row r="1948" customFormat="false" ht="15" hidden="true" customHeight="true" outlineLevel="0" collapsed="false">
      <c r="B1948" s="1104" t="str">
        <f aca="false">'Смета Внутр'!B1948</f>
        <v>монтаж трубы</v>
      </c>
      <c r="C1948" s="1104" t="str">
        <f aca="false">'Смета Внутр'!C1948</f>
        <v>м.п.</v>
      </c>
      <c r="D1948" s="1109" t="n">
        <f aca="false">'Смета Внутр'!D1948</f>
        <v>240.08</v>
      </c>
      <c r="E1948" s="1104" t="n">
        <f aca="false">'Смета Внутр'!E1948</f>
        <v>200</v>
      </c>
      <c r="F1948" s="1104" t="n">
        <f aca="false">'Смета Внутр'!F1948</f>
        <v>0</v>
      </c>
      <c r="G1948" s="1104" t="n">
        <f aca="false">IF(E1948&gt;F1948,E1948,F1948)</f>
        <v>200</v>
      </c>
      <c r="H1948" s="1104" t="n">
        <f aca="false">'Смета Внутр'!G1948</f>
        <v>48016</v>
      </c>
      <c r="I1948" s="1104" t="n">
        <f aca="false">'Смета Внутр'!H1948</f>
        <v>0</v>
      </c>
      <c r="J1948" s="1109" t="n">
        <f aca="false">'Смета Внутр'!I1948</f>
        <v>0</v>
      </c>
    </row>
    <row r="1949" customFormat="false" ht="15" hidden="true" customHeight="true" outlineLevel="0" collapsed="false">
      <c r="B1949" s="1104" t="str">
        <f aca="false">'Смета Внутр'!B1949</f>
        <v>установка радиаторов</v>
      </c>
      <c r="C1949" s="1104" t="str">
        <f aca="false">'Смета Внутр'!C1949</f>
        <v>шт</v>
      </c>
      <c r="D1949" s="1109" t="n">
        <f aca="false">'Смета Внутр'!D1949</f>
        <v>5</v>
      </c>
      <c r="E1949" s="1104" t="n">
        <f aca="false">'Смета Внутр'!E1949</f>
        <v>1000</v>
      </c>
      <c r="F1949" s="1104" t="n">
        <f aca="false">'Смета Внутр'!F1949</f>
        <v>0</v>
      </c>
      <c r="G1949" s="1104" t="n">
        <f aca="false">IF(E1949&gt;F1949,E1949,F1949)</f>
        <v>1000</v>
      </c>
      <c r="H1949" s="1104" t="n">
        <f aca="false">'Смета Внутр'!G1949</f>
        <v>5000</v>
      </c>
      <c r="I1949" s="1104" t="n">
        <f aca="false">'Смета Внутр'!H1949</f>
        <v>0</v>
      </c>
      <c r="J1949" s="1109" t="n">
        <f aca="false">'Смета Внутр'!I1949</f>
        <v>0</v>
      </c>
    </row>
    <row r="1950" customFormat="false" ht="15" hidden="true" customHeight="true" outlineLevel="0" collapsed="false">
      <c r="B1950" s="1104" t="str">
        <f aca="false">'Смета Внутр'!B1950</f>
        <v>монтаж трубы</v>
      </c>
      <c r="C1950" s="1104" t="str">
        <f aca="false">'Смета Внутр'!C1950</f>
        <v>м.п.</v>
      </c>
      <c r="D1950" s="1109" t="n">
        <f aca="false">'Смета Внутр'!D1950</f>
        <v>30</v>
      </c>
      <c r="E1950" s="1104" t="n">
        <f aca="false">'Смета Внутр'!E1950</f>
        <v>200</v>
      </c>
      <c r="F1950" s="1104" t="n">
        <f aca="false">'Смета Внутр'!F1950</f>
        <v>0</v>
      </c>
      <c r="G1950" s="1104" t="n">
        <f aca="false">IF(E1950&gt;F1950,E1950,F1950)</f>
        <v>200</v>
      </c>
      <c r="H1950" s="1104" t="n">
        <f aca="false">'Смета Внутр'!G1950</f>
        <v>6000</v>
      </c>
      <c r="I1950" s="1104" t="n">
        <f aca="false">'Смета Внутр'!H1950</f>
        <v>0</v>
      </c>
      <c r="J1950" s="1109" t="n">
        <f aca="false">'Смета Внутр'!I1950</f>
        <v>0</v>
      </c>
    </row>
    <row r="1951" customFormat="false" ht="15" hidden="true" customHeight="true" outlineLevel="0" collapsed="false">
      <c r="B1951" s="1108" t="str">
        <f aca="false">'Смета Внутр'!B1951</f>
        <v>Итого работы</v>
      </c>
      <c r="C1951" s="1108"/>
      <c r="D1951" s="1108"/>
      <c r="E1951" s="1108"/>
      <c r="F1951" s="1108"/>
      <c r="G1951" s="1108"/>
      <c r="H1951" s="1104" t="n">
        <f aca="false">'Смета Внутр'!G1951</f>
        <v>0</v>
      </c>
      <c r="I1951" s="1104" t="n">
        <f aca="false">'Смета Внутр'!H1951</f>
        <v>0</v>
      </c>
      <c r="J1951" s="1109" t="n">
        <f aca="false">'Смета Внутр'!I1951</f>
        <v>0</v>
      </c>
    </row>
    <row r="1952" customFormat="false" ht="15" hidden="true" customHeight="true" outlineLevel="0" collapsed="false">
      <c r="B1952" s="1111" t="str">
        <f aca="false">'Смета Внутр'!B1952</f>
        <v>Скважина</v>
      </c>
      <c r="C1952" s="1111"/>
      <c r="D1952" s="1111"/>
      <c r="H1952" s="118" t="n">
        <f aca="false">'Смета Внутр'!G1952</f>
        <v>0</v>
      </c>
      <c r="I1952" s="118" t="n">
        <f aca="false">'Смета Внутр'!H1952</f>
        <v>0</v>
      </c>
      <c r="J1952" s="1102" t="n">
        <f aca="false">'Смета Внутр'!I1952</f>
        <v>0</v>
      </c>
    </row>
    <row r="1953" customFormat="false" ht="15" hidden="true" customHeight="true" outlineLevel="0" collapsed="false">
      <c r="B1953" s="118" t="str">
        <f aca="false">'Смета Внутр'!B1953</f>
        <v>Материалы</v>
      </c>
      <c r="H1953" s="118" t="n">
        <f aca="false">'Смета Внутр'!G1953</f>
        <v>0</v>
      </c>
      <c r="I1953" s="118" t="n">
        <f aca="false">'Смета Внутр'!H1953</f>
        <v>0</v>
      </c>
      <c r="J1953" s="1102" t="n">
        <f aca="false">'Смета Внутр'!I1953</f>
        <v>0</v>
      </c>
    </row>
    <row r="1954" customFormat="false" ht="15" hidden="true" customHeight="true" outlineLevel="0" collapsed="false">
      <c r="B1954" s="1104" t="str">
        <f aca="false">'Смета Внутр'!B1954</f>
        <v>насос малыш</v>
      </c>
      <c r="C1954" s="1104" t="str">
        <f aca="false">'Смета Внутр'!C1954</f>
        <v>шт</v>
      </c>
      <c r="D1954" s="1109" t="n">
        <f aca="false">'Смета Внутр'!D1954</f>
        <v>1</v>
      </c>
      <c r="E1954" s="1104" t="n">
        <f aca="false">'Смета Внутр'!E1954</f>
        <v>2500</v>
      </c>
      <c r="F1954" s="1104" t="n">
        <f aca="false">'Смета Внутр'!F1954</f>
        <v>0</v>
      </c>
      <c r="G1954" s="1104" t="n">
        <f aca="false">IF(E1954&gt;F1954,E1954,F1954)</f>
        <v>2500</v>
      </c>
      <c r="H1954" s="1104" t="n">
        <f aca="false">'Смета Внутр'!G1954</f>
        <v>2500</v>
      </c>
      <c r="I1954" s="1104" t="n">
        <f aca="false">'Смета Внутр'!H1954</f>
        <v>0</v>
      </c>
      <c r="J1954" s="1109" t="n">
        <f aca="false">'Смета Внутр'!I1954</f>
        <v>0</v>
      </c>
    </row>
    <row r="1955" customFormat="false" ht="15" hidden="true" customHeight="true" outlineLevel="0" collapsed="false">
      <c r="B1955" s="1104" t="str">
        <f aca="false">'Смета Внутр'!B1955</f>
        <v>шланг для насоса</v>
      </c>
      <c r="C1955" s="1104" t="str">
        <f aca="false">'Смета Внутр'!C1955</f>
        <v>м.п.</v>
      </c>
      <c r="D1955" s="1109" t="n">
        <f aca="false">'Смета Внутр'!D1955</f>
        <v>50.4</v>
      </c>
      <c r="E1955" s="1104" t="n">
        <f aca="false">'Смета Внутр'!E1955</f>
        <v>19</v>
      </c>
      <c r="F1955" s="1104" t="n">
        <f aca="false">'Смета Внутр'!F1955</f>
        <v>0</v>
      </c>
      <c r="G1955" s="1104" t="n">
        <f aca="false">IF(E1955&gt;F1955,E1955,F1955)</f>
        <v>19</v>
      </c>
      <c r="H1955" s="1104" t="n">
        <f aca="false">'Смета Внутр'!G1955</f>
        <v>957.6</v>
      </c>
      <c r="I1955" s="1104" t="n">
        <f aca="false">'Смета Внутр'!H1955</f>
        <v>0</v>
      </c>
      <c r="J1955" s="1109" t="n">
        <f aca="false">'Смета Внутр'!I1955</f>
        <v>0</v>
      </c>
    </row>
    <row r="1956" customFormat="false" ht="15" hidden="true" customHeight="true" outlineLevel="0" collapsed="false">
      <c r="B1956" s="1104" t="str">
        <f aca="false">'Смета Внутр'!B1956</f>
        <v>тросик для насоса</v>
      </c>
      <c r="C1956" s="1104" t="str">
        <f aca="false">'Смета Внутр'!C1956</f>
        <v>м.п.</v>
      </c>
      <c r="D1956" s="1109" t="n">
        <f aca="false">'Смета Внутр'!D1956</f>
        <v>50.4</v>
      </c>
      <c r="E1956" s="1104" t="n">
        <f aca="false">'Смета Внутр'!E1956</f>
        <v>5</v>
      </c>
      <c r="F1956" s="1104" t="n">
        <f aca="false">'Смета Внутр'!F1956</f>
        <v>0</v>
      </c>
      <c r="G1956" s="1104" t="n">
        <f aca="false">IF(E1956&gt;F1956,E1956,F1956)</f>
        <v>5</v>
      </c>
      <c r="H1956" s="1104" t="n">
        <f aca="false">'Смета Внутр'!G1956</f>
        <v>252</v>
      </c>
      <c r="I1956" s="1104" t="n">
        <f aca="false">'Смета Внутр'!H1956</f>
        <v>0</v>
      </c>
      <c r="J1956" s="1109" t="n">
        <f aca="false">'Смета Внутр'!I1956</f>
        <v>0</v>
      </c>
    </row>
    <row r="1957" customFormat="false" ht="15" hidden="true" customHeight="true" outlineLevel="0" collapsed="false">
      <c r="B1957" s="1104" t="str">
        <f aca="false">'Смета Внутр'!B1957</f>
        <v>изолента</v>
      </c>
      <c r="C1957" s="1104" t="str">
        <f aca="false">'Смета Внутр'!C1957</f>
        <v>рул</v>
      </c>
      <c r="D1957" s="1109" t="n">
        <f aca="false">'Смета Внутр'!D1957</f>
        <v>1</v>
      </c>
      <c r="E1957" s="1104" t="n">
        <f aca="false">'Смета Внутр'!E1957</f>
        <v>100</v>
      </c>
      <c r="F1957" s="1104" t="n">
        <f aca="false">'Смета Внутр'!F1957</f>
        <v>0</v>
      </c>
      <c r="G1957" s="1104" t="n">
        <f aca="false">IF(E1957&gt;F1957,E1957,F1957)</f>
        <v>100</v>
      </c>
      <c r="H1957" s="1104" t="n">
        <f aca="false">'Смета Внутр'!G1957</f>
        <v>100</v>
      </c>
      <c r="I1957" s="1104" t="n">
        <f aca="false">'Смета Внутр'!H1957</f>
        <v>0</v>
      </c>
      <c r="J1957" s="1109" t="n">
        <f aca="false">'Смета Внутр'!I1957</f>
        <v>0</v>
      </c>
    </row>
    <row r="1958" customFormat="false" ht="15" hidden="true" customHeight="true" outlineLevel="0" collapsed="false">
      <c r="B1958" s="1104" t="str">
        <f aca="false">'Смета Внутр'!B1958</f>
        <v>гидроаккумулятор, 80л</v>
      </c>
      <c r="C1958" s="1104" t="str">
        <f aca="false">'Смета Внутр'!C1958</f>
        <v>шт</v>
      </c>
      <c r="D1958" s="1109" t="n">
        <f aca="false">'Смета Внутр'!D1958</f>
        <v>1</v>
      </c>
      <c r="E1958" s="1104" t="n">
        <f aca="false">'Смета Внутр'!E1958</f>
        <v>8000</v>
      </c>
      <c r="F1958" s="1104" t="n">
        <f aca="false">'Смета Внутр'!F1958</f>
        <v>0</v>
      </c>
      <c r="G1958" s="1104" t="n">
        <f aca="false">IF(E1958&gt;F1958,E1958,F1958)</f>
        <v>8000</v>
      </c>
      <c r="H1958" s="1104" t="n">
        <f aca="false">'Смета Внутр'!G1958</f>
        <v>8000</v>
      </c>
      <c r="I1958" s="1104" t="n">
        <f aca="false">'Смета Внутр'!H1958</f>
        <v>0</v>
      </c>
      <c r="J1958" s="1109" t="n">
        <f aca="false">'Смета Внутр'!I1958</f>
        <v>0</v>
      </c>
    </row>
    <row r="1959" customFormat="false" ht="15" hidden="true" customHeight="true" outlineLevel="0" collapsed="false">
      <c r="B1959" s="1104" t="str">
        <f aca="false">'Смета Внутр'!B1959</f>
        <v>автоматика</v>
      </c>
      <c r="C1959" s="1104" t="str">
        <f aca="false">'Смета Внутр'!C1959</f>
        <v>шт</v>
      </c>
      <c r="D1959" s="1109" t="n">
        <f aca="false">'Смета Внутр'!D1959</f>
        <v>1</v>
      </c>
      <c r="E1959" s="1104" t="n">
        <f aca="false">'Смета Внутр'!E1959</f>
        <v>10000</v>
      </c>
      <c r="F1959" s="1104" t="n">
        <f aca="false">'Смета Внутр'!F1959</f>
        <v>0</v>
      </c>
      <c r="G1959" s="1104" t="n">
        <f aca="false">IF(E1959&gt;F1959,E1959,F1959)</f>
        <v>10000</v>
      </c>
      <c r="H1959" s="1104" t="n">
        <f aca="false">'Смета Внутр'!G1959</f>
        <v>10000</v>
      </c>
      <c r="I1959" s="1104" t="n">
        <f aca="false">'Смета Внутр'!H1959</f>
        <v>0</v>
      </c>
      <c r="J1959" s="1109" t="n">
        <f aca="false">'Смета Внутр'!I1959</f>
        <v>0</v>
      </c>
    </row>
    <row r="1960" customFormat="false" ht="15" hidden="true" customHeight="true" outlineLevel="0" collapsed="false">
      <c r="B1960" s="1104" t="str">
        <f aca="false">'Смета Внутр'!B1960</f>
        <v>пнд труба</v>
      </c>
      <c r="C1960" s="1104" t="str">
        <f aca="false">'Смета Внутр'!C1960</f>
        <v>м.п.</v>
      </c>
      <c r="D1960" s="1109" t="n">
        <f aca="false">'Смета Внутр'!D1960</f>
        <v>50.4</v>
      </c>
      <c r="E1960" s="1104" t="n">
        <f aca="false">'Смета Внутр'!E1960</f>
        <v>35</v>
      </c>
      <c r="F1960" s="1104" t="n">
        <f aca="false">'Смета Внутр'!F1960</f>
        <v>0</v>
      </c>
      <c r="G1960" s="1104" t="n">
        <f aca="false">IF(E1960&gt;F1960,E1960,F1960)</f>
        <v>35</v>
      </c>
      <c r="H1960" s="1104" t="n">
        <f aca="false">'Смета Внутр'!G1960</f>
        <v>1764</v>
      </c>
      <c r="I1960" s="1104" t="n">
        <f aca="false">'Смета Внутр'!H1960</f>
        <v>0</v>
      </c>
      <c r="J1960" s="1109" t="n">
        <f aca="false">'Смета Внутр'!I1960</f>
        <v>0</v>
      </c>
    </row>
    <row r="1961" customFormat="false" ht="15" hidden="true" customHeight="true" outlineLevel="0" collapsed="false">
      <c r="B1961" s="1104" t="str">
        <f aca="false">'Смета Внутр'!B1961</f>
        <v>скорлупа утепления двойная</v>
      </c>
      <c r="C1961" s="1104" t="str">
        <f aca="false">'Смета Внутр'!C1961</f>
        <v>м.п.</v>
      </c>
      <c r="D1961" s="1109" t="n">
        <f aca="false">'Смета Внутр'!D1961</f>
        <v>10</v>
      </c>
      <c r="E1961" s="1104" t="n">
        <f aca="false">'Смета Внутр'!E1961</f>
        <v>500</v>
      </c>
      <c r="F1961" s="1104" t="n">
        <f aca="false">'Смета Внутр'!F1961</f>
        <v>0</v>
      </c>
      <c r="G1961" s="1104" t="n">
        <f aca="false">IF(E1961&gt;F1961,E1961,F1961)</f>
        <v>500</v>
      </c>
      <c r="H1961" s="1104" t="n">
        <f aca="false">'Смета Внутр'!G1961</f>
        <v>5000</v>
      </c>
      <c r="I1961" s="1104" t="n">
        <f aca="false">'Смета Внутр'!H1961</f>
        <v>0</v>
      </c>
      <c r="J1961" s="1109" t="n">
        <f aca="false">'Смета Внутр'!I1961</f>
        <v>0</v>
      </c>
    </row>
    <row r="1962" customFormat="false" ht="15" hidden="true" customHeight="true" outlineLevel="0" collapsed="false">
      <c r="B1962" s="1104" t="str">
        <f aca="false">'Смета Внутр'!B1962</f>
        <v>скважинный адаптер</v>
      </c>
      <c r="C1962" s="1104" t="str">
        <f aca="false">'Смета Внутр'!C1962</f>
        <v>шт</v>
      </c>
      <c r="D1962" s="1109" t="n">
        <f aca="false">'Смета Внутр'!D1962</f>
        <v>1</v>
      </c>
      <c r="E1962" s="1104" t="n">
        <f aca="false">'Смета Внутр'!E1962</f>
        <v>3000</v>
      </c>
      <c r="F1962" s="1104" t="n">
        <f aca="false">'Смета Внутр'!F1962</f>
        <v>0</v>
      </c>
      <c r="G1962" s="1104" t="n">
        <f aca="false">IF(E1962&gt;F1962,E1962,F1962)</f>
        <v>3000</v>
      </c>
      <c r="H1962" s="1104" t="n">
        <f aca="false">'Смета Внутр'!G1962</f>
        <v>3000</v>
      </c>
      <c r="I1962" s="1104" t="n">
        <f aca="false">'Смета Внутр'!H1962</f>
        <v>0</v>
      </c>
      <c r="J1962" s="1109" t="n">
        <f aca="false">'Смета Внутр'!I1962</f>
        <v>0</v>
      </c>
    </row>
    <row r="1963" customFormat="false" ht="15" hidden="true" customHeight="false" outlineLevel="0" collapsed="false">
      <c r="B1963" s="1108" t="str">
        <f aca="false">'Смета Внутр'!B1963</f>
        <v>Итого материалы</v>
      </c>
      <c r="C1963" s="1108"/>
      <c r="D1963" s="1108"/>
      <c r="E1963" s="1108"/>
      <c r="F1963" s="1108"/>
      <c r="G1963" s="1108"/>
      <c r="H1963" s="1104" t="n">
        <f aca="false">'Смета Внутр'!G1963</f>
        <v>0</v>
      </c>
      <c r="I1963" s="1104" t="n">
        <f aca="false">'Смета Внутр'!H1963</f>
        <v>0</v>
      </c>
      <c r="J1963" s="1109" t="n">
        <f aca="false">'Смета Внутр'!I1963</f>
        <v>0</v>
      </c>
    </row>
    <row r="1964" customFormat="false" ht="15" hidden="true" customHeight="true" outlineLevel="0" collapsed="false">
      <c r="B1964" s="118" t="str">
        <f aca="false">'Смета Внутр'!B1964</f>
        <v>Работы</v>
      </c>
      <c r="H1964" s="118" t="n">
        <f aca="false">'Смета Внутр'!G1964</f>
        <v>0</v>
      </c>
      <c r="I1964" s="118" t="n">
        <f aca="false">'Смета Внутр'!H1964</f>
        <v>0</v>
      </c>
      <c r="J1964" s="1102" t="n">
        <f aca="false">'Смета Внутр'!I1964</f>
        <v>0</v>
      </c>
    </row>
    <row r="1965" customFormat="false" ht="15" hidden="true" customHeight="true" outlineLevel="0" collapsed="false">
      <c r="B1965" s="1104" t="str">
        <f aca="false">'Смета Внутр'!B1965</f>
        <v>контроль за земляными </v>
      </c>
      <c r="C1965" s="1104" t="str">
        <f aca="false">'Смета Внутр'!C1965</f>
        <v>шт</v>
      </c>
      <c r="D1965" s="1109" t="n">
        <f aca="false">'Смета Внутр'!D1965</f>
        <v>1</v>
      </c>
      <c r="E1965" s="1104" t="n">
        <f aca="false">'Смета Внутр'!E1965</f>
        <v>1500</v>
      </c>
      <c r="F1965" s="1104" t="n">
        <f aca="false">'Смета Внутр'!F1965</f>
        <v>0</v>
      </c>
      <c r="G1965" s="1104" t="n">
        <f aca="false">IF(E1965&gt;F1965,E1965,F1965)</f>
        <v>1500</v>
      </c>
      <c r="H1965" s="1104" t="n">
        <f aca="false">'Смета Внутр'!G1965</f>
        <v>1500</v>
      </c>
      <c r="I1965" s="1104" t="n">
        <f aca="false">'Смета Внутр'!H1965</f>
        <v>0</v>
      </c>
      <c r="J1965" s="1109" t="n">
        <f aca="false">'Смета Внутр'!I1965</f>
        <v>0</v>
      </c>
    </row>
    <row r="1966" customFormat="false" ht="15" hidden="true" customHeight="true" outlineLevel="0" collapsed="false">
      <c r="B1966" s="1104" t="str">
        <f aca="false">'Смета Внутр'!B1966</f>
        <v>контроль за бурением</v>
      </c>
      <c r="C1966" s="1104" t="str">
        <f aca="false">'Смета Внутр'!C1966</f>
        <v>шт</v>
      </c>
      <c r="D1966" s="1109" t="n">
        <f aca="false">'Смета Внутр'!D1966</f>
        <v>1</v>
      </c>
      <c r="E1966" s="1104" t="n">
        <f aca="false">'Смета Внутр'!E1966</f>
        <v>1500</v>
      </c>
      <c r="F1966" s="1104" t="n">
        <f aca="false">'Смета Внутр'!F1966</f>
        <v>0</v>
      </c>
      <c r="G1966" s="1104" t="n">
        <f aca="false">IF(E1966&gt;F1966,E1966,F1966)</f>
        <v>1500</v>
      </c>
      <c r="H1966" s="1104" t="n">
        <f aca="false">'Смета Внутр'!G1966</f>
        <v>1500</v>
      </c>
      <c r="I1966" s="1104" t="n">
        <f aca="false">'Смета Внутр'!H1966</f>
        <v>0</v>
      </c>
      <c r="J1966" s="1109" t="n">
        <f aca="false">'Смета Внутр'!I1966</f>
        <v>0</v>
      </c>
    </row>
    <row r="1967" customFormat="false" ht="15" hidden="true" customHeight="true" outlineLevel="0" collapsed="false">
      <c r="B1967" s="1104" t="str">
        <f aca="false">'Смета Внутр'!B1967</f>
        <v>установка скваж адап</v>
      </c>
      <c r="C1967" s="1104" t="str">
        <f aca="false">'Смета Внутр'!C1967</f>
        <v>шт</v>
      </c>
      <c r="D1967" s="1109" t="n">
        <f aca="false">'Смета Внутр'!D1967</f>
        <v>1</v>
      </c>
      <c r="E1967" s="1104" t="n">
        <f aca="false">'Смета Внутр'!E1967</f>
        <v>3000</v>
      </c>
      <c r="F1967" s="1104" t="n">
        <f aca="false">'Смета Внутр'!F1967</f>
        <v>0</v>
      </c>
      <c r="G1967" s="1104" t="n">
        <f aca="false">IF(E1967&gt;F1967,E1967,F1967)</f>
        <v>3000</v>
      </c>
      <c r="H1967" s="1104" t="n">
        <f aca="false">'Смета Внутр'!G1967</f>
        <v>3000</v>
      </c>
      <c r="I1967" s="1104" t="n">
        <f aca="false">'Смета Внутр'!H1967</f>
        <v>0</v>
      </c>
      <c r="J1967" s="1109" t="n">
        <f aca="false">'Смета Внутр'!I1967</f>
        <v>0</v>
      </c>
    </row>
    <row r="1968" customFormat="false" ht="15" hidden="true" customHeight="true" outlineLevel="0" collapsed="false">
      <c r="B1968" s="1104" t="str">
        <f aca="false">'Смета Внутр'!B1968</f>
        <v>установка гидроаккум</v>
      </c>
      <c r="C1968" s="1104" t="str">
        <f aca="false">'Смета Внутр'!C1968</f>
        <v>шт</v>
      </c>
      <c r="D1968" s="1109" t="n">
        <f aca="false">'Смета Внутр'!D1968</f>
        <v>1</v>
      </c>
      <c r="E1968" s="1104" t="n">
        <f aca="false">'Смета Внутр'!E1968</f>
        <v>2500</v>
      </c>
      <c r="F1968" s="1104" t="n">
        <f aca="false">'Смета Внутр'!F1968</f>
        <v>0</v>
      </c>
      <c r="G1968" s="1104" t="n">
        <f aca="false">IF(E1968&gt;F1968,E1968,F1968)</f>
        <v>2500</v>
      </c>
      <c r="H1968" s="1104" t="n">
        <f aca="false">'Смета Внутр'!G1968</f>
        <v>2500</v>
      </c>
      <c r="I1968" s="1104" t="n">
        <f aca="false">'Смета Внутр'!H1968</f>
        <v>0</v>
      </c>
      <c r="J1968" s="1109" t="n">
        <f aca="false">'Смета Внутр'!I1968</f>
        <v>0</v>
      </c>
    </row>
    <row r="1969" customFormat="false" ht="15" hidden="true" customHeight="true" outlineLevel="0" collapsed="false">
      <c r="B1969" s="1104" t="str">
        <f aca="false">'Смета Внутр'!B1969</f>
        <v>монтаж автоматики</v>
      </c>
      <c r="C1969" s="1104" t="str">
        <f aca="false">'Смета Внутр'!C1969</f>
        <v>шт</v>
      </c>
      <c r="D1969" s="1109" t="n">
        <f aca="false">'Смета Внутр'!D1969</f>
        <v>1</v>
      </c>
      <c r="E1969" s="1104" t="n">
        <f aca="false">'Смета Внутр'!E1969</f>
        <v>4000</v>
      </c>
      <c r="F1969" s="1104" t="n">
        <f aca="false">'Смета Внутр'!F1969</f>
        <v>0</v>
      </c>
      <c r="G1969" s="1104" t="n">
        <f aca="false">IF(E1969&gt;F1969,E1969,F1969)</f>
        <v>4000</v>
      </c>
      <c r="H1969" s="1104" t="n">
        <f aca="false">'Смета Внутр'!G1969</f>
        <v>4000</v>
      </c>
      <c r="I1969" s="1104" t="n">
        <f aca="false">'Смета Внутр'!H1969</f>
        <v>0</v>
      </c>
      <c r="J1969" s="1109" t="n">
        <f aca="false">'Смета Внутр'!I1969</f>
        <v>0</v>
      </c>
    </row>
    <row r="1970" customFormat="false" ht="15" hidden="true" customHeight="true" outlineLevel="0" collapsed="false">
      <c r="B1970" s="1104" t="str">
        <f aca="false">'Смета Внутр'!B1970</f>
        <v>прокладка пнд с утепл</v>
      </c>
      <c r="C1970" s="1104" t="str">
        <f aca="false">'Смета Внутр'!C1970</f>
        <v>м.п.</v>
      </c>
      <c r="D1970" s="1109" t="n">
        <f aca="false">'Смета Внутр'!D1970</f>
        <v>10</v>
      </c>
      <c r="E1970" s="1104" t="n">
        <f aca="false">'Смета Внутр'!E1970</f>
        <v>500</v>
      </c>
      <c r="F1970" s="1104" t="n">
        <f aca="false">'Смета Внутр'!F1970</f>
        <v>0</v>
      </c>
      <c r="G1970" s="1104" t="n">
        <f aca="false">IF(E1970&gt;F1970,E1970,F1970)</f>
        <v>500</v>
      </c>
      <c r="H1970" s="1104" t="n">
        <f aca="false">'Смета Внутр'!G1970</f>
        <v>5000</v>
      </c>
      <c r="I1970" s="1104" t="n">
        <f aca="false">'Смета Внутр'!H1970</f>
        <v>0</v>
      </c>
      <c r="J1970" s="1109" t="n">
        <f aca="false">'Смета Внутр'!I1970</f>
        <v>0</v>
      </c>
    </row>
    <row r="1971" customFormat="false" ht="15" hidden="true" customHeight="true" outlineLevel="0" collapsed="false">
      <c r="B1971" s="1108" t="str">
        <f aca="false">'Смета Внутр'!B1971</f>
        <v>Итого работы</v>
      </c>
      <c r="C1971" s="1108"/>
      <c r="D1971" s="1108"/>
      <c r="E1971" s="1108"/>
      <c r="F1971" s="1108"/>
      <c r="G1971" s="1108"/>
      <c r="H1971" s="1104" t="n">
        <f aca="false">'Смета Внутр'!G1971</f>
        <v>0</v>
      </c>
      <c r="I1971" s="1104" t="n">
        <f aca="false">'Смета Внутр'!H1971</f>
        <v>0</v>
      </c>
      <c r="J1971" s="1109" t="n">
        <f aca="false">'Смета Внутр'!I1971</f>
        <v>0</v>
      </c>
    </row>
    <row r="1972" customFormat="false" ht="15" hidden="true" customHeight="true" outlineLevel="0" collapsed="false">
      <c r="B1972" s="1111" t="str">
        <f aca="false">'Смета Внутр'!B1972</f>
        <v>Септик с утепленной канализацией</v>
      </c>
      <c r="C1972" s="1111"/>
      <c r="D1972" s="1111"/>
      <c r="H1972" s="118" t="n">
        <f aca="false">'Смета Внутр'!G1972</f>
        <v>0</v>
      </c>
      <c r="I1972" s="118" t="n">
        <f aca="false">'Смета Внутр'!H1972</f>
        <v>0</v>
      </c>
      <c r="J1972" s="1102" t="n">
        <f aca="false">'Смета Внутр'!I1972</f>
        <v>0</v>
      </c>
    </row>
    <row r="1973" customFormat="false" ht="15" hidden="true" customHeight="true" outlineLevel="0" collapsed="false">
      <c r="B1973" s="118" t="str">
        <f aca="false">'Смета Внутр'!B1973</f>
        <v>Материалы</v>
      </c>
      <c r="H1973" s="118" t="n">
        <f aca="false">'Смета Внутр'!G1973</f>
        <v>0</v>
      </c>
      <c r="I1973" s="118" t="n">
        <f aca="false">'Смета Внутр'!H1973</f>
        <v>0</v>
      </c>
      <c r="J1973" s="1102" t="n">
        <f aca="false">'Смета Внутр'!I1973</f>
        <v>0</v>
      </c>
    </row>
    <row r="1974" customFormat="false" ht="15" hidden="true" customHeight="true" outlineLevel="0" collapsed="false">
      <c r="B1974" s="1104" t="str">
        <f aca="false">'Смета Внутр'!B1974</f>
        <v>дно бетонное, диаметр 1,5м.п.</v>
      </c>
      <c r="C1974" s="1104" t="str">
        <f aca="false">'Смета Внутр'!C1974</f>
        <v>шт</v>
      </c>
      <c r="D1974" s="1109" t="n">
        <f aca="false">'Смета Внутр'!D1974</f>
        <v>1</v>
      </c>
      <c r="E1974" s="1104" t="n">
        <f aca="false">'Смета Внутр'!E1974</f>
        <v>2000</v>
      </c>
      <c r="F1974" s="1104" t="n">
        <f aca="false">'Смета Внутр'!F1974</f>
        <v>0</v>
      </c>
      <c r="G1974" s="1104" t="n">
        <f aca="false">IF(E1974&gt;F1974,E1974,F1974)</f>
        <v>2000</v>
      </c>
      <c r="H1974" s="1104" t="n">
        <f aca="false">'Смета Внутр'!G1974</f>
        <v>2000</v>
      </c>
      <c r="I1974" s="1104" t="n">
        <f aca="false">'Смета Внутр'!H1974</f>
        <v>0</v>
      </c>
      <c r="J1974" s="1109" t="n">
        <f aca="false">'Смета Внутр'!I1974</f>
        <v>0</v>
      </c>
    </row>
    <row r="1975" customFormat="false" ht="15" hidden="true" customHeight="true" outlineLevel="0" collapsed="false">
      <c r="B1975" s="1104" t="str">
        <f aca="false">'Смета Внутр'!B1975</f>
        <v>кольцо бетонное, диаметр 1,5м.п.</v>
      </c>
      <c r="C1975" s="1104" t="str">
        <f aca="false">'Смета Внутр'!C1975</f>
        <v>шт</v>
      </c>
      <c r="D1975" s="1109" t="n">
        <f aca="false">'Смета Внутр'!D1975</f>
        <v>3</v>
      </c>
      <c r="E1975" s="1104" t="n">
        <f aca="false">'Смета Внутр'!E1975</f>
        <v>2800</v>
      </c>
      <c r="F1975" s="1104" t="n">
        <f aca="false">'Смета Внутр'!F1975</f>
        <v>0</v>
      </c>
      <c r="G1975" s="1104" t="n">
        <f aca="false">IF(E1975&gt;F1975,E1975,F1975)</f>
        <v>2800</v>
      </c>
      <c r="H1975" s="1104" t="n">
        <f aca="false">'Смета Внутр'!G1975</f>
        <v>8400</v>
      </c>
      <c r="I1975" s="1104" t="n">
        <f aca="false">'Смета Внутр'!H1975</f>
        <v>0</v>
      </c>
      <c r="J1975" s="1109" t="n">
        <f aca="false">'Смета Внутр'!I1975</f>
        <v>0</v>
      </c>
    </row>
    <row r="1976" customFormat="false" ht="15" hidden="true" customHeight="true" outlineLevel="0" collapsed="false">
      <c r="B1976" s="1104" t="str">
        <f aca="false">'Смета Внутр'!B1976</f>
        <v>крышка бетонная, диаметр 1,5м.п.</v>
      </c>
      <c r="C1976" s="1104" t="str">
        <f aca="false">'Смета Внутр'!C1976</f>
        <v>шт</v>
      </c>
      <c r="D1976" s="1109" t="n">
        <f aca="false">'Смета Внутр'!D1976</f>
        <v>1</v>
      </c>
      <c r="E1976" s="1104" t="n">
        <f aca="false">'Смета Внутр'!E1976</f>
        <v>4000</v>
      </c>
      <c r="F1976" s="1104" t="n">
        <f aca="false">'Смета Внутр'!F1976</f>
        <v>0</v>
      </c>
      <c r="G1976" s="1104" t="n">
        <f aca="false">IF(E1976&gt;F1976,E1976,F1976)</f>
        <v>4000</v>
      </c>
      <c r="H1976" s="1104" t="n">
        <f aca="false">'Смета Внутр'!G1976</f>
        <v>4000</v>
      </c>
      <c r="I1976" s="1104" t="n">
        <f aca="false">'Смета Внутр'!H1976</f>
        <v>0</v>
      </c>
      <c r="J1976" s="1109" t="n">
        <f aca="false">'Смета Внутр'!I1976</f>
        <v>0</v>
      </c>
    </row>
    <row r="1977" customFormat="false" ht="15" hidden="true" customHeight="true" outlineLevel="0" collapsed="false">
      <c r="B1977" s="1104" t="str">
        <f aca="false">'Смета Внутр'!B1977</f>
        <v>Нет люка для крышки</v>
      </c>
      <c r="C1977" s="1104" t="str">
        <f aca="false">'Смета Внутр'!C1977</f>
        <v>шт</v>
      </c>
      <c r="D1977" s="1109" t="n">
        <f aca="false">'Смета Внутр'!D1977</f>
        <v>0</v>
      </c>
      <c r="E1977" s="1104" t="n">
        <f aca="false">'Смета Внутр'!E1977</f>
        <v>0</v>
      </c>
      <c r="F1977" s="1104" t="n">
        <f aca="false">'Смета Внутр'!F1977</f>
        <v>0</v>
      </c>
      <c r="G1977" s="1104" t="n">
        <f aca="false">IF(E1977&gt;F1977,E1977,F1977)</f>
        <v>0</v>
      </c>
      <c r="H1977" s="1104" t="n">
        <f aca="false">'Смета Внутр'!G1977</f>
        <v>0</v>
      </c>
      <c r="I1977" s="1104" t="n">
        <f aca="false">'Смета Внутр'!H1977</f>
        <v>0</v>
      </c>
      <c r="J1977" s="1109" t="n">
        <f aca="false">'Смета Внутр'!I1977</f>
        <v>0</v>
      </c>
    </row>
    <row r="1978" customFormat="false" ht="15" hidden="true" customHeight="true" outlineLevel="0" collapsed="false">
      <c r="B1978" s="1104" t="str">
        <f aca="false">'Смета Внутр'!B1978</f>
        <v>Горловина для септика бетонная</v>
      </c>
      <c r="C1978" s="1104" t="str">
        <f aca="false">'Смета Внутр'!C1978</f>
        <v>шт</v>
      </c>
      <c r="D1978" s="1109" t="n">
        <f aca="false">'Смета Внутр'!D1978</f>
        <v>1</v>
      </c>
      <c r="E1978" s="1104" t="n">
        <f aca="false">'Смета Внутр'!E1978</f>
        <v>1000</v>
      </c>
      <c r="F1978" s="1104" t="n">
        <f aca="false">'Смета Внутр'!F1978</f>
        <v>0</v>
      </c>
      <c r="G1978" s="1104" t="n">
        <f aca="false">IF(E1978&gt;F1978,E1978,F1978)</f>
        <v>1000</v>
      </c>
      <c r="H1978" s="1104" t="n">
        <f aca="false">'Смета Внутр'!G1978</f>
        <v>1000</v>
      </c>
      <c r="I1978" s="1104" t="n">
        <f aca="false">'Смета Внутр'!H1978</f>
        <v>0</v>
      </c>
      <c r="J1978" s="1109" t="n">
        <f aca="false">'Смета Внутр'!I1978</f>
        <v>0</v>
      </c>
    </row>
    <row r="1979" customFormat="false" ht="15" hidden="true" customHeight="true" outlineLevel="0" collapsed="false">
      <c r="B1979" s="1104" t="str">
        <f aca="false">'Смета Внутр'!B1979</f>
        <v>Труба канализационная D110</v>
      </c>
      <c r="C1979" s="1104" t="str">
        <f aca="false">'Смета Внутр'!C1979</f>
        <v>м.п.</v>
      </c>
      <c r="D1979" s="1109" t="n">
        <f aca="false">'Смета Внутр'!D1979</f>
        <v>10</v>
      </c>
      <c r="E1979" s="1104" t="n">
        <f aca="false">'Смета Внутр'!E1979</f>
        <v>70</v>
      </c>
      <c r="F1979" s="1104" t="n">
        <f aca="false">'Смета Внутр'!F1979</f>
        <v>0</v>
      </c>
      <c r="G1979" s="1104" t="n">
        <f aca="false">IF(E1979&gt;F1979,E1979,F1979)</f>
        <v>70</v>
      </c>
      <c r="H1979" s="1104" t="n">
        <f aca="false">'Смета Внутр'!G1979</f>
        <v>700</v>
      </c>
      <c r="I1979" s="1104" t="n">
        <f aca="false">'Смета Внутр'!H1979</f>
        <v>0</v>
      </c>
      <c r="J1979" s="1109" t="n">
        <f aca="false">'Смета Внутр'!I1979</f>
        <v>0</v>
      </c>
    </row>
    <row r="1980" customFormat="false" ht="15" hidden="true" customHeight="true" outlineLevel="0" collapsed="false">
      <c r="B1980" s="1104" t="str">
        <f aca="false">'Смета Внутр'!B1980</f>
        <v>утепление для канализационной трубы</v>
      </c>
      <c r="C1980" s="1104" t="str">
        <f aca="false">'Смета Внутр'!C1980</f>
        <v>м.п.</v>
      </c>
      <c r="D1980" s="1109" t="n">
        <f aca="false">'Смета Внутр'!D1980</f>
        <v>8</v>
      </c>
      <c r="E1980" s="1104" t="n">
        <f aca="false">'Смета Внутр'!E1980</f>
        <v>300</v>
      </c>
      <c r="F1980" s="1104" t="n">
        <f aca="false">'Смета Внутр'!F1980</f>
        <v>0</v>
      </c>
      <c r="G1980" s="1104" t="n">
        <f aca="false">IF(E1980&gt;F1980,E1980,F1980)</f>
        <v>300</v>
      </c>
      <c r="H1980" s="1104" t="n">
        <f aca="false">'Смета Внутр'!G1980</f>
        <v>2400</v>
      </c>
      <c r="I1980" s="1104" t="n">
        <f aca="false">'Смета Внутр'!H1980</f>
        <v>0</v>
      </c>
      <c r="J1980" s="1109" t="n">
        <f aca="false">'Смета Внутр'!I1980</f>
        <v>0</v>
      </c>
    </row>
    <row r="1981" customFormat="false" ht="15" hidden="true" customHeight="true" outlineLevel="0" collapsed="false">
      <c r="B1981" s="1104" t="str">
        <f aca="false">'Смета Внутр'!B1981</f>
        <v>раствор для бетонирования</v>
      </c>
      <c r="C1981" s="1104" t="str">
        <f aca="false">'Смета Внутр'!C1981</f>
        <v>шт</v>
      </c>
      <c r="D1981" s="1109" t="n">
        <f aca="false">'Смета Внутр'!D1981</f>
        <v>3</v>
      </c>
      <c r="E1981" s="1104" t="n">
        <f aca="false">'Смета Внутр'!E1981</f>
        <v>100</v>
      </c>
      <c r="F1981" s="1104" t="n">
        <f aca="false">'Смета Внутр'!F1981</f>
        <v>0</v>
      </c>
      <c r="G1981" s="1104" t="n">
        <f aca="false">IF(E1981&gt;F1981,E1981,F1981)</f>
        <v>100</v>
      </c>
      <c r="H1981" s="1104" t="n">
        <f aca="false">'Смета Внутр'!G1981</f>
        <v>300</v>
      </c>
      <c r="I1981" s="1104" t="n">
        <f aca="false">'Смета Внутр'!H1981</f>
        <v>0</v>
      </c>
      <c r="J1981" s="1109" t="n">
        <f aca="false">'Смета Внутр'!I1981</f>
        <v>0</v>
      </c>
    </row>
    <row r="1982" customFormat="false" ht="15" hidden="true" customHeight="true" outlineLevel="0" collapsed="false">
      <c r="B1982" s="1104" t="str">
        <f aca="false">'Смета Внутр'!B1982</f>
        <v>скотч для скорлупы утепления</v>
      </c>
      <c r="C1982" s="1104" t="str">
        <f aca="false">'Смета Внутр'!C1982</f>
        <v>шт</v>
      </c>
      <c r="D1982" s="1109" t="n">
        <f aca="false">'Смета Внутр'!D1982</f>
        <v>3</v>
      </c>
      <c r="E1982" s="1104" t="n">
        <f aca="false">'Смета Внутр'!E1982</f>
        <v>100</v>
      </c>
      <c r="F1982" s="1104" t="n">
        <f aca="false">'Смета Внутр'!F1982</f>
        <v>0</v>
      </c>
      <c r="G1982" s="1104" t="n">
        <f aca="false">IF(E1982&gt;F1982,E1982,F1982)</f>
        <v>100</v>
      </c>
      <c r="H1982" s="1104" t="n">
        <f aca="false">'Смета Внутр'!G1982</f>
        <v>300</v>
      </c>
      <c r="I1982" s="1104" t="n">
        <f aca="false">'Смета Внутр'!H1982</f>
        <v>0</v>
      </c>
      <c r="J1982" s="1109" t="n">
        <f aca="false">'Смета Внутр'!I1982</f>
        <v>0</v>
      </c>
    </row>
    <row r="1983" customFormat="false" ht="15" hidden="true" customHeight="true" outlineLevel="0" collapsed="false">
      <c r="B1983" s="1104" t="str">
        <f aca="false">'Смета Внутр'!B1983</f>
        <v>дно бетонное, диаметр 2м.п.</v>
      </c>
      <c r="C1983" s="1104" t="str">
        <f aca="false">'Смета Внутр'!C1983</f>
        <v>шт</v>
      </c>
      <c r="D1983" s="1109" t="n">
        <f aca="false">'Смета Внутр'!D1983</f>
        <v>1</v>
      </c>
      <c r="E1983" s="1104" t="n">
        <f aca="false">'Смета Внутр'!E1983</f>
        <v>2000</v>
      </c>
      <c r="F1983" s="1104" t="n">
        <f aca="false">'Смета Внутр'!F1983</f>
        <v>0</v>
      </c>
      <c r="G1983" s="1104" t="n">
        <f aca="false">IF(E1983&gt;F1983,E1983,F1983)</f>
        <v>2000</v>
      </c>
      <c r="H1983" s="1104" t="n">
        <f aca="false">'Смета Внутр'!G1983</f>
        <v>2000</v>
      </c>
      <c r="I1983" s="1104" t="n">
        <f aca="false">'Смета Внутр'!H1983</f>
        <v>0</v>
      </c>
      <c r="J1983" s="1109" t="n">
        <f aca="false">'Смета Внутр'!I1983</f>
        <v>0</v>
      </c>
    </row>
    <row r="1984" customFormat="false" ht="15" hidden="true" customHeight="true" outlineLevel="0" collapsed="false">
      <c r="B1984" s="1104" t="str">
        <f aca="false">'Смета Внутр'!B1984</f>
        <v>кольцо бетонное, диаметр 2м.п.</v>
      </c>
      <c r="C1984" s="1104" t="str">
        <f aca="false">'Смета Внутр'!C1984</f>
        <v>шт</v>
      </c>
      <c r="D1984" s="1109" t="n">
        <f aca="false">'Смета Внутр'!D1984</f>
        <v>3</v>
      </c>
      <c r="E1984" s="1104" t="n">
        <f aca="false">'Смета Внутр'!E1984</f>
        <v>3300</v>
      </c>
      <c r="F1984" s="1104" t="n">
        <f aca="false">'Смета Внутр'!F1984</f>
        <v>0</v>
      </c>
      <c r="G1984" s="1104" t="n">
        <f aca="false">IF(E1984&gt;F1984,E1984,F1984)</f>
        <v>3300</v>
      </c>
      <c r="H1984" s="1104" t="n">
        <f aca="false">'Смета Внутр'!G1984</f>
        <v>9900</v>
      </c>
      <c r="I1984" s="1104" t="n">
        <f aca="false">'Смета Внутр'!H1984</f>
        <v>0</v>
      </c>
      <c r="J1984" s="1109" t="n">
        <f aca="false">'Смета Внутр'!I1984</f>
        <v>0</v>
      </c>
    </row>
    <row r="1985" customFormat="false" ht="15" hidden="true" customHeight="true" outlineLevel="0" collapsed="false">
      <c r="B1985" s="1104" t="str">
        <f aca="false">'Смета Внутр'!B1985</f>
        <v>крышка бетонная, диаметр 2м.п.</v>
      </c>
      <c r="C1985" s="1104" t="str">
        <f aca="false">'Смета Внутр'!C1985</f>
        <v>шт</v>
      </c>
      <c r="D1985" s="1109" t="n">
        <f aca="false">'Смета Внутр'!D1985</f>
        <v>1</v>
      </c>
      <c r="E1985" s="1104" t="n">
        <f aca="false">'Смета Внутр'!E1985</f>
        <v>4000</v>
      </c>
      <c r="F1985" s="1104" t="n">
        <f aca="false">'Смета Внутр'!F1985</f>
        <v>0</v>
      </c>
      <c r="G1985" s="1104" t="n">
        <f aca="false">IF(E1985&gt;F1985,E1985,F1985)</f>
        <v>4000</v>
      </c>
      <c r="H1985" s="1104" t="n">
        <f aca="false">'Смета Внутр'!G1985</f>
        <v>4000</v>
      </c>
      <c r="I1985" s="1104" t="n">
        <f aca="false">'Смета Внутр'!H1985</f>
        <v>0</v>
      </c>
      <c r="J1985" s="1109" t="n">
        <f aca="false">'Смета Внутр'!I1985</f>
        <v>0</v>
      </c>
    </row>
    <row r="1986" customFormat="false" ht="15" hidden="true" customHeight="true" outlineLevel="0" collapsed="false">
      <c r="B1986" s="1104" t="str">
        <f aca="false">'Смета Внутр'!B1986</f>
        <v>Нет люка для крышки</v>
      </c>
      <c r="C1986" s="1104" t="str">
        <f aca="false">'Смета Внутр'!C1986</f>
        <v>шт</v>
      </c>
      <c r="D1986" s="1109" t="n">
        <f aca="false">'Смета Внутр'!D1986</f>
        <v>0</v>
      </c>
      <c r="E1986" s="1104" t="n">
        <f aca="false">'Смета Внутр'!E1986</f>
        <v>0</v>
      </c>
      <c r="F1986" s="1104" t="n">
        <f aca="false">'Смета Внутр'!F1986</f>
        <v>0</v>
      </c>
      <c r="G1986" s="1104" t="n">
        <f aca="false">IF(E1986&gt;F1986,E1986,F1986)</f>
        <v>0</v>
      </c>
      <c r="H1986" s="1104" t="n">
        <f aca="false">'Смета Внутр'!G1986</f>
        <v>0</v>
      </c>
      <c r="I1986" s="1104" t="n">
        <f aca="false">'Смета Внутр'!H1986</f>
        <v>0</v>
      </c>
      <c r="J1986" s="1109" t="n">
        <f aca="false">'Смета Внутр'!I1986</f>
        <v>0</v>
      </c>
    </row>
    <row r="1987" customFormat="false" ht="15" hidden="true" customHeight="false" outlineLevel="0" collapsed="false">
      <c r="B1987" s="1108" t="str">
        <f aca="false">'Смета Внутр'!B1987</f>
        <v>Итого материалы</v>
      </c>
      <c r="C1987" s="1108"/>
      <c r="D1987" s="1108"/>
      <c r="E1987" s="1108"/>
      <c r="F1987" s="1108"/>
      <c r="G1987" s="1108"/>
      <c r="H1987" s="1104" t="n">
        <f aca="false">'Смета Внутр'!G1987</f>
        <v>0</v>
      </c>
      <c r="I1987" s="1104" t="n">
        <f aca="false">'Смета Внутр'!H1987</f>
        <v>0</v>
      </c>
      <c r="J1987" s="1109" t="n">
        <f aca="false">'Смета Внутр'!I1987</f>
        <v>0</v>
      </c>
    </row>
    <row r="1988" customFormat="false" ht="15" hidden="true" customHeight="true" outlineLevel="0" collapsed="false">
      <c r="B1988" s="118" t="str">
        <f aca="false">'Смета Внутр'!B1988</f>
        <v>Работы</v>
      </c>
      <c r="H1988" s="118" t="n">
        <f aca="false">'Смета Внутр'!G1988</f>
        <v>0</v>
      </c>
      <c r="I1988" s="118" t="n">
        <f aca="false">'Смета Внутр'!H1988</f>
        <v>0</v>
      </c>
      <c r="J1988" s="1102" t="n">
        <f aca="false">'Смета Внутр'!I1988</f>
        <v>0</v>
      </c>
    </row>
    <row r="1989" customFormat="false" ht="15" hidden="true" customHeight="true" outlineLevel="0" collapsed="false">
      <c r="B1989" s="1104" t="str">
        <f aca="false">'Смета Внутр'!B1989</f>
        <v>монтаж дна</v>
      </c>
      <c r="C1989" s="1104" t="str">
        <f aca="false">'Смета Внутр'!C1989</f>
        <v>шт</v>
      </c>
      <c r="D1989" s="1109" t="n">
        <f aca="false">'Смета Внутр'!D1989</f>
        <v>2</v>
      </c>
      <c r="E1989" s="1104" t="n">
        <f aca="false">'Смета Внутр'!E1989</f>
        <v>1000</v>
      </c>
      <c r="F1989" s="1104" t="n">
        <f aca="false">'Смета Внутр'!F1989</f>
        <v>0</v>
      </c>
      <c r="G1989" s="1104" t="n">
        <f aca="false">IF(E1989&gt;F1989,E1989,F1989)</f>
        <v>1000</v>
      </c>
      <c r="H1989" s="1104" t="n">
        <f aca="false">'Смета Внутр'!G1989</f>
        <v>2000</v>
      </c>
      <c r="I1989" s="1104" t="n">
        <f aca="false">'Смета Внутр'!H1989</f>
        <v>0</v>
      </c>
      <c r="J1989" s="1109" t="n">
        <f aca="false">'Смета Внутр'!I1989</f>
        <v>0</v>
      </c>
    </row>
    <row r="1990" customFormat="false" ht="15" hidden="true" customHeight="true" outlineLevel="0" collapsed="false">
      <c r="B1990" s="1104" t="str">
        <f aca="false">'Смета Внутр'!B1990</f>
        <v>монтаж колец</v>
      </c>
      <c r="C1990" s="1104" t="str">
        <f aca="false">'Смета Внутр'!C1990</f>
        <v>шт</v>
      </c>
      <c r="D1990" s="1109" t="n">
        <f aca="false">'Смета Внутр'!D1990</f>
        <v>6</v>
      </c>
      <c r="E1990" s="1104" t="n">
        <f aca="false">'Смета Внутр'!E1990</f>
        <v>1000</v>
      </c>
      <c r="F1990" s="1104" t="n">
        <f aca="false">'Смета Внутр'!F1990</f>
        <v>0</v>
      </c>
      <c r="G1990" s="1104" t="n">
        <f aca="false">IF(E1990&gt;F1990,E1990,F1990)</f>
        <v>1000</v>
      </c>
      <c r="H1990" s="1104" t="n">
        <f aca="false">'Смета Внутр'!G1990</f>
        <v>6000</v>
      </c>
      <c r="I1990" s="1104" t="n">
        <f aca="false">'Смета Внутр'!H1990</f>
        <v>0</v>
      </c>
      <c r="J1990" s="1109" t="n">
        <f aca="false">'Смета Внутр'!I1990</f>
        <v>0</v>
      </c>
    </row>
    <row r="1991" customFormat="false" ht="15" hidden="true" customHeight="true" outlineLevel="0" collapsed="false">
      <c r="B1991" s="1104" t="str">
        <f aca="false">'Смета Внутр'!B1991</f>
        <v>монтаж крышки</v>
      </c>
      <c r="C1991" s="1104" t="str">
        <f aca="false">'Смета Внутр'!C1991</f>
        <v>шт</v>
      </c>
      <c r="D1991" s="1109" t="n">
        <f aca="false">'Смета Внутр'!D1991</f>
        <v>2</v>
      </c>
      <c r="E1991" s="1104" t="n">
        <f aca="false">'Смета Внутр'!E1991</f>
        <v>1000</v>
      </c>
      <c r="F1991" s="1104" t="n">
        <f aca="false">'Смета Внутр'!F1991</f>
        <v>0</v>
      </c>
      <c r="G1991" s="1104" t="n">
        <f aca="false">IF(E1991&gt;F1991,E1991,F1991)</f>
        <v>1000</v>
      </c>
      <c r="H1991" s="1104" t="n">
        <f aca="false">'Смета Внутр'!G1991</f>
        <v>2000</v>
      </c>
      <c r="I1991" s="1104" t="n">
        <f aca="false">'Смета Внутр'!H1991</f>
        <v>0</v>
      </c>
      <c r="J1991" s="1109" t="n">
        <f aca="false">'Смета Внутр'!I1991</f>
        <v>0</v>
      </c>
    </row>
    <row r="1992" customFormat="false" ht="15" hidden="true" customHeight="true" outlineLevel="0" collapsed="false">
      <c r="B1992" s="1104" t="str">
        <f aca="false">'Смета Внутр'!B1992</f>
        <v>монтаж люка</v>
      </c>
      <c r="C1992" s="1104" t="str">
        <f aca="false">'Смета Внутр'!C1992</f>
        <v>шт</v>
      </c>
      <c r="D1992" s="1109" t="n">
        <f aca="false">'Смета Внутр'!D1992</f>
        <v>0</v>
      </c>
      <c r="E1992" s="1104" t="n">
        <f aca="false">'Смета Внутр'!E1992</f>
        <v>1000</v>
      </c>
      <c r="F1992" s="1104" t="n">
        <f aca="false">'Смета Внутр'!F1992</f>
        <v>0</v>
      </c>
      <c r="G1992" s="1104" t="n">
        <f aca="false">IF(E1992&gt;F1992,E1992,F1992)</f>
        <v>1000</v>
      </c>
      <c r="H1992" s="1104" t="n">
        <f aca="false">'Смета Внутр'!G1992</f>
        <v>0</v>
      </c>
      <c r="I1992" s="1104" t="n">
        <f aca="false">'Смета Внутр'!H1992</f>
        <v>0</v>
      </c>
      <c r="J1992" s="1109" t="n">
        <f aca="false">'Смета Внутр'!I1992</f>
        <v>0</v>
      </c>
    </row>
    <row r="1993" customFormat="false" ht="15" hidden="true" customHeight="true" outlineLevel="0" collapsed="false">
      <c r="B1993" s="1104" t="str">
        <f aca="false">'Смета Внутр'!B1993</f>
        <v>монтаж горловины</v>
      </c>
      <c r="C1993" s="1104" t="str">
        <f aca="false">'Смета Внутр'!C1993</f>
        <v>м.п.</v>
      </c>
      <c r="D1993" s="1109" t="n">
        <f aca="false">'Смета Внутр'!D1993</f>
        <v>1</v>
      </c>
      <c r="E1993" s="1104" t="n">
        <f aca="false">'Смета Внутр'!E1993</f>
        <v>800</v>
      </c>
      <c r="F1993" s="1104" t="n">
        <f aca="false">'Смета Внутр'!F1993</f>
        <v>0</v>
      </c>
      <c r="G1993" s="1104" t="n">
        <f aca="false">IF(E1993&gt;F1993,E1993,F1993)</f>
        <v>800</v>
      </c>
      <c r="H1993" s="1104" t="n">
        <f aca="false">'Смета Внутр'!G1993</f>
        <v>800</v>
      </c>
      <c r="I1993" s="1104" t="n">
        <f aca="false">'Смета Внутр'!H1993</f>
        <v>0</v>
      </c>
      <c r="J1993" s="1109" t="n">
        <f aca="false">'Смета Внутр'!I1993</f>
        <v>0</v>
      </c>
    </row>
    <row r="1994" customFormat="false" ht="15" hidden="true" customHeight="true" outlineLevel="0" collapsed="false">
      <c r="B1994" s="1104" t="str">
        <f aca="false">'Смета Внутр'!B1994</f>
        <v>м/ж ут-ной канал</v>
      </c>
      <c r="C1994" s="1104" t="str">
        <f aca="false">'Смета Внутр'!C1994</f>
        <v>шт</v>
      </c>
      <c r="D1994" s="1109" t="n">
        <f aca="false">'Смета Внутр'!D1994</f>
        <v>10</v>
      </c>
      <c r="E1994" s="1104" t="n">
        <f aca="false">'Смета Внутр'!E1994</f>
        <v>500</v>
      </c>
      <c r="F1994" s="1104" t="n">
        <f aca="false">'Смета Внутр'!F1994</f>
        <v>0</v>
      </c>
      <c r="G1994" s="1104" t="n">
        <f aca="false">IF(E1994&gt;F1994,E1994,F1994)</f>
        <v>500</v>
      </c>
      <c r="H1994" s="1104" t="n">
        <f aca="false">'Смета Внутр'!G1994</f>
        <v>5000</v>
      </c>
      <c r="I1994" s="1104" t="n">
        <f aca="false">'Смета Внутр'!H1994</f>
        <v>0</v>
      </c>
      <c r="J1994" s="1109" t="n">
        <f aca="false">'Смета Внутр'!I1994</f>
        <v>0</v>
      </c>
    </row>
    <row r="1995" customFormat="false" ht="15" hidden="true" customHeight="true" outlineLevel="0" collapsed="false">
      <c r="B1995" s="1104" t="str">
        <f aca="false">'Смета Внутр'!B1995</f>
        <v>бетонирование</v>
      </c>
      <c r="C1995" s="1104" t="str">
        <f aca="false">'Смета Внутр'!C1995</f>
        <v>шт</v>
      </c>
      <c r="D1995" s="1109" t="n">
        <f aca="false">'Смета Внутр'!D1995</f>
        <v>1</v>
      </c>
      <c r="E1995" s="1104" t="n">
        <f aca="false">'Смета Внутр'!E1995</f>
        <v>2500</v>
      </c>
      <c r="F1995" s="1104" t="n">
        <f aca="false">'Смета Внутр'!F1995</f>
        <v>0</v>
      </c>
      <c r="G1995" s="1104" t="n">
        <f aca="false">IF(E1995&gt;F1995,E1995,F1995)</f>
        <v>2500</v>
      </c>
      <c r="H1995" s="1104" t="n">
        <f aca="false">'Смета Внутр'!G1995</f>
        <v>2500</v>
      </c>
      <c r="I1995" s="1104" t="n">
        <f aca="false">'Смета Внутр'!H1995</f>
        <v>0</v>
      </c>
      <c r="J1995" s="1109" t="n">
        <f aca="false">'Смета Внутр'!I1995</f>
        <v>0</v>
      </c>
    </row>
    <row r="1996" customFormat="false" ht="15" hidden="true" customHeight="true" outlineLevel="0" collapsed="false">
      <c r="B1996" s="1108" t="str">
        <f aca="false">'Смета Внутр'!B1996</f>
        <v>Итого работы</v>
      </c>
      <c r="C1996" s="1108"/>
      <c r="D1996" s="1108"/>
      <c r="E1996" s="1108"/>
      <c r="F1996" s="1108"/>
      <c r="G1996" s="1108"/>
      <c r="H1996" s="1104" t="n">
        <f aca="false">'Смета Внутр'!G1996</f>
        <v>0</v>
      </c>
      <c r="I1996" s="1104" t="n">
        <f aca="false">'Смета Внутр'!H1996</f>
        <v>0</v>
      </c>
      <c r="J1996" s="1109" t="n">
        <f aca="false">'Смета Внутр'!I1996</f>
        <v>0</v>
      </c>
    </row>
    <row r="1997" customFormat="false" ht="15" hidden="true" customHeight="true" outlineLevel="0" collapsed="false">
      <c r="B1997" s="1111" t="str">
        <f aca="false">'Смета Внутр'!B1997</f>
        <v>Котельная</v>
      </c>
      <c r="C1997" s="1111"/>
      <c r="D1997" s="1111"/>
      <c r="H1997" s="118" t="n">
        <f aca="false">'Смета Внутр'!G1997</f>
        <v>0</v>
      </c>
      <c r="I1997" s="118" t="n">
        <f aca="false">'Смета Внутр'!H1997</f>
        <v>0</v>
      </c>
      <c r="J1997" s="1102" t="n">
        <f aca="false">'Смета Внутр'!I1997</f>
        <v>0</v>
      </c>
    </row>
    <row r="1998" customFormat="false" ht="15" hidden="true" customHeight="true" outlineLevel="0" collapsed="false">
      <c r="B1998" s="118" t="str">
        <f aca="false">'Смета Внутр'!B1998</f>
        <v>Материалы</v>
      </c>
      <c r="H1998" s="118" t="n">
        <f aca="false">'Смета Внутр'!G1998</f>
        <v>0</v>
      </c>
      <c r="I1998" s="118" t="n">
        <f aca="false">'Смета Внутр'!H1998</f>
        <v>0</v>
      </c>
      <c r="J1998" s="1102" t="n">
        <f aca="false">'Смета Внутр'!I1998</f>
        <v>0</v>
      </c>
    </row>
    <row r="1999" customFormat="false" ht="15" hidden="true" customHeight="true" outlineLevel="0" collapsed="false">
      <c r="B1999" s="1104" t="str">
        <f aca="false">'Смета Внутр'!B1999</f>
        <v>котел</v>
      </c>
      <c r="C1999" s="1104" t="str">
        <f aca="false">'Смета Внутр'!C1999</f>
        <v>шт</v>
      </c>
      <c r="D1999" s="1109" t="n">
        <f aca="false">'Смета Внутр'!D1999</f>
        <v>1</v>
      </c>
      <c r="E1999" s="1104" t="n">
        <f aca="false">'Смета Внутр'!E1999</f>
        <v>30000</v>
      </c>
      <c r="F1999" s="1104" t="n">
        <f aca="false">'Смета Внутр'!F1999</f>
        <v>0</v>
      </c>
      <c r="G1999" s="1104" t="n">
        <f aca="false">IF(E1999&gt;F1999,E1999,F1999)</f>
        <v>30000</v>
      </c>
      <c r="H1999" s="1104" t="n">
        <f aca="false">'Смета Внутр'!G1999</f>
        <v>30000</v>
      </c>
      <c r="I1999" s="1104" t="n">
        <f aca="false">'Смета Внутр'!H1999</f>
        <v>0</v>
      </c>
      <c r="J1999" s="1109" t="n">
        <f aca="false">'Смета Внутр'!I1999</f>
        <v>0</v>
      </c>
    </row>
    <row r="2000" customFormat="false" ht="15" hidden="true" customHeight="true" outlineLevel="0" collapsed="false">
      <c r="B2000" s="1104" t="str">
        <f aca="false">'Смета Внутр'!B2000</f>
        <v>бойлер</v>
      </c>
      <c r="C2000" s="1104" t="str">
        <f aca="false">'Смета Внутр'!C2000</f>
        <v>шт</v>
      </c>
      <c r="D2000" s="1109" t="n">
        <f aca="false">'Смета Внутр'!D2000</f>
        <v>1</v>
      </c>
      <c r="E2000" s="1104" t="n">
        <f aca="false">'Смета Внутр'!E2000</f>
        <v>10000</v>
      </c>
      <c r="F2000" s="1104" t="n">
        <f aca="false">'Смета Внутр'!F2000</f>
        <v>0</v>
      </c>
      <c r="G2000" s="1104" t="n">
        <f aca="false">IF(E2000&gt;F2000,E2000,F2000)</f>
        <v>10000</v>
      </c>
      <c r="H2000" s="1104" t="n">
        <f aca="false">'Смета Внутр'!G2000</f>
        <v>10000</v>
      </c>
      <c r="I2000" s="1104" t="n">
        <f aca="false">'Смета Внутр'!H2000</f>
        <v>0</v>
      </c>
      <c r="J2000" s="1109" t="n">
        <f aca="false">'Смета Внутр'!I2000</f>
        <v>0</v>
      </c>
    </row>
    <row r="2001" customFormat="false" ht="15" hidden="true" customHeight="true" outlineLevel="0" collapsed="false">
      <c r="B2001" s="1104" t="str">
        <f aca="false">'Смета Внутр'!B2001</f>
        <v>гребенка</v>
      </c>
      <c r="C2001" s="1104" t="str">
        <f aca="false">'Смета Внутр'!C2001</f>
        <v>шт</v>
      </c>
      <c r="D2001" s="1109" t="n">
        <f aca="false">'Смета Внутр'!D2001</f>
        <v>1</v>
      </c>
      <c r="E2001" s="1104" t="n">
        <f aca="false">'Смета Внутр'!E2001</f>
        <v>5000</v>
      </c>
      <c r="F2001" s="1104" t="n">
        <f aca="false">'Смета Внутр'!F2001</f>
        <v>0</v>
      </c>
      <c r="G2001" s="1104" t="n">
        <f aca="false">IF(E2001&gt;F2001,E2001,F2001)</f>
        <v>5000</v>
      </c>
      <c r="H2001" s="1104" t="n">
        <f aca="false">'Смета Внутр'!G2001</f>
        <v>5000</v>
      </c>
      <c r="I2001" s="1104" t="n">
        <f aca="false">'Смета Внутр'!H2001</f>
        <v>0</v>
      </c>
      <c r="J2001" s="1109" t="n">
        <f aca="false">'Смета Внутр'!I2001</f>
        <v>0</v>
      </c>
    </row>
    <row r="2002" customFormat="false" ht="15" hidden="true" customHeight="true" outlineLevel="0" collapsed="false">
      <c r="B2002" s="1104" t="str">
        <f aca="false">'Смета Внутр'!B2002</f>
        <v>насос на отопление</v>
      </c>
      <c r="C2002" s="1104" t="str">
        <f aca="false">'Смета Внутр'!C2002</f>
        <v>шт</v>
      </c>
      <c r="D2002" s="1109" t="n">
        <f aca="false">'Смета Внутр'!D2002</f>
        <v>1</v>
      </c>
      <c r="E2002" s="1104" t="n">
        <f aca="false">'Смета Внутр'!E2002</f>
        <v>3500</v>
      </c>
      <c r="F2002" s="1104" t="n">
        <f aca="false">'Смета Внутр'!F2002</f>
        <v>0</v>
      </c>
      <c r="G2002" s="1104" t="n">
        <f aca="false">IF(E2002&gt;F2002,E2002,F2002)</f>
        <v>3500</v>
      </c>
      <c r="H2002" s="1104" t="n">
        <f aca="false">'Смета Внутр'!G2002</f>
        <v>3500</v>
      </c>
      <c r="I2002" s="1104" t="n">
        <f aca="false">'Смета Внутр'!H2002</f>
        <v>0</v>
      </c>
      <c r="J2002" s="1109" t="n">
        <f aca="false">'Смета Внутр'!I2002</f>
        <v>0</v>
      </c>
    </row>
    <row r="2003" customFormat="false" ht="15" hidden="true" customHeight="true" outlineLevel="0" collapsed="false">
      <c r="B2003" s="1104" t="str">
        <f aca="false">'Смета Внутр'!B2003</f>
        <v>насос на горячее водоснабжение</v>
      </c>
      <c r="C2003" s="1104" t="str">
        <f aca="false">'Смета Внутр'!C2003</f>
        <v>шт</v>
      </c>
      <c r="D2003" s="1109" t="n">
        <f aca="false">'Смета Внутр'!D2003</f>
        <v>1</v>
      </c>
      <c r="E2003" s="1104" t="n">
        <f aca="false">'Смета Внутр'!E2003</f>
        <v>2500</v>
      </c>
      <c r="F2003" s="1104" t="n">
        <f aca="false">'Смета Внутр'!F2003</f>
        <v>0</v>
      </c>
      <c r="G2003" s="1104" t="n">
        <f aca="false">IF(E2003&gt;F2003,E2003,F2003)</f>
        <v>2500</v>
      </c>
      <c r="H2003" s="1104" t="n">
        <f aca="false">'Смета Внутр'!G2003</f>
        <v>2500</v>
      </c>
      <c r="I2003" s="1104" t="n">
        <f aca="false">'Смета Внутр'!H2003</f>
        <v>0</v>
      </c>
      <c r="J2003" s="1109" t="n">
        <f aca="false">'Смета Внутр'!I2003</f>
        <v>0</v>
      </c>
    </row>
    <row r="2004" customFormat="false" ht="15" hidden="true" customHeight="true" outlineLevel="0" collapsed="false">
      <c r="B2004" s="1104" t="str">
        <f aca="false">'Смета Внутр'!B2004</f>
        <v>датчик давления</v>
      </c>
      <c r="C2004" s="1104" t="str">
        <f aca="false">'Смета Внутр'!C2004</f>
        <v>шт</v>
      </c>
      <c r="D2004" s="1109" t="n">
        <f aca="false">'Смета Внутр'!D2004</f>
        <v>2</v>
      </c>
      <c r="E2004" s="1104" t="n">
        <f aca="false">'Смета Внутр'!E2004</f>
        <v>700</v>
      </c>
      <c r="F2004" s="1104" t="n">
        <f aca="false">'Смета Внутр'!F2004</f>
        <v>0</v>
      </c>
      <c r="G2004" s="1104" t="n">
        <f aca="false">IF(E2004&gt;F2004,E2004,F2004)</f>
        <v>700</v>
      </c>
      <c r="H2004" s="1104" t="n">
        <f aca="false">'Смета Внутр'!G2004</f>
        <v>1400</v>
      </c>
      <c r="I2004" s="1104" t="n">
        <f aca="false">'Смета Внутр'!H2004</f>
        <v>0</v>
      </c>
      <c r="J2004" s="1109" t="n">
        <f aca="false">'Смета Внутр'!I2004</f>
        <v>0</v>
      </c>
    </row>
    <row r="2005" customFormat="false" ht="15" hidden="true" customHeight="true" outlineLevel="0" collapsed="false">
      <c r="B2005" s="1104" t="str">
        <f aca="false">'Смета Внутр'!B2005</f>
        <v>сбросной клапан</v>
      </c>
      <c r="C2005" s="1104" t="str">
        <f aca="false">'Смета Внутр'!C2005</f>
        <v>шт</v>
      </c>
      <c r="D2005" s="1109" t="n">
        <f aca="false">'Смета Внутр'!D2005</f>
        <v>1</v>
      </c>
      <c r="E2005" s="1104" t="n">
        <f aca="false">'Смета Внутр'!E2005</f>
        <v>1500</v>
      </c>
      <c r="F2005" s="1104" t="n">
        <f aca="false">'Смета Внутр'!F2005</f>
        <v>0</v>
      </c>
      <c r="G2005" s="1104" t="n">
        <f aca="false">IF(E2005&gt;F2005,E2005,F2005)</f>
        <v>1500</v>
      </c>
      <c r="H2005" s="1104" t="n">
        <f aca="false">'Смета Внутр'!G2005</f>
        <v>1500</v>
      </c>
      <c r="I2005" s="1104" t="n">
        <f aca="false">'Смета Внутр'!H2005</f>
        <v>0</v>
      </c>
      <c r="J2005" s="1109" t="n">
        <f aca="false">'Смета Внутр'!I2005</f>
        <v>0</v>
      </c>
    </row>
    <row r="2006" customFormat="false" ht="15" hidden="true" customHeight="true" outlineLevel="0" collapsed="false">
      <c r="B2006" s="1104" t="str">
        <f aca="false">'Смета Внутр'!B2006</f>
        <v>труба, черная ду 32</v>
      </c>
      <c r="C2006" s="1104" t="str">
        <f aca="false">'Смета Внутр'!C2006</f>
        <v>м.п.</v>
      </c>
      <c r="D2006" s="1109" t="n">
        <f aca="false">'Смета Внутр'!D2006</f>
        <v>20</v>
      </c>
      <c r="E2006" s="1104" t="n">
        <f aca="false">'Смета Внутр'!E2006</f>
        <v>100</v>
      </c>
      <c r="F2006" s="1104" t="n">
        <f aca="false">'Смета Внутр'!F2006</f>
        <v>0</v>
      </c>
      <c r="G2006" s="1104" t="n">
        <f aca="false">IF(E2006&gt;F2006,E2006,F2006)</f>
        <v>100</v>
      </c>
      <c r="H2006" s="1104" t="n">
        <f aca="false">'Смета Внутр'!G2006</f>
        <v>2000</v>
      </c>
      <c r="I2006" s="1104" t="n">
        <f aca="false">'Смета Внутр'!H2006</f>
        <v>0</v>
      </c>
      <c r="J2006" s="1109" t="n">
        <f aca="false">'Смета Внутр'!I2006</f>
        <v>0</v>
      </c>
    </row>
    <row r="2007" customFormat="false" ht="15" hidden="true" customHeight="true" outlineLevel="0" collapsed="false">
      <c r="B2007" s="1104" t="str">
        <f aca="false">'Смета Внутр'!B2007</f>
        <v>угол ду 32</v>
      </c>
      <c r="C2007" s="1104" t="str">
        <f aca="false">'Смета Внутр'!C2007</f>
        <v>шт</v>
      </c>
      <c r="D2007" s="1109" t="n">
        <f aca="false">'Смета Внутр'!D2007</f>
        <v>10</v>
      </c>
      <c r="E2007" s="1104" t="n">
        <f aca="false">'Смета Внутр'!E2007</f>
        <v>12</v>
      </c>
      <c r="F2007" s="1104" t="n">
        <f aca="false">'Смета Внутр'!F2007</f>
        <v>0</v>
      </c>
      <c r="G2007" s="1104" t="n">
        <f aca="false">IF(E2007&gt;F2007,E2007,F2007)</f>
        <v>12</v>
      </c>
      <c r="H2007" s="1104" t="n">
        <f aca="false">'Смета Внутр'!G2007</f>
        <v>120</v>
      </c>
      <c r="I2007" s="1104" t="n">
        <f aca="false">'Смета Внутр'!H2007</f>
        <v>0</v>
      </c>
      <c r="J2007" s="1109" t="n">
        <f aca="false">'Смета Внутр'!I2007</f>
        <v>0</v>
      </c>
    </row>
    <row r="2008" customFormat="false" ht="15" hidden="true" customHeight="true" outlineLevel="0" collapsed="false">
      <c r="B2008" s="1104" t="str">
        <f aca="false">'Смета Внутр'!B2008</f>
        <v>бочонок ду 32</v>
      </c>
      <c r="C2008" s="1104" t="str">
        <f aca="false">'Смета Внутр'!C2008</f>
        <v>шт</v>
      </c>
      <c r="D2008" s="1109" t="n">
        <f aca="false">'Смета Внутр'!D2008</f>
        <v>10</v>
      </c>
      <c r="E2008" s="1104" t="n">
        <f aca="false">'Смета Внутр'!E2008</f>
        <v>16</v>
      </c>
      <c r="F2008" s="1104" t="n">
        <f aca="false">'Смета Внутр'!F2008</f>
        <v>0</v>
      </c>
      <c r="G2008" s="1104" t="n">
        <f aca="false">IF(E2008&gt;F2008,E2008,F2008)</f>
        <v>16</v>
      </c>
      <c r="H2008" s="1104" t="n">
        <f aca="false">'Смета Внутр'!G2008</f>
        <v>160</v>
      </c>
      <c r="I2008" s="1104" t="n">
        <f aca="false">'Смета Внутр'!H2008</f>
        <v>0</v>
      </c>
      <c r="J2008" s="1109" t="n">
        <f aca="false">'Смета Внутр'!I2008</f>
        <v>0</v>
      </c>
    </row>
    <row r="2009" customFormat="false" ht="15" hidden="true" customHeight="true" outlineLevel="0" collapsed="false">
      <c r="B2009" s="1104" t="str">
        <f aca="false">'Смета Внутр'!B2009</f>
        <v>резьба ду 32</v>
      </c>
      <c r="C2009" s="1104" t="str">
        <f aca="false">'Смета Внутр'!C2009</f>
        <v>шт</v>
      </c>
      <c r="D2009" s="1109" t="n">
        <f aca="false">'Смета Внутр'!D2009</f>
        <v>10</v>
      </c>
      <c r="E2009" s="1104" t="n">
        <f aca="false">'Смета Внутр'!E2009</f>
        <v>12</v>
      </c>
      <c r="F2009" s="1104" t="n">
        <f aca="false">'Смета Внутр'!F2009</f>
        <v>0</v>
      </c>
      <c r="G2009" s="1104" t="n">
        <f aca="false">IF(E2009&gt;F2009,E2009,F2009)</f>
        <v>12</v>
      </c>
      <c r="H2009" s="1104" t="n">
        <f aca="false">'Смета Внутр'!G2009</f>
        <v>120</v>
      </c>
      <c r="I2009" s="1104" t="n">
        <f aca="false">'Смета Внутр'!H2009</f>
        <v>0</v>
      </c>
      <c r="J2009" s="1109" t="n">
        <f aca="false">'Смета Внутр'!I2009</f>
        <v>0</v>
      </c>
    </row>
    <row r="2010" customFormat="false" ht="15" hidden="true" customHeight="true" outlineLevel="0" collapsed="false">
      <c r="B2010" s="1104" t="str">
        <f aca="false">'Смета Внутр'!B2010</f>
        <v>переод с ду 32на 20</v>
      </c>
      <c r="C2010" s="1104" t="str">
        <f aca="false">'Смета Внутр'!C2010</f>
        <v>шт</v>
      </c>
      <c r="D2010" s="1109" t="n">
        <f aca="false">'Смета Внутр'!D2010</f>
        <v>5</v>
      </c>
      <c r="E2010" s="1104" t="n">
        <f aca="false">'Смета Внутр'!E2010</f>
        <v>16</v>
      </c>
      <c r="F2010" s="1104" t="n">
        <f aca="false">'Смета Внутр'!F2010</f>
        <v>0</v>
      </c>
      <c r="G2010" s="1104" t="n">
        <f aca="false">IF(E2010&gt;F2010,E2010,F2010)</f>
        <v>16</v>
      </c>
      <c r="H2010" s="1104" t="n">
        <f aca="false">'Смета Внутр'!G2010</f>
        <v>80</v>
      </c>
      <c r="I2010" s="1104" t="n">
        <f aca="false">'Смета Внутр'!H2010</f>
        <v>0</v>
      </c>
      <c r="J2010" s="1109" t="n">
        <f aca="false">'Смета Внутр'!I2010</f>
        <v>0</v>
      </c>
    </row>
    <row r="2011" customFormat="false" ht="15" hidden="true" customHeight="true" outlineLevel="0" collapsed="false">
      <c r="B2011" s="1104" t="str">
        <f aca="false">'Смета Внутр'!B2011</f>
        <v>электроды, пачка</v>
      </c>
      <c r="C2011" s="1104" t="str">
        <f aca="false">'Смета Внутр'!C2011</f>
        <v>шт</v>
      </c>
      <c r="D2011" s="1109" t="n">
        <f aca="false">'Смета Внутр'!D2011</f>
        <v>1</v>
      </c>
      <c r="E2011" s="1104" t="n">
        <f aca="false">'Смета Внутр'!E2011</f>
        <v>800</v>
      </c>
      <c r="F2011" s="1104" t="n">
        <f aca="false">'Смета Внутр'!F2011</f>
        <v>0</v>
      </c>
      <c r="G2011" s="1104" t="n">
        <f aca="false">IF(E2011&gt;F2011,E2011,F2011)</f>
        <v>800</v>
      </c>
      <c r="H2011" s="1104" t="n">
        <f aca="false">'Смета Внутр'!G2011</f>
        <v>800</v>
      </c>
      <c r="I2011" s="1104" t="n">
        <f aca="false">'Смета Внутр'!H2011</f>
        <v>0</v>
      </c>
      <c r="J2011" s="1109" t="n">
        <f aca="false">'Смета Внутр'!I2011</f>
        <v>0</v>
      </c>
    </row>
    <row r="2012" customFormat="false" ht="15" hidden="true" customHeight="true" outlineLevel="0" collapsed="false">
      <c r="B2012" s="1104" t="str">
        <f aca="false">'Смета Внутр'!B2012</f>
        <v>лен</v>
      </c>
      <c r="C2012" s="1104" t="str">
        <f aca="false">'Смета Внутр'!C2012</f>
        <v>рулон</v>
      </c>
      <c r="D2012" s="1109" t="n">
        <f aca="false">'Смета Внутр'!D2012</f>
        <v>1</v>
      </c>
      <c r="E2012" s="1104" t="n">
        <f aca="false">'Смета Внутр'!E2012</f>
        <v>200</v>
      </c>
      <c r="F2012" s="1104" t="n">
        <f aca="false">'Смета Внутр'!F2012</f>
        <v>0</v>
      </c>
      <c r="G2012" s="1104" t="n">
        <f aca="false">IF(E2012&gt;F2012,E2012,F2012)</f>
        <v>200</v>
      </c>
      <c r="H2012" s="1104" t="n">
        <f aca="false">'Смета Внутр'!G2012</f>
        <v>200</v>
      </c>
      <c r="I2012" s="1104" t="n">
        <f aca="false">'Смета Внутр'!H2012</f>
        <v>0</v>
      </c>
      <c r="J2012" s="1109" t="n">
        <f aca="false">'Смета Внутр'!I2012</f>
        <v>0</v>
      </c>
    </row>
    <row r="2013" customFormat="false" ht="15" hidden="true" customHeight="false" outlineLevel="0" collapsed="false">
      <c r="B2013" s="1108" t="str">
        <f aca="false">'Смета Внутр'!B2013</f>
        <v>Итого материалы</v>
      </c>
      <c r="C2013" s="1108"/>
      <c r="D2013" s="1108"/>
      <c r="E2013" s="1108"/>
      <c r="F2013" s="1108"/>
      <c r="G2013" s="1108"/>
      <c r="H2013" s="1104" t="n">
        <f aca="false">'Смета Внутр'!G2013</f>
        <v>0</v>
      </c>
      <c r="I2013" s="1104" t="n">
        <f aca="false">'Смета Внутр'!H2013</f>
        <v>0</v>
      </c>
      <c r="J2013" s="1109" t="n">
        <f aca="false">'Смета Внутр'!I2013</f>
        <v>0</v>
      </c>
    </row>
    <row r="2014" customFormat="false" ht="15" hidden="true" customHeight="false" outlineLevel="0" collapsed="false">
      <c r="B2014" s="118" t="str">
        <f aca="false">'Смета Внутр'!B2014</f>
        <v>Работы</v>
      </c>
      <c r="H2014" s="118" t="n">
        <f aca="false">'Смета Внутр'!G2014</f>
        <v>0</v>
      </c>
      <c r="I2014" s="118" t="n">
        <f aca="false">'Смета Внутр'!H2014</f>
        <v>0</v>
      </c>
      <c r="J2014" s="1102" t="n">
        <f aca="false">'Смета Внутр'!I2014</f>
        <v>0</v>
      </c>
    </row>
    <row r="2015" customFormat="false" ht="15" hidden="true" customHeight="false" outlineLevel="0" collapsed="false">
      <c r="B2015" s="1104" t="str">
        <f aca="false">'Смета Внутр'!B2015</f>
        <v>котел установка</v>
      </c>
      <c r="C2015" s="1104" t="str">
        <f aca="false">'Смета Внутр'!C2015</f>
        <v>шт</v>
      </c>
      <c r="D2015" s="1109" t="n">
        <f aca="false">'Смета Внутр'!D2015</f>
        <v>1</v>
      </c>
      <c r="E2015" s="1104" t="n">
        <f aca="false">'Смета Внутр'!E2015</f>
        <v>3500</v>
      </c>
      <c r="F2015" s="1104" t="n">
        <f aca="false">'Смета Внутр'!F2015</f>
        <v>0</v>
      </c>
      <c r="G2015" s="1104" t="n">
        <f aca="false">IF(E2015&gt;F2015,E2015,F2015)</f>
        <v>3500</v>
      </c>
      <c r="H2015" s="1104" t="n">
        <f aca="false">'Смета Внутр'!G2015</f>
        <v>3500</v>
      </c>
      <c r="I2015" s="1104" t="n">
        <f aca="false">'Смета Внутр'!H2015</f>
        <v>0</v>
      </c>
      <c r="J2015" s="1109" t="n">
        <f aca="false">'Смета Внутр'!I2015</f>
        <v>0</v>
      </c>
    </row>
    <row r="2016" customFormat="false" ht="15" hidden="true" customHeight="false" outlineLevel="0" collapsed="false">
      <c r="B2016" s="1104" t="str">
        <f aca="false">'Смета Внутр'!B2016</f>
        <v>бойлер установка</v>
      </c>
      <c r="C2016" s="1104" t="str">
        <f aca="false">'Смета Внутр'!C2016</f>
        <v>шт</v>
      </c>
      <c r="D2016" s="1109" t="n">
        <f aca="false">'Смета Внутр'!D2016</f>
        <v>1</v>
      </c>
      <c r="E2016" s="1104" t="n">
        <f aca="false">'Смета Внутр'!E2016</f>
        <v>2500</v>
      </c>
      <c r="F2016" s="1104" t="n">
        <f aca="false">'Смета Внутр'!F2016</f>
        <v>0</v>
      </c>
      <c r="G2016" s="1104" t="n">
        <f aca="false">IF(E2016&gt;F2016,E2016,F2016)</f>
        <v>2500</v>
      </c>
      <c r="H2016" s="1104" t="n">
        <f aca="false">'Смета Внутр'!G2016</f>
        <v>2500</v>
      </c>
      <c r="I2016" s="1104" t="n">
        <f aca="false">'Смета Внутр'!H2016</f>
        <v>0</v>
      </c>
      <c r="J2016" s="1109" t="n">
        <f aca="false">'Смета Внутр'!I2016</f>
        <v>0</v>
      </c>
    </row>
    <row r="2017" customFormat="false" ht="15" hidden="true" customHeight="false" outlineLevel="0" collapsed="false">
      <c r="B2017" s="1104" t="str">
        <f aca="false">'Смета Внутр'!B2017</f>
        <v>гребенка установка</v>
      </c>
      <c r="C2017" s="1104" t="str">
        <f aca="false">'Смета Внутр'!C2017</f>
        <v>шт</v>
      </c>
      <c r="D2017" s="1109" t="n">
        <f aca="false">'Смета Внутр'!D2017</f>
        <v>1</v>
      </c>
      <c r="E2017" s="1104" t="n">
        <f aca="false">'Смета Внутр'!E2017</f>
        <v>2000</v>
      </c>
      <c r="F2017" s="1104" t="n">
        <f aca="false">'Смета Внутр'!F2017</f>
        <v>0</v>
      </c>
      <c r="G2017" s="1104" t="n">
        <f aca="false">IF(E2017&gt;F2017,E2017,F2017)</f>
        <v>2000</v>
      </c>
      <c r="H2017" s="1104" t="n">
        <f aca="false">'Смета Внутр'!G2017</f>
        <v>2000</v>
      </c>
      <c r="I2017" s="1104" t="n">
        <f aca="false">'Смета Внутр'!H2017</f>
        <v>0</v>
      </c>
      <c r="J2017" s="1109" t="n">
        <f aca="false">'Смета Внутр'!I2017</f>
        <v>0</v>
      </c>
    </row>
    <row r="2018" customFormat="false" ht="15" hidden="true" customHeight="false" outlineLevel="0" collapsed="false">
      <c r="B2018" s="1104" t="str">
        <f aca="false">'Смета Внутр'!B2018</f>
        <v>насос установка на отопл</v>
      </c>
      <c r="C2018" s="1104" t="str">
        <f aca="false">'Смета Внутр'!C2018</f>
        <v>шт</v>
      </c>
      <c r="D2018" s="1109" t="n">
        <f aca="false">'Смета Внутр'!D2018</f>
        <v>1</v>
      </c>
      <c r="E2018" s="1104" t="n">
        <f aca="false">'Смета Внутр'!E2018</f>
        <v>1000</v>
      </c>
      <c r="F2018" s="1104" t="n">
        <f aca="false">'Смета Внутр'!F2018</f>
        <v>0</v>
      </c>
      <c r="G2018" s="1104" t="n">
        <f aca="false">IF(E2018&gt;F2018,E2018,F2018)</f>
        <v>1000</v>
      </c>
      <c r="H2018" s="1104" t="n">
        <f aca="false">'Смета Внутр'!G2018</f>
        <v>1000</v>
      </c>
      <c r="I2018" s="1104" t="n">
        <f aca="false">'Смета Внутр'!H2018</f>
        <v>0</v>
      </c>
      <c r="J2018" s="1109" t="n">
        <f aca="false">'Смета Внутр'!I2018</f>
        <v>0</v>
      </c>
    </row>
    <row r="2019" customFormat="false" ht="15" hidden="true" customHeight="false" outlineLevel="0" collapsed="false">
      <c r="B2019" s="1104" t="str">
        <f aca="false">'Смета Внутр'!B2019</f>
        <v>насос установка на гвс</v>
      </c>
      <c r="C2019" s="1104" t="str">
        <f aca="false">'Смета Внутр'!C2019</f>
        <v>шт</v>
      </c>
      <c r="D2019" s="1109" t="n">
        <f aca="false">'Смета Внутр'!D2019</f>
        <v>1</v>
      </c>
      <c r="E2019" s="1104" t="n">
        <f aca="false">'Смета Внутр'!E2019</f>
        <v>1000</v>
      </c>
      <c r="F2019" s="1104" t="n">
        <f aca="false">'Смета Внутр'!F2019</f>
        <v>0</v>
      </c>
      <c r="G2019" s="1104" t="n">
        <f aca="false">IF(E2019&gt;F2019,E2019,F2019)</f>
        <v>1000</v>
      </c>
      <c r="H2019" s="1104" t="n">
        <f aca="false">'Смета Внутр'!G2019</f>
        <v>1000</v>
      </c>
      <c r="I2019" s="1104" t="n">
        <f aca="false">'Смета Внутр'!H2019</f>
        <v>0</v>
      </c>
      <c r="J2019" s="1109" t="n">
        <f aca="false">'Смета Внутр'!I2019</f>
        <v>0</v>
      </c>
    </row>
    <row r="2020" customFormat="false" ht="15" hidden="true" customHeight="false" outlineLevel="0" collapsed="false">
      <c r="B2020" s="1104" t="str">
        <f aca="false">'Смета Внутр'!B2020</f>
        <v>монтаж сбросного клапана</v>
      </c>
      <c r="C2020" s="1104" t="str">
        <f aca="false">'Смета Внутр'!C2020</f>
        <v>шт</v>
      </c>
      <c r="D2020" s="1109" t="n">
        <f aca="false">'Смета Внутр'!D2020</f>
        <v>1</v>
      </c>
      <c r="E2020" s="1104" t="n">
        <f aca="false">'Смета Внутр'!E2020</f>
        <v>900</v>
      </c>
      <c r="F2020" s="1104" t="n">
        <f aca="false">'Смета Внутр'!F2020</f>
        <v>0</v>
      </c>
      <c r="G2020" s="1104" t="n">
        <f aca="false">IF(E2020&gt;F2020,E2020,F2020)</f>
        <v>900</v>
      </c>
      <c r="H2020" s="1104" t="n">
        <f aca="false">'Смета Внутр'!G2020</f>
        <v>900</v>
      </c>
      <c r="I2020" s="1104" t="n">
        <f aca="false">'Смета Внутр'!H2020</f>
        <v>0</v>
      </c>
      <c r="J2020" s="1109" t="n">
        <f aca="false">'Смета Внутр'!I2020</f>
        <v>0</v>
      </c>
    </row>
    <row r="2021" customFormat="false" ht="15" hidden="true" customHeight="false" outlineLevel="0" collapsed="false">
      <c r="B2021" s="1104" t="str">
        <f aca="false">'Смета Внутр'!B2021</f>
        <v>монтаж датчика</v>
      </c>
      <c r="C2021" s="1104" t="str">
        <f aca="false">'Смета Внутр'!C2021</f>
        <v>шт</v>
      </c>
      <c r="D2021" s="1109" t="n">
        <f aca="false">'Смета Внутр'!D2021</f>
        <v>2</v>
      </c>
      <c r="E2021" s="1104" t="n">
        <f aca="false">'Смета Внутр'!E2021</f>
        <v>700</v>
      </c>
      <c r="F2021" s="1104" t="n">
        <f aca="false">'Смета Внутр'!F2021</f>
        <v>0</v>
      </c>
      <c r="G2021" s="1104" t="n">
        <f aca="false">IF(E2021&gt;F2021,E2021,F2021)</f>
        <v>700</v>
      </c>
      <c r="H2021" s="1104" t="n">
        <f aca="false">'Смета Внутр'!G2021</f>
        <v>1400</v>
      </c>
      <c r="I2021" s="1104" t="n">
        <f aca="false">'Смета Внутр'!H2021</f>
        <v>0</v>
      </c>
      <c r="J2021" s="1109" t="n">
        <f aca="false">'Смета Внутр'!I2021</f>
        <v>0</v>
      </c>
    </row>
    <row r="2022" customFormat="false" ht="15" hidden="true" customHeight="false" outlineLevel="0" collapsed="false">
      <c r="B2022" s="1104" t="str">
        <f aca="false">'Смета Внутр'!B2022</f>
        <v>труба обвязка</v>
      </c>
      <c r="C2022" s="1104" t="str">
        <f aca="false">'Смета Внутр'!C2022</f>
        <v>м.п.</v>
      </c>
      <c r="D2022" s="1109" t="n">
        <f aca="false">'Смета Внутр'!D2022</f>
        <v>20</v>
      </c>
      <c r="E2022" s="1104" t="n">
        <f aca="false">'Смета Внутр'!E2022</f>
        <v>500</v>
      </c>
      <c r="F2022" s="1104" t="n">
        <f aca="false">'Смета Внутр'!F2022</f>
        <v>0</v>
      </c>
      <c r="G2022" s="1104" t="n">
        <f aca="false">IF(E2022&gt;F2022,E2022,F2022)</f>
        <v>500</v>
      </c>
      <c r="H2022" s="1104" t="n">
        <f aca="false">'Смета Внутр'!G2022</f>
        <v>10000</v>
      </c>
      <c r="I2022" s="1104" t="n">
        <f aca="false">'Смета Внутр'!H2022</f>
        <v>0</v>
      </c>
      <c r="J2022" s="1109" t="n">
        <f aca="false">'Смета Внутр'!I2022</f>
        <v>0</v>
      </c>
    </row>
    <row r="2023" customFormat="false" ht="15" hidden="true" customHeight="false" outlineLevel="0" collapsed="false">
      <c r="B2023" s="1108" t="str">
        <f aca="false">'Смета Внутр'!B2023</f>
        <v>Итого работы</v>
      </c>
      <c r="C2023" s="1108"/>
      <c r="D2023" s="1108"/>
      <c r="E2023" s="1108"/>
      <c r="F2023" s="1108"/>
      <c r="G2023" s="1108"/>
      <c r="H2023" s="1104" t="n">
        <f aca="false">'Смета Внутр'!G2023</f>
        <v>0</v>
      </c>
      <c r="I2023" s="1104" t="n">
        <f aca="false">'Смета Внутр'!H2023</f>
        <v>0</v>
      </c>
      <c r="J2023" s="1109" t="n">
        <f aca="false">'Смета Внутр'!I2023</f>
        <v>0</v>
      </c>
    </row>
    <row r="2024" customFormat="false" ht="18.75" hidden="true" customHeight="false" outlineLevel="0" collapsed="false">
      <c r="B2024" s="1111" t="str">
        <f aca="false">'Смета Внутр'!B2024</f>
        <v>Транспорт</v>
      </c>
      <c r="C2024" s="1111"/>
      <c r="D2024" s="1111"/>
      <c r="H2024" s="118" t="n">
        <f aca="false">'Смета Внутр'!G2024</f>
        <v>0</v>
      </c>
      <c r="I2024" s="118" t="n">
        <f aca="false">'Смета Внутр'!H2024</f>
        <v>0</v>
      </c>
      <c r="J2024" s="1102" t="n">
        <f aca="false">'Смета Внутр'!I2024</f>
        <v>0</v>
      </c>
    </row>
    <row r="2025" customFormat="false" ht="15" hidden="true" customHeight="false" outlineLevel="0" collapsed="false">
      <c r="B2025" s="1104" t="str">
        <f aca="false">'Смета Внутр'!B2025</f>
        <v>Нет техники</v>
      </c>
      <c r="C2025" s="1104" t="str">
        <f aca="false">'Смета Внутр'!C2025</f>
        <v>ед.</v>
      </c>
      <c r="D2025" s="1109" t="n">
        <f aca="false">'Смета Внутр'!D2025</f>
        <v>0</v>
      </c>
      <c r="E2025" s="1104" t="n">
        <f aca="false">'Смета Внутр'!E2025</f>
        <v>0</v>
      </c>
      <c r="F2025" s="1104" t="n">
        <f aca="false">'Смета Внутр'!F2025</f>
        <v>0</v>
      </c>
      <c r="G2025" s="1104" t="n">
        <f aca="false">IF(E2025&gt;F2025,E2025,F2025)</f>
        <v>0</v>
      </c>
      <c r="H2025" s="1104" t="n">
        <f aca="false">'Смета Внутр'!G2025</f>
        <v>0</v>
      </c>
      <c r="I2025" s="1104" t="n">
        <f aca="false">'Смета Внутр'!H2025</f>
        <v>0</v>
      </c>
      <c r="J2025" s="1109" t="n">
        <f aca="false">'Смета Внутр'!I2025</f>
        <v>0</v>
      </c>
    </row>
    <row r="2026" customFormat="false" ht="15" hidden="true" customHeight="false" outlineLevel="0" collapsed="false">
      <c r="B2026" s="1104" t="str">
        <f aca="false">'Смета Внутр'!B2026</f>
        <v>Нет техники</v>
      </c>
      <c r="C2026" s="1104" t="str">
        <f aca="false">'Смета Внутр'!C2026</f>
        <v>ед.</v>
      </c>
      <c r="D2026" s="1109" t="n">
        <f aca="false">'Смета Внутр'!D2026</f>
        <v>0</v>
      </c>
      <c r="E2026" s="1104" t="n">
        <f aca="false">'Смета Внутр'!E2026</f>
        <v>0</v>
      </c>
      <c r="F2026" s="1104" t="n">
        <f aca="false">'Смета Внутр'!F2026</f>
        <v>0</v>
      </c>
      <c r="G2026" s="1104" t="n">
        <f aca="false">IF(E2026&gt;F2026,E2026,F2026)</f>
        <v>0</v>
      </c>
      <c r="H2026" s="1104" t="n">
        <f aca="false">'Смета Внутр'!G2026</f>
        <v>0</v>
      </c>
      <c r="I2026" s="1104" t="n">
        <f aca="false">'Смета Внутр'!H2026</f>
        <v>0</v>
      </c>
      <c r="J2026" s="1109" t="n">
        <f aca="false">'Смета Внутр'!I2026</f>
        <v>0</v>
      </c>
    </row>
    <row r="2027" customFormat="false" ht="15" hidden="true" customHeight="false" outlineLevel="0" collapsed="false">
      <c r="B2027" s="1104" t="str">
        <f aca="false">'Смета Внутр'!B2027</f>
        <v>Нет техники</v>
      </c>
      <c r="C2027" s="1104" t="str">
        <f aca="false">'Смета Внутр'!C2027</f>
        <v>ед.</v>
      </c>
      <c r="D2027" s="1109" t="n">
        <f aca="false">'Смета Внутр'!D2027</f>
        <v>0</v>
      </c>
      <c r="E2027" s="1104" t="n">
        <f aca="false">'Смета Внутр'!E2027</f>
        <v>0</v>
      </c>
      <c r="F2027" s="1104" t="n">
        <f aca="false">'Смета Внутр'!F2027</f>
        <v>0</v>
      </c>
      <c r="G2027" s="1104" t="n">
        <f aca="false">IF(E2027&gt;F2027,E2027,F2027)</f>
        <v>0</v>
      </c>
      <c r="H2027" s="1104" t="n">
        <f aca="false">'Смета Внутр'!G2027</f>
        <v>0</v>
      </c>
      <c r="I2027" s="1104" t="n">
        <f aca="false">'Смета Внутр'!H2027</f>
        <v>0</v>
      </c>
      <c r="J2027" s="1109" t="n">
        <f aca="false">'Смета Внутр'!I2027</f>
        <v>0</v>
      </c>
    </row>
    <row r="2028" customFormat="false" ht="15" hidden="true" customHeight="false" outlineLevel="0" collapsed="false">
      <c r="B2028" s="1104" t="str">
        <f aca="false">'Смета Внутр'!B2028</f>
        <v>Нет техники</v>
      </c>
      <c r="C2028" s="1104" t="str">
        <f aca="false">'Смета Внутр'!C2028</f>
        <v>ед.</v>
      </c>
      <c r="D2028" s="1109" t="n">
        <f aca="false">'Смета Внутр'!D2028</f>
        <v>0</v>
      </c>
      <c r="E2028" s="1104" t="n">
        <f aca="false">'Смета Внутр'!E2028</f>
        <v>0</v>
      </c>
      <c r="F2028" s="1104" t="n">
        <f aca="false">'Смета Внутр'!F2028</f>
        <v>0</v>
      </c>
      <c r="G2028" s="1104" t="n">
        <f aca="false">IF(E2028&gt;F2028,E2028,F2028)</f>
        <v>0</v>
      </c>
      <c r="H2028" s="1104" t="n">
        <f aca="false">'Смета Внутр'!G2028</f>
        <v>0</v>
      </c>
      <c r="I2028" s="1104" t="n">
        <f aca="false">'Смета Внутр'!H2028</f>
        <v>0</v>
      </c>
      <c r="J2028" s="1109" t="n">
        <f aca="false">'Смета Внутр'!I2028</f>
        <v>0</v>
      </c>
    </row>
    <row r="2029" customFormat="false" ht="15" hidden="true" customHeight="false" outlineLevel="0" collapsed="false">
      <c r="B2029" s="1104" t="str">
        <f aca="false">'Смета Внутр'!B2029</f>
        <v>Нет техники</v>
      </c>
      <c r="C2029" s="1104" t="str">
        <f aca="false">'Смета Внутр'!C2029</f>
        <v>ед.</v>
      </c>
      <c r="D2029" s="1109" t="n">
        <f aca="false">'Смета Внутр'!D2029</f>
        <v>4</v>
      </c>
      <c r="E2029" s="1104" t="n">
        <f aca="false">'Смета Внутр'!E2029</f>
        <v>0</v>
      </c>
      <c r="F2029" s="1104" t="n">
        <f aca="false">'Смета Внутр'!F2029</f>
        <v>0</v>
      </c>
      <c r="G2029" s="1104" t="n">
        <f aca="false">IF(E2029&gt;F2029,E2029,F2029)</f>
        <v>0</v>
      </c>
      <c r="H2029" s="1104" t="n">
        <f aca="false">'Смета Внутр'!G2029</f>
        <v>0</v>
      </c>
      <c r="I2029" s="1104" t="n">
        <f aca="false">'Смета Внутр'!H2029</f>
        <v>0</v>
      </c>
      <c r="J2029" s="1109" t="n">
        <f aca="false">'Смета Внутр'!I2029</f>
        <v>0</v>
      </c>
    </row>
    <row r="2030" customFormat="false" ht="15" hidden="true" customHeight="false" outlineLevel="0" collapsed="false">
      <c r="B2030" s="1104" t="str">
        <f aca="false">'Смета Внутр'!B2030</f>
        <v>Нет техники</v>
      </c>
      <c r="C2030" s="1104" t="str">
        <f aca="false">'Смета Внутр'!C2030</f>
        <v>ед.</v>
      </c>
      <c r="D2030" s="1109" t="n">
        <f aca="false">'Смета Внутр'!D2030</f>
        <v>4</v>
      </c>
      <c r="E2030" s="1104" t="n">
        <f aca="false">'Смета Внутр'!E2030</f>
        <v>0</v>
      </c>
      <c r="F2030" s="1104" t="n">
        <f aca="false">'Смета Внутр'!F2030</f>
        <v>0</v>
      </c>
      <c r="G2030" s="1104" t="n">
        <f aca="false">IF(E2030&gt;F2030,E2030,F2030)</f>
        <v>0</v>
      </c>
      <c r="H2030" s="1104" t="n">
        <f aca="false">'Смета Внутр'!G2030</f>
        <v>0</v>
      </c>
      <c r="I2030" s="1104" t="n">
        <f aca="false">'Смета Внутр'!H2030</f>
        <v>0</v>
      </c>
      <c r="J2030" s="1109" t="n">
        <f aca="false">'Смета Внутр'!I2030</f>
        <v>0</v>
      </c>
    </row>
    <row r="2031" customFormat="false" ht="15" hidden="true" customHeight="false" outlineLevel="0" collapsed="false">
      <c r="B2031" s="1104" t="str">
        <f aca="false">'Смета Внутр'!B2031</f>
        <v>Нет техники</v>
      </c>
      <c r="C2031" s="1104" t="str">
        <f aca="false">'Смета Внутр'!C2031</f>
        <v>ед.</v>
      </c>
      <c r="D2031" s="1109" t="n">
        <f aca="false">'Смета Внутр'!D2031</f>
        <v>6</v>
      </c>
      <c r="E2031" s="1104" t="n">
        <f aca="false">'Смета Внутр'!E2031</f>
        <v>0</v>
      </c>
      <c r="F2031" s="1104" t="n">
        <f aca="false">'Смета Внутр'!F2031</f>
        <v>0</v>
      </c>
      <c r="G2031" s="1104" t="n">
        <f aca="false">IF(E2031&gt;F2031,E2031,F2031)</f>
        <v>0</v>
      </c>
      <c r="H2031" s="1104" t="n">
        <f aca="false">'Смета Внутр'!G2031</f>
        <v>0</v>
      </c>
      <c r="I2031" s="1104" t="n">
        <f aca="false">'Смета Внутр'!H2031</f>
        <v>0</v>
      </c>
      <c r="J2031" s="1109" t="n">
        <f aca="false">'Смета Внутр'!I2031</f>
        <v>0</v>
      </c>
    </row>
    <row r="2032" customFormat="false" ht="15" hidden="true" customHeight="false" outlineLevel="0" collapsed="false">
      <c r="B2032" s="1104" t="str">
        <f aca="false">'Смета Внутр'!B2032</f>
        <v>Нет техники</v>
      </c>
      <c r="C2032" s="1104" t="str">
        <f aca="false">'Смета Внутр'!C2032</f>
        <v>ед.</v>
      </c>
      <c r="D2032" s="1109" t="n">
        <f aca="false">'Смета Внутр'!D2032</f>
        <v>4</v>
      </c>
      <c r="E2032" s="1104" t="n">
        <f aca="false">'Смета Внутр'!E2032</f>
        <v>0</v>
      </c>
      <c r="F2032" s="1104" t="n">
        <f aca="false">'Смета Внутр'!F2032</f>
        <v>0</v>
      </c>
      <c r="G2032" s="1104" t="n">
        <f aca="false">IF(E2032&gt;F2032,E2032,F2032)</f>
        <v>0</v>
      </c>
      <c r="H2032" s="1104" t="n">
        <f aca="false">'Смета Внутр'!G2032</f>
        <v>0</v>
      </c>
      <c r="I2032" s="1104" t="n">
        <f aca="false">'Смета Внутр'!H2032</f>
        <v>0</v>
      </c>
      <c r="J2032" s="1109" t="n">
        <f aca="false">'Смета Внутр'!I2032</f>
        <v>0</v>
      </c>
    </row>
    <row r="2033" customFormat="false" ht="15" hidden="true" customHeight="false" outlineLevel="0" collapsed="false">
      <c r="B2033" s="1104" t="str">
        <f aca="false">'Смета Внутр'!B2033</f>
        <v>Нет техники</v>
      </c>
      <c r="C2033" s="1104" t="str">
        <f aca="false">'Смета Внутр'!C2033</f>
        <v>ед.</v>
      </c>
      <c r="D2033" s="1109" t="n">
        <f aca="false">'Смета Внутр'!D2033</f>
        <v>0</v>
      </c>
      <c r="E2033" s="1104" t="n">
        <f aca="false">'Смета Внутр'!E2033</f>
        <v>0</v>
      </c>
      <c r="F2033" s="1104" t="n">
        <f aca="false">'Смета Внутр'!F2033</f>
        <v>0</v>
      </c>
      <c r="G2033" s="1104" t="n">
        <f aca="false">IF(E2033&gt;F2033,E2033,F2033)</f>
        <v>0</v>
      </c>
      <c r="H2033" s="1104" t="n">
        <f aca="false">'Смета Внутр'!G2033</f>
        <v>0</v>
      </c>
      <c r="I2033" s="1104" t="n">
        <f aca="false">'Смета Внутр'!H2033</f>
        <v>0</v>
      </c>
      <c r="J2033" s="1109" t="n">
        <f aca="false">'Смета Внутр'!I2033</f>
        <v>0</v>
      </c>
    </row>
    <row r="2034" customFormat="false" ht="15" hidden="true" customHeight="false" outlineLevel="0" collapsed="false">
      <c r="B2034" s="1104" t="str">
        <f aca="false">'Смета Внутр'!B2034</f>
        <v>Нет техники</v>
      </c>
      <c r="C2034" s="1104" t="str">
        <f aca="false">'Смета Внутр'!C2034</f>
        <v>ед.</v>
      </c>
      <c r="D2034" s="1109" t="n">
        <f aca="false">'Смета Внутр'!D2034</f>
        <v>4</v>
      </c>
      <c r="E2034" s="1104" t="n">
        <f aca="false">'Смета Внутр'!E2034</f>
        <v>0</v>
      </c>
      <c r="F2034" s="1104" t="n">
        <f aca="false">'Смета Внутр'!F2034</f>
        <v>0</v>
      </c>
      <c r="G2034" s="1104" t="n">
        <f aca="false">IF(E2034&gt;F2034,E2034,F2034)</f>
        <v>0</v>
      </c>
      <c r="H2034" s="1104" t="n">
        <f aca="false">'Смета Внутр'!G2034</f>
        <v>0</v>
      </c>
      <c r="I2034" s="1104" t="n">
        <f aca="false">'Смета Внутр'!H2034</f>
        <v>0</v>
      </c>
      <c r="J2034" s="1109" t="n">
        <f aca="false">'Смета Внутр'!I2034</f>
        <v>0</v>
      </c>
    </row>
    <row r="2035" customFormat="false" ht="15" hidden="true" customHeight="false" outlineLevel="0" collapsed="false">
      <c r="B2035" s="1104" t="str">
        <f aca="false">'Смета Внутр'!B2035</f>
        <v>Нет техники</v>
      </c>
      <c r="C2035" s="1104" t="str">
        <f aca="false">'Смета Внутр'!C2035</f>
        <v>ед.</v>
      </c>
      <c r="D2035" s="1109" t="n">
        <f aca="false">'Смета Внутр'!D2035</f>
        <v>4</v>
      </c>
      <c r="E2035" s="1104" t="n">
        <f aca="false">'Смета Внутр'!E2035</f>
        <v>0</v>
      </c>
      <c r="F2035" s="1104" t="n">
        <f aca="false">'Смета Внутр'!F2035</f>
        <v>0</v>
      </c>
      <c r="G2035" s="1104" t="n">
        <f aca="false">IF(E2035&gt;F2035,E2035,F2035)</f>
        <v>0</v>
      </c>
      <c r="H2035" s="1104" t="n">
        <f aca="false">'Смета Внутр'!G2035</f>
        <v>0</v>
      </c>
      <c r="I2035" s="1104" t="n">
        <f aca="false">'Смета Внутр'!H2035</f>
        <v>0</v>
      </c>
      <c r="J2035" s="1109" t="n">
        <f aca="false">'Смета Внутр'!I2035</f>
        <v>0</v>
      </c>
    </row>
    <row r="2036" customFormat="false" ht="15" hidden="true" customHeight="false" outlineLevel="0" collapsed="false">
      <c r="B2036" s="1104" t="str">
        <f aca="false">'Смета Внутр'!B2036</f>
        <v>Нет техники</v>
      </c>
      <c r="C2036" s="1104" t="str">
        <f aca="false">'Смета Внутр'!C2036</f>
        <v>ед.</v>
      </c>
      <c r="D2036" s="1109" t="n">
        <f aca="false">'Смета Внутр'!D2036</f>
        <v>6</v>
      </c>
      <c r="E2036" s="1104" t="n">
        <f aca="false">'Смета Внутр'!E2036</f>
        <v>0</v>
      </c>
      <c r="F2036" s="1104" t="n">
        <f aca="false">'Смета Внутр'!F2036</f>
        <v>0</v>
      </c>
      <c r="G2036" s="1104" t="n">
        <f aca="false">IF(E2036&gt;F2036,E2036,F2036)</f>
        <v>0</v>
      </c>
      <c r="H2036" s="1104" t="n">
        <f aca="false">'Смета Внутр'!G2036</f>
        <v>0</v>
      </c>
      <c r="I2036" s="1104" t="n">
        <f aca="false">'Смета Внутр'!H2036</f>
        <v>0</v>
      </c>
      <c r="J2036" s="1109" t="n">
        <f aca="false">'Смета Внутр'!I2036</f>
        <v>0</v>
      </c>
    </row>
    <row r="2037" customFormat="false" ht="15" hidden="true" customHeight="false" outlineLevel="0" collapsed="false">
      <c r="B2037" s="1104" t="str">
        <f aca="false">'Смета Внутр'!B2037</f>
        <v>Нет техники</v>
      </c>
      <c r="C2037" s="1104" t="str">
        <f aca="false">'Смета Внутр'!C2037</f>
        <v>ед.</v>
      </c>
      <c r="D2037" s="1109" t="n">
        <f aca="false">'Смета Внутр'!D2037</f>
        <v>4</v>
      </c>
      <c r="E2037" s="1104" t="n">
        <f aca="false">'Смета Внутр'!E2037</f>
        <v>0</v>
      </c>
      <c r="F2037" s="1104" t="n">
        <f aca="false">'Смета Внутр'!F2037</f>
        <v>0</v>
      </c>
      <c r="G2037" s="1104" t="n">
        <f aca="false">IF(E2037&gt;F2037,E2037,F2037)</f>
        <v>0</v>
      </c>
      <c r="H2037" s="1104" t="n">
        <f aca="false">'Смета Внутр'!G2037</f>
        <v>0</v>
      </c>
      <c r="I2037" s="1104" t="n">
        <f aca="false">'Смета Внутр'!H2037</f>
        <v>0</v>
      </c>
      <c r="J2037" s="1109" t="n">
        <f aca="false">'Смета Внутр'!I2037</f>
        <v>0</v>
      </c>
    </row>
    <row r="2038" customFormat="false" ht="15" hidden="true" customHeight="false" outlineLevel="0" collapsed="false">
      <c r="B2038" s="1104" t="str">
        <f aca="false">'Смета Внутр'!B2038</f>
        <v>Нет техники</v>
      </c>
      <c r="C2038" s="1104" t="str">
        <f aca="false">'Смета Внутр'!C2038</f>
        <v>ед.</v>
      </c>
      <c r="D2038" s="1109" t="n">
        <f aca="false">'Смета Внутр'!D2038</f>
        <v>0</v>
      </c>
      <c r="E2038" s="1104" t="n">
        <f aca="false">'Смета Внутр'!E2038</f>
        <v>0</v>
      </c>
      <c r="F2038" s="1104" t="n">
        <f aca="false">'Смета Внутр'!F2038</f>
        <v>0</v>
      </c>
      <c r="G2038" s="1104" t="n">
        <f aca="false">IF(E2038&gt;F2038,E2038,F2038)</f>
        <v>0</v>
      </c>
      <c r="H2038" s="1104" t="n">
        <f aca="false">'Смета Внутр'!G2038</f>
        <v>0</v>
      </c>
      <c r="I2038" s="1104" t="n">
        <f aca="false">'Смета Внутр'!H2038</f>
        <v>0</v>
      </c>
      <c r="J2038" s="1109" t="n">
        <f aca="false">'Смета Внутр'!I2038</f>
        <v>0</v>
      </c>
    </row>
    <row r="2039" customFormat="false" ht="15" hidden="true" customHeight="false" outlineLevel="0" collapsed="false">
      <c r="B2039" s="1104" t="str">
        <f aca="false">'Смета Внутр'!B2039</f>
        <v>Нет техники</v>
      </c>
      <c r="C2039" s="1104" t="str">
        <f aca="false">'Смета Внутр'!C2039</f>
        <v>ед.</v>
      </c>
      <c r="D2039" s="1109" t="n">
        <f aca="false">'Смета Внутр'!D2039</f>
        <v>3</v>
      </c>
      <c r="E2039" s="1104" t="n">
        <f aca="false">'Смета Внутр'!E2039</f>
        <v>0</v>
      </c>
      <c r="F2039" s="1104" t="n">
        <f aca="false">'Смета Внутр'!F2039</f>
        <v>0</v>
      </c>
      <c r="G2039" s="1104" t="n">
        <f aca="false">IF(E2039&gt;F2039,E2039,F2039)</f>
        <v>0</v>
      </c>
      <c r="H2039" s="1104" t="n">
        <f aca="false">'Смета Внутр'!G2039</f>
        <v>0</v>
      </c>
      <c r="I2039" s="1104" t="n">
        <f aca="false">'Смета Внутр'!H2039</f>
        <v>0</v>
      </c>
      <c r="J2039" s="1109" t="n">
        <f aca="false">'Смета Внутр'!I2039</f>
        <v>0</v>
      </c>
    </row>
    <row r="2040" customFormat="false" ht="15" hidden="true" customHeight="false" outlineLevel="0" collapsed="false">
      <c r="B2040" s="1104" t="str">
        <f aca="false">'Смета Внутр'!B2040</f>
        <v>Нет техники</v>
      </c>
      <c r="C2040" s="1104" t="str">
        <f aca="false">'Смета Внутр'!C2040</f>
        <v>ед.</v>
      </c>
      <c r="D2040" s="1109" t="n">
        <f aca="false">'Смета Внутр'!D2040</f>
        <v>0</v>
      </c>
      <c r="E2040" s="1104" t="n">
        <f aca="false">'Смета Внутр'!E2040</f>
        <v>0</v>
      </c>
      <c r="F2040" s="1104" t="n">
        <f aca="false">'Смета Внутр'!F2040</f>
        <v>0</v>
      </c>
      <c r="G2040" s="1104" t="n">
        <f aca="false">IF(E2040&gt;F2040,E2040,F2040)</f>
        <v>0</v>
      </c>
      <c r="H2040" s="1104" t="n">
        <f aca="false">'Смета Внутр'!G2040</f>
        <v>0</v>
      </c>
      <c r="I2040" s="1104" t="n">
        <f aca="false">'Смета Внутр'!H2040</f>
        <v>0</v>
      </c>
      <c r="J2040" s="1109" t="n">
        <f aca="false">'Смета Внутр'!I2040</f>
        <v>0</v>
      </c>
    </row>
    <row r="2041" customFormat="false" ht="15" hidden="true" customHeight="false" outlineLevel="0" collapsed="false">
      <c r="B2041" s="1104" t="str">
        <f aca="false">'Смета Внутр'!B2041</f>
        <v>Нет техники</v>
      </c>
      <c r="C2041" s="1104" t="str">
        <f aca="false">'Смета Внутр'!C2041</f>
        <v>ед.</v>
      </c>
      <c r="D2041" s="1109" t="n">
        <f aca="false">'Смета Внутр'!D2041</f>
        <v>0</v>
      </c>
      <c r="E2041" s="1104" t="n">
        <f aca="false">'Смета Внутр'!E2041</f>
        <v>0</v>
      </c>
      <c r="F2041" s="1104" t="n">
        <f aca="false">'Смета Внутр'!F2041</f>
        <v>0</v>
      </c>
      <c r="G2041" s="1104" t="n">
        <f aca="false">IF(E2041&gt;F2041,E2041,F2041)</f>
        <v>0</v>
      </c>
      <c r="H2041" s="1104" t="n">
        <f aca="false">'Смета Внутр'!G2041</f>
        <v>0</v>
      </c>
      <c r="I2041" s="1104" t="n">
        <f aca="false">'Смета Внутр'!H2041</f>
        <v>0</v>
      </c>
      <c r="J2041" s="1109" t="n">
        <f aca="false">'Смета Внутр'!I2041</f>
        <v>0</v>
      </c>
    </row>
    <row r="2042" customFormat="false" ht="15" hidden="true" customHeight="false" outlineLevel="0" collapsed="false">
      <c r="B2042" s="1104" t="str">
        <f aca="false">'Смета Внутр'!B2042</f>
        <v>Нет техники</v>
      </c>
      <c r="C2042" s="1104" t="str">
        <f aca="false">'Смета Внутр'!C2042</f>
        <v>ед.</v>
      </c>
      <c r="D2042" s="1109" t="n">
        <f aca="false">'Смета Внутр'!D2042</f>
        <v>0</v>
      </c>
      <c r="E2042" s="1104" t="n">
        <f aca="false">'Смета Внутр'!E2042</f>
        <v>0</v>
      </c>
      <c r="F2042" s="1104" t="n">
        <f aca="false">'Смета Внутр'!F2042</f>
        <v>0</v>
      </c>
      <c r="G2042" s="1104" t="n">
        <f aca="false">IF(E2042&gt;F2042,E2042,F2042)</f>
        <v>0</v>
      </c>
      <c r="H2042" s="1104" t="n">
        <f aca="false">'Смета Внутр'!G2042</f>
        <v>0</v>
      </c>
      <c r="I2042" s="1104" t="n">
        <f aca="false">'Смета Внутр'!H2042</f>
        <v>0</v>
      </c>
      <c r="J2042" s="1109" t="n">
        <f aca="false">'Смета Внутр'!I2042</f>
        <v>0</v>
      </c>
    </row>
    <row r="2043" customFormat="false" ht="15" hidden="true" customHeight="false" outlineLevel="0" collapsed="false">
      <c r="B2043" s="1104" t="str">
        <f aca="false">'Смета Внутр'!B2043</f>
        <v>Нет техники</v>
      </c>
      <c r="C2043" s="1104" t="str">
        <f aca="false">'Смета Внутр'!C2043</f>
        <v>ед.</v>
      </c>
      <c r="D2043" s="1109" t="n">
        <f aca="false">'Смета Внутр'!D2043</f>
        <v>0</v>
      </c>
      <c r="E2043" s="1104" t="n">
        <f aca="false">'Смета Внутр'!E2043</f>
        <v>0</v>
      </c>
      <c r="F2043" s="1104" t="n">
        <f aca="false">'Смета Внутр'!F2043</f>
        <v>0</v>
      </c>
      <c r="G2043" s="1104" t="n">
        <f aca="false">IF(E2043&gt;F2043,E2043,F2043)</f>
        <v>0</v>
      </c>
      <c r="H2043" s="1104" t="n">
        <f aca="false">'Смета Внутр'!G2043</f>
        <v>0</v>
      </c>
      <c r="I2043" s="1104" t="n">
        <f aca="false">'Смета Внутр'!H2043</f>
        <v>0</v>
      </c>
      <c r="J2043" s="1109" t="n">
        <f aca="false">'Смета Внутр'!I2043</f>
        <v>0</v>
      </c>
    </row>
    <row r="2044" customFormat="false" ht="15" hidden="true" customHeight="false" outlineLevel="0" collapsed="false">
      <c r="B2044" s="1104" t="str">
        <f aca="false">'Смета Внутр'!B2044</f>
        <v>Нет техники</v>
      </c>
      <c r="C2044" s="1104" t="str">
        <f aca="false">'Смета Внутр'!C2044</f>
        <v>ед.</v>
      </c>
      <c r="D2044" s="1109" t="n">
        <f aca="false">'Смета Внутр'!D2044</f>
        <v>0</v>
      </c>
      <c r="E2044" s="1104" t="n">
        <f aca="false">'Смета Внутр'!E2044</f>
        <v>0</v>
      </c>
      <c r="F2044" s="1104" t="n">
        <f aca="false">'Смета Внутр'!F2044</f>
        <v>0</v>
      </c>
      <c r="G2044" s="1104" t="n">
        <f aca="false">IF(E2044&gt;F2044,E2044,F2044)</f>
        <v>0</v>
      </c>
      <c r="H2044" s="1104" t="n">
        <f aca="false">'Смета Внутр'!G2044</f>
        <v>0</v>
      </c>
      <c r="I2044" s="1104" t="n">
        <f aca="false">'Смета Внутр'!H2044</f>
        <v>0</v>
      </c>
      <c r="J2044" s="1109" t="n">
        <f aca="false">'Смета Внутр'!I2044</f>
        <v>0</v>
      </c>
    </row>
    <row r="2045" customFormat="false" ht="15" hidden="true" customHeight="false" outlineLevel="0" collapsed="false">
      <c r="B2045" s="1104" t="str">
        <f aca="false">'Смета Внутр'!B2045</f>
        <v>Газель</v>
      </c>
      <c r="C2045" s="1104" t="str">
        <f aca="false">'Смета Внутр'!C2045</f>
        <v>ед.</v>
      </c>
      <c r="D2045" s="1109" t="n">
        <f aca="false">'Смета Внутр'!D2045</f>
        <v>0</v>
      </c>
      <c r="E2045" s="1104" t="n">
        <f aca="false">'Смета Внутр'!E2045</f>
        <v>500</v>
      </c>
      <c r="F2045" s="1104" t="n">
        <f aca="false">'Смета Внутр'!F2045</f>
        <v>0</v>
      </c>
      <c r="G2045" s="1104" t="n">
        <f aca="false">IF(E2045&gt;F2045,E2045,F2045)</f>
        <v>500</v>
      </c>
      <c r="H2045" s="1104" t="n">
        <f aca="false">'Смета Внутр'!G2045</f>
        <v>0</v>
      </c>
      <c r="I2045" s="1104" t="n">
        <f aca="false">'Смета Внутр'!H2045</f>
        <v>0</v>
      </c>
      <c r="J2045" s="1109" t="n">
        <f aca="false">'Смета Внутр'!I2045</f>
        <v>0</v>
      </c>
    </row>
    <row r="2046" customFormat="false" ht="15" hidden="true" customHeight="false" outlineLevel="0" collapsed="false">
      <c r="B2046" s="1104" t="str">
        <f aca="false">'Смета Внутр'!B2046</f>
        <v>Нет техники</v>
      </c>
      <c r="C2046" s="1104" t="str">
        <f aca="false">'Смета Внутр'!C2046</f>
        <v>ед.</v>
      </c>
      <c r="D2046" s="1109" t="n">
        <f aca="false">'Смета Внутр'!D2046</f>
        <v>0</v>
      </c>
      <c r="E2046" s="1104" t="n">
        <f aca="false">'Смета Внутр'!E2046</f>
        <v>0</v>
      </c>
      <c r="F2046" s="1104" t="n">
        <f aca="false">'Смета Внутр'!F2046</f>
        <v>0</v>
      </c>
      <c r="G2046" s="1104" t="n">
        <f aca="false">IF(E2046&gt;F2046,E2046,F2046)</f>
        <v>0</v>
      </c>
      <c r="H2046" s="1104" t="n">
        <f aca="false">'Смета Внутр'!G2046</f>
        <v>0</v>
      </c>
      <c r="I2046" s="1104" t="n">
        <f aca="false">'Смета Внутр'!H2046</f>
        <v>0</v>
      </c>
      <c r="J2046" s="1109" t="n">
        <f aca="false">'Смета Внутр'!I2046</f>
        <v>0</v>
      </c>
    </row>
    <row r="2047" customFormat="false" ht="15" hidden="true" customHeight="false" outlineLevel="0" collapsed="false">
      <c r="B2047" s="1104" t="str">
        <f aca="false">'Смета Внутр'!B2047</f>
        <v>Нет техники</v>
      </c>
      <c r="C2047" s="1104" t="str">
        <f aca="false">'Смета Внутр'!C2047</f>
        <v>ед.</v>
      </c>
      <c r="D2047" s="1109" t="n">
        <f aca="false">'Смета Внутр'!D2047</f>
        <v>0</v>
      </c>
      <c r="E2047" s="1104" t="n">
        <f aca="false">'Смета Внутр'!E2047</f>
        <v>0</v>
      </c>
      <c r="F2047" s="1104" t="n">
        <f aca="false">'Смета Внутр'!F2047</f>
        <v>0</v>
      </c>
      <c r="G2047" s="1104" t="n">
        <f aca="false">IF(E2047&gt;F2047,E2047,F2047)</f>
        <v>0</v>
      </c>
      <c r="H2047" s="1104" t="n">
        <f aca="false">'Смета Внутр'!G2047</f>
        <v>0</v>
      </c>
      <c r="I2047" s="1104" t="n">
        <f aca="false">'Смета Внутр'!H2047</f>
        <v>0</v>
      </c>
      <c r="J2047" s="1109" t="n">
        <f aca="false">'Смета Внутр'!I2047</f>
        <v>0</v>
      </c>
    </row>
    <row r="2048" customFormat="false" ht="15" hidden="true" customHeight="false" outlineLevel="0" collapsed="false">
      <c r="B2048" s="1104" t="str">
        <f aca="false">'Смета Внутр'!B2048</f>
        <v>Нет техники</v>
      </c>
      <c r="C2048" s="1104" t="str">
        <f aca="false">'Смета Внутр'!C2048</f>
        <v>ед.</v>
      </c>
      <c r="D2048" s="1109" t="n">
        <f aca="false">'Смета Внутр'!D2048</f>
        <v>0</v>
      </c>
      <c r="E2048" s="1104" t="n">
        <f aca="false">'Смета Внутр'!E2048</f>
        <v>0</v>
      </c>
      <c r="F2048" s="1104" t="n">
        <f aca="false">'Смета Внутр'!F2048</f>
        <v>0</v>
      </c>
      <c r="G2048" s="1104" t="n">
        <f aca="false">IF(E2048&gt;F2048,E2048,F2048)</f>
        <v>0</v>
      </c>
      <c r="H2048" s="1104" t="n">
        <f aca="false">'Смета Внутр'!G2048</f>
        <v>0</v>
      </c>
      <c r="I2048" s="1104" t="n">
        <f aca="false">'Смета Внутр'!H2048</f>
        <v>0</v>
      </c>
      <c r="J2048" s="1109" t="n">
        <f aca="false">'Смета Внутр'!I2048</f>
        <v>0</v>
      </c>
    </row>
    <row r="2049" customFormat="false" ht="15" hidden="true" customHeight="false" outlineLevel="0" collapsed="false">
      <c r="B2049" s="1104" t="str">
        <f aca="false">'Смета Внутр'!B2049</f>
        <v>Нет техники</v>
      </c>
      <c r="C2049" s="1104" t="str">
        <f aca="false">'Смета Внутр'!C2049</f>
        <v>ед.</v>
      </c>
      <c r="D2049" s="1109" t="n">
        <f aca="false">'Смета Внутр'!D2049</f>
        <v>0</v>
      </c>
      <c r="E2049" s="1104" t="n">
        <f aca="false">'Смета Внутр'!E2049</f>
        <v>3000</v>
      </c>
      <c r="F2049" s="1104" t="n">
        <f aca="false">'Смета Внутр'!F2049</f>
        <v>0</v>
      </c>
      <c r="G2049" s="1104" t="n">
        <f aca="false">IF(E2049&gt;F2049,E2049,F2049)</f>
        <v>3000</v>
      </c>
      <c r="H2049" s="1104" t="n">
        <f aca="false">'Смета Внутр'!G2049</f>
        <v>0</v>
      </c>
      <c r="I2049" s="1104" t="n">
        <f aca="false">'Смета Внутр'!H2049</f>
        <v>0</v>
      </c>
      <c r="J2049" s="1109" t="n">
        <f aca="false">'Смета Внутр'!I2049</f>
        <v>0</v>
      </c>
    </row>
    <row r="2050" customFormat="false" ht="15" hidden="true" customHeight="false" outlineLevel="0" collapsed="false">
      <c r="B2050" s="1104" t="str">
        <f aca="false">'Смета Внутр'!B2050</f>
        <v>Нет техники</v>
      </c>
      <c r="C2050" s="1104" t="str">
        <f aca="false">'Смета Внутр'!C2050</f>
        <v>ед.</v>
      </c>
      <c r="D2050" s="1109" t="n">
        <f aca="false">'Смета Внутр'!D2050</f>
        <v>0</v>
      </c>
      <c r="E2050" s="1104" t="n">
        <f aca="false">'Смета Внутр'!E2050</f>
        <v>3000</v>
      </c>
      <c r="F2050" s="1104" t="n">
        <f aca="false">'Смета Внутр'!F2050</f>
        <v>0</v>
      </c>
      <c r="G2050" s="1104" t="n">
        <f aca="false">IF(E2050&gt;F2050,E2050,F2050)</f>
        <v>3000</v>
      </c>
      <c r="H2050" s="1104" t="n">
        <f aca="false">'Смета Внутр'!G2050</f>
        <v>0</v>
      </c>
      <c r="I2050" s="1104" t="n">
        <f aca="false">'Смета Внутр'!H2050</f>
        <v>0</v>
      </c>
      <c r="J2050" s="1109" t="n">
        <f aca="false">'Смета Внутр'!I2050</f>
        <v>0</v>
      </c>
    </row>
    <row r="2051" customFormat="false" ht="15" hidden="true" customHeight="false" outlineLevel="0" collapsed="false">
      <c r="B2051" s="1104" t="str">
        <f aca="false">'Смета Внутр'!B2051</f>
        <v>Нет техники</v>
      </c>
      <c r="C2051" s="1104" t="str">
        <f aca="false">'Смета Внутр'!C2051</f>
        <v>ед.</v>
      </c>
      <c r="D2051" s="1109" t="n">
        <f aca="false">'Смета Внутр'!D2051</f>
        <v>0</v>
      </c>
      <c r="E2051" s="1104" t="n">
        <f aca="false">'Смета Внутр'!E2051</f>
        <v>0</v>
      </c>
      <c r="F2051" s="1104" t="n">
        <f aca="false">'Смета Внутр'!F2051</f>
        <v>0</v>
      </c>
      <c r="G2051" s="1104" t="n">
        <f aca="false">IF(E2051&gt;F2051,E2051,F2051)</f>
        <v>0</v>
      </c>
      <c r="H2051" s="1104" t="n">
        <f aca="false">'Смета Внутр'!G2051</f>
        <v>0</v>
      </c>
      <c r="I2051" s="1104" t="n">
        <f aca="false">'Смета Внутр'!H2051</f>
        <v>0</v>
      </c>
      <c r="J2051" s="1109" t="n">
        <f aca="false">'Смета Внутр'!I2051</f>
        <v>0</v>
      </c>
    </row>
    <row r="2052" customFormat="false" ht="15" hidden="true" customHeight="false" outlineLevel="0" collapsed="false">
      <c r="B2052" s="1104" t="str">
        <f aca="false">'Смета Внутр'!B2052</f>
        <v>Нет техники</v>
      </c>
      <c r="C2052" s="1104" t="str">
        <f aca="false">'Смета Внутр'!C2052</f>
        <v>ед.</v>
      </c>
      <c r="D2052" s="1109" t="n">
        <f aca="false">'Смета Внутр'!D2052</f>
        <v>0</v>
      </c>
      <c r="E2052" s="1104" t="n">
        <f aca="false">'Смета Внутр'!E2052</f>
        <v>0</v>
      </c>
      <c r="F2052" s="1104" t="n">
        <f aca="false">'Смета Внутр'!F2052</f>
        <v>0</v>
      </c>
      <c r="G2052" s="1104" t="n">
        <f aca="false">IF(E2052&gt;F2052,E2052,F2052)</f>
        <v>0</v>
      </c>
      <c r="H2052" s="1104" t="n">
        <f aca="false">'Смета Внутр'!G2052</f>
        <v>0</v>
      </c>
      <c r="I2052" s="1104" t="n">
        <f aca="false">'Смета Внутр'!H2052</f>
        <v>0</v>
      </c>
      <c r="J2052" s="1109" t="n">
        <f aca="false">'Смета Внутр'!I2052</f>
        <v>0</v>
      </c>
    </row>
    <row r="2053" customFormat="false" ht="15" hidden="true" customHeight="false" outlineLevel="0" collapsed="false">
      <c r="B2053" s="1104" t="str">
        <f aca="false">'Смета Внутр'!B2053</f>
        <v>Нет техники</v>
      </c>
      <c r="C2053" s="1104" t="str">
        <f aca="false">'Смета Внутр'!C2053</f>
        <v>ед.</v>
      </c>
      <c r="D2053" s="1109" t="n">
        <f aca="false">'Смета Внутр'!D2053</f>
        <v>0</v>
      </c>
      <c r="E2053" s="1104" t="n">
        <f aca="false">'Смета Внутр'!E2053</f>
        <v>0</v>
      </c>
      <c r="F2053" s="1104" t="n">
        <f aca="false">'Смета Внутр'!F2053</f>
        <v>0</v>
      </c>
      <c r="G2053" s="1104" t="n">
        <f aca="false">IF(E2053&gt;F2053,E2053,F2053)</f>
        <v>0</v>
      </c>
      <c r="H2053" s="1104" t="n">
        <f aca="false">'Смета Внутр'!G2053</f>
        <v>0</v>
      </c>
      <c r="I2053" s="1104" t="n">
        <f aca="false">'Смета Внутр'!H2053</f>
        <v>0</v>
      </c>
      <c r="J2053" s="1109" t="n">
        <f aca="false">'Смета Внутр'!I2053</f>
        <v>0</v>
      </c>
    </row>
    <row r="2054" customFormat="false" ht="15" hidden="true" customHeight="false" outlineLevel="0" collapsed="false">
      <c r="B2054" s="1104" t="str">
        <f aca="false">'Смета Внутр'!B2054</f>
        <v>Нет техники</v>
      </c>
      <c r="C2054" s="1104" t="str">
        <f aca="false">'Смета Внутр'!C2054</f>
        <v>ед.</v>
      </c>
      <c r="D2054" s="1109" t="n">
        <f aca="false">'Смета Внутр'!D2054</f>
        <v>0</v>
      </c>
      <c r="E2054" s="1104" t="n">
        <f aca="false">'Смета Внутр'!E2054</f>
        <v>0</v>
      </c>
      <c r="F2054" s="1104" t="n">
        <f aca="false">'Смета Внутр'!F2054</f>
        <v>0</v>
      </c>
      <c r="G2054" s="1104" t="n">
        <f aca="false">IF(E2054&gt;F2054,E2054,F2054)</f>
        <v>0</v>
      </c>
      <c r="H2054" s="1104" t="n">
        <f aca="false">'Смета Внутр'!G2054</f>
        <v>0</v>
      </c>
      <c r="I2054" s="1104" t="n">
        <f aca="false">'Смета Внутр'!H2054</f>
        <v>0</v>
      </c>
      <c r="J2054" s="1109" t="n">
        <f aca="false">'Смета Внутр'!I2054</f>
        <v>0</v>
      </c>
    </row>
    <row r="2055" customFormat="false" ht="15" hidden="true" customHeight="false" outlineLevel="0" collapsed="false">
      <c r="B2055" s="1104" t="str">
        <f aca="false">'Смета Внутр'!B2055</f>
        <v>Нет техники</v>
      </c>
      <c r="C2055" s="1104" t="str">
        <f aca="false">'Смета Внутр'!C2055</f>
        <v>ед.</v>
      </c>
      <c r="D2055" s="1109" t="n">
        <f aca="false">'Смета Внутр'!D2055</f>
        <v>0</v>
      </c>
      <c r="E2055" s="1104" t="n">
        <f aca="false">'Смета Внутр'!E2055</f>
        <v>0</v>
      </c>
      <c r="F2055" s="1104" t="n">
        <f aca="false">'Смета Внутр'!F2055</f>
        <v>0</v>
      </c>
      <c r="G2055" s="1104" t="n">
        <f aca="false">IF(E2055&gt;F2055,E2055,F2055)</f>
        <v>0</v>
      </c>
      <c r="H2055" s="1104" t="n">
        <f aca="false">'Смета Внутр'!G2055</f>
        <v>0</v>
      </c>
      <c r="I2055" s="1104" t="n">
        <f aca="false">'Смета Внутр'!H2055</f>
        <v>0</v>
      </c>
      <c r="J2055" s="1109" t="n">
        <f aca="false">'Смета Внутр'!I2055</f>
        <v>0</v>
      </c>
    </row>
    <row r="2056" customFormat="false" ht="15" hidden="true" customHeight="false" outlineLevel="0" collapsed="false">
      <c r="B2056" s="1104" t="str">
        <f aca="false">'Смета Внутр'!B2056</f>
        <v>Нет техники</v>
      </c>
      <c r="C2056" s="1104" t="str">
        <f aca="false">'Смета Внутр'!C2056</f>
        <v>ед.</v>
      </c>
      <c r="D2056" s="1109" t="n">
        <f aca="false">'Смета Внутр'!D2056</f>
        <v>0</v>
      </c>
      <c r="E2056" s="1104" t="n">
        <f aca="false">'Смета Внутр'!E2056</f>
        <v>0</v>
      </c>
      <c r="F2056" s="1104" t="n">
        <f aca="false">'Смета Внутр'!F2056</f>
        <v>0</v>
      </c>
      <c r="G2056" s="1104" t="n">
        <f aca="false">IF(E2056&gt;F2056,E2056,F2056)</f>
        <v>0</v>
      </c>
      <c r="H2056" s="1104" t="n">
        <f aca="false">'Смета Внутр'!G2056</f>
        <v>0</v>
      </c>
      <c r="I2056" s="1104" t="n">
        <f aca="false">'Смета Внутр'!H2056</f>
        <v>0</v>
      </c>
      <c r="J2056" s="1109" t="n">
        <f aca="false">'Смета Внутр'!I2056</f>
        <v>0</v>
      </c>
    </row>
    <row r="2057" customFormat="false" ht="15" hidden="true" customHeight="false" outlineLevel="0" collapsed="false">
      <c r="B2057" s="1104" t="str">
        <f aca="false">'Смета Внутр'!B2057</f>
        <v>Нет техники</v>
      </c>
      <c r="C2057" s="1104" t="str">
        <f aca="false">'Смета Внутр'!C2057</f>
        <v>ед.</v>
      </c>
      <c r="D2057" s="1109" t="n">
        <f aca="false">'Смета Внутр'!D2057</f>
        <v>0</v>
      </c>
      <c r="E2057" s="1104" t="n">
        <f aca="false">'Смета Внутр'!E2057</f>
        <v>0</v>
      </c>
      <c r="F2057" s="1104" t="n">
        <f aca="false">'Смета Внутр'!F2057</f>
        <v>0</v>
      </c>
      <c r="G2057" s="1104" t="n">
        <f aca="false">IF(E2057&gt;F2057,E2057,F2057)</f>
        <v>0</v>
      </c>
      <c r="H2057" s="1104" t="n">
        <f aca="false">'Смета Внутр'!G2057</f>
        <v>0</v>
      </c>
      <c r="I2057" s="1104" t="n">
        <f aca="false">'Смета Внутр'!H2057</f>
        <v>0</v>
      </c>
      <c r="J2057" s="1109" t="n">
        <f aca="false">'Смета Внутр'!I2057</f>
        <v>0</v>
      </c>
    </row>
    <row r="2058" customFormat="false" ht="15" hidden="true" customHeight="false" outlineLevel="0" collapsed="false">
      <c r="B2058" s="1104" t="str">
        <f aca="false">'Смета Внутр'!B2058</f>
        <v>Нет техники</v>
      </c>
      <c r="C2058" s="1104" t="str">
        <f aca="false">'Смета Внутр'!C2058</f>
        <v>ед.</v>
      </c>
      <c r="D2058" s="1109" t="n">
        <f aca="false">'Смета Внутр'!D2058</f>
        <v>0</v>
      </c>
      <c r="E2058" s="1104" t="n">
        <f aca="false">'Смета Внутр'!E2058</f>
        <v>0</v>
      </c>
      <c r="F2058" s="1104" t="n">
        <f aca="false">'Смета Внутр'!F2058</f>
        <v>0</v>
      </c>
      <c r="G2058" s="1104" t="n">
        <f aca="false">IF(E2058&gt;F2058,E2058,F2058)</f>
        <v>0</v>
      </c>
      <c r="H2058" s="1104" t="n">
        <f aca="false">'Смета Внутр'!G2058</f>
        <v>0</v>
      </c>
      <c r="I2058" s="1104" t="n">
        <f aca="false">'Смета Внутр'!H2058</f>
        <v>0</v>
      </c>
      <c r="J2058" s="1109" t="n">
        <f aca="false">'Смета Внутр'!I2058</f>
        <v>0</v>
      </c>
    </row>
    <row r="2059" customFormat="false" ht="15" hidden="true" customHeight="false" outlineLevel="0" collapsed="false">
      <c r="B2059" s="1104" t="str">
        <f aca="false">'Смета Внутр'!B2059</f>
        <v>Нет техники</v>
      </c>
      <c r="C2059" s="1104" t="str">
        <f aca="false">'Смета Внутр'!C2059</f>
        <v>ед.</v>
      </c>
      <c r="D2059" s="1109" t="n">
        <f aca="false">'Смета Внутр'!D2059</f>
        <v>0</v>
      </c>
      <c r="E2059" s="1104" t="n">
        <f aca="false">'Смета Внутр'!E2059</f>
        <v>0</v>
      </c>
      <c r="F2059" s="1104" t="n">
        <f aca="false">'Смета Внутр'!F2059</f>
        <v>0</v>
      </c>
      <c r="G2059" s="1104" t="n">
        <f aca="false">IF(E2059&gt;F2059,E2059,F2059)</f>
        <v>0</v>
      </c>
      <c r="H2059" s="1104" t="n">
        <f aca="false">'Смета Внутр'!G2059</f>
        <v>0</v>
      </c>
      <c r="I2059" s="1104" t="n">
        <f aca="false">'Смета Внутр'!H2059</f>
        <v>0</v>
      </c>
      <c r="J2059" s="1109" t="n">
        <f aca="false">'Смета Внутр'!I2059</f>
        <v>0</v>
      </c>
    </row>
    <row r="2060" customFormat="false" ht="15" hidden="true" customHeight="false" outlineLevel="0" collapsed="false">
      <c r="B2060" s="1104" t="str">
        <f aca="false">'Смета Внутр'!B2060</f>
        <v>Нет техники</v>
      </c>
      <c r="C2060" s="1104" t="str">
        <f aca="false">'Смета Внутр'!C2060</f>
        <v>ед.</v>
      </c>
      <c r="D2060" s="1109" t="n">
        <f aca="false">'Смета Внутр'!D2060</f>
        <v>0</v>
      </c>
      <c r="E2060" s="1104" t="n">
        <f aca="false">'Смета Внутр'!E2060</f>
        <v>0</v>
      </c>
      <c r="F2060" s="1104" t="n">
        <f aca="false">'Смета Внутр'!F2060</f>
        <v>0</v>
      </c>
      <c r="G2060" s="1104" t="n">
        <f aca="false">IF(E2060&gt;F2060,E2060,F2060)</f>
        <v>0</v>
      </c>
      <c r="H2060" s="1104" t="n">
        <f aca="false">'Смета Внутр'!G2060</f>
        <v>0</v>
      </c>
      <c r="I2060" s="1104" t="n">
        <f aca="false">'Смета Внутр'!H2060</f>
        <v>0</v>
      </c>
      <c r="J2060" s="1109" t="n">
        <f aca="false">'Смета Внутр'!I2060</f>
        <v>0</v>
      </c>
    </row>
    <row r="2061" customFormat="false" ht="15" hidden="true" customHeight="false" outlineLevel="0" collapsed="false">
      <c r="B2061" s="1104" t="str">
        <f aca="false">'Смета Внутр'!B2061</f>
        <v>Нет техники</v>
      </c>
      <c r="C2061" s="1104" t="str">
        <f aca="false">'Смета Внутр'!C2061</f>
        <v>ед.</v>
      </c>
      <c r="D2061" s="1109" t="n">
        <f aca="false">'Смета Внутр'!D2061</f>
        <v>0</v>
      </c>
      <c r="E2061" s="1104" t="n">
        <f aca="false">'Смета Внутр'!E2061</f>
        <v>0</v>
      </c>
      <c r="F2061" s="1104" t="n">
        <f aca="false">'Смета Внутр'!F2061</f>
        <v>0</v>
      </c>
      <c r="G2061" s="1104" t="n">
        <f aca="false">IF(E2061&gt;F2061,E2061,F2061)</f>
        <v>0</v>
      </c>
      <c r="H2061" s="1104" t="n">
        <f aca="false">'Смета Внутр'!G2061</f>
        <v>0</v>
      </c>
      <c r="I2061" s="1104" t="n">
        <f aca="false">'Смета Внутр'!H2061</f>
        <v>0</v>
      </c>
      <c r="J2061" s="1109" t="n">
        <f aca="false">'Смета Внутр'!I2061</f>
        <v>0</v>
      </c>
    </row>
    <row r="2062" customFormat="false" ht="15" hidden="true" customHeight="false" outlineLevel="0" collapsed="false">
      <c r="B2062" s="1104" t="str">
        <f aca="false">'Смета Внутр'!B2062</f>
        <v>Нет техники</v>
      </c>
      <c r="C2062" s="1104" t="str">
        <f aca="false">'Смета Внутр'!C2062</f>
        <v>ед.</v>
      </c>
      <c r="D2062" s="1109" t="n">
        <f aca="false">'Смета Внутр'!D2062</f>
        <v>0</v>
      </c>
      <c r="E2062" s="1104" t="n">
        <f aca="false">'Смета Внутр'!E2062</f>
        <v>0</v>
      </c>
      <c r="F2062" s="1104" t="n">
        <f aca="false">'Смета Внутр'!F2062</f>
        <v>0</v>
      </c>
      <c r="G2062" s="1104" t="n">
        <f aca="false">IF(E2062&gt;F2062,E2062,F2062)</f>
        <v>0</v>
      </c>
      <c r="H2062" s="1104" t="n">
        <f aca="false">'Смета Внутр'!G2062</f>
        <v>0</v>
      </c>
      <c r="I2062" s="1104" t="n">
        <f aca="false">'Смета Внутр'!H2062</f>
        <v>0</v>
      </c>
      <c r="J2062" s="1109" t="n">
        <f aca="false">'Смета Внутр'!I2062</f>
        <v>0</v>
      </c>
    </row>
    <row r="2063" customFormat="false" ht="15" hidden="true" customHeight="false" outlineLevel="0" collapsed="false">
      <c r="B2063" s="1104" t="str">
        <f aca="false">'Смета Внутр'!B2063</f>
        <v>Нет техники</v>
      </c>
      <c r="C2063" s="1104" t="str">
        <f aca="false">'Смета Внутр'!C2063</f>
        <v>ед.</v>
      </c>
      <c r="D2063" s="1109" t="n">
        <f aca="false">'Смета Внутр'!D2063</f>
        <v>0</v>
      </c>
      <c r="E2063" s="1104" t="n">
        <f aca="false">'Смета Внутр'!E2063</f>
        <v>0</v>
      </c>
      <c r="F2063" s="1104" t="n">
        <f aca="false">'Смета Внутр'!F2063</f>
        <v>0</v>
      </c>
      <c r="G2063" s="1104" t="n">
        <f aca="false">IF(E2063&gt;F2063,E2063,F2063)</f>
        <v>0</v>
      </c>
      <c r="H2063" s="1104" t="n">
        <f aca="false">'Смета Внутр'!G2063</f>
        <v>0</v>
      </c>
      <c r="I2063" s="1104" t="n">
        <f aca="false">'Смета Внутр'!H2063</f>
        <v>0</v>
      </c>
      <c r="J2063" s="1109" t="n">
        <f aca="false">'Смета Внутр'!I2063</f>
        <v>0</v>
      </c>
    </row>
    <row r="2064" customFormat="false" ht="15" hidden="true" customHeight="false" outlineLevel="0" collapsed="false">
      <c r="B2064" s="1104" t="str">
        <f aca="false">'Смета Внутр'!B2064</f>
        <v>Нет техники</v>
      </c>
      <c r="C2064" s="1104" t="str">
        <f aca="false">'Смета Внутр'!C2064</f>
        <v>ед.</v>
      </c>
      <c r="D2064" s="1109" t="n">
        <f aca="false">'Смета Внутр'!D2064</f>
        <v>0</v>
      </c>
      <c r="E2064" s="1104" t="n">
        <f aca="false">'Смета Внутр'!E2064</f>
        <v>0</v>
      </c>
      <c r="F2064" s="1104" t="n">
        <f aca="false">'Смета Внутр'!F2064</f>
        <v>0</v>
      </c>
      <c r="G2064" s="1104" t="n">
        <f aca="false">IF(E2064&gt;F2064,E2064,F2064)</f>
        <v>0</v>
      </c>
      <c r="H2064" s="1104" t="n">
        <f aca="false">'Смета Внутр'!G2064</f>
        <v>0</v>
      </c>
      <c r="I2064" s="1104" t="n">
        <f aca="false">'Смета Внутр'!H2064</f>
        <v>0</v>
      </c>
      <c r="J2064" s="1109" t="n">
        <f aca="false">'Смета Внутр'!I2064</f>
        <v>0</v>
      </c>
    </row>
    <row r="2065" customFormat="false" ht="15" hidden="true" customHeight="false" outlineLevel="0" collapsed="false">
      <c r="B2065" s="1104" t="str">
        <f aca="false">'Смета Внутр'!B2065</f>
        <v>Газель</v>
      </c>
      <c r="C2065" s="1104" t="str">
        <f aca="false">'Смета Внутр'!C2065</f>
        <v>ед.</v>
      </c>
      <c r="D2065" s="1109" t="n">
        <f aca="false">'Смета Внутр'!D2065</f>
        <v>0</v>
      </c>
      <c r="E2065" s="1104" t="n">
        <f aca="false">'Смета Внутр'!E2065</f>
        <v>1700</v>
      </c>
      <c r="F2065" s="1104" t="n">
        <f aca="false">'Смета Внутр'!F2065</f>
        <v>0</v>
      </c>
      <c r="G2065" s="1104" t="n">
        <f aca="false">IF(E2065&gt;F2065,E2065,F2065)</f>
        <v>1700</v>
      </c>
      <c r="H2065" s="1104" t="n">
        <f aca="false">'Смета Внутр'!G2065</f>
        <v>0</v>
      </c>
      <c r="I2065" s="1104" t="n">
        <f aca="false">'Смета Внутр'!H2065</f>
        <v>0</v>
      </c>
      <c r="J2065" s="1109" t="n">
        <f aca="false">'Смета Внутр'!I2065</f>
        <v>0</v>
      </c>
    </row>
    <row r="2066" customFormat="false" ht="15" hidden="true" customHeight="false" outlineLevel="0" collapsed="false">
      <c r="B2066" s="1104" t="str">
        <f aca="false">'Смета Внутр'!B2066</f>
        <v>Доставка материала Фура</v>
      </c>
      <c r="C2066" s="1104" t="str">
        <f aca="false">'Смета Внутр'!C2066</f>
        <v>ед.</v>
      </c>
      <c r="D2066" s="1109" t="n">
        <f aca="false">'Смета Внутр'!D2066</f>
        <v>0</v>
      </c>
      <c r="E2066" s="1104" t="n">
        <f aca="false">'Смета Внутр'!E2066</f>
        <v>2500</v>
      </c>
      <c r="F2066" s="1104" t="n">
        <f aca="false">'Смета Внутр'!F2066</f>
        <v>0</v>
      </c>
      <c r="G2066" s="1104" t="n">
        <f aca="false">IF(E2066&gt;F2066,E2066,F2066)</f>
        <v>2500</v>
      </c>
      <c r="H2066" s="1104" t="n">
        <f aca="false">'Смета Внутр'!G2066</f>
        <v>0</v>
      </c>
      <c r="I2066" s="1104" t="n">
        <f aca="false">'Смета Внутр'!H2066</f>
        <v>0</v>
      </c>
      <c r="J2066" s="1109" t="n">
        <f aca="false">'Смета Внутр'!I2066</f>
        <v>0</v>
      </c>
    </row>
    <row r="2067" customFormat="false" ht="15" hidden="true" customHeight="false" outlineLevel="0" collapsed="false">
      <c r="B2067" s="1104" t="str">
        <f aca="false">'Смета Внутр'!B2067</f>
        <v>Воровайка</v>
      </c>
      <c r="C2067" s="1104" t="str">
        <f aca="false">'Смета Внутр'!C2067</f>
        <v>ед.</v>
      </c>
      <c r="D2067" s="1109" t="n">
        <f aca="false">'Смета Внутр'!D2067</f>
        <v>0</v>
      </c>
      <c r="E2067" s="1104" t="n">
        <f aca="false">'Смета Внутр'!E2067</f>
        <v>3500</v>
      </c>
      <c r="F2067" s="1104" t="n">
        <f aca="false">'Смета Внутр'!F2067</f>
        <v>0</v>
      </c>
      <c r="G2067" s="1104" t="n">
        <f aca="false">IF(E2067&gt;F2067,E2067,F2067)</f>
        <v>3500</v>
      </c>
      <c r="H2067" s="1104" t="n">
        <f aca="false">'Смета Внутр'!G2067</f>
        <v>0</v>
      </c>
      <c r="I2067" s="1104" t="n">
        <f aca="false">'Смета Внутр'!H2067</f>
        <v>0</v>
      </c>
      <c r="J2067" s="1109" t="n">
        <f aca="false">'Смета Внутр'!I2067</f>
        <v>0</v>
      </c>
    </row>
    <row r="2068" customFormat="false" ht="15" hidden="true" customHeight="false" outlineLevel="0" collapsed="false">
      <c r="B2068" s="1104" t="str">
        <f aca="false">'Смета Внутр'!B2068</f>
        <v>Нет техники</v>
      </c>
      <c r="C2068" s="1104" t="str">
        <f aca="false">'Смета Внутр'!C2068</f>
        <v>ед.</v>
      </c>
      <c r="D2068" s="1109" t="n">
        <f aca="false">'Смета Внутр'!D2068</f>
        <v>4</v>
      </c>
      <c r="E2068" s="1104" t="n">
        <f aca="false">'Смета Внутр'!E2068</f>
        <v>0</v>
      </c>
      <c r="F2068" s="1104" t="n">
        <f aca="false">'Смета Внутр'!F2068</f>
        <v>0</v>
      </c>
      <c r="G2068" s="1104" t="n">
        <f aca="false">IF(E2068&gt;F2068,E2068,F2068)</f>
        <v>0</v>
      </c>
      <c r="H2068" s="1104" t="n">
        <f aca="false">'Смета Внутр'!G2068</f>
        <v>0</v>
      </c>
      <c r="I2068" s="1104" t="n">
        <f aca="false">'Смета Внутр'!H2068</f>
        <v>0</v>
      </c>
      <c r="J2068" s="1109" t="n">
        <f aca="false">'Смета Внутр'!I2068</f>
        <v>0</v>
      </c>
    </row>
    <row r="2069" customFormat="false" ht="15" hidden="true" customHeight="false" outlineLevel="0" collapsed="false">
      <c r="B2069" s="1104" t="str">
        <f aca="false">'Смета Внутр'!B2069</f>
        <v>Нет техники</v>
      </c>
      <c r="C2069" s="1104" t="str">
        <f aca="false">'Смета Внутр'!C2069</f>
        <v>ед.</v>
      </c>
      <c r="D2069" s="1109" t="n">
        <f aca="false">'Смета Внутр'!D2069</f>
        <v>0</v>
      </c>
      <c r="E2069" s="1104" t="n">
        <f aca="false">'Смета Внутр'!E2069</f>
        <v>0</v>
      </c>
      <c r="F2069" s="1104" t="n">
        <f aca="false">'Смета Внутр'!F2069</f>
        <v>0</v>
      </c>
      <c r="G2069" s="1104" t="n">
        <f aca="false">IF(E2069&gt;F2069,E2069,F2069)</f>
        <v>0</v>
      </c>
      <c r="H2069" s="1104" t="n">
        <f aca="false">'Смета Внутр'!G2069</f>
        <v>0</v>
      </c>
      <c r="I2069" s="1104" t="n">
        <f aca="false">'Смета Внутр'!H2069</f>
        <v>0</v>
      </c>
      <c r="J2069" s="1109" t="n">
        <f aca="false">'Смета Внутр'!I2069</f>
        <v>0</v>
      </c>
    </row>
    <row r="2070" customFormat="false" ht="15" hidden="true" customHeight="false" outlineLevel="0" collapsed="false">
      <c r="B2070" s="1104" t="str">
        <f aca="false">'Смета Внутр'!B2070</f>
        <v>Нет техники</v>
      </c>
      <c r="C2070" s="1104" t="str">
        <f aca="false">'Смета Внутр'!C2070</f>
        <v>ед.</v>
      </c>
      <c r="D2070" s="1109" t="n">
        <f aca="false">'Смета Внутр'!D2070</f>
        <v>4</v>
      </c>
      <c r="E2070" s="1104" t="n">
        <f aca="false">'Смета Внутр'!E2070</f>
        <v>0</v>
      </c>
      <c r="F2070" s="1104" t="n">
        <f aca="false">'Смета Внутр'!F2070</f>
        <v>0</v>
      </c>
      <c r="G2070" s="1104" t="n">
        <f aca="false">IF(E2070&gt;F2070,E2070,F2070)</f>
        <v>0</v>
      </c>
      <c r="H2070" s="1104" t="n">
        <f aca="false">'Смета Внутр'!G2070</f>
        <v>0</v>
      </c>
      <c r="I2070" s="1104" t="n">
        <f aca="false">'Смета Внутр'!H2070</f>
        <v>0</v>
      </c>
      <c r="J2070" s="1109" t="n">
        <f aca="false">'Смета Внутр'!I2070</f>
        <v>0</v>
      </c>
    </row>
    <row r="2071" customFormat="false" ht="15" hidden="true" customHeight="false" outlineLevel="0" collapsed="false">
      <c r="B2071" s="1104" t="str">
        <f aca="false">'Смета Внутр'!B2071</f>
        <v>Нет техники</v>
      </c>
      <c r="C2071" s="1104" t="str">
        <f aca="false">'Смета Внутр'!C2071</f>
        <v>ед.</v>
      </c>
      <c r="D2071" s="1109" t="n">
        <f aca="false">'Смета Внутр'!D2071</f>
        <v>0</v>
      </c>
      <c r="E2071" s="1104" t="n">
        <f aca="false">'Смета Внутр'!E2071</f>
        <v>0</v>
      </c>
      <c r="F2071" s="1104" t="n">
        <f aca="false">'Смета Внутр'!F2071</f>
        <v>0</v>
      </c>
      <c r="G2071" s="1104" t="n">
        <f aca="false">IF(E2071&gt;F2071,E2071,F2071)</f>
        <v>0</v>
      </c>
      <c r="H2071" s="1104" t="n">
        <f aca="false">'Смета Внутр'!G2071</f>
        <v>0</v>
      </c>
      <c r="I2071" s="1104" t="n">
        <f aca="false">'Смета Внутр'!H2071</f>
        <v>0</v>
      </c>
      <c r="J2071" s="1109" t="n">
        <f aca="false">'Смета Внутр'!I2071</f>
        <v>0</v>
      </c>
    </row>
    <row r="2072" customFormat="false" ht="15" hidden="true" customHeight="false" outlineLevel="0" collapsed="false">
      <c r="B2072" s="1104" t="str">
        <f aca="false">'Смета Внутр'!B2072</f>
        <v>Нет техники</v>
      </c>
      <c r="C2072" s="1104" t="str">
        <f aca="false">'Смета Внутр'!C2072</f>
        <v>ед.</v>
      </c>
      <c r="D2072" s="1109" t="n">
        <f aca="false">'Смета Внутр'!D2072</f>
        <v>0</v>
      </c>
      <c r="E2072" s="1104" t="n">
        <f aca="false">'Смета Внутр'!E2072</f>
        <v>0</v>
      </c>
      <c r="F2072" s="1104" t="n">
        <f aca="false">'Смета Внутр'!F2072</f>
        <v>0</v>
      </c>
      <c r="G2072" s="1104" t="n">
        <f aca="false">IF(E2072&gt;F2072,E2072,F2072)</f>
        <v>0</v>
      </c>
      <c r="H2072" s="1104" t="n">
        <f aca="false">'Смета Внутр'!G2072</f>
        <v>0</v>
      </c>
      <c r="I2072" s="1104" t="n">
        <f aca="false">'Смета Внутр'!H2072</f>
        <v>0</v>
      </c>
      <c r="J2072" s="1109" t="n">
        <f aca="false">'Смета Внутр'!I2072</f>
        <v>0</v>
      </c>
    </row>
    <row r="2073" customFormat="false" ht="15" hidden="true" customHeight="false" outlineLevel="0" collapsed="false">
      <c r="B2073" s="1104" t="str">
        <f aca="false">'Смета Внутр'!B2073</f>
        <v>Нет техники</v>
      </c>
      <c r="C2073" s="1104" t="str">
        <f aca="false">'Смета Внутр'!C2073</f>
        <v>ед.</v>
      </c>
      <c r="D2073" s="1109" t="n">
        <f aca="false">'Смета Внутр'!D2073</f>
        <v>0</v>
      </c>
      <c r="E2073" s="1104" t="n">
        <f aca="false">'Смета Внутр'!E2073</f>
        <v>0</v>
      </c>
      <c r="F2073" s="1104" t="n">
        <f aca="false">'Смета Внутр'!F2073</f>
        <v>0</v>
      </c>
      <c r="G2073" s="1104" t="n">
        <f aca="false">IF(E2073&gt;F2073,E2073,F2073)</f>
        <v>0</v>
      </c>
      <c r="H2073" s="1104" t="n">
        <f aca="false">'Смета Внутр'!G2073</f>
        <v>0</v>
      </c>
      <c r="I2073" s="1104" t="n">
        <f aca="false">'Смета Внутр'!H2073</f>
        <v>0</v>
      </c>
      <c r="J2073" s="1109" t="n">
        <f aca="false">'Смета Внутр'!I2073</f>
        <v>0</v>
      </c>
    </row>
    <row r="2074" customFormat="false" ht="15" hidden="true" customHeight="false" outlineLevel="0" collapsed="false">
      <c r="B2074" s="1104" t="str">
        <f aca="false">'Смета Внутр'!B2074</f>
        <v>Нет техники</v>
      </c>
      <c r="C2074" s="1104" t="str">
        <f aca="false">'Смета Внутр'!C2074</f>
        <v>ед.</v>
      </c>
      <c r="D2074" s="1109" t="n">
        <f aca="false">'Смета Внутр'!D2074</f>
        <v>4</v>
      </c>
      <c r="E2074" s="1104" t="n">
        <f aca="false">'Смета Внутр'!E2074</f>
        <v>0</v>
      </c>
      <c r="F2074" s="1104" t="n">
        <f aca="false">'Смета Внутр'!F2074</f>
        <v>0</v>
      </c>
      <c r="G2074" s="1104" t="n">
        <f aca="false">IF(E2074&gt;F2074,E2074,F2074)</f>
        <v>0</v>
      </c>
      <c r="H2074" s="1104" t="n">
        <f aca="false">'Смета Внутр'!G2074</f>
        <v>0</v>
      </c>
      <c r="I2074" s="1104" t="n">
        <f aca="false">'Смета Внутр'!H2074</f>
        <v>0</v>
      </c>
      <c r="J2074" s="1109" t="n">
        <f aca="false">'Смета Внутр'!I2074</f>
        <v>0</v>
      </c>
    </row>
    <row r="2075" customFormat="false" ht="15" hidden="true" customHeight="false" outlineLevel="0" collapsed="false">
      <c r="B2075" s="1104" t="str">
        <f aca="false">'Смета Внутр'!B2075</f>
        <v>Нет техники</v>
      </c>
      <c r="C2075" s="1104" t="str">
        <f aca="false">'Смета Внутр'!C2075</f>
        <v>ед.</v>
      </c>
      <c r="D2075" s="1109" t="n">
        <f aca="false">'Смета Внутр'!D2075</f>
        <v>0</v>
      </c>
      <c r="E2075" s="1104" t="n">
        <f aca="false">'Смета Внутр'!E2075</f>
        <v>0</v>
      </c>
      <c r="F2075" s="1104" t="n">
        <f aca="false">'Смета Внутр'!F2075</f>
        <v>0</v>
      </c>
      <c r="G2075" s="1104" t="n">
        <f aca="false">IF(E2075&gt;F2075,E2075,F2075)</f>
        <v>0</v>
      </c>
      <c r="H2075" s="1104" t="n">
        <f aca="false">'Смета Внутр'!G2075</f>
        <v>0</v>
      </c>
      <c r="I2075" s="1104" t="n">
        <f aca="false">'Смета Внутр'!H2075</f>
        <v>0</v>
      </c>
      <c r="J2075" s="1109" t="n">
        <f aca="false">'Смета Внутр'!I2075</f>
        <v>0</v>
      </c>
    </row>
    <row r="2076" customFormat="false" ht="15" hidden="true" customHeight="false" outlineLevel="0" collapsed="false">
      <c r="B2076" s="1104" t="str">
        <f aca="false">'Смета Внутр'!B2076</f>
        <v>Нет техники</v>
      </c>
      <c r="C2076" s="1104" t="str">
        <f aca="false">'Смета Внутр'!C2076</f>
        <v>ед.</v>
      </c>
      <c r="D2076" s="1109" t="n">
        <f aca="false">'Смета Внутр'!D2076</f>
        <v>0</v>
      </c>
      <c r="E2076" s="1104" t="n">
        <f aca="false">'Смета Внутр'!E2076</f>
        <v>0</v>
      </c>
      <c r="F2076" s="1104" t="n">
        <f aca="false">'Смета Внутр'!F2076</f>
        <v>0</v>
      </c>
      <c r="G2076" s="1104" t="n">
        <f aca="false">IF(E2076&gt;F2076,E2076,F2076)</f>
        <v>0</v>
      </c>
      <c r="H2076" s="1104" t="n">
        <f aca="false">'Смета Внутр'!G2076</f>
        <v>0</v>
      </c>
      <c r="I2076" s="1104" t="n">
        <f aca="false">'Смета Внутр'!H2076</f>
        <v>0</v>
      </c>
      <c r="J2076" s="1109" t="n">
        <f aca="false">'Смета Внутр'!I2076</f>
        <v>0</v>
      </c>
    </row>
    <row r="2077" customFormat="false" ht="15" hidden="true" customHeight="false" outlineLevel="0" collapsed="false">
      <c r="B2077" s="1104" t="str">
        <f aca="false">'Смета Внутр'!B2077</f>
        <v>Нет техники</v>
      </c>
      <c r="C2077" s="1104" t="str">
        <f aca="false">'Смета Внутр'!C2077</f>
        <v>ед.</v>
      </c>
      <c r="D2077" s="1109" t="n">
        <f aca="false">'Смета Внутр'!D2077</f>
        <v>0</v>
      </c>
      <c r="E2077" s="1104" t="n">
        <f aca="false">'Смета Внутр'!E2077</f>
        <v>0</v>
      </c>
      <c r="F2077" s="1104" t="n">
        <f aca="false">'Смета Внутр'!F2077</f>
        <v>0</v>
      </c>
      <c r="G2077" s="1104" t="n">
        <f aca="false">IF(E2077&gt;F2077,E2077,F2077)</f>
        <v>0</v>
      </c>
      <c r="H2077" s="1104" t="n">
        <f aca="false">'Смета Внутр'!G2077</f>
        <v>0</v>
      </c>
      <c r="I2077" s="1104" t="n">
        <f aca="false">'Смета Внутр'!H2077</f>
        <v>0</v>
      </c>
      <c r="J2077" s="1109" t="n">
        <f aca="false">'Смета Внутр'!I2077</f>
        <v>0</v>
      </c>
    </row>
    <row r="2078" customFormat="false" ht="15" hidden="true" customHeight="false" outlineLevel="0" collapsed="false">
      <c r="B2078" s="1104" t="str">
        <f aca="false">'Смета Внутр'!B2078</f>
        <v>Нет техники</v>
      </c>
      <c r="C2078" s="1104" t="str">
        <f aca="false">'Смета Внутр'!C2078</f>
        <v>ед.</v>
      </c>
      <c r="D2078" s="1109" t="n">
        <f aca="false">'Смета Внутр'!D2078</f>
        <v>0</v>
      </c>
      <c r="E2078" s="1104" t="n">
        <f aca="false">'Смета Внутр'!E2078</f>
        <v>0</v>
      </c>
      <c r="F2078" s="1104" t="n">
        <f aca="false">'Смета Внутр'!F2078</f>
        <v>0</v>
      </c>
      <c r="G2078" s="1104" t="n">
        <f aca="false">IF(E2078&gt;F2078,E2078,F2078)</f>
        <v>0</v>
      </c>
      <c r="H2078" s="1104" t="n">
        <f aca="false">'Смета Внутр'!G2078</f>
        <v>0</v>
      </c>
      <c r="I2078" s="1104" t="n">
        <f aca="false">'Смета Внутр'!H2078</f>
        <v>0</v>
      </c>
      <c r="J2078" s="1109" t="n">
        <f aca="false">'Смета Внутр'!I2078</f>
        <v>0</v>
      </c>
    </row>
    <row r="2079" customFormat="false" ht="15" hidden="true" customHeight="false" outlineLevel="0" collapsed="false">
      <c r="B2079" s="1104" t="str">
        <f aca="false">'Смета Внутр'!B2079</f>
        <v>Нет техники</v>
      </c>
      <c r="C2079" s="1104" t="str">
        <f aca="false">'Смета Внутр'!C2079</f>
        <v>ед.</v>
      </c>
      <c r="D2079" s="1109" t="n">
        <f aca="false">'Смета Внутр'!D2079</f>
        <v>0</v>
      </c>
      <c r="E2079" s="1104" t="n">
        <f aca="false">'Смета Внутр'!E2079</f>
        <v>0</v>
      </c>
      <c r="F2079" s="1104" t="n">
        <f aca="false">'Смета Внутр'!F2079</f>
        <v>0</v>
      </c>
      <c r="G2079" s="1104" t="n">
        <f aca="false">IF(E2079&gt;F2079,E2079,F2079)</f>
        <v>0</v>
      </c>
      <c r="H2079" s="1104" t="n">
        <f aca="false">'Смета Внутр'!G2079</f>
        <v>0</v>
      </c>
      <c r="I2079" s="1104" t="n">
        <f aca="false">'Смета Внутр'!H2079</f>
        <v>0</v>
      </c>
      <c r="J2079" s="1109" t="n">
        <f aca="false">'Смета Внутр'!I2079</f>
        <v>0</v>
      </c>
    </row>
    <row r="2080" customFormat="false" ht="15" hidden="true" customHeight="false" outlineLevel="0" collapsed="false">
      <c r="B2080" s="1104" t="str">
        <f aca="false">'Смета Внутр'!B2080</f>
        <v>Нет техники</v>
      </c>
      <c r="C2080" s="1104" t="str">
        <f aca="false">'Смета Внутр'!C2080</f>
        <v>ед.</v>
      </c>
      <c r="D2080" s="1109" t="n">
        <f aca="false">'Смета Внутр'!D2080</f>
        <v>1</v>
      </c>
      <c r="E2080" s="1104" t="n">
        <f aca="false">'Смета Внутр'!E2080</f>
        <v>0</v>
      </c>
      <c r="F2080" s="1104" t="n">
        <f aca="false">'Смета Внутр'!F2080</f>
        <v>0</v>
      </c>
      <c r="G2080" s="1104" t="n">
        <f aca="false">IF(E2080&gt;F2080,E2080,F2080)</f>
        <v>0</v>
      </c>
      <c r="H2080" s="1104" t="n">
        <f aca="false">'Смета Внутр'!G2080</f>
        <v>0</v>
      </c>
      <c r="I2080" s="1104" t="n">
        <f aca="false">'Смета Внутр'!H2080</f>
        <v>0</v>
      </c>
      <c r="J2080" s="1109" t="n">
        <f aca="false">'Смета Внутр'!I2080</f>
        <v>0</v>
      </c>
    </row>
    <row r="2081" customFormat="false" ht="15" hidden="true" customHeight="false" outlineLevel="0" collapsed="false">
      <c r="B2081" s="1104" t="str">
        <f aca="false">'Смета Внутр'!B2081</f>
        <v>Нет техники</v>
      </c>
      <c r="C2081" s="1104" t="str">
        <f aca="false">'Смета Внутр'!C2081</f>
        <v>ед.</v>
      </c>
      <c r="D2081" s="1109" t="n">
        <f aca="false">'Смета Внутр'!D2081</f>
        <v>0</v>
      </c>
      <c r="E2081" s="1104" t="n">
        <f aca="false">'Смета Внутр'!E2081</f>
        <v>0</v>
      </c>
      <c r="F2081" s="1104" t="n">
        <f aca="false">'Смета Внутр'!F2081</f>
        <v>0</v>
      </c>
      <c r="G2081" s="1104" t="n">
        <f aca="false">IF(E2081&gt;F2081,E2081,F2081)</f>
        <v>0</v>
      </c>
      <c r="H2081" s="1104" t="n">
        <f aca="false">'Смета Внутр'!G2081</f>
        <v>0</v>
      </c>
      <c r="I2081" s="1104" t="n">
        <f aca="false">'Смета Внутр'!H2081</f>
        <v>0</v>
      </c>
      <c r="J2081" s="1109" t="n">
        <f aca="false">'Смета Внутр'!I2081</f>
        <v>0</v>
      </c>
    </row>
    <row r="2082" customFormat="false" ht="15" hidden="true" customHeight="false" outlineLevel="0" collapsed="false">
      <c r="B2082" s="1104" t="str">
        <f aca="false">'Смета Внутр'!B2082</f>
        <v>Нет техники</v>
      </c>
      <c r="C2082" s="1104" t="str">
        <f aca="false">'Смета Внутр'!C2082</f>
        <v>ед.</v>
      </c>
      <c r="D2082" s="1109" t="n">
        <f aca="false">'Смета Внутр'!D2082</f>
        <v>1</v>
      </c>
      <c r="E2082" s="1104" t="n">
        <f aca="false">'Смета Внутр'!E2082</f>
        <v>0</v>
      </c>
      <c r="F2082" s="1104" t="n">
        <f aca="false">'Смета Внутр'!F2082</f>
        <v>0</v>
      </c>
      <c r="G2082" s="1104" t="n">
        <f aca="false">IF(E2082&gt;F2082,E2082,F2082)</f>
        <v>0</v>
      </c>
      <c r="H2082" s="1104" t="n">
        <f aca="false">'Смета Внутр'!G2082</f>
        <v>0</v>
      </c>
      <c r="I2082" s="1104" t="n">
        <f aca="false">'Смета Внутр'!H2082</f>
        <v>0</v>
      </c>
      <c r="J2082" s="1109" t="n">
        <f aca="false">'Смета Внутр'!I2082</f>
        <v>0</v>
      </c>
    </row>
    <row r="2083" customFormat="false" ht="15" hidden="true" customHeight="false" outlineLevel="0" collapsed="false">
      <c r="B2083" s="1104" t="str">
        <f aca="false">'Смета Внутр'!B2083</f>
        <v>Нет техники</v>
      </c>
      <c r="C2083" s="1104" t="str">
        <f aca="false">'Смета Внутр'!C2083</f>
        <v>ед.</v>
      </c>
      <c r="D2083" s="1109" t="n">
        <f aca="false">'Смета Внутр'!D2083</f>
        <v>0</v>
      </c>
      <c r="E2083" s="1104" t="n">
        <f aca="false">'Смета Внутр'!E2083</f>
        <v>0</v>
      </c>
      <c r="F2083" s="1104" t="n">
        <f aca="false">'Смета Внутр'!F2083</f>
        <v>0</v>
      </c>
      <c r="G2083" s="1104" t="n">
        <f aca="false">IF(E2083&gt;F2083,E2083,F2083)</f>
        <v>0</v>
      </c>
      <c r="H2083" s="1104" t="n">
        <f aca="false">'Смета Внутр'!G2083</f>
        <v>0</v>
      </c>
      <c r="I2083" s="1104" t="n">
        <f aca="false">'Смета Внутр'!H2083</f>
        <v>0</v>
      </c>
      <c r="J2083" s="1109" t="n">
        <f aca="false">'Смета Внутр'!I2083</f>
        <v>0</v>
      </c>
    </row>
    <row r="2084" customFormat="false" ht="15" hidden="true" customHeight="false" outlineLevel="0" collapsed="false">
      <c r="B2084" s="1104" t="str">
        <f aca="false">'Смета Внутр'!B2084</f>
        <v>Экскаватор погрузчик</v>
      </c>
      <c r="C2084" s="1104" t="str">
        <f aca="false">'Смета Внутр'!C2084</f>
        <v>ед.</v>
      </c>
      <c r="D2084" s="1109" t="n">
        <f aca="false">'Смета Внутр'!D2084</f>
        <v>5</v>
      </c>
      <c r="E2084" s="1104" t="n">
        <f aca="false">'Смета Внутр'!E2084</f>
        <v>2200</v>
      </c>
      <c r="F2084" s="1104" t="n">
        <f aca="false">'Смета Внутр'!F2084</f>
        <v>0</v>
      </c>
      <c r="G2084" s="1104" t="n">
        <f aca="false">IF(E2084&gt;F2084,E2084,F2084)</f>
        <v>2200</v>
      </c>
      <c r="H2084" s="1104" t="n">
        <f aca="false">'Смета Внутр'!G2084</f>
        <v>0</v>
      </c>
      <c r="I2084" s="1104" t="n">
        <f aca="false">'Смета Внутр'!H2084</f>
        <v>0</v>
      </c>
      <c r="J2084" s="1109" t="n">
        <f aca="false">'Смета Внутр'!I2084</f>
        <v>0</v>
      </c>
    </row>
    <row r="2085" customFormat="false" ht="15" hidden="true" customHeight="false" outlineLevel="0" collapsed="false">
      <c r="B2085" s="1104" t="str">
        <f aca="false">'Смета Внутр'!B2085</f>
        <v>Манипулятор 5т</v>
      </c>
      <c r="C2085" s="1104" t="str">
        <f aca="false">'Смета Внутр'!C2085</f>
        <v>ед.</v>
      </c>
      <c r="D2085" s="1109" t="n">
        <f aca="false">'Смета Внутр'!D2085</f>
        <v>3</v>
      </c>
      <c r="E2085" s="1104" t="n">
        <f aca="false">'Смета Внутр'!E2085</f>
        <v>2500</v>
      </c>
      <c r="F2085" s="1104" t="n">
        <f aca="false">'Смета Внутр'!F2085</f>
        <v>0</v>
      </c>
      <c r="G2085" s="1104" t="n">
        <f aca="false">IF(E2085&gt;F2085,E2085,F2085)</f>
        <v>2500</v>
      </c>
      <c r="H2085" s="1104" t="n">
        <f aca="false">'Смета Внутр'!G2085</f>
        <v>0</v>
      </c>
      <c r="I2085" s="1104" t="n">
        <f aca="false">'Смета Внутр'!H2085</f>
        <v>0</v>
      </c>
      <c r="J2085" s="1109" t="n">
        <f aca="false">'Смета Внутр'!I2085</f>
        <v>0</v>
      </c>
    </row>
    <row r="2086" customFormat="false" ht="15" hidden="true" customHeight="false" outlineLevel="0" collapsed="false">
      <c r="B2086" s="1104" t="str">
        <f aca="false">'Смета Внутр'!B2086</f>
        <v>Нет техники</v>
      </c>
      <c r="C2086" s="1104" t="str">
        <f aca="false">'Смета Внутр'!C2086</f>
        <v>ед.</v>
      </c>
      <c r="D2086" s="1109" t="n">
        <f aca="false">'Смета Внутр'!D2086</f>
        <v>4</v>
      </c>
      <c r="E2086" s="1104" t="n">
        <f aca="false">'Смета Внутр'!E2086</f>
        <v>0</v>
      </c>
      <c r="F2086" s="1104" t="n">
        <f aca="false">'Смета Внутр'!F2086</f>
        <v>0</v>
      </c>
      <c r="G2086" s="1104" t="n">
        <f aca="false">IF(E2086&gt;F2086,E2086,F2086)</f>
        <v>0</v>
      </c>
      <c r="H2086" s="1104" t="n">
        <f aca="false">'Смета Внутр'!G2086</f>
        <v>0</v>
      </c>
      <c r="I2086" s="1104" t="n">
        <f aca="false">'Смета Внутр'!H2086</f>
        <v>0</v>
      </c>
      <c r="J2086" s="1109" t="n">
        <f aca="false">'Смета Внутр'!I2086</f>
        <v>0</v>
      </c>
    </row>
    <row r="2087" customFormat="false" ht="15" hidden="true" customHeight="false" outlineLevel="0" collapsed="false">
      <c r="B2087" s="1104" t="str">
        <f aca="false">'Смета Внутр'!B2087</f>
        <v>Нет техники</v>
      </c>
      <c r="C2087" s="1104" t="str">
        <f aca="false">'Смета Внутр'!C2087</f>
        <v>ед.</v>
      </c>
      <c r="D2087" s="1109" t="n">
        <f aca="false">'Смета Внутр'!D2087</f>
        <v>0</v>
      </c>
      <c r="E2087" s="1104" t="n">
        <f aca="false">'Смета Внутр'!E2087</f>
        <v>0</v>
      </c>
      <c r="F2087" s="1104" t="n">
        <f aca="false">'Смета Внутр'!F2087</f>
        <v>0</v>
      </c>
      <c r="G2087" s="1104" t="n">
        <f aca="false">IF(E2087&gt;F2087,E2087,F2087)</f>
        <v>0</v>
      </c>
      <c r="H2087" s="1104" t="n">
        <f aca="false">'Смета Внутр'!G2087</f>
        <v>0</v>
      </c>
      <c r="I2087" s="1104" t="n">
        <f aca="false">'Смета Внутр'!H2087</f>
        <v>0</v>
      </c>
      <c r="J2087" s="1109" t="n">
        <f aca="false">'Смета Внутр'!I2087</f>
        <v>0</v>
      </c>
    </row>
    <row r="2088" customFormat="false" ht="15" hidden="true" customHeight="false" outlineLevel="0" collapsed="false">
      <c r="B2088" s="1104" t="str">
        <f aca="false">'Смета Внутр'!B2088</f>
        <v>Нет техники</v>
      </c>
      <c r="C2088" s="1104" t="str">
        <f aca="false">'Смета Внутр'!C2088</f>
        <v>ед.</v>
      </c>
      <c r="D2088" s="1109" t="n">
        <f aca="false">'Смета Внутр'!D2088</f>
        <v>0</v>
      </c>
      <c r="E2088" s="1104" t="n">
        <f aca="false">'Смета Внутр'!E2088</f>
        <v>0</v>
      </c>
      <c r="F2088" s="1104" t="n">
        <f aca="false">'Смета Внутр'!F2088</f>
        <v>0</v>
      </c>
      <c r="G2088" s="1104" t="n">
        <f aca="false">IF(E2088&gt;F2088,E2088,F2088)</f>
        <v>0</v>
      </c>
      <c r="H2088" s="1104" t="n">
        <f aca="false">'Смета Внутр'!G2088</f>
        <v>0</v>
      </c>
      <c r="I2088" s="1104" t="n">
        <f aca="false">'Смета Внутр'!H2088</f>
        <v>0</v>
      </c>
      <c r="J2088" s="1109" t="n">
        <f aca="false">'Смета Внутр'!I2088</f>
        <v>0</v>
      </c>
    </row>
    <row r="2089" customFormat="false" ht="15" hidden="true" customHeight="false" outlineLevel="0" collapsed="false">
      <c r="B2089" s="1104" t="str">
        <f aca="false">'Смета Внутр'!B2089</f>
        <v>Нет техники</v>
      </c>
      <c r="C2089" s="1104" t="str">
        <f aca="false">'Смета Внутр'!C2089</f>
        <v>ед.</v>
      </c>
      <c r="D2089" s="1109" t="n">
        <f aca="false">'Смета Внутр'!D2089</f>
        <v>0</v>
      </c>
      <c r="E2089" s="1104" t="n">
        <f aca="false">'Смета Внутр'!E2089</f>
        <v>0</v>
      </c>
      <c r="F2089" s="1104" t="n">
        <f aca="false">'Смета Внутр'!F2089</f>
        <v>0</v>
      </c>
      <c r="G2089" s="1104" t="n">
        <f aca="false">IF(E2089&gt;F2089,E2089,F2089)</f>
        <v>0</v>
      </c>
      <c r="H2089" s="1104" t="n">
        <f aca="false">'Смета Внутр'!G2089</f>
        <v>0</v>
      </c>
      <c r="I2089" s="1104" t="n">
        <f aca="false">'Смета Внутр'!H2089</f>
        <v>0</v>
      </c>
      <c r="J2089" s="1109" t="n">
        <f aca="false">'Смета Внутр'!I2089</f>
        <v>0</v>
      </c>
    </row>
    <row r="2090" customFormat="false" ht="15" hidden="true" customHeight="false" outlineLevel="0" collapsed="false">
      <c r="B2090" s="1104" t="str">
        <f aca="false">'Смета Внутр'!B2090</f>
        <v>Нет техники</v>
      </c>
      <c r="C2090" s="1104" t="str">
        <f aca="false">'Смета Внутр'!C2090</f>
        <v>ед.</v>
      </c>
      <c r="D2090" s="1109" t="n">
        <f aca="false">'Смета Внутр'!D2090</f>
        <v>4</v>
      </c>
      <c r="E2090" s="1104" t="n">
        <f aca="false">'Смета Внутр'!E2090</f>
        <v>0</v>
      </c>
      <c r="F2090" s="1104" t="n">
        <f aca="false">'Смета Внутр'!F2090</f>
        <v>0</v>
      </c>
      <c r="G2090" s="1104" t="n">
        <f aca="false">IF(E2090&gt;F2090,E2090,F2090)</f>
        <v>0</v>
      </c>
      <c r="H2090" s="1104" t="n">
        <f aca="false">'Смета Внутр'!G2090</f>
        <v>0</v>
      </c>
      <c r="I2090" s="1104" t="n">
        <f aca="false">'Смета Внутр'!H2090</f>
        <v>0</v>
      </c>
      <c r="J2090" s="1109" t="n">
        <f aca="false">'Смета Внутр'!I2090</f>
        <v>0</v>
      </c>
    </row>
    <row r="2091" customFormat="false" ht="15" hidden="true" customHeight="false" outlineLevel="0" collapsed="false">
      <c r="B2091" s="1104" t="str">
        <f aca="false">'Смета Внутр'!B2091</f>
        <v>Нет техники</v>
      </c>
      <c r="C2091" s="1104" t="str">
        <f aca="false">'Смета Внутр'!C2091</f>
        <v>ед.</v>
      </c>
      <c r="D2091" s="1109" t="n">
        <f aca="false">'Смета Внутр'!D2091</f>
        <v>0</v>
      </c>
      <c r="E2091" s="1104" t="n">
        <f aca="false">'Смета Внутр'!E2091</f>
        <v>0</v>
      </c>
      <c r="F2091" s="1104" t="n">
        <f aca="false">'Смета Внутр'!F2091</f>
        <v>0</v>
      </c>
      <c r="G2091" s="1104" t="n">
        <f aca="false">IF(E2091&gt;F2091,E2091,F2091)</f>
        <v>0</v>
      </c>
      <c r="H2091" s="1104" t="n">
        <f aca="false">'Смета Внутр'!G2091</f>
        <v>0</v>
      </c>
      <c r="I2091" s="1104" t="n">
        <f aca="false">'Смета Внутр'!H2091</f>
        <v>0</v>
      </c>
      <c r="J2091" s="1109" t="n">
        <f aca="false">'Смета Внутр'!I2091</f>
        <v>0</v>
      </c>
    </row>
    <row r="2092" customFormat="false" ht="15" hidden="true" customHeight="false" outlineLevel="0" collapsed="false">
      <c r="B2092" s="1104" t="str">
        <f aca="false">'Смета Внутр'!B2092</f>
        <v>Нет техники</v>
      </c>
      <c r="C2092" s="1104" t="str">
        <f aca="false">'Смета Внутр'!C2092</f>
        <v>ед.</v>
      </c>
      <c r="D2092" s="1109" t="n">
        <f aca="false">'Смета Внутр'!D2092</f>
        <v>4</v>
      </c>
      <c r="E2092" s="1104" t="n">
        <f aca="false">'Смета Внутр'!E2092</f>
        <v>0</v>
      </c>
      <c r="F2092" s="1104" t="n">
        <f aca="false">'Смета Внутр'!F2092</f>
        <v>0</v>
      </c>
      <c r="G2092" s="1104" t="n">
        <f aca="false">IF(E2092&gt;F2092,E2092,F2092)</f>
        <v>0</v>
      </c>
      <c r="H2092" s="1104" t="n">
        <f aca="false">'Смета Внутр'!G2092</f>
        <v>0</v>
      </c>
      <c r="I2092" s="1104" t="n">
        <f aca="false">'Смета Внутр'!H2092</f>
        <v>0</v>
      </c>
      <c r="J2092" s="1109" t="n">
        <f aca="false">'Смета Внутр'!I2092</f>
        <v>0</v>
      </c>
    </row>
    <row r="2093" customFormat="false" ht="15" hidden="true" customHeight="false" outlineLevel="0" collapsed="false">
      <c r="B2093" s="1104" t="str">
        <f aca="false">'Смета Внутр'!B2093</f>
        <v>Нет техники</v>
      </c>
      <c r="C2093" s="1104" t="str">
        <f aca="false">'Смета Внутр'!C2093</f>
        <v>ед.</v>
      </c>
      <c r="D2093" s="1109" t="n">
        <f aca="false">'Смета Внутр'!D2093</f>
        <v>0</v>
      </c>
      <c r="E2093" s="1104" t="n">
        <f aca="false">'Смета Внутр'!E2093</f>
        <v>0</v>
      </c>
      <c r="F2093" s="1104" t="n">
        <f aca="false">'Смета Внутр'!F2093</f>
        <v>0</v>
      </c>
      <c r="G2093" s="1104" t="n">
        <f aca="false">IF(E2093&gt;F2093,E2093,F2093)</f>
        <v>0</v>
      </c>
      <c r="H2093" s="1104" t="n">
        <f aca="false">'Смета Внутр'!G2093</f>
        <v>0</v>
      </c>
      <c r="I2093" s="1104" t="n">
        <f aca="false">'Смета Внутр'!H2093</f>
        <v>0</v>
      </c>
      <c r="J2093" s="1109" t="n">
        <f aca="false">'Смета Внутр'!I2093</f>
        <v>0</v>
      </c>
    </row>
    <row r="2094" customFormat="false" ht="15" hidden="true" customHeight="false" outlineLevel="0" collapsed="false">
      <c r="B2094" s="1104" t="str">
        <f aca="false">'Смета Внутр'!B2094</f>
        <v>Нет техники</v>
      </c>
      <c r="C2094" s="1104" t="str">
        <f aca="false">'Смета Внутр'!C2094</f>
        <v>ед.</v>
      </c>
      <c r="D2094" s="1109" t="n">
        <f aca="false">'Смета Внутр'!D2094</f>
        <v>0</v>
      </c>
      <c r="E2094" s="1104" t="n">
        <f aca="false">'Смета Внутр'!E2094</f>
        <v>0</v>
      </c>
      <c r="F2094" s="1104" t="n">
        <f aca="false">'Смета Внутр'!F2094</f>
        <v>0</v>
      </c>
      <c r="G2094" s="1104" t="n">
        <f aca="false">IF(E2094&gt;F2094,E2094,F2094)</f>
        <v>0</v>
      </c>
      <c r="H2094" s="1104" t="n">
        <f aca="false">'Смета Внутр'!G2094</f>
        <v>0</v>
      </c>
      <c r="I2094" s="1104" t="n">
        <f aca="false">'Смета Внутр'!H2094</f>
        <v>0</v>
      </c>
      <c r="J2094" s="1109" t="n">
        <f aca="false">'Смета Внутр'!I2094</f>
        <v>0</v>
      </c>
    </row>
    <row r="2095" customFormat="false" ht="15" hidden="true" customHeight="false" outlineLevel="0" collapsed="false">
      <c r="B2095" s="1104" t="str">
        <f aca="false">'Смета Внутр'!B2095</f>
        <v>Нет техники</v>
      </c>
      <c r="C2095" s="1104" t="str">
        <f aca="false">'Смета Внутр'!C2095</f>
        <v>ед.</v>
      </c>
      <c r="D2095" s="1109" t="n">
        <f aca="false">'Смета Внутр'!D2095</f>
        <v>0</v>
      </c>
      <c r="E2095" s="1104" t="n">
        <f aca="false">'Смета Внутр'!E2095</f>
        <v>0</v>
      </c>
      <c r="F2095" s="1104" t="n">
        <f aca="false">'Смета Внутр'!F2095</f>
        <v>0</v>
      </c>
      <c r="G2095" s="1104" t="n">
        <f aca="false">IF(E2095&gt;F2095,E2095,F2095)</f>
        <v>0</v>
      </c>
      <c r="H2095" s="1104" t="n">
        <f aca="false">'Смета Внутр'!G2095</f>
        <v>0</v>
      </c>
      <c r="I2095" s="1104" t="n">
        <f aca="false">'Смета Внутр'!H2095</f>
        <v>0</v>
      </c>
      <c r="J2095" s="1109" t="n">
        <f aca="false">'Смета Внутр'!I2095</f>
        <v>0</v>
      </c>
    </row>
    <row r="2096" customFormat="false" ht="15" hidden="true" customHeight="false" outlineLevel="0" collapsed="false">
      <c r="B2096" s="1104" t="str">
        <f aca="false">'Смета Внутр'!B2096</f>
        <v>Нет техники</v>
      </c>
      <c r="C2096" s="1104" t="str">
        <f aca="false">'Смета Внутр'!C2096</f>
        <v>ед.</v>
      </c>
      <c r="D2096" s="1109" t="n">
        <f aca="false">'Смета Внутр'!D2096</f>
        <v>1</v>
      </c>
      <c r="E2096" s="1104" t="n">
        <f aca="false">'Смета Внутр'!E2096</f>
        <v>0</v>
      </c>
      <c r="F2096" s="1104" t="n">
        <f aca="false">'Смета Внутр'!F2096</f>
        <v>0</v>
      </c>
      <c r="G2096" s="1104" t="n">
        <f aca="false">IF(E2096&gt;F2096,E2096,F2096)</f>
        <v>0</v>
      </c>
      <c r="H2096" s="1104" t="n">
        <f aca="false">'Смета Внутр'!G2096</f>
        <v>0</v>
      </c>
      <c r="I2096" s="1104" t="n">
        <f aca="false">'Смета Внутр'!H2096</f>
        <v>0</v>
      </c>
      <c r="J2096" s="1109" t="n">
        <f aca="false">'Смета Внутр'!I2096</f>
        <v>0</v>
      </c>
    </row>
    <row r="2097" customFormat="false" ht="15" hidden="true" customHeight="false" outlineLevel="0" collapsed="false">
      <c r="B2097" s="1104" t="str">
        <f aca="false">'Смета Внутр'!B2097</f>
        <v>Нет техники</v>
      </c>
      <c r="C2097" s="1104" t="str">
        <f aca="false">'Смета Внутр'!C2097</f>
        <v>ед.</v>
      </c>
      <c r="D2097" s="1109" t="n">
        <f aca="false">'Смета Внутр'!D2097</f>
        <v>0</v>
      </c>
      <c r="E2097" s="1104" t="n">
        <f aca="false">'Смета Внутр'!E2097</f>
        <v>0</v>
      </c>
      <c r="F2097" s="1104" t="n">
        <f aca="false">'Смета Внутр'!F2097</f>
        <v>0</v>
      </c>
      <c r="G2097" s="1104" t="n">
        <f aca="false">IF(E2097&gt;F2097,E2097,F2097)</f>
        <v>0</v>
      </c>
      <c r="H2097" s="1104" t="n">
        <f aca="false">'Смета Внутр'!G2097</f>
        <v>0</v>
      </c>
      <c r="I2097" s="1104" t="n">
        <f aca="false">'Смета Внутр'!H2097</f>
        <v>0</v>
      </c>
      <c r="J2097" s="1109" t="n">
        <f aca="false">'Смета Внутр'!I2097</f>
        <v>0</v>
      </c>
    </row>
    <row r="2098" customFormat="false" ht="15" hidden="true" customHeight="false" outlineLevel="0" collapsed="false">
      <c r="B2098" s="1104" t="str">
        <f aca="false">'Смета Внутр'!B2098</f>
        <v>Нет техники</v>
      </c>
      <c r="C2098" s="1104" t="str">
        <f aca="false">'Смета Внутр'!C2098</f>
        <v>ед.</v>
      </c>
      <c r="D2098" s="1109" t="n">
        <f aca="false">'Смета Внутр'!D2098</f>
        <v>0</v>
      </c>
      <c r="E2098" s="1104" t="n">
        <f aca="false">'Смета Внутр'!E2098</f>
        <v>0</v>
      </c>
      <c r="F2098" s="1104" t="n">
        <f aca="false">'Смета Внутр'!F2098</f>
        <v>0</v>
      </c>
      <c r="G2098" s="1104" t="n">
        <f aca="false">IF(E2098&gt;F2098,E2098,F2098)</f>
        <v>0</v>
      </c>
      <c r="H2098" s="1104" t="n">
        <f aca="false">'Смета Внутр'!G2098</f>
        <v>0</v>
      </c>
      <c r="I2098" s="1104" t="n">
        <f aca="false">'Смета Внутр'!H2098</f>
        <v>0</v>
      </c>
      <c r="J2098" s="1109" t="n">
        <f aca="false">'Смета Внутр'!I2098</f>
        <v>0</v>
      </c>
    </row>
    <row r="2099" customFormat="false" ht="15" hidden="true" customHeight="false" outlineLevel="0" collapsed="false">
      <c r="B2099" s="1104" t="str">
        <f aca="false">'Смета Внутр'!B2099</f>
        <v>Нет техники</v>
      </c>
      <c r="C2099" s="1104" t="str">
        <f aca="false">'Смета Внутр'!C2099</f>
        <v>ед.</v>
      </c>
      <c r="D2099" s="1109" t="n">
        <f aca="false">'Смета Внутр'!D2099</f>
        <v>0</v>
      </c>
      <c r="E2099" s="1104" t="n">
        <f aca="false">'Смета Внутр'!E2099</f>
        <v>0</v>
      </c>
      <c r="F2099" s="1104" t="n">
        <f aca="false">'Смета Внутр'!F2099</f>
        <v>0</v>
      </c>
      <c r="G2099" s="1104" t="n">
        <f aca="false">IF(E2099&gt;F2099,E2099,F2099)</f>
        <v>0</v>
      </c>
      <c r="H2099" s="1104" t="n">
        <f aca="false">'Смета Внутр'!G2099</f>
        <v>0</v>
      </c>
      <c r="I2099" s="1104" t="n">
        <f aca="false">'Смета Внутр'!H2099</f>
        <v>0</v>
      </c>
      <c r="J2099" s="1109" t="n">
        <f aca="false">'Смета Внутр'!I2099</f>
        <v>0</v>
      </c>
    </row>
    <row r="2100" customFormat="false" ht="15" hidden="true" customHeight="false" outlineLevel="0" collapsed="false">
      <c r="B2100" s="1104" t="str">
        <f aca="false">'Смета Внутр'!B2100</f>
        <v>Нет техники</v>
      </c>
      <c r="C2100" s="1104" t="str">
        <f aca="false">'Смета Внутр'!C2100</f>
        <v>ед.</v>
      </c>
      <c r="D2100" s="1109" t="n">
        <f aca="false">'Смета Внутр'!D2100</f>
        <v>3</v>
      </c>
      <c r="E2100" s="1104" t="n">
        <f aca="false">'Смета Внутр'!E2100</f>
        <v>0</v>
      </c>
      <c r="F2100" s="1104" t="n">
        <f aca="false">'Смета Внутр'!F2100</f>
        <v>0</v>
      </c>
      <c r="G2100" s="1104" t="n">
        <f aca="false">IF(E2100&gt;F2100,E2100,F2100)</f>
        <v>0</v>
      </c>
      <c r="H2100" s="1104" t="n">
        <f aca="false">'Смета Внутр'!G2100</f>
        <v>0</v>
      </c>
      <c r="I2100" s="1104" t="n">
        <f aca="false">'Смета Внутр'!H2100</f>
        <v>0</v>
      </c>
      <c r="J2100" s="1109" t="n">
        <f aca="false">'Смета Внутр'!I2100</f>
        <v>0</v>
      </c>
    </row>
    <row r="2101" customFormat="false" ht="15" hidden="true" customHeight="false" outlineLevel="0" collapsed="false">
      <c r="B2101" s="1104" t="str">
        <f aca="false">'Смета Внутр'!B2101</f>
        <v>Нет техники</v>
      </c>
      <c r="C2101" s="1104" t="str">
        <f aca="false">'Смета Внутр'!C2101</f>
        <v>ед.</v>
      </c>
      <c r="D2101" s="1109" t="n">
        <f aca="false">'Смета Внутр'!D2101</f>
        <v>0</v>
      </c>
      <c r="E2101" s="1104" t="n">
        <f aca="false">'Смета Внутр'!E2101</f>
        <v>0</v>
      </c>
      <c r="F2101" s="1104" t="n">
        <f aca="false">'Смета Внутр'!F2101</f>
        <v>0</v>
      </c>
      <c r="G2101" s="1104" t="n">
        <f aca="false">IF(E2101&gt;F2101,E2101,F2101)</f>
        <v>0</v>
      </c>
      <c r="H2101" s="1104" t="n">
        <f aca="false">'Смета Внутр'!G2101</f>
        <v>0</v>
      </c>
      <c r="I2101" s="1104" t="n">
        <f aca="false">'Смета Внутр'!H2101</f>
        <v>0</v>
      </c>
      <c r="J2101" s="1109" t="n">
        <f aca="false">'Смета Внутр'!I2101</f>
        <v>0</v>
      </c>
    </row>
    <row r="2102" customFormat="false" ht="15" hidden="true" customHeight="false" outlineLevel="0" collapsed="false">
      <c r="B2102" s="1104" t="str">
        <f aca="false">'Смета Внутр'!B2102</f>
        <v>Нет техники</v>
      </c>
      <c r="C2102" s="1104" t="str">
        <f aca="false">'Смета Внутр'!C2102</f>
        <v>ед.</v>
      </c>
      <c r="D2102" s="1109" t="n">
        <f aca="false">'Смета Внутр'!D2102</f>
        <v>3</v>
      </c>
      <c r="E2102" s="1104" t="n">
        <f aca="false">'Смета Внутр'!E2102</f>
        <v>0</v>
      </c>
      <c r="F2102" s="1104" t="n">
        <f aca="false">'Смета Внутр'!F2102</f>
        <v>0</v>
      </c>
      <c r="G2102" s="1104" t="n">
        <f aca="false">IF(E2102&gt;F2102,E2102,F2102)</f>
        <v>0</v>
      </c>
      <c r="H2102" s="1104" t="n">
        <f aca="false">'Смета Внутр'!G2102</f>
        <v>0</v>
      </c>
      <c r="I2102" s="1104" t="n">
        <f aca="false">'Смета Внутр'!H2102</f>
        <v>0</v>
      </c>
      <c r="J2102" s="1109" t="n">
        <f aca="false">'Смета Внутр'!I2102</f>
        <v>0</v>
      </c>
    </row>
    <row r="2103" customFormat="false" ht="15" hidden="true" customHeight="false" outlineLevel="0" collapsed="false">
      <c r="B2103" s="1104" t="str">
        <f aca="false">'Смета Внутр'!B2103</f>
        <v>Нет техники</v>
      </c>
      <c r="C2103" s="1104" t="str">
        <f aca="false">'Смета Внутр'!C2103</f>
        <v>ед.</v>
      </c>
      <c r="D2103" s="1109" t="n">
        <f aca="false">'Смета Внутр'!D2103</f>
        <v>0</v>
      </c>
      <c r="E2103" s="1104" t="n">
        <f aca="false">'Смета Внутр'!E2103</f>
        <v>0</v>
      </c>
      <c r="F2103" s="1104" t="n">
        <f aca="false">'Смета Внутр'!F2103</f>
        <v>0</v>
      </c>
      <c r="G2103" s="1104" t="n">
        <f aca="false">IF(E2103&gt;F2103,E2103,F2103)</f>
        <v>0</v>
      </c>
      <c r="H2103" s="1104" t="n">
        <f aca="false">'Смета Внутр'!G2103</f>
        <v>0</v>
      </c>
      <c r="I2103" s="1104" t="n">
        <f aca="false">'Смета Внутр'!H2103</f>
        <v>0</v>
      </c>
      <c r="J2103" s="1109" t="n">
        <f aca="false">'Смета Внутр'!I2103</f>
        <v>0</v>
      </c>
    </row>
    <row r="2104" customFormat="false" ht="15" hidden="true" customHeight="false" outlineLevel="0" collapsed="false">
      <c r="B2104" s="1104" t="str">
        <f aca="false">'Смета Внутр'!B2104</f>
        <v>Нет техники</v>
      </c>
      <c r="C2104" s="1104" t="str">
        <f aca="false">'Смета Внутр'!C2104</f>
        <v>ед.</v>
      </c>
      <c r="D2104" s="1109" t="n">
        <f aca="false">'Смета Внутр'!D2104</f>
        <v>0</v>
      </c>
      <c r="E2104" s="1104" t="n">
        <f aca="false">'Смета Внутр'!E2104</f>
        <v>0</v>
      </c>
      <c r="F2104" s="1104" t="n">
        <f aca="false">'Смета Внутр'!F2104</f>
        <v>0</v>
      </c>
      <c r="G2104" s="1104" t="n">
        <f aca="false">IF(E2104&gt;F2104,E2104,F2104)</f>
        <v>0</v>
      </c>
      <c r="H2104" s="1104" t="n">
        <f aca="false">'Смета Внутр'!G2104</f>
        <v>0</v>
      </c>
      <c r="I2104" s="1104" t="n">
        <f aca="false">'Смета Внутр'!H2104</f>
        <v>0</v>
      </c>
      <c r="J2104" s="1109" t="n">
        <f aca="false">'Смета Внутр'!I2104</f>
        <v>0</v>
      </c>
    </row>
    <row r="2105" customFormat="false" ht="15" hidden="true" customHeight="false" outlineLevel="0" collapsed="false">
      <c r="B2105" s="1104" t="str">
        <f aca="false">'Смета Внутр'!B2105</f>
        <v>Нет техники</v>
      </c>
      <c r="C2105" s="1104" t="str">
        <f aca="false">'Смета Внутр'!C2105</f>
        <v>ед.</v>
      </c>
      <c r="D2105" s="1109" t="n">
        <f aca="false">'Смета Внутр'!D2105</f>
        <v>0</v>
      </c>
      <c r="E2105" s="1104" t="n">
        <f aca="false">'Смета Внутр'!E2105</f>
        <v>0</v>
      </c>
      <c r="F2105" s="1104" t="n">
        <f aca="false">'Смета Внутр'!F2105</f>
        <v>0</v>
      </c>
      <c r="G2105" s="1104" t="n">
        <f aca="false">IF(E2105&gt;F2105,E2105,F2105)</f>
        <v>0</v>
      </c>
      <c r="H2105" s="1104" t="n">
        <f aca="false">'Смета Внутр'!G2105</f>
        <v>0</v>
      </c>
      <c r="I2105" s="1104" t="n">
        <f aca="false">'Смета Внутр'!H2105</f>
        <v>0</v>
      </c>
      <c r="J2105" s="1109" t="n">
        <f aca="false">'Смета Внутр'!I2105</f>
        <v>0</v>
      </c>
    </row>
    <row r="2106" customFormat="false" ht="15" hidden="true" customHeight="false" outlineLevel="0" collapsed="false">
      <c r="B2106" s="1104" t="str">
        <f aca="false">'Смета Внутр'!B2106</f>
        <v>Нет техники</v>
      </c>
      <c r="C2106" s="1104" t="str">
        <f aca="false">'Смета Внутр'!C2106</f>
        <v>ед.</v>
      </c>
      <c r="D2106" s="1109" t="n">
        <f aca="false">'Смета Внутр'!D2106</f>
        <v>0</v>
      </c>
      <c r="E2106" s="1104" t="n">
        <f aca="false">'Смета Внутр'!E2106</f>
        <v>0</v>
      </c>
      <c r="F2106" s="1104" t="n">
        <f aca="false">'Смета Внутр'!F2106</f>
        <v>0</v>
      </c>
      <c r="G2106" s="1104" t="n">
        <f aca="false">IF(E2106&gt;F2106,E2106,F2106)</f>
        <v>0</v>
      </c>
      <c r="H2106" s="1104" t="n">
        <f aca="false">'Смета Внутр'!G2106</f>
        <v>0</v>
      </c>
      <c r="I2106" s="1104" t="n">
        <f aca="false">'Смета Внутр'!H2106</f>
        <v>0</v>
      </c>
      <c r="J2106" s="1109" t="n">
        <f aca="false">'Смета Внутр'!I2106</f>
        <v>0</v>
      </c>
    </row>
    <row r="2107" customFormat="false" ht="15" hidden="true" customHeight="false" outlineLevel="0" collapsed="false">
      <c r="B2107" s="1104" t="str">
        <f aca="false">'Смета Внутр'!B2107</f>
        <v>Нет техники</v>
      </c>
      <c r="C2107" s="1104" t="str">
        <f aca="false">'Смета Внутр'!C2107</f>
        <v>ед.</v>
      </c>
      <c r="D2107" s="1109" t="n">
        <f aca="false">'Смета Внутр'!D2107</f>
        <v>0</v>
      </c>
      <c r="E2107" s="1104" t="n">
        <f aca="false">'Смета Внутр'!E2107</f>
        <v>0</v>
      </c>
      <c r="F2107" s="1104" t="n">
        <f aca="false">'Смета Внутр'!F2107</f>
        <v>0</v>
      </c>
      <c r="G2107" s="1104" t="n">
        <f aca="false">IF(E2107&gt;F2107,E2107,F2107)</f>
        <v>0</v>
      </c>
      <c r="H2107" s="1104" t="n">
        <f aca="false">'Смета Внутр'!G2107</f>
        <v>0</v>
      </c>
      <c r="I2107" s="1104" t="n">
        <f aca="false">'Смета Внутр'!H2107</f>
        <v>0</v>
      </c>
      <c r="J2107" s="1109" t="n">
        <f aca="false">'Смета Внутр'!I2107</f>
        <v>0</v>
      </c>
    </row>
    <row r="2108" customFormat="false" ht="15" hidden="true" customHeight="false" outlineLevel="0" collapsed="false">
      <c r="B2108" s="1104" t="str">
        <f aca="false">'Смета Внутр'!B2108</f>
        <v>Нет техники</v>
      </c>
      <c r="C2108" s="1104" t="str">
        <f aca="false">'Смета Внутр'!C2108</f>
        <v>ед.</v>
      </c>
      <c r="D2108" s="1109" t="n">
        <f aca="false">'Смета Внутр'!D2108</f>
        <v>0</v>
      </c>
      <c r="E2108" s="1104" t="n">
        <f aca="false">'Смета Внутр'!E2108</f>
        <v>0</v>
      </c>
      <c r="F2108" s="1104" t="n">
        <f aca="false">'Смета Внутр'!F2108</f>
        <v>0</v>
      </c>
      <c r="G2108" s="1104" t="n">
        <f aca="false">IF(E2108&gt;F2108,E2108,F2108)</f>
        <v>0</v>
      </c>
      <c r="H2108" s="1104" t="n">
        <f aca="false">'Смета Внутр'!G2108</f>
        <v>0</v>
      </c>
      <c r="I2108" s="1104" t="n">
        <f aca="false">'Смета Внутр'!H2108</f>
        <v>0</v>
      </c>
      <c r="J2108" s="1109" t="n">
        <f aca="false">'Смета Внутр'!I2108</f>
        <v>0</v>
      </c>
    </row>
    <row r="2109" customFormat="false" ht="15" hidden="true" customHeight="false" outlineLevel="0" collapsed="false">
      <c r="B2109" s="1104" t="str">
        <f aca="false">'Смета Внутр'!B2109</f>
        <v>Экскаватор погрузчик, бурение</v>
      </c>
      <c r="C2109" s="1104" t="str">
        <f aca="false">'Смета Внутр'!C2109</f>
        <v>ед.</v>
      </c>
      <c r="D2109" s="1109" t="n">
        <f aca="false">'Смета Внутр'!D2109</f>
        <v>0</v>
      </c>
      <c r="E2109" s="1104" t="n">
        <f aca="false">'Смета Внутр'!E2109</f>
        <v>300</v>
      </c>
      <c r="F2109" s="1104" t="n">
        <f aca="false">'Смета Внутр'!F2109</f>
        <v>0</v>
      </c>
      <c r="G2109" s="1104" t="n">
        <f aca="false">IF(E2109&gt;F2109,E2109,F2109)</f>
        <v>300</v>
      </c>
      <c r="H2109" s="1104" t="n">
        <f aca="false">'Смета Внутр'!G2109</f>
        <v>0</v>
      </c>
      <c r="I2109" s="1104" t="n">
        <f aca="false">'Смета Внутр'!H2109</f>
        <v>0</v>
      </c>
      <c r="J2109" s="1109" t="n">
        <f aca="false">'Смета Внутр'!I2109</f>
        <v>0</v>
      </c>
    </row>
    <row r="2110" customFormat="false" ht="15" hidden="true" customHeight="false" outlineLevel="0" collapsed="false">
      <c r="B2110" s="1104" t="str">
        <f aca="false">'Смета Внутр'!B2110</f>
        <v>Нет техники</v>
      </c>
      <c r="C2110" s="1104" t="str">
        <f aca="false">'Смета Внутр'!C2110</f>
        <v>ед.</v>
      </c>
      <c r="D2110" s="1109" t="n">
        <f aca="false">'Смета Внутр'!D2110</f>
        <v>0</v>
      </c>
      <c r="E2110" s="1104" t="n">
        <f aca="false">'Смета Внутр'!E2110</f>
        <v>0</v>
      </c>
      <c r="F2110" s="1104" t="n">
        <f aca="false">'Смета Внутр'!F2110</f>
        <v>0</v>
      </c>
      <c r="G2110" s="1104" t="n">
        <f aca="false">IF(E2110&gt;F2110,E2110,F2110)</f>
        <v>0</v>
      </c>
      <c r="H2110" s="1104" t="n">
        <f aca="false">'Смета Внутр'!G2110</f>
        <v>0</v>
      </c>
      <c r="I2110" s="1104" t="n">
        <f aca="false">'Смета Внутр'!H2110</f>
        <v>0</v>
      </c>
      <c r="J2110" s="1109" t="n">
        <f aca="false">'Смета Внутр'!I2110</f>
        <v>0</v>
      </c>
    </row>
    <row r="2111" customFormat="false" ht="15" hidden="true" customHeight="false" outlineLevel="0" collapsed="false">
      <c r="B2111" s="1108" t="str">
        <f aca="false">'Смета Внутр'!B2111</f>
        <v>Итого, рублей</v>
      </c>
      <c r="C2111" s="1108"/>
      <c r="D2111" s="1108"/>
      <c r="E2111" s="1108"/>
      <c r="F2111" s="1108"/>
      <c r="G2111" s="1108"/>
      <c r="H2111" s="1104" t="n">
        <f aca="false">'Смета Внутр'!G2111</f>
        <v>0</v>
      </c>
      <c r="I2111" s="1104" t="n">
        <f aca="false">'Смета Внутр'!H2111</f>
        <v>0</v>
      </c>
      <c r="J2111" s="1109" t="n">
        <f aca="false">'Смета Внутр'!I2111</f>
        <v>0</v>
      </c>
    </row>
    <row r="2112" customFormat="false" ht="18.75" hidden="false" customHeight="false" outlineLevel="0" collapsed="false">
      <c r="B2112" s="1111" t="str">
        <f aca="false">'Смета Внутр'!B2112</f>
        <v>Расходные материалы</v>
      </c>
      <c r="C2112" s="1111"/>
      <c r="D2112" s="1111"/>
      <c r="H2112" s="118" t="n">
        <f aca="false">'Смета Внутр'!G2112</f>
        <v>0</v>
      </c>
      <c r="I2112" s="118" t="n">
        <f aca="false">'Смета Внутр'!H2112</f>
        <v>22000</v>
      </c>
      <c r="J2112" s="1102" t="n">
        <f aca="false">J2148</f>
        <v>22000</v>
      </c>
    </row>
    <row r="2113" customFormat="false" ht="15" hidden="true" customHeight="false" outlineLevel="0" collapsed="false">
      <c r="B2113" s="1104" t="str">
        <f aca="false">'Смета Внутр'!B2113</f>
        <v>расходные материалы котельная</v>
      </c>
      <c r="C2113" s="1104" t="str">
        <f aca="false">'Смета Внутр'!C2113</f>
        <v>рублей</v>
      </c>
      <c r="D2113" s="1109" t="n">
        <f aca="false">'Смета Внутр'!D2113</f>
        <v>1</v>
      </c>
      <c r="E2113" s="1104" t="n">
        <f aca="false">'Смета Внутр'!E2113</f>
        <v>5000</v>
      </c>
      <c r="F2113" s="1104" t="n">
        <f aca="false">'Смета Внутр'!F2113</f>
        <v>0</v>
      </c>
      <c r="G2113" s="1104" t="n">
        <f aca="false">IF(E2113&gt;F2113,E2113,F2113)</f>
        <v>5000</v>
      </c>
      <c r="H2113" s="1104" t="n">
        <f aca="false">'Смета Внутр'!G2113</f>
        <v>0</v>
      </c>
      <c r="I2113" s="1104" t="n">
        <f aca="false">'Смета Внутр'!H2113</f>
        <v>0</v>
      </c>
      <c r="J2113" s="1109" t="n">
        <f aca="false">'Смета Внутр'!I2113</f>
        <v>0</v>
      </c>
    </row>
    <row r="2114" customFormat="false" ht="15" hidden="true" customHeight="false" outlineLevel="0" collapsed="false">
      <c r="B2114" s="1104" t="str">
        <f aca="false">'Смета Внутр'!B2114</f>
        <v>расходные материалы скважина</v>
      </c>
      <c r="C2114" s="1104" t="str">
        <f aca="false">'Смета Внутр'!C2114</f>
        <v>рублей</v>
      </c>
      <c r="D2114" s="1109" t="n">
        <f aca="false">'Смета Внутр'!D2114</f>
        <v>1</v>
      </c>
      <c r="E2114" s="1104" t="n">
        <f aca="false">'Смета Внутр'!E2114</f>
        <v>5000</v>
      </c>
      <c r="F2114" s="1104" t="n">
        <f aca="false">'Смета Внутр'!F2114</f>
        <v>0</v>
      </c>
      <c r="G2114" s="1104" t="n">
        <f aca="false">IF(E2114&gt;F2114,E2114,F2114)</f>
        <v>5000</v>
      </c>
      <c r="H2114" s="1104" t="n">
        <f aca="false">'Смета Внутр'!G2114</f>
        <v>0</v>
      </c>
      <c r="I2114" s="1104" t="n">
        <f aca="false">'Смета Внутр'!H2114</f>
        <v>0</v>
      </c>
      <c r="J2114" s="1109" t="n">
        <f aca="false">'Смета Внутр'!I2114</f>
        <v>0</v>
      </c>
    </row>
    <row r="2115" customFormat="false" ht="15" hidden="true" customHeight="false" outlineLevel="0" collapsed="false">
      <c r="B2115" s="1104" t="str">
        <f aca="false">'Смета Внутр'!B2115</f>
        <v>расходные материалы для отопления</v>
      </c>
      <c r="C2115" s="1104" t="str">
        <f aca="false">'Смета Внутр'!C2115</f>
        <v>рублей</v>
      </c>
      <c r="D2115" s="1109" t="n">
        <f aca="false">'Смета Внутр'!D2115</f>
        <v>1</v>
      </c>
      <c r="E2115" s="1104" t="n">
        <f aca="false">'Смета Внутр'!E2115</f>
        <v>5000</v>
      </c>
      <c r="F2115" s="1104" t="n">
        <f aca="false">'Смета Внутр'!F2115</f>
        <v>0</v>
      </c>
      <c r="G2115" s="1104" t="n">
        <f aca="false">IF(E2115&gt;F2115,E2115,F2115)</f>
        <v>5000</v>
      </c>
      <c r="H2115" s="1104" t="n">
        <f aca="false">'Смета Внутр'!G2115</f>
        <v>0</v>
      </c>
      <c r="I2115" s="1104" t="n">
        <f aca="false">'Смета Внутр'!H2115</f>
        <v>0</v>
      </c>
      <c r="J2115" s="1109" t="n">
        <f aca="false">'Смета Внутр'!I2115</f>
        <v>0</v>
      </c>
    </row>
    <row r="2116" customFormat="false" ht="15" hidden="true" customHeight="false" outlineLevel="0" collapsed="false">
      <c r="B2116" s="1104" t="str">
        <f aca="false">'Смета Внутр'!B2116</f>
        <v>расходные материалы для электрики</v>
      </c>
      <c r="C2116" s="1104" t="str">
        <f aca="false">'Смета Внутр'!C2116</f>
        <v>рублей</v>
      </c>
      <c r="D2116" s="1109" t="n">
        <f aca="false">'Смета Внутр'!D2116</f>
        <v>1</v>
      </c>
      <c r="E2116" s="1104" t="n">
        <f aca="false">'Смета Внутр'!E2116</f>
        <v>5000</v>
      </c>
      <c r="F2116" s="1104" t="n">
        <f aca="false">'Смета Внутр'!F2116</f>
        <v>0</v>
      </c>
      <c r="G2116" s="1104" t="n">
        <f aca="false">IF(E2116&gt;F2116,E2116,F2116)</f>
        <v>5000</v>
      </c>
      <c r="H2116" s="1104" t="n">
        <f aca="false">'Смета Внутр'!G2116</f>
        <v>0</v>
      </c>
      <c r="I2116" s="1104" t="n">
        <f aca="false">'Смета Внутр'!H2116</f>
        <v>0</v>
      </c>
      <c r="J2116" s="1109" t="n">
        <f aca="false">'Смета Внутр'!I2116</f>
        <v>0</v>
      </c>
    </row>
    <row r="2117" customFormat="false" ht="15" hidden="true" customHeight="false" outlineLevel="0" collapsed="false">
      <c r="B2117" s="1104" t="str">
        <f aca="false">'Смета Внутр'!B2117</f>
        <v>расходные материалы плита ушп</v>
      </c>
      <c r="C2117" s="1104" t="str">
        <f aca="false">'Смета Внутр'!C2117</f>
        <v>рублей</v>
      </c>
      <c r="D2117" s="1109" t="n">
        <f aca="false">'Смета Внутр'!D2117</f>
        <v>1</v>
      </c>
      <c r="E2117" s="1104" t="n">
        <f aca="false">'Смета Внутр'!E2117</f>
        <v>12000</v>
      </c>
      <c r="F2117" s="1104" t="n">
        <f aca="false">'Смета Внутр'!F2117</f>
        <v>0</v>
      </c>
      <c r="G2117" s="1104" t="n">
        <f aca="false">IF(E2117&gt;F2117,E2117,F2117)</f>
        <v>12000</v>
      </c>
      <c r="H2117" s="1104" t="n">
        <f aca="false">'Смета Внутр'!G2117</f>
        <v>0</v>
      </c>
      <c r="I2117" s="1104" t="n">
        <f aca="false">'Смета Внутр'!H2117</f>
        <v>0</v>
      </c>
      <c r="J2117" s="1109" t="n">
        <f aca="false">'Смета Внутр'!I2117</f>
        <v>0</v>
      </c>
    </row>
    <row r="2118" customFormat="false" ht="15" hidden="true" customHeight="false" outlineLevel="0" collapsed="false">
      <c r="B2118" s="1104" t="str">
        <f aca="false">'Смета Внутр'!B2118</f>
        <v>расходные материалы свайноростверковый фундамент</v>
      </c>
      <c r="C2118" s="1104" t="str">
        <f aca="false">'Смета Внутр'!C2118</f>
        <v>рублей</v>
      </c>
      <c r="D2118" s="1109" t="n">
        <f aca="false">'Смета Внутр'!D2118</f>
        <v>1</v>
      </c>
      <c r="E2118" s="1104" t="n">
        <f aca="false">'Смета Внутр'!E2118</f>
        <v>8000</v>
      </c>
      <c r="F2118" s="1104" t="n">
        <f aca="false">'Смета Внутр'!F2118</f>
        <v>0</v>
      </c>
      <c r="G2118" s="1104" t="n">
        <f aca="false">IF(E2118&gt;F2118,E2118,F2118)</f>
        <v>8000</v>
      </c>
      <c r="H2118" s="1104" t="n">
        <f aca="false">'Смета Внутр'!G2118</f>
        <v>0</v>
      </c>
      <c r="I2118" s="1104" t="n">
        <f aca="false">'Смета Внутр'!H2118</f>
        <v>0</v>
      </c>
      <c r="J2118" s="1109" t="n">
        <f aca="false">'Смета Внутр'!I2118</f>
        <v>0</v>
      </c>
    </row>
    <row r="2119" customFormat="false" ht="15" hidden="false" customHeight="false" outlineLevel="0" collapsed="false">
      <c r="B2119" s="1104" t="str">
        <f aca="false">'Смета Внутр'!B2119</f>
        <v>расходные материалы свайноростверковый фундамент</v>
      </c>
      <c r="C2119" s="1104" t="str">
        <f aca="false">'Смета Внутр'!C2119</f>
        <v>рублей</v>
      </c>
      <c r="D2119" s="1109" t="n">
        <f aca="false">'Смета Внутр'!D2119</f>
        <v>1</v>
      </c>
      <c r="E2119" s="1104" t="n">
        <f aca="false">'Смета Внутр'!E2119</f>
        <v>8000</v>
      </c>
      <c r="F2119" s="1104" t="n">
        <f aca="false">'Смета Внутр'!F2119</f>
        <v>0</v>
      </c>
      <c r="G2119" s="1104" t="n">
        <f aca="false">IF(E2119&gt;F2119,E2119,F2119)</f>
        <v>8000</v>
      </c>
      <c r="H2119" s="1104" t="n">
        <f aca="false">'Смета Внутр'!G2119</f>
        <v>8000</v>
      </c>
      <c r="I2119" s="1104" t="n">
        <f aca="false">'Смета Внутр'!H2119</f>
        <v>8000</v>
      </c>
      <c r="J2119" s="1109" t="n">
        <f aca="false">'Смета Внутр'!I2119</f>
        <v>8000</v>
      </c>
    </row>
    <row r="2120" customFormat="false" ht="15" hidden="true" customHeight="false" outlineLevel="0" collapsed="false">
      <c r="B2120" s="1104" t="str">
        <f aca="false">'Смета Внутр'!B2120</f>
        <v>расходные материалы сип панели</v>
      </c>
      <c r="C2120" s="1104" t="str">
        <f aca="false">'Смета Внутр'!C2120</f>
        <v>рублей</v>
      </c>
      <c r="D2120" s="1109" t="n">
        <f aca="false">'Смета Внутр'!D2120</f>
        <v>1</v>
      </c>
      <c r="E2120" s="1104" t="n">
        <f aca="false">'Смета Внутр'!E2120</f>
        <v>3000</v>
      </c>
      <c r="F2120" s="1104" t="n">
        <f aca="false">'Смета Внутр'!F2120</f>
        <v>0</v>
      </c>
      <c r="G2120" s="1104" t="n">
        <f aca="false">IF(E2120&gt;F2120,E2120,F2120)</f>
        <v>3000</v>
      </c>
      <c r="H2120" s="1104" t="n">
        <f aca="false">'Смета Внутр'!G2120</f>
        <v>0</v>
      </c>
      <c r="I2120" s="1104" t="n">
        <f aca="false">'Смета Внутр'!H2120</f>
        <v>0</v>
      </c>
      <c r="J2120" s="1109" t="n">
        <f aca="false">'Смета Внутр'!I2120</f>
        <v>0</v>
      </c>
    </row>
    <row r="2121" customFormat="false" ht="15" hidden="true" customHeight="false" outlineLevel="0" collapsed="false">
      <c r="B2121" s="1104" t="str">
        <f aca="false">'Смета Внутр'!B2121</f>
        <v>расходные материалы каркасный дом</v>
      </c>
      <c r="C2121" s="1104" t="str">
        <f aca="false">'Смета Внутр'!C2121</f>
        <v>рублей</v>
      </c>
      <c r="D2121" s="1109" t="n">
        <f aca="false">'Смета Внутр'!D2121</f>
        <v>1</v>
      </c>
      <c r="E2121" s="1104" t="n">
        <f aca="false">'Смета Внутр'!E2121</f>
        <v>3000</v>
      </c>
      <c r="F2121" s="1104" t="n">
        <f aca="false">'Смета Внутр'!F2121</f>
        <v>0</v>
      </c>
      <c r="G2121" s="1104" t="n">
        <f aca="false">IF(E2121&gt;F2121,E2121,F2121)</f>
        <v>3000</v>
      </c>
      <c r="H2121" s="1104" t="n">
        <f aca="false">'Смета Внутр'!G2121</f>
        <v>0</v>
      </c>
      <c r="I2121" s="1104" t="n">
        <f aca="false">'Смета Внутр'!H2121</f>
        <v>0</v>
      </c>
      <c r="J2121" s="1109" t="n">
        <f aca="false">'Смета Внутр'!I2121</f>
        <v>0</v>
      </c>
    </row>
    <row r="2122" customFormat="false" ht="15" hidden="true" customHeight="false" outlineLevel="0" collapsed="false">
      <c r="B2122" s="1104" t="str">
        <f aca="false">'Смета Внутр'!B2122</f>
        <v>расходные материалы каменные дома</v>
      </c>
      <c r="C2122" s="1104" t="str">
        <f aca="false">'Смета Внутр'!C2122</f>
        <v>рублей</v>
      </c>
      <c r="D2122" s="1109" t="n">
        <f aca="false">'Смета Внутр'!D2122</f>
        <v>1</v>
      </c>
      <c r="E2122" s="1104" t="n">
        <f aca="false">'Смета Внутр'!E2122</f>
        <v>3000</v>
      </c>
      <c r="F2122" s="1104" t="n">
        <f aca="false">'Смета Внутр'!F2122</f>
        <v>0</v>
      </c>
      <c r="G2122" s="1104" t="n">
        <f aca="false">IF(E2122&gt;F2122,E2122,F2122)</f>
        <v>3000</v>
      </c>
      <c r="H2122" s="1104" t="n">
        <f aca="false">'Смета Внутр'!G2122</f>
        <v>0</v>
      </c>
      <c r="I2122" s="1104" t="n">
        <f aca="false">'Смета Внутр'!H2122</f>
        <v>0</v>
      </c>
      <c r="J2122" s="1109" t="n">
        <f aca="false">'Смета Внутр'!I2122</f>
        <v>0</v>
      </c>
    </row>
    <row r="2123" customFormat="false" ht="15" hidden="true" customHeight="false" outlineLevel="0" collapsed="false">
      <c r="B2123" s="1104" t="str">
        <f aca="false">'Смета Внутр'!B2123</f>
        <v>расходные материалы каменные дома</v>
      </c>
      <c r="C2123" s="1104" t="str">
        <f aca="false">'Смета Внутр'!C2123</f>
        <v>рублей</v>
      </c>
      <c r="D2123" s="1109" t="n">
        <f aca="false">'Смета Внутр'!D2123</f>
        <v>1</v>
      </c>
      <c r="E2123" s="1104" t="n">
        <f aca="false">'Смета Внутр'!E2123</f>
        <v>0</v>
      </c>
      <c r="F2123" s="1104" t="n">
        <f aca="false">'Смета Внутр'!F2123</f>
        <v>0</v>
      </c>
      <c r="G2123" s="1104" t="n">
        <f aca="false">IF(E2123&gt;F2123,E2123,F2123)</f>
        <v>0</v>
      </c>
      <c r="H2123" s="1104" t="n">
        <f aca="false">'Смета Внутр'!G2123</f>
        <v>0</v>
      </c>
      <c r="I2123" s="1104" t="n">
        <f aca="false">'Смета Внутр'!H2123</f>
        <v>0</v>
      </c>
      <c r="J2123" s="1109" t="n">
        <f aca="false">'Смета Внутр'!I2123</f>
        <v>0</v>
      </c>
    </row>
    <row r="2124" customFormat="false" ht="15" hidden="true" customHeight="false" outlineLevel="0" collapsed="false">
      <c r="B2124" s="1104" t="str">
        <f aca="false">'Смета Внутр'!B2124</f>
        <v>расходные материалы каменные дома</v>
      </c>
      <c r="C2124" s="1104" t="str">
        <f aca="false">'Смета Внутр'!C2124</f>
        <v>рублей</v>
      </c>
      <c r="D2124" s="1109" t="n">
        <f aca="false">'Смета Внутр'!D2124</f>
        <v>1</v>
      </c>
      <c r="E2124" s="1104" t="n">
        <f aca="false">'Смета Внутр'!E2124</f>
        <v>3000</v>
      </c>
      <c r="F2124" s="1104" t="n">
        <f aca="false">'Смета Внутр'!F2124</f>
        <v>0</v>
      </c>
      <c r="G2124" s="1104" t="n">
        <f aca="false">IF(E2124&gt;F2124,E2124,F2124)</f>
        <v>3000</v>
      </c>
      <c r="H2124" s="1104" t="n">
        <f aca="false">'Смета Внутр'!G2124</f>
        <v>3000</v>
      </c>
      <c r="I2124" s="1104" t="n">
        <f aca="false">'Смета Внутр'!H2124</f>
        <v>3000</v>
      </c>
      <c r="J2124" s="1109" t="n">
        <f aca="false">'Смета Внутр'!I2124</f>
        <v>3000</v>
      </c>
    </row>
    <row r="2125" customFormat="false" ht="15" hidden="true" customHeight="false" outlineLevel="0" collapsed="false">
      <c r="B2125" s="1104" t="str">
        <f aca="false">'Смета Внутр'!B2125</f>
        <v>расходные материалы дома из леса</v>
      </c>
      <c r="C2125" s="1104" t="str">
        <f aca="false">'Смета Внутр'!C2125</f>
        <v>рублей</v>
      </c>
      <c r="D2125" s="1109" t="n">
        <f aca="false">'Смета Внутр'!D2125</f>
        <v>1</v>
      </c>
      <c r="E2125" s="1104" t="n">
        <f aca="false">'Смета Внутр'!E2125</f>
        <v>3000</v>
      </c>
      <c r="F2125" s="1104" t="n">
        <f aca="false">'Смета Внутр'!F2125</f>
        <v>0</v>
      </c>
      <c r="G2125" s="1104" t="n">
        <f aca="false">IF(E2125&gt;F2125,E2125,F2125)</f>
        <v>3000</v>
      </c>
      <c r="H2125" s="1104" t="n">
        <f aca="false">'Смета Внутр'!G2125</f>
        <v>0</v>
      </c>
      <c r="I2125" s="1104" t="n">
        <f aca="false">'Смета Внутр'!H2125</f>
        <v>0</v>
      </c>
      <c r="J2125" s="1109" t="n">
        <f aca="false">'Смета Внутр'!I2125</f>
        <v>0</v>
      </c>
    </row>
    <row r="2126" customFormat="false" ht="15" hidden="true" customHeight="false" outlineLevel="0" collapsed="false">
      <c r="B2126" s="1104" t="str">
        <f aca="false">'Смета Внутр'!B2126</f>
        <v>расходные материалы дома из леса</v>
      </c>
      <c r="C2126" s="1104" t="str">
        <f aca="false">'Смета Внутр'!C2126</f>
        <v>рублей</v>
      </c>
      <c r="D2126" s="1109" t="n">
        <f aca="false">'Смета Внутр'!D2126</f>
        <v>1</v>
      </c>
      <c r="E2126" s="1104" t="n">
        <f aca="false">'Смета Внутр'!E2126</f>
        <v>3000</v>
      </c>
      <c r="F2126" s="1104" t="n">
        <f aca="false">'Смета Внутр'!F2126</f>
        <v>0</v>
      </c>
      <c r="G2126" s="1104" t="n">
        <f aca="false">IF(E2126&gt;F2126,E2126,F2126)</f>
        <v>3000</v>
      </c>
      <c r="H2126" s="1104" t="n">
        <f aca="false">'Смета Внутр'!G2126</f>
        <v>0</v>
      </c>
      <c r="I2126" s="1104" t="n">
        <f aca="false">'Смета Внутр'!H2126</f>
        <v>0</v>
      </c>
      <c r="J2126" s="1109" t="n">
        <f aca="false">'Смета Внутр'!I2126</f>
        <v>0</v>
      </c>
    </row>
    <row r="2127" customFormat="false" ht="15" hidden="true" customHeight="false" outlineLevel="0" collapsed="false">
      <c r="B2127" s="1104" t="str">
        <f aca="false">'Смета Внутр'!B2127</f>
        <v>расходные материалы дома из леса</v>
      </c>
      <c r="C2127" s="1104" t="str">
        <f aca="false">'Смета Внутр'!C2127</f>
        <v>рублей</v>
      </c>
      <c r="D2127" s="1109" t="n">
        <f aca="false">'Смета Внутр'!D2127</f>
        <v>1</v>
      </c>
      <c r="E2127" s="1104" t="n">
        <f aca="false">'Смета Внутр'!E2127</f>
        <v>3000</v>
      </c>
      <c r="F2127" s="1104" t="n">
        <f aca="false">'Смета Внутр'!F2127</f>
        <v>0</v>
      </c>
      <c r="G2127" s="1104" t="n">
        <f aca="false">IF(E2127&gt;F2127,E2127,F2127)</f>
        <v>3000</v>
      </c>
      <c r="H2127" s="1104" t="n">
        <f aca="false">'Смета Внутр'!G2127</f>
        <v>0</v>
      </c>
      <c r="I2127" s="1104" t="n">
        <f aca="false">'Смета Внутр'!H2127</f>
        <v>0</v>
      </c>
      <c r="J2127" s="1109" t="n">
        <f aca="false">'Смета Внутр'!I2127</f>
        <v>0</v>
      </c>
    </row>
    <row r="2128" customFormat="false" ht="15" hidden="true" customHeight="false" outlineLevel="0" collapsed="false">
      <c r="B2128" s="1104" t="str">
        <f aca="false">'Смета Внутр'!B2128</f>
        <v>расходные материалы дома из леса</v>
      </c>
      <c r="C2128" s="1104" t="str">
        <f aca="false">'Смета Внутр'!C2128</f>
        <v>рублей</v>
      </c>
      <c r="D2128" s="1109" t="n">
        <f aca="false">'Смета Внутр'!D2128</f>
        <v>1</v>
      </c>
      <c r="E2128" s="1104" t="n">
        <f aca="false">'Смета Внутр'!E2128</f>
        <v>3000</v>
      </c>
      <c r="F2128" s="1104" t="n">
        <f aca="false">'Смета Внутр'!F2128</f>
        <v>0</v>
      </c>
      <c r="G2128" s="1104" t="n">
        <f aca="false">IF(E2128&gt;F2128,E2128,F2128)</f>
        <v>3000</v>
      </c>
      <c r="H2128" s="1104" t="n">
        <f aca="false">'Смета Внутр'!G2128</f>
        <v>0</v>
      </c>
      <c r="I2128" s="1104" t="n">
        <f aca="false">'Смета Внутр'!H2128</f>
        <v>0</v>
      </c>
      <c r="J2128" s="1109" t="n">
        <f aca="false">'Смета Внутр'!I2128</f>
        <v>0</v>
      </c>
    </row>
    <row r="2129" customFormat="false" ht="15" hidden="true" customHeight="false" outlineLevel="0" collapsed="false">
      <c r="B2129" s="1104" t="str">
        <f aca="false">'Смета Внутр'!B2129</f>
        <v>расходные материалы дома из леса</v>
      </c>
      <c r="C2129" s="1104" t="str">
        <f aca="false">'Смета Внутр'!C2129</f>
        <v>рублей</v>
      </c>
      <c r="D2129" s="1109" t="n">
        <f aca="false">'Смета Внутр'!D2129</f>
        <v>1</v>
      </c>
      <c r="E2129" s="1104" t="n">
        <f aca="false">'Смета Внутр'!E2129</f>
        <v>3000</v>
      </c>
      <c r="F2129" s="1104" t="n">
        <f aca="false">'Смета Внутр'!F2129</f>
        <v>0</v>
      </c>
      <c r="G2129" s="1104" t="n">
        <f aca="false">IF(E2129&gt;F2129,E2129,F2129)</f>
        <v>3000</v>
      </c>
      <c r="H2129" s="1104" t="n">
        <f aca="false">'Смета Внутр'!G2129</f>
        <v>0</v>
      </c>
      <c r="I2129" s="1104" t="n">
        <f aca="false">'Смета Внутр'!H2129</f>
        <v>0</v>
      </c>
      <c r="J2129" s="1109" t="n">
        <f aca="false">'Смета Внутр'!I2129</f>
        <v>0</v>
      </c>
    </row>
    <row r="2130" customFormat="false" ht="15" hidden="true" customHeight="false" outlineLevel="0" collapsed="false">
      <c r="B2130" s="1104" t="str">
        <f aca="false">'Смета Внутр'!B2130</f>
        <v>расходные материалы эркер</v>
      </c>
      <c r="C2130" s="1104" t="str">
        <f aca="false">'Смета Внутр'!C2130</f>
        <v>рублей</v>
      </c>
      <c r="D2130" s="1109" t="n">
        <f aca="false">'Смета Внутр'!D2130</f>
        <v>1</v>
      </c>
      <c r="E2130" s="1104" t="n">
        <f aca="false">'Смета Внутр'!E2130</f>
        <v>0</v>
      </c>
      <c r="F2130" s="1104" t="n">
        <f aca="false">'Смета Внутр'!F2130</f>
        <v>0</v>
      </c>
      <c r="G2130" s="1104" t="n">
        <f aca="false">IF(E2130&gt;F2130,E2130,F2130)</f>
        <v>0</v>
      </c>
      <c r="H2130" s="1104" t="n">
        <f aca="false">'Смета Внутр'!G2130</f>
        <v>0</v>
      </c>
      <c r="I2130" s="1104" t="n">
        <f aca="false">'Смета Внутр'!H2130</f>
        <v>0</v>
      </c>
      <c r="J2130" s="1109" t="n">
        <f aca="false">'Смета Внутр'!I2130</f>
        <v>0</v>
      </c>
    </row>
    <row r="2131" customFormat="false" ht="15" hidden="true" customHeight="false" outlineLevel="0" collapsed="false">
      <c r="B2131" s="1104" t="str">
        <f aca="false">'Смета Внутр'!B2131</f>
        <v>расходные материалы двускатная кровля</v>
      </c>
      <c r="C2131" s="1104" t="str">
        <f aca="false">'Смета Внутр'!C2131</f>
        <v>рублей</v>
      </c>
      <c r="D2131" s="1109" t="n">
        <f aca="false">'Смета Внутр'!D2131</f>
        <v>1</v>
      </c>
      <c r="E2131" s="1104" t="n">
        <f aca="false">'Смета Внутр'!E2131</f>
        <v>3000</v>
      </c>
      <c r="F2131" s="1104" t="n">
        <f aca="false">'Смета Внутр'!F2131</f>
        <v>0</v>
      </c>
      <c r="G2131" s="1104" t="n">
        <f aca="false">IF(E2131&gt;F2131,E2131,F2131)</f>
        <v>3000</v>
      </c>
      <c r="H2131" s="1104" t="n">
        <f aca="false">'Смета Внутр'!G2131</f>
        <v>3000</v>
      </c>
      <c r="I2131" s="1104" t="n">
        <f aca="false">'Смета Внутр'!H2131</f>
        <v>3000</v>
      </c>
      <c r="J2131" s="1109" t="n">
        <f aca="false">'Смета Внутр'!I2131</f>
        <v>3000</v>
      </c>
    </row>
    <row r="2132" customFormat="false" ht="15" hidden="true" customHeight="false" outlineLevel="0" collapsed="false">
      <c r="B2132" s="1104" t="str">
        <f aca="false">'Смета Внутр'!B2132</f>
        <v>расходные материалы вальмовая кровля</v>
      </c>
      <c r="C2132" s="1104" t="str">
        <f aca="false">'Смета Внутр'!C2132</f>
        <v>рублей</v>
      </c>
      <c r="D2132" s="1109" t="n">
        <f aca="false">'Смета Внутр'!D2132</f>
        <v>1</v>
      </c>
      <c r="E2132" s="1104" t="n">
        <f aca="false">'Смета Внутр'!E2132</f>
        <v>3000</v>
      </c>
      <c r="F2132" s="1104" t="n">
        <f aca="false">'Смета Внутр'!F2132</f>
        <v>0</v>
      </c>
      <c r="G2132" s="1104" t="n">
        <f aca="false">IF(E2132&gt;F2132,E2132,F2132)</f>
        <v>3000</v>
      </c>
      <c r="H2132" s="1104" t="n">
        <f aca="false">'Смета Внутр'!G2132</f>
        <v>0</v>
      </c>
      <c r="I2132" s="1104" t="n">
        <f aca="false">'Смета Внутр'!H2132</f>
        <v>0</v>
      </c>
      <c r="J2132" s="1109" t="n">
        <f aca="false">'Смета Внутр'!I2132</f>
        <v>0</v>
      </c>
    </row>
    <row r="2133" customFormat="false" ht="15" hidden="true" customHeight="false" outlineLevel="0" collapsed="false">
      <c r="B2133" s="1104" t="str">
        <f aca="false">'Смета Внутр'!B2133</f>
        <v>расходные материалы полувальмовая кровля</v>
      </c>
      <c r="C2133" s="1104" t="str">
        <f aca="false">'Смета Внутр'!C2133</f>
        <v>рублей</v>
      </c>
      <c r="D2133" s="1109" t="n">
        <f aca="false">'Смета Внутр'!D2133</f>
        <v>1</v>
      </c>
      <c r="E2133" s="1104" t="n">
        <f aca="false">'Смета Внутр'!E2133</f>
        <v>3000</v>
      </c>
      <c r="F2133" s="1104" t="n">
        <f aca="false">'Смета Внутр'!F2133</f>
        <v>0</v>
      </c>
      <c r="G2133" s="1104" t="n">
        <f aca="false">IF(E2133&gt;F2133,E2133,F2133)</f>
        <v>3000</v>
      </c>
      <c r="H2133" s="1104" t="n">
        <f aca="false">'Смета Внутр'!G2133</f>
        <v>0</v>
      </c>
      <c r="I2133" s="1104" t="n">
        <f aca="false">'Смета Внутр'!H2133</f>
        <v>0</v>
      </c>
      <c r="J2133" s="1109" t="n">
        <f aca="false">'Смета Внутр'!I2133</f>
        <v>0</v>
      </c>
    </row>
    <row r="2134" customFormat="false" ht="15" hidden="true" customHeight="false" outlineLevel="0" collapsed="false">
      <c r="B2134" s="1104" t="str">
        <f aca="false">'Смета Внутр'!B2134</f>
        <v>расходные материалы элементы кровель</v>
      </c>
      <c r="C2134" s="1104" t="str">
        <f aca="false">'Смета Внутр'!C2134</f>
        <v>рублей</v>
      </c>
      <c r="D2134" s="1109" t="n">
        <f aca="false">'Смета Внутр'!D2134</f>
        <v>1</v>
      </c>
      <c r="E2134" s="1104" t="n">
        <f aca="false">'Смета Внутр'!E2134</f>
        <v>10000</v>
      </c>
      <c r="F2134" s="1104" t="n">
        <f aca="false">'Смета Внутр'!F2134</f>
        <v>0</v>
      </c>
      <c r="G2134" s="1104" t="n">
        <f aca="false">IF(E2134&gt;F2134,E2134,F2134)</f>
        <v>10000</v>
      </c>
      <c r="H2134" s="1104" t="n">
        <f aca="false">'Смета Внутр'!G2134</f>
        <v>0</v>
      </c>
      <c r="I2134" s="1104" t="n">
        <f aca="false">'Смета Внутр'!H2134</f>
        <v>0</v>
      </c>
      <c r="J2134" s="1109" t="n">
        <f aca="false">'Смета Внутр'!I2134</f>
        <v>0</v>
      </c>
    </row>
    <row r="2135" customFormat="false" ht="15" hidden="true" customHeight="false" outlineLevel="0" collapsed="false">
      <c r="B2135" s="1104" t="str">
        <f aca="false">'Смета Внутр'!B2135</f>
        <v>расходные материалы пристройки</v>
      </c>
      <c r="C2135" s="1104" t="str">
        <f aca="false">'Смета Внутр'!C2135</f>
        <v>рублей</v>
      </c>
      <c r="D2135" s="1109" t="n">
        <f aca="false">'Смета Внутр'!D2135</f>
        <v>1</v>
      </c>
      <c r="E2135" s="1104" t="n">
        <f aca="false">'Смета Внутр'!E2135</f>
        <v>3000</v>
      </c>
      <c r="F2135" s="1104" t="n">
        <f aca="false">'Смета Внутр'!F2135</f>
        <v>0</v>
      </c>
      <c r="G2135" s="1104" t="n">
        <f aca="false">IF(E2135&gt;F2135,E2135,F2135)</f>
        <v>3000</v>
      </c>
      <c r="H2135" s="1104" t="n">
        <f aca="false">'Смета Внутр'!G2135</f>
        <v>0</v>
      </c>
      <c r="I2135" s="1104" t="n">
        <f aca="false">'Смета Внутр'!H2135</f>
        <v>0</v>
      </c>
      <c r="J2135" s="1109" t="n">
        <f aca="false">'Смета Внутр'!I2135</f>
        <v>0</v>
      </c>
    </row>
    <row r="2136" customFormat="false" ht="15" hidden="true" customHeight="false" outlineLevel="0" collapsed="false">
      <c r="B2136" s="1104" t="str">
        <f aca="false">'Смета Внутр'!B2136</f>
        <v>расходные материалы веранда</v>
      </c>
      <c r="C2136" s="1104" t="str">
        <f aca="false">'Смета Внутр'!C2136</f>
        <v>рублей</v>
      </c>
      <c r="D2136" s="1109" t="n">
        <f aca="false">'Смета Внутр'!D2136</f>
        <v>1</v>
      </c>
      <c r="E2136" s="1104" t="n">
        <f aca="false">'Смета Внутр'!E2136</f>
        <v>0</v>
      </c>
      <c r="F2136" s="1104" t="n">
        <f aca="false">'Смета Внутр'!F2136</f>
        <v>0</v>
      </c>
      <c r="G2136" s="1104" t="n">
        <f aca="false">IF(E2136&gt;F2136,E2136,F2136)</f>
        <v>0</v>
      </c>
      <c r="H2136" s="1104" t="n">
        <f aca="false">'Смета Внутр'!G2136</f>
        <v>0</v>
      </c>
      <c r="I2136" s="1104" t="n">
        <f aca="false">'Смета Внутр'!H2136</f>
        <v>0</v>
      </c>
      <c r="J2136" s="1109" t="n">
        <f aca="false">'Смета Внутр'!I2136</f>
        <v>0</v>
      </c>
    </row>
    <row r="2137" customFormat="false" ht="15" hidden="true" customHeight="false" outlineLevel="0" collapsed="false">
      <c r="B2137" s="1104" t="str">
        <f aca="false">'Смета Внутр'!B2137</f>
        <v>расходные материалы для септика</v>
      </c>
      <c r="C2137" s="1104" t="str">
        <f aca="false">'Смета Внутр'!C2137</f>
        <v>рублей</v>
      </c>
      <c r="D2137" s="1109" t="n">
        <f aca="false">'Смета Внутр'!D2137</f>
        <v>1</v>
      </c>
      <c r="E2137" s="1104" t="n">
        <f aca="false">'Смета Внутр'!E2137</f>
        <v>5000</v>
      </c>
      <c r="F2137" s="1104" t="n">
        <f aca="false">'Смета Внутр'!F2137</f>
        <v>0</v>
      </c>
      <c r="G2137" s="1104" t="n">
        <f aca="false">IF(E2137&gt;F2137,E2137,F2137)</f>
        <v>5000</v>
      </c>
      <c r="H2137" s="1104" t="n">
        <f aca="false">'Смета Внутр'!G2137</f>
        <v>0</v>
      </c>
      <c r="I2137" s="1104" t="n">
        <f aca="false">'Смета Внутр'!H2137</f>
        <v>0</v>
      </c>
      <c r="J2137" s="1109" t="n">
        <f aca="false">'Смета Внутр'!I2137</f>
        <v>0</v>
      </c>
    </row>
    <row r="2138" customFormat="false" ht="15" hidden="false" customHeight="false" outlineLevel="0" collapsed="false">
      <c r="B2138" s="1104" t="str">
        <f aca="false">'Смета Внутр'!B2138</f>
        <v>расходные материалы односкатная кровля</v>
      </c>
      <c r="C2138" s="1104" t="str">
        <f aca="false">'Смета Внутр'!C2138</f>
        <v>рублей</v>
      </c>
      <c r="D2138" s="1109" t="n">
        <f aca="false">'Смета Внутр'!D2138</f>
        <v>1</v>
      </c>
      <c r="E2138" s="1104" t="n">
        <f aca="false">'Смета Внутр'!E2138</f>
        <v>3000</v>
      </c>
      <c r="F2138" s="1104" t="n">
        <f aca="false">'Смета Внутр'!F2138</f>
        <v>0</v>
      </c>
      <c r="G2138" s="1104" t="n">
        <f aca="false">IF(E2138&gt;F2138,E2138,F2138)</f>
        <v>3000</v>
      </c>
      <c r="H2138" s="1104" t="n">
        <f aca="false">'Смета Внутр'!G2138</f>
        <v>0</v>
      </c>
      <c r="I2138" s="1104" t="n">
        <f aca="false">'Смета Внутр'!H2138</f>
        <v>0</v>
      </c>
      <c r="J2138" s="1109" t="n">
        <f aca="false">'Смета Внутр'!I2138</f>
        <v>0</v>
      </c>
    </row>
    <row r="2139" customFormat="false" ht="15" hidden="true" customHeight="false" outlineLevel="0" collapsed="false">
      <c r="B2139" s="1104" t="str">
        <f aca="false">'Смета Внутр'!B2139</f>
        <v>Расходные материалы винтовые сваи</v>
      </c>
      <c r="C2139" s="1104" t="str">
        <f aca="false">'Смета Внутр'!C2139</f>
        <v>рублей</v>
      </c>
      <c r="D2139" s="1109" t="n">
        <f aca="false">'Смета Внутр'!D2139</f>
        <v>1</v>
      </c>
      <c r="E2139" s="1104" t="n">
        <f aca="false">'Смета Внутр'!E2139</f>
        <v>6000</v>
      </c>
      <c r="F2139" s="1104" t="n">
        <f aca="false">'Смета Внутр'!F2139</f>
        <v>0</v>
      </c>
      <c r="G2139" s="1104" t="n">
        <f aca="false">IF(E2139&gt;F2139,E2139,F2139)</f>
        <v>6000</v>
      </c>
      <c r="H2139" s="1104" t="n">
        <f aca="false">'Смета Внутр'!G2139</f>
        <v>0</v>
      </c>
      <c r="I2139" s="1104" t="n">
        <f aca="false">'Смета Внутр'!H2139</f>
        <v>0</v>
      </c>
      <c r="J2139" s="1109" t="n">
        <f aca="false">'Смета Внутр'!I2139</f>
        <v>0</v>
      </c>
    </row>
    <row r="2140" customFormat="false" ht="15" hidden="true" customHeight="false" outlineLevel="0" collapsed="false">
      <c r="B2140" s="1104" t="str">
        <f aca="false">'Смета Внутр'!B2140</f>
        <v>расходные материалы окна</v>
      </c>
      <c r="C2140" s="1104" t="str">
        <f aca="false">'Смета Внутр'!C2140</f>
        <v>рублей</v>
      </c>
      <c r="D2140" s="1109" t="n">
        <f aca="false">'Смета Внутр'!D2140</f>
        <v>1</v>
      </c>
      <c r="E2140" s="1104" t="n">
        <f aca="false">'Смета Внутр'!E2140</f>
        <v>5000</v>
      </c>
      <c r="F2140" s="1104" t="n">
        <f aca="false">'Смета Внутр'!F2140</f>
        <v>0</v>
      </c>
      <c r="G2140" s="1104" t="n">
        <f aca="false">IF(E2140&gt;F2140,E2140,F2140)</f>
        <v>5000</v>
      </c>
      <c r="H2140" s="1104" t="n">
        <f aca="false">'Смета Внутр'!G2140</f>
        <v>0</v>
      </c>
      <c r="I2140" s="1104" t="n">
        <f aca="false">'Смета Внутр'!H2140</f>
        <v>0</v>
      </c>
      <c r="J2140" s="1109" t="n">
        <f aca="false">'Смета Внутр'!I2140</f>
        <v>0</v>
      </c>
    </row>
    <row r="2141" customFormat="false" ht="15" hidden="true" customHeight="false" outlineLevel="0" collapsed="false">
      <c r="B2141" s="1104" t="str">
        <f aca="false">'Смета Внутр'!B2141</f>
        <v>расходные материалы лестница</v>
      </c>
      <c r="C2141" s="1104" t="str">
        <f aca="false">'Смета Внутр'!C2141</f>
        <v>рублей</v>
      </c>
      <c r="D2141" s="1109" t="n">
        <f aca="false">'Смета Внутр'!D2141</f>
        <v>1</v>
      </c>
      <c r="E2141" s="1104" t="n">
        <f aca="false">'Смета Внутр'!E2141</f>
        <v>5000</v>
      </c>
      <c r="F2141" s="1104" t="n">
        <f aca="false">'Смета Внутр'!F2141</f>
        <v>0</v>
      </c>
      <c r="G2141" s="1104" t="n">
        <f aca="false">IF(E2141&gt;F2141,E2141,F2141)</f>
        <v>5000</v>
      </c>
      <c r="H2141" s="1104" t="n">
        <f aca="false">'Смета Внутр'!G2141</f>
        <v>0</v>
      </c>
      <c r="I2141" s="1104" t="n">
        <f aca="false">'Смета Внутр'!H2141</f>
        <v>0</v>
      </c>
      <c r="J2141" s="1109" t="n">
        <f aca="false">'Смета Внутр'!I2141</f>
        <v>0</v>
      </c>
    </row>
    <row r="2142" customFormat="false" ht="15" hidden="false" customHeight="false" outlineLevel="0" collapsed="false">
      <c r="B2142" s="1104" t="str">
        <f aca="false">'Смета Внутр'!B2142</f>
        <v>расходные материалы отделка внешняя</v>
      </c>
      <c r="C2142" s="1104" t="str">
        <f aca="false">'Смета Внутр'!C2142</f>
        <v>рублей</v>
      </c>
      <c r="D2142" s="1109" t="n">
        <f aca="false">'Смета Внутр'!D2142</f>
        <v>1</v>
      </c>
      <c r="E2142" s="1104" t="n">
        <f aca="false">'Смета Внутр'!E2142</f>
        <v>3000</v>
      </c>
      <c r="F2142" s="1104" t="n">
        <f aca="false">'Смета Внутр'!F2142</f>
        <v>0</v>
      </c>
      <c r="G2142" s="1104" t="n">
        <f aca="false">IF(E2142&gt;F2142,E2142,F2142)</f>
        <v>3000</v>
      </c>
      <c r="H2142" s="1104" t="n">
        <f aca="false">'Смета Внутр'!G2142</f>
        <v>3000</v>
      </c>
      <c r="I2142" s="1104" t="n">
        <f aca="false">'Смета Внутр'!H2142</f>
        <v>3000</v>
      </c>
      <c r="J2142" s="1109" t="n">
        <f aca="false">'Смета Внутр'!I2142</f>
        <v>3000</v>
      </c>
    </row>
    <row r="2143" customFormat="false" ht="15" hidden="true" customHeight="false" outlineLevel="0" collapsed="false">
      <c r="B2143" s="1104" t="str">
        <f aca="false">'Смета Внутр'!B2143</f>
        <v>расходные материалы чистовая отделка</v>
      </c>
      <c r="C2143" s="1104" t="str">
        <f aca="false">'Смета Внутр'!C2143</f>
        <v>рублей</v>
      </c>
      <c r="D2143" s="1109" t="n">
        <f aca="false">'Смета Внутр'!D2143</f>
        <v>1</v>
      </c>
      <c r="E2143" s="1104" t="n">
        <f aca="false">'Смета Внутр'!E2143</f>
        <v>5000</v>
      </c>
      <c r="F2143" s="1104" t="n">
        <f aca="false">'Смета Внутр'!F2143</f>
        <v>0</v>
      </c>
      <c r="G2143" s="1104" t="n">
        <f aca="false">IF(E2143&gt;F2143,E2143,F2143)</f>
        <v>5000</v>
      </c>
      <c r="H2143" s="1104" t="n">
        <f aca="false">'Смета Внутр'!G2143</f>
        <v>5000</v>
      </c>
      <c r="I2143" s="1104" t="n">
        <f aca="false">'Смета Внутр'!H2143</f>
        <v>5000</v>
      </c>
      <c r="J2143" s="1109" t="n">
        <f aca="false">'Смета Внутр'!I2143</f>
        <v>5000</v>
      </c>
    </row>
    <row r="2144" customFormat="false" ht="15" hidden="true" customHeight="false" outlineLevel="0" collapsed="false">
      <c r="B2144" s="1104" t="str">
        <f aca="false">'Смета Внутр'!B2144</f>
        <v>расходные материалы балкон</v>
      </c>
      <c r="C2144" s="1104" t="str">
        <f aca="false">'Смета Внутр'!C2144</f>
        <v>рублей</v>
      </c>
      <c r="D2144" s="1109" t="n">
        <f aca="false">'Смета Внутр'!D2144</f>
        <v>0</v>
      </c>
      <c r="E2144" s="1104" t="n">
        <f aca="false">'Смета Внутр'!E2144</f>
        <v>0</v>
      </c>
      <c r="F2144" s="1104" t="n">
        <f aca="false">'Смета Внутр'!F2144</f>
        <v>0</v>
      </c>
      <c r="G2144" s="1104" t="n">
        <f aca="false">IF(E2144&gt;F2144,E2144,F2144)</f>
        <v>0</v>
      </c>
      <c r="H2144" s="1104" t="n">
        <f aca="false">'Смета Внутр'!G2144</f>
        <v>0</v>
      </c>
      <c r="I2144" s="1104" t="n">
        <f aca="false">'Смета Внутр'!H2144</f>
        <v>0</v>
      </c>
      <c r="J2144" s="1109" t="n">
        <f aca="false">'Смета Внутр'!I2144</f>
        <v>0</v>
      </c>
    </row>
    <row r="2145" customFormat="false" ht="15" hidden="true" customHeight="false" outlineLevel="0" collapsed="false">
      <c r="B2145" s="1104" t="str">
        <f aca="false">'Смета Внутр'!B2145</f>
        <v>расходные материалы перекрытие</v>
      </c>
      <c r="C2145" s="1104" t="str">
        <f aca="false">'Смета Внутр'!C2145</f>
        <v>рублей</v>
      </c>
      <c r="D2145" s="1109" t="n">
        <f aca="false">'Смета Внутр'!D2145</f>
        <v>1</v>
      </c>
      <c r="E2145" s="1104" t="n">
        <f aca="false">'Смета Внутр'!E2145</f>
        <v>0</v>
      </c>
      <c r="F2145" s="1104" t="n">
        <f aca="false">'Смета Внутр'!F2145</f>
        <v>0</v>
      </c>
      <c r="G2145" s="1104" t="n">
        <f aca="false">IF(E2145&gt;F2145,E2145,F2145)</f>
        <v>0</v>
      </c>
      <c r="H2145" s="1104" t="n">
        <f aca="false">'Смета Внутр'!G2145</f>
        <v>0</v>
      </c>
      <c r="I2145" s="1104" t="n">
        <f aca="false">'Смета Внутр'!H2145</f>
        <v>0</v>
      </c>
      <c r="J2145" s="1109" t="n">
        <f aca="false">'Смета Внутр'!I2145</f>
        <v>0</v>
      </c>
    </row>
    <row r="2146" customFormat="false" ht="15" hidden="true" customHeight="false" outlineLevel="0" collapsed="false">
      <c r="B2146" s="1104" t="str">
        <f aca="false">'Смета Внутр'!B2146</f>
        <v>расходные материалы цокольный этаж</v>
      </c>
      <c r="C2146" s="1104" t="str">
        <f aca="false">'Смета Внутр'!C2146</f>
        <v>рублей</v>
      </c>
      <c r="D2146" s="1109" t="n">
        <f aca="false">'Смета Внутр'!D2146</f>
        <v>0</v>
      </c>
      <c r="E2146" s="1104" t="n">
        <f aca="false">'Смета Внутр'!E2146</f>
        <v>5000</v>
      </c>
      <c r="F2146" s="1104" t="n">
        <f aca="false">'Смета Внутр'!F2146</f>
        <v>0</v>
      </c>
      <c r="G2146" s="1104" t="n">
        <f aca="false">IF(E2146&gt;F2146,E2146,F2146)</f>
        <v>5000</v>
      </c>
      <c r="H2146" s="1104" t="n">
        <f aca="false">'Смета Внутр'!G2146</f>
        <v>0</v>
      </c>
      <c r="I2146" s="1104" t="n">
        <f aca="false">'Смета Внутр'!H2146</f>
        <v>0</v>
      </c>
      <c r="J2146" s="1109" t="n">
        <f aca="false">'Смета Внутр'!I2146</f>
        <v>0</v>
      </c>
    </row>
    <row r="2147" customFormat="false" ht="15" hidden="true" customHeight="false" outlineLevel="0" collapsed="false">
      <c r="B2147" s="1104" t="str">
        <f aca="false">'Смета Внутр'!B2147</f>
        <v>Расходные материалы крыльцо</v>
      </c>
      <c r="C2147" s="1104" t="str">
        <f aca="false">'Смета Внутр'!C2147</f>
        <v>рублей</v>
      </c>
      <c r="D2147" s="1109" t="n">
        <f aca="false">'Смета Внутр'!D2147</f>
        <v>1</v>
      </c>
      <c r="E2147" s="1104" t="n">
        <f aca="false">'Смета Внутр'!E2147</f>
        <v>1000</v>
      </c>
      <c r="F2147" s="1104" t="n">
        <f aca="false">'Смета Внутр'!F2147</f>
        <v>0</v>
      </c>
      <c r="G2147" s="1104" t="n">
        <f aca="false">IF(E2147&gt;F2147,E2147,F2147)</f>
        <v>1000</v>
      </c>
      <c r="H2147" s="1104" t="n">
        <f aca="false">'Смета Внутр'!G2147</f>
        <v>0</v>
      </c>
      <c r="I2147" s="1104" t="n">
        <f aca="false">'Смета Внутр'!H2147</f>
        <v>0</v>
      </c>
      <c r="J2147" s="1109" t="n">
        <f aca="false">'Смета Внутр'!I2147</f>
        <v>0</v>
      </c>
    </row>
    <row r="2148" customFormat="false" ht="15" hidden="false" customHeight="false" outlineLevel="0" collapsed="false">
      <c r="B2148" s="1108" t="str">
        <f aca="false">'Смета Внутр'!B2148</f>
        <v>Итого, рублей</v>
      </c>
      <c r="C2148" s="1108"/>
      <c r="D2148" s="1108"/>
      <c r="E2148" s="1108"/>
      <c r="F2148" s="1108"/>
      <c r="G2148" s="1108"/>
      <c r="H2148" s="1104" t="n">
        <f aca="false">'Смета Внутр'!G2148</f>
        <v>22000</v>
      </c>
      <c r="I2148" s="1104" t="n">
        <f aca="false">'Смета Внутр'!H2148</f>
        <v>22000</v>
      </c>
      <c r="J2148" s="1109" t="n">
        <f aca="false">'Смета Внутр'!I2148</f>
        <v>22000</v>
      </c>
    </row>
    <row r="2149" customFormat="false" ht="18.75" hidden="true" customHeight="false" outlineLevel="0" collapsed="false">
      <c r="B2149" s="1111" t="str">
        <f aca="false">'Смета Внутр'!B2149</f>
        <v>Командировочные расходы</v>
      </c>
      <c r="C2149" s="1111"/>
      <c r="D2149" s="1111"/>
      <c r="H2149" s="118" t="n">
        <f aca="false">'Смета Внутр'!G2149</f>
        <v>0</v>
      </c>
      <c r="I2149" s="118" t="n">
        <f aca="false">'Смета Внутр'!H2149</f>
        <v>0</v>
      </c>
      <c r="J2149" s="1102" t="n">
        <f aca="false">'Смета Внутр'!I2149</f>
        <v>0</v>
      </c>
    </row>
    <row r="2150" customFormat="false" ht="15" hidden="true" customHeight="false" outlineLevel="0" collapsed="false">
      <c r="B2150" s="1104" t="str">
        <f aca="false">'Смета Внутр'!B2150</f>
        <v>Командировочные расходы</v>
      </c>
      <c r="C2150" s="1104" t="str">
        <f aca="false">'Смета Внутр'!C2150</f>
        <v>рублей</v>
      </c>
      <c r="D2150" s="1109" t="n">
        <f aca="false">'Смета Внутр'!D2150</f>
        <v>1</v>
      </c>
      <c r="E2150" s="1104" t="n">
        <f aca="false">'Смета Внутр'!E2150</f>
        <v>0</v>
      </c>
      <c r="F2150" s="1104" t="n">
        <f aca="false">'Смета Внутр'!F2150</f>
        <v>0</v>
      </c>
      <c r="G2150" s="1104" t="n">
        <f aca="false">IF(E2150&gt;F2150,E2150,F2150)</f>
        <v>0</v>
      </c>
      <c r="H2150" s="1104" t="n">
        <f aca="false">'Смета Внутр'!G2150</f>
        <v>0</v>
      </c>
      <c r="I2150" s="1104" t="n">
        <f aca="false">'Смета Внутр'!H2150</f>
        <v>0</v>
      </c>
      <c r="J2150" s="1109" t="n">
        <f aca="false">'Смета Внутр'!I2150</f>
        <v>0</v>
      </c>
    </row>
    <row r="2151" customFormat="false" ht="15" hidden="true" customHeight="false" outlineLevel="0" collapsed="false">
      <c r="B2151" s="1104" t="str">
        <f aca="false">'Смета Внутр'!B2151</f>
        <v>Командировочные расходы</v>
      </c>
      <c r="C2151" s="1104" t="str">
        <f aca="false">'Смета Внутр'!C2151</f>
        <v>рублей</v>
      </c>
      <c r="D2151" s="1109" t="n">
        <f aca="false">'Смета Внутр'!D2151</f>
        <v>1</v>
      </c>
      <c r="E2151" s="1104" t="n">
        <f aca="false">'Смета Внутр'!E2151</f>
        <v>0</v>
      </c>
      <c r="F2151" s="1104" t="n">
        <f aca="false">'Смета Внутр'!F2151</f>
        <v>0</v>
      </c>
      <c r="G2151" s="1104" t="n">
        <f aca="false">IF(E2151&gt;F2151,E2151,F2151)</f>
        <v>0</v>
      </c>
      <c r="H2151" s="1104" t="n">
        <f aca="false">'Смета Внутр'!G2151</f>
        <v>0</v>
      </c>
      <c r="I2151" s="1104" t="n">
        <f aca="false">'Смета Внутр'!H2151</f>
        <v>0</v>
      </c>
      <c r="J2151" s="1109" t="n">
        <f aca="false">'Смета Внутр'!I2151</f>
        <v>0</v>
      </c>
    </row>
    <row r="2152" customFormat="false" ht="15" hidden="true" customHeight="false" outlineLevel="0" collapsed="false">
      <c r="B2152" s="1104" t="str">
        <f aca="false">'Смета Внутр'!B2152</f>
        <v>Командировочные расходы</v>
      </c>
      <c r="C2152" s="1104" t="str">
        <f aca="false">'Смета Внутр'!C2152</f>
        <v>рублей</v>
      </c>
      <c r="D2152" s="1109" t="n">
        <f aca="false">'Смета Внутр'!D2152</f>
        <v>1</v>
      </c>
      <c r="E2152" s="1104" t="n">
        <f aca="false">'Смета Внутр'!E2152</f>
        <v>0</v>
      </c>
      <c r="F2152" s="1104" t="n">
        <f aca="false">'Смета Внутр'!F2152</f>
        <v>0</v>
      </c>
      <c r="G2152" s="1104" t="n">
        <f aca="false">IF(E2152&gt;F2152,E2152,F2152)</f>
        <v>0</v>
      </c>
      <c r="H2152" s="1104" t="n">
        <f aca="false">'Смета Внутр'!G2152</f>
        <v>0</v>
      </c>
      <c r="I2152" s="1104" t="n">
        <f aca="false">'Смета Внутр'!H2152</f>
        <v>0</v>
      </c>
      <c r="J2152" s="1109" t="n">
        <f aca="false">'Смета Внутр'!I2152</f>
        <v>0</v>
      </c>
    </row>
    <row r="2153" customFormat="false" ht="15" hidden="true" customHeight="false" outlineLevel="0" collapsed="false">
      <c r="B2153" s="1104" t="str">
        <f aca="false">'Смета Внутр'!B2153</f>
        <v>Командировочные расходы</v>
      </c>
      <c r="C2153" s="1104" t="str">
        <f aca="false">'Смета Внутр'!C2153</f>
        <v>рублей</v>
      </c>
      <c r="D2153" s="1109" t="n">
        <f aca="false">'Смета Внутр'!D2153</f>
        <v>1</v>
      </c>
      <c r="E2153" s="1104" t="n">
        <f aca="false">'Смета Внутр'!E2153</f>
        <v>0</v>
      </c>
      <c r="F2153" s="1104" t="n">
        <f aca="false">'Смета Внутр'!F2153</f>
        <v>0</v>
      </c>
      <c r="G2153" s="1104" t="n">
        <f aca="false">IF(E2153&gt;F2153,E2153,F2153)</f>
        <v>0</v>
      </c>
      <c r="H2153" s="1104" t="n">
        <f aca="false">'Смета Внутр'!G2153</f>
        <v>0</v>
      </c>
      <c r="I2153" s="1104" t="n">
        <f aca="false">'Смета Внутр'!H2153</f>
        <v>0</v>
      </c>
      <c r="J2153" s="1109" t="n">
        <f aca="false">'Смета Внутр'!I2153</f>
        <v>0</v>
      </c>
    </row>
    <row r="2154" customFormat="false" ht="15" hidden="true" customHeight="false" outlineLevel="0" collapsed="false">
      <c r="B2154" s="1104" t="str">
        <f aca="false">'Смета Внутр'!B2154</f>
        <v>Командировочные расходы</v>
      </c>
      <c r="C2154" s="1104" t="str">
        <f aca="false">'Смета Внутр'!C2154</f>
        <v>рублей</v>
      </c>
      <c r="D2154" s="1109" t="n">
        <f aca="false">'Смета Внутр'!D2154</f>
        <v>1</v>
      </c>
      <c r="E2154" s="1104" t="n">
        <f aca="false">'Смета Внутр'!E2154</f>
        <v>0</v>
      </c>
      <c r="F2154" s="1104" t="n">
        <f aca="false">'Смета Внутр'!F2154</f>
        <v>0</v>
      </c>
      <c r="G2154" s="1104" t="n">
        <f aca="false">IF(E2154&gt;F2154,E2154,F2154)</f>
        <v>0</v>
      </c>
      <c r="H2154" s="1104" t="n">
        <f aca="false">'Смета Внутр'!G2154</f>
        <v>0</v>
      </c>
      <c r="I2154" s="1104" t="n">
        <f aca="false">'Смета Внутр'!H2154</f>
        <v>0</v>
      </c>
      <c r="J2154" s="1109" t="n">
        <f aca="false">'Смета Внутр'!I2154</f>
        <v>0</v>
      </c>
    </row>
    <row r="2155" customFormat="false" ht="15" hidden="true" customHeight="false" outlineLevel="0" collapsed="false">
      <c r="B2155" s="1104" t="str">
        <f aca="false">'Смета Внутр'!B2155</f>
        <v>Командировочные расходы</v>
      </c>
      <c r="C2155" s="1104" t="str">
        <f aca="false">'Смета Внутр'!C2155</f>
        <v>рублей</v>
      </c>
      <c r="D2155" s="1109" t="n">
        <f aca="false">'Смета Внутр'!D2155</f>
        <v>1</v>
      </c>
      <c r="E2155" s="1104" t="n">
        <f aca="false">'Смета Внутр'!E2155</f>
        <v>0</v>
      </c>
      <c r="F2155" s="1104" t="n">
        <f aca="false">'Смета Внутр'!F2155</f>
        <v>0</v>
      </c>
      <c r="G2155" s="1104" t="n">
        <f aca="false">IF(E2155&gt;F2155,E2155,F2155)</f>
        <v>0</v>
      </c>
      <c r="H2155" s="1104" t="n">
        <f aca="false">'Смета Внутр'!G2155</f>
        <v>0</v>
      </c>
      <c r="I2155" s="1104" t="n">
        <f aca="false">'Смета Внутр'!H2155</f>
        <v>0</v>
      </c>
      <c r="J2155" s="1109" t="n">
        <f aca="false">'Смета Внутр'!I2155</f>
        <v>0</v>
      </c>
    </row>
    <row r="2156" customFormat="false" ht="15" hidden="true" customHeight="false" outlineLevel="0" collapsed="false">
      <c r="B2156" s="1104" t="str">
        <f aca="false">'Смета Внутр'!B2156</f>
        <v>Командировочные расходы</v>
      </c>
      <c r="C2156" s="1104" t="str">
        <f aca="false">'Смета Внутр'!C2156</f>
        <v>рублей</v>
      </c>
      <c r="D2156" s="1109" t="n">
        <f aca="false">'Смета Внутр'!D2156</f>
        <v>1</v>
      </c>
      <c r="E2156" s="1104" t="n">
        <f aca="false">'Смета Внутр'!E2156</f>
        <v>0</v>
      </c>
      <c r="F2156" s="1104" t="n">
        <f aca="false">'Смета Внутр'!F2156</f>
        <v>0</v>
      </c>
      <c r="G2156" s="1104" t="n">
        <f aca="false">IF(E2156&gt;F2156,E2156,F2156)</f>
        <v>0</v>
      </c>
      <c r="H2156" s="1104" t="n">
        <f aca="false">'Смета Внутр'!G2156</f>
        <v>0</v>
      </c>
      <c r="I2156" s="1104" t="n">
        <f aca="false">'Смета Внутр'!H2156</f>
        <v>0</v>
      </c>
      <c r="J2156" s="1109" t="n">
        <f aca="false">'Смета Внутр'!I2156</f>
        <v>0</v>
      </c>
    </row>
    <row r="2157" customFormat="false" ht="15" hidden="true" customHeight="false" outlineLevel="0" collapsed="false">
      <c r="B2157" s="1104" t="str">
        <f aca="false">'Смета Внутр'!B2157</f>
        <v>Командировочные расходы</v>
      </c>
      <c r="C2157" s="1104" t="str">
        <f aca="false">'Смета Внутр'!C2157</f>
        <v>рублей</v>
      </c>
      <c r="D2157" s="1109" t="n">
        <f aca="false">'Смета Внутр'!D2157</f>
        <v>1</v>
      </c>
      <c r="E2157" s="1104" t="n">
        <f aca="false">'Смета Внутр'!E2157</f>
        <v>0</v>
      </c>
      <c r="F2157" s="1104" t="n">
        <f aca="false">'Смета Внутр'!F2157</f>
        <v>0</v>
      </c>
      <c r="G2157" s="1104" t="n">
        <f aca="false">IF(E2157&gt;F2157,E2157,F2157)</f>
        <v>0</v>
      </c>
      <c r="H2157" s="1104" t="n">
        <f aca="false">'Смета Внутр'!G2157</f>
        <v>0</v>
      </c>
      <c r="I2157" s="1104" t="n">
        <f aca="false">'Смета Внутр'!H2157</f>
        <v>0</v>
      </c>
      <c r="J2157" s="1109" t="n">
        <f aca="false">'Смета Внутр'!I2157</f>
        <v>0</v>
      </c>
    </row>
    <row r="2158" customFormat="false" ht="15" hidden="true" customHeight="false" outlineLevel="0" collapsed="false">
      <c r="B2158" s="1104" t="str">
        <f aca="false">'Смета Внутр'!B2158</f>
        <v>Командировочные расходы</v>
      </c>
      <c r="C2158" s="1104" t="str">
        <f aca="false">'Смета Внутр'!C2158</f>
        <v>рублей</v>
      </c>
      <c r="D2158" s="1109" t="n">
        <f aca="false">'Смета Внутр'!D2158</f>
        <v>1</v>
      </c>
      <c r="E2158" s="1104" t="n">
        <f aca="false">'Смета Внутр'!E2158</f>
        <v>0</v>
      </c>
      <c r="F2158" s="1104" t="n">
        <f aca="false">'Смета Внутр'!F2158</f>
        <v>0</v>
      </c>
      <c r="G2158" s="1104" t="n">
        <f aca="false">IF(E2158&gt;F2158,E2158,F2158)</f>
        <v>0</v>
      </c>
      <c r="H2158" s="1104" t="n">
        <f aca="false">'Смета Внутр'!G2158</f>
        <v>0</v>
      </c>
      <c r="I2158" s="1104" t="n">
        <f aca="false">'Смета Внутр'!H2158</f>
        <v>0</v>
      </c>
      <c r="J2158" s="1109" t="n">
        <f aca="false">'Смета Внутр'!I2158</f>
        <v>0</v>
      </c>
    </row>
    <row r="2159" customFormat="false" ht="15" hidden="true" customHeight="false" outlineLevel="0" collapsed="false">
      <c r="B2159" s="1104" t="str">
        <f aca="false">'Смета Внутр'!B2159</f>
        <v>Командировочные расходы</v>
      </c>
      <c r="C2159" s="1104" t="str">
        <f aca="false">'Смета Внутр'!C2159</f>
        <v>рублей</v>
      </c>
      <c r="D2159" s="1109" t="n">
        <f aca="false">'Смета Внутр'!D2159</f>
        <v>1</v>
      </c>
      <c r="E2159" s="1104" t="n">
        <f aca="false">'Смета Внутр'!E2159</f>
        <v>0</v>
      </c>
      <c r="F2159" s="1104" t="n">
        <f aca="false">'Смета Внутр'!F2159</f>
        <v>0</v>
      </c>
      <c r="G2159" s="1104" t="n">
        <f aca="false">IF(E2159&gt;F2159,E2159,F2159)</f>
        <v>0</v>
      </c>
      <c r="H2159" s="1104" t="n">
        <f aca="false">'Смета Внутр'!G2159</f>
        <v>0</v>
      </c>
      <c r="I2159" s="1104" t="n">
        <f aca="false">'Смета Внутр'!H2159</f>
        <v>0</v>
      </c>
      <c r="J2159" s="1109" t="n">
        <f aca="false">'Смета Внутр'!I2159</f>
        <v>0</v>
      </c>
    </row>
    <row r="2160" customFormat="false" ht="15" hidden="true" customHeight="false" outlineLevel="0" collapsed="false">
      <c r="B2160" s="1108" t="str">
        <f aca="false">'Смета Внутр'!B2160</f>
        <v>Итого, рублей</v>
      </c>
      <c r="C2160" s="1108"/>
      <c r="D2160" s="1108"/>
      <c r="E2160" s="1108"/>
      <c r="F2160" s="1108"/>
      <c r="G2160" s="1108"/>
      <c r="H2160" s="1104" t="n">
        <f aca="false">'Смета Внутр'!G2160</f>
        <v>0</v>
      </c>
      <c r="I2160" s="1104" t="n">
        <f aca="false">'Смета Внутр'!H2160</f>
        <v>0</v>
      </c>
      <c r="J2160" s="1109" t="n">
        <f aca="false">'Смета Внутр'!I2160</f>
        <v>0</v>
      </c>
    </row>
    <row r="2162" customFormat="false" ht="15" hidden="false" customHeight="false" outlineLevel="0" collapsed="false">
      <c r="B2162" s="1136" t="str">
        <f aca="false">'Смета Внутр'!B2162</f>
        <v>Всего материалов, рублей</v>
      </c>
      <c r="C2162" s="1136"/>
      <c r="D2162" s="1136"/>
      <c r="E2162" s="1136"/>
      <c r="F2162" s="1136"/>
      <c r="G2162" s="1136"/>
      <c r="H2162" s="118" t="n">
        <f aca="false">'Смета Внутр'!G2162</f>
        <v>1428059.26070287</v>
      </c>
      <c r="I2162" s="118" t="n">
        <f aca="false">'Смета Внутр'!H2162</f>
        <v>1428060.26070287</v>
      </c>
      <c r="J2162" s="1131" t="n">
        <f aca="false">'Смета для Зак укр'!F2162</f>
        <v>1428060.26070287</v>
      </c>
    </row>
    <row r="2163" customFormat="false" ht="15" hidden="false" customHeight="false" outlineLevel="0" collapsed="false">
      <c r="B2163" s="1136" t="str">
        <f aca="false">'Смета Внутр'!B2163</f>
        <v>Всего работы, рублей</v>
      </c>
      <c r="C2163" s="1136"/>
      <c r="D2163" s="1136"/>
      <c r="E2163" s="1136"/>
      <c r="F2163" s="1136"/>
      <c r="G2163" s="1136"/>
      <c r="H2163" s="118" t="n">
        <f aca="false">'Смета Внутр'!G2163</f>
        <v>1074454.29690744</v>
      </c>
      <c r="I2163" s="118" t="n">
        <f aca="false">'Смета Внутр'!H2163</f>
        <v>1074456.29690744</v>
      </c>
      <c r="J2163" s="1131" t="n">
        <f aca="false">'Смета для Зак укр'!F2163</f>
        <v>1074456.29690744</v>
      </c>
    </row>
    <row r="2164" customFormat="false" ht="15" hidden="false" customHeight="false" outlineLevel="0" collapsed="false">
      <c r="B2164" s="1136" t="str">
        <f aca="false">'Смета Внутр'!E2164</f>
        <v>Всего транспортные расходы, рублей</v>
      </c>
      <c r="C2164" s="1136"/>
      <c r="D2164" s="1136"/>
      <c r="E2164" s="1136"/>
      <c r="F2164" s="1136"/>
      <c r="G2164" s="1136"/>
      <c r="H2164" s="118" t="n">
        <f aca="false">'Смета Внутр'!G2164</f>
        <v>0</v>
      </c>
      <c r="I2164" s="118" t="n">
        <f aca="false">'Смета Внутр'!H2164</f>
        <v>0</v>
      </c>
      <c r="J2164" s="1131" t="n">
        <f aca="false">'Смета для Зак укр'!F2164</f>
        <v>0</v>
      </c>
    </row>
    <row r="2165" customFormat="false" ht="15" hidden="false" customHeight="false" outlineLevel="0" collapsed="false">
      <c r="B2165" s="1136" t="str">
        <f aca="false">'Смета Внутр'!C2165</f>
        <v>Всего, командировочные расходы, рублей</v>
      </c>
      <c r="C2165" s="1136"/>
      <c r="D2165" s="1136"/>
      <c r="E2165" s="1136"/>
      <c r="F2165" s="1136"/>
      <c r="G2165" s="1136"/>
      <c r="H2165" s="118" t="n">
        <f aca="false">'Смета Внутр'!G2165</f>
        <v>0</v>
      </c>
      <c r="I2165" s="118" t="n">
        <f aca="false">'Смета Внутр'!H2165</f>
        <v>0</v>
      </c>
      <c r="J2165" s="1131" t="n">
        <f aca="false">'Смета для Зак укр'!F2165</f>
        <v>0</v>
      </c>
    </row>
    <row r="2166" customFormat="false" ht="15" hidden="false" customHeight="false" outlineLevel="0" collapsed="false">
      <c r="B2166" s="1136" t="str">
        <f aca="false">'Смета Внутр'!B2166</f>
        <v>Всего работ и материалов, рублей</v>
      </c>
      <c r="C2166" s="1136"/>
      <c r="D2166" s="1136"/>
      <c r="E2166" s="1136"/>
      <c r="F2166" s="1136"/>
      <c r="G2166" s="1136"/>
      <c r="H2166" s="118" t="n">
        <f aca="false">'Смета Внутр'!G2166</f>
        <v>2502513.55761031</v>
      </c>
      <c r="I2166" s="118" t="n">
        <f aca="false">'Смета Внутр'!H2166</f>
        <v>2502516.55761031</v>
      </c>
      <c r="J2166" s="1131" t="n">
        <f aca="false">'Смета для Зак укр'!F2166</f>
        <v>2502516.55761031</v>
      </c>
    </row>
    <row r="2167" customFormat="false" ht="15" hidden="false" customHeight="false" outlineLevel="0" collapsed="false">
      <c r="B2167" s="118" t="str">
        <f aca="false">'Смета Внутр'!B2167</f>
        <v>Составил: Инженер             _________________</v>
      </c>
    </row>
    <row r="2168" customFormat="false" ht="15" hidden="false" customHeight="false" outlineLevel="0" collapsed="false">
      <c r="B2168" s="118" t="str">
        <f aca="false">'Смета Внутр'!B2168</f>
        <v>С перечнем работ и материалов, ознакомлен, с итоговой стоимостью согласен.</v>
      </c>
    </row>
    <row r="2169" customFormat="false" ht="15" hidden="false" customHeight="false" outlineLevel="0" collapsed="false">
      <c r="B2169" s="118" t="str">
        <f aca="false">'Смета Внутр'!B2169</f>
        <v>Подпись Заказчика              _________________</v>
      </c>
    </row>
    <row r="2170" customFormat="false" ht="15" hidden="false" customHeight="false" outlineLevel="0" collapsed="false">
      <c r="B2170" s="118" t="str">
        <f aca="false">'Смета Внутр'!B2170</f>
        <v>Подпись Подрядчика          _________________</v>
      </c>
    </row>
  </sheetData>
  <autoFilter ref="J12:J2160"/>
  <mergeCells count="154">
    <mergeCell ref="B9:J9"/>
    <mergeCell ref="B10:J10"/>
    <mergeCell ref="B13:D13"/>
    <mergeCell ref="B24:G24"/>
    <mergeCell ref="B34:G34"/>
    <mergeCell ref="B35:D35"/>
    <mergeCell ref="B55:G55"/>
    <mergeCell ref="B71:G71"/>
    <mergeCell ref="B72:D72"/>
    <mergeCell ref="B88:G88"/>
    <mergeCell ref="B99:G99"/>
    <mergeCell ref="B100:D100"/>
    <mergeCell ref="B113:G113"/>
    <mergeCell ref="B123:G123"/>
    <mergeCell ref="B124:D124"/>
    <mergeCell ref="B132:G132"/>
    <mergeCell ref="B141:G141"/>
    <mergeCell ref="B142:D142"/>
    <mergeCell ref="B150:G150"/>
    <mergeCell ref="B159:G159"/>
    <mergeCell ref="B160:D160"/>
    <mergeCell ref="B168:G168"/>
    <mergeCell ref="B177:G177"/>
    <mergeCell ref="B178:D178"/>
    <mergeCell ref="B195:G195"/>
    <mergeCell ref="B211:G211"/>
    <mergeCell ref="B212:D212"/>
    <mergeCell ref="B232:G232"/>
    <mergeCell ref="B250:G250"/>
    <mergeCell ref="B251:D251"/>
    <mergeCell ref="B276:G276"/>
    <mergeCell ref="B296:G296"/>
    <mergeCell ref="B297:D297"/>
    <mergeCell ref="B317:G317"/>
    <mergeCell ref="B325:G325"/>
    <mergeCell ref="B326:D326"/>
    <mergeCell ref="B346:G346"/>
    <mergeCell ref="B362:G362"/>
    <mergeCell ref="B363:D363"/>
    <mergeCell ref="B414:G414"/>
    <mergeCell ref="B427:G427"/>
    <mergeCell ref="B428:D428"/>
    <mergeCell ref="B474:G474"/>
    <mergeCell ref="B487:G487"/>
    <mergeCell ref="B488:D488"/>
    <mergeCell ref="B530:G530"/>
    <mergeCell ref="B539:G539"/>
    <mergeCell ref="B540:D540"/>
    <mergeCell ref="B565:G565"/>
    <mergeCell ref="B576:G576"/>
    <mergeCell ref="B577:D577"/>
    <mergeCell ref="B602:G602"/>
    <mergeCell ref="B613:G613"/>
    <mergeCell ref="B614:D614"/>
    <mergeCell ref="B639:G639"/>
    <mergeCell ref="B650:G650"/>
    <mergeCell ref="B651:D651"/>
    <mergeCell ref="B676:G676"/>
    <mergeCell ref="B687:G687"/>
    <mergeCell ref="B688:D688"/>
    <mergeCell ref="B713:G713"/>
    <mergeCell ref="B724:G724"/>
    <mergeCell ref="B725:D725"/>
    <mergeCell ref="B907:G907"/>
    <mergeCell ref="B950:G950"/>
    <mergeCell ref="B951:D951"/>
    <mergeCell ref="B979:G979"/>
    <mergeCell ref="B990:G990"/>
    <mergeCell ref="B991:D991"/>
    <mergeCell ref="B1011:G1011"/>
    <mergeCell ref="B1014:G1014"/>
    <mergeCell ref="B1015:D1015"/>
    <mergeCell ref="B1028:G1028"/>
    <mergeCell ref="B1036:G1036"/>
    <mergeCell ref="B1037:D1037"/>
    <mergeCell ref="B1091:G1091"/>
    <mergeCell ref="B1110:G1110"/>
    <mergeCell ref="B1111:D1111"/>
    <mergeCell ref="B1165:G1165"/>
    <mergeCell ref="B1184:G1184"/>
    <mergeCell ref="B1185:D1185"/>
    <mergeCell ref="B1232:G1232"/>
    <mergeCell ref="B1250:G1250"/>
    <mergeCell ref="B1251:D1251"/>
    <mergeCell ref="B1303:G1303"/>
    <mergeCell ref="B1323:G1323"/>
    <mergeCell ref="B1324:D1324"/>
    <mergeCell ref="B1366:G1366"/>
    <mergeCell ref="B1381:G1381"/>
    <mergeCell ref="B1382:D1382"/>
    <mergeCell ref="B1431:G1431"/>
    <mergeCell ref="B1450:G1450"/>
    <mergeCell ref="B1451:D1451"/>
    <mergeCell ref="B1499:G1499"/>
    <mergeCell ref="B1516:G1516"/>
    <mergeCell ref="B1517:D1517"/>
    <mergeCell ref="B1560:G1560"/>
    <mergeCell ref="B1575:G1575"/>
    <mergeCell ref="B1576:D1576"/>
    <mergeCell ref="B1615:G1615"/>
    <mergeCell ref="B1631:G1631"/>
    <mergeCell ref="B1632:D1632"/>
    <mergeCell ref="B1654:G1654"/>
    <mergeCell ref="B1669:G1669"/>
    <mergeCell ref="B1670:D1670"/>
    <mergeCell ref="B1682:G1682"/>
    <mergeCell ref="B1685:G1685"/>
    <mergeCell ref="B1686:D1686"/>
    <mergeCell ref="B1692:G1692"/>
    <mergeCell ref="B1698:G1698"/>
    <mergeCell ref="B1699:D1699"/>
    <mergeCell ref="B1701:G1701"/>
    <mergeCell ref="B1726:G1726"/>
    <mergeCell ref="B1746:G1746"/>
    <mergeCell ref="B1748:G1748"/>
    <mergeCell ref="B1763:G1763"/>
    <mergeCell ref="B1774:G1774"/>
    <mergeCell ref="B1775:D1775"/>
    <mergeCell ref="B1777:G1777"/>
    <mergeCell ref="B1802:G1802"/>
    <mergeCell ref="B1826:G1826"/>
    <mergeCell ref="B1837:G1837"/>
    <mergeCell ref="B1856:G1856"/>
    <mergeCell ref="B1858:G1858"/>
    <mergeCell ref="B1869:G1869"/>
    <mergeCell ref="B1883:G1883"/>
    <mergeCell ref="B1889:G1889"/>
    <mergeCell ref="B1902:G1902"/>
    <mergeCell ref="B1903:D1903"/>
    <mergeCell ref="B1922:G1922"/>
    <mergeCell ref="B1932:G1932"/>
    <mergeCell ref="B1933:D1933"/>
    <mergeCell ref="B1946:G1946"/>
    <mergeCell ref="B1951:G1951"/>
    <mergeCell ref="B1952:D1952"/>
    <mergeCell ref="B1963:G1963"/>
    <mergeCell ref="B1971:G1971"/>
    <mergeCell ref="B1972:D1972"/>
    <mergeCell ref="B1987:G1987"/>
    <mergeCell ref="B1996:G1996"/>
    <mergeCell ref="B1997:D1997"/>
    <mergeCell ref="B2013:G2013"/>
    <mergeCell ref="B2023:G2023"/>
    <mergeCell ref="B2024:D2024"/>
    <mergeCell ref="B2111:G2111"/>
    <mergeCell ref="B2112:D2112"/>
    <mergeCell ref="B2148:G2148"/>
    <mergeCell ref="B2149:D2149"/>
    <mergeCell ref="B2160:G2160"/>
    <mergeCell ref="B2162:G2162"/>
    <mergeCell ref="B2163:G2163"/>
    <mergeCell ref="B2164:G2164"/>
    <mergeCell ref="B2165:G2165"/>
    <mergeCell ref="B2166:G2166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00B0F0"/>
    <pageSetUpPr fitToPage="false"/>
  </sheetPr>
  <dimension ref="A1:L157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9" activeCellId="0" sqref="B9"/>
    </sheetView>
  </sheetViews>
  <sheetFormatPr defaultColWidth="9.15625" defaultRowHeight="15" zeroHeight="false" outlineLevelRow="0" outlineLevelCol="0"/>
  <cols>
    <col collapsed="false" customWidth="true" hidden="false" outlineLevel="0" max="1" min="1" style="1137" width="3.42"/>
    <col collapsed="false" customWidth="true" hidden="false" outlineLevel="0" max="2" min="2" style="1137" width="42.42"/>
    <col collapsed="false" customWidth="false" hidden="false" outlineLevel="0" max="3" min="3" style="1138" width="9.14"/>
    <col collapsed="false" customWidth="false" hidden="false" outlineLevel="0" max="4" min="4" style="1137" width="9.14"/>
    <col collapsed="false" customWidth="true" hidden="false" outlineLevel="0" max="5" min="5" style="1137" width="12.86"/>
    <col collapsed="false" customWidth="true" hidden="false" outlineLevel="0" max="6" min="6" style="1137" width="13.14"/>
    <col collapsed="false" customWidth="false" hidden="false" outlineLevel="0" max="1024" min="7" style="1137" width="9.14"/>
  </cols>
  <sheetData>
    <row r="1" customFormat="false" ht="15.75" hidden="false" customHeight="false" outlineLevel="0" collapsed="false">
      <c r="A1" s="1139"/>
      <c r="B1" s="1139"/>
      <c r="C1" s="1140"/>
      <c r="D1" s="1139"/>
      <c r="E1" s="1139"/>
      <c r="F1" s="1132" t="s">
        <v>2231</v>
      </c>
      <c r="G1" s="1139"/>
      <c r="H1" s="1139"/>
    </row>
    <row r="2" customFormat="false" ht="15" hidden="false" customHeight="false" outlineLevel="0" collapsed="false">
      <c r="A2" s="1139"/>
      <c r="B2" s="1139"/>
      <c r="C2" s="1140"/>
      <c r="D2" s="1139"/>
      <c r="E2" s="1139"/>
      <c r="F2" s="1139"/>
      <c r="G2" s="1139"/>
      <c r="H2" s="1139"/>
    </row>
    <row r="3" customFormat="false" ht="15.75" hidden="false" customHeight="false" outlineLevel="0" collapsed="false">
      <c r="A3" s="1139"/>
      <c r="B3" s="1141" t="s">
        <v>927</v>
      </c>
      <c r="D3" s="1139"/>
      <c r="E3" s="1142" t="s">
        <v>2232</v>
      </c>
      <c r="F3" s="1143" t="n">
        <f aca="false">'Смета Внутр'!H3</f>
        <v>8</v>
      </c>
      <c r="G3" s="1139"/>
      <c r="H3" s="1139"/>
      <c r="J3" s="1144"/>
      <c r="K3" s="1144"/>
      <c r="L3" s="1145"/>
    </row>
    <row r="4" customFormat="false" ht="15.75" hidden="false" customHeight="false" outlineLevel="0" collapsed="false">
      <c r="A4" s="1139"/>
      <c r="B4" s="1141" t="s">
        <v>7</v>
      </c>
      <c r="D4" s="1139"/>
      <c r="E4" s="1142" t="s">
        <v>2233</v>
      </c>
      <c r="F4" s="1143" t="n">
        <f aca="false">'Смета Внутр'!H4</f>
        <v>8</v>
      </c>
      <c r="G4" s="1139"/>
      <c r="H4" s="1139"/>
      <c r="J4" s="1144"/>
      <c r="K4" s="1144"/>
      <c r="L4" s="1145"/>
    </row>
    <row r="5" customFormat="false" ht="15.75" hidden="false" customHeight="false" outlineLevel="0" collapsed="false">
      <c r="A5" s="1139"/>
      <c r="B5" s="1141" t="s">
        <v>8</v>
      </c>
      <c r="D5" s="1139"/>
      <c r="E5" s="1142" t="s">
        <v>2234</v>
      </c>
      <c r="F5" s="1143" t="n">
        <f aca="false">'Смета Внутр'!H5</f>
        <v>2</v>
      </c>
      <c r="G5" s="1139"/>
      <c r="H5" s="1139"/>
      <c r="J5" s="1144"/>
      <c r="K5" s="1144"/>
      <c r="L5" s="1145"/>
    </row>
    <row r="6" customFormat="false" ht="15.75" hidden="false" customHeight="false" outlineLevel="0" collapsed="false">
      <c r="A6" s="1139"/>
      <c r="B6" s="1141" t="s">
        <v>928</v>
      </c>
      <c r="D6" s="1139"/>
      <c r="E6" s="1142" t="s">
        <v>2235</v>
      </c>
      <c r="F6" s="1143" t="n">
        <f aca="false">'Смета Внутр'!H6</f>
        <v>128</v>
      </c>
      <c r="G6" s="1139"/>
      <c r="H6" s="1139"/>
      <c r="J6" s="1144"/>
      <c r="K6" s="1144"/>
      <c r="L6" s="1145"/>
    </row>
    <row r="7" customFormat="false" ht="15.75" hidden="false" customHeight="false" outlineLevel="0" collapsed="false">
      <c r="A7" s="1139"/>
      <c r="B7" s="1141" t="s">
        <v>929</v>
      </c>
      <c r="D7" s="1139"/>
      <c r="E7" s="1142" t="s">
        <v>2236</v>
      </c>
      <c r="F7" s="1143" t="n">
        <f aca="false">'Смета Внутр'!H7</f>
        <v>94.7321893085902</v>
      </c>
      <c r="G7" s="1139"/>
      <c r="H7" s="1139"/>
      <c r="J7" s="1144"/>
      <c r="K7" s="1144"/>
      <c r="L7" s="1145"/>
    </row>
    <row r="8" customFormat="false" ht="15.75" hidden="false" customHeight="false" outlineLevel="0" collapsed="false">
      <c r="A8" s="1139"/>
      <c r="B8" s="1139"/>
      <c r="D8" s="1139"/>
      <c r="E8" s="1146"/>
      <c r="F8" s="1143"/>
      <c r="G8" s="1139"/>
      <c r="H8" s="1139"/>
      <c r="J8" s="1133"/>
      <c r="K8" s="1133"/>
      <c r="L8" s="1133"/>
    </row>
    <row r="9" customFormat="false" ht="18.75" hidden="false" customHeight="false" outlineLevel="0" collapsed="false">
      <c r="A9" s="1139"/>
      <c r="B9" s="1147" t="s">
        <v>2305</v>
      </c>
      <c r="C9" s="1147"/>
      <c r="D9" s="1147"/>
      <c r="E9" s="1147"/>
      <c r="F9" s="1147"/>
      <c r="G9" s="1139"/>
      <c r="H9" s="1139"/>
    </row>
    <row r="10" customFormat="false" ht="15.75" hidden="false" customHeight="false" outlineLevel="0" collapsed="false">
      <c r="A10" s="1139"/>
      <c r="B10" s="1148" t="s">
        <v>2306</v>
      </c>
      <c r="C10" s="1148"/>
      <c r="D10" s="1148"/>
      <c r="E10" s="1148"/>
      <c r="F10" s="1148"/>
      <c r="G10" s="1139"/>
      <c r="H10" s="1139"/>
    </row>
    <row r="11" customFormat="false" ht="15" hidden="false" customHeight="false" outlineLevel="0" collapsed="false">
      <c r="A11" s="1139"/>
      <c r="B11" s="1139"/>
      <c r="C11" s="1140"/>
      <c r="D11" s="1139"/>
      <c r="E11" s="1139"/>
      <c r="F11" s="1139"/>
      <c r="G11" s="1139"/>
      <c r="H11" s="1139"/>
    </row>
    <row r="12" customFormat="false" ht="15" hidden="false" customHeight="false" outlineLevel="0" collapsed="false">
      <c r="A12" s="1139"/>
      <c r="B12" s="1139"/>
      <c r="C12" s="1140"/>
      <c r="D12" s="1139"/>
      <c r="E12" s="1139"/>
      <c r="F12" s="1139"/>
      <c r="G12" s="1139"/>
      <c r="H12" s="1139"/>
    </row>
    <row r="13" customFormat="false" ht="45.75" hidden="false" customHeight="true" outlineLevel="0" collapsed="false">
      <c r="A13" s="1139"/>
      <c r="B13" s="1149" t="str">
        <f aca="false">'Смета Расходов'!B12</f>
        <v>Наименование работ и затрат</v>
      </c>
      <c r="C13" s="1149" t="str">
        <f aca="false">'Смета Расходов'!C12</f>
        <v>ед. изм.</v>
      </c>
      <c r="D13" s="1149" t="str">
        <f aca="false">'Смета Расходов'!D12</f>
        <v>Кол-во материалов в смете</v>
      </c>
      <c r="E13" s="1149" t="s">
        <v>2307</v>
      </c>
      <c r="F13" s="1149" t="s">
        <v>2308</v>
      </c>
      <c r="G13" s="1139"/>
      <c r="H13" s="1139"/>
    </row>
    <row r="14" customFormat="false" ht="18.75" hidden="false" customHeight="false" outlineLevel="0" collapsed="false">
      <c r="A14" s="1139"/>
      <c r="B14" s="1150" t="str">
        <f aca="false">'Смета Расходов'!B13</f>
        <v>Фундамент ленточный, под стены цоколя</v>
      </c>
      <c r="C14" s="1150"/>
      <c r="D14" s="1150"/>
      <c r="E14" s="1150"/>
      <c r="F14" s="1139" t="n">
        <f aca="false">'Смета Внутр'!H13</f>
        <v>0</v>
      </c>
      <c r="G14" s="1139"/>
      <c r="H14" s="1139"/>
    </row>
    <row r="15" customFormat="false" ht="15" hidden="false" customHeight="false" outlineLevel="0" collapsed="false">
      <c r="A15" s="1139"/>
      <c r="B15" s="1151" t="s">
        <v>2246</v>
      </c>
      <c r="C15" s="1151"/>
      <c r="D15" s="1151"/>
      <c r="E15" s="1151"/>
      <c r="F15" s="1139" t="n">
        <f aca="false">'Смета Внутр'!H14</f>
        <v>0</v>
      </c>
      <c r="G15" s="1139"/>
      <c r="H15" s="1139"/>
    </row>
    <row r="16" customFormat="false" ht="15" hidden="false" customHeight="false" outlineLevel="0" collapsed="false">
      <c r="A16" s="1139"/>
      <c r="B16" s="1152" t="str">
        <f aca="false">'Смета Расходов'!B15</f>
        <v>Сосна влаж,150*40мм</v>
      </c>
      <c r="C16" s="1153" t="str">
        <f aca="false">'Смета Расходов'!C15</f>
        <v>м3</v>
      </c>
      <c r="D16" s="1152" t="n">
        <f aca="false">'Смета Расходов'!D15</f>
        <v>0</v>
      </c>
      <c r="E16" s="1152" t="n">
        <f aca="false">'Смета Внутр'!E15</f>
        <v>6500</v>
      </c>
      <c r="F16" s="1152" t="n">
        <f aca="false">'Смета Расходов'!G15</f>
        <v>0</v>
      </c>
    </row>
    <row r="17" customFormat="false" ht="15" hidden="false" customHeight="false" outlineLevel="0" collapsed="false">
      <c r="A17" s="1139"/>
      <c r="B17" s="1152" t="str">
        <f aca="false">'Смета Расходов'!B16</f>
        <v>Пленка гидроизоляционная </v>
      </c>
      <c r="C17" s="1153" t="str">
        <f aca="false">'Смета Расходов'!C16</f>
        <v>м2</v>
      </c>
      <c r="D17" s="1152" t="n">
        <f aca="false">'Смета Расходов'!D16</f>
        <v>0</v>
      </c>
      <c r="E17" s="1152" t="n">
        <f aca="false">'Смета Внутр'!E16</f>
        <v>15</v>
      </c>
      <c r="F17" s="1152" t="n">
        <f aca="false">'Смета Расходов'!G16</f>
        <v>0</v>
      </c>
    </row>
    <row r="18" customFormat="false" ht="15" hidden="false" customHeight="false" outlineLevel="0" collapsed="false">
      <c r="A18" s="1139"/>
      <c r="B18" s="1152" t="str">
        <f aca="false">'Смета Расходов'!B17</f>
        <v>Гидроизол</v>
      </c>
      <c r="C18" s="1153" t="str">
        <f aca="false">'Смета Расходов'!C17</f>
        <v>м2</v>
      </c>
      <c r="D18" s="1152" t="n">
        <f aca="false">'Смета Расходов'!D17</f>
        <v>0</v>
      </c>
      <c r="E18" s="1152" t="n">
        <f aca="false">'Смета Внутр'!E17</f>
        <v>70</v>
      </c>
      <c r="F18" s="1152" t="n">
        <f aca="false">'Смета Расходов'!G17</f>
        <v>0</v>
      </c>
    </row>
    <row r="19" customFormat="false" ht="15" hidden="false" customHeight="false" outlineLevel="0" collapsed="false">
      <c r="A19" s="1139"/>
      <c r="B19" s="1152" t="str">
        <f aca="false">'Смета Расходов'!B18</f>
        <v>Арматура стальная Ø 12</v>
      </c>
      <c r="C19" s="1153" t="str">
        <f aca="false">'Смета Расходов'!C18</f>
        <v>м.п</v>
      </c>
      <c r="D19" s="1152" t="n">
        <f aca="false">'Смета Расходов'!D18</f>
        <v>0</v>
      </c>
      <c r="E19" s="1152" t="n">
        <f aca="false">'Смета Внутр'!E18</f>
        <v>29.2152</v>
      </c>
      <c r="F19" s="1152" t="n">
        <f aca="false">'Смета Расходов'!G18</f>
        <v>0</v>
      </c>
    </row>
    <row r="20" customFormat="false" ht="15" hidden="false" customHeight="false" outlineLevel="0" collapsed="false">
      <c r="A20" s="1139"/>
      <c r="B20" s="1152" t="str">
        <f aca="false">'Смета Расходов'!B19</f>
        <v>Нет арматуры</v>
      </c>
      <c r="C20" s="1153" t="str">
        <f aca="false">'Смета Расходов'!C19</f>
        <v>м.п</v>
      </c>
      <c r="D20" s="1152" t="n">
        <f aca="false">'Смета Расходов'!D19</f>
        <v>0</v>
      </c>
      <c r="E20" s="1152" t="n">
        <f aca="false">'Смета Внутр'!E19</f>
        <v>0</v>
      </c>
      <c r="F20" s="1152" t="n">
        <f aca="false">'Смета Расходов'!G19</f>
        <v>0</v>
      </c>
    </row>
    <row r="21" customFormat="false" ht="15" hidden="false" customHeight="false" outlineLevel="0" collapsed="false">
      <c r="A21" s="1139"/>
      <c r="B21" s="1152" t="str">
        <f aca="false">'Смета Расходов'!B20</f>
        <v>Вязальная проволока</v>
      </c>
      <c r="C21" s="1153" t="str">
        <f aca="false">'Смета Расходов'!C20</f>
        <v>кг</v>
      </c>
      <c r="D21" s="1152" t="n">
        <f aca="false">'Смета Расходов'!D20</f>
        <v>0</v>
      </c>
      <c r="E21" s="1152" t="n">
        <f aca="false">'Смета Внутр'!E20</f>
        <v>80</v>
      </c>
      <c r="F21" s="1152" t="n">
        <f aca="false">'Смета Расходов'!G20</f>
        <v>0</v>
      </c>
    </row>
    <row r="22" customFormat="false" ht="15" hidden="false" customHeight="false" outlineLevel="0" collapsed="false">
      <c r="A22" s="1139"/>
      <c r="B22" s="1152" t="str">
        <f aca="false">'Смета Расходов'!B21</f>
        <v>Гвозди строительные 3,5 x 90            </v>
      </c>
      <c r="C22" s="1153" t="str">
        <f aca="false">'Смета Расходов'!C21</f>
        <v>кг</v>
      </c>
      <c r="D22" s="1152" t="n">
        <f aca="false">'Смета Расходов'!D21</f>
        <v>0</v>
      </c>
      <c r="E22" s="1152" t="n">
        <f aca="false">'Смета Внутр'!E21</f>
        <v>70</v>
      </c>
      <c r="F22" s="1152" t="n">
        <f aca="false">'Смета Расходов'!G21</f>
        <v>0</v>
      </c>
    </row>
    <row r="23" customFormat="false" ht="15" hidden="false" customHeight="false" outlineLevel="0" collapsed="false">
      <c r="A23" s="1139"/>
      <c r="B23" s="1152" t="str">
        <f aca="false">'Смета Расходов'!B22</f>
        <v>ПГС, машина 13м3</v>
      </c>
      <c r="C23" s="1153" t="str">
        <f aca="false">'Смета Расходов'!C22</f>
        <v>маш</v>
      </c>
      <c r="D23" s="1152" t="n">
        <f aca="false">'Смета Расходов'!D22</f>
        <v>0</v>
      </c>
      <c r="E23" s="1152" t="n">
        <f aca="false">'Смета Внутр'!E22</f>
        <v>10000</v>
      </c>
      <c r="F23" s="1152" t="n">
        <f aca="false">'Смета Расходов'!G22</f>
        <v>0</v>
      </c>
    </row>
    <row r="24" customFormat="false" ht="15" hidden="false" customHeight="false" outlineLevel="0" collapsed="false">
      <c r="A24" s="1139"/>
      <c r="B24" s="1152" t="str">
        <f aca="false">'Смета Расходов'!B23</f>
        <v>Бетон, м200</v>
      </c>
      <c r="C24" s="1153" t="str">
        <f aca="false">'Смета Расходов'!C23</f>
        <v>м3</v>
      </c>
      <c r="D24" s="1152" t="n">
        <f aca="false">'Смета Расходов'!D23</f>
        <v>0</v>
      </c>
      <c r="E24" s="1152" t="n">
        <f aca="false">'Смета Внутр'!E23</f>
        <v>2500</v>
      </c>
      <c r="F24" s="1152" t="n">
        <f aca="false">'Смета Расходов'!G23</f>
        <v>0</v>
      </c>
    </row>
    <row r="25" customFormat="false" ht="15" hidden="false" customHeight="false" outlineLevel="0" collapsed="false">
      <c r="A25" s="1139"/>
      <c r="B25" s="1154" t="s">
        <v>2309</v>
      </c>
      <c r="C25" s="1154"/>
      <c r="D25" s="1154"/>
      <c r="E25" s="1154"/>
      <c r="F25" s="1152" t="n">
        <f aca="false">SUM(F16:F24)</f>
        <v>0</v>
      </c>
    </row>
    <row r="26" customFormat="false" ht="18.75" hidden="false" customHeight="false" outlineLevel="0" collapsed="false">
      <c r="A26" s="1139"/>
      <c r="B26" s="1150" t="str">
        <f aca="false">'Смета Расходов'!B35</f>
        <v>Стяжка в цокольном этаже</v>
      </c>
      <c r="C26" s="1150"/>
      <c r="D26" s="1150"/>
      <c r="E26" s="1150"/>
      <c r="F26" s="1155" t="n">
        <f aca="false">'Смета Внутр'!H35</f>
        <v>0</v>
      </c>
    </row>
    <row r="27" customFormat="false" ht="15" hidden="false" customHeight="false" outlineLevel="0" collapsed="false">
      <c r="A27" s="1139"/>
      <c r="B27" s="1156" t="s">
        <v>2246</v>
      </c>
      <c r="C27" s="1156"/>
      <c r="D27" s="1156"/>
      <c r="E27" s="1156"/>
      <c r="F27" s="1155" t="n">
        <f aca="false">'Смета Внутр'!H36</f>
        <v>0</v>
      </c>
    </row>
    <row r="28" customFormat="false" ht="15" hidden="false" customHeight="false" outlineLevel="0" collapsed="false">
      <c r="A28" s="1139"/>
      <c r="B28" s="1152" t="str">
        <f aca="false">'Смета Расходов'!B37</f>
        <v>Скальник, 1 маш 13м3</v>
      </c>
      <c r="C28" s="1153" t="str">
        <f aca="false">'Смета Расходов'!C37</f>
        <v>маш</v>
      </c>
      <c r="D28" s="1152" t="n">
        <f aca="false">'Смета Расходов'!D37</f>
        <v>0</v>
      </c>
      <c r="E28" s="1152" t="n">
        <f aca="false">'Смета Расходов'!F37</f>
        <v>15000</v>
      </c>
      <c r="F28" s="1152" t="n">
        <f aca="false">'Смета Расходов'!G37</f>
        <v>0</v>
      </c>
    </row>
    <row r="29" customFormat="false" ht="15" hidden="false" customHeight="false" outlineLevel="0" collapsed="false">
      <c r="A29" s="1139"/>
      <c r="B29" s="1152" t="str">
        <f aca="false">'Смета Расходов'!B38</f>
        <v>ПГС, машина 13м3</v>
      </c>
      <c r="C29" s="1153" t="str">
        <f aca="false">'Смета Расходов'!C38</f>
        <v>маш</v>
      </c>
      <c r="D29" s="1152" t="n">
        <f aca="false">'Смета Расходов'!D38</f>
        <v>0</v>
      </c>
      <c r="E29" s="1152" t="n">
        <f aca="false">'Смета Расходов'!F38</f>
        <v>10000</v>
      </c>
      <c r="F29" s="1152" t="n">
        <f aca="false">'Смета Расходов'!G38</f>
        <v>0</v>
      </c>
    </row>
    <row r="30" customFormat="false" ht="15" hidden="false" customHeight="false" outlineLevel="0" collapsed="false">
      <c r="A30" s="1139"/>
      <c r="B30" s="1152" t="str">
        <f aca="false">'Смета Расходов'!B39</f>
        <v>Песок, машина 13м3</v>
      </c>
      <c r="C30" s="1153" t="str">
        <f aca="false">'Смета Расходов'!C39</f>
        <v>маш</v>
      </c>
      <c r="D30" s="1152" t="n">
        <f aca="false">'Смета Расходов'!D39</f>
        <v>0</v>
      </c>
      <c r="E30" s="1152" t="n">
        <f aca="false">'Смета Расходов'!F39</f>
        <v>12000</v>
      </c>
      <c r="F30" s="1152" t="n">
        <f aca="false">'Смета Расходов'!G39</f>
        <v>0</v>
      </c>
    </row>
    <row r="31" customFormat="false" ht="15" hidden="false" customHeight="false" outlineLevel="0" collapsed="false">
      <c r="A31" s="1139"/>
      <c r="B31" s="1152" t="str">
        <f aca="false">'Смета Расходов'!B40</f>
        <v>Геотекстиль</v>
      </c>
      <c r="C31" s="1153" t="str">
        <f aca="false">'Смета Расходов'!C40</f>
        <v>м2</v>
      </c>
      <c r="D31" s="1152" t="n">
        <f aca="false">'Смета Расходов'!D40</f>
        <v>0</v>
      </c>
      <c r="E31" s="1152" t="n">
        <f aca="false">'Смета Расходов'!F40</f>
        <v>100</v>
      </c>
      <c r="F31" s="1152" t="n">
        <f aca="false">'Смета Расходов'!G40</f>
        <v>0</v>
      </c>
    </row>
    <row r="32" customFormat="false" ht="15" hidden="false" customHeight="false" outlineLevel="0" collapsed="false">
      <c r="A32" s="1139"/>
      <c r="B32" s="1152" t="str">
        <f aca="false">'Смета Расходов'!B41</f>
        <v>Плитный,28кг/м3, технониколь, 100мм</v>
      </c>
      <c r="C32" s="1153" t="str">
        <f aca="false">'Смета Расходов'!C41</f>
        <v>м3</v>
      </c>
      <c r="D32" s="1152" t="n">
        <f aca="false">'Смета Расходов'!D41</f>
        <v>0</v>
      </c>
      <c r="E32" s="1152" t="n">
        <f aca="false">'Смета Расходов'!F41</f>
        <v>1700</v>
      </c>
      <c r="F32" s="1152" t="n">
        <f aca="false">'Смета Расходов'!G41</f>
        <v>0</v>
      </c>
    </row>
    <row r="33" customFormat="false" ht="15" hidden="false" customHeight="false" outlineLevel="0" collapsed="false">
      <c r="A33" s="1139"/>
      <c r="B33" s="1152" t="str">
        <f aca="false">'Смета Расходов'!B42</f>
        <v>Пленка гидроизоляционная </v>
      </c>
      <c r="C33" s="1153" t="str">
        <f aca="false">'Смета Расходов'!C42</f>
        <v>м2</v>
      </c>
      <c r="D33" s="1152" t="n">
        <f aca="false">'Смета Расходов'!D42</f>
        <v>0</v>
      </c>
      <c r="E33" s="1152" t="n">
        <f aca="false">'Смета Расходов'!F42</f>
        <v>15</v>
      </c>
      <c r="F33" s="1152" t="n">
        <f aca="false">'Смета Расходов'!G42</f>
        <v>0</v>
      </c>
    </row>
    <row r="34" customFormat="false" ht="15" hidden="false" customHeight="false" outlineLevel="0" collapsed="false">
      <c r="A34" s="1139"/>
      <c r="B34" s="1152" t="str">
        <f aca="false">'Смета Расходов'!B43</f>
        <v>Кладочная сетка, 100*100/150*150/200*200мм</v>
      </c>
      <c r="C34" s="1153" t="str">
        <f aca="false">'Смета Расходов'!C43</f>
        <v>м2</v>
      </c>
      <c r="D34" s="1152" t="n">
        <f aca="false">'Смета Расходов'!D43</f>
        <v>0</v>
      </c>
      <c r="E34" s="1152" t="n">
        <f aca="false">'Смета Расходов'!F43</f>
        <v>70</v>
      </c>
      <c r="F34" s="1152" t="n">
        <f aca="false">'Смета Расходов'!G43</f>
        <v>0</v>
      </c>
    </row>
    <row r="35" customFormat="false" ht="15" hidden="false" customHeight="false" outlineLevel="0" collapsed="false">
      <c r="A35" s="1139"/>
      <c r="B35" s="1152" t="str">
        <f aca="false">'Смета Расходов'!B44</f>
        <v>Стяжки пластиковые</v>
      </c>
      <c r="C35" s="1153" t="str">
        <f aca="false">'Смета Расходов'!C44</f>
        <v>шт</v>
      </c>
      <c r="D35" s="1152" t="n">
        <f aca="false">'Смета Расходов'!D44</f>
        <v>0</v>
      </c>
      <c r="E35" s="1152" t="n">
        <f aca="false">'Смета Расходов'!F44</f>
        <v>2</v>
      </c>
      <c r="F35" s="1152" t="n">
        <f aca="false">'Смета Расходов'!G44</f>
        <v>0</v>
      </c>
    </row>
    <row r="36" customFormat="false" ht="15" hidden="false" customHeight="false" outlineLevel="0" collapsed="false">
      <c r="A36" s="1139"/>
      <c r="B36" s="1152" t="str">
        <f aca="false">'Смета Расходов'!B45</f>
        <v>Стяжки пластиковые</v>
      </c>
      <c r="C36" s="1153" t="str">
        <f aca="false">'Смета Расходов'!C45</f>
        <v>шт</v>
      </c>
      <c r="D36" s="1152" t="n">
        <f aca="false">'Смета Расходов'!D45</f>
        <v>0</v>
      </c>
      <c r="E36" s="1152" t="n">
        <f aca="false">'Смета Расходов'!F45</f>
        <v>2</v>
      </c>
      <c r="F36" s="1152" t="n">
        <f aca="false">'Смета Расходов'!G45</f>
        <v>0</v>
      </c>
    </row>
    <row r="37" customFormat="false" ht="15" hidden="false" customHeight="false" outlineLevel="0" collapsed="false">
      <c r="A37" s="1139"/>
      <c r="B37" s="1152" t="str">
        <f aca="false">'Смета Расходов'!B46</f>
        <v>Труба теплого пола 3</v>
      </c>
      <c r="C37" s="1153" t="str">
        <f aca="false">'Смета Расходов'!C46</f>
        <v>м.п</v>
      </c>
      <c r="D37" s="1152" t="n">
        <f aca="false">'Смета Расходов'!D46</f>
        <v>0</v>
      </c>
      <c r="E37" s="1152" t="n">
        <f aca="false">'Смета Расходов'!F46</f>
        <v>60</v>
      </c>
      <c r="F37" s="1152" t="n">
        <f aca="false">'Смета Расходов'!G46</f>
        <v>0</v>
      </c>
    </row>
    <row r="38" customFormat="false" ht="15" hidden="false" customHeight="false" outlineLevel="0" collapsed="false">
      <c r="A38" s="1139"/>
      <c r="B38" s="1152" t="str">
        <f aca="false">'Смета Расходов'!B47</f>
        <v>Коллектор 6</v>
      </c>
      <c r="C38" s="1153" t="str">
        <f aca="false">'Смета Расходов'!C47</f>
        <v>шт</v>
      </c>
      <c r="D38" s="1152" t="n">
        <f aca="false">'Смета Расходов'!D47</f>
        <v>0</v>
      </c>
      <c r="E38" s="1152" t="n">
        <f aca="false">'Смета Расходов'!F47</f>
        <v>15000</v>
      </c>
      <c r="F38" s="1152" t="n">
        <f aca="false">'Смета Расходов'!G47</f>
        <v>0</v>
      </c>
    </row>
    <row r="39" customFormat="false" ht="15" hidden="false" customHeight="false" outlineLevel="0" collapsed="false">
      <c r="A39" s="1139"/>
      <c r="B39" s="1152" t="str">
        <f aca="false">'Смета Расходов'!B48</f>
        <v>Арматура стальная Ø 10 </v>
      </c>
      <c r="C39" s="1153" t="str">
        <f aca="false">'Смета Расходов'!C48</f>
        <v>м.п.</v>
      </c>
      <c r="D39" s="1152" t="n">
        <f aca="false">'Смета Расходов'!D48</f>
        <v>0</v>
      </c>
      <c r="E39" s="1152" t="n">
        <f aca="false">'Смета Расходов'!F48</f>
        <v>21.0397</v>
      </c>
      <c r="F39" s="1152" t="n">
        <f aca="false">'Смета Расходов'!G48</f>
        <v>0</v>
      </c>
    </row>
    <row r="40" customFormat="false" ht="15" hidden="false" customHeight="false" outlineLevel="0" collapsed="false">
      <c r="A40" s="1139"/>
      <c r="B40" s="1152" t="str">
        <f aca="false">'Смета Расходов'!B49</f>
        <v>Вязальная проволока</v>
      </c>
      <c r="C40" s="1153" t="str">
        <f aca="false">'Смета Расходов'!C49</f>
        <v>кг</v>
      </c>
      <c r="D40" s="1152" t="n">
        <f aca="false">'Смета Расходов'!D49</f>
        <v>0</v>
      </c>
      <c r="E40" s="1152" t="n">
        <f aca="false">'Смета Расходов'!F49</f>
        <v>80</v>
      </c>
      <c r="F40" s="1152" t="n">
        <f aca="false">'Смета Расходов'!G49</f>
        <v>0</v>
      </c>
    </row>
    <row r="41" customFormat="false" ht="15" hidden="false" customHeight="false" outlineLevel="0" collapsed="false">
      <c r="A41" s="1139"/>
      <c r="B41" s="1152" t="str">
        <f aca="false">'Смета Расходов'!B50</f>
        <v>Подставка под арматурный каркас</v>
      </c>
      <c r="C41" s="1153" t="str">
        <f aca="false">'Смета Расходов'!C50</f>
        <v>шт</v>
      </c>
      <c r="D41" s="1152" t="n">
        <f aca="false">'Смета Расходов'!D50</f>
        <v>0</v>
      </c>
      <c r="E41" s="1152" t="n">
        <f aca="false">'Смета Расходов'!F50</f>
        <v>5</v>
      </c>
      <c r="F41" s="1152" t="n">
        <f aca="false">'Смета Расходов'!G50</f>
        <v>0</v>
      </c>
    </row>
    <row r="42" customFormat="false" ht="15" hidden="false" customHeight="false" outlineLevel="0" collapsed="false">
      <c r="A42" s="1139"/>
      <c r="B42" s="1152" t="str">
        <f aca="false">'Смета Расходов'!B51</f>
        <v>труба дренажная d90 с перфорацией, в фильтре</v>
      </c>
      <c r="C42" s="1153" t="str">
        <f aca="false">'Смета Расходов'!C51</f>
        <v>шт</v>
      </c>
      <c r="D42" s="1152" t="n">
        <f aca="false">'Смета Расходов'!D51</f>
        <v>0</v>
      </c>
      <c r="E42" s="1152" t="n">
        <f aca="false">'Смета Расходов'!F51</f>
        <v>95</v>
      </c>
      <c r="F42" s="1152" t="n">
        <f aca="false">'Смета Расходов'!G51</f>
        <v>0</v>
      </c>
    </row>
    <row r="43" customFormat="false" ht="15" hidden="false" customHeight="false" outlineLevel="0" collapsed="false">
      <c r="A43" s="1139"/>
      <c r="B43" s="1152" t="str">
        <f aca="false">'Смета Расходов'!B52</f>
        <v>Дренажный колодец D400</v>
      </c>
      <c r="C43" s="1153" t="str">
        <f aca="false">'Смета Расходов'!C52</f>
        <v>шт</v>
      </c>
      <c r="D43" s="1152" t="n">
        <f aca="false">'Смета Расходов'!D52</f>
        <v>0</v>
      </c>
      <c r="E43" s="1152" t="n">
        <f aca="false">'Смета Расходов'!F52</f>
        <v>2500</v>
      </c>
      <c r="F43" s="1152" t="n">
        <f aca="false">'Смета Расходов'!G52</f>
        <v>0</v>
      </c>
    </row>
    <row r="44" customFormat="false" ht="15" hidden="false" customHeight="false" outlineLevel="0" collapsed="false">
      <c r="A44" s="1139"/>
      <c r="B44" s="1152" t="str">
        <f aca="false">'Смета Расходов'!B53</f>
        <v>Демпферная лента</v>
      </c>
      <c r="C44" s="1153" t="str">
        <f aca="false">'Смета Расходов'!C53</f>
        <v>м.п.</v>
      </c>
      <c r="D44" s="1152" t="n">
        <f aca="false">'Смета Расходов'!D53</f>
        <v>0</v>
      </c>
      <c r="E44" s="1152" t="n">
        <f aca="false">'Смета Расходов'!F53</f>
        <v>50</v>
      </c>
      <c r="F44" s="1152" t="n">
        <f aca="false">'Смета Расходов'!G53</f>
        <v>0</v>
      </c>
    </row>
    <row r="45" customFormat="false" ht="15" hidden="false" customHeight="false" outlineLevel="0" collapsed="false">
      <c r="A45" s="1139"/>
      <c r="B45" s="1152" t="str">
        <f aca="false">'Смета Расходов'!B54</f>
        <v>Бетон, м350</v>
      </c>
      <c r="C45" s="1153" t="str">
        <f aca="false">'Смета Расходов'!C54</f>
        <v>м3</v>
      </c>
      <c r="D45" s="1152" t="n">
        <f aca="false">'Смета Расходов'!D54</f>
        <v>0</v>
      </c>
      <c r="E45" s="1152" t="n">
        <f aca="false">'Смета Расходов'!F54</f>
        <v>3500</v>
      </c>
      <c r="F45" s="1152" t="n">
        <f aca="false">'Смета Расходов'!G54</f>
        <v>0</v>
      </c>
    </row>
    <row r="46" customFormat="false" ht="15" hidden="false" customHeight="false" outlineLevel="0" collapsed="false">
      <c r="A46" s="1139"/>
      <c r="B46" s="1154" t="s">
        <v>2309</v>
      </c>
      <c r="C46" s="1154"/>
      <c r="D46" s="1154"/>
      <c r="E46" s="1154"/>
      <c r="F46" s="1152" t="n">
        <f aca="false">SUM(F28:F45)</f>
        <v>0</v>
      </c>
    </row>
    <row r="47" customFormat="false" ht="18.75" hidden="false" customHeight="false" outlineLevel="0" collapsed="false">
      <c r="A47" s="1139"/>
      <c r="B47" s="1150" t="str">
        <f aca="false">'Смета Расходов'!B72</f>
        <v>Цокольный этаж из блоков ФБС</v>
      </c>
      <c r="C47" s="1150"/>
      <c r="D47" s="1150"/>
      <c r="E47" s="1150"/>
      <c r="F47" s="1155" t="n">
        <f aca="false">'Смета Внутр'!H72</f>
        <v>0</v>
      </c>
    </row>
    <row r="48" customFormat="false" ht="15" hidden="false" customHeight="false" outlineLevel="0" collapsed="false">
      <c r="A48" s="1139"/>
      <c r="B48" s="1156" t="s">
        <v>2246</v>
      </c>
      <c r="C48" s="1156"/>
      <c r="D48" s="1156"/>
      <c r="E48" s="1156"/>
      <c r="F48" s="1155" t="n">
        <f aca="false">'Смета Внутр'!H73</f>
        <v>0</v>
      </c>
    </row>
    <row r="49" customFormat="false" ht="15" hidden="false" customHeight="false" outlineLevel="0" collapsed="false">
      <c r="A49" s="1139"/>
      <c r="B49" s="1152" t="str">
        <f aca="false">'Смета Расходов'!B74</f>
        <v>Праймер для обработки </v>
      </c>
      <c r="C49" s="1153" t="str">
        <f aca="false">'Смета Расходов'!C74</f>
        <v>л</v>
      </c>
      <c r="D49" s="1152" t="n">
        <f aca="false">'Смета Расходов'!D74</f>
        <v>0</v>
      </c>
      <c r="E49" s="1152" t="n">
        <f aca="false">'Смета Расходов'!F74</f>
        <v>100</v>
      </c>
      <c r="F49" s="1152" t="n">
        <f aca="false">'Смета Расходов'!G74</f>
        <v>0</v>
      </c>
    </row>
    <row r="50" customFormat="false" ht="15" hidden="false" customHeight="false" outlineLevel="0" collapsed="false">
      <c r="A50" s="1139"/>
      <c r="B50" s="1152" t="str">
        <f aca="false">'Смета Расходов'!B75</f>
        <v>Гидроизол</v>
      </c>
      <c r="C50" s="1153" t="str">
        <f aca="false">'Смета Расходов'!C75</f>
        <v>м2</v>
      </c>
      <c r="D50" s="1152" t="n">
        <f aca="false">'Смета Расходов'!D75</f>
        <v>0</v>
      </c>
      <c r="E50" s="1152" t="n">
        <f aca="false">'Смета Расходов'!F75</f>
        <v>70</v>
      </c>
      <c r="F50" s="1152" t="n">
        <f aca="false">'Смета Расходов'!G75</f>
        <v>0</v>
      </c>
    </row>
    <row r="51" customFormat="false" ht="15" hidden="false" customHeight="false" outlineLevel="0" collapsed="false">
      <c r="A51" s="1139"/>
      <c r="B51" s="1152" t="str">
        <f aca="false">'Смета Расходов'!B76</f>
        <v>Мастика битумная</v>
      </c>
      <c r="C51" s="1153" t="str">
        <f aca="false">'Смета Расходов'!C76</f>
        <v>кг</v>
      </c>
      <c r="D51" s="1152" t="n">
        <f aca="false">'Смета Расходов'!D76</f>
        <v>0</v>
      </c>
      <c r="E51" s="1152" t="n">
        <f aca="false">'Смета Расходов'!F76</f>
        <v>100</v>
      </c>
      <c r="F51" s="1152" t="n">
        <f aca="false">'Смета Расходов'!G76</f>
        <v>0</v>
      </c>
    </row>
    <row r="52" customFormat="false" ht="15" hidden="false" customHeight="false" outlineLevel="0" collapsed="false">
      <c r="A52" s="1139"/>
      <c r="B52" s="1152" t="str">
        <f aca="false">'Смета Расходов'!B77</f>
        <v>Блоки ФБС</v>
      </c>
      <c r="C52" s="1153" t="str">
        <f aca="false">'Смета Расходов'!C77</f>
        <v>м3</v>
      </c>
      <c r="D52" s="1152" t="n">
        <f aca="false">'Смета Расходов'!D77</f>
        <v>0</v>
      </c>
      <c r="E52" s="1152" t="n">
        <f aca="false">'Смета Расходов'!F77</f>
        <v>1200</v>
      </c>
      <c r="F52" s="1152" t="n">
        <f aca="false">'Смета Расходов'!G77</f>
        <v>0</v>
      </c>
    </row>
    <row r="53" customFormat="false" ht="15" hidden="false" customHeight="false" outlineLevel="0" collapsed="false">
      <c r="A53" s="1139"/>
      <c r="B53" s="1152" t="str">
        <f aca="false">'Смета Расходов'!B78</f>
        <v>Кладочная сетка, 100*100/150*150/200*200мм</v>
      </c>
      <c r="C53" s="1153" t="str">
        <f aca="false">'Смета Расходов'!C78</f>
        <v>м2</v>
      </c>
      <c r="D53" s="1152" t="n">
        <f aca="false">'Смета Расходов'!D78</f>
        <v>0</v>
      </c>
      <c r="E53" s="1152" t="n">
        <f aca="false">'Смета Расходов'!F78</f>
        <v>70</v>
      </c>
      <c r="F53" s="1152" t="n">
        <f aca="false">'Смета Расходов'!G78</f>
        <v>0</v>
      </c>
    </row>
    <row r="54" customFormat="false" ht="15" hidden="false" customHeight="false" outlineLevel="0" collapsed="false">
      <c r="A54" s="1139"/>
      <c r="B54" s="1152" t="str">
        <f aca="false">'Смета Расходов'!B79</f>
        <v>Вязальная проволока</v>
      </c>
      <c r="C54" s="1153" t="str">
        <f aca="false">'Смета Расходов'!C79</f>
        <v>кг</v>
      </c>
      <c r="D54" s="1152" t="n">
        <f aca="false">'Смета Расходов'!D79</f>
        <v>0</v>
      </c>
      <c r="E54" s="1152" t="n">
        <f aca="false">'Смета Расходов'!F79</f>
        <v>80</v>
      </c>
      <c r="F54" s="1152" t="n">
        <f aca="false">'Смета Расходов'!G79</f>
        <v>0</v>
      </c>
    </row>
    <row r="55" customFormat="false" ht="15" hidden="false" customHeight="false" outlineLevel="0" collapsed="false">
      <c r="A55" s="1139"/>
      <c r="B55" s="1152" t="str">
        <f aca="false">'Смета Расходов'!B80</f>
        <v>Раствор, м250</v>
      </c>
      <c r="C55" s="1153" t="str">
        <f aca="false">'Смета Расходов'!C80</f>
        <v>м3</v>
      </c>
      <c r="D55" s="1152" t="n">
        <f aca="false">'Смета Расходов'!D80</f>
        <v>0</v>
      </c>
      <c r="E55" s="1152" t="n">
        <f aca="false">'Смета Расходов'!F80</f>
        <v>2500</v>
      </c>
      <c r="F55" s="1152" t="n">
        <f aca="false">'Смета Расходов'!G80</f>
        <v>0</v>
      </c>
    </row>
    <row r="56" customFormat="false" ht="15" hidden="false" customHeight="false" outlineLevel="0" collapsed="false">
      <c r="A56" s="1139"/>
      <c r="B56" s="1152" t="str">
        <f aca="false">'Смета Расходов'!B81</f>
        <v>Сосна влаж,150*40мм</v>
      </c>
      <c r="C56" s="1153" t="str">
        <f aca="false">'Смета Расходов'!C81</f>
        <v>м3</v>
      </c>
      <c r="D56" s="1152" t="n">
        <f aca="false">'Смета Расходов'!D81</f>
        <v>0</v>
      </c>
      <c r="E56" s="1152" t="n">
        <f aca="false">'Смета Расходов'!F81</f>
        <v>6500</v>
      </c>
      <c r="F56" s="1152" t="n">
        <f aca="false">'Смета Расходов'!G81</f>
        <v>0</v>
      </c>
    </row>
    <row r="57" customFormat="false" ht="15" hidden="false" customHeight="false" outlineLevel="0" collapsed="false">
      <c r="A57" s="1139"/>
      <c r="B57" s="1152" t="str">
        <f aca="false">'Смета Расходов'!B82</f>
        <v>Арматура стальная Ø 10 </v>
      </c>
      <c r="C57" s="1153" t="str">
        <f aca="false">'Смета Расходов'!C82</f>
        <v>м.п.</v>
      </c>
      <c r="D57" s="1152" t="n">
        <f aca="false">'Смета Расходов'!D82</f>
        <v>0</v>
      </c>
      <c r="E57" s="1152" t="n">
        <f aca="false">'Смета Расходов'!F82</f>
        <v>21.0397</v>
      </c>
      <c r="F57" s="1152" t="n">
        <f aca="false">'Смета Расходов'!G82</f>
        <v>0</v>
      </c>
    </row>
    <row r="58" customFormat="false" ht="15" hidden="false" customHeight="false" outlineLevel="0" collapsed="false">
      <c r="A58" s="1139"/>
      <c r="B58" s="1152" t="str">
        <f aca="false">'Смета Расходов'!B83</f>
        <v>Нет арматуры</v>
      </c>
      <c r="C58" s="1153" t="str">
        <f aca="false">'Смета Расходов'!C83</f>
        <v>м.п.</v>
      </c>
      <c r="D58" s="1152" t="n">
        <f aca="false">'Смета Расходов'!D83</f>
        <v>0</v>
      </c>
      <c r="E58" s="1152" t="n">
        <f aca="false">'Смета Расходов'!F83</f>
        <v>0</v>
      </c>
      <c r="F58" s="1152" t="n">
        <f aca="false">'Смета Расходов'!G83</f>
        <v>0</v>
      </c>
    </row>
    <row r="59" customFormat="false" ht="15" hidden="false" customHeight="false" outlineLevel="0" collapsed="false">
      <c r="A59" s="1139"/>
      <c r="B59" s="1152" t="str">
        <f aca="false">'Смета Расходов'!B84</f>
        <v>Бетон, м300</v>
      </c>
      <c r="C59" s="1153" t="str">
        <f aca="false">'Смета Расходов'!C84</f>
        <v>м3</v>
      </c>
      <c r="D59" s="1152" t="n">
        <f aca="false">'Смета Расходов'!D84</f>
        <v>0</v>
      </c>
      <c r="E59" s="1152" t="n">
        <f aca="false">'Смета Расходов'!F84</f>
        <v>3000</v>
      </c>
      <c r="F59" s="1152" t="n">
        <f aca="false">'Смета Расходов'!G84</f>
        <v>0</v>
      </c>
    </row>
    <row r="60" customFormat="false" ht="15" hidden="false" customHeight="false" outlineLevel="0" collapsed="false">
      <c r="A60" s="1139"/>
      <c r="B60" s="1152" t="str">
        <f aca="false">'Смета Расходов'!B85</f>
        <v>Праймер для обработки </v>
      </c>
      <c r="C60" s="1153" t="str">
        <f aca="false">'Смета Расходов'!C85</f>
        <v>л</v>
      </c>
      <c r="D60" s="1152" t="n">
        <f aca="false">'Смета Расходов'!D85</f>
        <v>0</v>
      </c>
      <c r="E60" s="1152" t="n">
        <f aca="false">'Смета Расходов'!F85</f>
        <v>100</v>
      </c>
      <c r="F60" s="1152" t="n">
        <f aca="false">'Смета Расходов'!G85</f>
        <v>0</v>
      </c>
    </row>
    <row r="61" customFormat="false" ht="15" hidden="false" customHeight="false" outlineLevel="0" collapsed="false">
      <c r="A61" s="1139"/>
      <c r="B61" s="1152" t="str">
        <f aca="false">'Смета Расходов'!B86</f>
        <v>Плитный,28кг/м3, технониколь, 100мм</v>
      </c>
      <c r="C61" s="1153" t="str">
        <f aca="false">'Смета Расходов'!C86</f>
        <v>м3</v>
      </c>
      <c r="D61" s="1152" t="n">
        <f aca="false">'Смета Расходов'!D86</f>
        <v>0</v>
      </c>
      <c r="E61" s="1152" t="n">
        <f aca="false">'Смета Расходов'!F86</f>
        <v>1700</v>
      </c>
      <c r="F61" s="1152" t="n">
        <f aca="false">'Смета Расходов'!G86</f>
        <v>0</v>
      </c>
    </row>
    <row r="62" customFormat="false" ht="15" hidden="false" customHeight="false" outlineLevel="0" collapsed="false">
      <c r="A62" s="1139"/>
      <c r="B62" s="1152" t="str">
        <f aca="false">'Смета Расходов'!B87</f>
        <v>Грибок для крепления утеплителя</v>
      </c>
      <c r="C62" s="1153" t="str">
        <f aca="false">'Смета Расходов'!C87</f>
        <v>шт</v>
      </c>
      <c r="D62" s="1152" t="n">
        <f aca="false">'Смета Расходов'!D87</f>
        <v>0</v>
      </c>
      <c r="E62" s="1152" t="n">
        <f aca="false">'Смета Расходов'!F87</f>
        <v>15</v>
      </c>
      <c r="F62" s="1152" t="n">
        <f aca="false">'Смета Расходов'!G87</f>
        <v>0</v>
      </c>
    </row>
    <row r="63" customFormat="false" ht="15" hidden="false" customHeight="false" outlineLevel="0" collapsed="false">
      <c r="A63" s="1139"/>
      <c r="B63" s="1154" t="s">
        <v>2309</v>
      </c>
      <c r="C63" s="1154"/>
      <c r="D63" s="1154"/>
      <c r="E63" s="1154"/>
      <c r="F63" s="1152" t="n">
        <f aca="false">SUM(F49:F62)</f>
        <v>0</v>
      </c>
    </row>
    <row r="64" customFormat="false" ht="18.75" hidden="false" customHeight="false" outlineLevel="0" collapsed="false">
      <c r="A64" s="1139"/>
      <c r="B64" s="1150" t="str">
        <f aca="false">'Смета Расходов'!B100</f>
        <v>Цокольный этаж из Монолит (бетон)</v>
      </c>
      <c r="C64" s="1150"/>
      <c r="D64" s="1150"/>
      <c r="E64" s="1150"/>
      <c r="F64" s="1155" t="n">
        <f aca="false">'Смета Внутр'!H100</f>
        <v>0</v>
      </c>
    </row>
    <row r="65" customFormat="false" ht="15" hidden="false" customHeight="false" outlineLevel="0" collapsed="false">
      <c r="A65" s="1139"/>
      <c r="B65" s="1156" t="s">
        <v>2246</v>
      </c>
      <c r="C65" s="1156"/>
      <c r="D65" s="1156"/>
      <c r="E65" s="1156"/>
      <c r="F65" s="1155" t="n">
        <f aca="false">'Смета Внутр'!H101</f>
        <v>0</v>
      </c>
    </row>
    <row r="66" customFormat="false" ht="15" hidden="false" customHeight="false" outlineLevel="0" collapsed="false">
      <c r="A66" s="1139"/>
      <c r="B66" s="1152" t="str">
        <f aca="false">'Смета Расходов'!B102</f>
        <v>Праймер для обработки </v>
      </c>
      <c r="C66" s="1153" t="str">
        <f aca="false">'Смета Расходов'!C102</f>
        <v>л</v>
      </c>
      <c r="D66" s="1152" t="n">
        <f aca="false">'Смета Расходов'!D102</f>
        <v>0</v>
      </c>
      <c r="E66" s="1152" t="n">
        <f aca="false">'Смета Расходов'!F102</f>
        <v>100</v>
      </c>
      <c r="F66" s="1152" t="n">
        <f aca="false">'Смета Расходов'!G102</f>
        <v>0</v>
      </c>
    </row>
    <row r="67" customFormat="false" ht="15" hidden="false" customHeight="false" outlineLevel="0" collapsed="false">
      <c r="A67" s="1139"/>
      <c r="B67" s="1152" t="str">
        <f aca="false">'Смета Расходов'!B103</f>
        <v>Гидроизол</v>
      </c>
      <c r="C67" s="1153" t="str">
        <f aca="false">'Смета Расходов'!C103</f>
        <v>м2</v>
      </c>
      <c r="D67" s="1152" t="n">
        <f aca="false">'Смета Расходов'!D103</f>
        <v>0</v>
      </c>
      <c r="E67" s="1152" t="n">
        <f aca="false">'Смета Расходов'!F103</f>
        <v>70</v>
      </c>
      <c r="F67" s="1152" t="n">
        <f aca="false">'Смета Расходов'!G103</f>
        <v>0</v>
      </c>
    </row>
    <row r="68" customFormat="false" ht="15" hidden="false" customHeight="false" outlineLevel="0" collapsed="false">
      <c r="A68" s="1139"/>
      <c r="B68" s="1152" t="str">
        <f aca="false">'Смета Расходов'!B104</f>
        <v>Мастика битумная</v>
      </c>
      <c r="C68" s="1153" t="str">
        <f aca="false">'Смета Расходов'!C104</f>
        <v>кг</v>
      </c>
      <c r="D68" s="1152" t="n">
        <f aca="false">'Смета Расходов'!D104</f>
        <v>0</v>
      </c>
      <c r="E68" s="1152" t="n">
        <f aca="false">'Смета Расходов'!F104</f>
        <v>100</v>
      </c>
      <c r="F68" s="1152" t="n">
        <f aca="false">'Смета Расходов'!G104</f>
        <v>0</v>
      </c>
    </row>
    <row r="69" customFormat="false" ht="15" hidden="false" customHeight="false" outlineLevel="0" collapsed="false">
      <c r="A69" s="1139"/>
      <c r="B69" s="1152" t="str">
        <f aca="false">'Смета Расходов'!B105</f>
        <v>Сосна влаж,150*40мм</v>
      </c>
      <c r="C69" s="1153" t="str">
        <f aca="false">'Смета Расходов'!C105</f>
        <v>м3</v>
      </c>
      <c r="D69" s="1152" t="n">
        <f aca="false">'Смета Расходов'!D105</f>
        <v>0</v>
      </c>
      <c r="E69" s="1152" t="n">
        <f aca="false">'Смета Расходов'!F105</f>
        <v>6500</v>
      </c>
      <c r="F69" s="1152" t="n">
        <f aca="false">'Смета Расходов'!G105</f>
        <v>0</v>
      </c>
    </row>
    <row r="70" customFormat="false" ht="15" hidden="false" customHeight="false" outlineLevel="0" collapsed="false">
      <c r="A70" s="1139"/>
      <c r="B70" s="1152" t="str">
        <f aca="false">'Смета Расходов'!B106</f>
        <v>Крепления для опалубки</v>
      </c>
      <c r="C70" s="1153" t="str">
        <f aca="false">'Смета Расходов'!C106</f>
        <v>шт</v>
      </c>
      <c r="D70" s="1152" t="n">
        <f aca="false">'Смета Расходов'!D106</f>
        <v>0</v>
      </c>
      <c r="E70" s="1152" t="n">
        <f aca="false">'Смета Расходов'!F106</f>
        <v>20</v>
      </c>
      <c r="F70" s="1152" t="n">
        <f aca="false">'Смета Расходов'!G106</f>
        <v>0</v>
      </c>
    </row>
    <row r="71" customFormat="false" ht="15" hidden="false" customHeight="false" outlineLevel="0" collapsed="false">
      <c r="A71" s="1139"/>
      <c r="B71" s="1152" t="str">
        <f aca="false">'Смета Расходов'!B107</f>
        <v>Арматура стальная Ø 12</v>
      </c>
      <c r="C71" s="1153" t="str">
        <f aca="false">'Смета Расходов'!C107</f>
        <v>м.п.</v>
      </c>
      <c r="D71" s="1152" t="n">
        <f aca="false">'Смета Расходов'!D107</f>
        <v>0</v>
      </c>
      <c r="E71" s="1152" t="n">
        <f aca="false">'Смета Расходов'!F107</f>
        <v>29.2152</v>
      </c>
      <c r="F71" s="1152" t="n">
        <f aca="false">'Смета Расходов'!G107</f>
        <v>0</v>
      </c>
    </row>
    <row r="72" customFormat="false" ht="15" hidden="false" customHeight="false" outlineLevel="0" collapsed="false">
      <c r="A72" s="1139"/>
      <c r="B72" s="1152" t="str">
        <f aca="false">'Смета Расходов'!B108</f>
        <v>Вязальная проволока</v>
      </c>
      <c r="C72" s="1153" t="str">
        <f aca="false">'Смета Расходов'!C108</f>
        <v>кг</v>
      </c>
      <c r="D72" s="1152" t="n">
        <f aca="false">'Смета Расходов'!D108</f>
        <v>0</v>
      </c>
      <c r="E72" s="1152" t="n">
        <f aca="false">'Смета Расходов'!F108</f>
        <v>80</v>
      </c>
      <c r="F72" s="1152" t="n">
        <f aca="false">'Смета Расходов'!G108</f>
        <v>0</v>
      </c>
    </row>
    <row r="73" customFormat="false" ht="15" hidden="false" customHeight="false" outlineLevel="0" collapsed="false">
      <c r="A73" s="1139"/>
      <c r="B73" s="1152" t="str">
        <f aca="false">'Смета Расходов'!B109</f>
        <v>Бетон, м300</v>
      </c>
      <c r="C73" s="1153" t="str">
        <f aca="false">'Смета Расходов'!C109</f>
        <v>м3</v>
      </c>
      <c r="D73" s="1152" t="n">
        <f aca="false">'Смета Расходов'!D109</f>
        <v>0</v>
      </c>
      <c r="E73" s="1152" t="n">
        <f aca="false">'Смета Расходов'!F109</f>
        <v>3000</v>
      </c>
      <c r="F73" s="1152" t="n">
        <f aca="false">'Смета Расходов'!G109</f>
        <v>0</v>
      </c>
    </row>
    <row r="74" customFormat="false" ht="15" hidden="false" customHeight="false" outlineLevel="0" collapsed="false">
      <c r="A74" s="1139"/>
      <c r="B74" s="1152" t="str">
        <f aca="false">'Смета Расходов'!B110</f>
        <v>Праймер для обработки </v>
      </c>
      <c r="C74" s="1153" t="str">
        <f aca="false">'Смета Расходов'!C110</f>
        <v>кг</v>
      </c>
      <c r="D74" s="1152" t="n">
        <f aca="false">'Смета Расходов'!D110</f>
        <v>0</v>
      </c>
      <c r="E74" s="1152" t="n">
        <f aca="false">'Смета Расходов'!F110</f>
        <v>100</v>
      </c>
      <c r="F74" s="1152" t="n">
        <f aca="false">'Смета Расходов'!G110</f>
        <v>0</v>
      </c>
    </row>
    <row r="75" customFormat="false" ht="15" hidden="false" customHeight="false" outlineLevel="0" collapsed="false">
      <c r="A75" s="1139"/>
      <c r="B75" s="1152" t="str">
        <f aca="false">'Смета Расходов'!B111</f>
        <v>Плитный,28кг/м3, технониколь, 100мм</v>
      </c>
      <c r="C75" s="1153" t="str">
        <f aca="false">'Смета Расходов'!C111</f>
        <v>м3</v>
      </c>
      <c r="D75" s="1152" t="n">
        <f aca="false">'Смета Расходов'!D111</f>
        <v>0</v>
      </c>
      <c r="E75" s="1152" t="n">
        <f aca="false">'Смета Расходов'!F111</f>
        <v>1700</v>
      </c>
      <c r="F75" s="1152" t="n">
        <f aca="false">'Смета Расходов'!G111</f>
        <v>0</v>
      </c>
    </row>
    <row r="76" customFormat="false" ht="15" hidden="false" customHeight="false" outlineLevel="0" collapsed="false">
      <c r="A76" s="1139"/>
      <c r="B76" s="1152" t="str">
        <f aca="false">'Смета Расходов'!B112</f>
        <v>Грибок для крепления утеплителя</v>
      </c>
      <c r="C76" s="1153" t="str">
        <f aca="false">'Смета Расходов'!C112</f>
        <v>шт</v>
      </c>
      <c r="D76" s="1152" t="n">
        <f aca="false">'Смета Расходов'!D112</f>
        <v>0</v>
      </c>
      <c r="E76" s="1152" t="n">
        <f aca="false">'Смета Расходов'!F112</f>
        <v>15</v>
      </c>
      <c r="F76" s="1152" t="n">
        <f aca="false">'Смета Расходов'!G112</f>
        <v>0</v>
      </c>
    </row>
    <row r="77" customFormat="false" ht="15" hidden="false" customHeight="false" outlineLevel="0" collapsed="false">
      <c r="A77" s="1139"/>
      <c r="B77" s="1154" t="s">
        <v>2309</v>
      </c>
      <c r="C77" s="1154"/>
      <c r="D77" s="1154"/>
      <c r="E77" s="1154"/>
      <c r="F77" s="1152" t="n">
        <f aca="false">SUM(F66:F76)</f>
        <v>0</v>
      </c>
    </row>
    <row r="78" customFormat="false" ht="18.75" hidden="false" customHeight="false" outlineLevel="0" collapsed="false">
      <c r="A78" s="1139"/>
      <c r="B78" s="1150" t="str">
        <f aca="false">'Смета Расходов'!B124</f>
        <v>Винтовые сваи для дома</v>
      </c>
      <c r="C78" s="1150"/>
      <c r="D78" s="1150"/>
      <c r="E78" s="1150"/>
      <c r="F78" s="1155" t="n">
        <f aca="false">'Смета Внутр'!H124</f>
        <v>0</v>
      </c>
    </row>
    <row r="79" customFormat="false" ht="15" hidden="false" customHeight="false" outlineLevel="0" collapsed="false">
      <c r="A79" s="1139"/>
      <c r="B79" s="1156" t="s">
        <v>2246</v>
      </c>
      <c r="C79" s="1156"/>
      <c r="D79" s="1156"/>
      <c r="E79" s="1156"/>
      <c r="F79" s="1155" t="n">
        <f aca="false">'Смета Внутр'!H125</f>
        <v>0</v>
      </c>
    </row>
    <row r="80" customFormat="false" ht="15" hidden="false" customHeight="false" outlineLevel="0" collapsed="false">
      <c r="A80" s="1139"/>
      <c r="B80" s="1152" t="str">
        <f aca="false">'Смета Расходов'!B126</f>
        <v>пробное забуривание</v>
      </c>
      <c r="C80" s="1153" t="str">
        <f aca="false">'Смета Расходов'!C126</f>
        <v>шт</v>
      </c>
      <c r="D80" s="1152" t="n">
        <f aca="false">'Смета Расходов'!D126</f>
        <v>1</v>
      </c>
      <c r="E80" s="1152" t="n">
        <f aca="false">'Смета Расходов'!F126</f>
        <v>5000</v>
      </c>
      <c r="F80" s="1152" t="n">
        <f aca="false">'Смета Расходов'!G126</f>
        <v>0</v>
      </c>
    </row>
    <row r="81" customFormat="false" ht="15" hidden="false" customHeight="false" outlineLevel="0" collapsed="false">
      <c r="A81" s="1139"/>
      <c r="B81" s="1152" t="str">
        <f aca="false">'Смета Расходов'!B127</f>
        <v>108мм, 2,5м длина, 1 лопасть</v>
      </c>
      <c r="C81" s="1153" t="str">
        <f aca="false">'Смета Расходов'!C127</f>
        <v>шт</v>
      </c>
      <c r="D81" s="1152" t="n">
        <f aca="false">'Смета Расходов'!D127</f>
        <v>21</v>
      </c>
      <c r="E81" s="1152" t="n">
        <f aca="false">'Смета Расходов'!F127</f>
        <v>1950</v>
      </c>
      <c r="F81" s="1152" t="n">
        <f aca="false">'Смета Расходов'!G127</f>
        <v>0</v>
      </c>
    </row>
    <row r="82" customFormat="false" ht="15" hidden="false" customHeight="false" outlineLevel="0" collapsed="false">
      <c r="A82" s="1139"/>
      <c r="B82" s="1152" t="str">
        <f aca="false">'Смета Расходов'!B128</f>
        <v>Оголовкок для свай 200*200</v>
      </c>
      <c r="C82" s="1153" t="str">
        <f aca="false">'Смета Расходов'!C128</f>
        <v>шт</v>
      </c>
      <c r="D82" s="1152" t="n">
        <f aca="false">'Смета Расходов'!D128</f>
        <v>21</v>
      </c>
      <c r="E82" s="1152" t="n">
        <f aca="false">'Смета Расходов'!F128</f>
        <v>250</v>
      </c>
      <c r="F82" s="1152" t="n">
        <f aca="false">'Смета Расходов'!G128</f>
        <v>0</v>
      </c>
    </row>
    <row r="83" customFormat="false" ht="15" hidden="false" customHeight="false" outlineLevel="0" collapsed="false">
      <c r="A83" s="1139"/>
      <c r="B83" s="1152" t="str">
        <f aca="false">'Смета Расходов'!B129</f>
        <v>обвязка металлом</v>
      </c>
      <c r="C83" s="1153" t="str">
        <f aca="false">'Смета Расходов'!C129</f>
        <v>м.п.</v>
      </c>
      <c r="D83" s="1152" t="n">
        <f aca="false">'Смета Расходов'!D129</f>
        <v>48</v>
      </c>
      <c r="E83" s="1152" t="n">
        <f aca="false">'Смета Расходов'!F129</f>
        <v>100</v>
      </c>
      <c r="F83" s="1152" t="n">
        <f aca="false">'Смета Расходов'!G129</f>
        <v>0</v>
      </c>
    </row>
    <row r="84" customFormat="false" ht="15" hidden="false" customHeight="false" outlineLevel="0" collapsed="false">
      <c r="A84" s="1139"/>
      <c r="B84" s="1152" t="str">
        <f aca="false">'Смета Расходов'!B130</f>
        <v>Раствор, м200</v>
      </c>
      <c r="C84" s="1153" t="str">
        <f aca="false">'Смета Расходов'!C130</f>
        <v>м3</v>
      </c>
      <c r="D84" s="1152" t="n">
        <f aca="false">'Смета Расходов'!D130</f>
        <v>0.949536</v>
      </c>
      <c r="E84" s="1152" t="n">
        <f aca="false">'Смета Расходов'!F130</f>
        <v>2100</v>
      </c>
      <c r="F84" s="1152" t="n">
        <f aca="false">'Смета Расходов'!G130</f>
        <v>0</v>
      </c>
    </row>
    <row r="85" customFormat="false" ht="15" hidden="false" customHeight="false" outlineLevel="0" collapsed="false">
      <c r="A85" s="1139"/>
      <c r="B85" s="1152" t="str">
        <f aca="false">'Смета Расходов'!B131</f>
        <v>Электроды ок 47</v>
      </c>
      <c r="C85" s="1153" t="str">
        <f aca="false">'Смета Расходов'!C131</f>
        <v>шт</v>
      </c>
      <c r="D85" s="1152" t="n">
        <f aca="false">'Смета Расходов'!D131</f>
        <v>21</v>
      </c>
      <c r="E85" s="1152" t="n">
        <f aca="false">'Смета Расходов'!F131</f>
        <v>10</v>
      </c>
      <c r="F85" s="1152" t="n">
        <f aca="false">'Смета Расходов'!G131</f>
        <v>0</v>
      </c>
    </row>
    <row r="86" customFormat="false" ht="15" hidden="false" customHeight="false" outlineLevel="0" collapsed="false">
      <c r="A86" s="1139"/>
      <c r="B86" s="1154" t="s">
        <v>2309</v>
      </c>
      <c r="C86" s="1154"/>
      <c r="D86" s="1154"/>
      <c r="E86" s="1154"/>
      <c r="F86" s="1152" t="n">
        <f aca="false">SUM(F80:F85)</f>
        <v>0</v>
      </c>
    </row>
    <row r="87" customFormat="false" ht="18.75" hidden="false" customHeight="false" outlineLevel="0" collapsed="false">
      <c r="A87" s="1139"/>
      <c r="B87" s="1150" t="str">
        <f aca="false">'Смета Расходов'!B142</f>
        <v>Винтовые сваи для террасы</v>
      </c>
      <c r="C87" s="1150"/>
      <c r="D87" s="1150"/>
      <c r="E87" s="1150"/>
      <c r="F87" s="1155" t="n">
        <f aca="false">'Смета Внутр'!H142</f>
        <v>0</v>
      </c>
    </row>
    <row r="88" customFormat="false" ht="15" hidden="false" customHeight="false" outlineLevel="0" collapsed="false">
      <c r="A88" s="1139"/>
      <c r="B88" s="1156" t="s">
        <v>2246</v>
      </c>
      <c r="C88" s="1156"/>
      <c r="D88" s="1156"/>
      <c r="E88" s="1156"/>
      <c r="F88" s="1155" t="n">
        <f aca="false">'Смета Внутр'!H143</f>
        <v>0</v>
      </c>
    </row>
    <row r="89" customFormat="false" ht="15" hidden="false" customHeight="false" outlineLevel="0" collapsed="false">
      <c r="A89" s="1139"/>
      <c r="B89" s="1152" t="str">
        <f aca="false">'Смета Расходов'!B144</f>
        <v>пробное забуривание</v>
      </c>
      <c r="C89" s="1153" t="str">
        <f aca="false">'Смета Расходов'!C144</f>
        <v>шт</v>
      </c>
      <c r="D89" s="1152" t="n">
        <f aca="false">'Смета Расходов'!D144</f>
        <v>1</v>
      </c>
      <c r="E89" s="1152" t="n">
        <f aca="false">'Смета Расходов'!F144</f>
        <v>5000</v>
      </c>
      <c r="F89" s="1152" t="n">
        <f aca="false">'Смета Расходов'!G144</f>
        <v>0</v>
      </c>
    </row>
    <row r="90" customFormat="false" ht="15" hidden="false" customHeight="false" outlineLevel="0" collapsed="false">
      <c r="A90" s="1139"/>
      <c r="B90" s="1152" t="str">
        <f aca="false">'Смета Расходов'!B145</f>
        <v>76мм, 3,5м длина, 2 лопасть</v>
      </c>
      <c r="C90" s="1153" t="str">
        <f aca="false">'Смета Расходов'!C145</f>
        <v>шт</v>
      </c>
      <c r="D90" s="1152" t="n">
        <f aca="false">'Смета Расходов'!D145</f>
        <v>8</v>
      </c>
      <c r="E90" s="1152" t="n">
        <f aca="false">'Смета Расходов'!F145</f>
        <v>2130</v>
      </c>
      <c r="F90" s="1152" t="n">
        <f aca="false">'Смета Расходов'!G145</f>
        <v>0</v>
      </c>
    </row>
    <row r="91" customFormat="false" ht="15" hidden="false" customHeight="false" outlineLevel="0" collapsed="false">
      <c r="A91" s="1139"/>
      <c r="B91" s="1152" t="str">
        <f aca="false">'Смета Расходов'!B146</f>
        <v>Оголовкок для свай 200*200</v>
      </c>
      <c r="C91" s="1153" t="str">
        <f aca="false">'Смета Расходов'!C146</f>
        <v>шт</v>
      </c>
      <c r="D91" s="1152" t="n">
        <f aca="false">'Смета Расходов'!D146</f>
        <v>8</v>
      </c>
      <c r="E91" s="1152" t="n">
        <f aca="false">'Смета Расходов'!F146</f>
        <v>250</v>
      </c>
      <c r="F91" s="1152" t="n">
        <f aca="false">'Смета Расходов'!G146</f>
        <v>0</v>
      </c>
    </row>
    <row r="92" customFormat="false" ht="15" hidden="false" customHeight="false" outlineLevel="0" collapsed="false">
      <c r="A92" s="1139"/>
      <c r="B92" s="1152" t="str">
        <f aca="false">'Смета Расходов'!B147</f>
        <v>обвязка металлом, 20/40/3000</v>
      </c>
      <c r="C92" s="1153" t="str">
        <f aca="false">'Смета Расходов'!C147</f>
        <v>м.п.</v>
      </c>
      <c r="D92" s="1152" t="n">
        <f aca="false">'Смета Расходов'!D147</f>
        <v>8</v>
      </c>
      <c r="E92" s="1152" t="n">
        <f aca="false">'Смета Расходов'!F147</f>
        <v>100</v>
      </c>
      <c r="F92" s="1152" t="n">
        <f aca="false">'Смета Расходов'!G147</f>
        <v>0</v>
      </c>
    </row>
    <row r="93" customFormat="false" ht="15" hidden="false" customHeight="false" outlineLevel="0" collapsed="false">
      <c r="A93" s="1139"/>
      <c r="B93" s="1152" t="str">
        <f aca="false">'Смета Расходов'!B148</f>
        <v>Раствор, м200</v>
      </c>
      <c r="C93" s="1153" t="str">
        <f aca="false">'Смета Расходов'!C148</f>
        <v>м3</v>
      </c>
      <c r="D93" s="1152" t="n">
        <f aca="false">'Смета Расходов'!D148</f>
        <v>0.361728</v>
      </c>
      <c r="E93" s="1152" t="n">
        <f aca="false">'Смета Расходов'!F148</f>
        <v>2100</v>
      </c>
      <c r="F93" s="1152" t="n">
        <f aca="false">'Смета Расходов'!G148</f>
        <v>0</v>
      </c>
    </row>
    <row r="94" customFormat="false" ht="15" hidden="false" customHeight="false" outlineLevel="0" collapsed="false">
      <c r="A94" s="1139"/>
      <c r="B94" s="1152" t="str">
        <f aca="false">'Смета Расходов'!B149</f>
        <v>Электроды ок 47</v>
      </c>
      <c r="C94" s="1153" t="str">
        <f aca="false">'Смета Расходов'!C149</f>
        <v>шт</v>
      </c>
      <c r="D94" s="1152" t="n">
        <f aca="false">'Смета Расходов'!D149</f>
        <v>8</v>
      </c>
      <c r="E94" s="1152" t="n">
        <f aca="false">'Смета Расходов'!F149</f>
        <v>10</v>
      </c>
      <c r="F94" s="1152" t="n">
        <f aca="false">'Смета Расходов'!G149</f>
        <v>0</v>
      </c>
    </row>
    <row r="95" customFormat="false" ht="15" hidden="false" customHeight="false" outlineLevel="0" collapsed="false">
      <c r="A95" s="1139"/>
      <c r="B95" s="1154" t="s">
        <v>2309</v>
      </c>
      <c r="C95" s="1154"/>
      <c r="D95" s="1154"/>
      <c r="E95" s="1154"/>
      <c r="F95" s="1152" t="n">
        <f aca="false">SUM(F89:F94)</f>
        <v>0</v>
      </c>
    </row>
    <row r="96" customFormat="false" ht="18.75" hidden="false" customHeight="false" outlineLevel="0" collapsed="false">
      <c r="A96" s="1139"/>
      <c r="B96" s="1150" t="str">
        <f aca="false">'Смета Расходов'!B160</f>
        <v>Винтовые сваи для крыльца</v>
      </c>
      <c r="C96" s="1150"/>
      <c r="D96" s="1150"/>
      <c r="E96" s="1150"/>
      <c r="F96" s="1155" t="n">
        <f aca="false">'Смета Внутр'!H160</f>
        <v>0</v>
      </c>
    </row>
    <row r="97" customFormat="false" ht="15" hidden="false" customHeight="false" outlineLevel="0" collapsed="false">
      <c r="A97" s="1139"/>
      <c r="B97" s="1156" t="s">
        <v>2246</v>
      </c>
      <c r="C97" s="1156"/>
      <c r="D97" s="1156"/>
      <c r="E97" s="1156"/>
      <c r="F97" s="1155" t="n">
        <f aca="false">'Смета Внутр'!H161</f>
        <v>0</v>
      </c>
    </row>
    <row r="98" customFormat="false" ht="15" hidden="false" customHeight="false" outlineLevel="0" collapsed="false">
      <c r="A98" s="1139"/>
      <c r="B98" s="1152" t="str">
        <f aca="false">'Смета Расходов'!B162</f>
        <v>пробное забуривание</v>
      </c>
      <c r="C98" s="1153" t="str">
        <f aca="false">'Смета Расходов'!C162</f>
        <v>шт</v>
      </c>
      <c r="D98" s="1152" t="n">
        <f aca="false">'Смета Расходов'!D162</f>
        <v>1</v>
      </c>
      <c r="E98" s="1152" t="n">
        <f aca="false">'Смета Расходов'!F162</f>
        <v>5000</v>
      </c>
      <c r="F98" s="1152" t="n">
        <f aca="false">'Смета Расходов'!G162</f>
        <v>0</v>
      </c>
    </row>
    <row r="99" customFormat="false" ht="15" hidden="false" customHeight="false" outlineLevel="0" collapsed="false">
      <c r="A99" s="1139"/>
      <c r="B99" s="1152" t="str">
        <f aca="false">'Смета Расходов'!B163</f>
        <v>89мм, 3м длина, 1 лопасть</v>
      </c>
      <c r="C99" s="1153" t="str">
        <f aca="false">'Смета Расходов'!C163</f>
        <v>шт</v>
      </c>
      <c r="D99" s="1152" t="n">
        <f aca="false">'Смета Расходов'!D163</f>
        <v>5</v>
      </c>
      <c r="E99" s="1152" t="n">
        <f aca="false">'Смета Расходов'!F163</f>
        <v>1890</v>
      </c>
      <c r="F99" s="1152" t="n">
        <f aca="false">'Смета Расходов'!G163</f>
        <v>0</v>
      </c>
    </row>
    <row r="100" customFormat="false" ht="15" hidden="false" customHeight="false" outlineLevel="0" collapsed="false">
      <c r="A100" s="1139"/>
      <c r="B100" s="1152" t="str">
        <f aca="false">'Смета Расходов'!B164</f>
        <v>Оголовкок для свай 200*200</v>
      </c>
      <c r="C100" s="1153" t="str">
        <f aca="false">'Смета Расходов'!C164</f>
        <v>шт</v>
      </c>
      <c r="D100" s="1152" t="n">
        <f aca="false">'Смета Расходов'!D164</f>
        <v>5</v>
      </c>
      <c r="E100" s="1152" t="n">
        <f aca="false">'Смета Расходов'!F164</f>
        <v>250</v>
      </c>
      <c r="F100" s="1152" t="n">
        <f aca="false">'Смета Расходов'!G164</f>
        <v>0</v>
      </c>
    </row>
    <row r="101" customFormat="false" ht="15" hidden="false" customHeight="false" outlineLevel="0" collapsed="false">
      <c r="A101" s="1139"/>
      <c r="B101" s="1152" t="str">
        <f aca="false">'Смета Расходов'!B165</f>
        <v>обвязка металлом, 20/40/3000</v>
      </c>
      <c r="C101" s="1153" t="str">
        <f aca="false">'Смета Расходов'!C165</f>
        <v>м.п.</v>
      </c>
      <c r="D101" s="1152" t="n">
        <f aca="false">'Смета Расходов'!D165</f>
        <v>5</v>
      </c>
      <c r="E101" s="1152" t="n">
        <f aca="false">'Смета Расходов'!F165</f>
        <v>100</v>
      </c>
      <c r="F101" s="1152" t="n">
        <f aca="false">'Смета Расходов'!G165</f>
        <v>0</v>
      </c>
    </row>
    <row r="102" customFormat="false" ht="15" hidden="false" customHeight="false" outlineLevel="0" collapsed="false">
      <c r="A102" s="1139"/>
      <c r="B102" s="1152" t="str">
        <f aca="false">'Смета Расходов'!B166</f>
        <v>Раствор, м200</v>
      </c>
      <c r="C102" s="1153" t="str">
        <f aca="false">'Смета Расходов'!C166</f>
        <v>м3</v>
      </c>
      <c r="D102" s="1152" t="n">
        <f aca="false">'Смета Расходов'!D166</f>
        <v>0.22608</v>
      </c>
      <c r="E102" s="1152" t="n">
        <f aca="false">'Смета Расходов'!F166</f>
        <v>2100</v>
      </c>
      <c r="F102" s="1152" t="n">
        <f aca="false">'Смета Расходов'!G166</f>
        <v>0</v>
      </c>
    </row>
    <row r="103" customFormat="false" ht="15" hidden="false" customHeight="false" outlineLevel="0" collapsed="false">
      <c r="A103" s="1139"/>
      <c r="B103" s="1152" t="str">
        <f aca="false">'Смета Расходов'!B167</f>
        <v>Электроды ок 47</v>
      </c>
      <c r="C103" s="1153" t="str">
        <f aca="false">'Смета Расходов'!C167</f>
        <v>шт</v>
      </c>
      <c r="D103" s="1152" t="n">
        <f aca="false">'Смета Расходов'!D167</f>
        <v>5</v>
      </c>
      <c r="E103" s="1152" t="n">
        <f aca="false">'Смета Расходов'!F167</f>
        <v>10</v>
      </c>
      <c r="F103" s="1152" t="n">
        <f aca="false">'Смета Расходов'!G167</f>
        <v>0</v>
      </c>
    </row>
    <row r="104" customFormat="false" ht="15" hidden="false" customHeight="false" outlineLevel="0" collapsed="false">
      <c r="A104" s="1139"/>
      <c r="B104" s="1154" t="s">
        <v>2309</v>
      </c>
      <c r="C104" s="1154"/>
      <c r="D104" s="1154"/>
      <c r="E104" s="1154"/>
      <c r="F104" s="1152" t="n">
        <f aca="false">SUM(F98:F103)</f>
        <v>0</v>
      </c>
    </row>
    <row r="105" customFormat="false" ht="18.75" hidden="false" customHeight="false" outlineLevel="0" collapsed="false">
      <c r="A105" s="1139"/>
      <c r="B105" s="1150" t="str">
        <f aca="false">'Смета Расходов'!B178</f>
        <v>Ленточный фундамент</v>
      </c>
      <c r="C105" s="1150"/>
      <c r="D105" s="1150"/>
      <c r="E105" s="1150"/>
      <c r="F105" s="1155" t="n">
        <f aca="false">'Смета Внутр'!H178</f>
        <v>0</v>
      </c>
    </row>
    <row r="106" customFormat="false" ht="15" hidden="false" customHeight="false" outlineLevel="0" collapsed="false">
      <c r="A106" s="1139"/>
      <c r="B106" s="1156" t="s">
        <v>2246</v>
      </c>
      <c r="C106" s="1156"/>
      <c r="D106" s="1156"/>
      <c r="E106" s="1156"/>
      <c r="F106" s="1155" t="n">
        <f aca="false">'Смета Внутр'!H179</f>
        <v>0</v>
      </c>
    </row>
    <row r="107" customFormat="false" ht="15" hidden="false" customHeight="false" outlineLevel="0" collapsed="false">
      <c r="A107" s="1139"/>
      <c r="B107" s="1152" t="str">
        <f aca="false">'Смета Расходов'!B180</f>
        <v>Сосна влаж,150*40мм</v>
      </c>
      <c r="C107" s="1153" t="str">
        <f aca="false">'Смета Расходов'!C180</f>
        <v>м3</v>
      </c>
      <c r="D107" s="1152" t="n">
        <f aca="false">'Смета Расходов'!D180</f>
        <v>3.29472</v>
      </c>
      <c r="E107" s="1152" t="n">
        <f aca="false">'Смета Расходов'!F180</f>
        <v>6500</v>
      </c>
      <c r="F107" s="1152" t="n">
        <f aca="false">'Смета Расходов'!G180</f>
        <v>0</v>
      </c>
    </row>
    <row r="108" customFormat="false" ht="15" hidden="false" customHeight="false" outlineLevel="0" collapsed="false">
      <c r="A108" s="1139"/>
      <c r="B108" s="1152" t="str">
        <f aca="false">'Смета Расходов'!B181</f>
        <v>Пленка гидроизоляционная </v>
      </c>
      <c r="C108" s="1153" t="str">
        <f aca="false">'Смета Расходов'!C181</f>
        <v>м2</v>
      </c>
      <c r="D108" s="1152" t="n">
        <f aca="false">'Смета Расходов'!D181</f>
        <v>82.368</v>
      </c>
      <c r="E108" s="1152" t="n">
        <f aca="false">'Смета Расходов'!F181</f>
        <v>15</v>
      </c>
      <c r="F108" s="1152" t="n">
        <f aca="false">'Смета Расходов'!G181</f>
        <v>0</v>
      </c>
    </row>
    <row r="109" customFormat="false" ht="15" hidden="false" customHeight="false" outlineLevel="0" collapsed="false">
      <c r="A109" s="1139"/>
      <c r="B109" s="1152" t="str">
        <f aca="false">'Смета Расходов'!B182</f>
        <v>Арматура стальная Ø 8</v>
      </c>
      <c r="C109" s="1153" t="str">
        <f aca="false">'Смета Расходов'!C182</f>
        <v>м.п</v>
      </c>
      <c r="D109" s="1152" t="n">
        <f aca="false">'Смета Расходов'!D182</f>
        <v>380.16</v>
      </c>
      <c r="E109" s="1152" t="n">
        <f aca="false">'Смета Расходов'!F182</f>
        <v>16.037</v>
      </c>
      <c r="F109" s="1152" t="n">
        <f aca="false">'Смета Расходов'!G182</f>
        <v>0</v>
      </c>
    </row>
    <row r="110" customFormat="false" ht="15" hidden="false" customHeight="false" outlineLevel="0" collapsed="false">
      <c r="A110" s="1139"/>
      <c r="B110" s="1152" t="str">
        <f aca="false">'Смета Расходов'!B183</f>
        <v>Арматура стальная Ø 6</v>
      </c>
      <c r="C110" s="1153" t="str">
        <f aca="false">'Смета Расходов'!C183</f>
        <v>м.п</v>
      </c>
      <c r="D110" s="1152" t="n">
        <f aca="false">'Смета Расходов'!D183</f>
        <v>261.36</v>
      </c>
      <c r="E110" s="1152" t="n">
        <f aca="false">'Смета Расходов'!F183</f>
        <v>9.0132</v>
      </c>
      <c r="F110" s="1152" t="n">
        <f aca="false">'Смета Расходов'!G183</f>
        <v>0</v>
      </c>
    </row>
    <row r="111" customFormat="false" ht="15" hidden="false" customHeight="false" outlineLevel="0" collapsed="false">
      <c r="A111" s="1139"/>
      <c r="B111" s="1152" t="str">
        <f aca="false">'Смета Расходов'!B184</f>
        <v>Вязальная проволока</v>
      </c>
      <c r="C111" s="1153" t="str">
        <f aca="false">'Смета Расходов'!C184</f>
        <v>кг</v>
      </c>
      <c r="D111" s="1152" t="n">
        <f aca="false">'Смета Расходов'!D184</f>
        <v>14.11344</v>
      </c>
      <c r="E111" s="1152" t="n">
        <f aca="false">'Смета Расходов'!F184</f>
        <v>80</v>
      </c>
      <c r="F111" s="1152" t="n">
        <f aca="false">'Смета Расходов'!G184</f>
        <v>0</v>
      </c>
    </row>
    <row r="112" customFormat="false" ht="15" hidden="false" customHeight="false" outlineLevel="0" collapsed="false">
      <c r="A112" s="1139"/>
      <c r="B112" s="1152" t="str">
        <f aca="false">'Смета Расходов'!B185</f>
        <v>Гвозди строительные 3,5 x 90            </v>
      </c>
      <c r="C112" s="1153" t="str">
        <f aca="false">'Смета Расходов'!C185</f>
        <v>кг</v>
      </c>
      <c r="D112" s="1152" t="n">
        <f aca="false">'Смета Расходов'!D185</f>
        <v>18.12096</v>
      </c>
      <c r="E112" s="1152" t="n">
        <f aca="false">'Смета Расходов'!F185</f>
        <v>70</v>
      </c>
      <c r="F112" s="1152" t="n">
        <f aca="false">'Смета Расходов'!G185</f>
        <v>0</v>
      </c>
    </row>
    <row r="113" customFormat="false" ht="15" hidden="false" customHeight="false" outlineLevel="0" collapsed="false">
      <c r="A113" s="1139"/>
      <c r="B113" s="1152" t="str">
        <f aca="false">'Смета Расходов'!B186</f>
        <v>Гидроизол</v>
      </c>
      <c r="C113" s="1153" t="str">
        <f aca="false">'Смета Расходов'!C186</f>
        <v>м2</v>
      </c>
      <c r="D113" s="1152" t="n">
        <f aca="false">'Смета Расходов'!D186</f>
        <v>15.84</v>
      </c>
      <c r="E113" s="1152" t="n">
        <f aca="false">'Смета Расходов'!F186</f>
        <v>70</v>
      </c>
      <c r="F113" s="1152" t="n">
        <f aca="false">'Смета Расходов'!G186</f>
        <v>0</v>
      </c>
    </row>
    <row r="114" customFormat="false" ht="15" hidden="false" customHeight="false" outlineLevel="0" collapsed="false">
      <c r="A114" s="1139"/>
      <c r="B114" s="1152" t="str">
        <f aca="false">'Смета Расходов'!B187</f>
        <v>ПГС, машина 13м3</v>
      </c>
      <c r="C114" s="1153" t="str">
        <f aca="false">'Смета Расходов'!C187</f>
        <v>маш</v>
      </c>
      <c r="D114" s="1152" t="n">
        <f aca="false">'Смета Расходов'!D187</f>
        <v>0.528</v>
      </c>
      <c r="E114" s="1152" t="n">
        <f aca="false">'Смета Расходов'!F187</f>
        <v>10000</v>
      </c>
      <c r="F114" s="1152" t="n">
        <f aca="false">'Смета Расходов'!G187</f>
        <v>0</v>
      </c>
    </row>
    <row r="115" customFormat="false" ht="15" hidden="false" customHeight="false" outlineLevel="0" collapsed="false">
      <c r="A115" s="1139"/>
      <c r="B115" s="1152" t="str">
        <f aca="false">'Смета Расходов'!B188</f>
        <v>Бетон, м250</v>
      </c>
      <c r="C115" s="1153" t="str">
        <f aca="false">'Смета Расходов'!C188</f>
        <v>м3</v>
      </c>
      <c r="D115" s="1152" t="n">
        <f aca="false">'Смета Расходов'!D188</f>
        <v>9.504</v>
      </c>
      <c r="E115" s="1152" t="n">
        <f aca="false">'Смета Расходов'!F188</f>
        <v>2750</v>
      </c>
      <c r="F115" s="1152" t="n">
        <f aca="false">'Смета Расходов'!G188</f>
        <v>0</v>
      </c>
    </row>
    <row r="116" customFormat="false" ht="15" hidden="false" customHeight="false" outlineLevel="0" collapsed="false">
      <c r="A116" s="1139"/>
      <c r="B116" s="1152" t="str">
        <f aca="false">'Смета Расходов'!B189</f>
        <v>Нет</v>
      </c>
      <c r="C116" s="1153" t="str">
        <f aca="false">'Смета Расходов'!C189</f>
        <v>м3</v>
      </c>
      <c r="D116" s="1152" t="n">
        <f aca="false">'Смета Расходов'!D189</f>
        <v>0</v>
      </c>
      <c r="E116" s="1152" t="n">
        <f aca="false">'Смета Расходов'!F189</f>
        <v>0</v>
      </c>
      <c r="F116" s="1152" t="n">
        <f aca="false">'Смета Расходов'!G189</f>
        <v>0</v>
      </c>
    </row>
    <row r="117" customFormat="false" ht="15" hidden="false" customHeight="false" outlineLevel="0" collapsed="false">
      <c r="A117" s="1139"/>
      <c r="B117" s="1152" t="str">
        <f aca="false">'Смета Расходов'!B190</f>
        <v>Грибок для крепления утеплителя</v>
      </c>
      <c r="C117" s="1153" t="str">
        <f aca="false">'Смета Расходов'!C190</f>
        <v>шт</v>
      </c>
      <c r="D117" s="1152" t="n">
        <f aca="false">'Смета Расходов'!D190</f>
        <v>0</v>
      </c>
      <c r="E117" s="1152" t="n">
        <f aca="false">'Смета Расходов'!F190</f>
        <v>15</v>
      </c>
      <c r="F117" s="1152" t="n">
        <f aca="false">'Смета Расходов'!G190</f>
        <v>0</v>
      </c>
    </row>
    <row r="118" customFormat="false" ht="15" hidden="false" customHeight="false" outlineLevel="0" collapsed="false">
      <c r="A118" s="1139"/>
      <c r="B118" s="1152" t="str">
        <f aca="false">'Смета Расходов'!B191</f>
        <v>Нет</v>
      </c>
      <c r="C118" s="1153" t="str">
        <f aca="false">'Смета Расходов'!C191</f>
        <v>м3</v>
      </c>
      <c r="D118" s="1152" t="n">
        <f aca="false">'Смета Расходов'!D191</f>
        <v>0</v>
      </c>
      <c r="E118" s="1152" t="n">
        <f aca="false">'Смета Расходов'!F191</f>
        <v>0</v>
      </c>
      <c r="F118" s="1152" t="n">
        <f aca="false">'Смета Расходов'!G191</f>
        <v>0</v>
      </c>
    </row>
    <row r="119" customFormat="false" ht="15" hidden="false" customHeight="false" outlineLevel="0" collapsed="false">
      <c r="A119" s="1139"/>
      <c r="B119" s="1152" t="str">
        <f aca="false">'Смета Расходов'!B192</f>
        <v>ПГС, машина 5м3</v>
      </c>
      <c r="C119" s="1153" t="str">
        <f aca="false">'Смета Расходов'!C192</f>
        <v>маш</v>
      </c>
      <c r="D119" s="1152" t="n">
        <f aca="false">'Смета Расходов'!D192</f>
        <v>0</v>
      </c>
      <c r="E119" s="1152" t="n">
        <f aca="false">'Смета Расходов'!F192</f>
        <v>6000</v>
      </c>
      <c r="F119" s="1152" t="n">
        <f aca="false">'Смета Расходов'!G192</f>
        <v>0</v>
      </c>
    </row>
    <row r="120" customFormat="false" ht="15" hidden="false" customHeight="false" outlineLevel="0" collapsed="false">
      <c r="A120" s="1139"/>
      <c r="B120" s="1152" t="str">
        <f aca="false">'Смета Расходов'!B193</f>
        <v>Кладочная сетка, 100*100/150*150/200*200мм</v>
      </c>
      <c r="C120" s="1153" t="str">
        <f aca="false">'Смета Расходов'!C193</f>
        <v>м2</v>
      </c>
      <c r="D120" s="1152" t="n">
        <f aca="false">'Смета Расходов'!D193</f>
        <v>0</v>
      </c>
      <c r="E120" s="1152" t="n">
        <f aca="false">'Смета Расходов'!F193</f>
        <v>70</v>
      </c>
      <c r="F120" s="1152" t="n">
        <f aca="false">'Смета Расходов'!G193</f>
        <v>0</v>
      </c>
    </row>
    <row r="121" customFormat="false" ht="15" hidden="false" customHeight="false" outlineLevel="0" collapsed="false">
      <c r="A121" s="1139"/>
      <c r="B121" s="1152" t="str">
        <f aca="false">'Смета Расходов'!B194</f>
        <v>Бетон, м200</v>
      </c>
      <c r="C121" s="1153" t="str">
        <f aca="false">'Смета Расходов'!C194</f>
        <v>м3</v>
      </c>
      <c r="D121" s="1152" t="n">
        <f aca="false">'Смета Расходов'!D194</f>
        <v>0</v>
      </c>
      <c r="E121" s="1152" t="n">
        <f aca="false">'Смета Расходов'!F194</f>
        <v>2500</v>
      </c>
      <c r="F121" s="1152" t="n">
        <f aca="false">'Смета Расходов'!G194</f>
        <v>0</v>
      </c>
    </row>
    <row r="122" customFormat="false" ht="15" hidden="false" customHeight="false" outlineLevel="0" collapsed="false">
      <c r="A122" s="1139"/>
      <c r="B122" s="1154" t="s">
        <v>2309</v>
      </c>
      <c r="C122" s="1154"/>
      <c r="D122" s="1154"/>
      <c r="E122" s="1154"/>
      <c r="F122" s="1152" t="n">
        <f aca="false">SUM(F107:F121)</f>
        <v>0</v>
      </c>
    </row>
    <row r="123" customFormat="false" ht="18.75" hidden="false" customHeight="false" outlineLevel="0" collapsed="false">
      <c r="A123" s="1139"/>
      <c r="B123" s="1150" t="str">
        <f aca="false">'Смета Расходов'!B212</f>
        <v>Свайноростверковый фундамент</v>
      </c>
      <c r="C123" s="1150"/>
      <c r="D123" s="1150"/>
      <c r="E123" s="1150"/>
      <c r="F123" s="1155" t="n">
        <f aca="false">'Смета Внутр'!H212</f>
        <v>1</v>
      </c>
    </row>
    <row r="124" customFormat="false" ht="15" hidden="false" customHeight="false" outlineLevel="0" collapsed="false">
      <c r="A124" s="1139"/>
      <c r="B124" s="1156" t="s">
        <v>2246</v>
      </c>
      <c r="C124" s="1156"/>
      <c r="D124" s="1156"/>
      <c r="E124" s="1156"/>
      <c r="F124" s="1155" t="n">
        <f aca="false">'Смета Внутр'!H213</f>
        <v>1</v>
      </c>
    </row>
    <row r="125" customFormat="false" ht="15" hidden="false" customHeight="false" outlineLevel="0" collapsed="false">
      <c r="A125" s="1139"/>
      <c r="B125" s="1152" t="str">
        <f aca="false">'Смета Расходов'!B214</f>
        <v>Экскаватор погрузчик, бурение</v>
      </c>
      <c r="C125" s="1153" t="str">
        <f aca="false">'Смета Расходов'!C214</f>
        <v>шт</v>
      </c>
      <c r="D125" s="1152" t="n">
        <f aca="false">'Смета Расходов'!D214</f>
        <v>69.3</v>
      </c>
      <c r="E125" s="1152" t="n">
        <f aca="false">'Смета Расходов'!F214</f>
        <v>300</v>
      </c>
      <c r="F125" s="1152" t="n">
        <f aca="false">'Смета Расходов'!G214</f>
        <v>20790</v>
      </c>
    </row>
    <row r="126" customFormat="false" ht="15" hidden="false" customHeight="false" outlineLevel="0" collapsed="false">
      <c r="A126" s="1139"/>
      <c r="B126" s="1152" t="str">
        <f aca="false">'Смета Расходов'!B215</f>
        <v>Бетон, м300</v>
      </c>
      <c r="C126" s="1153" t="str">
        <f aca="false">'Смета Расходов'!C215</f>
        <v>м3</v>
      </c>
      <c r="D126" s="1152" t="n">
        <f aca="false">'Смета Расходов'!D215</f>
        <v>4.896045</v>
      </c>
      <c r="E126" s="1152" t="n">
        <f aca="false">'Смета Расходов'!F215</f>
        <v>3000</v>
      </c>
      <c r="F126" s="1152" t="n">
        <f aca="false">'Смета Расходов'!G215</f>
        <v>14688.135</v>
      </c>
    </row>
    <row r="127" customFormat="false" ht="15" hidden="false" customHeight="false" outlineLevel="0" collapsed="false">
      <c r="A127" s="1139"/>
      <c r="B127" s="1152" t="str">
        <f aca="false">'Смета Расходов'!B216</f>
        <v>Арматурный скелет для свай</v>
      </c>
      <c r="C127" s="1153" t="str">
        <f aca="false">'Смета Расходов'!C216</f>
        <v>м.п.</v>
      </c>
      <c r="D127" s="1152" t="n">
        <f aca="false">'Смета Расходов'!D216</f>
        <v>228.69</v>
      </c>
      <c r="E127" s="1152" t="n">
        <f aca="false">'Смета Расходов'!F216</f>
        <v>500</v>
      </c>
      <c r="F127" s="1152" t="n">
        <f aca="false">'Смета Расходов'!G216</f>
        <v>114345</v>
      </c>
    </row>
    <row r="128" customFormat="false" ht="15" hidden="false" customHeight="false" outlineLevel="0" collapsed="false">
      <c r="A128" s="1139"/>
      <c r="B128" s="1152" t="str">
        <f aca="false">'Смета Расходов'!B217</f>
        <v>Сосна влаж,150*40мм</v>
      </c>
      <c r="C128" s="1153" t="str">
        <f aca="false">'Смета Расходов'!C217</f>
        <v>м3</v>
      </c>
      <c r="D128" s="1152" t="n">
        <f aca="false">'Смета Расходов'!D217</f>
        <v>3.29472</v>
      </c>
      <c r="E128" s="1152" t="n">
        <f aca="false">'Смета Расходов'!F217</f>
        <v>6500</v>
      </c>
      <c r="F128" s="1152" t="n">
        <f aca="false">'Смета Расходов'!G217</f>
        <v>21415.68</v>
      </c>
    </row>
    <row r="129" customFormat="false" ht="15" hidden="false" customHeight="false" outlineLevel="0" collapsed="false">
      <c r="A129" s="1139"/>
      <c r="B129" s="1152" t="str">
        <f aca="false">'Смета Расходов'!B218</f>
        <v>Пленка гидроизоляционная </v>
      </c>
      <c r="C129" s="1153" t="str">
        <f aca="false">'Смета Расходов'!C218</f>
        <v>м2</v>
      </c>
      <c r="D129" s="1152" t="n">
        <f aca="false">'Смета Расходов'!D218</f>
        <v>82.368</v>
      </c>
      <c r="E129" s="1152" t="n">
        <f aca="false">'Смета Расходов'!F218</f>
        <v>15</v>
      </c>
      <c r="F129" s="1152" t="n">
        <f aca="false">'Смета Расходов'!G218</f>
        <v>1235.52</v>
      </c>
    </row>
    <row r="130" customFormat="false" ht="15" hidden="false" customHeight="false" outlineLevel="0" collapsed="false">
      <c r="A130" s="1139"/>
      <c r="B130" s="1152" t="str">
        <f aca="false">'Смета Расходов'!B219</f>
        <v>Арматура стальная Ø 8</v>
      </c>
      <c r="C130" s="1153" t="str">
        <f aca="false">'Смета Расходов'!C219</f>
        <v>м.п</v>
      </c>
      <c r="D130" s="1152" t="n">
        <f aca="false">'Смета Расходов'!D219</f>
        <v>380.16</v>
      </c>
      <c r="E130" s="1152" t="n">
        <f aca="false">'Смета Расходов'!F219</f>
        <v>16.037</v>
      </c>
      <c r="F130" s="1152" t="n">
        <f aca="false">'Смета Расходов'!G219</f>
        <v>6096.62592</v>
      </c>
    </row>
    <row r="131" customFormat="false" ht="15" hidden="false" customHeight="false" outlineLevel="0" collapsed="false">
      <c r="A131" s="1139"/>
      <c r="B131" s="1152" t="str">
        <f aca="false">'Смета Расходов'!B220</f>
        <v>Арматура стальная Ø 6</v>
      </c>
      <c r="C131" s="1153" t="str">
        <f aca="false">'Смета Расходов'!C220</f>
        <v>м.п</v>
      </c>
      <c r="D131" s="1152" t="n">
        <f aca="false">'Смета Расходов'!D220</f>
        <v>261.36</v>
      </c>
      <c r="E131" s="1152" t="n">
        <f aca="false">'Смета Расходов'!F220</f>
        <v>9.0132</v>
      </c>
      <c r="F131" s="1152" t="n">
        <f aca="false">'Смета Расходов'!G220</f>
        <v>2355.689952</v>
      </c>
    </row>
    <row r="132" customFormat="false" ht="15" hidden="false" customHeight="false" outlineLevel="0" collapsed="false">
      <c r="A132" s="1139"/>
      <c r="B132" s="1152" t="str">
        <f aca="false">'Смета Расходов'!B221</f>
        <v>Вязальная проволока</v>
      </c>
      <c r="C132" s="1153" t="str">
        <f aca="false">'Смета Расходов'!C221</f>
        <v>кг</v>
      </c>
      <c r="D132" s="1152" t="n">
        <f aca="false">'Смета Расходов'!D221</f>
        <v>14.11344</v>
      </c>
      <c r="E132" s="1152" t="n">
        <f aca="false">'Смета Расходов'!F221</f>
        <v>80</v>
      </c>
      <c r="F132" s="1152" t="n">
        <f aca="false">'Смета Расходов'!G221</f>
        <v>1129.0752</v>
      </c>
    </row>
    <row r="133" customFormat="false" ht="15" hidden="false" customHeight="false" outlineLevel="0" collapsed="false">
      <c r="A133" s="1139"/>
      <c r="B133" s="1152" t="str">
        <f aca="false">'Смета Расходов'!B222</f>
        <v>Гвозди строительные 3,5 x 90            </v>
      </c>
      <c r="C133" s="1153" t="str">
        <f aca="false">'Смета Расходов'!C222</f>
        <v>кг</v>
      </c>
      <c r="D133" s="1152" t="n">
        <f aca="false">'Смета Расходов'!D222</f>
        <v>18.12096</v>
      </c>
      <c r="E133" s="1152" t="n">
        <f aca="false">'Смета Расходов'!F222</f>
        <v>70</v>
      </c>
      <c r="F133" s="1152" t="n">
        <f aca="false">'Смета Расходов'!G222</f>
        <v>1268.4672</v>
      </c>
    </row>
    <row r="134" customFormat="false" ht="15" hidden="false" customHeight="false" outlineLevel="0" collapsed="false">
      <c r="A134" s="1139"/>
      <c r="B134" s="1152" t="str">
        <f aca="false">'Смета Расходов'!B223</f>
        <v>Гидроизол</v>
      </c>
      <c r="C134" s="1153" t="str">
        <f aca="false">'Смета Расходов'!C223</f>
        <v>м2</v>
      </c>
      <c r="D134" s="1152" t="n">
        <f aca="false">'Смета Расходов'!D223</f>
        <v>15.84</v>
      </c>
      <c r="E134" s="1152" t="n">
        <f aca="false">'Смета Расходов'!F223</f>
        <v>70</v>
      </c>
      <c r="F134" s="1152" t="n">
        <f aca="false">'Смета Расходов'!G223</f>
        <v>1108.8</v>
      </c>
    </row>
    <row r="135" customFormat="false" ht="15" hidden="false" customHeight="false" outlineLevel="0" collapsed="false">
      <c r="A135" s="1139"/>
      <c r="B135" s="1152" t="str">
        <f aca="false">'Смета Расходов'!B224</f>
        <v>ПГС, машина 13м3</v>
      </c>
      <c r="C135" s="1153" t="str">
        <f aca="false">'Смета Расходов'!C224</f>
        <v>маш</v>
      </c>
      <c r="D135" s="1152" t="n">
        <f aca="false">'Смета Расходов'!D224</f>
        <v>0.528</v>
      </c>
      <c r="E135" s="1152" t="n">
        <f aca="false">'Смета Расходов'!F224</f>
        <v>10000</v>
      </c>
      <c r="F135" s="1152" t="n">
        <f aca="false">'Смета Расходов'!G224</f>
        <v>5280</v>
      </c>
    </row>
    <row r="136" customFormat="false" ht="15" hidden="false" customHeight="false" outlineLevel="0" collapsed="false">
      <c r="A136" s="1139"/>
      <c r="B136" s="1152" t="str">
        <f aca="false">'Смета Расходов'!B225</f>
        <v>Бетон, м250</v>
      </c>
      <c r="C136" s="1153" t="str">
        <f aca="false">'Смета Расходов'!C225</f>
        <v>м3</v>
      </c>
      <c r="D136" s="1152" t="n">
        <f aca="false">'Смета Расходов'!D225</f>
        <v>9.504</v>
      </c>
      <c r="E136" s="1152" t="n">
        <f aca="false">'Смета Расходов'!F225</f>
        <v>2750</v>
      </c>
      <c r="F136" s="1152" t="n">
        <f aca="false">'Смета Расходов'!G225</f>
        <v>26136</v>
      </c>
    </row>
    <row r="137" customFormat="false" ht="15" hidden="false" customHeight="false" outlineLevel="0" collapsed="false">
      <c r="A137" s="1139"/>
      <c r="B137" s="1152" t="str">
        <f aca="false">'Смета Расходов'!B226</f>
        <v>Нет</v>
      </c>
      <c r="C137" s="1153" t="str">
        <f aca="false">'Смета Расходов'!C226</f>
        <v>м3</v>
      </c>
      <c r="D137" s="1152" t="n">
        <f aca="false">'Смета Расходов'!D226</f>
        <v>0</v>
      </c>
      <c r="E137" s="1152" t="n">
        <f aca="false">'Смета Расходов'!F226</f>
        <v>0</v>
      </c>
      <c r="F137" s="1152" t="n">
        <f aca="false">'Смета Расходов'!G226</f>
        <v>0</v>
      </c>
    </row>
    <row r="138" customFormat="false" ht="15" hidden="false" customHeight="false" outlineLevel="0" collapsed="false">
      <c r="A138" s="1139"/>
      <c r="B138" s="1152" t="str">
        <f aca="false">'Смета Расходов'!B227</f>
        <v>Грибок для крепления утеплителя</v>
      </c>
      <c r="C138" s="1153" t="str">
        <f aca="false">'Смета Расходов'!C227</f>
        <v>шт</v>
      </c>
      <c r="D138" s="1152" t="n">
        <f aca="false">'Смета Расходов'!D227</f>
        <v>0</v>
      </c>
      <c r="E138" s="1152" t="n">
        <f aca="false">'Смета Расходов'!F227</f>
        <v>15</v>
      </c>
      <c r="F138" s="1152" t="n">
        <f aca="false">'Смета Расходов'!G227</f>
        <v>0</v>
      </c>
    </row>
    <row r="139" customFormat="false" ht="15" hidden="false" customHeight="false" outlineLevel="0" collapsed="false">
      <c r="A139" s="1139"/>
      <c r="B139" s="1152" t="str">
        <f aca="false">'Смета Расходов'!B228</f>
        <v>Нет</v>
      </c>
      <c r="C139" s="1153" t="str">
        <f aca="false">'Смета Расходов'!C228</f>
        <v>м3</v>
      </c>
      <c r="D139" s="1152" t="n">
        <f aca="false">'Смета Расходов'!D228</f>
        <v>0</v>
      </c>
      <c r="E139" s="1152" t="n">
        <f aca="false">'Смета Расходов'!F228</f>
        <v>0</v>
      </c>
      <c r="F139" s="1152" t="n">
        <f aca="false">'Смета Расходов'!G228</f>
        <v>0</v>
      </c>
    </row>
    <row r="140" customFormat="false" ht="15" hidden="false" customHeight="false" outlineLevel="0" collapsed="false">
      <c r="A140" s="1139"/>
      <c r="B140" s="1152" t="str">
        <f aca="false">'Смета Расходов'!B229</f>
        <v>ПГС, машина 5м3</v>
      </c>
      <c r="C140" s="1153" t="str">
        <f aca="false">'Смета Расходов'!C229</f>
        <v>маш</v>
      </c>
      <c r="D140" s="1152" t="n">
        <f aca="false">'Смета Расходов'!D229</f>
        <v>0</v>
      </c>
      <c r="E140" s="1152" t="n">
        <f aca="false">'Смета Расходов'!F229</f>
        <v>6000</v>
      </c>
      <c r="F140" s="1152" t="n">
        <f aca="false">'Смета Расходов'!G229</f>
        <v>0</v>
      </c>
    </row>
    <row r="141" customFormat="false" ht="15" hidden="false" customHeight="false" outlineLevel="0" collapsed="false">
      <c r="A141" s="1139"/>
      <c r="B141" s="1152" t="str">
        <f aca="false">'Смета Расходов'!B230</f>
        <v>Кладочная сетка, 100*100/150*150/200*200мм</v>
      </c>
      <c r="C141" s="1153" t="str">
        <f aca="false">'Смета Расходов'!C230</f>
        <v>м2</v>
      </c>
      <c r="D141" s="1152" t="n">
        <f aca="false">'Смета Расходов'!D230</f>
        <v>0</v>
      </c>
      <c r="E141" s="1152" t="n">
        <f aca="false">'Смета Расходов'!F230</f>
        <v>70</v>
      </c>
      <c r="F141" s="1152" t="n">
        <f aca="false">'Смета Расходов'!G230</f>
        <v>0</v>
      </c>
    </row>
    <row r="142" customFormat="false" ht="15" hidden="false" customHeight="false" outlineLevel="0" collapsed="false">
      <c r="A142" s="1139"/>
      <c r="B142" s="1152" t="str">
        <f aca="false">'Смета Расходов'!B231</f>
        <v>Бетон, м200</v>
      </c>
      <c r="C142" s="1153" t="str">
        <f aca="false">'Смета Расходов'!C231</f>
        <v>м3</v>
      </c>
      <c r="D142" s="1152" t="n">
        <f aca="false">'Смета Расходов'!D231</f>
        <v>0</v>
      </c>
      <c r="E142" s="1152" t="n">
        <f aca="false">'Смета Расходов'!F231</f>
        <v>2500</v>
      </c>
      <c r="F142" s="1152" t="n">
        <f aca="false">'Смета Расходов'!G231</f>
        <v>0</v>
      </c>
    </row>
    <row r="143" customFormat="false" ht="15" hidden="false" customHeight="false" outlineLevel="0" collapsed="false">
      <c r="A143" s="1139"/>
      <c r="B143" s="1154" t="s">
        <v>2309</v>
      </c>
      <c r="C143" s="1154"/>
      <c r="D143" s="1154"/>
      <c r="E143" s="1154"/>
      <c r="F143" s="1152" t="n">
        <f aca="false">SUM(F125:F142)</f>
        <v>215848.993272</v>
      </c>
    </row>
    <row r="144" customFormat="false" ht="18.75" hidden="false" customHeight="false" outlineLevel="0" collapsed="false">
      <c r="A144" s="1139"/>
      <c r="B144" s="1150" t="str">
        <f aca="false">'Смета Расходов'!B251</f>
        <v>Плита УШП, технология Дороселл</v>
      </c>
      <c r="C144" s="1150"/>
      <c r="D144" s="1150"/>
      <c r="E144" s="1150"/>
      <c r="F144" s="1155" t="n">
        <f aca="false">'Смета Внутр'!H251</f>
        <v>0</v>
      </c>
    </row>
    <row r="145" customFormat="false" ht="15" hidden="false" customHeight="false" outlineLevel="0" collapsed="false">
      <c r="A145" s="1139"/>
      <c r="B145" s="1156" t="s">
        <v>2246</v>
      </c>
      <c r="C145" s="1156"/>
      <c r="D145" s="1156"/>
      <c r="E145" s="1156"/>
      <c r="F145" s="1155" t="n">
        <f aca="false">'Смета Внутр'!H252</f>
        <v>0</v>
      </c>
    </row>
    <row r="146" customFormat="false" ht="15" hidden="false" customHeight="false" outlineLevel="0" collapsed="false">
      <c r="A146" s="1139"/>
      <c r="B146" s="1152" t="str">
        <f aca="false">'Смета Расходов'!B253</f>
        <v>Скальник, 1 маш 13м3</v>
      </c>
      <c r="C146" s="1153" t="str">
        <f aca="false">'Смета Расходов'!C253</f>
        <v>маш</v>
      </c>
      <c r="D146" s="1152" t="n">
        <f aca="false">'Смета Расходов'!D253</f>
        <v>0.984615384615385</v>
      </c>
      <c r="E146" s="1152" t="n">
        <f aca="false">'Смета Расходов'!F253</f>
        <v>15000</v>
      </c>
      <c r="F146" s="1152" t="n">
        <f aca="false">'Смета Расходов'!G253</f>
        <v>0</v>
      </c>
    </row>
    <row r="147" customFormat="false" ht="15" hidden="false" customHeight="false" outlineLevel="0" collapsed="false">
      <c r="A147" s="1139"/>
      <c r="B147" s="1152" t="str">
        <f aca="false">'Смета Расходов'!B254</f>
        <v>ПГС, машина 13м3</v>
      </c>
      <c r="C147" s="1153" t="str">
        <f aca="false">'Смета Расходов'!C254</f>
        <v>маш</v>
      </c>
      <c r="D147" s="1152" t="n">
        <f aca="false">'Смета Расходов'!D254</f>
        <v>0.984615384615385</v>
      </c>
      <c r="E147" s="1152" t="n">
        <f aca="false">'Смета Расходов'!F254</f>
        <v>10000</v>
      </c>
      <c r="F147" s="1152" t="n">
        <f aca="false">'Смета Расходов'!G254</f>
        <v>0</v>
      </c>
    </row>
    <row r="148" customFormat="false" ht="15" hidden="false" customHeight="false" outlineLevel="0" collapsed="false">
      <c r="A148" s="1139"/>
      <c r="B148" s="1152" t="str">
        <f aca="false">'Смета Расходов'!B255</f>
        <v>Песок, машина 13м3</v>
      </c>
      <c r="C148" s="1153" t="str">
        <f aca="false">'Смета Расходов'!C255</f>
        <v>маш</v>
      </c>
      <c r="D148" s="1152" t="n">
        <f aca="false">'Смета Расходов'!D255</f>
        <v>0.492307692307692</v>
      </c>
      <c r="E148" s="1152" t="n">
        <f aca="false">'Смета Расходов'!F255</f>
        <v>12000</v>
      </c>
      <c r="F148" s="1152" t="n">
        <f aca="false">'Смета Расходов'!G255</f>
        <v>0</v>
      </c>
    </row>
    <row r="149" customFormat="false" ht="15" hidden="false" customHeight="false" outlineLevel="0" collapsed="false">
      <c r="A149" s="1139"/>
      <c r="B149" s="1152" t="str">
        <f aca="false">'Смета Расходов'!B256</f>
        <v>Сосна влаж,180*40мм</v>
      </c>
      <c r="C149" s="1153" t="str">
        <f aca="false">'Смета Расходов'!C256</f>
        <v>м3</v>
      </c>
      <c r="D149" s="1152" t="n">
        <f aca="false">'Смета Расходов'!D256</f>
        <v>0.416</v>
      </c>
      <c r="E149" s="1152" t="n">
        <f aca="false">'Смета Расходов'!F256</f>
        <v>6500</v>
      </c>
      <c r="F149" s="1152" t="n">
        <f aca="false">'Смета Расходов'!G256</f>
        <v>0</v>
      </c>
    </row>
    <row r="150" customFormat="false" ht="15" hidden="false" customHeight="false" outlineLevel="0" collapsed="false">
      <c r="A150" s="1139"/>
      <c r="B150" s="1152" t="str">
        <f aca="false">'Смета Расходов'!B257</f>
        <v>Пенопласт ПСБ-С-35</v>
      </c>
      <c r="C150" s="1153" t="str">
        <f aca="false">'Смета Расходов'!C257</f>
        <v>м3</v>
      </c>
      <c r="D150" s="1152" t="n">
        <f aca="false">'Смета Расходов'!D257</f>
        <v>0</v>
      </c>
      <c r="E150" s="1152" t="n">
        <f aca="false">'Смета Расходов'!F257</f>
        <v>3400</v>
      </c>
      <c r="F150" s="1152" t="n">
        <f aca="false">'Смета Расходов'!G257</f>
        <v>0</v>
      </c>
    </row>
    <row r="151" customFormat="false" ht="15" hidden="false" customHeight="false" outlineLevel="0" collapsed="false">
      <c r="A151" s="1139"/>
      <c r="B151" s="1152" t="str">
        <f aca="false">'Смета Расходов'!B258</f>
        <v>Пенопласт ПСБ-С-35</v>
      </c>
      <c r="C151" s="1153" t="str">
        <f aca="false">'Смета Расходов'!C258</f>
        <v>м3</v>
      </c>
      <c r="D151" s="1152" t="n">
        <f aca="false">'Смета Расходов'!D258</f>
        <v>0</v>
      </c>
      <c r="E151" s="1152" t="n">
        <f aca="false">'Смета Расходов'!F258</f>
        <v>3400</v>
      </c>
      <c r="F151" s="1152" t="n">
        <f aca="false">'Смета Расходов'!G258</f>
        <v>0</v>
      </c>
    </row>
    <row r="152" customFormat="false" ht="15" hidden="false" customHeight="false" outlineLevel="0" collapsed="false">
      <c r="A152" s="1139"/>
      <c r="B152" s="1152" t="str">
        <f aca="false">'Смета Расходов'!B259</f>
        <v>Пленка гидроизоляционная </v>
      </c>
      <c r="C152" s="1153" t="str">
        <f aca="false">'Смета Расходов'!C259</f>
        <v>м2</v>
      </c>
      <c r="D152" s="1152" t="n">
        <f aca="false">'Смета Расходов'!D259</f>
        <v>83.2</v>
      </c>
      <c r="E152" s="1152" t="n">
        <f aca="false">'Смета Расходов'!F259</f>
        <v>15</v>
      </c>
      <c r="F152" s="1152" t="n">
        <f aca="false">'Смета Расходов'!G259</f>
        <v>0</v>
      </c>
    </row>
    <row r="153" customFormat="false" ht="15" hidden="false" customHeight="false" outlineLevel="0" collapsed="false">
      <c r="A153" s="1139"/>
      <c r="B153" s="1152" t="str">
        <f aca="false">'Смета Расходов'!B260</f>
        <v>Кладочная сетка, 100*100/150*150/200*200мм</v>
      </c>
      <c r="C153" s="1153" t="str">
        <f aca="false">'Смета Расходов'!C260</f>
        <v>м2</v>
      </c>
      <c r="D153" s="1152" t="n">
        <f aca="false">'Смета Расходов'!D260</f>
        <v>64</v>
      </c>
      <c r="E153" s="1152" t="n">
        <f aca="false">'Смета Расходов'!F260</f>
        <v>70</v>
      </c>
      <c r="F153" s="1152" t="n">
        <f aca="false">'Смета Расходов'!G260</f>
        <v>0</v>
      </c>
    </row>
    <row r="154" customFormat="false" ht="15" hidden="false" customHeight="false" outlineLevel="0" collapsed="false">
      <c r="A154" s="1139"/>
      <c r="B154" s="1152" t="str">
        <f aca="false">'Смета Расходов'!B261</f>
        <v>Стяжки пластиковые</v>
      </c>
      <c r="C154" s="1153" t="str">
        <f aca="false">'Смета Расходов'!C261</f>
        <v>шт</v>
      </c>
      <c r="D154" s="1152" t="n">
        <f aca="false">'Смета Расходов'!D261</f>
        <v>192</v>
      </c>
      <c r="E154" s="1152" t="n">
        <f aca="false">'Смета Расходов'!F261</f>
        <v>2</v>
      </c>
      <c r="F154" s="1152" t="n">
        <f aca="false">'Смета Расходов'!G261</f>
        <v>0</v>
      </c>
    </row>
    <row r="155" customFormat="false" ht="15" hidden="false" customHeight="false" outlineLevel="0" collapsed="false">
      <c r="A155" s="1139"/>
      <c r="B155" s="1152" t="str">
        <f aca="false">'Смета Расходов'!B262</f>
        <v>Бетон, м350</v>
      </c>
      <c r="C155" s="1153" t="str">
        <f aca="false">'Смета Расходов'!C262</f>
        <v>м3</v>
      </c>
      <c r="D155" s="1152" t="n">
        <f aca="false">'Смета Расходов'!D262</f>
        <v>16</v>
      </c>
      <c r="E155" s="1152" t="n">
        <f aca="false">'Смета Расходов'!F262</f>
        <v>3500</v>
      </c>
      <c r="F155" s="1152" t="n">
        <f aca="false">'Смета Расходов'!G262</f>
        <v>0</v>
      </c>
    </row>
    <row r="156" customFormat="false" ht="15" hidden="false" customHeight="false" outlineLevel="0" collapsed="false">
      <c r="A156" s="1139"/>
      <c r="B156" s="1152" t="str">
        <f aca="false">'Смета Расходов'!B263</f>
        <v>Бетон, м250</v>
      </c>
      <c r="C156" s="1153" t="str">
        <f aca="false">'Смета Расходов'!C263</f>
        <v>м3</v>
      </c>
      <c r="D156" s="1152" t="n">
        <f aca="false">'Смета Расходов'!D263</f>
        <v>0</v>
      </c>
      <c r="E156" s="1152" t="n">
        <f aca="false">'Смета Расходов'!F263</f>
        <v>2750</v>
      </c>
      <c r="F156" s="1152" t="n">
        <f aca="false">'Смета Расходов'!G263</f>
        <v>0</v>
      </c>
    </row>
    <row r="157" customFormat="false" ht="15" hidden="false" customHeight="false" outlineLevel="0" collapsed="false">
      <c r="A157" s="1139"/>
      <c r="B157" s="1152" t="str">
        <f aca="false">'Смета Расходов'!B264</f>
        <v>Труба теплого пола 3</v>
      </c>
      <c r="C157" s="1153" t="str">
        <f aca="false">'Смета Расходов'!C264</f>
        <v>м.п</v>
      </c>
      <c r="D157" s="1152" t="n">
        <f aca="false">'Смета Расходов'!D264</f>
        <v>0</v>
      </c>
      <c r="E157" s="1152" t="n">
        <f aca="false">'Смета Расходов'!F264</f>
        <v>60</v>
      </c>
      <c r="F157" s="1152" t="n">
        <f aca="false">'Смета Расходов'!G264</f>
        <v>0</v>
      </c>
    </row>
    <row r="158" customFormat="false" ht="15" hidden="false" customHeight="false" outlineLevel="0" collapsed="false">
      <c r="A158" s="1139"/>
      <c r="B158" s="1152" t="str">
        <f aca="false">'Смета Расходов'!B265</f>
        <v>Коллектор 1</v>
      </c>
      <c r="C158" s="1153" t="str">
        <f aca="false">'Смета Расходов'!C265</f>
        <v>шт</v>
      </c>
      <c r="D158" s="1152" t="n">
        <f aca="false">'Смета Расходов'!D265</f>
        <v>0</v>
      </c>
      <c r="E158" s="1152" t="n">
        <f aca="false">'Смета Расходов'!F265</f>
        <v>5000</v>
      </c>
      <c r="F158" s="1152" t="n">
        <f aca="false">'Смета Расходов'!G265</f>
        <v>0</v>
      </c>
    </row>
    <row r="159" customFormat="false" ht="15" hidden="false" customHeight="false" outlineLevel="0" collapsed="false">
      <c r="A159" s="1139"/>
      <c r="B159" s="1152" t="str">
        <f aca="false">'Смета Расходов'!B266</f>
        <v>Арматура стальная Ø 12</v>
      </c>
      <c r="C159" s="1153" t="str">
        <f aca="false">'Смета Расходов'!C266</f>
        <v>м.п.</v>
      </c>
      <c r="D159" s="1152" t="n">
        <f aca="false">'Смета Расходов'!D266</f>
        <v>211.2</v>
      </c>
      <c r="E159" s="1152" t="n">
        <f aca="false">'Смета Расходов'!F266</f>
        <v>29.2152</v>
      </c>
      <c r="F159" s="1152" t="n">
        <f aca="false">'Смета Расходов'!G266</f>
        <v>0</v>
      </c>
    </row>
    <row r="160" customFormat="false" ht="15" hidden="false" customHeight="false" outlineLevel="0" collapsed="false">
      <c r="A160" s="1139"/>
      <c r="B160" s="1152" t="str">
        <f aca="false">'Смета Расходов'!B267</f>
        <v>Арматура стальная Ø 10 </v>
      </c>
      <c r="C160" s="1153" t="str">
        <f aca="false">'Смета Расходов'!C267</f>
        <v>м.п.</v>
      </c>
      <c r="D160" s="1152" t="n">
        <f aca="false">'Смета Расходов'!D267</f>
        <v>640</v>
      </c>
      <c r="E160" s="1152" t="n">
        <f aca="false">'Смета Расходов'!F267</f>
        <v>21.0397</v>
      </c>
      <c r="F160" s="1152" t="n">
        <f aca="false">'Смета Расходов'!G267</f>
        <v>0</v>
      </c>
    </row>
    <row r="161" customFormat="false" ht="15" hidden="false" customHeight="false" outlineLevel="0" collapsed="false">
      <c r="A161" s="1139"/>
      <c r="B161" s="1152" t="str">
        <f aca="false">'Смета Расходов'!B268</f>
        <v>Арматура стальная Ø 6</v>
      </c>
      <c r="C161" s="1153" t="str">
        <f aca="false">'Смета Расходов'!C268</f>
        <v>м.п.</v>
      </c>
      <c r="D161" s="1152" t="n">
        <f aca="false">'Смета Расходов'!D268</f>
        <v>0</v>
      </c>
      <c r="E161" s="1152" t="n">
        <f aca="false">'Смета Расходов'!F268</f>
        <v>9.0132</v>
      </c>
      <c r="F161" s="1152" t="n">
        <f aca="false">'Смета Расходов'!G268</f>
        <v>0</v>
      </c>
    </row>
    <row r="162" customFormat="false" ht="15" hidden="false" customHeight="false" outlineLevel="0" collapsed="false">
      <c r="A162" s="1139"/>
      <c r="B162" s="1152" t="str">
        <f aca="false">'Смета Расходов'!B269</f>
        <v>Вязальная проволока</v>
      </c>
      <c r="C162" s="1153" t="str">
        <f aca="false">'Смета Расходов'!C269</f>
        <v>кг</v>
      </c>
      <c r="D162" s="1152" t="n">
        <f aca="false">'Смета Расходов'!D269</f>
        <v>17.024</v>
      </c>
      <c r="E162" s="1152" t="n">
        <f aca="false">'Смета Расходов'!F269</f>
        <v>80</v>
      </c>
      <c r="F162" s="1152" t="n">
        <f aca="false">'Смета Расходов'!G269</f>
        <v>0</v>
      </c>
    </row>
    <row r="163" customFormat="false" ht="15" hidden="false" customHeight="false" outlineLevel="0" collapsed="false">
      <c r="A163" s="1139"/>
      <c r="B163" s="1152" t="str">
        <f aca="false">'Смета Расходов'!B270</f>
        <v>Подставка под арматурный каркас</v>
      </c>
      <c r="C163" s="1153" t="str">
        <f aca="false">'Смета Расходов'!C270</f>
        <v>шт</v>
      </c>
      <c r="D163" s="1152" t="n">
        <f aca="false">'Смета Расходов'!D270</f>
        <v>192</v>
      </c>
      <c r="E163" s="1152" t="n">
        <f aca="false">'Смета Расходов'!F270</f>
        <v>5</v>
      </c>
      <c r="F163" s="1152" t="n">
        <f aca="false">'Смета Расходов'!G270</f>
        <v>0</v>
      </c>
    </row>
    <row r="164" customFormat="false" ht="15" hidden="false" customHeight="false" outlineLevel="0" collapsed="false">
      <c r="A164" s="1139"/>
      <c r="B164" s="1152" t="str">
        <f aca="false">'Смета Расходов'!B271</f>
        <v>Гвозди строительные 3,5 x 90            </v>
      </c>
      <c r="C164" s="1153" t="str">
        <f aca="false">'Смета Расходов'!C271</f>
        <v>кг</v>
      </c>
      <c r="D164" s="1152" t="n">
        <f aca="false">'Смета Расходов'!D271</f>
        <v>2.08</v>
      </c>
      <c r="E164" s="1152" t="n">
        <f aca="false">'Смета Расходов'!F271</f>
        <v>70</v>
      </c>
      <c r="F164" s="1152" t="n">
        <f aca="false">'Смета Расходов'!G271</f>
        <v>0</v>
      </c>
    </row>
    <row r="165" customFormat="false" ht="15" hidden="false" customHeight="false" outlineLevel="0" collapsed="false">
      <c r="A165" s="1139"/>
      <c r="B165" s="1152" t="str">
        <f aca="false">'Смета Расходов'!B272</f>
        <v>Геотекстиль</v>
      </c>
      <c r="C165" s="1153" t="str">
        <f aca="false">'Смета Расходов'!C272</f>
        <v>м2</v>
      </c>
      <c r="D165" s="1152" t="n">
        <f aca="false">'Смета Расходов'!D272</f>
        <v>73.6</v>
      </c>
      <c r="E165" s="1152" t="n">
        <f aca="false">'Смета Расходов'!F272</f>
        <v>100</v>
      </c>
      <c r="F165" s="1152" t="n">
        <f aca="false">'Смета Расходов'!G272</f>
        <v>0</v>
      </c>
    </row>
    <row r="166" customFormat="false" ht="15" hidden="false" customHeight="false" outlineLevel="0" collapsed="false">
      <c r="A166" s="1139"/>
      <c r="B166" s="1152" t="str">
        <f aca="false">'Смета Расходов'!B273</f>
        <v>Труба гофрированная одностенная d110</v>
      </c>
      <c r="C166" s="1153" t="str">
        <f aca="false">'Смета Расходов'!C273</f>
        <v>м.п.</v>
      </c>
      <c r="D166" s="1152" t="n">
        <f aca="false">'Смета Расходов'!D273</f>
        <v>53</v>
      </c>
      <c r="E166" s="1152" t="n">
        <f aca="false">'Смета Расходов'!F273</f>
        <v>77</v>
      </c>
      <c r="F166" s="1152" t="n">
        <f aca="false">'Смета Расходов'!G273</f>
        <v>0</v>
      </c>
    </row>
    <row r="167" customFormat="false" ht="15" hidden="false" customHeight="false" outlineLevel="0" collapsed="false">
      <c r="A167" s="1139"/>
      <c r="B167" s="1152" t="str">
        <f aca="false">'Смета Расходов'!B274</f>
        <v>Дренажный колодец D300</v>
      </c>
      <c r="C167" s="1153" t="str">
        <f aca="false">'Смета Расходов'!C274</f>
        <v>шт</v>
      </c>
      <c r="D167" s="1152" t="n">
        <f aca="false">'Смета Расходов'!D274</f>
        <v>6</v>
      </c>
      <c r="E167" s="1152" t="n">
        <f aca="false">'Смета Расходов'!F274</f>
        <v>1500</v>
      </c>
      <c r="F167" s="1152" t="n">
        <f aca="false">'Смета Расходов'!G274</f>
        <v>0</v>
      </c>
    </row>
    <row r="168" customFormat="false" ht="15" hidden="false" customHeight="false" outlineLevel="0" collapsed="false">
      <c r="A168" s="1139"/>
      <c r="B168" s="1152" t="str">
        <f aca="false">'Смета Расходов'!B275</f>
        <v>Труба канализационная D110</v>
      </c>
      <c r="C168" s="1153" t="str">
        <f aca="false">'Смета Расходов'!C275</f>
        <v>шт</v>
      </c>
      <c r="D168" s="1152" t="n">
        <f aca="false">'Смета Расходов'!D275</f>
        <v>10</v>
      </c>
      <c r="E168" s="1152" t="n">
        <f aca="false">'Смета Расходов'!F275</f>
        <v>70</v>
      </c>
      <c r="F168" s="1152" t="n">
        <f aca="false">'Смета Расходов'!G275</f>
        <v>0</v>
      </c>
    </row>
    <row r="169" customFormat="false" ht="15" hidden="false" customHeight="false" outlineLevel="0" collapsed="false">
      <c r="A169" s="1139"/>
      <c r="B169" s="1154" t="s">
        <v>2309</v>
      </c>
      <c r="C169" s="1154"/>
      <c r="D169" s="1154"/>
      <c r="E169" s="1154"/>
      <c r="F169" s="1152" t="n">
        <f aca="false">SUM(F146:F168)</f>
        <v>0</v>
      </c>
    </row>
    <row r="170" customFormat="false" ht="18.75" hidden="false" customHeight="false" outlineLevel="0" collapsed="false">
      <c r="A170" s="1139"/>
      <c r="B170" s="1150" t="str">
        <f aca="false">'Смета Расходов'!B297</f>
        <v>Сип-Панели</v>
      </c>
      <c r="C170" s="1150"/>
      <c r="D170" s="1150"/>
      <c r="E170" s="1150"/>
      <c r="F170" s="1155" t="n">
        <f aca="false">'Смета Внутр'!H297</f>
        <v>0</v>
      </c>
    </row>
    <row r="171" customFormat="false" ht="15" hidden="false" customHeight="false" outlineLevel="0" collapsed="false">
      <c r="A171" s="1139"/>
      <c r="B171" s="1156" t="s">
        <v>2246</v>
      </c>
      <c r="C171" s="1156"/>
      <c r="D171" s="1156"/>
      <c r="E171" s="1156"/>
      <c r="F171" s="1155" t="n">
        <f aca="false">'Смета Внутр'!H298</f>
        <v>0</v>
      </c>
    </row>
    <row r="172" customFormat="false" ht="15" hidden="false" customHeight="false" outlineLevel="0" collapsed="false">
      <c r="A172" s="1139"/>
      <c r="B172" s="1152" t="str">
        <f aca="false">'Смета Расходов'!B299</f>
        <v>Доска сухая калиброванная, 190*45мм</v>
      </c>
      <c r="C172" s="1153" t="str">
        <f aca="false">'Смета Расходов'!C299</f>
        <v>м3</v>
      </c>
      <c r="D172" s="1152" t="n">
        <f aca="false">'Смета Расходов'!D299</f>
        <v>0.790875</v>
      </c>
      <c r="E172" s="1152" t="n">
        <f aca="false">'Смета Расходов'!F299</f>
        <v>12500</v>
      </c>
      <c r="F172" s="1152" t="n">
        <f aca="false">'Смета Расходов'!G299</f>
        <v>0</v>
      </c>
    </row>
    <row r="173" customFormat="false" ht="15" hidden="false" customHeight="false" outlineLevel="0" collapsed="false">
      <c r="A173" s="1139"/>
      <c r="B173" s="1152" t="str">
        <f aca="false">'Смета Расходов'!B300</f>
        <v>обработка мастикой</v>
      </c>
      <c r="C173" s="1153" t="str">
        <f aca="false">'Смета Расходов'!C300</f>
        <v>л</v>
      </c>
      <c r="D173" s="1152" t="n">
        <f aca="false">'Смета Расходов'!D300</f>
        <v>5.536125</v>
      </c>
      <c r="E173" s="1152" t="n">
        <f aca="false">'Смета Расходов'!F300</f>
        <v>60</v>
      </c>
      <c r="F173" s="1152" t="n">
        <f aca="false">'Смета Расходов'!G300</f>
        <v>0</v>
      </c>
    </row>
    <row r="174" customFormat="false" ht="15" hidden="false" customHeight="false" outlineLevel="0" collapsed="false">
      <c r="A174" s="1139"/>
      <c r="B174" s="1152" t="str">
        <f aca="false">'Смета Расходов'!B301</f>
        <v>Sip панель 2800*1250*174мм</v>
      </c>
      <c r="C174" s="1153" t="str">
        <f aca="false">'Смета Расходов'!C301</f>
        <v>м2</v>
      </c>
      <c r="D174" s="1152" t="n">
        <f aca="false">'Смета Расходов'!D301</f>
        <v>-2.64</v>
      </c>
      <c r="E174" s="1152" t="n">
        <f aca="false">'Смета Расходов'!F301</f>
        <v>1200</v>
      </c>
      <c r="F174" s="1152" t="n">
        <f aca="false">'Смета Расходов'!G301</f>
        <v>0</v>
      </c>
    </row>
    <row r="175" customFormat="false" ht="15" hidden="false" customHeight="false" outlineLevel="0" collapsed="false">
      <c r="A175" s="1139"/>
      <c r="B175" s="1152" t="str">
        <f aca="false">'Смета Расходов'!B302</f>
        <v>Sip панель 2800*1250*174мм</v>
      </c>
      <c r="C175" s="1153" t="str">
        <f aca="false">'Смета Расходов'!C302</f>
        <v>м2</v>
      </c>
      <c r="D175" s="1152" t="n">
        <f aca="false">'Смета Расходов'!D302</f>
        <v>0</v>
      </c>
      <c r="E175" s="1152" t="n">
        <f aca="false">'Смета Расходов'!F302</f>
        <v>1200</v>
      </c>
      <c r="F175" s="1152" t="n">
        <f aca="false">'Смета Расходов'!G302</f>
        <v>0</v>
      </c>
    </row>
    <row r="176" customFormat="false" ht="15" hidden="false" customHeight="false" outlineLevel="0" collapsed="false">
      <c r="A176" s="1139"/>
      <c r="B176" s="1152" t="str">
        <f aca="false">'Смета Расходов'!B303</f>
        <v>Sip панель 2800*1250*124мм</v>
      </c>
      <c r="C176" s="1153" t="str">
        <f aca="false">'Смета Расходов'!C303</f>
        <v>м2</v>
      </c>
      <c r="D176" s="1152" t="n">
        <f aca="false">'Смета Расходов'!D303</f>
        <v>0</v>
      </c>
      <c r="E176" s="1152" t="n">
        <f aca="false">'Смета Расходов'!F303</f>
        <v>800</v>
      </c>
      <c r="F176" s="1152" t="n">
        <f aca="false">'Смета Расходов'!G303</f>
        <v>0</v>
      </c>
    </row>
    <row r="177" customFormat="false" ht="15" hidden="false" customHeight="false" outlineLevel="0" collapsed="false">
      <c r="A177" s="1139"/>
      <c r="B177" s="1152" t="str">
        <f aca="false">'Смета Расходов'!B304</f>
        <v>Болты анкерные с гайкой 12,0 х 280          </v>
      </c>
      <c r="C177" s="1153" t="str">
        <f aca="false">'Смета Расходов'!C304</f>
        <v>шт</v>
      </c>
      <c r="D177" s="1152" t="n">
        <f aca="false">'Смета Расходов'!D304</f>
        <v>96</v>
      </c>
      <c r="E177" s="1152" t="n">
        <f aca="false">'Смета Расходов'!F304</f>
        <v>27.1</v>
      </c>
      <c r="F177" s="1152" t="n">
        <f aca="false">'Смета Расходов'!G304</f>
        <v>0</v>
      </c>
    </row>
    <row r="178" customFormat="false" ht="15" hidden="false" customHeight="false" outlineLevel="0" collapsed="false">
      <c r="A178" s="1139"/>
      <c r="B178" s="1152" t="str">
        <f aca="false">'Смета Расходов'!B305</f>
        <v>обвязка наружние стены верх низ</v>
      </c>
      <c r="C178" s="1153" t="str">
        <f aca="false">'Смета Расходов'!C305</f>
        <v>м3</v>
      </c>
      <c r="D178" s="1152" t="n">
        <f aca="false">'Смета Расходов'!D305</f>
        <v>0.96</v>
      </c>
      <c r="E178" s="1152" t="n">
        <f aca="false">'Смета Расходов'!F305</f>
        <v>9000</v>
      </c>
      <c r="F178" s="1152" t="n">
        <f aca="false">'Смета Расходов'!G305</f>
        <v>0</v>
      </c>
    </row>
    <row r="179" customFormat="false" ht="15" hidden="false" customHeight="false" outlineLevel="0" collapsed="false">
      <c r="A179" s="1139"/>
      <c r="B179" s="1152" t="str">
        <f aca="false">'Смета Расходов'!B306</f>
        <v>обвязка несущие перегородки верх низ</v>
      </c>
      <c r="C179" s="1153" t="str">
        <f aca="false">'Смета Расходов'!C306</f>
        <v>м3</v>
      </c>
      <c r="D179" s="1152" t="n">
        <f aca="false">'Смета Расходов'!D306</f>
        <v>0.4275</v>
      </c>
      <c r="E179" s="1152" t="n">
        <f aca="false">'Смета Расходов'!F306</f>
        <v>9000</v>
      </c>
      <c r="F179" s="1152" t="n">
        <f aca="false">'Смета Расходов'!G306</f>
        <v>0</v>
      </c>
    </row>
    <row r="180" customFormat="false" ht="15" hidden="false" customHeight="false" outlineLevel="0" collapsed="false">
      <c r="A180" s="1139"/>
      <c r="B180" s="1152" t="str">
        <f aca="false">'Смета Расходов'!B307</f>
        <v>обвязка несущие перегородки верх низ</v>
      </c>
      <c r="C180" s="1153" t="str">
        <f aca="false">'Смета Расходов'!C307</f>
        <v>м3</v>
      </c>
      <c r="D180" s="1152" t="n">
        <f aca="false">'Смета Расходов'!D307</f>
        <v>0.117</v>
      </c>
      <c r="E180" s="1152" t="n">
        <f aca="false">'Смета Расходов'!F307</f>
        <v>9000</v>
      </c>
      <c r="F180" s="1152" t="n">
        <f aca="false">'Смета Расходов'!G307</f>
        <v>0</v>
      </c>
    </row>
    <row r="181" customFormat="false" ht="15" hidden="false" customHeight="false" outlineLevel="0" collapsed="false">
      <c r="A181" s="1139"/>
      <c r="B181" s="1152" t="str">
        <f aca="false">'Смета Расходов'!B308</f>
        <v>стойки наружние стены</v>
      </c>
      <c r="C181" s="1153" t="str">
        <f aca="false">'Смета Расходов'!C308</f>
        <v>м3</v>
      </c>
      <c r="D181" s="1152" t="n">
        <f aca="false">'Смета Расходов'!D308</f>
        <v>0</v>
      </c>
      <c r="E181" s="1152" t="n">
        <f aca="false">'Смета Расходов'!F308</f>
        <v>9000</v>
      </c>
      <c r="F181" s="1152" t="n">
        <f aca="false">'Смета Расходов'!G308</f>
        <v>0</v>
      </c>
    </row>
    <row r="182" customFormat="false" ht="15" hidden="false" customHeight="false" outlineLevel="0" collapsed="false">
      <c r="A182" s="1139"/>
      <c r="B182" s="1152" t="str">
        <f aca="false">'Смета Расходов'!B309</f>
        <v>стойки перегородки несущие</v>
      </c>
      <c r="C182" s="1153" t="str">
        <f aca="false">'Смета Расходов'!C309</f>
        <v>м3</v>
      </c>
      <c r="D182" s="1152" t="n">
        <f aca="false">'Смета Расходов'!D309</f>
        <v>0</v>
      </c>
      <c r="E182" s="1152" t="n">
        <f aca="false">'Смета Расходов'!F309</f>
        <v>9000</v>
      </c>
      <c r="F182" s="1152" t="n">
        <f aca="false">'Смета Расходов'!G309</f>
        <v>0</v>
      </c>
    </row>
    <row r="183" customFormat="false" ht="15" hidden="false" customHeight="false" outlineLevel="0" collapsed="false">
      <c r="A183" s="1139"/>
      <c r="B183" s="1152" t="str">
        <f aca="false">'Смета Расходов'!B310</f>
        <v>Стойки перегородки простые</v>
      </c>
      <c r="C183" s="1153" t="str">
        <f aca="false">'Смета Расходов'!C310</f>
        <v>м3</v>
      </c>
      <c r="D183" s="1152" t="n">
        <f aca="false">'Смета Расходов'!D310</f>
        <v>0</v>
      </c>
      <c r="E183" s="1152" t="n">
        <f aca="false">'Смета Расходов'!F310</f>
        <v>9000</v>
      </c>
      <c r="F183" s="1152" t="n">
        <f aca="false">'Смета Расходов'!G310</f>
        <v>0</v>
      </c>
    </row>
    <row r="184" customFormat="false" ht="15" hidden="false" customHeight="false" outlineLevel="0" collapsed="false">
      <c r="A184" s="1139"/>
      <c r="B184" s="1152" t="str">
        <f aca="false">'Смета Расходов'!B311</f>
        <v>брус, обвязка кровли, сип панели</v>
      </c>
      <c r="C184" s="1153" t="str">
        <f aca="false">'Смета Расходов'!C311</f>
        <v>м3</v>
      </c>
      <c r="D184" s="1152" t="n">
        <f aca="false">'Смета Расходов'!D311</f>
        <v>-0.276509716980849</v>
      </c>
      <c r="E184" s="1152" t="n">
        <f aca="false">'Смета Расходов'!F311</f>
        <v>0</v>
      </c>
      <c r="F184" s="1152" t="n">
        <f aca="false">'Смета Расходов'!G311</f>
        <v>0</v>
      </c>
    </row>
    <row r="185" customFormat="false" ht="15" hidden="false" customHeight="false" outlineLevel="0" collapsed="false">
      <c r="A185" s="1139"/>
      <c r="B185" s="1152" t="str">
        <f aca="false">'Смета Расходов'!B312</f>
        <v>торцевая доска, кровля, сип панели</v>
      </c>
      <c r="C185" s="1153" t="str">
        <f aca="false">'Смета Расходов'!C312</f>
        <v>м3</v>
      </c>
      <c r="D185" s="1152" t="n">
        <f aca="false">'Смета Расходов'!D312</f>
        <v>0.276509716980849</v>
      </c>
      <c r="E185" s="1152" t="n">
        <f aca="false">'Смета Расходов'!F312</f>
        <v>0</v>
      </c>
      <c r="F185" s="1152" t="n">
        <f aca="false">'Смета Расходов'!G312</f>
        <v>0</v>
      </c>
    </row>
    <row r="186" customFormat="false" ht="15" hidden="false" customHeight="false" outlineLevel="0" collapsed="false">
      <c r="A186" s="1139"/>
      <c r="B186" s="1152" t="str">
        <f aca="false">'Смета Расходов'!B313</f>
        <v>Нет </v>
      </c>
      <c r="C186" s="1153" t="str">
        <f aca="false">'Смета Расходов'!C313</f>
        <v>м2</v>
      </c>
      <c r="D186" s="1152" t="n">
        <f aca="false">'Смета Расходов'!D313</f>
        <v>105.780913567754</v>
      </c>
      <c r="E186" s="1152" t="n">
        <f aca="false">'Смета Расходов'!F313</f>
        <v>0</v>
      </c>
      <c r="F186" s="1152" t="n">
        <f aca="false">'Смета Расходов'!G313</f>
        <v>0</v>
      </c>
    </row>
    <row r="187" customFormat="false" ht="15" hidden="false" customHeight="false" outlineLevel="0" collapsed="false">
      <c r="A187" s="1139"/>
      <c r="B187" s="1152" t="str">
        <f aca="false">'Смета Расходов'!B314</f>
        <v>Пена монтажная, всесезонняя 800мл</v>
      </c>
      <c r="C187" s="1153" t="str">
        <f aca="false">'Смета Расходов'!C314</f>
        <v>шт</v>
      </c>
      <c r="D187" s="1152" t="n">
        <f aca="false">'Смета Расходов'!D314</f>
        <v>12.8</v>
      </c>
      <c r="E187" s="1152" t="n">
        <f aca="false">'Смета Расходов'!F314</f>
        <v>300</v>
      </c>
      <c r="F187" s="1152" t="n">
        <f aca="false">'Смета Расходов'!G314</f>
        <v>0</v>
      </c>
    </row>
    <row r="188" customFormat="false" ht="15" hidden="false" customHeight="false" outlineLevel="0" collapsed="false">
      <c r="A188" s="1139"/>
      <c r="B188" s="1152" t="str">
        <f aca="false">'Смета Расходов'!B315</f>
        <v>Саморезы 3,5 x 55            </v>
      </c>
      <c r="C188" s="1153" t="str">
        <f aca="false">'Смета Расходов'!C315</f>
        <v>кг</v>
      </c>
      <c r="D188" s="1152" t="n">
        <f aca="false">'Смета Расходов'!D315</f>
        <v>11.3187275711836</v>
      </c>
      <c r="E188" s="1152" t="n">
        <f aca="false">'Смета Расходов'!F315</f>
        <v>105.62</v>
      </c>
      <c r="F188" s="1152" t="n">
        <f aca="false">'Смета Расходов'!G315</f>
        <v>0</v>
      </c>
    </row>
    <row r="189" customFormat="false" ht="15" hidden="false" customHeight="false" outlineLevel="0" collapsed="false">
      <c r="A189" s="1139"/>
      <c r="B189" s="1152" t="str">
        <f aca="false">'Смета Расходов'!B316</f>
        <v>Саморезы 4,2 x 90            </v>
      </c>
      <c r="C189" s="1153" t="str">
        <f aca="false">'Смета Расходов'!C316</f>
        <v>шт</v>
      </c>
      <c r="D189" s="1152" t="n">
        <f aca="false">'Смета Расходов'!D316</f>
        <v>11.3187275711836</v>
      </c>
      <c r="E189" s="1152" t="n">
        <f aca="false">'Смета Расходов'!F316</f>
        <v>107.62</v>
      </c>
      <c r="F189" s="1152" t="n">
        <f aca="false">'Смета Расходов'!G316</f>
        <v>0</v>
      </c>
    </row>
    <row r="190" customFormat="false" ht="15" hidden="false" customHeight="false" outlineLevel="0" collapsed="false">
      <c r="A190" s="1139"/>
      <c r="B190" s="1154" t="s">
        <v>2309</v>
      </c>
      <c r="C190" s="1154"/>
      <c r="D190" s="1154"/>
      <c r="E190" s="1154"/>
      <c r="F190" s="1152" t="n">
        <f aca="false">SUM(F172:F189)</f>
        <v>0</v>
      </c>
    </row>
    <row r="191" customFormat="false" ht="18.75" hidden="false" customHeight="false" outlineLevel="0" collapsed="false">
      <c r="A191" s="1139"/>
      <c r="B191" s="1150" t="str">
        <f aca="false">'Смета Расходов'!B326</f>
        <v>Каркасный дом</v>
      </c>
      <c r="C191" s="1150"/>
      <c r="D191" s="1150"/>
      <c r="E191" s="1150"/>
      <c r="F191" s="1155" t="n">
        <f aca="false">'Смета Внутр'!H326</f>
        <v>0</v>
      </c>
    </row>
    <row r="192" customFormat="false" ht="15" hidden="false" customHeight="false" outlineLevel="0" collapsed="false">
      <c r="A192" s="1139"/>
      <c r="B192" s="1156" t="s">
        <v>2246</v>
      </c>
      <c r="C192" s="1156"/>
      <c r="D192" s="1156"/>
      <c r="E192" s="1156"/>
      <c r="F192" s="1155" t="n">
        <f aca="false">'Смета Внутр'!H327</f>
        <v>0</v>
      </c>
    </row>
    <row r="193" customFormat="false" ht="15" hidden="false" customHeight="false" outlineLevel="0" collapsed="false">
      <c r="A193" s="1139"/>
      <c r="B193" s="1152" t="str">
        <f aca="false">'Смета Расходов'!B328</f>
        <v>Доска сухая калиброванная, 190*45мм</v>
      </c>
      <c r="C193" s="1153" t="str">
        <f aca="false">'Смета Расходов'!C328</f>
        <v>м3</v>
      </c>
      <c r="D193" s="1152" t="n">
        <f aca="false">'Смета Расходов'!D328</f>
        <v>0.8699625</v>
      </c>
      <c r="E193" s="1152" t="n">
        <f aca="false">'Смета Расходов'!F328</f>
        <v>12500</v>
      </c>
      <c r="F193" s="1152" t="n">
        <f aca="false">'Смета Расходов'!G328</f>
        <v>0</v>
      </c>
    </row>
    <row r="194" customFormat="false" ht="15" hidden="false" customHeight="false" outlineLevel="0" collapsed="false">
      <c r="A194" s="1139"/>
      <c r="B194" s="1152" t="str">
        <f aca="false">'Смета Расходов'!B329</f>
        <v>Болты анкерные с гайкой 12,0 х 280          </v>
      </c>
      <c r="C194" s="1153" t="str">
        <f aca="false">'Смета Расходов'!C329</f>
        <v>шт</v>
      </c>
      <c r="D194" s="1152" t="n">
        <f aca="false">'Смета Расходов'!D329</f>
        <v>101.75</v>
      </c>
      <c r="E194" s="1152" t="n">
        <f aca="false">'Смета Расходов'!F329</f>
        <v>27.1</v>
      </c>
      <c r="F194" s="1152" t="n">
        <f aca="false">'Смета Расходов'!G329</f>
        <v>0</v>
      </c>
    </row>
    <row r="195" customFormat="false" ht="15" hidden="false" customHeight="false" outlineLevel="0" collapsed="false">
      <c r="A195" s="1139"/>
      <c r="B195" s="1152" t="str">
        <f aca="false">'Смета Расходов'!B330</f>
        <v>Доска сухая калиброванная, 145*45мм</v>
      </c>
      <c r="C195" s="1153" t="str">
        <f aca="false">'Смета Расходов'!C330</f>
        <v>м3</v>
      </c>
      <c r="D195" s="1152" t="n">
        <f aca="false">'Смета Расходов'!D330</f>
        <v>0</v>
      </c>
      <c r="E195" s="1152" t="n">
        <f aca="false">'Смета Расходов'!F330</f>
        <v>12500</v>
      </c>
      <c r="F195" s="1152" t="n">
        <f aca="false">'Смета Расходов'!G330</f>
        <v>0</v>
      </c>
    </row>
    <row r="196" customFormat="false" ht="15" hidden="false" customHeight="false" outlineLevel="0" collapsed="false">
      <c r="A196" s="1139"/>
      <c r="B196" s="1152" t="str">
        <f aca="false">'Смета Расходов'!B331</f>
        <v>Доска сухая калиброванная, 145*45мм</v>
      </c>
      <c r="C196" s="1153" t="str">
        <f aca="false">'Смета Расходов'!C331</f>
        <v>м3</v>
      </c>
      <c r="D196" s="1152" t="n">
        <f aca="false">'Смета Расходов'!D331</f>
        <v>0</v>
      </c>
      <c r="E196" s="1152" t="n">
        <f aca="false">'Смета Расходов'!F331</f>
        <v>12500</v>
      </c>
      <c r="F196" s="1152" t="n">
        <f aca="false">'Смета Расходов'!G331</f>
        <v>0</v>
      </c>
    </row>
    <row r="197" customFormat="false" ht="15" hidden="false" customHeight="false" outlineLevel="0" collapsed="false">
      <c r="A197" s="1139"/>
      <c r="B197" s="1152" t="str">
        <f aca="false">'Смета Расходов'!B332</f>
        <v>Доска сухая калиброванная, 100*45мм</v>
      </c>
      <c r="C197" s="1153" t="str">
        <f aca="false">'Смета Расходов'!C332</f>
        <v>м3</v>
      </c>
      <c r="D197" s="1152" t="n">
        <f aca="false">'Смета Расходов'!D332</f>
        <v>0</v>
      </c>
      <c r="E197" s="1152" t="n">
        <f aca="false">'Смета Расходов'!F332</f>
        <v>12500</v>
      </c>
      <c r="F197" s="1152" t="n">
        <f aca="false">'Смета Расходов'!G332</f>
        <v>0</v>
      </c>
    </row>
    <row r="198" customFormat="false" ht="15" hidden="false" customHeight="false" outlineLevel="0" collapsed="false">
      <c r="A198" s="1139"/>
      <c r="B198" s="1152" t="str">
        <f aca="false">'Смета Расходов'!B333</f>
        <v>Фанера Хвойная, марка ФСФ, 21 мм </v>
      </c>
      <c r="C198" s="1153" t="str">
        <f aca="false">'Смета Расходов'!C333</f>
        <v>м2</v>
      </c>
      <c r="D198" s="1152" t="n">
        <f aca="false">'Смета Расходов'!D333</f>
        <v>104.205408239449</v>
      </c>
      <c r="E198" s="1152" t="n">
        <f aca="false">'Смета Расходов'!F333</f>
        <v>548.333333333333</v>
      </c>
      <c r="F198" s="1152" t="n">
        <f aca="false">'Смета Расходов'!G333</f>
        <v>0</v>
      </c>
    </row>
    <row r="199" customFormat="false" ht="15" hidden="false" customHeight="false" outlineLevel="0" collapsed="false">
      <c r="A199" s="1139"/>
      <c r="B199" s="1152" t="str">
        <f aca="false">'Смета Расходов'!B334</f>
        <v>нет</v>
      </c>
      <c r="C199" s="1153" t="str">
        <f aca="false">'Смета Расходов'!C334</f>
        <v>м.п.</v>
      </c>
      <c r="D199" s="1152" t="n">
        <f aca="false">'Смета Расходов'!D334</f>
        <v>0</v>
      </c>
      <c r="E199" s="1152" t="n">
        <f aca="false">'Смета Расходов'!F334</f>
        <v>0</v>
      </c>
      <c r="F199" s="1152" t="n">
        <f aca="false">'Смета Расходов'!G334</f>
        <v>0</v>
      </c>
    </row>
    <row r="200" customFormat="false" ht="15" hidden="false" customHeight="false" outlineLevel="0" collapsed="false">
      <c r="A200" s="1139"/>
      <c r="B200" s="1152" t="str">
        <f aca="false">'Смета Расходов'!B335</f>
        <v>Плитный,28кг/м3, технониколь, 150мм</v>
      </c>
      <c r="C200" s="1153" t="str">
        <f aca="false">'Смета Расходов'!C335</f>
        <v>м3</v>
      </c>
      <c r="D200" s="1152" t="n">
        <f aca="false">'Смета Расходов'!D335</f>
        <v>0</v>
      </c>
      <c r="E200" s="1152" t="n">
        <f aca="false">'Смета Расходов'!F335</f>
        <v>1700</v>
      </c>
      <c r="F200" s="1152" t="n">
        <f aca="false">'Смета Расходов'!G335</f>
        <v>0</v>
      </c>
    </row>
    <row r="201" customFormat="false" ht="15" hidden="false" customHeight="false" outlineLevel="0" collapsed="false">
      <c r="A201" s="1139"/>
      <c r="B201" s="1152" t="str">
        <f aca="false">'Смета Расходов'!B336</f>
        <v>Плитный,28кг/м3, технониколь, 50мм</v>
      </c>
      <c r="C201" s="1153" t="str">
        <f aca="false">'Смета Расходов'!C336</f>
        <v>м3</v>
      </c>
      <c r="D201" s="1152" t="n">
        <f aca="false">'Смета Расходов'!D336</f>
        <v>0</v>
      </c>
      <c r="E201" s="1152" t="n">
        <f aca="false">'Смета Расходов'!F336</f>
        <v>1700</v>
      </c>
      <c r="F201" s="1152" t="n">
        <f aca="false">'Смета Расходов'!G336</f>
        <v>0</v>
      </c>
    </row>
    <row r="202" customFormat="false" ht="15" hidden="false" customHeight="false" outlineLevel="0" collapsed="false">
      <c r="A202" s="1139"/>
      <c r="B202" s="1152" t="str">
        <f aca="false">'Смета Расходов'!B337</f>
        <v>нет</v>
      </c>
      <c r="C202" s="1153" t="str">
        <f aca="false">'Смета Расходов'!C337</f>
        <v>м2</v>
      </c>
      <c r="D202" s="1152" t="n">
        <f aca="false">'Смета Расходов'!D337</f>
        <v>0</v>
      </c>
      <c r="E202" s="1152" t="n">
        <f aca="false">'Смета Расходов'!F337</f>
        <v>0</v>
      </c>
      <c r="F202" s="1152" t="n">
        <f aca="false">'Смета Расходов'!G337</f>
        <v>0</v>
      </c>
    </row>
    <row r="203" customFormat="false" ht="15" hidden="false" customHeight="false" outlineLevel="0" collapsed="false">
      <c r="A203" s="1139"/>
      <c r="B203" s="1152" t="str">
        <f aca="false">'Смета Расходов'!B338</f>
        <v>нет</v>
      </c>
      <c r="C203" s="1153" t="str">
        <f aca="false">'Смета Расходов'!C338</f>
        <v>м2</v>
      </c>
      <c r="D203" s="1152" t="n">
        <f aca="false">'Смета Расходов'!D338</f>
        <v>0</v>
      </c>
      <c r="E203" s="1152" t="n">
        <f aca="false">'Смета Расходов'!F338</f>
        <v>0</v>
      </c>
      <c r="F203" s="1152" t="n">
        <f aca="false">'Смета Расходов'!G338</f>
        <v>0</v>
      </c>
    </row>
    <row r="204" customFormat="false" ht="15" hidden="false" customHeight="false" outlineLevel="0" collapsed="false">
      <c r="A204" s="1139"/>
      <c r="B204" s="1152" t="str">
        <f aca="false">'Смета Расходов'!B339</f>
        <v>нет</v>
      </c>
      <c r="C204" s="1153" t="str">
        <f aca="false">'Смета Расходов'!C339</f>
        <v>м2</v>
      </c>
      <c r="D204" s="1152" t="n">
        <f aca="false">'Смета Расходов'!D339</f>
        <v>0</v>
      </c>
      <c r="E204" s="1152" t="n">
        <f aca="false">'Смета Расходов'!F339</f>
        <v>0</v>
      </c>
      <c r="F204" s="1152" t="n">
        <f aca="false">'Смета Расходов'!G339</f>
        <v>0</v>
      </c>
    </row>
    <row r="205" customFormat="false" ht="15" hidden="false" customHeight="false" outlineLevel="0" collapsed="false">
      <c r="A205" s="1139"/>
      <c r="B205" s="1152" t="str">
        <f aca="false">'Смета Расходов'!B340</f>
        <v>Саморезы 3,5 x 25            </v>
      </c>
      <c r="C205" s="1153" t="str">
        <f aca="false">'Смета Расходов'!C340</f>
        <v>шт</v>
      </c>
      <c r="D205" s="1152" t="n">
        <f aca="false">'Смета Расходов'!D340</f>
        <v>0</v>
      </c>
      <c r="E205" s="1152" t="n">
        <f aca="false">'Смета Расходов'!F340</f>
        <v>0.2</v>
      </c>
      <c r="F205" s="1152" t="n">
        <f aca="false">'Смета Расходов'!G340</f>
        <v>0</v>
      </c>
    </row>
    <row r="206" customFormat="false" ht="15" hidden="false" customHeight="false" outlineLevel="0" collapsed="false">
      <c r="A206" s="1139"/>
      <c r="B206" s="1152" t="str">
        <f aca="false">'Смета Расходов'!B341</f>
        <v>Гвозди ершоные 2,8 х 90            </v>
      </c>
      <c r="C206" s="1153" t="str">
        <f aca="false">'Смета Расходов'!C341</f>
        <v>кг</v>
      </c>
      <c r="D206" s="1152" t="n">
        <f aca="false">'Смета Расходов'!D341</f>
        <v>0</v>
      </c>
      <c r="E206" s="1152" t="n">
        <f aca="false">'Смета Расходов'!F341</f>
        <v>76.49</v>
      </c>
      <c r="F206" s="1152" t="n">
        <f aca="false">'Смета Расходов'!G341</f>
        <v>0</v>
      </c>
    </row>
    <row r="207" customFormat="false" ht="15" hidden="false" customHeight="false" outlineLevel="0" collapsed="false">
      <c r="A207" s="1139"/>
      <c r="B207" s="1152" t="str">
        <f aca="false">'Смета Расходов'!B342</f>
        <v>Гвозди ершоные 3,4 x 60            </v>
      </c>
      <c r="C207" s="1153" t="str">
        <f aca="false">'Смета Расходов'!C342</f>
        <v>кг</v>
      </c>
      <c r="D207" s="1152" t="n">
        <f aca="false">'Смета Расходов'!D342</f>
        <v>0</v>
      </c>
      <c r="E207" s="1152" t="n">
        <f aca="false">'Смета Расходов'!F342</f>
        <v>75.51</v>
      </c>
      <c r="F207" s="1152" t="n">
        <f aca="false">'Смета Расходов'!G342</f>
        <v>0</v>
      </c>
    </row>
    <row r="208" customFormat="false" ht="15" hidden="false" customHeight="false" outlineLevel="0" collapsed="false">
      <c r="A208" s="1139"/>
      <c r="B208" s="1152" t="str">
        <f aca="false">'Смета Расходов'!B343</f>
        <v>Универсальная Optima C</v>
      </c>
      <c r="C208" s="1153" t="str">
        <f aca="false">'Смета Расходов'!C343</f>
        <v>м2</v>
      </c>
      <c r="D208" s="1152" t="n">
        <f aca="false">'Смета Расходов'!D343</f>
        <v>0</v>
      </c>
      <c r="E208" s="1152" t="n">
        <f aca="false">'Смета Расходов'!F343</f>
        <v>19</v>
      </c>
      <c r="F208" s="1152" t="n">
        <f aca="false">'Смета Расходов'!G343</f>
        <v>0</v>
      </c>
    </row>
    <row r="209" customFormat="false" ht="15" hidden="false" customHeight="false" outlineLevel="0" collapsed="false">
      <c r="A209" s="1139"/>
      <c r="B209" s="1152" t="str">
        <f aca="false">'Смета Расходов'!B344</f>
        <v>Универсальная Optima C</v>
      </c>
      <c r="C209" s="1153" t="str">
        <f aca="false">'Смета Расходов'!C344</f>
        <v>м2</v>
      </c>
      <c r="D209" s="1152" t="n">
        <f aca="false">'Смета Расходов'!D344</f>
        <v>0</v>
      </c>
      <c r="E209" s="1152" t="n">
        <f aca="false">'Смета Расходов'!F344</f>
        <v>20</v>
      </c>
      <c r="F209" s="1152" t="n">
        <f aca="false">'Смета Расходов'!G344</f>
        <v>0</v>
      </c>
    </row>
    <row r="210" customFormat="false" ht="15" hidden="false" customHeight="false" outlineLevel="0" collapsed="false">
      <c r="A210" s="1139"/>
      <c r="B210" s="1152" t="str">
        <f aca="false">'Смета Расходов'!B345</f>
        <v>Скобы для степлера, 1000шт/уп</v>
      </c>
      <c r="C210" s="1153" t="str">
        <f aca="false">'Смета Расходов'!C345</f>
        <v>уп</v>
      </c>
      <c r="D210" s="1152" t="n">
        <f aca="false">'Смета Расходов'!D345</f>
        <v>5.5</v>
      </c>
      <c r="E210" s="1152" t="n">
        <f aca="false">'Смета Расходов'!F345</f>
        <v>100</v>
      </c>
      <c r="F210" s="1152" t="n">
        <f aca="false">'Смета Расходов'!G345</f>
        <v>0</v>
      </c>
    </row>
    <row r="211" customFormat="false" ht="15" hidden="false" customHeight="false" outlineLevel="0" collapsed="false">
      <c r="A211" s="1139"/>
      <c r="B211" s="1154" t="s">
        <v>2309</v>
      </c>
      <c r="C211" s="1154"/>
      <c r="D211" s="1154"/>
      <c r="E211" s="1154"/>
      <c r="F211" s="1152" t="n">
        <f aca="false">SUM(F193:F210)</f>
        <v>0</v>
      </c>
    </row>
    <row r="212" customFormat="false" ht="18.75" hidden="false" customHeight="false" outlineLevel="0" collapsed="false">
      <c r="A212" s="1139"/>
      <c r="B212" s="1150" t="str">
        <f aca="false">'Смета Расходов'!B363</f>
        <v>Дом из Газобетона</v>
      </c>
      <c r="C212" s="1150"/>
      <c r="D212" s="1150"/>
      <c r="E212" s="1150"/>
      <c r="F212" s="1155" t="n">
        <f aca="false">'Смета Внутр'!H363</f>
        <v>0</v>
      </c>
    </row>
    <row r="213" customFormat="false" ht="15" hidden="false" customHeight="false" outlineLevel="0" collapsed="false">
      <c r="A213" s="1139"/>
      <c r="B213" s="1156" t="s">
        <v>2246</v>
      </c>
      <c r="C213" s="1156"/>
      <c r="D213" s="1156"/>
      <c r="E213" s="1156"/>
      <c r="F213" s="1155" t="n">
        <f aca="false">'Смета Внутр'!H364</f>
        <v>0</v>
      </c>
    </row>
    <row r="214" customFormat="false" ht="15" hidden="false" customHeight="false" outlineLevel="0" collapsed="false">
      <c r="A214" s="1139"/>
      <c r="B214" s="1152" t="str">
        <f aca="false">'Смета Расходов'!B365</f>
        <v>Газоблок D400 200х300х390 </v>
      </c>
      <c r="C214" s="1153" t="str">
        <f aca="false">'Смета Расходов'!C365</f>
        <v>м3</v>
      </c>
      <c r="D214" s="1152" t="n">
        <f aca="false">'Смета Расходов'!D365</f>
        <v>-4.992</v>
      </c>
      <c r="E214" s="1152" t="n">
        <f aca="false">'Смета Расходов'!F365</f>
        <v>4200</v>
      </c>
      <c r="F214" s="1152" t="n">
        <f aca="false">'Смета Расходов'!G365</f>
        <v>0</v>
      </c>
    </row>
    <row r="215" customFormat="false" ht="15" hidden="false" customHeight="false" outlineLevel="0" collapsed="false">
      <c r="A215" s="1139"/>
      <c r="B215" s="1152" t="str">
        <f aca="false">'Смета Расходов'!B366</f>
        <v>Газоблок D400 200х200х390 </v>
      </c>
      <c r="C215" s="1153" t="str">
        <f aca="false">'Смета Расходов'!C366</f>
        <v>м3</v>
      </c>
      <c r="D215" s="1152" t="n">
        <f aca="false">'Смета Расходов'!D366</f>
        <v>0</v>
      </c>
      <c r="E215" s="1152" t="n">
        <f aca="false">'Смета Расходов'!F366</f>
        <v>0</v>
      </c>
      <c r="F215" s="1152" t="n">
        <f aca="false">'Смета Расходов'!G366</f>
        <v>0</v>
      </c>
    </row>
    <row r="216" customFormat="false" ht="15" hidden="false" customHeight="false" outlineLevel="0" collapsed="false">
      <c r="A216" s="1139"/>
      <c r="B216" s="1152" t="str">
        <f aca="false">'Смета Расходов'!B367</f>
        <v>Газоблок D400 200х100х390 </v>
      </c>
      <c r="C216" s="1153" t="str">
        <f aca="false">'Смета Расходов'!C367</f>
        <v>м3</v>
      </c>
      <c r="D216" s="1152" t="n">
        <f aca="false">'Смета Расходов'!D367</f>
        <v>0</v>
      </c>
      <c r="E216" s="1152" t="n">
        <f aca="false">'Смета Расходов'!F367</f>
        <v>0</v>
      </c>
      <c r="F216" s="1152" t="n">
        <f aca="false">'Смета Расходов'!G367</f>
        <v>0</v>
      </c>
    </row>
    <row r="217" customFormat="false" ht="15" hidden="false" customHeight="false" outlineLevel="0" collapsed="false">
      <c r="A217" s="1139"/>
      <c r="B217" s="1152" t="str">
        <f aca="false">'Смета Расходов'!B368</f>
        <v>Газоблок поясной D400 200х300х390 </v>
      </c>
      <c r="C217" s="1153" t="str">
        <f aca="false">'Смета Расходов'!C368</f>
        <v>м3</v>
      </c>
      <c r="D217" s="1152" t="n">
        <f aca="false">'Смета Расходов'!D368</f>
        <v>4.8048</v>
      </c>
      <c r="E217" s="1152" t="n">
        <f aca="false">'Смета Расходов'!F368</f>
        <v>4200</v>
      </c>
      <c r="F217" s="1152" t="n">
        <f aca="false">'Смета Расходов'!G368</f>
        <v>0</v>
      </c>
    </row>
    <row r="218" customFormat="false" ht="15" hidden="false" customHeight="false" outlineLevel="0" collapsed="false">
      <c r="A218" s="1139"/>
      <c r="B218" s="1152" t="str">
        <f aca="false">'Смета Расходов'!B369</f>
        <v>Поясной 200х300х600 угловой внешний</v>
      </c>
      <c r="C218" s="1153" t="str">
        <f aca="false">'Смета Расходов'!C369</f>
        <v>м3</v>
      </c>
      <c r="D218" s="1152" t="n">
        <f aca="false">'Смета Расходов'!D369</f>
        <v>0.1872</v>
      </c>
      <c r="E218" s="1152" t="n">
        <f aca="false">'Смета Расходов'!F369</f>
        <v>4200</v>
      </c>
      <c r="F218" s="1152" t="n">
        <f aca="false">'Смета Расходов'!G369</f>
        <v>0</v>
      </c>
    </row>
    <row r="219" customFormat="false" ht="15" hidden="false" customHeight="false" outlineLevel="0" collapsed="false">
      <c r="A219" s="1139"/>
      <c r="B219" s="1152" t="str">
        <f aca="false">'Смета Расходов'!B370</f>
        <v>Поясной 200х300х600 угловой внутренний</v>
      </c>
      <c r="C219" s="1153" t="str">
        <f aca="false">'Смета Расходов'!C370</f>
        <v>м3</v>
      </c>
      <c r="D219" s="1152" t="n">
        <f aca="false">'Смета Расходов'!D370</f>
        <v>0</v>
      </c>
      <c r="E219" s="1152" t="n">
        <f aca="false">'Смета Расходов'!F370</f>
        <v>4200</v>
      </c>
      <c r="F219" s="1152" t="n">
        <f aca="false">'Смета Расходов'!G370</f>
        <v>0</v>
      </c>
    </row>
    <row r="220" customFormat="false" ht="15" hidden="false" customHeight="false" outlineLevel="0" collapsed="false">
      <c r="A220" s="1139"/>
      <c r="B220" s="1152" t="str">
        <f aca="false">'Смета Расходов'!B371</f>
        <v>200х300х600 угловой внешний</v>
      </c>
      <c r="C220" s="1153" t="str">
        <f aca="false">'Смета Расходов'!C371</f>
        <v>м3</v>
      </c>
      <c r="D220" s="1152" t="n">
        <f aca="false">'Смета Расходов'!D371</f>
        <v>3.168</v>
      </c>
      <c r="E220" s="1152" t="n">
        <f aca="false">'Смета Расходов'!F371</f>
        <v>4200</v>
      </c>
      <c r="F220" s="1152" t="n">
        <f aca="false">'Смета Расходов'!G371</f>
        <v>0</v>
      </c>
    </row>
    <row r="221" customFormat="false" ht="15" hidden="false" customHeight="false" outlineLevel="0" collapsed="false">
      <c r="A221" s="1139"/>
      <c r="B221" s="1152" t="str">
        <f aca="false">'Смета Расходов'!B372</f>
        <v>200х300х600 угловой внутренний</v>
      </c>
      <c r="C221" s="1153" t="str">
        <f aca="false">'Смета Расходов'!C372</f>
        <v>м4</v>
      </c>
      <c r="D221" s="1152" t="n">
        <f aca="false">'Смета Расходов'!D372</f>
        <v>0</v>
      </c>
      <c r="E221" s="1152" t="n">
        <f aca="false">'Смета Расходов'!F372</f>
        <v>4200</v>
      </c>
      <c r="F221" s="1152" t="n">
        <f aca="false">'Смета Расходов'!G372</f>
        <v>0</v>
      </c>
    </row>
    <row r="222" customFormat="false" ht="15" hidden="false" customHeight="false" outlineLevel="0" collapsed="false">
      <c r="A222" s="1139"/>
      <c r="B222" s="1152" t="str">
        <f aca="false">'Смета Расходов'!B373</f>
        <v>Клей монтажный ВК-100</v>
      </c>
      <c r="C222" s="1153" t="str">
        <f aca="false">'Смета Расходов'!C373</f>
        <v>меш</v>
      </c>
      <c r="D222" s="1152" t="n">
        <f aca="false">'Смета Расходов'!D373</f>
        <v>0</v>
      </c>
      <c r="E222" s="1152" t="n">
        <f aca="false">'Смета Расходов'!F373</f>
        <v>185</v>
      </c>
      <c r="F222" s="1152" t="n">
        <f aca="false">'Смета Расходов'!G373</f>
        <v>0</v>
      </c>
    </row>
    <row r="223" customFormat="false" ht="15" hidden="false" customHeight="false" outlineLevel="0" collapsed="false">
      <c r="A223" s="1139"/>
      <c r="B223" s="1152" t="e">
        <f aca="false">'Смета Расходов'!B374</f>
        <v>#N/A</v>
      </c>
      <c r="C223" s="1153" t="str">
        <f aca="false">'Смета Расходов'!C374</f>
        <v>меш</v>
      </c>
      <c r="D223" s="1152" t="n">
        <f aca="false">'Смета Расходов'!D374</f>
        <v>-5.77047239682</v>
      </c>
      <c r="E223" s="1152" t="n">
        <f aca="false">'Смета Расходов'!F374</f>
        <v>0</v>
      </c>
      <c r="F223" s="1152" t="n">
        <f aca="false">'Смета Расходов'!G374</f>
        <v>0</v>
      </c>
    </row>
    <row r="224" customFormat="false" ht="15" hidden="false" customHeight="false" outlineLevel="0" collapsed="false">
      <c r="A224" s="1139"/>
      <c r="B224" s="1152" t="e">
        <f aca="false">'Смета Расходов'!B375</f>
        <v>#N/A</v>
      </c>
      <c r="C224" s="1153" t="str">
        <f aca="false">'Смета Расходов'!C375</f>
        <v>м3</v>
      </c>
      <c r="D224" s="1152" t="n">
        <f aca="false">'Смета Расходов'!D375</f>
        <v>-1.37392199924286</v>
      </c>
      <c r="E224" s="1152" t="n">
        <f aca="false">'Смета Расходов'!F375</f>
        <v>0</v>
      </c>
      <c r="F224" s="1152" t="n">
        <f aca="false">'Смета Расходов'!G375</f>
        <v>0</v>
      </c>
    </row>
    <row r="225" customFormat="false" ht="15" hidden="false" customHeight="false" outlineLevel="0" collapsed="false">
      <c r="A225" s="1139"/>
      <c r="B225" s="1152" t="str">
        <f aca="false">'Смета Расходов'!B376</f>
        <v>Доставка песка</v>
      </c>
      <c r="C225" s="1153" t="str">
        <f aca="false">'Смета Расходов'!C376</f>
        <v>маш</v>
      </c>
      <c r="D225" s="1152" t="n">
        <f aca="false">'Смета Расходов'!D376</f>
        <v>0</v>
      </c>
      <c r="E225" s="1152" t="n">
        <f aca="false">'Смета Расходов'!F376</f>
        <v>0</v>
      </c>
      <c r="F225" s="1152" t="n">
        <f aca="false">'Смета Расходов'!G376</f>
        <v>0</v>
      </c>
    </row>
    <row r="226" customFormat="false" ht="15" hidden="false" customHeight="false" outlineLevel="0" collapsed="false">
      <c r="A226" s="1139"/>
      <c r="B226" s="1152" t="e">
        <f aca="false">'Смета Расходов'!B377</f>
        <v>#N/A</v>
      </c>
      <c r="C226" s="1153" t="str">
        <f aca="false">'Смета Расходов'!C377</f>
        <v>м3</v>
      </c>
      <c r="D226" s="1152" t="n">
        <f aca="false">'Смета Расходов'!D377</f>
        <v>-1.37392199924286</v>
      </c>
      <c r="E226" s="1152" t="n">
        <f aca="false">'Смета Расходов'!F377</f>
        <v>0</v>
      </c>
      <c r="F226" s="1152" t="n">
        <f aca="false">'Смета Расходов'!G377</f>
        <v>0</v>
      </c>
    </row>
    <row r="227" customFormat="false" ht="15" hidden="false" customHeight="false" outlineLevel="0" collapsed="false">
      <c r="A227" s="1139"/>
      <c r="B227" s="1152" t="str">
        <f aca="false">'Смета Расходов'!B378</f>
        <v>Арматура М6 каждый 3-й ряд, 2 нити</v>
      </c>
      <c r="C227" s="1153" t="str">
        <f aca="false">'Смета Расходов'!C378</f>
        <v>м.п.</v>
      </c>
      <c r="D227" s="1152" t="n">
        <f aca="false">'Смета Расходов'!D378</f>
        <v>597.333333333333</v>
      </c>
      <c r="E227" s="1152" t="n">
        <f aca="false">'Смета Расходов'!F378</f>
        <v>0</v>
      </c>
      <c r="F227" s="1152" t="n">
        <f aca="false">'Смета Расходов'!G378</f>
        <v>0</v>
      </c>
    </row>
    <row r="228" customFormat="false" ht="15" hidden="false" customHeight="false" outlineLevel="0" collapsed="false">
      <c r="A228" s="1139"/>
      <c r="B228" s="1152" t="str">
        <f aca="false">'Смета Расходов'!B379</f>
        <v>Арматура М6 каждый 3-й ряд, 2 нити</v>
      </c>
      <c r="C228" s="1153" t="str">
        <f aca="false">'Смета Расходов'!C379</f>
        <v>м.п.</v>
      </c>
      <c r="D228" s="1152" t="n">
        <f aca="false">'Смета Расходов'!D379</f>
        <v>100</v>
      </c>
      <c r="E228" s="1152" t="n">
        <f aca="false">'Смета Расходов'!F379</f>
        <v>0</v>
      </c>
      <c r="F228" s="1152" t="n">
        <f aca="false">'Смета Расходов'!G379</f>
        <v>0</v>
      </c>
    </row>
    <row r="229" customFormat="false" ht="15" hidden="false" customHeight="false" outlineLevel="0" collapsed="false">
      <c r="A229" s="1139"/>
      <c r="B229" s="1152" t="str">
        <f aca="false">'Смета Расходов'!B380</f>
        <v>Перемычка оконная, 1-ый эт. Вариант 1</v>
      </c>
      <c r="C229" s="1153" t="str">
        <f aca="false">'Смета Расходов'!C380</f>
        <v>м.п.</v>
      </c>
      <c r="D229" s="1152" t="n">
        <f aca="false">'Смета Расходов'!D380</f>
        <v>1</v>
      </c>
      <c r="E229" s="1152" t="n">
        <f aca="false">'Смета Расходов'!F380</f>
        <v>1000</v>
      </c>
      <c r="F229" s="1152" t="n">
        <f aca="false">'Смета Расходов'!G380</f>
        <v>0</v>
      </c>
    </row>
    <row r="230" customFormat="false" ht="15" hidden="false" customHeight="false" outlineLevel="0" collapsed="false">
      <c r="A230" s="1139"/>
      <c r="B230" s="1152" t="str">
        <f aca="false">'Смета Расходов'!B381</f>
        <v>Перемычка оконная, 1-ый эт. Вариант 2</v>
      </c>
      <c r="C230" s="1153" t="str">
        <f aca="false">'Смета Расходов'!C381</f>
        <v>м.п.</v>
      </c>
      <c r="D230" s="1152" t="n">
        <f aca="false">'Смета Расходов'!D381</f>
        <v>0</v>
      </c>
      <c r="E230" s="1152" t="n">
        <f aca="false">'Смета Расходов'!F381</f>
        <v>1000</v>
      </c>
      <c r="F230" s="1152" t="n">
        <f aca="false">'Смета Расходов'!G381</f>
        <v>0</v>
      </c>
    </row>
    <row r="231" customFormat="false" ht="15" hidden="false" customHeight="false" outlineLevel="0" collapsed="false">
      <c r="A231" s="1139"/>
      <c r="B231" s="1152" t="str">
        <f aca="false">'Смета Расходов'!B382</f>
        <v>Перемычка оконная, 1-ый эт. Вариант 3</v>
      </c>
      <c r="C231" s="1153" t="str">
        <f aca="false">'Смета Расходов'!C382</f>
        <v>м.п.</v>
      </c>
      <c r="D231" s="1152" t="n">
        <f aca="false">'Смета Расходов'!D382</f>
        <v>0</v>
      </c>
      <c r="E231" s="1152" t="n">
        <f aca="false">'Смета Расходов'!F382</f>
        <v>1000</v>
      </c>
      <c r="F231" s="1152" t="n">
        <f aca="false">'Смета Расходов'!G382</f>
        <v>0</v>
      </c>
    </row>
    <row r="232" customFormat="false" ht="15" hidden="false" customHeight="false" outlineLevel="0" collapsed="false">
      <c r="A232" s="1139"/>
      <c r="B232" s="1152" t="str">
        <f aca="false">'Смета Расходов'!B383</f>
        <v>Перемычка оконная, 1-ый эт. Вариант 4</v>
      </c>
      <c r="C232" s="1153" t="str">
        <f aca="false">'Смета Расходов'!C383</f>
        <v>м.п.</v>
      </c>
      <c r="D232" s="1152" t="n">
        <f aca="false">'Смета Расходов'!D383</f>
        <v>0</v>
      </c>
      <c r="E232" s="1152" t="n">
        <f aca="false">'Смета Расходов'!F383</f>
        <v>1000</v>
      </c>
      <c r="F232" s="1152" t="n">
        <f aca="false">'Смета Расходов'!G383</f>
        <v>0</v>
      </c>
    </row>
    <row r="233" customFormat="false" ht="15" hidden="false" customHeight="false" outlineLevel="0" collapsed="false">
      <c r="A233" s="1139"/>
      <c r="B233" s="1152" t="str">
        <f aca="false">'Смета Расходов'!B384</f>
        <v>Перемычка оконная, 1-ый эт. Вариант 5</v>
      </c>
      <c r="C233" s="1153" t="str">
        <f aca="false">'Смета Расходов'!C384</f>
        <v>м.п.</v>
      </c>
      <c r="D233" s="1152" t="n">
        <f aca="false">'Смета Расходов'!D384</f>
        <v>0</v>
      </c>
      <c r="E233" s="1152" t="n">
        <f aca="false">'Смета Расходов'!F384</f>
        <v>1000</v>
      </c>
      <c r="F233" s="1152" t="n">
        <f aca="false">'Смета Расходов'!G384</f>
        <v>0</v>
      </c>
    </row>
    <row r="234" customFormat="false" ht="15" hidden="false" customHeight="false" outlineLevel="0" collapsed="false">
      <c r="A234" s="1139"/>
      <c r="B234" s="1152" t="str">
        <f aca="false">'Смета Расходов'!B385</f>
        <v>Перемычка оконная, 2-ый эт. Вариант 6</v>
      </c>
      <c r="C234" s="1153" t="str">
        <f aca="false">'Смета Расходов'!C385</f>
        <v>м.п.</v>
      </c>
      <c r="D234" s="1152" t="n">
        <f aca="false">'Смета Расходов'!D385</f>
        <v>0</v>
      </c>
      <c r="E234" s="1152" t="n">
        <f aca="false">'Смета Расходов'!F385</f>
        <v>1000</v>
      </c>
      <c r="F234" s="1152" t="n">
        <f aca="false">'Смета Расходов'!G385</f>
        <v>0</v>
      </c>
    </row>
    <row r="235" customFormat="false" ht="15" hidden="false" customHeight="false" outlineLevel="0" collapsed="false">
      <c r="A235" s="1139"/>
      <c r="B235" s="1152" t="str">
        <f aca="false">'Смета Расходов'!B386</f>
        <v>Перемычка оконная, 2-ый эт. Вариант 7</v>
      </c>
      <c r="C235" s="1153" t="str">
        <f aca="false">'Смета Расходов'!C386</f>
        <v>м.п.</v>
      </c>
      <c r="D235" s="1152" t="n">
        <f aca="false">'Смета Расходов'!D386</f>
        <v>0</v>
      </c>
      <c r="E235" s="1152" t="n">
        <f aca="false">'Смета Расходов'!F386</f>
        <v>1000</v>
      </c>
      <c r="F235" s="1152" t="n">
        <f aca="false">'Смета Расходов'!G386</f>
        <v>0</v>
      </c>
    </row>
    <row r="236" customFormat="false" ht="15" hidden="false" customHeight="false" outlineLevel="0" collapsed="false">
      <c r="A236" s="1139"/>
      <c r="B236" s="1152" t="str">
        <f aca="false">'Смета Расходов'!B387</f>
        <v>Перемычка оконная, 2-ый эт. Вариант 8</v>
      </c>
      <c r="C236" s="1153" t="str">
        <f aca="false">'Смета Расходов'!C387</f>
        <v>м.п.</v>
      </c>
      <c r="D236" s="1152" t="n">
        <f aca="false">'Смета Расходов'!D387</f>
        <v>0</v>
      </c>
      <c r="E236" s="1152" t="n">
        <f aca="false">'Смета Расходов'!F387</f>
        <v>1000</v>
      </c>
      <c r="F236" s="1152" t="n">
        <f aca="false">'Смета Расходов'!G387</f>
        <v>0</v>
      </c>
    </row>
    <row r="237" customFormat="false" ht="15" hidden="false" customHeight="false" outlineLevel="0" collapsed="false">
      <c r="A237" s="1139"/>
      <c r="B237" s="1152" t="str">
        <f aca="false">'Смета Расходов'!B388</f>
        <v>Перемычка оконная, 2-ый эт. Вариант 9</v>
      </c>
      <c r="C237" s="1153" t="str">
        <f aca="false">'Смета Расходов'!C388</f>
        <v>м.п.</v>
      </c>
      <c r="D237" s="1152" t="n">
        <f aca="false">'Смета Расходов'!D388</f>
        <v>0</v>
      </c>
      <c r="E237" s="1152" t="n">
        <f aca="false">'Смета Расходов'!F388</f>
        <v>1000</v>
      </c>
      <c r="F237" s="1152" t="n">
        <f aca="false">'Смета Расходов'!G388</f>
        <v>0</v>
      </c>
    </row>
    <row r="238" customFormat="false" ht="15" hidden="false" customHeight="false" outlineLevel="0" collapsed="false">
      <c r="A238" s="1139"/>
      <c r="B238" s="1152" t="str">
        <f aca="false">'Смета Расходов'!B389</f>
        <v>Перемычка оконная, 2-ый эт. Вариант 10</v>
      </c>
      <c r="C238" s="1153" t="str">
        <f aca="false">'Смета Расходов'!C389</f>
        <v>м.п.</v>
      </c>
      <c r="D238" s="1152" t="n">
        <f aca="false">'Смета Расходов'!D389</f>
        <v>0</v>
      </c>
      <c r="E238" s="1152" t="n">
        <f aca="false">'Смета Расходов'!F389</f>
        <v>1000</v>
      </c>
      <c r="F238" s="1152" t="n">
        <f aca="false">'Смета Расходов'!G389</f>
        <v>0</v>
      </c>
    </row>
    <row r="239" customFormat="false" ht="15" hidden="false" customHeight="false" outlineLevel="0" collapsed="false">
      <c r="A239" s="1139"/>
      <c r="B239" s="1152" t="str">
        <f aca="false">'Смета Расходов'!B390</f>
        <v>Перемычка дверная, 1-ый эт. Вариант 1</v>
      </c>
      <c r="C239" s="1153" t="str">
        <f aca="false">'Смета Расходов'!C390</f>
        <v>м.п.</v>
      </c>
      <c r="D239" s="1152" t="n">
        <f aca="false">'Смета Расходов'!D390</f>
        <v>0</v>
      </c>
      <c r="E239" s="1152" t="n">
        <f aca="false">'Смета Расходов'!F390</f>
        <v>1000</v>
      </c>
      <c r="F239" s="1152" t="n">
        <f aca="false">'Смета Расходов'!G390</f>
        <v>0</v>
      </c>
    </row>
    <row r="240" customFormat="false" ht="15" hidden="false" customHeight="false" outlineLevel="0" collapsed="false">
      <c r="A240" s="1139"/>
      <c r="B240" s="1152" t="str">
        <f aca="false">'Смета Расходов'!B391</f>
        <v>Перемычка дверная, 2-ый эт. Вариант 2</v>
      </c>
      <c r="C240" s="1153" t="str">
        <f aca="false">'Смета Расходов'!C391</f>
        <v>м.п.</v>
      </c>
      <c r="D240" s="1152" t="n">
        <f aca="false">'Смета Расходов'!D391</f>
        <v>0</v>
      </c>
      <c r="E240" s="1152" t="n">
        <f aca="false">'Смета Расходов'!F391</f>
        <v>1000</v>
      </c>
      <c r="F240" s="1152" t="n">
        <f aca="false">'Смета Расходов'!G391</f>
        <v>0</v>
      </c>
    </row>
    <row r="241" customFormat="false" ht="15" hidden="false" customHeight="false" outlineLevel="0" collapsed="false">
      <c r="A241" s="1139"/>
      <c r="B241" s="1152" t="str">
        <f aca="false">'Смета Расходов'!B392</f>
        <v>Перемычка оконная 1-ый эт, Вариант 11</v>
      </c>
      <c r="C241" s="1153" t="str">
        <f aca="false">'Смета Расходов'!C392</f>
        <v>м.п.</v>
      </c>
      <c r="D241" s="1152" t="n">
        <f aca="false">'Смета Расходов'!D392</f>
        <v>0</v>
      </c>
      <c r="E241" s="1152" t="n">
        <f aca="false">'Смета Расходов'!F392</f>
        <v>1000</v>
      </c>
      <c r="F241" s="1152" t="n">
        <f aca="false">'Смета Расходов'!G392</f>
        <v>0</v>
      </c>
    </row>
    <row r="242" customFormat="false" ht="15" hidden="false" customHeight="false" outlineLevel="0" collapsed="false">
      <c r="A242" s="1139"/>
      <c r="B242" s="1152" t="str">
        <f aca="false">'Смета Расходов'!B393</f>
        <v>Перемычка оконная 1-ый эт, Вариант 12</v>
      </c>
      <c r="C242" s="1153" t="str">
        <f aca="false">'Смета Расходов'!C393</f>
        <v>м.п.</v>
      </c>
      <c r="D242" s="1152" t="n">
        <f aca="false">'Смета Расходов'!D393</f>
        <v>0</v>
      </c>
      <c r="E242" s="1152" t="n">
        <f aca="false">'Смета Расходов'!F393</f>
        <v>1000</v>
      </c>
      <c r="F242" s="1152" t="n">
        <f aca="false">'Смета Расходов'!G393</f>
        <v>0</v>
      </c>
    </row>
    <row r="243" customFormat="false" ht="15" hidden="false" customHeight="false" outlineLevel="0" collapsed="false">
      <c r="A243" s="1139"/>
      <c r="B243" s="1152" t="str">
        <f aca="false">'Смета Расходов'!B394</f>
        <v>Перемычка дверная, 1-ый эт. Вариант 4</v>
      </c>
      <c r="C243" s="1153" t="str">
        <f aca="false">'Смета Расходов'!C394</f>
        <v>м.п.</v>
      </c>
      <c r="D243" s="1152" t="n">
        <f aca="false">'Смета Расходов'!D394</f>
        <v>3</v>
      </c>
      <c r="E243" s="1152" t="n">
        <f aca="false">'Смета Расходов'!F394</f>
        <v>1000</v>
      </c>
      <c r="F243" s="1152" t="n">
        <f aca="false">'Смета Расходов'!G394</f>
        <v>0</v>
      </c>
    </row>
    <row r="244" customFormat="false" ht="15" hidden="false" customHeight="false" outlineLevel="0" collapsed="false">
      <c r="A244" s="1139"/>
      <c r="B244" s="1152" t="str">
        <f aca="false">'Смета Расходов'!B395</f>
        <v>Перемычка дверная, 1-ый эт. Вариант 5</v>
      </c>
      <c r="C244" s="1153" t="str">
        <f aca="false">'Смета Расходов'!C395</f>
        <v>м.п.</v>
      </c>
      <c r="D244" s="1152" t="n">
        <f aca="false">'Смета Расходов'!D395</f>
        <v>0</v>
      </c>
      <c r="E244" s="1152" t="n">
        <f aca="false">'Смета Расходов'!F395</f>
        <v>1000</v>
      </c>
      <c r="F244" s="1152" t="n">
        <f aca="false">'Смета Расходов'!G395</f>
        <v>0</v>
      </c>
    </row>
    <row r="245" customFormat="false" ht="15" hidden="false" customHeight="false" outlineLevel="0" collapsed="false">
      <c r="A245" s="1139"/>
      <c r="B245" s="1152" t="str">
        <f aca="false">'Смета Расходов'!B396</f>
        <v>Перемычка дверная, 1-ый эт. Вариант 6</v>
      </c>
      <c r="C245" s="1153" t="str">
        <f aca="false">'Смета Расходов'!C396</f>
        <v>м.п.</v>
      </c>
      <c r="D245" s="1152" t="n">
        <f aca="false">'Смета Расходов'!D396</f>
        <v>0</v>
      </c>
      <c r="E245" s="1152" t="n">
        <f aca="false">'Смета Расходов'!F396</f>
        <v>1000</v>
      </c>
      <c r="F245" s="1152" t="n">
        <f aca="false">'Смета Расходов'!G396</f>
        <v>0</v>
      </c>
    </row>
    <row r="246" customFormat="false" ht="15" hidden="false" customHeight="false" outlineLevel="0" collapsed="false">
      <c r="A246" s="1139"/>
      <c r="B246" s="1152" t="str">
        <f aca="false">'Смета Расходов'!B397</f>
        <v>Перемычка дверная, 2-ый эт. Вариант 7</v>
      </c>
      <c r="C246" s="1153" t="str">
        <f aca="false">'Смета Расходов'!C397</f>
        <v>м.п.</v>
      </c>
      <c r="D246" s="1152" t="n">
        <f aca="false">'Смета Расходов'!D397</f>
        <v>0</v>
      </c>
      <c r="E246" s="1152" t="n">
        <f aca="false">'Смета Расходов'!F397</f>
        <v>1000</v>
      </c>
      <c r="F246" s="1152" t="n">
        <f aca="false">'Смета Расходов'!G397</f>
        <v>0</v>
      </c>
    </row>
    <row r="247" customFormat="false" ht="15" hidden="false" customHeight="false" outlineLevel="0" collapsed="false">
      <c r="A247" s="1139"/>
      <c r="B247" s="1152" t="str">
        <f aca="false">'Смета Расходов'!B398</f>
        <v>Перемычка дверная, 2-ый эт. Вариант 8</v>
      </c>
      <c r="C247" s="1153" t="str">
        <f aca="false">'Смета Расходов'!C398</f>
        <v>м.п.</v>
      </c>
      <c r="D247" s="1152" t="n">
        <f aca="false">'Смета Расходов'!D398</f>
        <v>0</v>
      </c>
      <c r="E247" s="1152" t="n">
        <f aca="false">'Смета Расходов'!F398</f>
        <v>1000</v>
      </c>
      <c r="F247" s="1152" t="n">
        <f aca="false">'Смета Расходов'!G398</f>
        <v>0</v>
      </c>
    </row>
    <row r="248" customFormat="false" ht="15" hidden="false" customHeight="false" outlineLevel="0" collapsed="false">
      <c r="A248" s="1139"/>
      <c r="B248" s="1152" t="str">
        <f aca="false">'Смета Расходов'!B399</f>
        <v>Перемычка дверная, 2-ый эт. Вариант 9</v>
      </c>
      <c r="C248" s="1153" t="str">
        <f aca="false">'Смета Расходов'!C399</f>
        <v>м.п.</v>
      </c>
      <c r="D248" s="1152" t="n">
        <f aca="false">'Смета Расходов'!D399</f>
        <v>0</v>
      </c>
      <c r="E248" s="1152" t="n">
        <f aca="false">'Смета Расходов'!F399</f>
        <v>1000</v>
      </c>
      <c r="F248" s="1152" t="n">
        <f aca="false">'Смета Расходов'!G399</f>
        <v>0</v>
      </c>
    </row>
    <row r="249" customFormat="false" ht="15" hidden="false" customHeight="false" outlineLevel="0" collapsed="false">
      <c r="A249" s="1139"/>
      <c r="B249" s="1152" t="str">
        <f aca="false">'Смета Расходов'!B400</f>
        <v>Перемычка проема, 1-ый эт. Вариант 10</v>
      </c>
      <c r="C249" s="1153" t="str">
        <f aca="false">'Смета Расходов'!C400</f>
        <v>м.п.</v>
      </c>
      <c r="D249" s="1152" t="n">
        <f aca="false">'Смета Расходов'!D400</f>
        <v>0</v>
      </c>
      <c r="E249" s="1152" t="n">
        <f aca="false">'Смета Расходов'!F400</f>
        <v>1000</v>
      </c>
      <c r="F249" s="1152" t="n">
        <f aca="false">'Смета Расходов'!G400</f>
        <v>0</v>
      </c>
    </row>
    <row r="250" customFormat="false" ht="15" hidden="false" customHeight="false" outlineLevel="0" collapsed="false">
      <c r="A250" s="1139"/>
      <c r="B250" s="1152" t="str">
        <f aca="false">'Смета Расходов'!B401</f>
        <v>Перемычка проема, 1-ый эт. Вариант 11</v>
      </c>
      <c r="C250" s="1153" t="str">
        <f aca="false">'Смета Расходов'!C401</f>
        <v>м.п.</v>
      </c>
      <c r="D250" s="1152" t="n">
        <f aca="false">'Смета Расходов'!D401</f>
        <v>0</v>
      </c>
      <c r="E250" s="1152" t="n">
        <f aca="false">'Смета Расходов'!F401</f>
        <v>1000</v>
      </c>
      <c r="F250" s="1152" t="n">
        <f aca="false">'Смета Расходов'!G401</f>
        <v>0</v>
      </c>
    </row>
    <row r="251" customFormat="false" ht="15" hidden="false" customHeight="false" outlineLevel="0" collapsed="false">
      <c r="A251" s="1139"/>
      <c r="B251" s="1152" t="str">
        <f aca="false">'Смета Расходов'!B402</f>
        <v>Перемычка проема, 2-ый эт. Вариант 12</v>
      </c>
      <c r="C251" s="1153" t="str">
        <f aca="false">'Смета Расходов'!C402</f>
        <v>м.п.</v>
      </c>
      <c r="D251" s="1152" t="n">
        <f aca="false">'Смета Расходов'!D402</f>
        <v>0</v>
      </c>
      <c r="E251" s="1152" t="n">
        <f aca="false">'Смета Расходов'!F402</f>
        <v>1000</v>
      </c>
      <c r="F251" s="1152" t="n">
        <f aca="false">'Смета Расходов'!G402</f>
        <v>0</v>
      </c>
    </row>
    <row r="252" customFormat="false" ht="15" hidden="false" customHeight="false" outlineLevel="0" collapsed="false">
      <c r="A252" s="1139"/>
      <c r="B252" s="1152" t="str">
        <f aca="false">'Смета Расходов'!B403</f>
        <v>Перемычка проема, 2-ый эт. Вариант 13</v>
      </c>
      <c r="C252" s="1153" t="str">
        <f aca="false">'Смета Расходов'!C403</f>
        <v>м.п.</v>
      </c>
      <c r="D252" s="1152" t="n">
        <f aca="false">'Смета Расходов'!D403</f>
        <v>0</v>
      </c>
      <c r="E252" s="1152" t="n">
        <f aca="false">'Смета Расходов'!F403</f>
        <v>1000</v>
      </c>
      <c r="F252" s="1152" t="n">
        <f aca="false">'Смета Расходов'!G403</f>
        <v>0</v>
      </c>
    </row>
    <row r="253" customFormat="false" ht="15" hidden="false" customHeight="false" outlineLevel="0" collapsed="false">
      <c r="A253" s="1139"/>
      <c r="B253" s="1152" t="str">
        <f aca="false">'Смета Расходов'!B404</f>
        <v>Перемычка дверная, 1-ый эт. Вариант 1</v>
      </c>
      <c r="C253" s="1153" t="str">
        <f aca="false">'Смета Расходов'!C404</f>
        <v>м.п.</v>
      </c>
      <c r="D253" s="1152" t="n">
        <f aca="false">'Смета Расходов'!D404</f>
        <v>0</v>
      </c>
      <c r="E253" s="1152" t="n">
        <f aca="false">'Смета Расходов'!F404</f>
        <v>1000</v>
      </c>
      <c r="F253" s="1152" t="n">
        <f aca="false">'Смета Расходов'!G404</f>
        <v>0</v>
      </c>
    </row>
    <row r="254" customFormat="false" ht="15" hidden="false" customHeight="false" outlineLevel="0" collapsed="false">
      <c r="A254" s="1139"/>
      <c r="B254" s="1152" t="str">
        <f aca="false">'Смета Расходов'!B405</f>
        <v>Перемычка дверная, 1-ый эт. Вариант 2</v>
      </c>
      <c r="C254" s="1153" t="str">
        <f aca="false">'Смета Расходов'!C405</f>
        <v>м.п.</v>
      </c>
      <c r="D254" s="1152" t="n">
        <f aca="false">'Смета Расходов'!D405</f>
        <v>1</v>
      </c>
      <c r="E254" s="1152" t="n">
        <f aca="false">'Смета Расходов'!F405</f>
        <v>1000</v>
      </c>
      <c r="F254" s="1152" t="n">
        <f aca="false">'Смета Расходов'!G405</f>
        <v>0</v>
      </c>
    </row>
    <row r="255" customFormat="false" ht="15" hidden="false" customHeight="false" outlineLevel="0" collapsed="false">
      <c r="A255" s="1139"/>
      <c r="B255" s="1152" t="str">
        <f aca="false">'Смета Расходов'!B406</f>
        <v>Перемычка дверная, 1-ый эт. Вариант 3</v>
      </c>
      <c r="C255" s="1153" t="str">
        <f aca="false">'Смета Расходов'!C406</f>
        <v>м.п.</v>
      </c>
      <c r="D255" s="1152" t="n">
        <f aca="false">'Смета Расходов'!D406</f>
        <v>0</v>
      </c>
      <c r="E255" s="1152" t="n">
        <f aca="false">'Смета Расходов'!F406</f>
        <v>1000</v>
      </c>
      <c r="F255" s="1152" t="n">
        <f aca="false">'Смета Расходов'!G406</f>
        <v>0</v>
      </c>
    </row>
    <row r="256" customFormat="false" ht="15" hidden="false" customHeight="false" outlineLevel="0" collapsed="false">
      <c r="A256" s="1139"/>
      <c r="B256" s="1152" t="str">
        <f aca="false">'Смета Расходов'!B407</f>
        <v>Сосна влаж,200*40мм</v>
      </c>
      <c r="C256" s="1153" t="str">
        <f aca="false">'Смета Расходов'!C407</f>
        <v>м3</v>
      </c>
      <c r="D256" s="1152" t="n">
        <f aca="false">'Смета Расходов'!D407</f>
        <v>1.8512</v>
      </c>
      <c r="E256" s="1152" t="n">
        <f aca="false">'Смета Расходов'!F407</f>
        <v>6500</v>
      </c>
      <c r="F256" s="1152" t="n">
        <f aca="false">'Смета Расходов'!G407</f>
        <v>0</v>
      </c>
    </row>
    <row r="257" customFormat="false" ht="15" hidden="false" customHeight="false" outlineLevel="0" collapsed="false">
      <c r="A257" s="1139"/>
      <c r="B257" s="1152" t="str">
        <f aca="false">'Смета Расходов'!B408</f>
        <v>Сейсмопояс Арматура М10 4 нити</v>
      </c>
      <c r="C257" s="1153" t="str">
        <f aca="false">'Смета Расходов'!C408</f>
        <v>м.п.</v>
      </c>
      <c r="D257" s="1152" t="n">
        <f aca="false">'Смета Расходов'!D408</f>
        <v>281.6</v>
      </c>
      <c r="E257" s="1152" t="n">
        <f aca="false">'Смета Расходов'!F408</f>
        <v>21.0397</v>
      </c>
      <c r="F257" s="1152" t="n">
        <f aca="false">'Смета Расходов'!G408</f>
        <v>0</v>
      </c>
    </row>
    <row r="258" customFormat="false" ht="15" hidden="false" customHeight="false" outlineLevel="0" collapsed="false">
      <c r="A258" s="1139"/>
      <c r="B258" s="1152" t="str">
        <f aca="false">'Смета Расходов'!B409</f>
        <v>Хомут для сейсмопояса Арматура М6, шаг 400мм</v>
      </c>
      <c r="C258" s="1153" t="str">
        <f aca="false">'Смета Расходов'!C409</f>
        <v>м.п.</v>
      </c>
      <c r="D258" s="1152" t="n">
        <f aca="false">'Смета Расходов'!D409</f>
        <v>144</v>
      </c>
      <c r="E258" s="1152" t="n">
        <f aca="false">'Смета Расходов'!F409</f>
        <v>0</v>
      </c>
      <c r="F258" s="1152" t="n">
        <f aca="false">'Смета Расходов'!G409</f>
        <v>0</v>
      </c>
    </row>
    <row r="259" customFormat="false" ht="15" hidden="false" customHeight="false" outlineLevel="0" collapsed="false">
      <c r="A259" s="1139"/>
      <c r="B259" s="1152" t="str">
        <f aca="false">'Смета Расходов'!B410</f>
        <v>Бетон, м300</v>
      </c>
      <c r="C259" s="1153" t="str">
        <f aca="false">'Смета Расходов'!C410</f>
        <v>м3</v>
      </c>
      <c r="D259" s="1152" t="n">
        <f aca="false">'Смета Расходов'!D410</f>
        <v>2.8833</v>
      </c>
      <c r="E259" s="1152" t="n">
        <f aca="false">'Смета Расходов'!F410</f>
        <v>3000</v>
      </c>
      <c r="F259" s="1152" t="n">
        <f aca="false">'Смета Расходов'!G410</f>
        <v>0</v>
      </c>
    </row>
    <row r="260" customFormat="false" ht="15" hidden="false" customHeight="false" outlineLevel="0" collapsed="false">
      <c r="A260" s="1139"/>
      <c r="B260" s="1152" t="str">
        <f aca="false">'Смета Расходов'!B411</f>
        <v>Нет</v>
      </c>
      <c r="C260" s="1153" t="str">
        <f aca="false">'Смета Расходов'!C411</f>
        <v>м3</v>
      </c>
      <c r="D260" s="1152" t="n">
        <f aca="false">'Смета Расходов'!D411</f>
        <v>0</v>
      </c>
      <c r="E260" s="1152" t="n">
        <f aca="false">'Смета Расходов'!F411</f>
        <v>0</v>
      </c>
      <c r="F260" s="1152" t="n">
        <f aca="false">'Смета Расходов'!G411</f>
        <v>0</v>
      </c>
    </row>
    <row r="261" customFormat="false" ht="15" hidden="false" customHeight="false" outlineLevel="0" collapsed="false">
      <c r="A261" s="1139"/>
      <c r="B261" s="1152" t="str">
        <f aca="false">'Смета Расходов'!B412</f>
        <v>Грибок для крепления утеплителя</v>
      </c>
      <c r="C261" s="1153" t="str">
        <f aca="false">'Смета Расходов'!C412</f>
        <v>шт</v>
      </c>
      <c r="D261" s="1152" t="n">
        <f aca="false">'Смета Расходов'!D412</f>
        <v>0</v>
      </c>
      <c r="E261" s="1152" t="n">
        <f aca="false">'Смета Расходов'!F412</f>
        <v>15</v>
      </c>
      <c r="F261" s="1152" t="n">
        <f aca="false">'Смета Расходов'!G412</f>
        <v>0</v>
      </c>
    </row>
    <row r="262" customFormat="false" ht="15" hidden="false" customHeight="false" outlineLevel="0" collapsed="false">
      <c r="A262" s="1139"/>
      <c r="B262" s="1152" t="str">
        <f aca="false">'Смета Расходов'!B413</f>
        <v>нет ветроизоляции</v>
      </c>
      <c r="C262" s="1153" t="str">
        <f aca="false">'Смета Расходов'!C413</f>
        <v>м2</v>
      </c>
      <c r="D262" s="1152" t="n">
        <f aca="false">'Смета Расходов'!D413</f>
        <v>0</v>
      </c>
      <c r="E262" s="1152" t="n">
        <f aca="false">'Смета Расходов'!F413</f>
        <v>0</v>
      </c>
      <c r="F262" s="1152" t="n">
        <f aca="false">'Смета Расходов'!G413</f>
        <v>0</v>
      </c>
    </row>
    <row r="263" customFormat="false" ht="15" hidden="false" customHeight="false" outlineLevel="0" collapsed="false">
      <c r="A263" s="1139"/>
      <c r="B263" s="1154" t="s">
        <v>2309</v>
      </c>
      <c r="C263" s="1154"/>
      <c r="D263" s="1154"/>
      <c r="E263" s="1154"/>
      <c r="F263" s="1152" t="n">
        <f aca="false">SUM(F214:F262)</f>
        <v>0</v>
      </c>
    </row>
    <row r="264" customFormat="false" ht="18.75" hidden="false" customHeight="false" outlineLevel="0" collapsed="false">
      <c r="A264" s="1139"/>
      <c r="B264" s="1150" t="str">
        <f aca="false">'Смета Расходов'!B428</f>
        <v>Дом из Пенобетона</v>
      </c>
      <c r="C264" s="1150"/>
      <c r="D264" s="1150"/>
      <c r="E264" s="1150"/>
      <c r="F264" s="1155" t="n">
        <f aca="false">'Смета Внутр'!H428</f>
        <v>0</v>
      </c>
    </row>
    <row r="265" customFormat="false" ht="15" hidden="false" customHeight="false" outlineLevel="0" collapsed="false">
      <c r="A265" s="1139"/>
      <c r="B265" s="1156" t="s">
        <v>2246</v>
      </c>
      <c r="C265" s="1156"/>
      <c r="D265" s="1156"/>
      <c r="E265" s="1156"/>
      <c r="F265" s="1155" t="n">
        <f aca="false">'Смета Внутр'!H429</f>
        <v>0</v>
      </c>
    </row>
    <row r="266" customFormat="false" ht="15" hidden="false" customHeight="false" outlineLevel="0" collapsed="false">
      <c r="A266" s="1139"/>
      <c r="B266" s="1152" t="str">
        <f aca="false">'Смета Расходов'!B430</f>
        <v>Пенобетон 200x300x600</v>
      </c>
      <c r="C266" s="1153" t="str">
        <f aca="false">'Смета Расходов'!C430</f>
        <v>м3</v>
      </c>
      <c r="D266" s="1152" t="n">
        <f aca="false">'Смета Расходов'!D430</f>
        <v>0</v>
      </c>
      <c r="E266" s="1152" t="n">
        <f aca="false">'Смета Расходов'!F430</f>
        <v>3650</v>
      </c>
      <c r="F266" s="1152" t="n">
        <f aca="false">'Смета Расходов'!G430</f>
        <v>0</v>
      </c>
    </row>
    <row r="267" customFormat="false" ht="15" hidden="false" customHeight="false" outlineLevel="0" collapsed="false">
      <c r="A267" s="1139"/>
      <c r="B267" s="1152" t="str">
        <f aca="false">'Смета Расходов'!B431</f>
        <v>Пенобетон 200x150x600</v>
      </c>
      <c r="C267" s="1153" t="str">
        <f aca="false">'Смета Расходов'!C431</f>
        <v>м3</v>
      </c>
      <c r="D267" s="1152" t="n">
        <f aca="false">'Смета Расходов'!D431</f>
        <v>0</v>
      </c>
      <c r="E267" s="1152" t="n">
        <f aca="false">'Смета Расходов'!F431</f>
        <v>3950</v>
      </c>
      <c r="F267" s="1152" t="n">
        <f aca="false">'Смета Расходов'!G431</f>
        <v>0</v>
      </c>
    </row>
    <row r="268" customFormat="false" ht="15" hidden="false" customHeight="false" outlineLevel="0" collapsed="false">
      <c r="A268" s="1139"/>
      <c r="B268" s="1152" t="str">
        <f aca="false">'Смета Расходов'!B432</f>
        <v>Пенобетон 200x150x600</v>
      </c>
      <c r="C268" s="1153" t="str">
        <f aca="false">'Смета Расходов'!C432</f>
        <v>м3</v>
      </c>
      <c r="D268" s="1152" t="n">
        <f aca="false">'Смета Расходов'!D432</f>
        <v>0</v>
      </c>
      <c r="E268" s="1152" t="n">
        <f aca="false">'Смета Расходов'!F432</f>
        <v>3950</v>
      </c>
      <c r="F268" s="1152" t="n">
        <f aca="false">'Смета Расходов'!G432</f>
        <v>0</v>
      </c>
    </row>
    <row r="269" customFormat="false" ht="15" hidden="false" customHeight="false" outlineLevel="0" collapsed="false">
      <c r="A269" s="1139"/>
      <c r="B269" s="1152" t="str">
        <f aca="false">'Смета Расходов'!B433</f>
        <v>Клей монтажный ВК-100</v>
      </c>
      <c r="C269" s="1153" t="str">
        <f aca="false">'Смета Расходов'!C433</f>
        <v>меш</v>
      </c>
      <c r="D269" s="1152" t="n">
        <f aca="false">'Смета Расходов'!D433</f>
        <v>0</v>
      </c>
      <c r="E269" s="1152" t="n">
        <f aca="false">'Смета Расходов'!F433</f>
        <v>185</v>
      </c>
      <c r="F269" s="1152" t="n">
        <f aca="false">'Смета Расходов'!G433</f>
        <v>0</v>
      </c>
    </row>
    <row r="270" customFormat="false" ht="15" hidden="false" customHeight="false" outlineLevel="0" collapsed="false">
      <c r="A270" s="1139"/>
      <c r="B270" s="1152" t="e">
        <f aca="false">'Смета Расходов'!B434</f>
        <v>#N/A</v>
      </c>
      <c r="C270" s="1153" t="str">
        <f aca="false">'Смета Расходов'!C434</f>
        <v>меш</v>
      </c>
      <c r="D270" s="1152" t="n">
        <f aca="false">'Смета Расходов'!D434</f>
        <v>0</v>
      </c>
      <c r="E270" s="1152" t="n">
        <f aca="false">'Смета Расходов'!F434</f>
        <v>0</v>
      </c>
      <c r="F270" s="1152" t="n">
        <f aca="false">'Смета Расходов'!G434</f>
        <v>0</v>
      </c>
    </row>
    <row r="271" customFormat="false" ht="15" hidden="false" customHeight="false" outlineLevel="0" collapsed="false">
      <c r="A271" s="1139"/>
      <c r="B271" s="1152" t="e">
        <f aca="false">'Смета Расходов'!B435</f>
        <v>#N/A</v>
      </c>
      <c r="C271" s="1153" t="str">
        <f aca="false">'Смета Расходов'!C435</f>
        <v>м3</v>
      </c>
      <c r="D271" s="1152" t="n">
        <f aca="false">'Смета Расходов'!D435</f>
        <v>0</v>
      </c>
      <c r="E271" s="1152" t="n">
        <f aca="false">'Смета Расходов'!F435</f>
        <v>0</v>
      </c>
      <c r="F271" s="1152" t="n">
        <f aca="false">'Смета Расходов'!G435</f>
        <v>0</v>
      </c>
    </row>
    <row r="272" customFormat="false" ht="15" hidden="false" customHeight="false" outlineLevel="0" collapsed="false">
      <c r="A272" s="1139"/>
      <c r="B272" s="1152" t="str">
        <f aca="false">'Смета Расходов'!B436</f>
        <v>Доставка песка</v>
      </c>
      <c r="C272" s="1153" t="str">
        <f aca="false">'Смета Расходов'!C436</f>
        <v>маш</v>
      </c>
      <c r="D272" s="1152" t="n">
        <f aca="false">'Смета Расходов'!D436</f>
        <v>0</v>
      </c>
      <c r="E272" s="1152" t="n">
        <f aca="false">'Смета Расходов'!F436</f>
        <v>0</v>
      </c>
      <c r="F272" s="1152" t="n">
        <f aca="false">'Смета Расходов'!G436</f>
        <v>0</v>
      </c>
    </row>
    <row r="273" customFormat="false" ht="15" hidden="false" customHeight="false" outlineLevel="0" collapsed="false">
      <c r="A273" s="1139"/>
      <c r="B273" s="1152" t="e">
        <f aca="false">'Смета Расходов'!B437</f>
        <v>#N/A</v>
      </c>
      <c r="C273" s="1153" t="str">
        <f aca="false">'Смета Расходов'!C437</f>
        <v>м3</v>
      </c>
      <c r="D273" s="1152" t="n">
        <f aca="false">'Смета Расходов'!D437</f>
        <v>0</v>
      </c>
      <c r="E273" s="1152" t="n">
        <f aca="false">'Смета Расходов'!F437</f>
        <v>0</v>
      </c>
      <c r="F273" s="1152" t="n">
        <f aca="false">'Смета Расходов'!G437</f>
        <v>0</v>
      </c>
    </row>
    <row r="274" customFormat="false" ht="15" hidden="false" customHeight="false" outlineLevel="0" collapsed="false">
      <c r="A274" s="1139"/>
      <c r="B274" s="1152" t="str">
        <f aca="false">'Смета Расходов'!B438</f>
        <v>Арматура М6 каждый 3-й ряд, 2 нити</v>
      </c>
      <c r="C274" s="1153" t="str">
        <f aca="false">'Смета Расходов'!C438</f>
        <v>м.п.</v>
      </c>
      <c r="D274" s="1152" t="n">
        <f aca="false">'Смета Расходов'!D438</f>
        <v>597.333333333333</v>
      </c>
      <c r="E274" s="1152" t="n">
        <f aca="false">'Смета Расходов'!F438</f>
        <v>0</v>
      </c>
      <c r="F274" s="1152" t="n">
        <f aca="false">'Смета Расходов'!G438</f>
        <v>0</v>
      </c>
    </row>
    <row r="275" customFormat="false" ht="15" hidden="false" customHeight="false" outlineLevel="0" collapsed="false">
      <c r="A275" s="1139"/>
      <c r="B275" s="1152" t="str">
        <f aca="false">'Смета Расходов'!B439</f>
        <v>Арматура М6 каждый 3-й ряд, 2 нити</v>
      </c>
      <c r="C275" s="1153" t="str">
        <f aca="false">'Смета Расходов'!C439</f>
        <v>м.п.</v>
      </c>
      <c r="D275" s="1152" t="n">
        <f aca="false">'Смета Расходов'!D439</f>
        <v>100</v>
      </c>
      <c r="E275" s="1152" t="n">
        <f aca="false">'Смета Расходов'!F439</f>
        <v>0</v>
      </c>
      <c r="F275" s="1152" t="n">
        <f aca="false">'Смета Расходов'!G439</f>
        <v>0</v>
      </c>
    </row>
    <row r="276" customFormat="false" ht="15" hidden="false" customHeight="false" outlineLevel="0" collapsed="false">
      <c r="A276" s="1139"/>
      <c r="B276" s="1152" t="str">
        <f aca="false">'Смета Расходов'!B440</f>
        <v>Перемычка оконная, 1-ый эт. Вариант 1</v>
      </c>
      <c r="C276" s="1153" t="str">
        <f aca="false">'Смета Расходов'!C440</f>
        <v>м.п.</v>
      </c>
      <c r="D276" s="1152" t="n">
        <f aca="false">'Смета Расходов'!D440</f>
        <v>1</v>
      </c>
      <c r="E276" s="1152" t="n">
        <f aca="false">'Смета Расходов'!F440</f>
        <v>1000</v>
      </c>
      <c r="F276" s="1152" t="n">
        <f aca="false">'Смета Расходов'!G440</f>
        <v>0</v>
      </c>
    </row>
    <row r="277" customFormat="false" ht="15" hidden="false" customHeight="false" outlineLevel="0" collapsed="false">
      <c r="A277" s="1139"/>
      <c r="B277" s="1152" t="str">
        <f aca="false">'Смета Расходов'!B441</f>
        <v>Перемычка оконная, 1-ый эт. Вариант 2</v>
      </c>
      <c r="C277" s="1153" t="str">
        <f aca="false">'Смета Расходов'!C441</f>
        <v>м.п.</v>
      </c>
      <c r="D277" s="1152" t="n">
        <f aca="false">'Смета Расходов'!D441</f>
        <v>0</v>
      </c>
      <c r="E277" s="1152" t="n">
        <f aca="false">'Смета Расходов'!F441</f>
        <v>1000</v>
      </c>
      <c r="F277" s="1152" t="n">
        <f aca="false">'Смета Расходов'!G441</f>
        <v>0</v>
      </c>
    </row>
    <row r="278" customFormat="false" ht="15" hidden="false" customHeight="false" outlineLevel="0" collapsed="false">
      <c r="A278" s="1139"/>
      <c r="B278" s="1152" t="str">
        <f aca="false">'Смета Расходов'!B442</f>
        <v>Перемычка оконная, 1-ый эт. Вариант 3</v>
      </c>
      <c r="C278" s="1153" t="str">
        <f aca="false">'Смета Расходов'!C442</f>
        <v>м.п.</v>
      </c>
      <c r="D278" s="1152" t="n">
        <f aca="false">'Смета Расходов'!D442</f>
        <v>0</v>
      </c>
      <c r="E278" s="1152" t="n">
        <f aca="false">'Смета Расходов'!F442</f>
        <v>1000</v>
      </c>
      <c r="F278" s="1152" t="n">
        <f aca="false">'Смета Расходов'!G442</f>
        <v>0</v>
      </c>
    </row>
    <row r="279" customFormat="false" ht="15" hidden="false" customHeight="false" outlineLevel="0" collapsed="false">
      <c r="A279" s="1139"/>
      <c r="B279" s="1152" t="str">
        <f aca="false">'Смета Расходов'!B443</f>
        <v>Перемычка оконная, 1-ый эт. Вариант 4</v>
      </c>
      <c r="C279" s="1153" t="str">
        <f aca="false">'Смета Расходов'!C443</f>
        <v>м.п.</v>
      </c>
      <c r="D279" s="1152" t="n">
        <f aca="false">'Смета Расходов'!D443</f>
        <v>0</v>
      </c>
      <c r="E279" s="1152" t="n">
        <f aca="false">'Смета Расходов'!F443</f>
        <v>1000</v>
      </c>
      <c r="F279" s="1152" t="n">
        <f aca="false">'Смета Расходов'!G443</f>
        <v>0</v>
      </c>
    </row>
    <row r="280" customFormat="false" ht="15" hidden="false" customHeight="false" outlineLevel="0" collapsed="false">
      <c r="A280" s="1139"/>
      <c r="B280" s="1152" t="str">
        <f aca="false">'Смета Расходов'!B444</f>
        <v>Перемычка оконная, 1-ый эт. Вариант 5</v>
      </c>
      <c r="C280" s="1153" t="str">
        <f aca="false">'Смета Расходов'!C444</f>
        <v>м.п.</v>
      </c>
      <c r="D280" s="1152" t="n">
        <f aca="false">'Смета Расходов'!D444</f>
        <v>0</v>
      </c>
      <c r="E280" s="1152" t="n">
        <f aca="false">'Смета Расходов'!F444</f>
        <v>1000</v>
      </c>
      <c r="F280" s="1152" t="n">
        <f aca="false">'Смета Расходов'!G444</f>
        <v>0</v>
      </c>
    </row>
    <row r="281" customFormat="false" ht="15" hidden="false" customHeight="false" outlineLevel="0" collapsed="false">
      <c r="A281" s="1139"/>
      <c r="B281" s="1152" t="str">
        <f aca="false">'Смета Расходов'!B445</f>
        <v>Перемычка оконная, 2-ый эт. Вариант 6</v>
      </c>
      <c r="C281" s="1153" t="str">
        <f aca="false">'Смета Расходов'!C445</f>
        <v>м.п.</v>
      </c>
      <c r="D281" s="1152" t="n">
        <f aca="false">'Смета Расходов'!D445</f>
        <v>0</v>
      </c>
      <c r="E281" s="1152" t="n">
        <f aca="false">'Смета Расходов'!F445</f>
        <v>1000</v>
      </c>
      <c r="F281" s="1152" t="n">
        <f aca="false">'Смета Расходов'!G445</f>
        <v>0</v>
      </c>
    </row>
    <row r="282" customFormat="false" ht="15" hidden="false" customHeight="false" outlineLevel="0" collapsed="false">
      <c r="A282" s="1139"/>
      <c r="B282" s="1152" t="str">
        <f aca="false">'Смета Расходов'!B446</f>
        <v>Перемычка оконная, 2-ый эт. Вариант 7</v>
      </c>
      <c r="C282" s="1153" t="str">
        <f aca="false">'Смета Расходов'!C446</f>
        <v>м.п.</v>
      </c>
      <c r="D282" s="1152" t="n">
        <f aca="false">'Смета Расходов'!D446</f>
        <v>0</v>
      </c>
      <c r="E282" s="1152" t="n">
        <f aca="false">'Смета Расходов'!F446</f>
        <v>1000</v>
      </c>
      <c r="F282" s="1152" t="n">
        <f aca="false">'Смета Расходов'!G446</f>
        <v>0</v>
      </c>
    </row>
    <row r="283" customFormat="false" ht="15" hidden="false" customHeight="false" outlineLevel="0" collapsed="false">
      <c r="A283" s="1139"/>
      <c r="B283" s="1152" t="str">
        <f aca="false">'Смета Расходов'!B447</f>
        <v>Перемычка оконная, 2-ый эт. Вариант 8</v>
      </c>
      <c r="C283" s="1153" t="str">
        <f aca="false">'Смета Расходов'!C447</f>
        <v>м.п.</v>
      </c>
      <c r="D283" s="1152" t="n">
        <f aca="false">'Смета Расходов'!D447</f>
        <v>0</v>
      </c>
      <c r="E283" s="1152" t="n">
        <f aca="false">'Смета Расходов'!F447</f>
        <v>1000</v>
      </c>
      <c r="F283" s="1152" t="n">
        <f aca="false">'Смета Расходов'!G447</f>
        <v>0</v>
      </c>
    </row>
    <row r="284" customFormat="false" ht="15" hidden="false" customHeight="false" outlineLevel="0" collapsed="false">
      <c r="A284" s="1139"/>
      <c r="B284" s="1152" t="str">
        <f aca="false">'Смета Расходов'!B448</f>
        <v>Перемычка оконная, 2-ый эт. Вариант 9</v>
      </c>
      <c r="C284" s="1153" t="str">
        <f aca="false">'Смета Расходов'!C448</f>
        <v>м.п.</v>
      </c>
      <c r="D284" s="1152" t="n">
        <f aca="false">'Смета Расходов'!D448</f>
        <v>0</v>
      </c>
      <c r="E284" s="1152" t="n">
        <f aca="false">'Смета Расходов'!F448</f>
        <v>1000</v>
      </c>
      <c r="F284" s="1152" t="n">
        <f aca="false">'Смета Расходов'!G448</f>
        <v>0</v>
      </c>
    </row>
    <row r="285" customFormat="false" ht="15" hidden="false" customHeight="false" outlineLevel="0" collapsed="false">
      <c r="A285" s="1139"/>
      <c r="B285" s="1152" t="str">
        <f aca="false">'Смета Расходов'!B449</f>
        <v>Перемычка оконная, 2-ый эт. Вариант 10</v>
      </c>
      <c r="C285" s="1153" t="str">
        <f aca="false">'Смета Расходов'!C449</f>
        <v>м.п.</v>
      </c>
      <c r="D285" s="1152" t="n">
        <f aca="false">'Смета Расходов'!D449</f>
        <v>0</v>
      </c>
      <c r="E285" s="1152" t="n">
        <f aca="false">'Смета Расходов'!F449</f>
        <v>1000</v>
      </c>
      <c r="F285" s="1152" t="n">
        <f aca="false">'Смета Расходов'!G449</f>
        <v>0</v>
      </c>
    </row>
    <row r="286" customFormat="false" ht="15" hidden="false" customHeight="false" outlineLevel="0" collapsed="false">
      <c r="A286" s="1139"/>
      <c r="B286" s="1152" t="str">
        <f aca="false">'Смета Расходов'!B450</f>
        <v>Перемычка дверная, 1-ый эт. Вариант 1</v>
      </c>
      <c r="C286" s="1153" t="str">
        <f aca="false">'Смета Расходов'!C450</f>
        <v>м.п.</v>
      </c>
      <c r="D286" s="1152" t="n">
        <f aca="false">'Смета Расходов'!D450</f>
        <v>0</v>
      </c>
      <c r="E286" s="1152" t="n">
        <f aca="false">'Смета Расходов'!F450</f>
        <v>1000</v>
      </c>
      <c r="F286" s="1152" t="n">
        <f aca="false">'Смета Расходов'!G450</f>
        <v>0</v>
      </c>
    </row>
    <row r="287" customFormat="false" ht="15" hidden="false" customHeight="false" outlineLevel="0" collapsed="false">
      <c r="A287" s="1139"/>
      <c r="B287" s="1152" t="str">
        <f aca="false">'Смета Расходов'!B451</f>
        <v>Перемычка дверная, 2-ый эт. Вариант 2</v>
      </c>
      <c r="C287" s="1153" t="str">
        <f aca="false">'Смета Расходов'!C451</f>
        <v>м.п.</v>
      </c>
      <c r="D287" s="1152" t="n">
        <f aca="false">'Смета Расходов'!D451</f>
        <v>0</v>
      </c>
      <c r="E287" s="1152" t="n">
        <f aca="false">'Смета Расходов'!F451</f>
        <v>1000</v>
      </c>
      <c r="F287" s="1152" t="n">
        <f aca="false">'Смета Расходов'!G451</f>
        <v>0</v>
      </c>
    </row>
    <row r="288" customFormat="false" ht="15" hidden="false" customHeight="false" outlineLevel="0" collapsed="false">
      <c r="A288" s="1139"/>
      <c r="B288" s="1152" t="str">
        <f aca="false">'Смета Расходов'!B452</f>
        <v>Перемычка оконная 1-ый эт, Вариант 11</v>
      </c>
      <c r="C288" s="1153" t="str">
        <f aca="false">'Смета Расходов'!C452</f>
        <v>м.п.</v>
      </c>
      <c r="D288" s="1152" t="n">
        <f aca="false">'Смета Расходов'!D452</f>
        <v>0</v>
      </c>
      <c r="E288" s="1152" t="n">
        <f aca="false">'Смета Расходов'!F452</f>
        <v>1000</v>
      </c>
      <c r="F288" s="1152" t="n">
        <f aca="false">'Смета Расходов'!G452</f>
        <v>0</v>
      </c>
    </row>
    <row r="289" customFormat="false" ht="15" hidden="false" customHeight="false" outlineLevel="0" collapsed="false">
      <c r="A289" s="1139"/>
      <c r="B289" s="1152" t="str">
        <f aca="false">'Смета Расходов'!B453</f>
        <v>Перемычка оконная 1-ый эт, Вариант 12</v>
      </c>
      <c r="C289" s="1153" t="str">
        <f aca="false">'Смета Расходов'!C453</f>
        <v>м.п.</v>
      </c>
      <c r="D289" s="1152" t="n">
        <f aca="false">'Смета Расходов'!D453</f>
        <v>0</v>
      </c>
      <c r="E289" s="1152" t="n">
        <f aca="false">'Смета Расходов'!F453</f>
        <v>1000</v>
      </c>
      <c r="F289" s="1152" t="n">
        <f aca="false">'Смета Расходов'!G453</f>
        <v>0</v>
      </c>
    </row>
    <row r="290" customFormat="false" ht="15" hidden="false" customHeight="false" outlineLevel="0" collapsed="false">
      <c r="A290" s="1139"/>
      <c r="B290" s="1152" t="str">
        <f aca="false">'Смета Расходов'!B454</f>
        <v>Перемычка дверная, 1-ый эт. Вариант 4</v>
      </c>
      <c r="C290" s="1153" t="str">
        <f aca="false">'Смета Расходов'!C454</f>
        <v>м.п.</v>
      </c>
      <c r="D290" s="1152" t="n">
        <f aca="false">'Смета Расходов'!D454</f>
        <v>3</v>
      </c>
      <c r="E290" s="1152" t="n">
        <f aca="false">'Смета Расходов'!F454</f>
        <v>1000</v>
      </c>
      <c r="F290" s="1152" t="n">
        <f aca="false">'Смета Расходов'!G454</f>
        <v>0</v>
      </c>
    </row>
    <row r="291" customFormat="false" ht="15" hidden="false" customHeight="false" outlineLevel="0" collapsed="false">
      <c r="A291" s="1139"/>
      <c r="B291" s="1152" t="str">
        <f aca="false">'Смета Расходов'!B455</f>
        <v>Перемычка дверная, 1-ый эт. Вариант 5</v>
      </c>
      <c r="C291" s="1153" t="str">
        <f aca="false">'Смета Расходов'!C455</f>
        <v>м.п.</v>
      </c>
      <c r="D291" s="1152" t="n">
        <f aca="false">'Смета Расходов'!D455</f>
        <v>0</v>
      </c>
      <c r="E291" s="1152" t="n">
        <f aca="false">'Смета Расходов'!F455</f>
        <v>1000</v>
      </c>
      <c r="F291" s="1152" t="n">
        <f aca="false">'Смета Расходов'!G455</f>
        <v>0</v>
      </c>
    </row>
    <row r="292" customFormat="false" ht="15" hidden="false" customHeight="false" outlineLevel="0" collapsed="false">
      <c r="A292" s="1139"/>
      <c r="B292" s="1152" t="str">
        <f aca="false">'Смета Расходов'!B456</f>
        <v>Перемычка дверная, 1-ый эт. Вариант 6</v>
      </c>
      <c r="C292" s="1153" t="str">
        <f aca="false">'Смета Расходов'!C456</f>
        <v>м.п.</v>
      </c>
      <c r="D292" s="1152" t="n">
        <f aca="false">'Смета Расходов'!D456</f>
        <v>0</v>
      </c>
      <c r="E292" s="1152" t="n">
        <f aca="false">'Смета Расходов'!F456</f>
        <v>1000</v>
      </c>
      <c r="F292" s="1152" t="n">
        <f aca="false">'Смета Расходов'!G456</f>
        <v>0</v>
      </c>
    </row>
    <row r="293" customFormat="false" ht="15" hidden="false" customHeight="false" outlineLevel="0" collapsed="false">
      <c r="A293" s="1139"/>
      <c r="B293" s="1152" t="str">
        <f aca="false">'Смета Расходов'!B457</f>
        <v>Перемычка дверная, 2-ый эт. Вариант 7</v>
      </c>
      <c r="C293" s="1153" t="str">
        <f aca="false">'Смета Расходов'!C457</f>
        <v>м.п.</v>
      </c>
      <c r="D293" s="1152" t="n">
        <f aca="false">'Смета Расходов'!D457</f>
        <v>0</v>
      </c>
      <c r="E293" s="1152" t="n">
        <f aca="false">'Смета Расходов'!F457</f>
        <v>1000</v>
      </c>
      <c r="F293" s="1152" t="n">
        <f aca="false">'Смета Расходов'!G457</f>
        <v>0</v>
      </c>
    </row>
    <row r="294" customFormat="false" ht="15" hidden="false" customHeight="false" outlineLevel="0" collapsed="false">
      <c r="A294" s="1139"/>
      <c r="B294" s="1152" t="str">
        <f aca="false">'Смета Расходов'!B458</f>
        <v>Перемычка дверная, 2-ый эт. Вариант 8</v>
      </c>
      <c r="C294" s="1153" t="str">
        <f aca="false">'Смета Расходов'!C458</f>
        <v>м.п.</v>
      </c>
      <c r="D294" s="1152" t="n">
        <f aca="false">'Смета Расходов'!D458</f>
        <v>0</v>
      </c>
      <c r="E294" s="1152" t="n">
        <f aca="false">'Смета Расходов'!F458</f>
        <v>1000</v>
      </c>
      <c r="F294" s="1152" t="n">
        <f aca="false">'Смета Расходов'!G458</f>
        <v>0</v>
      </c>
    </row>
    <row r="295" customFormat="false" ht="15" hidden="false" customHeight="false" outlineLevel="0" collapsed="false">
      <c r="A295" s="1139"/>
      <c r="B295" s="1152" t="str">
        <f aca="false">'Смета Расходов'!B459</f>
        <v>Перемычка дверная, 2-ый эт. Вариант 9</v>
      </c>
      <c r="C295" s="1153" t="str">
        <f aca="false">'Смета Расходов'!C459</f>
        <v>м.п.</v>
      </c>
      <c r="D295" s="1152" t="n">
        <f aca="false">'Смета Расходов'!D459</f>
        <v>0</v>
      </c>
      <c r="E295" s="1152" t="n">
        <f aca="false">'Смета Расходов'!F459</f>
        <v>1000</v>
      </c>
      <c r="F295" s="1152" t="n">
        <f aca="false">'Смета Расходов'!G459</f>
        <v>0</v>
      </c>
    </row>
    <row r="296" customFormat="false" ht="15" hidden="false" customHeight="false" outlineLevel="0" collapsed="false">
      <c r="A296" s="1139"/>
      <c r="B296" s="1152" t="str">
        <f aca="false">'Смета Расходов'!B460</f>
        <v>Перемычка проема, 1-ый эт. Вариант 10</v>
      </c>
      <c r="C296" s="1153" t="str">
        <f aca="false">'Смета Расходов'!C460</f>
        <v>м.п.</v>
      </c>
      <c r="D296" s="1152" t="n">
        <f aca="false">'Смета Расходов'!D460</f>
        <v>0</v>
      </c>
      <c r="E296" s="1152" t="n">
        <f aca="false">'Смета Расходов'!F460</f>
        <v>1000</v>
      </c>
      <c r="F296" s="1152" t="n">
        <f aca="false">'Смета Расходов'!G460</f>
        <v>0</v>
      </c>
    </row>
    <row r="297" customFormat="false" ht="15" hidden="false" customHeight="false" outlineLevel="0" collapsed="false">
      <c r="A297" s="1139"/>
      <c r="B297" s="1152" t="str">
        <f aca="false">'Смета Расходов'!B461</f>
        <v>Перемычка проема, 1-ый эт. Вариант 11</v>
      </c>
      <c r="C297" s="1153" t="str">
        <f aca="false">'Смета Расходов'!C461</f>
        <v>м.п.</v>
      </c>
      <c r="D297" s="1152" t="n">
        <f aca="false">'Смета Расходов'!D461</f>
        <v>0</v>
      </c>
      <c r="E297" s="1152" t="n">
        <f aca="false">'Смета Расходов'!F461</f>
        <v>1000</v>
      </c>
      <c r="F297" s="1152" t="n">
        <f aca="false">'Смета Расходов'!G461</f>
        <v>0</v>
      </c>
    </row>
    <row r="298" customFormat="false" ht="15" hidden="false" customHeight="false" outlineLevel="0" collapsed="false">
      <c r="A298" s="1139"/>
      <c r="B298" s="1152" t="str">
        <f aca="false">'Смета Расходов'!B462</f>
        <v>Перемычка проема, 2-ый эт. Вариант 12</v>
      </c>
      <c r="C298" s="1153" t="str">
        <f aca="false">'Смета Расходов'!C462</f>
        <v>м.п.</v>
      </c>
      <c r="D298" s="1152" t="n">
        <f aca="false">'Смета Расходов'!D462</f>
        <v>0</v>
      </c>
      <c r="E298" s="1152" t="n">
        <f aca="false">'Смета Расходов'!F462</f>
        <v>1000</v>
      </c>
      <c r="F298" s="1152" t="n">
        <f aca="false">'Смета Расходов'!G462</f>
        <v>0</v>
      </c>
    </row>
    <row r="299" customFormat="false" ht="15" hidden="false" customHeight="false" outlineLevel="0" collapsed="false">
      <c r="A299" s="1139"/>
      <c r="B299" s="1152" t="str">
        <f aca="false">'Смета Расходов'!B463</f>
        <v>Перемычка проема, 2-ый эт. Вариант 13</v>
      </c>
      <c r="C299" s="1153" t="str">
        <f aca="false">'Смета Расходов'!C463</f>
        <v>м.п.</v>
      </c>
      <c r="D299" s="1152" t="n">
        <f aca="false">'Смета Расходов'!D463</f>
        <v>0</v>
      </c>
      <c r="E299" s="1152" t="n">
        <f aca="false">'Смета Расходов'!F463</f>
        <v>1000</v>
      </c>
      <c r="F299" s="1152" t="n">
        <f aca="false">'Смета Расходов'!G463</f>
        <v>0</v>
      </c>
    </row>
    <row r="300" customFormat="false" ht="15" hidden="false" customHeight="false" outlineLevel="0" collapsed="false">
      <c r="A300" s="1139"/>
      <c r="B300" s="1152" t="str">
        <f aca="false">'Смета Расходов'!B464</f>
        <v>Перемычка дверная, 1-ый эт. Вариант 1</v>
      </c>
      <c r="C300" s="1153" t="str">
        <f aca="false">'Смета Расходов'!C464</f>
        <v>м.п.</v>
      </c>
      <c r="D300" s="1152" t="n">
        <f aca="false">'Смета Расходов'!D464</f>
        <v>0</v>
      </c>
      <c r="E300" s="1152" t="n">
        <f aca="false">'Смета Расходов'!F464</f>
        <v>1000</v>
      </c>
      <c r="F300" s="1152" t="n">
        <f aca="false">'Смета Расходов'!G464</f>
        <v>0</v>
      </c>
    </row>
    <row r="301" customFormat="false" ht="15" hidden="false" customHeight="false" outlineLevel="0" collapsed="false">
      <c r="A301" s="1139"/>
      <c r="B301" s="1152" t="str">
        <f aca="false">'Смета Расходов'!B465</f>
        <v>Перемычка дверная, 1-ый эт. Вариант 2</v>
      </c>
      <c r="C301" s="1153" t="str">
        <f aca="false">'Смета Расходов'!C465</f>
        <v>м.п.</v>
      </c>
      <c r="D301" s="1152" t="n">
        <f aca="false">'Смета Расходов'!D465</f>
        <v>1</v>
      </c>
      <c r="E301" s="1152" t="n">
        <f aca="false">'Смета Расходов'!F465</f>
        <v>1000</v>
      </c>
      <c r="F301" s="1152" t="n">
        <f aca="false">'Смета Расходов'!G465</f>
        <v>0</v>
      </c>
    </row>
    <row r="302" customFormat="false" ht="15" hidden="false" customHeight="false" outlineLevel="0" collapsed="false">
      <c r="A302" s="1139"/>
      <c r="B302" s="1152" t="str">
        <f aca="false">'Смета Расходов'!B466</f>
        <v>Перемычка дверная, 1-ый эт. Вариант 3</v>
      </c>
      <c r="C302" s="1153" t="str">
        <f aca="false">'Смета Расходов'!C466</f>
        <v>м.п.</v>
      </c>
      <c r="D302" s="1152" t="n">
        <f aca="false">'Смета Расходов'!D466</f>
        <v>0</v>
      </c>
      <c r="E302" s="1152" t="n">
        <f aca="false">'Смета Расходов'!F466</f>
        <v>1000</v>
      </c>
      <c r="F302" s="1152" t="n">
        <f aca="false">'Смета Расходов'!G466</f>
        <v>0</v>
      </c>
    </row>
    <row r="303" customFormat="false" ht="15" hidden="false" customHeight="false" outlineLevel="0" collapsed="false">
      <c r="A303" s="1139"/>
      <c r="B303" s="1152" t="str">
        <f aca="false">'Смета Расходов'!B467</f>
        <v>Сосна влаж,200*40мм</v>
      </c>
      <c r="C303" s="1153" t="str">
        <f aca="false">'Смета Расходов'!C467</f>
        <v>м3</v>
      </c>
      <c r="D303" s="1152" t="n">
        <f aca="false">'Смета Расходов'!D467</f>
        <v>1.8512</v>
      </c>
      <c r="E303" s="1152" t="n">
        <f aca="false">'Смета Расходов'!F467</f>
        <v>6500</v>
      </c>
      <c r="F303" s="1152" t="n">
        <f aca="false">'Смета Расходов'!G467</f>
        <v>0</v>
      </c>
    </row>
    <row r="304" customFormat="false" ht="15" hidden="false" customHeight="false" outlineLevel="0" collapsed="false">
      <c r="A304" s="1139"/>
      <c r="B304" s="1152" t="str">
        <f aca="false">'Смета Расходов'!B468</f>
        <v>Сейсмопояс Арматура М10 4 нити</v>
      </c>
      <c r="C304" s="1153" t="str">
        <f aca="false">'Смета Расходов'!C468</f>
        <v>м.п.</v>
      </c>
      <c r="D304" s="1152" t="n">
        <f aca="false">'Смета Расходов'!D468</f>
        <v>281.6</v>
      </c>
      <c r="E304" s="1152" t="n">
        <f aca="false">'Смета Расходов'!F468</f>
        <v>21.0397</v>
      </c>
      <c r="F304" s="1152" t="n">
        <f aca="false">'Смета Расходов'!G468</f>
        <v>0</v>
      </c>
    </row>
    <row r="305" customFormat="false" ht="15" hidden="false" customHeight="false" outlineLevel="0" collapsed="false">
      <c r="A305" s="1139"/>
      <c r="B305" s="1152" t="str">
        <f aca="false">'Смета Расходов'!B469</f>
        <v>Хомут для сейсмопояса Арматура М6, шаг 400мм</v>
      </c>
      <c r="C305" s="1153" t="str">
        <f aca="false">'Смета Расходов'!C469</f>
        <v>м.п.</v>
      </c>
      <c r="D305" s="1152" t="n">
        <f aca="false">'Смета Расходов'!D469</f>
        <v>144</v>
      </c>
      <c r="E305" s="1152" t="n">
        <f aca="false">'Смета Расходов'!F469</f>
        <v>0</v>
      </c>
      <c r="F305" s="1152" t="n">
        <f aca="false">'Смета Расходов'!G469</f>
        <v>0</v>
      </c>
    </row>
    <row r="306" customFormat="false" ht="15" hidden="false" customHeight="false" outlineLevel="0" collapsed="false">
      <c r="A306" s="1139"/>
      <c r="B306" s="1152" t="str">
        <f aca="false">'Смета Расходов'!B470</f>
        <v>Бетон, м300</v>
      </c>
      <c r="C306" s="1153" t="str">
        <f aca="false">'Смета Расходов'!C470</f>
        <v>м3</v>
      </c>
      <c r="D306" s="1152" t="n">
        <f aca="false">'Смета Расходов'!D470</f>
        <v>2.8833</v>
      </c>
      <c r="E306" s="1152" t="n">
        <f aca="false">'Смета Расходов'!F470</f>
        <v>3000</v>
      </c>
      <c r="F306" s="1152" t="n">
        <f aca="false">'Смета Расходов'!G470</f>
        <v>0</v>
      </c>
    </row>
    <row r="307" customFormat="false" ht="15" hidden="false" customHeight="false" outlineLevel="0" collapsed="false">
      <c r="A307" s="1139"/>
      <c r="B307" s="1152" t="str">
        <f aca="false">'Смета Расходов'!B471</f>
        <v>Нет</v>
      </c>
      <c r="C307" s="1153" t="str">
        <f aca="false">'Смета Расходов'!C471</f>
        <v>м3</v>
      </c>
      <c r="D307" s="1152" t="n">
        <f aca="false">'Смета Расходов'!D471</f>
        <v>0</v>
      </c>
      <c r="E307" s="1152" t="n">
        <f aca="false">'Смета Расходов'!F471</f>
        <v>0</v>
      </c>
      <c r="F307" s="1152" t="n">
        <f aca="false">'Смета Расходов'!G471</f>
        <v>0</v>
      </c>
    </row>
    <row r="308" customFormat="false" ht="15" hidden="false" customHeight="false" outlineLevel="0" collapsed="false">
      <c r="A308" s="1139"/>
      <c r="B308" s="1152" t="str">
        <f aca="false">'Смета Расходов'!B472</f>
        <v>Грибок для крепления утеплителя</v>
      </c>
      <c r="C308" s="1153" t="str">
        <f aca="false">'Смета Расходов'!C472</f>
        <v>шт</v>
      </c>
      <c r="D308" s="1152" t="n">
        <f aca="false">'Смета Расходов'!D472</f>
        <v>0</v>
      </c>
      <c r="E308" s="1152" t="n">
        <f aca="false">'Смета Расходов'!F472</f>
        <v>15</v>
      </c>
      <c r="F308" s="1152" t="n">
        <f aca="false">'Смета Расходов'!G472</f>
        <v>0</v>
      </c>
    </row>
    <row r="309" customFormat="false" ht="15" hidden="false" customHeight="false" outlineLevel="0" collapsed="false">
      <c r="A309" s="1139"/>
      <c r="B309" s="1152" t="str">
        <f aca="false">'Смета Расходов'!B473</f>
        <v>нет ветроизоляции</v>
      </c>
      <c r="C309" s="1153" t="str">
        <f aca="false">'Смета Расходов'!C473</f>
        <v>м2</v>
      </c>
      <c r="D309" s="1152" t="n">
        <f aca="false">'Смета Расходов'!D473</f>
        <v>0</v>
      </c>
      <c r="E309" s="1152" t="n">
        <f aca="false">'Смета Расходов'!F473</f>
        <v>0</v>
      </c>
      <c r="F309" s="1152" t="n">
        <f aca="false">'Смета Расходов'!G473</f>
        <v>0</v>
      </c>
    </row>
    <row r="310" customFormat="false" ht="15" hidden="false" customHeight="false" outlineLevel="0" collapsed="false">
      <c r="A310" s="1139"/>
      <c r="B310" s="1154" t="s">
        <v>2309</v>
      </c>
      <c r="C310" s="1154"/>
      <c r="D310" s="1154"/>
      <c r="E310" s="1154"/>
      <c r="F310" s="1152" t="n">
        <f aca="false">SUM(F266:F309)</f>
        <v>0</v>
      </c>
    </row>
    <row r="311" customFormat="false" ht="18.75" hidden="false" customHeight="false" outlineLevel="0" collapsed="false">
      <c r="A311" s="1139"/>
      <c r="B311" s="1150" t="str">
        <f aca="false">'Смета Расходов'!B488</f>
        <v>Кирпичный дом</v>
      </c>
      <c r="C311" s="1150"/>
      <c r="D311" s="1150"/>
      <c r="E311" s="1150"/>
      <c r="F311" s="1155" t="n">
        <f aca="false">'Смета Внутр'!H488</f>
        <v>1</v>
      </c>
    </row>
    <row r="312" customFormat="false" ht="15" hidden="false" customHeight="false" outlineLevel="0" collapsed="false">
      <c r="A312" s="1139"/>
      <c r="B312" s="1156" t="s">
        <v>2246</v>
      </c>
      <c r="C312" s="1156"/>
      <c r="D312" s="1156"/>
      <c r="E312" s="1156"/>
      <c r="F312" s="1155" t="n">
        <f aca="false">'Смета Внутр'!H489</f>
        <v>1</v>
      </c>
    </row>
    <row r="313" customFormat="false" ht="15" hidden="false" customHeight="false" outlineLevel="0" collapsed="false">
      <c r="A313" s="1139"/>
      <c r="B313" s="1152" t="str">
        <f aca="false">'Смета Расходов'!B490</f>
        <v>0,7НФ/150/75 Красный</v>
      </c>
      <c r="C313" s="1153" t="str">
        <f aca="false">'Смета Расходов'!C490</f>
        <v>м3</v>
      </c>
      <c r="D313" s="1152" t="n">
        <f aca="false">'Смета Расходов'!D490</f>
        <v>60.52816</v>
      </c>
      <c r="E313" s="1152" t="n">
        <f aca="false">'Смета Расходов'!F490</f>
        <v>8379.57</v>
      </c>
      <c r="F313" s="1152" t="n">
        <f aca="false">'Смета Расходов'!G490</f>
        <v>507199.9536912</v>
      </c>
    </row>
    <row r="314" customFormat="false" ht="15" hidden="false" customHeight="false" outlineLevel="0" collapsed="false">
      <c r="A314" s="1139"/>
      <c r="B314" s="1152" t="str">
        <f aca="false">'Смета Расходов'!B491</f>
        <v>0,7НФ/150/75 Красный</v>
      </c>
      <c r="C314" s="1153" t="str">
        <f aca="false">'Смета Расходов'!C491</f>
        <v>м3</v>
      </c>
      <c r="D314" s="1152" t="n">
        <f aca="false">'Смета Расходов'!D491</f>
        <v>17.24844</v>
      </c>
      <c r="E314" s="1152" t="n">
        <f aca="false">'Смета Расходов'!F491</f>
        <v>8379.57</v>
      </c>
      <c r="F314" s="1152" t="n">
        <f aca="false">'Смета Расходов'!G491</f>
        <v>144534.5103708</v>
      </c>
    </row>
    <row r="315" customFormat="false" ht="15" hidden="false" customHeight="false" outlineLevel="0" collapsed="false">
      <c r="A315" s="1139"/>
      <c r="B315" s="1152" t="str">
        <f aca="false">'Смета Расходов'!B492</f>
        <v>0,7НФ/150/75 Красный</v>
      </c>
      <c r="C315" s="1153" t="str">
        <f aca="false">'Смета Расходов'!C492</f>
        <v>м3</v>
      </c>
      <c r="D315" s="1152" t="n">
        <f aca="false">'Смета Расходов'!D492</f>
        <v>3.84384</v>
      </c>
      <c r="E315" s="1152" t="n">
        <f aca="false">'Смета Расходов'!F492</f>
        <v>8379.57</v>
      </c>
      <c r="F315" s="1152" t="n">
        <f aca="false">'Смета Расходов'!G492</f>
        <v>32209.7263488</v>
      </c>
    </row>
    <row r="316" customFormat="false" ht="15" hidden="false" customHeight="false" outlineLevel="0" collapsed="false">
      <c r="A316" s="1139"/>
      <c r="B316" s="1152" t="str">
        <f aca="false">'Смета Расходов'!B493</f>
        <v>Перемычка оконная, 1-ый эт. Вариант 1</v>
      </c>
      <c r="C316" s="1153" t="str">
        <f aca="false">'Смета Расходов'!C493</f>
        <v>м.п.</v>
      </c>
      <c r="D316" s="1152" t="n">
        <f aca="false">'Смета Расходов'!D493</f>
        <v>1</v>
      </c>
      <c r="E316" s="1152" t="n">
        <f aca="false">'Смета Расходов'!F493</f>
        <v>1000</v>
      </c>
      <c r="F316" s="1152" t="n">
        <f aca="false">'Смета Расходов'!G493</f>
        <v>1000</v>
      </c>
    </row>
    <row r="317" customFormat="false" ht="15" hidden="false" customHeight="false" outlineLevel="0" collapsed="false">
      <c r="A317" s="1139"/>
      <c r="B317" s="1152" t="str">
        <f aca="false">'Смета Расходов'!B494</f>
        <v>Перемычка оконная, 1-ый эт. Вариант 2</v>
      </c>
      <c r="C317" s="1153" t="str">
        <f aca="false">'Смета Расходов'!C494</f>
        <v>м.п.</v>
      </c>
      <c r="D317" s="1152" t="n">
        <f aca="false">'Смета Расходов'!D494</f>
        <v>0</v>
      </c>
      <c r="E317" s="1152" t="n">
        <f aca="false">'Смета Расходов'!F494</f>
        <v>1000</v>
      </c>
      <c r="F317" s="1152" t="n">
        <f aca="false">'Смета Расходов'!G494</f>
        <v>0</v>
      </c>
    </row>
    <row r="318" customFormat="false" ht="15" hidden="false" customHeight="false" outlineLevel="0" collapsed="false">
      <c r="A318" s="1139"/>
      <c r="B318" s="1152" t="str">
        <f aca="false">'Смета Расходов'!B495</f>
        <v>Перемычка оконная, 1-ый эт. Вариант 3</v>
      </c>
      <c r="C318" s="1153" t="str">
        <f aca="false">'Смета Расходов'!C495</f>
        <v>м.п.</v>
      </c>
      <c r="D318" s="1152" t="n">
        <f aca="false">'Смета Расходов'!D495</f>
        <v>0</v>
      </c>
      <c r="E318" s="1152" t="n">
        <f aca="false">'Смета Расходов'!F495</f>
        <v>1000</v>
      </c>
      <c r="F318" s="1152" t="n">
        <f aca="false">'Смета Расходов'!G495</f>
        <v>0</v>
      </c>
    </row>
    <row r="319" customFormat="false" ht="15" hidden="false" customHeight="false" outlineLevel="0" collapsed="false">
      <c r="A319" s="1139"/>
      <c r="B319" s="1152" t="str">
        <f aca="false">'Смета Расходов'!B496</f>
        <v>Перемычка оконная, 1-ый эт. Вариант 4</v>
      </c>
      <c r="C319" s="1153" t="str">
        <f aca="false">'Смета Расходов'!C496</f>
        <v>м.п.</v>
      </c>
      <c r="D319" s="1152" t="n">
        <f aca="false">'Смета Расходов'!D496</f>
        <v>0</v>
      </c>
      <c r="E319" s="1152" t="n">
        <f aca="false">'Смета Расходов'!F496</f>
        <v>1000</v>
      </c>
      <c r="F319" s="1152" t="n">
        <f aca="false">'Смета Расходов'!G496</f>
        <v>0</v>
      </c>
    </row>
    <row r="320" customFormat="false" ht="15" hidden="false" customHeight="false" outlineLevel="0" collapsed="false">
      <c r="A320" s="1139"/>
      <c r="B320" s="1152" t="str">
        <f aca="false">'Смета Расходов'!B497</f>
        <v>Перемычка оконная, 1-ый эт. Вариант 5</v>
      </c>
      <c r="C320" s="1153" t="str">
        <f aca="false">'Смета Расходов'!C497</f>
        <v>м.п.</v>
      </c>
      <c r="D320" s="1152" t="n">
        <f aca="false">'Смета Расходов'!D497</f>
        <v>0</v>
      </c>
      <c r="E320" s="1152" t="n">
        <f aca="false">'Смета Расходов'!F497</f>
        <v>1000</v>
      </c>
      <c r="F320" s="1152" t="n">
        <f aca="false">'Смета Расходов'!G497</f>
        <v>0</v>
      </c>
    </row>
    <row r="321" customFormat="false" ht="15" hidden="false" customHeight="false" outlineLevel="0" collapsed="false">
      <c r="A321" s="1139"/>
      <c r="B321" s="1152" t="str">
        <f aca="false">'Смета Расходов'!B498</f>
        <v>Перемычка оконная, 2-ый эт. Вариант 6</v>
      </c>
      <c r="C321" s="1153" t="str">
        <f aca="false">'Смета Расходов'!C498</f>
        <v>м.п.</v>
      </c>
      <c r="D321" s="1152" t="n">
        <f aca="false">'Смета Расходов'!D498</f>
        <v>0</v>
      </c>
      <c r="E321" s="1152" t="n">
        <f aca="false">'Смета Расходов'!F498</f>
        <v>1000</v>
      </c>
      <c r="F321" s="1152" t="n">
        <f aca="false">'Смета Расходов'!G498</f>
        <v>0</v>
      </c>
    </row>
    <row r="322" customFormat="false" ht="15" hidden="false" customHeight="false" outlineLevel="0" collapsed="false">
      <c r="A322" s="1139"/>
      <c r="B322" s="1152" t="str">
        <f aca="false">'Смета Расходов'!B499</f>
        <v>Перемычка оконная, 2-ый эт. Вариант 7</v>
      </c>
      <c r="C322" s="1153" t="str">
        <f aca="false">'Смета Расходов'!C499</f>
        <v>м.п.</v>
      </c>
      <c r="D322" s="1152" t="n">
        <f aca="false">'Смета Расходов'!D499</f>
        <v>0</v>
      </c>
      <c r="E322" s="1152" t="n">
        <f aca="false">'Смета Расходов'!F499</f>
        <v>1000</v>
      </c>
      <c r="F322" s="1152" t="n">
        <f aca="false">'Смета Расходов'!G499</f>
        <v>0</v>
      </c>
    </row>
    <row r="323" customFormat="false" ht="15" hidden="false" customHeight="false" outlineLevel="0" collapsed="false">
      <c r="A323" s="1139"/>
      <c r="B323" s="1152" t="str">
        <f aca="false">'Смета Расходов'!B500</f>
        <v>Перемычка оконная, 2-ый эт. Вариант 8</v>
      </c>
      <c r="C323" s="1153" t="str">
        <f aca="false">'Смета Расходов'!C500</f>
        <v>м.п.</v>
      </c>
      <c r="D323" s="1152" t="n">
        <f aca="false">'Смета Расходов'!D500</f>
        <v>0</v>
      </c>
      <c r="E323" s="1152" t="n">
        <f aca="false">'Смета Расходов'!F500</f>
        <v>1000</v>
      </c>
      <c r="F323" s="1152" t="n">
        <f aca="false">'Смета Расходов'!G500</f>
        <v>0</v>
      </c>
    </row>
    <row r="324" customFormat="false" ht="15" hidden="false" customHeight="false" outlineLevel="0" collapsed="false">
      <c r="A324" s="1139"/>
      <c r="B324" s="1152" t="str">
        <f aca="false">'Смета Расходов'!B501</f>
        <v>Перемычка оконная, 2-ый эт. Вариант 9</v>
      </c>
      <c r="C324" s="1153" t="str">
        <f aca="false">'Смета Расходов'!C501</f>
        <v>м.п.</v>
      </c>
      <c r="D324" s="1152" t="n">
        <f aca="false">'Смета Расходов'!D501</f>
        <v>0</v>
      </c>
      <c r="E324" s="1152" t="n">
        <f aca="false">'Смета Расходов'!F501</f>
        <v>1000</v>
      </c>
      <c r="F324" s="1152" t="n">
        <f aca="false">'Смета Расходов'!G501</f>
        <v>0</v>
      </c>
    </row>
    <row r="325" customFormat="false" ht="15" hidden="false" customHeight="false" outlineLevel="0" collapsed="false">
      <c r="A325" s="1139"/>
      <c r="B325" s="1152" t="str">
        <f aca="false">'Смета Расходов'!B502</f>
        <v>Перемычка оконная, 2-ый эт. Вариант 10</v>
      </c>
      <c r="C325" s="1153" t="str">
        <f aca="false">'Смета Расходов'!C502</f>
        <v>м.п.</v>
      </c>
      <c r="D325" s="1152" t="n">
        <f aca="false">'Смета Расходов'!D502</f>
        <v>0</v>
      </c>
      <c r="E325" s="1152" t="n">
        <f aca="false">'Смета Расходов'!F502</f>
        <v>1000</v>
      </c>
      <c r="F325" s="1152" t="n">
        <f aca="false">'Смета Расходов'!G502</f>
        <v>0</v>
      </c>
    </row>
    <row r="326" customFormat="false" ht="15" hidden="false" customHeight="false" outlineLevel="0" collapsed="false">
      <c r="A326" s="1139"/>
      <c r="B326" s="1152" t="str">
        <f aca="false">'Смета Расходов'!B503</f>
        <v>Перемычка дверная, 1-ый эт. Вариант 1</v>
      </c>
      <c r="C326" s="1153" t="str">
        <f aca="false">'Смета Расходов'!C503</f>
        <v>м.п.</v>
      </c>
      <c r="D326" s="1152" t="n">
        <f aca="false">'Смета Расходов'!D503</f>
        <v>0</v>
      </c>
      <c r="E326" s="1152" t="n">
        <f aca="false">'Смета Расходов'!F503</f>
        <v>1000</v>
      </c>
      <c r="F326" s="1152" t="n">
        <f aca="false">'Смета Расходов'!G503</f>
        <v>0</v>
      </c>
    </row>
    <row r="327" customFormat="false" ht="15" hidden="false" customHeight="false" outlineLevel="0" collapsed="false">
      <c r="A327" s="1139"/>
      <c r="B327" s="1152" t="str">
        <f aca="false">'Смета Расходов'!B504</f>
        <v>Перемычка дверная, 2-ый эт. Вариант 2</v>
      </c>
      <c r="C327" s="1153" t="str">
        <f aca="false">'Смета Расходов'!C504</f>
        <v>м.п.</v>
      </c>
      <c r="D327" s="1152" t="n">
        <f aca="false">'Смета Расходов'!D504</f>
        <v>0</v>
      </c>
      <c r="E327" s="1152" t="n">
        <f aca="false">'Смета Расходов'!F504</f>
        <v>1000</v>
      </c>
      <c r="F327" s="1152" t="n">
        <f aca="false">'Смета Расходов'!G504</f>
        <v>0</v>
      </c>
    </row>
    <row r="328" customFormat="false" ht="15" hidden="false" customHeight="false" outlineLevel="0" collapsed="false">
      <c r="A328" s="1139"/>
      <c r="B328" s="1152" t="str">
        <f aca="false">'Смета Расходов'!B505</f>
        <v>Перемычка оконная 1-ый эт, Вариант 11</v>
      </c>
      <c r="C328" s="1153" t="str">
        <f aca="false">'Смета Расходов'!C505</f>
        <v>м.п.</v>
      </c>
      <c r="D328" s="1152" t="n">
        <f aca="false">'Смета Расходов'!D505</f>
        <v>0</v>
      </c>
      <c r="E328" s="1152" t="n">
        <f aca="false">'Смета Расходов'!F505</f>
        <v>1000</v>
      </c>
      <c r="F328" s="1152" t="n">
        <f aca="false">'Смета Расходов'!G505</f>
        <v>0</v>
      </c>
    </row>
    <row r="329" customFormat="false" ht="15" hidden="false" customHeight="false" outlineLevel="0" collapsed="false">
      <c r="A329" s="1139"/>
      <c r="B329" s="1152" t="str">
        <f aca="false">'Смета Расходов'!B506</f>
        <v>Перемычка оконная 1-ый эт, Вариант 12</v>
      </c>
      <c r="C329" s="1153" t="str">
        <f aca="false">'Смета Расходов'!C506</f>
        <v>м.п.</v>
      </c>
      <c r="D329" s="1152" t="n">
        <f aca="false">'Смета Расходов'!D506</f>
        <v>0</v>
      </c>
      <c r="E329" s="1152" t="n">
        <f aca="false">'Смета Расходов'!F506</f>
        <v>1000</v>
      </c>
      <c r="F329" s="1152" t="n">
        <f aca="false">'Смета Расходов'!G506</f>
        <v>0</v>
      </c>
    </row>
    <row r="330" customFormat="false" ht="15" hidden="false" customHeight="false" outlineLevel="0" collapsed="false">
      <c r="A330" s="1139"/>
      <c r="B330" s="1152" t="str">
        <f aca="false">'Смета Расходов'!B507</f>
        <v>Перемычка дверная, 1-ый эт. Вариант 4</v>
      </c>
      <c r="C330" s="1153" t="str">
        <f aca="false">'Смета Расходов'!C507</f>
        <v>м.п.</v>
      </c>
      <c r="D330" s="1152" t="n">
        <f aca="false">'Смета Расходов'!D507</f>
        <v>3</v>
      </c>
      <c r="E330" s="1152" t="n">
        <f aca="false">'Смета Расходов'!F507</f>
        <v>1000</v>
      </c>
      <c r="F330" s="1152" t="n">
        <f aca="false">'Смета Расходов'!G507</f>
        <v>3000</v>
      </c>
    </row>
    <row r="331" customFormat="false" ht="15" hidden="false" customHeight="false" outlineLevel="0" collapsed="false">
      <c r="A331" s="1139"/>
      <c r="B331" s="1152" t="str">
        <f aca="false">'Смета Расходов'!B508</f>
        <v>Перемычка дверная, 1-ый эт. Вариант 5</v>
      </c>
      <c r="C331" s="1153" t="str">
        <f aca="false">'Смета Расходов'!C508</f>
        <v>м.п.</v>
      </c>
      <c r="D331" s="1152" t="n">
        <f aca="false">'Смета Расходов'!D508</f>
        <v>0</v>
      </c>
      <c r="E331" s="1152" t="n">
        <f aca="false">'Смета Расходов'!F508</f>
        <v>1000</v>
      </c>
      <c r="F331" s="1152" t="n">
        <f aca="false">'Смета Расходов'!G508</f>
        <v>0</v>
      </c>
    </row>
    <row r="332" customFormat="false" ht="15" hidden="false" customHeight="false" outlineLevel="0" collapsed="false">
      <c r="A332" s="1139"/>
      <c r="B332" s="1152" t="str">
        <f aca="false">'Смета Расходов'!B509</f>
        <v>Перемычка дверная, 1-ый эт. Вариант 6</v>
      </c>
      <c r="C332" s="1153" t="str">
        <f aca="false">'Смета Расходов'!C509</f>
        <v>м.п.</v>
      </c>
      <c r="D332" s="1152" t="n">
        <f aca="false">'Смета Расходов'!D509</f>
        <v>0</v>
      </c>
      <c r="E332" s="1152" t="n">
        <f aca="false">'Смета Расходов'!F509</f>
        <v>1000</v>
      </c>
      <c r="F332" s="1152" t="n">
        <f aca="false">'Смета Расходов'!G509</f>
        <v>0</v>
      </c>
    </row>
    <row r="333" customFormat="false" ht="15" hidden="false" customHeight="false" outlineLevel="0" collapsed="false">
      <c r="A333" s="1139"/>
      <c r="B333" s="1152" t="str">
        <f aca="false">'Смета Расходов'!B510</f>
        <v>Перемычка дверная, 2-ый эт. Вариант 7</v>
      </c>
      <c r="C333" s="1153" t="str">
        <f aca="false">'Смета Расходов'!C510</f>
        <v>м.п.</v>
      </c>
      <c r="D333" s="1152" t="n">
        <f aca="false">'Смета Расходов'!D510</f>
        <v>0</v>
      </c>
      <c r="E333" s="1152" t="n">
        <f aca="false">'Смета Расходов'!F510</f>
        <v>1000</v>
      </c>
      <c r="F333" s="1152" t="n">
        <f aca="false">'Смета Расходов'!G510</f>
        <v>0</v>
      </c>
    </row>
    <row r="334" customFormat="false" ht="15" hidden="false" customHeight="false" outlineLevel="0" collapsed="false">
      <c r="A334" s="1139"/>
      <c r="B334" s="1152" t="str">
        <f aca="false">'Смета Расходов'!B511</f>
        <v>Перемычка дверная, 2-ый эт. Вариант 8</v>
      </c>
      <c r="C334" s="1153" t="str">
        <f aca="false">'Смета Расходов'!C511</f>
        <v>м.п.</v>
      </c>
      <c r="D334" s="1152" t="n">
        <f aca="false">'Смета Расходов'!D511</f>
        <v>0</v>
      </c>
      <c r="E334" s="1152" t="n">
        <f aca="false">'Смета Расходов'!F511</f>
        <v>1000</v>
      </c>
      <c r="F334" s="1152" t="n">
        <f aca="false">'Смета Расходов'!G511</f>
        <v>0</v>
      </c>
    </row>
    <row r="335" customFormat="false" ht="15" hidden="false" customHeight="false" outlineLevel="0" collapsed="false">
      <c r="A335" s="1139"/>
      <c r="B335" s="1152" t="str">
        <f aca="false">'Смета Расходов'!B512</f>
        <v>Перемычка дверная, 2-ый эт. Вариант 9</v>
      </c>
      <c r="C335" s="1153" t="str">
        <f aca="false">'Смета Расходов'!C512</f>
        <v>м.п.</v>
      </c>
      <c r="D335" s="1152" t="n">
        <f aca="false">'Смета Расходов'!D512</f>
        <v>0</v>
      </c>
      <c r="E335" s="1152" t="n">
        <f aca="false">'Смета Расходов'!F512</f>
        <v>1000</v>
      </c>
      <c r="F335" s="1152" t="n">
        <f aca="false">'Смета Расходов'!G512</f>
        <v>0</v>
      </c>
    </row>
    <row r="336" customFormat="false" ht="15" hidden="false" customHeight="false" outlineLevel="0" collapsed="false">
      <c r="A336" s="1139"/>
      <c r="B336" s="1152" t="str">
        <f aca="false">'Смета Расходов'!B513</f>
        <v>Перемычка проема, 1-ый эт. Вариант 10</v>
      </c>
      <c r="C336" s="1153" t="str">
        <f aca="false">'Смета Расходов'!C513</f>
        <v>м.п.</v>
      </c>
      <c r="D336" s="1152" t="n">
        <f aca="false">'Смета Расходов'!D513</f>
        <v>0</v>
      </c>
      <c r="E336" s="1152" t="n">
        <f aca="false">'Смета Расходов'!F513</f>
        <v>1000</v>
      </c>
      <c r="F336" s="1152" t="n">
        <f aca="false">'Смета Расходов'!G513</f>
        <v>0</v>
      </c>
    </row>
    <row r="337" customFormat="false" ht="15" hidden="false" customHeight="false" outlineLevel="0" collapsed="false">
      <c r="A337" s="1139"/>
      <c r="B337" s="1152" t="str">
        <f aca="false">'Смета Расходов'!B514</f>
        <v>Перемычка проема, 1-ый эт. Вариант 11</v>
      </c>
      <c r="C337" s="1153" t="str">
        <f aca="false">'Смета Расходов'!C514</f>
        <v>м.п.</v>
      </c>
      <c r="D337" s="1152" t="n">
        <f aca="false">'Смета Расходов'!D514</f>
        <v>0</v>
      </c>
      <c r="E337" s="1152" t="n">
        <f aca="false">'Смета Расходов'!F514</f>
        <v>1000</v>
      </c>
      <c r="F337" s="1152" t="n">
        <f aca="false">'Смета Расходов'!G514</f>
        <v>0</v>
      </c>
    </row>
    <row r="338" customFormat="false" ht="15" hidden="false" customHeight="false" outlineLevel="0" collapsed="false">
      <c r="A338" s="1139"/>
      <c r="B338" s="1152" t="str">
        <f aca="false">'Смета Расходов'!B515</f>
        <v>Перемычка проема, 2-ый эт. Вариант 12</v>
      </c>
      <c r="C338" s="1153" t="str">
        <f aca="false">'Смета Расходов'!C515</f>
        <v>м.п.</v>
      </c>
      <c r="D338" s="1152" t="n">
        <f aca="false">'Смета Расходов'!D515</f>
        <v>0</v>
      </c>
      <c r="E338" s="1152" t="n">
        <f aca="false">'Смета Расходов'!F515</f>
        <v>1000</v>
      </c>
      <c r="F338" s="1152" t="n">
        <f aca="false">'Смета Расходов'!G515</f>
        <v>0</v>
      </c>
    </row>
    <row r="339" customFormat="false" ht="15" hidden="false" customHeight="false" outlineLevel="0" collapsed="false">
      <c r="A339" s="1139"/>
      <c r="B339" s="1152" t="str">
        <f aca="false">'Смета Расходов'!B516</f>
        <v>Перемычка проема, 2-ый эт. Вариант 13</v>
      </c>
      <c r="C339" s="1153" t="str">
        <f aca="false">'Смета Расходов'!C516</f>
        <v>м.п.</v>
      </c>
      <c r="D339" s="1152" t="n">
        <f aca="false">'Смета Расходов'!D516</f>
        <v>0</v>
      </c>
      <c r="E339" s="1152" t="n">
        <f aca="false">'Смета Расходов'!F516</f>
        <v>1000</v>
      </c>
      <c r="F339" s="1152" t="n">
        <f aca="false">'Смета Расходов'!G516</f>
        <v>0</v>
      </c>
    </row>
    <row r="340" customFormat="false" ht="15" hidden="false" customHeight="false" outlineLevel="0" collapsed="false">
      <c r="A340" s="1139"/>
      <c r="B340" s="1152" t="str">
        <f aca="false">'Смета Расходов'!B517</f>
        <v>Перемычка дверная, 1-ый эт. Вариант 1</v>
      </c>
      <c r="C340" s="1153" t="str">
        <f aca="false">'Смета Расходов'!C517</f>
        <v>м.п.</v>
      </c>
      <c r="D340" s="1152" t="n">
        <f aca="false">'Смета Расходов'!D517</f>
        <v>0</v>
      </c>
      <c r="E340" s="1152" t="n">
        <f aca="false">'Смета Расходов'!F517</f>
        <v>1000</v>
      </c>
      <c r="F340" s="1152" t="n">
        <f aca="false">'Смета Расходов'!G517</f>
        <v>0</v>
      </c>
    </row>
    <row r="341" customFormat="false" ht="15" hidden="false" customHeight="false" outlineLevel="0" collapsed="false">
      <c r="A341" s="1139"/>
      <c r="B341" s="1152" t="str">
        <f aca="false">'Смета Расходов'!B518</f>
        <v>Перемычка дверная, 1-ый эт. Вариант 2</v>
      </c>
      <c r="C341" s="1153" t="str">
        <f aca="false">'Смета Расходов'!C518</f>
        <v>м.п.</v>
      </c>
      <c r="D341" s="1152" t="n">
        <f aca="false">'Смета Расходов'!D518</f>
        <v>1</v>
      </c>
      <c r="E341" s="1152" t="n">
        <f aca="false">'Смета Расходов'!F518</f>
        <v>1000</v>
      </c>
      <c r="F341" s="1152" t="n">
        <f aca="false">'Смета Расходов'!G518</f>
        <v>1000</v>
      </c>
    </row>
    <row r="342" customFormat="false" ht="15" hidden="false" customHeight="false" outlineLevel="0" collapsed="false">
      <c r="A342" s="1139"/>
      <c r="B342" s="1152" t="str">
        <f aca="false">'Смета Расходов'!B519</f>
        <v>Перемычка дверная, 1-ый эт. Вариант 3</v>
      </c>
      <c r="C342" s="1153" t="str">
        <f aca="false">'Смета Расходов'!C519</f>
        <v>м.п.</v>
      </c>
      <c r="D342" s="1152" t="n">
        <f aca="false">'Смета Расходов'!D519</f>
        <v>0</v>
      </c>
      <c r="E342" s="1152" t="n">
        <f aca="false">'Смета Расходов'!F519</f>
        <v>1000</v>
      </c>
      <c r="F342" s="1152" t="n">
        <f aca="false">'Смета Расходов'!G519</f>
        <v>0</v>
      </c>
    </row>
    <row r="343" customFormat="false" ht="15" hidden="false" customHeight="false" outlineLevel="0" collapsed="false">
      <c r="A343" s="1139"/>
      <c r="B343" s="1152" t="str">
        <f aca="false">'Смета Расходов'!B520</f>
        <v>Сосна влаж,200*40мм</v>
      </c>
      <c r="C343" s="1153" t="str">
        <f aca="false">'Смета Расходов'!C520</f>
        <v>м3</v>
      </c>
      <c r="D343" s="1152" t="n">
        <f aca="false">'Смета Расходов'!D520</f>
        <v>1.8512</v>
      </c>
      <c r="E343" s="1152" t="n">
        <f aca="false">'Смета Расходов'!F520</f>
        <v>6500</v>
      </c>
      <c r="F343" s="1152" t="n">
        <f aca="false">'Смета Расходов'!G520</f>
        <v>12032.8</v>
      </c>
    </row>
    <row r="344" customFormat="false" ht="15" hidden="false" customHeight="false" outlineLevel="0" collapsed="false">
      <c r="A344" s="1139"/>
      <c r="B344" s="1152" t="str">
        <f aca="false">'Смета Расходов'!B521</f>
        <v>Сейсмопояс Арматура М10 4 нити</v>
      </c>
      <c r="C344" s="1153" t="str">
        <f aca="false">'Смета Расходов'!C521</f>
        <v>м.п.</v>
      </c>
      <c r="D344" s="1152" t="n">
        <f aca="false">'Смета Расходов'!D521</f>
        <v>281.6</v>
      </c>
      <c r="E344" s="1152" t="n">
        <f aca="false">'Смета Расходов'!F521</f>
        <v>21.0397</v>
      </c>
      <c r="F344" s="1152" t="n">
        <f aca="false">'Смета Расходов'!G521</f>
        <v>5924.77952</v>
      </c>
    </row>
    <row r="345" customFormat="false" ht="15" hidden="false" customHeight="false" outlineLevel="0" collapsed="false">
      <c r="A345" s="1139"/>
      <c r="B345" s="1152" t="str">
        <f aca="false">'Смета Расходов'!B522</f>
        <v>Хомут для сейсмопояса Арматура М6, шаг 400мм</v>
      </c>
      <c r="C345" s="1153" t="str">
        <f aca="false">'Смета Расходов'!C522</f>
        <v>м.п.</v>
      </c>
      <c r="D345" s="1152" t="n">
        <f aca="false">'Смета Расходов'!D522</f>
        <v>144</v>
      </c>
      <c r="E345" s="1152" t="n">
        <f aca="false">'Смета Расходов'!F522</f>
        <v>0</v>
      </c>
      <c r="F345" s="1152" t="n">
        <f aca="false">'Смета Расходов'!G522</f>
        <v>0</v>
      </c>
    </row>
    <row r="346" customFormat="false" ht="15" hidden="false" customHeight="false" outlineLevel="0" collapsed="false">
      <c r="A346" s="1139"/>
      <c r="B346" s="1152" t="str">
        <f aca="false">'Смета Расходов'!B523</f>
        <v>Бетон, м300</v>
      </c>
      <c r="C346" s="1153" t="str">
        <f aca="false">'Смета Расходов'!C523</f>
        <v>м3</v>
      </c>
      <c r="D346" s="1152" t="n">
        <f aca="false">'Смета Расходов'!D523</f>
        <v>2.8833</v>
      </c>
      <c r="E346" s="1152" t="n">
        <f aca="false">'Смета Расходов'!F523</f>
        <v>3000</v>
      </c>
      <c r="F346" s="1152" t="n">
        <f aca="false">'Смета Расходов'!G523</f>
        <v>8649.9</v>
      </c>
    </row>
    <row r="347" customFormat="false" ht="15" hidden="false" customHeight="false" outlineLevel="0" collapsed="false">
      <c r="A347" s="1139"/>
      <c r="B347" s="1152" t="str">
        <f aca="false">'Смета Расходов'!B524</f>
        <v>Нет</v>
      </c>
      <c r="C347" s="1153" t="str">
        <f aca="false">'Смета Расходов'!C524</f>
        <v>м3</v>
      </c>
      <c r="D347" s="1152" t="n">
        <f aca="false">'Смета Расходов'!D524</f>
        <v>0</v>
      </c>
      <c r="E347" s="1152" t="n">
        <f aca="false">'Смета Расходов'!F524</f>
        <v>0</v>
      </c>
      <c r="F347" s="1152" t="n">
        <f aca="false">'Смета Расходов'!G524</f>
        <v>0</v>
      </c>
    </row>
    <row r="348" customFormat="false" ht="15" hidden="false" customHeight="false" outlineLevel="0" collapsed="false">
      <c r="A348" s="1139"/>
      <c r="B348" s="1152" t="str">
        <f aca="false">'Смета Расходов'!B525</f>
        <v>Грибок для крепления утеплителя</v>
      </c>
      <c r="C348" s="1153" t="str">
        <f aca="false">'Смета Расходов'!C525</f>
        <v>шт</v>
      </c>
      <c r="D348" s="1152" t="n">
        <f aca="false">'Смета Расходов'!D525</f>
        <v>0</v>
      </c>
      <c r="E348" s="1152" t="n">
        <f aca="false">'Смета Расходов'!F525</f>
        <v>15</v>
      </c>
      <c r="F348" s="1152" t="n">
        <f aca="false">'Смета Расходов'!G525</f>
        <v>0</v>
      </c>
    </row>
    <row r="349" customFormat="false" ht="15" hidden="false" customHeight="false" outlineLevel="0" collapsed="false">
      <c r="A349" s="1139"/>
      <c r="B349" s="1152" t="str">
        <f aca="false">'Смета Расходов'!B526</f>
        <v>нет ветроизоляции</v>
      </c>
      <c r="C349" s="1153" t="str">
        <f aca="false">'Смета Расходов'!C526</f>
        <v>м2</v>
      </c>
      <c r="D349" s="1152" t="n">
        <f aca="false">'Смета Расходов'!D526</f>
        <v>0</v>
      </c>
      <c r="E349" s="1152" t="n">
        <f aca="false">'Смета Расходов'!F526</f>
        <v>0</v>
      </c>
      <c r="F349" s="1152" t="n">
        <f aca="false">'Смета Расходов'!G526</f>
        <v>0</v>
      </c>
    </row>
    <row r="350" customFormat="false" ht="15" hidden="false" customHeight="false" outlineLevel="0" collapsed="false">
      <c r="A350" s="1139"/>
      <c r="B350" s="1152" t="str">
        <f aca="false">'Смета Расходов'!B527</f>
        <v>Кладочная сетка, 100*100/150*150/200*200мм</v>
      </c>
      <c r="C350" s="1153" t="str">
        <f aca="false">'Смета Расходов'!C527</f>
        <v>м2</v>
      </c>
      <c r="D350" s="1152" t="n">
        <f aca="false">'Смета Расходов'!D527</f>
        <v>175.362</v>
      </c>
      <c r="E350" s="1152" t="n">
        <f aca="false">'Смета Расходов'!F527</f>
        <v>70</v>
      </c>
      <c r="F350" s="1152" t="n">
        <f aca="false">'Смета Расходов'!G527</f>
        <v>12275.34</v>
      </c>
    </row>
    <row r="351" customFormat="false" ht="15" hidden="false" customHeight="false" outlineLevel="0" collapsed="false">
      <c r="A351" s="1139"/>
      <c r="B351" s="1152" t="str">
        <f aca="false">'Смета Расходов'!B528</f>
        <v>Песок, машина 13м3</v>
      </c>
      <c r="C351" s="1153" t="str">
        <f aca="false">'Смета Расходов'!C528</f>
        <v>шт</v>
      </c>
      <c r="D351" s="1152" t="n">
        <f aca="false">'Смета Расходов'!D528</f>
        <v>1.57119347</v>
      </c>
      <c r="E351" s="1152" t="n">
        <f aca="false">'Смета Расходов'!F528</f>
        <v>12000</v>
      </c>
      <c r="F351" s="1152" t="n">
        <f aca="false">'Смета Расходов'!G528</f>
        <v>18854.32164</v>
      </c>
    </row>
    <row r="352" customFormat="false" ht="15" hidden="false" customHeight="false" outlineLevel="0" collapsed="false">
      <c r="A352" s="1139"/>
      <c r="B352" s="1152" t="str">
        <f aca="false">'Смета Расходов'!B529</f>
        <v>Цемент, мешок, 50кг</v>
      </c>
      <c r="C352" s="1153" t="str">
        <f aca="false">'Смета Расходов'!C529</f>
        <v>меш</v>
      </c>
      <c r="D352" s="1152" t="n">
        <f aca="false">'Смета Расходов'!D529</f>
        <v>48.48254136</v>
      </c>
      <c r="E352" s="1152" t="n">
        <f aca="false">'Смета Расходов'!F529</f>
        <v>250</v>
      </c>
      <c r="F352" s="1152" t="n">
        <f aca="false">'Смета Расходов'!G529</f>
        <v>12120.63534</v>
      </c>
    </row>
    <row r="353" customFormat="false" ht="15" hidden="false" customHeight="false" outlineLevel="0" collapsed="false">
      <c r="A353" s="1139"/>
      <c r="B353" s="1154" t="s">
        <v>2309</v>
      </c>
      <c r="C353" s="1154"/>
      <c r="D353" s="1154"/>
      <c r="E353" s="1154"/>
      <c r="F353" s="1152" t="n">
        <f aca="false">SUM(F313:F352)</f>
        <v>758801.9669108</v>
      </c>
    </row>
    <row r="354" customFormat="false" ht="18.75" hidden="false" customHeight="false" outlineLevel="0" collapsed="false">
      <c r="A354" s="1139"/>
      <c r="B354" s="1150" t="str">
        <f aca="false">'Смета Расходов'!B540</f>
        <v>Брусовой дом</v>
      </c>
      <c r="C354" s="1150"/>
      <c r="D354" s="1150"/>
      <c r="E354" s="1150"/>
      <c r="F354" s="1155" t="n">
        <f aca="false">'Смета Внутр'!H540</f>
        <v>0</v>
      </c>
    </row>
    <row r="355" customFormat="false" ht="15" hidden="false" customHeight="false" outlineLevel="0" collapsed="false">
      <c r="A355" s="1139"/>
      <c r="B355" s="1156" t="s">
        <v>2246</v>
      </c>
      <c r="C355" s="1156"/>
      <c r="D355" s="1156"/>
      <c r="E355" s="1156"/>
      <c r="F355" s="1155" t="n">
        <f aca="false">'Смета Внутр'!H541</f>
        <v>0</v>
      </c>
    </row>
    <row r="356" customFormat="false" ht="15" hidden="false" customHeight="false" outlineLevel="0" collapsed="false">
      <c r="A356" s="1139"/>
      <c r="B356" s="1152" t="str">
        <f aca="false">'Смета Расходов'!B542</f>
        <v>Листв. влаж, 200*200мм</v>
      </c>
      <c r="C356" s="1153" t="str">
        <f aca="false">'Смета Расходов'!C542</f>
        <v>м3</v>
      </c>
      <c r="D356" s="1152" t="n">
        <f aca="false">'Смета Расходов'!D542</f>
        <v>4.012</v>
      </c>
      <c r="E356" s="1152" t="n">
        <f aca="false">'Смета Расходов'!F542</f>
        <v>9000</v>
      </c>
      <c r="F356" s="1152" t="n">
        <f aca="false">'Смета Расходов'!G542</f>
        <v>0</v>
      </c>
    </row>
    <row r="357" customFormat="false" ht="15" hidden="false" customHeight="false" outlineLevel="0" collapsed="false">
      <c r="A357" s="1139"/>
      <c r="B357" s="1152" t="str">
        <f aca="false">'Смета Расходов'!B543</f>
        <v>Сосна влаж, 200*150мм</v>
      </c>
      <c r="C357" s="1153" t="str">
        <f aca="false">'Смета Расходов'!C543</f>
        <v>м3</v>
      </c>
      <c r="D357" s="1152" t="n">
        <f aca="false">'Смета Расходов'!D543</f>
        <v>-3.14575</v>
      </c>
      <c r="E357" s="1152" t="n">
        <f aca="false">'Смета Расходов'!F543</f>
        <v>6500</v>
      </c>
      <c r="F357" s="1152" t="n">
        <f aca="false">'Смета Расходов'!G543</f>
        <v>0</v>
      </c>
    </row>
    <row r="358" customFormat="false" ht="15" hidden="false" customHeight="false" outlineLevel="0" collapsed="false">
      <c r="A358" s="1139"/>
      <c r="B358" s="1152" t="str">
        <f aca="false">'Смета Расходов'!B544</f>
        <v>Сосна влаж, 200*150мм</v>
      </c>
      <c r="C358" s="1153" t="str">
        <f aca="false">'Смета Расходов'!C544</f>
        <v>м3</v>
      </c>
      <c r="D358" s="1152" t="n">
        <f aca="false">'Смета Расходов'!D544</f>
        <v>0</v>
      </c>
      <c r="E358" s="1152" t="n">
        <f aca="false">'Смета Расходов'!F544</f>
        <v>6500</v>
      </c>
      <c r="F358" s="1152" t="n">
        <f aca="false">'Смета Расходов'!G544</f>
        <v>0</v>
      </c>
    </row>
    <row r="359" customFormat="false" ht="15" hidden="false" customHeight="false" outlineLevel="0" collapsed="false">
      <c r="A359" s="1139"/>
      <c r="B359" s="1152" t="str">
        <f aca="false">'Смета Расходов'!B545</f>
        <v>Сосна влаж, 200*100мм</v>
      </c>
      <c r="C359" s="1153" t="str">
        <f aca="false">'Смета Расходов'!C545</f>
        <v>м2</v>
      </c>
      <c r="D359" s="1152" t="n">
        <f aca="false">'Смета Расходов'!D545</f>
        <v>0</v>
      </c>
      <c r="E359" s="1152" t="n">
        <f aca="false">'Смета Расходов'!F545</f>
        <v>6500</v>
      </c>
      <c r="F359" s="1152" t="n">
        <f aca="false">'Смета Расходов'!G545</f>
        <v>0</v>
      </c>
    </row>
    <row r="360" customFormat="false" ht="15" hidden="false" customHeight="false" outlineLevel="0" collapsed="false">
      <c r="A360" s="1139"/>
      <c r="B360" s="1152" t="str">
        <f aca="false">'Смета Расходов'!B546</f>
        <v>Шкант</v>
      </c>
      <c r="C360" s="1153" t="str">
        <f aca="false">'Смета Расходов'!C546</f>
        <v>шт</v>
      </c>
      <c r="D360" s="1152" t="n">
        <f aca="false">'Смета Расходов'!D546</f>
        <v>20</v>
      </c>
      <c r="E360" s="1152" t="n">
        <f aca="false">'Смета Расходов'!F546</f>
        <v>6</v>
      </c>
      <c r="F360" s="1152" t="n">
        <f aca="false">'Смета Расходов'!G546</f>
        <v>0</v>
      </c>
    </row>
    <row r="361" customFormat="false" ht="15" hidden="false" customHeight="false" outlineLevel="0" collapsed="false">
      <c r="A361" s="1139"/>
      <c r="B361" s="1152" t="str">
        <f aca="false">'Смета Расходов'!B547</f>
        <v>Лен-джут 200х5х20000 мм</v>
      </c>
      <c r="C361" s="1153" t="str">
        <f aca="false">'Смета Расходов'!C547</f>
        <v>шт</v>
      </c>
      <c r="D361" s="1152" t="n">
        <f aca="false">'Смета Расходов'!D547</f>
        <v>0</v>
      </c>
      <c r="E361" s="1152" t="n">
        <f aca="false">'Смета Расходов'!F547</f>
        <v>175</v>
      </c>
      <c r="F361" s="1152" t="n">
        <f aca="false">'Смета Расходов'!G547</f>
        <v>0</v>
      </c>
    </row>
    <row r="362" customFormat="false" ht="15" hidden="false" customHeight="false" outlineLevel="0" collapsed="false">
      <c r="A362" s="1139"/>
      <c r="B362" s="1152" t="str">
        <f aca="false">'Смета Расходов'!B548</f>
        <v>Гвозди строительные 3,5 x 90            </v>
      </c>
      <c r="C362" s="1153" t="str">
        <f aca="false">'Смета Расходов'!C548</f>
        <v>шт</v>
      </c>
      <c r="D362" s="1152" t="n">
        <f aca="false">'Смета Расходов'!D548</f>
        <v>4.4</v>
      </c>
      <c r="E362" s="1152" t="n">
        <f aca="false">'Смета Расходов'!F548</f>
        <v>70</v>
      </c>
      <c r="F362" s="1152" t="n">
        <f aca="false">'Смета Расходов'!G548</f>
        <v>0</v>
      </c>
    </row>
    <row r="363" customFormat="false" ht="15" hidden="false" customHeight="false" outlineLevel="0" collapsed="false">
      <c r="A363" s="1139"/>
      <c r="B363" s="1152" t="str">
        <f aca="false">'Смета Расходов'!B549</f>
        <v>нет</v>
      </c>
      <c r="C363" s="1153" t="str">
        <f aca="false">'Смета Расходов'!C549</f>
        <v>м3</v>
      </c>
      <c r="D363" s="1152" t="n">
        <f aca="false">'Смета Расходов'!D549</f>
        <v>0</v>
      </c>
      <c r="E363" s="1152" t="n">
        <f aca="false">'Смета Расходов'!F549</f>
        <v>0</v>
      </c>
      <c r="F363" s="1152" t="n">
        <f aca="false">'Смета Расходов'!G549</f>
        <v>0</v>
      </c>
    </row>
    <row r="364" customFormat="false" ht="15" hidden="false" customHeight="false" outlineLevel="0" collapsed="false">
      <c r="A364" s="1139"/>
      <c r="B364" s="1152" t="str">
        <f aca="false">'Смета Расходов'!B550</f>
        <v>нет</v>
      </c>
      <c r="C364" s="1153" t="str">
        <f aca="false">'Смета Расходов'!C550</f>
        <v>м3</v>
      </c>
      <c r="D364" s="1152" t="n">
        <f aca="false">'Смета Расходов'!D550</f>
        <v>0</v>
      </c>
      <c r="E364" s="1152" t="n">
        <f aca="false">'Смета Расходов'!F550</f>
        <v>0</v>
      </c>
      <c r="F364" s="1152" t="n">
        <f aca="false">'Смета Расходов'!G550</f>
        <v>0</v>
      </c>
    </row>
    <row r="365" customFormat="false" ht="15" hidden="false" customHeight="false" outlineLevel="0" collapsed="false">
      <c r="A365" s="1139"/>
      <c r="B365" s="1152" t="str">
        <f aca="false">'Смета Расходов'!B551</f>
        <v>нет</v>
      </c>
      <c r="C365" s="1153" t="str">
        <f aca="false">'Смета Расходов'!C551</f>
        <v>м3</v>
      </c>
      <c r="D365" s="1152" t="n">
        <f aca="false">'Смета Расходов'!D551</f>
        <v>0</v>
      </c>
      <c r="E365" s="1152" t="n">
        <f aca="false">'Смета Расходов'!F551</f>
        <v>0</v>
      </c>
      <c r="F365" s="1152" t="n">
        <f aca="false">'Смета Расходов'!G551</f>
        <v>0</v>
      </c>
    </row>
    <row r="366" customFormat="false" ht="15" hidden="false" customHeight="false" outlineLevel="0" collapsed="false">
      <c r="A366" s="1139"/>
      <c r="B366" s="1152" t="str">
        <f aca="false">'Смета Расходов'!B552</f>
        <v>нет</v>
      </c>
      <c r="C366" s="1153" t="str">
        <f aca="false">'Смета Расходов'!C552</f>
        <v>м.п.</v>
      </c>
      <c r="D366" s="1152" t="n">
        <f aca="false">'Смета Расходов'!D552</f>
        <v>0</v>
      </c>
      <c r="E366" s="1152" t="n">
        <f aca="false">'Смета Расходов'!F552</f>
        <v>0</v>
      </c>
      <c r="F366" s="1152" t="n">
        <f aca="false">'Смета Расходов'!G552</f>
        <v>0</v>
      </c>
    </row>
    <row r="367" customFormat="false" ht="15" hidden="false" customHeight="false" outlineLevel="0" collapsed="false">
      <c r="A367" s="1139"/>
      <c r="B367" s="1152" t="str">
        <f aca="false">'Смета Расходов'!B553</f>
        <v>Бензин для пилы</v>
      </c>
      <c r="C367" s="1153" t="str">
        <f aca="false">'Смета Расходов'!C553</f>
        <v>л</v>
      </c>
      <c r="D367" s="1152" t="n">
        <f aca="false">'Смета Расходов'!D553</f>
        <v>0.1588125</v>
      </c>
      <c r="E367" s="1152" t="n">
        <f aca="false">'Смета Расходов'!F553</f>
        <v>40</v>
      </c>
      <c r="F367" s="1152" t="n">
        <f aca="false">'Смета Расходов'!G553</f>
        <v>0</v>
      </c>
    </row>
    <row r="368" customFormat="false" ht="15" hidden="false" customHeight="false" outlineLevel="0" collapsed="false">
      <c r="A368" s="1139"/>
      <c r="B368" s="1152" t="str">
        <f aca="false">'Смета Расходов'!B554</f>
        <v>Масло для пилы</v>
      </c>
      <c r="C368" s="1153" t="str">
        <f aca="false">'Смета Расходов'!C554</f>
        <v>л</v>
      </c>
      <c r="D368" s="1152" t="n">
        <f aca="false">'Смета Расходов'!D554</f>
        <v>0.017469375</v>
      </c>
      <c r="E368" s="1152" t="n">
        <f aca="false">'Смета Расходов'!F554</f>
        <v>250</v>
      </c>
      <c r="F368" s="1152" t="n">
        <f aca="false">'Смета Расходов'!G554</f>
        <v>0</v>
      </c>
    </row>
    <row r="369" customFormat="false" ht="15" hidden="false" customHeight="false" outlineLevel="0" collapsed="false">
      <c r="A369" s="1139"/>
      <c r="B369" s="1152" t="str">
        <f aca="false">'Смета Расходов'!B555</f>
        <v>Цепь для пилы</v>
      </c>
      <c r="C369" s="1153" t="str">
        <f aca="false">'Смета Расходов'!C555</f>
        <v>шт</v>
      </c>
      <c r="D369" s="1152" t="n">
        <f aca="false">'Смета Расходов'!D555</f>
        <v>1.1</v>
      </c>
      <c r="E369" s="1152" t="n">
        <f aca="false">'Смета Расходов'!F555</f>
        <v>800</v>
      </c>
      <c r="F369" s="1152" t="n">
        <f aca="false">'Смета Расходов'!G555</f>
        <v>0</v>
      </c>
    </row>
    <row r="370" customFormat="false" ht="15" hidden="false" customHeight="false" outlineLevel="0" collapsed="false">
      <c r="A370" s="1139"/>
      <c r="B370" s="1152" t="str">
        <f aca="false">'Смета Расходов'!B556</f>
        <v>"Профилюкс" Антисептик ОБЗ-1</v>
      </c>
      <c r="C370" s="1153" t="str">
        <f aca="false">'Смета Расходов'!C556</f>
        <v>л</v>
      </c>
      <c r="D370" s="1152" t="n">
        <f aca="false">'Смета Расходов'!D556</f>
        <v>0</v>
      </c>
      <c r="E370" s="1152" t="n">
        <f aca="false">'Смета Расходов'!F556</f>
        <v>42</v>
      </c>
      <c r="F370" s="1152" t="n">
        <f aca="false">'Смета Расходов'!G556</f>
        <v>0</v>
      </c>
    </row>
    <row r="371" customFormat="false" ht="15" hidden="false" customHeight="false" outlineLevel="0" collapsed="false">
      <c r="A371" s="1139"/>
      <c r="B371" s="1152" t="str">
        <f aca="false">'Смета Расходов'!B557</f>
        <v>Нет пропитки</v>
      </c>
      <c r="C371" s="1153" t="str">
        <f aca="false">'Смета Расходов'!C557</f>
        <v>л</v>
      </c>
      <c r="D371" s="1152" t="n">
        <f aca="false">'Смета Расходов'!D557</f>
        <v>0</v>
      </c>
      <c r="E371" s="1152" t="n">
        <f aca="false">'Смета Расходов'!F557</f>
        <v>0</v>
      </c>
      <c r="F371" s="1152" t="n">
        <f aca="false">'Смета Расходов'!G557</f>
        <v>0</v>
      </c>
    </row>
    <row r="372" customFormat="false" ht="15" hidden="false" customHeight="false" outlineLevel="0" collapsed="false">
      <c r="A372" s="1139"/>
      <c r="B372" s="1152" t="str">
        <f aca="false">'Смета Расходов'!B558</f>
        <v>Нет пропитки</v>
      </c>
      <c r="C372" s="1153" t="str">
        <f aca="false">'Смета Расходов'!C558</f>
        <v>л</v>
      </c>
      <c r="D372" s="1152" t="n">
        <f aca="false">'Смета Расходов'!D558</f>
        <v>0</v>
      </c>
      <c r="E372" s="1152" t="n">
        <f aca="false">'Смета Расходов'!F558</f>
        <v>0</v>
      </c>
      <c r="F372" s="1152" t="n">
        <f aca="false">'Смета Расходов'!G558</f>
        <v>0</v>
      </c>
    </row>
    <row r="373" customFormat="false" ht="15" hidden="false" customHeight="false" outlineLevel="0" collapsed="false">
      <c r="A373" s="1139"/>
      <c r="B373" s="1152" t="str">
        <f aca="false">'Смета Расходов'!B559</f>
        <v>Нет наличника</v>
      </c>
      <c r="C373" s="1153" t="str">
        <f aca="false">'Смета Расходов'!C559</f>
        <v>м.п.</v>
      </c>
      <c r="D373" s="1152" t="n">
        <f aca="false">'Смета Расходов'!D559</f>
        <v>3.57</v>
      </c>
      <c r="E373" s="1152" t="n">
        <f aca="false">'Смета Расходов'!F559</f>
        <v>0</v>
      </c>
      <c r="F373" s="1152" t="n">
        <f aca="false">'Смета Расходов'!G559</f>
        <v>0</v>
      </c>
    </row>
    <row r="374" customFormat="false" ht="15" hidden="false" customHeight="false" outlineLevel="0" collapsed="false">
      <c r="A374" s="1139"/>
      <c r="B374" s="1152" t="str">
        <f aca="false">'Смета Расходов'!B560</f>
        <v>Нет наличника</v>
      </c>
      <c r="C374" s="1153" t="str">
        <f aca="false">'Смета Расходов'!C560</f>
        <v>м.п.</v>
      </c>
      <c r="D374" s="1152" t="n">
        <f aca="false">'Смета Расходов'!D560</f>
        <v>3.57</v>
      </c>
      <c r="E374" s="1152" t="n">
        <f aca="false">'Смета Расходов'!F560</f>
        <v>0</v>
      </c>
      <c r="F374" s="1152" t="n">
        <f aca="false">'Смета Расходов'!G560</f>
        <v>0</v>
      </c>
    </row>
    <row r="375" customFormat="false" ht="15" hidden="false" customHeight="false" outlineLevel="0" collapsed="false">
      <c r="A375" s="1139"/>
      <c r="B375" s="1152" t="str">
        <f aca="false">'Смета Расходов'!B561</f>
        <v>Нет наждачной бумаги</v>
      </c>
      <c r="C375" s="1153" t="str">
        <f aca="false">'Смета Расходов'!C561</f>
        <v>м</v>
      </c>
      <c r="D375" s="1152" t="n">
        <f aca="false">'Смета Расходов'!D561</f>
        <v>0</v>
      </c>
      <c r="E375" s="1152" t="n">
        <f aca="false">'Смета Расходов'!F561</f>
        <v>0</v>
      </c>
      <c r="F375" s="1152" t="n">
        <f aca="false">'Смета Расходов'!G561</f>
        <v>0</v>
      </c>
    </row>
    <row r="376" customFormat="false" ht="15" hidden="false" customHeight="false" outlineLevel="0" collapsed="false">
      <c r="A376" s="1139"/>
      <c r="B376" s="1152" t="str">
        <f aca="false">'Смета Расходов'!B562</f>
        <v>Нет наждачной бумаги</v>
      </c>
      <c r="C376" s="1153" t="str">
        <f aca="false">'Смета Расходов'!C562</f>
        <v>м</v>
      </c>
      <c r="D376" s="1152" t="n">
        <f aca="false">'Смета Расходов'!D562</f>
        <v>0</v>
      </c>
      <c r="E376" s="1152" t="n">
        <f aca="false">'Смета Расходов'!F562</f>
        <v>0</v>
      </c>
      <c r="F376" s="1152" t="n">
        <f aca="false">'Смета Расходов'!G562</f>
        <v>0</v>
      </c>
    </row>
    <row r="377" customFormat="false" ht="15" hidden="false" customHeight="false" outlineLevel="0" collapsed="false">
      <c r="A377" s="1139"/>
      <c r="B377" s="1152" t="str">
        <f aca="false">'Смета Расходов'!B563</f>
        <v>Нет наждачной бумаги</v>
      </c>
      <c r="C377" s="1153" t="str">
        <f aca="false">'Смета Расходов'!C563</f>
        <v>м</v>
      </c>
      <c r="D377" s="1152" t="n">
        <f aca="false">'Смета Расходов'!D563</f>
        <v>0</v>
      </c>
      <c r="E377" s="1152" t="n">
        <f aca="false">'Смета Расходов'!F563</f>
        <v>0</v>
      </c>
      <c r="F377" s="1152" t="n">
        <f aca="false">'Смета Расходов'!G563</f>
        <v>0</v>
      </c>
    </row>
    <row r="378" customFormat="false" ht="15" hidden="false" customHeight="false" outlineLevel="0" collapsed="false">
      <c r="A378" s="1139"/>
      <c r="B378" s="1152" t="str">
        <f aca="false">'Смета Расходов'!B564</f>
        <v>Нет наждачной бумаги</v>
      </c>
      <c r="C378" s="1153" t="str">
        <f aca="false">'Смета Расходов'!C564</f>
        <v>м</v>
      </c>
      <c r="D378" s="1152" t="n">
        <f aca="false">'Смета Расходов'!D564</f>
        <v>0</v>
      </c>
      <c r="E378" s="1152" t="n">
        <f aca="false">'Смета Расходов'!F564</f>
        <v>0</v>
      </c>
      <c r="F378" s="1152" t="n">
        <f aca="false">'Смета Расходов'!G564</f>
        <v>0</v>
      </c>
    </row>
    <row r="379" customFormat="false" ht="15" hidden="false" customHeight="false" outlineLevel="0" collapsed="false">
      <c r="A379" s="1139"/>
      <c r="B379" s="1154" t="s">
        <v>2309</v>
      </c>
      <c r="C379" s="1154"/>
      <c r="D379" s="1154"/>
      <c r="E379" s="1154"/>
      <c r="F379" s="1152" t="n">
        <f aca="false">SUM(F356:F378)</f>
        <v>0</v>
      </c>
    </row>
    <row r="380" customFormat="false" ht="18.75" hidden="false" customHeight="false" outlineLevel="0" collapsed="false">
      <c r="A380" s="1139"/>
      <c r="B380" s="1150" t="str">
        <f aca="false">'Смета Расходов'!B577</f>
        <v>Дом из Дикого леса</v>
      </c>
      <c r="C380" s="1150"/>
      <c r="D380" s="1150"/>
      <c r="E380" s="1150"/>
      <c r="F380" s="1155" t="n">
        <f aca="false">'Смета Внутр'!H577</f>
        <v>0</v>
      </c>
    </row>
    <row r="381" customFormat="false" ht="15" hidden="false" customHeight="false" outlineLevel="0" collapsed="false">
      <c r="A381" s="1139"/>
      <c r="B381" s="1156" t="s">
        <v>2246</v>
      </c>
      <c r="C381" s="1156"/>
      <c r="D381" s="1156"/>
      <c r="E381" s="1156"/>
      <c r="F381" s="1155" t="n">
        <f aca="false">'Смета Внутр'!H578</f>
        <v>0</v>
      </c>
    </row>
    <row r="382" customFormat="false" ht="15" hidden="false" customHeight="false" outlineLevel="0" collapsed="false">
      <c r="A382" s="1139"/>
      <c r="B382" s="1152" t="str">
        <f aca="false">'Смета Расходов'!B579</f>
        <v>Оцилиндрованное бревно лиственница 280мм</v>
      </c>
      <c r="C382" s="1153" t="str">
        <f aca="false">'Смета Расходов'!C579</f>
        <v>м3</v>
      </c>
      <c r="D382" s="1152" t="n">
        <f aca="false">'Смета Расходов'!D579</f>
        <v>4.19187802</v>
      </c>
      <c r="E382" s="1152" t="n">
        <f aca="false">'Смета Расходов'!F579</f>
        <v>10000</v>
      </c>
      <c r="F382" s="1152" t="n">
        <f aca="false">'Смета Расходов'!G579</f>
        <v>0</v>
      </c>
    </row>
    <row r="383" customFormat="false" ht="15" hidden="false" customHeight="false" outlineLevel="0" collapsed="false">
      <c r="A383" s="1139"/>
      <c r="B383" s="1152" t="str">
        <f aca="false">'Смета Расходов'!B580</f>
        <v>Оцилиндрованное бревно сосна 220мм</v>
      </c>
      <c r="C383" s="1153" t="str">
        <f aca="false">'Смета Расходов'!C580</f>
        <v>м3</v>
      </c>
      <c r="D383" s="1152" t="n">
        <f aca="false">'Смета Расходов'!D580</f>
        <v>-3.09205170421053</v>
      </c>
      <c r="E383" s="1152" t="n">
        <f aca="false">'Смета Расходов'!F580</f>
        <v>8000</v>
      </c>
      <c r="F383" s="1152" t="n">
        <f aca="false">'Смета Расходов'!G580</f>
        <v>0</v>
      </c>
    </row>
    <row r="384" customFormat="false" ht="15" hidden="false" customHeight="false" outlineLevel="0" collapsed="false">
      <c r="A384" s="1139"/>
      <c r="B384" s="1152" t="str">
        <f aca="false">'Смета Расходов'!B581</f>
        <v>Оцилиндрованное бревно сосна 220мм</v>
      </c>
      <c r="C384" s="1153" t="str">
        <f aca="false">'Смета Расходов'!C581</f>
        <v>м3</v>
      </c>
      <c r="D384" s="1152" t="n">
        <f aca="false">'Смета Расходов'!D581</f>
        <v>0</v>
      </c>
      <c r="E384" s="1152" t="n">
        <f aca="false">'Смета Расходов'!F581</f>
        <v>8000</v>
      </c>
      <c r="F384" s="1152" t="n">
        <f aca="false">'Смета Расходов'!G581</f>
        <v>0</v>
      </c>
    </row>
    <row r="385" customFormat="false" ht="15" hidden="false" customHeight="false" outlineLevel="0" collapsed="false">
      <c r="A385" s="1139"/>
      <c r="B385" s="1152" t="str">
        <f aca="false">'Смета Расходов'!B582</f>
        <v>Оцилиндрованное бревно сосна 220мм</v>
      </c>
      <c r="C385" s="1153" t="str">
        <f aca="false">'Смета Расходов'!C582</f>
        <v>м2</v>
      </c>
      <c r="D385" s="1152" t="n">
        <f aca="false">'Смета Расходов'!D582</f>
        <v>0</v>
      </c>
      <c r="E385" s="1152" t="n">
        <f aca="false">'Смета Расходов'!F582</f>
        <v>8000</v>
      </c>
      <c r="F385" s="1152" t="n">
        <f aca="false">'Смета Расходов'!G582</f>
        <v>0</v>
      </c>
    </row>
    <row r="386" customFormat="false" ht="15" hidden="false" customHeight="false" outlineLevel="0" collapsed="false">
      <c r="A386" s="1139"/>
      <c r="B386" s="1152" t="str">
        <f aca="false">'Смета Расходов'!B583</f>
        <v>Шкант</v>
      </c>
      <c r="C386" s="1153" t="str">
        <f aca="false">'Смета Расходов'!C583</f>
        <v>шт</v>
      </c>
      <c r="D386" s="1152" t="n">
        <f aca="false">'Смета Расходов'!D583</f>
        <v>0.349944736842105</v>
      </c>
      <c r="E386" s="1152" t="n">
        <f aca="false">'Смета Расходов'!F583</f>
        <v>6</v>
      </c>
      <c r="F386" s="1152" t="n">
        <f aca="false">'Смета Расходов'!G583</f>
        <v>0</v>
      </c>
    </row>
    <row r="387" customFormat="false" ht="15" hidden="false" customHeight="false" outlineLevel="0" collapsed="false">
      <c r="A387" s="1139"/>
      <c r="B387" s="1152" t="str">
        <f aca="false">'Смета Расходов'!B584</f>
        <v>Лен-джут 200х5х20000 мм</v>
      </c>
      <c r="C387" s="1153" t="str">
        <f aca="false">'Смета Расходов'!C584</f>
        <v>шт</v>
      </c>
      <c r="D387" s="1152" t="n">
        <f aca="false">'Смета Расходов'!D584</f>
        <v>2</v>
      </c>
      <c r="E387" s="1152" t="n">
        <f aca="false">'Смета Расходов'!F584</f>
        <v>175</v>
      </c>
      <c r="F387" s="1152" t="n">
        <f aca="false">'Смета Расходов'!G584</f>
        <v>0</v>
      </c>
    </row>
    <row r="388" customFormat="false" ht="15" hidden="false" customHeight="false" outlineLevel="0" collapsed="false">
      <c r="A388" s="1139"/>
      <c r="B388" s="1152" t="str">
        <f aca="false">'Смета Расходов'!B585</f>
        <v>Гвозди ершоные 2,8 х 90            </v>
      </c>
      <c r="C388" s="1153" t="str">
        <f aca="false">'Смета Расходов'!C585</f>
        <v>шт</v>
      </c>
      <c r="D388" s="1152" t="n">
        <f aca="false">'Смета Расходов'!D585</f>
        <v>4.84</v>
      </c>
      <c r="E388" s="1152" t="n">
        <f aca="false">'Смета Расходов'!F585</f>
        <v>76.49</v>
      </c>
      <c r="F388" s="1152" t="n">
        <f aca="false">'Смета Расходов'!G585</f>
        <v>0</v>
      </c>
    </row>
    <row r="389" customFormat="false" ht="15" hidden="false" customHeight="false" outlineLevel="0" collapsed="false">
      <c r="A389" s="1139"/>
      <c r="B389" s="1152" t="str">
        <f aca="false">'Смета Расходов'!B586</f>
        <v>нет</v>
      </c>
      <c r="C389" s="1153" t="str">
        <f aca="false">'Смета Расходов'!C586</f>
        <v>м3</v>
      </c>
      <c r="D389" s="1152" t="n">
        <f aca="false">'Смета Расходов'!D586</f>
        <v>0</v>
      </c>
      <c r="E389" s="1152" t="n">
        <f aca="false">'Смета Расходов'!F586</f>
        <v>0</v>
      </c>
      <c r="F389" s="1152" t="n">
        <f aca="false">'Смета Расходов'!G586</f>
        <v>0</v>
      </c>
    </row>
    <row r="390" customFormat="false" ht="15" hidden="false" customHeight="false" outlineLevel="0" collapsed="false">
      <c r="A390" s="1139"/>
      <c r="B390" s="1152" t="str">
        <f aca="false">'Смета Расходов'!B587</f>
        <v>нет</v>
      </c>
      <c r="C390" s="1153" t="str">
        <f aca="false">'Смета Расходов'!C587</f>
        <v>м3</v>
      </c>
      <c r="D390" s="1152" t="n">
        <f aca="false">'Смета Расходов'!D587</f>
        <v>0</v>
      </c>
      <c r="E390" s="1152" t="n">
        <f aca="false">'Смета Расходов'!F587</f>
        <v>0</v>
      </c>
      <c r="F390" s="1152" t="n">
        <f aca="false">'Смета Расходов'!G587</f>
        <v>0</v>
      </c>
    </row>
    <row r="391" customFormat="false" ht="15" hidden="false" customHeight="false" outlineLevel="0" collapsed="false">
      <c r="A391" s="1139"/>
      <c r="B391" s="1152" t="str">
        <f aca="false">'Смета Расходов'!B588</f>
        <v>нет</v>
      </c>
      <c r="C391" s="1153" t="str">
        <f aca="false">'Смета Расходов'!C588</f>
        <v>м3</v>
      </c>
      <c r="D391" s="1152" t="n">
        <f aca="false">'Смета Расходов'!D588</f>
        <v>0</v>
      </c>
      <c r="E391" s="1152" t="n">
        <f aca="false">'Смета Расходов'!F588</f>
        <v>0</v>
      </c>
      <c r="F391" s="1152" t="n">
        <f aca="false">'Смета Расходов'!G588</f>
        <v>0</v>
      </c>
    </row>
    <row r="392" customFormat="false" ht="15" hidden="false" customHeight="false" outlineLevel="0" collapsed="false">
      <c r="A392" s="1139"/>
      <c r="B392" s="1152" t="str">
        <f aca="false">'Смета Расходов'!B589</f>
        <v>нет</v>
      </c>
      <c r="C392" s="1153" t="str">
        <f aca="false">'Смета Расходов'!C589</f>
        <v>м.п.</v>
      </c>
      <c r="D392" s="1152" t="n">
        <f aca="false">'Смета Расходов'!D589</f>
        <v>0</v>
      </c>
      <c r="E392" s="1152" t="n">
        <f aca="false">'Смета Расходов'!F589</f>
        <v>0</v>
      </c>
      <c r="F392" s="1152" t="n">
        <f aca="false">'Смета Расходов'!G589</f>
        <v>0</v>
      </c>
    </row>
    <row r="393" customFormat="false" ht="15" hidden="false" customHeight="false" outlineLevel="0" collapsed="false">
      <c r="A393" s="1139"/>
      <c r="B393" s="1152" t="str">
        <f aca="false">'Смета Расходов'!B590</f>
        <v>Бензин для пилы</v>
      </c>
      <c r="C393" s="1153" t="str">
        <f aca="false">'Смета Расходов'!C590</f>
        <v>л</v>
      </c>
      <c r="D393" s="1152" t="n">
        <f aca="false">'Смета Расходов'!D590</f>
        <v>0.219965263157895</v>
      </c>
      <c r="E393" s="1152" t="n">
        <f aca="false">'Смета Расходов'!F590</f>
        <v>40</v>
      </c>
      <c r="F393" s="1152" t="n">
        <f aca="false">'Смета Расходов'!G590</f>
        <v>0</v>
      </c>
    </row>
    <row r="394" customFormat="false" ht="15" hidden="false" customHeight="false" outlineLevel="0" collapsed="false">
      <c r="A394" s="1139"/>
      <c r="B394" s="1152" t="str">
        <f aca="false">'Смета Расходов'!B591</f>
        <v>Масло для пилы</v>
      </c>
      <c r="C394" s="1153" t="str">
        <f aca="false">'Смета Расходов'!C591</f>
        <v>л</v>
      </c>
      <c r="D394" s="1152" t="n">
        <f aca="false">'Смета Расходов'!D591</f>
        <v>0.0109982631578947</v>
      </c>
      <c r="E394" s="1152" t="n">
        <f aca="false">'Смета Расходов'!F591</f>
        <v>250</v>
      </c>
      <c r="F394" s="1152" t="n">
        <f aca="false">'Смета Расходов'!G591</f>
        <v>0</v>
      </c>
    </row>
    <row r="395" customFormat="false" ht="15" hidden="false" customHeight="false" outlineLevel="0" collapsed="false">
      <c r="A395" s="1139"/>
      <c r="B395" s="1152" t="str">
        <f aca="false">'Смета Расходов'!B592</f>
        <v>Цепь для пилы</v>
      </c>
      <c r="C395" s="1153" t="str">
        <f aca="false">'Смета Расходов'!C592</f>
        <v>шт</v>
      </c>
      <c r="D395" s="1152" t="n">
        <f aca="false">'Смета Расходов'!D592</f>
        <v>1</v>
      </c>
      <c r="E395" s="1152" t="n">
        <f aca="false">'Смета Расходов'!F592</f>
        <v>800</v>
      </c>
      <c r="F395" s="1152" t="n">
        <f aca="false">'Смета Расходов'!G592</f>
        <v>0</v>
      </c>
    </row>
    <row r="396" customFormat="false" ht="15" hidden="false" customHeight="false" outlineLevel="0" collapsed="false">
      <c r="A396" s="1139"/>
      <c r="B396" s="1152" t="str">
        <f aca="false">'Смета Расходов'!B593</f>
        <v>"Профилюкс" Антисептик ОБЗ-1</v>
      </c>
      <c r="C396" s="1153" t="str">
        <f aca="false">'Смета Расходов'!C593</f>
        <v>л</v>
      </c>
      <c r="D396" s="1152" t="n">
        <f aca="false">'Смета Расходов'!D593</f>
        <v>1.81789473684211</v>
      </c>
      <c r="E396" s="1152" t="n">
        <f aca="false">'Смета Расходов'!F593</f>
        <v>42</v>
      </c>
      <c r="F396" s="1152" t="n">
        <f aca="false">'Смета Расходов'!G593</f>
        <v>0</v>
      </c>
    </row>
    <row r="397" customFormat="false" ht="15" hidden="false" customHeight="false" outlineLevel="0" collapsed="false">
      <c r="A397" s="1139"/>
      <c r="B397" s="1152" t="str">
        <f aca="false">'Смета Расходов'!B594</f>
        <v>Нет пропитки</v>
      </c>
      <c r="C397" s="1153" t="str">
        <f aca="false">'Смета Расходов'!C594</f>
        <v>л</v>
      </c>
      <c r="D397" s="1152" t="n">
        <f aca="false">'Смета Расходов'!D594</f>
        <v>1.09073684210526</v>
      </c>
      <c r="E397" s="1152" t="n">
        <f aca="false">'Смета Расходов'!F594</f>
        <v>0</v>
      </c>
      <c r="F397" s="1152" t="n">
        <f aca="false">'Смета Расходов'!G594</f>
        <v>0</v>
      </c>
    </row>
    <row r="398" customFormat="false" ht="15" hidden="false" customHeight="false" outlineLevel="0" collapsed="false">
      <c r="A398" s="1139"/>
      <c r="B398" s="1152" t="str">
        <f aca="false">'Смета Расходов'!B595</f>
        <v>Нет пропитки</v>
      </c>
      <c r="C398" s="1153" t="str">
        <f aca="false">'Смета Расходов'!C595</f>
        <v>л</v>
      </c>
      <c r="D398" s="1152" t="n">
        <f aca="false">'Смета Расходов'!D595</f>
        <v>1.09073684210526</v>
      </c>
      <c r="E398" s="1152" t="n">
        <f aca="false">'Смета Расходов'!F595</f>
        <v>0</v>
      </c>
      <c r="F398" s="1152" t="n">
        <f aca="false">'Смета Расходов'!G595</f>
        <v>0</v>
      </c>
    </row>
    <row r="399" customFormat="false" ht="15" hidden="false" customHeight="false" outlineLevel="0" collapsed="false">
      <c r="A399" s="1139"/>
      <c r="B399" s="1152" t="str">
        <f aca="false">'Смета Расходов'!B596</f>
        <v>Нет наличника</v>
      </c>
      <c r="C399" s="1153" t="str">
        <f aca="false">'Смета Расходов'!C596</f>
        <v>м.п.</v>
      </c>
      <c r="D399" s="1152" t="n">
        <f aca="false">'Смета Расходов'!D596</f>
        <v>3.57</v>
      </c>
      <c r="E399" s="1152" t="n">
        <f aca="false">'Смета Расходов'!F596</f>
        <v>0</v>
      </c>
      <c r="F399" s="1152" t="n">
        <f aca="false">'Смета Расходов'!G596</f>
        <v>0</v>
      </c>
    </row>
    <row r="400" customFormat="false" ht="15" hidden="false" customHeight="false" outlineLevel="0" collapsed="false">
      <c r="A400" s="1139"/>
      <c r="B400" s="1152" t="str">
        <f aca="false">'Смета Расходов'!B597</f>
        <v>Нет наличника</v>
      </c>
      <c r="C400" s="1153" t="str">
        <f aca="false">'Смета Расходов'!C597</f>
        <v>м.п.</v>
      </c>
      <c r="D400" s="1152" t="n">
        <f aca="false">'Смета Расходов'!D597</f>
        <v>3.57</v>
      </c>
      <c r="E400" s="1152" t="n">
        <f aca="false">'Смета Расходов'!F597</f>
        <v>0</v>
      </c>
      <c r="F400" s="1152" t="n">
        <f aca="false">'Смета Расходов'!G597</f>
        <v>0</v>
      </c>
    </row>
    <row r="401" customFormat="false" ht="15" hidden="false" customHeight="false" outlineLevel="0" collapsed="false">
      <c r="A401" s="1139"/>
      <c r="B401" s="1152" t="str">
        <f aca="false">'Смета Расходов'!B598</f>
        <v>Нет наждачной бумаги</v>
      </c>
      <c r="C401" s="1153" t="str">
        <f aca="false">'Смета Расходов'!C598</f>
        <v>м</v>
      </c>
      <c r="D401" s="1152" t="n">
        <f aca="false">'Смета Расходов'!D598</f>
        <v>0</v>
      </c>
      <c r="E401" s="1152" t="n">
        <f aca="false">'Смета Расходов'!F598</f>
        <v>0</v>
      </c>
      <c r="F401" s="1152" t="n">
        <f aca="false">'Смета Расходов'!G598</f>
        <v>0</v>
      </c>
    </row>
    <row r="402" customFormat="false" ht="15" hidden="false" customHeight="false" outlineLevel="0" collapsed="false">
      <c r="A402" s="1139"/>
      <c r="B402" s="1152" t="str">
        <f aca="false">'Смета Расходов'!B599</f>
        <v>Нет наждачной бумаги</v>
      </c>
      <c r="C402" s="1153" t="str">
        <f aca="false">'Смета Расходов'!C599</f>
        <v>м</v>
      </c>
      <c r="D402" s="1152" t="n">
        <f aca="false">'Смета Расходов'!D599</f>
        <v>0</v>
      </c>
      <c r="E402" s="1152" t="n">
        <f aca="false">'Смета Расходов'!F599</f>
        <v>0</v>
      </c>
      <c r="F402" s="1152" t="n">
        <f aca="false">'Смета Расходов'!G599</f>
        <v>0</v>
      </c>
    </row>
    <row r="403" customFormat="false" ht="15" hidden="false" customHeight="false" outlineLevel="0" collapsed="false">
      <c r="A403" s="1139"/>
      <c r="B403" s="1152" t="str">
        <f aca="false">'Смета Расходов'!B600</f>
        <v>Нет наждачной бумаги</v>
      </c>
      <c r="C403" s="1153" t="str">
        <f aca="false">'Смета Расходов'!C600</f>
        <v>м</v>
      </c>
      <c r="D403" s="1152" t="n">
        <f aca="false">'Смета Расходов'!D600</f>
        <v>0</v>
      </c>
      <c r="E403" s="1152" t="n">
        <f aca="false">'Смета Расходов'!F600</f>
        <v>0</v>
      </c>
      <c r="F403" s="1152" t="n">
        <f aca="false">'Смета Расходов'!G600</f>
        <v>0</v>
      </c>
    </row>
    <row r="404" customFormat="false" ht="15" hidden="false" customHeight="false" outlineLevel="0" collapsed="false">
      <c r="A404" s="1139"/>
      <c r="B404" s="1152" t="str">
        <f aca="false">'Смета Расходов'!B601</f>
        <v>Нет наждачной бумаги</v>
      </c>
      <c r="C404" s="1153" t="str">
        <f aca="false">'Смета Расходов'!C601</f>
        <v>м</v>
      </c>
      <c r="D404" s="1152" t="n">
        <f aca="false">'Смета Расходов'!D601</f>
        <v>0</v>
      </c>
      <c r="E404" s="1152" t="n">
        <f aca="false">'Смета Расходов'!F601</f>
        <v>0</v>
      </c>
      <c r="F404" s="1152" t="n">
        <f aca="false">'Смета Расходов'!G601</f>
        <v>0</v>
      </c>
    </row>
    <row r="405" customFormat="false" ht="15" hidden="false" customHeight="false" outlineLevel="0" collapsed="false">
      <c r="A405" s="1139"/>
      <c r="B405" s="1154" t="s">
        <v>2309</v>
      </c>
      <c r="C405" s="1154"/>
      <c r="D405" s="1154"/>
      <c r="E405" s="1154"/>
      <c r="F405" s="1152" t="n">
        <f aca="false">SUM(F382:F404)</f>
        <v>0</v>
      </c>
    </row>
    <row r="406" customFormat="false" ht="18.75" hidden="false" customHeight="false" outlineLevel="0" collapsed="false">
      <c r="A406" s="1139"/>
      <c r="B406" s="1150" t="str">
        <f aca="false">'Смета Расходов'!B614</f>
        <v>Дом из Оцилиндрованного бревна</v>
      </c>
      <c r="C406" s="1150"/>
      <c r="D406" s="1150"/>
      <c r="E406" s="1150"/>
      <c r="F406" s="1155" t="n">
        <f aca="false">'Смета Внутр'!H614</f>
        <v>0</v>
      </c>
    </row>
    <row r="407" customFormat="false" ht="15" hidden="false" customHeight="false" outlineLevel="0" collapsed="false">
      <c r="A407" s="1139"/>
      <c r="B407" s="1156" t="s">
        <v>2246</v>
      </c>
      <c r="C407" s="1156"/>
      <c r="D407" s="1156"/>
      <c r="E407" s="1156"/>
      <c r="F407" s="1155" t="n">
        <f aca="false">'Смета Внутр'!H615</f>
        <v>0</v>
      </c>
    </row>
    <row r="408" customFormat="false" ht="15" hidden="false" customHeight="false" outlineLevel="0" collapsed="false">
      <c r="A408" s="1139"/>
      <c r="B408" s="1152" t="str">
        <f aca="false">'Смета Расходов'!B616</f>
        <v>Оцилиндрованное бревно лиственница 280мм</v>
      </c>
      <c r="C408" s="1153" t="str">
        <f aca="false">'Смета Расходов'!C616</f>
        <v>м3</v>
      </c>
      <c r="D408" s="1152" t="n">
        <f aca="false">'Смета Расходов'!D616</f>
        <v>6.79014952</v>
      </c>
      <c r="E408" s="1152" t="n">
        <f aca="false">'Смета Расходов'!F616</f>
        <v>10000</v>
      </c>
      <c r="F408" s="1152" t="n">
        <f aca="false">'Смета Расходов'!G616</f>
        <v>0</v>
      </c>
    </row>
    <row r="409" customFormat="false" ht="15" hidden="false" customHeight="false" outlineLevel="0" collapsed="false">
      <c r="A409" s="1139"/>
      <c r="B409" s="1152" t="str">
        <f aca="false">'Смета Расходов'!B617</f>
        <v>Оцилиндрованное бревно сосна 220мм</v>
      </c>
      <c r="C409" s="1153" t="str">
        <f aca="false">'Смета Расходов'!C617</f>
        <v>м3</v>
      </c>
      <c r="D409" s="1152" t="n">
        <f aca="false">'Смета Расходов'!D617</f>
        <v>-5.69032320421053</v>
      </c>
      <c r="E409" s="1152" t="n">
        <f aca="false">'Смета Расходов'!F617</f>
        <v>8000</v>
      </c>
      <c r="F409" s="1152" t="n">
        <f aca="false">'Смета Расходов'!G617</f>
        <v>0</v>
      </c>
    </row>
    <row r="410" customFormat="false" ht="15" hidden="false" customHeight="false" outlineLevel="0" collapsed="false">
      <c r="A410" s="1139"/>
      <c r="B410" s="1152" t="str">
        <f aca="false">'Смета Расходов'!B618</f>
        <v>Оцилиндрованное бревно сосна 220мм</v>
      </c>
      <c r="C410" s="1153" t="str">
        <f aca="false">'Смета Расходов'!C618</f>
        <v>м3</v>
      </c>
      <c r="D410" s="1152" t="n">
        <f aca="false">'Смета Расходов'!D618</f>
        <v>0</v>
      </c>
      <c r="E410" s="1152" t="n">
        <f aca="false">'Смета Расходов'!F618</f>
        <v>8000</v>
      </c>
      <c r="F410" s="1152" t="n">
        <f aca="false">'Смета Расходов'!G618</f>
        <v>0</v>
      </c>
    </row>
    <row r="411" customFormat="false" ht="15" hidden="false" customHeight="false" outlineLevel="0" collapsed="false">
      <c r="A411" s="1139"/>
      <c r="B411" s="1152" t="str">
        <f aca="false">'Смета Расходов'!B619</f>
        <v>Оцилиндрованное бревно сосна 220мм</v>
      </c>
      <c r="C411" s="1153" t="str">
        <f aca="false">'Смета Расходов'!C619</f>
        <v>м2</v>
      </c>
      <c r="D411" s="1152" t="n">
        <f aca="false">'Смета Расходов'!D619</f>
        <v>0</v>
      </c>
      <c r="E411" s="1152" t="n">
        <f aca="false">'Смета Расходов'!F619</f>
        <v>8000</v>
      </c>
      <c r="F411" s="1152" t="n">
        <f aca="false">'Смета Расходов'!G619</f>
        <v>0</v>
      </c>
    </row>
    <row r="412" customFormat="false" ht="15" hidden="false" customHeight="false" outlineLevel="0" collapsed="false">
      <c r="A412" s="1139"/>
      <c r="B412" s="1152" t="str">
        <f aca="false">'Смета Расходов'!B620</f>
        <v>Шкант</v>
      </c>
      <c r="C412" s="1153" t="str">
        <f aca="false">'Смета Расходов'!C620</f>
        <v>шт</v>
      </c>
      <c r="D412" s="1152" t="n">
        <f aca="false">'Смета Расходов'!D620</f>
        <v>25</v>
      </c>
      <c r="E412" s="1152" t="n">
        <f aca="false">'Смета Расходов'!F620</f>
        <v>6</v>
      </c>
      <c r="F412" s="1152" t="n">
        <f aca="false">'Смета Расходов'!G620</f>
        <v>0</v>
      </c>
    </row>
    <row r="413" customFormat="false" ht="15" hidden="false" customHeight="false" outlineLevel="0" collapsed="false">
      <c r="A413" s="1139"/>
      <c r="B413" s="1152" t="str">
        <f aca="false">'Смета Расходов'!B621</f>
        <v>Лен-джут 200х5х20000 мм</v>
      </c>
      <c r="C413" s="1153" t="str">
        <f aca="false">'Смета Расходов'!C621</f>
        <v>шт</v>
      </c>
      <c r="D413" s="1152" t="n">
        <f aca="false">'Смета Расходов'!D621</f>
        <v>2</v>
      </c>
      <c r="E413" s="1152" t="n">
        <f aca="false">'Смета Расходов'!F621</f>
        <v>175</v>
      </c>
      <c r="F413" s="1152" t="n">
        <f aca="false">'Смета Расходов'!G621</f>
        <v>0</v>
      </c>
    </row>
    <row r="414" customFormat="false" ht="15" hidden="false" customHeight="false" outlineLevel="0" collapsed="false">
      <c r="A414" s="1139"/>
      <c r="B414" s="1152" t="str">
        <f aca="false">'Смета Расходов'!B622</f>
        <v>Гвозди ершоные 2,8 х 90            </v>
      </c>
      <c r="C414" s="1153" t="str">
        <f aca="false">'Смета Расходов'!C622</f>
        <v>шт</v>
      </c>
      <c r="D414" s="1152" t="n">
        <f aca="false">'Смета Расходов'!D622</f>
        <v>4.84</v>
      </c>
      <c r="E414" s="1152" t="n">
        <f aca="false">'Смета Расходов'!F622</f>
        <v>76.49</v>
      </c>
      <c r="F414" s="1152" t="n">
        <f aca="false">'Смета Расходов'!G622</f>
        <v>0</v>
      </c>
    </row>
    <row r="415" customFormat="false" ht="15" hidden="false" customHeight="false" outlineLevel="0" collapsed="false">
      <c r="A415" s="1139"/>
      <c r="B415" s="1152" t="str">
        <f aca="false">'Смета Расходов'!B623</f>
        <v>нет</v>
      </c>
      <c r="C415" s="1153" t="str">
        <f aca="false">'Смета Расходов'!C623</f>
        <v>м3</v>
      </c>
      <c r="D415" s="1152" t="n">
        <f aca="false">'Смета Расходов'!D623</f>
        <v>0</v>
      </c>
      <c r="E415" s="1152" t="n">
        <f aca="false">'Смета Расходов'!F623</f>
        <v>0</v>
      </c>
      <c r="F415" s="1152" t="n">
        <f aca="false">'Смета Расходов'!G623</f>
        <v>0</v>
      </c>
    </row>
    <row r="416" customFormat="false" ht="15" hidden="false" customHeight="false" outlineLevel="0" collapsed="false">
      <c r="A416" s="1139"/>
      <c r="B416" s="1152" t="str">
        <f aca="false">'Смета Расходов'!B624</f>
        <v>нет</v>
      </c>
      <c r="C416" s="1153" t="str">
        <f aca="false">'Смета Расходов'!C624</f>
        <v>м3</v>
      </c>
      <c r="D416" s="1152" t="n">
        <f aca="false">'Смета Расходов'!D624</f>
        <v>0</v>
      </c>
      <c r="E416" s="1152" t="n">
        <f aca="false">'Смета Расходов'!F624</f>
        <v>0</v>
      </c>
      <c r="F416" s="1152" t="n">
        <f aca="false">'Смета Расходов'!G624</f>
        <v>0</v>
      </c>
    </row>
    <row r="417" customFormat="false" ht="15" hidden="false" customHeight="false" outlineLevel="0" collapsed="false">
      <c r="A417" s="1139"/>
      <c r="B417" s="1152" t="str">
        <f aca="false">'Смета Расходов'!B625</f>
        <v>нет</v>
      </c>
      <c r="C417" s="1153" t="str">
        <f aca="false">'Смета Расходов'!C625</f>
        <v>м3</v>
      </c>
      <c r="D417" s="1152" t="n">
        <f aca="false">'Смета Расходов'!D625</f>
        <v>0</v>
      </c>
      <c r="E417" s="1152" t="n">
        <f aca="false">'Смета Расходов'!F625</f>
        <v>0</v>
      </c>
      <c r="F417" s="1152" t="n">
        <f aca="false">'Смета Расходов'!G625</f>
        <v>0</v>
      </c>
    </row>
    <row r="418" customFormat="false" ht="15" hidden="false" customHeight="false" outlineLevel="0" collapsed="false">
      <c r="A418" s="1139"/>
      <c r="B418" s="1152" t="str">
        <f aca="false">'Смета Расходов'!B626</f>
        <v>нет</v>
      </c>
      <c r="C418" s="1153" t="str">
        <f aca="false">'Смета Расходов'!C626</f>
        <v>м.п.</v>
      </c>
      <c r="D418" s="1152" t="n">
        <f aca="false">'Смета Расходов'!D626</f>
        <v>0</v>
      </c>
      <c r="E418" s="1152" t="n">
        <f aca="false">'Смета Расходов'!F626</f>
        <v>0</v>
      </c>
      <c r="F418" s="1152" t="n">
        <f aca="false">'Смета Расходов'!G626</f>
        <v>0</v>
      </c>
    </row>
    <row r="419" customFormat="false" ht="15" hidden="false" customHeight="false" outlineLevel="0" collapsed="false">
      <c r="A419" s="1139"/>
      <c r="B419" s="1152" t="str">
        <f aca="false">'Смета Расходов'!B627</f>
        <v>Бензин для пилы</v>
      </c>
      <c r="C419" s="1153" t="str">
        <f aca="false">'Смета Расходов'!C627</f>
        <v>л</v>
      </c>
      <c r="D419" s="1152" t="n">
        <f aca="false">'Смета Расходов'!D627</f>
        <v>0.274956578947368</v>
      </c>
      <c r="E419" s="1152" t="n">
        <f aca="false">'Смета Расходов'!F627</f>
        <v>40</v>
      </c>
      <c r="F419" s="1152" t="n">
        <f aca="false">'Смета Расходов'!G627</f>
        <v>0</v>
      </c>
    </row>
    <row r="420" customFormat="false" ht="15" hidden="false" customHeight="false" outlineLevel="0" collapsed="false">
      <c r="A420" s="1139"/>
      <c r="B420" s="1152" t="str">
        <f aca="false">'Смета Расходов'!B628</f>
        <v>Масло для пилы</v>
      </c>
      <c r="C420" s="1153" t="str">
        <f aca="false">'Смета Расходов'!C628</f>
        <v>л</v>
      </c>
      <c r="D420" s="1152" t="n">
        <f aca="false">'Смета Расходов'!D628</f>
        <v>0.0137478289473684</v>
      </c>
      <c r="E420" s="1152" t="n">
        <f aca="false">'Смета Расходов'!F628</f>
        <v>250</v>
      </c>
      <c r="F420" s="1152" t="n">
        <f aca="false">'Смета Расходов'!G628</f>
        <v>0</v>
      </c>
    </row>
    <row r="421" customFormat="false" ht="15" hidden="false" customHeight="false" outlineLevel="0" collapsed="false">
      <c r="A421" s="1139"/>
      <c r="B421" s="1152" t="str">
        <f aca="false">'Смета Расходов'!B629</f>
        <v>Цепь для пилы</v>
      </c>
      <c r="C421" s="1153" t="str">
        <f aca="false">'Смета Расходов'!C629</f>
        <v>шт</v>
      </c>
      <c r="D421" s="1152" t="n">
        <f aca="false">'Смета Расходов'!D629</f>
        <v>1</v>
      </c>
      <c r="E421" s="1152" t="n">
        <f aca="false">'Смета Расходов'!F629</f>
        <v>800</v>
      </c>
      <c r="F421" s="1152" t="n">
        <f aca="false">'Смета Расходов'!G629</f>
        <v>0</v>
      </c>
    </row>
    <row r="422" customFormat="false" ht="15" hidden="false" customHeight="false" outlineLevel="0" collapsed="false">
      <c r="A422" s="1139"/>
      <c r="B422" s="1152" t="str">
        <f aca="false">'Смета Расходов'!B630</f>
        <v>"Профилюкс" Антисептик ОБЗ-1</v>
      </c>
      <c r="C422" s="1153" t="str">
        <f aca="false">'Смета Расходов'!C630</f>
        <v>л</v>
      </c>
      <c r="D422" s="1152" t="n">
        <f aca="false">'Смета Расходов'!D630</f>
        <v>1.81789473684211</v>
      </c>
      <c r="E422" s="1152" t="n">
        <f aca="false">'Смета Расходов'!F630</f>
        <v>42</v>
      </c>
      <c r="F422" s="1152" t="n">
        <f aca="false">'Смета Расходов'!G630</f>
        <v>0</v>
      </c>
    </row>
    <row r="423" customFormat="false" ht="15" hidden="false" customHeight="false" outlineLevel="0" collapsed="false">
      <c r="A423" s="1139"/>
      <c r="B423" s="1152" t="str">
        <f aca="false">'Смета Расходов'!B631</f>
        <v>Нет пропитки</v>
      </c>
      <c r="C423" s="1153" t="str">
        <f aca="false">'Смета Расходов'!C631</f>
        <v>л</v>
      </c>
      <c r="D423" s="1152" t="n">
        <f aca="false">'Смета Расходов'!D631</f>
        <v>1.09073684210526</v>
      </c>
      <c r="E423" s="1152" t="n">
        <f aca="false">'Смета Расходов'!F631</f>
        <v>0</v>
      </c>
      <c r="F423" s="1152" t="n">
        <f aca="false">'Смета Расходов'!G631</f>
        <v>0</v>
      </c>
    </row>
    <row r="424" customFormat="false" ht="15" hidden="false" customHeight="false" outlineLevel="0" collapsed="false">
      <c r="A424" s="1139"/>
      <c r="B424" s="1152" t="str">
        <f aca="false">'Смета Расходов'!B632</f>
        <v>Нет пропитки</v>
      </c>
      <c r="C424" s="1153" t="str">
        <f aca="false">'Смета Расходов'!C632</f>
        <v>л</v>
      </c>
      <c r="D424" s="1152" t="n">
        <f aca="false">'Смета Расходов'!D632</f>
        <v>1.09073684210526</v>
      </c>
      <c r="E424" s="1152" t="n">
        <f aca="false">'Смета Расходов'!F632</f>
        <v>0</v>
      </c>
      <c r="F424" s="1152" t="n">
        <f aca="false">'Смета Расходов'!G632</f>
        <v>0</v>
      </c>
    </row>
    <row r="425" customFormat="false" ht="15" hidden="false" customHeight="false" outlineLevel="0" collapsed="false">
      <c r="A425" s="1139"/>
      <c r="B425" s="1152" t="str">
        <f aca="false">'Смета Расходов'!B633</f>
        <v>Нет наличника</v>
      </c>
      <c r="C425" s="1153" t="str">
        <f aca="false">'Смета Расходов'!C633</f>
        <v>м.п.</v>
      </c>
      <c r="D425" s="1152" t="n">
        <f aca="false">'Смета Расходов'!D633</f>
        <v>3.57</v>
      </c>
      <c r="E425" s="1152" t="n">
        <f aca="false">'Смета Расходов'!F633</f>
        <v>0</v>
      </c>
      <c r="F425" s="1152" t="n">
        <f aca="false">'Смета Расходов'!G633</f>
        <v>0</v>
      </c>
    </row>
    <row r="426" customFormat="false" ht="15" hidden="false" customHeight="false" outlineLevel="0" collapsed="false">
      <c r="A426" s="1139"/>
      <c r="B426" s="1152" t="str">
        <f aca="false">'Смета Расходов'!B634</f>
        <v>Нет наличника</v>
      </c>
      <c r="C426" s="1153" t="str">
        <f aca="false">'Смета Расходов'!C634</f>
        <v>м.п.</v>
      </c>
      <c r="D426" s="1152" t="n">
        <f aca="false">'Смета Расходов'!D634</f>
        <v>3.57</v>
      </c>
      <c r="E426" s="1152" t="n">
        <f aca="false">'Смета Расходов'!F634</f>
        <v>0</v>
      </c>
      <c r="F426" s="1152" t="n">
        <f aca="false">'Смета Расходов'!G634</f>
        <v>0</v>
      </c>
    </row>
    <row r="427" customFormat="false" ht="15" hidden="false" customHeight="false" outlineLevel="0" collapsed="false">
      <c r="A427" s="1139"/>
      <c r="B427" s="1152" t="str">
        <f aca="false">'Смета Расходов'!B635</f>
        <v>Нет наждачной бумаги</v>
      </c>
      <c r="C427" s="1153" t="str">
        <f aca="false">'Смета Расходов'!C635</f>
        <v>м</v>
      </c>
      <c r="D427" s="1152" t="n">
        <f aca="false">'Смета Расходов'!D635</f>
        <v>0</v>
      </c>
      <c r="E427" s="1152" t="n">
        <f aca="false">'Смета Расходов'!F635</f>
        <v>0</v>
      </c>
      <c r="F427" s="1152" t="n">
        <f aca="false">'Смета Расходов'!G635</f>
        <v>0</v>
      </c>
    </row>
    <row r="428" customFormat="false" ht="15" hidden="false" customHeight="false" outlineLevel="0" collapsed="false">
      <c r="A428" s="1139"/>
      <c r="B428" s="1152" t="str">
        <f aca="false">'Смета Расходов'!B636</f>
        <v>Нет наждачной бумаги</v>
      </c>
      <c r="C428" s="1153" t="str">
        <f aca="false">'Смета Расходов'!C636</f>
        <v>м</v>
      </c>
      <c r="D428" s="1152" t="n">
        <f aca="false">'Смета Расходов'!D636</f>
        <v>0</v>
      </c>
      <c r="E428" s="1152" t="n">
        <f aca="false">'Смета Расходов'!F636</f>
        <v>0</v>
      </c>
      <c r="F428" s="1152" t="n">
        <f aca="false">'Смета Расходов'!G636</f>
        <v>0</v>
      </c>
    </row>
    <row r="429" customFormat="false" ht="15" hidden="false" customHeight="false" outlineLevel="0" collapsed="false">
      <c r="A429" s="1139"/>
      <c r="B429" s="1152" t="str">
        <f aca="false">'Смета Расходов'!B637</f>
        <v>Нет наждачной бумаги</v>
      </c>
      <c r="C429" s="1153" t="str">
        <f aca="false">'Смета Расходов'!C637</f>
        <v>м</v>
      </c>
      <c r="D429" s="1152" t="n">
        <f aca="false">'Смета Расходов'!D637</f>
        <v>0</v>
      </c>
      <c r="E429" s="1152" t="n">
        <f aca="false">'Смета Расходов'!F637</f>
        <v>0</v>
      </c>
      <c r="F429" s="1152" t="n">
        <f aca="false">'Смета Расходов'!G637</f>
        <v>0</v>
      </c>
    </row>
    <row r="430" customFormat="false" ht="15" hidden="false" customHeight="false" outlineLevel="0" collapsed="false">
      <c r="A430" s="1139"/>
      <c r="B430" s="1152" t="str">
        <f aca="false">'Смета Расходов'!B638</f>
        <v>Нет наждачной бумаги</v>
      </c>
      <c r="C430" s="1153" t="str">
        <f aca="false">'Смета Расходов'!C638</f>
        <v>м</v>
      </c>
      <c r="D430" s="1152" t="n">
        <f aca="false">'Смета Расходов'!D638</f>
        <v>0</v>
      </c>
      <c r="E430" s="1152" t="n">
        <f aca="false">'Смета Расходов'!F638</f>
        <v>0</v>
      </c>
      <c r="F430" s="1152" t="n">
        <f aca="false">'Смета Расходов'!G638</f>
        <v>0</v>
      </c>
    </row>
    <row r="431" customFormat="false" ht="15" hidden="false" customHeight="false" outlineLevel="0" collapsed="false">
      <c r="A431" s="1139"/>
      <c r="B431" s="1154" t="s">
        <v>2309</v>
      </c>
      <c r="C431" s="1154"/>
      <c r="D431" s="1154"/>
      <c r="E431" s="1154"/>
      <c r="F431" s="1152" t="n">
        <f aca="false">SUM(F408:F430)</f>
        <v>0</v>
      </c>
    </row>
    <row r="432" customFormat="false" ht="18.75" hidden="false" customHeight="false" outlineLevel="0" collapsed="false">
      <c r="A432" s="1139"/>
      <c r="B432" s="1150" t="str">
        <f aca="false">'Смета Расходов'!B651</f>
        <v>Дом из Профилированного бруса</v>
      </c>
      <c r="C432" s="1150"/>
      <c r="D432" s="1150"/>
      <c r="E432" s="1150"/>
      <c r="F432" s="1155" t="n">
        <f aca="false">'Смета Внутр'!H651</f>
        <v>0</v>
      </c>
    </row>
    <row r="433" customFormat="false" ht="15" hidden="false" customHeight="false" outlineLevel="0" collapsed="false">
      <c r="A433" s="1139"/>
      <c r="B433" s="1156" t="s">
        <v>2246</v>
      </c>
      <c r="C433" s="1156"/>
      <c r="D433" s="1156"/>
      <c r="E433" s="1156"/>
      <c r="F433" s="1155" t="n">
        <f aca="false">'Смета Внутр'!H652</f>
        <v>0</v>
      </c>
    </row>
    <row r="434" customFormat="false" ht="15" hidden="false" customHeight="false" outlineLevel="0" collapsed="false">
      <c r="A434" s="1139"/>
      <c r="B434" s="1152" t="str">
        <f aca="false">'Смета Расходов'!B653</f>
        <v>Листв. влаж, 200*200мм</v>
      </c>
      <c r="C434" s="1153" t="str">
        <f aca="false">'Смета Расходов'!C653</f>
        <v>м3</v>
      </c>
      <c r="D434" s="1152" t="n">
        <f aca="false">'Смета Расходов'!D653</f>
        <v>4.012</v>
      </c>
      <c r="E434" s="1152" t="n">
        <f aca="false">'Смета Расходов'!F653</f>
        <v>9000</v>
      </c>
      <c r="F434" s="1152" t="n">
        <f aca="false">'Смета Расходов'!G653</f>
        <v>0</v>
      </c>
    </row>
    <row r="435" customFormat="false" ht="15" hidden="false" customHeight="false" outlineLevel="0" collapsed="false">
      <c r="A435" s="1139"/>
      <c r="B435" s="1152" t="str">
        <f aca="false">'Смета Расходов'!B654</f>
        <v>Сосна влаж, 200*150мм</v>
      </c>
      <c r="C435" s="1153" t="str">
        <f aca="false">'Смета Расходов'!C654</f>
        <v>м3</v>
      </c>
      <c r="D435" s="1152" t="n">
        <f aca="false">'Смета Расходов'!D654</f>
        <v>-3.187</v>
      </c>
      <c r="E435" s="1152" t="n">
        <f aca="false">'Смета Расходов'!F654</f>
        <v>6500</v>
      </c>
      <c r="F435" s="1152" t="n">
        <f aca="false">'Смета Расходов'!G654</f>
        <v>0</v>
      </c>
    </row>
    <row r="436" customFormat="false" ht="15" hidden="false" customHeight="false" outlineLevel="0" collapsed="false">
      <c r="A436" s="1139"/>
      <c r="B436" s="1152" t="str">
        <f aca="false">'Смета Расходов'!B655</f>
        <v>Сосна влаж, 200*150мм</v>
      </c>
      <c r="C436" s="1153" t="str">
        <f aca="false">'Смета Расходов'!C655</f>
        <v>м3</v>
      </c>
      <c r="D436" s="1152" t="n">
        <f aca="false">'Смета Расходов'!D655</f>
        <v>0</v>
      </c>
      <c r="E436" s="1152" t="n">
        <f aca="false">'Смета Расходов'!F655</f>
        <v>6500</v>
      </c>
      <c r="F436" s="1152" t="n">
        <f aca="false">'Смета Расходов'!G655</f>
        <v>0</v>
      </c>
    </row>
    <row r="437" customFormat="false" ht="15" hidden="false" customHeight="false" outlineLevel="0" collapsed="false">
      <c r="A437" s="1139"/>
      <c r="B437" s="1152" t="str">
        <f aca="false">'Смета Расходов'!B656</f>
        <v>Сосна влаж, 200*100мм</v>
      </c>
      <c r="C437" s="1153" t="str">
        <f aca="false">'Смета Расходов'!C656</f>
        <v>м2</v>
      </c>
      <c r="D437" s="1152" t="n">
        <f aca="false">'Смета Расходов'!D656</f>
        <v>0</v>
      </c>
      <c r="E437" s="1152" t="n">
        <f aca="false">'Смета Расходов'!F656</f>
        <v>6500</v>
      </c>
      <c r="F437" s="1152" t="n">
        <f aca="false">'Смета Расходов'!G656</f>
        <v>0</v>
      </c>
    </row>
    <row r="438" customFormat="false" ht="15" hidden="false" customHeight="false" outlineLevel="0" collapsed="false">
      <c r="A438" s="1139"/>
      <c r="B438" s="1152" t="str">
        <f aca="false">'Смета Расходов'!B657</f>
        <v>Шкант</v>
      </c>
      <c r="C438" s="1153" t="str">
        <f aca="false">'Смета Расходов'!C657</f>
        <v>шт</v>
      </c>
      <c r="D438" s="1152" t="n">
        <f aca="false">'Смета Расходов'!D657</f>
        <v>19</v>
      </c>
      <c r="E438" s="1152" t="n">
        <f aca="false">'Смета Расходов'!F657</f>
        <v>6</v>
      </c>
      <c r="F438" s="1152" t="n">
        <f aca="false">'Смета Расходов'!G657</f>
        <v>0</v>
      </c>
    </row>
    <row r="439" customFormat="false" ht="15" hidden="false" customHeight="false" outlineLevel="0" collapsed="false">
      <c r="A439" s="1139"/>
      <c r="B439" s="1152" t="str">
        <f aca="false">'Смета Расходов'!B658</f>
        <v>Лента уплотнения</v>
      </c>
      <c r="C439" s="1153" t="str">
        <f aca="false">'Смета Расходов'!C658</f>
        <v>шт</v>
      </c>
      <c r="D439" s="1152" t="n">
        <f aca="false">'Смета Расходов'!D658</f>
        <v>0</v>
      </c>
      <c r="E439" s="1152" t="n">
        <f aca="false">'Смета Расходов'!F658</f>
        <v>130</v>
      </c>
      <c r="F439" s="1152" t="n">
        <f aca="false">'Смета Расходов'!G658</f>
        <v>0</v>
      </c>
    </row>
    <row r="440" customFormat="false" ht="15" hidden="false" customHeight="false" outlineLevel="0" collapsed="false">
      <c r="A440" s="1139"/>
      <c r="B440" s="1152" t="str">
        <f aca="false">'Смета Расходов'!B659</f>
        <v>Гвозди строительные 3,5 x 90            </v>
      </c>
      <c r="C440" s="1153" t="str">
        <f aca="false">'Смета Расходов'!C659</f>
        <v>шт</v>
      </c>
      <c r="D440" s="1152" t="n">
        <f aca="false">'Смета Расходов'!D659</f>
        <v>4.4</v>
      </c>
      <c r="E440" s="1152" t="n">
        <f aca="false">'Смета Расходов'!F659</f>
        <v>70</v>
      </c>
      <c r="F440" s="1152" t="n">
        <f aca="false">'Смета Расходов'!G659</f>
        <v>0</v>
      </c>
    </row>
    <row r="441" customFormat="false" ht="15" hidden="false" customHeight="false" outlineLevel="0" collapsed="false">
      <c r="A441" s="1139"/>
      <c r="B441" s="1152" t="str">
        <f aca="false">'Смета Расходов'!B660</f>
        <v>нет</v>
      </c>
      <c r="C441" s="1153" t="str">
        <f aca="false">'Смета Расходов'!C660</f>
        <v>м3</v>
      </c>
      <c r="D441" s="1152" t="n">
        <f aca="false">'Смета Расходов'!D660</f>
        <v>0</v>
      </c>
      <c r="E441" s="1152" t="n">
        <f aca="false">'Смета Расходов'!F660</f>
        <v>0</v>
      </c>
      <c r="F441" s="1152" t="n">
        <f aca="false">'Смета Расходов'!G660</f>
        <v>0</v>
      </c>
    </row>
    <row r="442" customFormat="false" ht="15" hidden="false" customHeight="false" outlineLevel="0" collapsed="false">
      <c r="A442" s="1139"/>
      <c r="B442" s="1152" t="str">
        <f aca="false">'Смета Расходов'!B661</f>
        <v>нет</v>
      </c>
      <c r="C442" s="1153" t="str">
        <f aca="false">'Смета Расходов'!C661</f>
        <v>м3</v>
      </c>
      <c r="D442" s="1152" t="n">
        <f aca="false">'Смета Расходов'!D661</f>
        <v>0</v>
      </c>
      <c r="E442" s="1152" t="n">
        <f aca="false">'Смета Расходов'!F661</f>
        <v>0</v>
      </c>
      <c r="F442" s="1152" t="n">
        <f aca="false">'Смета Расходов'!G661</f>
        <v>0</v>
      </c>
    </row>
    <row r="443" customFormat="false" ht="15" hidden="false" customHeight="false" outlineLevel="0" collapsed="false">
      <c r="A443" s="1139"/>
      <c r="B443" s="1152" t="str">
        <f aca="false">'Смета Расходов'!B662</f>
        <v>нет</v>
      </c>
      <c r="C443" s="1153" t="str">
        <f aca="false">'Смета Расходов'!C662</f>
        <v>м3</v>
      </c>
      <c r="D443" s="1152" t="n">
        <f aca="false">'Смета Расходов'!D662</f>
        <v>0</v>
      </c>
      <c r="E443" s="1152" t="n">
        <f aca="false">'Смета Расходов'!F662</f>
        <v>0</v>
      </c>
      <c r="F443" s="1152" t="n">
        <f aca="false">'Смета Расходов'!G662</f>
        <v>0</v>
      </c>
    </row>
    <row r="444" customFormat="false" ht="15" hidden="false" customHeight="false" outlineLevel="0" collapsed="false">
      <c r="A444" s="1139"/>
      <c r="B444" s="1152" t="str">
        <f aca="false">'Смета Расходов'!B663</f>
        <v>нет</v>
      </c>
      <c r="C444" s="1153" t="str">
        <f aca="false">'Смета Расходов'!C663</f>
        <v>м.п.</v>
      </c>
      <c r="D444" s="1152" t="n">
        <f aca="false">'Смета Расходов'!D663</f>
        <v>0</v>
      </c>
      <c r="E444" s="1152" t="n">
        <f aca="false">'Смета Расходов'!F663</f>
        <v>0</v>
      </c>
      <c r="F444" s="1152" t="n">
        <f aca="false">'Смета Расходов'!G663</f>
        <v>0</v>
      </c>
    </row>
    <row r="445" customFormat="false" ht="15" hidden="false" customHeight="false" outlineLevel="0" collapsed="false">
      <c r="A445" s="1139"/>
      <c r="B445" s="1152" t="str">
        <f aca="false">'Смета Расходов'!B664</f>
        <v>Бензин для пилы</v>
      </c>
      <c r="C445" s="1153" t="str">
        <f aca="false">'Смета Расходов'!C664</f>
        <v>л</v>
      </c>
      <c r="D445" s="1152" t="n">
        <f aca="false">'Смета Расходов'!D664</f>
        <v>0.165</v>
      </c>
      <c r="E445" s="1152" t="n">
        <f aca="false">'Смета Расходов'!F664</f>
        <v>40</v>
      </c>
      <c r="F445" s="1152" t="n">
        <f aca="false">'Смета Расходов'!G664</f>
        <v>0</v>
      </c>
    </row>
    <row r="446" customFormat="false" ht="15" hidden="false" customHeight="false" outlineLevel="0" collapsed="false">
      <c r="A446" s="1139"/>
      <c r="B446" s="1152" t="str">
        <f aca="false">'Смета Расходов'!B665</f>
        <v>Масло для пилы</v>
      </c>
      <c r="C446" s="1153" t="str">
        <f aca="false">'Смета Расходов'!C665</f>
        <v>л</v>
      </c>
      <c r="D446" s="1152" t="n">
        <f aca="false">'Смета Расходов'!D665</f>
        <v>0.00825</v>
      </c>
      <c r="E446" s="1152" t="n">
        <f aca="false">'Смета Расходов'!F665</f>
        <v>250</v>
      </c>
      <c r="F446" s="1152" t="n">
        <f aca="false">'Смета Расходов'!G665</f>
        <v>0</v>
      </c>
    </row>
    <row r="447" customFormat="false" ht="15" hidden="false" customHeight="false" outlineLevel="0" collapsed="false">
      <c r="A447" s="1139"/>
      <c r="B447" s="1152" t="str">
        <f aca="false">'Смета Расходов'!B666</f>
        <v>Цепь для пилы</v>
      </c>
      <c r="C447" s="1153" t="str">
        <f aca="false">'Смета Расходов'!C666</f>
        <v>шт</v>
      </c>
      <c r="D447" s="1152" t="n">
        <f aca="false">'Смета Расходов'!D666</f>
        <v>1</v>
      </c>
      <c r="E447" s="1152" t="n">
        <f aca="false">'Смета Расходов'!F666</f>
        <v>800</v>
      </c>
      <c r="F447" s="1152" t="n">
        <f aca="false">'Смета Расходов'!G666</f>
        <v>0</v>
      </c>
    </row>
    <row r="448" customFormat="false" ht="15" hidden="false" customHeight="false" outlineLevel="0" collapsed="false">
      <c r="A448" s="1139"/>
      <c r="B448" s="1152" t="str">
        <f aca="false">'Смета Расходов'!B667</f>
        <v>"Профилюкс" Антисептик ОБЗ-1</v>
      </c>
      <c r="C448" s="1153" t="str">
        <f aca="false">'Смета Расходов'!C667</f>
        <v>л</v>
      </c>
      <c r="D448" s="1152" t="n">
        <f aca="false">'Смета Расходов'!D667</f>
        <v>0</v>
      </c>
      <c r="E448" s="1152" t="n">
        <f aca="false">'Смета Расходов'!F667</f>
        <v>42</v>
      </c>
      <c r="F448" s="1152" t="n">
        <f aca="false">'Смета Расходов'!G667</f>
        <v>0</v>
      </c>
    </row>
    <row r="449" customFormat="false" ht="15" hidden="false" customHeight="false" outlineLevel="0" collapsed="false">
      <c r="A449" s="1139"/>
      <c r="B449" s="1152" t="str">
        <f aca="false">'Смета Расходов'!B668</f>
        <v>Нет пропитки</v>
      </c>
      <c r="C449" s="1153" t="str">
        <f aca="false">'Смета Расходов'!C668</f>
        <v>л</v>
      </c>
      <c r="D449" s="1152" t="n">
        <f aca="false">'Смета Расходов'!D668</f>
        <v>0</v>
      </c>
      <c r="E449" s="1152" t="n">
        <f aca="false">'Смета Расходов'!F668</f>
        <v>0</v>
      </c>
      <c r="F449" s="1152" t="n">
        <f aca="false">'Смета Расходов'!G668</f>
        <v>0</v>
      </c>
    </row>
    <row r="450" customFormat="false" ht="15" hidden="false" customHeight="false" outlineLevel="0" collapsed="false">
      <c r="A450" s="1139"/>
      <c r="B450" s="1152" t="str">
        <f aca="false">'Смета Расходов'!B669</f>
        <v>Нет пропитки</v>
      </c>
      <c r="C450" s="1153" t="str">
        <f aca="false">'Смета Расходов'!C669</f>
        <v>л</v>
      </c>
      <c r="D450" s="1152" t="n">
        <f aca="false">'Смета Расходов'!D669</f>
        <v>0</v>
      </c>
      <c r="E450" s="1152" t="n">
        <f aca="false">'Смета Расходов'!F669</f>
        <v>0</v>
      </c>
      <c r="F450" s="1152" t="n">
        <f aca="false">'Смета Расходов'!G669</f>
        <v>0</v>
      </c>
    </row>
    <row r="451" customFormat="false" ht="15" hidden="false" customHeight="false" outlineLevel="0" collapsed="false">
      <c r="A451" s="1139"/>
      <c r="B451" s="1152" t="str">
        <f aca="false">'Смета Расходов'!B670</f>
        <v>Нет наличника</v>
      </c>
      <c r="C451" s="1153" t="str">
        <f aca="false">'Смета Расходов'!C670</f>
        <v>м.п.</v>
      </c>
      <c r="D451" s="1152" t="n">
        <f aca="false">'Смета Расходов'!D670</f>
        <v>3.57</v>
      </c>
      <c r="E451" s="1152" t="n">
        <f aca="false">'Смета Расходов'!F670</f>
        <v>0</v>
      </c>
      <c r="F451" s="1152" t="n">
        <f aca="false">'Смета Расходов'!G670</f>
        <v>0</v>
      </c>
    </row>
    <row r="452" customFormat="false" ht="15" hidden="false" customHeight="false" outlineLevel="0" collapsed="false">
      <c r="A452" s="1139"/>
      <c r="B452" s="1152" t="str">
        <f aca="false">'Смета Расходов'!B671</f>
        <v>Нет наличника</v>
      </c>
      <c r="C452" s="1153" t="str">
        <f aca="false">'Смета Расходов'!C671</f>
        <v>м.п.</v>
      </c>
      <c r="D452" s="1152" t="n">
        <f aca="false">'Смета Расходов'!D671</f>
        <v>3.57</v>
      </c>
      <c r="E452" s="1152" t="n">
        <f aca="false">'Смета Расходов'!F671</f>
        <v>0</v>
      </c>
      <c r="F452" s="1152" t="n">
        <f aca="false">'Смета Расходов'!G671</f>
        <v>0</v>
      </c>
    </row>
    <row r="453" customFormat="false" ht="15" hidden="false" customHeight="false" outlineLevel="0" collapsed="false">
      <c r="A453" s="1139"/>
      <c r="B453" s="1152" t="str">
        <f aca="false">'Смета Расходов'!B672</f>
        <v>Нет наждачной бумаги</v>
      </c>
      <c r="C453" s="1153" t="str">
        <f aca="false">'Смета Расходов'!C672</f>
        <v>м</v>
      </c>
      <c r="D453" s="1152" t="n">
        <f aca="false">'Смета Расходов'!D672</f>
        <v>0</v>
      </c>
      <c r="E453" s="1152" t="n">
        <f aca="false">'Смета Расходов'!F672</f>
        <v>0</v>
      </c>
      <c r="F453" s="1152" t="n">
        <f aca="false">'Смета Расходов'!G672</f>
        <v>0</v>
      </c>
    </row>
    <row r="454" customFormat="false" ht="15" hidden="false" customHeight="false" outlineLevel="0" collapsed="false">
      <c r="A454" s="1139"/>
      <c r="B454" s="1152" t="str">
        <f aca="false">'Смета Расходов'!B673</f>
        <v>Нет наждачной бумаги</v>
      </c>
      <c r="C454" s="1153" t="str">
        <f aca="false">'Смета Расходов'!C673</f>
        <v>м</v>
      </c>
      <c r="D454" s="1152" t="n">
        <f aca="false">'Смета Расходов'!D673</f>
        <v>0</v>
      </c>
      <c r="E454" s="1152" t="n">
        <f aca="false">'Смета Расходов'!F673</f>
        <v>0</v>
      </c>
      <c r="F454" s="1152" t="n">
        <f aca="false">'Смета Расходов'!G673</f>
        <v>0</v>
      </c>
    </row>
    <row r="455" customFormat="false" ht="15" hidden="false" customHeight="false" outlineLevel="0" collapsed="false">
      <c r="A455" s="1139"/>
      <c r="B455" s="1152" t="str">
        <f aca="false">'Смета Расходов'!B674</f>
        <v>Нет наждачной бумаги</v>
      </c>
      <c r="C455" s="1153" t="str">
        <f aca="false">'Смета Расходов'!C674</f>
        <v>м</v>
      </c>
      <c r="D455" s="1152" t="n">
        <f aca="false">'Смета Расходов'!D674</f>
        <v>0</v>
      </c>
      <c r="E455" s="1152" t="n">
        <f aca="false">'Смета Расходов'!F674</f>
        <v>0</v>
      </c>
      <c r="F455" s="1152" t="n">
        <f aca="false">'Смета Расходов'!G674</f>
        <v>0</v>
      </c>
    </row>
    <row r="456" customFormat="false" ht="15" hidden="false" customHeight="false" outlineLevel="0" collapsed="false">
      <c r="A456" s="1139"/>
      <c r="B456" s="1152" t="str">
        <f aca="false">'Смета Расходов'!B675</f>
        <v>Нет наждачной бумаги</v>
      </c>
      <c r="C456" s="1153" t="str">
        <f aca="false">'Смета Расходов'!C675</f>
        <v>м</v>
      </c>
      <c r="D456" s="1152" t="n">
        <f aca="false">'Смета Расходов'!D675</f>
        <v>0</v>
      </c>
      <c r="E456" s="1152" t="n">
        <f aca="false">'Смета Расходов'!F675</f>
        <v>0</v>
      </c>
      <c r="F456" s="1152" t="n">
        <f aca="false">'Смета Расходов'!G675</f>
        <v>0</v>
      </c>
    </row>
    <row r="457" customFormat="false" ht="15" hidden="false" customHeight="false" outlineLevel="0" collapsed="false">
      <c r="A457" s="1139"/>
      <c r="B457" s="1154" t="s">
        <v>2309</v>
      </c>
      <c r="C457" s="1154"/>
      <c r="D457" s="1154"/>
      <c r="E457" s="1154"/>
      <c r="F457" s="1152" t="n">
        <f aca="false">SUM(F434:F456)</f>
        <v>0</v>
      </c>
    </row>
    <row r="458" customFormat="false" ht="18.75" hidden="false" customHeight="false" outlineLevel="0" collapsed="false">
      <c r="A458" s="1139"/>
      <c r="B458" s="1150" t="str">
        <f aca="false">'Смета Расходов'!B688</f>
        <v>Дом из Клееного бруса</v>
      </c>
      <c r="C458" s="1150"/>
      <c r="D458" s="1150"/>
      <c r="E458" s="1150"/>
      <c r="F458" s="1155" t="n">
        <f aca="false">'Смета Внутр'!H688</f>
        <v>0</v>
      </c>
    </row>
    <row r="459" customFormat="false" ht="15" hidden="false" customHeight="false" outlineLevel="0" collapsed="false">
      <c r="A459" s="1139"/>
      <c r="B459" s="1156" t="s">
        <v>2246</v>
      </c>
      <c r="C459" s="1156"/>
      <c r="D459" s="1156"/>
      <c r="E459" s="1156"/>
      <c r="F459" s="1155" t="n">
        <f aca="false">'Смета Внутр'!H689</f>
        <v>0</v>
      </c>
    </row>
    <row r="460" customFormat="false" ht="15" hidden="false" customHeight="false" outlineLevel="0" collapsed="false">
      <c r="A460" s="1139"/>
      <c r="B460" s="1152" t="str">
        <f aca="false">'Смета Расходов'!B690</f>
        <v>Листв. влаж, 200*200мм</v>
      </c>
      <c r="C460" s="1153" t="str">
        <f aca="false">'Смета Расходов'!C690</f>
        <v>м3</v>
      </c>
      <c r="D460" s="1152" t="n">
        <f aca="false">'Смета Расходов'!D690</f>
        <v>4.012</v>
      </c>
      <c r="E460" s="1152" t="n">
        <f aca="false">'Смета Расходов'!F690</f>
        <v>9000</v>
      </c>
      <c r="F460" s="1152" t="n">
        <f aca="false">'Смета Расходов'!G690</f>
        <v>0</v>
      </c>
    </row>
    <row r="461" customFormat="false" ht="15" hidden="false" customHeight="false" outlineLevel="0" collapsed="false">
      <c r="A461" s="1139"/>
      <c r="B461" s="1152" t="str">
        <f aca="false">'Смета Расходов'!B691</f>
        <v>Сосна влаж, 200*150мм</v>
      </c>
      <c r="C461" s="1153" t="str">
        <f aca="false">'Смета Расходов'!C691</f>
        <v>м3</v>
      </c>
      <c r="D461" s="1152" t="n">
        <f aca="false">'Смета Расходов'!D691</f>
        <v>-3.187</v>
      </c>
      <c r="E461" s="1152" t="n">
        <f aca="false">'Смета Расходов'!F691</f>
        <v>6500</v>
      </c>
      <c r="F461" s="1152" t="n">
        <f aca="false">'Смета Расходов'!G691</f>
        <v>0</v>
      </c>
    </row>
    <row r="462" customFormat="false" ht="15" hidden="false" customHeight="false" outlineLevel="0" collapsed="false">
      <c r="A462" s="1139"/>
      <c r="B462" s="1152" t="str">
        <f aca="false">'Смета Расходов'!B692</f>
        <v>Сосна влаж, 200*150мм</v>
      </c>
      <c r="C462" s="1153" t="str">
        <f aca="false">'Смета Расходов'!C692</f>
        <v>м3</v>
      </c>
      <c r="D462" s="1152" t="n">
        <f aca="false">'Смета Расходов'!D692</f>
        <v>0</v>
      </c>
      <c r="E462" s="1152" t="n">
        <f aca="false">'Смета Расходов'!F692</f>
        <v>6500</v>
      </c>
      <c r="F462" s="1152" t="n">
        <f aca="false">'Смета Расходов'!G692</f>
        <v>0</v>
      </c>
    </row>
    <row r="463" customFormat="false" ht="15" hidden="false" customHeight="false" outlineLevel="0" collapsed="false">
      <c r="A463" s="1139"/>
      <c r="B463" s="1152" t="str">
        <f aca="false">'Смета Расходов'!B693</f>
        <v>Сосна влаж, 200*100мм</v>
      </c>
      <c r="C463" s="1153" t="str">
        <f aca="false">'Смета Расходов'!C693</f>
        <v>м2</v>
      </c>
      <c r="D463" s="1152" t="n">
        <f aca="false">'Смета Расходов'!D693</f>
        <v>0</v>
      </c>
      <c r="E463" s="1152" t="n">
        <f aca="false">'Смета Расходов'!F693</f>
        <v>6500</v>
      </c>
      <c r="F463" s="1152" t="n">
        <f aca="false">'Смета Расходов'!G693</f>
        <v>0</v>
      </c>
    </row>
    <row r="464" customFormat="false" ht="15" hidden="false" customHeight="false" outlineLevel="0" collapsed="false">
      <c r="A464" s="1139"/>
      <c r="B464" s="1152" t="str">
        <f aca="false">'Смета Расходов'!B694</f>
        <v>Шкант</v>
      </c>
      <c r="C464" s="1153" t="str">
        <f aca="false">'Смета Расходов'!C694</f>
        <v>шт</v>
      </c>
      <c r="D464" s="1152" t="n">
        <f aca="false">'Смета Расходов'!D694</f>
        <v>19</v>
      </c>
      <c r="E464" s="1152" t="n">
        <f aca="false">'Смета Расходов'!F694</f>
        <v>6</v>
      </c>
      <c r="F464" s="1152" t="n">
        <f aca="false">'Смета Расходов'!G694</f>
        <v>0</v>
      </c>
    </row>
    <row r="465" customFormat="false" ht="15" hidden="false" customHeight="false" outlineLevel="0" collapsed="false">
      <c r="A465" s="1139"/>
      <c r="B465" s="1152" t="str">
        <f aca="false">'Смета Расходов'!B695</f>
        <v>Лента уплотнения</v>
      </c>
      <c r="C465" s="1153" t="str">
        <f aca="false">'Смета Расходов'!C695</f>
        <v>шт</v>
      </c>
      <c r="D465" s="1152" t="n">
        <f aca="false">'Смета Расходов'!D695</f>
        <v>0</v>
      </c>
      <c r="E465" s="1152" t="n">
        <f aca="false">'Смета Расходов'!F695</f>
        <v>130</v>
      </c>
      <c r="F465" s="1152" t="n">
        <f aca="false">'Смета Расходов'!G695</f>
        <v>0</v>
      </c>
    </row>
    <row r="466" customFormat="false" ht="15" hidden="false" customHeight="false" outlineLevel="0" collapsed="false">
      <c r="A466" s="1139"/>
      <c r="B466" s="1152" t="str">
        <f aca="false">'Смета Расходов'!B696</f>
        <v>Гвозди строительные 3,5 x 90            </v>
      </c>
      <c r="C466" s="1153" t="str">
        <f aca="false">'Смета Расходов'!C696</f>
        <v>шт</v>
      </c>
      <c r="D466" s="1152" t="n">
        <f aca="false">'Смета Расходов'!D696</f>
        <v>4.4</v>
      </c>
      <c r="E466" s="1152" t="n">
        <f aca="false">'Смета Расходов'!F696</f>
        <v>70</v>
      </c>
      <c r="F466" s="1152" t="n">
        <f aca="false">'Смета Расходов'!G696</f>
        <v>0</v>
      </c>
    </row>
    <row r="467" customFormat="false" ht="15" hidden="false" customHeight="false" outlineLevel="0" collapsed="false">
      <c r="A467" s="1139"/>
      <c r="B467" s="1152" t="str">
        <f aca="false">'Смета Расходов'!B697</f>
        <v>нет</v>
      </c>
      <c r="C467" s="1153" t="str">
        <f aca="false">'Смета Расходов'!C697</f>
        <v>м3</v>
      </c>
      <c r="D467" s="1152" t="n">
        <f aca="false">'Смета Расходов'!D697</f>
        <v>0</v>
      </c>
      <c r="E467" s="1152" t="n">
        <f aca="false">'Смета Расходов'!F697</f>
        <v>0</v>
      </c>
      <c r="F467" s="1152" t="n">
        <f aca="false">'Смета Расходов'!G697</f>
        <v>0</v>
      </c>
    </row>
    <row r="468" customFormat="false" ht="15" hidden="false" customHeight="false" outlineLevel="0" collapsed="false">
      <c r="A468" s="1139"/>
      <c r="B468" s="1152" t="str">
        <f aca="false">'Смета Расходов'!B698</f>
        <v>нет</v>
      </c>
      <c r="C468" s="1153" t="str">
        <f aca="false">'Смета Расходов'!C698</f>
        <v>м3</v>
      </c>
      <c r="D468" s="1152" t="n">
        <f aca="false">'Смета Расходов'!D698</f>
        <v>0</v>
      </c>
      <c r="E468" s="1152" t="n">
        <f aca="false">'Смета Расходов'!F698</f>
        <v>0</v>
      </c>
      <c r="F468" s="1152" t="n">
        <f aca="false">'Смета Расходов'!G698</f>
        <v>0</v>
      </c>
    </row>
    <row r="469" customFormat="false" ht="15" hidden="false" customHeight="false" outlineLevel="0" collapsed="false">
      <c r="A469" s="1139"/>
      <c r="B469" s="1152" t="str">
        <f aca="false">'Смета Расходов'!B699</f>
        <v>нет</v>
      </c>
      <c r="C469" s="1153" t="str">
        <f aca="false">'Смета Расходов'!C699</f>
        <v>м3</v>
      </c>
      <c r="D469" s="1152" t="n">
        <f aca="false">'Смета Расходов'!D699</f>
        <v>0</v>
      </c>
      <c r="E469" s="1152" t="n">
        <f aca="false">'Смета Расходов'!F699</f>
        <v>0</v>
      </c>
      <c r="F469" s="1152" t="n">
        <f aca="false">'Смета Расходов'!G699</f>
        <v>0</v>
      </c>
    </row>
    <row r="470" customFormat="false" ht="15" hidden="false" customHeight="false" outlineLevel="0" collapsed="false">
      <c r="A470" s="1139"/>
      <c r="B470" s="1152" t="str">
        <f aca="false">'Смета Расходов'!B700</f>
        <v>нет</v>
      </c>
      <c r="C470" s="1153" t="str">
        <f aca="false">'Смета Расходов'!C700</f>
        <v>м.п.</v>
      </c>
      <c r="D470" s="1152" t="n">
        <f aca="false">'Смета Расходов'!D700</f>
        <v>0</v>
      </c>
      <c r="E470" s="1152" t="n">
        <f aca="false">'Смета Расходов'!F700</f>
        <v>0</v>
      </c>
      <c r="F470" s="1152" t="n">
        <f aca="false">'Смета Расходов'!G700</f>
        <v>0</v>
      </c>
    </row>
    <row r="471" customFormat="false" ht="15" hidden="false" customHeight="false" outlineLevel="0" collapsed="false">
      <c r="A471" s="1139"/>
      <c r="B471" s="1152" t="str">
        <f aca="false">'Смета Расходов'!B701</f>
        <v>Бензин для пилы</v>
      </c>
      <c r="C471" s="1153" t="str">
        <f aca="false">'Смета Расходов'!C701</f>
        <v>л</v>
      </c>
      <c r="D471" s="1152" t="n">
        <f aca="false">'Смета Расходов'!D701</f>
        <v>0.165</v>
      </c>
      <c r="E471" s="1152" t="n">
        <f aca="false">'Смета Расходов'!F701</f>
        <v>40</v>
      </c>
      <c r="F471" s="1152" t="n">
        <f aca="false">'Смета Расходов'!G701</f>
        <v>0</v>
      </c>
    </row>
    <row r="472" customFormat="false" ht="15" hidden="false" customHeight="false" outlineLevel="0" collapsed="false">
      <c r="A472" s="1139"/>
      <c r="B472" s="1152" t="str">
        <f aca="false">'Смета Расходов'!B702</f>
        <v>Масло для пилы</v>
      </c>
      <c r="C472" s="1153" t="str">
        <f aca="false">'Смета Расходов'!C702</f>
        <v>л</v>
      </c>
      <c r="D472" s="1152" t="n">
        <f aca="false">'Смета Расходов'!D702</f>
        <v>0.00825</v>
      </c>
      <c r="E472" s="1152" t="n">
        <f aca="false">'Смета Расходов'!F702</f>
        <v>250</v>
      </c>
      <c r="F472" s="1152" t="n">
        <f aca="false">'Смета Расходов'!G702</f>
        <v>0</v>
      </c>
    </row>
    <row r="473" customFormat="false" ht="15" hidden="false" customHeight="false" outlineLevel="0" collapsed="false">
      <c r="A473" s="1139"/>
      <c r="B473" s="1152" t="str">
        <f aca="false">'Смета Расходов'!B703</f>
        <v>Цепь для пилы</v>
      </c>
      <c r="C473" s="1153" t="str">
        <f aca="false">'Смета Расходов'!C703</f>
        <v>шт</v>
      </c>
      <c r="D473" s="1152" t="n">
        <f aca="false">'Смета Расходов'!D703</f>
        <v>1</v>
      </c>
      <c r="E473" s="1152" t="n">
        <f aca="false">'Смета Расходов'!F703</f>
        <v>800</v>
      </c>
      <c r="F473" s="1152" t="n">
        <f aca="false">'Смета Расходов'!G703</f>
        <v>0</v>
      </c>
    </row>
    <row r="474" customFormat="false" ht="15" hidden="false" customHeight="false" outlineLevel="0" collapsed="false">
      <c r="A474" s="1139"/>
      <c r="B474" s="1152" t="str">
        <f aca="false">'Смета Расходов'!B704</f>
        <v>"Профилюкс" Антисептик ОБЗ-1</v>
      </c>
      <c r="C474" s="1153" t="str">
        <f aca="false">'Смета Расходов'!C704</f>
        <v>л</v>
      </c>
      <c r="D474" s="1152" t="n">
        <f aca="false">'Смета Расходов'!D704</f>
        <v>0</v>
      </c>
      <c r="E474" s="1152" t="n">
        <f aca="false">'Смета Расходов'!F704</f>
        <v>42</v>
      </c>
      <c r="F474" s="1152" t="n">
        <f aca="false">'Смета Расходов'!G704</f>
        <v>0</v>
      </c>
    </row>
    <row r="475" customFormat="false" ht="15" hidden="false" customHeight="false" outlineLevel="0" collapsed="false">
      <c r="A475" s="1139"/>
      <c r="B475" s="1152" t="str">
        <f aca="false">'Смета Расходов'!B705</f>
        <v>Нет пропитки</v>
      </c>
      <c r="C475" s="1153" t="str">
        <f aca="false">'Смета Расходов'!C705</f>
        <v>л</v>
      </c>
      <c r="D475" s="1152" t="n">
        <f aca="false">'Смета Расходов'!D705</f>
        <v>0</v>
      </c>
      <c r="E475" s="1152" t="n">
        <f aca="false">'Смета Расходов'!F705</f>
        <v>0</v>
      </c>
      <c r="F475" s="1152" t="n">
        <f aca="false">'Смета Расходов'!G705</f>
        <v>0</v>
      </c>
    </row>
    <row r="476" customFormat="false" ht="15" hidden="false" customHeight="false" outlineLevel="0" collapsed="false">
      <c r="A476" s="1139"/>
      <c r="B476" s="1152" t="str">
        <f aca="false">'Смета Расходов'!B706</f>
        <v>Нет пропитки</v>
      </c>
      <c r="C476" s="1153" t="str">
        <f aca="false">'Смета Расходов'!C706</f>
        <v>л</v>
      </c>
      <c r="D476" s="1152" t="n">
        <f aca="false">'Смета Расходов'!D706</f>
        <v>0</v>
      </c>
      <c r="E476" s="1152" t="n">
        <f aca="false">'Смета Расходов'!F706</f>
        <v>0</v>
      </c>
      <c r="F476" s="1152" t="n">
        <f aca="false">'Смета Расходов'!G706</f>
        <v>0</v>
      </c>
    </row>
    <row r="477" customFormat="false" ht="15" hidden="false" customHeight="false" outlineLevel="0" collapsed="false">
      <c r="A477" s="1139"/>
      <c r="B477" s="1152" t="str">
        <f aca="false">'Смета Расходов'!B707</f>
        <v>Нет наличника</v>
      </c>
      <c r="C477" s="1153" t="str">
        <f aca="false">'Смета Расходов'!C707</f>
        <v>м.п.</v>
      </c>
      <c r="D477" s="1152" t="n">
        <f aca="false">'Смета Расходов'!D707</f>
        <v>3.57</v>
      </c>
      <c r="E477" s="1152" t="n">
        <f aca="false">'Смета Расходов'!F707</f>
        <v>0</v>
      </c>
      <c r="F477" s="1152" t="n">
        <f aca="false">'Смета Расходов'!G707</f>
        <v>0</v>
      </c>
    </row>
    <row r="478" customFormat="false" ht="15" hidden="false" customHeight="false" outlineLevel="0" collapsed="false">
      <c r="A478" s="1139"/>
      <c r="B478" s="1152" t="str">
        <f aca="false">'Смета Расходов'!B708</f>
        <v>Нет наличника</v>
      </c>
      <c r="C478" s="1153" t="str">
        <f aca="false">'Смета Расходов'!C708</f>
        <v>м.п.</v>
      </c>
      <c r="D478" s="1152" t="n">
        <f aca="false">'Смета Расходов'!D708</f>
        <v>3.57</v>
      </c>
      <c r="E478" s="1152" t="n">
        <f aca="false">'Смета Расходов'!F708</f>
        <v>0</v>
      </c>
      <c r="F478" s="1152" t="n">
        <f aca="false">'Смета Расходов'!G708</f>
        <v>0</v>
      </c>
    </row>
    <row r="479" customFormat="false" ht="15" hidden="false" customHeight="false" outlineLevel="0" collapsed="false">
      <c r="A479" s="1139"/>
      <c r="B479" s="1152" t="str">
        <f aca="false">'Смета Расходов'!B709</f>
        <v>Нет наждачной бумаги</v>
      </c>
      <c r="C479" s="1153" t="str">
        <f aca="false">'Смета Расходов'!C709</f>
        <v>м</v>
      </c>
      <c r="D479" s="1152" t="n">
        <f aca="false">'Смета Расходов'!D709</f>
        <v>0</v>
      </c>
      <c r="E479" s="1152" t="n">
        <f aca="false">'Смета Расходов'!F709</f>
        <v>0</v>
      </c>
      <c r="F479" s="1152" t="n">
        <f aca="false">'Смета Расходов'!G709</f>
        <v>0</v>
      </c>
    </row>
    <row r="480" customFormat="false" ht="15" hidden="false" customHeight="false" outlineLevel="0" collapsed="false">
      <c r="A480" s="1139"/>
      <c r="B480" s="1152" t="str">
        <f aca="false">'Смета Расходов'!B710</f>
        <v>Нет наждачной бумаги</v>
      </c>
      <c r="C480" s="1153" t="str">
        <f aca="false">'Смета Расходов'!C710</f>
        <v>м</v>
      </c>
      <c r="D480" s="1152" t="n">
        <f aca="false">'Смета Расходов'!D710</f>
        <v>0</v>
      </c>
      <c r="E480" s="1152" t="n">
        <f aca="false">'Смета Расходов'!F710</f>
        <v>0</v>
      </c>
      <c r="F480" s="1152" t="n">
        <f aca="false">'Смета Расходов'!G710</f>
        <v>0</v>
      </c>
    </row>
    <row r="481" customFormat="false" ht="15" hidden="false" customHeight="false" outlineLevel="0" collapsed="false">
      <c r="A481" s="1139"/>
      <c r="B481" s="1152" t="str">
        <f aca="false">'Смета Расходов'!B711</f>
        <v>Нет наждачной бумаги</v>
      </c>
      <c r="C481" s="1153" t="str">
        <f aca="false">'Смета Расходов'!C711</f>
        <v>м</v>
      </c>
      <c r="D481" s="1152" t="n">
        <f aca="false">'Смета Расходов'!D711</f>
        <v>0</v>
      </c>
      <c r="E481" s="1152" t="n">
        <f aca="false">'Смета Расходов'!F711</f>
        <v>0</v>
      </c>
      <c r="F481" s="1152" t="n">
        <f aca="false">'Смета Расходов'!G711</f>
        <v>0</v>
      </c>
    </row>
    <row r="482" customFormat="false" ht="15" hidden="false" customHeight="false" outlineLevel="0" collapsed="false">
      <c r="A482" s="1139"/>
      <c r="B482" s="1152" t="str">
        <f aca="false">'Смета Расходов'!B712</f>
        <v>Нет наждачной бумаги</v>
      </c>
      <c r="C482" s="1153" t="str">
        <f aca="false">'Смета Расходов'!C712</f>
        <v>м</v>
      </c>
      <c r="D482" s="1152" t="n">
        <f aca="false">'Смета Расходов'!D712</f>
        <v>0</v>
      </c>
      <c r="E482" s="1152" t="n">
        <f aca="false">'Смета Расходов'!F712</f>
        <v>0</v>
      </c>
      <c r="F482" s="1152" t="n">
        <f aca="false">'Смета Расходов'!G712</f>
        <v>0</v>
      </c>
    </row>
    <row r="483" customFormat="false" ht="15" hidden="false" customHeight="false" outlineLevel="0" collapsed="false">
      <c r="A483" s="1139"/>
      <c r="B483" s="1154" t="s">
        <v>2309</v>
      </c>
      <c r="C483" s="1154"/>
      <c r="D483" s="1154"/>
      <c r="E483" s="1154"/>
      <c r="F483" s="1152" t="n">
        <f aca="false">SUM(F460:F482)</f>
        <v>0</v>
      </c>
    </row>
    <row r="484" customFormat="false" ht="18.75" hidden="false" customHeight="false" outlineLevel="0" collapsed="false">
      <c r="A484" s="1139"/>
      <c r="B484" s="1150" t="str">
        <f aca="false">'Смета Расходов'!B725</f>
        <v>Перекрытие 0-1-2 этажей</v>
      </c>
      <c r="C484" s="1150"/>
      <c r="D484" s="1150"/>
      <c r="E484" s="1150"/>
      <c r="F484" s="1155" t="n">
        <f aca="false">'Смета Внутр'!H725</f>
        <v>1</v>
      </c>
    </row>
    <row r="485" customFormat="false" ht="15" hidden="false" customHeight="false" outlineLevel="0" collapsed="false">
      <c r="A485" s="1139"/>
      <c r="B485" s="1156" t="s">
        <v>2246</v>
      </c>
      <c r="C485" s="1156"/>
      <c r="D485" s="1156"/>
      <c r="E485" s="1156"/>
      <c r="F485" s="1155" t="n">
        <f aca="false">'Смета Внутр'!H726</f>
        <v>1</v>
      </c>
    </row>
    <row r="486" customFormat="false" ht="15" hidden="false" customHeight="false" outlineLevel="0" collapsed="false">
      <c r="A486" s="1139"/>
      <c r="B486" s="1152" t="str">
        <f aca="false">'Смета Расходов'!B727</f>
        <v>Плиты перекрытия ЖБИ</v>
      </c>
      <c r="C486" s="1153" t="str">
        <f aca="false">'Смета Расходов'!C727</f>
        <v>м2</v>
      </c>
      <c r="D486" s="1152" t="n">
        <f aca="false">'Смета Расходов'!D727</f>
        <v>0</v>
      </c>
      <c r="E486" s="1152" t="n">
        <f aca="false">'Смета Расходов'!F727</f>
        <v>1400</v>
      </c>
      <c r="F486" s="1152" t="n">
        <f aca="false">'Смета Расходов'!G727</f>
        <v>0</v>
      </c>
    </row>
    <row r="487" customFormat="false" ht="15" hidden="false" customHeight="false" outlineLevel="0" collapsed="false">
      <c r="A487" s="1139"/>
      <c r="B487" s="1152" t="str">
        <f aca="false">'Смета Расходов'!B728</f>
        <v>Раствор, м250</v>
      </c>
      <c r="C487" s="1153" t="str">
        <f aca="false">'Смета Расходов'!C728</f>
        <v>м3</v>
      </c>
      <c r="D487" s="1152" t="n">
        <f aca="false">'Смета Расходов'!D728</f>
        <v>0</v>
      </c>
      <c r="E487" s="1152" t="n">
        <f aca="false">'Смета Расходов'!F728</f>
        <v>2500</v>
      </c>
      <c r="F487" s="1152" t="n">
        <f aca="false">'Смета Расходов'!G728</f>
        <v>0</v>
      </c>
    </row>
    <row r="488" customFormat="false" ht="15" hidden="false" customHeight="false" outlineLevel="0" collapsed="false">
      <c r="A488" s="1139"/>
      <c r="B488" s="1152" t="str">
        <f aca="false">'Смета Расходов'!B729</f>
        <v>Монолит, бетон, 300мм, 2 слоя</v>
      </c>
      <c r="C488" s="1153" t="str">
        <f aca="false">'Смета Расходов'!C729</f>
        <v>м2</v>
      </c>
      <c r="D488" s="1152" t="n">
        <f aca="false">'Смета Расходов'!D729</f>
        <v>0</v>
      </c>
      <c r="E488" s="1152" t="n">
        <f aca="false">'Смета Расходов'!F729</f>
        <v>1</v>
      </c>
      <c r="F488" s="1152" t="n">
        <f aca="false">'Смета Расходов'!G729</f>
        <v>0</v>
      </c>
    </row>
    <row r="489" customFormat="false" ht="15" hidden="false" customHeight="false" outlineLevel="0" collapsed="false">
      <c r="A489" s="1139"/>
      <c r="B489" s="1152" t="str">
        <f aca="false">'Смета Расходов'!B730</f>
        <v>Монолит, бетон, 300мм, 1 слой</v>
      </c>
      <c r="C489" s="1153" t="str">
        <f aca="false">'Смета Расходов'!C730</f>
        <v>м2</v>
      </c>
      <c r="D489" s="1152" t="n">
        <f aca="false">'Смета Расходов'!D730</f>
        <v>0</v>
      </c>
      <c r="E489" s="1152" t="n">
        <f aca="false">'Смета Расходов'!F730</f>
        <v>1</v>
      </c>
      <c r="F489" s="1152" t="n">
        <f aca="false">'Смета Расходов'!G730</f>
        <v>0</v>
      </c>
    </row>
    <row r="490" customFormat="false" ht="15" hidden="false" customHeight="false" outlineLevel="0" collapsed="false">
      <c r="A490" s="1139"/>
      <c r="B490" s="1152" t="str">
        <f aca="false">'Смета Расходов'!B731</f>
        <v>Монолит, бетон, 250мм, 2 слоя</v>
      </c>
      <c r="C490" s="1153" t="str">
        <f aca="false">'Смета Расходов'!C731</f>
        <v>м2</v>
      </c>
      <c r="D490" s="1152" t="n">
        <f aca="false">'Смета Расходов'!D731</f>
        <v>0</v>
      </c>
      <c r="E490" s="1152" t="n">
        <f aca="false">'Смета Расходов'!F731</f>
        <v>1</v>
      </c>
      <c r="F490" s="1152" t="n">
        <f aca="false">'Смета Расходов'!G731</f>
        <v>0</v>
      </c>
    </row>
    <row r="491" customFormat="false" ht="15" hidden="false" customHeight="false" outlineLevel="0" collapsed="false">
      <c r="A491" s="1139"/>
      <c r="B491" s="1152" t="str">
        <f aca="false">'Смета Расходов'!B732</f>
        <v>Монолит, бетон, 250мм, 1 слой</v>
      </c>
      <c r="C491" s="1153" t="str">
        <f aca="false">'Смета Расходов'!C732</f>
        <v>м2</v>
      </c>
      <c r="D491" s="1152" t="n">
        <f aca="false">'Смета Расходов'!D732</f>
        <v>0</v>
      </c>
      <c r="E491" s="1152" t="n">
        <f aca="false">'Смета Расходов'!F732</f>
        <v>1</v>
      </c>
      <c r="F491" s="1152" t="n">
        <f aca="false">'Смета Расходов'!G732</f>
        <v>0</v>
      </c>
    </row>
    <row r="492" customFormat="false" ht="15" hidden="false" customHeight="false" outlineLevel="0" collapsed="false">
      <c r="A492" s="1139"/>
      <c r="B492" s="1152" t="str">
        <f aca="false">'Смета Расходов'!B733</f>
        <v>Монолит, бетон, 200мм, 2 слоя</v>
      </c>
      <c r="C492" s="1153" t="str">
        <f aca="false">'Смета Расходов'!C733</f>
        <v>м2</v>
      </c>
      <c r="D492" s="1152" t="n">
        <f aca="false">'Смета Расходов'!D733</f>
        <v>0</v>
      </c>
      <c r="E492" s="1152" t="n">
        <f aca="false">'Смета Расходов'!F733</f>
        <v>1</v>
      </c>
      <c r="F492" s="1152" t="n">
        <f aca="false">'Смета Расходов'!G733</f>
        <v>0</v>
      </c>
    </row>
    <row r="493" customFormat="false" ht="15" hidden="false" customHeight="false" outlineLevel="0" collapsed="false">
      <c r="A493" s="1139"/>
      <c r="B493" s="1152" t="str">
        <f aca="false">'Смета Расходов'!B734</f>
        <v>Монолит, бетон, 200мм, 1 слой</v>
      </c>
      <c r="C493" s="1153" t="str">
        <f aca="false">'Смета Расходов'!C734</f>
        <v>м2</v>
      </c>
      <c r="D493" s="1152" t="n">
        <f aca="false">'Смета Расходов'!D734</f>
        <v>0</v>
      </c>
      <c r="E493" s="1152" t="n">
        <f aca="false">'Смета Расходов'!F734</f>
        <v>1</v>
      </c>
      <c r="F493" s="1152" t="n">
        <f aca="false">'Смета Расходов'!G734</f>
        <v>0</v>
      </c>
    </row>
    <row r="494" customFormat="false" ht="15" hidden="false" customHeight="false" outlineLevel="0" collapsed="false">
      <c r="A494" s="1139"/>
      <c r="B494" s="1152" t="str">
        <f aca="false">'Смета Расходов'!B735</f>
        <v>Монолит, бетон, 150мм, 2 слоя</v>
      </c>
      <c r="C494" s="1153" t="str">
        <f aca="false">'Смета Расходов'!C735</f>
        <v>м2</v>
      </c>
      <c r="D494" s="1152" t="n">
        <f aca="false">'Смета Расходов'!D735</f>
        <v>0</v>
      </c>
      <c r="E494" s="1152" t="n">
        <f aca="false">'Смета Расходов'!F735</f>
        <v>1</v>
      </c>
      <c r="F494" s="1152" t="n">
        <f aca="false">'Смета Расходов'!G735</f>
        <v>0</v>
      </c>
    </row>
    <row r="495" customFormat="false" ht="15" hidden="false" customHeight="false" outlineLevel="0" collapsed="false">
      <c r="A495" s="1139"/>
      <c r="B495" s="1152" t="str">
        <f aca="false">'Смета Расходов'!B736</f>
        <v>Монолит, бетон, 150мм, 1 слой</v>
      </c>
      <c r="C495" s="1153" t="str">
        <f aca="false">'Смета Расходов'!C736</f>
        <v>м2</v>
      </c>
      <c r="D495" s="1152" t="n">
        <f aca="false">'Смета Расходов'!D736</f>
        <v>0</v>
      </c>
      <c r="E495" s="1152" t="n">
        <f aca="false">'Смета Расходов'!F736</f>
        <v>1</v>
      </c>
      <c r="F495" s="1152" t="n">
        <f aca="false">'Смета Расходов'!G736</f>
        <v>0</v>
      </c>
    </row>
    <row r="496" customFormat="false" ht="15" hidden="false" customHeight="false" outlineLevel="0" collapsed="false">
      <c r="A496" s="1139"/>
      <c r="B496" s="1152" t="str">
        <f aca="false">'Смета Расходов'!B737</f>
        <v>доска для опалубки монолит перекрытий</v>
      </c>
      <c r="C496" s="1153" t="str">
        <f aca="false">'Смета Расходов'!C737</f>
        <v>м3</v>
      </c>
      <c r="D496" s="1152" t="n">
        <f aca="false">'Смета Расходов'!D737</f>
        <v>0</v>
      </c>
      <c r="E496" s="1152" t="n">
        <f aca="false">'Смета Расходов'!F737</f>
        <v>6500</v>
      </c>
      <c r="F496" s="1152" t="n">
        <f aca="false">'Смета Расходов'!G737</f>
        <v>0</v>
      </c>
    </row>
    <row r="497" customFormat="false" ht="15" hidden="false" customHeight="false" outlineLevel="0" collapsed="false">
      <c r="A497" s="1139"/>
      <c r="B497" s="1152" t="str">
        <f aca="false">'Смета Расходов'!B738</f>
        <v>стойки под опалубку перекрытий</v>
      </c>
      <c r="C497" s="1153" t="str">
        <f aca="false">'Смета Расходов'!C738</f>
        <v>шт</v>
      </c>
      <c r="D497" s="1152" t="n">
        <f aca="false">'Смета Расходов'!D738</f>
        <v>0</v>
      </c>
      <c r="E497" s="1152" t="n">
        <f aca="false">'Смета Расходов'!F738</f>
        <v>0</v>
      </c>
      <c r="F497" s="1152" t="n">
        <f aca="false">'Смета Расходов'!G738</f>
        <v>0</v>
      </c>
    </row>
    <row r="498" customFormat="false" ht="15" hidden="false" customHeight="false" outlineLevel="0" collapsed="false">
      <c r="A498" s="1139"/>
      <c r="B498" s="1152" t="str">
        <f aca="false">'Смета Расходов'!B739</f>
        <v>Пленка гидроизоляционная </v>
      </c>
      <c r="C498" s="1153" t="str">
        <f aca="false">'Смета Расходов'!C739</f>
        <v>м2</v>
      </c>
      <c r="D498" s="1152" t="n">
        <f aca="false">'Смета Расходов'!D739</f>
        <v>0</v>
      </c>
      <c r="E498" s="1152" t="n">
        <f aca="false">'Смета Расходов'!F739</f>
        <v>15</v>
      </c>
      <c r="F498" s="1152" t="n">
        <f aca="false">'Смета Расходов'!G739</f>
        <v>0</v>
      </c>
    </row>
    <row r="499" customFormat="false" ht="15" hidden="false" customHeight="false" outlineLevel="0" collapsed="false">
      <c r="A499" s="1139"/>
      <c r="B499" s="1152" t="str">
        <f aca="false">'Смета Расходов'!B740</f>
        <v>Арматура М10</v>
      </c>
      <c r="C499" s="1153" t="str">
        <f aca="false">'Смета Расходов'!C740</f>
        <v>м.п.</v>
      </c>
      <c r="D499" s="1152" t="n">
        <f aca="false">'Смета Расходов'!D740</f>
        <v>0</v>
      </c>
      <c r="E499" s="1152" t="n">
        <f aca="false">'Смета Расходов'!F740</f>
        <v>21.0397</v>
      </c>
      <c r="F499" s="1152" t="n">
        <f aca="false">'Смета Расходов'!G740</f>
        <v>0</v>
      </c>
    </row>
    <row r="500" customFormat="false" ht="15" hidden="false" customHeight="false" outlineLevel="0" collapsed="false">
      <c r="A500" s="1139"/>
      <c r="B500" s="1152" t="str">
        <f aca="false">'Смета Расходов'!B741</f>
        <v>Вязальная проволока</v>
      </c>
      <c r="C500" s="1153" t="str">
        <f aca="false">'Смета Расходов'!C741</f>
        <v>кг</v>
      </c>
      <c r="D500" s="1152" t="n">
        <f aca="false">'Смета Расходов'!D741</f>
        <v>0</v>
      </c>
      <c r="E500" s="1152" t="n">
        <f aca="false">'Смета Расходов'!F741</f>
        <v>80</v>
      </c>
      <c r="F500" s="1152" t="n">
        <f aca="false">'Смета Расходов'!G741</f>
        <v>0</v>
      </c>
    </row>
    <row r="501" customFormat="false" ht="15" hidden="false" customHeight="false" outlineLevel="0" collapsed="false">
      <c r="A501" s="1139"/>
      <c r="B501" s="1152" t="str">
        <f aca="false">'Смета Расходов'!B742</f>
        <v>Подставка под арматурный каркас</v>
      </c>
      <c r="C501" s="1153" t="str">
        <f aca="false">'Смета Расходов'!C742</f>
        <v>шт</v>
      </c>
      <c r="D501" s="1152" t="n">
        <f aca="false">'Смета Расходов'!D742</f>
        <v>0</v>
      </c>
      <c r="E501" s="1152" t="n">
        <f aca="false">'Смета Расходов'!F742</f>
        <v>5</v>
      </c>
      <c r="F501" s="1152" t="n">
        <f aca="false">'Смета Расходов'!G742</f>
        <v>0</v>
      </c>
    </row>
    <row r="502" customFormat="false" ht="15" hidden="false" customHeight="false" outlineLevel="0" collapsed="false">
      <c r="A502" s="1139"/>
      <c r="B502" s="1152" t="str">
        <f aca="false">'Смета Расходов'!B743</f>
        <v>бетон, м350</v>
      </c>
      <c r="C502" s="1153" t="str">
        <f aca="false">'Смета Расходов'!C743</f>
        <v>м3</v>
      </c>
      <c r="D502" s="1152" t="n">
        <f aca="false">'Смета Расходов'!D743</f>
        <v>0</v>
      </c>
      <c r="E502" s="1152" t="n">
        <f aca="false">'Смета Расходов'!F743</f>
        <v>3500</v>
      </c>
      <c r="F502" s="1152" t="n">
        <f aca="false">'Смета Расходов'!G743</f>
        <v>0</v>
      </c>
    </row>
    <row r="503" customFormat="false" ht="15" hidden="false" customHeight="false" outlineLevel="0" collapsed="false">
      <c r="A503" s="1139"/>
      <c r="B503" s="1152" t="str">
        <f aca="false">'Смета Расходов'!B744</f>
        <v>Брус естественной влажности, 200*100мм</v>
      </c>
      <c r="C503" s="1153" t="str">
        <f aca="false">'Смета Расходов'!C744</f>
        <v>м3</v>
      </c>
      <c r="D503" s="1152" t="n">
        <f aca="false">'Смета Расходов'!D744</f>
        <v>0</v>
      </c>
      <c r="E503" s="1152" t="n">
        <f aca="false">'Смета Расходов'!F744</f>
        <v>6500</v>
      </c>
      <c r="F503" s="1152" t="n">
        <f aca="false">'Смета Расходов'!G744</f>
        <v>0</v>
      </c>
    </row>
    <row r="504" customFormat="false" ht="15" hidden="false" customHeight="false" outlineLevel="0" collapsed="false">
      <c r="A504" s="1139"/>
      <c r="B504" s="1152" t="str">
        <f aca="false">'Смета Расходов'!B745</f>
        <v>Брус естественной влажности, 150*100мм</v>
      </c>
      <c r="C504" s="1153" t="str">
        <f aca="false">'Смета Расходов'!C745</f>
        <v>м3</v>
      </c>
      <c r="D504" s="1152" t="n">
        <f aca="false">'Смета Расходов'!D745</f>
        <v>0</v>
      </c>
      <c r="E504" s="1152" t="n">
        <f aca="false">'Смета Расходов'!F745</f>
        <v>6500</v>
      </c>
      <c r="F504" s="1152" t="n">
        <f aca="false">'Смета Расходов'!G745</f>
        <v>0</v>
      </c>
    </row>
    <row r="505" customFormat="false" ht="15" hidden="false" customHeight="false" outlineLevel="0" collapsed="false">
      <c r="A505" s="1139"/>
      <c r="B505" s="1152" t="str">
        <f aca="false">'Смета Расходов'!B746</f>
        <v>Брус естественной влажности, 100*100мм</v>
      </c>
      <c r="C505" s="1153" t="str">
        <f aca="false">'Смета Расходов'!C746</f>
        <v>м3</v>
      </c>
      <c r="D505" s="1152" t="n">
        <f aca="false">'Смета Расходов'!D746</f>
        <v>0</v>
      </c>
      <c r="E505" s="1152" t="n">
        <f aca="false">'Смета Расходов'!F746</f>
        <v>6500</v>
      </c>
      <c r="F505" s="1152" t="n">
        <f aca="false">'Смета Расходов'!G746</f>
        <v>0</v>
      </c>
    </row>
    <row r="506" customFormat="false" ht="15" hidden="false" customHeight="false" outlineLevel="0" collapsed="false">
      <c r="A506" s="1139"/>
      <c r="B506" s="1152" t="str">
        <f aca="false">'Смета Расходов'!B747</f>
        <v>Брус естественной влажности, 150*150мм</v>
      </c>
      <c r="C506" s="1153" t="str">
        <f aca="false">'Смета Расходов'!C747</f>
        <v>м3</v>
      </c>
      <c r="D506" s="1152" t="n">
        <f aca="false">'Смета Расходов'!D747</f>
        <v>0</v>
      </c>
      <c r="E506" s="1152" t="n">
        <f aca="false">'Смета Расходов'!F747</f>
        <v>6500</v>
      </c>
      <c r="F506" s="1152" t="n">
        <f aca="false">'Смета Расходов'!G747</f>
        <v>0</v>
      </c>
    </row>
    <row r="507" customFormat="false" ht="15" hidden="false" customHeight="false" outlineLevel="0" collapsed="false">
      <c r="A507" s="1139"/>
      <c r="B507" s="1152" t="str">
        <f aca="false">'Смета Расходов'!B748</f>
        <v>Доска естественной влажности, 200*50мм</v>
      </c>
      <c r="C507" s="1153" t="str">
        <f aca="false">'Смета Расходов'!C748</f>
        <v>м3</v>
      </c>
      <c r="D507" s="1152" t="n">
        <f aca="false">'Смета Расходов'!D748</f>
        <v>0</v>
      </c>
      <c r="E507" s="1152" t="n">
        <f aca="false">'Смета Расходов'!F748</f>
        <v>6500</v>
      </c>
      <c r="F507" s="1152" t="n">
        <f aca="false">'Смета Расходов'!G748</f>
        <v>0</v>
      </c>
    </row>
    <row r="508" customFormat="false" ht="15" hidden="false" customHeight="false" outlineLevel="0" collapsed="false">
      <c r="A508" s="1139"/>
      <c r="B508" s="1152" t="str">
        <f aca="false">'Смета Расходов'!B749</f>
        <v>Доска естественной влажности, 150*50мм</v>
      </c>
      <c r="C508" s="1153" t="str">
        <f aca="false">'Смета Расходов'!C749</f>
        <v>м3</v>
      </c>
      <c r="D508" s="1152" t="n">
        <f aca="false">'Смета Расходов'!D749</f>
        <v>0</v>
      </c>
      <c r="E508" s="1152" t="n">
        <f aca="false">'Смета Расходов'!F749</f>
        <v>6500</v>
      </c>
      <c r="F508" s="1152" t="n">
        <f aca="false">'Смета Расходов'!G749</f>
        <v>0</v>
      </c>
    </row>
    <row r="509" customFormat="false" ht="15" hidden="false" customHeight="false" outlineLevel="0" collapsed="false">
      <c r="A509" s="1139"/>
      <c r="B509" s="1152" t="str">
        <f aca="false">'Смета Расходов'!B750</f>
        <v>Опора бруса          </v>
      </c>
      <c r="C509" s="1153" t="str">
        <f aca="false">'Смета Расходов'!C750</f>
        <v>шт</v>
      </c>
      <c r="D509" s="1152" t="n">
        <f aca="false">'Смета Расходов'!D750</f>
        <v>0</v>
      </c>
      <c r="E509" s="1152" t="n">
        <f aca="false">'Смета Расходов'!F750</f>
        <v>50</v>
      </c>
      <c r="F509" s="1152" t="n">
        <f aca="false">'Смета Расходов'!G750</f>
        <v>0</v>
      </c>
    </row>
    <row r="510" customFormat="false" ht="15" hidden="false" customHeight="false" outlineLevel="0" collapsed="false">
      <c r="A510" s="1139"/>
      <c r="B510" s="1152" t="str">
        <f aca="false">'Смета Расходов'!B751</f>
        <v>Болты анкерные с гайкой 8,0 x 60           </v>
      </c>
      <c r="C510" s="1153" t="str">
        <f aca="false">'Смета Расходов'!C751</f>
        <v>шт</v>
      </c>
      <c r="D510" s="1152" t="n">
        <f aca="false">'Смета Расходов'!D751</f>
        <v>0</v>
      </c>
      <c r="E510" s="1152" t="n">
        <f aca="false">'Смета Расходов'!F751</f>
        <v>4</v>
      </c>
      <c r="F510" s="1152" t="n">
        <f aca="false">'Смета Расходов'!G751</f>
        <v>0</v>
      </c>
    </row>
    <row r="511" customFormat="false" ht="15" hidden="false" customHeight="false" outlineLevel="0" collapsed="false">
      <c r="A511" s="1139"/>
      <c r="B511" s="1152" t="str">
        <f aca="false">'Смета Расходов'!B752</f>
        <v>Sip панель 2500*625*124мм</v>
      </c>
      <c r="C511" s="1153" t="str">
        <f aca="false">'Смета Расходов'!C752</f>
        <v>м2</v>
      </c>
      <c r="D511" s="1152" t="n">
        <f aca="false">'Смета Расходов'!D752</f>
        <v>0</v>
      </c>
      <c r="E511" s="1152" t="n">
        <f aca="false">'Смета Расходов'!F752</f>
        <v>800</v>
      </c>
      <c r="F511" s="1152" t="n">
        <f aca="false">'Смета Расходов'!G752</f>
        <v>0</v>
      </c>
    </row>
    <row r="512" customFormat="false" ht="15" hidden="false" customHeight="false" outlineLevel="0" collapsed="false">
      <c r="A512" s="1139"/>
      <c r="B512" s="1152" t="str">
        <f aca="false">'Смета Расходов'!B753</f>
        <v>Sip панель 2500*625*174мм</v>
      </c>
      <c r="C512" s="1153" t="str">
        <f aca="false">'Смета Расходов'!C753</f>
        <v>м2</v>
      </c>
      <c r="D512" s="1152" t="n">
        <f aca="false">'Смета Расходов'!D753</f>
        <v>0</v>
      </c>
      <c r="E512" s="1152" t="n">
        <f aca="false">'Смета Расходов'!F753</f>
        <v>1200</v>
      </c>
      <c r="F512" s="1152" t="n">
        <f aca="false">'Смета Расходов'!G753</f>
        <v>0</v>
      </c>
    </row>
    <row r="513" customFormat="false" ht="15" hidden="false" customHeight="false" outlineLevel="0" collapsed="false">
      <c r="A513" s="1139"/>
      <c r="B513" s="1152" t="str">
        <f aca="false">'Смета Расходов'!B754</f>
        <v>Sip панель 2500*625*224мм</v>
      </c>
      <c r="C513" s="1153" t="str">
        <f aca="false">'Смета Расходов'!C754</f>
        <v>м2</v>
      </c>
      <c r="D513" s="1152" t="n">
        <f aca="false">'Смета Расходов'!D754</f>
        <v>0</v>
      </c>
      <c r="E513" s="1152" t="n">
        <f aca="false">'Смета Расходов'!F754</f>
        <v>1400</v>
      </c>
      <c r="F513" s="1152" t="n">
        <f aca="false">'Смета Расходов'!G754</f>
        <v>0</v>
      </c>
    </row>
    <row r="514" customFormat="false" ht="15" hidden="false" customHeight="false" outlineLevel="0" collapsed="false">
      <c r="A514" s="1139"/>
      <c r="B514" s="1152" t="str">
        <f aca="false">'Смета Расходов'!B755</f>
        <v>Доска сухая, 100*50мм</v>
      </c>
      <c r="C514" s="1153" t="str">
        <f aca="false">'Смета Расходов'!C755</f>
        <v>м.п.</v>
      </c>
      <c r="D514" s="1152" t="n">
        <f aca="false">'Смета Расходов'!D755</f>
        <v>0</v>
      </c>
      <c r="E514" s="1152" t="n">
        <f aca="false">'Смета Расходов'!F755</f>
        <v>45</v>
      </c>
      <c r="F514" s="1152" t="n">
        <f aca="false">'Смета Расходов'!G755</f>
        <v>0</v>
      </c>
    </row>
    <row r="515" customFormat="false" ht="15" hidden="false" customHeight="false" outlineLevel="0" collapsed="false">
      <c r="A515" s="1139"/>
      <c r="B515" s="1152" t="str">
        <f aca="false">'Смета Расходов'!B756</f>
        <v>Доска сухая, 150*50мм</v>
      </c>
      <c r="C515" s="1153" t="str">
        <f aca="false">'Смета Расходов'!C756</f>
        <v>м.п.</v>
      </c>
      <c r="D515" s="1152" t="n">
        <f aca="false">'Смета Расходов'!D756</f>
        <v>0</v>
      </c>
      <c r="E515" s="1152" t="n">
        <f aca="false">'Смета Расходов'!F756</f>
        <v>67.5</v>
      </c>
      <c r="F515" s="1152" t="n">
        <f aca="false">'Смета Расходов'!G756</f>
        <v>0</v>
      </c>
    </row>
    <row r="516" customFormat="false" ht="15" hidden="false" customHeight="false" outlineLevel="0" collapsed="false">
      <c r="A516" s="1139"/>
      <c r="B516" s="1152" t="str">
        <f aca="false">'Смета Расходов'!B757</f>
        <v>Доска сухая, 200*50мм</v>
      </c>
      <c r="C516" s="1153" t="str">
        <f aca="false">'Смета Расходов'!C757</f>
        <v>м.п.</v>
      </c>
      <c r="D516" s="1152" t="n">
        <f aca="false">'Смета Расходов'!D757</f>
        <v>0</v>
      </c>
      <c r="E516" s="1152" t="n">
        <f aca="false">'Смета Расходов'!F757</f>
        <v>90</v>
      </c>
      <c r="F516" s="1152" t="n">
        <f aca="false">'Смета Расходов'!G757</f>
        <v>0</v>
      </c>
    </row>
    <row r="517" customFormat="false" ht="15" hidden="false" customHeight="false" outlineLevel="0" collapsed="false">
      <c r="A517" s="1139"/>
      <c r="B517" s="1152" t="str">
        <f aca="false">'Смета Расходов'!B758</f>
        <v>Пена монтажная, всесезонняя 800мл</v>
      </c>
      <c r="C517" s="1153" t="str">
        <f aca="false">'Смета Расходов'!C758</f>
        <v>шт</v>
      </c>
      <c r="D517" s="1152" t="n">
        <f aca="false">'Смета Расходов'!D758</f>
        <v>0</v>
      </c>
      <c r="E517" s="1152" t="n">
        <f aca="false">'Смета Расходов'!F758</f>
        <v>300</v>
      </c>
      <c r="F517" s="1152" t="n">
        <f aca="false">'Смета Расходов'!G758</f>
        <v>0</v>
      </c>
    </row>
    <row r="518" customFormat="false" ht="15" hidden="false" customHeight="false" outlineLevel="0" collapsed="false">
      <c r="A518" s="1139"/>
      <c r="B518" s="1152" t="str">
        <f aca="false">'Смета Расходов'!B759</f>
        <v>Гвозди строительные 3,5 x 90            </v>
      </c>
      <c r="C518" s="1153" t="str">
        <f aca="false">'Смета Расходов'!C759</f>
        <v>шт</v>
      </c>
      <c r="D518" s="1152" t="n">
        <f aca="false">'Смета Расходов'!D759</f>
        <v>0</v>
      </c>
      <c r="E518" s="1152" t="n">
        <f aca="false">'Смета Расходов'!F759</f>
        <v>45</v>
      </c>
      <c r="F518" s="1152" t="n">
        <f aca="false">'Смета Расходов'!G759</f>
        <v>0</v>
      </c>
    </row>
    <row r="519" customFormat="false" ht="15" hidden="false" customHeight="false" outlineLevel="0" collapsed="false">
      <c r="A519" s="1139"/>
      <c r="B519" s="1152" t="str">
        <f aca="false">'Смета Расходов'!B760</f>
        <v>Саморезы 3,5 x 45            </v>
      </c>
      <c r="C519" s="1153" t="str">
        <f aca="false">'Смета Расходов'!C760</f>
        <v>шт</v>
      </c>
      <c r="D519" s="1152" t="n">
        <f aca="false">'Смета Расходов'!D760</f>
        <v>0</v>
      </c>
      <c r="E519" s="1152" t="n">
        <f aca="false">'Смета Расходов'!F760</f>
        <v>0.25</v>
      </c>
      <c r="F519" s="1152" t="n">
        <f aca="false">'Смета Расходов'!G760</f>
        <v>0</v>
      </c>
    </row>
    <row r="520" customFormat="false" ht="15" hidden="false" customHeight="false" outlineLevel="0" collapsed="false">
      <c r="A520" s="1139"/>
      <c r="B520" s="1152" t="str">
        <f aca="false">'Смета Расходов'!B761</f>
        <v>Доска сухая, 200*50мм</v>
      </c>
      <c r="C520" s="1153" t="str">
        <f aca="false">'Смета Расходов'!C761</f>
        <v>м3</v>
      </c>
      <c r="D520" s="1152" t="n">
        <f aca="false">'Смета Расходов'!D761</f>
        <v>0</v>
      </c>
      <c r="E520" s="1152" t="n">
        <f aca="false">'Смета Расходов'!F761</f>
        <v>9000</v>
      </c>
      <c r="F520" s="1152" t="n">
        <f aca="false">'Смета Расходов'!G761</f>
        <v>0</v>
      </c>
    </row>
    <row r="521" customFormat="false" ht="15" hidden="false" customHeight="false" outlineLevel="0" collapsed="false">
      <c r="A521" s="1139"/>
      <c r="B521" s="1152" t="str">
        <f aca="false">'Смета Расходов'!B762</f>
        <v>Доска сухая, 150*50мм</v>
      </c>
      <c r="C521" s="1153" t="str">
        <f aca="false">'Смета Расходов'!C762</f>
        <v>м3</v>
      </c>
      <c r="D521" s="1152" t="n">
        <f aca="false">'Смета Расходов'!D762</f>
        <v>0</v>
      </c>
      <c r="E521" s="1152" t="n">
        <f aca="false">'Смета Расходов'!F762</f>
        <v>9000</v>
      </c>
      <c r="F521" s="1152" t="n">
        <f aca="false">'Смета Расходов'!G762</f>
        <v>0</v>
      </c>
    </row>
    <row r="522" customFormat="false" ht="15" hidden="false" customHeight="false" outlineLevel="0" collapsed="false">
      <c r="A522" s="1139"/>
      <c r="B522" s="1152" t="str">
        <f aca="false">'Смета Расходов'!B763</f>
        <v>Гвозди ершоные 2,8 х 90            </v>
      </c>
      <c r="C522" s="1153" t="str">
        <f aca="false">'Смета Расходов'!C763</f>
        <v>кг</v>
      </c>
      <c r="D522" s="1152" t="n">
        <f aca="false">'Смета Расходов'!D763</f>
        <v>0</v>
      </c>
      <c r="E522" s="1152" t="n">
        <f aca="false">'Смета Расходов'!F763</f>
        <v>76.49</v>
      </c>
      <c r="F522" s="1152" t="n">
        <f aca="false">'Смета Расходов'!G763</f>
        <v>0</v>
      </c>
    </row>
    <row r="523" customFormat="false" ht="15" hidden="false" customHeight="false" outlineLevel="0" collapsed="false">
      <c r="A523" s="1139"/>
      <c r="B523" s="1152" t="str">
        <f aca="false">'Смета Расходов'!B764</f>
        <v>Доска сухая калиброванная, 190*45мм</v>
      </c>
      <c r="C523" s="1153" t="str">
        <f aca="false">'Смета Расходов'!C764</f>
        <v>м3</v>
      </c>
      <c r="D523" s="1152" t="n">
        <f aca="false">'Смета Расходов'!D764</f>
        <v>0</v>
      </c>
      <c r="E523" s="1152" t="n">
        <f aca="false">'Смета Расходов'!F764</f>
        <v>12500</v>
      </c>
      <c r="F523" s="1152" t="n">
        <f aca="false">'Смета Расходов'!G764</f>
        <v>0</v>
      </c>
    </row>
    <row r="524" customFormat="false" ht="15" hidden="false" customHeight="false" outlineLevel="0" collapsed="false">
      <c r="A524" s="1139"/>
      <c r="B524" s="1152" t="str">
        <f aca="false">'Смета Расходов'!B765</f>
        <v>Доска сухая калиброванная, 145*45мм</v>
      </c>
      <c r="C524" s="1153" t="str">
        <f aca="false">'Смета Расходов'!C765</f>
        <v>м3</v>
      </c>
      <c r="D524" s="1152" t="n">
        <f aca="false">'Смета Расходов'!D765</f>
        <v>0</v>
      </c>
      <c r="E524" s="1152" t="n">
        <f aca="false">'Смета Расходов'!F765</f>
        <v>12500</v>
      </c>
      <c r="F524" s="1152" t="n">
        <f aca="false">'Смета Расходов'!G765</f>
        <v>0</v>
      </c>
    </row>
    <row r="525" customFormat="false" ht="15" hidden="false" customHeight="false" outlineLevel="0" collapsed="false">
      <c r="A525" s="1139"/>
      <c r="B525" s="1152" t="str">
        <f aca="false">'Смета Расходов'!B766</f>
        <v>Гвозди ершоные 2,8 х 90            </v>
      </c>
      <c r="C525" s="1153" t="str">
        <f aca="false">'Смета Расходов'!C766</f>
        <v>кг</v>
      </c>
      <c r="D525" s="1152" t="n">
        <f aca="false">'Смета Расходов'!D766</f>
        <v>0</v>
      </c>
      <c r="E525" s="1152" t="n">
        <f aca="false">'Смета Расходов'!F766</f>
        <v>76.49</v>
      </c>
      <c r="F525" s="1152" t="n">
        <f aca="false">'Смета Расходов'!G766</f>
        <v>0</v>
      </c>
    </row>
    <row r="526" customFormat="false" ht="15" hidden="false" customHeight="false" outlineLevel="0" collapsed="false">
      <c r="A526" s="1139"/>
      <c r="B526" s="1152" t="str">
        <f aca="false">'Смета Расходов'!B767</f>
        <v>Двутавровая деревянная балка, 400*65мм</v>
      </c>
      <c r="C526" s="1153" t="str">
        <f aca="false">'Смета Расходов'!C767</f>
        <v>м.п.</v>
      </c>
      <c r="D526" s="1152" t="n">
        <f aca="false">'Смета Расходов'!D767</f>
        <v>0</v>
      </c>
      <c r="E526" s="1152" t="n">
        <f aca="false">'Смета Расходов'!F767</f>
        <v>303</v>
      </c>
      <c r="F526" s="1152" t="n">
        <f aca="false">'Смета Расходов'!G767</f>
        <v>0</v>
      </c>
    </row>
    <row r="527" customFormat="false" ht="15" hidden="false" customHeight="false" outlineLevel="0" collapsed="false">
      <c r="A527" s="1139"/>
      <c r="B527" s="1152" t="str">
        <f aca="false">'Смета Расходов'!B768</f>
        <v>Двутавровая деревянная балка, 400*90мм</v>
      </c>
      <c r="C527" s="1153" t="str">
        <f aca="false">'Смета Расходов'!C768</f>
        <v>м.п.</v>
      </c>
      <c r="D527" s="1152" t="n">
        <f aca="false">'Смета Расходов'!D768</f>
        <v>0</v>
      </c>
      <c r="E527" s="1152" t="n">
        <f aca="false">'Смета Расходов'!F768</f>
        <v>355</v>
      </c>
      <c r="F527" s="1152" t="n">
        <f aca="false">'Смета Расходов'!G768</f>
        <v>0</v>
      </c>
    </row>
    <row r="528" customFormat="false" ht="15" hidden="false" customHeight="false" outlineLevel="0" collapsed="false">
      <c r="A528" s="1139"/>
      <c r="B528" s="1152" t="str">
        <f aca="false">'Смета Расходов'!B769</f>
        <v>Двутавровая деревянная балка, 350*65мм</v>
      </c>
      <c r="C528" s="1153" t="str">
        <f aca="false">'Смета Расходов'!C769</f>
        <v>м.п.</v>
      </c>
      <c r="D528" s="1152" t="n">
        <f aca="false">'Смета Расходов'!D769</f>
        <v>138.666666666667</v>
      </c>
      <c r="E528" s="1152" t="n">
        <f aca="false">'Смета Расходов'!F769</f>
        <v>287</v>
      </c>
      <c r="F528" s="1152" t="n">
        <f aca="false">'Смета Расходов'!G769</f>
        <v>39797.3333333333</v>
      </c>
    </row>
    <row r="529" customFormat="false" ht="15" hidden="false" customHeight="false" outlineLevel="0" collapsed="false">
      <c r="A529" s="1139"/>
      <c r="B529" s="1152" t="str">
        <f aca="false">'Смета Расходов'!B770</f>
        <v>Двутавровая деревянная балка, 350*90мм</v>
      </c>
      <c r="C529" s="1153" t="str">
        <f aca="false">'Смета Расходов'!C770</f>
        <v>м.п.</v>
      </c>
      <c r="D529" s="1152" t="n">
        <f aca="false">'Смета Расходов'!D770</f>
        <v>0</v>
      </c>
      <c r="E529" s="1152" t="n">
        <f aca="false">'Смета Расходов'!F770</f>
        <v>315</v>
      </c>
      <c r="F529" s="1152" t="n">
        <f aca="false">'Смета Расходов'!G770</f>
        <v>0</v>
      </c>
    </row>
    <row r="530" customFormat="false" ht="15" hidden="false" customHeight="false" outlineLevel="0" collapsed="false">
      <c r="A530" s="1139"/>
      <c r="B530" s="1152" t="str">
        <f aca="false">'Смета Расходов'!B771</f>
        <v>Двутавровая деревянная балка, 300*65мм</v>
      </c>
      <c r="C530" s="1153" t="str">
        <f aca="false">'Смета Расходов'!C771</f>
        <v>м.п.</v>
      </c>
      <c r="D530" s="1152" t="n">
        <f aca="false">'Смета Расходов'!D771</f>
        <v>0</v>
      </c>
      <c r="E530" s="1152" t="n">
        <f aca="false">'Смета Расходов'!F771</f>
        <v>273</v>
      </c>
      <c r="F530" s="1152" t="n">
        <f aca="false">'Смета Расходов'!G771</f>
        <v>0</v>
      </c>
    </row>
    <row r="531" customFormat="false" ht="15" hidden="false" customHeight="false" outlineLevel="0" collapsed="false">
      <c r="A531" s="1139"/>
      <c r="B531" s="1152" t="str">
        <f aca="false">'Смета Расходов'!B772</f>
        <v>Двутавровая деревянная балка, 300*90мм</v>
      </c>
      <c r="C531" s="1153" t="str">
        <f aca="false">'Смета Расходов'!C772</f>
        <v>м.п.</v>
      </c>
      <c r="D531" s="1152" t="n">
        <f aca="false">'Смета Расходов'!D772</f>
        <v>0</v>
      </c>
      <c r="E531" s="1152" t="n">
        <f aca="false">'Смета Расходов'!F772</f>
        <v>315</v>
      </c>
      <c r="F531" s="1152" t="n">
        <f aca="false">'Смета Расходов'!G772</f>
        <v>0</v>
      </c>
    </row>
    <row r="532" customFormat="false" ht="15" hidden="false" customHeight="false" outlineLevel="0" collapsed="false">
      <c r="A532" s="1139"/>
      <c r="B532" s="1152" t="str">
        <f aca="false">'Смета Расходов'!B773</f>
        <v>Двутавровая деревянная балка, 240*65мм</v>
      </c>
      <c r="C532" s="1153" t="str">
        <f aca="false">'Смета Расходов'!C773</f>
        <v>м.п.</v>
      </c>
      <c r="D532" s="1152" t="n">
        <f aca="false">'Смета Расходов'!D773</f>
        <v>0</v>
      </c>
      <c r="E532" s="1152" t="n">
        <f aca="false">'Смета Расходов'!F773</f>
        <v>263</v>
      </c>
      <c r="F532" s="1152" t="n">
        <f aca="false">'Смета Расходов'!G773</f>
        <v>0</v>
      </c>
    </row>
    <row r="533" customFormat="false" ht="15" hidden="false" customHeight="false" outlineLevel="0" collapsed="false">
      <c r="A533" s="1139"/>
      <c r="B533" s="1152" t="str">
        <f aca="false">'Смета Расходов'!B774</f>
        <v>Двутавровая деревянная балка, 240*90мм</v>
      </c>
      <c r="C533" s="1153" t="str">
        <f aca="false">'Смета Расходов'!C774</f>
        <v>м.п.</v>
      </c>
      <c r="D533" s="1152" t="n">
        <f aca="false">'Смета Расходов'!D774</f>
        <v>0</v>
      </c>
      <c r="E533" s="1152" t="n">
        <f aca="false">'Смета Расходов'!F774</f>
        <v>291</v>
      </c>
      <c r="F533" s="1152" t="n">
        <f aca="false">'Смета Расходов'!G774</f>
        <v>0</v>
      </c>
    </row>
    <row r="534" customFormat="false" ht="15" hidden="false" customHeight="false" outlineLevel="0" collapsed="false">
      <c r="A534" s="1139"/>
      <c r="B534" s="1152" t="str">
        <f aca="false">'Смета Расходов'!B775</f>
        <v>Двутавровая деревянная балка, 200*65мм</v>
      </c>
      <c r="C534" s="1153" t="str">
        <f aca="false">'Смета Расходов'!C775</f>
        <v>м.п.</v>
      </c>
      <c r="D534" s="1152" t="n">
        <f aca="false">'Смета Расходов'!D775</f>
        <v>0</v>
      </c>
      <c r="E534" s="1152" t="n">
        <f aca="false">'Смета Расходов'!F775</f>
        <v>250</v>
      </c>
      <c r="F534" s="1152" t="n">
        <f aca="false">'Смета Расходов'!G775</f>
        <v>0</v>
      </c>
    </row>
    <row r="535" customFormat="false" ht="15" hidden="false" customHeight="false" outlineLevel="0" collapsed="false">
      <c r="A535" s="1139"/>
      <c r="B535" s="1152" t="str">
        <f aca="false">'Смета Расходов'!B776</f>
        <v>Двутавровая деревянная балка, 200*90мм</v>
      </c>
      <c r="C535" s="1153" t="str">
        <f aca="false">'Смета Расходов'!C776</f>
        <v>м.п.</v>
      </c>
      <c r="D535" s="1152" t="n">
        <f aca="false">'Смета Расходов'!D776</f>
        <v>0</v>
      </c>
      <c r="E535" s="1152" t="n">
        <f aca="false">'Смета Расходов'!F776</f>
        <v>280</v>
      </c>
      <c r="F535" s="1152" t="n">
        <f aca="false">'Смета Расходов'!G776</f>
        <v>0</v>
      </c>
    </row>
    <row r="536" customFormat="false" ht="15" hidden="false" customHeight="false" outlineLevel="0" collapsed="false">
      <c r="A536" s="1139"/>
      <c r="B536" s="1152" t="str">
        <f aca="false">'Смета Расходов'!B777</f>
        <v>Двутавровая деревянная балка, 150*65мм</v>
      </c>
      <c r="C536" s="1153" t="str">
        <f aca="false">'Смета Расходов'!C777</f>
        <v>м.п.</v>
      </c>
      <c r="D536" s="1152" t="n">
        <f aca="false">'Смета Расходов'!D777</f>
        <v>0</v>
      </c>
      <c r="E536" s="1152" t="n">
        <f aca="false">'Смета Расходов'!F777</f>
        <v>220</v>
      </c>
      <c r="F536" s="1152" t="n">
        <f aca="false">'Смета Расходов'!G777</f>
        <v>0</v>
      </c>
    </row>
    <row r="537" customFormat="false" ht="15" hidden="false" customHeight="false" outlineLevel="0" collapsed="false">
      <c r="A537" s="1139"/>
      <c r="B537" s="1152" t="str">
        <f aca="false">'Смета Расходов'!B778</f>
        <v>Двутавровая деревянная балка, 150*90мм</v>
      </c>
      <c r="C537" s="1153" t="str">
        <f aca="false">'Смета Расходов'!C778</f>
        <v>м.п.</v>
      </c>
      <c r="D537" s="1152" t="n">
        <f aca="false">'Смета Расходов'!D778</f>
        <v>0</v>
      </c>
      <c r="E537" s="1152" t="n">
        <f aca="false">'Смета Расходов'!F778</f>
        <v>250</v>
      </c>
      <c r="F537" s="1152" t="n">
        <f aca="false">'Смета Расходов'!G778</f>
        <v>0</v>
      </c>
    </row>
    <row r="538" customFormat="false" ht="15" hidden="false" customHeight="false" outlineLevel="0" collapsed="false">
      <c r="A538" s="1139"/>
      <c r="B538" s="1152" t="str">
        <f aca="false">'Смета Расходов'!B779</f>
        <v>Уголок усиленный 90х70х55х2,5        </v>
      </c>
      <c r="C538" s="1153" t="str">
        <f aca="false">'Смета Расходов'!C779</f>
        <v>шт</v>
      </c>
      <c r="D538" s="1152" t="n">
        <f aca="false">'Смета Расходов'!D779</f>
        <v>157</v>
      </c>
      <c r="E538" s="1152" t="n">
        <f aca="false">'Смета Расходов'!F779</f>
        <v>30</v>
      </c>
      <c r="F538" s="1152" t="n">
        <f aca="false">'Смета Расходов'!G779</f>
        <v>4710</v>
      </c>
    </row>
    <row r="539" customFormat="false" ht="15" hidden="false" customHeight="false" outlineLevel="0" collapsed="false">
      <c r="A539" s="1139"/>
      <c r="B539" s="1152" t="str">
        <f aca="false">'Смета Расходов'!B780</f>
        <v>Саморезы 3,5 x 55            </v>
      </c>
      <c r="C539" s="1153" t="str">
        <f aca="false">'Смета Расходов'!C780</f>
        <v>шт</v>
      </c>
      <c r="D539" s="1152" t="n">
        <f aca="false">'Смета Расходов'!D780</f>
        <v>628</v>
      </c>
      <c r="E539" s="1152" t="n">
        <f aca="false">'Смета Расходов'!F780</f>
        <v>0.3</v>
      </c>
      <c r="F539" s="1152" t="n">
        <f aca="false">'Смета Расходов'!G780</f>
        <v>188.4</v>
      </c>
    </row>
    <row r="540" customFormat="false" ht="15" hidden="false" customHeight="false" outlineLevel="0" collapsed="false">
      <c r="A540" s="1139"/>
      <c r="B540" s="1152" t="str">
        <f aca="false">'Смета Расходов'!B781</f>
        <v>Нет</v>
      </c>
      <c r="C540" s="1153" t="str">
        <f aca="false">'Смета Расходов'!C781</f>
        <v>м3</v>
      </c>
      <c r="D540" s="1152" t="n">
        <f aca="false">'Смета Расходов'!D781</f>
        <v>0</v>
      </c>
      <c r="E540" s="1152" t="n">
        <f aca="false">'Смета Расходов'!F781</f>
        <v>0</v>
      </c>
      <c r="F540" s="1152" t="n">
        <f aca="false">'Смета Расходов'!G781</f>
        <v>0</v>
      </c>
    </row>
    <row r="541" customFormat="false" ht="15" hidden="false" customHeight="false" outlineLevel="0" collapsed="false">
      <c r="A541" s="1139"/>
      <c r="B541" s="1152" t="str">
        <f aca="false">'Смета Расходов'!B782</f>
        <v>нет ветроизоляции</v>
      </c>
      <c r="C541" s="1153" t="str">
        <f aca="false">'Смета Расходов'!C782</f>
        <v>м2</v>
      </c>
      <c r="D541" s="1152" t="n">
        <f aca="false">'Смета Расходов'!D782</f>
        <v>64</v>
      </c>
      <c r="E541" s="1152" t="n">
        <f aca="false">'Смета Расходов'!F782</f>
        <v>0</v>
      </c>
      <c r="F541" s="1152" t="n">
        <f aca="false">'Смета Расходов'!G782</f>
        <v>0</v>
      </c>
    </row>
    <row r="542" customFormat="false" ht="15" hidden="false" customHeight="false" outlineLevel="0" collapsed="false">
      <c r="A542" s="1139"/>
      <c r="B542" s="1152" t="str">
        <f aca="false">'Смета Расходов'!B783</f>
        <v>нет пароизоляции</v>
      </c>
      <c r="C542" s="1153" t="str">
        <f aca="false">'Смета Расходов'!C783</f>
        <v>м2</v>
      </c>
      <c r="D542" s="1152" t="n">
        <f aca="false">'Смета Расходов'!D783</f>
        <v>64</v>
      </c>
      <c r="E542" s="1152" t="n">
        <f aca="false">'Смета Расходов'!F783</f>
        <v>0</v>
      </c>
      <c r="F542" s="1152" t="n">
        <f aca="false">'Смета Расходов'!G783</f>
        <v>0</v>
      </c>
    </row>
    <row r="543" customFormat="false" ht="15" hidden="false" customHeight="false" outlineLevel="0" collapsed="false">
      <c r="A543" s="1139"/>
      <c r="B543" s="1152" t="str">
        <f aca="false">'Смета Расходов'!B784</f>
        <v>Плита перекрытия ЖБИ</v>
      </c>
      <c r="C543" s="1153" t="str">
        <f aca="false">'Смета Расходов'!C784</f>
        <v>м2</v>
      </c>
      <c r="D543" s="1152" t="n">
        <f aca="false">'Смета Расходов'!D784</f>
        <v>0</v>
      </c>
      <c r="E543" s="1152" t="n">
        <f aca="false">'Смета Расходов'!F784</f>
        <v>1400</v>
      </c>
      <c r="F543" s="1152" t="n">
        <f aca="false">'Смета Расходов'!G784</f>
        <v>0</v>
      </c>
    </row>
    <row r="544" customFormat="false" ht="15" hidden="false" customHeight="false" outlineLevel="0" collapsed="false">
      <c r="A544" s="1139"/>
      <c r="B544" s="1152" t="str">
        <f aca="false">'Смета Расходов'!B785</f>
        <v>Раствор, м250</v>
      </c>
      <c r="C544" s="1153" t="str">
        <f aca="false">'Смета Расходов'!C785</f>
        <v>м3</v>
      </c>
      <c r="D544" s="1152" t="n">
        <f aca="false">'Смета Расходов'!D785</f>
        <v>0</v>
      </c>
      <c r="E544" s="1152" t="n">
        <f aca="false">'Смета Расходов'!F785</f>
        <v>2500</v>
      </c>
      <c r="F544" s="1152" t="n">
        <f aca="false">'Смета Расходов'!G785</f>
        <v>0</v>
      </c>
    </row>
    <row r="545" customFormat="false" ht="15" hidden="false" customHeight="false" outlineLevel="0" collapsed="false">
      <c r="A545" s="1139"/>
      <c r="B545" s="1152" t="str">
        <f aca="false">'Смета Расходов'!B786</f>
        <v>Монолит, бетон, 300мм, 2 слоя</v>
      </c>
      <c r="C545" s="1153" t="str">
        <f aca="false">'Смета Расходов'!C786</f>
        <v>м2</v>
      </c>
      <c r="D545" s="1152" t="n">
        <f aca="false">'Смета Расходов'!D786</f>
        <v>0</v>
      </c>
      <c r="E545" s="1152" t="n">
        <f aca="false">'Смета Расходов'!F786</f>
        <v>1</v>
      </c>
      <c r="F545" s="1152" t="n">
        <f aca="false">'Смета Расходов'!G786</f>
        <v>0</v>
      </c>
    </row>
    <row r="546" customFormat="false" ht="15" hidden="false" customHeight="false" outlineLevel="0" collapsed="false">
      <c r="A546" s="1139"/>
      <c r="B546" s="1152" t="str">
        <f aca="false">'Смета Расходов'!B787</f>
        <v>Монолит, бетон, 300мм, 1 слой</v>
      </c>
      <c r="C546" s="1153" t="str">
        <f aca="false">'Смета Расходов'!C787</f>
        <v>м2</v>
      </c>
      <c r="D546" s="1152" t="n">
        <f aca="false">'Смета Расходов'!D787</f>
        <v>0</v>
      </c>
      <c r="E546" s="1152" t="n">
        <f aca="false">'Смета Расходов'!F787</f>
        <v>1</v>
      </c>
      <c r="F546" s="1152" t="n">
        <f aca="false">'Смета Расходов'!G787</f>
        <v>0</v>
      </c>
    </row>
    <row r="547" customFormat="false" ht="15" hidden="false" customHeight="false" outlineLevel="0" collapsed="false">
      <c r="A547" s="1139"/>
      <c r="B547" s="1152" t="str">
        <f aca="false">'Смета Расходов'!B788</f>
        <v>Монолит, бетон, 250мм, 2 слоя</v>
      </c>
      <c r="C547" s="1153" t="str">
        <f aca="false">'Смета Расходов'!C788</f>
        <v>м2</v>
      </c>
      <c r="D547" s="1152" t="n">
        <f aca="false">'Смета Расходов'!D788</f>
        <v>0</v>
      </c>
      <c r="E547" s="1152" t="n">
        <f aca="false">'Смета Расходов'!F788</f>
        <v>1</v>
      </c>
      <c r="F547" s="1152" t="n">
        <f aca="false">'Смета Расходов'!G788</f>
        <v>0</v>
      </c>
    </row>
    <row r="548" customFormat="false" ht="15" hidden="false" customHeight="false" outlineLevel="0" collapsed="false">
      <c r="A548" s="1139"/>
      <c r="B548" s="1152" t="str">
        <f aca="false">'Смета Расходов'!B789</f>
        <v>Монолит, бетон, 250мм, 1 слой</v>
      </c>
      <c r="C548" s="1153" t="str">
        <f aca="false">'Смета Расходов'!C789</f>
        <v>м2</v>
      </c>
      <c r="D548" s="1152" t="n">
        <f aca="false">'Смета Расходов'!D789</f>
        <v>0</v>
      </c>
      <c r="E548" s="1152" t="n">
        <f aca="false">'Смета Расходов'!F789</f>
        <v>1</v>
      </c>
      <c r="F548" s="1152" t="n">
        <f aca="false">'Смета Расходов'!G789</f>
        <v>0</v>
      </c>
    </row>
    <row r="549" customFormat="false" ht="15" hidden="false" customHeight="false" outlineLevel="0" collapsed="false">
      <c r="A549" s="1139"/>
      <c r="B549" s="1152" t="str">
        <f aca="false">'Смета Расходов'!B790</f>
        <v>Монолит, бетон, 200мм, 2 слоя</v>
      </c>
      <c r="C549" s="1153" t="str">
        <f aca="false">'Смета Расходов'!C790</f>
        <v>м2</v>
      </c>
      <c r="D549" s="1152" t="n">
        <f aca="false">'Смета Расходов'!D790</f>
        <v>64</v>
      </c>
      <c r="E549" s="1152" t="n">
        <f aca="false">'Смета Расходов'!F790</f>
        <v>1</v>
      </c>
      <c r="F549" s="1152" t="n">
        <f aca="false">'Смета Расходов'!G790</f>
        <v>64</v>
      </c>
    </row>
    <row r="550" customFormat="false" ht="15" hidden="false" customHeight="false" outlineLevel="0" collapsed="false">
      <c r="A550" s="1139"/>
      <c r="B550" s="1152" t="str">
        <f aca="false">'Смета Расходов'!B791</f>
        <v>Монолит, бетон, 200мм, 1 слой</v>
      </c>
      <c r="C550" s="1153" t="str">
        <f aca="false">'Смета Расходов'!C791</f>
        <v>м2</v>
      </c>
      <c r="D550" s="1152" t="n">
        <f aca="false">'Смета Расходов'!D791</f>
        <v>0</v>
      </c>
      <c r="E550" s="1152" t="n">
        <f aca="false">'Смета Расходов'!F791</f>
        <v>1</v>
      </c>
      <c r="F550" s="1152" t="n">
        <f aca="false">'Смета Расходов'!G791</f>
        <v>0</v>
      </c>
    </row>
    <row r="551" customFormat="false" ht="15" hidden="false" customHeight="false" outlineLevel="0" collapsed="false">
      <c r="A551" s="1139"/>
      <c r="B551" s="1152" t="str">
        <f aca="false">'Смета Расходов'!B792</f>
        <v>Монолит, бетон, 150мм, 2 слоя</v>
      </c>
      <c r="C551" s="1153" t="str">
        <f aca="false">'Смета Расходов'!C792</f>
        <v>м2</v>
      </c>
      <c r="D551" s="1152" t="n">
        <f aca="false">'Смета Расходов'!D792</f>
        <v>0</v>
      </c>
      <c r="E551" s="1152" t="n">
        <f aca="false">'Смета Расходов'!F792</f>
        <v>1</v>
      </c>
      <c r="F551" s="1152" t="n">
        <f aca="false">'Смета Расходов'!G792</f>
        <v>0</v>
      </c>
    </row>
    <row r="552" customFormat="false" ht="15" hidden="false" customHeight="false" outlineLevel="0" collapsed="false">
      <c r="A552" s="1139"/>
      <c r="B552" s="1152" t="str">
        <f aca="false">'Смета Расходов'!B793</f>
        <v>Монолит, бетон, 150мм, 1 слой</v>
      </c>
      <c r="C552" s="1153" t="str">
        <f aca="false">'Смета Расходов'!C793</f>
        <v>м2</v>
      </c>
      <c r="D552" s="1152" t="n">
        <f aca="false">'Смета Расходов'!D793</f>
        <v>0</v>
      </c>
      <c r="E552" s="1152" t="n">
        <f aca="false">'Смета Расходов'!F793</f>
        <v>1</v>
      </c>
      <c r="F552" s="1152" t="n">
        <f aca="false">'Смета Расходов'!G793</f>
        <v>0</v>
      </c>
    </row>
    <row r="553" customFormat="false" ht="15" hidden="false" customHeight="false" outlineLevel="0" collapsed="false">
      <c r="A553" s="1139"/>
      <c r="B553" s="1152" t="str">
        <f aca="false">'Смета Расходов'!B794</f>
        <v>доска для опалубки монолит перекрытий</v>
      </c>
      <c r="C553" s="1153" t="str">
        <f aca="false">'Смета Расходов'!C794</f>
        <v>м3</v>
      </c>
      <c r="D553" s="1152" t="n">
        <f aca="false">'Смета Расходов'!D794</f>
        <v>5.126</v>
      </c>
      <c r="E553" s="1152" t="n">
        <f aca="false">'Смета Расходов'!F794</f>
        <v>6500</v>
      </c>
      <c r="F553" s="1152" t="n">
        <f aca="false">'Смета Расходов'!G794</f>
        <v>33319</v>
      </c>
    </row>
    <row r="554" customFormat="false" ht="15" hidden="false" customHeight="false" outlineLevel="0" collapsed="false">
      <c r="A554" s="1139"/>
      <c r="B554" s="1152" t="str">
        <f aca="false">'Смета Расходов'!B795</f>
        <v>стойки под опалубку перекрытий</v>
      </c>
      <c r="C554" s="1153" t="str">
        <f aca="false">'Смета Расходов'!C795</f>
        <v>шт</v>
      </c>
      <c r="D554" s="1152" t="n">
        <f aca="false">'Смета Расходов'!D795</f>
        <v>64</v>
      </c>
      <c r="E554" s="1152" t="n">
        <f aca="false">'Смета Расходов'!F795</f>
        <v>0</v>
      </c>
      <c r="F554" s="1152" t="n">
        <f aca="false">'Смета Расходов'!G795</f>
        <v>0</v>
      </c>
    </row>
    <row r="555" customFormat="false" ht="15" hidden="false" customHeight="false" outlineLevel="0" collapsed="false">
      <c r="A555" s="1139"/>
      <c r="B555" s="1152" t="str">
        <f aca="false">'Смета Расходов'!B796</f>
        <v>Пленка гидроизоляционная </v>
      </c>
      <c r="C555" s="1153" t="str">
        <f aca="false">'Смета Расходов'!C796</f>
        <v>м2</v>
      </c>
      <c r="D555" s="1152" t="n">
        <f aca="false">'Смета Расходов'!D796</f>
        <v>83.2</v>
      </c>
      <c r="E555" s="1152" t="n">
        <f aca="false">'Смета Расходов'!F796</f>
        <v>15</v>
      </c>
      <c r="F555" s="1152" t="n">
        <f aca="false">'Смета Расходов'!G796</f>
        <v>1248</v>
      </c>
    </row>
    <row r="556" customFormat="false" ht="15" hidden="false" customHeight="false" outlineLevel="0" collapsed="false">
      <c r="A556" s="1139"/>
      <c r="B556" s="1152" t="str">
        <f aca="false">'Смета Расходов'!B797</f>
        <v>Арматура М10</v>
      </c>
      <c r="C556" s="1153" t="str">
        <f aca="false">'Смета Расходов'!C797</f>
        <v>м.п.</v>
      </c>
      <c r="D556" s="1152" t="n">
        <f aca="false">'Смета Расходов'!D797</f>
        <v>640</v>
      </c>
      <c r="E556" s="1152" t="n">
        <f aca="false">'Смета Расходов'!F797</f>
        <v>21.0397</v>
      </c>
      <c r="F556" s="1152" t="n">
        <f aca="false">'Смета Расходов'!G797</f>
        <v>13465.408</v>
      </c>
    </row>
    <row r="557" customFormat="false" ht="15" hidden="false" customHeight="false" outlineLevel="0" collapsed="false">
      <c r="A557" s="1139"/>
      <c r="B557" s="1152" t="str">
        <f aca="false">'Смета Расходов'!B798</f>
        <v>Вязальная проволока</v>
      </c>
      <c r="C557" s="1153" t="str">
        <f aca="false">'Смета Расходов'!C798</f>
        <v>кг</v>
      </c>
      <c r="D557" s="1152" t="n">
        <f aca="false">'Смета Расходов'!D798</f>
        <v>16</v>
      </c>
      <c r="E557" s="1152" t="n">
        <f aca="false">'Смета Расходов'!F798</f>
        <v>80</v>
      </c>
      <c r="F557" s="1152" t="n">
        <f aca="false">'Смета Расходов'!G798</f>
        <v>1280</v>
      </c>
    </row>
    <row r="558" customFormat="false" ht="15" hidden="false" customHeight="false" outlineLevel="0" collapsed="false">
      <c r="A558" s="1139"/>
      <c r="B558" s="1152" t="str">
        <f aca="false">'Смета Расходов'!B799</f>
        <v>Подставка под арматурный каркас</v>
      </c>
      <c r="C558" s="1153" t="str">
        <f aca="false">'Смета Расходов'!C799</f>
        <v>шт</v>
      </c>
      <c r="D558" s="1152" t="n">
        <f aca="false">'Смета Расходов'!D799</f>
        <v>256</v>
      </c>
      <c r="E558" s="1152" t="n">
        <f aca="false">'Смета Расходов'!F799</f>
        <v>5</v>
      </c>
      <c r="F558" s="1152" t="n">
        <f aca="false">'Смета Расходов'!G799</f>
        <v>1280</v>
      </c>
    </row>
    <row r="559" customFormat="false" ht="15" hidden="false" customHeight="false" outlineLevel="0" collapsed="false">
      <c r="A559" s="1139"/>
      <c r="B559" s="1152" t="str">
        <f aca="false">'Смета Расходов'!B800</f>
        <v>бетон, м350</v>
      </c>
      <c r="C559" s="1153" t="str">
        <f aca="false">'Смета Расходов'!C800</f>
        <v>м3</v>
      </c>
      <c r="D559" s="1152" t="n">
        <f aca="false">'Смета Расходов'!D800</f>
        <v>12.8</v>
      </c>
      <c r="E559" s="1152" t="n">
        <f aca="false">'Смета Расходов'!F800</f>
        <v>3500</v>
      </c>
      <c r="F559" s="1152" t="n">
        <f aca="false">'Смета Расходов'!G800</f>
        <v>44800</v>
      </c>
    </row>
    <row r="560" customFormat="false" ht="15" hidden="false" customHeight="false" outlineLevel="0" collapsed="false">
      <c r="A560" s="1139"/>
      <c r="B560" s="1152" t="str">
        <f aca="false">'Смета Расходов'!B801</f>
        <v>Брус естественной влажности, 200*100мм</v>
      </c>
      <c r="C560" s="1153" t="str">
        <f aca="false">'Смета Расходов'!C801</f>
        <v>м3</v>
      </c>
      <c r="D560" s="1152" t="n">
        <f aca="false">'Смета Расходов'!D801</f>
        <v>0</v>
      </c>
      <c r="E560" s="1152" t="n">
        <f aca="false">'Смета Расходов'!F801</f>
        <v>6500</v>
      </c>
      <c r="F560" s="1152" t="n">
        <f aca="false">'Смета Расходов'!G801</f>
        <v>0</v>
      </c>
    </row>
    <row r="561" customFormat="false" ht="15" hidden="false" customHeight="false" outlineLevel="0" collapsed="false">
      <c r="A561" s="1139"/>
      <c r="B561" s="1152" t="str">
        <f aca="false">'Смета Расходов'!B802</f>
        <v>Брус естественной влажности, 150*100мм</v>
      </c>
      <c r="C561" s="1153" t="str">
        <f aca="false">'Смета Расходов'!C802</f>
        <v>м3</v>
      </c>
      <c r="D561" s="1152" t="n">
        <f aca="false">'Смета Расходов'!D802</f>
        <v>0</v>
      </c>
      <c r="E561" s="1152" t="n">
        <f aca="false">'Смета Расходов'!F802</f>
        <v>6500</v>
      </c>
      <c r="F561" s="1152" t="n">
        <f aca="false">'Смета Расходов'!G802</f>
        <v>0</v>
      </c>
    </row>
    <row r="562" customFormat="false" ht="15" hidden="false" customHeight="false" outlineLevel="0" collapsed="false">
      <c r="A562" s="1139"/>
      <c r="B562" s="1152" t="str">
        <f aca="false">'Смета Расходов'!B803</f>
        <v>Брус естественной влажности, 100*100мм</v>
      </c>
      <c r="C562" s="1153" t="str">
        <f aca="false">'Смета Расходов'!C803</f>
        <v>м3</v>
      </c>
      <c r="D562" s="1152" t="n">
        <f aca="false">'Смета Расходов'!D803</f>
        <v>0</v>
      </c>
      <c r="E562" s="1152" t="n">
        <f aca="false">'Смета Расходов'!F803</f>
        <v>6500</v>
      </c>
      <c r="F562" s="1152" t="n">
        <f aca="false">'Смета Расходов'!G803</f>
        <v>0</v>
      </c>
    </row>
    <row r="563" customFormat="false" ht="15" hidden="false" customHeight="false" outlineLevel="0" collapsed="false">
      <c r="A563" s="1139"/>
      <c r="B563" s="1152" t="str">
        <f aca="false">'Смета Расходов'!B804</f>
        <v>Брус естественной влажности, 150*150мм</v>
      </c>
      <c r="C563" s="1153" t="str">
        <f aca="false">'Смета Расходов'!C804</f>
        <v>м3</v>
      </c>
      <c r="D563" s="1152" t="n">
        <f aca="false">'Смета Расходов'!D804</f>
        <v>0</v>
      </c>
      <c r="E563" s="1152" t="n">
        <f aca="false">'Смета Расходов'!F804</f>
        <v>6500</v>
      </c>
      <c r="F563" s="1152" t="n">
        <f aca="false">'Смета Расходов'!G804</f>
        <v>0</v>
      </c>
    </row>
    <row r="564" customFormat="false" ht="15" hidden="false" customHeight="false" outlineLevel="0" collapsed="false">
      <c r="A564" s="1139"/>
      <c r="B564" s="1152" t="str">
        <f aca="false">'Смета Расходов'!B805</f>
        <v>Доска естественной влажности, 200*50мм</v>
      </c>
      <c r="C564" s="1153" t="str">
        <f aca="false">'Смета Расходов'!C805</f>
        <v>м3</v>
      </c>
      <c r="D564" s="1152" t="n">
        <f aca="false">'Смета Расходов'!D805</f>
        <v>0</v>
      </c>
      <c r="E564" s="1152" t="n">
        <f aca="false">'Смета Расходов'!F805</f>
        <v>6500</v>
      </c>
      <c r="F564" s="1152" t="n">
        <f aca="false">'Смета Расходов'!G805</f>
        <v>0</v>
      </c>
    </row>
    <row r="565" customFormat="false" ht="15" hidden="false" customHeight="false" outlineLevel="0" collapsed="false">
      <c r="A565" s="1139"/>
      <c r="B565" s="1152" t="str">
        <f aca="false">'Смета Расходов'!B806</f>
        <v>Доска естественной влажности, 150*50мм</v>
      </c>
      <c r="C565" s="1153" t="str">
        <f aca="false">'Смета Расходов'!C806</f>
        <v>м3</v>
      </c>
      <c r="D565" s="1152" t="n">
        <f aca="false">'Смета Расходов'!D806</f>
        <v>0</v>
      </c>
      <c r="E565" s="1152" t="n">
        <f aca="false">'Смета Расходов'!F806</f>
        <v>6500</v>
      </c>
      <c r="F565" s="1152" t="n">
        <f aca="false">'Смета Расходов'!G806</f>
        <v>0</v>
      </c>
    </row>
    <row r="566" customFormat="false" ht="15" hidden="false" customHeight="false" outlineLevel="0" collapsed="false">
      <c r="A566" s="1139"/>
      <c r="B566" s="1152" t="str">
        <f aca="false">'Смета Расходов'!B807</f>
        <v>Опора бруса          </v>
      </c>
      <c r="C566" s="1153" t="str">
        <f aca="false">'Смета Расходов'!C807</f>
        <v>шт</v>
      </c>
      <c r="D566" s="1152" t="n">
        <f aca="false">'Смета Расходов'!D807</f>
        <v>0</v>
      </c>
      <c r="E566" s="1152" t="n">
        <f aca="false">'Смета Расходов'!F807</f>
        <v>50</v>
      </c>
      <c r="F566" s="1152" t="n">
        <f aca="false">'Смета Расходов'!G807</f>
        <v>0</v>
      </c>
    </row>
    <row r="567" customFormat="false" ht="15" hidden="false" customHeight="false" outlineLevel="0" collapsed="false">
      <c r="A567" s="1139"/>
      <c r="B567" s="1152" t="str">
        <f aca="false">'Смета Расходов'!B808</f>
        <v>Болты анкерные с гайкой 8,0 x 60           </v>
      </c>
      <c r="C567" s="1153" t="str">
        <f aca="false">'Смета Расходов'!C808</f>
        <v>шт</v>
      </c>
      <c r="D567" s="1152" t="n">
        <f aca="false">'Смета Расходов'!D808</f>
        <v>0</v>
      </c>
      <c r="E567" s="1152" t="n">
        <f aca="false">'Смета Расходов'!F808</f>
        <v>4</v>
      </c>
      <c r="F567" s="1152" t="n">
        <f aca="false">'Смета Расходов'!G808</f>
        <v>0</v>
      </c>
    </row>
    <row r="568" customFormat="false" ht="15" hidden="false" customHeight="false" outlineLevel="0" collapsed="false">
      <c r="A568" s="1139"/>
      <c r="B568" s="1152" t="str">
        <f aca="false">'Смета Расходов'!B809</f>
        <v>Sip панель 2500*625*124мм</v>
      </c>
      <c r="C568" s="1153" t="str">
        <f aca="false">'Смета Расходов'!C809</f>
        <v>м2</v>
      </c>
      <c r="D568" s="1152" t="n">
        <f aca="false">'Смета Расходов'!D809</f>
        <v>0</v>
      </c>
      <c r="E568" s="1152" t="n">
        <f aca="false">'Смета Расходов'!F809</f>
        <v>800</v>
      </c>
      <c r="F568" s="1152" t="n">
        <f aca="false">'Смета Расходов'!G809</f>
        <v>0</v>
      </c>
    </row>
    <row r="569" customFormat="false" ht="15" hidden="false" customHeight="false" outlineLevel="0" collapsed="false">
      <c r="A569" s="1139"/>
      <c r="B569" s="1152" t="str">
        <f aca="false">'Смета Расходов'!B810</f>
        <v>Sip панель 2500*625*174мм</v>
      </c>
      <c r="C569" s="1153" t="str">
        <f aca="false">'Смета Расходов'!C810</f>
        <v>м2</v>
      </c>
      <c r="D569" s="1152" t="n">
        <f aca="false">'Смета Расходов'!D810</f>
        <v>0</v>
      </c>
      <c r="E569" s="1152" t="n">
        <f aca="false">'Смета Расходов'!F810</f>
        <v>1200</v>
      </c>
      <c r="F569" s="1152" t="n">
        <f aca="false">'Смета Расходов'!G810</f>
        <v>0</v>
      </c>
    </row>
    <row r="570" customFormat="false" ht="15" hidden="false" customHeight="false" outlineLevel="0" collapsed="false">
      <c r="A570" s="1139"/>
      <c r="B570" s="1152" t="str">
        <f aca="false">'Смета Расходов'!B811</f>
        <v>Sip панель 2500*625*224мм</v>
      </c>
      <c r="C570" s="1153" t="str">
        <f aca="false">'Смета Расходов'!C811</f>
        <v>м2</v>
      </c>
      <c r="D570" s="1152" t="n">
        <f aca="false">'Смета Расходов'!D811</f>
        <v>0</v>
      </c>
      <c r="E570" s="1152" t="n">
        <f aca="false">'Смета Расходов'!F811</f>
        <v>1400</v>
      </c>
      <c r="F570" s="1152" t="n">
        <f aca="false">'Смета Расходов'!G811</f>
        <v>0</v>
      </c>
    </row>
    <row r="571" customFormat="false" ht="15" hidden="false" customHeight="false" outlineLevel="0" collapsed="false">
      <c r="A571" s="1139"/>
      <c r="B571" s="1152" t="str">
        <f aca="false">'Смета Расходов'!B812</f>
        <v>Доска сухая, 100*50мм</v>
      </c>
      <c r="C571" s="1153" t="str">
        <f aca="false">'Смета Расходов'!C812</f>
        <v>м.п.</v>
      </c>
      <c r="D571" s="1152" t="n">
        <f aca="false">'Смета Расходов'!D812</f>
        <v>0</v>
      </c>
      <c r="E571" s="1152" t="n">
        <f aca="false">'Смета Расходов'!F812</f>
        <v>45</v>
      </c>
      <c r="F571" s="1152" t="n">
        <f aca="false">'Смета Расходов'!G812</f>
        <v>0</v>
      </c>
    </row>
    <row r="572" customFormat="false" ht="15" hidden="false" customHeight="false" outlineLevel="0" collapsed="false">
      <c r="A572" s="1139"/>
      <c r="B572" s="1152" t="str">
        <f aca="false">'Смета Расходов'!B813</f>
        <v>Доска сухая, 150*50мм</v>
      </c>
      <c r="C572" s="1153" t="str">
        <f aca="false">'Смета Расходов'!C813</f>
        <v>м.п.</v>
      </c>
      <c r="D572" s="1152" t="n">
        <f aca="false">'Смета Расходов'!D813</f>
        <v>0</v>
      </c>
      <c r="E572" s="1152" t="n">
        <f aca="false">'Смета Расходов'!F813</f>
        <v>67.5</v>
      </c>
      <c r="F572" s="1152" t="n">
        <f aca="false">'Смета Расходов'!G813</f>
        <v>0</v>
      </c>
    </row>
    <row r="573" customFormat="false" ht="15" hidden="false" customHeight="false" outlineLevel="0" collapsed="false">
      <c r="A573" s="1139"/>
      <c r="B573" s="1152" t="str">
        <f aca="false">'Смета Расходов'!B814</f>
        <v>Доска сухая, 200*50мм</v>
      </c>
      <c r="C573" s="1153" t="str">
        <f aca="false">'Смета Расходов'!C814</f>
        <v>м.п.</v>
      </c>
      <c r="D573" s="1152" t="n">
        <f aca="false">'Смета Расходов'!D814</f>
        <v>0</v>
      </c>
      <c r="E573" s="1152" t="n">
        <f aca="false">'Смета Расходов'!F814</f>
        <v>90</v>
      </c>
      <c r="F573" s="1152" t="n">
        <f aca="false">'Смета Расходов'!G814</f>
        <v>0</v>
      </c>
    </row>
    <row r="574" customFormat="false" ht="15" hidden="false" customHeight="false" outlineLevel="0" collapsed="false">
      <c r="A574" s="1139"/>
      <c r="B574" s="1152" t="str">
        <f aca="false">'Смета Расходов'!B815</f>
        <v>Пена монтажная, всесезонняя 800мл</v>
      </c>
      <c r="C574" s="1153" t="str">
        <f aca="false">'Смета Расходов'!C815</f>
        <v>шт</v>
      </c>
      <c r="D574" s="1152" t="n">
        <f aca="false">'Смета Расходов'!D815</f>
        <v>0</v>
      </c>
      <c r="E574" s="1152" t="n">
        <f aca="false">'Смета Расходов'!F815</f>
        <v>300</v>
      </c>
      <c r="F574" s="1152" t="n">
        <f aca="false">'Смета Расходов'!G815</f>
        <v>0</v>
      </c>
    </row>
    <row r="575" customFormat="false" ht="15" hidden="false" customHeight="false" outlineLevel="0" collapsed="false">
      <c r="A575" s="1139"/>
      <c r="B575" s="1152" t="str">
        <f aca="false">'Смета Расходов'!B816</f>
        <v>Гвозди строительные 3,5 x 90            </v>
      </c>
      <c r="C575" s="1153" t="str">
        <f aca="false">'Смета Расходов'!C816</f>
        <v>шт</v>
      </c>
      <c r="D575" s="1152" t="n">
        <f aca="false">'Смета Расходов'!D816</f>
        <v>0</v>
      </c>
      <c r="E575" s="1152" t="n">
        <f aca="false">'Смета Расходов'!F816</f>
        <v>45</v>
      </c>
      <c r="F575" s="1152" t="n">
        <f aca="false">'Смета Расходов'!G816</f>
        <v>0</v>
      </c>
    </row>
    <row r="576" customFormat="false" ht="15" hidden="false" customHeight="false" outlineLevel="0" collapsed="false">
      <c r="A576" s="1139"/>
      <c r="B576" s="1152" t="str">
        <f aca="false">'Смета Расходов'!B817</f>
        <v>Саморезы 3,5 x 45            </v>
      </c>
      <c r="C576" s="1153" t="str">
        <f aca="false">'Смета Расходов'!C817</f>
        <v>шт</v>
      </c>
      <c r="D576" s="1152" t="n">
        <f aca="false">'Смета Расходов'!D817</f>
        <v>0</v>
      </c>
      <c r="E576" s="1152" t="n">
        <f aca="false">'Смета Расходов'!F817</f>
        <v>0.25</v>
      </c>
      <c r="F576" s="1152" t="n">
        <f aca="false">'Смета Расходов'!G817</f>
        <v>0</v>
      </c>
    </row>
    <row r="577" customFormat="false" ht="15" hidden="false" customHeight="false" outlineLevel="0" collapsed="false">
      <c r="A577" s="1139"/>
      <c r="B577" s="1152" t="str">
        <f aca="false">'Смета Расходов'!B818</f>
        <v>Доска сухая, 200*50мм</v>
      </c>
      <c r="C577" s="1153" t="str">
        <f aca="false">'Смета Расходов'!C818</f>
        <v>м3</v>
      </c>
      <c r="D577" s="1152" t="n">
        <f aca="false">'Смета Расходов'!D818</f>
        <v>0</v>
      </c>
      <c r="E577" s="1152" t="n">
        <f aca="false">'Смета Расходов'!F818</f>
        <v>9000</v>
      </c>
      <c r="F577" s="1152" t="n">
        <f aca="false">'Смета Расходов'!G818</f>
        <v>0</v>
      </c>
    </row>
    <row r="578" customFormat="false" ht="15" hidden="false" customHeight="false" outlineLevel="0" collapsed="false">
      <c r="A578" s="1139"/>
      <c r="B578" s="1152" t="str">
        <f aca="false">'Смета Расходов'!B819</f>
        <v>Доска сухая, 150*50мм</v>
      </c>
      <c r="C578" s="1153" t="str">
        <f aca="false">'Смета Расходов'!C819</f>
        <v>м3</v>
      </c>
      <c r="D578" s="1152" t="n">
        <f aca="false">'Смета Расходов'!D819</f>
        <v>0</v>
      </c>
      <c r="E578" s="1152" t="n">
        <f aca="false">'Смета Расходов'!F819</f>
        <v>9000</v>
      </c>
      <c r="F578" s="1152" t="n">
        <f aca="false">'Смета Расходов'!G819</f>
        <v>0</v>
      </c>
    </row>
    <row r="579" customFormat="false" ht="15" hidden="false" customHeight="false" outlineLevel="0" collapsed="false">
      <c r="A579" s="1139"/>
      <c r="B579" s="1152" t="str">
        <f aca="false">'Смета Расходов'!B820</f>
        <v>Гвозди ершоные 2,8 х 90            </v>
      </c>
      <c r="C579" s="1153" t="str">
        <f aca="false">'Смета Расходов'!C820</f>
        <v>кг</v>
      </c>
      <c r="D579" s="1152" t="n">
        <f aca="false">'Смета Расходов'!D820</f>
        <v>0</v>
      </c>
      <c r="E579" s="1152" t="n">
        <f aca="false">'Смета Расходов'!F820</f>
        <v>76.49</v>
      </c>
      <c r="F579" s="1152" t="n">
        <f aca="false">'Смета Расходов'!G820</f>
        <v>0</v>
      </c>
    </row>
    <row r="580" customFormat="false" ht="15" hidden="false" customHeight="false" outlineLevel="0" collapsed="false">
      <c r="A580" s="1139"/>
      <c r="B580" s="1152" t="str">
        <f aca="false">'Смета Расходов'!B821</f>
        <v>Доска сухая калиброванная, 190*45мм</v>
      </c>
      <c r="C580" s="1153" t="str">
        <f aca="false">'Смета Расходов'!C821</f>
        <v>м3</v>
      </c>
      <c r="D580" s="1152" t="n">
        <f aca="false">'Смета Расходов'!D821</f>
        <v>0</v>
      </c>
      <c r="E580" s="1152" t="n">
        <f aca="false">'Смета Расходов'!F821</f>
        <v>12500</v>
      </c>
      <c r="F580" s="1152" t="n">
        <f aca="false">'Смета Расходов'!G821</f>
        <v>0</v>
      </c>
    </row>
    <row r="581" customFormat="false" ht="15" hidden="false" customHeight="false" outlineLevel="0" collapsed="false">
      <c r="A581" s="1139"/>
      <c r="B581" s="1152" t="str">
        <f aca="false">'Смета Расходов'!B822</f>
        <v>Доска сухая калиброванная, 145*45мм</v>
      </c>
      <c r="C581" s="1153" t="str">
        <f aca="false">'Смета Расходов'!C822</f>
        <v>м3</v>
      </c>
      <c r="D581" s="1152" t="n">
        <f aca="false">'Смета Расходов'!D822</f>
        <v>0</v>
      </c>
      <c r="E581" s="1152" t="n">
        <f aca="false">'Смета Расходов'!F822</f>
        <v>12500</v>
      </c>
      <c r="F581" s="1152" t="n">
        <f aca="false">'Смета Расходов'!G822</f>
        <v>0</v>
      </c>
    </row>
    <row r="582" customFormat="false" ht="15" hidden="false" customHeight="false" outlineLevel="0" collapsed="false">
      <c r="A582" s="1139"/>
      <c r="B582" s="1152" t="str">
        <f aca="false">'Смета Расходов'!B823</f>
        <v>Гвозди ершоные 2,8 х 90            </v>
      </c>
      <c r="C582" s="1153" t="str">
        <f aca="false">'Смета Расходов'!C823</f>
        <v>кг</v>
      </c>
      <c r="D582" s="1152" t="n">
        <f aca="false">'Смета Расходов'!D823</f>
        <v>0</v>
      </c>
      <c r="E582" s="1152" t="n">
        <f aca="false">'Смета Расходов'!F823</f>
        <v>76.49</v>
      </c>
      <c r="F582" s="1152" t="n">
        <f aca="false">'Смета Расходов'!G823</f>
        <v>0</v>
      </c>
    </row>
    <row r="583" customFormat="false" ht="15" hidden="false" customHeight="false" outlineLevel="0" collapsed="false">
      <c r="A583" s="1139"/>
      <c r="B583" s="1152" t="str">
        <f aca="false">'Смета Расходов'!B824</f>
        <v>Двутавровая деревянная балка, 400*65мм</v>
      </c>
      <c r="C583" s="1153" t="str">
        <f aca="false">'Смета Расходов'!C824</f>
        <v>м.п.</v>
      </c>
      <c r="D583" s="1152" t="n">
        <f aca="false">'Смета Расходов'!D824</f>
        <v>0</v>
      </c>
      <c r="E583" s="1152" t="n">
        <f aca="false">'Смета Расходов'!F824</f>
        <v>303</v>
      </c>
      <c r="F583" s="1152" t="n">
        <f aca="false">'Смета Расходов'!G824</f>
        <v>0</v>
      </c>
    </row>
    <row r="584" customFormat="false" ht="15" hidden="false" customHeight="false" outlineLevel="0" collapsed="false">
      <c r="A584" s="1139"/>
      <c r="B584" s="1152" t="str">
        <f aca="false">'Смета Расходов'!B825</f>
        <v>Двутавровая деревянная балка, 400*90мм</v>
      </c>
      <c r="C584" s="1153" t="str">
        <f aca="false">'Смета Расходов'!C825</f>
        <v>м.п.</v>
      </c>
      <c r="D584" s="1152" t="n">
        <f aca="false">'Смета Расходов'!D825</f>
        <v>0</v>
      </c>
      <c r="E584" s="1152" t="n">
        <f aca="false">'Смета Расходов'!F825</f>
        <v>355</v>
      </c>
      <c r="F584" s="1152" t="n">
        <f aca="false">'Смета Расходов'!G825</f>
        <v>0</v>
      </c>
    </row>
    <row r="585" customFormat="false" ht="15" hidden="false" customHeight="false" outlineLevel="0" collapsed="false">
      <c r="A585" s="1139"/>
      <c r="B585" s="1152" t="str">
        <f aca="false">'Смета Расходов'!B826</f>
        <v>Двутавровая деревянная балка, 350*65мм</v>
      </c>
      <c r="C585" s="1153" t="str">
        <f aca="false">'Смета Расходов'!C826</f>
        <v>м.п.</v>
      </c>
      <c r="D585" s="1152" t="n">
        <f aca="false">'Смета Расходов'!D826</f>
        <v>0</v>
      </c>
      <c r="E585" s="1152" t="n">
        <f aca="false">'Смета Расходов'!F826</f>
        <v>287</v>
      </c>
      <c r="F585" s="1152" t="n">
        <f aca="false">'Смета Расходов'!G826</f>
        <v>0</v>
      </c>
    </row>
    <row r="586" customFormat="false" ht="15" hidden="false" customHeight="false" outlineLevel="0" collapsed="false">
      <c r="A586" s="1139"/>
      <c r="B586" s="1152" t="str">
        <f aca="false">'Смета Расходов'!B827</f>
        <v>Двутавровая деревянная балка, 350*90мм</v>
      </c>
      <c r="C586" s="1153" t="str">
        <f aca="false">'Смета Расходов'!C827</f>
        <v>м.п.</v>
      </c>
      <c r="D586" s="1152" t="n">
        <f aca="false">'Смета Расходов'!D827</f>
        <v>0</v>
      </c>
      <c r="E586" s="1152" t="n">
        <f aca="false">'Смета Расходов'!F827</f>
        <v>315</v>
      </c>
      <c r="F586" s="1152" t="n">
        <f aca="false">'Смета Расходов'!G827</f>
        <v>0</v>
      </c>
    </row>
    <row r="587" customFormat="false" ht="15" hidden="false" customHeight="false" outlineLevel="0" collapsed="false">
      <c r="A587" s="1139"/>
      <c r="B587" s="1152" t="str">
        <f aca="false">'Смета Расходов'!B828</f>
        <v>Двутавровая деревянная балка, 300*65мм</v>
      </c>
      <c r="C587" s="1153" t="str">
        <f aca="false">'Смета Расходов'!C828</f>
        <v>м.п.</v>
      </c>
      <c r="D587" s="1152" t="n">
        <f aca="false">'Смета Расходов'!D828</f>
        <v>0</v>
      </c>
      <c r="E587" s="1152" t="n">
        <f aca="false">'Смета Расходов'!F828</f>
        <v>273</v>
      </c>
      <c r="F587" s="1152" t="n">
        <f aca="false">'Смета Расходов'!G828</f>
        <v>0</v>
      </c>
    </row>
    <row r="588" customFormat="false" ht="15" hidden="false" customHeight="false" outlineLevel="0" collapsed="false">
      <c r="A588" s="1139"/>
      <c r="B588" s="1152" t="str">
        <f aca="false">'Смета Расходов'!B829</f>
        <v>Двутавровая деревянная балка, 300*90мм</v>
      </c>
      <c r="C588" s="1153" t="str">
        <f aca="false">'Смета Расходов'!C829</f>
        <v>м.п.</v>
      </c>
      <c r="D588" s="1152" t="n">
        <f aca="false">'Смета Расходов'!D829</f>
        <v>0</v>
      </c>
      <c r="E588" s="1152" t="n">
        <f aca="false">'Смета Расходов'!F829</f>
        <v>315</v>
      </c>
      <c r="F588" s="1152" t="n">
        <f aca="false">'Смета Расходов'!G829</f>
        <v>0</v>
      </c>
    </row>
    <row r="589" customFormat="false" ht="15" hidden="false" customHeight="false" outlineLevel="0" collapsed="false">
      <c r="A589" s="1139"/>
      <c r="B589" s="1152" t="str">
        <f aca="false">'Смета Расходов'!B830</f>
        <v>Двутавровая деревянная балка, 240*65мм</v>
      </c>
      <c r="C589" s="1153" t="str">
        <f aca="false">'Смета Расходов'!C830</f>
        <v>м.п.</v>
      </c>
      <c r="D589" s="1152" t="n">
        <f aca="false">'Смета Расходов'!D830</f>
        <v>0</v>
      </c>
      <c r="E589" s="1152" t="n">
        <f aca="false">'Смета Расходов'!F830</f>
        <v>263</v>
      </c>
      <c r="F589" s="1152" t="n">
        <f aca="false">'Смета Расходов'!G830</f>
        <v>0</v>
      </c>
    </row>
    <row r="590" customFormat="false" ht="15" hidden="false" customHeight="false" outlineLevel="0" collapsed="false">
      <c r="A590" s="1139"/>
      <c r="B590" s="1152" t="str">
        <f aca="false">'Смета Расходов'!B831</f>
        <v>Двутавровая деревянная балка, 240*90мм</v>
      </c>
      <c r="C590" s="1153" t="str">
        <f aca="false">'Смета Расходов'!C831</f>
        <v>м.п.</v>
      </c>
      <c r="D590" s="1152" t="n">
        <f aca="false">'Смета Расходов'!D831</f>
        <v>0</v>
      </c>
      <c r="E590" s="1152" t="n">
        <f aca="false">'Смета Расходов'!F831</f>
        <v>291</v>
      </c>
      <c r="F590" s="1152" t="n">
        <f aca="false">'Смета Расходов'!G831</f>
        <v>0</v>
      </c>
    </row>
    <row r="591" customFormat="false" ht="15" hidden="false" customHeight="false" outlineLevel="0" collapsed="false">
      <c r="A591" s="1139"/>
      <c r="B591" s="1152" t="str">
        <f aca="false">'Смета Расходов'!B832</f>
        <v>Двутавровая деревянная балка, 200*65мм</v>
      </c>
      <c r="C591" s="1153" t="str">
        <f aca="false">'Смета Расходов'!C832</f>
        <v>м.п.</v>
      </c>
      <c r="D591" s="1152" t="n">
        <f aca="false">'Смета Расходов'!D832</f>
        <v>0</v>
      </c>
      <c r="E591" s="1152" t="n">
        <f aca="false">'Смета Расходов'!F832</f>
        <v>250</v>
      </c>
      <c r="F591" s="1152" t="n">
        <f aca="false">'Смета Расходов'!G832</f>
        <v>0</v>
      </c>
    </row>
    <row r="592" customFormat="false" ht="15" hidden="false" customHeight="false" outlineLevel="0" collapsed="false">
      <c r="A592" s="1139"/>
      <c r="B592" s="1152" t="str">
        <f aca="false">'Смета Расходов'!B833</f>
        <v>Двутавровая деревянная балка, 200*90мм</v>
      </c>
      <c r="C592" s="1153" t="str">
        <f aca="false">'Смета Расходов'!C833</f>
        <v>м.п.</v>
      </c>
      <c r="D592" s="1152" t="n">
        <f aca="false">'Смета Расходов'!D833</f>
        <v>0</v>
      </c>
      <c r="E592" s="1152" t="n">
        <f aca="false">'Смета Расходов'!F833</f>
        <v>280</v>
      </c>
      <c r="F592" s="1152" t="n">
        <f aca="false">'Смета Расходов'!G833</f>
        <v>0</v>
      </c>
    </row>
    <row r="593" customFormat="false" ht="15" hidden="false" customHeight="false" outlineLevel="0" collapsed="false">
      <c r="A593" s="1139"/>
      <c r="B593" s="1152" t="str">
        <f aca="false">'Смета Расходов'!B834</f>
        <v>Двутавровая деревянная балка, 150*65мм</v>
      </c>
      <c r="C593" s="1153" t="str">
        <f aca="false">'Смета Расходов'!C834</f>
        <v>м.п.</v>
      </c>
      <c r="D593" s="1152" t="n">
        <f aca="false">'Смета Расходов'!D834</f>
        <v>0</v>
      </c>
      <c r="E593" s="1152" t="n">
        <f aca="false">'Смета Расходов'!F834</f>
        <v>220</v>
      </c>
      <c r="F593" s="1152" t="n">
        <f aca="false">'Смета Расходов'!G834</f>
        <v>0</v>
      </c>
    </row>
    <row r="594" customFormat="false" ht="15" hidden="false" customHeight="false" outlineLevel="0" collapsed="false">
      <c r="A594" s="1139"/>
      <c r="B594" s="1152" t="str">
        <f aca="false">'Смета Расходов'!B835</f>
        <v>Двутавровая деревянная балка, 150*90мм</v>
      </c>
      <c r="C594" s="1153" t="str">
        <f aca="false">'Смета Расходов'!C835</f>
        <v>м.п.</v>
      </c>
      <c r="D594" s="1152" t="n">
        <f aca="false">'Смета Расходов'!D835</f>
        <v>0</v>
      </c>
      <c r="E594" s="1152" t="n">
        <f aca="false">'Смета Расходов'!F835</f>
        <v>250</v>
      </c>
      <c r="F594" s="1152" t="n">
        <f aca="false">'Смета Расходов'!G835</f>
        <v>0</v>
      </c>
    </row>
    <row r="595" customFormat="false" ht="15" hidden="false" customHeight="false" outlineLevel="0" collapsed="false">
      <c r="A595" s="1139"/>
      <c r="B595" s="1152" t="str">
        <f aca="false">'Смета Расходов'!B836</f>
        <v>Уголок усиленный 90х70х55х2,5        </v>
      </c>
      <c r="C595" s="1153" t="str">
        <f aca="false">'Смета Расходов'!C836</f>
        <v>шт</v>
      </c>
      <c r="D595" s="1152" t="n">
        <f aca="false">'Смета Расходов'!D836</f>
        <v>0</v>
      </c>
      <c r="E595" s="1152" t="n">
        <f aca="false">'Смета Расходов'!F836</f>
        <v>30</v>
      </c>
      <c r="F595" s="1152" t="n">
        <f aca="false">'Смета Расходов'!G836</f>
        <v>0</v>
      </c>
    </row>
    <row r="596" customFormat="false" ht="15" hidden="false" customHeight="false" outlineLevel="0" collapsed="false">
      <c r="A596" s="1139"/>
      <c r="B596" s="1152" t="str">
        <f aca="false">'Смета Расходов'!B837</f>
        <v>Саморезы 3,5 x 55            </v>
      </c>
      <c r="C596" s="1153" t="str">
        <f aca="false">'Смета Расходов'!C837</f>
        <v>шт</v>
      </c>
      <c r="D596" s="1152" t="n">
        <f aca="false">'Смета Расходов'!D837</f>
        <v>0</v>
      </c>
      <c r="E596" s="1152" t="n">
        <f aca="false">'Смета Расходов'!F837</f>
        <v>0.3</v>
      </c>
      <c r="F596" s="1152" t="n">
        <f aca="false">'Смета Расходов'!G837</f>
        <v>0</v>
      </c>
    </row>
    <row r="597" customFormat="false" ht="15" hidden="false" customHeight="false" outlineLevel="0" collapsed="false">
      <c r="A597" s="1139"/>
      <c r="B597" s="1152" t="str">
        <f aca="false">'Смета Расходов'!B838</f>
        <v>Пенопласт ПСБ-С-35, 100мм</v>
      </c>
      <c r="C597" s="1153" t="str">
        <f aca="false">'Смета Расходов'!C838</f>
        <v>м3</v>
      </c>
      <c r="D597" s="1152" t="n">
        <f aca="false">'Смета Расходов'!D838</f>
        <v>6.4</v>
      </c>
      <c r="E597" s="1152" t="n">
        <f aca="false">'Смета Расходов'!F838</f>
        <v>3400</v>
      </c>
      <c r="F597" s="1152" t="n">
        <f aca="false">'Смета Расходов'!G838</f>
        <v>21760</v>
      </c>
    </row>
    <row r="598" customFormat="false" ht="15" hidden="false" customHeight="false" outlineLevel="0" collapsed="false">
      <c r="A598" s="1139"/>
      <c r="B598" s="1152" t="str">
        <f aca="false">'Смета Расходов'!B839</f>
        <v>нет ветроизоляции</v>
      </c>
      <c r="C598" s="1153" t="str">
        <f aca="false">'Смета Расходов'!C839</f>
        <v>м2</v>
      </c>
      <c r="D598" s="1152" t="n">
        <f aca="false">'Смета Расходов'!D839</f>
        <v>64</v>
      </c>
      <c r="E598" s="1152" t="n">
        <f aca="false">'Смета Расходов'!F839</f>
        <v>0</v>
      </c>
      <c r="F598" s="1152" t="n">
        <f aca="false">'Смета Расходов'!G839</f>
        <v>0</v>
      </c>
    </row>
    <row r="599" customFormat="false" ht="15" hidden="false" customHeight="false" outlineLevel="0" collapsed="false">
      <c r="A599" s="1139"/>
      <c r="B599" s="1152" t="str">
        <f aca="false">'Смета Расходов'!B840</f>
        <v>нет пароизоляции</v>
      </c>
      <c r="C599" s="1153" t="str">
        <f aca="false">'Смета Расходов'!C840</f>
        <v>м2</v>
      </c>
      <c r="D599" s="1152" t="n">
        <f aca="false">'Смета Расходов'!D840</f>
        <v>64</v>
      </c>
      <c r="E599" s="1152" t="n">
        <f aca="false">'Смета Расходов'!F840</f>
        <v>0</v>
      </c>
      <c r="F599" s="1152" t="n">
        <f aca="false">'Смета Расходов'!G840</f>
        <v>0</v>
      </c>
    </row>
    <row r="600" customFormat="false" ht="15" hidden="false" customHeight="false" outlineLevel="0" collapsed="false">
      <c r="A600" s="1139"/>
      <c r="B600" s="1152" t="str">
        <f aca="false">'Смета Расходов'!B841</f>
        <v>Плита перекрытия  ЖБИ</v>
      </c>
      <c r="C600" s="1153" t="str">
        <f aca="false">'Смета Расходов'!C841</f>
        <v>м2</v>
      </c>
      <c r="D600" s="1152" t="n">
        <f aca="false">'Смета Расходов'!D841</f>
        <v>0</v>
      </c>
      <c r="E600" s="1152" t="n">
        <f aca="false">'Смета Расходов'!F841</f>
        <v>1400</v>
      </c>
      <c r="F600" s="1152" t="n">
        <f aca="false">'Смета Расходов'!G841</f>
        <v>0</v>
      </c>
    </row>
    <row r="601" customFormat="false" ht="15" hidden="false" customHeight="false" outlineLevel="0" collapsed="false">
      <c r="A601" s="1139"/>
      <c r="B601" s="1152" t="str">
        <f aca="false">'Смета Расходов'!B842</f>
        <v>Раствор, м250</v>
      </c>
      <c r="C601" s="1153" t="str">
        <f aca="false">'Смета Расходов'!C842</f>
        <v>м3</v>
      </c>
      <c r="D601" s="1152" t="n">
        <f aca="false">'Смета Расходов'!D842</f>
        <v>0</v>
      </c>
      <c r="E601" s="1152" t="n">
        <f aca="false">'Смета Расходов'!F842</f>
        <v>2500</v>
      </c>
      <c r="F601" s="1152" t="n">
        <f aca="false">'Смета Расходов'!G842</f>
        <v>0</v>
      </c>
    </row>
    <row r="602" customFormat="false" ht="15" hidden="false" customHeight="false" outlineLevel="0" collapsed="false">
      <c r="A602" s="1139"/>
      <c r="B602" s="1152" t="str">
        <f aca="false">'Смета Расходов'!B843</f>
        <v>Монолит, бетон, 300мм, 2 слоя</v>
      </c>
      <c r="C602" s="1153" t="str">
        <f aca="false">'Смета Расходов'!C843</f>
        <v>м2</v>
      </c>
      <c r="D602" s="1152" t="n">
        <f aca="false">'Смета Расходов'!D843</f>
        <v>0</v>
      </c>
      <c r="E602" s="1152" t="n">
        <f aca="false">'Смета Расходов'!F843</f>
        <v>1</v>
      </c>
      <c r="F602" s="1152" t="n">
        <f aca="false">'Смета Расходов'!G843</f>
        <v>0</v>
      </c>
    </row>
    <row r="603" customFormat="false" ht="15" hidden="false" customHeight="false" outlineLevel="0" collapsed="false">
      <c r="A603" s="1139"/>
      <c r="B603" s="1152" t="str">
        <f aca="false">'Смета Расходов'!B844</f>
        <v>Монолит, бетон, 300мм, 1 слой</v>
      </c>
      <c r="C603" s="1153" t="str">
        <f aca="false">'Смета Расходов'!C844</f>
        <v>м2</v>
      </c>
      <c r="D603" s="1152" t="n">
        <f aca="false">'Смета Расходов'!D844</f>
        <v>0</v>
      </c>
      <c r="E603" s="1152" t="n">
        <f aca="false">'Смета Расходов'!F844</f>
        <v>1</v>
      </c>
      <c r="F603" s="1152" t="n">
        <f aca="false">'Смета Расходов'!G844</f>
        <v>0</v>
      </c>
    </row>
    <row r="604" customFormat="false" ht="15" hidden="false" customHeight="false" outlineLevel="0" collapsed="false">
      <c r="A604" s="1139"/>
      <c r="B604" s="1152" t="str">
        <f aca="false">'Смета Расходов'!B845</f>
        <v>Монолит, бетон, 250мм, 2 слоя</v>
      </c>
      <c r="C604" s="1153" t="str">
        <f aca="false">'Смета Расходов'!C845</f>
        <v>м2</v>
      </c>
      <c r="D604" s="1152" t="n">
        <f aca="false">'Смета Расходов'!D845</f>
        <v>0</v>
      </c>
      <c r="E604" s="1152" t="n">
        <f aca="false">'Смета Расходов'!F845</f>
        <v>1</v>
      </c>
      <c r="F604" s="1152" t="n">
        <f aca="false">'Смета Расходов'!G845</f>
        <v>0</v>
      </c>
    </row>
    <row r="605" customFormat="false" ht="15" hidden="false" customHeight="false" outlineLevel="0" collapsed="false">
      <c r="A605" s="1139"/>
      <c r="B605" s="1152" t="str">
        <f aca="false">'Смета Расходов'!B846</f>
        <v>Монолит, бетон, 250мм, 1 слой</v>
      </c>
      <c r="C605" s="1153" t="str">
        <f aca="false">'Смета Расходов'!C846</f>
        <v>м2</v>
      </c>
      <c r="D605" s="1152" t="n">
        <f aca="false">'Смета Расходов'!D846</f>
        <v>0</v>
      </c>
      <c r="E605" s="1152" t="n">
        <f aca="false">'Смета Расходов'!F846</f>
        <v>1</v>
      </c>
      <c r="F605" s="1152" t="n">
        <f aca="false">'Смета Расходов'!G846</f>
        <v>0</v>
      </c>
    </row>
    <row r="606" customFormat="false" ht="15" hidden="false" customHeight="false" outlineLevel="0" collapsed="false">
      <c r="A606" s="1139"/>
      <c r="B606" s="1152" t="str">
        <f aca="false">'Смета Расходов'!B847</f>
        <v>Монолит, бетон, 200мм, 2 слоя</v>
      </c>
      <c r="C606" s="1153" t="str">
        <f aca="false">'Смета Расходов'!C847</f>
        <v>м2</v>
      </c>
      <c r="D606" s="1152" t="n">
        <f aca="false">'Смета Расходов'!D847</f>
        <v>0</v>
      </c>
      <c r="E606" s="1152" t="n">
        <f aca="false">'Смета Расходов'!F847</f>
        <v>1</v>
      </c>
      <c r="F606" s="1152" t="n">
        <f aca="false">'Смета Расходов'!G847</f>
        <v>0</v>
      </c>
    </row>
    <row r="607" customFormat="false" ht="15" hidden="false" customHeight="false" outlineLevel="0" collapsed="false">
      <c r="A607" s="1139"/>
      <c r="B607" s="1152" t="str">
        <f aca="false">'Смета Расходов'!B848</f>
        <v>Монолит, бетон, 200мм, 1 слой</v>
      </c>
      <c r="C607" s="1153" t="str">
        <f aca="false">'Смета Расходов'!C848</f>
        <v>м2</v>
      </c>
      <c r="D607" s="1152" t="n">
        <f aca="false">'Смета Расходов'!D848</f>
        <v>0</v>
      </c>
      <c r="E607" s="1152" t="n">
        <f aca="false">'Смета Расходов'!F848</f>
        <v>1</v>
      </c>
      <c r="F607" s="1152" t="n">
        <f aca="false">'Смета Расходов'!G848</f>
        <v>0</v>
      </c>
    </row>
    <row r="608" customFormat="false" ht="15" hidden="false" customHeight="false" outlineLevel="0" collapsed="false">
      <c r="A608" s="1139"/>
      <c r="B608" s="1152" t="str">
        <f aca="false">'Смета Расходов'!B849</f>
        <v>Монолит, бетон, 150мм, 2 слоя</v>
      </c>
      <c r="C608" s="1153" t="str">
        <f aca="false">'Смета Расходов'!C849</f>
        <v>м2</v>
      </c>
      <c r="D608" s="1152" t="n">
        <f aca="false">'Смета Расходов'!D849</f>
        <v>0</v>
      </c>
      <c r="E608" s="1152" t="n">
        <f aca="false">'Смета Расходов'!F849</f>
        <v>1</v>
      </c>
      <c r="F608" s="1152" t="n">
        <f aca="false">'Смета Расходов'!G849</f>
        <v>0</v>
      </c>
    </row>
    <row r="609" customFormat="false" ht="15" hidden="false" customHeight="false" outlineLevel="0" collapsed="false">
      <c r="A609" s="1139"/>
      <c r="B609" s="1152" t="str">
        <f aca="false">'Смета Расходов'!B850</f>
        <v>Монолит, бетон, 150мм, 1 слой</v>
      </c>
      <c r="C609" s="1153" t="str">
        <f aca="false">'Смета Расходов'!C850</f>
        <v>м2</v>
      </c>
      <c r="D609" s="1152" t="n">
        <f aca="false">'Смета Расходов'!D850</f>
        <v>0</v>
      </c>
      <c r="E609" s="1152" t="n">
        <f aca="false">'Смета Расходов'!F850</f>
        <v>1</v>
      </c>
      <c r="F609" s="1152" t="n">
        <f aca="false">'Смета Расходов'!G850</f>
        <v>0</v>
      </c>
    </row>
    <row r="610" customFormat="false" ht="15" hidden="false" customHeight="false" outlineLevel="0" collapsed="false">
      <c r="A610" s="1139"/>
      <c r="B610" s="1152" t="str">
        <f aca="false">'Смета Расходов'!B851</f>
        <v>доска для опалубки монолит перекрытий</v>
      </c>
      <c r="C610" s="1153" t="str">
        <f aca="false">'Смета Расходов'!C851</f>
        <v>м3</v>
      </c>
      <c r="D610" s="1152" t="n">
        <f aca="false">'Смета Расходов'!D851</f>
        <v>0</v>
      </c>
      <c r="E610" s="1152" t="n">
        <f aca="false">'Смета Расходов'!F851</f>
        <v>6500</v>
      </c>
      <c r="F610" s="1152" t="n">
        <f aca="false">'Смета Расходов'!G851</f>
        <v>0</v>
      </c>
    </row>
    <row r="611" customFormat="false" ht="15" hidden="false" customHeight="false" outlineLevel="0" collapsed="false">
      <c r="A611" s="1139"/>
      <c r="B611" s="1152" t="str">
        <f aca="false">'Смета Расходов'!B852</f>
        <v>стойки под опалубку перекрытий</v>
      </c>
      <c r="C611" s="1153" t="str">
        <f aca="false">'Смета Расходов'!C852</f>
        <v>шт</v>
      </c>
      <c r="D611" s="1152" t="n">
        <f aca="false">'Смета Расходов'!D852</f>
        <v>0</v>
      </c>
      <c r="E611" s="1152" t="n">
        <f aca="false">'Смета Расходов'!F852</f>
        <v>0</v>
      </c>
      <c r="F611" s="1152" t="n">
        <f aca="false">'Смета Расходов'!G852</f>
        <v>0</v>
      </c>
    </row>
    <row r="612" customFormat="false" ht="15" hidden="false" customHeight="false" outlineLevel="0" collapsed="false">
      <c r="A612" s="1139"/>
      <c r="B612" s="1152" t="str">
        <f aca="false">'Смета Расходов'!B853</f>
        <v>Пленка гидроизоляционная </v>
      </c>
      <c r="C612" s="1153" t="str">
        <f aca="false">'Смета Расходов'!C853</f>
        <v>м2</v>
      </c>
      <c r="D612" s="1152" t="n">
        <f aca="false">'Смета Расходов'!D853</f>
        <v>0</v>
      </c>
      <c r="E612" s="1152" t="n">
        <f aca="false">'Смета Расходов'!F853</f>
        <v>15</v>
      </c>
      <c r="F612" s="1152" t="n">
        <f aca="false">'Смета Расходов'!G853</f>
        <v>0</v>
      </c>
    </row>
    <row r="613" customFormat="false" ht="15" hidden="false" customHeight="false" outlineLevel="0" collapsed="false">
      <c r="A613" s="1139"/>
      <c r="B613" s="1152" t="str">
        <f aca="false">'Смета Расходов'!B854</f>
        <v>Арматура М12</v>
      </c>
      <c r="C613" s="1153" t="str">
        <f aca="false">'Смета Расходов'!C854</f>
        <v>м.п.</v>
      </c>
      <c r="D613" s="1152" t="n">
        <f aca="false">'Смета Расходов'!D854</f>
        <v>0</v>
      </c>
      <c r="E613" s="1152" t="n">
        <f aca="false">'Смета Расходов'!F854</f>
        <v>29.2152</v>
      </c>
      <c r="F613" s="1152" t="n">
        <f aca="false">'Смета Расходов'!G854</f>
        <v>0</v>
      </c>
    </row>
    <row r="614" customFormat="false" ht="15" hidden="false" customHeight="false" outlineLevel="0" collapsed="false">
      <c r="A614" s="1139"/>
      <c r="B614" s="1152" t="str">
        <f aca="false">'Смета Расходов'!B855</f>
        <v>Вязальная проволока</v>
      </c>
      <c r="C614" s="1153" t="str">
        <f aca="false">'Смета Расходов'!C855</f>
        <v>кг</v>
      </c>
      <c r="D614" s="1152" t="n">
        <f aca="false">'Смета Расходов'!D855</f>
        <v>0</v>
      </c>
      <c r="E614" s="1152" t="n">
        <f aca="false">'Смета Расходов'!F855</f>
        <v>80</v>
      </c>
      <c r="F614" s="1152" t="n">
        <f aca="false">'Смета Расходов'!G855</f>
        <v>0</v>
      </c>
    </row>
    <row r="615" customFormat="false" ht="15" hidden="false" customHeight="false" outlineLevel="0" collapsed="false">
      <c r="A615" s="1139"/>
      <c r="B615" s="1152" t="str">
        <f aca="false">'Смета Расходов'!B856</f>
        <v>Подставка под арматурный каркас</v>
      </c>
      <c r="C615" s="1153" t="str">
        <f aca="false">'Смета Расходов'!C856</f>
        <v>шт</v>
      </c>
      <c r="D615" s="1152" t="n">
        <f aca="false">'Смета Расходов'!D856</f>
        <v>0</v>
      </c>
      <c r="E615" s="1152" t="n">
        <f aca="false">'Смета Расходов'!F856</f>
        <v>5</v>
      </c>
      <c r="F615" s="1152" t="n">
        <f aca="false">'Смета Расходов'!G856</f>
        <v>0</v>
      </c>
    </row>
    <row r="616" customFormat="false" ht="15" hidden="false" customHeight="false" outlineLevel="0" collapsed="false">
      <c r="A616" s="1139"/>
      <c r="B616" s="1152" t="str">
        <f aca="false">'Смета Расходов'!B857</f>
        <v>бетон, м350</v>
      </c>
      <c r="C616" s="1153" t="str">
        <f aca="false">'Смета Расходов'!C857</f>
        <v>м3</v>
      </c>
      <c r="D616" s="1152" t="n">
        <f aca="false">'Смета Расходов'!D857</f>
        <v>0</v>
      </c>
      <c r="E616" s="1152" t="n">
        <f aca="false">'Смета Расходов'!F857</f>
        <v>3500</v>
      </c>
      <c r="F616" s="1152" t="n">
        <f aca="false">'Смета Расходов'!G857</f>
        <v>0</v>
      </c>
    </row>
    <row r="617" customFormat="false" ht="15" hidden="false" customHeight="false" outlineLevel="0" collapsed="false">
      <c r="A617" s="1139"/>
      <c r="B617" s="1152" t="str">
        <f aca="false">'Смета Расходов'!B858</f>
        <v>Брус естественной влажности, 200*100мм</v>
      </c>
      <c r="C617" s="1153" t="str">
        <f aca="false">'Смета Расходов'!C858</f>
        <v>м3</v>
      </c>
      <c r="D617" s="1152" t="n">
        <f aca="false">'Смета Расходов'!D858</f>
        <v>0</v>
      </c>
      <c r="E617" s="1152" t="n">
        <f aca="false">'Смета Расходов'!F858</f>
        <v>6500</v>
      </c>
      <c r="F617" s="1152" t="n">
        <f aca="false">'Смета Расходов'!G858</f>
        <v>0</v>
      </c>
    </row>
    <row r="618" customFormat="false" ht="15" hidden="false" customHeight="false" outlineLevel="0" collapsed="false">
      <c r="A618" s="1139"/>
      <c r="B618" s="1152" t="str">
        <f aca="false">'Смета Расходов'!B859</f>
        <v>Брус естественной влажности, 150*100мм</v>
      </c>
      <c r="C618" s="1153" t="str">
        <f aca="false">'Смета Расходов'!C859</f>
        <v>м3</v>
      </c>
      <c r="D618" s="1152" t="n">
        <f aca="false">'Смета Расходов'!D859</f>
        <v>0</v>
      </c>
      <c r="E618" s="1152" t="n">
        <f aca="false">'Смета Расходов'!F859</f>
        <v>6500</v>
      </c>
      <c r="F618" s="1152" t="n">
        <f aca="false">'Смета Расходов'!G859</f>
        <v>0</v>
      </c>
    </row>
    <row r="619" customFormat="false" ht="15" hidden="false" customHeight="false" outlineLevel="0" collapsed="false">
      <c r="A619" s="1139"/>
      <c r="B619" s="1152" t="str">
        <f aca="false">'Смета Расходов'!B860</f>
        <v>Брус естественной влажности, 100*100мм</v>
      </c>
      <c r="C619" s="1153" t="str">
        <f aca="false">'Смета Расходов'!C860</f>
        <v>м3</v>
      </c>
      <c r="D619" s="1152" t="n">
        <f aca="false">'Смета Расходов'!D860</f>
        <v>0</v>
      </c>
      <c r="E619" s="1152" t="n">
        <f aca="false">'Смета Расходов'!F860</f>
        <v>6500</v>
      </c>
      <c r="F619" s="1152" t="n">
        <f aca="false">'Смета Расходов'!G860</f>
        <v>0</v>
      </c>
    </row>
    <row r="620" customFormat="false" ht="15" hidden="false" customHeight="false" outlineLevel="0" collapsed="false">
      <c r="A620" s="1139"/>
      <c r="B620" s="1152" t="str">
        <f aca="false">'Смета Расходов'!B861</f>
        <v>Брус естественной влажности, 150*150мм</v>
      </c>
      <c r="C620" s="1153" t="str">
        <f aca="false">'Смета Расходов'!C861</f>
        <v>м3</v>
      </c>
      <c r="D620" s="1152" t="n">
        <f aca="false">'Смета Расходов'!D861</f>
        <v>0</v>
      </c>
      <c r="E620" s="1152" t="n">
        <f aca="false">'Смета Расходов'!F861</f>
        <v>6500</v>
      </c>
      <c r="F620" s="1152" t="n">
        <f aca="false">'Смета Расходов'!G861</f>
        <v>0</v>
      </c>
    </row>
    <row r="621" customFormat="false" ht="15" hidden="false" customHeight="false" outlineLevel="0" collapsed="false">
      <c r="A621" s="1139"/>
      <c r="B621" s="1152" t="str">
        <f aca="false">'Смета Расходов'!B862</f>
        <v>Доска естественной влажности, 200*50мм</v>
      </c>
      <c r="C621" s="1153" t="str">
        <f aca="false">'Смета Расходов'!C862</f>
        <v>м3</v>
      </c>
      <c r="D621" s="1152" t="n">
        <f aca="false">'Смета Расходов'!D862</f>
        <v>0</v>
      </c>
      <c r="E621" s="1152" t="n">
        <f aca="false">'Смета Расходов'!F862</f>
        <v>6500</v>
      </c>
      <c r="F621" s="1152" t="n">
        <f aca="false">'Смета Расходов'!G862</f>
        <v>0</v>
      </c>
    </row>
    <row r="622" customFormat="false" ht="15" hidden="false" customHeight="false" outlineLevel="0" collapsed="false">
      <c r="A622" s="1139"/>
      <c r="B622" s="1152" t="str">
        <f aca="false">'Смета Расходов'!B863</f>
        <v>Доска естественной влажности, 150*50мм</v>
      </c>
      <c r="C622" s="1153" t="str">
        <f aca="false">'Смета Расходов'!C863</f>
        <v>м3</v>
      </c>
      <c r="D622" s="1152" t="n">
        <f aca="false">'Смета Расходов'!D863</f>
        <v>0</v>
      </c>
      <c r="E622" s="1152" t="n">
        <f aca="false">'Смета Расходов'!F863</f>
        <v>6500</v>
      </c>
      <c r="F622" s="1152" t="n">
        <f aca="false">'Смета Расходов'!G863</f>
        <v>0</v>
      </c>
    </row>
    <row r="623" customFormat="false" ht="15" hidden="false" customHeight="false" outlineLevel="0" collapsed="false">
      <c r="A623" s="1139"/>
      <c r="B623" s="1152" t="str">
        <f aca="false">'Смета Расходов'!B864</f>
        <v>Опора бруса          </v>
      </c>
      <c r="C623" s="1153" t="str">
        <f aca="false">'Смета Расходов'!C864</f>
        <v>шт</v>
      </c>
      <c r="D623" s="1152" t="n">
        <f aca="false">'Смета Расходов'!D864</f>
        <v>0</v>
      </c>
      <c r="E623" s="1152" t="n">
        <f aca="false">'Смета Расходов'!F864</f>
        <v>50</v>
      </c>
      <c r="F623" s="1152" t="n">
        <f aca="false">'Смета Расходов'!G864</f>
        <v>0</v>
      </c>
    </row>
    <row r="624" customFormat="false" ht="15" hidden="false" customHeight="false" outlineLevel="0" collapsed="false">
      <c r="A624" s="1139"/>
      <c r="B624" s="1152" t="str">
        <f aca="false">'Смета Расходов'!B865</f>
        <v>Болты анкерные с гайкой 8,0 x 60           </v>
      </c>
      <c r="C624" s="1153" t="str">
        <f aca="false">'Смета Расходов'!C865</f>
        <v>шт</v>
      </c>
      <c r="D624" s="1152" t="n">
        <f aca="false">'Смета Расходов'!D865</f>
        <v>0</v>
      </c>
      <c r="E624" s="1152" t="n">
        <f aca="false">'Смета Расходов'!F865</f>
        <v>4</v>
      </c>
      <c r="F624" s="1152" t="n">
        <f aca="false">'Смета Расходов'!G865</f>
        <v>0</v>
      </c>
    </row>
    <row r="625" customFormat="false" ht="15" hidden="false" customHeight="false" outlineLevel="0" collapsed="false">
      <c r="A625" s="1139"/>
      <c r="B625" s="1152" t="str">
        <f aca="false">'Смета Расходов'!B866</f>
        <v>Нет перекрестного пола</v>
      </c>
      <c r="C625" s="1153" t="str">
        <f aca="false">'Смета Расходов'!C866</f>
        <v>м3</v>
      </c>
      <c r="D625" s="1152" t="n">
        <f aca="false">'Смета Расходов'!D866</f>
        <v>0</v>
      </c>
      <c r="E625" s="1152" t="n">
        <f aca="false">'Смета Расходов'!F866</f>
        <v>0</v>
      </c>
      <c r="F625" s="1152" t="n">
        <f aca="false">'Смета Расходов'!G866</f>
        <v>0</v>
      </c>
    </row>
    <row r="626" customFormat="false" ht="15" hidden="false" customHeight="false" outlineLevel="0" collapsed="false">
      <c r="A626" s="1139"/>
      <c r="B626" s="1152" t="str">
        <f aca="false">'Смета Расходов'!B867</f>
        <v>Гвозди строительные 3,5 x 90            </v>
      </c>
      <c r="C626" s="1153" t="str">
        <f aca="false">'Смета Расходов'!C867</f>
        <v>кг</v>
      </c>
      <c r="D626" s="1152" t="n">
        <f aca="false">'Смета Расходов'!D867</f>
        <v>0</v>
      </c>
      <c r="E626" s="1152" t="n">
        <f aca="false">'Смета Расходов'!F867</f>
        <v>70</v>
      </c>
      <c r="F626" s="1152" t="n">
        <f aca="false">'Смета Расходов'!G867</f>
        <v>0</v>
      </c>
    </row>
    <row r="627" customFormat="false" ht="15" hidden="false" customHeight="false" outlineLevel="0" collapsed="false">
      <c r="A627" s="1139"/>
      <c r="B627" s="1152" t="str">
        <f aca="false">'Смета Расходов'!B868</f>
        <v>Sip панель 2500*625*124мм</v>
      </c>
      <c r="C627" s="1153" t="str">
        <f aca="false">'Смета Расходов'!C868</f>
        <v>м2</v>
      </c>
      <c r="D627" s="1152" t="n">
        <f aca="false">'Смета Расходов'!D868</f>
        <v>0</v>
      </c>
      <c r="E627" s="1152" t="n">
        <f aca="false">'Смета Расходов'!F868</f>
        <v>800</v>
      </c>
      <c r="F627" s="1152" t="n">
        <f aca="false">'Смета Расходов'!G868</f>
        <v>0</v>
      </c>
    </row>
    <row r="628" customFormat="false" ht="15" hidden="false" customHeight="false" outlineLevel="0" collapsed="false">
      <c r="A628" s="1139"/>
      <c r="B628" s="1152" t="str">
        <f aca="false">'Смета Расходов'!B869</f>
        <v>Sip панель 2500*625*174мм</v>
      </c>
      <c r="C628" s="1153" t="str">
        <f aca="false">'Смета Расходов'!C869</f>
        <v>м2</v>
      </c>
      <c r="D628" s="1152" t="n">
        <f aca="false">'Смета Расходов'!D869</f>
        <v>0</v>
      </c>
      <c r="E628" s="1152" t="n">
        <f aca="false">'Смета Расходов'!F869</f>
        <v>1200</v>
      </c>
      <c r="F628" s="1152" t="n">
        <f aca="false">'Смета Расходов'!G869</f>
        <v>0</v>
      </c>
    </row>
    <row r="629" customFormat="false" ht="15" hidden="false" customHeight="false" outlineLevel="0" collapsed="false">
      <c r="A629" s="1139"/>
      <c r="B629" s="1152" t="str">
        <f aca="false">'Смета Расходов'!B870</f>
        <v>Sip панель 2500*625*224мм</v>
      </c>
      <c r="C629" s="1153" t="str">
        <f aca="false">'Смета Расходов'!C870</f>
        <v>м2</v>
      </c>
      <c r="D629" s="1152" t="n">
        <f aca="false">'Смета Расходов'!D870</f>
        <v>0</v>
      </c>
      <c r="E629" s="1152" t="n">
        <f aca="false">'Смета Расходов'!F870</f>
        <v>1400</v>
      </c>
      <c r="F629" s="1152" t="n">
        <f aca="false">'Смета Расходов'!G870</f>
        <v>0</v>
      </c>
    </row>
    <row r="630" customFormat="false" ht="15" hidden="false" customHeight="false" outlineLevel="0" collapsed="false">
      <c r="A630" s="1139"/>
      <c r="B630" s="1152" t="str">
        <f aca="false">'Смета Расходов'!B871</f>
        <v>Доска сухая, 100*50мм</v>
      </c>
      <c r="C630" s="1153" t="str">
        <f aca="false">'Смета Расходов'!C871</f>
        <v>м.п.</v>
      </c>
      <c r="D630" s="1152" t="n">
        <f aca="false">'Смета Расходов'!D871</f>
        <v>0</v>
      </c>
      <c r="E630" s="1152" t="n">
        <f aca="false">'Смета Расходов'!F871</f>
        <v>45</v>
      </c>
      <c r="F630" s="1152" t="n">
        <f aca="false">'Смета Расходов'!G871</f>
        <v>0</v>
      </c>
    </row>
    <row r="631" customFormat="false" ht="15" hidden="false" customHeight="false" outlineLevel="0" collapsed="false">
      <c r="A631" s="1139"/>
      <c r="B631" s="1152" t="str">
        <f aca="false">'Смета Расходов'!B872</f>
        <v>Доска сухая, 150*50мм</v>
      </c>
      <c r="C631" s="1153" t="str">
        <f aca="false">'Смета Расходов'!C872</f>
        <v>м.п.</v>
      </c>
      <c r="D631" s="1152" t="n">
        <f aca="false">'Смета Расходов'!D872</f>
        <v>0</v>
      </c>
      <c r="E631" s="1152" t="n">
        <f aca="false">'Смета Расходов'!F872</f>
        <v>67.5</v>
      </c>
      <c r="F631" s="1152" t="n">
        <f aca="false">'Смета Расходов'!G872</f>
        <v>0</v>
      </c>
    </row>
    <row r="632" customFormat="false" ht="15" hidden="false" customHeight="false" outlineLevel="0" collapsed="false">
      <c r="A632" s="1139"/>
      <c r="B632" s="1152" t="str">
        <f aca="false">'Смета Расходов'!B873</f>
        <v>Доска сухая, 200*50мм</v>
      </c>
      <c r="C632" s="1153" t="str">
        <f aca="false">'Смета Расходов'!C873</f>
        <v>м.п.</v>
      </c>
      <c r="D632" s="1152" t="n">
        <f aca="false">'Смета Расходов'!D873</f>
        <v>0</v>
      </c>
      <c r="E632" s="1152" t="n">
        <f aca="false">'Смета Расходов'!F873</f>
        <v>90</v>
      </c>
      <c r="F632" s="1152" t="n">
        <f aca="false">'Смета Расходов'!G873</f>
        <v>0</v>
      </c>
    </row>
    <row r="633" customFormat="false" ht="15" hidden="false" customHeight="false" outlineLevel="0" collapsed="false">
      <c r="A633" s="1139"/>
      <c r="B633" s="1152" t="str">
        <f aca="false">'Смета Расходов'!B874</f>
        <v>Пена монтажная, всесезонняя 800мл</v>
      </c>
      <c r="C633" s="1153" t="str">
        <f aca="false">'Смета Расходов'!C874</f>
        <v>шт</v>
      </c>
      <c r="D633" s="1152" t="n">
        <f aca="false">'Смета Расходов'!D874</f>
        <v>0</v>
      </c>
      <c r="E633" s="1152" t="n">
        <f aca="false">'Смета Расходов'!F874</f>
        <v>300</v>
      </c>
      <c r="F633" s="1152" t="n">
        <f aca="false">'Смета Расходов'!G874</f>
        <v>0</v>
      </c>
    </row>
    <row r="634" customFormat="false" ht="15" hidden="false" customHeight="false" outlineLevel="0" collapsed="false">
      <c r="A634" s="1139"/>
      <c r="B634" s="1152" t="str">
        <f aca="false">'Смета Расходов'!B875</f>
        <v>Гвозди строительные 3,5 x 90            </v>
      </c>
      <c r="C634" s="1153" t="str">
        <f aca="false">'Смета Расходов'!C875</f>
        <v>шт</v>
      </c>
      <c r="D634" s="1152" t="n">
        <f aca="false">'Смета Расходов'!D875</f>
        <v>0</v>
      </c>
      <c r="E634" s="1152" t="n">
        <f aca="false">'Смета Расходов'!F875</f>
        <v>45</v>
      </c>
      <c r="F634" s="1152" t="n">
        <f aca="false">'Смета Расходов'!G875</f>
        <v>0</v>
      </c>
    </row>
    <row r="635" customFormat="false" ht="15" hidden="false" customHeight="false" outlineLevel="0" collapsed="false">
      <c r="A635" s="1139"/>
      <c r="B635" s="1152" t="str">
        <f aca="false">'Смета Расходов'!B876</f>
        <v>Саморезы 3,5 x 45            </v>
      </c>
      <c r="C635" s="1153" t="str">
        <f aca="false">'Смета Расходов'!C876</f>
        <v>шт</v>
      </c>
      <c r="D635" s="1152" t="n">
        <f aca="false">'Смета Расходов'!D876</f>
        <v>0</v>
      </c>
      <c r="E635" s="1152" t="n">
        <f aca="false">'Смета Расходов'!F876</f>
        <v>0.25</v>
      </c>
      <c r="F635" s="1152" t="n">
        <f aca="false">'Смета Расходов'!G876</f>
        <v>0</v>
      </c>
    </row>
    <row r="636" customFormat="false" ht="15" hidden="false" customHeight="false" outlineLevel="0" collapsed="false">
      <c r="A636" s="1139"/>
      <c r="B636" s="1152" t="str">
        <f aca="false">'Смета Расходов'!B877</f>
        <v>Доска сухая, 200*50мм</v>
      </c>
      <c r="C636" s="1153" t="str">
        <f aca="false">'Смета Расходов'!C877</f>
        <v>м3</v>
      </c>
      <c r="D636" s="1152" t="n">
        <f aca="false">'Смета Расходов'!D877</f>
        <v>0</v>
      </c>
      <c r="E636" s="1152" t="n">
        <f aca="false">'Смета Расходов'!F877</f>
        <v>9000</v>
      </c>
      <c r="F636" s="1152" t="n">
        <f aca="false">'Смета Расходов'!G877</f>
        <v>0</v>
      </c>
    </row>
    <row r="637" customFormat="false" ht="15" hidden="false" customHeight="false" outlineLevel="0" collapsed="false">
      <c r="A637" s="1139"/>
      <c r="B637" s="1152" t="str">
        <f aca="false">'Смета Расходов'!B878</f>
        <v>Доска сухая, 150*50мм</v>
      </c>
      <c r="C637" s="1153" t="str">
        <f aca="false">'Смета Расходов'!C878</f>
        <v>м3</v>
      </c>
      <c r="D637" s="1152" t="n">
        <f aca="false">'Смета Расходов'!D878</f>
        <v>0</v>
      </c>
      <c r="E637" s="1152" t="n">
        <f aca="false">'Смета Расходов'!F878</f>
        <v>9000</v>
      </c>
      <c r="F637" s="1152" t="n">
        <f aca="false">'Смета Расходов'!G878</f>
        <v>0</v>
      </c>
    </row>
    <row r="638" customFormat="false" ht="15" hidden="false" customHeight="false" outlineLevel="0" collapsed="false">
      <c r="A638" s="1139"/>
      <c r="B638" s="1152" t="str">
        <f aca="false">'Смета Расходов'!B879</f>
        <v>Гвозди ершоные 2,8 х 90            </v>
      </c>
      <c r="C638" s="1153" t="str">
        <f aca="false">'Смета Расходов'!C879</f>
        <v>кг</v>
      </c>
      <c r="D638" s="1152" t="n">
        <f aca="false">'Смета Расходов'!D879</f>
        <v>0</v>
      </c>
      <c r="E638" s="1152" t="n">
        <f aca="false">'Смета Расходов'!F879</f>
        <v>76.49</v>
      </c>
      <c r="F638" s="1152" t="n">
        <f aca="false">'Смета Расходов'!G879</f>
        <v>0</v>
      </c>
    </row>
    <row r="639" customFormat="false" ht="15" hidden="false" customHeight="false" outlineLevel="0" collapsed="false">
      <c r="A639" s="1139"/>
      <c r="B639" s="1152" t="str">
        <f aca="false">'Смета Расходов'!B880</f>
        <v>Доска сухая калиброванная, 190*45мм</v>
      </c>
      <c r="C639" s="1153" t="str">
        <f aca="false">'Смета Расходов'!C880</f>
        <v>м3</v>
      </c>
      <c r="D639" s="1152" t="n">
        <f aca="false">'Смета Расходов'!D880</f>
        <v>0</v>
      </c>
      <c r="E639" s="1152" t="n">
        <f aca="false">'Смета Расходов'!F880</f>
        <v>12500</v>
      </c>
      <c r="F639" s="1152" t="n">
        <f aca="false">'Смета Расходов'!G880</f>
        <v>0</v>
      </c>
    </row>
    <row r="640" customFormat="false" ht="15" hidden="false" customHeight="false" outlineLevel="0" collapsed="false">
      <c r="A640" s="1139"/>
      <c r="B640" s="1152" t="str">
        <f aca="false">'Смета Расходов'!B881</f>
        <v>Доска сухая калиброванная, 145*45мм</v>
      </c>
      <c r="C640" s="1153" t="str">
        <f aca="false">'Смета Расходов'!C881</f>
        <v>м3</v>
      </c>
      <c r="D640" s="1152" t="n">
        <f aca="false">'Смета Расходов'!D881</f>
        <v>0</v>
      </c>
      <c r="E640" s="1152" t="n">
        <f aca="false">'Смета Расходов'!F881</f>
        <v>12500</v>
      </c>
      <c r="F640" s="1152" t="n">
        <f aca="false">'Смета Расходов'!G881</f>
        <v>0</v>
      </c>
    </row>
    <row r="641" customFormat="false" ht="15" hidden="false" customHeight="false" outlineLevel="0" collapsed="false">
      <c r="A641" s="1139"/>
      <c r="B641" s="1152" t="str">
        <f aca="false">'Смета Расходов'!B882</f>
        <v>Гвозди ершоные 2,8 х 90            </v>
      </c>
      <c r="C641" s="1153" t="str">
        <f aca="false">'Смета Расходов'!C882</f>
        <v>кг</v>
      </c>
      <c r="D641" s="1152" t="n">
        <f aca="false">'Смета Расходов'!D882</f>
        <v>0</v>
      </c>
      <c r="E641" s="1152" t="n">
        <f aca="false">'Смета Расходов'!F882</f>
        <v>76.49</v>
      </c>
      <c r="F641" s="1152" t="n">
        <f aca="false">'Смета Расходов'!G882</f>
        <v>0</v>
      </c>
    </row>
    <row r="642" customFormat="false" ht="15" hidden="false" customHeight="false" outlineLevel="0" collapsed="false">
      <c r="A642" s="1139"/>
      <c r="B642" s="1152" t="str">
        <f aca="false">'Смета Расходов'!B883</f>
        <v>Двутавровая деревянная балка, 400*65мм</v>
      </c>
      <c r="C642" s="1153" t="str">
        <f aca="false">'Смета Расходов'!C883</f>
        <v>м.п.</v>
      </c>
      <c r="D642" s="1152" t="n">
        <f aca="false">'Смета Расходов'!D883</f>
        <v>0</v>
      </c>
      <c r="E642" s="1152" t="n">
        <f aca="false">'Смета Расходов'!F883</f>
        <v>303</v>
      </c>
      <c r="F642" s="1152" t="n">
        <f aca="false">'Смета Расходов'!G883</f>
        <v>0</v>
      </c>
    </row>
    <row r="643" customFormat="false" ht="15" hidden="false" customHeight="false" outlineLevel="0" collapsed="false">
      <c r="A643" s="1139"/>
      <c r="B643" s="1152" t="str">
        <f aca="false">'Смета Расходов'!B884</f>
        <v>Двутавровая деревянная балка, 400*90мм</v>
      </c>
      <c r="C643" s="1153" t="str">
        <f aca="false">'Смета Расходов'!C884</f>
        <v>м.п.</v>
      </c>
      <c r="D643" s="1152" t="n">
        <f aca="false">'Смета Расходов'!D884</f>
        <v>0</v>
      </c>
      <c r="E643" s="1152" t="n">
        <f aca="false">'Смета Расходов'!F884</f>
        <v>355</v>
      </c>
      <c r="F643" s="1152" t="n">
        <f aca="false">'Смета Расходов'!G884</f>
        <v>0</v>
      </c>
    </row>
    <row r="644" customFormat="false" ht="15" hidden="false" customHeight="false" outlineLevel="0" collapsed="false">
      <c r="A644" s="1139"/>
      <c r="B644" s="1152" t="str">
        <f aca="false">'Смета Расходов'!B885</f>
        <v>Двутавровая деревянная балка, 350*65мм</v>
      </c>
      <c r="C644" s="1153" t="str">
        <f aca="false">'Смета Расходов'!C885</f>
        <v>м.п.</v>
      </c>
      <c r="D644" s="1152" t="n">
        <f aca="false">'Смета Расходов'!D885</f>
        <v>0</v>
      </c>
      <c r="E644" s="1152" t="n">
        <f aca="false">'Смета Расходов'!F885</f>
        <v>287</v>
      </c>
      <c r="F644" s="1152" t="n">
        <f aca="false">'Смета Расходов'!G885</f>
        <v>0</v>
      </c>
    </row>
    <row r="645" customFormat="false" ht="15" hidden="false" customHeight="false" outlineLevel="0" collapsed="false">
      <c r="A645" s="1139"/>
      <c r="B645" s="1152" t="str">
        <f aca="false">'Смета Расходов'!B886</f>
        <v>Двутавровая деревянная балка, 350*90мм</v>
      </c>
      <c r="C645" s="1153" t="str">
        <f aca="false">'Смета Расходов'!C886</f>
        <v>м.п.</v>
      </c>
      <c r="D645" s="1152" t="n">
        <f aca="false">'Смета Расходов'!D886</f>
        <v>0</v>
      </c>
      <c r="E645" s="1152" t="n">
        <f aca="false">'Смета Расходов'!F886</f>
        <v>315</v>
      </c>
      <c r="F645" s="1152" t="n">
        <f aca="false">'Смета Расходов'!G886</f>
        <v>0</v>
      </c>
    </row>
    <row r="646" customFormat="false" ht="15" hidden="false" customHeight="false" outlineLevel="0" collapsed="false">
      <c r="A646" s="1139"/>
      <c r="B646" s="1152" t="str">
        <f aca="false">'Смета Расходов'!B887</f>
        <v>Двутавровая деревянная балка, 300*65мм</v>
      </c>
      <c r="C646" s="1153" t="str">
        <f aca="false">'Смета Расходов'!C887</f>
        <v>м.п.</v>
      </c>
      <c r="D646" s="1152" t="n">
        <f aca="false">'Смета Расходов'!D887</f>
        <v>0</v>
      </c>
      <c r="E646" s="1152" t="n">
        <f aca="false">'Смета Расходов'!F887</f>
        <v>273</v>
      </c>
      <c r="F646" s="1152" t="n">
        <f aca="false">'Смета Расходов'!G887</f>
        <v>0</v>
      </c>
    </row>
    <row r="647" customFormat="false" ht="15" hidden="false" customHeight="false" outlineLevel="0" collapsed="false">
      <c r="A647" s="1139"/>
      <c r="B647" s="1152" t="str">
        <f aca="false">'Смета Расходов'!B888</f>
        <v>Двутавровая деревянная балка, 300*90мм</v>
      </c>
      <c r="C647" s="1153" t="str">
        <f aca="false">'Смета Расходов'!C888</f>
        <v>м.п.</v>
      </c>
      <c r="D647" s="1152" t="n">
        <f aca="false">'Смета Расходов'!D888</f>
        <v>0</v>
      </c>
      <c r="E647" s="1152" t="n">
        <f aca="false">'Смета Расходов'!F888</f>
        <v>315</v>
      </c>
      <c r="F647" s="1152" t="n">
        <f aca="false">'Смета Расходов'!G888</f>
        <v>0</v>
      </c>
    </row>
    <row r="648" customFormat="false" ht="15" hidden="false" customHeight="false" outlineLevel="0" collapsed="false">
      <c r="A648" s="1139"/>
      <c r="B648" s="1152" t="str">
        <f aca="false">'Смета Расходов'!B889</f>
        <v>Двутавровая деревянная балка, 240*65мм</v>
      </c>
      <c r="C648" s="1153" t="str">
        <f aca="false">'Смета Расходов'!C889</f>
        <v>м.п.</v>
      </c>
      <c r="D648" s="1152" t="n">
        <f aca="false">'Смета Расходов'!D889</f>
        <v>0</v>
      </c>
      <c r="E648" s="1152" t="n">
        <f aca="false">'Смета Расходов'!F889</f>
        <v>263</v>
      </c>
      <c r="F648" s="1152" t="n">
        <f aca="false">'Смета Расходов'!G889</f>
        <v>0</v>
      </c>
    </row>
    <row r="649" customFormat="false" ht="15" hidden="false" customHeight="false" outlineLevel="0" collapsed="false">
      <c r="A649" s="1139"/>
      <c r="B649" s="1152" t="str">
        <f aca="false">'Смета Расходов'!B890</f>
        <v>Двутавровая деревянная балка, 240*90мм</v>
      </c>
      <c r="C649" s="1153" t="str">
        <f aca="false">'Смета Расходов'!C890</f>
        <v>м.п.</v>
      </c>
      <c r="D649" s="1152" t="n">
        <f aca="false">'Смета Расходов'!D890</f>
        <v>0</v>
      </c>
      <c r="E649" s="1152" t="n">
        <f aca="false">'Смета Расходов'!F890</f>
        <v>291</v>
      </c>
      <c r="F649" s="1152" t="n">
        <f aca="false">'Смета Расходов'!G890</f>
        <v>0</v>
      </c>
    </row>
    <row r="650" customFormat="false" ht="15" hidden="false" customHeight="false" outlineLevel="0" collapsed="false">
      <c r="A650" s="1139"/>
      <c r="B650" s="1152" t="str">
        <f aca="false">'Смета Расходов'!B891</f>
        <v>Двутавровая деревянная балка, 200*65мм</v>
      </c>
      <c r="C650" s="1153" t="str">
        <f aca="false">'Смета Расходов'!C891</f>
        <v>м.п.</v>
      </c>
      <c r="D650" s="1152" t="n">
        <f aca="false">'Смета Расходов'!D891</f>
        <v>0</v>
      </c>
      <c r="E650" s="1152" t="n">
        <f aca="false">'Смета Расходов'!F891</f>
        <v>250</v>
      </c>
      <c r="F650" s="1152" t="n">
        <f aca="false">'Смета Расходов'!G891</f>
        <v>0</v>
      </c>
    </row>
    <row r="651" customFormat="false" ht="15" hidden="false" customHeight="false" outlineLevel="0" collapsed="false">
      <c r="A651" s="1139"/>
      <c r="B651" s="1152" t="str">
        <f aca="false">'Смета Расходов'!B892</f>
        <v>Двутавровая деревянная балка, 200*90мм</v>
      </c>
      <c r="C651" s="1153" t="str">
        <f aca="false">'Смета Расходов'!C892</f>
        <v>м.п.</v>
      </c>
      <c r="D651" s="1152" t="n">
        <f aca="false">'Смета Расходов'!D892</f>
        <v>0</v>
      </c>
      <c r="E651" s="1152" t="n">
        <f aca="false">'Смета Расходов'!F892</f>
        <v>280</v>
      </c>
      <c r="F651" s="1152" t="n">
        <f aca="false">'Смета Расходов'!G892</f>
        <v>0</v>
      </c>
    </row>
    <row r="652" customFormat="false" ht="15" hidden="false" customHeight="false" outlineLevel="0" collapsed="false">
      <c r="A652" s="1139"/>
      <c r="B652" s="1152" t="str">
        <f aca="false">'Смета Расходов'!B893</f>
        <v>Двутавровая деревянная балка, 150*65мм</v>
      </c>
      <c r="C652" s="1153" t="str">
        <f aca="false">'Смета Расходов'!C893</f>
        <v>м.п.</v>
      </c>
      <c r="D652" s="1152" t="n">
        <f aca="false">'Смета Расходов'!D893</f>
        <v>0</v>
      </c>
      <c r="E652" s="1152" t="n">
        <f aca="false">'Смета Расходов'!F893</f>
        <v>220</v>
      </c>
      <c r="F652" s="1152" t="n">
        <f aca="false">'Смета Расходов'!G893</f>
        <v>0</v>
      </c>
    </row>
    <row r="653" customFormat="false" ht="15" hidden="false" customHeight="false" outlineLevel="0" collapsed="false">
      <c r="A653" s="1139"/>
      <c r="B653" s="1152" t="str">
        <f aca="false">'Смета Расходов'!B894</f>
        <v>Двутавровая деревянная балка, 150*90мм</v>
      </c>
      <c r="C653" s="1153" t="str">
        <f aca="false">'Смета Расходов'!C894</f>
        <v>м.п.</v>
      </c>
      <c r="D653" s="1152" t="n">
        <f aca="false">'Смета Расходов'!D894</f>
        <v>0</v>
      </c>
      <c r="E653" s="1152" t="n">
        <f aca="false">'Смета Расходов'!F894</f>
        <v>250</v>
      </c>
      <c r="F653" s="1152" t="n">
        <f aca="false">'Смета Расходов'!G894</f>
        <v>0</v>
      </c>
    </row>
    <row r="654" customFormat="false" ht="15" hidden="false" customHeight="false" outlineLevel="0" collapsed="false">
      <c r="A654" s="1139"/>
      <c r="B654" s="1152" t="str">
        <f aca="false">'Смета Расходов'!B895</f>
        <v>Уголок усиленный 90х70х55х2,5        </v>
      </c>
      <c r="C654" s="1153" t="str">
        <f aca="false">'Смета Расходов'!C895</f>
        <v>шт</v>
      </c>
      <c r="D654" s="1152" t="n">
        <f aca="false">'Смета Расходов'!D895</f>
        <v>0</v>
      </c>
      <c r="E654" s="1152" t="n">
        <f aca="false">'Смета Расходов'!F895</f>
        <v>30</v>
      </c>
      <c r="F654" s="1152" t="n">
        <f aca="false">'Смета Расходов'!G895</f>
        <v>0</v>
      </c>
    </row>
    <row r="655" customFormat="false" ht="15" hidden="false" customHeight="false" outlineLevel="0" collapsed="false">
      <c r="A655" s="1139"/>
      <c r="B655" s="1152" t="str">
        <f aca="false">'Смета Расходов'!B896</f>
        <v>Саморезы 3,5 x 55            </v>
      </c>
      <c r="C655" s="1153" t="str">
        <f aca="false">'Смета Расходов'!C896</f>
        <v>шт</v>
      </c>
      <c r="D655" s="1152" t="n">
        <f aca="false">'Смета Расходов'!D896</f>
        <v>0</v>
      </c>
      <c r="E655" s="1152" t="n">
        <f aca="false">'Смета Расходов'!F896</f>
        <v>0.3</v>
      </c>
      <c r="F655" s="1152" t="n">
        <f aca="false">'Смета Расходов'!G896</f>
        <v>0</v>
      </c>
    </row>
    <row r="656" customFormat="false" ht="15" hidden="false" customHeight="false" outlineLevel="0" collapsed="false">
      <c r="A656" s="1139"/>
      <c r="B656" s="1152" t="str">
        <f aca="false">'Смета Расходов'!B897</f>
        <v>Нет</v>
      </c>
      <c r="C656" s="1153" t="str">
        <f aca="false">'Смета Расходов'!C897</f>
        <v>м3</v>
      </c>
      <c r="D656" s="1152" t="n">
        <f aca="false">'Смета Расходов'!D897</f>
        <v>0</v>
      </c>
      <c r="E656" s="1152" t="n">
        <f aca="false">'Смета Расходов'!F897</f>
        <v>0</v>
      </c>
      <c r="F656" s="1152" t="n">
        <f aca="false">'Смета Расходов'!G897</f>
        <v>0</v>
      </c>
    </row>
    <row r="657" customFormat="false" ht="15" hidden="false" customHeight="false" outlineLevel="0" collapsed="false">
      <c r="A657" s="1139"/>
      <c r="B657" s="1152" t="str">
        <f aca="false">'Смета Расходов'!B898</f>
        <v>нет ветроизоляции</v>
      </c>
      <c r="C657" s="1153" t="str">
        <f aca="false">'Смета Расходов'!C898</f>
        <v>м2</v>
      </c>
      <c r="D657" s="1152" t="n">
        <f aca="false">'Смета Расходов'!D898</f>
        <v>0</v>
      </c>
      <c r="E657" s="1152" t="n">
        <f aca="false">'Смета Расходов'!F898</f>
        <v>0</v>
      </c>
      <c r="F657" s="1152" t="n">
        <f aca="false">'Смета Расходов'!G898</f>
        <v>0</v>
      </c>
    </row>
    <row r="658" customFormat="false" ht="15" hidden="false" customHeight="false" outlineLevel="0" collapsed="false">
      <c r="A658" s="1139"/>
      <c r="B658" s="1152" t="str">
        <f aca="false">'Смета Расходов'!B899</f>
        <v>нет пароизоляции</v>
      </c>
      <c r="C658" s="1153" t="str">
        <f aca="false">'Смета Расходов'!C899</f>
        <v>м2</v>
      </c>
      <c r="D658" s="1152" t="n">
        <f aca="false">'Смета Расходов'!D899</f>
        <v>0</v>
      </c>
      <c r="E658" s="1152" t="n">
        <f aca="false">'Смета Расходов'!F899</f>
        <v>0</v>
      </c>
      <c r="F658" s="1152" t="n">
        <f aca="false">'Смета Расходов'!G899</f>
        <v>0</v>
      </c>
    </row>
    <row r="659" customFormat="false" ht="15" hidden="false" customHeight="false" outlineLevel="0" collapsed="false">
      <c r="A659" s="1139"/>
      <c r="B659" s="1152" t="str">
        <f aca="false">'Смета Расходов'!B900</f>
        <v>нет</v>
      </c>
      <c r="C659" s="1153" t="str">
        <f aca="false">'Смета Расходов'!C900</f>
        <v>м3</v>
      </c>
      <c r="D659" s="1152" t="n">
        <f aca="false">'Смета Расходов'!D900</f>
        <v>0</v>
      </c>
      <c r="E659" s="1152" t="n">
        <f aca="false">'Смета Расходов'!F900</f>
        <v>0</v>
      </c>
      <c r="F659" s="1152" t="n">
        <f aca="false">'Смета Расходов'!G900</f>
        <v>0</v>
      </c>
    </row>
    <row r="660" customFormat="false" ht="15" hidden="false" customHeight="false" outlineLevel="0" collapsed="false">
      <c r="A660" s="1139"/>
      <c r="B660" s="1152" t="str">
        <f aca="false">'Смета Расходов'!B901</f>
        <v>нет</v>
      </c>
      <c r="C660" s="1153" t="str">
        <f aca="false">'Смета Расходов'!C901</f>
        <v>м3</v>
      </c>
      <c r="D660" s="1152" t="n">
        <f aca="false">'Смета Расходов'!D901</f>
        <v>0</v>
      </c>
      <c r="E660" s="1152" t="n">
        <f aca="false">'Смета Расходов'!F901</f>
        <v>0</v>
      </c>
      <c r="F660" s="1152" t="n">
        <f aca="false">'Смета Расходов'!G901</f>
        <v>0</v>
      </c>
    </row>
    <row r="661" customFormat="false" ht="15" hidden="false" customHeight="false" outlineLevel="0" collapsed="false">
      <c r="A661" s="1139"/>
      <c r="B661" s="1152" t="str">
        <f aca="false">'Смета Расходов'!B902</f>
        <v>нет</v>
      </c>
      <c r="C661" s="1153" t="str">
        <f aca="false">'Смета Расходов'!C902</f>
        <v>м3</v>
      </c>
      <c r="D661" s="1152" t="n">
        <f aca="false">'Смета Расходов'!D902</f>
        <v>0</v>
      </c>
      <c r="E661" s="1152" t="n">
        <f aca="false">'Смета Расходов'!F902</f>
        <v>0</v>
      </c>
      <c r="F661" s="1152" t="n">
        <f aca="false">'Смета Расходов'!G902</f>
        <v>0</v>
      </c>
    </row>
    <row r="662" customFormat="false" ht="15" hidden="false" customHeight="false" outlineLevel="0" collapsed="false">
      <c r="A662" s="1139"/>
      <c r="B662" s="1152" t="str">
        <f aca="false">'Смета Расходов'!B903</f>
        <v>нет</v>
      </c>
      <c r="C662" s="1153" t="str">
        <f aca="false">'Смета Расходов'!C903</f>
        <v>м3</v>
      </c>
      <c r="D662" s="1152" t="n">
        <f aca="false">'Смета Расходов'!D903</f>
        <v>0</v>
      </c>
      <c r="E662" s="1152" t="n">
        <f aca="false">'Смета Расходов'!F903</f>
        <v>0</v>
      </c>
      <c r="F662" s="1152" t="n">
        <f aca="false">'Смета Расходов'!G903</f>
        <v>0</v>
      </c>
    </row>
    <row r="663" customFormat="false" ht="15" hidden="false" customHeight="false" outlineLevel="0" collapsed="false">
      <c r="A663" s="1139"/>
      <c r="B663" s="1152" t="str">
        <f aca="false">'Смета Расходов'!B904</f>
        <v>нет</v>
      </c>
      <c r="C663" s="1153" t="str">
        <f aca="false">'Смета Расходов'!C904</f>
        <v>м3</v>
      </c>
      <c r="D663" s="1152" t="n">
        <f aca="false">'Смета Расходов'!D904</f>
        <v>0</v>
      </c>
      <c r="E663" s="1152" t="n">
        <f aca="false">'Смета Расходов'!F904</f>
        <v>0</v>
      </c>
      <c r="F663" s="1152" t="n">
        <f aca="false">'Смета Расходов'!G904</f>
        <v>0</v>
      </c>
    </row>
    <row r="664" customFormat="false" ht="15" hidden="false" customHeight="false" outlineLevel="0" collapsed="false">
      <c r="A664" s="1139"/>
      <c r="B664" s="1152" t="str">
        <f aca="false">'Смета Расходов'!B905</f>
        <v>нет</v>
      </c>
      <c r="C664" s="1153" t="str">
        <f aca="false">'Смета Расходов'!C905</f>
        <v>м3</v>
      </c>
      <c r="D664" s="1152" t="n">
        <f aca="false">'Смета Расходов'!D905</f>
        <v>0</v>
      </c>
      <c r="E664" s="1152" t="n">
        <f aca="false">'Смета Расходов'!F905</f>
        <v>0</v>
      </c>
      <c r="F664" s="1152" t="n">
        <f aca="false">'Смета Расходов'!G905</f>
        <v>0</v>
      </c>
    </row>
    <row r="665" customFormat="false" ht="15" hidden="false" customHeight="false" outlineLevel="0" collapsed="false">
      <c r="A665" s="1139"/>
      <c r="B665" s="1152" t="str">
        <f aca="false">'Смета Расходов'!B906</f>
        <v>Гвозди ершоные 2,8 х 90            </v>
      </c>
      <c r="C665" s="1153" t="str">
        <f aca="false">'Смета Расходов'!C906</f>
        <v>кг</v>
      </c>
      <c r="D665" s="1152" t="n">
        <f aca="false">'Смета Расходов'!D906</f>
        <v>0</v>
      </c>
      <c r="E665" s="1152" t="n">
        <f aca="false">'Смета Расходов'!F906</f>
        <v>76.49</v>
      </c>
      <c r="F665" s="1152" t="n">
        <f aca="false">'Смета Расходов'!G906</f>
        <v>0</v>
      </c>
    </row>
    <row r="666" customFormat="false" ht="15" hidden="false" customHeight="false" outlineLevel="0" collapsed="false">
      <c r="A666" s="1139"/>
      <c r="B666" s="1154" t="s">
        <v>2309</v>
      </c>
      <c r="C666" s="1154"/>
      <c r="D666" s="1154"/>
      <c r="E666" s="1154"/>
      <c r="F666" s="1152" t="n">
        <f aca="false">SUM(F486:F665)</f>
        <v>161912.141333333</v>
      </c>
    </row>
    <row r="667" customFormat="false" ht="18.75" hidden="false" customHeight="false" outlineLevel="0" collapsed="false">
      <c r="A667" s="1139"/>
      <c r="B667" s="1150" t="str">
        <f aca="false">'Смета Расходов'!B951</f>
        <v>Веранда/терасса деревянная</v>
      </c>
      <c r="C667" s="1150"/>
      <c r="D667" s="1150"/>
      <c r="E667" s="1150"/>
      <c r="F667" s="1155" t="n">
        <f aca="false">'Смета Внутр'!H951</f>
        <v>0</v>
      </c>
    </row>
    <row r="668" customFormat="false" ht="15" hidden="false" customHeight="false" outlineLevel="0" collapsed="false">
      <c r="A668" s="1139"/>
      <c r="B668" s="1156" t="s">
        <v>2246</v>
      </c>
      <c r="C668" s="1156"/>
      <c r="D668" s="1156"/>
      <c r="E668" s="1156"/>
      <c r="F668" s="1155" t="n">
        <f aca="false">'Смета Внутр'!H952</f>
        <v>0</v>
      </c>
    </row>
    <row r="669" customFormat="false" ht="15" hidden="false" customHeight="false" outlineLevel="0" collapsed="false">
      <c r="A669" s="1139"/>
      <c r="B669" s="1152" t="str">
        <f aca="false">'Смета Расходов'!B953</f>
        <v>Листв. влаж, 200*200мм</v>
      </c>
      <c r="C669" s="1153" t="str">
        <f aca="false">'Смета Расходов'!C953</f>
        <v>м3</v>
      </c>
      <c r="D669" s="1152" t="n">
        <f aca="false">'Смета Расходов'!D953</f>
        <v>0</v>
      </c>
      <c r="E669" s="1152" t="n">
        <f aca="false">'Смета Расходов'!F953</f>
        <v>9000</v>
      </c>
      <c r="F669" s="1152" t="n">
        <f aca="false">'Смета Расходов'!G953</f>
        <v>0</v>
      </c>
    </row>
    <row r="670" customFormat="false" ht="15" hidden="false" customHeight="false" outlineLevel="0" collapsed="false">
      <c r="A670" s="1139"/>
      <c r="B670" s="1152" t="str">
        <f aca="false">'Смета Расходов'!B954</f>
        <v>Листв. влаж, 200*150мм</v>
      </c>
      <c r="C670" s="1153" t="str">
        <f aca="false">'Смета Расходов'!C954</f>
        <v>м3</v>
      </c>
      <c r="D670" s="1152" t="n">
        <f aca="false">'Смета Расходов'!D954</f>
        <v>0.54</v>
      </c>
      <c r="E670" s="1152" t="n">
        <f aca="false">'Смета Расходов'!F954</f>
        <v>8500</v>
      </c>
      <c r="F670" s="1152" t="n">
        <f aca="false">'Смета Расходов'!G954</f>
        <v>0</v>
      </c>
    </row>
    <row r="671" customFormat="false" ht="15" hidden="false" customHeight="false" outlineLevel="0" collapsed="false">
      <c r="A671" s="1139"/>
      <c r="B671" s="1152" t="str">
        <f aca="false">'Смета Расходов'!B955</f>
        <v>Рубероид</v>
      </c>
      <c r="C671" s="1153" t="str">
        <f aca="false">'Смета Расходов'!C955</f>
        <v>м.п.</v>
      </c>
      <c r="D671" s="1152" t="n">
        <f aca="false">'Смета Расходов'!D955</f>
        <v>0</v>
      </c>
      <c r="E671" s="1152" t="n">
        <f aca="false">'Смета Расходов'!F955</f>
        <v>30</v>
      </c>
      <c r="F671" s="1152" t="n">
        <f aca="false">'Смета Расходов'!G955</f>
        <v>0</v>
      </c>
    </row>
    <row r="672" customFormat="false" ht="15" hidden="false" customHeight="false" outlineLevel="0" collapsed="false">
      <c r="A672" s="1139"/>
      <c r="B672" s="1152" t="str">
        <f aca="false">'Смета Расходов'!B956</f>
        <v>Листв. влаж, 200*150мм</v>
      </c>
      <c r="C672" s="1153" t="str">
        <f aca="false">'Смета Расходов'!C956</f>
        <v>м3</v>
      </c>
      <c r="D672" s="1152" t="n">
        <f aca="false">'Смета Расходов'!D956</f>
        <v>0</v>
      </c>
      <c r="E672" s="1152" t="n">
        <f aca="false">'Смета Расходов'!F956</f>
        <v>8500</v>
      </c>
      <c r="F672" s="1152" t="n">
        <f aca="false">'Смета Расходов'!G956</f>
        <v>0</v>
      </c>
    </row>
    <row r="673" customFormat="false" ht="15" hidden="false" customHeight="false" outlineLevel="0" collapsed="false">
      <c r="A673" s="1139"/>
      <c r="B673" s="1152" t="str">
        <f aca="false">'Смета Расходов'!B957</f>
        <v>Проф.брус вл. 200*150мм</v>
      </c>
      <c r="C673" s="1153" t="str">
        <f aca="false">'Смета Расходов'!C957</f>
        <v>м3</v>
      </c>
      <c r="D673" s="1152" t="n">
        <f aca="false">'Смета Расходов'!D957</f>
        <v>0.5265</v>
      </c>
      <c r="E673" s="1152" t="n">
        <f aca="false">'Смета Расходов'!F957</f>
        <v>9300</v>
      </c>
      <c r="F673" s="1152" t="n">
        <f aca="false">'Смета Расходов'!G957</f>
        <v>0</v>
      </c>
    </row>
    <row r="674" customFormat="false" ht="15" hidden="false" customHeight="false" outlineLevel="0" collapsed="false">
      <c r="A674" s="1139"/>
      <c r="B674" s="1152" t="str">
        <f aca="false">'Смета Расходов'!B958</f>
        <v>Брус клееный проф 2 ламель кедр Шир. 240 выс. 140</v>
      </c>
      <c r="C674" s="1153" t="str">
        <f aca="false">'Смета Расходов'!C958</f>
        <v>м3</v>
      </c>
      <c r="D674" s="1152" t="n">
        <f aca="false">'Смета Расходов'!D958</f>
        <v>0.3024</v>
      </c>
      <c r="E674" s="1152" t="n">
        <f aca="false">'Смета Расходов'!F958</f>
        <v>24000</v>
      </c>
      <c r="F674" s="1152" t="n">
        <f aca="false">'Смета Расходов'!G958</f>
        <v>0</v>
      </c>
    </row>
    <row r="675" customFormat="false" ht="15" hidden="false" customHeight="false" outlineLevel="0" collapsed="false">
      <c r="A675" s="1139"/>
      <c r="B675" s="1152" t="str">
        <f aca="false">'Смета Расходов'!B959</f>
        <v>Брус клееный проф 1 ламель кедр Шир. 240 выс. 140</v>
      </c>
      <c r="C675" s="1153" t="str">
        <f aca="false">'Смета Расходов'!C959</f>
        <v>м3</v>
      </c>
      <c r="D675" s="1152" t="n">
        <f aca="false">'Смета Расходов'!D959</f>
        <v>1.008</v>
      </c>
      <c r="E675" s="1152" t="n">
        <f aca="false">'Смета Расходов'!F959</f>
        <v>24000</v>
      </c>
      <c r="F675" s="1152" t="n">
        <f aca="false">'Смета Расходов'!G959</f>
        <v>0</v>
      </c>
    </row>
    <row r="676" customFormat="false" ht="15" hidden="false" customHeight="false" outlineLevel="0" collapsed="false">
      <c r="A676" s="1139"/>
      <c r="B676" s="1152" t="str">
        <f aca="false">'Смета Расходов'!B960</f>
        <v>Проф.брус вл. 200*180мм</v>
      </c>
      <c r="C676" s="1153" t="str">
        <f aca="false">'Смета Расходов'!C960</f>
        <v>м3</v>
      </c>
      <c r="D676" s="1152" t="n">
        <f aca="false">'Смета Расходов'!D960</f>
        <v>0.504</v>
      </c>
      <c r="E676" s="1152" t="n">
        <f aca="false">'Смета Расходов'!F960</f>
        <v>9300</v>
      </c>
      <c r="F676" s="1152" t="n">
        <f aca="false">'Смета Расходов'!G960</f>
        <v>0</v>
      </c>
    </row>
    <row r="677" customFormat="false" ht="15" hidden="false" customHeight="false" outlineLevel="0" collapsed="false">
      <c r="A677" s="1139"/>
      <c r="B677" s="1152" t="str">
        <f aca="false">'Смета Расходов'!B961</f>
        <v>Нет накладки</v>
      </c>
      <c r="C677" s="1153" t="str">
        <f aca="false">'Смета Расходов'!C961</f>
        <v>м.п.</v>
      </c>
      <c r="D677" s="1152" t="n">
        <f aca="false">'Смета Расходов'!D961</f>
        <v>9</v>
      </c>
      <c r="E677" s="1152" t="n">
        <f aca="false">'Смета Расходов'!F961</f>
        <v>0</v>
      </c>
      <c r="F677" s="1152" t="n">
        <f aca="false">'Смета Расходов'!G961</f>
        <v>0</v>
      </c>
    </row>
    <row r="678" customFormat="false" ht="15" hidden="false" customHeight="false" outlineLevel="0" collapsed="false">
      <c r="A678" s="1139"/>
      <c r="B678" s="1152" t="str">
        <f aca="false">'Смета Расходов'!B962</f>
        <v>Гидрокомпенсатор</v>
      </c>
      <c r="C678" s="1153" t="str">
        <f aca="false">'Смета Расходов'!C962</f>
        <v>шт</v>
      </c>
      <c r="D678" s="1152" t="n">
        <f aca="false">'Смета Расходов'!D962</f>
        <v>9</v>
      </c>
      <c r="E678" s="1152" t="n">
        <f aca="false">'Смета Расходов'!F962</f>
        <v>450</v>
      </c>
      <c r="F678" s="1152" t="n">
        <f aca="false">'Смета Расходов'!G962</f>
        <v>0</v>
      </c>
    </row>
    <row r="679" customFormat="false" ht="15" hidden="false" customHeight="false" outlineLevel="0" collapsed="false">
      <c r="A679" s="1139"/>
      <c r="B679" s="1152" t="str">
        <f aca="false">'Смета Расходов'!B963</f>
        <v>Уголок усиленный 90х70х55х2,5        </v>
      </c>
      <c r="C679" s="1153" t="str">
        <f aca="false">'Смета Расходов'!C963</f>
        <v>шт</v>
      </c>
      <c r="D679" s="1152" t="n">
        <f aca="false">'Смета Расходов'!D963</f>
        <v>0</v>
      </c>
      <c r="E679" s="1152" t="n">
        <f aca="false">'Смета Расходов'!F963</f>
        <v>30</v>
      </c>
      <c r="F679" s="1152" t="n">
        <f aca="false">'Смета Расходов'!G963</f>
        <v>0</v>
      </c>
    </row>
    <row r="680" customFormat="false" ht="15" hidden="false" customHeight="false" outlineLevel="0" collapsed="false">
      <c r="A680" s="1139"/>
      <c r="B680" s="1152" t="str">
        <f aca="false">'Смета Расходов'!B964</f>
        <v>Нет уголков</v>
      </c>
      <c r="C680" s="1153" t="str">
        <f aca="false">'Смета Расходов'!C964</f>
        <v>шт</v>
      </c>
      <c r="D680" s="1152" t="n">
        <f aca="false">'Смета Расходов'!D964</f>
        <v>0</v>
      </c>
      <c r="E680" s="1152" t="n">
        <f aca="false">'Смета Расходов'!F964</f>
        <v>0</v>
      </c>
      <c r="F680" s="1152" t="n">
        <f aca="false">'Смета Расходов'!G964</f>
        <v>0</v>
      </c>
    </row>
    <row r="681" customFormat="false" ht="15" hidden="false" customHeight="false" outlineLevel="0" collapsed="false">
      <c r="A681" s="1139"/>
      <c r="B681" s="1152" t="str">
        <f aca="false">'Смета Расходов'!B965</f>
        <v>Пластина соеденительная 100х240х2           </v>
      </c>
      <c r="C681" s="1153" t="str">
        <f aca="false">'Смета Расходов'!C965</f>
        <v>шт</v>
      </c>
      <c r="D681" s="1152" t="n">
        <f aca="false">'Смета Расходов'!D965</f>
        <v>0</v>
      </c>
      <c r="E681" s="1152" t="n">
        <f aca="false">'Смета Расходов'!F965</f>
        <v>31.54</v>
      </c>
      <c r="F681" s="1152" t="n">
        <f aca="false">'Смета Расходов'!G965</f>
        <v>0</v>
      </c>
    </row>
    <row r="682" customFormat="false" ht="15" hidden="false" customHeight="false" outlineLevel="0" collapsed="false">
      <c r="A682" s="1139"/>
      <c r="B682" s="1152" t="str">
        <f aca="false">'Смета Расходов'!B966</f>
        <v>Нет пластин</v>
      </c>
      <c r="C682" s="1153" t="str">
        <f aca="false">'Смета Расходов'!C966</f>
        <v>шт</v>
      </c>
      <c r="D682" s="1152" t="n">
        <f aca="false">'Смета Расходов'!D966</f>
        <v>0</v>
      </c>
      <c r="E682" s="1152" t="n">
        <f aca="false">'Смета Расходов'!F966</f>
        <v>0</v>
      </c>
      <c r="F682" s="1152" t="n">
        <f aca="false">'Смета Расходов'!G966</f>
        <v>0</v>
      </c>
    </row>
    <row r="683" customFormat="false" ht="15" hidden="false" customHeight="false" outlineLevel="0" collapsed="false">
      <c r="A683" s="1139"/>
      <c r="B683" s="1152" t="str">
        <f aca="false">'Смета Расходов'!B967</f>
        <v>Болты анкерные с гайкой 12,0 x 100          </v>
      </c>
      <c r="C683" s="1153" t="str">
        <f aca="false">'Смета Расходов'!C967</f>
        <v>шт</v>
      </c>
      <c r="D683" s="1152" t="n">
        <f aca="false">'Смета Расходов'!D967</f>
        <v>0</v>
      </c>
      <c r="E683" s="1152" t="n">
        <f aca="false">'Смета Расходов'!F967</f>
        <v>11.2</v>
      </c>
      <c r="F683" s="1152" t="n">
        <f aca="false">'Смета Расходов'!G967</f>
        <v>0</v>
      </c>
    </row>
    <row r="684" customFormat="false" ht="15" hidden="false" customHeight="false" outlineLevel="0" collapsed="false">
      <c r="A684" s="1139"/>
      <c r="B684" s="1152" t="str">
        <f aca="false">'Смета Расходов'!B968</f>
        <v>Нет анкерных болтов</v>
      </c>
      <c r="C684" s="1153" t="str">
        <f aca="false">'Смета Расходов'!C968</f>
        <v>шт</v>
      </c>
      <c r="D684" s="1152" t="n">
        <f aca="false">'Смета Расходов'!D968</f>
        <v>0</v>
      </c>
      <c r="E684" s="1152" t="n">
        <f aca="false">'Смета Расходов'!F968</f>
        <v>0</v>
      </c>
      <c r="F684" s="1152" t="n">
        <f aca="false">'Смета Расходов'!G968</f>
        <v>0</v>
      </c>
    </row>
    <row r="685" customFormat="false" ht="15" hidden="false" customHeight="false" outlineLevel="0" collapsed="false">
      <c r="A685" s="1139"/>
      <c r="B685" s="1152" t="str">
        <f aca="false">'Смета Расходов'!B969</f>
        <v>Саморезы 3,5 x 45            </v>
      </c>
      <c r="C685" s="1153" t="str">
        <f aca="false">'Смета Расходов'!C969</f>
        <v>кг</v>
      </c>
      <c r="D685" s="1152" t="n">
        <f aca="false">'Смета Расходов'!D969</f>
        <v>0</v>
      </c>
      <c r="E685" s="1152" t="n">
        <f aca="false">'Смета Расходов'!F969</f>
        <v>105.62</v>
      </c>
      <c r="F685" s="1152" t="n">
        <f aca="false">'Смета Расходов'!G969</f>
        <v>0</v>
      </c>
    </row>
    <row r="686" customFormat="false" ht="15" hidden="false" customHeight="false" outlineLevel="0" collapsed="false">
      <c r="A686" s="1139"/>
      <c r="B686" s="1152" t="str">
        <f aca="false">'Смета Расходов'!B970</f>
        <v>Нет саморезов</v>
      </c>
      <c r="C686" s="1153" t="str">
        <f aca="false">'Смета Расходов'!C970</f>
        <v>кг</v>
      </c>
      <c r="D686" s="1152" t="n">
        <f aca="false">'Смета Расходов'!D970</f>
        <v>0</v>
      </c>
      <c r="E686" s="1152" t="n">
        <f aca="false">'Смета Расходов'!F970</f>
        <v>0</v>
      </c>
      <c r="F686" s="1152" t="n">
        <f aca="false">'Смета Расходов'!G970</f>
        <v>0</v>
      </c>
    </row>
    <row r="687" customFormat="false" ht="15" hidden="false" customHeight="false" outlineLevel="0" collapsed="false">
      <c r="A687" s="1139"/>
      <c r="B687" s="1152" t="str">
        <f aca="false">'Смета Расходов'!B971</f>
        <v>Гвозди строительные 2,5 x 60            </v>
      </c>
      <c r="C687" s="1153" t="str">
        <f aca="false">'Смета Расходов'!C971</f>
        <v>кг</v>
      </c>
      <c r="D687" s="1152" t="n">
        <f aca="false">'Смета Расходов'!D971</f>
        <v>0</v>
      </c>
      <c r="E687" s="1152" t="n">
        <f aca="false">'Смета Расходов'!F971</f>
        <v>70</v>
      </c>
      <c r="F687" s="1152" t="n">
        <f aca="false">'Смета Расходов'!G971</f>
        <v>0</v>
      </c>
    </row>
    <row r="688" customFormat="false" ht="15" hidden="false" customHeight="false" outlineLevel="0" collapsed="false">
      <c r="A688" s="1139"/>
      <c r="B688" s="1152" t="str">
        <f aca="false">'Смета Расходов'!B972</f>
        <v>Гвозди ершоные 3,4 x 60            </v>
      </c>
      <c r="C688" s="1153" t="str">
        <f aca="false">'Смета Расходов'!C972</f>
        <v>кг</v>
      </c>
      <c r="D688" s="1152" t="n">
        <f aca="false">'Смета Расходов'!D972</f>
        <v>0</v>
      </c>
      <c r="E688" s="1152" t="n">
        <f aca="false">'Смета Расходов'!F972</f>
        <v>75.51</v>
      </c>
      <c r="F688" s="1152" t="n">
        <f aca="false">'Смета Расходов'!G972</f>
        <v>0</v>
      </c>
    </row>
    <row r="689" customFormat="false" ht="15" hidden="false" customHeight="false" outlineLevel="0" collapsed="false">
      <c r="A689" s="1139"/>
      <c r="B689" s="1152" t="str">
        <f aca="false">'Смета Расходов'!B973</f>
        <v>Гидроизоляция жидкая резина 1</v>
      </c>
      <c r="C689" s="1153" t="str">
        <f aca="false">'Смета Расходов'!C973</f>
        <v>кг</v>
      </c>
      <c r="D689" s="1152" t="n">
        <f aca="false">'Смета Расходов'!D973</f>
        <v>0</v>
      </c>
      <c r="E689" s="1152" t="n">
        <f aca="false">'Смета Расходов'!F973</f>
        <v>150</v>
      </c>
      <c r="F689" s="1152" t="n">
        <f aca="false">'Смета Расходов'!G973</f>
        <v>0</v>
      </c>
    </row>
    <row r="690" customFormat="false" ht="15" hidden="false" customHeight="false" outlineLevel="0" collapsed="false">
      <c r="A690" s="1139"/>
      <c r="B690" s="1152" t="str">
        <f aca="false">'Смета Расходов'!B974</f>
        <v>Kronospan - OSB-3, 22мм</v>
      </c>
      <c r="C690" s="1153" t="str">
        <f aca="false">'Смета Расходов'!C974</f>
        <v>м2</v>
      </c>
      <c r="D690" s="1152" t="n">
        <f aca="false">'Смета Расходов'!D974</f>
        <v>0</v>
      </c>
      <c r="E690" s="1152" t="n">
        <f aca="false">'Смета Расходов'!F974</f>
        <v>526.666666666667</v>
      </c>
      <c r="F690" s="1152" t="n">
        <f aca="false">'Смета Расходов'!G974</f>
        <v>0</v>
      </c>
    </row>
    <row r="691" customFormat="false" ht="15" hidden="false" customHeight="false" outlineLevel="0" collapsed="false">
      <c r="A691" s="1139"/>
      <c r="B691" s="1152" t="str">
        <f aca="false">'Смета Расходов'!B975</f>
        <v>Проф.брус вл. 200*150мм</v>
      </c>
      <c r="C691" s="1153" t="str">
        <f aca="false">'Смета Расходов'!C975</f>
        <v>м3</v>
      </c>
      <c r="D691" s="1152" t="n">
        <f aca="false">'Смета Расходов'!D975</f>
        <v>0.09</v>
      </c>
      <c r="E691" s="1152" t="n">
        <f aca="false">'Смета Расходов'!F975</f>
        <v>9300</v>
      </c>
      <c r="F691" s="1152" t="n">
        <f aca="false">'Смета Расходов'!G975</f>
        <v>0</v>
      </c>
    </row>
    <row r="692" customFormat="false" ht="15" hidden="false" customHeight="false" outlineLevel="0" collapsed="false">
      <c r="A692" s="1139"/>
      <c r="B692" s="1152" t="str">
        <f aca="false">'Смета Расходов'!B976</f>
        <v>Брус клееный проф 2 ламель кедр Шир. 240 выс. 140</v>
      </c>
      <c r="C692" s="1153" t="str">
        <f aca="false">'Смета Расходов'!C976</f>
        <v>м3</v>
      </c>
      <c r="D692" s="1152" t="n">
        <f aca="false">'Смета Расходов'!D976</f>
        <v>0.12096</v>
      </c>
      <c r="E692" s="1152" t="n">
        <f aca="false">'Смета Расходов'!F976</f>
        <v>24000</v>
      </c>
      <c r="F692" s="1152" t="n">
        <f aca="false">'Смета Расходов'!G976</f>
        <v>0</v>
      </c>
    </row>
    <row r="693" customFormat="false" ht="15" hidden="false" customHeight="false" outlineLevel="0" collapsed="false">
      <c r="A693" s="1139"/>
      <c r="B693" s="1152" t="str">
        <f aca="false">'Смета Расходов'!B977</f>
        <v>Брус клееный проф 1 ламель кедр Шир. 240 выс. 140</v>
      </c>
      <c r="C693" s="1153" t="str">
        <f aca="false">'Смета Расходов'!C977</f>
        <v>м3</v>
      </c>
      <c r="D693" s="1152" t="n">
        <f aca="false">'Смета Расходов'!D977</f>
        <v>0.4368</v>
      </c>
      <c r="E693" s="1152" t="n">
        <f aca="false">'Смета Расходов'!F977</f>
        <v>24000</v>
      </c>
      <c r="F693" s="1152" t="n">
        <f aca="false">'Смета Расходов'!G977</f>
        <v>0</v>
      </c>
    </row>
    <row r="694" customFormat="false" ht="15" hidden="false" customHeight="false" outlineLevel="0" collapsed="false">
      <c r="A694" s="1139"/>
      <c r="B694" s="1152" t="str">
        <f aca="false">'Смета Расходов'!B978</f>
        <v>Клееная накладка на перила шир 240мм</v>
      </c>
      <c r="C694" s="1153" t="str">
        <f aca="false">'Смета Расходов'!C978</f>
        <v>м.п.</v>
      </c>
      <c r="D694" s="1152" t="n">
        <f aca="false">'Смета Расходов'!D978</f>
        <v>3.6</v>
      </c>
      <c r="E694" s="1152" t="n">
        <f aca="false">'Смета Расходов'!F978</f>
        <v>400</v>
      </c>
      <c r="F694" s="1152" t="n">
        <f aca="false">'Смета Расходов'!G978</f>
        <v>0</v>
      </c>
    </row>
    <row r="695" customFormat="false" ht="15" hidden="false" customHeight="false" outlineLevel="0" collapsed="false">
      <c r="A695" s="1139"/>
      <c r="B695" s="1154" t="s">
        <v>2309</v>
      </c>
      <c r="C695" s="1154"/>
      <c r="D695" s="1154"/>
      <c r="E695" s="1154"/>
      <c r="F695" s="1152" t="n">
        <f aca="false">SUM(F669:F694)</f>
        <v>0</v>
      </c>
    </row>
    <row r="696" customFormat="false" ht="18.75" hidden="false" customHeight="false" outlineLevel="0" collapsed="false">
      <c r="A696" s="1139"/>
      <c r="B696" s="1150" t="str">
        <f aca="false">'Смета Расходов'!B991</f>
        <v>Крыльцо</v>
      </c>
      <c r="C696" s="1150"/>
      <c r="D696" s="1150"/>
      <c r="E696" s="1150"/>
      <c r="F696" s="1155" t="n">
        <f aca="false">'Смета Внутр'!H991</f>
        <v>0</v>
      </c>
    </row>
    <row r="697" customFormat="false" ht="15" hidden="false" customHeight="false" outlineLevel="0" collapsed="false">
      <c r="A697" s="1139"/>
      <c r="B697" s="1156" t="s">
        <v>2246</v>
      </c>
      <c r="C697" s="1156"/>
      <c r="D697" s="1156"/>
      <c r="E697" s="1156"/>
      <c r="F697" s="1155" t="n">
        <f aca="false">'Смета Внутр'!H992</f>
        <v>0</v>
      </c>
    </row>
    <row r="698" customFormat="false" ht="15" hidden="false" customHeight="false" outlineLevel="0" collapsed="false">
      <c r="A698" s="1139"/>
      <c r="B698" s="1152" t="str">
        <f aca="false">'Смета Расходов'!B993</f>
        <v>Листв. влаж, 150*150мм</v>
      </c>
      <c r="C698" s="1153" t="str">
        <f aca="false">'Смета Расходов'!C993</f>
        <v>м3</v>
      </c>
      <c r="D698" s="1152" t="n">
        <f aca="false">'Смета Расходов'!D993</f>
        <v>0.084</v>
      </c>
      <c r="E698" s="1152" t="n">
        <f aca="false">'Смета Расходов'!F993</f>
        <v>8500</v>
      </c>
      <c r="F698" s="1152" t="n">
        <f aca="false">'Смета Расходов'!G993</f>
        <v>0</v>
      </c>
    </row>
    <row r="699" customFormat="false" ht="15" hidden="false" customHeight="false" outlineLevel="0" collapsed="false">
      <c r="A699" s="1139"/>
      <c r="B699" s="1152" t="str">
        <f aca="false">'Смета Расходов'!B994</f>
        <v>Листв. влаж, 150*100мм</v>
      </c>
      <c r="C699" s="1153" t="str">
        <f aca="false">'Смета Расходов'!C994</f>
        <v>м3</v>
      </c>
      <c r="D699" s="1152" t="n">
        <f aca="false">'Смета Расходов'!D994</f>
        <v>0.09</v>
      </c>
      <c r="E699" s="1152" t="n">
        <f aca="false">'Смета Расходов'!F994</f>
        <v>8500</v>
      </c>
      <c r="F699" s="1152" t="n">
        <f aca="false">'Смета Расходов'!G994</f>
        <v>0</v>
      </c>
    </row>
    <row r="700" customFormat="false" ht="15" hidden="false" customHeight="false" outlineLevel="0" collapsed="false">
      <c r="A700" s="1139"/>
      <c r="B700" s="1152" t="str">
        <f aca="false">'Смета Расходов'!B995</f>
        <v>Сосна влаж, 150*100мм</v>
      </c>
      <c r="C700" s="1153" t="str">
        <f aca="false">'Смета Расходов'!C995</f>
        <v>м3</v>
      </c>
      <c r="D700" s="1152" t="n">
        <f aca="false">'Смета Расходов'!D995</f>
        <v>0.075</v>
      </c>
      <c r="E700" s="1152" t="n">
        <f aca="false">'Смета Расходов'!F995</f>
        <v>6500</v>
      </c>
      <c r="F700" s="1152" t="n">
        <f aca="false">'Смета Расходов'!G995</f>
        <v>0</v>
      </c>
    </row>
    <row r="701" customFormat="false" ht="15" hidden="false" customHeight="false" outlineLevel="0" collapsed="false">
      <c r="A701" s="1139"/>
      <c r="B701" s="1152" t="str">
        <f aca="false">'Смета Расходов'!B996</f>
        <v>Нет</v>
      </c>
      <c r="C701" s="1153" t="str">
        <f aca="false">'Смета Расходов'!C996</f>
        <v>м3</v>
      </c>
      <c r="D701" s="1152" t="n">
        <f aca="false">'Смета Расходов'!D996</f>
        <v>11.5</v>
      </c>
      <c r="E701" s="1152" t="n">
        <f aca="false">'Смета Расходов'!F996</f>
        <v>0</v>
      </c>
      <c r="F701" s="1152" t="n">
        <f aca="false">'Смета Расходов'!G996</f>
        <v>0</v>
      </c>
    </row>
    <row r="702" customFormat="false" ht="15" hidden="false" customHeight="false" outlineLevel="0" collapsed="false">
      <c r="A702" s="1139"/>
      <c r="B702" s="1152" t="str">
        <f aca="false">'Смета Расходов'!B997</f>
        <v>Листв. влаж, 150*100мм</v>
      </c>
      <c r="C702" s="1153" t="str">
        <f aca="false">'Смета Расходов'!C997</f>
        <v>м3</v>
      </c>
      <c r="D702" s="1152" t="n">
        <f aca="false">'Смета Расходов'!D997</f>
        <v>0.075</v>
      </c>
      <c r="E702" s="1152" t="n">
        <f aca="false">'Смета Расходов'!F997</f>
        <v>8500</v>
      </c>
      <c r="F702" s="1152" t="n">
        <f aca="false">'Смета Расходов'!G997</f>
        <v>0</v>
      </c>
    </row>
    <row r="703" customFormat="false" ht="15" hidden="false" customHeight="false" outlineLevel="0" collapsed="false">
      <c r="A703" s="1139"/>
      <c r="B703" s="1152" t="str">
        <f aca="false">'Смета Расходов'!B998</f>
        <v>Листв. влаж, 150*150мм</v>
      </c>
      <c r="C703" s="1153" t="str">
        <f aca="false">'Смета Расходов'!C998</f>
        <v>м3</v>
      </c>
      <c r="D703" s="1152" t="n">
        <f aca="false">'Смета Расходов'!D998</f>
        <v>0.225</v>
      </c>
      <c r="E703" s="1152" t="n">
        <f aca="false">'Смета Расходов'!F998</f>
        <v>8500</v>
      </c>
      <c r="F703" s="1152" t="n">
        <f aca="false">'Смета Расходов'!G998</f>
        <v>0</v>
      </c>
    </row>
    <row r="704" customFormat="false" ht="15" hidden="false" customHeight="false" outlineLevel="0" collapsed="false">
      <c r="A704" s="1139"/>
      <c r="B704" s="1152" t="str">
        <f aca="false">'Смета Расходов'!B999</f>
        <v>Нет накладки</v>
      </c>
      <c r="C704" s="1153" t="str">
        <f aca="false">'Смета Расходов'!C999</f>
        <v>м.п.</v>
      </c>
      <c r="D704" s="1152" t="n">
        <f aca="false">'Смета Расходов'!D999</f>
        <v>5</v>
      </c>
      <c r="E704" s="1152" t="n">
        <f aca="false">'Смета Расходов'!F999</f>
        <v>0</v>
      </c>
      <c r="F704" s="1152" t="n">
        <f aca="false">'Смета Расходов'!G999</f>
        <v>0</v>
      </c>
    </row>
    <row r="705" customFormat="false" ht="15" hidden="false" customHeight="false" outlineLevel="0" collapsed="false">
      <c r="A705" s="1139"/>
      <c r="B705" s="1152" t="str">
        <f aca="false">'Смета Расходов'!B1000</f>
        <v>Нет</v>
      </c>
      <c r="C705" s="1153" t="str">
        <f aca="false">'Смета Расходов'!C1000</f>
        <v>м3</v>
      </c>
      <c r="D705" s="1152" t="n">
        <f aca="false">'Смета Расходов'!D1000</f>
        <v>8</v>
      </c>
      <c r="E705" s="1152" t="n">
        <f aca="false">'Смета Расходов'!F1000</f>
        <v>0</v>
      </c>
      <c r="F705" s="1152" t="n">
        <f aca="false">'Смета Расходов'!G1000</f>
        <v>0</v>
      </c>
    </row>
    <row r="706" customFormat="false" ht="15" hidden="false" customHeight="false" outlineLevel="0" collapsed="false">
      <c r="A706" s="1139"/>
      <c r="B706" s="1152" t="str">
        <f aca="false">'Смета Расходов'!B1001</f>
        <v>Уголок усиленный 90х70х55х2,5        </v>
      </c>
      <c r="C706" s="1153" t="str">
        <f aca="false">'Смета Расходов'!C1001</f>
        <v>шт</v>
      </c>
      <c r="D706" s="1152" t="n">
        <f aca="false">'Смета Расходов'!D1001</f>
        <v>6</v>
      </c>
      <c r="E706" s="1152" t="n">
        <f aca="false">'Смета Расходов'!F1001</f>
        <v>30</v>
      </c>
      <c r="F706" s="1152" t="n">
        <f aca="false">'Смета Расходов'!G1001</f>
        <v>0</v>
      </c>
    </row>
    <row r="707" customFormat="false" ht="15" hidden="false" customHeight="false" outlineLevel="0" collapsed="false">
      <c r="A707" s="1139"/>
      <c r="B707" s="1152" t="str">
        <f aca="false">'Смета Расходов'!B1002</f>
        <v>Нет уголков</v>
      </c>
      <c r="C707" s="1153" t="str">
        <f aca="false">'Смета Расходов'!C1002</f>
        <v>шт</v>
      </c>
      <c r="D707" s="1152" t="n">
        <f aca="false">'Смета Расходов'!D1002</f>
        <v>0</v>
      </c>
      <c r="E707" s="1152" t="n">
        <f aca="false">'Смета Расходов'!F1002</f>
        <v>0</v>
      </c>
      <c r="F707" s="1152" t="n">
        <f aca="false">'Смета Расходов'!G1002</f>
        <v>0</v>
      </c>
    </row>
    <row r="708" customFormat="false" ht="15" hidden="false" customHeight="false" outlineLevel="0" collapsed="false">
      <c r="A708" s="1139"/>
      <c r="B708" s="1152" t="str">
        <f aca="false">'Смета Расходов'!B1003</f>
        <v>Пластина соеденительная 100х240х2           </v>
      </c>
      <c r="C708" s="1153" t="str">
        <f aca="false">'Смета Расходов'!C1003</f>
        <v>шт</v>
      </c>
      <c r="D708" s="1152" t="n">
        <f aca="false">'Смета Расходов'!D1003</f>
        <v>2</v>
      </c>
      <c r="E708" s="1152" t="n">
        <f aca="false">'Смета Расходов'!F1003</f>
        <v>31.54</v>
      </c>
      <c r="F708" s="1152" t="n">
        <f aca="false">'Смета Расходов'!G1003</f>
        <v>0</v>
      </c>
    </row>
    <row r="709" customFormat="false" ht="15" hidden="false" customHeight="false" outlineLevel="0" collapsed="false">
      <c r="A709" s="1139"/>
      <c r="B709" s="1152" t="str">
        <f aca="false">'Смета Расходов'!B1004</f>
        <v>Нет пластин</v>
      </c>
      <c r="C709" s="1153" t="str">
        <f aca="false">'Смета Расходов'!C1004</f>
        <v>шт</v>
      </c>
      <c r="D709" s="1152" t="n">
        <f aca="false">'Смета Расходов'!D1004</f>
        <v>0</v>
      </c>
      <c r="E709" s="1152" t="n">
        <f aca="false">'Смета Расходов'!F1004</f>
        <v>0</v>
      </c>
      <c r="F709" s="1152" t="n">
        <f aca="false">'Смета Расходов'!G1004</f>
        <v>0</v>
      </c>
    </row>
    <row r="710" customFormat="false" ht="15" hidden="false" customHeight="false" outlineLevel="0" collapsed="false">
      <c r="A710" s="1139"/>
      <c r="B710" s="1152" t="str">
        <f aca="false">'Смета Расходов'!B1005</f>
        <v>Болты анкерные с гайкой 12,0 x 100          </v>
      </c>
      <c r="C710" s="1153" t="str">
        <f aca="false">'Смета Расходов'!C1005</f>
        <v>шт</v>
      </c>
      <c r="D710" s="1152" t="n">
        <f aca="false">'Смета Расходов'!D1005</f>
        <v>6</v>
      </c>
      <c r="E710" s="1152" t="n">
        <f aca="false">'Смета Расходов'!F1005</f>
        <v>11.2</v>
      </c>
      <c r="F710" s="1152" t="n">
        <f aca="false">'Смета Расходов'!G1005</f>
        <v>0</v>
      </c>
    </row>
    <row r="711" customFormat="false" ht="15" hidden="false" customHeight="false" outlineLevel="0" collapsed="false">
      <c r="A711" s="1139"/>
      <c r="B711" s="1152" t="str">
        <f aca="false">'Смета Расходов'!B1006</f>
        <v>Нет анкерных болтов</v>
      </c>
      <c r="C711" s="1153" t="str">
        <f aca="false">'Смета Расходов'!C1006</f>
        <v>шт</v>
      </c>
      <c r="D711" s="1152" t="n">
        <f aca="false">'Смета Расходов'!D1006</f>
        <v>0</v>
      </c>
      <c r="E711" s="1152" t="n">
        <f aca="false">'Смета Расходов'!F1006</f>
        <v>0</v>
      </c>
      <c r="F711" s="1152" t="n">
        <f aca="false">'Смета Расходов'!G1006</f>
        <v>0</v>
      </c>
    </row>
    <row r="712" customFormat="false" ht="15" hidden="false" customHeight="false" outlineLevel="0" collapsed="false">
      <c r="A712" s="1139"/>
      <c r="B712" s="1152" t="str">
        <f aca="false">'Смета Расходов'!B1007</f>
        <v>Саморезы 3,5 x 45            </v>
      </c>
      <c r="C712" s="1153" t="str">
        <f aca="false">'Смета Расходов'!C1007</f>
        <v>кг</v>
      </c>
      <c r="D712" s="1152" t="n">
        <f aca="false">'Смета Расходов'!D1007</f>
        <v>0</v>
      </c>
      <c r="E712" s="1152" t="n">
        <f aca="false">'Смета Расходов'!F1007</f>
        <v>105.62</v>
      </c>
      <c r="F712" s="1152" t="n">
        <f aca="false">'Смета Расходов'!G1007</f>
        <v>0</v>
      </c>
    </row>
    <row r="713" customFormat="false" ht="15" hidden="false" customHeight="false" outlineLevel="0" collapsed="false">
      <c r="A713" s="1139"/>
      <c r="B713" s="1152" t="str">
        <f aca="false">'Смета Расходов'!B1008</f>
        <v>Нет саморезов</v>
      </c>
      <c r="C713" s="1153" t="str">
        <f aca="false">'Смета Расходов'!C1008</f>
        <v>кг</v>
      </c>
      <c r="D713" s="1152" t="n">
        <f aca="false">'Смета Расходов'!D1008</f>
        <v>0</v>
      </c>
      <c r="E713" s="1152" t="n">
        <f aca="false">'Смета Расходов'!F1008</f>
        <v>0</v>
      </c>
      <c r="F713" s="1152" t="n">
        <f aca="false">'Смета Расходов'!G1008</f>
        <v>0</v>
      </c>
    </row>
    <row r="714" customFormat="false" ht="15" hidden="false" customHeight="false" outlineLevel="0" collapsed="false">
      <c r="A714" s="1139"/>
      <c r="B714" s="1152" t="str">
        <f aca="false">'Смета Расходов'!B1009</f>
        <v>Гвозди строительные 2,5 x 60            </v>
      </c>
      <c r="C714" s="1153" t="str">
        <f aca="false">'Смета Расходов'!C1009</f>
        <v>кг</v>
      </c>
      <c r="D714" s="1152" t="n">
        <f aca="false">'Смета Расходов'!D1009</f>
        <v>1</v>
      </c>
      <c r="E714" s="1152" t="n">
        <f aca="false">'Смета Расходов'!F1009</f>
        <v>70</v>
      </c>
      <c r="F714" s="1152" t="n">
        <f aca="false">'Смета Расходов'!G1009</f>
        <v>0</v>
      </c>
    </row>
    <row r="715" customFormat="false" ht="15" hidden="false" customHeight="false" outlineLevel="0" collapsed="false">
      <c r="A715" s="1139"/>
      <c r="B715" s="1152" t="str">
        <f aca="false">'Смета Расходов'!B1010</f>
        <v>Гвозди ершоные 3,4 x 60            </v>
      </c>
      <c r="C715" s="1153" t="str">
        <f aca="false">'Смета Расходов'!C1010</f>
        <v>кг</v>
      </c>
      <c r="D715" s="1152" t="n">
        <f aca="false">'Смета Расходов'!D1010</f>
        <v>1</v>
      </c>
      <c r="E715" s="1152" t="n">
        <f aca="false">'Смета Расходов'!F1010</f>
        <v>75.51</v>
      </c>
      <c r="F715" s="1152" t="n">
        <f aca="false">'Смета Расходов'!G1010</f>
        <v>0</v>
      </c>
    </row>
    <row r="716" customFormat="false" ht="15" hidden="false" customHeight="false" outlineLevel="0" collapsed="false">
      <c r="A716" s="1139"/>
      <c r="B716" s="1154" t="s">
        <v>2309</v>
      </c>
      <c r="C716" s="1154"/>
      <c r="D716" s="1154"/>
      <c r="E716" s="1154"/>
      <c r="F716" s="1152" t="n">
        <f aca="false">SUM(F698:F715)</f>
        <v>0</v>
      </c>
    </row>
    <row r="717" customFormat="false" ht="18.75" hidden="false" customHeight="false" outlineLevel="0" collapsed="false">
      <c r="A717" s="1139"/>
      <c r="B717" s="1150" t="str">
        <f aca="false">'Смета Расходов'!B1015</f>
        <v>Балкон</v>
      </c>
      <c r="C717" s="1150"/>
      <c r="D717" s="1150"/>
      <c r="E717" s="1150"/>
      <c r="F717" s="1155" t="n">
        <f aca="false">'Смета Внутр'!H1015</f>
        <v>0</v>
      </c>
    </row>
    <row r="718" customFormat="false" ht="15" hidden="false" customHeight="false" outlineLevel="0" collapsed="false">
      <c r="A718" s="1139"/>
      <c r="B718" s="1156" t="s">
        <v>2246</v>
      </c>
      <c r="C718" s="1156"/>
      <c r="D718" s="1156"/>
      <c r="E718" s="1156"/>
      <c r="F718" s="1155" t="n">
        <f aca="false">'Смета Внутр'!H1016</f>
        <v>0</v>
      </c>
    </row>
    <row r="719" customFormat="false" ht="15" hidden="false" customHeight="false" outlineLevel="0" collapsed="false">
      <c r="A719" s="1139"/>
      <c r="B719" s="1152" t="str">
        <f aca="false">'Смета Расходов'!B1017</f>
        <v>Оцилиндрованное бревно сосна 260мм</v>
      </c>
      <c r="C719" s="1153" t="str">
        <f aca="false">'Смета Расходов'!C1017</f>
        <v>м3</v>
      </c>
      <c r="D719" s="1152" t="n">
        <f aca="false">'Смета Расходов'!D1017</f>
        <v>1.17</v>
      </c>
      <c r="E719" s="1152" t="n">
        <f aca="false">'Смета Расходов'!F1017</f>
        <v>8500</v>
      </c>
      <c r="F719" s="1152" t="n">
        <f aca="false">'Смета Расходов'!G1017</f>
        <v>0</v>
      </c>
    </row>
    <row r="720" customFormat="false" ht="15" hidden="false" customHeight="false" outlineLevel="0" collapsed="false">
      <c r="A720" s="1139"/>
      <c r="B720" s="1152" t="str">
        <f aca="false">'Смета Расходов'!B1018</f>
        <v>Доска естественной влажности, 200*50мм</v>
      </c>
      <c r="C720" s="1153" t="str">
        <f aca="false">'Смета Расходов'!C1018</f>
        <v>м3</v>
      </c>
      <c r="D720" s="1152" t="n">
        <f aca="false">'Смета Расходов'!D1018</f>
        <v>0.09</v>
      </c>
      <c r="E720" s="1152" t="n">
        <f aca="false">'Смета Расходов'!F1018</f>
        <v>6500</v>
      </c>
      <c r="F720" s="1152" t="n">
        <f aca="false">'Смета Расходов'!G1018</f>
        <v>0</v>
      </c>
    </row>
    <row r="721" customFormat="false" ht="15" hidden="false" customHeight="false" outlineLevel="0" collapsed="false">
      <c r="A721" s="1139"/>
      <c r="B721" s="1152" t="str">
        <f aca="false">'Смета Расходов'!B1019</f>
        <v>Бензин для пилы</v>
      </c>
      <c r="C721" s="1153" t="str">
        <f aca="false">'Смета Расходов'!C1019</f>
        <v>л</v>
      </c>
      <c r="D721" s="1152" t="n">
        <f aca="false">'Смета Расходов'!D1019</f>
        <v>0.63</v>
      </c>
      <c r="E721" s="1152" t="n">
        <f aca="false">'Смета Расходов'!F1019</f>
        <v>40</v>
      </c>
      <c r="F721" s="1152" t="n">
        <f aca="false">'Смета Расходов'!G1019</f>
        <v>0</v>
      </c>
    </row>
    <row r="722" customFormat="false" ht="15" hidden="false" customHeight="false" outlineLevel="0" collapsed="false">
      <c r="A722" s="1139"/>
      <c r="B722" s="1152" t="str">
        <f aca="false">'Смета Расходов'!B1020</f>
        <v>Масло для пилы</v>
      </c>
      <c r="C722" s="1153" t="str">
        <f aca="false">'Смета Расходов'!C1020</f>
        <v>л</v>
      </c>
      <c r="D722" s="1152" t="n">
        <f aca="false">'Смета Расходов'!D1020</f>
        <v>0.0525</v>
      </c>
      <c r="E722" s="1152" t="n">
        <f aca="false">'Смета Расходов'!F1020</f>
        <v>250</v>
      </c>
      <c r="F722" s="1152" t="n">
        <f aca="false">'Смета Расходов'!G1020</f>
        <v>0</v>
      </c>
    </row>
    <row r="723" customFormat="false" ht="15" hidden="false" customHeight="false" outlineLevel="0" collapsed="false">
      <c r="A723" s="1139"/>
      <c r="B723" s="1152" t="str">
        <f aca="false">'Смета Расходов'!B1021</f>
        <v>Цепь для пилы</v>
      </c>
      <c r="C723" s="1153" t="str">
        <f aca="false">'Смета Расходов'!C1021</f>
        <v>л</v>
      </c>
      <c r="D723" s="1152" t="n">
        <f aca="false">'Смета Расходов'!D1021</f>
        <v>1</v>
      </c>
      <c r="E723" s="1152" t="n">
        <f aca="false">'Смета Расходов'!F1021</f>
        <v>800</v>
      </c>
      <c r="F723" s="1152" t="n">
        <f aca="false">'Смета Расходов'!G1021</f>
        <v>0</v>
      </c>
    </row>
    <row r="724" customFormat="false" ht="15" hidden="false" customHeight="false" outlineLevel="0" collapsed="false">
      <c r="A724" s="1139"/>
      <c r="B724" s="1152" t="str">
        <f aca="false">'Смета Расходов'!B1022</f>
        <v>Гидроизоляция жидкая резина 1</v>
      </c>
      <c r="C724" s="1153" t="str">
        <f aca="false">'Смета Расходов'!C1022</f>
        <v>кг</v>
      </c>
      <c r="D724" s="1152" t="n">
        <f aca="false">'Смета Расходов'!D1022</f>
        <v>0</v>
      </c>
      <c r="E724" s="1152" t="n">
        <f aca="false">'Смета Расходов'!F1022</f>
        <v>150</v>
      </c>
      <c r="F724" s="1152" t="n">
        <f aca="false">'Смета Расходов'!G1022</f>
        <v>0</v>
      </c>
    </row>
    <row r="725" customFormat="false" ht="15" hidden="false" customHeight="false" outlineLevel="0" collapsed="false">
      <c r="A725" s="1139"/>
      <c r="B725" s="1152" t="str">
        <f aca="false">'Смета Расходов'!B1023</f>
        <v>Kronospan - OSB-3, 22мм</v>
      </c>
      <c r="C725" s="1153" t="str">
        <f aca="false">'Смета Расходов'!C1023</f>
        <v>м2</v>
      </c>
      <c r="D725" s="1152" t="n">
        <f aca="false">'Смета Расходов'!D1023</f>
        <v>0</v>
      </c>
      <c r="E725" s="1152" t="n">
        <f aca="false">'Смета Расходов'!F1023</f>
        <v>526.666666666667</v>
      </c>
      <c r="F725" s="1152" t="n">
        <f aca="false">'Смета Расходов'!G1023</f>
        <v>0</v>
      </c>
    </row>
    <row r="726" customFormat="false" ht="15" hidden="false" customHeight="false" outlineLevel="0" collapsed="false">
      <c r="A726" s="1139"/>
      <c r="B726" s="1152" t="str">
        <f aca="false">'Смета Расходов'!B1024</f>
        <v>Проф.брус вл. 200*150мм</v>
      </c>
      <c r="C726" s="1153" t="str">
        <f aca="false">'Смета Расходов'!C1024</f>
        <v>м3</v>
      </c>
      <c r="D726" s="1152" t="n">
        <f aca="false">'Смета Расходов'!D1024</f>
        <v>0</v>
      </c>
      <c r="E726" s="1152" t="n">
        <f aca="false">'Смета Расходов'!F1024</f>
        <v>9300</v>
      </c>
      <c r="F726" s="1152" t="n">
        <f aca="false">'Смета Расходов'!G1024</f>
        <v>0</v>
      </c>
    </row>
    <row r="727" customFormat="false" ht="15" hidden="false" customHeight="false" outlineLevel="0" collapsed="false">
      <c r="A727" s="1139"/>
      <c r="B727" s="1152" t="str">
        <f aca="false">'Смета Расходов'!B1025</f>
        <v>Брус клееный проф 2 ламель кедр Шир. 240 выс. 140</v>
      </c>
      <c r="C727" s="1153" t="str">
        <f aca="false">'Смета Расходов'!C1025</f>
        <v>м3</v>
      </c>
      <c r="D727" s="1152" t="n">
        <f aca="false">'Смета Расходов'!D1025</f>
        <v>0</v>
      </c>
      <c r="E727" s="1152" t="n">
        <f aca="false">'Смета Расходов'!F1025</f>
        <v>24000</v>
      </c>
      <c r="F727" s="1152" t="n">
        <f aca="false">'Смета Расходов'!G1025</f>
        <v>0</v>
      </c>
    </row>
    <row r="728" customFormat="false" ht="15" hidden="false" customHeight="false" outlineLevel="0" collapsed="false">
      <c r="A728" s="1139"/>
      <c r="B728" s="1152" t="str">
        <f aca="false">'Смета Расходов'!B1026</f>
        <v>Брус клееный проф 1 ламель кедр Шир. 240 выс. 140</v>
      </c>
      <c r="C728" s="1153" t="str">
        <f aca="false">'Смета Расходов'!C1026</f>
        <v>м3</v>
      </c>
      <c r="D728" s="1152" t="n">
        <f aca="false">'Смета Расходов'!D1026</f>
        <v>0</v>
      </c>
      <c r="E728" s="1152" t="n">
        <f aca="false">'Смета Расходов'!F1026</f>
        <v>24000</v>
      </c>
      <c r="F728" s="1152" t="n">
        <f aca="false">'Смета Расходов'!G1026</f>
        <v>0</v>
      </c>
    </row>
    <row r="729" customFormat="false" ht="15" hidden="false" customHeight="false" outlineLevel="0" collapsed="false">
      <c r="A729" s="1139"/>
      <c r="B729" s="1152" t="str">
        <f aca="false">'Смета Расходов'!B1027</f>
        <v>Клееная накладка на перила шир 240мм</v>
      </c>
      <c r="C729" s="1153" t="str">
        <f aca="false">'Смета Расходов'!C1027</f>
        <v>м.п.</v>
      </c>
      <c r="D729" s="1152" t="n">
        <f aca="false">'Смета Расходов'!D1027</f>
        <v>0</v>
      </c>
      <c r="E729" s="1152" t="n">
        <f aca="false">'Смета Расходов'!F1027</f>
        <v>400</v>
      </c>
      <c r="F729" s="1152" t="n">
        <f aca="false">'Смета Расходов'!G1027</f>
        <v>0</v>
      </c>
    </row>
    <row r="730" customFormat="false" ht="15" hidden="false" customHeight="false" outlineLevel="0" collapsed="false">
      <c r="A730" s="1139"/>
      <c r="B730" s="1154" t="s">
        <v>2309</v>
      </c>
      <c r="C730" s="1154"/>
      <c r="D730" s="1154"/>
      <c r="E730" s="1154"/>
      <c r="F730" s="1152" t="n">
        <f aca="false">SUM(F719:F729)</f>
        <v>0</v>
      </c>
    </row>
    <row r="731" customFormat="false" ht="18.75" hidden="false" customHeight="false" outlineLevel="0" collapsed="false">
      <c r="A731" s="1139"/>
      <c r="B731" s="1150" t="str">
        <f aca="false">'Смета Расходов'!B1037</f>
        <v>Кровля односкатная</v>
      </c>
      <c r="C731" s="1150"/>
      <c r="D731" s="1150"/>
      <c r="E731" s="1150"/>
      <c r="F731" s="1155" t="n">
        <f aca="false">'Смета Внутр'!H1037</f>
        <v>0</v>
      </c>
    </row>
    <row r="732" customFormat="false" ht="15" hidden="false" customHeight="false" outlineLevel="0" collapsed="false">
      <c r="A732" s="1139"/>
      <c r="B732" s="1156" t="s">
        <v>2246</v>
      </c>
      <c r="C732" s="1156"/>
      <c r="D732" s="1156"/>
      <c r="E732" s="1156"/>
      <c r="F732" s="1155" t="n">
        <f aca="false">'Смета Внутр'!H1038</f>
        <v>0</v>
      </c>
    </row>
    <row r="733" customFormat="false" ht="15" hidden="false" customHeight="false" outlineLevel="0" collapsed="false">
      <c r="A733" s="1139"/>
      <c r="B733" s="1152" t="str">
        <f aca="false">'Смета Расходов'!B1039</f>
        <v>нет</v>
      </c>
      <c r="C733" s="1153" t="str">
        <f aca="false">'Смета Расходов'!C1039</f>
        <v>м3</v>
      </c>
      <c r="D733" s="1152" t="n">
        <f aca="false">'Смета Расходов'!D1039</f>
        <v>0</v>
      </c>
      <c r="E733" s="1152" t="n">
        <f aca="false">'Смета Расходов'!F1039</f>
        <v>0</v>
      </c>
      <c r="F733" s="1152" t="n">
        <f aca="false">'Смета Расходов'!G1039</f>
        <v>0</v>
      </c>
    </row>
    <row r="734" customFormat="false" ht="15" hidden="false" customHeight="false" outlineLevel="0" collapsed="false">
      <c r="A734" s="1139"/>
      <c r="B734" s="1152" t="str">
        <f aca="false">'Смета Расходов'!B1040</f>
        <v>Болты анкерные с гайкой 12,0 х 280          </v>
      </c>
      <c r="C734" s="1153" t="str">
        <f aca="false">'Смета Расходов'!C1040</f>
        <v>шт</v>
      </c>
      <c r="D734" s="1152" t="n">
        <f aca="false">'Смета Расходов'!D1040</f>
        <v>36.9990475974507</v>
      </c>
      <c r="E734" s="1152" t="n">
        <f aca="false">'Смета Расходов'!F1040</f>
        <v>27.1</v>
      </c>
      <c r="F734" s="1152" t="n">
        <f aca="false">'Смета Расходов'!G1040</f>
        <v>0</v>
      </c>
    </row>
    <row r="735" customFormat="false" ht="15" hidden="false" customHeight="false" outlineLevel="0" collapsed="false">
      <c r="A735" s="1139"/>
      <c r="B735" s="1152" t="str">
        <f aca="false">'Смета Расходов'!B1041</f>
        <v>Доска сырая, 150*50мм</v>
      </c>
      <c r="C735" s="1153" t="str">
        <f aca="false">'Смета Расходов'!C1041</f>
        <v>м3</v>
      </c>
      <c r="D735" s="1152" t="n">
        <f aca="false">'Смета Расходов'!D1041</f>
        <v>0.09</v>
      </c>
      <c r="E735" s="1152" t="n">
        <f aca="false">'Смета Расходов'!F1041</f>
        <v>6500</v>
      </c>
      <c r="F735" s="1152" t="n">
        <f aca="false">'Смета Расходов'!G1041</f>
        <v>0</v>
      </c>
    </row>
    <row r="736" customFormat="false" ht="15" hidden="false" customHeight="false" outlineLevel="0" collapsed="false">
      <c r="A736" s="1139"/>
      <c r="B736" s="1152" t="str">
        <f aca="false">'Смета Расходов'!B1042</f>
        <v>бугель, доска </v>
      </c>
      <c r="C736" s="1153" t="str">
        <f aca="false">'Смета Расходов'!C1042</f>
        <v>м3</v>
      </c>
      <c r="D736" s="1152" t="n">
        <f aca="false">'Смета Расходов'!D1042</f>
        <v>0</v>
      </c>
      <c r="E736" s="1152" t="n">
        <f aca="false">'Смета Расходов'!F1042</f>
        <v>6500</v>
      </c>
      <c r="F736" s="1152" t="n">
        <f aca="false">'Смета Расходов'!G1042</f>
        <v>0</v>
      </c>
    </row>
    <row r="737" customFormat="false" ht="15" hidden="false" customHeight="false" outlineLevel="0" collapsed="false">
      <c r="A737" s="1139"/>
      <c r="B737" s="1152" t="str">
        <f aca="false">'Смета Расходов'!B1043</f>
        <v>стойка под конек</v>
      </c>
      <c r="C737" s="1153" t="str">
        <f aca="false">'Смета Расходов'!C1043</f>
        <v>м3</v>
      </c>
      <c r="D737" s="1152" t="n">
        <f aca="false">'Смета Расходов'!D1043</f>
        <v>0.0612</v>
      </c>
      <c r="E737" s="1152" t="n">
        <f aca="false">'Смета Расходов'!F1043</f>
        <v>6500</v>
      </c>
      <c r="F737" s="1152" t="n">
        <f aca="false">'Смета Расходов'!G1043</f>
        <v>0</v>
      </c>
    </row>
    <row r="738" customFormat="false" ht="15" hidden="false" customHeight="false" outlineLevel="0" collapsed="false">
      <c r="A738" s="1139"/>
      <c r="B738" s="1152" t="str">
        <f aca="false">'Смета Расходов'!B1044</f>
        <v>Сосна влаж,100*25мм</v>
      </c>
      <c r="C738" s="1153" t="str">
        <f aca="false">'Смета Расходов'!C1044</f>
        <v>м3</v>
      </c>
      <c r="D738" s="1152" t="n">
        <f aca="false">'Смета Расходов'!D1044</f>
        <v>0.045</v>
      </c>
      <c r="E738" s="1152" t="n">
        <f aca="false">'Смета Расходов'!F1044</f>
        <v>6500</v>
      </c>
      <c r="F738" s="1152" t="n">
        <f aca="false">'Смета Расходов'!G1044</f>
        <v>0</v>
      </c>
    </row>
    <row r="739" customFormat="false" ht="15" hidden="false" customHeight="false" outlineLevel="0" collapsed="false">
      <c r="A739" s="1139"/>
      <c r="B739" s="1152" t="str">
        <f aca="false">'Смета Расходов'!B1045</f>
        <v>Сосна влаж, 50*50мм</v>
      </c>
      <c r="C739" s="1153" t="str">
        <f aca="false">'Смета Расходов'!C1045</f>
        <v>м3</v>
      </c>
      <c r="D739" s="1152" t="n">
        <f aca="false">'Смета Расходов'!D1045</f>
        <v>0.0375</v>
      </c>
      <c r="E739" s="1152" t="n">
        <f aca="false">'Смета Расходов'!F1045</f>
        <v>6500</v>
      </c>
      <c r="F739" s="1152" t="n">
        <f aca="false">'Смета Расходов'!G1045</f>
        <v>0</v>
      </c>
    </row>
    <row r="740" customFormat="false" ht="15" hidden="false" customHeight="false" outlineLevel="0" collapsed="false">
      <c r="A740" s="1139"/>
      <c r="B740" s="1152" t="str">
        <f aca="false">'Смета Расходов'!B1046</f>
        <v>Нет</v>
      </c>
      <c r="C740" s="1153" t="str">
        <f aca="false">'Смета Расходов'!C1046</f>
        <v>м3</v>
      </c>
      <c r="D740" s="1152" t="n">
        <f aca="false">'Смета Расходов'!D1046</f>
        <v>0</v>
      </c>
      <c r="E740" s="1152" t="n">
        <f aca="false">'Смета Расходов'!F1046</f>
        <v>0</v>
      </c>
      <c r="F740" s="1152" t="n">
        <f aca="false">'Смета Расходов'!G1046</f>
        <v>0</v>
      </c>
    </row>
    <row r="741" customFormat="false" ht="15" hidden="false" customHeight="false" outlineLevel="0" collapsed="false">
      <c r="A741" s="1139"/>
      <c r="B741" s="1152" t="str">
        <f aca="false">'Смета Расходов'!B1047</f>
        <v>Гидрокомпенсатор</v>
      </c>
      <c r="C741" s="1153" t="str">
        <f aca="false">'Смета Расходов'!C1047</f>
        <v>шт</v>
      </c>
      <c r="D741" s="1152" t="n">
        <f aca="false">'Смета Расходов'!D1047</f>
        <v>0</v>
      </c>
      <c r="E741" s="1152" t="n">
        <f aca="false">'Смета Расходов'!F1047</f>
        <v>450</v>
      </c>
      <c r="F741" s="1152" t="n">
        <f aca="false">'Смета Расходов'!G1047</f>
        <v>0</v>
      </c>
    </row>
    <row r="742" customFormat="false" ht="15" hidden="false" customHeight="false" outlineLevel="0" collapsed="false">
      <c r="A742" s="1139"/>
      <c r="B742" s="1152" t="str">
        <f aca="false">'Смета Расходов'!B1048</f>
        <v>Универсальная Optima C</v>
      </c>
      <c r="C742" s="1153" t="str">
        <f aca="false">'Смета Расходов'!C1048</f>
        <v>м2</v>
      </c>
      <c r="D742" s="1152" t="n">
        <f aca="false">'Смета Расходов'!D1048</f>
        <v>7.2</v>
      </c>
      <c r="E742" s="1152" t="n">
        <f aca="false">'Смета Расходов'!F1048</f>
        <v>19</v>
      </c>
      <c r="F742" s="1152" t="n">
        <f aca="false">'Смета Расходов'!G1048</f>
        <v>0</v>
      </c>
    </row>
    <row r="743" customFormat="false" ht="15" hidden="false" customHeight="false" outlineLevel="0" collapsed="false">
      <c r="A743" s="1139"/>
      <c r="B743" s="1152" t="str">
        <f aca="false">'Смета Расходов'!B1049</f>
        <v>Универсальная Optima C</v>
      </c>
      <c r="C743" s="1153" t="str">
        <f aca="false">'Смета Расходов'!C1049</f>
        <v>м2</v>
      </c>
      <c r="D743" s="1152" t="n">
        <f aca="false">'Смета Расходов'!D1049</f>
        <v>0</v>
      </c>
      <c r="E743" s="1152" t="n">
        <f aca="false">'Смета Расходов'!F1049</f>
        <v>20</v>
      </c>
      <c r="F743" s="1152" t="n">
        <f aca="false">'Смета Расходов'!G1049</f>
        <v>0</v>
      </c>
    </row>
    <row r="744" customFormat="false" ht="15" hidden="false" customHeight="false" outlineLevel="0" collapsed="false">
      <c r="A744" s="1139"/>
      <c r="B744" s="1152" t="str">
        <f aca="false">'Смета Расходов'!B1050</f>
        <v>Плитный,28кг/м3, технониколь, 100мм</v>
      </c>
      <c r="C744" s="1153" t="str">
        <f aca="false">'Смета Расходов'!C1050</f>
        <v>м3</v>
      </c>
      <c r="D744" s="1152" t="n">
        <f aca="false">'Смета Расходов'!D1050</f>
        <v>0</v>
      </c>
      <c r="E744" s="1152" t="n">
        <f aca="false">'Смета Расходов'!F1050</f>
        <v>1700</v>
      </c>
      <c r="F744" s="1152" t="n">
        <f aca="false">'Смета Расходов'!G1050</f>
        <v>0</v>
      </c>
    </row>
    <row r="745" customFormat="false" ht="15" hidden="false" customHeight="false" outlineLevel="0" collapsed="false">
      <c r="A745" s="1139"/>
      <c r="B745" s="1152" t="str">
        <f aca="false">'Смета Расходов'!B1051</f>
        <v>Металлочерепица</v>
      </c>
      <c r="C745" s="1153" t="str">
        <f aca="false">'Смета Расходов'!C1051</f>
        <v>м2</v>
      </c>
      <c r="D745" s="1152" t="n">
        <f aca="false">'Смета Расходов'!D1051</f>
        <v>7.2</v>
      </c>
      <c r="E745" s="1152" t="n">
        <f aca="false">'Смета Расходов'!F1051</f>
        <v>250</v>
      </c>
      <c r="F745" s="1152" t="n">
        <f aca="false">'Смета Расходов'!G1051</f>
        <v>0</v>
      </c>
    </row>
    <row r="746" customFormat="false" ht="15" hidden="false" customHeight="false" outlineLevel="0" collapsed="false">
      <c r="A746" s="1139"/>
      <c r="B746" s="1152" t="str">
        <f aca="false">'Смета Расходов'!B1052</f>
        <v>Карнизная планка</v>
      </c>
      <c r="C746" s="1153" t="str">
        <f aca="false">'Смета Расходов'!C1052</f>
        <v>м.п.</v>
      </c>
      <c r="D746" s="1152" t="n">
        <f aca="false">'Смета Расходов'!D1052</f>
        <v>0</v>
      </c>
      <c r="E746" s="1152" t="n">
        <f aca="false">'Смета Расходов'!F1052</f>
        <v>190</v>
      </c>
      <c r="F746" s="1152" t="n">
        <f aca="false">'Смета Расходов'!G1052</f>
        <v>0</v>
      </c>
    </row>
    <row r="747" customFormat="false" ht="15" hidden="false" customHeight="false" outlineLevel="0" collapsed="false">
      <c r="A747" s="1139"/>
      <c r="B747" s="1152" t="str">
        <f aca="false">'Смета Расходов'!B1053</f>
        <v>Торцевая планка</v>
      </c>
      <c r="C747" s="1153" t="str">
        <f aca="false">'Смета Расходов'!C1053</f>
        <v>м.п.</v>
      </c>
      <c r="D747" s="1152" t="n">
        <f aca="false">'Смета Расходов'!D1053</f>
        <v>0</v>
      </c>
      <c r="E747" s="1152" t="n">
        <f aca="false">'Смета Расходов'!F1053</f>
        <v>190</v>
      </c>
      <c r="F747" s="1152" t="n">
        <f aca="false">'Смета Расходов'!G1053</f>
        <v>0</v>
      </c>
    </row>
    <row r="748" customFormat="false" ht="15" hidden="false" customHeight="false" outlineLevel="0" collapsed="false">
      <c r="A748" s="1139"/>
      <c r="B748" s="1152" t="str">
        <f aca="false">'Смета Расходов'!B1054</f>
        <v>Конек</v>
      </c>
      <c r="C748" s="1153" t="str">
        <f aca="false">'Смета Расходов'!C1054</f>
        <v>м.п.</v>
      </c>
      <c r="D748" s="1152" t="n">
        <f aca="false">'Смета Расходов'!D1054</f>
        <v>0</v>
      </c>
      <c r="E748" s="1152" t="n">
        <f aca="false">'Смета Расходов'!F1054</f>
        <v>200</v>
      </c>
      <c r="F748" s="1152" t="n">
        <f aca="false">'Смета Расходов'!G1054</f>
        <v>0</v>
      </c>
    </row>
    <row r="749" customFormat="false" ht="15" hidden="false" customHeight="false" outlineLevel="0" collapsed="false">
      <c r="A749" s="1139"/>
      <c r="B749" s="1152" t="str">
        <f aca="false">'Смета Расходов'!B1055</f>
        <v>ондулин</v>
      </c>
      <c r="C749" s="1153" t="str">
        <f aca="false">'Смета Расходов'!C1055</f>
        <v>м2</v>
      </c>
      <c r="D749" s="1152" t="n">
        <f aca="false">'Смета Расходов'!D1055</f>
        <v>0</v>
      </c>
      <c r="E749" s="1152" t="n">
        <f aca="false">'Смета Расходов'!F1055</f>
        <v>180</v>
      </c>
      <c r="F749" s="1152" t="n">
        <f aca="false">'Смета Расходов'!G1055</f>
        <v>0</v>
      </c>
    </row>
    <row r="750" customFormat="false" ht="15" hidden="false" customHeight="false" outlineLevel="0" collapsed="false">
      <c r="A750" s="1139"/>
      <c r="B750" s="1152" t="str">
        <f aca="false">'Смета Расходов'!B1056</f>
        <v>Карнизная планка</v>
      </c>
      <c r="C750" s="1153" t="str">
        <f aca="false">'Смета Расходов'!C1056</f>
        <v>м.п.</v>
      </c>
      <c r="D750" s="1152" t="n">
        <f aca="false">'Смета Расходов'!D1056</f>
        <v>0</v>
      </c>
      <c r="E750" s="1152" t="n">
        <f aca="false">'Смета Расходов'!F1056</f>
        <v>190</v>
      </c>
      <c r="F750" s="1152" t="n">
        <f aca="false">'Смета Расходов'!G1056</f>
        <v>0</v>
      </c>
    </row>
    <row r="751" customFormat="false" ht="15" hidden="false" customHeight="false" outlineLevel="0" collapsed="false">
      <c r="A751" s="1139"/>
      <c r="B751" s="1152" t="str">
        <f aca="false">'Смета Расходов'!B1057</f>
        <v>Торцевая планка</v>
      </c>
      <c r="C751" s="1153" t="str">
        <f aca="false">'Смета Расходов'!C1057</f>
        <v>м.п.</v>
      </c>
      <c r="D751" s="1152" t="n">
        <f aca="false">'Смета Расходов'!D1057</f>
        <v>0</v>
      </c>
      <c r="E751" s="1152" t="n">
        <f aca="false">'Смета Расходов'!F1057</f>
        <v>190</v>
      </c>
      <c r="F751" s="1152" t="n">
        <f aca="false">'Смета Расходов'!G1057</f>
        <v>0</v>
      </c>
    </row>
    <row r="752" customFormat="false" ht="15" hidden="false" customHeight="false" outlineLevel="0" collapsed="false">
      <c r="A752" s="1139"/>
      <c r="B752" s="1152" t="str">
        <f aca="false">'Смета Расходов'!B1058</f>
        <v>Конек</v>
      </c>
      <c r="C752" s="1153" t="str">
        <f aca="false">'Смета Расходов'!C1058</f>
        <v>м.п</v>
      </c>
      <c r="D752" s="1152" t="n">
        <f aca="false">'Смета Расходов'!D1058</f>
        <v>0</v>
      </c>
      <c r="E752" s="1152" t="n">
        <f aca="false">'Смета Расходов'!F1058</f>
        <v>200</v>
      </c>
      <c r="F752" s="1152" t="n">
        <f aca="false">'Смета Расходов'!G1058</f>
        <v>0</v>
      </c>
    </row>
    <row r="753" customFormat="false" ht="15" hidden="false" customHeight="false" outlineLevel="0" collapsed="false">
      <c r="A753" s="1139"/>
      <c r="B753" s="1152" t="str">
        <f aca="false">'Смета Расходов'!B1059</f>
        <v>Ендова нижняя</v>
      </c>
      <c r="C753" s="1153" t="str">
        <f aca="false">'Смета Расходов'!C1059</f>
        <v>м.п.</v>
      </c>
      <c r="D753" s="1152" t="n">
        <f aca="false">'Смета Расходов'!D1059</f>
        <v>0</v>
      </c>
      <c r="E753" s="1152" t="n">
        <f aca="false">'Смета Расходов'!F1059</f>
        <v>160</v>
      </c>
      <c r="F753" s="1152" t="n">
        <f aca="false">'Смета Расходов'!G1059</f>
        <v>0</v>
      </c>
    </row>
    <row r="754" customFormat="false" ht="15" hidden="false" customHeight="false" outlineLevel="0" collapsed="false">
      <c r="A754" s="1139"/>
      <c r="B754" s="1152" t="str">
        <f aca="false">'Смета Расходов'!B1060</f>
        <v>Ендова верхняя</v>
      </c>
      <c r="C754" s="1153" t="str">
        <f aca="false">'Смета Расходов'!C1060</f>
        <v>м.п.</v>
      </c>
      <c r="D754" s="1152" t="n">
        <f aca="false">'Смета Расходов'!D1060</f>
        <v>0</v>
      </c>
      <c r="E754" s="1152" t="n">
        <f aca="false">'Смета Расходов'!F1060</f>
        <v>190</v>
      </c>
      <c r="F754" s="1152" t="n">
        <f aca="false">'Смета Расходов'!G1060</f>
        <v>0</v>
      </c>
    </row>
    <row r="755" customFormat="false" ht="15" hidden="false" customHeight="false" outlineLevel="0" collapsed="false">
      <c r="A755" s="1139"/>
      <c r="B755" s="1152" t="str">
        <f aca="false">'Смета Расходов'!B1061</f>
        <v>Планка примыкания</v>
      </c>
      <c r="C755" s="1153" t="str">
        <f aca="false">'Смета Расходов'!C1061</f>
        <v>м.п.</v>
      </c>
      <c r="D755" s="1152" t="n">
        <f aca="false">'Смета Расходов'!D1061</f>
        <v>0</v>
      </c>
      <c r="E755" s="1152" t="n">
        <f aca="false">'Смета Расходов'!F1061</f>
        <v>190</v>
      </c>
      <c r="F755" s="1152" t="n">
        <f aca="false">'Смета Расходов'!G1061</f>
        <v>0</v>
      </c>
    </row>
    <row r="756" customFormat="false" ht="15" hidden="false" customHeight="false" outlineLevel="0" collapsed="false">
      <c r="A756" s="1139"/>
      <c r="B756" s="1152" t="str">
        <f aca="false">'Смета Расходов'!B1062</f>
        <v>Крепеж для ондулина</v>
      </c>
      <c r="C756" s="1153" t="str">
        <f aca="false">'Смета Расходов'!C1062</f>
        <v>шт</v>
      </c>
      <c r="D756" s="1152" t="n">
        <f aca="false">'Смета Расходов'!D1062</f>
        <v>0</v>
      </c>
      <c r="E756" s="1152" t="n">
        <f aca="false">'Смета Расходов'!F1062</f>
        <v>4.5</v>
      </c>
      <c r="F756" s="1152" t="n">
        <f aca="false">'Смета Расходов'!G1062</f>
        <v>0</v>
      </c>
    </row>
    <row r="757" customFormat="false" ht="15" hidden="false" customHeight="false" outlineLevel="0" collapsed="false">
      <c r="A757" s="1139"/>
      <c r="B757" s="1152" t="str">
        <f aca="false">'Смета Расходов'!B1063</f>
        <v>нет</v>
      </c>
      <c r="C757" s="1153" t="str">
        <f aca="false">'Смета Расходов'!C1063</f>
        <v>м2</v>
      </c>
      <c r="D757" s="1152" t="n">
        <f aca="false">'Смета Расходов'!D1063</f>
        <v>116.359004924529</v>
      </c>
      <c r="E757" s="1152" t="n">
        <f aca="false">'Смета Расходов'!F1063</f>
        <v>0</v>
      </c>
      <c r="F757" s="1152" t="n">
        <f aca="false">'Смета Расходов'!G1063</f>
        <v>0</v>
      </c>
    </row>
    <row r="758" customFormat="false" ht="15" hidden="false" customHeight="false" outlineLevel="0" collapsed="false">
      <c r="A758" s="1139"/>
      <c r="B758" s="1152" t="str">
        <f aca="false">'Смета Расходов'!B1064</f>
        <v>Рядовая черепица</v>
      </c>
      <c r="C758" s="1153" t="str">
        <f aca="false">'Смета Расходов'!C1064</f>
        <v>м2</v>
      </c>
      <c r="D758" s="1152" t="n">
        <f aca="false">'Смета Расходов'!D1064</f>
        <v>0</v>
      </c>
      <c r="E758" s="1152" t="n">
        <f aca="false">'Смета Расходов'!F1064</f>
        <v>360</v>
      </c>
      <c r="F758" s="1152" t="n">
        <f aca="false">'Смета Расходов'!G1064</f>
        <v>0</v>
      </c>
    </row>
    <row r="759" customFormat="false" ht="15" hidden="false" customHeight="false" outlineLevel="0" collapsed="false">
      <c r="A759" s="1139"/>
      <c r="B759" s="1152" t="str">
        <f aca="false">'Смета Расходов'!B1065</f>
        <v>Металл оцинк защита (карниз)</v>
      </c>
      <c r="C759" s="1153" t="str">
        <f aca="false">'Смета Расходов'!C1065</f>
        <v>м.п.</v>
      </c>
      <c r="D759" s="1152" t="n">
        <f aca="false">'Смета Расходов'!D1065</f>
        <v>0</v>
      </c>
      <c r="E759" s="1152" t="n">
        <f aca="false">'Смета Расходов'!F1065</f>
        <v>200</v>
      </c>
      <c r="F759" s="1152" t="n">
        <f aca="false">'Смета Расходов'!G1065</f>
        <v>0</v>
      </c>
    </row>
    <row r="760" customFormat="false" ht="15" hidden="false" customHeight="false" outlineLevel="0" collapsed="false">
      <c r="A760" s="1139"/>
      <c r="B760" s="1152" t="str">
        <f aca="false">'Смета Расходов'!B1066</f>
        <v>Подкладочный ковер</v>
      </c>
      <c r="C760" s="1153" t="str">
        <f aca="false">'Смета Расходов'!C1066</f>
        <v>м.п.</v>
      </c>
      <c r="D760" s="1152" t="n">
        <f aca="false">'Смета Расходов'!D1066</f>
        <v>0</v>
      </c>
      <c r="E760" s="1152" t="n">
        <f aca="false">'Смета Расходов'!F1066</f>
        <v>220</v>
      </c>
      <c r="F760" s="1152" t="n">
        <f aca="false">'Смета Расходов'!G1066</f>
        <v>0</v>
      </c>
    </row>
    <row r="761" customFormat="false" ht="15" hidden="false" customHeight="false" outlineLevel="0" collapsed="false">
      <c r="A761" s="1139"/>
      <c r="B761" s="1152" t="str">
        <f aca="false">'Смета Расходов'!B1067</f>
        <v>Карнизная самоклеющаяся черепица</v>
      </c>
      <c r="C761" s="1153" t="str">
        <f aca="false">'Смета Расходов'!C1067</f>
        <v>м.п.</v>
      </c>
      <c r="D761" s="1152" t="n">
        <f aca="false">'Смета Расходов'!D1067</f>
        <v>0</v>
      </c>
      <c r="E761" s="1152" t="n">
        <f aca="false">'Смета Расходов'!F1067</f>
        <v>220</v>
      </c>
      <c r="F761" s="1152" t="n">
        <f aca="false">'Смета Расходов'!G1067</f>
        <v>0</v>
      </c>
    </row>
    <row r="762" customFormat="false" ht="15" hidden="false" customHeight="false" outlineLevel="0" collapsed="false">
      <c r="A762" s="1139"/>
      <c r="B762" s="1152" t="str">
        <f aca="false">'Смета Расходов'!B1068</f>
        <v>Спец ковер ендова нижняя</v>
      </c>
      <c r="C762" s="1153" t="str">
        <f aca="false">'Смета Расходов'!C1068</f>
        <v>м.п.</v>
      </c>
      <c r="D762" s="1152" t="n">
        <f aca="false">'Смета Расходов'!D1068</f>
        <v>0</v>
      </c>
      <c r="E762" s="1152" t="n">
        <f aca="false">'Смета Расходов'!F1068</f>
        <v>200</v>
      </c>
      <c r="F762" s="1152" t="n">
        <f aca="false">'Смета Расходов'!G1068</f>
        <v>0</v>
      </c>
    </row>
    <row r="763" customFormat="false" ht="15" hidden="false" customHeight="false" outlineLevel="0" collapsed="false">
      <c r="A763" s="1139"/>
      <c r="B763" s="1152" t="str">
        <f aca="false">'Смета Расходов'!B1069</f>
        <v>Коньковой элемент</v>
      </c>
      <c r="C763" s="1153" t="str">
        <f aca="false">'Смета Расходов'!C1069</f>
        <v>м.п.</v>
      </c>
      <c r="D763" s="1152" t="n">
        <f aca="false">'Смета Расходов'!D1069</f>
        <v>0</v>
      </c>
      <c r="E763" s="1152" t="n">
        <f aca="false">'Смета Расходов'!F1069</f>
        <v>250</v>
      </c>
      <c r="F763" s="1152" t="n">
        <f aca="false">'Смета Расходов'!G1069</f>
        <v>0</v>
      </c>
    </row>
    <row r="764" customFormat="false" ht="15" hidden="false" customHeight="false" outlineLevel="0" collapsed="false">
      <c r="A764" s="1139"/>
      <c r="B764" s="1152" t="str">
        <f aca="false">'Смета Расходов'!B1070</f>
        <v>Планка премыкания</v>
      </c>
      <c r="C764" s="1153" t="str">
        <f aca="false">'Смета Расходов'!C1070</f>
        <v>м.п.</v>
      </c>
      <c r="D764" s="1152" t="n">
        <f aca="false">'Смета Расходов'!D1070</f>
        <v>0</v>
      </c>
      <c r="E764" s="1152" t="n">
        <f aca="false">'Смета Расходов'!F1070</f>
        <v>200</v>
      </c>
      <c r="F764" s="1152" t="n">
        <f aca="false">'Смета Расходов'!G1070</f>
        <v>0</v>
      </c>
    </row>
    <row r="765" customFormat="false" ht="15" hidden="false" customHeight="false" outlineLevel="0" collapsed="false">
      <c r="A765" s="1139"/>
      <c r="B765" s="1152" t="str">
        <f aca="false">'Смета Расходов'!B1071</f>
        <v>Гвозди для крепления подкладочного ковра</v>
      </c>
      <c r="C765" s="1153" t="str">
        <f aca="false">'Смета Расходов'!C1071</f>
        <v>шт</v>
      </c>
      <c r="D765" s="1152" t="n">
        <f aca="false">'Смета Расходов'!D1071</f>
        <v>0</v>
      </c>
      <c r="E765" s="1152" t="n">
        <f aca="false">'Смета Расходов'!F1071</f>
        <v>0.012</v>
      </c>
      <c r="F765" s="1152" t="n">
        <f aca="false">'Смета Расходов'!G1071</f>
        <v>0</v>
      </c>
    </row>
    <row r="766" customFormat="false" ht="15" hidden="false" customHeight="false" outlineLevel="0" collapsed="false">
      <c r="A766" s="1139"/>
      <c r="B766" s="1152" t="str">
        <f aca="false">'Смета Расходов'!B1072</f>
        <v>Гвозди для крепления черепицы</v>
      </c>
      <c r="C766" s="1153" t="str">
        <f aca="false">'Смета Расходов'!C1072</f>
        <v>шт</v>
      </c>
      <c r="D766" s="1152" t="n">
        <f aca="false">'Смета Расходов'!D1072</f>
        <v>0</v>
      </c>
      <c r="E766" s="1152" t="n">
        <f aca="false">'Смета Расходов'!F1072</f>
        <v>0.25</v>
      </c>
      <c r="F766" s="1152" t="n">
        <f aca="false">'Смета Расходов'!G1072</f>
        <v>0</v>
      </c>
    </row>
    <row r="767" customFormat="false" ht="15" hidden="false" customHeight="false" outlineLevel="0" collapsed="false">
      <c r="A767" s="1139"/>
      <c r="B767" s="1152" t="str">
        <f aca="false">'Смета Расходов'!B1073</f>
        <v>Клей для монтажа черепицы</v>
      </c>
      <c r="C767" s="1153" t="str">
        <f aca="false">'Смета Расходов'!C1073</f>
        <v>кг</v>
      </c>
      <c r="D767" s="1152" t="n">
        <f aca="false">'Смета Расходов'!D1073</f>
        <v>0</v>
      </c>
      <c r="E767" s="1152" t="n">
        <f aca="false">'Смета Расходов'!F1073</f>
        <v>250</v>
      </c>
      <c r="F767" s="1152" t="n">
        <f aca="false">'Смета Расходов'!G1073</f>
        <v>0</v>
      </c>
    </row>
    <row r="768" customFormat="false" ht="15" hidden="false" customHeight="false" outlineLevel="0" collapsed="false">
      <c r="A768" s="1139"/>
      <c r="B768" s="1152" t="str">
        <f aca="false">'Смета Расходов'!B1074</f>
        <v>желоб</v>
      </c>
      <c r="C768" s="1153" t="str">
        <f aca="false">'Смета Расходов'!C1074</f>
        <v>м.п</v>
      </c>
      <c r="D768" s="1152" t="n">
        <f aca="false">'Смета Расходов'!D1074</f>
        <v>0</v>
      </c>
      <c r="E768" s="1152" t="n">
        <f aca="false">'Смета Расходов'!F1074</f>
        <v>300</v>
      </c>
      <c r="F768" s="1152" t="n">
        <f aca="false">'Смета Расходов'!G1074</f>
        <v>0</v>
      </c>
    </row>
    <row r="769" customFormat="false" ht="15" hidden="false" customHeight="false" outlineLevel="0" collapsed="false">
      <c r="A769" s="1139"/>
      <c r="B769" s="1152" t="str">
        <f aca="false">'Смета Расходов'!B1075</f>
        <v>отвод</v>
      </c>
      <c r="C769" s="1153" t="str">
        <f aca="false">'Смета Расходов'!C1075</f>
        <v>шт</v>
      </c>
      <c r="D769" s="1152" t="n">
        <f aca="false">'Смета Расходов'!D1075</f>
        <v>2</v>
      </c>
      <c r="E769" s="1152" t="n">
        <f aca="false">'Смета Расходов'!F1075</f>
        <v>250</v>
      </c>
      <c r="F769" s="1152" t="n">
        <f aca="false">'Смета Расходов'!G1075</f>
        <v>0</v>
      </c>
    </row>
    <row r="770" customFormat="false" ht="15" hidden="false" customHeight="false" outlineLevel="0" collapsed="false">
      <c r="A770" s="1139"/>
      <c r="B770" s="1152" t="str">
        <f aca="false">'Смета Расходов'!B1076</f>
        <v>труба водосточная</v>
      </c>
      <c r="C770" s="1153" t="str">
        <f aca="false">'Смета Расходов'!C1076</f>
        <v>м.п.</v>
      </c>
      <c r="D770" s="1152" t="n">
        <f aca="false">'Смета Расходов'!D1076</f>
        <v>11.34</v>
      </c>
      <c r="E770" s="1152" t="n">
        <f aca="false">'Смета Расходов'!F1076</f>
        <v>300</v>
      </c>
      <c r="F770" s="1152" t="n">
        <f aca="false">'Смета Расходов'!G1076</f>
        <v>0</v>
      </c>
    </row>
    <row r="771" customFormat="false" ht="15" hidden="false" customHeight="false" outlineLevel="0" collapsed="false">
      <c r="A771" s="1139"/>
      <c r="B771" s="1152" t="str">
        <f aca="false">'Смета Расходов'!B1077</f>
        <v>заглушка для желоба</v>
      </c>
      <c r="C771" s="1153" t="str">
        <f aca="false">'Смета Расходов'!C1077</f>
        <v>шт</v>
      </c>
      <c r="D771" s="1152" t="n">
        <f aca="false">'Смета Расходов'!D1077</f>
        <v>2</v>
      </c>
      <c r="E771" s="1152" t="n">
        <f aca="false">'Смета Расходов'!F1077</f>
        <v>190</v>
      </c>
      <c r="F771" s="1152" t="n">
        <f aca="false">'Смета Расходов'!G1077</f>
        <v>0</v>
      </c>
    </row>
    <row r="772" customFormat="false" ht="15" hidden="false" customHeight="false" outlineLevel="0" collapsed="false">
      <c r="A772" s="1139"/>
      <c r="B772" s="1152" t="str">
        <f aca="false">'Смета Расходов'!B1078</f>
        <v>соеденитель для желоба</v>
      </c>
      <c r="C772" s="1153" t="str">
        <f aca="false">'Смета Расходов'!C1078</f>
        <v>шт</v>
      </c>
      <c r="D772" s="1152" t="n">
        <f aca="false">'Смета Расходов'!D1078</f>
        <v>1</v>
      </c>
      <c r="E772" s="1152" t="n">
        <f aca="false">'Смета Расходов'!F1078</f>
        <v>180</v>
      </c>
      <c r="F772" s="1152" t="n">
        <f aca="false">'Смета Расходов'!G1078</f>
        <v>0</v>
      </c>
    </row>
    <row r="773" customFormat="false" ht="15" hidden="false" customHeight="false" outlineLevel="0" collapsed="false">
      <c r="A773" s="1139"/>
      <c r="B773" s="1152" t="str">
        <f aca="false">'Смета Расходов'!B1079</f>
        <v>кронштейн для желоба</v>
      </c>
      <c r="C773" s="1153" t="str">
        <f aca="false">'Смета Расходов'!C1079</f>
        <v>шт</v>
      </c>
      <c r="D773" s="1152" t="n">
        <f aca="false">'Смета Расходов'!D1079</f>
        <v>4</v>
      </c>
      <c r="E773" s="1152" t="n">
        <f aca="false">'Смета Расходов'!F1079</f>
        <v>130</v>
      </c>
      <c r="F773" s="1152" t="n">
        <f aca="false">'Смета Расходов'!G1079</f>
        <v>0</v>
      </c>
    </row>
    <row r="774" customFormat="false" ht="15" hidden="false" customHeight="false" outlineLevel="0" collapsed="false">
      <c r="A774" s="1139"/>
      <c r="B774" s="1152" t="str">
        <f aca="false">'Смета Расходов'!B1080</f>
        <v>переход из желоба в трубу</v>
      </c>
      <c r="C774" s="1153" t="str">
        <f aca="false">'Смета Расходов'!C1080</f>
        <v>шт</v>
      </c>
      <c r="D774" s="1152" t="n">
        <f aca="false">'Смета Расходов'!D1080</f>
        <v>2</v>
      </c>
      <c r="E774" s="1152" t="n">
        <f aca="false">'Смета Расходов'!F1080</f>
        <v>350</v>
      </c>
      <c r="F774" s="1152" t="n">
        <f aca="false">'Смета Расходов'!G1080</f>
        <v>0</v>
      </c>
    </row>
    <row r="775" customFormat="false" ht="15" hidden="false" customHeight="false" outlineLevel="0" collapsed="false">
      <c r="A775" s="1139"/>
      <c r="B775" s="1152" t="str">
        <f aca="false">'Смета Расходов'!B1081</f>
        <v>лента дельта мульти бэнд</v>
      </c>
      <c r="C775" s="1153" t="str">
        <f aca="false">'Смета Расходов'!C1081</f>
        <v>шт</v>
      </c>
      <c r="D775" s="1152" t="n">
        <f aca="false">'Смета Расходов'!D1081</f>
        <v>0</v>
      </c>
      <c r="E775" s="1152" t="n">
        <f aca="false">'Смета Расходов'!F1081</f>
        <v>1200</v>
      </c>
      <c r="F775" s="1152" t="n">
        <f aca="false">'Смета Расходов'!G1081</f>
        <v>0</v>
      </c>
    </row>
    <row r="776" customFormat="false" ht="15" hidden="false" customHeight="false" outlineLevel="0" collapsed="false">
      <c r="A776" s="1139"/>
      <c r="B776" s="1152" t="str">
        <f aca="false">'Смета Расходов'!B1082</f>
        <v>лента дельта sb-60</v>
      </c>
      <c r="C776" s="1153" t="str">
        <f aca="false">'Смета Расходов'!C1082</f>
        <v>шт</v>
      </c>
      <c r="D776" s="1152" t="n">
        <f aca="false">'Смета Расходов'!D1082</f>
        <v>1</v>
      </c>
      <c r="E776" s="1152" t="n">
        <f aca="false">'Смета Расходов'!F1082</f>
        <v>1100</v>
      </c>
      <c r="F776" s="1152" t="n">
        <f aca="false">'Смета Расходов'!G1082</f>
        <v>0</v>
      </c>
    </row>
    <row r="777" customFormat="false" ht="15" hidden="false" customHeight="false" outlineLevel="0" collapsed="false">
      <c r="A777" s="1139"/>
      <c r="B777" s="1152" t="str">
        <f aca="false">'Смета Расходов'!B1083</f>
        <v>проходка кровельная, канализационная</v>
      </c>
      <c r="C777" s="1153" t="str">
        <f aca="false">'Смета Расходов'!C1083</f>
        <v>шт</v>
      </c>
      <c r="D777" s="1152" t="n">
        <f aca="false">'Смета Расходов'!D1083</f>
        <v>0</v>
      </c>
      <c r="E777" s="1152" t="n">
        <f aca="false">'Смета Расходов'!F1083</f>
        <v>3500</v>
      </c>
      <c r="F777" s="1152" t="n">
        <f aca="false">'Смета Расходов'!G1083</f>
        <v>0</v>
      </c>
    </row>
    <row r="778" customFormat="false" ht="15" hidden="false" customHeight="false" outlineLevel="0" collapsed="false">
      <c r="A778" s="1139"/>
      <c r="B778" s="1152" t="str">
        <f aca="false">'Смета Расходов'!B1084</f>
        <v>проходка кровельная, вентиляционная</v>
      </c>
      <c r="C778" s="1153" t="str">
        <f aca="false">'Смета Расходов'!C1084</f>
        <v>шт</v>
      </c>
      <c r="D778" s="1152" t="n">
        <f aca="false">'Смета Расходов'!D1084</f>
        <v>0</v>
      </c>
      <c r="E778" s="1152" t="n">
        <f aca="false">'Смета Расходов'!F1084</f>
        <v>3500</v>
      </c>
      <c r="F778" s="1152" t="n">
        <f aca="false">'Смета Расходов'!G1084</f>
        <v>0</v>
      </c>
    </row>
    <row r="779" customFormat="false" ht="15" hidden="false" customHeight="false" outlineLevel="0" collapsed="false">
      <c r="A779" s="1139"/>
      <c r="B779" s="1152" t="str">
        <f aca="false">'Смета Расходов'!B1085</f>
        <v>проодка кровельная, труба котел</v>
      </c>
      <c r="C779" s="1153" t="str">
        <f aca="false">'Смета Расходов'!C1085</f>
        <v>шт</v>
      </c>
      <c r="D779" s="1152" t="n">
        <f aca="false">'Смета Расходов'!D1085</f>
        <v>0</v>
      </c>
      <c r="E779" s="1152" t="n">
        <f aca="false">'Смета Расходов'!F1085</f>
        <v>4500</v>
      </c>
      <c r="F779" s="1152" t="n">
        <f aca="false">'Смета Расходов'!G1085</f>
        <v>0</v>
      </c>
    </row>
    <row r="780" customFormat="false" ht="15" hidden="false" customHeight="false" outlineLevel="0" collapsed="false">
      <c r="A780" s="1139"/>
      <c r="B780" s="1152" t="str">
        <f aca="false">'Смета Расходов'!B1086</f>
        <v>Кровельный саморез</v>
      </c>
      <c r="C780" s="1153" t="str">
        <f aca="false">'Смета Расходов'!C1086</f>
        <v>шт</v>
      </c>
      <c r="D780" s="1152" t="n">
        <f aca="false">'Смета Расходов'!D1086</f>
        <v>86.4</v>
      </c>
      <c r="E780" s="1152" t="n">
        <f aca="false">'Смета Расходов'!F1086</f>
        <v>2</v>
      </c>
      <c r="F780" s="1152" t="n">
        <f aca="false">'Смета Расходов'!G1086</f>
        <v>0</v>
      </c>
    </row>
    <row r="781" customFormat="false" ht="15" hidden="false" customHeight="false" outlineLevel="0" collapsed="false">
      <c r="A781" s="1139"/>
      <c r="B781" s="1152" t="str">
        <f aca="false">'Смета Расходов'!B1087</f>
        <v>Гвозди ершоные 3,4 x 60            </v>
      </c>
      <c r="C781" s="1153" t="str">
        <f aca="false">'Смета Расходов'!C1087</f>
        <v>кг</v>
      </c>
      <c r="D781" s="1152" t="n">
        <f aca="false">'Смета Расходов'!D1087</f>
        <v>0.6</v>
      </c>
      <c r="E781" s="1152" t="n">
        <f aca="false">'Смета Расходов'!F1087</f>
        <v>75.51</v>
      </c>
      <c r="F781" s="1152" t="n">
        <f aca="false">'Смета Расходов'!G1087</f>
        <v>0</v>
      </c>
    </row>
    <row r="782" customFormat="false" ht="15" hidden="false" customHeight="false" outlineLevel="0" collapsed="false">
      <c r="A782" s="1139"/>
      <c r="B782" s="1152" t="str">
        <f aca="false">'Смета Расходов'!B1088</f>
        <v>Гвозди ершоные 2,8 х 90            </v>
      </c>
      <c r="C782" s="1153" t="str">
        <f aca="false">'Смета Расходов'!C1088</f>
        <v>кг</v>
      </c>
      <c r="D782" s="1152" t="n">
        <f aca="false">'Смета Расходов'!D1088</f>
        <v>0.5661</v>
      </c>
      <c r="E782" s="1152" t="n">
        <f aca="false">'Смета Расходов'!F1088</f>
        <v>76.49</v>
      </c>
      <c r="F782" s="1152" t="n">
        <f aca="false">'Смета Расходов'!G1088</f>
        <v>0</v>
      </c>
    </row>
    <row r="783" customFormat="false" ht="15" hidden="false" customHeight="false" outlineLevel="0" collapsed="false">
      <c r="A783" s="1139"/>
      <c r="B783" s="1152" t="str">
        <f aca="false">'Смета Расходов'!B1089</f>
        <v>Пластина соеденительная 100х240х2           </v>
      </c>
      <c r="C783" s="1153" t="str">
        <f aca="false">'Смета Расходов'!C1089</f>
        <v>шт</v>
      </c>
      <c r="D783" s="1152" t="n">
        <f aca="false">'Смета Расходов'!D1089</f>
        <v>0</v>
      </c>
      <c r="E783" s="1152" t="n">
        <f aca="false">'Смета Расходов'!F1089</f>
        <v>31.54</v>
      </c>
      <c r="F783" s="1152" t="n">
        <f aca="false">'Смета Расходов'!G1089</f>
        <v>0</v>
      </c>
    </row>
    <row r="784" customFormat="false" ht="15" hidden="false" customHeight="false" outlineLevel="0" collapsed="false">
      <c r="A784" s="1139"/>
      <c r="B784" s="1152" t="str">
        <f aca="false">'Смета Расходов'!B1090</f>
        <v>Уголок усиленный 90х70х55х2,5        </v>
      </c>
      <c r="C784" s="1153" t="str">
        <f aca="false">'Смета Расходов'!C1090</f>
        <v>шт</v>
      </c>
      <c r="D784" s="1152" t="n">
        <f aca="false">'Смета Расходов'!D1090</f>
        <v>6</v>
      </c>
      <c r="E784" s="1152" t="n">
        <f aca="false">'Смета Расходов'!F1090</f>
        <v>30</v>
      </c>
      <c r="F784" s="1152" t="n">
        <f aca="false">'Смета Расходов'!G1090</f>
        <v>0</v>
      </c>
    </row>
    <row r="785" customFormat="false" ht="15" hidden="false" customHeight="false" outlineLevel="0" collapsed="false">
      <c r="A785" s="1139"/>
      <c r="B785" s="1154" t="s">
        <v>2309</v>
      </c>
      <c r="C785" s="1154"/>
      <c r="D785" s="1154"/>
      <c r="E785" s="1154"/>
      <c r="F785" s="1152" t="n">
        <f aca="false">SUM(F733:F784)</f>
        <v>0</v>
      </c>
    </row>
    <row r="786" customFormat="false" ht="18.75" hidden="false" customHeight="false" outlineLevel="0" collapsed="false">
      <c r="A786" s="1139"/>
      <c r="B786" s="1150" t="str">
        <f aca="false">'Смета Расходов'!B1111</f>
        <v>Кровля двускатная</v>
      </c>
      <c r="C786" s="1150"/>
      <c r="D786" s="1150"/>
      <c r="E786" s="1150"/>
      <c r="F786" s="1155" t="n">
        <f aca="false">'Смета Внутр'!H1111</f>
        <v>1</v>
      </c>
    </row>
    <row r="787" customFormat="false" ht="15" hidden="false" customHeight="false" outlineLevel="0" collapsed="false">
      <c r="A787" s="1139"/>
      <c r="B787" s="1156" t="s">
        <v>2246</v>
      </c>
      <c r="C787" s="1156"/>
      <c r="D787" s="1156"/>
      <c r="E787" s="1156"/>
      <c r="F787" s="1155" t="n">
        <f aca="false">'Смета Внутр'!H1112</f>
        <v>1</v>
      </c>
    </row>
    <row r="788" customFormat="false" ht="15" hidden="false" customHeight="false" outlineLevel="0" collapsed="false">
      <c r="A788" s="1139"/>
      <c r="B788" s="1152" t="str">
        <f aca="false">'Смета Расходов'!B1113</f>
        <v>нет</v>
      </c>
      <c r="C788" s="1153" t="str">
        <f aca="false">'Смета Расходов'!C1113</f>
        <v>м3</v>
      </c>
      <c r="D788" s="1152" t="n">
        <f aca="false">'Смета Расходов'!D1113</f>
        <v>0</v>
      </c>
      <c r="E788" s="1152" t="n">
        <f aca="false">'Смета Расходов'!F1113</f>
        <v>0</v>
      </c>
      <c r="F788" s="1152" t="n">
        <f aca="false">'Смета Расходов'!G1113</f>
        <v>0</v>
      </c>
    </row>
    <row r="789" customFormat="false" ht="15" hidden="false" customHeight="false" outlineLevel="0" collapsed="false">
      <c r="A789" s="1139"/>
      <c r="B789" s="1152" t="str">
        <f aca="false">'Смета Расходов'!B1114</f>
        <v>Болты анкерные с гайкой 12,0 х 280          </v>
      </c>
      <c r="C789" s="1153" t="str">
        <f aca="false">'Смета Расходов'!C1114</f>
        <v>шт</v>
      </c>
      <c r="D789" s="1152" t="n">
        <f aca="false">'Смета Расходов'!D1114</f>
        <v>36.9990475974507</v>
      </c>
      <c r="E789" s="1152" t="n">
        <f aca="false">'Смета Расходов'!F1114</f>
        <v>27.1</v>
      </c>
      <c r="F789" s="1152" t="n">
        <f aca="false">'Смета Расходов'!G1114</f>
        <v>1002.67418989091</v>
      </c>
    </row>
    <row r="790" customFormat="false" ht="15" hidden="false" customHeight="false" outlineLevel="0" collapsed="false">
      <c r="A790" s="1139"/>
      <c r="B790" s="1152" t="str">
        <f aca="false">'Смета Расходов'!B1115</f>
        <v>Доска сухая, 200*50мм</v>
      </c>
      <c r="C790" s="1153" t="str">
        <f aca="false">'Смета Расходов'!C1115</f>
        <v>м3</v>
      </c>
      <c r="D790" s="1152" t="n">
        <f aca="false">'Смета Расходов'!D1115</f>
        <v>1.3582236137642</v>
      </c>
      <c r="E790" s="1152" t="n">
        <f aca="false">'Смета Расходов'!F1115</f>
        <v>9000</v>
      </c>
      <c r="F790" s="1152" t="n">
        <f aca="false">'Смета Расходов'!G1115</f>
        <v>12224.0125238778</v>
      </c>
    </row>
    <row r="791" customFormat="false" ht="15" hidden="false" customHeight="false" outlineLevel="0" collapsed="false">
      <c r="A791" s="1139"/>
      <c r="B791" s="1152" t="str">
        <f aca="false">'Смета Расходов'!B1116</f>
        <v>бугель, доска </v>
      </c>
      <c r="C791" s="1153" t="str">
        <f aca="false">'Смета Расходов'!C1116</f>
        <v>м3</v>
      </c>
      <c r="D791" s="1152" t="n">
        <f aca="false">'Смета Расходов'!D1116</f>
        <v>0.624</v>
      </c>
      <c r="E791" s="1152" t="n">
        <f aca="false">'Смета Расходов'!F1116</f>
        <v>9000</v>
      </c>
      <c r="F791" s="1152" t="n">
        <f aca="false">'Смета Расходов'!G1116</f>
        <v>5616</v>
      </c>
    </row>
    <row r="792" customFormat="false" ht="15" hidden="false" customHeight="false" outlineLevel="0" collapsed="false">
      <c r="A792" s="1139"/>
      <c r="B792" s="1152" t="str">
        <f aca="false">'Смета Расходов'!B1117</f>
        <v>стойка под конек</v>
      </c>
      <c r="C792" s="1153" t="str">
        <f aca="false">'Смета Расходов'!C1117</f>
        <v>м3</v>
      </c>
      <c r="D792" s="1152" t="n">
        <f aca="false">'Смета Расходов'!D1117</f>
        <v>0.75</v>
      </c>
      <c r="E792" s="1152" t="n">
        <f aca="false">'Смета Расходов'!F1117</f>
        <v>9000</v>
      </c>
      <c r="F792" s="1152" t="n">
        <f aca="false">'Смета Расходов'!G1117</f>
        <v>6750</v>
      </c>
    </row>
    <row r="793" customFormat="false" ht="15" hidden="false" customHeight="false" outlineLevel="0" collapsed="false">
      <c r="A793" s="1139"/>
      <c r="B793" s="1152" t="str">
        <f aca="false">'Смета Расходов'!B1118</f>
        <v>Сосна влаж,100*25мм</v>
      </c>
      <c r="C793" s="1153" t="str">
        <f aca="false">'Смета Расходов'!C1118</f>
        <v>м3</v>
      </c>
      <c r="D793" s="1152" t="n">
        <f aca="false">'Смета Расходов'!D1118</f>
        <v>1.05780913567754</v>
      </c>
      <c r="E793" s="1152" t="n">
        <f aca="false">'Смета Расходов'!F1118</f>
        <v>6500</v>
      </c>
      <c r="F793" s="1152" t="n">
        <f aca="false">'Смета Расходов'!G1118</f>
        <v>6875.75938190401</v>
      </c>
    </row>
    <row r="794" customFormat="false" ht="15" hidden="false" customHeight="false" outlineLevel="0" collapsed="false">
      <c r="A794" s="1139"/>
      <c r="B794" s="1152" t="str">
        <f aca="false">'Смета Расходов'!B1119</f>
        <v>Сосна влаж, 50*50мм</v>
      </c>
      <c r="C794" s="1153" t="str">
        <f aca="false">'Смета Расходов'!C1119</f>
        <v>шт</v>
      </c>
      <c r="D794" s="1152" t="n">
        <f aca="false">'Смета Расходов'!D1119</f>
        <v>0.470137393634462</v>
      </c>
      <c r="E794" s="1152" t="n">
        <f aca="false">'Смета Расходов'!F1119</f>
        <v>6500</v>
      </c>
      <c r="F794" s="1152" t="n">
        <f aca="false">'Смета Расходов'!G1119</f>
        <v>3055.893058624</v>
      </c>
    </row>
    <row r="795" customFormat="false" ht="15" hidden="false" customHeight="false" outlineLevel="0" collapsed="false">
      <c r="A795" s="1139"/>
      <c r="B795" s="1152" t="str">
        <f aca="false">'Смета Расходов'!B1120</f>
        <v>Нет</v>
      </c>
      <c r="C795" s="1153" t="str">
        <f aca="false">'Смета Расходов'!C1120</f>
        <v>м.п.</v>
      </c>
      <c r="D795" s="1152" t="n">
        <f aca="false">'Смета Расходов'!D1120</f>
        <v>0</v>
      </c>
      <c r="E795" s="1152" t="n">
        <f aca="false">'Смета Расходов'!F1120</f>
        <v>0</v>
      </c>
      <c r="F795" s="1152" t="n">
        <f aca="false">'Смета Расходов'!G1120</f>
        <v>0</v>
      </c>
    </row>
    <row r="796" customFormat="false" ht="15" hidden="false" customHeight="false" outlineLevel="0" collapsed="false">
      <c r="A796" s="1139"/>
      <c r="B796" s="1152" t="str">
        <f aca="false">'Смета Расходов'!B1121</f>
        <v>Гидрокомпенсатор</v>
      </c>
      <c r="C796" s="1153" t="str">
        <f aca="false">'Смета Расходов'!C1121</f>
        <v>шт.</v>
      </c>
      <c r="D796" s="1152" t="n">
        <f aca="false">'Смета Расходов'!D1121</f>
        <v>0</v>
      </c>
      <c r="E796" s="1152" t="n">
        <f aca="false">'Смета Расходов'!F1121</f>
        <v>450</v>
      </c>
      <c r="F796" s="1152" t="n">
        <f aca="false">'Смета Расходов'!G1121</f>
        <v>0</v>
      </c>
    </row>
    <row r="797" customFormat="false" ht="15" hidden="false" customHeight="false" outlineLevel="0" collapsed="false">
      <c r="A797" s="1139"/>
      <c r="B797" s="1152" t="str">
        <f aca="false">'Смета Расходов'!B1122</f>
        <v>Универсальная Optima C</v>
      </c>
      <c r="C797" s="1153" t="str">
        <f aca="false">'Смета Расходов'!C1122</f>
        <v>м2</v>
      </c>
      <c r="D797" s="1152" t="n">
        <f aca="false">'Смета Расходов'!D1122</f>
        <v>126.937096281305</v>
      </c>
      <c r="E797" s="1152" t="n">
        <f aca="false">'Смета Расходов'!F1122</f>
        <v>19</v>
      </c>
      <c r="F797" s="1152" t="n">
        <f aca="false">'Смета Расходов'!G1122</f>
        <v>2411.80482934479</v>
      </c>
    </row>
    <row r="798" customFormat="false" ht="15" hidden="false" customHeight="false" outlineLevel="0" collapsed="false">
      <c r="A798" s="1139"/>
      <c r="B798" s="1152" t="str">
        <f aca="false">'Смета Расходов'!B1123</f>
        <v>Универсальная Optima C</v>
      </c>
      <c r="C798" s="1153" t="str">
        <f aca="false">'Смета Расходов'!C1123</f>
        <v>м2</v>
      </c>
      <c r="D798" s="1152" t="n">
        <f aca="false">'Смета Расходов'!D1123</f>
        <v>116.359004924529</v>
      </c>
      <c r="E798" s="1152" t="n">
        <f aca="false">'Смета Расходов'!F1123</f>
        <v>20</v>
      </c>
      <c r="F798" s="1152" t="n">
        <f aca="false">'Смета Расходов'!G1123</f>
        <v>2327.18009849059</v>
      </c>
    </row>
    <row r="799" customFormat="false" ht="15" hidden="false" customHeight="false" outlineLevel="0" collapsed="false">
      <c r="A799" s="1139"/>
      <c r="B799" s="1152" t="str">
        <f aca="false">'Смета Расходов'!B1124</f>
        <v>Плитный,28кг/м3, технониколь, 100мм</v>
      </c>
      <c r="C799" s="1153" t="str">
        <f aca="false">'Смета Расходов'!C1124</f>
        <v>м3</v>
      </c>
      <c r="D799" s="1152" t="n">
        <f aca="false">'Смета Расходов'!D1124</f>
        <v>8.60274787268924</v>
      </c>
      <c r="E799" s="1152" t="n">
        <f aca="false">'Смета Расходов'!F1124</f>
        <v>1700</v>
      </c>
      <c r="F799" s="1152" t="n">
        <f aca="false">'Смета Расходов'!G1124</f>
        <v>14624.6713835717</v>
      </c>
    </row>
    <row r="800" customFormat="false" ht="15" hidden="false" customHeight="false" outlineLevel="0" collapsed="false">
      <c r="A800" s="1139"/>
      <c r="B800" s="1152" t="str">
        <f aca="false">'Смета Расходов'!B1125</f>
        <v>Металлочерепица</v>
      </c>
      <c r="C800" s="1153" t="str">
        <f aca="false">'Смета Расходов'!C1125</f>
        <v>м2</v>
      </c>
      <c r="D800" s="1152" t="n">
        <f aca="false">'Смета Расходов'!D1125</f>
        <v>105.780913567754</v>
      </c>
      <c r="E800" s="1152" t="n">
        <f aca="false">'Смета Расходов'!F1125</f>
        <v>250</v>
      </c>
      <c r="F800" s="1152" t="n">
        <f aca="false">'Смета Расходов'!G1125</f>
        <v>26445.2283919385</v>
      </c>
    </row>
    <row r="801" customFormat="false" ht="15" hidden="false" customHeight="false" outlineLevel="0" collapsed="false">
      <c r="A801" s="1139"/>
      <c r="B801" s="1152" t="str">
        <f aca="false">'Смета Расходов'!B1126</f>
        <v>Карнизная планка</v>
      </c>
      <c r="C801" s="1153" t="str">
        <f aca="false">'Смета Расходов'!C1126</f>
        <v>м.п.</v>
      </c>
      <c r="D801" s="1152" t="n">
        <f aca="false">'Смета Расходов'!D1126</f>
        <v>18</v>
      </c>
      <c r="E801" s="1152" t="n">
        <f aca="false">'Смета Расходов'!F1126</f>
        <v>190</v>
      </c>
      <c r="F801" s="1152" t="n">
        <f aca="false">'Смета Расходов'!G1126</f>
        <v>3420</v>
      </c>
    </row>
    <row r="802" customFormat="false" ht="15" hidden="false" customHeight="false" outlineLevel="0" collapsed="false">
      <c r="A802" s="1139"/>
      <c r="B802" s="1152" t="str">
        <f aca="false">'Смета Расходов'!B1127</f>
        <v>Торцевая планка</v>
      </c>
      <c r="C802" s="1153" t="str">
        <f aca="false">'Смета Расходов'!C1127</f>
        <v>м.п.</v>
      </c>
      <c r="D802" s="1152" t="n">
        <f aca="false">'Смета Расходов'!D1127</f>
        <v>23.5068696817231</v>
      </c>
      <c r="E802" s="1152" t="n">
        <f aca="false">'Смета Расходов'!F1127</f>
        <v>190</v>
      </c>
      <c r="F802" s="1152" t="n">
        <f aca="false">'Смета Расходов'!G1127</f>
        <v>4466.30523952739</v>
      </c>
    </row>
    <row r="803" customFormat="false" ht="15" hidden="false" customHeight="false" outlineLevel="0" collapsed="false">
      <c r="A803" s="1139"/>
      <c r="B803" s="1152" t="str">
        <f aca="false">'Смета Расходов'!B1128</f>
        <v>Конек</v>
      </c>
      <c r="C803" s="1153" t="str">
        <f aca="false">'Смета Расходов'!C1128</f>
        <v>м.п.</v>
      </c>
      <c r="D803" s="1152" t="n">
        <f aca="false">'Смета Расходов'!D1128</f>
        <v>9</v>
      </c>
      <c r="E803" s="1152" t="n">
        <f aca="false">'Смета Расходов'!F1128</f>
        <v>200</v>
      </c>
      <c r="F803" s="1152" t="n">
        <f aca="false">'Смета Расходов'!G1128</f>
        <v>1800</v>
      </c>
    </row>
    <row r="804" customFormat="false" ht="15" hidden="false" customHeight="false" outlineLevel="0" collapsed="false">
      <c r="A804" s="1139"/>
      <c r="B804" s="1152" t="str">
        <f aca="false">'Смета Расходов'!B1129</f>
        <v>ондулин</v>
      </c>
      <c r="C804" s="1153" t="str">
        <f aca="false">'Смета Расходов'!C1129</f>
        <v>м2</v>
      </c>
      <c r="D804" s="1152" t="n">
        <f aca="false">'Смета Расходов'!D1129</f>
        <v>0</v>
      </c>
      <c r="E804" s="1152" t="n">
        <f aca="false">'Смета Расходов'!F1129</f>
        <v>180</v>
      </c>
      <c r="F804" s="1152" t="n">
        <f aca="false">'Смета Расходов'!G1129</f>
        <v>0</v>
      </c>
    </row>
    <row r="805" customFormat="false" ht="15" hidden="false" customHeight="false" outlineLevel="0" collapsed="false">
      <c r="A805" s="1139"/>
      <c r="B805" s="1152" t="str">
        <f aca="false">'Смета Расходов'!B1130</f>
        <v>Карнизная планка</v>
      </c>
      <c r="C805" s="1153" t="str">
        <f aca="false">'Смета Расходов'!C1130</f>
        <v>м.п.</v>
      </c>
      <c r="D805" s="1152" t="n">
        <f aca="false">'Смета Расходов'!D1130</f>
        <v>0</v>
      </c>
      <c r="E805" s="1152" t="n">
        <f aca="false">'Смета Расходов'!F1130</f>
        <v>190</v>
      </c>
      <c r="F805" s="1152" t="n">
        <f aca="false">'Смета Расходов'!G1130</f>
        <v>0</v>
      </c>
    </row>
    <row r="806" customFormat="false" ht="15" hidden="false" customHeight="false" outlineLevel="0" collapsed="false">
      <c r="A806" s="1139"/>
      <c r="B806" s="1152" t="str">
        <f aca="false">'Смета Расходов'!B1131</f>
        <v>Торцевая планка</v>
      </c>
      <c r="C806" s="1153" t="str">
        <f aca="false">'Смета Расходов'!C1131</f>
        <v>м.п.</v>
      </c>
      <c r="D806" s="1152" t="n">
        <f aca="false">'Смета Расходов'!D1131</f>
        <v>0</v>
      </c>
      <c r="E806" s="1152" t="n">
        <f aca="false">'Смета Расходов'!F1131</f>
        <v>190</v>
      </c>
      <c r="F806" s="1152" t="n">
        <f aca="false">'Смета Расходов'!G1131</f>
        <v>0</v>
      </c>
    </row>
    <row r="807" customFormat="false" ht="15" hidden="false" customHeight="false" outlineLevel="0" collapsed="false">
      <c r="A807" s="1139"/>
      <c r="B807" s="1152" t="str">
        <f aca="false">'Смета Расходов'!B1132</f>
        <v>Конек</v>
      </c>
      <c r="C807" s="1153" t="str">
        <f aca="false">'Смета Расходов'!C1132</f>
        <v>м.п</v>
      </c>
      <c r="D807" s="1152" t="n">
        <f aca="false">'Смета Расходов'!D1132</f>
        <v>0</v>
      </c>
      <c r="E807" s="1152" t="n">
        <f aca="false">'Смета Расходов'!F1132</f>
        <v>200</v>
      </c>
      <c r="F807" s="1152" t="n">
        <f aca="false">'Смета Расходов'!G1132</f>
        <v>0</v>
      </c>
    </row>
    <row r="808" customFormat="false" ht="15" hidden="false" customHeight="false" outlineLevel="0" collapsed="false">
      <c r="A808" s="1139"/>
      <c r="B808" s="1152" t="str">
        <f aca="false">'Смета Расходов'!B1133</f>
        <v>Ендова нижняя</v>
      </c>
      <c r="C808" s="1153" t="str">
        <f aca="false">'Смета Расходов'!C1133</f>
        <v>м.п.</v>
      </c>
      <c r="D808" s="1152" t="n">
        <f aca="false">'Смета Расходов'!D1133</f>
        <v>0</v>
      </c>
      <c r="E808" s="1152" t="n">
        <f aca="false">'Смета Расходов'!F1133</f>
        <v>160</v>
      </c>
      <c r="F808" s="1152" t="n">
        <f aca="false">'Смета Расходов'!G1133</f>
        <v>0</v>
      </c>
    </row>
    <row r="809" customFormat="false" ht="15" hidden="false" customHeight="false" outlineLevel="0" collapsed="false">
      <c r="A809" s="1139"/>
      <c r="B809" s="1152" t="str">
        <f aca="false">'Смета Расходов'!B1134</f>
        <v>Ендова верхняя</v>
      </c>
      <c r="C809" s="1153" t="str">
        <f aca="false">'Смета Расходов'!C1134</f>
        <v>м.п.</v>
      </c>
      <c r="D809" s="1152" t="n">
        <f aca="false">'Смета Расходов'!D1134</f>
        <v>0</v>
      </c>
      <c r="E809" s="1152" t="n">
        <f aca="false">'Смета Расходов'!F1134</f>
        <v>190</v>
      </c>
      <c r="F809" s="1152" t="n">
        <f aca="false">'Смета Расходов'!G1134</f>
        <v>0</v>
      </c>
    </row>
    <row r="810" customFormat="false" ht="15" hidden="false" customHeight="false" outlineLevel="0" collapsed="false">
      <c r="A810" s="1139"/>
      <c r="B810" s="1152" t="str">
        <f aca="false">'Смета Расходов'!B1135</f>
        <v>Планка примыкания</v>
      </c>
      <c r="C810" s="1153" t="str">
        <f aca="false">'Смета Расходов'!C1135</f>
        <v>м.п.</v>
      </c>
      <c r="D810" s="1152" t="n">
        <f aca="false">'Смета Расходов'!D1135</f>
        <v>0</v>
      </c>
      <c r="E810" s="1152" t="n">
        <f aca="false">'Смета Расходов'!F1135</f>
        <v>190</v>
      </c>
      <c r="F810" s="1152" t="n">
        <f aca="false">'Смета Расходов'!G1135</f>
        <v>0</v>
      </c>
    </row>
    <row r="811" customFormat="false" ht="15" hidden="false" customHeight="false" outlineLevel="0" collapsed="false">
      <c r="A811" s="1139"/>
      <c r="B811" s="1152" t="str">
        <f aca="false">'Смета Расходов'!B1136</f>
        <v>Крепеж для ондулина</v>
      </c>
      <c r="C811" s="1153" t="str">
        <f aca="false">'Смета Расходов'!C1136</f>
        <v>шт</v>
      </c>
      <c r="D811" s="1152" t="n">
        <f aca="false">'Смета Расходов'!D1136</f>
        <v>0</v>
      </c>
      <c r="E811" s="1152" t="n">
        <f aca="false">'Смета Расходов'!F1136</f>
        <v>4.5</v>
      </c>
      <c r="F811" s="1152" t="n">
        <f aca="false">'Смета Расходов'!G1136</f>
        <v>0</v>
      </c>
    </row>
    <row r="812" customFormat="false" ht="15" hidden="false" customHeight="false" outlineLevel="0" collapsed="false">
      <c r="A812" s="1139"/>
      <c r="B812" s="1152" t="str">
        <f aca="false">'Смета Расходов'!B1137</f>
        <v>нет</v>
      </c>
      <c r="C812" s="1153" t="str">
        <f aca="false">'Смета Расходов'!C1137</f>
        <v>м2</v>
      </c>
      <c r="D812" s="1152" t="n">
        <f aca="false">'Смета Расходов'!D1137</f>
        <v>116.359004924529</v>
      </c>
      <c r="E812" s="1152" t="n">
        <f aca="false">'Смета Расходов'!F1137</f>
        <v>0</v>
      </c>
      <c r="F812" s="1152" t="n">
        <f aca="false">'Смета Расходов'!G1137</f>
        <v>0</v>
      </c>
    </row>
    <row r="813" customFormat="false" ht="15" hidden="false" customHeight="false" outlineLevel="0" collapsed="false">
      <c r="A813" s="1139"/>
      <c r="B813" s="1152" t="str">
        <f aca="false">'Смета Расходов'!B1138</f>
        <v>Рядовая черепица</v>
      </c>
      <c r="C813" s="1153" t="str">
        <f aca="false">'Смета Расходов'!C1138</f>
        <v>м2</v>
      </c>
      <c r="D813" s="1152" t="n">
        <f aca="false">'Смета Расходов'!D1138</f>
        <v>0</v>
      </c>
      <c r="E813" s="1152" t="n">
        <f aca="false">'Смета Расходов'!F1138</f>
        <v>360</v>
      </c>
      <c r="F813" s="1152" t="n">
        <f aca="false">'Смета Расходов'!G1138</f>
        <v>0</v>
      </c>
    </row>
    <row r="814" customFormat="false" ht="15" hidden="false" customHeight="false" outlineLevel="0" collapsed="false">
      <c r="A814" s="1139"/>
      <c r="B814" s="1152" t="str">
        <f aca="false">'Смета Расходов'!B1139</f>
        <v>Металл оцинк защита (карниз)</v>
      </c>
      <c r="C814" s="1153" t="str">
        <f aca="false">'Смета Расходов'!C1139</f>
        <v>м.п.</v>
      </c>
      <c r="D814" s="1152" t="n">
        <f aca="false">'Смета Расходов'!D1139</f>
        <v>0</v>
      </c>
      <c r="E814" s="1152" t="n">
        <f aca="false">'Смета Расходов'!F1139</f>
        <v>200</v>
      </c>
      <c r="F814" s="1152" t="n">
        <f aca="false">'Смета Расходов'!G1139</f>
        <v>0</v>
      </c>
    </row>
    <row r="815" customFormat="false" ht="15" hidden="false" customHeight="false" outlineLevel="0" collapsed="false">
      <c r="A815" s="1139"/>
      <c r="B815" s="1152" t="str">
        <f aca="false">'Смета Расходов'!B1140</f>
        <v>Подкладочный ковер</v>
      </c>
      <c r="C815" s="1153" t="str">
        <f aca="false">'Смета Расходов'!C1140</f>
        <v>м.п.</v>
      </c>
      <c r="D815" s="1152" t="n">
        <f aca="false">'Смета Расходов'!D1140</f>
        <v>0</v>
      </c>
      <c r="E815" s="1152" t="n">
        <f aca="false">'Смета Расходов'!F1140</f>
        <v>220</v>
      </c>
      <c r="F815" s="1152" t="n">
        <f aca="false">'Смета Расходов'!G1140</f>
        <v>0</v>
      </c>
    </row>
    <row r="816" customFormat="false" ht="15" hidden="false" customHeight="false" outlineLevel="0" collapsed="false">
      <c r="A816" s="1139"/>
      <c r="B816" s="1152" t="str">
        <f aca="false">'Смета Расходов'!B1141</f>
        <v>Карнизная самоклеющаяся черепица</v>
      </c>
      <c r="C816" s="1153" t="str">
        <f aca="false">'Смета Расходов'!C1141</f>
        <v>м.п.</v>
      </c>
      <c r="D816" s="1152" t="n">
        <f aca="false">'Смета Расходов'!D1141</f>
        <v>0</v>
      </c>
      <c r="E816" s="1152" t="n">
        <f aca="false">'Смета Расходов'!F1141</f>
        <v>220</v>
      </c>
      <c r="F816" s="1152" t="n">
        <f aca="false">'Смета Расходов'!G1141</f>
        <v>0</v>
      </c>
    </row>
    <row r="817" customFormat="false" ht="15" hidden="false" customHeight="false" outlineLevel="0" collapsed="false">
      <c r="A817" s="1139"/>
      <c r="B817" s="1152" t="str">
        <f aca="false">'Смета Расходов'!B1142</f>
        <v>Спец ковер ендова нижняя</v>
      </c>
      <c r="C817" s="1153" t="str">
        <f aca="false">'Смета Расходов'!C1142</f>
        <v>м.п.</v>
      </c>
      <c r="D817" s="1152" t="n">
        <f aca="false">'Смета Расходов'!D1142</f>
        <v>0</v>
      </c>
      <c r="E817" s="1152" t="n">
        <f aca="false">'Смета Расходов'!F1142</f>
        <v>200</v>
      </c>
      <c r="F817" s="1152" t="n">
        <f aca="false">'Смета Расходов'!G1142</f>
        <v>0</v>
      </c>
    </row>
    <row r="818" customFormat="false" ht="15" hidden="false" customHeight="false" outlineLevel="0" collapsed="false">
      <c r="A818" s="1139"/>
      <c r="B818" s="1152" t="str">
        <f aca="false">'Смета Расходов'!B1143</f>
        <v>Коньковой элемент</v>
      </c>
      <c r="C818" s="1153" t="str">
        <f aca="false">'Смета Расходов'!C1143</f>
        <v>м.п.</v>
      </c>
      <c r="D818" s="1152" t="n">
        <f aca="false">'Смета Расходов'!D1143</f>
        <v>0</v>
      </c>
      <c r="E818" s="1152" t="n">
        <f aca="false">'Смета Расходов'!F1143</f>
        <v>250</v>
      </c>
      <c r="F818" s="1152" t="n">
        <f aca="false">'Смета Расходов'!G1143</f>
        <v>0</v>
      </c>
    </row>
    <row r="819" customFormat="false" ht="15" hidden="false" customHeight="false" outlineLevel="0" collapsed="false">
      <c r="A819" s="1139"/>
      <c r="B819" s="1152" t="str">
        <f aca="false">'Смета Расходов'!B1144</f>
        <v>Планка премыкания</v>
      </c>
      <c r="C819" s="1153" t="str">
        <f aca="false">'Смета Расходов'!C1144</f>
        <v>м.п.</v>
      </c>
      <c r="D819" s="1152" t="n">
        <f aca="false">'Смета Расходов'!D1144</f>
        <v>0</v>
      </c>
      <c r="E819" s="1152" t="n">
        <f aca="false">'Смета Расходов'!F1144</f>
        <v>200</v>
      </c>
      <c r="F819" s="1152" t="n">
        <f aca="false">'Смета Расходов'!G1144</f>
        <v>0</v>
      </c>
    </row>
    <row r="820" customFormat="false" ht="15" hidden="false" customHeight="false" outlineLevel="0" collapsed="false">
      <c r="A820" s="1139"/>
      <c r="B820" s="1152" t="str">
        <f aca="false">'Смета Расходов'!B1145</f>
        <v>Гвозди для крепления подкладочного ковра</v>
      </c>
      <c r="C820" s="1153" t="str">
        <f aca="false">'Смета Расходов'!C1145</f>
        <v>шт</v>
      </c>
      <c r="D820" s="1152" t="n">
        <f aca="false">'Смета Расходов'!D1145</f>
        <v>0</v>
      </c>
      <c r="E820" s="1152" t="n">
        <f aca="false">'Смета Расходов'!F1145</f>
        <v>0.012</v>
      </c>
      <c r="F820" s="1152" t="n">
        <f aca="false">'Смета Расходов'!G1145</f>
        <v>0</v>
      </c>
    </row>
    <row r="821" customFormat="false" ht="15" hidden="false" customHeight="false" outlineLevel="0" collapsed="false">
      <c r="A821" s="1139"/>
      <c r="B821" s="1152" t="str">
        <f aca="false">'Смета Расходов'!B1146</f>
        <v>Гвозди для крепления черепицы</v>
      </c>
      <c r="C821" s="1153" t="str">
        <f aca="false">'Смета Расходов'!C1146</f>
        <v>шт</v>
      </c>
      <c r="D821" s="1152" t="n">
        <f aca="false">'Смета Расходов'!D1146</f>
        <v>0</v>
      </c>
      <c r="E821" s="1152" t="n">
        <f aca="false">'Смета Расходов'!F1146</f>
        <v>0.25</v>
      </c>
      <c r="F821" s="1152" t="n">
        <f aca="false">'Смета Расходов'!G1146</f>
        <v>0</v>
      </c>
    </row>
    <row r="822" customFormat="false" ht="15" hidden="false" customHeight="false" outlineLevel="0" collapsed="false">
      <c r="A822" s="1139"/>
      <c r="B822" s="1152" t="str">
        <f aca="false">'Смета Расходов'!B1147</f>
        <v>Клей для монтажа черепицы</v>
      </c>
      <c r="C822" s="1153" t="str">
        <f aca="false">'Смета Расходов'!C1147</f>
        <v>кг</v>
      </c>
      <c r="D822" s="1152" t="n">
        <f aca="false">'Смета Расходов'!D1147</f>
        <v>0</v>
      </c>
      <c r="E822" s="1152" t="n">
        <f aca="false">'Смета Расходов'!F1147</f>
        <v>250</v>
      </c>
      <c r="F822" s="1152" t="n">
        <f aca="false">'Смета Расходов'!G1147</f>
        <v>0</v>
      </c>
    </row>
    <row r="823" customFormat="false" ht="15" hidden="false" customHeight="false" outlineLevel="0" collapsed="false">
      <c r="A823" s="1139"/>
      <c r="B823" s="1152" t="str">
        <f aca="false">'Смета Расходов'!B1148</f>
        <v>желоб</v>
      </c>
      <c r="C823" s="1153" t="str">
        <f aca="false">'Смета Расходов'!C1148</f>
        <v>м.п</v>
      </c>
      <c r="D823" s="1152" t="n">
        <f aca="false">'Смета Расходов'!D1148</f>
        <v>18</v>
      </c>
      <c r="E823" s="1152" t="n">
        <f aca="false">'Смета Расходов'!F1148</f>
        <v>300</v>
      </c>
      <c r="F823" s="1152" t="n">
        <f aca="false">'Смета Расходов'!G1148</f>
        <v>5400</v>
      </c>
    </row>
    <row r="824" customFormat="false" ht="15" hidden="false" customHeight="false" outlineLevel="0" collapsed="false">
      <c r="A824" s="1139"/>
      <c r="B824" s="1152" t="str">
        <f aca="false">'Смета Расходов'!B1149</f>
        <v>отвод</v>
      </c>
      <c r="C824" s="1153" t="str">
        <f aca="false">'Смета Расходов'!C1149</f>
        <v>шт</v>
      </c>
      <c r="D824" s="1152" t="n">
        <f aca="false">'Смета Расходов'!D1149</f>
        <v>4</v>
      </c>
      <c r="E824" s="1152" t="n">
        <f aca="false">'Смета Расходов'!F1149</f>
        <v>250</v>
      </c>
      <c r="F824" s="1152" t="n">
        <f aca="false">'Смета Расходов'!G1149</f>
        <v>1000</v>
      </c>
    </row>
    <row r="825" customFormat="false" ht="15" hidden="false" customHeight="false" outlineLevel="0" collapsed="false">
      <c r="A825" s="1139"/>
      <c r="B825" s="1152" t="str">
        <f aca="false">'Смета Расходов'!B1150</f>
        <v>труба водосточная</v>
      </c>
      <c r="C825" s="1153" t="str">
        <f aca="false">'Смета Расходов'!C1150</f>
        <v>м.п.</v>
      </c>
      <c r="D825" s="1152" t="n">
        <f aca="false">'Смета Расходов'!D1150</f>
        <v>10.8</v>
      </c>
      <c r="E825" s="1152" t="n">
        <f aca="false">'Смета Расходов'!F1150</f>
        <v>300</v>
      </c>
      <c r="F825" s="1152" t="n">
        <f aca="false">'Смета Расходов'!G1150</f>
        <v>3240</v>
      </c>
    </row>
    <row r="826" customFormat="false" ht="15" hidden="false" customHeight="false" outlineLevel="0" collapsed="false">
      <c r="A826" s="1139"/>
      <c r="B826" s="1152" t="str">
        <f aca="false">'Смета Расходов'!B1151</f>
        <v>заглушка для желоба</v>
      </c>
      <c r="C826" s="1153" t="str">
        <f aca="false">'Смета Расходов'!C1151</f>
        <v>шт</v>
      </c>
      <c r="D826" s="1152" t="n">
        <f aca="false">'Смета Расходов'!D1151</f>
        <v>4</v>
      </c>
      <c r="E826" s="1152" t="n">
        <f aca="false">'Смета Расходов'!F1151</f>
        <v>190</v>
      </c>
      <c r="F826" s="1152" t="n">
        <f aca="false">'Смета Расходов'!G1151</f>
        <v>760</v>
      </c>
    </row>
    <row r="827" customFormat="false" ht="15" hidden="false" customHeight="false" outlineLevel="0" collapsed="false">
      <c r="A827" s="1139"/>
      <c r="B827" s="1152" t="str">
        <f aca="false">'Смета Расходов'!B1152</f>
        <v>соеденитель для желоба</v>
      </c>
      <c r="C827" s="1153" t="str">
        <f aca="false">'Смета Расходов'!C1152</f>
        <v>шт</v>
      </c>
      <c r="D827" s="1152" t="n">
        <f aca="false">'Смета Расходов'!D1152</f>
        <v>9</v>
      </c>
      <c r="E827" s="1152" t="n">
        <f aca="false">'Смета Расходов'!F1152</f>
        <v>180</v>
      </c>
      <c r="F827" s="1152" t="n">
        <f aca="false">'Смета Расходов'!G1152</f>
        <v>1620</v>
      </c>
    </row>
    <row r="828" customFormat="false" ht="15" hidden="false" customHeight="false" outlineLevel="0" collapsed="false">
      <c r="A828" s="1139"/>
      <c r="B828" s="1152" t="str">
        <f aca="false">'Смета Расходов'!B1153</f>
        <v>кронштейн для желоба</v>
      </c>
      <c r="C828" s="1153" t="str">
        <f aca="false">'Смета Расходов'!C1153</f>
        <v>шт</v>
      </c>
      <c r="D828" s="1152" t="n">
        <f aca="false">'Смета Расходов'!D1153</f>
        <v>36</v>
      </c>
      <c r="E828" s="1152" t="n">
        <f aca="false">'Смета Расходов'!F1153</f>
        <v>130</v>
      </c>
      <c r="F828" s="1152" t="n">
        <f aca="false">'Смета Расходов'!G1153</f>
        <v>4680</v>
      </c>
    </row>
    <row r="829" customFormat="false" ht="15" hidden="false" customHeight="false" outlineLevel="0" collapsed="false">
      <c r="A829" s="1139"/>
      <c r="B829" s="1152" t="str">
        <f aca="false">'Смета Расходов'!B1154</f>
        <v>переход из желоба в трубу</v>
      </c>
      <c r="C829" s="1153" t="str">
        <f aca="false">'Смета Расходов'!C1154</f>
        <v>шт</v>
      </c>
      <c r="D829" s="1152" t="n">
        <f aca="false">'Смета Расходов'!D1154</f>
        <v>2</v>
      </c>
      <c r="E829" s="1152" t="n">
        <f aca="false">'Смета Расходов'!F1154</f>
        <v>350</v>
      </c>
      <c r="F829" s="1152" t="n">
        <f aca="false">'Смета Расходов'!G1154</f>
        <v>700</v>
      </c>
    </row>
    <row r="830" customFormat="false" ht="15" hidden="false" customHeight="false" outlineLevel="0" collapsed="false">
      <c r="A830" s="1139"/>
      <c r="B830" s="1152" t="str">
        <f aca="false">'Смета Расходов'!B1155</f>
        <v>лента дельта мульти бэнд</v>
      </c>
      <c r="C830" s="1153" t="str">
        <f aca="false">'Смета Расходов'!C1155</f>
        <v>шт</v>
      </c>
      <c r="D830" s="1152" t="n">
        <f aca="false">'Смета Расходов'!D1155</f>
        <v>9</v>
      </c>
      <c r="E830" s="1152" t="n">
        <f aca="false">'Смета Расходов'!F1155</f>
        <v>1200</v>
      </c>
      <c r="F830" s="1152" t="n">
        <f aca="false">'Смета Расходов'!G1155</f>
        <v>10800</v>
      </c>
    </row>
    <row r="831" customFormat="false" ht="15" hidden="false" customHeight="false" outlineLevel="0" collapsed="false">
      <c r="A831" s="1139"/>
      <c r="B831" s="1152" t="str">
        <f aca="false">'Смета Расходов'!B1156</f>
        <v>лента дельта sb-60</v>
      </c>
      <c r="C831" s="1153" t="str">
        <f aca="false">'Смета Расходов'!C1156</f>
        <v>шт</v>
      </c>
      <c r="D831" s="1152" t="n">
        <f aca="false">'Смета Расходов'!D1156</f>
        <v>5</v>
      </c>
      <c r="E831" s="1152" t="n">
        <f aca="false">'Смета Расходов'!F1156</f>
        <v>1100</v>
      </c>
      <c r="F831" s="1152" t="n">
        <f aca="false">'Смета Расходов'!G1156</f>
        <v>5500</v>
      </c>
    </row>
    <row r="832" customFormat="false" ht="15" hidden="false" customHeight="false" outlineLevel="0" collapsed="false">
      <c r="A832" s="1139"/>
      <c r="B832" s="1152" t="str">
        <f aca="false">'Смета Расходов'!B1157</f>
        <v>проходка кровельная, канализационная</v>
      </c>
      <c r="C832" s="1153" t="str">
        <f aca="false">'Смета Расходов'!C1157</f>
        <v>шт</v>
      </c>
      <c r="D832" s="1152" t="n">
        <f aca="false">'Смета Расходов'!D1157</f>
        <v>0</v>
      </c>
      <c r="E832" s="1152" t="n">
        <f aca="false">'Смета Расходов'!F1157</f>
        <v>3500</v>
      </c>
      <c r="F832" s="1152" t="n">
        <f aca="false">'Смета Расходов'!G1157</f>
        <v>0</v>
      </c>
    </row>
    <row r="833" customFormat="false" ht="15" hidden="false" customHeight="false" outlineLevel="0" collapsed="false">
      <c r="A833" s="1139"/>
      <c r="B833" s="1152" t="str">
        <f aca="false">'Смета Расходов'!B1158</f>
        <v>проходка кровельная, вентиляционная</v>
      </c>
      <c r="C833" s="1153" t="str">
        <f aca="false">'Смета Расходов'!C1158</f>
        <v>шт</v>
      </c>
      <c r="D833" s="1152" t="n">
        <f aca="false">'Смета Расходов'!D1158</f>
        <v>0</v>
      </c>
      <c r="E833" s="1152" t="n">
        <f aca="false">'Смета Расходов'!F1158</f>
        <v>3500</v>
      </c>
      <c r="F833" s="1152" t="n">
        <f aca="false">'Смета Расходов'!G1158</f>
        <v>0</v>
      </c>
    </row>
    <row r="834" customFormat="false" ht="15" hidden="false" customHeight="false" outlineLevel="0" collapsed="false">
      <c r="A834" s="1139"/>
      <c r="B834" s="1152" t="str">
        <f aca="false">'Смета Расходов'!B1159</f>
        <v>проодка кровельная, труба котел</v>
      </c>
      <c r="C834" s="1153" t="str">
        <f aca="false">'Смета Расходов'!C1159</f>
        <v>шт</v>
      </c>
      <c r="D834" s="1152" t="n">
        <f aca="false">'Смета Расходов'!D1159</f>
        <v>0</v>
      </c>
      <c r="E834" s="1152" t="n">
        <f aca="false">'Смета Расходов'!F1159</f>
        <v>4500</v>
      </c>
      <c r="F834" s="1152" t="n">
        <f aca="false">'Смета Расходов'!G1159</f>
        <v>0</v>
      </c>
    </row>
    <row r="835" customFormat="false" ht="15" hidden="false" customHeight="false" outlineLevel="0" collapsed="false">
      <c r="A835" s="1139"/>
      <c r="B835" s="1152" t="str">
        <f aca="false">'Смета Расходов'!B1160</f>
        <v>Кровельный саморез</v>
      </c>
      <c r="C835" s="1153" t="str">
        <f aca="false">'Смета Расходов'!C1160</f>
        <v>шт</v>
      </c>
      <c r="D835" s="1152" t="n">
        <f aca="false">'Смета Расходов'!D1160</f>
        <v>1269.37096281305</v>
      </c>
      <c r="E835" s="1152" t="n">
        <f aca="false">'Смета Расходов'!F1160</f>
        <v>2</v>
      </c>
      <c r="F835" s="1152" t="n">
        <f aca="false">'Смета Расходов'!G1160</f>
        <v>2538.74192562609</v>
      </c>
    </row>
    <row r="836" customFormat="false" ht="15" hidden="false" customHeight="false" outlineLevel="0" collapsed="false">
      <c r="A836" s="1139"/>
      <c r="B836" s="1152" t="str">
        <f aca="false">'Смета Расходов'!B1161</f>
        <v>Гвозди ершоные 3,4 x 60            </v>
      </c>
      <c r="C836" s="1153" t="str">
        <f aca="false">'Смета Расходов'!C1161</f>
        <v>кг</v>
      </c>
      <c r="D836" s="1152" t="n">
        <f aca="false">'Смета Расходов'!D1161</f>
        <v>7.05206090451693</v>
      </c>
      <c r="E836" s="1152" t="n">
        <f aca="false">'Смета Расходов'!F1161</f>
        <v>75.51</v>
      </c>
      <c r="F836" s="1152" t="n">
        <f aca="false">'Смета Расходов'!G1161</f>
        <v>532.501118900073</v>
      </c>
    </row>
    <row r="837" customFormat="false" ht="15" hidden="false" customHeight="false" outlineLevel="0" collapsed="false">
      <c r="A837" s="1139"/>
      <c r="B837" s="1152" t="str">
        <f aca="false">'Смета Расходов'!B1162</f>
        <v>Гвозди ершоные 2,8 х 90            </v>
      </c>
      <c r="C837" s="1153" t="str">
        <f aca="false">'Смета Расходов'!C1162</f>
        <v>кг</v>
      </c>
      <c r="D837" s="1152" t="n">
        <f aca="false">'Смета Расходов'!D1162</f>
        <v>27.322236137642</v>
      </c>
      <c r="E837" s="1152" t="n">
        <f aca="false">'Смета Расходов'!F1162</f>
        <v>76.49</v>
      </c>
      <c r="F837" s="1152" t="n">
        <f aca="false">'Смета Расходов'!G1162</f>
        <v>2089.87784216824</v>
      </c>
    </row>
    <row r="838" customFormat="false" ht="15" hidden="false" customHeight="false" outlineLevel="0" collapsed="false">
      <c r="A838" s="1139"/>
      <c r="B838" s="1152" t="str">
        <f aca="false">'Смета Расходов'!B1163</f>
        <v>Пластина соеденительная 100х240х2           </v>
      </c>
      <c r="C838" s="1153" t="str">
        <f aca="false">'Смета Расходов'!C1163</f>
        <v>шт</v>
      </c>
      <c r="D838" s="1152" t="n">
        <f aca="false">'Смета Расходов'!D1163</f>
        <v>32</v>
      </c>
      <c r="E838" s="1152" t="n">
        <f aca="false">'Смета Расходов'!F1163</f>
        <v>31.54</v>
      </c>
      <c r="F838" s="1152" t="n">
        <f aca="false">'Смета Расходов'!G1163</f>
        <v>1009.28</v>
      </c>
    </row>
    <row r="839" customFormat="false" ht="15" hidden="false" customHeight="false" outlineLevel="0" collapsed="false">
      <c r="A839" s="1139"/>
      <c r="B839" s="1152" t="str">
        <f aca="false">'Смета Расходов'!B1164</f>
        <v>Уголок усиленный 90х70х55х2,5        </v>
      </c>
      <c r="C839" s="1153" t="str">
        <f aca="false">'Смета Расходов'!C1164</f>
        <v>шт</v>
      </c>
      <c r="D839" s="1152" t="n">
        <f aca="false">'Смета Расходов'!D1164</f>
        <v>32</v>
      </c>
      <c r="E839" s="1152" t="n">
        <f aca="false">'Смета Расходов'!F1164</f>
        <v>30</v>
      </c>
      <c r="F839" s="1152" t="n">
        <f aca="false">'Смета Расходов'!G1164</f>
        <v>960</v>
      </c>
    </row>
    <row r="840" customFormat="false" ht="15" hidden="false" customHeight="false" outlineLevel="0" collapsed="false">
      <c r="A840" s="1139"/>
      <c r="B840" s="1154" t="s">
        <v>2309</v>
      </c>
      <c r="C840" s="1154"/>
      <c r="D840" s="1154"/>
      <c r="E840" s="1154"/>
      <c r="F840" s="1152" t="n">
        <f aca="false">SUM(F788:F839)</f>
        <v>131849.929983864</v>
      </c>
    </row>
    <row r="841" customFormat="false" ht="18.75" hidden="false" customHeight="false" outlineLevel="0" collapsed="false">
      <c r="A841" s="1139"/>
      <c r="B841" s="1150" t="str">
        <f aca="false">'Смета Расходов'!B1185</f>
        <v>Кровля четырехскатная</v>
      </c>
      <c r="C841" s="1150"/>
      <c r="D841" s="1150"/>
      <c r="E841" s="1150"/>
      <c r="F841" s="1155" t="n">
        <f aca="false">'Смета Внутр'!H1185</f>
        <v>0</v>
      </c>
    </row>
    <row r="842" customFormat="false" ht="15" hidden="false" customHeight="false" outlineLevel="0" collapsed="false">
      <c r="A842" s="1139"/>
      <c r="B842" s="1156" t="s">
        <v>2246</v>
      </c>
      <c r="C842" s="1156"/>
      <c r="D842" s="1156"/>
      <c r="E842" s="1156"/>
      <c r="F842" s="1155" t="n">
        <f aca="false">'Смета Внутр'!H1186</f>
        <v>0</v>
      </c>
    </row>
    <row r="843" customFormat="false" ht="15" hidden="false" customHeight="false" outlineLevel="0" collapsed="false">
      <c r="A843" s="1139"/>
      <c r="B843" s="1152" t="str">
        <f aca="false">'Смета Расходов'!B1187</f>
        <v>нет</v>
      </c>
      <c r="C843" s="1153" t="str">
        <f aca="false">'Смета Расходов'!C1187</f>
        <v>м3</v>
      </c>
      <c r="D843" s="1152" t="n">
        <f aca="false">'Смета Расходов'!D1187</f>
        <v>0</v>
      </c>
      <c r="E843" s="1152" t="n">
        <f aca="false">'Смета Расходов'!F1187</f>
        <v>0</v>
      </c>
      <c r="F843" s="1152" t="n">
        <f aca="false">'Смета Расходов'!G1187</f>
        <v>0</v>
      </c>
    </row>
    <row r="844" customFormat="false" ht="15" hidden="false" customHeight="false" outlineLevel="0" collapsed="false">
      <c r="A844" s="1139"/>
      <c r="B844" s="1152" t="str">
        <f aca="false">'Смета Расходов'!B1188</f>
        <v>Болты анкерные с гайкой 12,0 х 280          </v>
      </c>
      <c r="C844" s="1153" t="str">
        <f aca="false">'Смета Расходов'!C1188</f>
        <v>шт</v>
      </c>
      <c r="D844" s="1152" t="n">
        <f aca="false">'Смета Расходов'!D1188</f>
        <v>35.2</v>
      </c>
      <c r="E844" s="1152" t="n">
        <f aca="false">'Смета Расходов'!F1188</f>
        <v>27.1</v>
      </c>
      <c r="F844" s="1152" t="n">
        <f aca="false">'Смета Расходов'!G1188</f>
        <v>0</v>
      </c>
    </row>
    <row r="845" customFormat="false" ht="15" hidden="false" customHeight="false" outlineLevel="0" collapsed="false">
      <c r="A845" s="1139"/>
      <c r="B845" s="1152" t="str">
        <f aca="false">'Смета Расходов'!B1189</f>
        <v>Доска сырая, 150*50мм</v>
      </c>
      <c r="C845" s="1153" t="str">
        <f aca="false">'Смета Расходов'!C1189</f>
        <v>м3</v>
      </c>
      <c r="D845" s="1152" t="n">
        <f aca="false">'Смета Расходов'!D1189</f>
        <v>2.29942915439753</v>
      </c>
      <c r="E845" s="1152" t="n">
        <f aca="false">'Смета Расходов'!F1189</f>
        <v>6500</v>
      </c>
      <c r="F845" s="1152" t="n">
        <f aca="false">'Смета Расходов'!G1189</f>
        <v>0</v>
      </c>
    </row>
    <row r="846" customFormat="false" ht="15" hidden="false" customHeight="false" outlineLevel="0" collapsed="false">
      <c r="A846" s="1139"/>
      <c r="B846" s="1152" t="str">
        <f aca="false">'Смета Расходов'!B1190</f>
        <v>бугель, доска </v>
      </c>
      <c r="C846" s="1153" t="str">
        <f aca="false">'Смета Расходов'!C1190</f>
        <v>м3</v>
      </c>
      <c r="D846" s="1152" t="n">
        <f aca="false">'Смета Расходов'!D1190</f>
        <v>0.21</v>
      </c>
      <c r="E846" s="1152" t="n">
        <f aca="false">'Смета Расходов'!F1190</f>
        <v>6500</v>
      </c>
      <c r="F846" s="1152" t="n">
        <f aca="false">'Смета Расходов'!G1190</f>
        <v>0</v>
      </c>
    </row>
    <row r="847" customFormat="false" ht="15" hidden="false" customHeight="false" outlineLevel="0" collapsed="false">
      <c r="A847" s="1139"/>
      <c r="B847" s="1152" t="str">
        <f aca="false">'Смета Расходов'!B1191</f>
        <v>стойка под конек</v>
      </c>
      <c r="C847" s="1153" t="str">
        <f aca="false">'Смета Расходов'!C1191</f>
        <v>м3</v>
      </c>
      <c r="D847" s="1152" t="n">
        <f aca="false">'Смета Расходов'!D1191</f>
        <v>0.08925</v>
      </c>
      <c r="E847" s="1152" t="n">
        <f aca="false">'Смета Расходов'!F1191</f>
        <v>6500</v>
      </c>
      <c r="F847" s="1152" t="n">
        <f aca="false">'Смета Расходов'!G1191</f>
        <v>0</v>
      </c>
    </row>
    <row r="848" customFormat="false" ht="15" hidden="false" customHeight="false" outlineLevel="0" collapsed="false">
      <c r="A848" s="1139"/>
      <c r="B848" s="1152" t="str">
        <f aca="false">'Смета Расходов'!B1192</f>
        <v>Сосна влаж,100*25мм</v>
      </c>
      <c r="C848" s="1153" t="str">
        <f aca="false">'Смета Расходов'!C1192</f>
        <v>м3</v>
      </c>
      <c r="D848" s="1152" t="n">
        <f aca="false">'Смета Расходов'!D1192</f>
        <v>1.11063020763307</v>
      </c>
      <c r="E848" s="1152" t="n">
        <f aca="false">'Смета Расходов'!F1192</f>
        <v>6500</v>
      </c>
      <c r="F848" s="1152" t="n">
        <f aca="false">'Смета Расходов'!G1192</f>
        <v>0</v>
      </c>
    </row>
    <row r="849" customFormat="false" ht="15" hidden="false" customHeight="false" outlineLevel="0" collapsed="false">
      <c r="A849" s="1139"/>
      <c r="B849" s="1152" t="str">
        <f aca="false">'Смета Расходов'!B1193</f>
        <v>Сосна влаж, 50*50мм</v>
      </c>
      <c r="C849" s="1153" t="str">
        <f aca="false">'Смета Расходов'!C1193</f>
        <v>м3</v>
      </c>
      <c r="D849" s="1152" t="n">
        <f aca="false">'Смета Расходов'!D1193</f>
        <v>1.11063020763307</v>
      </c>
      <c r="E849" s="1152" t="n">
        <f aca="false">'Смета Расходов'!F1193</f>
        <v>6500</v>
      </c>
      <c r="F849" s="1152" t="n">
        <f aca="false">'Смета Расходов'!G1193</f>
        <v>0</v>
      </c>
    </row>
    <row r="850" customFormat="false" ht="15" hidden="false" customHeight="false" outlineLevel="0" collapsed="false">
      <c r="A850" s="1139"/>
      <c r="B850" s="1152" t="str">
        <f aca="false">'Смета Расходов'!B1194</f>
        <v>Универсальная Optima C</v>
      </c>
      <c r="C850" s="1153" t="str">
        <f aca="false">'Смета Расходов'!C1194</f>
        <v>м2</v>
      </c>
      <c r="D850" s="1152" t="n">
        <f aca="false">'Смета Расходов'!D1194</f>
        <v>148.08402768441</v>
      </c>
      <c r="E850" s="1152" t="n">
        <f aca="false">'Смета Расходов'!F1194</f>
        <v>19</v>
      </c>
      <c r="F850" s="1152" t="n">
        <f aca="false">'Смета Расходов'!G1194</f>
        <v>0</v>
      </c>
    </row>
    <row r="851" customFormat="false" ht="15" hidden="false" customHeight="false" outlineLevel="0" collapsed="false">
      <c r="A851" s="1139"/>
      <c r="B851" s="1152" t="str">
        <f aca="false">'Смета Расходов'!B1195</f>
        <v>Универсальная Optima C</v>
      </c>
      <c r="C851" s="1153" t="str">
        <f aca="false">'Смета Расходов'!C1195</f>
        <v>м2</v>
      </c>
      <c r="D851" s="1152" t="n">
        <f aca="false">'Смета Расходов'!D1195</f>
        <v>148.08402768441</v>
      </c>
      <c r="E851" s="1152" t="n">
        <f aca="false">'Смета Расходов'!F1195</f>
        <v>20</v>
      </c>
      <c r="F851" s="1152" t="n">
        <f aca="false">'Смета Расходов'!G1195</f>
        <v>0</v>
      </c>
    </row>
    <row r="852" customFormat="false" ht="15" hidden="false" customHeight="false" outlineLevel="0" collapsed="false">
      <c r="A852" s="1139"/>
      <c r="B852" s="1152" t="str">
        <f aca="false">'Смета Расходов'!B1196</f>
        <v>Плитный,28кг/м3, технониколь, 100мм</v>
      </c>
      <c r="C852" s="1153" t="str">
        <f aca="false">'Смета Расходов'!C1196</f>
        <v>м3</v>
      </c>
      <c r="D852" s="1152" t="n">
        <f aca="false">'Смета Расходов'!D1196</f>
        <v>10.5774305488864</v>
      </c>
      <c r="E852" s="1152" t="n">
        <f aca="false">'Смета Расходов'!F1196</f>
        <v>1700</v>
      </c>
      <c r="F852" s="1152" t="n">
        <f aca="false">'Смета Расходов'!G1196</f>
        <v>0</v>
      </c>
    </row>
    <row r="853" customFormat="false" ht="15" hidden="false" customHeight="false" outlineLevel="0" collapsed="false">
      <c r="A853" s="1139"/>
      <c r="B853" s="1152" t="str">
        <f aca="false">'Смета Расходов'!B1197</f>
        <v>металлочерепица</v>
      </c>
      <c r="C853" s="1153" t="str">
        <f aca="false">'Смета Расходов'!C1197</f>
        <v>м2</v>
      </c>
      <c r="D853" s="1152" t="n">
        <f aca="false">'Смета Расходов'!D1197</f>
        <v>148.08402768441</v>
      </c>
      <c r="E853" s="1152" t="n">
        <f aca="false">'Смета Расходов'!F1197</f>
        <v>250</v>
      </c>
      <c r="F853" s="1152" t="n">
        <f aca="false">'Смета Расходов'!G1197</f>
        <v>0</v>
      </c>
    </row>
    <row r="854" customFormat="false" ht="15" hidden="false" customHeight="false" outlineLevel="0" collapsed="false">
      <c r="A854" s="1139"/>
      <c r="B854" s="1152" t="str">
        <f aca="false">'Смета Расходов'!B1198</f>
        <v>Конек</v>
      </c>
      <c r="C854" s="1153" t="str">
        <f aca="false">'Смета Расходов'!C1198</f>
        <v>м.п.</v>
      </c>
      <c r="D854" s="1152" t="n">
        <f aca="false">'Смета Расходов'!D1198</f>
        <v>28.6093426907597</v>
      </c>
      <c r="E854" s="1152" t="n">
        <f aca="false">'Смета Расходов'!F1198</f>
        <v>200</v>
      </c>
      <c r="F854" s="1152" t="n">
        <f aca="false">'Смета Расходов'!G1198</f>
        <v>0</v>
      </c>
    </row>
    <row r="855" customFormat="false" ht="15" hidden="false" customHeight="false" outlineLevel="0" collapsed="false">
      <c r="A855" s="1139"/>
      <c r="B855" s="1152" t="str">
        <f aca="false">'Смета Расходов'!B1199</f>
        <v>Карнизная планка</v>
      </c>
      <c r="C855" s="1153" t="str">
        <f aca="false">'Смета Расходов'!C1199</f>
        <v>м.п.</v>
      </c>
      <c r="D855" s="1152" t="n">
        <f aca="false">'Смета Расходов'!D1199</f>
        <v>72</v>
      </c>
      <c r="E855" s="1152" t="n">
        <f aca="false">'Смета Расходов'!F1199</f>
        <v>190</v>
      </c>
      <c r="F855" s="1152" t="n">
        <f aca="false">'Смета Расходов'!G1199</f>
        <v>0</v>
      </c>
    </row>
    <row r="856" customFormat="false" ht="15" hidden="false" customHeight="false" outlineLevel="0" collapsed="false">
      <c r="A856" s="1139"/>
      <c r="B856" s="1152" t="str">
        <f aca="false">'Смета Расходов'!B1200</f>
        <v>ондулин</v>
      </c>
      <c r="C856" s="1153" t="str">
        <f aca="false">'Смета Расходов'!C1200</f>
        <v>м2</v>
      </c>
      <c r="D856" s="1152" t="n">
        <f aca="false">'Смета Расходов'!D1200</f>
        <v>0</v>
      </c>
      <c r="E856" s="1152" t="n">
        <f aca="false">'Смета Расходов'!F1200</f>
        <v>180</v>
      </c>
      <c r="F856" s="1152" t="n">
        <f aca="false">'Смета Расходов'!G1200</f>
        <v>0</v>
      </c>
    </row>
    <row r="857" customFormat="false" ht="15" hidden="false" customHeight="false" outlineLevel="0" collapsed="false">
      <c r="A857" s="1139"/>
      <c r="B857" s="1152" t="str">
        <f aca="false">'Смета Расходов'!B1201</f>
        <v>Карнизная планка</v>
      </c>
      <c r="C857" s="1153" t="str">
        <f aca="false">'Смета Расходов'!C1201</f>
        <v>м.п.</v>
      </c>
      <c r="D857" s="1152" t="n">
        <f aca="false">'Смета Расходов'!D1201</f>
        <v>0</v>
      </c>
      <c r="E857" s="1152" t="n">
        <f aca="false">'Смета Расходов'!F1201</f>
        <v>190</v>
      </c>
      <c r="F857" s="1152" t="n">
        <f aca="false">'Смета Расходов'!G1201</f>
        <v>0</v>
      </c>
    </row>
    <row r="858" customFormat="false" ht="15" hidden="false" customHeight="false" outlineLevel="0" collapsed="false">
      <c r="A858" s="1139"/>
      <c r="B858" s="1152" t="str">
        <f aca="false">'Смета Расходов'!B1202</f>
        <v>Конек</v>
      </c>
      <c r="C858" s="1153" t="str">
        <f aca="false">'Смета Расходов'!C1202</f>
        <v>м.п.</v>
      </c>
      <c r="D858" s="1152" t="n">
        <f aca="false">'Смета Расходов'!D1202</f>
        <v>0</v>
      </c>
      <c r="E858" s="1152" t="n">
        <f aca="false">'Смета Расходов'!F1202</f>
        <v>200</v>
      </c>
      <c r="F858" s="1152" t="n">
        <f aca="false">'Смета Расходов'!G1202</f>
        <v>0</v>
      </c>
    </row>
    <row r="859" customFormat="false" ht="15" hidden="false" customHeight="false" outlineLevel="0" collapsed="false">
      <c r="A859" s="1139"/>
      <c r="B859" s="1152" t="str">
        <f aca="false">'Смета Расходов'!B1203</f>
        <v>Крепеж для ондулина</v>
      </c>
      <c r="C859" s="1153" t="str">
        <f aca="false">'Смета Расходов'!C1203</f>
        <v>шт</v>
      </c>
      <c r="D859" s="1152" t="n">
        <f aca="false">'Смета Расходов'!D1203</f>
        <v>0</v>
      </c>
      <c r="E859" s="1152" t="n">
        <f aca="false">'Смета Расходов'!F1203</f>
        <v>4.5</v>
      </c>
      <c r="F859" s="1152" t="n">
        <f aca="false">'Смета Расходов'!G1203</f>
        <v>0</v>
      </c>
    </row>
    <row r="860" customFormat="false" ht="15" hidden="false" customHeight="false" outlineLevel="0" collapsed="false">
      <c r="A860" s="1139"/>
      <c r="B860" s="1152" t="str">
        <f aca="false">'Смета Расходов'!B1204</f>
        <v>нет</v>
      </c>
      <c r="C860" s="1153" t="str">
        <f aca="false">'Смета Расходов'!C1204</f>
        <v>м2</v>
      </c>
      <c r="D860" s="1152" t="n">
        <f aca="false">'Смета Расходов'!D1204</f>
        <v>148.08402768441</v>
      </c>
      <c r="E860" s="1152" t="n">
        <f aca="false">'Смета Расходов'!F1204</f>
        <v>0</v>
      </c>
      <c r="F860" s="1152" t="n">
        <f aca="false">'Смета Расходов'!G1204</f>
        <v>0</v>
      </c>
    </row>
    <row r="861" customFormat="false" ht="15" hidden="false" customHeight="false" outlineLevel="0" collapsed="false">
      <c r="A861" s="1139"/>
      <c r="B861" s="1152" t="str">
        <f aca="false">'Смета Расходов'!B1205</f>
        <v>Рядовая черепица</v>
      </c>
      <c r="C861" s="1153" t="str">
        <f aca="false">'Смета Расходов'!C1205</f>
        <v>м.п.</v>
      </c>
      <c r="D861" s="1152" t="n">
        <f aca="false">'Смета Расходов'!D1205</f>
        <v>0</v>
      </c>
      <c r="E861" s="1152" t="n">
        <f aca="false">'Смета Расходов'!F1205</f>
        <v>360</v>
      </c>
      <c r="F861" s="1152" t="n">
        <f aca="false">'Смета Расходов'!G1205</f>
        <v>0</v>
      </c>
    </row>
    <row r="862" customFormat="false" ht="15" hidden="false" customHeight="false" outlineLevel="0" collapsed="false">
      <c r="A862" s="1139"/>
      <c r="B862" s="1152" t="str">
        <f aca="false">'Смета Расходов'!B1206</f>
        <v>Металл оцинк защита (карниз)</v>
      </c>
      <c r="C862" s="1153" t="str">
        <f aca="false">'Смета Расходов'!C1206</f>
        <v>м.п.</v>
      </c>
      <c r="D862" s="1152" t="n">
        <f aca="false">'Смета Расходов'!D1206</f>
        <v>0</v>
      </c>
      <c r="E862" s="1152" t="n">
        <f aca="false">'Смета Расходов'!F1206</f>
        <v>200</v>
      </c>
      <c r="F862" s="1152" t="n">
        <f aca="false">'Смета Расходов'!G1206</f>
        <v>0</v>
      </c>
    </row>
    <row r="863" customFormat="false" ht="15" hidden="false" customHeight="false" outlineLevel="0" collapsed="false">
      <c r="A863" s="1139"/>
      <c r="B863" s="1152" t="str">
        <f aca="false">'Смета Расходов'!B1207</f>
        <v>Подкладочный ковер</v>
      </c>
      <c r="C863" s="1153" t="str">
        <f aca="false">'Смета Расходов'!C1207</f>
        <v>м2</v>
      </c>
      <c r="D863" s="1152" t="n">
        <f aca="false">'Смета Расходов'!D1207</f>
        <v>0</v>
      </c>
      <c r="E863" s="1152" t="n">
        <f aca="false">'Смета Расходов'!F1207</f>
        <v>220</v>
      </c>
      <c r="F863" s="1152" t="n">
        <f aca="false">'Смета Расходов'!G1207</f>
        <v>0</v>
      </c>
    </row>
    <row r="864" customFormat="false" ht="15" hidden="false" customHeight="false" outlineLevel="0" collapsed="false">
      <c r="A864" s="1139"/>
      <c r="B864" s="1152" t="str">
        <f aca="false">'Смета Расходов'!B1208</f>
        <v>Карнизная самоклеющаяся черепица</v>
      </c>
      <c r="C864" s="1153" t="str">
        <f aca="false">'Смета Расходов'!C1208</f>
        <v>м2</v>
      </c>
      <c r="D864" s="1152" t="n">
        <f aca="false">'Смета Расходов'!D1208</f>
        <v>0</v>
      </c>
      <c r="E864" s="1152" t="n">
        <f aca="false">'Смета Расходов'!F1208</f>
        <v>220</v>
      </c>
      <c r="F864" s="1152" t="n">
        <f aca="false">'Смета Расходов'!G1208</f>
        <v>0</v>
      </c>
    </row>
    <row r="865" customFormat="false" ht="15" hidden="false" customHeight="false" outlineLevel="0" collapsed="false">
      <c r="A865" s="1139"/>
      <c r="B865" s="1152" t="str">
        <f aca="false">'Смета Расходов'!B1209</f>
        <v>Спец ковер ендова нижняя</v>
      </c>
      <c r="C865" s="1153" t="str">
        <f aca="false">'Смета Расходов'!C1209</f>
        <v>м.п</v>
      </c>
      <c r="D865" s="1152" t="n">
        <f aca="false">'Смета Расходов'!D1209</f>
        <v>0</v>
      </c>
      <c r="E865" s="1152" t="n">
        <f aca="false">'Смета Расходов'!F1209</f>
        <v>200</v>
      </c>
      <c r="F865" s="1152" t="n">
        <f aca="false">'Смета Расходов'!G1209</f>
        <v>0</v>
      </c>
    </row>
    <row r="866" customFormat="false" ht="15" hidden="false" customHeight="false" outlineLevel="0" collapsed="false">
      <c r="A866" s="1139"/>
      <c r="B866" s="1152" t="str">
        <f aca="false">'Смета Расходов'!B1210</f>
        <v>Коньковой элемент</v>
      </c>
      <c r="C866" s="1153" t="str">
        <f aca="false">'Смета Расходов'!C1210</f>
        <v>м.п</v>
      </c>
      <c r="D866" s="1152" t="n">
        <f aca="false">'Смета Расходов'!D1210</f>
        <v>0</v>
      </c>
      <c r="E866" s="1152" t="n">
        <f aca="false">'Смета Расходов'!F1210</f>
        <v>250</v>
      </c>
      <c r="F866" s="1152" t="n">
        <f aca="false">'Смета Расходов'!G1210</f>
        <v>0</v>
      </c>
    </row>
    <row r="867" customFormat="false" ht="15" hidden="false" customHeight="false" outlineLevel="0" collapsed="false">
      <c r="A867" s="1139"/>
      <c r="B867" s="1152" t="str">
        <f aca="false">'Смета Расходов'!B1211</f>
        <v>Планка премыкания</v>
      </c>
      <c r="C867" s="1153" t="str">
        <f aca="false">'Смета Расходов'!C1211</f>
        <v>м.п.</v>
      </c>
      <c r="D867" s="1152" t="n">
        <f aca="false">'Смета Расходов'!D1211</f>
        <v>0</v>
      </c>
      <c r="E867" s="1152" t="n">
        <f aca="false">'Смета Расходов'!F1211</f>
        <v>200</v>
      </c>
      <c r="F867" s="1152" t="n">
        <f aca="false">'Смета Расходов'!G1211</f>
        <v>0</v>
      </c>
    </row>
    <row r="868" customFormat="false" ht="15" hidden="false" customHeight="false" outlineLevel="0" collapsed="false">
      <c r="A868" s="1139"/>
      <c r="B868" s="1152" t="str">
        <f aca="false">'Смета Расходов'!B1212</f>
        <v>Гвозди для крепления подкладочного ковра</v>
      </c>
      <c r="C868" s="1153" t="str">
        <f aca="false">'Смета Расходов'!C1212</f>
        <v>шт</v>
      </c>
      <c r="D868" s="1152" t="n">
        <f aca="false">'Смета Расходов'!D1212</f>
        <v>0</v>
      </c>
      <c r="E868" s="1152" t="n">
        <f aca="false">'Смета Расходов'!F1212</f>
        <v>0.012</v>
      </c>
      <c r="F868" s="1152" t="n">
        <f aca="false">'Смета Расходов'!G1212</f>
        <v>0</v>
      </c>
    </row>
    <row r="869" customFormat="false" ht="15" hidden="false" customHeight="false" outlineLevel="0" collapsed="false">
      <c r="A869" s="1139"/>
      <c r="B869" s="1152" t="str">
        <f aca="false">'Смета Расходов'!B1213</f>
        <v>Гвозди для крепления черепицы</v>
      </c>
      <c r="C869" s="1153" t="str">
        <f aca="false">'Смета Расходов'!C1213</f>
        <v>шт</v>
      </c>
      <c r="D869" s="1152" t="n">
        <f aca="false">'Смета Расходов'!D1213</f>
        <v>0</v>
      </c>
      <c r="E869" s="1152" t="n">
        <f aca="false">'Смета Расходов'!F1213</f>
        <v>0.25</v>
      </c>
      <c r="F869" s="1152" t="n">
        <f aca="false">'Смета Расходов'!G1213</f>
        <v>0</v>
      </c>
    </row>
    <row r="870" customFormat="false" ht="15" hidden="false" customHeight="false" outlineLevel="0" collapsed="false">
      <c r="A870" s="1139"/>
      <c r="B870" s="1152" t="str">
        <f aca="false">'Смета Расходов'!B1214</f>
        <v>Клей для монтажа черепицы</v>
      </c>
      <c r="C870" s="1153" t="str">
        <f aca="false">'Смета Расходов'!C1214</f>
        <v>кг</v>
      </c>
      <c r="D870" s="1152" t="n">
        <f aca="false">'Смета Расходов'!D1214</f>
        <v>0</v>
      </c>
      <c r="E870" s="1152" t="n">
        <f aca="false">'Смета Расходов'!F1214</f>
        <v>250</v>
      </c>
      <c r="F870" s="1152" t="n">
        <f aca="false">'Смета Расходов'!G1214</f>
        <v>0</v>
      </c>
    </row>
    <row r="871" customFormat="false" ht="15" hidden="false" customHeight="false" outlineLevel="0" collapsed="false">
      <c r="A871" s="1139"/>
      <c r="B871" s="1152" t="str">
        <f aca="false">'Смета Расходов'!B1215</f>
        <v>желоб</v>
      </c>
      <c r="C871" s="1153" t="str">
        <f aca="false">'Смета Расходов'!C1215</f>
        <v>м.п</v>
      </c>
      <c r="D871" s="1152" t="n">
        <f aca="false">'Смета Расходов'!D1215</f>
        <v>34</v>
      </c>
      <c r="E871" s="1152" t="n">
        <f aca="false">'Смета Расходов'!F1215</f>
        <v>300</v>
      </c>
      <c r="F871" s="1152" t="n">
        <f aca="false">'Смета Расходов'!G1215</f>
        <v>0</v>
      </c>
    </row>
    <row r="872" customFormat="false" ht="15" hidden="false" customHeight="false" outlineLevel="0" collapsed="false">
      <c r="A872" s="1139"/>
      <c r="B872" s="1152" t="str">
        <f aca="false">'Смета Расходов'!B1216</f>
        <v>отвод</v>
      </c>
      <c r="C872" s="1153" t="str">
        <f aca="false">'Смета Расходов'!C1216</f>
        <v>шт</v>
      </c>
      <c r="D872" s="1152" t="n">
        <f aca="false">'Смета Расходов'!D1216</f>
        <v>4</v>
      </c>
      <c r="E872" s="1152" t="n">
        <f aca="false">'Смета Расходов'!F1216</f>
        <v>250</v>
      </c>
      <c r="F872" s="1152" t="n">
        <f aca="false">'Смета Расходов'!G1216</f>
        <v>0</v>
      </c>
    </row>
    <row r="873" customFormat="false" ht="15" hidden="false" customHeight="false" outlineLevel="0" collapsed="false">
      <c r="A873" s="1139"/>
      <c r="B873" s="1152" t="str">
        <f aca="false">'Смета Расходов'!B1217</f>
        <v>труба водосточная</v>
      </c>
      <c r="C873" s="1153" t="str">
        <f aca="false">'Смета Расходов'!C1217</f>
        <v>м.п.</v>
      </c>
      <c r="D873" s="1152" t="n">
        <f aca="false">'Смета Расходов'!D1217</f>
        <v>9.68</v>
      </c>
      <c r="E873" s="1152" t="n">
        <f aca="false">'Смета Расходов'!F1217</f>
        <v>300</v>
      </c>
      <c r="F873" s="1152" t="n">
        <f aca="false">'Смета Расходов'!G1217</f>
        <v>0</v>
      </c>
    </row>
    <row r="874" customFormat="false" ht="15" hidden="false" customHeight="false" outlineLevel="0" collapsed="false">
      <c r="A874" s="1139"/>
      <c r="B874" s="1152" t="str">
        <f aca="false">'Смета Расходов'!B1218</f>
        <v>заглушка для желоба</v>
      </c>
      <c r="C874" s="1153" t="str">
        <f aca="false">'Смета Расходов'!C1218</f>
        <v>шт</v>
      </c>
      <c r="D874" s="1152" t="n">
        <f aca="false">'Смета Расходов'!D1218</f>
        <v>4</v>
      </c>
      <c r="E874" s="1152" t="n">
        <f aca="false">'Смета Расходов'!F1218</f>
        <v>190</v>
      </c>
      <c r="F874" s="1152" t="n">
        <f aca="false">'Смета Расходов'!G1218</f>
        <v>0</v>
      </c>
    </row>
    <row r="875" customFormat="false" ht="15" hidden="false" customHeight="false" outlineLevel="0" collapsed="false">
      <c r="A875" s="1139"/>
      <c r="B875" s="1152" t="str">
        <f aca="false">'Смета Расходов'!B1219</f>
        <v>соеденитель для желоба</v>
      </c>
      <c r="C875" s="1153" t="str">
        <f aca="false">'Смета Расходов'!C1219</f>
        <v>шт</v>
      </c>
      <c r="D875" s="1152" t="n">
        <f aca="false">'Смета Расходов'!D1219</f>
        <v>12.3333333333333</v>
      </c>
      <c r="E875" s="1152" t="n">
        <f aca="false">'Смета Расходов'!F1219</f>
        <v>180</v>
      </c>
      <c r="F875" s="1152" t="n">
        <f aca="false">'Смета Расходов'!G1219</f>
        <v>0</v>
      </c>
    </row>
    <row r="876" customFormat="false" ht="15" hidden="false" customHeight="false" outlineLevel="0" collapsed="false">
      <c r="A876" s="1139"/>
      <c r="B876" s="1152" t="str">
        <f aca="false">'Смета Расходов'!B1220</f>
        <v>кронштейн для желоба</v>
      </c>
      <c r="C876" s="1153" t="str">
        <f aca="false">'Смета Расходов'!C1220</f>
        <v>шт</v>
      </c>
      <c r="D876" s="1152" t="n">
        <f aca="false">'Смета Расходов'!D1220</f>
        <v>113.333333333333</v>
      </c>
      <c r="E876" s="1152" t="n">
        <f aca="false">'Смета Расходов'!F1220</f>
        <v>130</v>
      </c>
      <c r="F876" s="1152" t="n">
        <f aca="false">'Смета Расходов'!G1220</f>
        <v>0</v>
      </c>
    </row>
    <row r="877" customFormat="false" ht="15" hidden="false" customHeight="false" outlineLevel="0" collapsed="false">
      <c r="A877" s="1139"/>
      <c r="B877" s="1152" t="str">
        <f aca="false">'Смета Расходов'!B1221</f>
        <v>переход из желоба в трубу</v>
      </c>
      <c r="C877" s="1153" t="str">
        <f aca="false">'Смета Расходов'!C1221</f>
        <v>шт</v>
      </c>
      <c r="D877" s="1152" t="n">
        <f aca="false">'Смета Расходов'!D1221</f>
        <v>2</v>
      </c>
      <c r="E877" s="1152" t="n">
        <f aca="false">'Смета Расходов'!F1221</f>
        <v>350</v>
      </c>
      <c r="F877" s="1152" t="n">
        <f aca="false">'Смета Расходов'!G1221</f>
        <v>0</v>
      </c>
    </row>
    <row r="878" customFormat="false" ht="15" hidden="false" customHeight="false" outlineLevel="0" collapsed="false">
      <c r="A878" s="1139"/>
      <c r="B878" s="1152" t="str">
        <f aca="false">'Смета Расходов'!B1222</f>
        <v>лента дельта мульти бэнд</v>
      </c>
      <c r="C878" s="1153" t="str">
        <f aca="false">'Смета Расходов'!C1222</f>
        <v>шт</v>
      </c>
      <c r="D878" s="1152" t="n">
        <f aca="false">'Смета Расходов'!D1222</f>
        <v>1</v>
      </c>
      <c r="E878" s="1152" t="n">
        <f aca="false">'Смета Расходов'!F1222</f>
        <v>1200</v>
      </c>
      <c r="F878" s="1152" t="n">
        <f aca="false">'Смета Расходов'!G1222</f>
        <v>0</v>
      </c>
    </row>
    <row r="879" customFormat="false" ht="15" hidden="false" customHeight="false" outlineLevel="0" collapsed="false">
      <c r="A879" s="1139"/>
      <c r="B879" s="1152" t="str">
        <f aca="false">'Смета Расходов'!B1223</f>
        <v>лента дельта sb-60</v>
      </c>
      <c r="C879" s="1153" t="str">
        <f aca="false">'Смета Расходов'!C1223</f>
        <v>шт</v>
      </c>
      <c r="D879" s="1152" t="n">
        <f aca="false">'Смета Расходов'!D1223</f>
        <v>7.05162036592427</v>
      </c>
      <c r="E879" s="1152" t="n">
        <f aca="false">'Смета Расходов'!F1223</f>
        <v>1100</v>
      </c>
      <c r="F879" s="1152" t="n">
        <f aca="false">'Смета Расходов'!G1223</f>
        <v>0</v>
      </c>
    </row>
    <row r="880" customFormat="false" ht="15" hidden="false" customHeight="false" outlineLevel="0" collapsed="false">
      <c r="A880" s="1139"/>
      <c r="B880" s="1152" t="str">
        <f aca="false">'Смета Расходов'!B1224</f>
        <v>проходка кровельная, канализационная</v>
      </c>
      <c r="C880" s="1153" t="str">
        <f aca="false">'Смета Расходов'!C1224</f>
        <v>шт</v>
      </c>
      <c r="D880" s="1152" t="n">
        <f aca="false">'Смета Расходов'!D1224</f>
        <v>0</v>
      </c>
      <c r="E880" s="1152" t="n">
        <f aca="false">'Смета Расходов'!F1224</f>
        <v>3500</v>
      </c>
      <c r="F880" s="1152" t="n">
        <f aca="false">'Смета Расходов'!G1224</f>
        <v>0</v>
      </c>
    </row>
    <row r="881" customFormat="false" ht="15" hidden="false" customHeight="false" outlineLevel="0" collapsed="false">
      <c r="A881" s="1139"/>
      <c r="B881" s="1152" t="str">
        <f aca="false">'Смета Расходов'!B1225</f>
        <v>проходка кровельная, вентиляционная</v>
      </c>
      <c r="C881" s="1153" t="str">
        <f aca="false">'Смета Расходов'!C1225</f>
        <v>шт</v>
      </c>
      <c r="D881" s="1152" t="n">
        <f aca="false">'Смета Расходов'!D1225</f>
        <v>0</v>
      </c>
      <c r="E881" s="1152" t="n">
        <f aca="false">'Смета Расходов'!F1225</f>
        <v>3500</v>
      </c>
      <c r="F881" s="1152" t="n">
        <f aca="false">'Смета Расходов'!G1225</f>
        <v>0</v>
      </c>
    </row>
    <row r="882" customFormat="false" ht="15" hidden="false" customHeight="false" outlineLevel="0" collapsed="false">
      <c r="A882" s="1139"/>
      <c r="B882" s="1152" t="str">
        <f aca="false">'Смета Расходов'!B1226</f>
        <v>проодка кровельная, труба котел</v>
      </c>
      <c r="C882" s="1153" t="str">
        <f aca="false">'Смета Расходов'!C1226</f>
        <v>шт</v>
      </c>
      <c r="D882" s="1152" t="n">
        <f aca="false">'Смета Расходов'!D1226</f>
        <v>0</v>
      </c>
      <c r="E882" s="1152" t="n">
        <f aca="false">'Смета Расходов'!F1226</f>
        <v>4500</v>
      </c>
      <c r="F882" s="1152" t="n">
        <f aca="false">'Смета Расходов'!G1226</f>
        <v>0</v>
      </c>
    </row>
    <row r="883" customFormat="false" ht="15" hidden="false" customHeight="false" outlineLevel="0" collapsed="false">
      <c r="A883" s="1139"/>
      <c r="B883" s="1152" t="str">
        <f aca="false">'Смета Расходов'!B1227</f>
        <v>Кровельный саморез</v>
      </c>
      <c r="C883" s="1153" t="str">
        <f aca="false">'Смета Расходов'!C1227</f>
        <v>шт</v>
      </c>
      <c r="D883" s="1152" t="n">
        <f aca="false">'Смета Расходов'!D1227</f>
        <v>1269.29166586637</v>
      </c>
      <c r="E883" s="1152" t="n">
        <f aca="false">'Смета Расходов'!F1227</f>
        <v>2</v>
      </c>
      <c r="F883" s="1152" t="n">
        <f aca="false">'Смета Расходов'!G1227</f>
        <v>0</v>
      </c>
    </row>
    <row r="884" customFormat="false" ht="15" hidden="false" customHeight="false" outlineLevel="0" collapsed="false">
      <c r="A884" s="1139"/>
      <c r="B884" s="1152" t="str">
        <f aca="false">'Смета Расходов'!B1228</f>
        <v>Гвозди ершоные 3,4 x 60            </v>
      </c>
      <c r="C884" s="1153" t="str">
        <f aca="false">'Смета Расходов'!C1228</f>
        <v>кг</v>
      </c>
      <c r="D884" s="1152" t="n">
        <f aca="false">'Смета Расходов'!D1228</f>
        <v>11.1063020763307</v>
      </c>
      <c r="E884" s="1152" t="n">
        <f aca="false">'Смета Расходов'!F1228</f>
        <v>75.51</v>
      </c>
      <c r="F884" s="1152" t="n">
        <f aca="false">'Смета Расходов'!G1228</f>
        <v>0</v>
      </c>
    </row>
    <row r="885" customFormat="false" ht="15" hidden="false" customHeight="false" outlineLevel="0" collapsed="false">
      <c r="A885" s="1139"/>
      <c r="B885" s="1152" t="str">
        <f aca="false">'Смета Расходов'!B1229</f>
        <v>Гвозди строительные 3,5 x 90            </v>
      </c>
      <c r="C885" s="1153" t="str">
        <f aca="false">'Смета Расходов'!C1229</f>
        <v>кг</v>
      </c>
      <c r="D885" s="1152" t="n">
        <f aca="false">'Смета Расходов'!D1229</f>
        <v>15.5920749263852</v>
      </c>
      <c r="E885" s="1152" t="n">
        <f aca="false">'Смета Расходов'!F1229</f>
        <v>76.49</v>
      </c>
      <c r="F885" s="1152" t="n">
        <f aca="false">'Смета Расходов'!G1229</f>
        <v>0</v>
      </c>
    </row>
    <row r="886" customFormat="false" ht="15" hidden="false" customHeight="false" outlineLevel="0" collapsed="false">
      <c r="A886" s="1139"/>
      <c r="B886" s="1152" t="str">
        <f aca="false">'Смета Расходов'!B1230</f>
        <v>Пластина соеденительная 100х240х2           </v>
      </c>
      <c r="C886" s="1153" t="str">
        <f aca="false">'Смета Расходов'!C1230</f>
        <v>шт</v>
      </c>
      <c r="D886" s="1152" t="n">
        <f aca="false">'Смета Расходов'!D1230</f>
        <v>15.1106150698377</v>
      </c>
      <c r="E886" s="1152" t="n">
        <f aca="false">'Смета Расходов'!F1230</f>
        <v>31.54</v>
      </c>
      <c r="F886" s="1152" t="n">
        <f aca="false">'Смета Расходов'!G1230</f>
        <v>0</v>
      </c>
    </row>
    <row r="887" customFormat="false" ht="15" hidden="false" customHeight="false" outlineLevel="0" collapsed="false">
      <c r="A887" s="1139"/>
      <c r="B887" s="1152" t="str">
        <f aca="false">'Смета Расходов'!B1231</f>
        <v>Уголок усиленный 90х70х55х2,5        </v>
      </c>
      <c r="C887" s="1153" t="str">
        <f aca="false">'Смета Расходов'!C1231</f>
        <v>шт</v>
      </c>
      <c r="D887" s="1152" t="n">
        <f aca="false">'Смета Расходов'!D1231</f>
        <v>211.548610977728</v>
      </c>
      <c r="E887" s="1152" t="n">
        <f aca="false">'Смета Расходов'!F1231</f>
        <v>30</v>
      </c>
      <c r="F887" s="1152" t="n">
        <f aca="false">'Смета Расходов'!G1231</f>
        <v>0</v>
      </c>
    </row>
    <row r="888" customFormat="false" ht="15" hidden="false" customHeight="false" outlineLevel="0" collapsed="false">
      <c r="A888" s="1139"/>
      <c r="B888" s="1154" t="s">
        <v>2309</v>
      </c>
      <c r="C888" s="1154"/>
      <c r="D888" s="1154"/>
      <c r="E888" s="1154"/>
      <c r="F888" s="1152" t="n">
        <f aca="false">SUM(F843:F887)</f>
        <v>0</v>
      </c>
    </row>
    <row r="889" customFormat="false" ht="18.75" hidden="false" customHeight="false" outlineLevel="0" collapsed="false">
      <c r="A889" s="1139"/>
      <c r="B889" s="1150" t="str">
        <f aca="false">'Смета Расходов'!B1251</f>
        <v>Кровля Полу-Вальмовая</v>
      </c>
      <c r="C889" s="1150"/>
      <c r="D889" s="1150"/>
      <c r="E889" s="1150"/>
      <c r="F889" s="1155" t="n">
        <f aca="false">'Смета Внутр'!H1251</f>
        <v>0</v>
      </c>
    </row>
    <row r="890" customFormat="false" ht="15" hidden="false" customHeight="false" outlineLevel="0" collapsed="false">
      <c r="A890" s="1139"/>
      <c r="B890" s="1156" t="s">
        <v>2246</v>
      </c>
      <c r="C890" s="1156"/>
      <c r="D890" s="1156"/>
      <c r="E890" s="1156"/>
      <c r="F890" s="1155" t="n">
        <f aca="false">'Смета Внутр'!H1252</f>
        <v>0</v>
      </c>
    </row>
    <row r="891" customFormat="false" ht="15" hidden="false" customHeight="false" outlineLevel="0" collapsed="false">
      <c r="A891" s="1139"/>
      <c r="B891" s="1152" t="str">
        <f aca="false">'Смета Расходов'!B1253</f>
        <v>нет</v>
      </c>
      <c r="C891" s="1153" t="str">
        <f aca="false">'Смета Расходов'!C1253</f>
        <v>м3</v>
      </c>
      <c r="D891" s="1152" t="n">
        <f aca="false">'Смета Расходов'!D1253</f>
        <v>0</v>
      </c>
      <c r="E891" s="1152" t="n">
        <f aca="false">'Смета Расходов'!F1253</f>
        <v>0</v>
      </c>
      <c r="F891" s="1152" t="n">
        <f aca="false">'Смета Расходов'!G1253</f>
        <v>0</v>
      </c>
    </row>
    <row r="892" customFormat="false" ht="15" hidden="false" customHeight="false" outlineLevel="0" collapsed="false">
      <c r="A892" s="1139"/>
      <c r="B892" s="1152" t="str">
        <f aca="false">'Смета Расходов'!B1254</f>
        <v>Болты анкерные с гайкой 12,0 х 280          </v>
      </c>
      <c r="C892" s="1153" t="str">
        <f aca="false">'Смета Расходов'!C1254</f>
        <v>шт</v>
      </c>
      <c r="D892" s="1152" t="n">
        <f aca="false">'Смета Расходов'!D1254</f>
        <v>110.5307463295</v>
      </c>
      <c r="E892" s="1152" t="n">
        <f aca="false">'Смета Расходов'!F1254</f>
        <v>27.1</v>
      </c>
      <c r="F892" s="1152" t="n">
        <f aca="false">'Смета Расходов'!G1254</f>
        <v>0</v>
      </c>
    </row>
    <row r="893" customFormat="false" ht="15" hidden="false" customHeight="false" outlineLevel="0" collapsed="false">
      <c r="A893" s="1139"/>
      <c r="B893" s="1152" t="str">
        <f aca="false">'Смета Расходов'!B1255</f>
        <v>Доска сырая, 150*50мм</v>
      </c>
      <c r="C893" s="1153" t="str">
        <f aca="false">'Смета Расходов'!C1255</f>
        <v>м3</v>
      </c>
      <c r="D893" s="1152" t="n">
        <f aca="false">'Смета Расходов'!D1255</f>
        <v>2.72103693695345</v>
      </c>
      <c r="E893" s="1152" t="n">
        <f aca="false">'Смета Расходов'!F1255</f>
        <v>6500</v>
      </c>
      <c r="F893" s="1152" t="n">
        <f aca="false">'Смета Расходов'!G1255</f>
        <v>0</v>
      </c>
    </row>
    <row r="894" customFormat="false" ht="15" hidden="false" customHeight="false" outlineLevel="0" collapsed="false">
      <c r="A894" s="1139"/>
      <c r="B894" s="1152" t="str">
        <f aca="false">'Смета Расходов'!B1256</f>
        <v>бугель, доска </v>
      </c>
      <c r="C894" s="1153" t="str">
        <f aca="false">'Смета Расходов'!C1256</f>
        <v>м3</v>
      </c>
      <c r="D894" s="1152" t="n">
        <f aca="false">'Смета Расходов'!D1256</f>
        <v>0.495</v>
      </c>
      <c r="E894" s="1152" t="n">
        <f aca="false">'Смета Расходов'!F1256</f>
        <v>6500</v>
      </c>
      <c r="F894" s="1152" t="n">
        <f aca="false">'Смета Расходов'!G1256</f>
        <v>0</v>
      </c>
    </row>
    <row r="895" customFormat="false" ht="15" hidden="false" customHeight="false" outlineLevel="0" collapsed="false">
      <c r="A895" s="1139"/>
      <c r="B895" s="1152" t="str">
        <f aca="false">'Смета Расходов'!B1257</f>
        <v>стойка под конек</v>
      </c>
      <c r="C895" s="1153" t="str">
        <f aca="false">'Смета Расходов'!C1257</f>
        <v>м3</v>
      </c>
      <c r="D895" s="1152" t="n">
        <f aca="false">'Смета Расходов'!D1257</f>
        <v>0.072</v>
      </c>
      <c r="E895" s="1152" t="n">
        <f aca="false">'Смета Расходов'!F1257</f>
        <v>6500</v>
      </c>
      <c r="F895" s="1152" t="n">
        <f aca="false">'Смета Расходов'!G1257</f>
        <v>0</v>
      </c>
    </row>
    <row r="896" customFormat="false" ht="15" hidden="false" customHeight="false" outlineLevel="0" collapsed="false">
      <c r="A896" s="1139"/>
      <c r="B896" s="1152" t="str">
        <f aca="false">'Смета Расходов'!B1258</f>
        <v>Сосна влаж,100*25мм</v>
      </c>
      <c r="C896" s="1153" t="str">
        <f aca="false">'Смета Расходов'!C1258</f>
        <v>м3</v>
      </c>
      <c r="D896" s="1152" t="n">
        <f aca="false">'Смета Расходов'!D1258</f>
        <v>1.24340242764109</v>
      </c>
      <c r="E896" s="1152" t="n">
        <f aca="false">'Смета Расходов'!F1258</f>
        <v>6500</v>
      </c>
      <c r="F896" s="1152" t="n">
        <f aca="false">'Смета Расходов'!G1258</f>
        <v>0</v>
      </c>
    </row>
    <row r="897" customFormat="false" ht="15" hidden="false" customHeight="false" outlineLevel="0" collapsed="false">
      <c r="A897" s="1139"/>
      <c r="B897" s="1152" t="str">
        <f aca="false">'Смета Расходов'!B1259</f>
        <v>Сосна влаж, 50*50мм</v>
      </c>
      <c r="C897" s="1153" t="str">
        <f aca="false">'Смета Расходов'!C1259</f>
        <v>м3</v>
      </c>
      <c r="D897" s="1152" t="n">
        <f aca="false">'Смета Расходов'!D1259</f>
        <v>0.956463405877762</v>
      </c>
      <c r="E897" s="1152" t="n">
        <f aca="false">'Смета Расходов'!F1259</f>
        <v>6500</v>
      </c>
      <c r="F897" s="1152" t="n">
        <f aca="false">'Смета Расходов'!G1259</f>
        <v>0</v>
      </c>
    </row>
    <row r="898" customFormat="false" ht="15" hidden="false" customHeight="false" outlineLevel="0" collapsed="false">
      <c r="A898" s="1139"/>
      <c r="B898" s="1152" t="str">
        <f aca="false">'Смета Расходов'!B1260</f>
        <v>Универсальная Optima C</v>
      </c>
      <c r="C898" s="1153" t="str">
        <f aca="false">'Смета Расходов'!C1260</f>
        <v>м2</v>
      </c>
      <c r="D898" s="1152" t="n">
        <f aca="false">'Смета Расходов'!D1260</f>
        <v>178.539835763849</v>
      </c>
      <c r="E898" s="1152" t="n">
        <f aca="false">'Смета Расходов'!F1260</f>
        <v>19</v>
      </c>
      <c r="F898" s="1152" t="n">
        <f aca="false">'Смета Расходов'!G1260</f>
        <v>0</v>
      </c>
    </row>
    <row r="899" customFormat="false" ht="15" hidden="false" customHeight="false" outlineLevel="0" collapsed="false">
      <c r="A899" s="1139"/>
      <c r="B899" s="1152" t="str">
        <f aca="false">'Смета Расходов'!B1261</f>
        <v>Универсальная Optima C</v>
      </c>
      <c r="C899" s="1153" t="str">
        <f aca="false">'Смета Расходов'!C1261</f>
        <v>м2</v>
      </c>
      <c r="D899" s="1152" t="n">
        <f aca="false">'Смета Расходов'!D1261</f>
        <v>178.539835763849</v>
      </c>
      <c r="E899" s="1152" t="n">
        <f aca="false">'Смета Расходов'!F1261</f>
        <v>20</v>
      </c>
      <c r="F899" s="1152" t="n">
        <f aca="false">'Смета Расходов'!G1261</f>
        <v>0</v>
      </c>
    </row>
    <row r="900" customFormat="false" ht="15" hidden="false" customHeight="false" outlineLevel="0" collapsed="false">
      <c r="A900" s="1139"/>
      <c r="B900" s="1152" t="str">
        <f aca="false">'Смета Расходов'!B1262</f>
        <v>Плитный,28кг/м3, технониколь, 100мм</v>
      </c>
      <c r="C900" s="1153" t="str">
        <f aca="false">'Смета Расходов'!C1262</f>
        <v>м3</v>
      </c>
      <c r="D900" s="1152" t="n">
        <f aca="false">'Смета Расходов'!D1262</f>
        <v>12.7528454117035</v>
      </c>
      <c r="E900" s="1152" t="n">
        <f aca="false">'Смета Расходов'!F1262</f>
        <v>1700</v>
      </c>
      <c r="F900" s="1152" t="n">
        <f aca="false">'Смета Расходов'!G1262</f>
        <v>0</v>
      </c>
    </row>
    <row r="901" customFormat="false" ht="15" hidden="false" customHeight="false" outlineLevel="0" collapsed="false">
      <c r="A901" s="1139"/>
      <c r="B901" s="1152" t="str">
        <f aca="false">'Смета Расходов'!B1263</f>
        <v>металлочерепица</v>
      </c>
      <c r="C901" s="1153" t="str">
        <f aca="false">'Смета Расходов'!C1263</f>
        <v>м2</v>
      </c>
      <c r="D901" s="1152" t="n">
        <f aca="false">'Смета Расходов'!D1263</f>
        <v>178.539835763849</v>
      </c>
      <c r="E901" s="1152" t="n">
        <f aca="false">'Смета Расходов'!F1263</f>
        <v>250</v>
      </c>
      <c r="F901" s="1152" t="n">
        <f aca="false">'Смета Расходов'!G1263</f>
        <v>0</v>
      </c>
    </row>
    <row r="902" customFormat="false" ht="15" hidden="false" customHeight="false" outlineLevel="0" collapsed="false">
      <c r="A902" s="1139"/>
      <c r="B902" s="1152" t="str">
        <f aca="false">'Смета Расходов'!B1264</f>
        <v>Карнизная планка</v>
      </c>
      <c r="C902" s="1153" t="str">
        <f aca="false">'Смета Расходов'!C1264</f>
        <v>м.п.</v>
      </c>
      <c r="D902" s="1152" t="n">
        <f aca="false">'Смета Расходов'!D1264</f>
        <v>50</v>
      </c>
      <c r="E902" s="1152" t="n">
        <f aca="false">'Смета Расходов'!F1264</f>
        <v>200</v>
      </c>
      <c r="F902" s="1152" t="n">
        <f aca="false">'Смета Расходов'!G1264</f>
        <v>0</v>
      </c>
    </row>
    <row r="903" customFormat="false" ht="15" hidden="false" customHeight="false" outlineLevel="0" collapsed="false">
      <c r="A903" s="1139"/>
      <c r="B903" s="1152" t="str">
        <f aca="false">'Смета Расходов'!B1265</f>
        <v>Торцевая планка</v>
      </c>
      <c r="C903" s="1153" t="str">
        <f aca="false">'Смета Расходов'!C1265</f>
        <v>м.п.</v>
      </c>
      <c r="D903" s="1152" t="n">
        <f aca="false">'Смета Расходов'!D1265</f>
        <v>16.9752761391384</v>
      </c>
      <c r="E903" s="1152" t="n">
        <f aca="false">'Смета Расходов'!F1265</f>
        <v>200</v>
      </c>
      <c r="F903" s="1152" t="n">
        <f aca="false">'Смета Расходов'!G1265</f>
        <v>0</v>
      </c>
    </row>
    <row r="904" customFormat="false" ht="15" hidden="false" customHeight="false" outlineLevel="0" collapsed="false">
      <c r="A904" s="1139"/>
      <c r="B904" s="1152" t="str">
        <f aca="false">'Смета Расходов'!B1266</f>
        <v>Конек</v>
      </c>
      <c r="C904" s="1153" t="str">
        <f aca="false">'Смета Расходов'!C1266</f>
        <v>м.п.</v>
      </c>
      <c r="D904" s="1152" t="n">
        <f aca="false">'Смета Расходов'!D1266</f>
        <v>27.5581347885125</v>
      </c>
      <c r="E904" s="1152" t="n">
        <f aca="false">'Смета Расходов'!F1266</f>
        <v>230</v>
      </c>
      <c r="F904" s="1152" t="n">
        <f aca="false">'Смета Расходов'!G1266</f>
        <v>0</v>
      </c>
    </row>
    <row r="905" customFormat="false" ht="15" hidden="false" customHeight="false" outlineLevel="0" collapsed="false">
      <c r="A905" s="1139"/>
      <c r="B905" s="1152" t="str">
        <f aca="false">'Смета Расходов'!B1267</f>
        <v>ондулин</v>
      </c>
      <c r="C905" s="1153" t="str">
        <f aca="false">'Смета Расходов'!C1267</f>
        <v>м2</v>
      </c>
      <c r="D905" s="1152" t="n">
        <f aca="false">'Смета Расходов'!D1267</f>
        <v>0</v>
      </c>
      <c r="E905" s="1152" t="n">
        <f aca="false">'Смета Расходов'!F1267</f>
        <v>180</v>
      </c>
      <c r="F905" s="1152" t="n">
        <f aca="false">'Смета Расходов'!G1267</f>
        <v>0</v>
      </c>
    </row>
    <row r="906" customFormat="false" ht="15" hidden="false" customHeight="false" outlineLevel="0" collapsed="false">
      <c r="A906" s="1139"/>
      <c r="B906" s="1152" t="str">
        <f aca="false">'Смета Расходов'!B1268</f>
        <v>Карнизная планка</v>
      </c>
      <c r="C906" s="1153" t="str">
        <f aca="false">'Смета Расходов'!C1268</f>
        <v>м.п.</v>
      </c>
      <c r="D906" s="1152" t="n">
        <f aca="false">'Смета Расходов'!D1268</f>
        <v>0</v>
      </c>
      <c r="E906" s="1152" t="n">
        <f aca="false">'Смета Расходов'!F1268</f>
        <v>190</v>
      </c>
      <c r="F906" s="1152" t="n">
        <f aca="false">'Смета Расходов'!G1268</f>
        <v>0</v>
      </c>
    </row>
    <row r="907" customFormat="false" ht="15" hidden="false" customHeight="false" outlineLevel="0" collapsed="false">
      <c r="A907" s="1139"/>
      <c r="B907" s="1152" t="str">
        <f aca="false">'Смета Расходов'!B1269</f>
        <v>Торцевая планка</v>
      </c>
      <c r="C907" s="1153" t="str">
        <f aca="false">'Смета Расходов'!C1269</f>
        <v>м.п.</v>
      </c>
      <c r="D907" s="1152" t="n">
        <f aca="false">'Смета Расходов'!D1269</f>
        <v>0</v>
      </c>
      <c r="E907" s="1152" t="n">
        <f aca="false">'Смета Расходов'!F1269</f>
        <v>190</v>
      </c>
      <c r="F907" s="1152" t="n">
        <f aca="false">'Смета Расходов'!G1269</f>
        <v>0</v>
      </c>
    </row>
    <row r="908" customFormat="false" ht="15" hidden="false" customHeight="false" outlineLevel="0" collapsed="false">
      <c r="A908" s="1139"/>
      <c r="B908" s="1152" t="str">
        <f aca="false">'Смета Расходов'!B1270</f>
        <v>Конек</v>
      </c>
      <c r="C908" s="1153" t="str">
        <f aca="false">'Смета Расходов'!C1270</f>
        <v>м.п.</v>
      </c>
      <c r="D908" s="1152" t="n">
        <f aca="false">'Смета Расходов'!D1270</f>
        <v>0</v>
      </c>
      <c r="E908" s="1152" t="n">
        <f aca="false">'Смета Расходов'!F1270</f>
        <v>200</v>
      </c>
      <c r="F908" s="1152" t="n">
        <f aca="false">'Смета Расходов'!G1270</f>
        <v>0</v>
      </c>
    </row>
    <row r="909" customFormat="false" ht="15" hidden="false" customHeight="false" outlineLevel="0" collapsed="false">
      <c r="A909" s="1139"/>
      <c r="B909" s="1152" t="str">
        <f aca="false">'Смета Расходов'!B1271</f>
        <v>Ендова нижняя</v>
      </c>
      <c r="C909" s="1153" t="str">
        <f aca="false">'Смета Расходов'!C1271</f>
        <v>м.п.</v>
      </c>
      <c r="D909" s="1152" t="n">
        <f aca="false">'Смета Расходов'!D1271</f>
        <v>0</v>
      </c>
      <c r="E909" s="1152" t="n">
        <f aca="false">'Смета Расходов'!F1271</f>
        <v>160</v>
      </c>
      <c r="F909" s="1152" t="n">
        <f aca="false">'Смета Расходов'!G1271</f>
        <v>0</v>
      </c>
    </row>
    <row r="910" customFormat="false" ht="15" hidden="false" customHeight="false" outlineLevel="0" collapsed="false">
      <c r="A910" s="1139"/>
      <c r="B910" s="1152" t="str">
        <f aca="false">'Смета Расходов'!B1272</f>
        <v>Ендова верхняя</v>
      </c>
      <c r="C910" s="1153" t="str">
        <f aca="false">'Смета Расходов'!C1272</f>
        <v>м.п.</v>
      </c>
      <c r="D910" s="1152" t="n">
        <f aca="false">'Смета Расходов'!D1272</f>
        <v>0</v>
      </c>
      <c r="E910" s="1152" t="n">
        <f aca="false">'Смета Расходов'!F1272</f>
        <v>190</v>
      </c>
      <c r="F910" s="1152" t="n">
        <f aca="false">'Смета Расходов'!G1272</f>
        <v>0</v>
      </c>
    </row>
    <row r="911" customFormat="false" ht="15" hidden="false" customHeight="false" outlineLevel="0" collapsed="false">
      <c r="A911" s="1139"/>
      <c r="B911" s="1152" t="str">
        <f aca="false">'Смета Расходов'!B1273</f>
        <v>Планка примыкания</v>
      </c>
      <c r="C911" s="1153" t="str">
        <f aca="false">'Смета Расходов'!C1273</f>
        <v>м.п.</v>
      </c>
      <c r="D911" s="1152" t="n">
        <f aca="false">'Смета Расходов'!D1273</f>
        <v>0</v>
      </c>
      <c r="E911" s="1152" t="n">
        <f aca="false">'Смета Расходов'!F1273</f>
        <v>190</v>
      </c>
      <c r="F911" s="1152" t="n">
        <f aca="false">'Смета Расходов'!G1273</f>
        <v>0</v>
      </c>
    </row>
    <row r="912" customFormat="false" ht="15" hidden="false" customHeight="false" outlineLevel="0" collapsed="false">
      <c r="A912" s="1139"/>
      <c r="B912" s="1152" t="str">
        <f aca="false">'Смета Расходов'!B1274</f>
        <v>Крепеж для ондулина</v>
      </c>
      <c r="C912" s="1153" t="str">
        <f aca="false">'Смета Расходов'!C1274</f>
        <v>шт</v>
      </c>
      <c r="D912" s="1152" t="n">
        <f aca="false">'Смета Расходов'!D1274</f>
        <v>0</v>
      </c>
      <c r="E912" s="1152" t="n">
        <f aca="false">'Смета Расходов'!F1274</f>
        <v>4.5</v>
      </c>
      <c r="F912" s="1152" t="n">
        <f aca="false">'Смета Расходов'!G1274</f>
        <v>0</v>
      </c>
    </row>
    <row r="913" customFormat="false" ht="15" hidden="false" customHeight="false" outlineLevel="0" collapsed="false">
      <c r="A913" s="1139"/>
      <c r="B913" s="1152" t="str">
        <f aca="false">'Смета Расходов'!B1275</f>
        <v>нет</v>
      </c>
      <c r="C913" s="1153" t="str">
        <f aca="false">'Смета Расходов'!C1275</f>
        <v>м2</v>
      </c>
      <c r="D913" s="1152" t="n">
        <f aca="false">'Смета Расходов'!D1275</f>
        <v>146.65772223459</v>
      </c>
      <c r="E913" s="1152" t="n">
        <f aca="false">'Смета Расходов'!F1275</f>
        <v>0</v>
      </c>
      <c r="F913" s="1152" t="n">
        <f aca="false">'Смета Расходов'!G1275</f>
        <v>0</v>
      </c>
    </row>
    <row r="914" customFormat="false" ht="15" hidden="false" customHeight="false" outlineLevel="0" collapsed="false">
      <c r="A914" s="1139"/>
      <c r="B914" s="1152" t="str">
        <f aca="false">'Смета Расходов'!B1276</f>
        <v>Рядовая черепица</v>
      </c>
      <c r="C914" s="1153" t="str">
        <f aca="false">'Смета Расходов'!C1276</f>
        <v>м2</v>
      </c>
      <c r="D914" s="1152" t="n">
        <f aca="false">'Смета Расходов'!D1276</f>
        <v>0</v>
      </c>
      <c r="E914" s="1152" t="n">
        <f aca="false">'Смета Расходов'!F1276</f>
        <v>360</v>
      </c>
      <c r="F914" s="1152" t="n">
        <f aca="false">'Смета Расходов'!G1276</f>
        <v>0</v>
      </c>
    </row>
    <row r="915" customFormat="false" ht="15" hidden="false" customHeight="false" outlineLevel="0" collapsed="false">
      <c r="A915" s="1139"/>
      <c r="B915" s="1152" t="str">
        <f aca="false">'Смета Расходов'!B1277</f>
        <v>Металл оцинк защита (карниз)</v>
      </c>
      <c r="C915" s="1153" t="str">
        <f aca="false">'Смета Расходов'!C1277</f>
        <v>м.п.</v>
      </c>
      <c r="D915" s="1152" t="n">
        <f aca="false">'Смета Расходов'!D1277</f>
        <v>0</v>
      </c>
      <c r="E915" s="1152" t="n">
        <f aca="false">'Смета Расходов'!F1277</f>
        <v>200</v>
      </c>
      <c r="F915" s="1152" t="n">
        <f aca="false">'Смета Расходов'!G1277</f>
        <v>0</v>
      </c>
    </row>
    <row r="916" customFormat="false" ht="15" hidden="false" customHeight="false" outlineLevel="0" collapsed="false">
      <c r="A916" s="1139"/>
      <c r="B916" s="1152" t="str">
        <f aca="false">'Смета Расходов'!B1278</f>
        <v>Подкладочный ковер</v>
      </c>
      <c r="C916" s="1153" t="str">
        <f aca="false">'Смета Расходов'!C1278</f>
        <v>м.п.</v>
      </c>
      <c r="D916" s="1152" t="n">
        <f aca="false">'Смета Расходов'!D1278</f>
        <v>0</v>
      </c>
      <c r="E916" s="1152" t="n">
        <f aca="false">'Смета Расходов'!F1278</f>
        <v>220</v>
      </c>
      <c r="F916" s="1152" t="n">
        <f aca="false">'Смета Расходов'!G1278</f>
        <v>0</v>
      </c>
    </row>
    <row r="917" customFormat="false" ht="15" hidden="false" customHeight="false" outlineLevel="0" collapsed="false">
      <c r="A917" s="1139"/>
      <c r="B917" s="1152" t="str">
        <f aca="false">'Смета Расходов'!B1279</f>
        <v>Карнизная самоклеющаяся черепица</v>
      </c>
      <c r="C917" s="1153" t="str">
        <f aca="false">'Смета Расходов'!C1279</f>
        <v>м.п.</v>
      </c>
      <c r="D917" s="1152" t="n">
        <f aca="false">'Смета Расходов'!D1279</f>
        <v>0</v>
      </c>
      <c r="E917" s="1152" t="n">
        <f aca="false">'Смета Расходов'!F1279</f>
        <v>220</v>
      </c>
      <c r="F917" s="1152" t="n">
        <f aca="false">'Смета Расходов'!G1279</f>
        <v>0</v>
      </c>
    </row>
    <row r="918" customFormat="false" ht="15" hidden="false" customHeight="false" outlineLevel="0" collapsed="false">
      <c r="A918" s="1139"/>
      <c r="B918" s="1152" t="str">
        <f aca="false">'Смета Расходов'!B1280</f>
        <v>Спец ковер ендова нижняя</v>
      </c>
      <c r="C918" s="1153" t="str">
        <f aca="false">'Смета Расходов'!C1280</f>
        <v>м.п.</v>
      </c>
      <c r="D918" s="1152" t="n">
        <f aca="false">'Смета Расходов'!D1280</f>
        <v>0</v>
      </c>
      <c r="E918" s="1152" t="n">
        <f aca="false">'Смета Расходов'!F1280</f>
        <v>200</v>
      </c>
      <c r="F918" s="1152" t="n">
        <f aca="false">'Смета Расходов'!G1280</f>
        <v>0</v>
      </c>
    </row>
    <row r="919" customFormat="false" ht="15" hidden="false" customHeight="false" outlineLevel="0" collapsed="false">
      <c r="A919" s="1139"/>
      <c r="B919" s="1152" t="str">
        <f aca="false">'Смета Расходов'!B1281</f>
        <v>Коньковой элемент</v>
      </c>
      <c r="C919" s="1153" t="str">
        <f aca="false">'Смета Расходов'!C1281</f>
        <v>м.п.</v>
      </c>
      <c r="D919" s="1152" t="n">
        <f aca="false">'Смета Расходов'!D1281</f>
        <v>0</v>
      </c>
      <c r="E919" s="1152" t="n">
        <f aca="false">'Смета Расходов'!F1281</f>
        <v>250</v>
      </c>
      <c r="F919" s="1152" t="n">
        <f aca="false">'Смета Расходов'!G1281</f>
        <v>0</v>
      </c>
    </row>
    <row r="920" customFormat="false" ht="15" hidden="false" customHeight="false" outlineLevel="0" collapsed="false">
      <c r="A920" s="1139"/>
      <c r="B920" s="1152" t="str">
        <f aca="false">'Смета Расходов'!B1282</f>
        <v>Планка премыкания</v>
      </c>
      <c r="C920" s="1153" t="str">
        <f aca="false">'Смета Расходов'!C1282</f>
        <v>м.п.</v>
      </c>
      <c r="D920" s="1152" t="n">
        <f aca="false">'Смета Расходов'!D1282</f>
        <v>0</v>
      </c>
      <c r="E920" s="1152" t="n">
        <f aca="false">'Смета Расходов'!F1282</f>
        <v>200</v>
      </c>
      <c r="F920" s="1152" t="n">
        <f aca="false">'Смета Расходов'!G1282</f>
        <v>0</v>
      </c>
    </row>
    <row r="921" customFormat="false" ht="15" hidden="false" customHeight="false" outlineLevel="0" collapsed="false">
      <c r="A921" s="1139"/>
      <c r="B921" s="1152" t="str">
        <f aca="false">'Смета Расходов'!B1283</f>
        <v>Гвозди для крепления подкладочного ковра</v>
      </c>
      <c r="C921" s="1153" t="str">
        <f aca="false">'Смета Расходов'!C1283</f>
        <v>шт</v>
      </c>
      <c r="D921" s="1152" t="n">
        <f aca="false">'Смета Расходов'!D1283</f>
        <v>0</v>
      </c>
      <c r="E921" s="1152" t="n">
        <f aca="false">'Смета Расходов'!F1283</f>
        <v>0.012</v>
      </c>
      <c r="F921" s="1152" t="n">
        <f aca="false">'Смета Расходов'!G1283</f>
        <v>0</v>
      </c>
    </row>
    <row r="922" customFormat="false" ht="15" hidden="false" customHeight="false" outlineLevel="0" collapsed="false">
      <c r="A922" s="1139"/>
      <c r="B922" s="1152" t="str">
        <f aca="false">'Смета Расходов'!B1284</f>
        <v>Гвозди для крепления черепицы</v>
      </c>
      <c r="C922" s="1153" t="str">
        <f aca="false">'Смета Расходов'!C1284</f>
        <v>шт</v>
      </c>
      <c r="D922" s="1152" t="n">
        <f aca="false">'Смета Расходов'!D1284</f>
        <v>0</v>
      </c>
      <c r="E922" s="1152" t="n">
        <f aca="false">'Смета Расходов'!F1284</f>
        <v>0.25</v>
      </c>
      <c r="F922" s="1152" t="n">
        <f aca="false">'Смета Расходов'!G1284</f>
        <v>0</v>
      </c>
    </row>
    <row r="923" customFormat="false" ht="15" hidden="false" customHeight="false" outlineLevel="0" collapsed="false">
      <c r="A923" s="1139"/>
      <c r="B923" s="1152" t="str">
        <f aca="false">'Смета Расходов'!B1285</f>
        <v>Клей для монтажа черепицы</v>
      </c>
      <c r="C923" s="1153" t="str">
        <f aca="false">'Смета Расходов'!C1285</f>
        <v>кг</v>
      </c>
      <c r="D923" s="1152" t="n">
        <f aca="false">'Смета Расходов'!D1285</f>
        <v>0</v>
      </c>
      <c r="E923" s="1152" t="n">
        <f aca="false">'Смета Расходов'!F1285</f>
        <v>250</v>
      </c>
      <c r="F923" s="1152" t="n">
        <f aca="false">'Смета Расходов'!G1285</f>
        <v>0</v>
      </c>
    </row>
    <row r="924" customFormat="false" ht="15" hidden="false" customHeight="false" outlineLevel="0" collapsed="false">
      <c r="A924" s="1139"/>
      <c r="B924" s="1152" t="str">
        <f aca="false">'Смета Расходов'!B1286</f>
        <v>желоб</v>
      </c>
      <c r="C924" s="1153" t="str">
        <f aca="false">'Смета Расходов'!C1286</f>
        <v>м.п</v>
      </c>
      <c r="D924" s="1152" t="n">
        <f aca="false">'Смета Расходов'!D1286</f>
        <v>41.6666666666667</v>
      </c>
      <c r="E924" s="1152" t="n">
        <f aca="false">'Смета Расходов'!F1286</f>
        <v>300</v>
      </c>
      <c r="F924" s="1152" t="n">
        <f aca="false">'Смета Расходов'!G1286</f>
        <v>0</v>
      </c>
    </row>
    <row r="925" customFormat="false" ht="15" hidden="false" customHeight="false" outlineLevel="0" collapsed="false">
      <c r="A925" s="1139"/>
      <c r="B925" s="1152" t="str">
        <f aca="false">'Смета Расходов'!B1287</f>
        <v>отвод</v>
      </c>
      <c r="C925" s="1153" t="str">
        <f aca="false">'Смета Расходов'!C1287</f>
        <v>шт</v>
      </c>
      <c r="D925" s="1152" t="n">
        <f aca="false">'Смета Расходов'!D1287</f>
        <v>4</v>
      </c>
      <c r="E925" s="1152" t="n">
        <f aca="false">'Смета Расходов'!F1287</f>
        <v>250</v>
      </c>
      <c r="F925" s="1152" t="n">
        <f aca="false">'Смета Расходов'!G1287</f>
        <v>0</v>
      </c>
    </row>
    <row r="926" customFormat="false" ht="15" hidden="false" customHeight="false" outlineLevel="0" collapsed="false">
      <c r="A926" s="1139"/>
      <c r="B926" s="1152" t="str">
        <f aca="false">'Смета Расходов'!B1288</f>
        <v>труба водосточная</v>
      </c>
      <c r="C926" s="1153" t="str">
        <f aca="false">'Смета Расходов'!C1288</f>
        <v>м.п.</v>
      </c>
      <c r="D926" s="1152" t="n">
        <f aca="false">'Смета Расходов'!D1288</f>
        <v>50</v>
      </c>
      <c r="E926" s="1152" t="n">
        <f aca="false">'Смета Расходов'!F1288</f>
        <v>300</v>
      </c>
      <c r="F926" s="1152" t="n">
        <f aca="false">'Смета Расходов'!G1288</f>
        <v>0</v>
      </c>
    </row>
    <row r="927" customFormat="false" ht="15" hidden="false" customHeight="false" outlineLevel="0" collapsed="false">
      <c r="A927" s="1139"/>
      <c r="B927" s="1152" t="str">
        <f aca="false">'Смета Расходов'!B1289</f>
        <v>заглушка для желоба</v>
      </c>
      <c r="C927" s="1153" t="str">
        <f aca="false">'Смета Расходов'!C1289</f>
        <v>шт</v>
      </c>
      <c r="D927" s="1152" t="n">
        <f aca="false">'Смета Расходов'!D1289</f>
        <v>4</v>
      </c>
      <c r="E927" s="1152" t="n">
        <f aca="false">'Смета Расходов'!F1289</f>
        <v>190</v>
      </c>
      <c r="F927" s="1152" t="n">
        <f aca="false">'Смета Расходов'!G1289</f>
        <v>0</v>
      </c>
    </row>
    <row r="928" customFormat="false" ht="15" hidden="false" customHeight="false" outlineLevel="0" collapsed="false">
      <c r="A928" s="1139"/>
      <c r="B928" s="1152" t="str">
        <f aca="false">'Смета Расходов'!B1290</f>
        <v>соеденитель для желоба</v>
      </c>
      <c r="C928" s="1153" t="str">
        <f aca="false">'Смета Расходов'!C1290</f>
        <v>шт</v>
      </c>
      <c r="D928" s="1152" t="n">
        <f aca="false">'Смета Расходов'!D1290</f>
        <v>14.8888888888889</v>
      </c>
      <c r="E928" s="1152" t="n">
        <f aca="false">'Смета Расходов'!F1290</f>
        <v>180</v>
      </c>
      <c r="F928" s="1152" t="n">
        <f aca="false">'Смета Расходов'!G1290</f>
        <v>0</v>
      </c>
    </row>
    <row r="929" customFormat="false" ht="15" hidden="false" customHeight="false" outlineLevel="0" collapsed="false">
      <c r="A929" s="1139"/>
      <c r="B929" s="1152" t="str">
        <f aca="false">'Смета Расходов'!B1291</f>
        <v>кронштейн для желоба</v>
      </c>
      <c r="C929" s="1153" t="str">
        <f aca="false">'Смета Расходов'!C1291</f>
        <v>шт</v>
      </c>
      <c r="D929" s="1152" t="n">
        <f aca="false">'Смета Расходов'!D1291</f>
        <v>104.166666666667</v>
      </c>
      <c r="E929" s="1152" t="n">
        <f aca="false">'Смета Расходов'!F1291</f>
        <v>130</v>
      </c>
      <c r="F929" s="1152" t="n">
        <f aca="false">'Смета Расходов'!G1291</f>
        <v>0</v>
      </c>
    </row>
    <row r="930" customFormat="false" ht="15" hidden="false" customHeight="false" outlineLevel="0" collapsed="false">
      <c r="A930" s="1139"/>
      <c r="B930" s="1152" t="str">
        <f aca="false">'Смета Расходов'!B1292</f>
        <v>переход из желоба в трубу</v>
      </c>
      <c r="C930" s="1153" t="str">
        <f aca="false">'Смета Расходов'!C1292</f>
        <v>шт</v>
      </c>
      <c r="D930" s="1152" t="n">
        <f aca="false">'Смета Расходов'!D1292</f>
        <v>4</v>
      </c>
      <c r="E930" s="1152" t="n">
        <f aca="false">'Смета Расходов'!F1292</f>
        <v>350</v>
      </c>
      <c r="F930" s="1152" t="n">
        <f aca="false">'Смета Расходов'!G1292</f>
        <v>0</v>
      </c>
    </row>
    <row r="931" customFormat="false" ht="15" hidden="false" customHeight="false" outlineLevel="0" collapsed="false">
      <c r="A931" s="1139"/>
      <c r="B931" s="1152" t="str">
        <f aca="false">'Смета Расходов'!B1293</f>
        <v>лента дельта мульти бэнд</v>
      </c>
      <c r="C931" s="1153" t="str">
        <f aca="false">'Смета Расходов'!C1293</f>
        <v>шт</v>
      </c>
      <c r="D931" s="1152" t="n">
        <f aca="false">'Смета Расходов'!D1293</f>
        <v>1</v>
      </c>
      <c r="E931" s="1152" t="n">
        <f aca="false">'Смета Расходов'!F1293</f>
        <v>1200</v>
      </c>
      <c r="F931" s="1152" t="n">
        <f aca="false">'Смета Расходов'!G1293</f>
        <v>0</v>
      </c>
    </row>
    <row r="932" customFormat="false" ht="15" hidden="false" customHeight="false" outlineLevel="0" collapsed="false">
      <c r="A932" s="1139"/>
      <c r="B932" s="1152" t="str">
        <f aca="false">'Смета Расходов'!B1294</f>
        <v>лента дельта sb-60</v>
      </c>
      <c r="C932" s="1153" t="str">
        <f aca="false">'Смета Расходов'!C1294</f>
        <v>шт</v>
      </c>
      <c r="D932" s="1152" t="n">
        <f aca="false">'Смета Расходов'!D1294</f>
        <v>8.50189694113567</v>
      </c>
      <c r="E932" s="1152" t="n">
        <f aca="false">'Смета Расходов'!F1294</f>
        <v>1100</v>
      </c>
      <c r="F932" s="1152" t="n">
        <f aca="false">'Смета Расходов'!G1294</f>
        <v>0</v>
      </c>
    </row>
    <row r="933" customFormat="false" ht="15" hidden="false" customHeight="false" outlineLevel="0" collapsed="false">
      <c r="A933" s="1139"/>
      <c r="B933" s="1152" t="str">
        <f aca="false">'Смета Расходов'!B1295</f>
        <v>проходка кровельная, канализационная</v>
      </c>
      <c r="C933" s="1153" t="str">
        <f aca="false">'Смета Расходов'!C1295</f>
        <v>шт</v>
      </c>
      <c r="D933" s="1152" t="n">
        <f aca="false">'Смета Расходов'!D1295</f>
        <v>0</v>
      </c>
      <c r="E933" s="1152" t="n">
        <f aca="false">'Смета Расходов'!F1295</f>
        <v>3500</v>
      </c>
      <c r="F933" s="1152" t="n">
        <f aca="false">'Смета Расходов'!G1295</f>
        <v>0</v>
      </c>
    </row>
    <row r="934" customFormat="false" ht="15" hidden="false" customHeight="false" outlineLevel="0" collapsed="false">
      <c r="A934" s="1139"/>
      <c r="B934" s="1152" t="str">
        <f aca="false">'Смета Расходов'!B1296</f>
        <v>проходка кровельная, вентиляционная</v>
      </c>
      <c r="C934" s="1153" t="str">
        <f aca="false">'Смета Расходов'!C1296</f>
        <v>шт</v>
      </c>
      <c r="D934" s="1152" t="n">
        <f aca="false">'Смета Расходов'!D1296</f>
        <v>0</v>
      </c>
      <c r="E934" s="1152" t="n">
        <f aca="false">'Смета Расходов'!F1296</f>
        <v>3500</v>
      </c>
      <c r="F934" s="1152" t="n">
        <f aca="false">'Смета Расходов'!G1296</f>
        <v>0</v>
      </c>
    </row>
    <row r="935" customFormat="false" ht="15" hidden="false" customHeight="false" outlineLevel="0" collapsed="false">
      <c r="A935" s="1139"/>
      <c r="B935" s="1152" t="str">
        <f aca="false">'Смета Расходов'!B1297</f>
        <v>проодка кровельная, труба котел</v>
      </c>
      <c r="C935" s="1153" t="str">
        <f aca="false">'Смета Расходов'!C1297</f>
        <v>шт</v>
      </c>
      <c r="D935" s="1152" t="n">
        <f aca="false">'Смета Расходов'!D1297</f>
        <v>0</v>
      </c>
      <c r="E935" s="1152" t="n">
        <f aca="false">'Смета Расходов'!F1297</f>
        <v>4500</v>
      </c>
      <c r="F935" s="1152" t="n">
        <f aca="false">'Смета Расходов'!G1297</f>
        <v>0</v>
      </c>
    </row>
    <row r="936" customFormat="false" ht="15" hidden="false" customHeight="false" outlineLevel="0" collapsed="false">
      <c r="A936" s="1139"/>
      <c r="B936" s="1152" t="str">
        <f aca="false">'Смета Расходов'!B1298</f>
        <v>Кровельный саморез</v>
      </c>
      <c r="C936" s="1153" t="str">
        <f aca="false">'Смета Расходов'!C1298</f>
        <v>шт</v>
      </c>
      <c r="D936" s="1152" t="n">
        <f aca="false">'Смета Расходов'!D1298</f>
        <v>1530.34144940442</v>
      </c>
      <c r="E936" s="1152" t="n">
        <f aca="false">'Смета Расходов'!F1298</f>
        <v>2</v>
      </c>
      <c r="F936" s="1152" t="n">
        <f aca="false">'Смета Расходов'!G1298</f>
        <v>0</v>
      </c>
    </row>
    <row r="937" customFormat="false" ht="15" hidden="false" customHeight="false" outlineLevel="0" collapsed="false">
      <c r="A937" s="1139"/>
      <c r="B937" s="1152" t="str">
        <f aca="false">'Смета Расходов'!B1299</f>
        <v>Гвозди ершоные 3,4 x 60            </v>
      </c>
      <c r="C937" s="1153" t="str">
        <f aca="false">'Смета Расходов'!C1299</f>
        <v>кг</v>
      </c>
      <c r="D937" s="1152" t="n">
        <f aca="false">'Смета Расходов'!D1299</f>
        <v>12.4340242764109</v>
      </c>
      <c r="E937" s="1152" t="n">
        <f aca="false">'Смета Расходов'!F1299</f>
        <v>75.51</v>
      </c>
      <c r="F937" s="1152" t="n">
        <f aca="false">'Смета Расходов'!G1299</f>
        <v>0</v>
      </c>
    </row>
    <row r="938" customFormat="false" ht="15" hidden="false" customHeight="false" outlineLevel="0" collapsed="false">
      <c r="A938" s="1139"/>
      <c r="B938" s="1152" t="str">
        <f aca="false">'Смета Расходов'!B1300</f>
        <v>Гвозди ершоные 2,8 х 90            </v>
      </c>
      <c r="C938" s="1153" t="str">
        <f aca="false">'Смета Расходов'!C1300</f>
        <v>кг</v>
      </c>
      <c r="D938" s="1152" t="n">
        <f aca="false">'Смета Расходов'!D1300</f>
        <v>19.7282216217207</v>
      </c>
      <c r="E938" s="1152" t="n">
        <f aca="false">'Смета Расходов'!F1300</f>
        <v>76.49</v>
      </c>
      <c r="F938" s="1152" t="n">
        <f aca="false">'Смета Расходов'!G1300</f>
        <v>0</v>
      </c>
    </row>
    <row r="939" customFormat="false" ht="15" hidden="false" customHeight="false" outlineLevel="0" collapsed="false">
      <c r="A939" s="1139"/>
      <c r="B939" s="1152" t="str">
        <f aca="false">'Смета Расходов'!B1301</f>
        <v>Пластина соеденительная 100х240х2           </v>
      </c>
      <c r="C939" s="1153" t="str">
        <f aca="false">'Смета Расходов'!C1301</f>
        <v>шт</v>
      </c>
      <c r="D939" s="1152" t="n">
        <f aca="false">'Смета Расходов'!D1301</f>
        <v>18.2183505881479</v>
      </c>
      <c r="E939" s="1152" t="n">
        <f aca="false">'Смета Расходов'!F1301</f>
        <v>31.54</v>
      </c>
      <c r="F939" s="1152" t="n">
        <f aca="false">'Смета Расходов'!G1301</f>
        <v>0</v>
      </c>
    </row>
    <row r="940" customFormat="false" ht="15" hidden="false" customHeight="false" outlineLevel="0" collapsed="false">
      <c r="A940" s="1139"/>
      <c r="B940" s="1152" t="str">
        <f aca="false">'Смета Расходов'!B1302</f>
        <v>Уголок усиленный 90х70х55х2,5        </v>
      </c>
      <c r="C940" s="1153" t="str">
        <f aca="false">'Смета Расходов'!C1302</f>
        <v>шт</v>
      </c>
      <c r="D940" s="1152" t="n">
        <f aca="false">'Смета Расходов'!D1302</f>
        <v>255.05690823407</v>
      </c>
      <c r="E940" s="1152" t="n">
        <f aca="false">'Смета Расходов'!F1302</f>
        <v>30</v>
      </c>
      <c r="F940" s="1152" t="n">
        <f aca="false">'Смета Расходов'!G1302</f>
        <v>0</v>
      </c>
    </row>
    <row r="941" customFormat="false" ht="15" hidden="false" customHeight="false" outlineLevel="0" collapsed="false">
      <c r="A941" s="1139"/>
      <c r="B941" s="1154" t="s">
        <v>2309</v>
      </c>
      <c r="C941" s="1154"/>
      <c r="D941" s="1154"/>
      <c r="E941" s="1154"/>
      <c r="F941" s="1152" t="n">
        <f aca="false">SUM(F891:F940)</f>
        <v>0</v>
      </c>
    </row>
    <row r="942" customFormat="false" ht="18.75" hidden="false" customHeight="false" outlineLevel="0" collapsed="false">
      <c r="A942" s="1139"/>
      <c r="B942" s="1150" t="str">
        <f aca="false">'Смета Расходов'!B1324</f>
        <v>Элементы на кровле</v>
      </c>
      <c r="C942" s="1150"/>
      <c r="D942" s="1150"/>
      <c r="E942" s="1150"/>
      <c r="F942" s="1155" t="n">
        <f aca="false">'Смета Внутр'!H1324</f>
        <v>0</v>
      </c>
    </row>
    <row r="943" customFormat="false" ht="15" hidden="false" customHeight="false" outlineLevel="0" collapsed="false">
      <c r="A943" s="1139"/>
      <c r="B943" s="1156" t="s">
        <v>2246</v>
      </c>
      <c r="C943" s="1156"/>
      <c r="D943" s="1156"/>
      <c r="E943" s="1156"/>
      <c r="F943" s="1155" t="n">
        <f aca="false">'Смета Внутр'!H1325</f>
        <v>0</v>
      </c>
    </row>
    <row r="944" customFormat="false" ht="15" hidden="false" customHeight="false" outlineLevel="0" collapsed="false">
      <c r="A944" s="1139"/>
      <c r="B944" s="1152" t="str">
        <f aca="false">'Смета Расходов'!B1326</f>
        <v>Доска сухая, 200*50мм</v>
      </c>
      <c r="C944" s="1153" t="str">
        <f aca="false">'Смета Расходов'!C1326</f>
        <v>м3</v>
      </c>
      <c r="D944" s="1152" t="n">
        <f aca="false">'Смета Расходов'!D1326</f>
        <v>1.22337146290992</v>
      </c>
      <c r="E944" s="1152" t="n">
        <f aca="false">'Смета Расходов'!F1326</f>
        <v>9000</v>
      </c>
      <c r="F944" s="1152" t="n">
        <f aca="false">'Смета Расходов'!G1326</f>
        <v>0</v>
      </c>
    </row>
    <row r="945" customFormat="false" ht="15" hidden="false" customHeight="false" outlineLevel="0" collapsed="false">
      <c r="A945" s="1139"/>
      <c r="B945" s="1152" t="str">
        <f aca="false">'Смета Расходов'!B1327</f>
        <v>бугель, доска </v>
      </c>
      <c r="C945" s="1153" t="str">
        <f aca="false">'Смета Расходов'!C1327</f>
        <v>м3</v>
      </c>
      <c r="D945" s="1152" t="n">
        <f aca="false">'Смета Расходов'!D1327</f>
        <v>0.297</v>
      </c>
      <c r="E945" s="1152" t="n">
        <f aca="false">'Смета Расходов'!F1327</f>
        <v>9000</v>
      </c>
      <c r="F945" s="1152" t="n">
        <f aca="false">'Смета Расходов'!G1327</f>
        <v>0</v>
      </c>
    </row>
    <row r="946" customFormat="false" ht="15" hidden="false" customHeight="false" outlineLevel="0" collapsed="false">
      <c r="A946" s="1139"/>
      <c r="B946" s="1152" t="str">
        <f aca="false">'Смета Расходов'!B1328</f>
        <v>стойка под конек</v>
      </c>
      <c r="C946" s="1153" t="str">
        <f aca="false">'Смета Расходов'!C1328</f>
        <v>м3</v>
      </c>
      <c r="D946" s="1152" t="n">
        <f aca="false">'Смета Расходов'!D1328</f>
        <v>0.421770876399966</v>
      </c>
      <c r="E946" s="1152" t="n">
        <f aca="false">'Смета Расходов'!F1328</f>
        <v>9000</v>
      </c>
      <c r="F946" s="1152" t="n">
        <f aca="false">'Смета Расходов'!G1328</f>
        <v>0</v>
      </c>
    </row>
    <row r="947" customFormat="false" ht="15" hidden="false" customHeight="false" outlineLevel="0" collapsed="false">
      <c r="A947" s="1139"/>
      <c r="B947" s="1152" t="str">
        <f aca="false">'Смета Расходов'!B1329</f>
        <v>Сосна влаж,100*25мм</v>
      </c>
      <c r="C947" s="1153" t="str">
        <f aca="false">'Смета Расходов'!C1329</f>
        <v>м3</v>
      </c>
      <c r="D947" s="1152" t="n">
        <f aca="false">'Смета Расходов'!D1329</f>
        <v>0.50612505167996</v>
      </c>
      <c r="E947" s="1152" t="n">
        <f aca="false">'Смета Расходов'!F1329</f>
        <v>6500</v>
      </c>
      <c r="F947" s="1152" t="n">
        <f aca="false">'Смета Расходов'!G1329</f>
        <v>0</v>
      </c>
    </row>
    <row r="948" customFormat="false" ht="15" hidden="false" customHeight="false" outlineLevel="0" collapsed="false">
      <c r="A948" s="1139"/>
      <c r="B948" s="1152" t="str">
        <f aca="false">'Смета Расходов'!B1330</f>
        <v>Доска сухая, калибр., 35*45мм</v>
      </c>
      <c r="C948" s="1153" t="str">
        <f aca="false">'Смета Расходов'!C1330</f>
        <v>шт</v>
      </c>
      <c r="D948" s="1152" t="n">
        <f aca="false">'Смета Расходов'!D1330</f>
        <v>0.116250597807741</v>
      </c>
      <c r="E948" s="1152" t="n">
        <f aca="false">'Смета Расходов'!F1330</f>
        <v>12500</v>
      </c>
      <c r="F948" s="1152" t="n">
        <f aca="false">'Смета Расходов'!G1330</f>
        <v>0</v>
      </c>
    </row>
    <row r="949" customFormat="false" ht="15" hidden="false" customHeight="false" outlineLevel="0" collapsed="false">
      <c r="A949" s="1139"/>
      <c r="B949" s="1152" t="str">
        <f aca="false">'Смета Расходов'!B1331</f>
        <v>нет ветроизоляции</v>
      </c>
      <c r="C949" s="1153" t="str">
        <f aca="false">'Смета Расходов'!C1331</f>
        <v>м2</v>
      </c>
      <c r="D949" s="1152" t="n">
        <f aca="false">'Смета Расходов'!D1331</f>
        <v>24.0409399547981</v>
      </c>
      <c r="E949" s="1152" t="n">
        <f aca="false">'Смета Расходов'!F1331</f>
        <v>0</v>
      </c>
      <c r="F949" s="1152" t="n">
        <f aca="false">'Смета Расходов'!G1331</f>
        <v>0</v>
      </c>
    </row>
    <row r="950" customFormat="false" ht="15" hidden="false" customHeight="false" outlineLevel="0" collapsed="false">
      <c r="A950" s="1139"/>
      <c r="B950" s="1152" t="str">
        <f aca="false">'Смета Расходов'!B1332</f>
        <v>нет пароизоляции</v>
      </c>
      <c r="C950" s="1153" t="str">
        <f aca="false">'Смета Расходов'!C1332</f>
        <v>м2</v>
      </c>
      <c r="D950" s="1152" t="n">
        <f aca="false">'Смета Расходов'!D1332</f>
        <v>22.0375282918982</v>
      </c>
      <c r="E950" s="1152" t="n">
        <f aca="false">'Смета Расходов'!F1332</f>
        <v>0</v>
      </c>
      <c r="F950" s="1152" t="n">
        <f aca="false">'Смета Расходов'!G1332</f>
        <v>0</v>
      </c>
    </row>
    <row r="951" customFormat="false" ht="15" hidden="false" customHeight="false" outlineLevel="0" collapsed="false">
      <c r="A951" s="1139"/>
      <c r="B951" s="1152" t="str">
        <f aca="false">'Смета Расходов'!B1333</f>
        <v>Плитный,28кг/м3, технониколь, 100мм</v>
      </c>
      <c r="C951" s="1153" t="str">
        <f aca="false">'Смета Расходов'!C1333</f>
        <v>м3</v>
      </c>
      <c r="D951" s="1152" t="n">
        <f aca="false">'Смета Расходов'!D1333</f>
        <v>2.00341166289984</v>
      </c>
      <c r="E951" s="1152" t="n">
        <f aca="false">'Смета Расходов'!F1333</f>
        <v>1700</v>
      </c>
      <c r="F951" s="1152" t="n">
        <f aca="false">'Смета Расходов'!G1333</f>
        <v>0</v>
      </c>
    </row>
    <row r="952" customFormat="false" ht="15" hidden="false" customHeight="false" outlineLevel="0" collapsed="false">
      <c r="A952" s="1139"/>
      <c r="B952" s="1152" t="str">
        <f aca="false">'Смета Расходов'!B1334</f>
        <v>Металлочерепица</v>
      </c>
      <c r="C952" s="1153" t="str">
        <f aca="false">'Смета Расходов'!C1334</f>
        <v>м2</v>
      </c>
      <c r="D952" s="1152" t="n">
        <f aca="false">'Смета Расходов'!D1334</f>
        <v>28.0477632805978</v>
      </c>
      <c r="E952" s="1152" t="n">
        <f aca="false">'Смета Расходов'!F1334</f>
        <v>250</v>
      </c>
      <c r="F952" s="1152" t="n">
        <f aca="false">'Смета Расходов'!G1334</f>
        <v>0</v>
      </c>
    </row>
    <row r="953" customFormat="false" ht="15" hidden="false" customHeight="false" outlineLevel="0" collapsed="false">
      <c r="A953" s="1139"/>
      <c r="B953" s="1152" t="str">
        <f aca="false">'Смета Расходов'!B1335</f>
        <v>Карнизная планка</v>
      </c>
      <c r="C953" s="1153" t="str">
        <f aca="false">'Смета Расходов'!C1335</f>
        <v>м.п.</v>
      </c>
      <c r="D953" s="1152" t="n">
        <f aca="false">'Смета Расходов'!D1335</f>
        <v>4</v>
      </c>
      <c r="E953" s="1152" t="n">
        <f aca="false">'Смета Расходов'!F1335</f>
        <v>200</v>
      </c>
      <c r="F953" s="1152" t="n">
        <f aca="false">'Смета Расходов'!G1335</f>
        <v>0</v>
      </c>
    </row>
    <row r="954" customFormat="false" ht="15" hidden="false" customHeight="false" outlineLevel="0" collapsed="false">
      <c r="A954" s="1139"/>
      <c r="B954" s="1152" t="str">
        <f aca="false">'Смета Расходов'!B1336</f>
        <v>Торцевая планка</v>
      </c>
      <c r="C954" s="1153" t="str">
        <f aca="false">'Смета Расходов'!C1336</f>
        <v>м.п.</v>
      </c>
      <c r="D954" s="1152" t="n">
        <f aca="false">'Смета Расходов'!D1336</f>
        <v>10.5442719099992</v>
      </c>
      <c r="E954" s="1152" t="n">
        <f aca="false">'Смета Расходов'!F1336</f>
        <v>200</v>
      </c>
      <c r="F954" s="1152" t="n">
        <f aca="false">'Смета Расходов'!G1336</f>
        <v>0</v>
      </c>
    </row>
    <row r="955" customFormat="false" ht="15" hidden="false" customHeight="false" outlineLevel="0" collapsed="false">
      <c r="A955" s="1139"/>
      <c r="B955" s="1152" t="str">
        <f aca="false">'Смета Расходов'!B1337</f>
        <v>Конек</v>
      </c>
      <c r="C955" s="1153" t="str">
        <f aca="false">'Смета Расходов'!C1337</f>
        <v>м.п.</v>
      </c>
      <c r="D955" s="1152" t="n">
        <f aca="false">'Смета Расходов'!D1337</f>
        <v>4.8</v>
      </c>
      <c r="E955" s="1152" t="n">
        <f aca="false">'Смета Расходов'!F1337</f>
        <v>230</v>
      </c>
      <c r="F955" s="1152" t="n">
        <f aca="false">'Смета Расходов'!G1337</f>
        <v>0</v>
      </c>
    </row>
    <row r="956" customFormat="false" ht="15" hidden="false" customHeight="false" outlineLevel="0" collapsed="false">
      <c r="A956" s="1139"/>
      <c r="B956" s="1152" t="str">
        <f aca="false">'Смета Расходов'!B1338</f>
        <v>Ендова нижняя</v>
      </c>
      <c r="C956" s="1153" t="str">
        <f aca="false">'Смета Расходов'!C1338</f>
        <v>м.п.</v>
      </c>
      <c r="D956" s="1152" t="n">
        <f aca="false">'Смета Расходов'!D1338</f>
        <v>12.1426168033242</v>
      </c>
      <c r="E956" s="1152" t="n">
        <f aca="false">'Смета Расходов'!F1338</f>
        <v>160</v>
      </c>
      <c r="F956" s="1152" t="n">
        <f aca="false">'Смета Расходов'!G1338</f>
        <v>0</v>
      </c>
    </row>
    <row r="957" customFormat="false" ht="15" hidden="false" customHeight="false" outlineLevel="0" collapsed="false">
      <c r="A957" s="1139"/>
      <c r="B957" s="1152" t="str">
        <f aca="false">'Смета Расходов'!B1339</f>
        <v>Ендова верхняя</v>
      </c>
      <c r="C957" s="1153" t="str">
        <f aca="false">'Смета Расходов'!C1339</f>
        <v>м.п.</v>
      </c>
      <c r="D957" s="1152" t="n">
        <f aca="false">'Смета Расходов'!D1339</f>
        <v>12.1426168033242</v>
      </c>
      <c r="E957" s="1152" t="n">
        <f aca="false">'Смета Расходов'!F1339</f>
        <v>190</v>
      </c>
      <c r="F957" s="1152" t="n">
        <f aca="false">'Смета Расходов'!G1339</f>
        <v>0</v>
      </c>
    </row>
    <row r="958" customFormat="false" ht="15" hidden="false" customHeight="false" outlineLevel="0" collapsed="false">
      <c r="A958" s="1139"/>
      <c r="B958" s="1152" t="str">
        <f aca="false">'Смета Расходов'!B1340</f>
        <v>ондулин</v>
      </c>
      <c r="C958" s="1153" t="str">
        <f aca="false">'Смета Расходов'!C1340</f>
        <v>м2</v>
      </c>
      <c r="D958" s="1152" t="n">
        <f aca="false">'Смета Расходов'!D1340</f>
        <v>0</v>
      </c>
      <c r="E958" s="1152" t="n">
        <f aca="false">'Смета Расходов'!F1340</f>
        <v>180</v>
      </c>
      <c r="F958" s="1152" t="n">
        <f aca="false">'Смета Расходов'!G1340</f>
        <v>0</v>
      </c>
    </row>
    <row r="959" customFormat="false" ht="15" hidden="false" customHeight="false" outlineLevel="0" collapsed="false">
      <c r="A959" s="1139"/>
      <c r="B959" s="1152" t="str">
        <f aca="false">'Смета Расходов'!B1341</f>
        <v>Карнизная планка</v>
      </c>
      <c r="C959" s="1153" t="str">
        <f aca="false">'Смета Расходов'!C1341</f>
        <v>м.п.</v>
      </c>
      <c r="D959" s="1152" t="n">
        <f aca="false">'Смета Расходов'!D1341</f>
        <v>0</v>
      </c>
      <c r="E959" s="1152" t="n">
        <f aca="false">'Смета Расходов'!F1341</f>
        <v>190</v>
      </c>
      <c r="F959" s="1152" t="n">
        <f aca="false">'Смета Расходов'!G1341</f>
        <v>0</v>
      </c>
    </row>
    <row r="960" customFormat="false" ht="15" hidden="false" customHeight="false" outlineLevel="0" collapsed="false">
      <c r="A960" s="1139"/>
      <c r="B960" s="1152" t="str">
        <f aca="false">'Смета Расходов'!B1342</f>
        <v>Торцевая планка</v>
      </c>
      <c r="C960" s="1153" t="str">
        <f aca="false">'Смета Расходов'!C1342</f>
        <v>м.п.</v>
      </c>
      <c r="D960" s="1152" t="n">
        <f aca="false">'Смета Расходов'!D1342</f>
        <v>0</v>
      </c>
      <c r="E960" s="1152" t="n">
        <f aca="false">'Смета Расходов'!F1342</f>
        <v>190</v>
      </c>
      <c r="F960" s="1152" t="n">
        <f aca="false">'Смета Расходов'!G1342</f>
        <v>0</v>
      </c>
    </row>
    <row r="961" customFormat="false" ht="15" hidden="false" customHeight="false" outlineLevel="0" collapsed="false">
      <c r="A961" s="1139"/>
      <c r="B961" s="1152" t="str">
        <f aca="false">'Смета Расходов'!B1343</f>
        <v>Конек</v>
      </c>
      <c r="C961" s="1153" t="str">
        <f aca="false">'Смета Расходов'!C1343</f>
        <v>м.п.</v>
      </c>
      <c r="D961" s="1152" t="n">
        <f aca="false">'Смета Расходов'!D1343</f>
        <v>0</v>
      </c>
      <c r="E961" s="1152" t="n">
        <f aca="false">'Смета Расходов'!F1343</f>
        <v>200</v>
      </c>
      <c r="F961" s="1152" t="n">
        <f aca="false">'Смета Расходов'!G1343</f>
        <v>0</v>
      </c>
    </row>
    <row r="962" customFormat="false" ht="15" hidden="false" customHeight="false" outlineLevel="0" collapsed="false">
      <c r="A962" s="1139"/>
      <c r="B962" s="1152" t="str">
        <f aca="false">'Смета Расходов'!B1344</f>
        <v>Ендова нижняя</v>
      </c>
      <c r="C962" s="1153" t="str">
        <f aca="false">'Смета Расходов'!C1344</f>
        <v>м.п.</v>
      </c>
      <c r="D962" s="1152" t="n">
        <f aca="false">'Смета Расходов'!D1344</f>
        <v>0</v>
      </c>
      <c r="E962" s="1152" t="n">
        <f aca="false">'Смета Расходов'!F1344</f>
        <v>160</v>
      </c>
      <c r="F962" s="1152" t="n">
        <f aca="false">'Смета Расходов'!G1344</f>
        <v>0</v>
      </c>
    </row>
    <row r="963" customFormat="false" ht="15" hidden="false" customHeight="false" outlineLevel="0" collapsed="false">
      <c r="A963" s="1139"/>
      <c r="B963" s="1152" t="str">
        <f aca="false">'Смета Расходов'!B1345</f>
        <v>Ендова верхняя</v>
      </c>
      <c r="C963" s="1153" t="str">
        <f aca="false">'Смета Расходов'!C1345</f>
        <v>м.п.</v>
      </c>
      <c r="D963" s="1152" t="n">
        <f aca="false">'Смета Расходов'!D1345</f>
        <v>0</v>
      </c>
      <c r="E963" s="1152" t="n">
        <f aca="false">'Смета Расходов'!F1345</f>
        <v>190</v>
      </c>
      <c r="F963" s="1152" t="n">
        <f aca="false">'Смета Расходов'!G1345</f>
        <v>0</v>
      </c>
    </row>
    <row r="964" customFormat="false" ht="15" hidden="false" customHeight="false" outlineLevel="0" collapsed="false">
      <c r="A964" s="1139"/>
      <c r="B964" s="1152" t="str">
        <f aca="false">'Смета Расходов'!B1346</f>
        <v>Планка примыкания</v>
      </c>
      <c r="C964" s="1153" t="str">
        <f aca="false">'Смета Расходов'!C1346</f>
        <v>м.п.</v>
      </c>
      <c r="D964" s="1152" t="n">
        <f aca="false">'Смета Расходов'!D1346</f>
        <v>0</v>
      </c>
      <c r="E964" s="1152" t="n">
        <f aca="false">'Смета Расходов'!F1346</f>
        <v>190</v>
      </c>
      <c r="F964" s="1152" t="n">
        <f aca="false">'Смета Расходов'!G1346</f>
        <v>0</v>
      </c>
    </row>
    <row r="965" customFormat="false" ht="15" hidden="false" customHeight="false" outlineLevel="0" collapsed="false">
      <c r="A965" s="1139"/>
      <c r="B965" s="1152" t="str">
        <f aca="false">'Смета Расходов'!B1347</f>
        <v>Крепеж для ондулина</v>
      </c>
      <c r="C965" s="1153" t="str">
        <f aca="false">'Смета Расходов'!C1347</f>
        <v>шт</v>
      </c>
      <c r="D965" s="1152" t="n">
        <f aca="false">'Смета Расходов'!D1347</f>
        <v>0</v>
      </c>
      <c r="E965" s="1152" t="n">
        <f aca="false">'Смета Расходов'!F1347</f>
        <v>4.5</v>
      </c>
      <c r="F965" s="1152" t="n">
        <f aca="false">'Смета Расходов'!G1347</f>
        <v>0</v>
      </c>
    </row>
    <row r="966" customFormat="false" ht="15" hidden="false" customHeight="false" outlineLevel="0" collapsed="false">
      <c r="A966" s="1139"/>
      <c r="B966" s="1152" t="str">
        <f aca="false">'Смета Расходов'!B1348</f>
        <v>Фанера Березовая марка ФК - влагостойкая,  18 мм </v>
      </c>
      <c r="C966" s="1153" t="str">
        <f aca="false">'Смета Расходов'!C1348</f>
        <v>м2</v>
      </c>
      <c r="D966" s="1152" t="n">
        <f aca="false">'Смета Расходов'!D1348</f>
        <v>22.0375282918982</v>
      </c>
      <c r="E966" s="1152" t="n">
        <f aca="false">'Смета Расходов'!F1348</f>
        <v>533.333333333333</v>
      </c>
      <c r="F966" s="1152" t="n">
        <f aca="false">'Смета Расходов'!G1348</f>
        <v>0</v>
      </c>
    </row>
    <row r="967" customFormat="false" ht="15" hidden="false" customHeight="false" outlineLevel="0" collapsed="false">
      <c r="A967" s="1139"/>
      <c r="B967" s="1152" t="str">
        <f aca="false">'Смета Расходов'!B1349</f>
        <v>Рядовая черепица</v>
      </c>
      <c r="C967" s="1153" t="str">
        <f aca="false">'Смета Расходов'!C1349</f>
        <v>м2</v>
      </c>
      <c r="D967" s="1152" t="n">
        <f aca="false">'Смета Расходов'!D1349</f>
        <v>0</v>
      </c>
      <c r="E967" s="1152" t="n">
        <f aca="false">'Смета Расходов'!F1349</f>
        <v>360</v>
      </c>
      <c r="F967" s="1152" t="n">
        <f aca="false">'Смета Расходов'!G1349</f>
        <v>0</v>
      </c>
    </row>
    <row r="968" customFormat="false" ht="15" hidden="false" customHeight="false" outlineLevel="0" collapsed="false">
      <c r="A968" s="1139"/>
      <c r="B968" s="1152" t="str">
        <f aca="false">'Смета Расходов'!B1350</f>
        <v>Металл оцинк защита (карниз)</v>
      </c>
      <c r="C968" s="1153" t="str">
        <f aca="false">'Смета Расходов'!C1350</f>
        <v>м.п.</v>
      </c>
      <c r="D968" s="1152" t="n">
        <f aca="false">'Смета Расходов'!D1350</f>
        <v>0</v>
      </c>
      <c r="E968" s="1152" t="n">
        <f aca="false">'Смета Расходов'!F1350</f>
        <v>200</v>
      </c>
      <c r="F968" s="1152" t="n">
        <f aca="false">'Смета Расходов'!G1350</f>
        <v>0</v>
      </c>
    </row>
    <row r="969" customFormat="false" ht="15" hidden="false" customHeight="false" outlineLevel="0" collapsed="false">
      <c r="A969" s="1139"/>
      <c r="B969" s="1152" t="str">
        <f aca="false">'Смета Расходов'!B1351</f>
        <v>Подкладочный ковер</v>
      </c>
      <c r="C969" s="1153" t="str">
        <f aca="false">'Смета Расходов'!C1351</f>
        <v>м.п.</v>
      </c>
      <c r="D969" s="1152" t="n">
        <f aca="false">'Смета Расходов'!D1351</f>
        <v>0</v>
      </c>
      <c r="E969" s="1152" t="n">
        <f aca="false">'Смета Расходов'!F1351</f>
        <v>220</v>
      </c>
      <c r="F969" s="1152" t="n">
        <f aca="false">'Смета Расходов'!G1351</f>
        <v>0</v>
      </c>
    </row>
    <row r="970" customFormat="false" ht="15" hidden="false" customHeight="false" outlineLevel="0" collapsed="false">
      <c r="A970" s="1139"/>
      <c r="B970" s="1152" t="str">
        <f aca="false">'Смета Расходов'!B1352</f>
        <v>Карнизная самоклеющаяся черепица</v>
      </c>
      <c r="C970" s="1153" t="str">
        <f aca="false">'Смета Расходов'!C1352</f>
        <v>м.п.</v>
      </c>
      <c r="D970" s="1152" t="n">
        <f aca="false">'Смета Расходов'!D1352</f>
        <v>0</v>
      </c>
      <c r="E970" s="1152" t="n">
        <f aca="false">'Смета Расходов'!F1352</f>
        <v>220</v>
      </c>
      <c r="F970" s="1152" t="n">
        <f aca="false">'Смета Расходов'!G1352</f>
        <v>0</v>
      </c>
    </row>
    <row r="971" customFormat="false" ht="15" hidden="false" customHeight="false" outlineLevel="0" collapsed="false">
      <c r="A971" s="1139"/>
      <c r="B971" s="1152" t="str">
        <f aca="false">'Смета Расходов'!B1353</f>
        <v>Спец ковер ендова нижняя</v>
      </c>
      <c r="C971" s="1153" t="str">
        <f aca="false">'Смета Расходов'!C1353</f>
        <v>м.п.</v>
      </c>
      <c r="D971" s="1152" t="n">
        <f aca="false">'Смета Расходов'!D1353</f>
        <v>0</v>
      </c>
      <c r="E971" s="1152" t="n">
        <f aca="false">'Смета Расходов'!F1353</f>
        <v>200</v>
      </c>
      <c r="F971" s="1152" t="n">
        <f aca="false">'Смета Расходов'!G1353</f>
        <v>0</v>
      </c>
    </row>
    <row r="972" customFormat="false" ht="15" hidden="false" customHeight="false" outlineLevel="0" collapsed="false">
      <c r="A972" s="1139"/>
      <c r="B972" s="1152" t="str">
        <f aca="false">'Смета Расходов'!B1354</f>
        <v>Коньковой элемент</v>
      </c>
      <c r="C972" s="1153" t="str">
        <f aca="false">'Смета Расходов'!C1354</f>
        <v>м.п.</v>
      </c>
      <c r="D972" s="1152" t="n">
        <f aca="false">'Смета Расходов'!D1354</f>
        <v>0</v>
      </c>
      <c r="E972" s="1152" t="n">
        <f aca="false">'Смета Расходов'!F1354</f>
        <v>250</v>
      </c>
      <c r="F972" s="1152" t="n">
        <f aca="false">'Смета Расходов'!G1354</f>
        <v>0</v>
      </c>
    </row>
    <row r="973" customFormat="false" ht="15" hidden="false" customHeight="false" outlineLevel="0" collapsed="false">
      <c r="A973" s="1139"/>
      <c r="B973" s="1152" t="str">
        <f aca="false">'Смета Расходов'!B1355</f>
        <v>Планка премыкания</v>
      </c>
      <c r="C973" s="1153" t="str">
        <f aca="false">'Смета Расходов'!C1355</f>
        <v>м.п.</v>
      </c>
      <c r="D973" s="1152" t="n">
        <f aca="false">'Смета Расходов'!D1355</f>
        <v>0</v>
      </c>
      <c r="E973" s="1152" t="n">
        <f aca="false">'Смета Расходов'!F1355</f>
        <v>200</v>
      </c>
      <c r="F973" s="1152" t="n">
        <f aca="false">'Смета Расходов'!G1355</f>
        <v>0</v>
      </c>
    </row>
    <row r="974" customFormat="false" ht="15" hidden="false" customHeight="false" outlineLevel="0" collapsed="false">
      <c r="A974" s="1139"/>
      <c r="B974" s="1152" t="str">
        <f aca="false">'Смета Расходов'!B1356</f>
        <v>Гвозди для крепления подкладочного ковра</v>
      </c>
      <c r="C974" s="1153" t="str">
        <f aca="false">'Смета Расходов'!C1356</f>
        <v>шт</v>
      </c>
      <c r="D974" s="1152" t="n">
        <f aca="false">'Смета Расходов'!D1356</f>
        <v>0</v>
      </c>
      <c r="E974" s="1152" t="n">
        <f aca="false">'Смета Расходов'!F1356</f>
        <v>0.012</v>
      </c>
      <c r="F974" s="1152" t="n">
        <f aca="false">'Смета Расходов'!G1356</f>
        <v>0</v>
      </c>
    </row>
    <row r="975" customFormat="false" ht="15" hidden="false" customHeight="false" outlineLevel="0" collapsed="false">
      <c r="A975" s="1139"/>
      <c r="B975" s="1152" t="str">
        <f aca="false">'Смета Расходов'!B1357</f>
        <v>Гвозди для крепления черепицы</v>
      </c>
      <c r="C975" s="1153" t="str">
        <f aca="false">'Смета Расходов'!C1357</f>
        <v>шт</v>
      </c>
      <c r="D975" s="1152" t="n">
        <f aca="false">'Смета Расходов'!D1357</f>
        <v>0</v>
      </c>
      <c r="E975" s="1152" t="n">
        <f aca="false">'Смета Расходов'!F1357</f>
        <v>0.25</v>
      </c>
      <c r="F975" s="1152" t="n">
        <f aca="false">'Смета Расходов'!G1357</f>
        <v>0</v>
      </c>
    </row>
    <row r="976" customFormat="false" ht="15" hidden="false" customHeight="false" outlineLevel="0" collapsed="false">
      <c r="A976" s="1139"/>
      <c r="B976" s="1152" t="str">
        <f aca="false">'Смета Расходов'!B1358</f>
        <v>Клей для монтажа черепицы</v>
      </c>
      <c r="C976" s="1153" t="str">
        <f aca="false">'Смета Расходов'!C1358</f>
        <v>кг</v>
      </c>
      <c r="D976" s="1152" t="n">
        <f aca="false">'Смета Расходов'!D1358</f>
        <v>0</v>
      </c>
      <c r="E976" s="1152" t="n">
        <f aca="false">'Смета Расходов'!F1358</f>
        <v>250</v>
      </c>
      <c r="F976" s="1152" t="n">
        <f aca="false">'Смета Расходов'!G1358</f>
        <v>0</v>
      </c>
    </row>
    <row r="977" customFormat="false" ht="15" hidden="false" customHeight="false" outlineLevel="0" collapsed="false">
      <c r="A977" s="1139"/>
      <c r="B977" s="1152" t="str">
        <f aca="false">'Смета Расходов'!B1359</f>
        <v>лента дельта мульти бэнд</v>
      </c>
      <c r="C977" s="1153" t="str">
        <f aca="false">'Смета Расходов'!C1359</f>
        <v>шт</v>
      </c>
      <c r="D977" s="1152" t="n">
        <f aca="false">'Смета Расходов'!D1359</f>
        <v>1.6695097190832</v>
      </c>
      <c r="E977" s="1152" t="n">
        <f aca="false">'Смета Расходов'!F1359</f>
        <v>1200</v>
      </c>
      <c r="F977" s="1152" t="n">
        <f aca="false">'Смета Расходов'!G1359</f>
        <v>0</v>
      </c>
    </row>
    <row r="978" customFormat="false" ht="15" hidden="false" customHeight="false" outlineLevel="0" collapsed="false">
      <c r="A978" s="1139"/>
      <c r="B978" s="1152" t="str">
        <f aca="false">'Смета Расходов'!B1360</f>
        <v>лента дельта sb-60</v>
      </c>
      <c r="C978" s="1153" t="str">
        <f aca="false">'Смета Расходов'!C1360</f>
        <v>шт</v>
      </c>
      <c r="D978" s="1152" t="n">
        <f aca="false">'Смета Расходов'!D1360</f>
        <v>0.801364665159936</v>
      </c>
      <c r="E978" s="1152" t="n">
        <f aca="false">'Смета Расходов'!F1360</f>
        <v>1100</v>
      </c>
      <c r="F978" s="1152" t="n">
        <f aca="false">'Смета Расходов'!G1360</f>
        <v>0</v>
      </c>
    </row>
    <row r="979" customFormat="false" ht="15" hidden="false" customHeight="false" outlineLevel="0" collapsed="false">
      <c r="A979" s="1139"/>
      <c r="B979" s="1152" t="str">
        <f aca="false">'Смета Расходов'!B1361</f>
        <v>Кровельный саморез</v>
      </c>
      <c r="C979" s="1153" t="str">
        <f aca="false">'Смета Расходов'!C1361</f>
        <v>шт</v>
      </c>
      <c r="D979" s="1152" t="n">
        <f aca="false">'Смета Расходов'!D1361</f>
        <v>240.409399547981</v>
      </c>
      <c r="E979" s="1152" t="n">
        <f aca="false">'Смета Расходов'!F1361</f>
        <v>2</v>
      </c>
      <c r="F979" s="1152" t="n">
        <f aca="false">'Смета Расходов'!G1361</f>
        <v>0</v>
      </c>
    </row>
    <row r="980" customFormat="false" ht="15" hidden="false" customHeight="false" outlineLevel="0" collapsed="false">
      <c r="A980" s="1139"/>
      <c r="B980" s="1152" t="str">
        <f aca="false">'Смета Расходов'!B1362</f>
        <v>Гвозди ершоные 3,4 x 60            </v>
      </c>
      <c r="C980" s="1153" t="str">
        <f aca="false">'Смета Расходов'!C1362</f>
        <v>кг</v>
      </c>
      <c r="D980" s="1152" t="n">
        <f aca="false">'Смета Расходов'!D1362</f>
        <v>7.5918757751994</v>
      </c>
      <c r="E980" s="1152" t="n">
        <f aca="false">'Смета Расходов'!F1362</f>
        <v>75.51</v>
      </c>
      <c r="F980" s="1152" t="n">
        <f aca="false">'Смета Расходов'!G1362</f>
        <v>0</v>
      </c>
    </row>
    <row r="981" customFormat="false" ht="15" hidden="false" customHeight="false" outlineLevel="0" collapsed="false">
      <c r="A981" s="1139"/>
      <c r="B981" s="1152" t="str">
        <f aca="false">'Смета Расходов'!B1363</f>
        <v>Гвозди ершоные 2,8 х 90            </v>
      </c>
      <c r="C981" s="1153" t="str">
        <f aca="false">'Смета Расходов'!C1363</f>
        <v>кг</v>
      </c>
      <c r="D981" s="1152" t="n">
        <f aca="false">'Смета Расходов'!D1363</f>
        <v>19.4214233930988</v>
      </c>
      <c r="E981" s="1152" t="n">
        <f aca="false">'Смета Расходов'!F1363</f>
        <v>76.49</v>
      </c>
      <c r="F981" s="1152" t="n">
        <f aca="false">'Смета Расходов'!G1363</f>
        <v>0</v>
      </c>
    </row>
    <row r="982" customFormat="false" ht="15" hidden="false" customHeight="false" outlineLevel="0" collapsed="false">
      <c r="A982" s="1139"/>
      <c r="B982" s="1152" t="str">
        <f aca="false">'Смета Расходов'!B1364</f>
        <v>Пластина соеденительная 100х240х2           </v>
      </c>
      <c r="C982" s="1153" t="str">
        <f aca="false">'Смета Расходов'!C1364</f>
        <v>шт</v>
      </c>
      <c r="D982" s="1152" t="n">
        <f aca="false">'Смета Расходов'!D1364</f>
        <v>18</v>
      </c>
      <c r="E982" s="1152" t="n">
        <f aca="false">'Смета Расходов'!F1364</f>
        <v>31.54</v>
      </c>
      <c r="F982" s="1152" t="n">
        <f aca="false">'Смета Расходов'!G1364</f>
        <v>0</v>
      </c>
    </row>
    <row r="983" customFormat="false" ht="15" hidden="false" customHeight="false" outlineLevel="0" collapsed="false">
      <c r="A983" s="1139"/>
      <c r="B983" s="1152" t="str">
        <f aca="false">'Смета Расходов'!B1365</f>
        <v>Уголок усиленный 90х70х55х2,5        </v>
      </c>
      <c r="C983" s="1153" t="str">
        <f aca="false">'Смета Расходов'!C1365</f>
        <v>шт</v>
      </c>
      <c r="D983" s="1152" t="n">
        <f aca="false">'Смета Расходов'!D1365</f>
        <v>18</v>
      </c>
      <c r="E983" s="1152" t="n">
        <f aca="false">'Смета Расходов'!F1365</f>
        <v>30</v>
      </c>
      <c r="F983" s="1152" t="n">
        <f aca="false">'Смета Расходов'!G1365</f>
        <v>0</v>
      </c>
    </row>
    <row r="984" customFormat="false" ht="15" hidden="false" customHeight="false" outlineLevel="0" collapsed="false">
      <c r="A984" s="1139"/>
      <c r="B984" s="1154" t="s">
        <v>2309</v>
      </c>
      <c r="C984" s="1154"/>
      <c r="D984" s="1154"/>
      <c r="E984" s="1154"/>
      <c r="F984" s="1152" t="n">
        <f aca="false">SUM(F944:F983)</f>
        <v>0</v>
      </c>
    </row>
    <row r="985" customFormat="false" ht="18.75" hidden="false" customHeight="false" outlineLevel="0" collapsed="false">
      <c r="A985" s="1139"/>
      <c r="B985" s="1150" t="str">
        <f aca="false">'Смета Расходов'!B1382</f>
        <v>Кровля на пристройке</v>
      </c>
      <c r="C985" s="1150"/>
      <c r="D985" s="1150"/>
      <c r="E985" s="1150"/>
      <c r="F985" s="1155" t="n">
        <f aca="false">'Смета Внутр'!H1382</f>
        <v>0</v>
      </c>
    </row>
    <row r="986" customFormat="false" ht="15" hidden="false" customHeight="false" outlineLevel="0" collapsed="false">
      <c r="A986" s="1139"/>
      <c r="B986" s="1156" t="s">
        <v>2246</v>
      </c>
      <c r="C986" s="1156"/>
      <c r="D986" s="1156"/>
      <c r="E986" s="1156"/>
      <c r="F986" s="1155" t="n">
        <f aca="false">'Смета Внутр'!H1383</f>
        <v>0</v>
      </c>
    </row>
    <row r="987" customFormat="false" ht="15" hidden="false" customHeight="false" outlineLevel="0" collapsed="false">
      <c r="A987" s="1139"/>
      <c r="B987" s="1152" t="str">
        <f aca="false">'Смета Расходов'!B1384</f>
        <v>Доска сухая калиброванная, 190*45мм</v>
      </c>
      <c r="C987" s="1153" t="str">
        <f aca="false">'Смета Расходов'!C1384</f>
        <v>м3</v>
      </c>
      <c r="D987" s="1152" t="n">
        <f aca="false">'Смета Расходов'!D1384</f>
        <v>0</v>
      </c>
      <c r="E987" s="1152" t="n">
        <f aca="false">'Смета Расходов'!F1384</f>
        <v>12500</v>
      </c>
      <c r="F987" s="1152" t="n">
        <f aca="false">'Смета Расходов'!G1384</f>
        <v>0</v>
      </c>
    </row>
    <row r="988" customFormat="false" ht="15" hidden="false" customHeight="false" outlineLevel="0" collapsed="false">
      <c r="A988" s="1139"/>
      <c r="B988" s="1152" t="str">
        <f aca="false">'Смета Расходов'!B1385</f>
        <v>Болты анкерные с гайкой 12,0 х 280          </v>
      </c>
      <c r="C988" s="1153" t="str">
        <f aca="false">'Смета Расходов'!C1385</f>
        <v>шт</v>
      </c>
      <c r="D988" s="1152" t="n">
        <f aca="false">'Смета Расходов'!D1385</f>
        <v>0</v>
      </c>
      <c r="E988" s="1152" t="n">
        <f aca="false">'Смета Расходов'!F1385</f>
        <v>27.1</v>
      </c>
      <c r="F988" s="1152" t="n">
        <f aca="false">'Смета Расходов'!G1385</f>
        <v>0</v>
      </c>
    </row>
    <row r="989" customFormat="false" ht="15" hidden="false" customHeight="false" outlineLevel="0" collapsed="false">
      <c r="A989" s="1139"/>
      <c r="B989" s="1152" t="str">
        <f aca="false">'Смета Расходов'!B1386</f>
        <v>Доска сухая, 200*50мм</v>
      </c>
      <c r="C989" s="1153" t="str">
        <f aca="false">'Смета Расходов'!C1386</f>
        <v>м3</v>
      </c>
      <c r="D989" s="1152" t="n">
        <f aca="false">'Смета Расходов'!D1386</f>
        <v>0</v>
      </c>
      <c r="E989" s="1152" t="n">
        <f aca="false">'Смета Расходов'!F1386</f>
        <v>9000</v>
      </c>
      <c r="F989" s="1152" t="n">
        <f aca="false">'Смета Расходов'!G1386</f>
        <v>0</v>
      </c>
    </row>
    <row r="990" customFormat="false" ht="15" hidden="false" customHeight="false" outlineLevel="0" collapsed="false">
      <c r="A990" s="1139"/>
      <c r="B990" s="1152" t="str">
        <f aca="false">'Смета Расходов'!B1387</f>
        <v>бугель, доска </v>
      </c>
      <c r="C990" s="1153" t="str">
        <f aca="false">'Смета Расходов'!C1387</f>
        <v>м3</v>
      </c>
      <c r="D990" s="1152" t="n">
        <f aca="false">'Смета Расходов'!D1387</f>
        <v>0</v>
      </c>
      <c r="E990" s="1152" t="n">
        <f aca="false">'Смета Расходов'!F1387</f>
        <v>9000</v>
      </c>
      <c r="F990" s="1152" t="n">
        <f aca="false">'Смета Расходов'!G1387</f>
        <v>0</v>
      </c>
    </row>
    <row r="991" customFormat="false" ht="15" hidden="false" customHeight="false" outlineLevel="0" collapsed="false">
      <c r="A991" s="1139"/>
      <c r="B991" s="1152" t="str">
        <f aca="false">'Смета Расходов'!B1388</f>
        <v>Сосна влаж,100*25мм</v>
      </c>
      <c r="C991" s="1153" t="str">
        <f aca="false">'Смета Расходов'!C1388</f>
        <v>м3</v>
      </c>
      <c r="D991" s="1152" t="n">
        <f aca="false">'Смета Расходов'!D1388</f>
        <v>0</v>
      </c>
      <c r="E991" s="1152" t="n">
        <f aca="false">'Смета Расходов'!F1388</f>
        <v>6500</v>
      </c>
      <c r="F991" s="1152" t="n">
        <f aca="false">'Смета Расходов'!G1388</f>
        <v>0</v>
      </c>
    </row>
    <row r="992" customFormat="false" ht="15" hidden="false" customHeight="false" outlineLevel="0" collapsed="false">
      <c r="A992" s="1139"/>
      <c r="B992" s="1152" t="str">
        <f aca="false">'Смета Расходов'!B1389</f>
        <v>Доска сухая, калибр., 35*45мм</v>
      </c>
      <c r="C992" s="1153" t="str">
        <f aca="false">'Смета Расходов'!C1389</f>
        <v>шт</v>
      </c>
      <c r="D992" s="1152" t="n">
        <f aca="false">'Смета Расходов'!D1389</f>
        <v>0</v>
      </c>
      <c r="E992" s="1152" t="n">
        <f aca="false">'Смета Расходов'!F1389</f>
        <v>12500</v>
      </c>
      <c r="F992" s="1152" t="n">
        <f aca="false">'Смета Расходов'!G1389</f>
        <v>0</v>
      </c>
    </row>
    <row r="993" customFormat="false" ht="15" hidden="false" customHeight="false" outlineLevel="0" collapsed="false">
      <c r="A993" s="1139"/>
      <c r="B993" s="1152" t="str">
        <f aca="false">'Смета Расходов'!B1390</f>
        <v>Мембраны Tyvek Soft</v>
      </c>
      <c r="C993" s="1153" t="str">
        <f aca="false">'Смета Расходов'!C1390</f>
        <v>м2</v>
      </c>
      <c r="D993" s="1152" t="n">
        <f aca="false">'Смета Расходов'!D1390</f>
        <v>0</v>
      </c>
      <c r="E993" s="1152" t="n">
        <f aca="false">'Смета Расходов'!F1390</f>
        <v>86</v>
      </c>
      <c r="F993" s="1152" t="n">
        <f aca="false">'Смета Расходов'!G1390</f>
        <v>0</v>
      </c>
    </row>
    <row r="994" customFormat="false" ht="15" hidden="false" customHeight="false" outlineLevel="0" collapsed="false">
      <c r="A994" s="1139"/>
      <c r="B994" s="1152" t="str">
        <f aca="false">'Смета Расходов'!B1391</f>
        <v>Пленка Delta-Reflex</v>
      </c>
      <c r="C994" s="1153" t="str">
        <f aca="false">'Смета Расходов'!C1391</f>
        <v>м2</v>
      </c>
      <c r="D994" s="1152" t="n">
        <f aca="false">'Смета Расходов'!D1391</f>
        <v>0</v>
      </c>
      <c r="E994" s="1152" t="n">
        <f aca="false">'Смета Расходов'!F1391</f>
        <v>156</v>
      </c>
      <c r="F994" s="1152" t="n">
        <f aca="false">'Смета Расходов'!G1391</f>
        <v>0</v>
      </c>
    </row>
    <row r="995" customFormat="false" ht="15" hidden="false" customHeight="false" outlineLevel="0" collapsed="false">
      <c r="A995" s="1139"/>
      <c r="B995" s="1152" t="str">
        <f aca="false">'Смета Расходов'!B1392</f>
        <v>Плитный,28кг/м3, технониколь, 200мм</v>
      </c>
      <c r="C995" s="1153" t="str">
        <f aca="false">'Смета Расходов'!C1392</f>
        <v>м3</v>
      </c>
      <c r="D995" s="1152" t="n">
        <f aca="false">'Смета Расходов'!D1392</f>
        <v>0</v>
      </c>
      <c r="E995" s="1152" t="n">
        <f aca="false">'Смета Расходов'!F1392</f>
        <v>1700</v>
      </c>
      <c r="F995" s="1152" t="n">
        <f aca="false">'Смета Расходов'!G1392</f>
        <v>0</v>
      </c>
    </row>
    <row r="996" customFormat="false" ht="15" hidden="false" customHeight="false" outlineLevel="0" collapsed="false">
      <c r="A996" s="1139"/>
      <c r="B996" s="1152" t="str">
        <f aca="false">'Смета Расходов'!B1393</f>
        <v>металлочерепица</v>
      </c>
      <c r="C996" s="1153" t="str">
        <f aca="false">'Смета Расходов'!C1393</f>
        <v>м2</v>
      </c>
      <c r="D996" s="1152" t="n">
        <f aca="false">'Смета Расходов'!D1393</f>
        <v>0</v>
      </c>
      <c r="E996" s="1152" t="n">
        <f aca="false">'Смета Расходов'!F1393</f>
        <v>250</v>
      </c>
      <c r="F996" s="1152" t="n">
        <f aca="false">'Смета Расходов'!G1393</f>
        <v>0</v>
      </c>
    </row>
    <row r="997" customFormat="false" ht="15" hidden="false" customHeight="false" outlineLevel="0" collapsed="false">
      <c r="A997" s="1139"/>
      <c r="B997" s="1152" t="str">
        <f aca="false">'Смета Расходов'!B1394</f>
        <v>Карнизная планка</v>
      </c>
      <c r="C997" s="1153" t="str">
        <f aca="false">'Смета Расходов'!C1394</f>
        <v>м.п.</v>
      </c>
      <c r="D997" s="1152" t="n">
        <f aca="false">'Смета Расходов'!D1394</f>
        <v>0</v>
      </c>
      <c r="E997" s="1152" t="n">
        <f aca="false">'Смета Расходов'!F1394</f>
        <v>200</v>
      </c>
      <c r="F997" s="1152" t="n">
        <f aca="false">'Смета Расходов'!G1394</f>
        <v>0</v>
      </c>
    </row>
    <row r="998" customFormat="false" ht="15" hidden="false" customHeight="false" outlineLevel="0" collapsed="false">
      <c r="A998" s="1139"/>
      <c r="B998" s="1152" t="str">
        <f aca="false">'Смета Расходов'!B1395</f>
        <v>Торцевая планка</v>
      </c>
      <c r="C998" s="1153" t="str">
        <f aca="false">'Смета Расходов'!C1395</f>
        <v>м.п.</v>
      </c>
      <c r="D998" s="1152" t="n">
        <f aca="false">'Смета Расходов'!D1395</f>
        <v>0</v>
      </c>
      <c r="E998" s="1152" t="n">
        <f aca="false">'Смета Расходов'!F1395</f>
        <v>200</v>
      </c>
      <c r="F998" s="1152" t="n">
        <f aca="false">'Смета Расходов'!G1395</f>
        <v>0</v>
      </c>
    </row>
    <row r="999" customFormat="false" ht="15" hidden="false" customHeight="false" outlineLevel="0" collapsed="false">
      <c r="A999" s="1139"/>
      <c r="B999" s="1152" t="str">
        <f aca="false">'Смета Расходов'!B1396</f>
        <v>Конек</v>
      </c>
      <c r="C999" s="1153" t="str">
        <f aca="false">'Смета Расходов'!C1396</f>
        <v>м.п.</v>
      </c>
      <c r="D999" s="1152" t="n">
        <f aca="false">'Смета Расходов'!D1396</f>
        <v>0</v>
      </c>
      <c r="E999" s="1152" t="n">
        <f aca="false">'Смета Расходов'!F1396</f>
        <v>230</v>
      </c>
      <c r="F999" s="1152" t="n">
        <f aca="false">'Смета Расходов'!G1396</f>
        <v>0</v>
      </c>
    </row>
    <row r="1000" customFormat="false" ht="15" hidden="false" customHeight="false" outlineLevel="0" collapsed="false">
      <c r="A1000" s="1139"/>
      <c r="B1000" s="1152" t="str">
        <f aca="false">'Смета Расходов'!B1397</f>
        <v>Ендова нижняя</v>
      </c>
      <c r="C1000" s="1153" t="str">
        <f aca="false">'Смета Расходов'!C1397</f>
        <v>м.п</v>
      </c>
      <c r="D1000" s="1152" t="n">
        <f aca="false">'Смета Расходов'!D1397</f>
        <v>0</v>
      </c>
      <c r="E1000" s="1152" t="n">
        <f aca="false">'Смета Расходов'!F1397</f>
        <v>160</v>
      </c>
      <c r="F1000" s="1152" t="n">
        <f aca="false">'Смета Расходов'!G1397</f>
        <v>0</v>
      </c>
    </row>
    <row r="1001" customFormat="false" ht="15" hidden="false" customHeight="false" outlineLevel="0" collapsed="false">
      <c r="A1001" s="1139"/>
      <c r="B1001" s="1152" t="str">
        <f aca="false">'Смета Расходов'!B1398</f>
        <v>Планка примыкания</v>
      </c>
      <c r="C1001" s="1153" t="str">
        <f aca="false">'Смета Расходов'!C1398</f>
        <v>м.п.</v>
      </c>
      <c r="D1001" s="1152" t="n">
        <f aca="false">'Смета Расходов'!D1398</f>
        <v>0</v>
      </c>
      <c r="E1001" s="1152" t="n">
        <f aca="false">'Смета Расходов'!F1398</f>
        <v>190</v>
      </c>
      <c r="F1001" s="1152" t="n">
        <f aca="false">'Смета Расходов'!G1398</f>
        <v>0</v>
      </c>
    </row>
    <row r="1002" customFormat="false" ht="15" hidden="false" customHeight="false" outlineLevel="0" collapsed="false">
      <c r="A1002" s="1139"/>
      <c r="B1002" s="1152" t="str">
        <f aca="false">'Смета Расходов'!B1399</f>
        <v>ондулин</v>
      </c>
      <c r="C1002" s="1153" t="str">
        <f aca="false">'Смета Расходов'!C1399</f>
        <v>м2</v>
      </c>
      <c r="D1002" s="1152" t="n">
        <f aca="false">'Смета Расходов'!D1399</f>
        <v>0</v>
      </c>
      <c r="E1002" s="1152" t="n">
        <f aca="false">'Смета Расходов'!F1399</f>
        <v>180</v>
      </c>
      <c r="F1002" s="1152" t="n">
        <f aca="false">'Смета Расходов'!G1399</f>
        <v>0</v>
      </c>
    </row>
    <row r="1003" customFormat="false" ht="15" hidden="false" customHeight="false" outlineLevel="0" collapsed="false">
      <c r="A1003" s="1139"/>
      <c r="B1003" s="1152" t="str">
        <f aca="false">'Смета Расходов'!B1400</f>
        <v>Карнизная планка</v>
      </c>
      <c r="C1003" s="1153" t="str">
        <f aca="false">'Смета Расходов'!C1400</f>
        <v>м.п.</v>
      </c>
      <c r="D1003" s="1152" t="n">
        <f aca="false">'Смета Расходов'!D1400</f>
        <v>0</v>
      </c>
      <c r="E1003" s="1152" t="n">
        <f aca="false">'Смета Расходов'!F1400</f>
        <v>190</v>
      </c>
      <c r="F1003" s="1152" t="n">
        <f aca="false">'Смета Расходов'!G1400</f>
        <v>0</v>
      </c>
    </row>
    <row r="1004" customFormat="false" ht="15" hidden="false" customHeight="false" outlineLevel="0" collapsed="false">
      <c r="A1004" s="1139"/>
      <c r="B1004" s="1152" t="str">
        <f aca="false">'Смета Расходов'!B1401</f>
        <v>Торцевая планка</v>
      </c>
      <c r="C1004" s="1153" t="str">
        <f aca="false">'Смета Расходов'!C1401</f>
        <v>м.п.</v>
      </c>
      <c r="D1004" s="1152" t="n">
        <f aca="false">'Смета Расходов'!D1401</f>
        <v>0</v>
      </c>
      <c r="E1004" s="1152" t="n">
        <f aca="false">'Смета Расходов'!F1401</f>
        <v>190</v>
      </c>
      <c r="F1004" s="1152" t="n">
        <f aca="false">'Смета Расходов'!G1401</f>
        <v>0</v>
      </c>
    </row>
    <row r="1005" customFormat="false" ht="15" hidden="false" customHeight="false" outlineLevel="0" collapsed="false">
      <c r="A1005" s="1139"/>
      <c r="B1005" s="1152" t="str">
        <f aca="false">'Смета Расходов'!B1402</f>
        <v>Конек</v>
      </c>
      <c r="C1005" s="1153" t="str">
        <f aca="false">'Смета Расходов'!C1402</f>
        <v>м.п.</v>
      </c>
      <c r="D1005" s="1152" t="n">
        <f aca="false">'Смета Расходов'!D1402</f>
        <v>0</v>
      </c>
      <c r="E1005" s="1152" t="n">
        <f aca="false">'Смета Расходов'!F1402</f>
        <v>200</v>
      </c>
      <c r="F1005" s="1152" t="n">
        <f aca="false">'Смета Расходов'!G1402</f>
        <v>0</v>
      </c>
    </row>
    <row r="1006" customFormat="false" ht="15" hidden="false" customHeight="false" outlineLevel="0" collapsed="false">
      <c r="A1006" s="1139"/>
      <c r="B1006" s="1152" t="str">
        <f aca="false">'Смета Расходов'!B1403</f>
        <v>Ендова нижняя</v>
      </c>
      <c r="C1006" s="1153" t="str">
        <f aca="false">'Смета Расходов'!C1403</f>
        <v>м.п.</v>
      </c>
      <c r="D1006" s="1152" t="n">
        <f aca="false">'Смета Расходов'!D1403</f>
        <v>0</v>
      </c>
      <c r="E1006" s="1152" t="n">
        <f aca="false">'Смета Расходов'!F1403</f>
        <v>160</v>
      </c>
      <c r="F1006" s="1152" t="n">
        <f aca="false">'Смета Расходов'!G1403</f>
        <v>0</v>
      </c>
    </row>
    <row r="1007" customFormat="false" ht="15" hidden="false" customHeight="false" outlineLevel="0" collapsed="false">
      <c r="A1007" s="1139"/>
      <c r="B1007" s="1152" t="str">
        <f aca="false">'Смета Расходов'!B1404</f>
        <v>Ендова верхняя</v>
      </c>
      <c r="C1007" s="1153" t="str">
        <f aca="false">'Смета Расходов'!C1404</f>
        <v>м.п.</v>
      </c>
      <c r="D1007" s="1152" t="n">
        <f aca="false">'Смета Расходов'!D1404</f>
        <v>0</v>
      </c>
      <c r="E1007" s="1152" t="n">
        <f aca="false">'Смета Расходов'!F1404</f>
        <v>190</v>
      </c>
      <c r="F1007" s="1152" t="n">
        <f aca="false">'Смета Расходов'!G1404</f>
        <v>0</v>
      </c>
    </row>
    <row r="1008" customFormat="false" ht="15" hidden="false" customHeight="false" outlineLevel="0" collapsed="false">
      <c r="A1008" s="1139"/>
      <c r="B1008" s="1152" t="str">
        <f aca="false">'Смета Расходов'!B1405</f>
        <v>Планка примыкания</v>
      </c>
      <c r="C1008" s="1153" t="str">
        <f aca="false">'Смета Расходов'!C1405</f>
        <v>м.п.</v>
      </c>
      <c r="D1008" s="1152" t="n">
        <f aca="false">'Смета Расходов'!D1405</f>
        <v>0</v>
      </c>
      <c r="E1008" s="1152" t="n">
        <f aca="false">'Смета Расходов'!F1405</f>
        <v>190</v>
      </c>
      <c r="F1008" s="1152" t="n">
        <f aca="false">'Смета Расходов'!G1405</f>
        <v>0</v>
      </c>
    </row>
    <row r="1009" customFormat="false" ht="15" hidden="false" customHeight="false" outlineLevel="0" collapsed="false">
      <c r="A1009" s="1139"/>
      <c r="B1009" s="1152" t="str">
        <f aca="false">'Смета Расходов'!B1406</f>
        <v>Крепеж для ондулина</v>
      </c>
      <c r="C1009" s="1153" t="str">
        <f aca="false">'Смета Расходов'!C1406</f>
        <v>шт</v>
      </c>
      <c r="D1009" s="1152" t="n">
        <f aca="false">'Смета Расходов'!D1406</f>
        <v>0</v>
      </c>
      <c r="E1009" s="1152" t="n">
        <f aca="false">'Смета Расходов'!F1406</f>
        <v>4.5</v>
      </c>
      <c r="F1009" s="1152" t="n">
        <f aca="false">'Смета Расходов'!G1406</f>
        <v>0</v>
      </c>
    </row>
    <row r="1010" customFormat="false" ht="15" hidden="false" customHeight="false" outlineLevel="0" collapsed="false">
      <c r="A1010" s="1139"/>
      <c r="B1010" s="1152" t="str">
        <f aca="false">'Смета Расходов'!B1407</f>
        <v>нет</v>
      </c>
      <c r="C1010" s="1153" t="str">
        <f aca="false">'Смета Расходов'!C1407</f>
        <v>м2</v>
      </c>
      <c r="D1010" s="1152" t="n">
        <f aca="false">'Смета Расходов'!D1407</f>
        <v>0</v>
      </c>
      <c r="E1010" s="1152" t="n">
        <f aca="false">'Смета Расходов'!F1407</f>
        <v>0</v>
      </c>
      <c r="F1010" s="1152" t="n">
        <f aca="false">'Смета Расходов'!G1407</f>
        <v>0</v>
      </c>
    </row>
    <row r="1011" customFormat="false" ht="15" hidden="false" customHeight="false" outlineLevel="0" collapsed="false">
      <c r="A1011" s="1139"/>
      <c r="B1011" s="1152" t="str">
        <f aca="false">'Смета Расходов'!B1408</f>
        <v>Рядовая черепица</v>
      </c>
      <c r="C1011" s="1153" t="str">
        <f aca="false">'Смета Расходов'!C1408</f>
        <v>м2</v>
      </c>
      <c r="D1011" s="1152" t="n">
        <f aca="false">'Смета Расходов'!D1408</f>
        <v>0</v>
      </c>
      <c r="E1011" s="1152" t="n">
        <f aca="false">'Смета Расходов'!F1408</f>
        <v>360</v>
      </c>
      <c r="F1011" s="1152" t="n">
        <f aca="false">'Смета Расходов'!G1408</f>
        <v>0</v>
      </c>
    </row>
    <row r="1012" customFormat="false" ht="15" hidden="false" customHeight="false" outlineLevel="0" collapsed="false">
      <c r="A1012" s="1139"/>
      <c r="B1012" s="1152" t="str">
        <f aca="false">'Смета Расходов'!B1409</f>
        <v>Металл оцинк защита (карниз)</v>
      </c>
      <c r="C1012" s="1153" t="str">
        <f aca="false">'Смета Расходов'!C1409</f>
        <v>м.п.</v>
      </c>
      <c r="D1012" s="1152" t="n">
        <f aca="false">'Смета Расходов'!D1409</f>
        <v>0</v>
      </c>
      <c r="E1012" s="1152" t="n">
        <f aca="false">'Смета Расходов'!F1409</f>
        <v>200</v>
      </c>
      <c r="F1012" s="1152" t="n">
        <f aca="false">'Смета Расходов'!G1409</f>
        <v>0</v>
      </c>
    </row>
    <row r="1013" customFormat="false" ht="15" hidden="false" customHeight="false" outlineLevel="0" collapsed="false">
      <c r="A1013" s="1139"/>
      <c r="B1013" s="1152" t="str">
        <f aca="false">'Смета Расходов'!B1410</f>
        <v>Подкладочный ковер</v>
      </c>
      <c r="C1013" s="1153" t="str">
        <f aca="false">'Смета Расходов'!C1410</f>
        <v>м.п.</v>
      </c>
      <c r="D1013" s="1152" t="n">
        <f aca="false">'Смета Расходов'!D1410</f>
        <v>0</v>
      </c>
      <c r="E1013" s="1152" t="n">
        <f aca="false">'Смета Расходов'!F1410</f>
        <v>220</v>
      </c>
      <c r="F1013" s="1152" t="n">
        <f aca="false">'Смета Расходов'!G1410</f>
        <v>0</v>
      </c>
    </row>
    <row r="1014" customFormat="false" ht="15" hidden="false" customHeight="false" outlineLevel="0" collapsed="false">
      <c r="A1014" s="1139"/>
      <c r="B1014" s="1152" t="str">
        <f aca="false">'Смета Расходов'!B1411</f>
        <v>Карнизная самоклеющаяся черепица</v>
      </c>
      <c r="C1014" s="1153" t="str">
        <f aca="false">'Смета Расходов'!C1411</f>
        <v>м.п.</v>
      </c>
      <c r="D1014" s="1152" t="n">
        <f aca="false">'Смета Расходов'!D1411</f>
        <v>0</v>
      </c>
      <c r="E1014" s="1152" t="n">
        <f aca="false">'Смета Расходов'!F1411</f>
        <v>220</v>
      </c>
      <c r="F1014" s="1152" t="n">
        <f aca="false">'Смета Расходов'!G1411</f>
        <v>0</v>
      </c>
    </row>
    <row r="1015" customFormat="false" ht="15" hidden="false" customHeight="false" outlineLevel="0" collapsed="false">
      <c r="A1015" s="1139"/>
      <c r="B1015" s="1152" t="str">
        <f aca="false">'Смета Расходов'!B1412</f>
        <v>Спец ковер ендова нижняя</v>
      </c>
      <c r="C1015" s="1153" t="str">
        <f aca="false">'Смета Расходов'!C1412</f>
        <v>м.п.</v>
      </c>
      <c r="D1015" s="1152" t="n">
        <f aca="false">'Смета Расходов'!D1412</f>
        <v>0</v>
      </c>
      <c r="E1015" s="1152" t="n">
        <f aca="false">'Смета Расходов'!F1412</f>
        <v>200</v>
      </c>
      <c r="F1015" s="1152" t="n">
        <f aca="false">'Смета Расходов'!G1412</f>
        <v>0</v>
      </c>
    </row>
    <row r="1016" customFormat="false" ht="15" hidden="false" customHeight="false" outlineLevel="0" collapsed="false">
      <c r="A1016" s="1139"/>
      <c r="B1016" s="1152" t="str">
        <f aca="false">'Смета Расходов'!B1413</f>
        <v>Коньковой элемент</v>
      </c>
      <c r="C1016" s="1153" t="str">
        <f aca="false">'Смета Расходов'!C1413</f>
        <v>м.п.</v>
      </c>
      <c r="D1016" s="1152" t="n">
        <f aca="false">'Смета Расходов'!D1413</f>
        <v>0</v>
      </c>
      <c r="E1016" s="1152" t="n">
        <f aca="false">'Смета Расходов'!F1413</f>
        <v>250</v>
      </c>
      <c r="F1016" s="1152" t="n">
        <f aca="false">'Смета Расходов'!G1413</f>
        <v>0</v>
      </c>
    </row>
    <row r="1017" customFormat="false" ht="15" hidden="false" customHeight="false" outlineLevel="0" collapsed="false">
      <c r="A1017" s="1139"/>
      <c r="B1017" s="1152" t="str">
        <f aca="false">'Смета Расходов'!B1414</f>
        <v>Планка премыкания</v>
      </c>
      <c r="C1017" s="1153" t="str">
        <f aca="false">'Смета Расходов'!C1414</f>
        <v>м.п.</v>
      </c>
      <c r="D1017" s="1152" t="n">
        <f aca="false">'Смета Расходов'!D1414</f>
        <v>0</v>
      </c>
      <c r="E1017" s="1152" t="n">
        <f aca="false">'Смета Расходов'!F1414</f>
        <v>200</v>
      </c>
      <c r="F1017" s="1152" t="n">
        <f aca="false">'Смета Расходов'!G1414</f>
        <v>0</v>
      </c>
    </row>
    <row r="1018" customFormat="false" ht="15" hidden="false" customHeight="false" outlineLevel="0" collapsed="false">
      <c r="A1018" s="1139"/>
      <c r="B1018" s="1152" t="str">
        <f aca="false">'Смета Расходов'!B1415</f>
        <v>Гвозди для крепления подкладочного ковра</v>
      </c>
      <c r="C1018" s="1153" t="str">
        <f aca="false">'Смета Расходов'!C1415</f>
        <v>шт</v>
      </c>
      <c r="D1018" s="1152" t="n">
        <f aca="false">'Смета Расходов'!D1415</f>
        <v>0</v>
      </c>
      <c r="E1018" s="1152" t="n">
        <f aca="false">'Смета Расходов'!F1415</f>
        <v>0.012</v>
      </c>
      <c r="F1018" s="1152" t="n">
        <f aca="false">'Смета Расходов'!G1415</f>
        <v>0</v>
      </c>
    </row>
    <row r="1019" customFormat="false" ht="15" hidden="false" customHeight="false" outlineLevel="0" collapsed="false">
      <c r="A1019" s="1139"/>
      <c r="B1019" s="1152" t="str">
        <f aca="false">'Смета Расходов'!B1416</f>
        <v>Гвозди для крепления черепицы</v>
      </c>
      <c r="C1019" s="1153" t="str">
        <f aca="false">'Смета Расходов'!C1416</f>
        <v>шт</v>
      </c>
      <c r="D1019" s="1152" t="n">
        <f aca="false">'Смета Расходов'!D1416</f>
        <v>0</v>
      </c>
      <c r="E1019" s="1152" t="n">
        <f aca="false">'Смета Расходов'!F1416</f>
        <v>0.25</v>
      </c>
      <c r="F1019" s="1152" t="n">
        <f aca="false">'Смета Расходов'!G1416</f>
        <v>0</v>
      </c>
    </row>
    <row r="1020" customFormat="false" ht="15" hidden="false" customHeight="false" outlineLevel="0" collapsed="false">
      <c r="A1020" s="1139"/>
      <c r="B1020" s="1152" t="str">
        <f aca="false">'Смета Расходов'!B1417</f>
        <v>Клей для монтажа черепицы</v>
      </c>
      <c r="C1020" s="1153" t="str">
        <f aca="false">'Смета Расходов'!C1417</f>
        <v>кг</v>
      </c>
      <c r="D1020" s="1152" t="n">
        <f aca="false">'Смета Расходов'!D1417</f>
        <v>0</v>
      </c>
      <c r="E1020" s="1152" t="n">
        <f aca="false">'Смета Расходов'!F1417</f>
        <v>250</v>
      </c>
      <c r="F1020" s="1152" t="n">
        <f aca="false">'Смета Расходов'!G1417</f>
        <v>0</v>
      </c>
    </row>
    <row r="1021" customFormat="false" ht="15" hidden="false" customHeight="false" outlineLevel="0" collapsed="false">
      <c r="A1021" s="1139"/>
      <c r="B1021" s="1152" t="str">
        <f aca="false">'Смета Расходов'!B1418</f>
        <v>желоб</v>
      </c>
      <c r="C1021" s="1153" t="str">
        <f aca="false">'Смета Расходов'!C1418</f>
        <v>м.п</v>
      </c>
      <c r="D1021" s="1152" t="n">
        <f aca="false">'Смета Расходов'!D1418</f>
        <v>0</v>
      </c>
      <c r="E1021" s="1152" t="n">
        <f aca="false">'Смета Расходов'!F1418</f>
        <v>300</v>
      </c>
      <c r="F1021" s="1152" t="n">
        <f aca="false">'Смета Расходов'!G1418</f>
        <v>0</v>
      </c>
    </row>
    <row r="1022" customFormat="false" ht="15" hidden="false" customHeight="false" outlineLevel="0" collapsed="false">
      <c r="A1022" s="1139"/>
      <c r="B1022" s="1152" t="str">
        <f aca="false">'Смета Расходов'!B1419</f>
        <v>отвод</v>
      </c>
      <c r="C1022" s="1153" t="str">
        <f aca="false">'Смета Расходов'!C1419</f>
        <v>шт</v>
      </c>
      <c r="D1022" s="1152" t="n">
        <f aca="false">'Смета Расходов'!D1419</f>
        <v>0</v>
      </c>
      <c r="E1022" s="1152" t="n">
        <f aca="false">'Смета Расходов'!F1419</f>
        <v>250</v>
      </c>
      <c r="F1022" s="1152" t="n">
        <f aca="false">'Смета Расходов'!G1419</f>
        <v>0</v>
      </c>
    </row>
    <row r="1023" customFormat="false" ht="15" hidden="false" customHeight="false" outlineLevel="0" collapsed="false">
      <c r="A1023" s="1139"/>
      <c r="B1023" s="1152" t="str">
        <f aca="false">'Смета Расходов'!B1420</f>
        <v>труба водосточная</v>
      </c>
      <c r="C1023" s="1153" t="str">
        <f aca="false">'Смета Расходов'!C1420</f>
        <v>м.п.</v>
      </c>
      <c r="D1023" s="1152" t="n">
        <f aca="false">'Смета Расходов'!D1420</f>
        <v>0</v>
      </c>
      <c r="E1023" s="1152" t="n">
        <f aca="false">'Смета Расходов'!F1420</f>
        <v>300</v>
      </c>
      <c r="F1023" s="1152" t="n">
        <f aca="false">'Смета Расходов'!G1420</f>
        <v>0</v>
      </c>
    </row>
    <row r="1024" customFormat="false" ht="15" hidden="false" customHeight="false" outlineLevel="0" collapsed="false">
      <c r="A1024" s="1139"/>
      <c r="B1024" s="1152" t="str">
        <f aca="false">'Смета Расходов'!B1421</f>
        <v>заглушка для желоба</v>
      </c>
      <c r="C1024" s="1153" t="str">
        <f aca="false">'Смета Расходов'!C1421</f>
        <v>шт</v>
      </c>
      <c r="D1024" s="1152" t="n">
        <f aca="false">'Смета Расходов'!D1421</f>
        <v>0</v>
      </c>
      <c r="E1024" s="1152" t="n">
        <f aca="false">'Смета Расходов'!F1421</f>
        <v>190</v>
      </c>
      <c r="F1024" s="1152" t="n">
        <f aca="false">'Смета Расходов'!G1421</f>
        <v>0</v>
      </c>
    </row>
    <row r="1025" customFormat="false" ht="15" hidden="false" customHeight="false" outlineLevel="0" collapsed="false">
      <c r="A1025" s="1139"/>
      <c r="B1025" s="1152" t="str">
        <f aca="false">'Смета Расходов'!B1422</f>
        <v>соеденитель для желоба</v>
      </c>
      <c r="C1025" s="1153" t="str">
        <f aca="false">'Смета Расходов'!C1422</f>
        <v>шт</v>
      </c>
      <c r="D1025" s="1152" t="n">
        <f aca="false">'Смета Расходов'!D1422</f>
        <v>2</v>
      </c>
      <c r="E1025" s="1152" t="n">
        <f aca="false">'Смета Расходов'!F1422</f>
        <v>180</v>
      </c>
      <c r="F1025" s="1152" t="n">
        <f aca="false">'Смета Расходов'!G1422</f>
        <v>0</v>
      </c>
    </row>
    <row r="1026" customFormat="false" ht="15" hidden="false" customHeight="false" outlineLevel="0" collapsed="false">
      <c r="A1026" s="1139"/>
      <c r="B1026" s="1152" t="str">
        <f aca="false">'Смета Расходов'!B1423</f>
        <v>кронштейн для желоба</v>
      </c>
      <c r="C1026" s="1153" t="str">
        <f aca="false">'Смета Расходов'!C1423</f>
        <v>шт</v>
      </c>
      <c r="D1026" s="1152" t="n">
        <f aca="false">'Смета Расходов'!D1423</f>
        <v>0</v>
      </c>
      <c r="E1026" s="1152" t="n">
        <f aca="false">'Смета Расходов'!F1423</f>
        <v>130</v>
      </c>
      <c r="F1026" s="1152" t="n">
        <f aca="false">'Смета Расходов'!G1423</f>
        <v>0</v>
      </c>
    </row>
    <row r="1027" customFormat="false" ht="15" hidden="false" customHeight="false" outlineLevel="0" collapsed="false">
      <c r="A1027" s="1139"/>
      <c r="B1027" s="1152" t="str">
        <f aca="false">'Смета Расходов'!B1424</f>
        <v>переход из желоба в трубу</v>
      </c>
      <c r="C1027" s="1153" t="str">
        <f aca="false">'Смета Расходов'!C1424</f>
        <v>шт</v>
      </c>
      <c r="D1027" s="1152" t="n">
        <f aca="false">'Смета Расходов'!D1424</f>
        <v>0</v>
      </c>
      <c r="E1027" s="1152" t="n">
        <f aca="false">'Смета Расходов'!F1424</f>
        <v>350</v>
      </c>
      <c r="F1027" s="1152" t="n">
        <f aca="false">'Смета Расходов'!G1424</f>
        <v>0</v>
      </c>
    </row>
    <row r="1028" customFormat="false" ht="15" hidden="false" customHeight="false" outlineLevel="0" collapsed="false">
      <c r="A1028" s="1139"/>
      <c r="B1028" s="1152" t="str">
        <f aca="false">'Смета Расходов'!B1425</f>
        <v>лента дельта мульти бэнд</v>
      </c>
      <c r="C1028" s="1153" t="str">
        <f aca="false">'Смета Расходов'!C1425</f>
        <v>шт</v>
      </c>
      <c r="D1028" s="1152" t="n">
        <f aca="false">'Смета Расходов'!D1425</f>
        <v>0</v>
      </c>
      <c r="E1028" s="1152" t="n">
        <f aca="false">'Смета Расходов'!F1425</f>
        <v>1200</v>
      </c>
      <c r="F1028" s="1152" t="n">
        <f aca="false">'Смета Расходов'!G1425</f>
        <v>0</v>
      </c>
    </row>
    <row r="1029" customFormat="false" ht="15" hidden="false" customHeight="false" outlineLevel="0" collapsed="false">
      <c r="A1029" s="1139"/>
      <c r="B1029" s="1152" t="str">
        <f aca="false">'Смета Расходов'!B1426</f>
        <v>лента дельта sb-60</v>
      </c>
      <c r="C1029" s="1153" t="str">
        <f aca="false">'Смета Расходов'!C1426</f>
        <v>шт</v>
      </c>
      <c r="D1029" s="1152" t="n">
        <f aca="false">'Смета Расходов'!D1426</f>
        <v>0</v>
      </c>
      <c r="E1029" s="1152" t="n">
        <f aca="false">'Смета Расходов'!F1426</f>
        <v>1100</v>
      </c>
      <c r="F1029" s="1152" t="n">
        <f aca="false">'Смета Расходов'!G1426</f>
        <v>0</v>
      </c>
    </row>
    <row r="1030" customFormat="false" ht="15" hidden="false" customHeight="false" outlineLevel="0" collapsed="false">
      <c r="A1030" s="1139"/>
      <c r="B1030" s="1152" t="str">
        <f aca="false">'Смета Расходов'!B1427</f>
        <v>Кровельный саморез</v>
      </c>
      <c r="C1030" s="1153" t="str">
        <f aca="false">'Смета Расходов'!C1427</f>
        <v>шт</v>
      </c>
      <c r="D1030" s="1152" t="n">
        <f aca="false">'Смета Расходов'!D1427</f>
        <v>0</v>
      </c>
      <c r="E1030" s="1152" t="n">
        <f aca="false">'Смета Расходов'!F1427</f>
        <v>2</v>
      </c>
      <c r="F1030" s="1152" t="n">
        <f aca="false">'Смета Расходов'!G1427</f>
        <v>0</v>
      </c>
    </row>
    <row r="1031" customFormat="false" ht="15" hidden="false" customHeight="false" outlineLevel="0" collapsed="false">
      <c r="A1031" s="1139"/>
      <c r="B1031" s="1152" t="str">
        <f aca="false">'Смета Расходов'!B1428</f>
        <v>Гвозди ершоные 3,4 x 60            </v>
      </c>
      <c r="C1031" s="1153" t="str">
        <f aca="false">'Смета Расходов'!C1428</f>
        <v>кг</v>
      </c>
      <c r="D1031" s="1152" t="n">
        <f aca="false">'Смета Расходов'!D1428</f>
        <v>0</v>
      </c>
      <c r="E1031" s="1152" t="n">
        <f aca="false">'Смета Расходов'!F1428</f>
        <v>75.51</v>
      </c>
      <c r="F1031" s="1152" t="n">
        <f aca="false">'Смета Расходов'!G1428</f>
        <v>0</v>
      </c>
    </row>
    <row r="1032" customFormat="false" ht="15" hidden="false" customHeight="false" outlineLevel="0" collapsed="false">
      <c r="A1032" s="1139"/>
      <c r="B1032" s="1152" t="str">
        <f aca="false">'Смета Расходов'!B1429</f>
        <v>Гвозди ершоные 2,8 х 90            </v>
      </c>
      <c r="C1032" s="1153" t="str">
        <f aca="false">'Смета Расходов'!C1429</f>
        <v>кг</v>
      </c>
      <c r="D1032" s="1152" t="n">
        <f aca="false">'Смета Расходов'!D1429</f>
        <v>0</v>
      </c>
      <c r="E1032" s="1152" t="n">
        <f aca="false">'Смета Расходов'!F1429</f>
        <v>76.49</v>
      </c>
      <c r="F1032" s="1152" t="n">
        <f aca="false">'Смета Расходов'!G1429</f>
        <v>0</v>
      </c>
    </row>
    <row r="1033" customFormat="false" ht="15" hidden="false" customHeight="false" outlineLevel="0" collapsed="false">
      <c r="A1033" s="1139"/>
      <c r="B1033" s="1152" t="str">
        <f aca="false">'Смета Расходов'!B1430</f>
        <v>Уголок усиленный 90х70х55х2,5        </v>
      </c>
      <c r="C1033" s="1153" t="str">
        <f aca="false">'Смета Расходов'!C1430</f>
        <v>шт</v>
      </c>
      <c r="D1033" s="1152" t="n">
        <f aca="false">'Смета Расходов'!D1430</f>
        <v>0</v>
      </c>
      <c r="E1033" s="1152" t="n">
        <f aca="false">'Смета Расходов'!F1430</f>
        <v>30</v>
      </c>
      <c r="F1033" s="1152" t="n">
        <f aca="false">'Смета Расходов'!G1430</f>
        <v>0</v>
      </c>
    </row>
    <row r="1034" customFormat="false" ht="15" hidden="false" customHeight="false" outlineLevel="0" collapsed="false">
      <c r="A1034" s="1139"/>
      <c r="B1034" s="1154" t="s">
        <v>2309</v>
      </c>
      <c r="C1034" s="1154"/>
      <c r="D1034" s="1154"/>
      <c r="E1034" s="1154"/>
      <c r="F1034" s="1152" t="n">
        <f aca="false">SUM(F987:F1033)</f>
        <v>0</v>
      </c>
    </row>
    <row r="1035" customFormat="false" ht="18.75" hidden="false" customHeight="false" outlineLevel="0" collapsed="false">
      <c r="A1035" s="1139"/>
      <c r="B1035" s="1150" t="str">
        <f aca="false">'Смета Расходов'!B1451</f>
        <v>Кровля на Эркере</v>
      </c>
      <c r="C1035" s="1150"/>
      <c r="D1035" s="1150"/>
      <c r="E1035" s="1150"/>
      <c r="F1035" s="1155" t="n">
        <f aca="false">'Смета Внутр'!H1451</f>
        <v>0</v>
      </c>
    </row>
    <row r="1036" customFormat="false" ht="15" hidden="false" customHeight="false" outlineLevel="0" collapsed="false">
      <c r="A1036" s="1139"/>
      <c r="B1036" s="1156" t="s">
        <v>2246</v>
      </c>
      <c r="C1036" s="1156"/>
      <c r="D1036" s="1156"/>
      <c r="E1036" s="1156"/>
      <c r="F1036" s="1155" t="n">
        <f aca="false">'Смета Внутр'!H1452</f>
        <v>0</v>
      </c>
    </row>
    <row r="1037" customFormat="false" ht="15" hidden="false" customHeight="false" outlineLevel="0" collapsed="false">
      <c r="A1037" s="1139"/>
      <c r="B1037" s="1152" t="str">
        <f aca="false">'Смета Расходов'!B1453</f>
        <v>нет</v>
      </c>
      <c r="C1037" s="1153" t="str">
        <f aca="false">'Смета Расходов'!C1453</f>
        <v>м3</v>
      </c>
      <c r="D1037" s="1152" t="n">
        <f aca="false">'Смета Расходов'!D1453</f>
        <v>0</v>
      </c>
      <c r="E1037" s="1152" t="n">
        <f aca="false">'Смета Расходов'!F1453</f>
        <v>0</v>
      </c>
      <c r="F1037" s="1152" t="n">
        <f aca="false">'Смета Расходов'!G1453</f>
        <v>0</v>
      </c>
    </row>
    <row r="1038" customFormat="false" ht="15" hidden="false" customHeight="false" outlineLevel="0" collapsed="false">
      <c r="A1038" s="1139"/>
      <c r="B1038" s="1152" t="str">
        <f aca="false">'Смета Расходов'!B1454</f>
        <v>Болты анкерные с гайкой 12,0 х 280          </v>
      </c>
      <c r="C1038" s="1153" t="str">
        <f aca="false">'Смета Расходов'!C1454</f>
        <v>шт</v>
      </c>
      <c r="D1038" s="1152" t="n">
        <f aca="false">'Смета Расходов'!D1454</f>
        <v>0</v>
      </c>
      <c r="E1038" s="1152" t="n">
        <f aca="false">'Смета Расходов'!F1454</f>
        <v>27.1</v>
      </c>
      <c r="F1038" s="1152" t="n">
        <f aca="false">'Смета Расходов'!G1454</f>
        <v>0</v>
      </c>
    </row>
    <row r="1039" customFormat="false" ht="15" hidden="false" customHeight="false" outlineLevel="0" collapsed="false">
      <c r="A1039" s="1139"/>
      <c r="B1039" s="1152" t="str">
        <f aca="false">'Смета Расходов'!B1455</f>
        <v>Доска сырая, 150*50мм</v>
      </c>
      <c r="C1039" s="1153" t="str">
        <f aca="false">'Смета Расходов'!C1455</f>
        <v>м3</v>
      </c>
      <c r="D1039" s="1152" t="n">
        <f aca="false">'Смета Расходов'!D1455</f>
        <v>0</v>
      </c>
      <c r="E1039" s="1152" t="n">
        <f aca="false">'Смета Расходов'!F1455</f>
        <v>6500</v>
      </c>
      <c r="F1039" s="1152" t="n">
        <f aca="false">'Смета Расходов'!G1455</f>
        <v>0</v>
      </c>
    </row>
    <row r="1040" customFormat="false" ht="15" hidden="false" customHeight="false" outlineLevel="0" collapsed="false">
      <c r="A1040" s="1139"/>
      <c r="B1040" s="1152" t="str">
        <f aca="false">'Смета Расходов'!B1456</f>
        <v>Сосна влаж,100*25мм</v>
      </c>
      <c r="C1040" s="1153" t="str">
        <f aca="false">'Смета Расходов'!C1456</f>
        <v>м3</v>
      </c>
      <c r="D1040" s="1152" t="n">
        <f aca="false">'Смета Расходов'!D1456</f>
        <v>0</v>
      </c>
      <c r="E1040" s="1152" t="n">
        <f aca="false">'Смета Расходов'!F1456</f>
        <v>6500</v>
      </c>
      <c r="F1040" s="1152" t="n">
        <f aca="false">'Смета Расходов'!G1456</f>
        <v>0</v>
      </c>
    </row>
    <row r="1041" customFormat="false" ht="15" hidden="false" customHeight="false" outlineLevel="0" collapsed="false">
      <c r="A1041" s="1139"/>
      <c r="B1041" s="1152" t="str">
        <f aca="false">'Смета Расходов'!B1457</f>
        <v>Доска сухая, калибр., 35*45мм</v>
      </c>
      <c r="C1041" s="1153" t="str">
        <f aca="false">'Смета Расходов'!C1457</f>
        <v>шт</v>
      </c>
      <c r="D1041" s="1152" t="n">
        <f aca="false">'Смета Расходов'!D1457</f>
        <v>0</v>
      </c>
      <c r="E1041" s="1152" t="n">
        <f aca="false">'Смета Расходов'!F1457</f>
        <v>12500</v>
      </c>
      <c r="F1041" s="1152" t="n">
        <f aca="false">'Смета Расходов'!G1457</f>
        <v>0</v>
      </c>
    </row>
    <row r="1042" customFormat="false" ht="15" hidden="false" customHeight="false" outlineLevel="0" collapsed="false">
      <c r="A1042" s="1139"/>
      <c r="B1042" s="1152" t="str">
        <f aca="false">'Смета Расходов'!B1458</f>
        <v>нет ветроизоляции</v>
      </c>
      <c r="C1042" s="1153" t="str">
        <f aca="false">'Смета Расходов'!C1458</f>
        <v>м2</v>
      </c>
      <c r="D1042" s="1152" t="n">
        <f aca="false">'Смета Расходов'!D1458</f>
        <v>0</v>
      </c>
      <c r="E1042" s="1152" t="n">
        <f aca="false">'Смета Расходов'!F1458</f>
        <v>0</v>
      </c>
      <c r="F1042" s="1152" t="n">
        <f aca="false">'Смета Расходов'!G1458</f>
        <v>0</v>
      </c>
    </row>
    <row r="1043" customFormat="false" ht="15" hidden="false" customHeight="false" outlineLevel="0" collapsed="false">
      <c r="A1043" s="1139"/>
      <c r="B1043" s="1152" t="str">
        <f aca="false">'Смета Расходов'!B1459</f>
        <v>нет пароизоляции</v>
      </c>
      <c r="C1043" s="1153" t="str">
        <f aca="false">'Смета Расходов'!C1459</f>
        <v>м2</v>
      </c>
      <c r="D1043" s="1152" t="n">
        <f aca="false">'Смета Расходов'!D1459</f>
        <v>0</v>
      </c>
      <c r="E1043" s="1152" t="n">
        <f aca="false">'Смета Расходов'!F1459</f>
        <v>0</v>
      </c>
      <c r="F1043" s="1152" t="n">
        <f aca="false">'Смета Расходов'!G1459</f>
        <v>0</v>
      </c>
    </row>
    <row r="1044" customFormat="false" ht="15" hidden="false" customHeight="false" outlineLevel="0" collapsed="false">
      <c r="A1044" s="1139"/>
      <c r="B1044" s="1152" t="str">
        <f aca="false">'Смета Расходов'!B1460</f>
        <v>Плитный,28кг/м3, технониколь, 100мм</v>
      </c>
      <c r="C1044" s="1153" t="str">
        <f aca="false">'Смета Расходов'!C1460</f>
        <v>м3</v>
      </c>
      <c r="D1044" s="1152" t="n">
        <f aca="false">'Смета Расходов'!D1460</f>
        <v>1.32975746684072</v>
      </c>
      <c r="E1044" s="1152" t="n">
        <f aca="false">'Смета Расходов'!F1460</f>
        <v>1700</v>
      </c>
      <c r="F1044" s="1152" t="n">
        <f aca="false">'Смета Расходов'!G1460</f>
        <v>0</v>
      </c>
    </row>
    <row r="1045" customFormat="false" ht="15" hidden="false" customHeight="false" outlineLevel="0" collapsed="false">
      <c r="A1045" s="1139"/>
      <c r="B1045" s="1152" t="str">
        <f aca="false">'Смета Расходов'!B1461</f>
        <v>металлочерепица</v>
      </c>
      <c r="C1045" s="1153" t="str">
        <f aca="false">'Смета Расходов'!C1461</f>
        <v>м2</v>
      </c>
      <c r="D1045" s="1152" t="n">
        <f aca="false">'Смета Расходов'!D1461</f>
        <v>0</v>
      </c>
      <c r="E1045" s="1152" t="n">
        <f aca="false">'Смета Расходов'!F1461</f>
        <v>250</v>
      </c>
      <c r="F1045" s="1152" t="n">
        <f aca="false">'Смета Расходов'!G1461</f>
        <v>0</v>
      </c>
    </row>
    <row r="1046" customFormat="false" ht="15" hidden="false" customHeight="false" outlineLevel="0" collapsed="false">
      <c r="A1046" s="1139"/>
      <c r="B1046" s="1152" t="str">
        <f aca="false">'Смета Расходов'!B1462</f>
        <v>Карнизная планка</v>
      </c>
      <c r="C1046" s="1153" t="str">
        <f aca="false">'Смета Расходов'!C1462</f>
        <v>м.п.</v>
      </c>
      <c r="D1046" s="1152" t="n">
        <f aca="false">'Смета Расходов'!D1462</f>
        <v>0</v>
      </c>
      <c r="E1046" s="1152" t="n">
        <f aca="false">'Смета Расходов'!F1462</f>
        <v>200</v>
      </c>
      <c r="F1046" s="1152" t="n">
        <f aca="false">'Смета Расходов'!G1462</f>
        <v>0</v>
      </c>
    </row>
    <row r="1047" customFormat="false" ht="15" hidden="false" customHeight="false" outlineLevel="0" collapsed="false">
      <c r="A1047" s="1139"/>
      <c r="B1047" s="1152" t="str">
        <f aca="false">'Смета Расходов'!B1463</f>
        <v>Конек</v>
      </c>
      <c r="C1047" s="1153" t="str">
        <f aca="false">'Смета Расходов'!C1463</f>
        <v>м.п.</v>
      </c>
      <c r="D1047" s="1152" t="n">
        <f aca="false">'Смета Расходов'!D1463</f>
        <v>0</v>
      </c>
      <c r="E1047" s="1152" t="n">
        <f aca="false">'Смета Расходов'!F1463</f>
        <v>230</v>
      </c>
      <c r="F1047" s="1152" t="n">
        <f aca="false">'Смета Расходов'!G1463</f>
        <v>0</v>
      </c>
    </row>
    <row r="1048" customFormat="false" ht="15" hidden="false" customHeight="false" outlineLevel="0" collapsed="false">
      <c r="A1048" s="1139"/>
      <c r="B1048" s="1152" t="str">
        <f aca="false">'Смета Расходов'!B1464</f>
        <v>Ендова нижняя</v>
      </c>
      <c r="C1048" s="1153" t="str">
        <f aca="false">'Смета Расходов'!C1464</f>
        <v>м.п</v>
      </c>
      <c r="D1048" s="1152" t="n">
        <f aca="false">'Смета Расходов'!D1464</f>
        <v>0</v>
      </c>
      <c r="E1048" s="1152" t="n">
        <f aca="false">'Смета Расходов'!F1464</f>
        <v>160</v>
      </c>
      <c r="F1048" s="1152" t="n">
        <f aca="false">'Смета Расходов'!G1464</f>
        <v>0</v>
      </c>
    </row>
    <row r="1049" customFormat="false" ht="15" hidden="false" customHeight="false" outlineLevel="0" collapsed="false">
      <c r="A1049" s="1139"/>
      <c r="B1049" s="1152" t="str">
        <f aca="false">'Смета Расходов'!B1465</f>
        <v>Планка примыкания</v>
      </c>
      <c r="C1049" s="1153" t="str">
        <f aca="false">'Смета Расходов'!C1465</f>
        <v>м.п</v>
      </c>
      <c r="D1049" s="1152" t="n">
        <f aca="false">'Смета Расходов'!D1465</f>
        <v>0</v>
      </c>
      <c r="E1049" s="1152" t="n">
        <f aca="false">'Смета Расходов'!F1465</f>
        <v>190</v>
      </c>
      <c r="F1049" s="1152" t="n">
        <f aca="false">'Смета Расходов'!G1465</f>
        <v>0</v>
      </c>
    </row>
    <row r="1050" customFormat="false" ht="15" hidden="false" customHeight="false" outlineLevel="0" collapsed="false">
      <c r="A1050" s="1139"/>
      <c r="B1050" s="1152" t="str">
        <f aca="false">'Смета Расходов'!B1466</f>
        <v>ондулин</v>
      </c>
      <c r="C1050" s="1153" t="str">
        <f aca="false">'Смета Расходов'!C1466</f>
        <v>м2</v>
      </c>
      <c r="D1050" s="1152" t="n">
        <f aca="false">'Смета Расходов'!D1466</f>
        <v>0</v>
      </c>
      <c r="E1050" s="1152" t="n">
        <f aca="false">'Смета Расходов'!F1466</f>
        <v>180</v>
      </c>
      <c r="F1050" s="1152" t="n">
        <f aca="false">'Смета Расходов'!G1466</f>
        <v>0</v>
      </c>
    </row>
    <row r="1051" customFormat="false" ht="15" hidden="false" customHeight="false" outlineLevel="0" collapsed="false">
      <c r="A1051" s="1139"/>
      <c r="B1051" s="1152" t="str">
        <f aca="false">'Смета Расходов'!B1467</f>
        <v>Карнизная планка</v>
      </c>
      <c r="C1051" s="1153" t="str">
        <f aca="false">'Смета Расходов'!C1467</f>
        <v>м.п.</v>
      </c>
      <c r="D1051" s="1152" t="n">
        <f aca="false">'Смета Расходов'!D1467</f>
        <v>0</v>
      </c>
      <c r="E1051" s="1152" t="n">
        <f aca="false">'Смета Расходов'!F1467</f>
        <v>190</v>
      </c>
      <c r="F1051" s="1152" t="n">
        <f aca="false">'Смета Расходов'!G1467</f>
        <v>0</v>
      </c>
    </row>
    <row r="1052" customFormat="false" ht="15" hidden="false" customHeight="false" outlineLevel="0" collapsed="false">
      <c r="A1052" s="1139"/>
      <c r="B1052" s="1152" t="str">
        <f aca="false">'Смета Расходов'!B1468</f>
        <v>Торцевая планка</v>
      </c>
      <c r="C1052" s="1153" t="str">
        <f aca="false">'Смета Расходов'!C1468</f>
        <v>м.п.</v>
      </c>
      <c r="D1052" s="1152" t="n">
        <f aca="false">'Смета Расходов'!D1468</f>
        <v>0</v>
      </c>
      <c r="E1052" s="1152" t="n">
        <f aca="false">'Смета Расходов'!F1468</f>
        <v>190</v>
      </c>
      <c r="F1052" s="1152" t="n">
        <f aca="false">'Смета Расходов'!G1468</f>
        <v>0</v>
      </c>
    </row>
    <row r="1053" customFormat="false" ht="15" hidden="false" customHeight="false" outlineLevel="0" collapsed="false">
      <c r="A1053" s="1139"/>
      <c r="B1053" s="1152" t="str">
        <f aca="false">'Смета Расходов'!B1469</f>
        <v>Конек</v>
      </c>
      <c r="C1053" s="1153" t="str">
        <f aca="false">'Смета Расходов'!C1469</f>
        <v>м.п.</v>
      </c>
      <c r="D1053" s="1152" t="n">
        <f aca="false">'Смета Расходов'!D1469</f>
        <v>0</v>
      </c>
      <c r="E1053" s="1152" t="n">
        <f aca="false">'Смета Расходов'!F1469</f>
        <v>200</v>
      </c>
      <c r="F1053" s="1152" t="n">
        <f aca="false">'Смета Расходов'!G1469</f>
        <v>0</v>
      </c>
    </row>
    <row r="1054" customFormat="false" ht="15" hidden="false" customHeight="false" outlineLevel="0" collapsed="false">
      <c r="A1054" s="1139"/>
      <c r="B1054" s="1152" t="str">
        <f aca="false">'Смета Расходов'!B1470</f>
        <v>Ендова нижняя</v>
      </c>
      <c r="C1054" s="1153" t="str">
        <f aca="false">'Смета Расходов'!C1470</f>
        <v>м.п.</v>
      </c>
      <c r="D1054" s="1152" t="n">
        <f aca="false">'Смета Расходов'!D1470</f>
        <v>0</v>
      </c>
      <c r="E1054" s="1152" t="n">
        <f aca="false">'Смета Расходов'!F1470</f>
        <v>160</v>
      </c>
      <c r="F1054" s="1152" t="n">
        <f aca="false">'Смета Расходов'!G1470</f>
        <v>0</v>
      </c>
    </row>
    <row r="1055" customFormat="false" ht="15" hidden="false" customHeight="false" outlineLevel="0" collapsed="false">
      <c r="A1055" s="1139"/>
      <c r="B1055" s="1152" t="str">
        <f aca="false">'Смета Расходов'!B1471</f>
        <v>Ендова верхняя</v>
      </c>
      <c r="C1055" s="1153" t="str">
        <f aca="false">'Смета Расходов'!C1471</f>
        <v>м.п.</v>
      </c>
      <c r="D1055" s="1152" t="n">
        <f aca="false">'Смета Расходов'!D1471</f>
        <v>0</v>
      </c>
      <c r="E1055" s="1152" t="n">
        <f aca="false">'Смета Расходов'!F1471</f>
        <v>190</v>
      </c>
      <c r="F1055" s="1152" t="n">
        <f aca="false">'Смета Расходов'!G1471</f>
        <v>0</v>
      </c>
    </row>
    <row r="1056" customFormat="false" ht="15" hidden="false" customHeight="false" outlineLevel="0" collapsed="false">
      <c r="A1056" s="1139"/>
      <c r="B1056" s="1152" t="str">
        <f aca="false">'Смета Расходов'!B1472</f>
        <v>Планка примыкания</v>
      </c>
      <c r="C1056" s="1153" t="str">
        <f aca="false">'Смета Расходов'!C1472</f>
        <v>м.п.</v>
      </c>
      <c r="D1056" s="1152" t="n">
        <f aca="false">'Смета Расходов'!D1472</f>
        <v>0</v>
      </c>
      <c r="E1056" s="1152" t="n">
        <f aca="false">'Смета Расходов'!F1472</f>
        <v>190</v>
      </c>
      <c r="F1056" s="1152" t="n">
        <f aca="false">'Смета Расходов'!G1472</f>
        <v>0</v>
      </c>
    </row>
    <row r="1057" customFormat="false" ht="15" hidden="false" customHeight="false" outlineLevel="0" collapsed="false">
      <c r="A1057" s="1139"/>
      <c r="B1057" s="1152" t="str">
        <f aca="false">'Смета Расходов'!B1473</f>
        <v>Крепеж для ондулина</v>
      </c>
      <c r="C1057" s="1153" t="str">
        <f aca="false">'Смета Расходов'!C1473</f>
        <v>шт</v>
      </c>
      <c r="D1057" s="1152" t="n">
        <f aca="false">'Смета Расходов'!D1473</f>
        <v>0</v>
      </c>
      <c r="E1057" s="1152" t="n">
        <f aca="false">'Смета Расходов'!F1473</f>
        <v>4.5</v>
      </c>
      <c r="F1057" s="1152" t="n">
        <f aca="false">'Смета Расходов'!G1473</f>
        <v>0</v>
      </c>
    </row>
    <row r="1058" customFormat="false" ht="15" hidden="false" customHeight="false" outlineLevel="0" collapsed="false">
      <c r="A1058" s="1139"/>
      <c r="B1058" s="1152" t="str">
        <f aca="false">'Смета Расходов'!B1474</f>
        <v>нет</v>
      </c>
      <c r="C1058" s="1153" t="str">
        <f aca="false">'Смета Расходов'!C1474</f>
        <v>м2</v>
      </c>
      <c r="D1058" s="1152" t="n">
        <f aca="false">'Смета Расходов'!D1474</f>
        <v>0</v>
      </c>
      <c r="E1058" s="1152" t="n">
        <f aca="false">'Смета Расходов'!F1474</f>
        <v>0</v>
      </c>
      <c r="F1058" s="1152" t="n">
        <f aca="false">'Смета Расходов'!G1474</f>
        <v>0</v>
      </c>
    </row>
    <row r="1059" customFormat="false" ht="15" hidden="false" customHeight="false" outlineLevel="0" collapsed="false">
      <c r="A1059" s="1139"/>
      <c r="B1059" s="1152" t="str">
        <f aca="false">'Смета Расходов'!B1475</f>
        <v>Рядовая черепица</v>
      </c>
      <c r="C1059" s="1153" t="str">
        <f aca="false">'Смета Расходов'!C1475</f>
        <v>м2</v>
      </c>
      <c r="D1059" s="1152" t="n">
        <f aca="false">'Смета Расходов'!D1475</f>
        <v>0</v>
      </c>
      <c r="E1059" s="1152" t="n">
        <f aca="false">'Смета Расходов'!F1475</f>
        <v>360</v>
      </c>
      <c r="F1059" s="1152" t="n">
        <f aca="false">'Смета Расходов'!G1475</f>
        <v>0</v>
      </c>
    </row>
    <row r="1060" customFormat="false" ht="15" hidden="false" customHeight="false" outlineLevel="0" collapsed="false">
      <c r="A1060" s="1139"/>
      <c r="B1060" s="1152" t="str">
        <f aca="false">'Смета Расходов'!B1476</f>
        <v>Металл оцинк защита (карниз)</v>
      </c>
      <c r="C1060" s="1153" t="str">
        <f aca="false">'Смета Расходов'!C1476</f>
        <v>м.п.</v>
      </c>
      <c r="D1060" s="1152" t="n">
        <f aca="false">'Смета Расходов'!D1476</f>
        <v>0</v>
      </c>
      <c r="E1060" s="1152" t="n">
        <f aca="false">'Смета Расходов'!F1476</f>
        <v>200</v>
      </c>
      <c r="F1060" s="1152" t="n">
        <f aca="false">'Смета Расходов'!G1476</f>
        <v>0</v>
      </c>
    </row>
    <row r="1061" customFormat="false" ht="15" hidden="false" customHeight="false" outlineLevel="0" collapsed="false">
      <c r="A1061" s="1139"/>
      <c r="B1061" s="1152" t="str">
        <f aca="false">'Смета Расходов'!B1477</f>
        <v>Подкладочный ковер</v>
      </c>
      <c r="C1061" s="1153" t="str">
        <f aca="false">'Смета Расходов'!C1477</f>
        <v>м.п.</v>
      </c>
      <c r="D1061" s="1152" t="n">
        <f aca="false">'Смета Расходов'!D1477</f>
        <v>0</v>
      </c>
      <c r="E1061" s="1152" t="n">
        <f aca="false">'Смета Расходов'!F1477</f>
        <v>220</v>
      </c>
      <c r="F1061" s="1152" t="n">
        <f aca="false">'Смета Расходов'!G1477</f>
        <v>0</v>
      </c>
    </row>
    <row r="1062" customFormat="false" ht="15" hidden="false" customHeight="false" outlineLevel="0" collapsed="false">
      <c r="A1062" s="1139"/>
      <c r="B1062" s="1152" t="str">
        <f aca="false">'Смета Расходов'!B1478</f>
        <v>Карнизная самоклеющаяся черепица</v>
      </c>
      <c r="C1062" s="1153" t="str">
        <f aca="false">'Смета Расходов'!C1478</f>
        <v>м.п.</v>
      </c>
      <c r="D1062" s="1152" t="n">
        <f aca="false">'Смета Расходов'!D1478</f>
        <v>0</v>
      </c>
      <c r="E1062" s="1152" t="n">
        <f aca="false">'Смета Расходов'!F1478</f>
        <v>220</v>
      </c>
      <c r="F1062" s="1152" t="n">
        <f aca="false">'Смета Расходов'!G1478</f>
        <v>0</v>
      </c>
    </row>
    <row r="1063" customFormat="false" ht="15" hidden="false" customHeight="false" outlineLevel="0" collapsed="false">
      <c r="A1063" s="1139"/>
      <c r="B1063" s="1152" t="str">
        <f aca="false">'Смета Расходов'!B1479</f>
        <v>Спец ковер ендова нижняя</v>
      </c>
      <c r="C1063" s="1153" t="str">
        <f aca="false">'Смета Расходов'!C1479</f>
        <v>м.п.</v>
      </c>
      <c r="D1063" s="1152" t="n">
        <f aca="false">'Смета Расходов'!D1479</f>
        <v>0</v>
      </c>
      <c r="E1063" s="1152" t="n">
        <f aca="false">'Смета Расходов'!F1479</f>
        <v>200</v>
      </c>
      <c r="F1063" s="1152" t="n">
        <f aca="false">'Смета Расходов'!G1479</f>
        <v>0</v>
      </c>
    </row>
    <row r="1064" customFormat="false" ht="15" hidden="false" customHeight="false" outlineLevel="0" collapsed="false">
      <c r="A1064" s="1139"/>
      <c r="B1064" s="1152" t="str">
        <f aca="false">'Смета Расходов'!B1480</f>
        <v>Коньковой элемент</v>
      </c>
      <c r="C1064" s="1153" t="str">
        <f aca="false">'Смета Расходов'!C1480</f>
        <v>м.п.</v>
      </c>
      <c r="D1064" s="1152" t="n">
        <f aca="false">'Смета Расходов'!D1480</f>
        <v>0</v>
      </c>
      <c r="E1064" s="1152" t="n">
        <f aca="false">'Смета Расходов'!F1480</f>
        <v>250</v>
      </c>
      <c r="F1064" s="1152" t="n">
        <f aca="false">'Смета Расходов'!G1480</f>
        <v>0</v>
      </c>
    </row>
    <row r="1065" customFormat="false" ht="15" hidden="false" customHeight="false" outlineLevel="0" collapsed="false">
      <c r="A1065" s="1139"/>
      <c r="B1065" s="1152" t="str">
        <f aca="false">'Смета Расходов'!B1481</f>
        <v>Планка премыкания</v>
      </c>
      <c r="C1065" s="1153" t="str">
        <f aca="false">'Смета Расходов'!C1481</f>
        <v>м.п.</v>
      </c>
      <c r="D1065" s="1152" t="n">
        <f aca="false">'Смета Расходов'!D1481</f>
        <v>0</v>
      </c>
      <c r="E1065" s="1152" t="n">
        <f aca="false">'Смета Расходов'!F1481</f>
        <v>200</v>
      </c>
      <c r="F1065" s="1152" t="n">
        <f aca="false">'Смета Расходов'!G1481</f>
        <v>0</v>
      </c>
    </row>
    <row r="1066" customFormat="false" ht="15" hidden="false" customHeight="false" outlineLevel="0" collapsed="false">
      <c r="A1066" s="1139"/>
      <c r="B1066" s="1152" t="str">
        <f aca="false">'Смета Расходов'!B1482</f>
        <v>Гвозди для крепления подкладочного ковра</v>
      </c>
      <c r="C1066" s="1153" t="str">
        <f aca="false">'Смета Расходов'!C1482</f>
        <v>шт</v>
      </c>
      <c r="D1066" s="1152" t="n">
        <f aca="false">'Смета Расходов'!D1482</f>
        <v>0</v>
      </c>
      <c r="E1066" s="1152" t="n">
        <f aca="false">'Смета Расходов'!F1482</f>
        <v>0.012</v>
      </c>
      <c r="F1066" s="1152" t="n">
        <f aca="false">'Смета Расходов'!G1482</f>
        <v>0</v>
      </c>
    </row>
    <row r="1067" customFormat="false" ht="15" hidden="false" customHeight="false" outlineLevel="0" collapsed="false">
      <c r="A1067" s="1139"/>
      <c r="B1067" s="1152" t="str">
        <f aca="false">'Смета Расходов'!B1483</f>
        <v>Гвозди для крепления черепицы</v>
      </c>
      <c r="C1067" s="1153" t="str">
        <f aca="false">'Смета Расходов'!C1483</f>
        <v>шт</v>
      </c>
      <c r="D1067" s="1152" t="n">
        <f aca="false">'Смета Расходов'!D1483</f>
        <v>0</v>
      </c>
      <c r="E1067" s="1152" t="n">
        <f aca="false">'Смета Расходов'!F1483</f>
        <v>0.25</v>
      </c>
      <c r="F1067" s="1152" t="n">
        <f aca="false">'Смета Расходов'!G1483</f>
        <v>0</v>
      </c>
    </row>
    <row r="1068" customFormat="false" ht="15" hidden="false" customHeight="false" outlineLevel="0" collapsed="false">
      <c r="A1068" s="1139"/>
      <c r="B1068" s="1152" t="str">
        <f aca="false">'Смета Расходов'!B1484</f>
        <v>Клей для монтажа черепицы</v>
      </c>
      <c r="C1068" s="1153" t="str">
        <f aca="false">'Смета Расходов'!C1484</f>
        <v>кг</v>
      </c>
      <c r="D1068" s="1152" t="n">
        <f aca="false">'Смета Расходов'!D1484</f>
        <v>0</v>
      </c>
      <c r="E1068" s="1152" t="n">
        <f aca="false">'Смета Расходов'!F1484</f>
        <v>250</v>
      </c>
      <c r="F1068" s="1152" t="n">
        <f aca="false">'Смета Расходов'!G1484</f>
        <v>0</v>
      </c>
    </row>
    <row r="1069" customFormat="false" ht="15" hidden="false" customHeight="false" outlineLevel="0" collapsed="false">
      <c r="A1069" s="1139"/>
      <c r="B1069" s="1152" t="str">
        <f aca="false">'Смета Расходов'!B1485</f>
        <v>желоб</v>
      </c>
      <c r="C1069" s="1153" t="str">
        <f aca="false">'Смета Расходов'!C1485</f>
        <v>м.п</v>
      </c>
      <c r="D1069" s="1152" t="n">
        <f aca="false">'Смета Расходов'!D1485</f>
        <v>0</v>
      </c>
      <c r="E1069" s="1152" t="n">
        <f aca="false">'Смета Расходов'!F1485</f>
        <v>300</v>
      </c>
      <c r="F1069" s="1152" t="n">
        <f aca="false">'Смета Расходов'!G1485</f>
        <v>0</v>
      </c>
    </row>
    <row r="1070" customFormat="false" ht="15" hidden="false" customHeight="false" outlineLevel="0" collapsed="false">
      <c r="A1070" s="1139"/>
      <c r="B1070" s="1152" t="str">
        <f aca="false">'Смета Расходов'!B1486</f>
        <v>отвод</v>
      </c>
      <c r="C1070" s="1153" t="str">
        <f aca="false">'Смета Расходов'!C1486</f>
        <v>шт</v>
      </c>
      <c r="D1070" s="1152" t="n">
        <f aca="false">'Смета Расходов'!D1486</f>
        <v>4</v>
      </c>
      <c r="E1070" s="1152" t="n">
        <f aca="false">'Смета Расходов'!F1486</f>
        <v>250</v>
      </c>
      <c r="F1070" s="1152" t="n">
        <f aca="false">'Смета Расходов'!G1486</f>
        <v>0</v>
      </c>
    </row>
    <row r="1071" customFormat="false" ht="15" hidden="false" customHeight="false" outlineLevel="0" collapsed="false">
      <c r="A1071" s="1139"/>
      <c r="B1071" s="1152" t="str">
        <f aca="false">'Смета Расходов'!B1487</f>
        <v>труба водосточная</v>
      </c>
      <c r="C1071" s="1153" t="str">
        <f aca="false">'Смета Расходов'!C1487</f>
        <v>м.п.</v>
      </c>
      <c r="D1071" s="1152" t="n">
        <f aca="false">'Смета Расходов'!D1487</f>
        <v>0</v>
      </c>
      <c r="E1071" s="1152" t="n">
        <f aca="false">'Смета Расходов'!F1487</f>
        <v>300</v>
      </c>
      <c r="F1071" s="1152" t="n">
        <f aca="false">'Смета Расходов'!G1487</f>
        <v>0</v>
      </c>
    </row>
    <row r="1072" customFormat="false" ht="15" hidden="false" customHeight="false" outlineLevel="0" collapsed="false">
      <c r="A1072" s="1139"/>
      <c r="B1072" s="1152" t="str">
        <f aca="false">'Смета Расходов'!B1488</f>
        <v>заглушка для желоба</v>
      </c>
      <c r="C1072" s="1153" t="str">
        <f aca="false">'Смета Расходов'!C1488</f>
        <v>шт</v>
      </c>
      <c r="D1072" s="1152" t="n">
        <f aca="false">'Смета Расходов'!D1488</f>
        <v>0</v>
      </c>
      <c r="E1072" s="1152" t="n">
        <f aca="false">'Смета Расходов'!F1488</f>
        <v>190</v>
      </c>
      <c r="F1072" s="1152" t="n">
        <f aca="false">'Смета Расходов'!G1488</f>
        <v>0</v>
      </c>
    </row>
    <row r="1073" customFormat="false" ht="15" hidden="false" customHeight="false" outlineLevel="0" collapsed="false">
      <c r="A1073" s="1139"/>
      <c r="B1073" s="1152" t="str">
        <f aca="false">'Смета Расходов'!B1489</f>
        <v>соеденитель для желоба</v>
      </c>
      <c r="C1073" s="1153" t="str">
        <f aca="false">'Смета Расходов'!C1489</f>
        <v>шт</v>
      </c>
      <c r="D1073" s="1152" t="n">
        <f aca="false">'Смета Расходов'!D1489</f>
        <v>0</v>
      </c>
      <c r="E1073" s="1152" t="n">
        <f aca="false">'Смета Расходов'!F1489</f>
        <v>180</v>
      </c>
      <c r="F1073" s="1152" t="n">
        <f aca="false">'Смета Расходов'!G1489</f>
        <v>0</v>
      </c>
    </row>
    <row r="1074" customFormat="false" ht="15" hidden="false" customHeight="false" outlineLevel="0" collapsed="false">
      <c r="A1074" s="1139"/>
      <c r="B1074" s="1152" t="str">
        <f aca="false">'Смета Расходов'!B1490</f>
        <v>кронштейн для желоба</v>
      </c>
      <c r="C1074" s="1153" t="str">
        <f aca="false">'Смета Расходов'!C1490</f>
        <v>шт</v>
      </c>
      <c r="D1074" s="1152" t="n">
        <f aca="false">'Смета Расходов'!D1490</f>
        <v>0</v>
      </c>
      <c r="E1074" s="1152" t="n">
        <f aca="false">'Смета Расходов'!F1490</f>
        <v>130</v>
      </c>
      <c r="F1074" s="1152" t="n">
        <f aca="false">'Смета Расходов'!G1490</f>
        <v>0</v>
      </c>
    </row>
    <row r="1075" customFormat="false" ht="15" hidden="false" customHeight="false" outlineLevel="0" collapsed="false">
      <c r="A1075" s="1139"/>
      <c r="B1075" s="1152" t="str">
        <f aca="false">'Смета Расходов'!B1491</f>
        <v>переход из желоба в трубу</v>
      </c>
      <c r="C1075" s="1153" t="str">
        <f aca="false">'Смета Расходов'!C1491</f>
        <v>шт</v>
      </c>
      <c r="D1075" s="1152" t="n">
        <f aca="false">'Смета Расходов'!D1491</f>
        <v>2</v>
      </c>
      <c r="E1075" s="1152" t="n">
        <f aca="false">'Смета Расходов'!F1491</f>
        <v>350</v>
      </c>
      <c r="F1075" s="1152" t="n">
        <f aca="false">'Смета Расходов'!G1491</f>
        <v>0</v>
      </c>
    </row>
    <row r="1076" customFormat="false" ht="15" hidden="false" customHeight="false" outlineLevel="0" collapsed="false">
      <c r="A1076" s="1139"/>
      <c r="B1076" s="1152" t="str">
        <f aca="false">'Смета Расходов'!B1492</f>
        <v>лента дельта мульти бэнд</v>
      </c>
      <c r="C1076" s="1153" t="str">
        <f aca="false">'Смета Расходов'!C1492</f>
        <v>шт</v>
      </c>
      <c r="D1076" s="1152" t="n">
        <f aca="false">'Смета Расходов'!D1492</f>
        <v>0</v>
      </c>
      <c r="E1076" s="1152" t="n">
        <f aca="false">'Смета Расходов'!F1492</f>
        <v>1200</v>
      </c>
      <c r="F1076" s="1152" t="n">
        <f aca="false">'Смета Расходов'!G1492</f>
        <v>0</v>
      </c>
    </row>
    <row r="1077" customFormat="false" ht="15" hidden="false" customHeight="false" outlineLevel="0" collapsed="false">
      <c r="A1077" s="1139"/>
      <c r="B1077" s="1152" t="str">
        <f aca="false">'Смета Расходов'!B1493</f>
        <v>лента дельта sb-60</v>
      </c>
      <c r="C1077" s="1153" t="str">
        <f aca="false">'Смета Расходов'!C1493</f>
        <v>шт</v>
      </c>
      <c r="D1077" s="1152" t="n">
        <f aca="false">'Смета Расходов'!D1493</f>
        <v>0</v>
      </c>
      <c r="E1077" s="1152" t="n">
        <f aca="false">'Смета Расходов'!F1493</f>
        <v>1100</v>
      </c>
      <c r="F1077" s="1152" t="n">
        <f aca="false">'Смета Расходов'!G1493</f>
        <v>0</v>
      </c>
    </row>
    <row r="1078" customFormat="false" ht="15" hidden="false" customHeight="false" outlineLevel="0" collapsed="false">
      <c r="A1078" s="1139"/>
      <c r="B1078" s="1152" t="str">
        <f aca="false">'Смета Расходов'!B1494</f>
        <v>Кровельный саморез</v>
      </c>
      <c r="C1078" s="1153" t="str">
        <f aca="false">'Смета Расходов'!C1494</f>
        <v>шт</v>
      </c>
      <c r="D1078" s="1152" t="n">
        <f aca="false">'Смета Расходов'!D1494</f>
        <v>0</v>
      </c>
      <c r="E1078" s="1152" t="n">
        <f aca="false">'Смета Расходов'!F1494</f>
        <v>2</v>
      </c>
      <c r="F1078" s="1152" t="n">
        <f aca="false">'Смета Расходов'!G1494</f>
        <v>0</v>
      </c>
    </row>
    <row r="1079" customFormat="false" ht="15" hidden="false" customHeight="false" outlineLevel="0" collapsed="false">
      <c r="A1079" s="1139"/>
      <c r="B1079" s="1152" t="str">
        <f aca="false">'Смета Расходов'!B1495</f>
        <v>Гвозди ершоные 3,4 x 60            </v>
      </c>
      <c r="C1079" s="1153" t="str">
        <f aca="false">'Смета Расходов'!C1495</f>
        <v>кг</v>
      </c>
      <c r="D1079" s="1152" t="n">
        <f aca="false">'Смета Расходов'!D1495</f>
        <v>0</v>
      </c>
      <c r="E1079" s="1152" t="n">
        <f aca="false">'Смета Расходов'!F1495</f>
        <v>75.51</v>
      </c>
      <c r="F1079" s="1152" t="n">
        <f aca="false">'Смета Расходов'!G1495</f>
        <v>0</v>
      </c>
    </row>
    <row r="1080" customFormat="false" ht="15" hidden="false" customHeight="false" outlineLevel="0" collapsed="false">
      <c r="A1080" s="1139"/>
      <c r="B1080" s="1152" t="str">
        <f aca="false">'Смета Расходов'!B1496</f>
        <v>Гвозди ершоные 2,8 х 90            </v>
      </c>
      <c r="C1080" s="1153" t="str">
        <f aca="false">'Смета Расходов'!C1496</f>
        <v>кг</v>
      </c>
      <c r="D1080" s="1152" t="n">
        <f aca="false">'Смета Расходов'!D1496</f>
        <v>0</v>
      </c>
      <c r="E1080" s="1152" t="n">
        <f aca="false">'Смета Расходов'!F1496</f>
        <v>76.49</v>
      </c>
      <c r="F1080" s="1152" t="n">
        <f aca="false">'Смета Расходов'!G1496</f>
        <v>0</v>
      </c>
    </row>
    <row r="1081" customFormat="false" ht="15" hidden="false" customHeight="false" outlineLevel="0" collapsed="false">
      <c r="A1081" s="1139"/>
      <c r="B1081" s="1152" t="str">
        <f aca="false">'Смета Расходов'!B1497</f>
        <v>Пластина соеденительная 100х240х2           </v>
      </c>
      <c r="C1081" s="1153" t="str">
        <f aca="false">'Смета Расходов'!C1497</f>
        <v>шт</v>
      </c>
      <c r="D1081" s="1152" t="n">
        <f aca="false">'Смета Расходов'!D1497</f>
        <v>2</v>
      </c>
      <c r="E1081" s="1152" t="n">
        <f aca="false">'Смета Расходов'!F1497</f>
        <v>31.54</v>
      </c>
      <c r="F1081" s="1152" t="n">
        <f aca="false">'Смета Расходов'!G1497</f>
        <v>0</v>
      </c>
    </row>
    <row r="1082" customFormat="false" ht="15" hidden="false" customHeight="false" outlineLevel="0" collapsed="false">
      <c r="A1082" s="1139"/>
      <c r="B1082" s="1152" t="str">
        <f aca="false">'Смета Расходов'!B1498</f>
        <v>Уголок усиленный 90х70х55х2,5        </v>
      </c>
      <c r="C1082" s="1153" t="str">
        <f aca="false">'Смета Расходов'!C1498</f>
        <v>шт</v>
      </c>
      <c r="D1082" s="1152" t="n">
        <f aca="false">'Смета Расходов'!D1498</f>
        <v>3</v>
      </c>
      <c r="E1082" s="1152" t="n">
        <f aca="false">'Смета Расходов'!F1498</f>
        <v>30</v>
      </c>
      <c r="F1082" s="1152" t="n">
        <f aca="false">'Смета Расходов'!G1498</f>
        <v>0</v>
      </c>
    </row>
    <row r="1083" customFormat="false" ht="15" hidden="false" customHeight="false" outlineLevel="0" collapsed="false">
      <c r="A1083" s="1139"/>
      <c r="B1083" s="1154" t="s">
        <v>2309</v>
      </c>
      <c r="C1083" s="1154"/>
      <c r="D1083" s="1154"/>
      <c r="E1083" s="1154"/>
      <c r="F1083" s="1152" t="n">
        <f aca="false">SUM(F1037:F1082)</f>
        <v>0</v>
      </c>
    </row>
    <row r="1084" customFormat="false" ht="18.75" hidden="false" customHeight="false" outlineLevel="0" collapsed="false">
      <c r="A1084" s="1139"/>
      <c r="B1084" s="1150" t="str">
        <f aca="false">'Смета Расходов'!B1517</f>
        <v>Кровля на террасу/веранду</v>
      </c>
      <c r="C1084" s="1150"/>
      <c r="D1084" s="1150"/>
      <c r="E1084" s="1150"/>
      <c r="F1084" s="1155" t="n">
        <f aca="false">'Смета Внутр'!H1517</f>
        <v>0</v>
      </c>
    </row>
    <row r="1085" customFormat="false" ht="15" hidden="false" customHeight="false" outlineLevel="0" collapsed="false">
      <c r="A1085" s="1139"/>
      <c r="B1085" s="1156" t="s">
        <v>2246</v>
      </c>
      <c r="C1085" s="1156"/>
      <c r="D1085" s="1156"/>
      <c r="E1085" s="1156"/>
      <c r="F1085" s="1155" t="n">
        <f aca="false">'Смета Внутр'!H1518</f>
        <v>0</v>
      </c>
    </row>
    <row r="1086" customFormat="false" ht="15" hidden="false" customHeight="false" outlineLevel="0" collapsed="false">
      <c r="A1086" s="1139"/>
      <c r="B1086" s="1152" t="str">
        <f aca="false">'Смета Расходов'!B1519</f>
        <v>Доска сухая, 200*50мм</v>
      </c>
      <c r="C1086" s="1153" t="str">
        <f aca="false">'Смета Расходов'!C1519</f>
        <v>м3</v>
      </c>
      <c r="D1086" s="1152" t="n">
        <f aca="false">'Смета Расходов'!D1519</f>
        <v>0</v>
      </c>
      <c r="E1086" s="1152" t="n">
        <f aca="false">'Смета Расходов'!F1519</f>
        <v>9000</v>
      </c>
      <c r="F1086" s="1152" t="n">
        <f aca="false">'Смета Расходов'!G1519</f>
        <v>0</v>
      </c>
    </row>
    <row r="1087" customFormat="false" ht="15" hidden="false" customHeight="false" outlineLevel="0" collapsed="false">
      <c r="A1087" s="1139"/>
      <c r="B1087" s="1152" t="str">
        <f aca="false">'Смета Расходов'!B1520</f>
        <v>Сосна влаж,100*25мм</v>
      </c>
      <c r="C1087" s="1153" t="str">
        <f aca="false">'Смета Расходов'!C1520</f>
        <v>м3</v>
      </c>
      <c r="D1087" s="1152" t="n">
        <f aca="false">'Смета Расходов'!D1520</f>
        <v>0</v>
      </c>
      <c r="E1087" s="1152" t="n">
        <f aca="false">'Смета Расходов'!F1520</f>
        <v>6500</v>
      </c>
      <c r="F1087" s="1152" t="n">
        <f aca="false">'Смета Расходов'!G1520</f>
        <v>0</v>
      </c>
    </row>
    <row r="1088" customFormat="false" ht="15" hidden="false" customHeight="false" outlineLevel="0" collapsed="false">
      <c r="A1088" s="1139"/>
      <c r="B1088" s="1152" t="str">
        <f aca="false">'Смета Расходов'!B1521</f>
        <v>Доска сухая, калибр., 35*45мм</v>
      </c>
      <c r="C1088" s="1153" t="str">
        <f aca="false">'Смета Расходов'!C1521</f>
        <v>шт</v>
      </c>
      <c r="D1088" s="1152" t="n">
        <f aca="false">'Смета Расходов'!D1521</f>
        <v>0</v>
      </c>
      <c r="E1088" s="1152" t="n">
        <f aca="false">'Смета Расходов'!F1521</f>
        <v>12500</v>
      </c>
      <c r="F1088" s="1152" t="n">
        <f aca="false">'Смета Расходов'!G1521</f>
        <v>0</v>
      </c>
    </row>
    <row r="1089" customFormat="false" ht="15" hidden="false" customHeight="false" outlineLevel="0" collapsed="false">
      <c r="A1089" s="1139"/>
      <c r="B1089" s="1152" t="str">
        <f aca="false">'Смета Расходов'!B1522</f>
        <v>нет ветроизоляции</v>
      </c>
      <c r="C1089" s="1153" t="str">
        <f aca="false">'Смета Расходов'!C1522</f>
        <v>м2</v>
      </c>
      <c r="D1089" s="1152" t="n">
        <f aca="false">'Смета Расходов'!D1522</f>
        <v>0</v>
      </c>
      <c r="E1089" s="1152" t="n">
        <f aca="false">'Смета Расходов'!F1522</f>
        <v>0</v>
      </c>
      <c r="F1089" s="1152" t="n">
        <f aca="false">'Смета Расходов'!G1522</f>
        <v>0</v>
      </c>
    </row>
    <row r="1090" customFormat="false" ht="15" hidden="false" customHeight="false" outlineLevel="0" collapsed="false">
      <c r="A1090" s="1139"/>
      <c r="B1090" s="1152" t="str">
        <f aca="false">'Смета Расходов'!B1523</f>
        <v>металлочерепица</v>
      </c>
      <c r="C1090" s="1153" t="str">
        <f aca="false">'Смета Расходов'!C1523</f>
        <v>м2</v>
      </c>
      <c r="D1090" s="1152" t="n">
        <f aca="false">'Смета Расходов'!D1523</f>
        <v>0</v>
      </c>
      <c r="E1090" s="1152" t="n">
        <f aca="false">'Смета Расходов'!F1523</f>
        <v>250</v>
      </c>
      <c r="F1090" s="1152" t="n">
        <f aca="false">'Смета Расходов'!G1523</f>
        <v>0</v>
      </c>
    </row>
    <row r="1091" customFormat="false" ht="15" hidden="false" customHeight="false" outlineLevel="0" collapsed="false">
      <c r="A1091" s="1139"/>
      <c r="B1091" s="1152" t="str">
        <f aca="false">'Смета Расходов'!B1524</f>
        <v>карнизная планка</v>
      </c>
      <c r="C1091" s="1153" t="str">
        <f aca="false">'Смета Расходов'!C1524</f>
        <v>м.п.</v>
      </c>
      <c r="D1091" s="1152" t="n">
        <f aca="false">'Смета Расходов'!D1524</f>
        <v>0</v>
      </c>
      <c r="E1091" s="1152" t="n">
        <f aca="false">'Смета Расходов'!F1524</f>
        <v>200</v>
      </c>
      <c r="F1091" s="1152" t="n">
        <f aca="false">'Смета Расходов'!G1524</f>
        <v>0</v>
      </c>
    </row>
    <row r="1092" customFormat="false" ht="15" hidden="false" customHeight="false" outlineLevel="0" collapsed="false">
      <c r="A1092" s="1139"/>
      <c r="B1092" s="1152" t="str">
        <f aca="false">'Смета Расходов'!B1525</f>
        <v>торцевая планка</v>
      </c>
      <c r="C1092" s="1153" t="str">
        <f aca="false">'Смета Расходов'!C1525</f>
        <v>м.п.</v>
      </c>
      <c r="D1092" s="1152" t="n">
        <f aca="false">'Смета Расходов'!D1525</f>
        <v>0</v>
      </c>
      <c r="E1092" s="1152" t="n">
        <f aca="false">'Смета Расходов'!F1525</f>
        <v>200</v>
      </c>
      <c r="F1092" s="1152" t="n">
        <f aca="false">'Смета Расходов'!G1525</f>
        <v>0</v>
      </c>
    </row>
    <row r="1093" customFormat="false" ht="15" hidden="false" customHeight="false" outlineLevel="0" collapsed="false">
      <c r="A1093" s="1139"/>
      <c r="B1093" s="1152" t="str">
        <f aca="false">'Смета Расходов'!B1526</f>
        <v>конек</v>
      </c>
      <c r="C1093" s="1153" t="str">
        <f aca="false">'Смета Расходов'!C1526</f>
        <v>м.п.</v>
      </c>
      <c r="D1093" s="1152" t="n">
        <f aca="false">'Смета Расходов'!D1526</f>
        <v>0</v>
      </c>
      <c r="E1093" s="1152" t="n">
        <f aca="false">'Смета Расходов'!F1526</f>
        <v>230</v>
      </c>
      <c r="F1093" s="1152" t="n">
        <f aca="false">'Смета Расходов'!G1526</f>
        <v>0</v>
      </c>
    </row>
    <row r="1094" customFormat="false" ht="15" hidden="false" customHeight="false" outlineLevel="0" collapsed="false">
      <c r="A1094" s="1139"/>
      <c r="B1094" s="1152" t="str">
        <f aca="false">'Смета Расходов'!B1527</f>
        <v>ондулин</v>
      </c>
      <c r="C1094" s="1153" t="str">
        <f aca="false">'Смета Расходов'!C1527</f>
        <v>м2</v>
      </c>
      <c r="D1094" s="1152" t="n">
        <f aca="false">'Смета Расходов'!D1527</f>
        <v>0</v>
      </c>
      <c r="E1094" s="1152" t="n">
        <f aca="false">'Смета Расходов'!F1527</f>
        <v>180</v>
      </c>
      <c r="F1094" s="1152" t="n">
        <f aca="false">'Смета Расходов'!G1527</f>
        <v>0</v>
      </c>
    </row>
    <row r="1095" customFormat="false" ht="15" hidden="false" customHeight="false" outlineLevel="0" collapsed="false">
      <c r="A1095" s="1139"/>
      <c r="B1095" s="1152" t="str">
        <f aca="false">'Смета Расходов'!B1528</f>
        <v>Карнизная планка</v>
      </c>
      <c r="C1095" s="1153" t="str">
        <f aca="false">'Смета Расходов'!C1528</f>
        <v>м.п.</v>
      </c>
      <c r="D1095" s="1152" t="n">
        <f aca="false">'Смета Расходов'!D1528</f>
        <v>0</v>
      </c>
      <c r="E1095" s="1152" t="n">
        <f aca="false">'Смета Расходов'!F1528</f>
        <v>190</v>
      </c>
      <c r="F1095" s="1152" t="n">
        <f aca="false">'Смета Расходов'!G1528</f>
        <v>0</v>
      </c>
    </row>
    <row r="1096" customFormat="false" ht="15" hidden="false" customHeight="false" outlineLevel="0" collapsed="false">
      <c r="A1096" s="1139"/>
      <c r="B1096" s="1152" t="str">
        <f aca="false">'Смета Расходов'!B1529</f>
        <v>Торцевая планка</v>
      </c>
      <c r="C1096" s="1153" t="str">
        <f aca="false">'Смета Расходов'!C1529</f>
        <v>м.п.</v>
      </c>
      <c r="D1096" s="1152" t="n">
        <f aca="false">'Смета Расходов'!D1529</f>
        <v>0</v>
      </c>
      <c r="E1096" s="1152" t="n">
        <f aca="false">'Смета Расходов'!F1529</f>
        <v>190</v>
      </c>
      <c r="F1096" s="1152" t="n">
        <f aca="false">'Смета Расходов'!G1529</f>
        <v>0</v>
      </c>
    </row>
    <row r="1097" customFormat="false" ht="15" hidden="false" customHeight="false" outlineLevel="0" collapsed="false">
      <c r="A1097" s="1139"/>
      <c r="B1097" s="1152" t="str">
        <f aca="false">'Смета Расходов'!B1530</f>
        <v>Конек</v>
      </c>
      <c r="C1097" s="1153" t="str">
        <f aca="false">'Смета Расходов'!C1530</f>
        <v>м.п.</v>
      </c>
      <c r="D1097" s="1152" t="n">
        <f aca="false">'Смета Расходов'!D1530</f>
        <v>0</v>
      </c>
      <c r="E1097" s="1152" t="n">
        <f aca="false">'Смета Расходов'!F1530</f>
        <v>200</v>
      </c>
      <c r="F1097" s="1152" t="n">
        <f aca="false">'Смета Расходов'!G1530</f>
        <v>0</v>
      </c>
    </row>
    <row r="1098" customFormat="false" ht="15" hidden="false" customHeight="false" outlineLevel="0" collapsed="false">
      <c r="A1098" s="1139"/>
      <c r="B1098" s="1152" t="str">
        <f aca="false">'Смета Расходов'!B1531</f>
        <v>Ендова нижняя</v>
      </c>
      <c r="C1098" s="1153" t="str">
        <f aca="false">'Смета Расходов'!C1531</f>
        <v>м.п.</v>
      </c>
      <c r="D1098" s="1152" t="n">
        <f aca="false">'Смета Расходов'!D1531</f>
        <v>0</v>
      </c>
      <c r="E1098" s="1152" t="n">
        <f aca="false">'Смета Расходов'!F1531</f>
        <v>160</v>
      </c>
      <c r="F1098" s="1152" t="n">
        <f aca="false">'Смета Расходов'!G1531</f>
        <v>0</v>
      </c>
    </row>
    <row r="1099" customFormat="false" ht="15" hidden="false" customHeight="false" outlineLevel="0" collapsed="false">
      <c r="A1099" s="1139"/>
      <c r="B1099" s="1152" t="str">
        <f aca="false">'Смета Расходов'!B1532</f>
        <v>Ендова верхняя</v>
      </c>
      <c r="C1099" s="1153" t="str">
        <f aca="false">'Смета Расходов'!C1532</f>
        <v>м.п.</v>
      </c>
      <c r="D1099" s="1152" t="n">
        <f aca="false">'Смета Расходов'!D1532</f>
        <v>0</v>
      </c>
      <c r="E1099" s="1152" t="n">
        <f aca="false">'Смета Расходов'!F1532</f>
        <v>190</v>
      </c>
      <c r="F1099" s="1152" t="n">
        <f aca="false">'Смета Расходов'!G1532</f>
        <v>0</v>
      </c>
    </row>
    <row r="1100" customFormat="false" ht="15" hidden="false" customHeight="false" outlineLevel="0" collapsed="false">
      <c r="A1100" s="1139"/>
      <c r="B1100" s="1152" t="str">
        <f aca="false">'Смета Расходов'!B1533</f>
        <v>Планка примыкания</v>
      </c>
      <c r="C1100" s="1153" t="str">
        <f aca="false">'Смета Расходов'!C1533</f>
        <v>м.п.</v>
      </c>
      <c r="D1100" s="1152" t="n">
        <f aca="false">'Смета Расходов'!D1533</f>
        <v>0</v>
      </c>
      <c r="E1100" s="1152" t="n">
        <f aca="false">'Смета Расходов'!F1533</f>
        <v>190</v>
      </c>
      <c r="F1100" s="1152" t="n">
        <f aca="false">'Смета Расходов'!G1533</f>
        <v>0</v>
      </c>
    </row>
    <row r="1101" customFormat="false" ht="15" hidden="false" customHeight="false" outlineLevel="0" collapsed="false">
      <c r="A1101" s="1139"/>
      <c r="B1101" s="1152" t="str">
        <f aca="false">'Смета Расходов'!B1534</f>
        <v>Крепеж для ондулина</v>
      </c>
      <c r="C1101" s="1153" t="str">
        <f aca="false">'Смета Расходов'!C1534</f>
        <v>шт</v>
      </c>
      <c r="D1101" s="1152" t="n">
        <f aca="false">'Смета Расходов'!D1534</f>
        <v>0</v>
      </c>
      <c r="E1101" s="1152" t="n">
        <f aca="false">'Смета Расходов'!F1534</f>
        <v>4.5</v>
      </c>
      <c r="F1101" s="1152" t="n">
        <f aca="false">'Смета Расходов'!G1534</f>
        <v>0</v>
      </c>
    </row>
    <row r="1102" customFormat="false" ht="15" hidden="false" customHeight="false" outlineLevel="0" collapsed="false">
      <c r="A1102" s="1139"/>
      <c r="B1102" s="1152" t="str">
        <f aca="false">'Смета Расходов'!B1535</f>
        <v>нет</v>
      </c>
      <c r="C1102" s="1153" t="str">
        <f aca="false">'Смета Расходов'!C1535</f>
        <v>м2</v>
      </c>
      <c r="D1102" s="1152" t="n">
        <f aca="false">'Смета Расходов'!D1535</f>
        <v>21.4120474499754</v>
      </c>
      <c r="E1102" s="1152" t="n">
        <f aca="false">'Смета Расходов'!F1535</f>
        <v>0</v>
      </c>
      <c r="F1102" s="1152" t="n">
        <f aca="false">'Смета Расходов'!G1535</f>
        <v>0</v>
      </c>
    </row>
    <row r="1103" customFormat="false" ht="15" hidden="false" customHeight="false" outlineLevel="0" collapsed="false">
      <c r="A1103" s="1139"/>
      <c r="B1103" s="1152" t="str">
        <f aca="false">'Смета Расходов'!B1536</f>
        <v>Рядовая черепица</v>
      </c>
      <c r="C1103" s="1153" t="str">
        <f aca="false">'Смета Расходов'!C1536</f>
        <v>м2</v>
      </c>
      <c r="D1103" s="1152" t="n">
        <f aca="false">'Смета Расходов'!D1536</f>
        <v>0</v>
      </c>
      <c r="E1103" s="1152" t="n">
        <f aca="false">'Смета Расходов'!F1536</f>
        <v>360</v>
      </c>
      <c r="F1103" s="1152" t="n">
        <f aca="false">'Смета Расходов'!G1536</f>
        <v>0</v>
      </c>
    </row>
    <row r="1104" customFormat="false" ht="15" hidden="false" customHeight="false" outlineLevel="0" collapsed="false">
      <c r="A1104" s="1139"/>
      <c r="B1104" s="1152" t="str">
        <f aca="false">'Смета Расходов'!B1537</f>
        <v>Металл оцинк защита (карниз)</v>
      </c>
      <c r="C1104" s="1153" t="str">
        <f aca="false">'Смета Расходов'!C1537</f>
        <v>м.п.</v>
      </c>
      <c r="D1104" s="1152" t="n">
        <f aca="false">'Смета Расходов'!D1537</f>
        <v>0</v>
      </c>
      <c r="E1104" s="1152" t="n">
        <f aca="false">'Смета Расходов'!F1537</f>
        <v>200</v>
      </c>
      <c r="F1104" s="1152" t="n">
        <f aca="false">'Смета Расходов'!G1537</f>
        <v>0</v>
      </c>
    </row>
    <row r="1105" customFormat="false" ht="15" hidden="false" customHeight="false" outlineLevel="0" collapsed="false">
      <c r="A1105" s="1139"/>
      <c r="B1105" s="1152" t="str">
        <f aca="false">'Смета Расходов'!B1538</f>
        <v>Подкладочный ковер</v>
      </c>
      <c r="C1105" s="1153" t="str">
        <f aca="false">'Смета Расходов'!C1538</f>
        <v>м.п.</v>
      </c>
      <c r="D1105" s="1152" t="n">
        <f aca="false">'Смета Расходов'!D1538</f>
        <v>0</v>
      </c>
      <c r="E1105" s="1152" t="n">
        <f aca="false">'Смета Расходов'!F1538</f>
        <v>220</v>
      </c>
      <c r="F1105" s="1152" t="n">
        <f aca="false">'Смета Расходов'!G1538</f>
        <v>0</v>
      </c>
    </row>
    <row r="1106" customFormat="false" ht="15" hidden="false" customHeight="false" outlineLevel="0" collapsed="false">
      <c r="A1106" s="1139"/>
      <c r="B1106" s="1152" t="str">
        <f aca="false">'Смета Расходов'!B1539</f>
        <v>Карнизная самоклеющаяся черепица</v>
      </c>
      <c r="C1106" s="1153" t="str">
        <f aca="false">'Смета Расходов'!C1539</f>
        <v>м.п.</v>
      </c>
      <c r="D1106" s="1152" t="n">
        <f aca="false">'Смета Расходов'!D1539</f>
        <v>0</v>
      </c>
      <c r="E1106" s="1152" t="n">
        <f aca="false">'Смета Расходов'!F1539</f>
        <v>220</v>
      </c>
      <c r="F1106" s="1152" t="n">
        <f aca="false">'Смета Расходов'!G1539</f>
        <v>0</v>
      </c>
    </row>
    <row r="1107" customFormat="false" ht="15" hidden="false" customHeight="false" outlineLevel="0" collapsed="false">
      <c r="A1107" s="1139"/>
      <c r="B1107" s="1152" t="str">
        <f aca="false">'Смета Расходов'!B1540</f>
        <v>Спец ковер ендова нижняя</v>
      </c>
      <c r="C1107" s="1153" t="str">
        <f aca="false">'Смета Расходов'!C1540</f>
        <v>м.п.</v>
      </c>
      <c r="D1107" s="1152" t="n">
        <f aca="false">'Смета Расходов'!D1540</f>
        <v>0</v>
      </c>
      <c r="E1107" s="1152" t="n">
        <f aca="false">'Смета Расходов'!F1540</f>
        <v>200</v>
      </c>
      <c r="F1107" s="1152" t="n">
        <f aca="false">'Смета Расходов'!G1540</f>
        <v>0</v>
      </c>
    </row>
    <row r="1108" customFormat="false" ht="15" hidden="false" customHeight="false" outlineLevel="0" collapsed="false">
      <c r="A1108" s="1139"/>
      <c r="B1108" s="1152" t="str">
        <f aca="false">'Смета Расходов'!B1541</f>
        <v>Коньковой элемент</v>
      </c>
      <c r="C1108" s="1153" t="str">
        <f aca="false">'Смета Расходов'!C1541</f>
        <v>м.п.</v>
      </c>
      <c r="D1108" s="1152" t="n">
        <f aca="false">'Смета Расходов'!D1541</f>
        <v>0</v>
      </c>
      <c r="E1108" s="1152" t="n">
        <f aca="false">'Смета Расходов'!F1541</f>
        <v>250</v>
      </c>
      <c r="F1108" s="1152" t="n">
        <f aca="false">'Смета Расходов'!G1541</f>
        <v>0</v>
      </c>
    </row>
    <row r="1109" customFormat="false" ht="15" hidden="false" customHeight="false" outlineLevel="0" collapsed="false">
      <c r="A1109" s="1139"/>
      <c r="B1109" s="1152" t="str">
        <f aca="false">'Смета Расходов'!B1542</f>
        <v>Планка премыкания</v>
      </c>
      <c r="C1109" s="1153" t="str">
        <f aca="false">'Смета Расходов'!C1542</f>
        <v>м.п.</v>
      </c>
      <c r="D1109" s="1152" t="n">
        <f aca="false">'Смета Расходов'!D1542</f>
        <v>0</v>
      </c>
      <c r="E1109" s="1152" t="n">
        <f aca="false">'Смета Расходов'!F1542</f>
        <v>200</v>
      </c>
      <c r="F1109" s="1152" t="n">
        <f aca="false">'Смета Расходов'!G1542</f>
        <v>0</v>
      </c>
    </row>
    <row r="1110" customFormat="false" ht="15" hidden="false" customHeight="false" outlineLevel="0" collapsed="false">
      <c r="A1110" s="1139"/>
      <c r="B1110" s="1152" t="str">
        <f aca="false">'Смета Расходов'!B1543</f>
        <v>Гвозди для крепления подкладочного ковра</v>
      </c>
      <c r="C1110" s="1153" t="str">
        <f aca="false">'Смета Расходов'!C1543</f>
        <v>шт</v>
      </c>
      <c r="D1110" s="1152" t="n">
        <f aca="false">'Смета Расходов'!D1543</f>
        <v>0</v>
      </c>
      <c r="E1110" s="1152" t="n">
        <f aca="false">'Смета Расходов'!F1543</f>
        <v>0.012</v>
      </c>
      <c r="F1110" s="1152" t="n">
        <f aca="false">'Смета Расходов'!G1543</f>
        <v>0</v>
      </c>
    </row>
    <row r="1111" customFormat="false" ht="15" hidden="false" customHeight="false" outlineLevel="0" collapsed="false">
      <c r="A1111" s="1139"/>
      <c r="B1111" s="1152" t="str">
        <f aca="false">'Смета Расходов'!B1544</f>
        <v>Гвозди для крепления черепицы</v>
      </c>
      <c r="C1111" s="1153" t="str">
        <f aca="false">'Смета Расходов'!C1544</f>
        <v>шт</v>
      </c>
      <c r="D1111" s="1152" t="n">
        <f aca="false">'Смета Расходов'!D1544</f>
        <v>0</v>
      </c>
      <c r="E1111" s="1152" t="n">
        <f aca="false">'Смета Расходов'!F1544</f>
        <v>0.25</v>
      </c>
      <c r="F1111" s="1152" t="n">
        <f aca="false">'Смета Расходов'!G1544</f>
        <v>0</v>
      </c>
    </row>
    <row r="1112" customFormat="false" ht="15" hidden="false" customHeight="false" outlineLevel="0" collapsed="false">
      <c r="A1112" s="1139"/>
      <c r="B1112" s="1152" t="str">
        <f aca="false">'Смета Расходов'!B1545</f>
        <v>Клей для монтажа черепицы</v>
      </c>
      <c r="C1112" s="1153" t="str">
        <f aca="false">'Смета Расходов'!C1545</f>
        <v>кг</v>
      </c>
      <c r="D1112" s="1152" t="n">
        <f aca="false">'Смета Расходов'!D1545</f>
        <v>0</v>
      </c>
      <c r="E1112" s="1152" t="n">
        <f aca="false">'Смета Расходов'!F1545</f>
        <v>250</v>
      </c>
      <c r="F1112" s="1152" t="n">
        <f aca="false">'Смета Расходов'!G1545</f>
        <v>0</v>
      </c>
    </row>
    <row r="1113" customFormat="false" ht="15" hidden="false" customHeight="false" outlineLevel="0" collapsed="false">
      <c r="A1113" s="1139"/>
      <c r="B1113" s="1152" t="str">
        <f aca="false">'Смета Расходов'!B1546</f>
        <v>желоб</v>
      </c>
      <c r="C1113" s="1153" t="str">
        <f aca="false">'Смета Расходов'!C1546</f>
        <v>м.п</v>
      </c>
      <c r="D1113" s="1152" t="n">
        <f aca="false">'Смета Расходов'!D1546</f>
        <v>7.6</v>
      </c>
      <c r="E1113" s="1152" t="n">
        <f aca="false">'Смета Расходов'!F1546</f>
        <v>300</v>
      </c>
      <c r="F1113" s="1152" t="n">
        <f aca="false">'Смета Расходов'!G1546</f>
        <v>0</v>
      </c>
    </row>
    <row r="1114" customFormat="false" ht="15" hidden="false" customHeight="false" outlineLevel="0" collapsed="false">
      <c r="A1114" s="1139"/>
      <c r="B1114" s="1152" t="str">
        <f aca="false">'Смета Расходов'!B1547</f>
        <v>отвод</v>
      </c>
      <c r="C1114" s="1153" t="str">
        <f aca="false">'Смета Расходов'!C1547</f>
        <v>шт</v>
      </c>
      <c r="D1114" s="1152" t="n">
        <f aca="false">'Смета Расходов'!D1547</f>
        <v>0</v>
      </c>
      <c r="E1114" s="1152" t="n">
        <f aca="false">'Смета Расходов'!F1547</f>
        <v>250</v>
      </c>
      <c r="F1114" s="1152" t="n">
        <f aca="false">'Смета Расходов'!G1547</f>
        <v>0</v>
      </c>
    </row>
    <row r="1115" customFormat="false" ht="15" hidden="false" customHeight="false" outlineLevel="0" collapsed="false">
      <c r="A1115" s="1139"/>
      <c r="B1115" s="1152" t="str">
        <f aca="false">'Смета Расходов'!B1548</f>
        <v>труба водосточная</v>
      </c>
      <c r="C1115" s="1153" t="str">
        <f aca="false">'Смета Расходов'!C1548</f>
        <v>м.п.</v>
      </c>
      <c r="D1115" s="1152" t="n">
        <f aca="false">'Смета Расходов'!D1548</f>
        <v>3.7</v>
      </c>
      <c r="E1115" s="1152" t="n">
        <f aca="false">'Смета Расходов'!F1548</f>
        <v>300</v>
      </c>
      <c r="F1115" s="1152" t="n">
        <f aca="false">'Смета Расходов'!G1548</f>
        <v>0</v>
      </c>
    </row>
    <row r="1116" customFormat="false" ht="15" hidden="false" customHeight="false" outlineLevel="0" collapsed="false">
      <c r="A1116" s="1139"/>
      <c r="B1116" s="1152" t="str">
        <f aca="false">'Смета Расходов'!B1549</f>
        <v>заглушка для желоба</v>
      </c>
      <c r="C1116" s="1153" t="str">
        <f aca="false">'Смета Расходов'!C1549</f>
        <v>шт</v>
      </c>
      <c r="D1116" s="1152" t="n">
        <f aca="false">'Смета Расходов'!D1549</f>
        <v>0</v>
      </c>
      <c r="E1116" s="1152" t="n">
        <f aca="false">'Смета Расходов'!F1549</f>
        <v>190</v>
      </c>
      <c r="F1116" s="1152" t="n">
        <f aca="false">'Смета Расходов'!G1549</f>
        <v>0</v>
      </c>
    </row>
    <row r="1117" customFormat="false" ht="15" hidden="false" customHeight="false" outlineLevel="0" collapsed="false">
      <c r="A1117" s="1139"/>
      <c r="B1117" s="1152" t="str">
        <f aca="false">'Смета Расходов'!B1550</f>
        <v>соеденитель для желоба</v>
      </c>
      <c r="C1117" s="1153" t="str">
        <f aca="false">'Смета Расходов'!C1550</f>
        <v>шт</v>
      </c>
      <c r="D1117" s="1152" t="n">
        <f aca="false">'Смета Расходов'!D1550</f>
        <v>0</v>
      </c>
      <c r="E1117" s="1152" t="n">
        <f aca="false">'Смета Расходов'!F1550</f>
        <v>180</v>
      </c>
      <c r="F1117" s="1152" t="n">
        <f aca="false">'Смета Расходов'!G1550</f>
        <v>0</v>
      </c>
    </row>
    <row r="1118" customFormat="false" ht="15" hidden="false" customHeight="false" outlineLevel="0" collapsed="false">
      <c r="A1118" s="1139"/>
      <c r="B1118" s="1152" t="str">
        <f aca="false">'Смета Расходов'!B1551</f>
        <v>кронштейн для желоба</v>
      </c>
      <c r="C1118" s="1153" t="str">
        <f aca="false">'Смета Расходов'!C1551</f>
        <v>шт</v>
      </c>
      <c r="D1118" s="1152" t="n">
        <f aca="false">'Смета Расходов'!D1551</f>
        <v>0</v>
      </c>
      <c r="E1118" s="1152" t="n">
        <f aca="false">'Смета Расходов'!F1551</f>
        <v>130</v>
      </c>
      <c r="F1118" s="1152" t="n">
        <f aca="false">'Смета Расходов'!G1551</f>
        <v>0</v>
      </c>
    </row>
    <row r="1119" customFormat="false" ht="15" hidden="false" customHeight="false" outlineLevel="0" collapsed="false">
      <c r="A1119" s="1139"/>
      <c r="B1119" s="1152" t="str">
        <f aca="false">'Смета Расходов'!B1552</f>
        <v>переход из желоба в трубу</v>
      </c>
      <c r="C1119" s="1153" t="str">
        <f aca="false">'Смета Расходов'!C1552</f>
        <v>шт</v>
      </c>
      <c r="D1119" s="1152" t="n">
        <f aca="false">'Смета Расходов'!D1552</f>
        <v>0</v>
      </c>
      <c r="E1119" s="1152" t="n">
        <f aca="false">'Смета Расходов'!F1552</f>
        <v>350</v>
      </c>
      <c r="F1119" s="1152" t="n">
        <f aca="false">'Смета Расходов'!G1552</f>
        <v>0</v>
      </c>
    </row>
    <row r="1120" customFormat="false" ht="15" hidden="false" customHeight="false" outlineLevel="0" collapsed="false">
      <c r="A1120" s="1139"/>
      <c r="B1120" s="1152" t="str">
        <f aca="false">'Смета Расходов'!B1553</f>
        <v>лента дельта мульти бэнд</v>
      </c>
      <c r="C1120" s="1153" t="str">
        <f aca="false">'Смета Расходов'!C1553</f>
        <v>шт</v>
      </c>
      <c r="D1120" s="1152" t="n">
        <f aca="false">'Смета Расходов'!D1553</f>
        <v>0</v>
      </c>
      <c r="E1120" s="1152" t="n">
        <f aca="false">'Смета Расходов'!F1553</f>
        <v>1200</v>
      </c>
      <c r="F1120" s="1152" t="n">
        <f aca="false">'Смета Расходов'!G1553</f>
        <v>0</v>
      </c>
    </row>
    <row r="1121" customFormat="false" ht="15" hidden="false" customHeight="false" outlineLevel="0" collapsed="false">
      <c r="A1121" s="1139"/>
      <c r="B1121" s="1152" t="str">
        <f aca="false">'Смета Расходов'!B1554</f>
        <v>лента дельта sb-60</v>
      </c>
      <c r="C1121" s="1153" t="str">
        <f aca="false">'Смета Расходов'!C1554</f>
        <v>шт</v>
      </c>
      <c r="D1121" s="1152" t="n">
        <f aca="false">'Смета Расходов'!D1554</f>
        <v>0</v>
      </c>
      <c r="E1121" s="1152" t="n">
        <f aca="false">'Смета Расходов'!F1554</f>
        <v>1100</v>
      </c>
      <c r="F1121" s="1152" t="n">
        <f aca="false">'Смета Расходов'!G1554</f>
        <v>0</v>
      </c>
    </row>
    <row r="1122" customFormat="false" ht="15" hidden="false" customHeight="false" outlineLevel="0" collapsed="false">
      <c r="A1122" s="1139"/>
      <c r="B1122" s="1152" t="str">
        <f aca="false">'Смета Расходов'!B1555</f>
        <v>Кровельный саморез</v>
      </c>
      <c r="C1122" s="1153" t="str">
        <f aca="false">'Смета Расходов'!C1555</f>
        <v>шт</v>
      </c>
      <c r="D1122" s="1152" t="n">
        <f aca="false">'Смета Расходов'!D1555</f>
        <v>0</v>
      </c>
      <c r="E1122" s="1152" t="n">
        <f aca="false">'Смета Расходов'!F1555</f>
        <v>2</v>
      </c>
      <c r="F1122" s="1152" t="n">
        <f aca="false">'Смета Расходов'!G1555</f>
        <v>0</v>
      </c>
    </row>
    <row r="1123" customFormat="false" ht="15" hidden="false" customHeight="false" outlineLevel="0" collapsed="false">
      <c r="A1123" s="1139"/>
      <c r="B1123" s="1152" t="str">
        <f aca="false">'Смета Расходов'!B1556</f>
        <v>Гвозди ершоные 3,4 x 60            </v>
      </c>
      <c r="C1123" s="1153" t="str">
        <f aca="false">'Смета Расходов'!C1556</f>
        <v>кг</v>
      </c>
      <c r="D1123" s="1152" t="n">
        <f aca="false">'Смета Расходов'!D1556</f>
        <v>0</v>
      </c>
      <c r="E1123" s="1152" t="n">
        <f aca="false">'Смета Расходов'!F1556</f>
        <v>75.51</v>
      </c>
      <c r="F1123" s="1152" t="n">
        <f aca="false">'Смета Расходов'!G1556</f>
        <v>0</v>
      </c>
    </row>
    <row r="1124" customFormat="false" ht="15" hidden="false" customHeight="false" outlineLevel="0" collapsed="false">
      <c r="A1124" s="1139"/>
      <c r="B1124" s="1152" t="str">
        <f aca="false">'Смета Расходов'!B1557</f>
        <v>Гвозди ершоные 2,8 х 90            </v>
      </c>
      <c r="C1124" s="1153" t="str">
        <f aca="false">'Смета Расходов'!C1557</f>
        <v>шт</v>
      </c>
      <c r="D1124" s="1152" t="n">
        <f aca="false">'Смета Расходов'!D1557</f>
        <v>0</v>
      </c>
      <c r="E1124" s="1152" t="n">
        <f aca="false">'Смета Расходов'!F1557</f>
        <v>76.49</v>
      </c>
      <c r="F1124" s="1152" t="n">
        <f aca="false">'Смета Расходов'!G1557</f>
        <v>0</v>
      </c>
    </row>
    <row r="1125" customFormat="false" ht="15" hidden="false" customHeight="false" outlineLevel="0" collapsed="false">
      <c r="A1125" s="1139"/>
      <c r="B1125" s="1152" t="str">
        <f aca="false">'Смета Расходов'!B1558</f>
        <v>Пластина соеденительная 100х240х2           </v>
      </c>
      <c r="C1125" s="1153" t="str">
        <f aca="false">'Смета Расходов'!C1558</f>
        <v>шт</v>
      </c>
      <c r="D1125" s="1152" t="n">
        <f aca="false">'Смета Расходов'!D1558</f>
        <v>0</v>
      </c>
      <c r="E1125" s="1152" t="n">
        <f aca="false">'Смета Расходов'!F1558</f>
        <v>31.54</v>
      </c>
      <c r="F1125" s="1152" t="n">
        <f aca="false">'Смета Расходов'!G1558</f>
        <v>0</v>
      </c>
    </row>
    <row r="1126" customFormat="false" ht="15" hidden="false" customHeight="false" outlineLevel="0" collapsed="false">
      <c r="A1126" s="1139"/>
      <c r="B1126" s="1152" t="str">
        <f aca="false">'Смета Расходов'!B1559</f>
        <v>Уголок усиленный 90х70х55х2,5        </v>
      </c>
      <c r="C1126" s="1153" t="str">
        <f aca="false">'Смета Расходов'!C1559</f>
        <v>шт</v>
      </c>
      <c r="D1126" s="1152" t="n">
        <f aca="false">'Смета Расходов'!D1559</f>
        <v>0</v>
      </c>
      <c r="E1126" s="1152" t="n">
        <f aca="false">'Смета Расходов'!F1559</f>
        <v>30</v>
      </c>
      <c r="F1126" s="1152" t="n">
        <f aca="false">'Смета Расходов'!G1559</f>
        <v>0</v>
      </c>
    </row>
    <row r="1127" customFormat="false" ht="15" hidden="false" customHeight="false" outlineLevel="0" collapsed="false">
      <c r="A1127" s="1139"/>
      <c r="B1127" s="1154" t="s">
        <v>2309</v>
      </c>
      <c r="C1127" s="1154"/>
      <c r="D1127" s="1154"/>
      <c r="E1127" s="1154"/>
      <c r="F1127" s="1152" t="n">
        <f aca="false">SUM(F1086:F1126)</f>
        <v>0</v>
      </c>
    </row>
    <row r="1128" customFormat="false" ht="18.75" hidden="false" customHeight="false" outlineLevel="0" collapsed="false">
      <c r="A1128" s="1139"/>
      <c r="B1128" s="1150" t="str">
        <f aca="false">'Смета Расходов'!B1576</f>
        <v>Кровля на крыльцо</v>
      </c>
      <c r="C1128" s="1150"/>
      <c r="D1128" s="1150"/>
      <c r="E1128" s="1150"/>
      <c r="F1128" s="1155" t="n">
        <f aca="false">'Смета Внутр'!H1576</f>
        <v>0</v>
      </c>
    </row>
    <row r="1129" customFormat="false" ht="15" hidden="false" customHeight="false" outlineLevel="0" collapsed="false">
      <c r="A1129" s="1139"/>
      <c r="B1129" s="1156" t="s">
        <v>2246</v>
      </c>
      <c r="C1129" s="1156"/>
      <c r="D1129" s="1156"/>
      <c r="E1129" s="1156"/>
      <c r="F1129" s="1155" t="n">
        <f aca="false">'Смета Внутр'!H1577</f>
        <v>0</v>
      </c>
    </row>
    <row r="1130" customFormat="false" ht="15" hidden="false" customHeight="false" outlineLevel="0" collapsed="false">
      <c r="A1130" s="1139"/>
      <c r="B1130" s="1152" t="str">
        <f aca="false">'Смета Расходов'!B1578</f>
        <v>Доска сухая, 150*50мм</v>
      </c>
      <c r="C1130" s="1153" t="str">
        <f aca="false">'Смета Расходов'!C1578</f>
        <v>м3</v>
      </c>
      <c r="D1130" s="1152" t="n">
        <f aca="false">'Смета Расходов'!D1578</f>
        <v>0.205269268270725</v>
      </c>
      <c r="E1130" s="1152" t="n">
        <f aca="false">'Смета Расходов'!F1578</f>
        <v>9000</v>
      </c>
      <c r="F1130" s="1152" t="n">
        <f aca="false">'Смета Расходов'!G1578</f>
        <v>0</v>
      </c>
    </row>
    <row r="1131" customFormat="false" ht="15" hidden="false" customHeight="false" outlineLevel="0" collapsed="false">
      <c r="A1131" s="1139"/>
      <c r="B1131" s="1152" t="str">
        <f aca="false">'Смета Расходов'!B1579</f>
        <v>Сосна влаж,100*25мм</v>
      </c>
      <c r="C1131" s="1153" t="str">
        <f aca="false">'Смета Расходов'!C1579</f>
        <v>м3</v>
      </c>
      <c r="D1131" s="1152" t="n">
        <f aca="false">'Смета Расходов'!D1579</f>
        <v>0.0676107863314507</v>
      </c>
      <c r="E1131" s="1152" t="n">
        <f aca="false">'Смета Расходов'!F1579</f>
        <v>6500</v>
      </c>
      <c r="F1131" s="1152" t="n">
        <f aca="false">'Смета Расходов'!G1579</f>
        <v>0</v>
      </c>
    </row>
    <row r="1132" customFormat="false" ht="15" hidden="false" customHeight="false" outlineLevel="0" collapsed="false">
      <c r="A1132" s="1139"/>
      <c r="B1132" s="1152" t="str">
        <f aca="false">'Смета Расходов'!B1580</f>
        <v>нет</v>
      </c>
      <c r="C1132" s="1153" t="str">
        <f aca="false">'Смета Расходов'!C1580</f>
        <v>м2</v>
      </c>
      <c r="D1132" s="1152" t="n">
        <f aca="false">'Смета Расходов'!D1580</f>
        <v>0</v>
      </c>
      <c r="E1132" s="1152" t="n">
        <f aca="false">'Смета Расходов'!F1580</f>
        <v>0</v>
      </c>
      <c r="F1132" s="1152" t="n">
        <f aca="false">'Смета Расходов'!G1580</f>
        <v>0</v>
      </c>
    </row>
    <row r="1133" customFormat="false" ht="15" hidden="false" customHeight="false" outlineLevel="0" collapsed="false">
      <c r="A1133" s="1139"/>
      <c r="B1133" s="1152" t="str">
        <f aca="false">'Смета Расходов'!B1581</f>
        <v>нет</v>
      </c>
      <c r="C1133" s="1153" t="str">
        <f aca="false">'Смета Расходов'!C1581</f>
        <v>м2</v>
      </c>
      <c r="D1133" s="1152" t="n">
        <f aca="false">'Смета Расходов'!D1581</f>
        <v>10.8177258130321</v>
      </c>
      <c r="E1133" s="1152" t="n">
        <f aca="false">'Смета Расходов'!F1581</f>
        <v>0</v>
      </c>
      <c r="F1133" s="1152" t="n">
        <f aca="false">'Смета Расходов'!G1581</f>
        <v>0</v>
      </c>
    </row>
    <row r="1134" customFormat="false" ht="15" hidden="false" customHeight="false" outlineLevel="0" collapsed="false">
      <c r="A1134" s="1139"/>
      <c r="B1134" s="1152" t="str">
        <f aca="false">'Смета Расходов'!B1582</f>
        <v>Мембраны Tyvek Solid</v>
      </c>
      <c r="C1134" s="1153" t="str">
        <f aca="false">'Смета Расходов'!C1582</f>
        <v>м2</v>
      </c>
      <c r="D1134" s="1152" t="n">
        <f aca="false">'Смета Расходов'!D1582</f>
        <v>10.8177258130321</v>
      </c>
      <c r="E1134" s="1152" t="n">
        <f aca="false">'Смета Расходов'!F1582</f>
        <v>99</v>
      </c>
      <c r="F1134" s="1152" t="n">
        <f aca="false">'Смета Расходов'!G1582</f>
        <v>0</v>
      </c>
    </row>
    <row r="1135" customFormat="false" ht="15" hidden="false" customHeight="false" outlineLevel="0" collapsed="false">
      <c r="A1135" s="1139"/>
      <c r="B1135" s="1152" t="str">
        <f aca="false">'Смета Расходов'!B1583</f>
        <v>металлочерепица</v>
      </c>
      <c r="C1135" s="1153" t="str">
        <f aca="false">'Смета Расходов'!C1583</f>
        <v>м2</v>
      </c>
      <c r="D1135" s="1152" t="n">
        <f aca="false">'Смета Расходов'!D1583</f>
        <v>10.8177258130321</v>
      </c>
      <c r="E1135" s="1152" t="n">
        <f aca="false">'Смета Расходов'!F1583</f>
        <v>250</v>
      </c>
      <c r="F1135" s="1152" t="n">
        <f aca="false">'Смета Расходов'!G1583</f>
        <v>0</v>
      </c>
    </row>
    <row r="1136" customFormat="false" ht="15" hidden="false" customHeight="false" outlineLevel="0" collapsed="false">
      <c r="A1136" s="1139"/>
      <c r="B1136" s="1152" t="str">
        <f aca="false">'Смета Расходов'!B1584</f>
        <v>карнизная планка</v>
      </c>
      <c r="C1136" s="1153" t="str">
        <f aca="false">'Смета Расходов'!C1584</f>
        <v>м.п.</v>
      </c>
      <c r="D1136" s="1152" t="n">
        <f aca="false">'Смета Расходов'!D1584</f>
        <v>4.18</v>
      </c>
      <c r="E1136" s="1152" t="n">
        <f aca="false">'Смета Расходов'!F1584</f>
        <v>200</v>
      </c>
      <c r="F1136" s="1152" t="n">
        <f aca="false">'Смета Расходов'!G1584</f>
        <v>0</v>
      </c>
    </row>
    <row r="1137" customFormat="false" ht="15" hidden="false" customHeight="false" outlineLevel="0" collapsed="false">
      <c r="A1137" s="1139"/>
      <c r="B1137" s="1152" t="str">
        <f aca="false">'Смета Расходов'!B1585</f>
        <v>торцевая планка</v>
      </c>
      <c r="C1137" s="1153" t="str">
        <f aca="false">'Смета Расходов'!C1585</f>
        <v>м.п.</v>
      </c>
      <c r="D1137" s="1152" t="n">
        <f aca="false">'Смета Расходов'!D1585</f>
        <v>5.21907824312953</v>
      </c>
      <c r="E1137" s="1152" t="n">
        <f aca="false">'Смета Расходов'!F1585</f>
        <v>200</v>
      </c>
      <c r="F1137" s="1152" t="n">
        <f aca="false">'Смета Расходов'!G1585</f>
        <v>0</v>
      </c>
    </row>
    <row r="1138" customFormat="false" ht="15" hidden="false" customHeight="false" outlineLevel="0" collapsed="false">
      <c r="A1138" s="1139"/>
      <c r="B1138" s="1152" t="str">
        <f aca="false">'Смета Расходов'!B1586</f>
        <v>конек</v>
      </c>
      <c r="C1138" s="1153" t="str">
        <f aca="false">'Смета Расходов'!C1586</f>
        <v>м.п.</v>
      </c>
      <c r="D1138" s="1152" t="n">
        <f aca="false">'Смета Расходов'!D1586</f>
        <v>0</v>
      </c>
      <c r="E1138" s="1152" t="n">
        <f aca="false">'Смета Расходов'!F1586</f>
        <v>230</v>
      </c>
      <c r="F1138" s="1152" t="n">
        <f aca="false">'Смета Расходов'!G1586</f>
        <v>0</v>
      </c>
    </row>
    <row r="1139" customFormat="false" ht="15" hidden="false" customHeight="false" outlineLevel="0" collapsed="false">
      <c r="A1139" s="1139"/>
      <c r="B1139" s="1152" t="str">
        <f aca="false">'Смета Расходов'!B1587</f>
        <v>ондулин</v>
      </c>
      <c r="C1139" s="1153" t="str">
        <f aca="false">'Смета Расходов'!C1587</f>
        <v>м2</v>
      </c>
      <c r="D1139" s="1152" t="n">
        <f aca="false">'Смета Расходов'!D1587</f>
        <v>0</v>
      </c>
      <c r="E1139" s="1152" t="n">
        <f aca="false">'Смета Расходов'!F1587</f>
        <v>180</v>
      </c>
      <c r="F1139" s="1152" t="n">
        <f aca="false">'Смета Расходов'!G1587</f>
        <v>0</v>
      </c>
    </row>
    <row r="1140" customFormat="false" ht="15" hidden="false" customHeight="false" outlineLevel="0" collapsed="false">
      <c r="A1140" s="1139"/>
      <c r="B1140" s="1152" t="str">
        <f aca="false">'Смета Расходов'!B1588</f>
        <v>Карнизная планка</v>
      </c>
      <c r="C1140" s="1153" t="str">
        <f aca="false">'Смета Расходов'!C1588</f>
        <v>м.п.</v>
      </c>
      <c r="D1140" s="1152" t="n">
        <f aca="false">'Смета Расходов'!D1588</f>
        <v>0</v>
      </c>
      <c r="E1140" s="1152" t="n">
        <f aca="false">'Смета Расходов'!F1588</f>
        <v>190</v>
      </c>
      <c r="F1140" s="1152" t="n">
        <f aca="false">'Смета Расходов'!G1588</f>
        <v>0</v>
      </c>
    </row>
    <row r="1141" customFormat="false" ht="15" hidden="false" customHeight="false" outlineLevel="0" collapsed="false">
      <c r="A1141" s="1139"/>
      <c r="B1141" s="1152" t="str">
        <f aca="false">'Смета Расходов'!B1589</f>
        <v>Торцевая планка</v>
      </c>
      <c r="C1141" s="1153" t="str">
        <f aca="false">'Смета Расходов'!C1589</f>
        <v>м.п.</v>
      </c>
      <c r="D1141" s="1152" t="n">
        <f aca="false">'Смета Расходов'!D1589</f>
        <v>0</v>
      </c>
      <c r="E1141" s="1152" t="n">
        <f aca="false">'Смета Расходов'!F1589</f>
        <v>190</v>
      </c>
      <c r="F1141" s="1152" t="n">
        <f aca="false">'Смета Расходов'!G1589</f>
        <v>0</v>
      </c>
    </row>
    <row r="1142" customFormat="false" ht="15" hidden="false" customHeight="false" outlineLevel="0" collapsed="false">
      <c r="A1142" s="1139"/>
      <c r="B1142" s="1152" t="str">
        <f aca="false">'Смета Расходов'!B1590</f>
        <v>Конек</v>
      </c>
      <c r="C1142" s="1153" t="str">
        <f aca="false">'Смета Расходов'!C1590</f>
        <v>м.п.</v>
      </c>
      <c r="D1142" s="1152" t="n">
        <f aca="false">'Смета Расходов'!D1590</f>
        <v>0</v>
      </c>
      <c r="E1142" s="1152" t="n">
        <f aca="false">'Смета Расходов'!F1590</f>
        <v>200</v>
      </c>
      <c r="F1142" s="1152" t="n">
        <f aca="false">'Смета Расходов'!G1590</f>
        <v>0</v>
      </c>
    </row>
    <row r="1143" customFormat="false" ht="15" hidden="false" customHeight="false" outlineLevel="0" collapsed="false">
      <c r="A1143" s="1139"/>
      <c r="B1143" s="1152" t="str">
        <f aca="false">'Смета Расходов'!B1591</f>
        <v>Ендова нижняя</v>
      </c>
      <c r="C1143" s="1153" t="str">
        <f aca="false">'Смета Расходов'!C1591</f>
        <v>м.п.</v>
      </c>
      <c r="D1143" s="1152" t="n">
        <f aca="false">'Смета Расходов'!D1591</f>
        <v>0</v>
      </c>
      <c r="E1143" s="1152" t="n">
        <f aca="false">'Смета Расходов'!F1591</f>
        <v>160</v>
      </c>
      <c r="F1143" s="1152" t="n">
        <f aca="false">'Смета Расходов'!G1591</f>
        <v>0</v>
      </c>
    </row>
    <row r="1144" customFormat="false" ht="15" hidden="false" customHeight="false" outlineLevel="0" collapsed="false">
      <c r="A1144" s="1139"/>
      <c r="B1144" s="1152" t="str">
        <f aca="false">'Смета Расходов'!B1592</f>
        <v>Ендова верхняя</v>
      </c>
      <c r="C1144" s="1153" t="str">
        <f aca="false">'Смета Расходов'!C1592</f>
        <v>м.п.</v>
      </c>
      <c r="D1144" s="1152" t="n">
        <f aca="false">'Смета Расходов'!D1592</f>
        <v>0</v>
      </c>
      <c r="E1144" s="1152" t="n">
        <f aca="false">'Смета Расходов'!F1592</f>
        <v>190</v>
      </c>
      <c r="F1144" s="1152" t="n">
        <f aca="false">'Смета Расходов'!G1592</f>
        <v>0</v>
      </c>
    </row>
    <row r="1145" customFormat="false" ht="15" hidden="false" customHeight="false" outlineLevel="0" collapsed="false">
      <c r="A1145" s="1139"/>
      <c r="B1145" s="1152" t="str">
        <f aca="false">'Смета Расходов'!B1593</f>
        <v>Планка примыкания</v>
      </c>
      <c r="C1145" s="1153" t="str">
        <f aca="false">'Смета Расходов'!C1593</f>
        <v>м.п.</v>
      </c>
      <c r="D1145" s="1152" t="n">
        <f aca="false">'Смета Расходов'!D1593</f>
        <v>0</v>
      </c>
      <c r="E1145" s="1152" t="n">
        <f aca="false">'Смета Расходов'!F1593</f>
        <v>190</v>
      </c>
      <c r="F1145" s="1152" t="n">
        <f aca="false">'Смета Расходов'!G1593</f>
        <v>0</v>
      </c>
    </row>
    <row r="1146" customFormat="false" ht="15" hidden="false" customHeight="false" outlineLevel="0" collapsed="false">
      <c r="A1146" s="1139"/>
      <c r="B1146" s="1152" t="str">
        <f aca="false">'Смета Расходов'!B1594</f>
        <v>Крепеж для ондулина</v>
      </c>
      <c r="C1146" s="1153" t="str">
        <f aca="false">'Смета Расходов'!C1594</f>
        <v>шт</v>
      </c>
      <c r="D1146" s="1152" t="n">
        <f aca="false">'Смета Расходов'!D1594</f>
        <v>0</v>
      </c>
      <c r="E1146" s="1152" t="n">
        <f aca="false">'Смета Расходов'!F1594</f>
        <v>4.5</v>
      </c>
      <c r="F1146" s="1152" t="n">
        <f aca="false">'Смета Расходов'!G1594</f>
        <v>0</v>
      </c>
    </row>
    <row r="1147" customFormat="false" ht="15" hidden="false" customHeight="false" outlineLevel="0" collapsed="false">
      <c r="A1147" s="1139"/>
      <c r="B1147" s="1152" t="str">
        <f aca="false">'Смета Расходов'!B1595</f>
        <v>Рядовая черепица</v>
      </c>
      <c r="C1147" s="1153" t="str">
        <f aca="false">'Смета Расходов'!C1595</f>
        <v>м2</v>
      </c>
      <c r="D1147" s="1152" t="n">
        <f aca="false">'Смета Расходов'!D1595</f>
        <v>0</v>
      </c>
      <c r="E1147" s="1152" t="n">
        <f aca="false">'Смета Расходов'!F1595</f>
        <v>360</v>
      </c>
      <c r="F1147" s="1152" t="n">
        <f aca="false">'Смета Расходов'!G1595</f>
        <v>0</v>
      </c>
    </row>
    <row r="1148" customFormat="false" ht="15" hidden="false" customHeight="false" outlineLevel="0" collapsed="false">
      <c r="A1148" s="1139"/>
      <c r="B1148" s="1152" t="str">
        <f aca="false">'Смета Расходов'!B1596</f>
        <v>Металл оцинк защита (карниз)</v>
      </c>
      <c r="C1148" s="1153" t="str">
        <f aca="false">'Смета Расходов'!C1596</f>
        <v>м.п.</v>
      </c>
      <c r="D1148" s="1152" t="n">
        <f aca="false">'Смета Расходов'!D1596</f>
        <v>0</v>
      </c>
      <c r="E1148" s="1152" t="n">
        <f aca="false">'Смета Расходов'!F1596</f>
        <v>200</v>
      </c>
      <c r="F1148" s="1152" t="n">
        <f aca="false">'Смета Расходов'!G1596</f>
        <v>0</v>
      </c>
    </row>
    <row r="1149" customFormat="false" ht="15" hidden="false" customHeight="false" outlineLevel="0" collapsed="false">
      <c r="A1149" s="1139"/>
      <c r="B1149" s="1152" t="str">
        <f aca="false">'Смета Расходов'!B1597</f>
        <v>Подкладочный ковер</v>
      </c>
      <c r="C1149" s="1153" t="str">
        <f aca="false">'Смета Расходов'!C1597</f>
        <v>м.п.</v>
      </c>
      <c r="D1149" s="1152" t="n">
        <f aca="false">'Смета Расходов'!D1597</f>
        <v>0</v>
      </c>
      <c r="E1149" s="1152" t="n">
        <f aca="false">'Смета Расходов'!F1597</f>
        <v>220</v>
      </c>
      <c r="F1149" s="1152" t="n">
        <f aca="false">'Смета Расходов'!G1597</f>
        <v>0</v>
      </c>
    </row>
    <row r="1150" customFormat="false" ht="15" hidden="false" customHeight="false" outlineLevel="0" collapsed="false">
      <c r="A1150" s="1139"/>
      <c r="B1150" s="1152" t="str">
        <f aca="false">'Смета Расходов'!B1598</f>
        <v>Карнизная самоклеющаяся черепица</v>
      </c>
      <c r="C1150" s="1153" t="str">
        <f aca="false">'Смета Расходов'!C1598</f>
        <v>м.п.</v>
      </c>
      <c r="D1150" s="1152" t="n">
        <f aca="false">'Смета Расходов'!D1598</f>
        <v>0</v>
      </c>
      <c r="E1150" s="1152" t="n">
        <f aca="false">'Смета Расходов'!F1598</f>
        <v>220</v>
      </c>
      <c r="F1150" s="1152" t="n">
        <f aca="false">'Смета Расходов'!G1598</f>
        <v>0</v>
      </c>
    </row>
    <row r="1151" customFormat="false" ht="15" hidden="false" customHeight="false" outlineLevel="0" collapsed="false">
      <c r="A1151" s="1139"/>
      <c r="B1151" s="1152" t="str">
        <f aca="false">'Смета Расходов'!B1599</f>
        <v>Спец ковер ендова нижняя</v>
      </c>
      <c r="C1151" s="1153" t="str">
        <f aca="false">'Смета Расходов'!C1599</f>
        <v>м.п.</v>
      </c>
      <c r="D1151" s="1152" t="n">
        <f aca="false">'Смета Расходов'!D1599</f>
        <v>0</v>
      </c>
      <c r="E1151" s="1152" t="n">
        <f aca="false">'Смета Расходов'!F1599</f>
        <v>200</v>
      </c>
      <c r="F1151" s="1152" t="n">
        <f aca="false">'Смета Расходов'!G1599</f>
        <v>0</v>
      </c>
    </row>
    <row r="1152" customFormat="false" ht="15" hidden="false" customHeight="false" outlineLevel="0" collapsed="false">
      <c r="A1152" s="1139"/>
      <c r="B1152" s="1152" t="str">
        <f aca="false">'Смета Расходов'!B1600</f>
        <v>Коньковой элемент</v>
      </c>
      <c r="C1152" s="1153" t="str">
        <f aca="false">'Смета Расходов'!C1600</f>
        <v>м.п.</v>
      </c>
      <c r="D1152" s="1152" t="n">
        <f aca="false">'Смета Расходов'!D1600</f>
        <v>0</v>
      </c>
      <c r="E1152" s="1152" t="n">
        <f aca="false">'Смета Расходов'!F1600</f>
        <v>250</v>
      </c>
      <c r="F1152" s="1152" t="n">
        <f aca="false">'Смета Расходов'!G1600</f>
        <v>0</v>
      </c>
    </row>
    <row r="1153" customFormat="false" ht="15" hidden="false" customHeight="false" outlineLevel="0" collapsed="false">
      <c r="A1153" s="1139"/>
      <c r="B1153" s="1152" t="str">
        <f aca="false">'Смета Расходов'!B1601</f>
        <v>Планка премыкания</v>
      </c>
      <c r="C1153" s="1153" t="str">
        <f aca="false">'Смета Расходов'!C1601</f>
        <v>м.п.</v>
      </c>
      <c r="D1153" s="1152" t="n">
        <f aca="false">'Смета Расходов'!D1601</f>
        <v>0</v>
      </c>
      <c r="E1153" s="1152" t="n">
        <f aca="false">'Смета Расходов'!F1601</f>
        <v>200</v>
      </c>
      <c r="F1153" s="1152" t="n">
        <f aca="false">'Смета Расходов'!G1601</f>
        <v>0</v>
      </c>
    </row>
    <row r="1154" customFormat="false" ht="15" hidden="false" customHeight="false" outlineLevel="0" collapsed="false">
      <c r="A1154" s="1139"/>
      <c r="B1154" s="1152" t="str">
        <f aca="false">'Смета Расходов'!B1602</f>
        <v>Гвозди для крепления подкладочного ковра</v>
      </c>
      <c r="C1154" s="1153" t="str">
        <f aca="false">'Смета Расходов'!C1602</f>
        <v>шт</v>
      </c>
      <c r="D1154" s="1152" t="n">
        <f aca="false">'Смета Расходов'!D1602</f>
        <v>0</v>
      </c>
      <c r="E1154" s="1152" t="n">
        <f aca="false">'Смета Расходов'!F1602</f>
        <v>0.012</v>
      </c>
      <c r="F1154" s="1152" t="n">
        <f aca="false">'Смета Расходов'!G1602</f>
        <v>0</v>
      </c>
    </row>
    <row r="1155" customFormat="false" ht="15" hidden="false" customHeight="false" outlineLevel="0" collapsed="false">
      <c r="A1155" s="1139"/>
      <c r="B1155" s="1152" t="str">
        <f aca="false">'Смета Расходов'!B1603</f>
        <v>Гвозди для крепления черепицы</v>
      </c>
      <c r="C1155" s="1153" t="str">
        <f aca="false">'Смета Расходов'!C1603</f>
        <v>шт</v>
      </c>
      <c r="D1155" s="1152" t="n">
        <f aca="false">'Смета Расходов'!D1603</f>
        <v>0</v>
      </c>
      <c r="E1155" s="1152" t="n">
        <f aca="false">'Смета Расходов'!F1603</f>
        <v>0.25</v>
      </c>
      <c r="F1155" s="1152" t="n">
        <f aca="false">'Смета Расходов'!G1603</f>
        <v>0</v>
      </c>
    </row>
    <row r="1156" customFormat="false" ht="15" hidden="false" customHeight="false" outlineLevel="0" collapsed="false">
      <c r="A1156" s="1139"/>
      <c r="B1156" s="1152" t="str">
        <f aca="false">'Смета Расходов'!B1604</f>
        <v>Клей для монтажа черепицы</v>
      </c>
      <c r="C1156" s="1153" t="str">
        <f aca="false">'Смета Расходов'!C1604</f>
        <v>кг</v>
      </c>
      <c r="D1156" s="1152" t="n">
        <f aca="false">'Смета Расходов'!D1604</f>
        <v>0</v>
      </c>
      <c r="E1156" s="1152" t="n">
        <f aca="false">'Смета Расходов'!F1604</f>
        <v>250</v>
      </c>
      <c r="F1156" s="1152" t="n">
        <f aca="false">'Смета Расходов'!G1604</f>
        <v>0</v>
      </c>
    </row>
    <row r="1157" customFormat="false" ht="15" hidden="false" customHeight="false" outlineLevel="0" collapsed="false">
      <c r="A1157" s="1139"/>
      <c r="B1157" s="1152" t="str">
        <f aca="false">'Смета Расходов'!B1605</f>
        <v>желоб</v>
      </c>
      <c r="C1157" s="1153" t="str">
        <f aca="false">'Смета Расходов'!C1605</f>
        <v>м.п</v>
      </c>
      <c r="D1157" s="1152" t="n">
        <f aca="false">'Смета Расходов'!D1605</f>
        <v>4.18</v>
      </c>
      <c r="E1157" s="1152" t="n">
        <f aca="false">'Смета Расходов'!F1605</f>
        <v>300</v>
      </c>
      <c r="F1157" s="1152" t="n">
        <f aca="false">'Смета Расходов'!G1605</f>
        <v>0</v>
      </c>
    </row>
    <row r="1158" customFormat="false" ht="15" hidden="false" customHeight="false" outlineLevel="0" collapsed="false">
      <c r="A1158" s="1139"/>
      <c r="B1158" s="1152" t="str">
        <f aca="false">'Смета Расходов'!B1606</f>
        <v>отвод</v>
      </c>
      <c r="C1158" s="1153" t="str">
        <f aca="false">'Смета Расходов'!C1606</f>
        <v>шт</v>
      </c>
      <c r="D1158" s="1152" t="n">
        <f aca="false">'Смета Расходов'!D1606</f>
        <v>2</v>
      </c>
      <c r="E1158" s="1152" t="n">
        <f aca="false">'Смета Расходов'!F1606</f>
        <v>250</v>
      </c>
      <c r="F1158" s="1152" t="n">
        <f aca="false">'Смета Расходов'!G1606</f>
        <v>0</v>
      </c>
    </row>
    <row r="1159" customFormat="false" ht="15" hidden="false" customHeight="false" outlineLevel="0" collapsed="false">
      <c r="A1159" s="1139"/>
      <c r="B1159" s="1152" t="str">
        <f aca="false">'Смета Расходов'!B1607</f>
        <v>труба водосточная</v>
      </c>
      <c r="C1159" s="1153" t="str">
        <f aca="false">'Смета Расходов'!C1607</f>
        <v>м.п.</v>
      </c>
      <c r="D1159" s="1152" t="n">
        <f aca="false">'Смета Расходов'!D1607</f>
        <v>0</v>
      </c>
      <c r="E1159" s="1152" t="n">
        <f aca="false">'Смета Расходов'!F1607</f>
        <v>300</v>
      </c>
      <c r="F1159" s="1152" t="n">
        <f aca="false">'Смета Расходов'!G1607</f>
        <v>0</v>
      </c>
    </row>
    <row r="1160" customFormat="false" ht="15" hidden="false" customHeight="false" outlineLevel="0" collapsed="false">
      <c r="A1160" s="1139"/>
      <c r="B1160" s="1152" t="str">
        <f aca="false">'Смета Расходов'!B1608</f>
        <v>заглушка для желоба</v>
      </c>
      <c r="C1160" s="1153" t="str">
        <f aca="false">'Смета Расходов'!C1608</f>
        <v>шт</v>
      </c>
      <c r="D1160" s="1152" t="n">
        <f aca="false">'Смета Расходов'!D1608</f>
        <v>2</v>
      </c>
      <c r="E1160" s="1152" t="n">
        <f aca="false">'Смета Расходов'!F1608</f>
        <v>190</v>
      </c>
      <c r="F1160" s="1152" t="n">
        <f aca="false">'Смета Расходов'!G1608</f>
        <v>0</v>
      </c>
    </row>
    <row r="1161" customFormat="false" ht="15" hidden="false" customHeight="false" outlineLevel="0" collapsed="false">
      <c r="A1161" s="1139"/>
      <c r="B1161" s="1152" t="str">
        <f aca="false">'Смета Расходов'!B1609</f>
        <v>соеденитель для желоба</v>
      </c>
      <c r="C1161" s="1153" t="str">
        <f aca="false">'Смета Расходов'!C1609</f>
        <v>шт</v>
      </c>
      <c r="D1161" s="1152" t="n">
        <f aca="false">'Смета Расходов'!D1609</f>
        <v>2</v>
      </c>
      <c r="E1161" s="1152" t="n">
        <f aca="false">'Смета Расходов'!F1609</f>
        <v>180</v>
      </c>
      <c r="F1161" s="1152" t="n">
        <f aca="false">'Смета Расходов'!G1609</f>
        <v>0</v>
      </c>
    </row>
    <row r="1162" customFormat="false" ht="15" hidden="false" customHeight="false" outlineLevel="0" collapsed="false">
      <c r="A1162" s="1139"/>
      <c r="B1162" s="1152" t="str">
        <f aca="false">'Смета Расходов'!B1610</f>
        <v>кронштейн для желоба</v>
      </c>
      <c r="C1162" s="1153" t="str">
        <f aca="false">'Смета Расходов'!C1610</f>
        <v>шт</v>
      </c>
      <c r="D1162" s="1152" t="n">
        <f aca="false">'Смета Расходов'!D1610</f>
        <v>10.45</v>
      </c>
      <c r="E1162" s="1152" t="n">
        <f aca="false">'Смета Расходов'!F1610</f>
        <v>130</v>
      </c>
      <c r="F1162" s="1152" t="n">
        <f aca="false">'Смета Расходов'!G1610</f>
        <v>0</v>
      </c>
    </row>
    <row r="1163" customFormat="false" ht="15" hidden="false" customHeight="false" outlineLevel="0" collapsed="false">
      <c r="A1163" s="1139"/>
      <c r="B1163" s="1152" t="str">
        <f aca="false">'Смета Расходов'!B1611</f>
        <v>переход из желоба в трубу</v>
      </c>
      <c r="C1163" s="1153" t="str">
        <f aca="false">'Смета Расходов'!C1611</f>
        <v>шт</v>
      </c>
      <c r="D1163" s="1152" t="n">
        <f aca="false">'Смета Расходов'!D1611</f>
        <v>2</v>
      </c>
      <c r="E1163" s="1152" t="n">
        <f aca="false">'Смета Расходов'!F1611</f>
        <v>350</v>
      </c>
      <c r="F1163" s="1152" t="n">
        <f aca="false">'Смета Расходов'!G1611</f>
        <v>0</v>
      </c>
    </row>
    <row r="1164" customFormat="false" ht="15" hidden="false" customHeight="false" outlineLevel="0" collapsed="false">
      <c r="A1164" s="1139"/>
      <c r="B1164" s="1152" t="str">
        <f aca="false">'Смета Расходов'!B1612</f>
        <v>лента дельта мульти бэнд</v>
      </c>
      <c r="C1164" s="1153" t="str">
        <f aca="false">'Смета Расходов'!C1612</f>
        <v>шт</v>
      </c>
      <c r="D1164" s="1152" t="n">
        <f aca="false">'Смета Расходов'!D1612</f>
        <v>0.257564900310288</v>
      </c>
      <c r="E1164" s="1152" t="n">
        <f aca="false">'Смета Расходов'!F1612</f>
        <v>1200</v>
      </c>
      <c r="F1164" s="1152" t="n">
        <f aca="false">'Смета Расходов'!G1612</f>
        <v>0</v>
      </c>
    </row>
    <row r="1165" customFormat="false" ht="15" hidden="false" customHeight="false" outlineLevel="0" collapsed="false">
      <c r="A1165" s="1139"/>
      <c r="B1165" s="1152" t="str">
        <f aca="false">'Смета Расходов'!B1613</f>
        <v>лента дельта sb-60</v>
      </c>
      <c r="C1165" s="1153" t="str">
        <f aca="false">'Смета Расходов'!C1613</f>
        <v>шт</v>
      </c>
      <c r="D1165" s="1152" t="n">
        <f aca="false">'Смета Расходов'!D1613</f>
        <v>0.200328255796891</v>
      </c>
      <c r="E1165" s="1152" t="n">
        <f aca="false">'Смета Расходов'!F1613</f>
        <v>1100</v>
      </c>
      <c r="F1165" s="1152" t="n">
        <f aca="false">'Смета Расходов'!G1613</f>
        <v>0</v>
      </c>
    </row>
    <row r="1166" customFormat="false" ht="15" hidden="false" customHeight="false" outlineLevel="0" collapsed="false">
      <c r="A1166" s="1139"/>
      <c r="B1166" s="1152" t="str">
        <f aca="false">'Смета Расходов'!B1614</f>
        <v>Кровельный саморез</v>
      </c>
      <c r="C1166" s="1153" t="str">
        <f aca="false">'Смета Расходов'!C1614</f>
        <v>шт</v>
      </c>
      <c r="D1166" s="1152" t="n">
        <f aca="false">'Смета Расходов'!D1614</f>
        <v>108.177258130321</v>
      </c>
      <c r="E1166" s="1152" t="n">
        <f aca="false">'Смета Расходов'!F1614</f>
        <v>2</v>
      </c>
      <c r="F1166" s="1152" t="n">
        <f aca="false">'Смета Расходов'!G1614</f>
        <v>0</v>
      </c>
    </row>
    <row r="1167" customFormat="false" ht="15" hidden="false" customHeight="false" outlineLevel="0" collapsed="false">
      <c r="A1167" s="1139"/>
      <c r="B1167" s="1154" t="s">
        <v>2309</v>
      </c>
      <c r="C1167" s="1154"/>
      <c r="D1167" s="1154"/>
      <c r="E1167" s="1154"/>
      <c r="F1167" s="1152" t="n">
        <f aca="false">SUM(F1130:F1166)</f>
        <v>0</v>
      </c>
    </row>
    <row r="1168" customFormat="false" ht="18.75" hidden="false" customHeight="false" outlineLevel="0" collapsed="false">
      <c r="A1168" s="1139"/>
      <c r="B1168" s="1150" t="str">
        <f aca="false">'Смета Расходов'!B1632</f>
        <v>Окна и двери</v>
      </c>
      <c r="C1168" s="1150"/>
      <c r="D1168" s="1150"/>
      <c r="E1168" s="1150"/>
      <c r="F1168" s="1155" t="n">
        <f aca="false">'Смета Внутр'!H1632</f>
        <v>0</v>
      </c>
    </row>
    <row r="1169" customFormat="false" ht="15" hidden="false" customHeight="false" outlineLevel="0" collapsed="false">
      <c r="A1169" s="1139"/>
      <c r="B1169" s="1156" t="s">
        <v>2246</v>
      </c>
      <c r="C1169" s="1156"/>
      <c r="D1169" s="1156"/>
      <c r="E1169" s="1156"/>
      <c r="F1169" s="1155" t="n">
        <f aca="false">'Смета Внутр'!H1633</f>
        <v>0</v>
      </c>
    </row>
    <row r="1170" customFormat="false" ht="15" hidden="false" customHeight="false" outlineLevel="0" collapsed="false">
      <c r="A1170" s="1139"/>
      <c r="B1170" s="1152" t="str">
        <f aca="false">'Смета Расходов'!B1634</f>
        <v>окна   </v>
      </c>
      <c r="C1170" s="1153" t="str">
        <f aca="false">'Смета Расходов'!C1634</f>
        <v>м2</v>
      </c>
      <c r="D1170" s="1152" t="n">
        <f aca="false">'Смета Расходов'!D1634</f>
        <v>1.2</v>
      </c>
      <c r="E1170" s="1152" t="n">
        <f aca="false">'Смета Расходов'!F1634</f>
        <v>3500</v>
      </c>
      <c r="F1170" s="1152" t="n">
        <f aca="false">'Смета Расходов'!G1634</f>
        <v>0</v>
      </c>
    </row>
    <row r="1171" customFormat="false" ht="15" hidden="false" customHeight="false" outlineLevel="0" collapsed="false">
      <c r="A1171" s="1139"/>
      <c r="B1171" s="1152" t="str">
        <f aca="false">'Смета Расходов'!B1635</f>
        <v>подоконник</v>
      </c>
      <c r="C1171" s="1153" t="str">
        <f aca="false">'Смета Расходов'!C1635</f>
        <v>м.п.</v>
      </c>
      <c r="D1171" s="1152" t="n">
        <f aca="false">'Смета Расходов'!D1635</f>
        <v>1</v>
      </c>
      <c r="E1171" s="1152" t="n">
        <f aca="false">'Смета Расходов'!F1635</f>
        <v>200</v>
      </c>
      <c r="F1171" s="1152" t="n">
        <f aca="false">'Смета Расходов'!G1635</f>
        <v>0</v>
      </c>
    </row>
    <row r="1172" customFormat="false" ht="15" hidden="false" customHeight="false" outlineLevel="0" collapsed="false">
      <c r="A1172" s="1139"/>
      <c r="B1172" s="1152" t="str">
        <f aca="false">'Смета Расходов'!B1636</f>
        <v>направляющие для откосов внутр</v>
      </c>
      <c r="C1172" s="1153" t="str">
        <f aca="false">'Смета Расходов'!C1636</f>
        <v>шт</v>
      </c>
      <c r="D1172" s="1152" t="n">
        <f aca="false">'Смета Расходов'!D1636</f>
        <v>3.4</v>
      </c>
      <c r="E1172" s="1152" t="n">
        <f aca="false">'Смета Расходов'!F1636</f>
        <v>50</v>
      </c>
      <c r="F1172" s="1152" t="n">
        <f aca="false">'Смета Расходов'!G1636</f>
        <v>0</v>
      </c>
    </row>
    <row r="1173" customFormat="false" ht="15" hidden="false" customHeight="false" outlineLevel="0" collapsed="false">
      <c r="A1173" s="1139"/>
      <c r="B1173" s="1152" t="str">
        <f aca="false">'Смета Расходов'!B1637</f>
        <v>откосы внутр</v>
      </c>
      <c r="C1173" s="1153" t="str">
        <f aca="false">'Смета Расходов'!C1637</f>
        <v>шт</v>
      </c>
      <c r="D1173" s="1152" t="n">
        <f aca="false">'Смета Расходов'!D1637</f>
        <v>3.4</v>
      </c>
      <c r="E1173" s="1152" t="n">
        <f aca="false">'Смета Расходов'!F1637</f>
        <v>100</v>
      </c>
      <c r="F1173" s="1152" t="n">
        <f aca="false">'Смета Расходов'!G1637</f>
        <v>0</v>
      </c>
    </row>
    <row r="1174" customFormat="false" ht="15" hidden="false" customHeight="false" outlineLevel="0" collapsed="false">
      <c r="A1174" s="1139"/>
      <c r="B1174" s="1152" t="str">
        <f aca="false">'Смета Расходов'!B1638</f>
        <v>уголок для откосов внутр</v>
      </c>
      <c r="C1174" s="1153" t="str">
        <f aca="false">'Смета Расходов'!C1638</f>
        <v>шт</v>
      </c>
      <c r="D1174" s="1152" t="n">
        <f aca="false">'Смета Расходов'!D1638</f>
        <v>3.4</v>
      </c>
      <c r="E1174" s="1152" t="n">
        <f aca="false">'Смета Расходов'!F1638</f>
        <v>50</v>
      </c>
      <c r="F1174" s="1152" t="n">
        <f aca="false">'Смета Расходов'!G1638</f>
        <v>0</v>
      </c>
    </row>
    <row r="1175" customFormat="false" ht="15" hidden="false" customHeight="false" outlineLevel="0" collapsed="false">
      <c r="A1175" s="1139"/>
      <c r="B1175" s="1152" t="str">
        <f aca="false">'Смета Расходов'!B1639</f>
        <v>отлив</v>
      </c>
      <c r="C1175" s="1153" t="str">
        <f aca="false">'Смета Расходов'!C1639</f>
        <v>шт</v>
      </c>
      <c r="D1175" s="1152" t="n">
        <f aca="false">'Смета Расходов'!D1639</f>
        <v>0</v>
      </c>
      <c r="E1175" s="1152" t="n">
        <f aca="false">'Смета Расходов'!F1639</f>
        <v>130</v>
      </c>
      <c r="F1175" s="1152" t="n">
        <f aca="false">'Смета Расходов'!G1639</f>
        <v>0</v>
      </c>
    </row>
    <row r="1176" customFormat="false" ht="15" hidden="false" customHeight="false" outlineLevel="0" collapsed="false">
      <c r="A1176" s="1139"/>
      <c r="B1176" s="1152" t="str">
        <f aca="false">'Смета Расходов'!B1640</f>
        <v>откосы нар</v>
      </c>
      <c r="C1176" s="1153" t="str">
        <f aca="false">'Смета Расходов'!C1640</f>
        <v>шт</v>
      </c>
      <c r="D1176" s="1152" t="n">
        <f aca="false">'Смета Расходов'!D1640</f>
        <v>0</v>
      </c>
      <c r="E1176" s="1152" t="n">
        <f aca="false">'Смета Расходов'!F1640</f>
        <v>150</v>
      </c>
      <c r="F1176" s="1152" t="n">
        <f aca="false">'Смета Расходов'!G1640</f>
        <v>0</v>
      </c>
    </row>
    <row r="1177" customFormat="false" ht="15" hidden="false" customHeight="false" outlineLevel="0" collapsed="false">
      <c r="A1177" s="1139"/>
      <c r="B1177" s="1152" t="str">
        <f aca="false">'Смета Расходов'!B1641</f>
        <v>направляющие для откосов нар</v>
      </c>
      <c r="C1177" s="1153" t="str">
        <f aca="false">'Смета Расходов'!C1641</f>
        <v>шт</v>
      </c>
      <c r="D1177" s="1152" t="n">
        <f aca="false">'Смета Расходов'!D1641</f>
        <v>0</v>
      </c>
      <c r="E1177" s="1152" t="n">
        <f aca="false">'Смета Расходов'!F1641</f>
        <v>80</v>
      </c>
      <c r="F1177" s="1152" t="n">
        <f aca="false">'Смета Расходов'!G1641</f>
        <v>0</v>
      </c>
    </row>
    <row r="1178" customFormat="false" ht="15" hidden="false" customHeight="false" outlineLevel="0" collapsed="false">
      <c r="A1178" s="1139"/>
      <c r="B1178" s="1152" t="str">
        <f aca="false">'Смета Расходов'!B1642</f>
        <v>уголок для откосов нар</v>
      </c>
      <c r="C1178" s="1153" t="str">
        <f aca="false">'Смета Расходов'!C1642</f>
        <v>шт</v>
      </c>
      <c r="D1178" s="1152" t="n">
        <f aca="false">'Смета Расходов'!D1642</f>
        <v>0</v>
      </c>
      <c r="E1178" s="1152" t="n">
        <f aca="false">'Смета Расходов'!F1642</f>
        <v>60</v>
      </c>
      <c r="F1178" s="1152" t="n">
        <f aca="false">'Смета Расходов'!G1642</f>
        <v>0</v>
      </c>
    </row>
    <row r="1179" customFormat="false" ht="15" hidden="false" customHeight="false" outlineLevel="0" collapsed="false">
      <c r="A1179" s="1139"/>
      <c r="B1179" s="1152" t="str">
        <f aca="false">'Смета Расходов'!B1643</f>
        <v>ветроизоляция окон</v>
      </c>
      <c r="C1179" s="1153" t="str">
        <f aca="false">'Смета Расходов'!C1643</f>
        <v>м.п.</v>
      </c>
      <c r="D1179" s="1152" t="n">
        <f aca="false">'Смета Расходов'!D1643</f>
        <v>0</v>
      </c>
      <c r="E1179" s="1152" t="n">
        <f aca="false">'Смета Расходов'!F1643</f>
        <v>40</v>
      </c>
      <c r="F1179" s="1152" t="n">
        <f aca="false">'Смета Расходов'!G1643</f>
        <v>0</v>
      </c>
    </row>
    <row r="1180" customFormat="false" ht="15" hidden="false" customHeight="false" outlineLevel="0" collapsed="false">
      <c r="A1180" s="1139"/>
      <c r="B1180" s="1152" t="str">
        <f aca="false">'Смета Расходов'!B1644</f>
        <v>пароизоляция окон</v>
      </c>
      <c r="C1180" s="1153" t="str">
        <f aca="false">'Смета Расходов'!C1644</f>
        <v>шт</v>
      </c>
      <c r="D1180" s="1152" t="n">
        <f aca="false">'Смета Расходов'!D1644</f>
        <v>3.4</v>
      </c>
      <c r="E1180" s="1152" t="n">
        <f aca="false">'Смета Расходов'!F1644</f>
        <v>40</v>
      </c>
      <c r="F1180" s="1152" t="n">
        <f aca="false">'Смета Расходов'!G1644</f>
        <v>0</v>
      </c>
    </row>
    <row r="1181" customFormat="false" ht="15" hidden="false" customHeight="false" outlineLevel="0" collapsed="false">
      <c r="A1181" s="1139"/>
      <c r="B1181" s="1152" t="str">
        <f aca="false">'Смета Расходов'!B1645</f>
        <v>крепления</v>
      </c>
      <c r="C1181" s="1153" t="str">
        <f aca="false">'Смета Расходов'!C1645</f>
        <v>шт</v>
      </c>
      <c r="D1181" s="1152" t="n">
        <f aca="false">'Смета Расходов'!D1645</f>
        <v>8</v>
      </c>
      <c r="E1181" s="1152" t="n">
        <f aca="false">'Смета Расходов'!F1645</f>
        <v>15</v>
      </c>
      <c r="F1181" s="1152" t="n">
        <f aca="false">'Смета Расходов'!G1645</f>
        <v>0</v>
      </c>
    </row>
    <row r="1182" customFormat="false" ht="15" hidden="false" customHeight="false" outlineLevel="0" collapsed="false">
      <c r="A1182" s="1139"/>
      <c r="B1182" s="1152" t="str">
        <f aca="false">'Смета Расходов'!B1646</f>
        <v>Пена монтажная, всесезонняя 800мл</v>
      </c>
      <c r="C1182" s="1153" t="str">
        <f aca="false">'Смета Расходов'!C1646</f>
        <v>шт</v>
      </c>
      <c r="D1182" s="1152" t="n">
        <f aca="false">'Смета Расходов'!D1646</f>
        <v>1</v>
      </c>
      <c r="E1182" s="1152" t="n">
        <f aca="false">'Смета Расходов'!F1646</f>
        <v>300</v>
      </c>
      <c r="F1182" s="1152" t="n">
        <f aca="false">'Смета Расходов'!G1646</f>
        <v>0</v>
      </c>
    </row>
    <row r="1183" customFormat="false" ht="15" hidden="false" customHeight="false" outlineLevel="0" collapsed="false">
      <c r="A1183" s="1139"/>
      <c r="B1183" s="1152" t="str">
        <f aca="false">'Смета Расходов'!B1647</f>
        <v>Французские окна</v>
      </c>
      <c r="C1183" s="1153" t="str">
        <f aca="false">'Смета Расходов'!C1647</f>
        <v>м2</v>
      </c>
      <c r="D1183" s="1152" t="n">
        <f aca="false">'Смета Расходов'!D1647</f>
        <v>0</v>
      </c>
      <c r="E1183" s="1152" t="n">
        <f aca="false">'Смета Расходов'!F1647</f>
        <v>6000</v>
      </c>
      <c r="F1183" s="1152" t="n">
        <f aca="false">'Смета Расходов'!G1647</f>
        <v>0</v>
      </c>
    </row>
    <row r="1184" customFormat="false" ht="15" hidden="false" customHeight="false" outlineLevel="0" collapsed="false">
      <c r="A1184" s="1139"/>
      <c r="B1184" s="1152" t="str">
        <f aca="false">'Смета Расходов'!B1648</f>
        <v>анкерный болт для крепления окно фр</v>
      </c>
      <c r="C1184" s="1153" t="str">
        <f aca="false">'Смета Расходов'!C1648</f>
        <v>шт</v>
      </c>
      <c r="D1184" s="1152" t="n">
        <f aca="false">'Смета Расходов'!D1648</f>
        <v>0</v>
      </c>
      <c r="E1184" s="1152" t="n">
        <f aca="false">'Смета Расходов'!F1648</f>
        <v>20</v>
      </c>
      <c r="F1184" s="1152" t="n">
        <f aca="false">'Смета Расходов'!G1648</f>
        <v>0</v>
      </c>
    </row>
    <row r="1185" customFormat="false" ht="15" hidden="false" customHeight="false" outlineLevel="0" collapsed="false">
      <c r="A1185" s="1139"/>
      <c r="B1185" s="1152" t="str">
        <f aca="false">'Смета Расходов'!B1649</f>
        <v>Пена монтажная, всесезонняя 800мл</v>
      </c>
      <c r="C1185" s="1153" t="str">
        <f aca="false">'Смета Расходов'!C1649</f>
        <v>шт</v>
      </c>
      <c r="D1185" s="1152" t="n">
        <f aca="false">'Смета Расходов'!D1649</f>
        <v>0</v>
      </c>
      <c r="E1185" s="1152" t="n">
        <f aca="false">'Смета Расходов'!F1649</f>
        <v>300</v>
      </c>
      <c r="F1185" s="1152" t="n">
        <f aca="false">'Смета Расходов'!G1649</f>
        <v>0</v>
      </c>
    </row>
    <row r="1186" customFormat="false" ht="15" hidden="false" customHeight="false" outlineLevel="0" collapsed="false">
      <c r="A1186" s="1139"/>
      <c r="B1186" s="1152" t="str">
        <f aca="false">'Смета Расходов'!B1650</f>
        <v>пластины для крепления</v>
      </c>
      <c r="C1186" s="1153" t="str">
        <f aca="false">'Смета Расходов'!C1650</f>
        <v>шт</v>
      </c>
      <c r="D1186" s="1152" t="n">
        <f aca="false">'Смета Расходов'!D1650</f>
        <v>0</v>
      </c>
      <c r="E1186" s="1152" t="n">
        <f aca="false">'Смета Расходов'!F1650</f>
        <v>25</v>
      </c>
      <c r="F1186" s="1152" t="n">
        <f aca="false">'Смета Расходов'!G1650</f>
        <v>0</v>
      </c>
    </row>
    <row r="1187" customFormat="false" ht="15" hidden="false" customHeight="false" outlineLevel="0" collapsed="false">
      <c r="A1187" s="1139"/>
      <c r="B1187" s="1152" t="str">
        <f aca="false">'Смета Расходов'!B1651</f>
        <v>Двери входные</v>
      </c>
      <c r="C1187" s="1153" t="str">
        <f aca="false">'Смета Расходов'!C1651</f>
        <v>шт</v>
      </c>
      <c r="D1187" s="1152" t="n">
        <f aca="false">'Смета Расходов'!D1651</f>
        <v>1</v>
      </c>
      <c r="E1187" s="1152" t="n">
        <f aca="false">'Смета Расходов'!F1651</f>
        <v>12000</v>
      </c>
      <c r="F1187" s="1152" t="n">
        <f aca="false">'Смета Расходов'!G1651</f>
        <v>0</v>
      </c>
    </row>
    <row r="1188" customFormat="false" ht="15" hidden="false" customHeight="false" outlineLevel="0" collapsed="false">
      <c r="A1188" s="1139"/>
      <c r="B1188" s="1152" t="str">
        <f aca="false">'Смета Расходов'!B1652</f>
        <v>Анкер болт, 12*200</v>
      </c>
      <c r="C1188" s="1153" t="str">
        <f aca="false">'Смета Расходов'!C1652</f>
        <v>шт</v>
      </c>
      <c r="D1188" s="1152" t="n">
        <f aca="false">'Смета Расходов'!D1652</f>
        <v>6</v>
      </c>
      <c r="E1188" s="1152" t="n">
        <f aca="false">'Смета Расходов'!F1652</f>
        <v>0</v>
      </c>
      <c r="F1188" s="1152" t="n">
        <f aca="false">'Смета Расходов'!G1652</f>
        <v>0</v>
      </c>
    </row>
    <row r="1189" customFormat="false" ht="15" hidden="false" customHeight="false" outlineLevel="0" collapsed="false">
      <c r="A1189" s="1139"/>
      <c r="B1189" s="1152" t="str">
        <f aca="false">'Смета Расходов'!B1653</f>
        <v>Пена монтажная</v>
      </c>
      <c r="C1189" s="1153" t="str">
        <f aca="false">'Смета Расходов'!C1653</f>
        <v>шт</v>
      </c>
      <c r="D1189" s="1152" t="n">
        <f aca="false">'Смета Расходов'!D1653</f>
        <v>1</v>
      </c>
      <c r="E1189" s="1152" t="n">
        <f aca="false">'Смета Расходов'!F1653</f>
        <v>0</v>
      </c>
      <c r="F1189" s="1152" t="n">
        <f aca="false">'Смета Расходов'!G1653</f>
        <v>0</v>
      </c>
    </row>
    <row r="1190" customFormat="false" ht="15" hidden="false" customHeight="false" outlineLevel="0" collapsed="false">
      <c r="A1190" s="1139"/>
      <c r="B1190" s="1154" t="s">
        <v>2309</v>
      </c>
      <c r="C1190" s="1154"/>
      <c r="D1190" s="1154"/>
      <c r="E1190" s="1154"/>
      <c r="F1190" s="1152" t="n">
        <f aca="false">SUM(F1170:F1189)</f>
        <v>0</v>
      </c>
    </row>
    <row r="1191" customFormat="false" ht="18.75" hidden="false" customHeight="false" outlineLevel="0" collapsed="false">
      <c r="A1191" s="1139"/>
      <c r="B1191" s="1150" t="str">
        <f aca="false">'Смета Расходов'!B1670</f>
        <v>Лестница двухмаршевая</v>
      </c>
      <c r="C1191" s="1150"/>
      <c r="D1191" s="1150"/>
      <c r="E1191" s="1150"/>
      <c r="F1191" s="1155" t="n">
        <f aca="false">'Смета Внутр'!H1670</f>
        <v>0</v>
      </c>
    </row>
    <row r="1192" customFormat="false" ht="15" hidden="false" customHeight="false" outlineLevel="0" collapsed="false">
      <c r="A1192" s="1139"/>
      <c r="B1192" s="1156" t="s">
        <v>2246</v>
      </c>
      <c r="C1192" s="1156"/>
      <c r="D1192" s="1156"/>
      <c r="E1192" s="1156"/>
      <c r="F1192" s="1155" t="n">
        <f aca="false">'Смета Внутр'!H1671</f>
        <v>0</v>
      </c>
    </row>
    <row r="1193" customFormat="false" ht="15" hidden="false" customHeight="false" outlineLevel="0" collapsed="false">
      <c r="A1193" s="1139"/>
      <c r="B1193" s="1152" t="str">
        <f aca="false">'Смета Расходов'!B1672</f>
        <v>ступени хвоя</v>
      </c>
      <c r="C1193" s="1153" t="str">
        <f aca="false">'Смета Расходов'!C1672</f>
        <v>шт</v>
      </c>
      <c r="D1193" s="1152" t="n">
        <f aca="false">'Смета Расходов'!D1672</f>
        <v>18</v>
      </c>
      <c r="E1193" s="1152" t="n">
        <f aca="false">'Смета Расходов'!F1672</f>
        <v>400</v>
      </c>
      <c r="F1193" s="1152" t="n">
        <f aca="false">'Смета Расходов'!G1672</f>
        <v>0</v>
      </c>
    </row>
    <row r="1194" customFormat="false" ht="15" hidden="false" customHeight="false" outlineLevel="0" collapsed="false">
      <c r="A1194" s="1139"/>
      <c r="B1194" s="1152" t="str">
        <f aca="false">'Смета Расходов'!B1673</f>
        <v>площадка хвоя</v>
      </c>
      <c r="C1194" s="1153" t="str">
        <f aca="false">'Смета Расходов'!C1673</f>
        <v>шт</v>
      </c>
      <c r="D1194" s="1152" t="n">
        <f aca="false">'Смета Расходов'!D1673</f>
        <v>1</v>
      </c>
      <c r="E1194" s="1152" t="n">
        <f aca="false">'Смета Расходов'!F1673</f>
        <v>2000</v>
      </c>
      <c r="F1194" s="1152" t="n">
        <f aca="false">'Смета Расходов'!G1673</f>
        <v>0</v>
      </c>
    </row>
    <row r="1195" customFormat="false" ht="15" hidden="false" customHeight="false" outlineLevel="0" collapsed="false">
      <c r="A1195" s="1139"/>
      <c r="B1195" s="1152" t="str">
        <f aca="false">'Смета Расходов'!B1674</f>
        <v>столб под площадку, 2м</v>
      </c>
      <c r="C1195" s="1153" t="str">
        <f aca="false">'Смета Расходов'!C1674</f>
        <v>шт</v>
      </c>
      <c r="D1195" s="1152" t="n">
        <f aca="false">'Смета Расходов'!D1674</f>
        <v>4</v>
      </c>
      <c r="E1195" s="1152" t="n">
        <f aca="false">'Смета Расходов'!F1674</f>
        <v>1000</v>
      </c>
      <c r="F1195" s="1152" t="n">
        <f aca="false">'Смета Расходов'!G1674</f>
        <v>0</v>
      </c>
    </row>
    <row r="1196" customFormat="false" ht="15" hidden="false" customHeight="false" outlineLevel="0" collapsed="false">
      <c r="A1196" s="1139"/>
      <c r="B1196" s="1152" t="str">
        <f aca="false">'Смета Расходов'!B1675</f>
        <v>столб обвязка перил 1 и 2 этажа</v>
      </c>
      <c r="C1196" s="1153" t="str">
        <f aca="false">'Смета Расходов'!C1675</f>
        <v>шт</v>
      </c>
      <c r="D1196" s="1152" t="n">
        <f aca="false">'Смета Расходов'!D1675</f>
        <v>1</v>
      </c>
      <c r="E1196" s="1152" t="n">
        <f aca="false">'Смета Расходов'!F1675</f>
        <v>900</v>
      </c>
      <c r="F1196" s="1152" t="n">
        <f aca="false">'Смета Расходов'!G1675</f>
        <v>0</v>
      </c>
    </row>
    <row r="1197" customFormat="false" ht="15" hidden="false" customHeight="false" outlineLevel="0" collapsed="false">
      <c r="A1197" s="1139"/>
      <c r="B1197" s="1152" t="str">
        <f aca="false">'Смета Расходов'!B1676</f>
        <v>балясина 80*80, первая</v>
      </c>
      <c r="C1197" s="1153" t="str">
        <f aca="false">'Смета Расходов'!C1676</f>
        <v>шт</v>
      </c>
      <c r="D1197" s="1152" t="n">
        <f aca="false">'Смета Расходов'!D1676</f>
        <v>2</v>
      </c>
      <c r="E1197" s="1152" t="n">
        <f aca="false">'Смета Расходов'!F1676</f>
        <v>500</v>
      </c>
      <c r="F1197" s="1152" t="n">
        <f aca="false">'Смета Расходов'!G1676</f>
        <v>0</v>
      </c>
    </row>
    <row r="1198" customFormat="false" ht="15" hidden="false" customHeight="false" outlineLevel="0" collapsed="false">
      <c r="A1198" s="1139"/>
      <c r="B1198" s="1152" t="str">
        <f aca="false">'Смета Расходов'!B1677</f>
        <v>тетева, 3м.п.</v>
      </c>
      <c r="C1198" s="1153" t="str">
        <f aca="false">'Смета Расходов'!C1677</f>
        <v>шт</v>
      </c>
      <c r="D1198" s="1152" t="n">
        <f aca="false">'Смета Расходов'!D1677</f>
        <v>4</v>
      </c>
      <c r="E1198" s="1152" t="n">
        <f aca="false">'Смета Расходов'!F1677</f>
        <v>1500</v>
      </c>
      <c r="F1198" s="1152" t="n">
        <f aca="false">'Смета Расходов'!G1677</f>
        <v>0</v>
      </c>
    </row>
    <row r="1199" customFormat="false" ht="15" hidden="false" customHeight="false" outlineLevel="0" collapsed="false">
      <c r="A1199" s="1139"/>
      <c r="B1199" s="1152" t="str">
        <f aca="false">'Смета Расходов'!B1678</f>
        <v>крепления для ступеней, болт</v>
      </c>
      <c r="C1199" s="1153" t="str">
        <f aca="false">'Смета Расходов'!C1678</f>
        <v>шт</v>
      </c>
      <c r="D1199" s="1152" t="n">
        <f aca="false">'Смета Расходов'!D1678</f>
        <v>108</v>
      </c>
      <c r="E1199" s="1152" t="n">
        <f aca="false">'Смета Расходов'!F1678</f>
        <v>15</v>
      </c>
      <c r="F1199" s="1152" t="n">
        <f aca="false">'Смета Расходов'!G1678</f>
        <v>0</v>
      </c>
    </row>
    <row r="1200" customFormat="false" ht="15" hidden="false" customHeight="false" outlineLevel="0" collapsed="false">
      <c r="A1200" s="1139"/>
      <c r="B1200" s="1152" t="str">
        <f aca="false">'Смета Расходов'!B1679</f>
        <v>крепления для площадки</v>
      </c>
      <c r="C1200" s="1153" t="str">
        <f aca="false">'Смета Расходов'!C1679</f>
        <v>шт</v>
      </c>
      <c r="D1200" s="1152" t="n">
        <f aca="false">'Смета Расходов'!D1679</f>
        <v>8</v>
      </c>
      <c r="E1200" s="1152" t="n">
        <f aca="false">'Смета Расходов'!F1679</f>
        <v>20</v>
      </c>
      <c r="F1200" s="1152" t="n">
        <f aca="false">'Смета Расходов'!G1679</f>
        <v>0</v>
      </c>
    </row>
    <row r="1201" customFormat="false" ht="15" hidden="false" customHeight="false" outlineLevel="0" collapsed="false">
      <c r="A1201" s="1139"/>
      <c r="B1201" s="1152" t="str">
        <f aca="false">'Смета Расходов'!B1680</f>
        <v>поручни</v>
      </c>
      <c r="C1201" s="1153" t="str">
        <f aca="false">'Смета Расходов'!C1680</f>
        <v>шт</v>
      </c>
      <c r="D1201" s="1152" t="n">
        <f aca="false">'Смета Расходов'!D1680</f>
        <v>4</v>
      </c>
      <c r="E1201" s="1152" t="n">
        <f aca="false">'Смета Расходов'!F1680</f>
        <v>200</v>
      </c>
      <c r="F1201" s="1152" t="n">
        <f aca="false">'Смета Расходов'!G1680</f>
        <v>0</v>
      </c>
    </row>
    <row r="1202" customFormat="false" ht="15" hidden="false" customHeight="false" outlineLevel="0" collapsed="false">
      <c r="A1202" s="1139"/>
      <c r="B1202" s="1152" t="str">
        <f aca="false">'Смета Расходов'!B1681</f>
        <v>балясины</v>
      </c>
      <c r="C1202" s="1153" t="str">
        <f aca="false">'Смета Расходов'!C1681</f>
        <v>шт</v>
      </c>
      <c r="D1202" s="1152" t="n">
        <f aca="false">'Смета Расходов'!D1681</f>
        <v>25</v>
      </c>
      <c r="E1202" s="1152" t="n">
        <f aca="false">'Смета Расходов'!F1681</f>
        <v>100</v>
      </c>
      <c r="F1202" s="1152" t="n">
        <f aca="false">'Смета Расходов'!G1681</f>
        <v>0</v>
      </c>
    </row>
    <row r="1203" customFormat="false" ht="15" hidden="false" customHeight="false" outlineLevel="0" collapsed="false">
      <c r="A1203" s="1139"/>
      <c r="B1203" s="1154" t="s">
        <v>2309</v>
      </c>
      <c r="C1203" s="1154"/>
      <c r="D1203" s="1154"/>
      <c r="E1203" s="1154"/>
      <c r="F1203" s="1152" t="n">
        <f aca="false">SUM(F1193:F1202)</f>
        <v>0</v>
      </c>
    </row>
    <row r="1204" customFormat="false" ht="18.75" hidden="false" customHeight="false" outlineLevel="0" collapsed="false">
      <c r="A1204" s="1139"/>
      <c r="B1204" s="1150" t="str">
        <f aca="false">'Смета Расходов'!B1686</f>
        <v>Мансардные окна</v>
      </c>
      <c r="C1204" s="1150"/>
      <c r="D1204" s="1150"/>
      <c r="E1204" s="1150"/>
      <c r="F1204" s="1155" t="n">
        <f aca="false">'Смета Внутр'!H1686</f>
        <v>0</v>
      </c>
    </row>
    <row r="1205" customFormat="false" ht="15" hidden="false" customHeight="false" outlineLevel="0" collapsed="false">
      <c r="A1205" s="1139"/>
      <c r="B1205" s="1156" t="s">
        <v>2246</v>
      </c>
      <c r="C1205" s="1156"/>
      <c r="D1205" s="1156"/>
      <c r="E1205" s="1156"/>
      <c r="F1205" s="1155" t="n">
        <f aca="false">'Смета Внутр'!H1687</f>
        <v>0</v>
      </c>
    </row>
    <row r="1206" customFormat="false" ht="15" hidden="false" customHeight="false" outlineLevel="0" collapsed="false">
      <c r="A1206" s="1139"/>
      <c r="B1206" s="1152" t="str">
        <f aca="false">'Смета Расходов'!B1688</f>
        <v>MR10 78X160</v>
      </c>
      <c r="C1206" s="1153" t="str">
        <f aca="false">'Смета Расходов'!C1688</f>
        <v>шт</v>
      </c>
      <c r="D1206" s="1152" t="n">
        <f aca="false">'Смета Расходов'!D1688</f>
        <v>1</v>
      </c>
      <c r="E1206" s="1152" t="n">
        <f aca="false">'Смета Расходов'!F1688</f>
        <v>22353</v>
      </c>
      <c r="F1206" s="1152" t="n">
        <f aca="false">'Смета Расходов'!G1688</f>
        <v>0</v>
      </c>
    </row>
    <row r="1207" customFormat="false" ht="15" hidden="false" customHeight="false" outlineLevel="0" collapsed="false">
      <c r="A1207" s="1139"/>
      <c r="B1207" s="1152" t="str">
        <f aca="false">'Смета Расходов'!B1689</f>
        <v>MR08 78X140</v>
      </c>
      <c r="C1207" s="1153" t="str">
        <f aca="false">'Смета Расходов'!C1689</f>
        <v>шт</v>
      </c>
      <c r="D1207" s="1152" t="n">
        <f aca="false">'Смета Расходов'!D1689</f>
        <v>2</v>
      </c>
      <c r="E1207" s="1152" t="n">
        <f aca="false">'Смета Расходов'!F1689</f>
        <v>21506</v>
      </c>
      <c r="F1207" s="1152" t="n">
        <f aca="false">'Смета Расходов'!G1689</f>
        <v>0</v>
      </c>
    </row>
    <row r="1208" customFormat="false" ht="15" hidden="false" customHeight="false" outlineLevel="0" collapsed="false">
      <c r="A1208" s="1139"/>
      <c r="B1208" s="1152" t="str">
        <f aca="false">'Смета Расходов'!B1690</f>
        <v>MR10 78X160</v>
      </c>
      <c r="C1208" s="1153" t="str">
        <f aca="false">'Смета Расходов'!C1690</f>
        <v>шт</v>
      </c>
      <c r="D1208" s="1152" t="n">
        <f aca="false">'Смета Расходов'!D1690</f>
        <v>5</v>
      </c>
      <c r="E1208" s="1152" t="n">
        <f aca="false">'Смета Расходов'!F1690</f>
        <v>22353</v>
      </c>
      <c r="F1208" s="1152" t="n">
        <f aca="false">'Смета Расходов'!G1690</f>
        <v>0</v>
      </c>
    </row>
    <row r="1209" customFormat="false" ht="15" hidden="false" customHeight="false" outlineLevel="0" collapsed="false">
      <c r="A1209" s="1139"/>
      <c r="B1209" s="1152" t="str">
        <f aca="false">'Смета Расходов'!B1691</f>
        <v>MR04 78X98</v>
      </c>
      <c r="C1209" s="1153" t="str">
        <f aca="false">'Смета Расходов'!C1691</f>
        <v>шт</v>
      </c>
      <c r="D1209" s="1152" t="n">
        <f aca="false">'Смета Расходов'!D1691</f>
        <v>0</v>
      </c>
      <c r="E1209" s="1152" t="n">
        <f aca="false">'Смета Расходов'!F1691</f>
        <v>18658</v>
      </c>
      <c r="F1209" s="1152" t="n">
        <f aca="false">'Смета Расходов'!G1691</f>
        <v>0</v>
      </c>
    </row>
    <row r="1210" customFormat="false" ht="15" hidden="false" customHeight="false" outlineLevel="0" collapsed="false">
      <c r="A1210" s="1139"/>
      <c r="B1210" s="1154" t="s">
        <v>2309</v>
      </c>
      <c r="C1210" s="1154"/>
      <c r="D1210" s="1154"/>
      <c r="E1210" s="1154"/>
      <c r="F1210" s="1152" t="n">
        <f aca="false">SUM(F1206:F1209)</f>
        <v>0</v>
      </c>
    </row>
    <row r="1211" customFormat="false" ht="18.75" hidden="false" customHeight="false" outlineLevel="0" collapsed="false">
      <c r="A1211" s="1139"/>
      <c r="B1211" s="1150" t="str">
        <f aca="false">'Смета Расходов'!B1699</f>
        <v>Отделка внешняя</v>
      </c>
      <c r="C1211" s="1150"/>
      <c r="D1211" s="1150"/>
      <c r="E1211" s="1150"/>
      <c r="F1211" s="1155" t="n">
        <f aca="false">'Смета Внутр'!H1699</f>
        <v>1</v>
      </c>
    </row>
    <row r="1212" customFormat="false" ht="15" hidden="false" customHeight="false" outlineLevel="0" collapsed="false">
      <c r="A1212" s="1139"/>
      <c r="B1212" s="1156" t="s">
        <v>2246</v>
      </c>
      <c r="C1212" s="1156"/>
      <c r="D1212" s="1156"/>
      <c r="E1212" s="1156"/>
      <c r="F1212" s="1155" t="n">
        <f aca="false">'Смета Внутр'!H1700</f>
        <v>1</v>
      </c>
    </row>
    <row r="1213" customFormat="false" ht="15" hidden="false" customHeight="false" outlineLevel="0" collapsed="false">
      <c r="A1213" s="1139"/>
      <c r="B1213" s="1153" t="str">
        <f aca="false">'Смета Расходов'!B1701</f>
        <v>дом, стены</v>
      </c>
      <c r="C1213" s="1153"/>
      <c r="D1213" s="1153"/>
      <c r="E1213" s="1153"/>
      <c r="F1213" s="1152" t="e">
        <f aca="false">IF(E1213&lt;#REF!,E1213*(D1213-#REF!),0)+IF(#REF!=0,(D1213-#REF!)*E1213,0)+IF(#REF!&lt;E1213,#REF!*(D1213-#REF!),0)</f>
        <v>#REF!</v>
      </c>
    </row>
    <row r="1214" customFormat="false" ht="15" hidden="false" customHeight="false" outlineLevel="0" collapsed="false">
      <c r="A1214" s="1139"/>
      <c r="B1214" s="1152" t="str">
        <f aca="false">'Смета Расходов'!B1702</f>
        <v>нет</v>
      </c>
      <c r="C1214" s="1153" t="str">
        <f aca="false">'Смета Расходов'!C1702</f>
        <v>м.п.</v>
      </c>
      <c r="D1214" s="1152" t="n">
        <f aca="false">'Смета Расходов'!D1702</f>
        <v>357.5815</v>
      </c>
      <c r="E1214" s="1152" t="n">
        <f aca="false">'Смета Расходов'!F1702</f>
        <v>0</v>
      </c>
      <c r="F1214" s="1152" t="n">
        <f aca="false">'Смета Расходов'!G1702</f>
        <v>0</v>
      </c>
    </row>
    <row r="1215" customFormat="false" ht="15" hidden="false" customHeight="false" outlineLevel="0" collapsed="false">
      <c r="A1215" s="1139"/>
      <c r="B1215" s="1152" t="str">
        <f aca="false">'Смета Расходов'!B1703</f>
        <v>Нет кронштейна</v>
      </c>
      <c r="C1215" s="1153" t="str">
        <f aca="false">'Смета Расходов'!C1703</f>
        <v>шт</v>
      </c>
      <c r="D1215" s="1152" t="n">
        <f aca="false">'Смета Расходов'!D1703</f>
        <v>858.1956</v>
      </c>
      <c r="E1215" s="1152" t="n">
        <f aca="false">'Смета Расходов'!F1703</f>
        <v>0</v>
      </c>
      <c r="F1215" s="1152" t="n">
        <f aca="false">'Смета Расходов'!G1703</f>
        <v>0</v>
      </c>
    </row>
    <row r="1216" customFormat="false" ht="15" hidden="false" customHeight="false" outlineLevel="0" collapsed="false">
      <c r="A1216" s="1139"/>
      <c r="B1216" s="1152" t="str">
        <f aca="false">'Смета Расходов'!B1704</f>
        <v>Саморезы 3,5 x 45            </v>
      </c>
      <c r="C1216" s="1153" t="str">
        <f aca="false">'Смета Расходов'!C1704</f>
        <v>шт</v>
      </c>
      <c r="D1216" s="1152" t="n">
        <f aca="false">'Смета Расходов'!D1704</f>
        <v>0</v>
      </c>
      <c r="E1216" s="1152" t="n">
        <f aca="false">'Смета Расходов'!F1704</f>
        <v>0.25</v>
      </c>
      <c r="F1216" s="1152" t="n">
        <f aca="false">'Смета Расходов'!G1704</f>
        <v>0</v>
      </c>
    </row>
    <row r="1217" customFormat="false" ht="15" hidden="false" customHeight="false" outlineLevel="0" collapsed="false">
      <c r="A1217" s="1139"/>
      <c r="B1217" s="1152" t="str">
        <f aca="false">'Смета Расходов'!B1705</f>
        <v>Болты анкерные с гайкой 10,0 х 97           </v>
      </c>
      <c r="C1217" s="1153" t="str">
        <f aca="false">'Смета Расходов'!C1705</f>
        <v>шт</v>
      </c>
      <c r="D1217" s="1152" t="n">
        <f aca="false">'Смета Расходов'!D1705</f>
        <v>0</v>
      </c>
      <c r="E1217" s="1152" t="n">
        <f aca="false">'Смета Расходов'!F1705</f>
        <v>7.4</v>
      </c>
      <c r="F1217" s="1152" t="n">
        <f aca="false">'Смета Расходов'!G1705</f>
        <v>0</v>
      </c>
    </row>
    <row r="1218" customFormat="false" ht="15" hidden="false" customHeight="false" outlineLevel="0" collapsed="false">
      <c r="A1218" s="1139"/>
      <c r="B1218" s="1152" t="n">
        <f aca="false">'Смета Расходов'!B1706</f>
        <v>0</v>
      </c>
      <c r="C1218" s="1153" t="str">
        <f aca="false">'Смета Расходов'!C1706</f>
        <v>м2</v>
      </c>
      <c r="D1218" s="1152" t="n">
        <f aca="false">'Смета Расходов'!D1706</f>
        <v>0</v>
      </c>
      <c r="E1218" s="1152" t="n">
        <f aca="false">'Смета Расходов'!F1706</f>
        <v>0</v>
      </c>
      <c r="F1218" s="1152" t="n">
        <f aca="false">'Смета Расходов'!G1706</f>
        <v>0</v>
      </c>
    </row>
    <row r="1219" customFormat="false" ht="15" hidden="false" customHeight="false" outlineLevel="0" collapsed="false">
      <c r="A1219" s="1139"/>
      <c r="B1219" s="1152" t="str">
        <f aca="false">'Смета Расходов'!B1707</f>
        <v>Цемент, мешок, 50кг</v>
      </c>
      <c r="C1219" s="1153" t="str">
        <f aca="false">'Смета Расходов'!C1707</f>
        <v>меш</v>
      </c>
      <c r="D1219" s="1152" t="n">
        <f aca="false">'Смета Расходов'!D1707</f>
        <v>0</v>
      </c>
      <c r="E1219" s="1152" t="n">
        <f aca="false">'Смета Расходов'!F1707</f>
        <v>250</v>
      </c>
      <c r="F1219" s="1152" t="n">
        <f aca="false">'Смета Расходов'!G1707</f>
        <v>0</v>
      </c>
    </row>
    <row r="1220" customFormat="false" ht="15" hidden="false" customHeight="false" outlineLevel="0" collapsed="false">
      <c r="A1220" s="1139"/>
      <c r="B1220" s="1152" t="str">
        <f aca="false">'Смета Расходов'!B1708</f>
        <v>Песок, м3</v>
      </c>
      <c r="C1220" s="1153" t="str">
        <f aca="false">'Смета Расходов'!C1708</f>
        <v>м3</v>
      </c>
      <c r="D1220" s="1152" t="n">
        <f aca="false">'Смета Расходов'!D1708</f>
        <v>0</v>
      </c>
      <c r="E1220" s="1152" t="n">
        <f aca="false">'Смета Расходов'!F1708</f>
        <v>250</v>
      </c>
      <c r="F1220" s="1152" t="n">
        <f aca="false">'Смета Расходов'!G1708</f>
        <v>0</v>
      </c>
    </row>
    <row r="1221" customFormat="false" ht="15" hidden="false" customHeight="false" outlineLevel="0" collapsed="false">
      <c r="A1221" s="1139"/>
      <c r="B1221" s="1152" t="str">
        <f aca="false">'Смета Расходов'!B1709</f>
        <v>Кладочная сетка, 100*100/150*150/200*200мм</v>
      </c>
      <c r="C1221" s="1153" t="str">
        <f aca="false">'Смета Расходов'!C1709</f>
        <v>м2</v>
      </c>
      <c r="D1221" s="1152" t="n">
        <f aca="false">'Смета Расходов'!D1709</f>
        <v>0</v>
      </c>
      <c r="E1221" s="1152" t="n">
        <f aca="false">'Смета Расходов'!F1709</f>
        <v>70</v>
      </c>
      <c r="F1221" s="1152" t="n">
        <f aca="false">'Смета Расходов'!G1709</f>
        <v>0</v>
      </c>
    </row>
    <row r="1222" customFormat="false" ht="15" hidden="false" customHeight="false" outlineLevel="0" collapsed="false">
      <c r="A1222" s="1139"/>
      <c r="B1222" s="1152" t="str">
        <f aca="false">'Смета Расходов'!B1710</f>
        <v>сайдинг виниловый</v>
      </c>
      <c r="C1222" s="1153" t="str">
        <f aca="false">'Смета Расходов'!C1710</f>
        <v>м2</v>
      </c>
      <c r="D1222" s="1152" t="n">
        <f aca="false">'Смета Расходов'!D1710</f>
        <v>0</v>
      </c>
      <c r="E1222" s="1152" t="n">
        <f aca="false">'Смета Расходов'!F1710</f>
        <v>350</v>
      </c>
      <c r="F1222" s="1152" t="n">
        <f aca="false">'Смета Расходов'!G1710</f>
        <v>0</v>
      </c>
    </row>
    <row r="1223" customFormat="false" ht="15" hidden="false" customHeight="false" outlineLevel="0" collapsed="false">
      <c r="A1223" s="1139"/>
      <c r="B1223" s="1152" t="str">
        <f aca="false">'Смета Расходов'!B1711</f>
        <v>доборные элементы для винил сайдинга</v>
      </c>
      <c r="C1223" s="1153" t="str">
        <f aca="false">'Смета Расходов'!C1711</f>
        <v>шт</v>
      </c>
      <c r="D1223" s="1152" t="n">
        <f aca="false">'Смета Расходов'!D1711</f>
        <v>0</v>
      </c>
      <c r="E1223" s="1152" t="n">
        <f aca="false">'Смета Расходов'!F1711</f>
        <v>300</v>
      </c>
      <c r="F1223" s="1152" t="n">
        <f aca="false">'Смета Расходов'!G1711</f>
        <v>0</v>
      </c>
    </row>
    <row r="1224" customFormat="false" ht="15" hidden="false" customHeight="false" outlineLevel="0" collapsed="false">
      <c r="A1224" s="1139"/>
      <c r="B1224" s="1152" t="str">
        <f aca="false">'Смета Расходов'!B1712</f>
        <v>сайдинг металлический</v>
      </c>
      <c r="C1224" s="1153" t="str">
        <f aca="false">'Смета Расходов'!C1712</f>
        <v>м2</v>
      </c>
      <c r="D1224" s="1152" t="n">
        <f aca="false">'Смета Расходов'!D1712</f>
        <v>0</v>
      </c>
      <c r="E1224" s="1152" t="n">
        <f aca="false">'Смета Расходов'!F1712</f>
        <v>550</v>
      </c>
      <c r="F1224" s="1152" t="n">
        <f aca="false">'Смета Расходов'!G1712</f>
        <v>0</v>
      </c>
    </row>
    <row r="1225" customFormat="false" ht="15" hidden="false" customHeight="false" outlineLevel="0" collapsed="false">
      <c r="A1225" s="1139"/>
      <c r="B1225" s="1152" t="str">
        <f aca="false">'Смета Расходов'!B1713</f>
        <v>доборные элементы для метал сайдинга</v>
      </c>
      <c r="C1225" s="1153" t="str">
        <f aca="false">'Смета Расходов'!C1713</f>
        <v>шт</v>
      </c>
      <c r="D1225" s="1152" t="n">
        <f aca="false">'Смета Расходов'!D1713</f>
        <v>0</v>
      </c>
      <c r="E1225" s="1152" t="n">
        <f aca="false">'Смета Расходов'!F1713</f>
        <v>350</v>
      </c>
      <c r="F1225" s="1152" t="n">
        <f aca="false">'Смета Расходов'!G1713</f>
        <v>0</v>
      </c>
    </row>
    <row r="1226" customFormat="false" ht="15" hidden="false" customHeight="false" outlineLevel="0" collapsed="false">
      <c r="A1226" s="1139"/>
      <c r="B1226" s="1152" t="n">
        <f aca="false">'Смета Расходов'!B1714</f>
        <v>0</v>
      </c>
      <c r="C1226" s="1153" t="str">
        <f aca="false">'Смета Расходов'!C1714</f>
        <v>м2</v>
      </c>
      <c r="D1226" s="1152" t="n">
        <f aca="false">'Смета Расходов'!D1714</f>
        <v>0</v>
      </c>
      <c r="E1226" s="1152" t="n">
        <f aca="false">'Смета Расходов'!F1714</f>
        <v>0</v>
      </c>
      <c r="F1226" s="1152" t="n">
        <f aca="false">'Смета Расходов'!G1714</f>
        <v>0</v>
      </c>
    </row>
    <row r="1227" customFormat="false" ht="15" hidden="false" customHeight="false" outlineLevel="0" collapsed="false">
      <c r="A1227" s="1139"/>
      <c r="B1227" s="1152" t="str">
        <f aca="false">'Смета Расходов'!B1715</f>
        <v>крепления для планкена, змейка</v>
      </c>
      <c r="C1227" s="1153" t="str">
        <f aca="false">'Смета Расходов'!C1715</f>
        <v>шт</v>
      </c>
      <c r="D1227" s="1152" t="n">
        <f aca="false">'Смета Расходов'!D1715</f>
        <v>0</v>
      </c>
      <c r="E1227" s="1152" t="n">
        <f aca="false">'Смета Расходов'!F1715</f>
        <v>15</v>
      </c>
      <c r="F1227" s="1152" t="n">
        <f aca="false">'Смета Расходов'!G1715</f>
        <v>0</v>
      </c>
    </row>
    <row r="1228" customFormat="false" ht="15" hidden="false" customHeight="false" outlineLevel="0" collapsed="false">
      <c r="A1228" s="1139"/>
      <c r="B1228" s="1152" t="n">
        <f aca="false">'Смета Расходов'!B1716</f>
        <v>0</v>
      </c>
      <c r="C1228" s="1153" t="str">
        <f aca="false">'Смета Расходов'!C1716</f>
        <v>м2</v>
      </c>
      <c r="D1228" s="1152" t="n">
        <f aca="false">'Смета Расходов'!D1716</f>
        <v>0</v>
      </c>
      <c r="E1228" s="1152" t="n">
        <f aca="false">'Смета Расходов'!F1716</f>
        <v>1000</v>
      </c>
      <c r="F1228" s="1152" t="n">
        <f aca="false">'Смета Расходов'!G1716</f>
        <v>0</v>
      </c>
    </row>
    <row r="1229" customFormat="false" ht="15" hidden="false" customHeight="false" outlineLevel="0" collapsed="false">
      <c r="A1229" s="1139"/>
      <c r="B1229" s="1152" t="n">
        <f aca="false">'Смета Расходов'!B1717</f>
        <v>0</v>
      </c>
      <c r="C1229" s="1153" t="str">
        <f aca="false">'Смета Расходов'!C1717</f>
        <v>м2</v>
      </c>
      <c r="D1229" s="1152" t="n">
        <f aca="false">'Смета Расходов'!D1717</f>
        <v>0</v>
      </c>
      <c r="E1229" s="1152" t="n">
        <f aca="false">'Смета Расходов'!F1717</f>
        <v>0</v>
      </c>
      <c r="F1229" s="1152" t="n">
        <f aca="false">'Смета Расходов'!G1717</f>
        <v>0</v>
      </c>
    </row>
    <row r="1230" customFormat="false" ht="15" hidden="false" customHeight="false" outlineLevel="0" collapsed="false">
      <c r="A1230" s="1139"/>
      <c r="B1230" s="1152" t="str">
        <f aca="false">'Смета Расходов'!B1718</f>
        <v>клей для камня </v>
      </c>
      <c r="C1230" s="1153" t="str">
        <f aca="false">'Смета Расходов'!C1718</f>
        <v>меш</v>
      </c>
      <c r="D1230" s="1152" t="n">
        <f aca="false">'Смета Расходов'!D1718</f>
        <v>0</v>
      </c>
      <c r="E1230" s="1152" t="n">
        <f aca="false">'Смета Расходов'!F1718</f>
        <v>250</v>
      </c>
      <c r="F1230" s="1152" t="n">
        <f aca="false">'Смета Расходов'!G1718</f>
        <v>0</v>
      </c>
    </row>
    <row r="1231" customFormat="false" ht="15" hidden="false" customHeight="false" outlineLevel="0" collapsed="false">
      <c r="A1231" s="1139"/>
      <c r="B1231" s="1152" t="str">
        <f aca="false">'Смета Расходов'!B1719</f>
        <v>Нет грунтовки</v>
      </c>
      <c r="C1231" s="1153" t="str">
        <f aca="false">'Смета Расходов'!C1719</f>
        <v>л</v>
      </c>
      <c r="D1231" s="1152" t="n">
        <f aca="false">'Смета Расходов'!D1719</f>
        <v>0</v>
      </c>
      <c r="E1231" s="1152" t="n">
        <f aca="false">'Смета Расходов'!F1719</f>
        <v>0</v>
      </c>
      <c r="F1231" s="1152" t="n">
        <f aca="false">'Смета Расходов'!G1719</f>
        <v>0</v>
      </c>
    </row>
    <row r="1232" customFormat="false" ht="15" hidden="false" customHeight="false" outlineLevel="0" collapsed="false">
      <c r="A1232" s="1139"/>
      <c r="B1232" s="1152" t="str">
        <f aca="false">'Смета Расходов'!B1720</f>
        <v>Нет пропитки</v>
      </c>
      <c r="C1232" s="1153" t="str">
        <f aca="false">'Смета Расходов'!C1720</f>
        <v>л</v>
      </c>
      <c r="D1232" s="1152" t="n">
        <f aca="false">'Смета Расходов'!D1720</f>
        <v>0</v>
      </c>
      <c r="E1232" s="1152" t="n">
        <f aca="false">'Смета Расходов'!F1720</f>
        <v>0</v>
      </c>
      <c r="F1232" s="1152" t="n">
        <f aca="false">'Смета Расходов'!G1720</f>
        <v>0</v>
      </c>
    </row>
    <row r="1233" customFormat="false" ht="15" hidden="false" customHeight="false" outlineLevel="0" collapsed="false">
      <c r="A1233" s="1139"/>
      <c r="B1233" s="1152" t="str">
        <f aca="false">'Смета Расходов'!B1721</f>
        <v>Нет лака</v>
      </c>
      <c r="C1233" s="1153" t="str">
        <f aca="false">'Смета Расходов'!C1721</f>
        <v>л</v>
      </c>
      <c r="D1233" s="1152" t="n">
        <f aca="false">'Смета Расходов'!D1721</f>
        <v>0</v>
      </c>
      <c r="E1233" s="1152" t="n">
        <f aca="false">'Смета Расходов'!F1721</f>
        <v>0</v>
      </c>
      <c r="F1233" s="1152" t="n">
        <f aca="false">'Смета Расходов'!G1721</f>
        <v>0</v>
      </c>
    </row>
    <row r="1234" customFormat="false" ht="15" hidden="false" customHeight="false" outlineLevel="0" collapsed="false">
      <c r="A1234" s="1139"/>
      <c r="B1234" s="1152" t="str">
        <f aca="false">'Смета Расходов'!B1722</f>
        <v>Нет</v>
      </c>
      <c r="C1234" s="1153" t="str">
        <f aca="false">'Смета Расходов'!C1722</f>
        <v>м3</v>
      </c>
      <c r="D1234" s="1152" t="n">
        <f aca="false">'Смета Расходов'!D1722</f>
        <v>0</v>
      </c>
      <c r="E1234" s="1152" t="n">
        <f aca="false">'Смета Расходов'!F1722</f>
        <v>0</v>
      </c>
      <c r="F1234" s="1152" t="n">
        <f aca="false">'Смета Расходов'!G1722</f>
        <v>0</v>
      </c>
    </row>
    <row r="1235" customFormat="false" ht="15" hidden="false" customHeight="false" outlineLevel="0" collapsed="false">
      <c r="A1235" s="1139"/>
      <c r="B1235" s="1152" t="str">
        <f aca="false">'Смета Расходов'!B1723</f>
        <v>Декоративная штукатурка кароед 2 мм</v>
      </c>
      <c r="C1235" s="1153" t="str">
        <f aca="false">'Смета Расходов'!C1723</f>
        <v>меш</v>
      </c>
      <c r="D1235" s="1152" t="n">
        <f aca="false">'Смета Расходов'!D1723</f>
        <v>23</v>
      </c>
      <c r="E1235" s="1152" t="n">
        <f aca="false">'Смета Расходов'!F1723</f>
        <v>470</v>
      </c>
      <c r="F1235" s="1152" t="n">
        <f aca="false">'Смета Расходов'!G1723</f>
        <v>10810</v>
      </c>
    </row>
    <row r="1236" customFormat="false" ht="15" hidden="false" customHeight="false" outlineLevel="0" collapsed="false">
      <c r="A1236" s="1139"/>
      <c r="B1236" s="1152" t="str">
        <f aca="false">'Смета Расходов'!B1724</f>
        <v>Сетка штукатурная ПВС 40 Оцинкованная рулон</v>
      </c>
      <c r="C1236" s="1153" t="str">
        <f aca="false">'Смета Расходов'!C1724</f>
        <v>м2</v>
      </c>
      <c r="D1236" s="1152" t="n">
        <f aca="false">'Смета Расходов'!D1724</f>
        <v>226.759</v>
      </c>
      <c r="E1236" s="1152" t="n">
        <f aca="false">'Смета Расходов'!F1724</f>
        <v>15</v>
      </c>
      <c r="F1236" s="1152" t="n">
        <f aca="false">'Смета Расходов'!G1724</f>
        <v>3401.385</v>
      </c>
    </row>
    <row r="1237" customFormat="false" ht="15" hidden="false" customHeight="false" outlineLevel="0" collapsed="false">
      <c r="A1237" s="1139"/>
      <c r="B1237" s="1152" t="str">
        <f aca="false">'Смета Расходов'!B1725</f>
        <v>Штукатурка для наружних работ</v>
      </c>
      <c r="C1237" s="1153" t="str">
        <f aca="false">'Смета Расходов'!C1725</f>
        <v>м2</v>
      </c>
      <c r="D1237" s="1152" t="n">
        <f aca="false">'Смета Расходов'!D1725</f>
        <v>23</v>
      </c>
      <c r="E1237" s="1152" t="n">
        <f aca="false">'Смета Расходов'!F1725</f>
        <v>390</v>
      </c>
      <c r="F1237" s="1152" t="n">
        <f aca="false">'Смета Расходов'!G1725</f>
        <v>8970</v>
      </c>
    </row>
    <row r="1238" customFormat="false" ht="15" hidden="false" customHeight="false" outlineLevel="0" collapsed="false">
      <c r="A1238" s="1139"/>
      <c r="B1238" s="1153" t="str">
        <f aca="false">'Смета Расходов'!B1726</f>
        <v>цоколь</v>
      </c>
      <c r="C1238" s="1153"/>
      <c r="D1238" s="1153"/>
      <c r="E1238" s="1153"/>
      <c r="F1238" s="1152" t="n">
        <f aca="false">'Смета Расходов'!G1726</f>
        <v>0</v>
      </c>
    </row>
    <row r="1239" customFormat="false" ht="15" hidden="false" customHeight="false" outlineLevel="0" collapsed="false">
      <c r="A1239" s="1139"/>
      <c r="B1239" s="1152" t="str">
        <f aca="false">'Смета Расходов'!B1727</f>
        <v>отлив металлический</v>
      </c>
      <c r="C1239" s="1153" t="str">
        <f aca="false">'Смета Расходов'!C1727</f>
        <v>м.п.</v>
      </c>
      <c r="D1239" s="1152" t="n">
        <f aca="false">'Смета Расходов'!D1727</f>
        <v>0</v>
      </c>
      <c r="E1239" s="1152" t="n">
        <f aca="false">'Смета Расходов'!F1727</f>
        <v>100</v>
      </c>
      <c r="F1239" s="1152" t="n">
        <f aca="false">'Смета Расходов'!G1727</f>
        <v>0</v>
      </c>
    </row>
    <row r="1240" customFormat="false" ht="15" hidden="false" customHeight="false" outlineLevel="0" collapsed="false">
      <c r="A1240" s="1139"/>
      <c r="B1240" s="1152" t="str">
        <f aca="false">'Смета Расходов'!B1728</f>
        <v>сайдинг металлический</v>
      </c>
      <c r="C1240" s="1153" t="str">
        <f aca="false">'Смета Расходов'!C1728</f>
        <v>м2</v>
      </c>
      <c r="D1240" s="1152" t="n">
        <f aca="false">'Смета Расходов'!D1728</f>
        <v>0</v>
      </c>
      <c r="E1240" s="1152" t="n">
        <f aca="false">'Смета Расходов'!F1728</f>
        <v>550</v>
      </c>
      <c r="F1240" s="1152" t="n">
        <f aca="false">'Смета Расходов'!G1728</f>
        <v>0</v>
      </c>
    </row>
    <row r="1241" customFormat="false" ht="15" hidden="false" customHeight="false" outlineLevel="0" collapsed="false">
      <c r="A1241" s="1139"/>
      <c r="B1241" s="1152" t="str">
        <f aca="false">'Смета Расходов'!B1729</f>
        <v>камень природный</v>
      </c>
      <c r="C1241" s="1153" t="str">
        <f aca="false">'Смета Расходов'!C1729</f>
        <v>м2</v>
      </c>
      <c r="D1241" s="1152" t="n">
        <f aca="false">'Смета Расходов'!D1729</f>
        <v>0</v>
      </c>
      <c r="E1241" s="1152" t="n">
        <f aca="false">'Смета Расходов'!F1729</f>
        <v>600</v>
      </c>
      <c r="F1241" s="1152" t="n">
        <f aca="false">'Смета Расходов'!G1729</f>
        <v>0</v>
      </c>
    </row>
    <row r="1242" customFormat="false" ht="15" hidden="false" customHeight="false" outlineLevel="0" collapsed="false">
      <c r="A1242" s="1139"/>
      <c r="B1242" s="1152" t="str">
        <f aca="false">'Смета Расходов'!B1730</f>
        <v>камень искуственный</v>
      </c>
      <c r="C1242" s="1153" t="str">
        <f aca="false">'Смета Расходов'!C1730</f>
        <v>м2</v>
      </c>
      <c r="D1242" s="1152" t="n">
        <f aca="false">'Смета Расходов'!D1730</f>
        <v>0</v>
      </c>
      <c r="E1242" s="1152" t="n">
        <f aca="false">'Смета Расходов'!F1730</f>
        <v>1000</v>
      </c>
      <c r="F1242" s="1152" t="n">
        <f aca="false">'Смета Расходов'!G1730</f>
        <v>0</v>
      </c>
    </row>
    <row r="1243" customFormat="false" ht="15" hidden="false" customHeight="false" outlineLevel="0" collapsed="false">
      <c r="A1243" s="1139"/>
      <c r="B1243" s="1152" t="str">
        <f aca="false">'Смета Расходов'!B1731</f>
        <v>клей для камня </v>
      </c>
      <c r="C1243" s="1153" t="str">
        <f aca="false">'Смета Расходов'!C1731</f>
        <v>меш</v>
      </c>
      <c r="D1243" s="1152" t="n">
        <f aca="false">'Смета Расходов'!D1731</f>
        <v>0</v>
      </c>
      <c r="E1243" s="1152" t="n">
        <f aca="false">'Смета Расходов'!F1731</f>
        <v>250</v>
      </c>
      <c r="F1243" s="1152" t="n">
        <f aca="false">'Смета Расходов'!G1731</f>
        <v>0</v>
      </c>
    </row>
    <row r="1244" customFormat="false" ht="15" hidden="false" customHeight="false" outlineLevel="0" collapsed="false">
      <c r="A1244" s="1139"/>
      <c r="B1244" s="1152" t="str">
        <f aca="false">'Смета Расходов'!B1732</f>
        <v>Нет грунтовки</v>
      </c>
      <c r="C1244" s="1153" t="str">
        <f aca="false">'Смета Расходов'!C1732</f>
        <v>л</v>
      </c>
      <c r="D1244" s="1152" t="n">
        <f aca="false">'Смета Расходов'!D1732</f>
        <v>0</v>
      </c>
      <c r="E1244" s="1152" t="n">
        <f aca="false">'Смета Расходов'!F1732</f>
        <v>0</v>
      </c>
      <c r="F1244" s="1152" t="n">
        <f aca="false">'Смета Расходов'!G1732</f>
        <v>0</v>
      </c>
    </row>
    <row r="1245" customFormat="false" ht="15" hidden="false" customHeight="false" outlineLevel="0" collapsed="false">
      <c r="A1245" s="1139"/>
      <c r="B1245" s="1152" t="str">
        <f aca="false">'Смета Расходов'!B1733</f>
        <v>нет</v>
      </c>
      <c r="C1245" s="1153" t="str">
        <f aca="false">'Смета Расходов'!C1733</f>
        <v>м.п.</v>
      </c>
      <c r="D1245" s="1152" t="n">
        <f aca="false">'Смета Расходов'!D1733</f>
        <v>38.88</v>
      </c>
      <c r="E1245" s="1152" t="n">
        <f aca="false">'Смета Расходов'!F1733</f>
        <v>0</v>
      </c>
      <c r="F1245" s="1152" t="n">
        <f aca="false">'Смета Расходов'!G1733</f>
        <v>0</v>
      </c>
    </row>
    <row r="1246" customFormat="false" ht="15" hidden="false" customHeight="false" outlineLevel="0" collapsed="false">
      <c r="A1246" s="1139"/>
      <c r="B1246" s="1152" t="str">
        <f aca="false">'Смета Расходов'!B1734</f>
        <v>Фасадный кронштейн КК 120</v>
      </c>
      <c r="C1246" s="1153" t="str">
        <f aca="false">'Смета Расходов'!C1734</f>
        <v>шт</v>
      </c>
      <c r="D1246" s="1152" t="n">
        <f aca="false">'Смета Расходов'!D1734</f>
        <v>0</v>
      </c>
      <c r="E1246" s="1152" t="n">
        <f aca="false">'Смета Расходов'!F1734</f>
        <v>19</v>
      </c>
      <c r="F1246" s="1152" t="n">
        <f aca="false">'Смета Расходов'!G1734</f>
        <v>0</v>
      </c>
    </row>
    <row r="1247" customFormat="false" ht="15" hidden="false" customHeight="false" outlineLevel="0" collapsed="false">
      <c r="A1247" s="1139"/>
      <c r="B1247" s="1152" t="str">
        <f aca="false">'Смета Расходов'!B1735</f>
        <v>Болты анкерные с гайкой 10,0 х 97           </v>
      </c>
      <c r="C1247" s="1153" t="str">
        <f aca="false">'Смета Расходов'!C1735</f>
        <v>шт</v>
      </c>
      <c r="D1247" s="1152" t="n">
        <f aca="false">'Смета Расходов'!D1735</f>
        <v>0</v>
      </c>
      <c r="E1247" s="1152" t="n">
        <f aca="false">'Смета Расходов'!F1735</f>
        <v>7.4</v>
      </c>
      <c r="F1247" s="1152" t="n">
        <f aca="false">'Смета Расходов'!G1735</f>
        <v>0</v>
      </c>
    </row>
    <row r="1248" customFormat="false" ht="15" hidden="false" customHeight="false" outlineLevel="0" collapsed="false">
      <c r="A1248" s="1139"/>
      <c r="B1248" s="1152" t="str">
        <f aca="false">'Смета Расходов'!B1736</f>
        <v>Саморезы 3,5 x 45            </v>
      </c>
      <c r="C1248" s="1153" t="str">
        <f aca="false">'Смета Расходов'!C1736</f>
        <v>шт</v>
      </c>
      <c r="D1248" s="1152" t="n">
        <f aca="false">'Смета Расходов'!D1736</f>
        <v>0</v>
      </c>
      <c r="E1248" s="1152" t="n">
        <f aca="false">'Смета Расходов'!F1736</f>
        <v>0.25</v>
      </c>
      <c r="F1248" s="1152" t="n">
        <f aca="false">'Смета Расходов'!G1736</f>
        <v>0</v>
      </c>
    </row>
    <row r="1249" customFormat="false" ht="15" hidden="false" customHeight="false" outlineLevel="0" collapsed="false">
      <c r="A1249" s="1139"/>
      <c r="B1249" s="1152" t="str">
        <f aca="false">'Смета Расходов'!B1737</f>
        <v>Плоский шифер 8 мм</v>
      </c>
      <c r="C1249" s="1153" t="str">
        <f aca="false">'Смета Расходов'!C1737</f>
        <v>м2</v>
      </c>
      <c r="D1249" s="1152" t="n">
        <f aca="false">'Смета Расходов'!D1737</f>
        <v>0</v>
      </c>
      <c r="E1249" s="1152" t="n">
        <f aca="false">'Смета Расходов'!F1737</f>
        <v>85</v>
      </c>
      <c r="F1249" s="1152" t="n">
        <f aca="false">'Смета Расходов'!G1737</f>
        <v>0</v>
      </c>
    </row>
    <row r="1250" customFormat="false" ht="15" hidden="false" customHeight="false" outlineLevel="0" collapsed="false">
      <c r="A1250" s="1139"/>
      <c r="B1250" s="1153" t="str">
        <f aca="false">'Смета Расходов'!B1738</f>
        <v>кровля, подшивка свесов</v>
      </c>
      <c r="C1250" s="1153"/>
      <c r="D1250" s="1153"/>
      <c r="E1250" s="1153"/>
      <c r="F1250" s="1152" t="n">
        <f aca="false">'Смета Расходов'!G1738</f>
        <v>0</v>
      </c>
    </row>
    <row r="1251" customFormat="false" ht="15" hidden="false" customHeight="false" outlineLevel="0" collapsed="false">
      <c r="A1251" s="1139"/>
      <c r="B1251" s="1152" t="str">
        <f aca="false">'Смета Расходов'!B1739</f>
        <v>планкен</v>
      </c>
      <c r="C1251" s="1153" t="str">
        <f aca="false">'Смета Расходов'!C1739</f>
        <v>м2</v>
      </c>
      <c r="D1251" s="1152" t="n">
        <f aca="false">'Смета Расходов'!D1739</f>
        <v>0</v>
      </c>
      <c r="E1251" s="1152" t="n">
        <f aca="false">'Смета Расходов'!F1739</f>
        <v>0</v>
      </c>
      <c r="F1251" s="1152" t="n">
        <f aca="false">'Смета Расходов'!G1739</f>
        <v>0</v>
      </c>
    </row>
    <row r="1252" customFormat="false" ht="15" hidden="false" customHeight="false" outlineLevel="0" collapsed="false">
      <c r="A1252" s="1139"/>
      <c r="B1252" s="1152" t="str">
        <f aca="false">'Смета Расходов'!B1740</f>
        <v>Доска сухая, калибр., 35*45мм</v>
      </c>
      <c r="C1252" s="1153" t="str">
        <f aca="false">'Смета Расходов'!C1740</f>
        <v>м.п.</v>
      </c>
      <c r="D1252" s="1152" t="n">
        <f aca="false">'Смета Расходов'!D1740</f>
        <v>0</v>
      </c>
      <c r="E1252" s="1152" t="n">
        <f aca="false">'Смета Расходов'!F1740</f>
        <v>19.6875</v>
      </c>
      <c r="F1252" s="1152" t="n">
        <f aca="false">'Смета Расходов'!G1740</f>
        <v>0</v>
      </c>
    </row>
    <row r="1253" customFormat="false" ht="15" hidden="false" customHeight="false" outlineLevel="0" collapsed="false">
      <c r="A1253" s="1139"/>
      <c r="B1253" s="1152" t="str">
        <f aca="false">'Смета Расходов'!B1741</f>
        <v>сайдинг</v>
      </c>
      <c r="C1253" s="1153" t="str">
        <f aca="false">'Смета Расходов'!C1741</f>
        <v>м2</v>
      </c>
      <c r="D1253" s="1152" t="n">
        <f aca="false">'Смета Расходов'!D1741</f>
        <v>0</v>
      </c>
      <c r="E1253" s="1152" t="n">
        <f aca="false">'Смета Расходов'!F1741</f>
        <v>350</v>
      </c>
      <c r="F1253" s="1152" t="n">
        <f aca="false">'Смета Расходов'!G1741</f>
        <v>0</v>
      </c>
    </row>
    <row r="1254" customFormat="false" ht="15" hidden="false" customHeight="false" outlineLevel="0" collapsed="false">
      <c r="A1254" s="1139"/>
      <c r="B1254" s="1152" t="str">
        <f aca="false">'Смета Расходов'!B1742</f>
        <v>торцевая планка винил</v>
      </c>
      <c r="C1254" s="1153" t="str">
        <f aca="false">'Смета Расходов'!C1742</f>
        <v>м.п.</v>
      </c>
      <c r="D1254" s="1152" t="n">
        <f aca="false">'Смета Расходов'!D1742</f>
        <v>0</v>
      </c>
      <c r="E1254" s="1152" t="n">
        <f aca="false">'Смета Расходов'!F1742</f>
        <v>60</v>
      </c>
      <c r="F1254" s="1152" t="n">
        <f aca="false">'Смета Расходов'!G1742</f>
        <v>0</v>
      </c>
    </row>
    <row r="1255" customFormat="false" ht="15" hidden="false" customHeight="false" outlineLevel="0" collapsed="false">
      <c r="A1255" s="1139"/>
      <c r="B1255" s="1152" t="str">
        <f aca="false">'Смета Расходов'!B1743</f>
        <v>стартовый профиль для сайдинга</v>
      </c>
      <c r="C1255" s="1153" t="str">
        <f aca="false">'Смета Расходов'!C1743</f>
        <v>м.п.</v>
      </c>
      <c r="D1255" s="1152" t="n">
        <f aca="false">'Смета Расходов'!D1743</f>
        <v>0</v>
      </c>
      <c r="E1255" s="1152" t="n">
        <f aca="false">'Смета Расходов'!F1743</f>
        <v>40</v>
      </c>
      <c r="F1255" s="1152" t="n">
        <f aca="false">'Смета Расходов'!G1743</f>
        <v>0</v>
      </c>
    </row>
    <row r="1256" customFormat="false" ht="15" hidden="false" customHeight="false" outlineLevel="0" collapsed="false">
      <c r="A1256" s="1139"/>
      <c r="B1256" s="1152" t="str">
        <f aca="false">'Смета Расходов'!B1744</f>
        <v>Саморезы 3,5 x 45            </v>
      </c>
      <c r="C1256" s="1153" t="str">
        <f aca="false">'Смета Расходов'!C1744</f>
        <v>шт</v>
      </c>
      <c r="D1256" s="1152" t="n">
        <f aca="false">'Смета Расходов'!D1744</f>
        <v>0</v>
      </c>
      <c r="E1256" s="1152" t="n">
        <f aca="false">'Смета Расходов'!F1744</f>
        <v>0.25</v>
      </c>
      <c r="F1256" s="1152" t="n">
        <f aca="false">'Смета Расходов'!G1744</f>
        <v>0</v>
      </c>
    </row>
    <row r="1257" customFormat="false" ht="15" hidden="false" customHeight="false" outlineLevel="0" collapsed="false">
      <c r="A1257" s="1139"/>
      <c r="B1257" s="1152" t="str">
        <f aca="false">'Смета Расходов'!B1745</f>
        <v>Саморезы 4,2 х 75            </v>
      </c>
      <c r="C1257" s="1153" t="str">
        <f aca="false">'Смета Расходов'!C1745</f>
        <v>шт</v>
      </c>
      <c r="D1257" s="1152" t="n">
        <f aca="false">'Смета Расходов'!D1745</f>
        <v>0</v>
      </c>
      <c r="E1257" s="1152" t="n">
        <f aca="false">'Смета Расходов'!F1745</f>
        <v>0.45</v>
      </c>
      <c r="F1257" s="1152" t="n">
        <f aca="false">'Смета Расходов'!G1745</f>
        <v>0</v>
      </c>
    </row>
    <row r="1258" customFormat="false" ht="15" hidden="false" customHeight="false" outlineLevel="0" collapsed="false">
      <c r="A1258" s="1139"/>
      <c r="B1258" s="1154" t="s">
        <v>2309</v>
      </c>
      <c r="C1258" s="1154"/>
      <c r="D1258" s="1154"/>
      <c r="E1258" s="1154"/>
      <c r="F1258" s="1152" t="n">
        <f aca="false">'Смета Расходов'!G1746</f>
        <v>23181.385</v>
      </c>
    </row>
    <row r="1259" customFormat="false" ht="18.75" hidden="false" customHeight="false" outlineLevel="0" collapsed="false">
      <c r="A1259" s="1139"/>
      <c r="B1259" s="1150" t="str">
        <f aca="false">'Смета Расходов'!B1775</f>
        <v>Чистовая отделка</v>
      </c>
      <c r="C1259" s="1150"/>
      <c r="D1259" s="1150"/>
      <c r="E1259" s="1150"/>
      <c r="F1259" s="1155" t="n">
        <f aca="false">'Смета Внутр'!H1775</f>
        <v>1</v>
      </c>
    </row>
    <row r="1260" customFormat="false" ht="15" hidden="false" customHeight="false" outlineLevel="0" collapsed="false">
      <c r="A1260" s="1139"/>
      <c r="B1260" s="1156" t="s">
        <v>2246</v>
      </c>
      <c r="C1260" s="1156"/>
      <c r="D1260" s="1156"/>
      <c r="E1260" s="1156"/>
      <c r="F1260" s="1155" t="n">
        <f aca="false">'Смета Внутр'!H1776</f>
        <v>1</v>
      </c>
    </row>
    <row r="1261" customFormat="false" ht="15" hidden="false" customHeight="false" outlineLevel="0" collapsed="false">
      <c r="A1261" s="1139"/>
      <c r="B1261" s="1153" t="str">
        <f aca="false">'Смета Расходов'!B1777</f>
        <v>Стены</v>
      </c>
      <c r="C1261" s="1153"/>
      <c r="D1261" s="1153"/>
      <c r="E1261" s="1153"/>
      <c r="F1261" s="1152" t="e">
        <f aca="false">IF(E1261&lt;#REF!,E1261*(D1261-#REF!),0)+IF(#REF!=0,(D1261-#REF!)*E1261,0)+IF(#REF!&lt;E1261,#REF!*(D1261-#REF!),0)</f>
        <v>#REF!</v>
      </c>
    </row>
    <row r="1262" customFormat="false" ht="15" hidden="false" customHeight="false" outlineLevel="0" collapsed="false">
      <c r="A1262" s="1139"/>
      <c r="B1262" s="1152" t="str">
        <f aca="false">'Смета Расходов'!B1778</f>
        <v>ГКЛ, 12мм</v>
      </c>
      <c r="C1262" s="1153" t="str">
        <f aca="false">'Смета Расходов'!C1778</f>
        <v>м2</v>
      </c>
      <c r="D1262" s="1152" t="n">
        <f aca="false">'Смета Расходов'!D1778</f>
        <v>0</v>
      </c>
      <c r="E1262" s="1152" t="n">
        <f aca="false">'Смета Расходов'!F1778</f>
        <v>90</v>
      </c>
      <c r="F1262" s="1152" t="n">
        <f aca="false">'Смета Расходов'!G1778</f>
        <v>0</v>
      </c>
    </row>
    <row r="1263" customFormat="false" ht="15" hidden="false" customHeight="false" outlineLevel="0" collapsed="false">
      <c r="A1263" s="1139"/>
      <c r="B1263" s="1152" t="str">
        <f aca="false">'Смета Расходов'!B1779</f>
        <v>профиль 60/27/3000</v>
      </c>
      <c r="C1263" s="1153" t="str">
        <f aca="false">'Смета Расходов'!C1779</f>
        <v>шт</v>
      </c>
      <c r="D1263" s="1152" t="n">
        <f aca="false">'Смета Расходов'!D1779</f>
        <v>0</v>
      </c>
      <c r="E1263" s="1152" t="n">
        <f aca="false">'Смета Расходов'!F1779</f>
        <v>100</v>
      </c>
      <c r="F1263" s="1152" t="n">
        <f aca="false">'Смета Расходов'!G1779</f>
        <v>0</v>
      </c>
    </row>
    <row r="1264" customFormat="false" ht="15" hidden="false" customHeight="false" outlineLevel="0" collapsed="false">
      <c r="A1264" s="1139"/>
      <c r="B1264" s="1152" t="str">
        <f aca="false">'Смета Расходов'!B1780</f>
        <v>профиль 27/28/3000</v>
      </c>
      <c r="C1264" s="1153" t="str">
        <f aca="false">'Смета Расходов'!C1780</f>
        <v>шт</v>
      </c>
      <c r="D1264" s="1152" t="n">
        <f aca="false">'Смета Расходов'!D1780</f>
        <v>0</v>
      </c>
      <c r="E1264" s="1152" t="n">
        <f aca="false">'Смета Расходов'!F1780</f>
        <v>100</v>
      </c>
      <c r="F1264" s="1152" t="n">
        <f aca="false">'Смета Расходов'!G1780</f>
        <v>0</v>
      </c>
    </row>
    <row r="1265" customFormat="false" ht="15" hidden="false" customHeight="false" outlineLevel="0" collapsed="false">
      <c r="A1265" s="1139"/>
      <c r="B1265" s="1152" t="str">
        <f aca="false">'Смета Расходов'!B1781</f>
        <v>подвес прямой</v>
      </c>
      <c r="C1265" s="1153" t="str">
        <f aca="false">'Смета Расходов'!C1781</f>
        <v>шт</v>
      </c>
      <c r="D1265" s="1152" t="n">
        <f aca="false">'Смета Расходов'!D1781</f>
        <v>0</v>
      </c>
      <c r="E1265" s="1152" t="n">
        <f aca="false">'Смета Расходов'!F1781</f>
        <v>9</v>
      </c>
      <c r="F1265" s="1152" t="n">
        <f aca="false">'Смета Расходов'!G1781</f>
        <v>0</v>
      </c>
    </row>
    <row r="1266" customFormat="false" ht="15" hidden="false" customHeight="false" outlineLevel="0" collapsed="false">
      <c r="A1266" s="1139"/>
      <c r="B1266" s="1152" t="str">
        <f aca="false">'Смета Расходов'!B1782</f>
        <v>саморез металл/металл, 13мм</v>
      </c>
      <c r="C1266" s="1153" t="str">
        <f aca="false">'Смета Расходов'!C1782</f>
        <v>шт</v>
      </c>
      <c r="D1266" s="1152" t="n">
        <f aca="false">'Смета Расходов'!D1782</f>
        <v>0</v>
      </c>
      <c r="E1266" s="1152" t="n">
        <f aca="false">'Смета Расходов'!F1782</f>
        <v>0.025</v>
      </c>
      <c r="F1266" s="1152" t="n">
        <f aca="false">'Смета Расходов'!G1782</f>
        <v>0</v>
      </c>
    </row>
    <row r="1267" customFormat="false" ht="15" hidden="false" customHeight="false" outlineLevel="0" collapsed="false">
      <c r="A1267" s="1139"/>
      <c r="B1267" s="1152" t="str">
        <f aca="false">'Смета Расходов'!B1783</f>
        <v>саморез гкл/металл, 25мм</v>
      </c>
      <c r="C1267" s="1153" t="str">
        <f aca="false">'Смета Расходов'!C1783</f>
        <v>шт</v>
      </c>
      <c r="D1267" s="1152" t="n">
        <f aca="false">'Смета Расходов'!D1783</f>
        <v>0</v>
      </c>
      <c r="E1267" s="1152" t="n">
        <f aca="false">'Смета Расходов'!F1783</f>
        <v>0.025</v>
      </c>
      <c r="F1267" s="1152" t="n">
        <f aca="false">'Смета Расходов'!G1783</f>
        <v>0</v>
      </c>
    </row>
    <row r="1268" customFormat="false" ht="15" hidden="false" customHeight="false" outlineLevel="0" collapsed="false">
      <c r="A1268" s="1139"/>
      <c r="B1268" s="1152" t="str">
        <f aca="false">'Смета Расходов'!B1784</f>
        <v>грунтовка, 10л</v>
      </c>
      <c r="C1268" s="1153" t="str">
        <f aca="false">'Смета Расходов'!C1784</f>
        <v>шт</v>
      </c>
      <c r="D1268" s="1152" t="n">
        <f aca="false">'Смета Расходов'!D1784</f>
        <v>0</v>
      </c>
      <c r="E1268" s="1152" t="n">
        <f aca="false">'Смета Расходов'!F1784</f>
        <v>500</v>
      </c>
      <c r="F1268" s="1152" t="n">
        <f aca="false">'Смета Расходов'!G1784</f>
        <v>0</v>
      </c>
    </row>
    <row r="1269" customFormat="false" ht="15" hidden="false" customHeight="false" outlineLevel="0" collapsed="false">
      <c r="A1269" s="1139"/>
      <c r="B1269" s="1152" t="str">
        <f aca="false">'Смета Расходов'!B1785</f>
        <v>шпаклевка для швов, 25кг</v>
      </c>
      <c r="C1269" s="1153" t="str">
        <f aca="false">'Смета Расходов'!C1785</f>
        <v>шт</v>
      </c>
      <c r="D1269" s="1152" t="n">
        <f aca="false">'Смета Расходов'!D1785</f>
        <v>0</v>
      </c>
      <c r="E1269" s="1152" t="n">
        <f aca="false">'Смета Расходов'!F1785</f>
        <v>500</v>
      </c>
      <c r="F1269" s="1152" t="n">
        <f aca="false">'Смета Расходов'!G1785</f>
        <v>0</v>
      </c>
    </row>
    <row r="1270" customFormat="false" ht="15" hidden="false" customHeight="false" outlineLevel="0" collapsed="false">
      <c r="A1270" s="1139"/>
      <c r="B1270" s="1152" t="str">
        <f aca="false">'Смета Расходов'!B1786</f>
        <v>шпаклевка финишная, 25кг</v>
      </c>
      <c r="C1270" s="1153" t="str">
        <f aca="false">'Смета Расходов'!C1786</f>
        <v>шт</v>
      </c>
      <c r="D1270" s="1152" t="n">
        <f aca="false">'Смета Расходов'!D1786</f>
        <v>0</v>
      </c>
      <c r="E1270" s="1152" t="n">
        <f aca="false">'Смета Расходов'!F1786</f>
        <v>400</v>
      </c>
      <c r="F1270" s="1152" t="n">
        <f aca="false">'Смета Расходов'!G1786</f>
        <v>0</v>
      </c>
    </row>
    <row r="1271" customFormat="false" ht="15" hidden="false" customHeight="false" outlineLevel="0" collapsed="false">
      <c r="A1271" s="1139"/>
      <c r="B1271" s="1152" t="str">
        <f aca="false">'Смета Расходов'!B1787</f>
        <v>серпянка для швов, 50м.п.</v>
      </c>
      <c r="C1271" s="1153" t="str">
        <f aca="false">'Смета Расходов'!C1787</f>
        <v>шт</v>
      </c>
      <c r="D1271" s="1152" t="n">
        <f aca="false">'Смета Расходов'!D1787</f>
        <v>0</v>
      </c>
      <c r="E1271" s="1152" t="n">
        <f aca="false">'Смета Расходов'!F1787</f>
        <v>100</v>
      </c>
      <c r="F1271" s="1152" t="n">
        <f aca="false">'Смета Расходов'!G1787</f>
        <v>0</v>
      </c>
    </row>
    <row r="1272" customFormat="false" ht="15" hidden="false" customHeight="false" outlineLevel="0" collapsed="false">
      <c r="A1272" s="1139"/>
      <c r="B1272" s="1152" t="str">
        <f aca="false">'Смета Расходов'!B1788</f>
        <v>обои</v>
      </c>
      <c r="C1272" s="1153" t="str">
        <f aca="false">'Смета Расходов'!C1788</f>
        <v>м2</v>
      </c>
      <c r="D1272" s="1152" t="n">
        <f aca="false">'Смета Расходов'!D1788</f>
        <v>0</v>
      </c>
      <c r="E1272" s="1152" t="n">
        <f aca="false">'Смета Расходов'!F1788</f>
        <v>30</v>
      </c>
      <c r="F1272" s="1152" t="n">
        <f aca="false">'Смета Расходов'!G1788</f>
        <v>0</v>
      </c>
    </row>
    <row r="1273" customFormat="false" ht="15" hidden="false" customHeight="false" outlineLevel="0" collapsed="false">
      <c r="A1273" s="1139"/>
      <c r="B1273" s="1152" t="str">
        <f aca="false">'Смета Расходов'!B1789</f>
        <v>клей обойный</v>
      </c>
      <c r="C1273" s="1153" t="str">
        <f aca="false">'Смета Расходов'!C1789</f>
        <v>шт</v>
      </c>
      <c r="D1273" s="1152" t="n">
        <f aca="false">'Смета Расходов'!D1789</f>
        <v>0</v>
      </c>
      <c r="E1273" s="1152" t="n">
        <f aca="false">'Смета Расходов'!F1789</f>
        <v>120</v>
      </c>
      <c r="F1273" s="1152" t="n">
        <f aca="false">'Смета Расходов'!G1789</f>
        <v>0</v>
      </c>
    </row>
    <row r="1274" customFormat="false" ht="15" hidden="false" customHeight="false" outlineLevel="0" collapsed="false">
      <c r="A1274" s="1139"/>
      <c r="B1274" s="1152" t="str">
        <f aca="false">'Смета Расходов'!B1790</f>
        <v>краска для стен, 10л</v>
      </c>
      <c r="C1274" s="1153" t="str">
        <f aca="false">'Смета Расходов'!C1790</f>
        <v>шт</v>
      </c>
      <c r="D1274" s="1152" t="n">
        <f aca="false">'Смета Расходов'!D1790</f>
        <v>0</v>
      </c>
      <c r="E1274" s="1152" t="n">
        <f aca="false">'Смета Расходов'!F1790</f>
        <v>900</v>
      </c>
      <c r="F1274" s="1152" t="n">
        <f aca="false">'Смета Расходов'!G1790</f>
        <v>0</v>
      </c>
    </row>
    <row r="1275" customFormat="false" ht="15" hidden="false" customHeight="false" outlineLevel="0" collapsed="false">
      <c r="A1275" s="1139"/>
      <c r="B1275" s="1152" t="str">
        <f aca="false">'Смета Расходов'!B1791</f>
        <v>имитация бруса</v>
      </c>
      <c r="C1275" s="1153" t="str">
        <f aca="false">'Смета Расходов'!C1791</f>
        <v>м2</v>
      </c>
      <c r="D1275" s="1152" t="n">
        <f aca="false">'Смета Расходов'!D1791</f>
        <v>263.26</v>
      </c>
      <c r="E1275" s="1152" t="n">
        <f aca="false">'Смета Расходов'!F1791</f>
        <v>350</v>
      </c>
      <c r="F1275" s="1152" t="n">
        <f aca="false">'Смета Расходов'!G1791</f>
        <v>92141</v>
      </c>
    </row>
    <row r="1276" customFormat="false" ht="15" hidden="false" customHeight="false" outlineLevel="0" collapsed="false">
      <c r="A1276" s="1139"/>
      <c r="B1276" s="1152" t="str">
        <f aca="false">'Смета Расходов'!B1792</f>
        <v>блокхаус</v>
      </c>
      <c r="C1276" s="1153" t="str">
        <f aca="false">'Смета Расходов'!C1792</f>
        <v>м2</v>
      </c>
      <c r="D1276" s="1152" t="n">
        <f aca="false">'Смета Расходов'!D1792</f>
        <v>0</v>
      </c>
      <c r="E1276" s="1152" t="n">
        <f aca="false">'Смета Расходов'!F1792</f>
        <v>500</v>
      </c>
      <c r="F1276" s="1152" t="n">
        <f aca="false">'Смета Расходов'!G1792</f>
        <v>0</v>
      </c>
    </row>
    <row r="1277" customFormat="false" ht="15" hidden="false" customHeight="false" outlineLevel="0" collapsed="false">
      <c r="A1277" s="1139"/>
      <c r="B1277" s="1152" t="str">
        <f aca="false">'Смета Расходов'!B1793</f>
        <v>вагонка</v>
      </c>
      <c r="C1277" s="1153" t="str">
        <f aca="false">'Смета Расходов'!C1793</f>
        <v>м2</v>
      </c>
      <c r="D1277" s="1152" t="n">
        <f aca="false">'Смета Расходов'!D1793</f>
        <v>0</v>
      </c>
      <c r="E1277" s="1152" t="n">
        <f aca="false">'Смета Расходов'!F1793</f>
        <v>250</v>
      </c>
      <c r="F1277" s="1152" t="n">
        <f aca="false">'Смета Расходов'!G1793</f>
        <v>0</v>
      </c>
    </row>
    <row r="1278" customFormat="false" ht="15" hidden="false" customHeight="false" outlineLevel="0" collapsed="false">
      <c r="A1278" s="1139"/>
      <c r="B1278" s="1152" t="str">
        <f aca="false">'Смета Расходов'!B1794</f>
        <v>подсистема, брусок</v>
      </c>
      <c r="C1278" s="1153" t="str">
        <f aca="false">'Смета Расходов'!C1794</f>
        <v>м.п.</v>
      </c>
      <c r="D1278" s="1152" t="n">
        <f aca="false">'Смета Расходов'!D1794</f>
        <v>0</v>
      </c>
      <c r="E1278" s="1152" t="n">
        <f aca="false">'Смета Расходов'!F1794</f>
        <v>6</v>
      </c>
      <c r="F1278" s="1152" t="n">
        <f aca="false">'Смета Расходов'!G1794</f>
        <v>0</v>
      </c>
    </row>
    <row r="1279" customFormat="false" ht="15" hidden="false" customHeight="false" outlineLevel="0" collapsed="false">
      <c r="A1279" s="1139"/>
      <c r="B1279" s="1152" t="str">
        <f aca="false">'Смета Расходов'!B1795</f>
        <v>уголок крепежный</v>
      </c>
      <c r="C1279" s="1153" t="str">
        <f aca="false">'Смета Расходов'!C1795</f>
        <v>шт</v>
      </c>
      <c r="D1279" s="1152" t="n">
        <f aca="false">'Смета Расходов'!D1795</f>
        <v>0</v>
      </c>
      <c r="E1279" s="1152" t="n">
        <f aca="false">'Смета Расходов'!F1795</f>
        <v>8</v>
      </c>
      <c r="F1279" s="1152" t="n">
        <f aca="false">'Смета Расходов'!G1795</f>
        <v>0</v>
      </c>
    </row>
    <row r="1280" customFormat="false" ht="15" hidden="false" customHeight="false" outlineLevel="0" collapsed="false">
      <c r="A1280" s="1139"/>
      <c r="B1280" s="1152" t="str">
        <f aca="false">'Смета Расходов'!B1796</f>
        <v>гвозди/саморезы для крепления подсистемы</v>
      </c>
      <c r="C1280" s="1153" t="str">
        <f aca="false">'Смета Расходов'!C1796</f>
        <v>шт</v>
      </c>
      <c r="D1280" s="1152" t="n">
        <f aca="false">'Смета Расходов'!D1796</f>
        <v>0</v>
      </c>
      <c r="E1280" s="1152" t="n">
        <f aca="false">'Смета Расходов'!F1796</f>
        <v>0.02</v>
      </c>
      <c r="F1280" s="1152" t="n">
        <f aca="false">'Смета Расходов'!G1796</f>
        <v>0</v>
      </c>
    </row>
    <row r="1281" customFormat="false" ht="15" hidden="false" customHeight="false" outlineLevel="0" collapsed="false">
      <c r="A1281" s="1139"/>
      <c r="B1281" s="1152" t="str">
        <f aca="false">'Смета Расходов'!B1797</f>
        <v>гвозди/саморезы для крепления</v>
      </c>
      <c r="C1281" s="1153" t="str">
        <f aca="false">'Смета Расходов'!C1797</f>
        <v>шт</v>
      </c>
      <c r="D1281" s="1152" t="n">
        <f aca="false">'Смета Расходов'!D1797</f>
        <v>5265.2</v>
      </c>
      <c r="E1281" s="1152" t="n">
        <f aca="false">'Смета Расходов'!F1797</f>
        <v>0.02</v>
      </c>
      <c r="F1281" s="1152" t="n">
        <f aca="false">'Смета Расходов'!G1797</f>
        <v>105.304</v>
      </c>
    </row>
    <row r="1282" customFormat="false" ht="15" hidden="false" customHeight="false" outlineLevel="0" collapsed="false">
      <c r="A1282" s="1139"/>
      <c r="B1282" s="1152" t="str">
        <f aca="false">'Смета Расходов'!B1798</f>
        <v>Монтаж евровагонка</v>
      </c>
      <c r="C1282" s="1153" t="str">
        <f aca="false">'Смета Расходов'!C1798</f>
        <v>м2</v>
      </c>
      <c r="D1282" s="1152" t="n">
        <f aca="false">'Смета Расходов'!D1798</f>
        <v>0</v>
      </c>
      <c r="E1282" s="1152" t="n">
        <f aca="false">'Смета Расходов'!F1798</f>
        <v>400</v>
      </c>
      <c r="F1282" s="1152" t="n">
        <f aca="false">'Смета Расходов'!G1798</f>
        <v>0</v>
      </c>
    </row>
    <row r="1283" customFormat="false" ht="15" hidden="false" customHeight="false" outlineLevel="0" collapsed="false">
      <c r="A1283" s="1139"/>
      <c r="B1283" s="1152" t="str">
        <f aca="false">'Смета Расходов'!B1799</f>
        <v>Монтаж вагонка штиль</v>
      </c>
      <c r="C1283" s="1153" t="str">
        <f aca="false">'Смета Расходов'!C1799</f>
        <v>м2</v>
      </c>
      <c r="D1283" s="1152" t="n">
        <f aca="false">'Смета Расходов'!D1799</f>
        <v>0</v>
      </c>
      <c r="E1283" s="1152" t="n">
        <f aca="false">'Смета Расходов'!F1799</f>
        <v>400</v>
      </c>
      <c r="F1283" s="1152" t="n">
        <f aca="false">'Смета Расходов'!G1799</f>
        <v>0</v>
      </c>
    </row>
    <row r="1284" customFormat="false" ht="15" hidden="false" customHeight="false" outlineLevel="0" collapsed="false">
      <c r="A1284" s="1139"/>
      <c r="B1284" s="1152" t="str">
        <f aca="false">'Смета Расходов'!B1800</f>
        <v>Монтаж софт лайн</v>
      </c>
      <c r="C1284" s="1153" t="str">
        <f aca="false">'Смета Расходов'!C1800</f>
        <v>м2</v>
      </c>
      <c r="D1284" s="1152" t="n">
        <f aca="false">'Смета Расходов'!D1800</f>
        <v>0</v>
      </c>
      <c r="E1284" s="1152" t="n">
        <f aca="false">'Смета Расходов'!F1800</f>
        <v>400</v>
      </c>
      <c r="F1284" s="1152" t="n">
        <f aca="false">'Смета Расходов'!G1800</f>
        <v>0</v>
      </c>
    </row>
    <row r="1285" customFormat="false" ht="15" hidden="false" customHeight="false" outlineLevel="0" collapsed="false">
      <c r="A1285" s="1139"/>
      <c r="B1285" s="1152" t="str">
        <f aca="false">'Смета Расходов'!B1801</f>
        <v>Монтаж блокхаус</v>
      </c>
      <c r="C1285" s="1153" t="str">
        <f aca="false">'Смета Расходов'!C1801</f>
        <v>м2</v>
      </c>
      <c r="D1285" s="1152" t="n">
        <f aca="false">'Смета Расходов'!D1801</f>
        <v>0</v>
      </c>
      <c r="E1285" s="1152" t="n">
        <f aca="false">'Смета Расходов'!F1801</f>
        <v>400</v>
      </c>
      <c r="F1285" s="1152" t="n">
        <f aca="false">'Смета Расходов'!G1801</f>
        <v>0</v>
      </c>
    </row>
    <row r="1286" customFormat="false" ht="15" hidden="false" customHeight="false" outlineLevel="0" collapsed="false">
      <c r="A1286" s="1139"/>
      <c r="B1286" s="1153" t="str">
        <f aca="false">'Смета Расходов'!B1802</f>
        <v>Потолок</v>
      </c>
      <c r="C1286" s="1153"/>
      <c r="D1286" s="1153"/>
      <c r="E1286" s="1153"/>
      <c r="F1286" s="1152" t="n">
        <f aca="false">'Смета Расходов'!G1802</f>
        <v>1</v>
      </c>
    </row>
    <row r="1287" customFormat="false" ht="15" hidden="false" customHeight="false" outlineLevel="0" collapsed="false">
      <c r="A1287" s="1139"/>
      <c r="B1287" s="1152" t="str">
        <f aca="false">'Смета Расходов'!B1803</f>
        <v>ГКЛ, 9мм</v>
      </c>
      <c r="C1287" s="1153" t="str">
        <f aca="false">'Смета Расходов'!C1803</f>
        <v>м2</v>
      </c>
      <c r="D1287" s="1152" t="n">
        <f aca="false">'Смета Расходов'!D1803</f>
        <v>0</v>
      </c>
      <c r="E1287" s="1152" t="n">
        <f aca="false">'Смета Расходов'!F1803</f>
        <v>80</v>
      </c>
      <c r="F1287" s="1152" t="n">
        <f aca="false">'Смета Расходов'!G1803</f>
        <v>0</v>
      </c>
    </row>
    <row r="1288" customFormat="false" ht="15" hidden="false" customHeight="false" outlineLevel="0" collapsed="false">
      <c r="A1288" s="1139"/>
      <c r="B1288" s="1152" t="str">
        <f aca="false">'Смета Расходов'!B1804</f>
        <v>профиль 60/27/3000</v>
      </c>
      <c r="C1288" s="1153" t="str">
        <f aca="false">'Смета Расходов'!C1804</f>
        <v>шт</v>
      </c>
      <c r="D1288" s="1152" t="n">
        <f aca="false">'Смета Расходов'!D1804</f>
        <v>0</v>
      </c>
      <c r="E1288" s="1152" t="n">
        <f aca="false">'Смета Расходов'!F1804</f>
        <v>100</v>
      </c>
      <c r="F1288" s="1152" t="n">
        <f aca="false">'Смета Расходов'!G1804</f>
        <v>0</v>
      </c>
    </row>
    <row r="1289" customFormat="false" ht="15" hidden="false" customHeight="false" outlineLevel="0" collapsed="false">
      <c r="A1289" s="1139"/>
      <c r="B1289" s="1152" t="str">
        <f aca="false">'Смета Расходов'!B1805</f>
        <v>профиль 27/28/3000</v>
      </c>
      <c r="C1289" s="1153" t="str">
        <f aca="false">'Смета Расходов'!C1805</f>
        <v>шт</v>
      </c>
      <c r="D1289" s="1152" t="n">
        <f aca="false">'Смета Расходов'!D1805</f>
        <v>0</v>
      </c>
      <c r="E1289" s="1152" t="n">
        <f aca="false">'Смета Расходов'!F1805</f>
        <v>100</v>
      </c>
      <c r="F1289" s="1152" t="n">
        <f aca="false">'Смета Расходов'!G1805</f>
        <v>0</v>
      </c>
    </row>
    <row r="1290" customFormat="false" ht="15" hidden="false" customHeight="false" outlineLevel="0" collapsed="false">
      <c r="A1290" s="1139"/>
      <c r="B1290" s="1152" t="str">
        <f aca="false">'Смета Расходов'!B1806</f>
        <v>подвес прямой</v>
      </c>
      <c r="C1290" s="1153" t="str">
        <f aca="false">'Смета Расходов'!C1806</f>
        <v>шт</v>
      </c>
      <c r="D1290" s="1152" t="n">
        <f aca="false">'Смета Расходов'!D1806</f>
        <v>0</v>
      </c>
      <c r="E1290" s="1152" t="n">
        <f aca="false">'Смета Расходов'!F1806</f>
        <v>9</v>
      </c>
      <c r="F1290" s="1152" t="n">
        <f aca="false">'Смета Расходов'!G1806</f>
        <v>0</v>
      </c>
    </row>
    <row r="1291" customFormat="false" ht="15" hidden="false" customHeight="false" outlineLevel="0" collapsed="false">
      <c r="A1291" s="1139"/>
      <c r="B1291" s="1152" t="str">
        <f aca="false">'Смета Расходов'!B1807</f>
        <v>саморез металл/металл, 13мм</v>
      </c>
      <c r="C1291" s="1153" t="str">
        <f aca="false">'Смета Расходов'!C1807</f>
        <v>шт</v>
      </c>
      <c r="D1291" s="1152" t="n">
        <f aca="false">'Смета Расходов'!D1807</f>
        <v>0</v>
      </c>
      <c r="E1291" s="1152" t="n">
        <f aca="false">'Смета Расходов'!F1807</f>
        <v>0.025</v>
      </c>
      <c r="F1291" s="1152" t="n">
        <f aca="false">'Смета Расходов'!G1807</f>
        <v>0</v>
      </c>
    </row>
    <row r="1292" customFormat="false" ht="15" hidden="false" customHeight="false" outlineLevel="0" collapsed="false">
      <c r="A1292" s="1139"/>
      <c r="B1292" s="1152" t="str">
        <f aca="false">'Смета Расходов'!B1808</f>
        <v>саморез гкл/металл, 25мм</v>
      </c>
      <c r="C1292" s="1153" t="str">
        <f aca="false">'Смета Расходов'!C1808</f>
        <v>шт</v>
      </c>
      <c r="D1292" s="1152" t="n">
        <f aca="false">'Смета Расходов'!D1808</f>
        <v>0</v>
      </c>
      <c r="E1292" s="1152" t="n">
        <f aca="false">'Смета Расходов'!F1808</f>
        <v>0.025</v>
      </c>
      <c r="F1292" s="1152" t="n">
        <f aca="false">'Смета Расходов'!G1808</f>
        <v>0</v>
      </c>
    </row>
    <row r="1293" customFormat="false" ht="15" hidden="false" customHeight="false" outlineLevel="0" collapsed="false">
      <c r="A1293" s="1139"/>
      <c r="B1293" s="1152" t="str">
        <f aca="false">'Смета Расходов'!B1809</f>
        <v>грунтовка, 10л</v>
      </c>
      <c r="C1293" s="1153" t="str">
        <f aca="false">'Смета Расходов'!C1809</f>
        <v>шт</v>
      </c>
      <c r="D1293" s="1152" t="n">
        <f aca="false">'Смета Расходов'!D1809</f>
        <v>0</v>
      </c>
      <c r="E1293" s="1152" t="n">
        <f aca="false">'Смета Расходов'!F1809</f>
        <v>500</v>
      </c>
      <c r="F1293" s="1152" t="n">
        <f aca="false">'Смета Расходов'!G1809</f>
        <v>0</v>
      </c>
    </row>
    <row r="1294" customFormat="false" ht="15" hidden="false" customHeight="false" outlineLevel="0" collapsed="false">
      <c r="A1294" s="1139"/>
      <c r="B1294" s="1152" t="str">
        <f aca="false">'Смета Расходов'!B1810</f>
        <v>шпаклевка для швов, 25кг</v>
      </c>
      <c r="C1294" s="1153" t="str">
        <f aca="false">'Смета Расходов'!C1810</f>
        <v>шт</v>
      </c>
      <c r="D1294" s="1152" t="n">
        <f aca="false">'Смета Расходов'!D1810</f>
        <v>0</v>
      </c>
      <c r="E1294" s="1152" t="n">
        <f aca="false">'Смета Расходов'!F1810</f>
        <v>500</v>
      </c>
      <c r="F1294" s="1152" t="n">
        <f aca="false">'Смета Расходов'!G1810</f>
        <v>0</v>
      </c>
    </row>
    <row r="1295" customFormat="false" ht="15" hidden="false" customHeight="false" outlineLevel="0" collapsed="false">
      <c r="A1295" s="1139"/>
      <c r="B1295" s="1152" t="str">
        <f aca="false">'Смета Расходов'!B1811</f>
        <v>шпаклевка финишная, 25кг</v>
      </c>
      <c r="C1295" s="1153" t="str">
        <f aca="false">'Смета Расходов'!C1811</f>
        <v>шт</v>
      </c>
      <c r="D1295" s="1152" t="n">
        <f aca="false">'Смета Расходов'!D1811</f>
        <v>0</v>
      </c>
      <c r="E1295" s="1152" t="n">
        <f aca="false">'Смета Расходов'!F1811</f>
        <v>400</v>
      </c>
      <c r="F1295" s="1152" t="n">
        <f aca="false">'Смета Расходов'!G1811</f>
        <v>0</v>
      </c>
    </row>
    <row r="1296" customFormat="false" ht="15" hidden="false" customHeight="false" outlineLevel="0" collapsed="false">
      <c r="A1296" s="1139"/>
      <c r="B1296" s="1152" t="str">
        <f aca="false">'Смета Расходов'!B1812</f>
        <v>серпянка для швов, 50м.п.</v>
      </c>
      <c r="C1296" s="1153" t="str">
        <f aca="false">'Смета Расходов'!C1812</f>
        <v>шт</v>
      </c>
      <c r="D1296" s="1152" t="n">
        <f aca="false">'Смета Расходов'!D1812</f>
        <v>0</v>
      </c>
      <c r="E1296" s="1152" t="n">
        <f aca="false">'Смета Расходов'!F1812</f>
        <v>100</v>
      </c>
      <c r="F1296" s="1152" t="n">
        <f aca="false">'Смета Расходов'!G1812</f>
        <v>0</v>
      </c>
    </row>
    <row r="1297" customFormat="false" ht="15" hidden="false" customHeight="false" outlineLevel="0" collapsed="false">
      <c r="A1297" s="1139"/>
      <c r="B1297" s="1152" t="str">
        <f aca="false">'Смета Расходов'!B1813</f>
        <v>краска для потолков, 10л</v>
      </c>
      <c r="C1297" s="1153" t="str">
        <f aca="false">'Смета Расходов'!C1813</f>
        <v>шт</v>
      </c>
      <c r="D1297" s="1152" t="n">
        <f aca="false">'Смета Расходов'!D1813</f>
        <v>0</v>
      </c>
      <c r="E1297" s="1152" t="n">
        <f aca="false">'Смета Расходов'!F1813</f>
        <v>1200</v>
      </c>
      <c r="F1297" s="1152" t="n">
        <f aca="false">'Смета Расходов'!G1813</f>
        <v>0</v>
      </c>
    </row>
    <row r="1298" customFormat="false" ht="15" hidden="false" customHeight="false" outlineLevel="0" collapsed="false">
      <c r="A1298" s="1139"/>
      <c r="B1298" s="1152" t="str">
        <f aca="false">'Смета Расходов'!B1814</f>
        <v>багет 1мп</v>
      </c>
      <c r="C1298" s="1153" t="str">
        <f aca="false">'Смета Расходов'!C1814</f>
        <v>м.п.</v>
      </c>
      <c r="D1298" s="1152" t="n">
        <f aca="false">'Смета Расходов'!D1814</f>
        <v>0</v>
      </c>
      <c r="E1298" s="1152" t="n">
        <f aca="false">'Смета Расходов'!F1814</f>
        <v>10</v>
      </c>
      <c r="F1298" s="1152" t="n">
        <f aca="false">'Смета Расходов'!G1814</f>
        <v>0</v>
      </c>
    </row>
    <row r="1299" customFormat="false" ht="15" hidden="false" customHeight="false" outlineLevel="0" collapsed="false">
      <c r="A1299" s="1139"/>
      <c r="B1299" s="1152" t="str">
        <f aca="false">'Смета Расходов'!B1815</f>
        <v>шпаклевка для багета, 5 кг</v>
      </c>
      <c r="C1299" s="1153" t="str">
        <f aca="false">'Смета Расходов'!C1815</f>
        <v>шт</v>
      </c>
      <c r="D1299" s="1152" t="n">
        <f aca="false">'Смета Расходов'!D1815</f>
        <v>0</v>
      </c>
      <c r="E1299" s="1152" t="n">
        <f aca="false">'Смета Расходов'!F1815</f>
        <v>100</v>
      </c>
      <c r="F1299" s="1152" t="n">
        <f aca="false">'Смета Расходов'!G1815</f>
        <v>0</v>
      </c>
    </row>
    <row r="1300" customFormat="false" ht="15" hidden="false" customHeight="false" outlineLevel="0" collapsed="false">
      <c r="A1300" s="1139"/>
      <c r="B1300" s="1152" t="str">
        <f aca="false">'Смета Расходов'!B1816</f>
        <v>краска для багета, 5 л</v>
      </c>
      <c r="C1300" s="1153" t="str">
        <f aca="false">'Смета Расходов'!C1816</f>
        <v>шт</v>
      </c>
      <c r="D1300" s="1152" t="n">
        <f aca="false">'Смета Расходов'!D1816</f>
        <v>0</v>
      </c>
      <c r="E1300" s="1152" t="n">
        <f aca="false">'Смета Расходов'!F1816</f>
        <v>190</v>
      </c>
      <c r="F1300" s="1152" t="n">
        <f aca="false">'Смета Расходов'!G1816</f>
        <v>0</v>
      </c>
    </row>
    <row r="1301" customFormat="false" ht="15" hidden="false" customHeight="false" outlineLevel="0" collapsed="false">
      <c r="A1301" s="1139"/>
      <c r="B1301" s="1152" t="str">
        <f aca="false">'Смета Расходов'!B1817</f>
        <v>наждачная бумага финишная</v>
      </c>
      <c r="C1301" s="1153" t="str">
        <f aca="false">'Смета Расходов'!C1817</f>
        <v>м2</v>
      </c>
      <c r="D1301" s="1152" t="n">
        <f aca="false">'Смета Расходов'!D1817</f>
        <v>0</v>
      </c>
      <c r="E1301" s="1152" t="n">
        <f aca="false">'Смета Расходов'!F1817</f>
        <v>120</v>
      </c>
      <c r="F1301" s="1152" t="n">
        <f aca="false">'Смета Расходов'!G1817</f>
        <v>0</v>
      </c>
    </row>
    <row r="1302" customFormat="false" ht="15" hidden="false" customHeight="false" outlineLevel="0" collapsed="false">
      <c r="A1302" s="1139"/>
      <c r="B1302" s="1152" t="str">
        <f aca="false">'Смета Расходов'!B1818</f>
        <v>натяжной потолок</v>
      </c>
      <c r="C1302" s="1153" t="str">
        <f aca="false">'Смета Расходов'!C1818</f>
        <v>м2</v>
      </c>
      <c r="D1302" s="1152" t="n">
        <f aca="false">'Смета Расходов'!D1818</f>
        <v>0</v>
      </c>
      <c r="E1302" s="1152" t="n">
        <f aca="false">'Смета Расходов'!F1818</f>
        <v>400</v>
      </c>
      <c r="F1302" s="1152" t="n">
        <f aca="false">'Смета Расходов'!G1818</f>
        <v>0</v>
      </c>
    </row>
    <row r="1303" customFormat="false" ht="15" hidden="false" customHeight="false" outlineLevel="0" collapsed="false">
      <c r="A1303" s="1139"/>
      <c r="B1303" s="1152" t="str">
        <f aca="false">'Смета Расходов'!B1819</f>
        <v>имитация бруса</v>
      </c>
      <c r="C1303" s="1153" t="str">
        <f aca="false">'Смета Расходов'!C1819</f>
        <v>м2</v>
      </c>
      <c r="D1303" s="1152" t="n">
        <f aca="false">'Смета Расходов'!D1819</f>
        <v>0</v>
      </c>
      <c r="E1303" s="1152" t="n">
        <f aca="false">'Смета Расходов'!F1819</f>
        <v>350</v>
      </c>
      <c r="F1303" s="1152" t="n">
        <f aca="false">'Смета Расходов'!G1819</f>
        <v>0</v>
      </c>
    </row>
    <row r="1304" customFormat="false" ht="15" hidden="false" customHeight="false" outlineLevel="0" collapsed="false">
      <c r="A1304" s="1139"/>
      <c r="B1304" s="1152" t="str">
        <f aca="false">'Смета Расходов'!B1820</f>
        <v>блокхаус</v>
      </c>
      <c r="C1304" s="1153" t="str">
        <f aca="false">'Смета Расходов'!C1820</f>
        <v>м2</v>
      </c>
      <c r="D1304" s="1152" t="n">
        <f aca="false">'Смета Расходов'!D1820</f>
        <v>0</v>
      </c>
      <c r="E1304" s="1152" t="n">
        <f aca="false">'Смета Расходов'!F1820</f>
        <v>500</v>
      </c>
      <c r="F1304" s="1152" t="n">
        <f aca="false">'Смета Расходов'!G1820</f>
        <v>0</v>
      </c>
    </row>
    <row r="1305" customFormat="false" ht="15" hidden="false" customHeight="false" outlineLevel="0" collapsed="false">
      <c r="A1305" s="1139"/>
      <c r="B1305" s="1152" t="str">
        <f aca="false">'Смета Расходов'!B1821</f>
        <v>вагонка</v>
      </c>
      <c r="C1305" s="1153" t="str">
        <f aca="false">'Смета Расходов'!C1821</f>
        <v>м2</v>
      </c>
      <c r="D1305" s="1152" t="n">
        <f aca="false">'Смета Расходов'!D1821</f>
        <v>88.7321893085902</v>
      </c>
      <c r="E1305" s="1152" t="n">
        <f aca="false">'Смета Расходов'!F1821</f>
        <v>250</v>
      </c>
      <c r="F1305" s="1152" t="n">
        <f aca="false">'Смета Расходов'!G1821</f>
        <v>22183.0473271476</v>
      </c>
    </row>
    <row r="1306" customFormat="false" ht="15" hidden="false" customHeight="false" outlineLevel="0" collapsed="false">
      <c r="A1306" s="1139"/>
      <c r="B1306" s="1152" t="str">
        <f aca="false">'Смета Расходов'!B1822</f>
        <v>подсистема, брусок</v>
      </c>
      <c r="C1306" s="1153" t="str">
        <f aca="false">'Смета Расходов'!C1822</f>
        <v>м.п.</v>
      </c>
      <c r="D1306" s="1152" t="n">
        <f aca="false">'Смета Расходов'!D1822</f>
        <v>0</v>
      </c>
      <c r="E1306" s="1152" t="n">
        <f aca="false">'Смета Расходов'!F1822</f>
        <v>6</v>
      </c>
      <c r="F1306" s="1152" t="n">
        <f aca="false">'Смета Расходов'!G1822</f>
        <v>0</v>
      </c>
    </row>
    <row r="1307" customFormat="false" ht="15" hidden="false" customHeight="false" outlineLevel="0" collapsed="false">
      <c r="A1307" s="1139"/>
      <c r="B1307" s="1152" t="str">
        <f aca="false">'Смета Расходов'!B1823</f>
        <v>уголок крепежный</v>
      </c>
      <c r="C1307" s="1153" t="str">
        <f aca="false">'Смета Расходов'!C1823</f>
        <v>шт</v>
      </c>
      <c r="D1307" s="1152" t="n">
        <f aca="false">'Смета Расходов'!D1823</f>
        <v>0</v>
      </c>
      <c r="E1307" s="1152" t="n">
        <f aca="false">'Смета Расходов'!F1823</f>
        <v>8</v>
      </c>
      <c r="F1307" s="1152" t="n">
        <f aca="false">'Смета Расходов'!G1823</f>
        <v>0</v>
      </c>
    </row>
    <row r="1308" customFormat="false" ht="15" hidden="false" customHeight="false" outlineLevel="0" collapsed="false">
      <c r="A1308" s="1139"/>
      <c r="B1308" s="1152" t="str">
        <f aca="false">'Смета Расходов'!B1824</f>
        <v>гвозди/саморезы для крепления подсистемы</v>
      </c>
      <c r="C1308" s="1153" t="str">
        <f aca="false">'Смета Расходов'!C1824</f>
        <v>шт</v>
      </c>
      <c r="D1308" s="1152" t="n">
        <f aca="false">'Смета Расходов'!D1824</f>
        <v>0</v>
      </c>
      <c r="E1308" s="1152" t="n">
        <f aca="false">'Смета Расходов'!F1824</f>
        <v>0.02</v>
      </c>
      <c r="F1308" s="1152" t="n">
        <f aca="false">'Смета Расходов'!G1824</f>
        <v>0</v>
      </c>
    </row>
    <row r="1309" customFormat="false" ht="15" hidden="false" customHeight="false" outlineLevel="0" collapsed="false">
      <c r="A1309" s="1139"/>
      <c r="B1309" s="1152" t="str">
        <f aca="false">'Смета Расходов'!B1825</f>
        <v>гвозди/саморезы для крепления</v>
      </c>
      <c r="C1309" s="1153" t="str">
        <f aca="false">'Смета Расходов'!C1825</f>
        <v>шт</v>
      </c>
      <c r="D1309" s="1152" t="n">
        <f aca="false">'Смета Расходов'!D1825</f>
        <v>1774.6437861718</v>
      </c>
      <c r="E1309" s="1152" t="n">
        <f aca="false">'Смета Расходов'!F1825</f>
        <v>0.02</v>
      </c>
      <c r="F1309" s="1152" t="n">
        <f aca="false">'Смета Расходов'!G1825</f>
        <v>35.4928757234361</v>
      </c>
    </row>
    <row r="1310" customFormat="false" ht="15" hidden="false" customHeight="false" outlineLevel="0" collapsed="false">
      <c r="A1310" s="1139"/>
      <c r="B1310" s="1153" t="str">
        <f aca="false">'Смета Расходов'!B1826</f>
        <v>Пол</v>
      </c>
      <c r="C1310" s="1153"/>
      <c r="D1310" s="1153"/>
      <c r="E1310" s="1153"/>
      <c r="F1310" s="1152" t="n">
        <f aca="false">'Смета Расходов'!G1826</f>
        <v>0</v>
      </c>
    </row>
    <row r="1311" customFormat="false" ht="15" hidden="false" customHeight="false" outlineLevel="0" collapsed="false">
      <c r="A1311" s="1139"/>
      <c r="B1311" s="1152" t="str">
        <f aca="false">'Смета Расходов'!B1827</f>
        <v>подложка под покрытие</v>
      </c>
      <c r="C1311" s="1153" t="str">
        <f aca="false">'Смета Расходов'!C1827</f>
        <v>м2</v>
      </c>
      <c r="D1311" s="1152" t="n">
        <f aca="false">'Смета Расходов'!D1827</f>
        <v>0</v>
      </c>
      <c r="E1311" s="1152" t="n">
        <f aca="false">'Смета Расходов'!F1827</f>
        <v>50</v>
      </c>
      <c r="F1311" s="1152" t="n">
        <f aca="false">'Смета Расходов'!G1827</f>
        <v>0</v>
      </c>
    </row>
    <row r="1312" customFormat="false" ht="15" hidden="false" customHeight="false" outlineLevel="0" collapsed="false">
      <c r="A1312" s="1139"/>
      <c r="B1312" s="1152" t="str">
        <f aca="false">'Смета Расходов'!B1828</f>
        <v>линолеум</v>
      </c>
      <c r="C1312" s="1153" t="str">
        <f aca="false">'Смета Расходов'!C1828</f>
        <v>м2</v>
      </c>
      <c r="D1312" s="1152" t="n">
        <f aca="false">'Смета Расходов'!D1828</f>
        <v>0</v>
      </c>
      <c r="E1312" s="1152" t="n">
        <f aca="false">'Смета Расходов'!F1828</f>
        <v>350</v>
      </c>
      <c r="F1312" s="1152" t="n">
        <f aca="false">'Смета Расходов'!G1828</f>
        <v>0</v>
      </c>
    </row>
    <row r="1313" customFormat="false" ht="15" hidden="false" customHeight="false" outlineLevel="0" collapsed="false">
      <c r="A1313" s="1139"/>
      <c r="B1313" s="1152" t="str">
        <f aca="false">'Смета Расходов'!B1829</f>
        <v>ламинат</v>
      </c>
      <c r="C1313" s="1153" t="str">
        <f aca="false">'Смета Расходов'!C1829</f>
        <v>м2</v>
      </c>
      <c r="D1313" s="1152" t="n">
        <f aca="false">'Смета Расходов'!D1829</f>
        <v>0</v>
      </c>
      <c r="E1313" s="1152" t="n">
        <f aca="false">'Смета Расходов'!F1829</f>
        <v>450</v>
      </c>
      <c r="F1313" s="1152" t="n">
        <f aca="false">'Смета Расходов'!G1829</f>
        <v>0</v>
      </c>
    </row>
    <row r="1314" customFormat="false" ht="15" hidden="false" customHeight="false" outlineLevel="0" collapsed="false">
      <c r="A1314" s="1139"/>
      <c r="B1314" s="1152" t="str">
        <f aca="false">'Смета Расходов'!B1830</f>
        <v>уголки, расходные материалы</v>
      </c>
      <c r="C1314" s="1153" t="str">
        <f aca="false">'Смета Расходов'!C1830</f>
        <v>шт</v>
      </c>
      <c r="D1314" s="1152" t="n">
        <f aca="false">'Смета Расходов'!D1830</f>
        <v>0</v>
      </c>
      <c r="E1314" s="1152" t="n">
        <f aca="false">'Смета Расходов'!F1830</f>
        <v>35</v>
      </c>
      <c r="F1314" s="1152" t="n">
        <f aca="false">'Смета Расходов'!G1830</f>
        <v>0</v>
      </c>
    </row>
    <row r="1315" customFormat="false" ht="15" hidden="false" customHeight="false" outlineLevel="0" collapsed="false">
      <c r="A1315" s="1139"/>
      <c r="B1315" s="1152" t="str">
        <f aca="false">'Смета Расходов'!B1831</f>
        <v>плинтус</v>
      </c>
      <c r="C1315" s="1153" t="str">
        <f aca="false">'Смета Расходов'!C1831</f>
        <v>м.п.</v>
      </c>
      <c r="D1315" s="1152" t="n">
        <f aca="false">'Смета Расходов'!D1831</f>
        <v>0</v>
      </c>
      <c r="E1315" s="1152" t="n">
        <f aca="false">'Смета Расходов'!F1831</f>
        <v>35</v>
      </c>
      <c r="F1315" s="1152" t="n">
        <f aca="false">'Смета Расходов'!G1831</f>
        <v>0</v>
      </c>
    </row>
    <row r="1316" customFormat="false" ht="15" hidden="false" customHeight="false" outlineLevel="0" collapsed="false">
      <c r="A1316" s="1139"/>
      <c r="B1316" s="1152" t="str">
        <f aca="false">'Смета Расходов'!B1832</f>
        <v>кафель</v>
      </c>
      <c r="C1316" s="1153" t="str">
        <f aca="false">'Смета Расходов'!C1832</f>
        <v>м2</v>
      </c>
      <c r="D1316" s="1152" t="n">
        <f aca="false">'Смета Расходов'!D1832</f>
        <v>0</v>
      </c>
      <c r="E1316" s="1152" t="n">
        <f aca="false">'Смета Расходов'!F1832</f>
        <v>500</v>
      </c>
      <c r="F1316" s="1152" t="n">
        <f aca="false">'Смета Расходов'!G1832</f>
        <v>0</v>
      </c>
    </row>
    <row r="1317" customFormat="false" ht="15" hidden="false" customHeight="false" outlineLevel="0" collapsed="false">
      <c r="A1317" s="1139"/>
      <c r="B1317" s="1152" t="str">
        <f aca="false">'Смета Расходов'!B1833</f>
        <v>клей для кафеля, 25кг</v>
      </c>
      <c r="C1317" s="1153" t="str">
        <f aca="false">'Смета Расходов'!C1833</f>
        <v>шт</v>
      </c>
      <c r="D1317" s="1152" t="n">
        <f aca="false">'Смета Расходов'!D1833</f>
        <v>0</v>
      </c>
      <c r="E1317" s="1152" t="n">
        <f aca="false">'Смета Расходов'!F1833</f>
        <v>250</v>
      </c>
      <c r="F1317" s="1152" t="n">
        <f aca="false">'Смета Расходов'!G1833</f>
        <v>0</v>
      </c>
    </row>
    <row r="1318" customFormat="false" ht="15" hidden="false" customHeight="false" outlineLevel="0" collapsed="false">
      <c r="A1318" s="1139"/>
      <c r="B1318" s="1152" t="str">
        <f aca="false">'Смета Расходов'!B1834</f>
        <v>грунтовка, 10л</v>
      </c>
      <c r="C1318" s="1153" t="str">
        <f aca="false">'Смета Расходов'!C1834</f>
        <v>шт</v>
      </c>
      <c r="D1318" s="1152" t="n">
        <f aca="false">'Смета Расходов'!D1834</f>
        <v>0</v>
      </c>
      <c r="E1318" s="1152" t="n">
        <f aca="false">'Смета Расходов'!F1834</f>
        <v>500</v>
      </c>
      <c r="F1318" s="1152" t="n">
        <f aca="false">'Смета Расходов'!G1834</f>
        <v>0</v>
      </c>
    </row>
    <row r="1319" customFormat="false" ht="15" hidden="false" customHeight="false" outlineLevel="0" collapsed="false">
      <c r="A1319" s="1139"/>
      <c r="B1319" s="1152" t="str">
        <f aca="false">'Смета Расходов'!B1835</f>
        <v>крестики, 100шт</v>
      </c>
      <c r="C1319" s="1153" t="str">
        <f aca="false">'Смета Расходов'!C1835</f>
        <v>шт</v>
      </c>
      <c r="D1319" s="1152" t="n">
        <f aca="false">'Смета Расходов'!D1835</f>
        <v>0</v>
      </c>
      <c r="E1319" s="1152" t="n">
        <f aca="false">'Смета Расходов'!F1835</f>
        <v>200</v>
      </c>
      <c r="F1319" s="1152" t="n">
        <f aca="false">'Смета Расходов'!G1835</f>
        <v>0</v>
      </c>
    </row>
    <row r="1320" customFormat="false" ht="15" hidden="false" customHeight="false" outlineLevel="0" collapsed="false">
      <c r="A1320" s="1139"/>
      <c r="B1320" s="1152" t="str">
        <f aca="false">'Смета Расходов'!B1836</f>
        <v>затирка для швов</v>
      </c>
      <c r="C1320" s="1153" t="str">
        <f aca="false">'Смета Расходов'!C1836</f>
        <v>шт</v>
      </c>
      <c r="D1320" s="1152" t="n">
        <f aca="false">'Смета Расходов'!D1836</f>
        <v>0</v>
      </c>
      <c r="E1320" s="1152" t="n">
        <f aca="false">'Смета Расходов'!F1836</f>
        <v>400</v>
      </c>
      <c r="F1320" s="1152" t="n">
        <f aca="false">'Смета Расходов'!G1836</f>
        <v>0</v>
      </c>
    </row>
    <row r="1321" customFormat="false" ht="15" hidden="false" customHeight="false" outlineLevel="0" collapsed="false">
      <c r="A1321" s="1139"/>
      <c r="B1321" s="1153" t="str">
        <f aca="false">'Смета Расходов'!B1837</f>
        <v>санузел/ванная</v>
      </c>
      <c r="C1321" s="1153"/>
      <c r="D1321" s="1153"/>
      <c r="E1321" s="1153"/>
      <c r="F1321" s="1152" t="n">
        <f aca="false">'Смета Расходов'!G1837</f>
        <v>0</v>
      </c>
    </row>
    <row r="1322" customFormat="false" ht="15" hidden="false" customHeight="false" outlineLevel="0" collapsed="false">
      <c r="A1322" s="1139"/>
      <c r="B1322" s="1152" t="str">
        <f aca="false">'Смета Расходов'!B1838</f>
        <v>кафель стены</v>
      </c>
      <c r="C1322" s="1153" t="str">
        <f aca="false">'Смета Расходов'!C1838</f>
        <v>м2</v>
      </c>
      <c r="D1322" s="1152" t="n">
        <f aca="false">'Смета Расходов'!D1838</f>
        <v>0</v>
      </c>
      <c r="E1322" s="1152" t="n">
        <f aca="false">'Смета Расходов'!F1838</f>
        <v>500</v>
      </c>
      <c r="F1322" s="1152" t="n">
        <f aca="false">'Смета Расходов'!G1838</f>
        <v>0</v>
      </c>
    </row>
    <row r="1323" customFormat="false" ht="15" hidden="false" customHeight="false" outlineLevel="0" collapsed="false">
      <c r="A1323" s="1139"/>
      <c r="B1323" s="1152" t="str">
        <f aca="false">'Смета Расходов'!B1839</f>
        <v>кафель потолок</v>
      </c>
      <c r="C1323" s="1153" t="str">
        <f aca="false">'Смета Расходов'!C1839</f>
        <v>м2</v>
      </c>
      <c r="D1323" s="1152" t="n">
        <f aca="false">'Смета Расходов'!D1839</f>
        <v>0</v>
      </c>
      <c r="E1323" s="1152" t="n">
        <f aca="false">'Смета Расходов'!F1839</f>
        <v>500</v>
      </c>
      <c r="F1323" s="1152" t="n">
        <f aca="false">'Смета Расходов'!G1839</f>
        <v>0</v>
      </c>
    </row>
    <row r="1324" customFormat="false" ht="15" hidden="false" customHeight="false" outlineLevel="0" collapsed="false">
      <c r="A1324" s="1139"/>
      <c r="B1324" s="1152" t="str">
        <f aca="false">'Смета Расходов'!B1840</f>
        <v>кафель пол</v>
      </c>
      <c r="C1324" s="1153" t="str">
        <f aca="false">'Смета Расходов'!C1840</f>
        <v>м2</v>
      </c>
      <c r="D1324" s="1152" t="n">
        <f aca="false">'Смета Расходов'!D1840</f>
        <v>0</v>
      </c>
      <c r="E1324" s="1152" t="n">
        <f aca="false">'Смета Расходов'!F1840</f>
        <v>500</v>
      </c>
      <c r="F1324" s="1152" t="n">
        <f aca="false">'Смета Расходов'!G1840</f>
        <v>0</v>
      </c>
    </row>
    <row r="1325" customFormat="false" ht="15" hidden="false" customHeight="false" outlineLevel="0" collapsed="false">
      <c r="A1325" s="1139"/>
      <c r="B1325" s="1152" t="str">
        <f aca="false">'Смета Расходов'!B1841</f>
        <v>клей для кафеля, 25кг</v>
      </c>
      <c r="C1325" s="1153" t="str">
        <f aca="false">'Смета Расходов'!C1841</f>
        <v>шт</v>
      </c>
      <c r="D1325" s="1152" t="n">
        <f aca="false">'Смета Расходов'!D1841</f>
        <v>0</v>
      </c>
      <c r="E1325" s="1152" t="n">
        <f aca="false">'Смета Расходов'!F1841</f>
        <v>250</v>
      </c>
      <c r="F1325" s="1152" t="n">
        <f aca="false">'Смета Расходов'!G1841</f>
        <v>0</v>
      </c>
    </row>
    <row r="1326" customFormat="false" ht="15" hidden="false" customHeight="false" outlineLevel="0" collapsed="false">
      <c r="A1326" s="1139"/>
      <c r="B1326" s="1152" t="str">
        <f aca="false">'Смета Расходов'!B1842</f>
        <v>грунтовка, 10л</v>
      </c>
      <c r="C1326" s="1153" t="str">
        <f aca="false">'Смета Расходов'!C1842</f>
        <v>шт</v>
      </c>
      <c r="D1326" s="1152" t="n">
        <f aca="false">'Смета Расходов'!D1842</f>
        <v>0</v>
      </c>
      <c r="E1326" s="1152" t="n">
        <f aca="false">'Смета Расходов'!F1842</f>
        <v>500</v>
      </c>
      <c r="F1326" s="1152" t="n">
        <f aca="false">'Смета Расходов'!G1842</f>
        <v>0</v>
      </c>
    </row>
    <row r="1327" customFormat="false" ht="15" hidden="false" customHeight="false" outlineLevel="0" collapsed="false">
      <c r="A1327" s="1139"/>
      <c r="B1327" s="1152" t="str">
        <f aca="false">'Смета Расходов'!B1843</f>
        <v>крестики, 100 шт</v>
      </c>
      <c r="C1327" s="1153" t="str">
        <f aca="false">'Смета Расходов'!C1843</f>
        <v>шт</v>
      </c>
      <c r="D1327" s="1152" t="n">
        <f aca="false">'Смета Расходов'!D1843</f>
        <v>0</v>
      </c>
      <c r="E1327" s="1152" t="n">
        <f aca="false">'Смета Расходов'!F1843</f>
        <v>200</v>
      </c>
      <c r="F1327" s="1152" t="n">
        <f aca="false">'Смета Расходов'!G1843</f>
        <v>0</v>
      </c>
    </row>
    <row r="1328" customFormat="false" ht="15" hidden="false" customHeight="false" outlineLevel="0" collapsed="false">
      <c r="A1328" s="1139"/>
      <c r="B1328" s="1152" t="str">
        <f aca="false">'Смета Расходов'!B1844</f>
        <v>затирка для швов</v>
      </c>
      <c r="C1328" s="1153" t="str">
        <f aca="false">'Смета Расходов'!C1844</f>
        <v>шт</v>
      </c>
      <c r="D1328" s="1152" t="n">
        <f aca="false">'Смета Расходов'!D1844</f>
        <v>0</v>
      </c>
      <c r="E1328" s="1152" t="n">
        <f aca="false">'Смета Расходов'!F1844</f>
        <v>400</v>
      </c>
      <c r="F1328" s="1152" t="n">
        <f aca="false">'Смета Расходов'!G1844</f>
        <v>0</v>
      </c>
    </row>
    <row r="1329" customFormat="false" ht="15" hidden="false" customHeight="false" outlineLevel="0" collapsed="false">
      <c r="A1329" s="1139"/>
      <c r="B1329" s="1152" t="str">
        <f aca="false">'Смета Расходов'!B1845</f>
        <v>стеновые панели пластик стены</v>
      </c>
      <c r="C1329" s="1153" t="str">
        <f aca="false">'Смета Расходов'!C1845</f>
        <v>м2</v>
      </c>
      <c r="D1329" s="1152" t="n">
        <f aca="false">'Смета Расходов'!D1845</f>
        <v>0</v>
      </c>
      <c r="E1329" s="1152" t="n">
        <f aca="false">'Смета Расходов'!F1845</f>
        <v>250</v>
      </c>
      <c r="F1329" s="1152" t="n">
        <f aca="false">'Смета Расходов'!G1845</f>
        <v>0</v>
      </c>
    </row>
    <row r="1330" customFormat="false" ht="15" hidden="false" customHeight="false" outlineLevel="0" collapsed="false">
      <c r="A1330" s="1139"/>
      <c r="B1330" s="1152" t="str">
        <f aca="false">'Смета Расходов'!B1846</f>
        <v>стеновые панели пластик потолок</v>
      </c>
      <c r="C1330" s="1153" t="str">
        <f aca="false">'Смета Расходов'!C1846</f>
        <v>м2</v>
      </c>
      <c r="D1330" s="1152" t="n">
        <f aca="false">'Смета Расходов'!D1846</f>
        <v>0</v>
      </c>
      <c r="E1330" s="1152" t="n">
        <f aca="false">'Смета Расходов'!F1846</f>
        <v>250</v>
      </c>
      <c r="F1330" s="1152" t="n">
        <f aca="false">'Смета Расходов'!G1846</f>
        <v>0</v>
      </c>
    </row>
    <row r="1331" customFormat="false" ht="15" hidden="false" customHeight="false" outlineLevel="0" collapsed="false">
      <c r="A1331" s="1139"/>
      <c r="B1331" s="1152" t="str">
        <f aca="false">'Смета Расходов'!B1847</f>
        <v>скобы для крепления панелей, 1000шт/уп</v>
      </c>
      <c r="C1331" s="1153" t="str">
        <f aca="false">'Смета Расходов'!C1847</f>
        <v>шт</v>
      </c>
      <c r="D1331" s="1152" t="n">
        <f aca="false">'Смета Расходов'!D1847</f>
        <v>0</v>
      </c>
      <c r="E1331" s="1152" t="n">
        <f aca="false">'Смета Расходов'!F1847</f>
        <v>120</v>
      </c>
      <c r="F1331" s="1152" t="n">
        <f aca="false">'Смета Расходов'!G1847</f>
        <v>0</v>
      </c>
    </row>
    <row r="1332" customFormat="false" ht="15" hidden="false" customHeight="false" outlineLevel="0" collapsed="false">
      <c r="A1332" s="1139"/>
      <c r="B1332" s="1152" t="str">
        <f aca="false">'Смета Расходов'!B1848</f>
        <v>натяжной потолок</v>
      </c>
      <c r="C1332" s="1153" t="str">
        <f aca="false">'Смета Расходов'!C1848</f>
        <v>м2</v>
      </c>
      <c r="D1332" s="1152" t="n">
        <f aca="false">'Смета Расходов'!D1848</f>
        <v>0</v>
      </c>
      <c r="E1332" s="1152" t="n">
        <f aca="false">'Смета Расходов'!F1848</f>
        <v>400</v>
      </c>
      <c r="F1332" s="1152" t="n">
        <f aca="false">'Смета Расходов'!G1848</f>
        <v>0</v>
      </c>
    </row>
    <row r="1333" customFormat="false" ht="15" hidden="false" customHeight="false" outlineLevel="0" collapsed="false">
      <c r="A1333" s="1139"/>
      <c r="B1333" s="1153" t="str">
        <f aca="false">'Смета Расходов'!B1849</f>
        <v>Двери межкомнатные </v>
      </c>
      <c r="C1333" s="1153"/>
      <c r="D1333" s="1153"/>
      <c r="E1333" s="1153"/>
      <c r="F1333" s="1152" t="n">
        <f aca="false">'Смета Расходов'!G1849</f>
        <v>0</v>
      </c>
    </row>
    <row r="1334" customFormat="false" ht="15" hidden="false" customHeight="false" outlineLevel="0" collapsed="false">
      <c r="A1334" s="1139"/>
      <c r="B1334" s="1152" t="str">
        <f aca="false">'Смета Расходов'!B1850</f>
        <v>двери межкомнатные </v>
      </c>
      <c r="C1334" s="1153" t="str">
        <f aca="false">'Смета Расходов'!C1850</f>
        <v>шт</v>
      </c>
      <c r="D1334" s="1152" t="n">
        <f aca="false">'Смета Расходов'!D1850</f>
        <v>0</v>
      </c>
      <c r="E1334" s="1152" t="n">
        <f aca="false">'Смета Расходов'!F1850</f>
        <v>1900</v>
      </c>
      <c r="F1334" s="1152" t="n">
        <f aca="false">'Смета Расходов'!G1850</f>
        <v>0</v>
      </c>
    </row>
    <row r="1335" customFormat="false" ht="15" hidden="false" customHeight="false" outlineLevel="0" collapsed="false">
      <c r="A1335" s="1139"/>
      <c r="B1335" s="1152" t="str">
        <f aca="false">'Смета Расходов'!B1851</f>
        <v>пена монтажная для дверей</v>
      </c>
      <c r="C1335" s="1153" t="str">
        <f aca="false">'Смета Расходов'!C1851</f>
        <v>шт</v>
      </c>
      <c r="D1335" s="1152" t="n">
        <f aca="false">'Смета Расходов'!D1851</f>
        <v>0</v>
      </c>
      <c r="E1335" s="1152" t="n">
        <f aca="false">'Смета Расходов'!F1851</f>
        <v>250</v>
      </c>
      <c r="F1335" s="1152" t="n">
        <f aca="false">'Смета Расходов'!G1851</f>
        <v>0</v>
      </c>
    </row>
    <row r="1336" customFormat="false" ht="15" hidden="false" customHeight="false" outlineLevel="0" collapsed="false">
      <c r="A1336" s="1139"/>
      <c r="B1336" s="1152" t="str">
        <f aca="false">'Смета Расходов'!B1852</f>
        <v>порожки металлические </v>
      </c>
      <c r="C1336" s="1153" t="str">
        <f aca="false">'Смета Расходов'!C1852</f>
        <v>шт</v>
      </c>
      <c r="D1336" s="1152" t="n">
        <f aca="false">'Смета Расходов'!D1852</f>
        <v>0</v>
      </c>
      <c r="E1336" s="1152" t="n">
        <f aca="false">'Смета Расходов'!F1852</f>
        <v>100</v>
      </c>
      <c r="F1336" s="1152" t="n">
        <f aca="false">'Смета Расходов'!G1852</f>
        <v>0</v>
      </c>
    </row>
    <row r="1337" customFormat="false" ht="15" hidden="false" customHeight="false" outlineLevel="0" collapsed="false">
      <c r="A1337" s="1139"/>
      <c r="B1337" s="1152" t="str">
        <f aca="false">'Смета Расходов'!B1853</f>
        <v>отбойник для дверей</v>
      </c>
      <c r="C1337" s="1153" t="str">
        <f aca="false">'Смета Расходов'!C1853</f>
        <v>шт</v>
      </c>
      <c r="D1337" s="1152" t="n">
        <f aca="false">'Смета Расходов'!D1853</f>
        <v>0</v>
      </c>
      <c r="E1337" s="1152" t="n">
        <f aca="false">'Смета Расходов'!F1853</f>
        <v>100</v>
      </c>
      <c r="F1337" s="1152" t="n">
        <f aca="false">'Смета Расходов'!G1853</f>
        <v>0</v>
      </c>
    </row>
    <row r="1338" customFormat="false" ht="15" hidden="false" customHeight="false" outlineLevel="0" collapsed="false">
      <c r="A1338" s="1139"/>
      <c r="B1338" s="1152" t="str">
        <f aca="false">'Смета Расходов'!B1854</f>
        <v>коробка для дверей</v>
      </c>
      <c r="C1338" s="1153" t="str">
        <f aca="false">'Смета Расходов'!C1854</f>
        <v>шт</v>
      </c>
      <c r="D1338" s="1152" t="n">
        <f aca="false">'Смета Расходов'!D1854</f>
        <v>0</v>
      </c>
      <c r="E1338" s="1152" t="n">
        <f aca="false">'Смета Расходов'!F1854</f>
        <v>250</v>
      </c>
      <c r="F1338" s="1152" t="n">
        <f aca="false">'Смета Расходов'!G1854</f>
        <v>0</v>
      </c>
    </row>
    <row r="1339" customFormat="false" ht="15" hidden="false" customHeight="false" outlineLevel="0" collapsed="false">
      <c r="A1339" s="1139"/>
      <c r="B1339" s="1152" t="str">
        <f aca="false">'Смета Расходов'!B1855</f>
        <v>наличник на дверь, комплект</v>
      </c>
      <c r="C1339" s="1153" t="str">
        <f aca="false">'Смета Расходов'!C1855</f>
        <v>шт</v>
      </c>
      <c r="D1339" s="1152" t="n">
        <f aca="false">'Смета Расходов'!D1855</f>
        <v>0</v>
      </c>
      <c r="E1339" s="1152" t="n">
        <f aca="false">'Смета Расходов'!F1855</f>
        <v>500</v>
      </c>
      <c r="F1339" s="1152" t="n">
        <f aca="false">'Смета Расходов'!G1855</f>
        <v>0</v>
      </c>
    </row>
    <row r="1340" customFormat="false" ht="15" hidden="false" customHeight="false" outlineLevel="0" collapsed="false">
      <c r="A1340" s="1139"/>
      <c r="B1340" s="1154" t="s">
        <v>2309</v>
      </c>
      <c r="C1340" s="1154"/>
      <c r="D1340" s="1154"/>
      <c r="E1340" s="1154"/>
      <c r="F1340" s="1152" t="n">
        <f aca="false">'Смета Расходов'!G1856</f>
        <v>114465.844202871</v>
      </c>
    </row>
    <row r="1341" customFormat="false" ht="18.75" hidden="false" customHeight="false" outlineLevel="0" collapsed="false">
      <c r="A1341" s="1139"/>
      <c r="B1341" s="1150" t="str">
        <f aca="false">'Смета Расходов'!B1903</f>
        <v>Электрика</v>
      </c>
      <c r="C1341" s="1150"/>
      <c r="D1341" s="1150"/>
      <c r="E1341" s="1150"/>
      <c r="F1341" s="1155" t="n">
        <f aca="false">'Смета Внутр'!H1903</f>
        <v>0</v>
      </c>
    </row>
    <row r="1342" customFormat="false" ht="15" hidden="false" customHeight="false" outlineLevel="0" collapsed="false">
      <c r="A1342" s="1139"/>
      <c r="B1342" s="1156" t="s">
        <v>2246</v>
      </c>
      <c r="C1342" s="1156"/>
      <c r="D1342" s="1156"/>
      <c r="E1342" s="1156"/>
      <c r="F1342" s="1155" t="n">
        <f aca="false">'Смета Внутр'!H1904</f>
        <v>0</v>
      </c>
    </row>
    <row r="1343" customFormat="false" ht="15" hidden="false" customHeight="false" outlineLevel="0" collapsed="false">
      <c r="A1343" s="1139"/>
      <c r="B1343" s="1152" t="str">
        <f aca="false">'Смета Расходов'!B1905</f>
        <v>Кабель ВВГнг(А)-LS 3х2,5 0,66</v>
      </c>
      <c r="C1343" s="1153" t="str">
        <f aca="false">'Смета Расходов'!C1905</f>
        <v>м.п.</v>
      </c>
      <c r="D1343" s="1152" t="n">
        <f aca="false">'Смета Расходов'!D1905</f>
        <v>180.64</v>
      </c>
      <c r="E1343" s="1152" t="n">
        <f aca="false">'Смета Расходов'!F1905</f>
        <v>47.36</v>
      </c>
      <c r="F1343" s="1152" t="n">
        <f aca="false">'Смета Расходов'!G1905</f>
        <v>0</v>
      </c>
    </row>
    <row r="1344" customFormat="false" ht="15" hidden="false" customHeight="false" outlineLevel="0" collapsed="false">
      <c r="A1344" s="1139"/>
      <c r="B1344" s="1152" t="str">
        <f aca="false">'Смета Расходов'!B1906</f>
        <v>Труба ПВХ гофрировонная гибкая 20</v>
      </c>
      <c r="C1344" s="1153" t="str">
        <f aca="false">'Смета Расходов'!C1906</f>
        <v>м.п.</v>
      </c>
      <c r="D1344" s="1152" t="n">
        <f aca="false">'Смета Расходов'!D1906</f>
        <v>198.704</v>
      </c>
      <c r="E1344" s="1152" t="n">
        <f aca="false">'Смета Расходов'!F1906</f>
        <v>5.02</v>
      </c>
      <c r="F1344" s="1152" t="n">
        <f aca="false">'Смета Расходов'!G1906</f>
        <v>0</v>
      </c>
    </row>
    <row r="1345" customFormat="false" ht="15" hidden="false" customHeight="false" outlineLevel="0" collapsed="false">
      <c r="A1345" s="1139"/>
      <c r="B1345" s="1152" t="str">
        <f aca="false">'Смета Расходов'!B1907</f>
        <v>Кабель ВВГнг(А)-LS 3х1,5 0,66</v>
      </c>
      <c r="C1345" s="1153" t="str">
        <f aca="false">'Смета Расходов'!C1907</f>
        <v>м.п.</v>
      </c>
      <c r="D1345" s="1152" t="n">
        <f aca="false">'Смета Расходов'!D1907</f>
        <v>327.36</v>
      </c>
      <c r="E1345" s="1152" t="n">
        <f aca="false">'Смета Расходов'!F1907</f>
        <v>29.81</v>
      </c>
      <c r="F1345" s="1152" t="n">
        <f aca="false">'Смета Расходов'!G1907</f>
        <v>0</v>
      </c>
    </row>
    <row r="1346" customFormat="false" ht="15" hidden="false" customHeight="false" outlineLevel="0" collapsed="false">
      <c r="A1346" s="1139"/>
      <c r="B1346" s="1152" t="str">
        <f aca="false">'Смета Расходов'!B1908</f>
        <v>Труба ПВХ гофрировонная гибкая 25</v>
      </c>
      <c r="C1346" s="1153" t="str">
        <f aca="false">'Смета Расходов'!C1908</f>
        <v>м.п.</v>
      </c>
      <c r="D1346" s="1152" t="n">
        <f aca="false">'Смета Расходов'!D1908</f>
        <v>360.096</v>
      </c>
      <c r="E1346" s="1152" t="n">
        <f aca="false">'Смета Расходов'!F1908</f>
        <v>6.38</v>
      </c>
      <c r="F1346" s="1152" t="n">
        <f aca="false">'Смета Расходов'!G1908</f>
        <v>0</v>
      </c>
    </row>
    <row r="1347" customFormat="false" ht="15" hidden="false" customHeight="false" outlineLevel="0" collapsed="false">
      <c r="A1347" s="1139"/>
      <c r="B1347" s="1152" t="str">
        <f aca="false">'Смета Расходов'!B1909</f>
        <v>Кабель ВВГнг(А)-LS 3х4 0,66</v>
      </c>
      <c r="C1347" s="1153" t="str">
        <f aca="false">'Смета Расходов'!C1909</f>
        <v>м.п.</v>
      </c>
      <c r="D1347" s="1152" t="n">
        <f aca="false">'Смета Расходов'!D1909</f>
        <v>60</v>
      </c>
      <c r="E1347" s="1152" t="n">
        <f aca="false">'Смета Расходов'!F1909</f>
        <v>68</v>
      </c>
      <c r="F1347" s="1152" t="n">
        <f aca="false">'Смета Расходов'!G1909</f>
        <v>0</v>
      </c>
    </row>
    <row r="1348" customFormat="false" ht="15" hidden="false" customHeight="false" outlineLevel="0" collapsed="false">
      <c r="A1348" s="1139"/>
      <c r="B1348" s="1152" t="str">
        <f aca="false">'Смета Расходов'!B1910</f>
        <v>Труба ПВХ гофрировонная гибкая 32</v>
      </c>
      <c r="C1348" s="1153" t="str">
        <f aca="false">'Смета Расходов'!C1910</f>
        <v>м.п.</v>
      </c>
      <c r="D1348" s="1152" t="n">
        <f aca="false">'Смета Расходов'!D1910</f>
        <v>66</v>
      </c>
      <c r="E1348" s="1152" t="n">
        <f aca="false">'Смета Расходов'!F1910</f>
        <v>6.38</v>
      </c>
      <c r="F1348" s="1152" t="n">
        <f aca="false">'Смета Расходов'!G1910</f>
        <v>0</v>
      </c>
    </row>
    <row r="1349" customFormat="false" ht="15" hidden="false" customHeight="false" outlineLevel="0" collapsed="false">
      <c r="A1349" s="1139"/>
      <c r="B1349" s="1152" t="str">
        <f aca="false">'Смета Расходов'!B1911</f>
        <v>крепления для гофры</v>
      </c>
      <c r="C1349" s="1153" t="str">
        <f aca="false">'Смета Расходов'!C1911</f>
        <v>шт</v>
      </c>
      <c r="D1349" s="1152" t="n">
        <f aca="false">'Смета Расходов'!D1911</f>
        <v>607</v>
      </c>
      <c r="E1349" s="1152" t="n">
        <f aca="false">'Смета Расходов'!F1911</f>
        <v>1</v>
      </c>
      <c r="F1349" s="1152" t="n">
        <f aca="false">'Смета Расходов'!G1911</f>
        <v>0</v>
      </c>
    </row>
    <row r="1350" customFormat="false" ht="15" hidden="false" customHeight="false" outlineLevel="0" collapsed="false">
      <c r="A1350" s="1139"/>
      <c r="B1350" s="1152" t="str">
        <f aca="false">'Смета Расходов'!B1912</f>
        <v>саморез для крепления гофры</v>
      </c>
      <c r="C1350" s="1153" t="str">
        <f aca="false">'Смета Расходов'!C1912</f>
        <v>шт</v>
      </c>
      <c r="D1350" s="1152" t="n">
        <f aca="false">'Смета Расходов'!D1912</f>
        <v>1214</v>
      </c>
      <c r="E1350" s="1152" t="n">
        <f aca="false">'Смета Расходов'!F1912</f>
        <v>0.25</v>
      </c>
      <c r="F1350" s="1152" t="n">
        <f aca="false">'Смета Расходов'!G1912</f>
        <v>0</v>
      </c>
    </row>
    <row r="1351" customFormat="false" ht="15" hidden="false" customHeight="false" outlineLevel="0" collapsed="false">
      <c r="A1351" s="1139"/>
      <c r="B1351" s="1152" t="str">
        <f aca="false">'Смета Расходов'!B1913</f>
        <v>Коробка распределения</v>
      </c>
      <c r="C1351" s="1153" t="str">
        <f aca="false">'Смета Расходов'!C1913</f>
        <v>шт</v>
      </c>
      <c r="D1351" s="1152" t="n">
        <f aca="false">'Смета Расходов'!D1913</f>
        <v>12</v>
      </c>
      <c r="E1351" s="1152" t="n">
        <f aca="false">'Смета Расходов'!F1913</f>
        <v>20</v>
      </c>
      <c r="F1351" s="1152" t="n">
        <f aca="false">'Смета Расходов'!G1913</f>
        <v>0</v>
      </c>
    </row>
    <row r="1352" customFormat="false" ht="15" hidden="false" customHeight="false" outlineLevel="0" collapsed="false">
      <c r="A1352" s="1139"/>
      <c r="B1352" s="1152" t="str">
        <f aca="false">'Смета Расходов'!B1914</f>
        <v>Вага</v>
      </c>
      <c r="C1352" s="1153" t="str">
        <f aca="false">'Смета Расходов'!C1914</f>
        <v>шт</v>
      </c>
      <c r="D1352" s="1152" t="n">
        <f aca="false">'Смета Расходов'!D1914</f>
        <v>480</v>
      </c>
      <c r="E1352" s="1152" t="n">
        <f aca="false">'Смета Расходов'!F1914</f>
        <v>10</v>
      </c>
      <c r="F1352" s="1152" t="n">
        <f aca="false">'Смета Расходов'!G1914</f>
        <v>0</v>
      </c>
    </row>
    <row r="1353" customFormat="false" ht="15" hidden="false" customHeight="false" outlineLevel="0" collapsed="false">
      <c r="A1353" s="1139"/>
      <c r="B1353" s="1152" t="str">
        <f aca="false">'Смета Расходов'!B1915</f>
        <v>Щиток электрический</v>
      </c>
      <c r="C1353" s="1153" t="str">
        <f aca="false">'Смета Расходов'!C1915</f>
        <v>шт</v>
      </c>
      <c r="D1353" s="1152" t="n">
        <f aca="false">'Смета Расходов'!D1915</f>
        <v>1</v>
      </c>
      <c r="E1353" s="1152" t="n">
        <f aca="false">'Смета Расходов'!F1915</f>
        <v>1200</v>
      </c>
      <c r="F1353" s="1152" t="n">
        <f aca="false">'Смета Расходов'!G1915</f>
        <v>0</v>
      </c>
    </row>
    <row r="1354" customFormat="false" ht="15" hidden="false" customHeight="false" outlineLevel="0" collapsed="false">
      <c r="A1354" s="1139"/>
      <c r="B1354" s="1152" t="str">
        <f aca="false">'Смета Расходов'!B1916</f>
        <v>автомат, 3 полюса, 32амп</v>
      </c>
      <c r="C1354" s="1153" t="str">
        <f aca="false">'Смета Расходов'!C1916</f>
        <v>шт</v>
      </c>
      <c r="D1354" s="1152" t="n">
        <f aca="false">'Смета Расходов'!D1916</f>
        <v>2</v>
      </c>
      <c r="E1354" s="1152" t="n">
        <f aca="false">'Смета Расходов'!F1916</f>
        <v>180</v>
      </c>
      <c r="F1354" s="1152" t="n">
        <f aca="false">'Смета Расходов'!G1916</f>
        <v>0</v>
      </c>
    </row>
    <row r="1355" customFormat="false" ht="15" hidden="false" customHeight="false" outlineLevel="0" collapsed="false">
      <c r="A1355" s="1139"/>
      <c r="B1355" s="1152" t="str">
        <f aca="false">'Смета Расходов'!B1917</f>
        <v>автомат, 1 полюс, 16амп</v>
      </c>
      <c r="C1355" s="1153" t="str">
        <f aca="false">'Смета Расходов'!C1917</f>
        <v>шт</v>
      </c>
      <c r="D1355" s="1152" t="n">
        <f aca="false">'Смета Расходов'!D1917</f>
        <v>20</v>
      </c>
      <c r="E1355" s="1152" t="n">
        <f aca="false">'Смета Расходов'!F1917</f>
        <v>70</v>
      </c>
      <c r="F1355" s="1152" t="n">
        <f aca="false">'Смета Расходов'!G1917</f>
        <v>0</v>
      </c>
    </row>
    <row r="1356" customFormat="false" ht="15" hidden="false" customHeight="false" outlineLevel="0" collapsed="false">
      <c r="A1356" s="1139"/>
      <c r="B1356" s="1152" t="str">
        <f aca="false">'Смета Расходов'!B1918</f>
        <v>автомат, 1 полюс, 25 амп</v>
      </c>
      <c r="C1356" s="1153" t="str">
        <f aca="false">'Смета Расходов'!C1918</f>
        <v>шт</v>
      </c>
      <c r="D1356" s="1152" t="n">
        <f aca="false">'Смета Расходов'!D1918</f>
        <v>2</v>
      </c>
      <c r="E1356" s="1152" t="n">
        <f aca="false">'Смета Расходов'!F1918</f>
        <v>167</v>
      </c>
      <c r="F1356" s="1152" t="n">
        <f aca="false">'Смета Расходов'!G1918</f>
        <v>0</v>
      </c>
    </row>
    <row r="1357" customFormat="false" ht="15" hidden="false" customHeight="false" outlineLevel="0" collapsed="false">
      <c r="A1357" s="1139"/>
      <c r="B1357" s="1152" t="str">
        <f aca="false">'Смета Расходов'!B1919</f>
        <v>Коробка электрическая</v>
      </c>
      <c r="C1357" s="1153" t="str">
        <f aca="false">'Смета Расходов'!C1919</f>
        <v>шт</v>
      </c>
      <c r="D1357" s="1152" t="n">
        <f aca="false">'Смета Расходов'!D1919</f>
        <v>60</v>
      </c>
      <c r="E1357" s="1152" t="n">
        <f aca="false">'Смета Расходов'!F1919</f>
        <v>6</v>
      </c>
      <c r="F1357" s="1152" t="n">
        <f aca="false">'Смета Расходов'!G1919</f>
        <v>0</v>
      </c>
    </row>
    <row r="1358" customFormat="false" ht="15" hidden="false" customHeight="false" outlineLevel="0" collapsed="false">
      <c r="A1358" s="1139"/>
      <c r="B1358" s="1152" t="str">
        <f aca="false">'Смета Расходов'!B1920</f>
        <v>Розетка 2</v>
      </c>
      <c r="C1358" s="1153" t="str">
        <f aca="false">'Смета Расходов'!C1920</f>
        <v>шт</v>
      </c>
      <c r="D1358" s="1152" t="n">
        <f aca="false">'Смета Расходов'!D1920</f>
        <v>40</v>
      </c>
      <c r="E1358" s="1152" t="n">
        <f aca="false">'Смета Расходов'!F1920</f>
        <v>100</v>
      </c>
      <c r="F1358" s="1152" t="n">
        <f aca="false">'Смета Расходов'!G1920</f>
        <v>0</v>
      </c>
    </row>
    <row r="1359" customFormat="false" ht="15" hidden="false" customHeight="false" outlineLevel="0" collapsed="false">
      <c r="A1359" s="1139"/>
      <c r="B1359" s="1152" t="str">
        <f aca="false">'Смета Расходов'!B1921</f>
        <v>Выключатель 3</v>
      </c>
      <c r="C1359" s="1153" t="str">
        <f aca="false">'Смета Расходов'!C1921</f>
        <v>шт</v>
      </c>
      <c r="D1359" s="1152" t="n">
        <f aca="false">'Смета Расходов'!D1921</f>
        <v>20</v>
      </c>
      <c r="E1359" s="1152" t="n">
        <f aca="false">'Смета Расходов'!F1921</f>
        <v>100</v>
      </c>
      <c r="F1359" s="1152" t="n">
        <f aca="false">'Смета Расходов'!G1921</f>
        <v>0</v>
      </c>
    </row>
    <row r="1360" customFormat="false" ht="15" hidden="false" customHeight="false" outlineLevel="0" collapsed="false">
      <c r="A1360" s="1139"/>
      <c r="B1360" s="1154" t="s">
        <v>2309</v>
      </c>
      <c r="C1360" s="1154"/>
      <c r="D1360" s="1154"/>
      <c r="E1360" s="1154"/>
      <c r="F1360" s="1152" t="n">
        <f aca="false">SUM(F1343:F1359)</f>
        <v>0</v>
      </c>
    </row>
    <row r="1361" customFormat="false" ht="18.75" hidden="false" customHeight="false" outlineLevel="0" collapsed="false">
      <c r="A1361" s="1139"/>
      <c r="B1361" s="1150" t="str">
        <f aca="false">'Смета Расходов'!B1933</f>
        <v>Отопление радиаторное, холодное и горячее водоснабжение</v>
      </c>
      <c r="C1361" s="1150"/>
      <c r="D1361" s="1150"/>
      <c r="E1361" s="1150"/>
      <c r="F1361" s="1155" t="n">
        <f aca="false">'Смета Внутр'!H1933</f>
        <v>0</v>
      </c>
    </row>
    <row r="1362" customFormat="false" ht="15" hidden="false" customHeight="false" outlineLevel="0" collapsed="false">
      <c r="A1362" s="1139"/>
      <c r="B1362" s="1156" t="s">
        <v>2246</v>
      </c>
      <c r="C1362" s="1156"/>
      <c r="D1362" s="1156"/>
      <c r="E1362" s="1156"/>
      <c r="F1362" s="1155" t="n">
        <f aca="false">'Смета Внутр'!H1934</f>
        <v>0</v>
      </c>
    </row>
    <row r="1363" customFormat="false" ht="15" hidden="false" customHeight="false" outlineLevel="0" collapsed="false">
      <c r="A1363" s="1139"/>
      <c r="B1363" s="1152" t="str">
        <f aca="false">'Смета Расходов'!B1935</f>
        <v>труба диам 25/32 отопление</v>
      </c>
      <c r="C1363" s="1153" t="str">
        <f aca="false">'Смета Расходов'!C1935</f>
        <v>м.п.</v>
      </c>
      <c r="D1363" s="1152" t="n">
        <f aca="false">'Смета Расходов'!D1935</f>
        <v>210.08</v>
      </c>
      <c r="E1363" s="1152" t="n">
        <f aca="false">'Смета Расходов'!F1935</f>
        <v>40</v>
      </c>
      <c r="F1363" s="1152" t="n">
        <f aca="false">'Смета Расходов'!G1935</f>
        <v>0</v>
      </c>
    </row>
    <row r="1364" customFormat="false" ht="15" hidden="false" customHeight="false" outlineLevel="0" collapsed="false">
      <c r="A1364" s="1139"/>
      <c r="B1364" s="1152" t="str">
        <f aca="false">'Смета Расходов'!B1936</f>
        <v>соеденители для трубы</v>
      </c>
      <c r="C1364" s="1153" t="str">
        <f aca="false">'Смета Расходов'!C1936</f>
        <v>шт</v>
      </c>
      <c r="D1364" s="1152" t="n">
        <f aca="false">'Смета Расходов'!D1936</f>
        <v>70.0266666666667</v>
      </c>
      <c r="E1364" s="1152" t="n">
        <f aca="false">'Смета Расходов'!F1936</f>
        <v>10</v>
      </c>
      <c r="F1364" s="1152" t="n">
        <f aca="false">'Смета Расходов'!G1936</f>
        <v>0</v>
      </c>
    </row>
    <row r="1365" customFormat="false" ht="15" hidden="false" customHeight="false" outlineLevel="0" collapsed="false">
      <c r="A1365" s="1139"/>
      <c r="B1365" s="1152" t="str">
        <f aca="false">'Смета Расходов'!B1937</f>
        <v>уголок 90 град</v>
      </c>
      <c r="C1365" s="1153" t="str">
        <f aca="false">'Смета Расходов'!C1937</f>
        <v>шт</v>
      </c>
      <c r="D1365" s="1152" t="n">
        <f aca="false">'Смета Расходов'!D1937</f>
        <v>84.032</v>
      </c>
      <c r="E1365" s="1152" t="n">
        <f aca="false">'Смета Расходов'!F1937</f>
        <v>10</v>
      </c>
      <c r="F1365" s="1152" t="n">
        <f aca="false">'Смета Расходов'!G1937</f>
        <v>0</v>
      </c>
    </row>
    <row r="1366" customFormat="false" ht="15" hidden="false" customHeight="false" outlineLevel="0" collapsed="false">
      <c r="A1366" s="1139"/>
      <c r="B1366" s="1152" t="str">
        <f aca="false">'Смета Расходов'!B1938</f>
        <v>радиаторы, 1 секция</v>
      </c>
      <c r="C1366" s="1153" t="str">
        <f aca="false">'Смета Расходов'!C1938</f>
        <v>шт</v>
      </c>
      <c r="D1366" s="1152" t="n">
        <f aca="false">'Смета Расходов'!D1938</f>
        <v>64</v>
      </c>
      <c r="E1366" s="1152" t="n">
        <f aca="false">'Смета Расходов'!F1938</f>
        <v>300</v>
      </c>
      <c r="F1366" s="1152" t="n">
        <f aca="false">'Смета Расходов'!G1938</f>
        <v>0</v>
      </c>
    </row>
    <row r="1367" customFormat="false" ht="15" hidden="false" customHeight="false" outlineLevel="0" collapsed="false">
      <c r="A1367" s="1139"/>
      <c r="B1367" s="1152" t="str">
        <f aca="false">'Смета Расходов'!B1939</f>
        <v>комплектующие для радиаторов</v>
      </c>
      <c r="C1367" s="1153" t="str">
        <f aca="false">'Смета Расходов'!C1939</f>
        <v>шт</v>
      </c>
      <c r="D1367" s="1152" t="n">
        <f aca="false">'Смета Расходов'!D1939</f>
        <v>64</v>
      </c>
      <c r="E1367" s="1152" t="n">
        <f aca="false">'Смета Расходов'!F1939</f>
        <v>250</v>
      </c>
      <c r="F1367" s="1152" t="n">
        <f aca="false">'Смета Расходов'!G1939</f>
        <v>0</v>
      </c>
    </row>
    <row r="1368" customFormat="false" ht="15" hidden="false" customHeight="false" outlineLevel="0" collapsed="false">
      <c r="A1368" s="1139"/>
      <c r="B1368" s="1152" t="str">
        <f aca="false">'Смета Расходов'!B1940</f>
        <v>кран американка ду 25/32 для радиаторов</v>
      </c>
      <c r="C1368" s="1153" t="str">
        <f aca="false">'Смета Расходов'!C1940</f>
        <v>шт</v>
      </c>
      <c r="D1368" s="1152" t="n">
        <f aca="false">'Смета Расходов'!D1940</f>
        <v>128</v>
      </c>
      <c r="E1368" s="1152" t="n">
        <f aca="false">'Смета Расходов'!F1940</f>
        <v>300</v>
      </c>
      <c r="F1368" s="1152" t="n">
        <f aca="false">'Смета Расходов'!G1940</f>
        <v>0</v>
      </c>
    </row>
    <row r="1369" customFormat="false" ht="15" hidden="false" customHeight="false" outlineLevel="0" collapsed="false">
      <c r="A1369" s="1139"/>
      <c r="B1369" s="1152" t="str">
        <f aca="false">'Смета Расходов'!B1941</f>
        <v>кран гайка/резьба ду 25/32</v>
      </c>
      <c r="C1369" s="1153" t="str">
        <f aca="false">'Смета Расходов'!C1941</f>
        <v>шт</v>
      </c>
      <c r="D1369" s="1152" t="n">
        <f aca="false">'Смета Расходов'!D1941</f>
        <v>128</v>
      </c>
      <c r="E1369" s="1152" t="n">
        <f aca="false">'Смета Расходов'!F1941</f>
        <v>200</v>
      </c>
      <c r="F1369" s="1152" t="n">
        <f aca="false">'Смета Расходов'!G1941</f>
        <v>0</v>
      </c>
    </row>
    <row r="1370" customFormat="false" ht="15" hidden="false" customHeight="false" outlineLevel="0" collapsed="false">
      <c r="A1370" s="1139"/>
      <c r="B1370" s="1152" t="str">
        <f aca="false">'Смета Расходов'!B1942</f>
        <v>труба диам 20 вода</v>
      </c>
      <c r="C1370" s="1153" t="str">
        <f aca="false">'Смета Расходов'!C1942</f>
        <v>м.п.</v>
      </c>
      <c r="D1370" s="1152" t="n">
        <f aca="false">'Смета Расходов'!D1942</f>
        <v>30</v>
      </c>
      <c r="E1370" s="1152" t="n">
        <f aca="false">'Смета Расходов'!F1942</f>
        <v>36</v>
      </c>
      <c r="F1370" s="1152" t="n">
        <f aca="false">'Смета Расходов'!G1942</f>
        <v>0</v>
      </c>
    </row>
    <row r="1371" customFormat="false" ht="15" hidden="false" customHeight="false" outlineLevel="0" collapsed="false">
      <c r="A1371" s="1139"/>
      <c r="B1371" s="1152" t="str">
        <f aca="false">'Смета Расходов'!B1943</f>
        <v>комплектующие для хол и гор водоснаб</v>
      </c>
      <c r="C1371" s="1153" t="str">
        <f aca="false">'Смета Расходов'!C1943</f>
        <v>шт</v>
      </c>
      <c r="D1371" s="1152" t="n">
        <f aca="false">'Смета Расходов'!D1943</f>
        <v>1</v>
      </c>
      <c r="E1371" s="1152" t="n">
        <f aca="false">'Смета Расходов'!F1943</f>
        <v>100</v>
      </c>
      <c r="F1371" s="1152" t="n">
        <f aca="false">'Смета Расходов'!G1943</f>
        <v>0</v>
      </c>
    </row>
    <row r="1372" customFormat="false" ht="15" hidden="false" customHeight="false" outlineLevel="0" collapsed="false">
      <c r="A1372" s="1139"/>
      <c r="B1372" s="1152" t="str">
        <f aca="false">'Смета Расходов'!B1944</f>
        <v>соеденители для трубы</v>
      </c>
      <c r="C1372" s="1153" t="str">
        <f aca="false">'Смета Расходов'!C1944</f>
        <v>шт</v>
      </c>
      <c r="D1372" s="1152" t="n">
        <f aca="false">'Смета Расходов'!D1944</f>
        <v>10</v>
      </c>
      <c r="E1372" s="1152" t="n">
        <f aca="false">'Смета Расходов'!F1944</f>
        <v>10</v>
      </c>
      <c r="F1372" s="1152" t="n">
        <f aca="false">'Смета Расходов'!G1944</f>
        <v>0</v>
      </c>
    </row>
    <row r="1373" customFormat="false" ht="15" hidden="false" customHeight="false" outlineLevel="0" collapsed="false">
      <c r="A1373" s="1139"/>
      <c r="B1373" s="1152" t="str">
        <f aca="false">'Смета Расходов'!B1945</f>
        <v>уголок 90 град</v>
      </c>
      <c r="C1373" s="1153" t="str">
        <f aca="false">'Смета Расходов'!C1945</f>
        <v>шт</v>
      </c>
      <c r="D1373" s="1152" t="n">
        <f aca="false">'Смета Расходов'!D1945</f>
        <v>15</v>
      </c>
      <c r="E1373" s="1152" t="n">
        <f aca="false">'Смета Расходов'!F1945</f>
        <v>10</v>
      </c>
      <c r="F1373" s="1152" t="n">
        <f aca="false">'Смета Расходов'!G1945</f>
        <v>0</v>
      </c>
    </row>
    <row r="1374" customFormat="false" ht="15" hidden="false" customHeight="false" outlineLevel="0" collapsed="false">
      <c r="A1374" s="1139"/>
      <c r="B1374" s="1154" t="s">
        <v>2309</v>
      </c>
      <c r="C1374" s="1154"/>
      <c r="D1374" s="1154"/>
      <c r="E1374" s="1154"/>
      <c r="F1374" s="1152" t="n">
        <f aca="false">SUM(F1363:F1373)</f>
        <v>0</v>
      </c>
    </row>
    <row r="1375" customFormat="false" ht="18.75" hidden="false" customHeight="false" outlineLevel="0" collapsed="false">
      <c r="A1375" s="1139"/>
      <c r="B1375" s="1150" t="str">
        <f aca="false">'Смета Расходов'!B1952</f>
        <v>Скважина</v>
      </c>
      <c r="C1375" s="1150"/>
      <c r="D1375" s="1150"/>
      <c r="E1375" s="1150"/>
      <c r="F1375" s="1155" t="n">
        <f aca="false">'Смета Внутр'!H1952</f>
        <v>0</v>
      </c>
    </row>
    <row r="1376" customFormat="false" ht="15" hidden="false" customHeight="false" outlineLevel="0" collapsed="false">
      <c r="A1376" s="1139"/>
      <c r="B1376" s="1156" t="s">
        <v>2246</v>
      </c>
      <c r="C1376" s="1156"/>
      <c r="D1376" s="1156"/>
      <c r="E1376" s="1156"/>
      <c r="F1376" s="1155" t="n">
        <f aca="false">'Смета Внутр'!H1953</f>
        <v>0</v>
      </c>
    </row>
    <row r="1377" customFormat="false" ht="15" hidden="false" customHeight="false" outlineLevel="0" collapsed="false">
      <c r="A1377" s="1139"/>
      <c r="B1377" s="1152" t="str">
        <f aca="false">'Смета Расходов'!B1954</f>
        <v>насос малыш</v>
      </c>
      <c r="C1377" s="1153" t="str">
        <f aca="false">'Смета Расходов'!C1954</f>
        <v>шт</v>
      </c>
      <c r="D1377" s="1152" t="n">
        <f aca="false">'Смета Расходов'!D1954</f>
        <v>1</v>
      </c>
      <c r="E1377" s="1152" t="n">
        <f aca="false">'Смета Расходов'!F1954</f>
        <v>2500</v>
      </c>
      <c r="F1377" s="1152" t="n">
        <f aca="false">'Смета Расходов'!G1954</f>
        <v>0</v>
      </c>
    </row>
    <row r="1378" customFormat="false" ht="15" hidden="false" customHeight="false" outlineLevel="0" collapsed="false">
      <c r="A1378" s="1139"/>
      <c r="B1378" s="1152" t="str">
        <f aca="false">'Смета Расходов'!B1955</f>
        <v>шланг для насоса</v>
      </c>
      <c r="C1378" s="1153" t="str">
        <f aca="false">'Смета Расходов'!C1955</f>
        <v>м.п.</v>
      </c>
      <c r="D1378" s="1152" t="n">
        <f aca="false">'Смета Расходов'!D1955</f>
        <v>50.4</v>
      </c>
      <c r="E1378" s="1152" t="n">
        <f aca="false">'Смета Расходов'!F1955</f>
        <v>19</v>
      </c>
      <c r="F1378" s="1152" t="n">
        <f aca="false">'Смета Расходов'!G1955</f>
        <v>0</v>
      </c>
    </row>
    <row r="1379" customFormat="false" ht="15" hidden="false" customHeight="false" outlineLevel="0" collapsed="false">
      <c r="A1379" s="1139"/>
      <c r="B1379" s="1152" t="str">
        <f aca="false">'Смета Расходов'!B1956</f>
        <v>тросик для насоса</v>
      </c>
      <c r="C1379" s="1153" t="str">
        <f aca="false">'Смета Расходов'!C1956</f>
        <v>м.п.</v>
      </c>
      <c r="D1379" s="1152" t="n">
        <f aca="false">'Смета Расходов'!D1956</f>
        <v>50.4</v>
      </c>
      <c r="E1379" s="1152" t="n">
        <f aca="false">'Смета Расходов'!F1956</f>
        <v>5</v>
      </c>
      <c r="F1379" s="1152" t="n">
        <f aca="false">'Смета Расходов'!G1956</f>
        <v>0</v>
      </c>
    </row>
    <row r="1380" customFormat="false" ht="15" hidden="false" customHeight="false" outlineLevel="0" collapsed="false">
      <c r="A1380" s="1139"/>
      <c r="B1380" s="1152" t="str">
        <f aca="false">'Смета Расходов'!B1957</f>
        <v>изолента</v>
      </c>
      <c r="C1380" s="1153" t="str">
        <f aca="false">'Смета Расходов'!C1957</f>
        <v>рул</v>
      </c>
      <c r="D1380" s="1152" t="n">
        <f aca="false">'Смета Расходов'!D1957</f>
        <v>1</v>
      </c>
      <c r="E1380" s="1152" t="n">
        <f aca="false">'Смета Расходов'!F1957</f>
        <v>100</v>
      </c>
      <c r="F1380" s="1152" t="n">
        <f aca="false">'Смета Расходов'!G1957</f>
        <v>0</v>
      </c>
    </row>
    <row r="1381" customFormat="false" ht="15" hidden="false" customHeight="false" outlineLevel="0" collapsed="false">
      <c r="A1381" s="1139"/>
      <c r="B1381" s="1152" t="str">
        <f aca="false">'Смета Расходов'!B1958</f>
        <v>гидроаккумулятор, 80л</v>
      </c>
      <c r="C1381" s="1153" t="str">
        <f aca="false">'Смета Расходов'!C1958</f>
        <v>шт</v>
      </c>
      <c r="D1381" s="1152" t="n">
        <f aca="false">'Смета Расходов'!D1958</f>
        <v>1</v>
      </c>
      <c r="E1381" s="1152" t="n">
        <f aca="false">'Смета Расходов'!F1958</f>
        <v>8000</v>
      </c>
      <c r="F1381" s="1152" t="n">
        <f aca="false">'Смета Расходов'!G1958</f>
        <v>0</v>
      </c>
    </row>
    <row r="1382" customFormat="false" ht="15" hidden="false" customHeight="false" outlineLevel="0" collapsed="false">
      <c r="A1382" s="1139"/>
      <c r="B1382" s="1152" t="str">
        <f aca="false">'Смета Расходов'!B1959</f>
        <v>автоматика</v>
      </c>
      <c r="C1382" s="1153" t="str">
        <f aca="false">'Смета Расходов'!C1959</f>
        <v>шт</v>
      </c>
      <c r="D1382" s="1152" t="n">
        <f aca="false">'Смета Расходов'!D1959</f>
        <v>1</v>
      </c>
      <c r="E1382" s="1152" t="n">
        <f aca="false">'Смета Расходов'!F1959</f>
        <v>10000</v>
      </c>
      <c r="F1382" s="1152" t="n">
        <f aca="false">'Смета Расходов'!G1959</f>
        <v>0</v>
      </c>
    </row>
    <row r="1383" customFormat="false" ht="15" hidden="false" customHeight="false" outlineLevel="0" collapsed="false">
      <c r="A1383" s="1139"/>
      <c r="B1383" s="1152" t="str">
        <f aca="false">'Смета Расходов'!B1960</f>
        <v>пнд труба</v>
      </c>
      <c r="C1383" s="1153" t="str">
        <f aca="false">'Смета Расходов'!C1960</f>
        <v>м.п.</v>
      </c>
      <c r="D1383" s="1152" t="n">
        <f aca="false">'Смета Расходов'!D1960</f>
        <v>50.4</v>
      </c>
      <c r="E1383" s="1152" t="n">
        <f aca="false">'Смета Расходов'!F1960</f>
        <v>35</v>
      </c>
      <c r="F1383" s="1152" t="n">
        <f aca="false">'Смета Расходов'!G1960</f>
        <v>0</v>
      </c>
    </row>
    <row r="1384" customFormat="false" ht="15" hidden="false" customHeight="false" outlineLevel="0" collapsed="false">
      <c r="A1384" s="1139"/>
      <c r="B1384" s="1152" t="str">
        <f aca="false">'Смета Расходов'!B1961</f>
        <v>скорлупа утепления двойная</v>
      </c>
      <c r="C1384" s="1153" t="str">
        <f aca="false">'Смета Расходов'!C1961</f>
        <v>м.п.</v>
      </c>
      <c r="D1384" s="1152" t="n">
        <f aca="false">'Смета Расходов'!D1961</f>
        <v>10</v>
      </c>
      <c r="E1384" s="1152" t="n">
        <f aca="false">'Смета Расходов'!F1961</f>
        <v>500</v>
      </c>
      <c r="F1384" s="1152" t="n">
        <f aca="false">'Смета Расходов'!G1961</f>
        <v>0</v>
      </c>
    </row>
    <row r="1385" customFormat="false" ht="15" hidden="false" customHeight="false" outlineLevel="0" collapsed="false">
      <c r="A1385" s="1139"/>
      <c r="B1385" s="1152" t="str">
        <f aca="false">'Смета Расходов'!B1962</f>
        <v>скважинный адаптер</v>
      </c>
      <c r="C1385" s="1153" t="str">
        <f aca="false">'Смета Расходов'!C1962</f>
        <v>шт</v>
      </c>
      <c r="D1385" s="1152" t="n">
        <f aca="false">'Смета Расходов'!D1962</f>
        <v>1</v>
      </c>
      <c r="E1385" s="1152" t="n">
        <f aca="false">'Смета Расходов'!F1962</f>
        <v>3000</v>
      </c>
      <c r="F1385" s="1152" t="n">
        <f aca="false">'Смета Расходов'!G1962</f>
        <v>0</v>
      </c>
    </row>
    <row r="1386" customFormat="false" ht="15" hidden="false" customHeight="false" outlineLevel="0" collapsed="false">
      <c r="A1386" s="1139"/>
      <c r="B1386" s="1154" t="s">
        <v>2309</v>
      </c>
      <c r="C1386" s="1154"/>
      <c r="D1386" s="1154"/>
      <c r="E1386" s="1154"/>
      <c r="F1386" s="1152" t="n">
        <f aca="false">SUM(F1377:F1385)</f>
        <v>0</v>
      </c>
    </row>
    <row r="1387" customFormat="false" ht="18.75" hidden="false" customHeight="false" outlineLevel="0" collapsed="false">
      <c r="A1387" s="1139"/>
      <c r="B1387" s="1150" t="str">
        <f aca="false">'Смета Расходов'!B1972</f>
        <v>Септик с утепленной канализацией</v>
      </c>
      <c r="C1387" s="1150"/>
      <c r="D1387" s="1150"/>
      <c r="E1387" s="1150"/>
      <c r="F1387" s="1155" t="n">
        <f aca="false">'Смета Внутр'!H1972</f>
        <v>0</v>
      </c>
    </row>
    <row r="1388" customFormat="false" ht="15" hidden="false" customHeight="false" outlineLevel="0" collapsed="false">
      <c r="A1388" s="1139"/>
      <c r="B1388" s="1156" t="s">
        <v>2246</v>
      </c>
      <c r="C1388" s="1156"/>
      <c r="D1388" s="1156"/>
      <c r="E1388" s="1156"/>
      <c r="F1388" s="1155" t="n">
        <f aca="false">'Смета Внутр'!H1973</f>
        <v>0</v>
      </c>
    </row>
    <row r="1389" customFormat="false" ht="15" hidden="false" customHeight="false" outlineLevel="0" collapsed="false">
      <c r="A1389" s="1139"/>
      <c r="B1389" s="1152" t="str">
        <f aca="false">'Смета Расходов'!B1974</f>
        <v>дно бетонное, диаметр 1,5м.п.</v>
      </c>
      <c r="C1389" s="1153" t="str">
        <f aca="false">'Смета Расходов'!C1974</f>
        <v>шт</v>
      </c>
      <c r="D1389" s="1152" t="n">
        <f aca="false">'Смета Расходов'!D1974</f>
        <v>1</v>
      </c>
      <c r="E1389" s="1152" t="n">
        <f aca="false">'Смета Расходов'!F1974</f>
        <v>2000</v>
      </c>
      <c r="F1389" s="1152" t="n">
        <f aca="false">'Смета Расходов'!G1974</f>
        <v>0</v>
      </c>
    </row>
    <row r="1390" customFormat="false" ht="15" hidden="false" customHeight="false" outlineLevel="0" collapsed="false">
      <c r="A1390" s="1139"/>
      <c r="B1390" s="1152" t="str">
        <f aca="false">'Смета Расходов'!B1975</f>
        <v>кольцо бетонное, диаметр 1,5м.п.</v>
      </c>
      <c r="C1390" s="1153" t="str">
        <f aca="false">'Смета Расходов'!C1975</f>
        <v>шт</v>
      </c>
      <c r="D1390" s="1152" t="n">
        <f aca="false">'Смета Расходов'!D1975</f>
        <v>3</v>
      </c>
      <c r="E1390" s="1152" t="n">
        <f aca="false">'Смета Расходов'!F1975</f>
        <v>2800</v>
      </c>
      <c r="F1390" s="1152" t="n">
        <f aca="false">'Смета Расходов'!G1975</f>
        <v>0</v>
      </c>
    </row>
    <row r="1391" customFormat="false" ht="15" hidden="false" customHeight="false" outlineLevel="0" collapsed="false">
      <c r="A1391" s="1139"/>
      <c r="B1391" s="1152" t="str">
        <f aca="false">'Смета Расходов'!B1976</f>
        <v>крышка бетонная, диаметр 1,5м.п.</v>
      </c>
      <c r="C1391" s="1153" t="str">
        <f aca="false">'Смета Расходов'!C1976</f>
        <v>шт</v>
      </c>
      <c r="D1391" s="1152" t="n">
        <f aca="false">'Смета Расходов'!D1976</f>
        <v>1</v>
      </c>
      <c r="E1391" s="1152" t="n">
        <f aca="false">'Смета Расходов'!F1976</f>
        <v>4000</v>
      </c>
      <c r="F1391" s="1152" t="n">
        <f aca="false">'Смета Расходов'!G1976</f>
        <v>0</v>
      </c>
    </row>
    <row r="1392" customFormat="false" ht="15" hidden="false" customHeight="false" outlineLevel="0" collapsed="false">
      <c r="A1392" s="1139"/>
      <c r="B1392" s="1152" t="str">
        <f aca="false">'Смета Расходов'!B1977</f>
        <v>Нет люка для крышки</v>
      </c>
      <c r="C1392" s="1153" t="str">
        <f aca="false">'Смета Расходов'!C1977</f>
        <v>шт</v>
      </c>
      <c r="D1392" s="1152" t="n">
        <f aca="false">'Смета Расходов'!D1977</f>
        <v>0</v>
      </c>
      <c r="E1392" s="1152" t="n">
        <f aca="false">'Смета Расходов'!F1977</f>
        <v>0</v>
      </c>
      <c r="F1392" s="1152" t="n">
        <f aca="false">'Смета Расходов'!G1977</f>
        <v>0</v>
      </c>
    </row>
    <row r="1393" customFormat="false" ht="15" hidden="false" customHeight="false" outlineLevel="0" collapsed="false">
      <c r="A1393" s="1139"/>
      <c r="B1393" s="1152" t="str">
        <f aca="false">'Смета Расходов'!B1978</f>
        <v>Горловина для септика бетонная</v>
      </c>
      <c r="C1393" s="1153" t="str">
        <f aca="false">'Смета Расходов'!C1978</f>
        <v>шт</v>
      </c>
      <c r="D1393" s="1152" t="n">
        <f aca="false">'Смета Расходов'!D1978</f>
        <v>1</v>
      </c>
      <c r="E1393" s="1152" t="n">
        <f aca="false">'Смета Расходов'!F1978</f>
        <v>1000</v>
      </c>
      <c r="F1393" s="1152" t="n">
        <f aca="false">'Смета Расходов'!G1978</f>
        <v>0</v>
      </c>
    </row>
    <row r="1394" customFormat="false" ht="15" hidden="false" customHeight="false" outlineLevel="0" collapsed="false">
      <c r="A1394" s="1139"/>
      <c r="B1394" s="1152" t="str">
        <f aca="false">'Смета Расходов'!B1979</f>
        <v>Труба канализационная D110</v>
      </c>
      <c r="C1394" s="1153" t="str">
        <f aca="false">'Смета Расходов'!C1979</f>
        <v>м.п.</v>
      </c>
      <c r="D1394" s="1152" t="n">
        <f aca="false">'Смета Расходов'!D1979</f>
        <v>10</v>
      </c>
      <c r="E1394" s="1152" t="n">
        <f aca="false">'Смета Расходов'!F1979</f>
        <v>70</v>
      </c>
      <c r="F1394" s="1152" t="n">
        <f aca="false">'Смета Расходов'!G1979</f>
        <v>0</v>
      </c>
    </row>
    <row r="1395" customFormat="false" ht="15" hidden="false" customHeight="false" outlineLevel="0" collapsed="false">
      <c r="A1395" s="1139"/>
      <c r="B1395" s="1152" t="str">
        <f aca="false">'Смета Расходов'!B1980</f>
        <v>утепление для канализационной трубы</v>
      </c>
      <c r="C1395" s="1153" t="str">
        <f aca="false">'Смета Расходов'!C1980</f>
        <v>м.п.</v>
      </c>
      <c r="D1395" s="1152" t="n">
        <f aca="false">'Смета Расходов'!D1980</f>
        <v>8</v>
      </c>
      <c r="E1395" s="1152" t="n">
        <f aca="false">'Смета Расходов'!F1980</f>
        <v>300</v>
      </c>
      <c r="F1395" s="1152" t="n">
        <f aca="false">'Смета Расходов'!G1980</f>
        <v>0</v>
      </c>
    </row>
    <row r="1396" customFormat="false" ht="15" hidden="false" customHeight="false" outlineLevel="0" collapsed="false">
      <c r="A1396" s="1139"/>
      <c r="B1396" s="1152" t="str">
        <f aca="false">'Смета Расходов'!B1981</f>
        <v>раствор для бетонирования</v>
      </c>
      <c r="C1396" s="1153" t="str">
        <f aca="false">'Смета Расходов'!C1981</f>
        <v>шт</v>
      </c>
      <c r="D1396" s="1152" t="n">
        <f aca="false">'Смета Расходов'!D1981</f>
        <v>3</v>
      </c>
      <c r="E1396" s="1152" t="n">
        <f aca="false">'Смета Расходов'!F1981</f>
        <v>100</v>
      </c>
      <c r="F1396" s="1152" t="n">
        <f aca="false">'Смета Расходов'!G1981</f>
        <v>0</v>
      </c>
    </row>
    <row r="1397" customFormat="false" ht="15" hidden="false" customHeight="false" outlineLevel="0" collapsed="false">
      <c r="A1397" s="1139"/>
      <c r="B1397" s="1152" t="str">
        <f aca="false">'Смета Расходов'!B1982</f>
        <v>скотч для скорлупы утепления</v>
      </c>
      <c r="C1397" s="1153" t="str">
        <f aca="false">'Смета Расходов'!C1982</f>
        <v>шт</v>
      </c>
      <c r="D1397" s="1152" t="n">
        <f aca="false">'Смета Расходов'!D1982</f>
        <v>3</v>
      </c>
      <c r="E1397" s="1152" t="n">
        <f aca="false">'Смета Расходов'!F1982</f>
        <v>100</v>
      </c>
      <c r="F1397" s="1152" t="n">
        <f aca="false">'Смета Расходов'!G1982</f>
        <v>0</v>
      </c>
    </row>
    <row r="1398" customFormat="false" ht="15" hidden="false" customHeight="false" outlineLevel="0" collapsed="false">
      <c r="A1398" s="1139"/>
      <c r="B1398" s="1152" t="str">
        <f aca="false">'Смета Расходов'!B1983</f>
        <v>дно бетонное, диаметр 2м.п.</v>
      </c>
      <c r="C1398" s="1153" t="str">
        <f aca="false">'Смета Расходов'!C1983</f>
        <v>шт</v>
      </c>
      <c r="D1398" s="1152" t="n">
        <f aca="false">'Смета Расходов'!D1983</f>
        <v>1</v>
      </c>
      <c r="E1398" s="1152" t="n">
        <f aca="false">'Смета Расходов'!F1983</f>
        <v>2000</v>
      </c>
      <c r="F1398" s="1152" t="n">
        <f aca="false">'Смета Расходов'!G1983</f>
        <v>0</v>
      </c>
    </row>
    <row r="1399" customFormat="false" ht="15" hidden="false" customHeight="false" outlineLevel="0" collapsed="false">
      <c r="A1399" s="1139"/>
      <c r="B1399" s="1152" t="str">
        <f aca="false">'Смета Расходов'!B1984</f>
        <v>кольцо бетонное, диаметр 2м.п.</v>
      </c>
      <c r="C1399" s="1153" t="str">
        <f aca="false">'Смета Расходов'!C1984</f>
        <v>шт</v>
      </c>
      <c r="D1399" s="1152" t="n">
        <f aca="false">'Смета Расходов'!D1984</f>
        <v>3</v>
      </c>
      <c r="E1399" s="1152" t="n">
        <f aca="false">'Смета Расходов'!F1984</f>
        <v>3300</v>
      </c>
      <c r="F1399" s="1152" t="n">
        <f aca="false">'Смета Расходов'!G1984</f>
        <v>0</v>
      </c>
    </row>
    <row r="1400" customFormat="false" ht="15" hidden="false" customHeight="false" outlineLevel="0" collapsed="false">
      <c r="A1400" s="1139"/>
      <c r="B1400" s="1152" t="str">
        <f aca="false">'Смета Расходов'!B1985</f>
        <v>крышка бетонная, диаметр 2м.п.</v>
      </c>
      <c r="C1400" s="1153" t="str">
        <f aca="false">'Смета Расходов'!C1985</f>
        <v>шт</v>
      </c>
      <c r="D1400" s="1152" t="n">
        <f aca="false">'Смета Расходов'!D1985</f>
        <v>1</v>
      </c>
      <c r="E1400" s="1152" t="n">
        <f aca="false">'Смета Расходов'!F1985</f>
        <v>4000</v>
      </c>
      <c r="F1400" s="1152" t="n">
        <f aca="false">'Смета Расходов'!G1985</f>
        <v>0</v>
      </c>
    </row>
    <row r="1401" customFormat="false" ht="15" hidden="false" customHeight="false" outlineLevel="0" collapsed="false">
      <c r="A1401" s="1139"/>
      <c r="B1401" s="1152" t="str">
        <f aca="false">'Смета Расходов'!B1986</f>
        <v>Нет люка для крышки</v>
      </c>
      <c r="C1401" s="1153" t="str">
        <f aca="false">'Смета Расходов'!C1986</f>
        <v>шт</v>
      </c>
      <c r="D1401" s="1152" t="n">
        <f aca="false">'Смета Расходов'!D1986</f>
        <v>0</v>
      </c>
      <c r="E1401" s="1152" t="n">
        <f aca="false">'Смета Расходов'!F1986</f>
        <v>0</v>
      </c>
      <c r="F1401" s="1152" t="n">
        <f aca="false">'Смета Расходов'!G1986</f>
        <v>0</v>
      </c>
    </row>
    <row r="1402" customFormat="false" ht="15" hidden="false" customHeight="false" outlineLevel="0" collapsed="false">
      <c r="A1402" s="1139"/>
      <c r="B1402" s="1154" t="s">
        <v>2309</v>
      </c>
      <c r="C1402" s="1154"/>
      <c r="D1402" s="1154"/>
      <c r="E1402" s="1154"/>
      <c r="F1402" s="1152" t="n">
        <f aca="false">SUM(F1389:F1401)</f>
        <v>0</v>
      </c>
    </row>
    <row r="1403" customFormat="false" ht="18.75" hidden="false" customHeight="false" outlineLevel="0" collapsed="false">
      <c r="A1403" s="1139"/>
      <c r="B1403" s="1150" t="str">
        <f aca="false">'Смета Расходов'!B1997</f>
        <v>Котельная</v>
      </c>
      <c r="C1403" s="1150"/>
      <c r="D1403" s="1150"/>
      <c r="E1403" s="1150"/>
      <c r="F1403" s="1155" t="n">
        <f aca="false">'Смета Внутр'!H1997</f>
        <v>0</v>
      </c>
    </row>
    <row r="1404" customFormat="false" ht="15" hidden="false" customHeight="false" outlineLevel="0" collapsed="false">
      <c r="A1404" s="1139"/>
      <c r="B1404" s="1156" t="s">
        <v>2246</v>
      </c>
      <c r="C1404" s="1156"/>
      <c r="D1404" s="1156"/>
      <c r="E1404" s="1156"/>
      <c r="F1404" s="1155" t="n">
        <f aca="false">'Смета Внутр'!H1998</f>
        <v>0</v>
      </c>
    </row>
    <row r="1405" customFormat="false" ht="15" hidden="false" customHeight="false" outlineLevel="0" collapsed="false">
      <c r="A1405" s="1139"/>
      <c r="B1405" s="1152" t="str">
        <f aca="false">'Смета Расходов'!B1999</f>
        <v>котел</v>
      </c>
      <c r="C1405" s="1153" t="str">
        <f aca="false">'Смета Расходов'!C1999</f>
        <v>шт</v>
      </c>
      <c r="D1405" s="1152" t="n">
        <f aca="false">'Смета Расходов'!D1999</f>
        <v>1</v>
      </c>
      <c r="E1405" s="1152" t="n">
        <f aca="false">'Смета Расходов'!F1999</f>
        <v>30000</v>
      </c>
      <c r="F1405" s="1152" t="n">
        <f aca="false">'Смета Расходов'!G1999</f>
        <v>0</v>
      </c>
    </row>
    <row r="1406" customFormat="false" ht="15" hidden="false" customHeight="false" outlineLevel="0" collapsed="false">
      <c r="A1406" s="1139"/>
      <c r="B1406" s="1152" t="str">
        <f aca="false">'Смета Расходов'!B2000</f>
        <v>бойлер</v>
      </c>
      <c r="C1406" s="1153" t="str">
        <f aca="false">'Смета Расходов'!C2000</f>
        <v>шт</v>
      </c>
      <c r="D1406" s="1152" t="n">
        <f aca="false">'Смета Расходов'!D2000</f>
        <v>1</v>
      </c>
      <c r="E1406" s="1152" t="n">
        <f aca="false">'Смета Расходов'!F2000</f>
        <v>10000</v>
      </c>
      <c r="F1406" s="1152" t="n">
        <f aca="false">'Смета Расходов'!G2000</f>
        <v>0</v>
      </c>
    </row>
    <row r="1407" customFormat="false" ht="15" hidden="false" customHeight="false" outlineLevel="0" collapsed="false">
      <c r="A1407" s="1139"/>
      <c r="B1407" s="1152" t="str">
        <f aca="false">'Смета Расходов'!B2001</f>
        <v>гребенка</v>
      </c>
      <c r="C1407" s="1153" t="str">
        <f aca="false">'Смета Расходов'!C2001</f>
        <v>шт</v>
      </c>
      <c r="D1407" s="1152" t="n">
        <f aca="false">'Смета Расходов'!D2001</f>
        <v>1</v>
      </c>
      <c r="E1407" s="1152" t="n">
        <f aca="false">'Смета Расходов'!F2001</f>
        <v>5000</v>
      </c>
      <c r="F1407" s="1152" t="n">
        <f aca="false">'Смета Расходов'!G2001</f>
        <v>0</v>
      </c>
    </row>
    <row r="1408" customFormat="false" ht="15" hidden="false" customHeight="false" outlineLevel="0" collapsed="false">
      <c r="A1408" s="1139"/>
      <c r="B1408" s="1152" t="str">
        <f aca="false">'Смета Расходов'!B2002</f>
        <v>насос на отопление</v>
      </c>
      <c r="C1408" s="1153" t="str">
        <f aca="false">'Смета Расходов'!C2002</f>
        <v>шт</v>
      </c>
      <c r="D1408" s="1152" t="n">
        <f aca="false">'Смета Расходов'!D2002</f>
        <v>1</v>
      </c>
      <c r="E1408" s="1152" t="n">
        <f aca="false">'Смета Расходов'!F2002</f>
        <v>3500</v>
      </c>
      <c r="F1408" s="1152" t="n">
        <f aca="false">'Смета Расходов'!G2002</f>
        <v>0</v>
      </c>
    </row>
    <row r="1409" customFormat="false" ht="15" hidden="false" customHeight="false" outlineLevel="0" collapsed="false">
      <c r="A1409" s="1139"/>
      <c r="B1409" s="1152" t="str">
        <f aca="false">'Смета Расходов'!B2003</f>
        <v>насос на горячее водоснабжение</v>
      </c>
      <c r="C1409" s="1153" t="str">
        <f aca="false">'Смета Расходов'!C2003</f>
        <v>шт</v>
      </c>
      <c r="D1409" s="1152" t="n">
        <f aca="false">'Смета Расходов'!D2003</f>
        <v>1</v>
      </c>
      <c r="E1409" s="1152" t="n">
        <f aca="false">'Смета Расходов'!F2003</f>
        <v>2500</v>
      </c>
      <c r="F1409" s="1152" t="n">
        <f aca="false">'Смета Расходов'!G2003</f>
        <v>0</v>
      </c>
    </row>
    <row r="1410" customFormat="false" ht="15" hidden="false" customHeight="false" outlineLevel="0" collapsed="false">
      <c r="A1410" s="1139"/>
      <c r="B1410" s="1152" t="str">
        <f aca="false">'Смета Расходов'!B2004</f>
        <v>датчик давления</v>
      </c>
      <c r="C1410" s="1153" t="str">
        <f aca="false">'Смета Расходов'!C2004</f>
        <v>шт</v>
      </c>
      <c r="D1410" s="1152" t="n">
        <f aca="false">'Смета Расходов'!D2004</f>
        <v>2</v>
      </c>
      <c r="E1410" s="1152" t="n">
        <f aca="false">'Смета Расходов'!F2004</f>
        <v>700</v>
      </c>
      <c r="F1410" s="1152" t="n">
        <f aca="false">'Смета Расходов'!G2004</f>
        <v>0</v>
      </c>
    </row>
    <row r="1411" customFormat="false" ht="15" hidden="false" customHeight="false" outlineLevel="0" collapsed="false">
      <c r="A1411" s="1139"/>
      <c r="B1411" s="1152" t="str">
        <f aca="false">'Смета Расходов'!B2005</f>
        <v>сбросной клапан</v>
      </c>
      <c r="C1411" s="1153" t="str">
        <f aca="false">'Смета Расходов'!C2005</f>
        <v>шт</v>
      </c>
      <c r="D1411" s="1152" t="n">
        <f aca="false">'Смета Расходов'!D2005</f>
        <v>1</v>
      </c>
      <c r="E1411" s="1152" t="n">
        <f aca="false">'Смета Расходов'!F2005</f>
        <v>1500</v>
      </c>
      <c r="F1411" s="1152" t="n">
        <f aca="false">'Смета Расходов'!G2005</f>
        <v>0</v>
      </c>
    </row>
    <row r="1412" customFormat="false" ht="15" hidden="false" customHeight="false" outlineLevel="0" collapsed="false">
      <c r="A1412" s="1139"/>
      <c r="B1412" s="1152" t="str">
        <f aca="false">'Смета Расходов'!B2006</f>
        <v>труба, черная ду 32</v>
      </c>
      <c r="C1412" s="1153" t="str">
        <f aca="false">'Смета Расходов'!C2006</f>
        <v>м.п.</v>
      </c>
      <c r="D1412" s="1152" t="n">
        <f aca="false">'Смета Расходов'!D2006</f>
        <v>20</v>
      </c>
      <c r="E1412" s="1152" t="n">
        <f aca="false">'Смета Расходов'!F2006</f>
        <v>100</v>
      </c>
      <c r="F1412" s="1152" t="n">
        <f aca="false">'Смета Расходов'!G2006</f>
        <v>0</v>
      </c>
    </row>
    <row r="1413" customFormat="false" ht="15" hidden="false" customHeight="false" outlineLevel="0" collapsed="false">
      <c r="A1413" s="1139"/>
      <c r="B1413" s="1152" t="str">
        <f aca="false">'Смета Расходов'!B2007</f>
        <v>угол ду 32</v>
      </c>
      <c r="C1413" s="1153" t="str">
        <f aca="false">'Смета Расходов'!C2007</f>
        <v>шт</v>
      </c>
      <c r="D1413" s="1152" t="n">
        <f aca="false">'Смета Расходов'!D2007</f>
        <v>10</v>
      </c>
      <c r="E1413" s="1152" t="n">
        <f aca="false">'Смета Расходов'!F2007</f>
        <v>12</v>
      </c>
      <c r="F1413" s="1152" t="n">
        <f aca="false">'Смета Расходов'!G2007</f>
        <v>0</v>
      </c>
    </row>
    <row r="1414" customFormat="false" ht="15" hidden="false" customHeight="false" outlineLevel="0" collapsed="false">
      <c r="A1414" s="1139"/>
      <c r="B1414" s="1152" t="str">
        <f aca="false">'Смета Расходов'!B2008</f>
        <v>бочонок ду 32</v>
      </c>
      <c r="C1414" s="1153" t="str">
        <f aca="false">'Смета Расходов'!C2008</f>
        <v>шт</v>
      </c>
      <c r="D1414" s="1152" t="n">
        <f aca="false">'Смета Расходов'!D2008</f>
        <v>10</v>
      </c>
      <c r="E1414" s="1152" t="n">
        <f aca="false">'Смета Расходов'!F2008</f>
        <v>16</v>
      </c>
      <c r="F1414" s="1152" t="n">
        <f aca="false">'Смета Расходов'!G2008</f>
        <v>0</v>
      </c>
    </row>
    <row r="1415" customFormat="false" ht="15" hidden="false" customHeight="false" outlineLevel="0" collapsed="false">
      <c r="A1415" s="1139"/>
      <c r="B1415" s="1152" t="str">
        <f aca="false">'Смета Расходов'!B2009</f>
        <v>резьба ду 32</v>
      </c>
      <c r="C1415" s="1153" t="str">
        <f aca="false">'Смета Расходов'!C2009</f>
        <v>шт</v>
      </c>
      <c r="D1415" s="1152" t="n">
        <f aca="false">'Смета Расходов'!D2009</f>
        <v>10</v>
      </c>
      <c r="E1415" s="1152" t="n">
        <f aca="false">'Смета Расходов'!F2009</f>
        <v>12</v>
      </c>
      <c r="F1415" s="1152" t="n">
        <f aca="false">'Смета Расходов'!G2009</f>
        <v>0</v>
      </c>
    </row>
    <row r="1416" customFormat="false" ht="15" hidden="false" customHeight="false" outlineLevel="0" collapsed="false">
      <c r="A1416" s="1139"/>
      <c r="B1416" s="1152" t="str">
        <f aca="false">'Смета Расходов'!B2010</f>
        <v>переод с ду 32на 20</v>
      </c>
      <c r="C1416" s="1153" t="str">
        <f aca="false">'Смета Расходов'!C2010</f>
        <v>шт</v>
      </c>
      <c r="D1416" s="1152" t="n">
        <f aca="false">'Смета Расходов'!D2010</f>
        <v>5</v>
      </c>
      <c r="E1416" s="1152" t="n">
        <f aca="false">'Смета Расходов'!F2010</f>
        <v>16</v>
      </c>
      <c r="F1416" s="1152" t="n">
        <f aca="false">'Смета Расходов'!G2010</f>
        <v>0</v>
      </c>
    </row>
    <row r="1417" customFormat="false" ht="15" hidden="false" customHeight="false" outlineLevel="0" collapsed="false">
      <c r="A1417" s="1139"/>
      <c r="B1417" s="1152" t="str">
        <f aca="false">'Смета Расходов'!B2011</f>
        <v>электроды, пачка</v>
      </c>
      <c r="C1417" s="1153" t="str">
        <f aca="false">'Смета Расходов'!C2011</f>
        <v>шт</v>
      </c>
      <c r="D1417" s="1152" t="n">
        <f aca="false">'Смета Расходов'!D2011</f>
        <v>1</v>
      </c>
      <c r="E1417" s="1152" t="n">
        <f aca="false">'Смета Расходов'!F2011</f>
        <v>800</v>
      </c>
      <c r="F1417" s="1152" t="n">
        <f aca="false">'Смета Расходов'!G2011</f>
        <v>0</v>
      </c>
    </row>
    <row r="1418" customFormat="false" ht="15" hidden="false" customHeight="false" outlineLevel="0" collapsed="false">
      <c r="A1418" s="1139"/>
      <c r="B1418" s="1152" t="str">
        <f aca="false">'Смета Расходов'!B2012</f>
        <v>лен</v>
      </c>
      <c r="C1418" s="1153" t="str">
        <f aca="false">'Смета Расходов'!C2012</f>
        <v>рулон</v>
      </c>
      <c r="D1418" s="1152" t="n">
        <f aca="false">'Смета Расходов'!D2012</f>
        <v>1</v>
      </c>
      <c r="E1418" s="1152" t="n">
        <f aca="false">'Смета Расходов'!F2012</f>
        <v>200</v>
      </c>
      <c r="F1418" s="1152" t="n">
        <f aca="false">'Смета Расходов'!G2012</f>
        <v>0</v>
      </c>
    </row>
    <row r="1419" customFormat="false" ht="15" hidden="false" customHeight="false" outlineLevel="0" collapsed="false">
      <c r="A1419" s="1139"/>
      <c r="B1419" s="1154" t="s">
        <v>2309</v>
      </c>
      <c r="C1419" s="1154"/>
      <c r="D1419" s="1154"/>
      <c r="E1419" s="1154"/>
      <c r="F1419" s="1152" t="n">
        <f aca="false">SUM(F1405:F1418)</f>
        <v>0</v>
      </c>
    </row>
    <row r="1420" customFormat="false" ht="18.75" hidden="false" customHeight="false" outlineLevel="0" collapsed="false">
      <c r="A1420" s="1139"/>
      <c r="B1420" s="1150" t="str">
        <f aca="false">'Смета Расходов'!B2024</f>
        <v>Транспорт</v>
      </c>
      <c r="C1420" s="1150"/>
      <c r="D1420" s="1150"/>
      <c r="E1420" s="1150"/>
      <c r="F1420" s="1155" t="n">
        <f aca="false">'Смета Внутр'!H2024</f>
        <v>0</v>
      </c>
    </row>
    <row r="1421" customFormat="false" ht="15" hidden="false" customHeight="false" outlineLevel="0" collapsed="false">
      <c r="A1421" s="1139"/>
      <c r="B1421" s="1152" t="str">
        <f aca="false">'Смета Расходов'!B2025</f>
        <v>Нет техники</v>
      </c>
      <c r="C1421" s="1153" t="str">
        <f aca="false">'Смета Расходов'!C2025</f>
        <v>ед.</v>
      </c>
      <c r="D1421" s="1152" t="n">
        <f aca="false">'Смета Расходов'!D2025</f>
        <v>0</v>
      </c>
      <c r="E1421" s="1152" t="n">
        <f aca="false">'Смета Расходов'!F2025</f>
        <v>0</v>
      </c>
      <c r="F1421" s="1152" t="n">
        <f aca="false">'Смета Расходов'!G2025</f>
        <v>0</v>
      </c>
    </row>
    <row r="1422" customFormat="false" ht="15" hidden="false" customHeight="false" outlineLevel="0" collapsed="false">
      <c r="A1422" s="1139"/>
      <c r="B1422" s="1152" t="str">
        <f aca="false">'Смета Расходов'!B2026</f>
        <v>Нет техники</v>
      </c>
      <c r="C1422" s="1153" t="str">
        <f aca="false">'Смета Расходов'!C2026</f>
        <v>ед.</v>
      </c>
      <c r="D1422" s="1152" t="n">
        <f aca="false">'Смета Расходов'!D2026</f>
        <v>0</v>
      </c>
      <c r="E1422" s="1152" t="n">
        <f aca="false">'Смета Расходов'!F2026</f>
        <v>0</v>
      </c>
      <c r="F1422" s="1152" t="n">
        <f aca="false">'Смета Расходов'!G2026</f>
        <v>0</v>
      </c>
    </row>
    <row r="1423" customFormat="false" ht="15" hidden="false" customHeight="false" outlineLevel="0" collapsed="false">
      <c r="A1423" s="1139"/>
      <c r="B1423" s="1152" t="str">
        <f aca="false">'Смета Расходов'!B2027</f>
        <v>Нет техники</v>
      </c>
      <c r="C1423" s="1153" t="str">
        <f aca="false">'Смета Расходов'!C2027</f>
        <v>ед.</v>
      </c>
      <c r="D1423" s="1152" t="n">
        <f aca="false">'Смета Расходов'!D2027</f>
        <v>0</v>
      </c>
      <c r="E1423" s="1152" t="n">
        <f aca="false">'Смета Расходов'!F2027</f>
        <v>0</v>
      </c>
      <c r="F1423" s="1152" t="n">
        <f aca="false">'Смета Расходов'!G2027</f>
        <v>0</v>
      </c>
    </row>
    <row r="1424" customFormat="false" ht="15" hidden="false" customHeight="false" outlineLevel="0" collapsed="false">
      <c r="A1424" s="1139"/>
      <c r="B1424" s="1152" t="str">
        <f aca="false">'Смета Расходов'!B2028</f>
        <v>Нет техники</v>
      </c>
      <c r="C1424" s="1153" t="str">
        <f aca="false">'Смета Расходов'!C2028</f>
        <v>ед.</v>
      </c>
      <c r="D1424" s="1152" t="n">
        <f aca="false">'Смета Расходов'!D2028</f>
        <v>0</v>
      </c>
      <c r="E1424" s="1152" t="n">
        <f aca="false">'Смета Расходов'!F2028</f>
        <v>0</v>
      </c>
      <c r="F1424" s="1152" t="n">
        <f aca="false">'Смета Расходов'!G2028</f>
        <v>0</v>
      </c>
    </row>
    <row r="1425" customFormat="false" ht="15" hidden="false" customHeight="false" outlineLevel="0" collapsed="false">
      <c r="A1425" s="1139"/>
      <c r="B1425" s="1152" t="str">
        <f aca="false">'Смета Расходов'!B2029</f>
        <v>Нет техники</v>
      </c>
      <c r="C1425" s="1153" t="str">
        <f aca="false">'Смета Расходов'!C2029</f>
        <v>ед.</v>
      </c>
      <c r="D1425" s="1152" t="n">
        <f aca="false">'Смета Расходов'!D2029</f>
        <v>4</v>
      </c>
      <c r="E1425" s="1152" t="n">
        <f aca="false">'Смета Расходов'!F2029</f>
        <v>0</v>
      </c>
      <c r="F1425" s="1152" t="n">
        <f aca="false">'Смета Расходов'!G2029</f>
        <v>0</v>
      </c>
    </row>
    <row r="1426" customFormat="false" ht="15" hidden="false" customHeight="false" outlineLevel="0" collapsed="false">
      <c r="A1426" s="1139"/>
      <c r="B1426" s="1152" t="str">
        <f aca="false">'Смета Расходов'!B2030</f>
        <v>Нет техники</v>
      </c>
      <c r="C1426" s="1153" t="str">
        <f aca="false">'Смета Расходов'!C2030</f>
        <v>ед.</v>
      </c>
      <c r="D1426" s="1152" t="n">
        <f aca="false">'Смета Расходов'!D2030</f>
        <v>4</v>
      </c>
      <c r="E1426" s="1152" t="n">
        <f aca="false">'Смета Расходов'!F2030</f>
        <v>0</v>
      </c>
      <c r="F1426" s="1152" t="n">
        <f aca="false">'Смета Расходов'!G2030</f>
        <v>0</v>
      </c>
    </row>
    <row r="1427" customFormat="false" ht="15" hidden="false" customHeight="false" outlineLevel="0" collapsed="false">
      <c r="A1427" s="1139"/>
      <c r="B1427" s="1152" t="str">
        <f aca="false">'Смета Расходов'!B2031</f>
        <v>Нет техники</v>
      </c>
      <c r="C1427" s="1153" t="str">
        <f aca="false">'Смета Расходов'!C2031</f>
        <v>ед.</v>
      </c>
      <c r="D1427" s="1152" t="n">
        <f aca="false">'Смета Расходов'!D2031</f>
        <v>6</v>
      </c>
      <c r="E1427" s="1152" t="n">
        <f aca="false">'Смета Расходов'!F2031</f>
        <v>0</v>
      </c>
      <c r="F1427" s="1152" t="n">
        <f aca="false">'Смета Расходов'!G2031</f>
        <v>0</v>
      </c>
    </row>
    <row r="1428" customFormat="false" ht="15" hidden="false" customHeight="false" outlineLevel="0" collapsed="false">
      <c r="A1428" s="1139"/>
      <c r="B1428" s="1152" t="str">
        <f aca="false">'Смета Расходов'!B2032</f>
        <v>Нет техники</v>
      </c>
      <c r="C1428" s="1153" t="str">
        <f aca="false">'Смета Расходов'!C2032</f>
        <v>ед.</v>
      </c>
      <c r="D1428" s="1152" t="n">
        <f aca="false">'Смета Расходов'!D2032</f>
        <v>4</v>
      </c>
      <c r="E1428" s="1152" t="n">
        <f aca="false">'Смета Расходов'!F2032</f>
        <v>0</v>
      </c>
      <c r="F1428" s="1152" t="n">
        <f aca="false">'Смета Расходов'!G2032</f>
        <v>0</v>
      </c>
    </row>
    <row r="1429" customFormat="false" ht="15" hidden="false" customHeight="false" outlineLevel="0" collapsed="false">
      <c r="A1429" s="1139"/>
      <c r="B1429" s="1152" t="str">
        <f aca="false">'Смета Расходов'!B2033</f>
        <v>Нет техники</v>
      </c>
      <c r="C1429" s="1153" t="str">
        <f aca="false">'Смета Расходов'!C2033</f>
        <v>ед.</v>
      </c>
      <c r="D1429" s="1152" t="n">
        <f aca="false">'Смета Расходов'!D2033</f>
        <v>0</v>
      </c>
      <c r="E1429" s="1152" t="n">
        <f aca="false">'Смета Расходов'!F2033</f>
        <v>0</v>
      </c>
      <c r="F1429" s="1152" t="n">
        <f aca="false">'Смета Расходов'!G2033</f>
        <v>0</v>
      </c>
    </row>
    <row r="1430" customFormat="false" ht="15" hidden="false" customHeight="false" outlineLevel="0" collapsed="false">
      <c r="A1430" s="1139"/>
      <c r="B1430" s="1152" t="str">
        <f aca="false">'Смета Расходов'!B2034</f>
        <v>Нет техники</v>
      </c>
      <c r="C1430" s="1153" t="str">
        <f aca="false">'Смета Расходов'!C2034</f>
        <v>ед.</v>
      </c>
      <c r="D1430" s="1152" t="n">
        <f aca="false">'Смета Расходов'!D2034</f>
        <v>4</v>
      </c>
      <c r="E1430" s="1152" t="n">
        <f aca="false">'Смета Расходов'!F2034</f>
        <v>0</v>
      </c>
      <c r="F1430" s="1152" t="n">
        <f aca="false">'Смета Расходов'!G2034</f>
        <v>0</v>
      </c>
    </row>
    <row r="1431" customFormat="false" ht="15" hidden="false" customHeight="false" outlineLevel="0" collapsed="false">
      <c r="A1431" s="1139"/>
      <c r="B1431" s="1152" t="str">
        <f aca="false">'Смета Расходов'!B2035</f>
        <v>Нет техники</v>
      </c>
      <c r="C1431" s="1153" t="str">
        <f aca="false">'Смета Расходов'!C2035</f>
        <v>ед.</v>
      </c>
      <c r="D1431" s="1152" t="n">
        <f aca="false">'Смета Расходов'!D2035</f>
        <v>4</v>
      </c>
      <c r="E1431" s="1152" t="n">
        <f aca="false">'Смета Расходов'!F2035</f>
        <v>0</v>
      </c>
      <c r="F1431" s="1152" t="n">
        <f aca="false">'Смета Расходов'!G2035</f>
        <v>0</v>
      </c>
    </row>
    <row r="1432" customFormat="false" ht="15" hidden="false" customHeight="false" outlineLevel="0" collapsed="false">
      <c r="A1432" s="1139"/>
      <c r="B1432" s="1152" t="str">
        <f aca="false">'Смета Расходов'!B2036</f>
        <v>Нет техники</v>
      </c>
      <c r="C1432" s="1153" t="str">
        <f aca="false">'Смета Расходов'!C2036</f>
        <v>ед.</v>
      </c>
      <c r="D1432" s="1152" t="n">
        <f aca="false">'Смета Расходов'!D2036</f>
        <v>6</v>
      </c>
      <c r="E1432" s="1152" t="n">
        <f aca="false">'Смета Расходов'!F2036</f>
        <v>0</v>
      </c>
      <c r="F1432" s="1152" t="n">
        <f aca="false">'Смета Расходов'!G2036</f>
        <v>0</v>
      </c>
    </row>
    <row r="1433" customFormat="false" ht="15" hidden="false" customHeight="false" outlineLevel="0" collapsed="false">
      <c r="A1433" s="1139"/>
      <c r="B1433" s="1152" t="str">
        <f aca="false">'Смета Расходов'!B2037</f>
        <v>Нет техники</v>
      </c>
      <c r="C1433" s="1153" t="str">
        <f aca="false">'Смета Расходов'!C2037</f>
        <v>ед.</v>
      </c>
      <c r="D1433" s="1152" t="n">
        <f aca="false">'Смета Расходов'!D2037</f>
        <v>4</v>
      </c>
      <c r="E1433" s="1152" t="n">
        <f aca="false">'Смета Расходов'!F2037</f>
        <v>0</v>
      </c>
      <c r="F1433" s="1152" t="n">
        <f aca="false">'Смета Расходов'!G2037</f>
        <v>0</v>
      </c>
    </row>
    <row r="1434" customFormat="false" ht="15" hidden="false" customHeight="false" outlineLevel="0" collapsed="false">
      <c r="A1434" s="1139"/>
      <c r="B1434" s="1152" t="str">
        <f aca="false">'Смета Расходов'!B2038</f>
        <v>Нет техники</v>
      </c>
      <c r="C1434" s="1153" t="str">
        <f aca="false">'Смета Расходов'!C2038</f>
        <v>ед.</v>
      </c>
      <c r="D1434" s="1152" t="n">
        <f aca="false">'Смета Расходов'!D2038</f>
        <v>0</v>
      </c>
      <c r="E1434" s="1152" t="n">
        <f aca="false">'Смета Расходов'!F2038</f>
        <v>0</v>
      </c>
      <c r="F1434" s="1152" t="n">
        <f aca="false">'Смета Расходов'!G2038</f>
        <v>0</v>
      </c>
    </row>
    <row r="1435" customFormat="false" ht="15" hidden="false" customHeight="false" outlineLevel="0" collapsed="false">
      <c r="A1435" s="1139"/>
      <c r="B1435" s="1152" t="str">
        <f aca="false">'Смета Расходов'!B2039</f>
        <v>Нет техники</v>
      </c>
      <c r="C1435" s="1153" t="str">
        <f aca="false">'Смета Расходов'!C2039</f>
        <v>ед.</v>
      </c>
      <c r="D1435" s="1152" t="n">
        <f aca="false">'Смета Расходов'!D2039</f>
        <v>3</v>
      </c>
      <c r="E1435" s="1152" t="n">
        <f aca="false">'Смета Расходов'!F2039</f>
        <v>0</v>
      </c>
      <c r="F1435" s="1152" t="n">
        <f aca="false">'Смета Расходов'!G2039</f>
        <v>0</v>
      </c>
    </row>
    <row r="1436" customFormat="false" ht="15" hidden="false" customHeight="false" outlineLevel="0" collapsed="false">
      <c r="A1436" s="1139"/>
      <c r="B1436" s="1152" t="str">
        <f aca="false">'Смета Расходов'!B2040</f>
        <v>Нет техники</v>
      </c>
      <c r="C1436" s="1153" t="str">
        <f aca="false">'Смета Расходов'!C2040</f>
        <v>ед.</v>
      </c>
      <c r="D1436" s="1152" t="n">
        <f aca="false">'Смета Расходов'!D2040</f>
        <v>0</v>
      </c>
      <c r="E1436" s="1152" t="n">
        <f aca="false">'Смета Расходов'!F2040</f>
        <v>0</v>
      </c>
      <c r="F1436" s="1152" t="n">
        <f aca="false">'Смета Расходов'!G2040</f>
        <v>0</v>
      </c>
    </row>
    <row r="1437" customFormat="false" ht="15" hidden="false" customHeight="false" outlineLevel="0" collapsed="false">
      <c r="A1437" s="1139"/>
      <c r="B1437" s="1152" t="str">
        <f aca="false">'Смета Расходов'!B2041</f>
        <v>Нет техники</v>
      </c>
      <c r="C1437" s="1153" t="str">
        <f aca="false">'Смета Расходов'!C2041</f>
        <v>ед.</v>
      </c>
      <c r="D1437" s="1152" t="n">
        <f aca="false">'Смета Расходов'!D2041</f>
        <v>0</v>
      </c>
      <c r="E1437" s="1152" t="n">
        <f aca="false">'Смета Расходов'!F2041</f>
        <v>0</v>
      </c>
      <c r="F1437" s="1152" t="n">
        <f aca="false">'Смета Расходов'!G2041</f>
        <v>0</v>
      </c>
    </row>
    <row r="1438" customFormat="false" ht="15" hidden="false" customHeight="false" outlineLevel="0" collapsed="false">
      <c r="A1438" s="1139"/>
      <c r="B1438" s="1152" t="str">
        <f aca="false">'Смета Расходов'!B2042</f>
        <v>Нет техники</v>
      </c>
      <c r="C1438" s="1153" t="str">
        <f aca="false">'Смета Расходов'!C2042</f>
        <v>ед.</v>
      </c>
      <c r="D1438" s="1152" t="n">
        <f aca="false">'Смета Расходов'!D2042</f>
        <v>0</v>
      </c>
      <c r="E1438" s="1152" t="n">
        <f aca="false">'Смета Расходов'!F2042</f>
        <v>0</v>
      </c>
      <c r="F1438" s="1152" t="n">
        <f aca="false">'Смета Расходов'!G2042</f>
        <v>0</v>
      </c>
    </row>
    <row r="1439" customFormat="false" ht="15" hidden="false" customHeight="false" outlineLevel="0" collapsed="false">
      <c r="A1439" s="1139"/>
      <c r="B1439" s="1152" t="str">
        <f aca="false">'Смета Расходов'!B2043</f>
        <v>Нет техники</v>
      </c>
      <c r="C1439" s="1153" t="str">
        <f aca="false">'Смета Расходов'!C2043</f>
        <v>ед.</v>
      </c>
      <c r="D1439" s="1152" t="n">
        <f aca="false">'Смета Расходов'!D2043</f>
        <v>0</v>
      </c>
      <c r="E1439" s="1152" t="n">
        <f aca="false">'Смета Расходов'!F2043</f>
        <v>0</v>
      </c>
      <c r="F1439" s="1152" t="n">
        <f aca="false">'Смета Расходов'!G2043</f>
        <v>0</v>
      </c>
    </row>
    <row r="1440" customFormat="false" ht="15" hidden="false" customHeight="false" outlineLevel="0" collapsed="false">
      <c r="A1440" s="1139"/>
      <c r="B1440" s="1152" t="str">
        <f aca="false">'Смета Расходов'!B2044</f>
        <v>Нет техники</v>
      </c>
      <c r="C1440" s="1153" t="str">
        <f aca="false">'Смета Расходов'!C2044</f>
        <v>ед.</v>
      </c>
      <c r="D1440" s="1152" t="n">
        <f aca="false">'Смета Расходов'!D2044</f>
        <v>0</v>
      </c>
      <c r="E1440" s="1152" t="n">
        <f aca="false">'Смета Расходов'!F2044</f>
        <v>0</v>
      </c>
      <c r="F1440" s="1152" t="n">
        <f aca="false">'Смета Расходов'!G2044</f>
        <v>0</v>
      </c>
    </row>
    <row r="1441" customFormat="false" ht="15" hidden="false" customHeight="false" outlineLevel="0" collapsed="false">
      <c r="A1441" s="1139"/>
      <c r="B1441" s="1152" t="str">
        <f aca="false">'Смета Расходов'!B2045</f>
        <v>Газель</v>
      </c>
      <c r="C1441" s="1153" t="str">
        <f aca="false">'Смета Расходов'!C2045</f>
        <v>ед.</v>
      </c>
      <c r="D1441" s="1152" t="n">
        <f aca="false">'Смета Расходов'!D2045</f>
        <v>0</v>
      </c>
      <c r="E1441" s="1152" t="n">
        <f aca="false">'Смета Расходов'!F2045</f>
        <v>500</v>
      </c>
      <c r="F1441" s="1152" t="n">
        <f aca="false">'Смета Расходов'!G2045</f>
        <v>0</v>
      </c>
    </row>
    <row r="1442" customFormat="false" ht="15" hidden="false" customHeight="false" outlineLevel="0" collapsed="false">
      <c r="A1442" s="1139"/>
      <c r="B1442" s="1152" t="str">
        <f aca="false">'Смета Расходов'!B2046</f>
        <v>Нет техники</v>
      </c>
      <c r="C1442" s="1153" t="str">
        <f aca="false">'Смета Расходов'!C2046</f>
        <v>ед.</v>
      </c>
      <c r="D1442" s="1152" t="n">
        <f aca="false">'Смета Расходов'!D2046</f>
        <v>0</v>
      </c>
      <c r="E1442" s="1152" t="n">
        <f aca="false">'Смета Расходов'!F2046</f>
        <v>0</v>
      </c>
      <c r="F1442" s="1152" t="n">
        <f aca="false">'Смета Расходов'!G2046</f>
        <v>0</v>
      </c>
    </row>
    <row r="1443" customFormat="false" ht="15" hidden="false" customHeight="false" outlineLevel="0" collapsed="false">
      <c r="A1443" s="1139"/>
      <c r="B1443" s="1152" t="str">
        <f aca="false">'Смета Расходов'!B2047</f>
        <v>Нет техники</v>
      </c>
      <c r="C1443" s="1153" t="str">
        <f aca="false">'Смета Расходов'!C2047</f>
        <v>ед.</v>
      </c>
      <c r="D1443" s="1152" t="n">
        <f aca="false">'Смета Расходов'!D2047</f>
        <v>0</v>
      </c>
      <c r="E1443" s="1152" t="n">
        <f aca="false">'Смета Расходов'!F2047</f>
        <v>0</v>
      </c>
      <c r="F1443" s="1152" t="n">
        <f aca="false">'Смета Расходов'!G2047</f>
        <v>0</v>
      </c>
    </row>
    <row r="1444" customFormat="false" ht="15" hidden="false" customHeight="false" outlineLevel="0" collapsed="false">
      <c r="A1444" s="1139"/>
      <c r="B1444" s="1152" t="str">
        <f aca="false">'Смета Расходов'!B2048</f>
        <v>Нет техники</v>
      </c>
      <c r="C1444" s="1153" t="str">
        <f aca="false">'Смета Расходов'!C2048</f>
        <v>ед.</v>
      </c>
      <c r="D1444" s="1152" t="n">
        <f aca="false">'Смета Расходов'!D2048</f>
        <v>0</v>
      </c>
      <c r="E1444" s="1152" t="n">
        <f aca="false">'Смета Расходов'!F2048</f>
        <v>0</v>
      </c>
      <c r="F1444" s="1152" t="n">
        <f aca="false">'Смета Расходов'!G2048</f>
        <v>0</v>
      </c>
    </row>
    <row r="1445" customFormat="false" ht="15" hidden="false" customHeight="false" outlineLevel="0" collapsed="false">
      <c r="A1445" s="1139"/>
      <c r="B1445" s="1152" t="str">
        <f aca="false">'Смета Расходов'!B2049</f>
        <v>Нет техники</v>
      </c>
      <c r="C1445" s="1153" t="str">
        <f aca="false">'Смета Расходов'!C2049</f>
        <v>ед.</v>
      </c>
      <c r="D1445" s="1152" t="n">
        <f aca="false">'Смета Расходов'!D2049</f>
        <v>0</v>
      </c>
      <c r="E1445" s="1152" t="n">
        <f aca="false">'Смета Расходов'!F2049</f>
        <v>3000</v>
      </c>
      <c r="F1445" s="1152" t="n">
        <f aca="false">'Смета Расходов'!G2049</f>
        <v>0</v>
      </c>
    </row>
    <row r="1446" customFormat="false" ht="15" hidden="false" customHeight="false" outlineLevel="0" collapsed="false">
      <c r="A1446" s="1139"/>
      <c r="B1446" s="1152" t="str">
        <f aca="false">'Смета Расходов'!B2050</f>
        <v>Нет техники</v>
      </c>
      <c r="C1446" s="1153" t="str">
        <f aca="false">'Смета Расходов'!C2050</f>
        <v>ед.</v>
      </c>
      <c r="D1446" s="1152" t="n">
        <f aca="false">'Смета Расходов'!D2050</f>
        <v>0</v>
      </c>
      <c r="E1446" s="1152" t="n">
        <f aca="false">'Смета Расходов'!F2050</f>
        <v>3000</v>
      </c>
      <c r="F1446" s="1152" t="n">
        <f aca="false">'Смета Расходов'!G2050</f>
        <v>0</v>
      </c>
    </row>
    <row r="1447" customFormat="false" ht="15" hidden="false" customHeight="false" outlineLevel="0" collapsed="false">
      <c r="A1447" s="1139"/>
      <c r="B1447" s="1152" t="str">
        <f aca="false">'Смета Расходов'!B2051</f>
        <v>Нет техники</v>
      </c>
      <c r="C1447" s="1153" t="str">
        <f aca="false">'Смета Расходов'!C2051</f>
        <v>ед.</v>
      </c>
      <c r="D1447" s="1152" t="n">
        <f aca="false">'Смета Расходов'!D2051</f>
        <v>0</v>
      </c>
      <c r="E1447" s="1152" t="n">
        <f aca="false">'Смета Расходов'!F2051</f>
        <v>0</v>
      </c>
      <c r="F1447" s="1152" t="n">
        <f aca="false">'Смета Расходов'!G2051</f>
        <v>0</v>
      </c>
    </row>
    <row r="1448" customFormat="false" ht="15" hidden="false" customHeight="false" outlineLevel="0" collapsed="false">
      <c r="A1448" s="1139"/>
      <c r="B1448" s="1152" t="str">
        <f aca="false">'Смета Расходов'!B2052</f>
        <v>Нет техники</v>
      </c>
      <c r="C1448" s="1153" t="str">
        <f aca="false">'Смета Расходов'!C2052</f>
        <v>ед.</v>
      </c>
      <c r="D1448" s="1152" t="n">
        <f aca="false">'Смета Расходов'!D2052</f>
        <v>0</v>
      </c>
      <c r="E1448" s="1152" t="n">
        <f aca="false">'Смета Расходов'!F2052</f>
        <v>0</v>
      </c>
      <c r="F1448" s="1152" t="n">
        <f aca="false">'Смета Расходов'!G2052</f>
        <v>0</v>
      </c>
    </row>
    <row r="1449" customFormat="false" ht="15" hidden="false" customHeight="false" outlineLevel="0" collapsed="false">
      <c r="A1449" s="1139"/>
      <c r="B1449" s="1152" t="str">
        <f aca="false">'Смета Расходов'!B2053</f>
        <v>Нет техники</v>
      </c>
      <c r="C1449" s="1153" t="str">
        <f aca="false">'Смета Расходов'!C2053</f>
        <v>ед.</v>
      </c>
      <c r="D1449" s="1152" t="n">
        <f aca="false">'Смета Расходов'!D2053</f>
        <v>0</v>
      </c>
      <c r="E1449" s="1152" t="n">
        <f aca="false">'Смета Расходов'!F2053</f>
        <v>0</v>
      </c>
      <c r="F1449" s="1152" t="n">
        <f aca="false">'Смета Расходов'!G2053</f>
        <v>0</v>
      </c>
    </row>
    <row r="1450" customFormat="false" ht="15" hidden="false" customHeight="false" outlineLevel="0" collapsed="false">
      <c r="A1450" s="1139"/>
      <c r="B1450" s="1152" t="str">
        <f aca="false">'Смета Расходов'!B2054</f>
        <v>Нет техники</v>
      </c>
      <c r="C1450" s="1153" t="str">
        <f aca="false">'Смета Расходов'!C2054</f>
        <v>ед.</v>
      </c>
      <c r="D1450" s="1152" t="n">
        <f aca="false">'Смета Расходов'!D2054</f>
        <v>0</v>
      </c>
      <c r="E1450" s="1152" t="n">
        <f aca="false">'Смета Расходов'!F2054</f>
        <v>0</v>
      </c>
      <c r="F1450" s="1152" t="n">
        <f aca="false">'Смета Расходов'!G2054</f>
        <v>0</v>
      </c>
    </row>
    <row r="1451" customFormat="false" ht="15" hidden="false" customHeight="false" outlineLevel="0" collapsed="false">
      <c r="A1451" s="1139"/>
      <c r="B1451" s="1152" t="str">
        <f aca="false">'Смета Расходов'!B2055</f>
        <v>Нет техники</v>
      </c>
      <c r="C1451" s="1153" t="str">
        <f aca="false">'Смета Расходов'!C2055</f>
        <v>ед.</v>
      </c>
      <c r="D1451" s="1152" t="n">
        <f aca="false">'Смета Расходов'!D2055</f>
        <v>0</v>
      </c>
      <c r="E1451" s="1152" t="n">
        <f aca="false">'Смета Расходов'!F2055</f>
        <v>0</v>
      </c>
      <c r="F1451" s="1152" t="n">
        <f aca="false">'Смета Расходов'!G2055</f>
        <v>0</v>
      </c>
    </row>
    <row r="1452" customFormat="false" ht="15" hidden="false" customHeight="false" outlineLevel="0" collapsed="false">
      <c r="A1452" s="1139"/>
      <c r="B1452" s="1152" t="str">
        <f aca="false">'Смета Расходов'!B2056</f>
        <v>Нет техники</v>
      </c>
      <c r="C1452" s="1153" t="str">
        <f aca="false">'Смета Расходов'!C2056</f>
        <v>ед.</v>
      </c>
      <c r="D1452" s="1152" t="n">
        <f aca="false">'Смета Расходов'!D2056</f>
        <v>0</v>
      </c>
      <c r="E1452" s="1152" t="n">
        <f aca="false">'Смета Расходов'!F2056</f>
        <v>0</v>
      </c>
      <c r="F1452" s="1152" t="n">
        <f aca="false">'Смета Расходов'!G2056</f>
        <v>0</v>
      </c>
    </row>
    <row r="1453" customFormat="false" ht="15" hidden="false" customHeight="false" outlineLevel="0" collapsed="false">
      <c r="A1453" s="1139"/>
      <c r="B1453" s="1152" t="str">
        <f aca="false">'Смета Расходов'!B2057</f>
        <v>Нет техники</v>
      </c>
      <c r="C1453" s="1153" t="str">
        <f aca="false">'Смета Расходов'!C2057</f>
        <v>ед.</v>
      </c>
      <c r="D1453" s="1152" t="n">
        <f aca="false">'Смета Расходов'!D2057</f>
        <v>0</v>
      </c>
      <c r="E1453" s="1152" t="n">
        <f aca="false">'Смета Расходов'!F2057</f>
        <v>0</v>
      </c>
      <c r="F1453" s="1152" t="n">
        <f aca="false">'Смета Расходов'!G2057</f>
        <v>0</v>
      </c>
    </row>
    <row r="1454" customFormat="false" ht="15" hidden="false" customHeight="false" outlineLevel="0" collapsed="false">
      <c r="A1454" s="1139"/>
      <c r="B1454" s="1152" t="str">
        <f aca="false">'Смета Расходов'!B2058</f>
        <v>Нет техники</v>
      </c>
      <c r="C1454" s="1153" t="str">
        <f aca="false">'Смета Расходов'!C2058</f>
        <v>ед.</v>
      </c>
      <c r="D1454" s="1152" t="n">
        <f aca="false">'Смета Расходов'!D2058</f>
        <v>0</v>
      </c>
      <c r="E1454" s="1152" t="n">
        <f aca="false">'Смета Расходов'!F2058</f>
        <v>0</v>
      </c>
      <c r="F1454" s="1152" t="n">
        <f aca="false">'Смета Расходов'!G2058</f>
        <v>0</v>
      </c>
    </row>
    <row r="1455" customFormat="false" ht="15" hidden="false" customHeight="false" outlineLevel="0" collapsed="false">
      <c r="A1455" s="1139"/>
      <c r="B1455" s="1152" t="str">
        <f aca="false">'Смета Расходов'!B2059</f>
        <v>Нет техники</v>
      </c>
      <c r="C1455" s="1153" t="str">
        <f aca="false">'Смета Расходов'!C2059</f>
        <v>ед.</v>
      </c>
      <c r="D1455" s="1152" t="n">
        <f aca="false">'Смета Расходов'!D2059</f>
        <v>0</v>
      </c>
      <c r="E1455" s="1152" t="n">
        <f aca="false">'Смета Расходов'!F2059</f>
        <v>0</v>
      </c>
      <c r="F1455" s="1152" t="n">
        <f aca="false">'Смета Расходов'!G2059</f>
        <v>0</v>
      </c>
    </row>
    <row r="1456" customFormat="false" ht="15" hidden="false" customHeight="false" outlineLevel="0" collapsed="false">
      <c r="A1456" s="1139"/>
      <c r="B1456" s="1152" t="str">
        <f aca="false">'Смета Расходов'!B2060</f>
        <v>Нет техники</v>
      </c>
      <c r="C1456" s="1153" t="str">
        <f aca="false">'Смета Расходов'!C2060</f>
        <v>ед.</v>
      </c>
      <c r="D1456" s="1152" t="n">
        <f aca="false">'Смета Расходов'!D2060</f>
        <v>0</v>
      </c>
      <c r="E1456" s="1152" t="n">
        <f aca="false">'Смета Расходов'!F2060</f>
        <v>0</v>
      </c>
      <c r="F1456" s="1152" t="n">
        <f aca="false">'Смета Расходов'!G2060</f>
        <v>0</v>
      </c>
    </row>
    <row r="1457" customFormat="false" ht="15" hidden="false" customHeight="false" outlineLevel="0" collapsed="false">
      <c r="A1457" s="1139"/>
      <c r="B1457" s="1152" t="str">
        <f aca="false">'Смета Расходов'!B2061</f>
        <v>Нет техники</v>
      </c>
      <c r="C1457" s="1153" t="str">
        <f aca="false">'Смета Расходов'!C2061</f>
        <v>ед.</v>
      </c>
      <c r="D1457" s="1152" t="n">
        <f aca="false">'Смета Расходов'!D2061</f>
        <v>0</v>
      </c>
      <c r="E1457" s="1152" t="n">
        <f aca="false">'Смета Расходов'!F2061</f>
        <v>0</v>
      </c>
      <c r="F1457" s="1152" t="n">
        <f aca="false">'Смета Расходов'!G2061</f>
        <v>0</v>
      </c>
    </row>
    <row r="1458" customFormat="false" ht="15" hidden="false" customHeight="false" outlineLevel="0" collapsed="false">
      <c r="A1458" s="1139"/>
      <c r="B1458" s="1152" t="str">
        <f aca="false">'Смета Расходов'!B2062</f>
        <v>Нет техники</v>
      </c>
      <c r="C1458" s="1153" t="str">
        <f aca="false">'Смета Расходов'!C2062</f>
        <v>ед.</v>
      </c>
      <c r="D1458" s="1152" t="n">
        <f aca="false">'Смета Расходов'!D2062</f>
        <v>0</v>
      </c>
      <c r="E1458" s="1152" t="n">
        <f aca="false">'Смета Расходов'!F2062</f>
        <v>0</v>
      </c>
      <c r="F1458" s="1152" t="n">
        <f aca="false">'Смета Расходов'!G2062</f>
        <v>0</v>
      </c>
    </row>
    <row r="1459" customFormat="false" ht="15" hidden="false" customHeight="false" outlineLevel="0" collapsed="false">
      <c r="A1459" s="1139"/>
      <c r="B1459" s="1152" t="str">
        <f aca="false">'Смета Расходов'!B2063</f>
        <v>Нет техники</v>
      </c>
      <c r="C1459" s="1153" t="str">
        <f aca="false">'Смета Расходов'!C2063</f>
        <v>ед.</v>
      </c>
      <c r="D1459" s="1152" t="n">
        <f aca="false">'Смета Расходов'!D2063</f>
        <v>0</v>
      </c>
      <c r="E1459" s="1152" t="n">
        <f aca="false">'Смета Расходов'!F2063</f>
        <v>0</v>
      </c>
      <c r="F1459" s="1152" t="n">
        <f aca="false">'Смета Расходов'!G2063</f>
        <v>0</v>
      </c>
    </row>
    <row r="1460" customFormat="false" ht="15" hidden="false" customHeight="false" outlineLevel="0" collapsed="false">
      <c r="A1460" s="1139"/>
      <c r="B1460" s="1152" t="str">
        <f aca="false">'Смета Расходов'!B2064</f>
        <v>Нет техники</v>
      </c>
      <c r="C1460" s="1153" t="str">
        <f aca="false">'Смета Расходов'!C2064</f>
        <v>ед.</v>
      </c>
      <c r="D1460" s="1152" t="n">
        <f aca="false">'Смета Расходов'!D2064</f>
        <v>0</v>
      </c>
      <c r="E1460" s="1152" t="n">
        <f aca="false">'Смета Расходов'!F2064</f>
        <v>0</v>
      </c>
      <c r="F1460" s="1152" t="n">
        <f aca="false">'Смета Расходов'!G2064</f>
        <v>0</v>
      </c>
    </row>
    <row r="1461" customFormat="false" ht="15" hidden="false" customHeight="false" outlineLevel="0" collapsed="false">
      <c r="A1461" s="1139"/>
      <c r="B1461" s="1152" t="str">
        <f aca="false">'Смета Расходов'!B2065</f>
        <v>Газель</v>
      </c>
      <c r="C1461" s="1153" t="str">
        <f aca="false">'Смета Расходов'!C2065</f>
        <v>ед.</v>
      </c>
      <c r="D1461" s="1152" t="n">
        <f aca="false">'Смета Расходов'!D2065</f>
        <v>0</v>
      </c>
      <c r="E1461" s="1152" t="n">
        <f aca="false">'Смета Расходов'!F2065</f>
        <v>1700</v>
      </c>
      <c r="F1461" s="1152" t="n">
        <f aca="false">'Смета Расходов'!G2065</f>
        <v>0</v>
      </c>
    </row>
    <row r="1462" customFormat="false" ht="15" hidden="false" customHeight="false" outlineLevel="0" collapsed="false">
      <c r="A1462" s="1139"/>
      <c r="B1462" s="1152" t="str">
        <f aca="false">'Смета Расходов'!B2066</f>
        <v>Доставка материала Фура</v>
      </c>
      <c r="C1462" s="1153" t="str">
        <f aca="false">'Смета Расходов'!C2066</f>
        <v>ед.</v>
      </c>
      <c r="D1462" s="1152" t="n">
        <f aca="false">'Смета Расходов'!D2066</f>
        <v>0</v>
      </c>
      <c r="E1462" s="1152" t="n">
        <f aca="false">'Смета Расходов'!F2066</f>
        <v>2500</v>
      </c>
      <c r="F1462" s="1152" t="n">
        <f aca="false">'Смета Расходов'!G2066</f>
        <v>0</v>
      </c>
    </row>
    <row r="1463" customFormat="false" ht="15" hidden="false" customHeight="false" outlineLevel="0" collapsed="false">
      <c r="A1463" s="1139"/>
      <c r="B1463" s="1152" t="str">
        <f aca="false">'Смета Расходов'!B2067</f>
        <v>Воровайка</v>
      </c>
      <c r="C1463" s="1153" t="str">
        <f aca="false">'Смета Расходов'!C2067</f>
        <v>ед.</v>
      </c>
      <c r="D1463" s="1152" t="n">
        <f aca="false">'Смета Расходов'!D2067</f>
        <v>0</v>
      </c>
      <c r="E1463" s="1152" t="n">
        <f aca="false">'Смета Расходов'!F2067</f>
        <v>3500</v>
      </c>
      <c r="F1463" s="1152" t="n">
        <f aca="false">'Смета Расходов'!G2067</f>
        <v>0</v>
      </c>
    </row>
    <row r="1464" customFormat="false" ht="15" hidden="false" customHeight="false" outlineLevel="0" collapsed="false">
      <c r="A1464" s="1139"/>
      <c r="B1464" s="1152" t="str">
        <f aca="false">'Смета Расходов'!B2068</f>
        <v>Нет техники</v>
      </c>
      <c r="C1464" s="1153" t="str">
        <f aca="false">'Смета Расходов'!C2068</f>
        <v>ед.</v>
      </c>
      <c r="D1464" s="1152" t="n">
        <f aca="false">'Смета Расходов'!D2068</f>
        <v>4</v>
      </c>
      <c r="E1464" s="1152" t="n">
        <f aca="false">'Смета Расходов'!F2068</f>
        <v>0</v>
      </c>
      <c r="F1464" s="1152" t="n">
        <f aca="false">'Смета Расходов'!G2068</f>
        <v>0</v>
      </c>
    </row>
    <row r="1465" customFormat="false" ht="15" hidden="false" customHeight="false" outlineLevel="0" collapsed="false">
      <c r="A1465" s="1139"/>
      <c r="B1465" s="1152" t="str">
        <f aca="false">'Смета Расходов'!B2069</f>
        <v>Нет техники</v>
      </c>
      <c r="C1465" s="1153" t="str">
        <f aca="false">'Смета Расходов'!C2069</f>
        <v>ед.</v>
      </c>
      <c r="D1465" s="1152" t="n">
        <f aca="false">'Смета Расходов'!D2069</f>
        <v>0</v>
      </c>
      <c r="E1465" s="1152" t="n">
        <f aca="false">'Смета Расходов'!F2069</f>
        <v>0</v>
      </c>
      <c r="F1465" s="1152" t="n">
        <f aca="false">'Смета Расходов'!G2069</f>
        <v>0</v>
      </c>
    </row>
    <row r="1466" customFormat="false" ht="15" hidden="false" customHeight="false" outlineLevel="0" collapsed="false">
      <c r="A1466" s="1139"/>
      <c r="B1466" s="1152" t="str">
        <f aca="false">'Смета Расходов'!B2070</f>
        <v>Нет техники</v>
      </c>
      <c r="C1466" s="1153" t="str">
        <f aca="false">'Смета Расходов'!C2070</f>
        <v>ед.</v>
      </c>
      <c r="D1466" s="1152" t="n">
        <f aca="false">'Смета Расходов'!D2070</f>
        <v>4</v>
      </c>
      <c r="E1466" s="1152" t="n">
        <f aca="false">'Смета Расходов'!F2070</f>
        <v>0</v>
      </c>
      <c r="F1466" s="1152" t="n">
        <f aca="false">'Смета Расходов'!G2070</f>
        <v>0</v>
      </c>
    </row>
    <row r="1467" customFormat="false" ht="15" hidden="false" customHeight="false" outlineLevel="0" collapsed="false">
      <c r="A1467" s="1139"/>
      <c r="B1467" s="1152" t="str">
        <f aca="false">'Смета Расходов'!B2071</f>
        <v>Нет техники</v>
      </c>
      <c r="C1467" s="1153" t="str">
        <f aca="false">'Смета Расходов'!C2071</f>
        <v>ед.</v>
      </c>
      <c r="D1467" s="1152" t="n">
        <f aca="false">'Смета Расходов'!D2071</f>
        <v>0</v>
      </c>
      <c r="E1467" s="1152" t="n">
        <f aca="false">'Смета Расходов'!F2071</f>
        <v>0</v>
      </c>
      <c r="F1467" s="1152" t="n">
        <f aca="false">'Смета Расходов'!G2071</f>
        <v>0</v>
      </c>
    </row>
    <row r="1468" customFormat="false" ht="15" hidden="false" customHeight="false" outlineLevel="0" collapsed="false">
      <c r="A1468" s="1139"/>
      <c r="B1468" s="1152" t="str">
        <f aca="false">'Смета Расходов'!B2072</f>
        <v>Нет техники</v>
      </c>
      <c r="C1468" s="1153" t="str">
        <f aca="false">'Смета Расходов'!C2072</f>
        <v>ед.</v>
      </c>
      <c r="D1468" s="1152" t="n">
        <f aca="false">'Смета Расходов'!D2072</f>
        <v>0</v>
      </c>
      <c r="E1468" s="1152" t="n">
        <f aca="false">'Смета Расходов'!F2072</f>
        <v>0</v>
      </c>
      <c r="F1468" s="1152" t="n">
        <f aca="false">'Смета Расходов'!G2072</f>
        <v>0</v>
      </c>
    </row>
    <row r="1469" customFormat="false" ht="15" hidden="false" customHeight="false" outlineLevel="0" collapsed="false">
      <c r="A1469" s="1139"/>
      <c r="B1469" s="1152" t="str">
        <f aca="false">'Смета Расходов'!B2073</f>
        <v>Нет техники</v>
      </c>
      <c r="C1469" s="1153" t="str">
        <f aca="false">'Смета Расходов'!C2073</f>
        <v>ед.</v>
      </c>
      <c r="D1469" s="1152" t="n">
        <f aca="false">'Смета Расходов'!D2073</f>
        <v>0</v>
      </c>
      <c r="E1469" s="1152" t="n">
        <f aca="false">'Смета Расходов'!F2073</f>
        <v>0</v>
      </c>
      <c r="F1469" s="1152" t="n">
        <f aca="false">'Смета Расходов'!G2073</f>
        <v>0</v>
      </c>
    </row>
    <row r="1470" customFormat="false" ht="15" hidden="false" customHeight="false" outlineLevel="0" collapsed="false">
      <c r="A1470" s="1139"/>
      <c r="B1470" s="1152" t="str">
        <f aca="false">'Смета Расходов'!B2074</f>
        <v>Нет техники</v>
      </c>
      <c r="C1470" s="1153" t="str">
        <f aca="false">'Смета Расходов'!C2074</f>
        <v>ед.</v>
      </c>
      <c r="D1470" s="1152" t="n">
        <f aca="false">'Смета Расходов'!D2074</f>
        <v>4</v>
      </c>
      <c r="E1470" s="1152" t="n">
        <f aca="false">'Смета Расходов'!F2074</f>
        <v>0</v>
      </c>
      <c r="F1470" s="1152" t="n">
        <f aca="false">'Смета Расходов'!G2074</f>
        <v>0</v>
      </c>
    </row>
    <row r="1471" customFormat="false" ht="15" hidden="false" customHeight="false" outlineLevel="0" collapsed="false">
      <c r="A1471" s="1139"/>
      <c r="B1471" s="1152" t="str">
        <f aca="false">'Смета Расходов'!B2075</f>
        <v>Нет техники</v>
      </c>
      <c r="C1471" s="1153" t="str">
        <f aca="false">'Смета Расходов'!C2075</f>
        <v>ед.</v>
      </c>
      <c r="D1471" s="1152" t="n">
        <f aca="false">'Смета Расходов'!D2075</f>
        <v>0</v>
      </c>
      <c r="E1471" s="1152" t="n">
        <f aca="false">'Смета Расходов'!F2075</f>
        <v>0</v>
      </c>
      <c r="F1471" s="1152" t="n">
        <f aca="false">'Смета Расходов'!G2075</f>
        <v>0</v>
      </c>
    </row>
    <row r="1472" customFormat="false" ht="15" hidden="false" customHeight="false" outlineLevel="0" collapsed="false">
      <c r="A1472" s="1139"/>
      <c r="B1472" s="1152" t="str">
        <f aca="false">'Смета Расходов'!B2076</f>
        <v>Нет техники</v>
      </c>
      <c r="C1472" s="1153" t="str">
        <f aca="false">'Смета Расходов'!C2076</f>
        <v>ед.</v>
      </c>
      <c r="D1472" s="1152" t="n">
        <f aca="false">'Смета Расходов'!D2076</f>
        <v>0</v>
      </c>
      <c r="E1472" s="1152" t="n">
        <f aca="false">'Смета Расходов'!F2076</f>
        <v>0</v>
      </c>
      <c r="F1472" s="1152" t="n">
        <f aca="false">'Смета Расходов'!G2076</f>
        <v>0</v>
      </c>
    </row>
    <row r="1473" customFormat="false" ht="15" hidden="false" customHeight="false" outlineLevel="0" collapsed="false">
      <c r="A1473" s="1139"/>
      <c r="B1473" s="1152" t="str">
        <f aca="false">'Смета Расходов'!B2077</f>
        <v>Нет техники</v>
      </c>
      <c r="C1473" s="1153" t="str">
        <f aca="false">'Смета Расходов'!C2077</f>
        <v>ед.</v>
      </c>
      <c r="D1473" s="1152" t="n">
        <f aca="false">'Смета Расходов'!D2077</f>
        <v>0</v>
      </c>
      <c r="E1473" s="1152" t="n">
        <f aca="false">'Смета Расходов'!F2077</f>
        <v>0</v>
      </c>
      <c r="F1473" s="1152" t="n">
        <f aca="false">'Смета Расходов'!G2077</f>
        <v>0</v>
      </c>
    </row>
    <row r="1474" customFormat="false" ht="15" hidden="false" customHeight="false" outlineLevel="0" collapsed="false">
      <c r="A1474" s="1139"/>
      <c r="B1474" s="1152" t="str">
        <f aca="false">'Смета Расходов'!B2078</f>
        <v>Нет техники</v>
      </c>
      <c r="C1474" s="1153" t="str">
        <f aca="false">'Смета Расходов'!C2078</f>
        <v>ед.</v>
      </c>
      <c r="D1474" s="1152" t="n">
        <f aca="false">'Смета Расходов'!D2078</f>
        <v>0</v>
      </c>
      <c r="E1474" s="1152" t="n">
        <f aca="false">'Смета Расходов'!F2078</f>
        <v>0</v>
      </c>
      <c r="F1474" s="1152" t="n">
        <f aca="false">'Смета Расходов'!G2078</f>
        <v>0</v>
      </c>
    </row>
    <row r="1475" customFormat="false" ht="15" hidden="false" customHeight="false" outlineLevel="0" collapsed="false">
      <c r="A1475" s="1139"/>
      <c r="B1475" s="1152" t="str">
        <f aca="false">'Смета Расходов'!B2079</f>
        <v>Нет техники</v>
      </c>
      <c r="C1475" s="1153" t="str">
        <f aca="false">'Смета Расходов'!C2079</f>
        <v>ед.</v>
      </c>
      <c r="D1475" s="1152" t="n">
        <f aca="false">'Смета Расходов'!D2079</f>
        <v>0</v>
      </c>
      <c r="E1475" s="1152" t="n">
        <f aca="false">'Смета Расходов'!F2079</f>
        <v>0</v>
      </c>
      <c r="F1475" s="1152" t="n">
        <f aca="false">'Смета Расходов'!G2079</f>
        <v>0</v>
      </c>
    </row>
    <row r="1476" customFormat="false" ht="15" hidden="false" customHeight="false" outlineLevel="0" collapsed="false">
      <c r="A1476" s="1139"/>
      <c r="B1476" s="1152" t="str">
        <f aca="false">'Смета Расходов'!B2080</f>
        <v>Нет техники</v>
      </c>
      <c r="C1476" s="1153" t="str">
        <f aca="false">'Смета Расходов'!C2080</f>
        <v>ед.</v>
      </c>
      <c r="D1476" s="1152" t="n">
        <f aca="false">'Смета Расходов'!D2080</f>
        <v>1</v>
      </c>
      <c r="E1476" s="1152" t="n">
        <f aca="false">'Смета Расходов'!F2080</f>
        <v>0</v>
      </c>
      <c r="F1476" s="1152" t="n">
        <f aca="false">'Смета Расходов'!G2080</f>
        <v>0</v>
      </c>
    </row>
    <row r="1477" customFormat="false" ht="15" hidden="false" customHeight="false" outlineLevel="0" collapsed="false">
      <c r="A1477" s="1139"/>
      <c r="B1477" s="1152" t="str">
        <f aca="false">'Смета Расходов'!B2081</f>
        <v>Нет техники</v>
      </c>
      <c r="C1477" s="1153" t="str">
        <f aca="false">'Смета Расходов'!C2081</f>
        <v>ед.</v>
      </c>
      <c r="D1477" s="1152" t="n">
        <f aca="false">'Смета Расходов'!D2081</f>
        <v>0</v>
      </c>
      <c r="E1477" s="1152" t="n">
        <f aca="false">'Смета Расходов'!F2081</f>
        <v>0</v>
      </c>
      <c r="F1477" s="1152" t="n">
        <f aca="false">'Смета Расходов'!G2081</f>
        <v>0</v>
      </c>
    </row>
    <row r="1478" customFormat="false" ht="15" hidden="false" customHeight="false" outlineLevel="0" collapsed="false">
      <c r="A1478" s="1139"/>
      <c r="B1478" s="1152" t="str">
        <f aca="false">'Смета Расходов'!B2082</f>
        <v>Нет техники</v>
      </c>
      <c r="C1478" s="1153" t="str">
        <f aca="false">'Смета Расходов'!C2082</f>
        <v>ед.</v>
      </c>
      <c r="D1478" s="1152" t="n">
        <f aca="false">'Смета Расходов'!D2082</f>
        <v>1</v>
      </c>
      <c r="E1478" s="1152" t="n">
        <f aca="false">'Смета Расходов'!F2082</f>
        <v>0</v>
      </c>
      <c r="F1478" s="1152" t="n">
        <f aca="false">'Смета Расходов'!G2082</f>
        <v>0</v>
      </c>
    </row>
    <row r="1479" customFormat="false" ht="15" hidden="false" customHeight="false" outlineLevel="0" collapsed="false">
      <c r="A1479" s="1139"/>
      <c r="B1479" s="1152" t="str">
        <f aca="false">'Смета Расходов'!B2083</f>
        <v>Нет техники</v>
      </c>
      <c r="C1479" s="1153" t="str">
        <f aca="false">'Смета Расходов'!C2083</f>
        <v>ед.</v>
      </c>
      <c r="D1479" s="1152" t="n">
        <f aca="false">'Смета Расходов'!D2083</f>
        <v>0</v>
      </c>
      <c r="E1479" s="1152" t="n">
        <f aca="false">'Смета Расходов'!F2083</f>
        <v>0</v>
      </c>
      <c r="F1479" s="1152" t="n">
        <f aca="false">'Смета Расходов'!G2083</f>
        <v>0</v>
      </c>
    </row>
    <row r="1480" customFormat="false" ht="15" hidden="false" customHeight="false" outlineLevel="0" collapsed="false">
      <c r="A1480" s="1139"/>
      <c r="B1480" s="1152" t="str">
        <f aca="false">'Смета Расходов'!B2084</f>
        <v>Экскаватор погрузчик</v>
      </c>
      <c r="C1480" s="1153" t="str">
        <f aca="false">'Смета Расходов'!C2084</f>
        <v>ед.</v>
      </c>
      <c r="D1480" s="1152" t="n">
        <f aca="false">'Смета Расходов'!D2084</f>
        <v>5</v>
      </c>
      <c r="E1480" s="1152" t="n">
        <f aca="false">'Смета Расходов'!F2084</f>
        <v>2200</v>
      </c>
      <c r="F1480" s="1152" t="n">
        <f aca="false">'Смета Расходов'!G2084</f>
        <v>0</v>
      </c>
    </row>
    <row r="1481" customFormat="false" ht="15" hidden="false" customHeight="false" outlineLevel="0" collapsed="false">
      <c r="A1481" s="1139"/>
      <c r="B1481" s="1152" t="str">
        <f aca="false">'Смета Расходов'!B2085</f>
        <v>Манипулятор 5т</v>
      </c>
      <c r="C1481" s="1153" t="str">
        <f aca="false">'Смета Расходов'!C2085</f>
        <v>ед.</v>
      </c>
      <c r="D1481" s="1152" t="n">
        <f aca="false">'Смета Расходов'!D2085</f>
        <v>3</v>
      </c>
      <c r="E1481" s="1152" t="n">
        <f aca="false">'Смета Расходов'!F2085</f>
        <v>2500</v>
      </c>
      <c r="F1481" s="1152" t="n">
        <f aca="false">'Смета Расходов'!G2085</f>
        <v>0</v>
      </c>
    </row>
    <row r="1482" customFormat="false" ht="15" hidden="false" customHeight="false" outlineLevel="0" collapsed="false">
      <c r="A1482" s="1139"/>
      <c r="B1482" s="1152" t="str">
        <f aca="false">'Смета Расходов'!B2086</f>
        <v>Нет техники</v>
      </c>
      <c r="C1482" s="1153" t="str">
        <f aca="false">'Смета Расходов'!C2086</f>
        <v>ед.</v>
      </c>
      <c r="D1482" s="1152" t="n">
        <f aca="false">'Смета Расходов'!D2086</f>
        <v>4</v>
      </c>
      <c r="E1482" s="1152" t="n">
        <f aca="false">'Смета Расходов'!F2086</f>
        <v>0</v>
      </c>
      <c r="F1482" s="1152" t="n">
        <f aca="false">'Смета Расходов'!G2086</f>
        <v>0</v>
      </c>
    </row>
    <row r="1483" customFormat="false" ht="15" hidden="false" customHeight="false" outlineLevel="0" collapsed="false">
      <c r="A1483" s="1139"/>
      <c r="B1483" s="1152" t="str">
        <f aca="false">'Смета Расходов'!B2087</f>
        <v>Нет техники</v>
      </c>
      <c r="C1483" s="1153" t="str">
        <f aca="false">'Смета Расходов'!C2087</f>
        <v>ед.</v>
      </c>
      <c r="D1483" s="1152" t="n">
        <f aca="false">'Смета Расходов'!D2087</f>
        <v>0</v>
      </c>
      <c r="E1483" s="1152" t="n">
        <f aca="false">'Смета Расходов'!F2087</f>
        <v>0</v>
      </c>
      <c r="F1483" s="1152" t="n">
        <f aca="false">'Смета Расходов'!G2087</f>
        <v>0</v>
      </c>
    </row>
    <row r="1484" customFormat="false" ht="15" hidden="false" customHeight="false" outlineLevel="0" collapsed="false">
      <c r="A1484" s="1139"/>
      <c r="B1484" s="1152" t="str">
        <f aca="false">'Смета Расходов'!B2088</f>
        <v>Нет техники</v>
      </c>
      <c r="C1484" s="1153" t="str">
        <f aca="false">'Смета Расходов'!C2088</f>
        <v>ед.</v>
      </c>
      <c r="D1484" s="1152" t="n">
        <f aca="false">'Смета Расходов'!D2088</f>
        <v>0</v>
      </c>
      <c r="E1484" s="1152" t="n">
        <f aca="false">'Смета Расходов'!F2088</f>
        <v>0</v>
      </c>
      <c r="F1484" s="1152" t="n">
        <f aca="false">'Смета Расходов'!G2088</f>
        <v>0</v>
      </c>
    </row>
    <row r="1485" customFormat="false" ht="15" hidden="false" customHeight="false" outlineLevel="0" collapsed="false">
      <c r="A1485" s="1139"/>
      <c r="B1485" s="1152" t="str">
        <f aca="false">'Смета Расходов'!B2089</f>
        <v>Нет техники</v>
      </c>
      <c r="C1485" s="1153" t="str">
        <f aca="false">'Смета Расходов'!C2089</f>
        <v>ед.</v>
      </c>
      <c r="D1485" s="1152" t="n">
        <f aca="false">'Смета Расходов'!D2089</f>
        <v>0</v>
      </c>
      <c r="E1485" s="1152" t="n">
        <f aca="false">'Смета Расходов'!F2089</f>
        <v>0</v>
      </c>
      <c r="F1485" s="1152" t="n">
        <f aca="false">'Смета Расходов'!G2089</f>
        <v>0</v>
      </c>
    </row>
    <row r="1486" customFormat="false" ht="15" hidden="false" customHeight="false" outlineLevel="0" collapsed="false">
      <c r="A1486" s="1139"/>
      <c r="B1486" s="1152" t="str">
        <f aca="false">'Смета Расходов'!B2090</f>
        <v>Нет техники</v>
      </c>
      <c r="C1486" s="1153" t="str">
        <f aca="false">'Смета Расходов'!C2090</f>
        <v>ед.</v>
      </c>
      <c r="D1486" s="1152" t="n">
        <f aca="false">'Смета Расходов'!D2090</f>
        <v>4</v>
      </c>
      <c r="E1486" s="1152" t="n">
        <f aca="false">'Смета Расходов'!F2090</f>
        <v>0</v>
      </c>
      <c r="F1486" s="1152" t="n">
        <f aca="false">'Смета Расходов'!G2090</f>
        <v>0</v>
      </c>
    </row>
    <row r="1487" customFormat="false" ht="15" hidden="false" customHeight="false" outlineLevel="0" collapsed="false">
      <c r="A1487" s="1139"/>
      <c r="B1487" s="1152" t="str">
        <f aca="false">'Смета Расходов'!B2091</f>
        <v>Нет техники</v>
      </c>
      <c r="C1487" s="1153" t="str">
        <f aca="false">'Смета Расходов'!C2091</f>
        <v>ед.</v>
      </c>
      <c r="D1487" s="1152" t="n">
        <f aca="false">'Смета Расходов'!D2091</f>
        <v>0</v>
      </c>
      <c r="E1487" s="1152" t="n">
        <f aca="false">'Смета Расходов'!F2091</f>
        <v>0</v>
      </c>
      <c r="F1487" s="1152" t="n">
        <f aca="false">'Смета Расходов'!G2091</f>
        <v>0</v>
      </c>
    </row>
    <row r="1488" customFormat="false" ht="15" hidden="false" customHeight="false" outlineLevel="0" collapsed="false">
      <c r="A1488" s="1139"/>
      <c r="B1488" s="1152" t="str">
        <f aca="false">'Смета Расходов'!B2092</f>
        <v>Нет техники</v>
      </c>
      <c r="C1488" s="1153" t="str">
        <f aca="false">'Смета Расходов'!C2092</f>
        <v>ед.</v>
      </c>
      <c r="D1488" s="1152" t="n">
        <f aca="false">'Смета Расходов'!D2092</f>
        <v>4</v>
      </c>
      <c r="E1488" s="1152" t="n">
        <f aca="false">'Смета Расходов'!F2092</f>
        <v>0</v>
      </c>
      <c r="F1488" s="1152" t="n">
        <f aca="false">'Смета Расходов'!G2092</f>
        <v>0</v>
      </c>
    </row>
    <row r="1489" customFormat="false" ht="15" hidden="false" customHeight="false" outlineLevel="0" collapsed="false">
      <c r="A1489" s="1139"/>
      <c r="B1489" s="1152" t="str">
        <f aca="false">'Смета Расходов'!B2093</f>
        <v>Нет техники</v>
      </c>
      <c r="C1489" s="1153" t="str">
        <f aca="false">'Смета Расходов'!C2093</f>
        <v>ед.</v>
      </c>
      <c r="D1489" s="1152" t="n">
        <f aca="false">'Смета Расходов'!D2093</f>
        <v>0</v>
      </c>
      <c r="E1489" s="1152" t="n">
        <f aca="false">'Смета Расходов'!F2093</f>
        <v>0</v>
      </c>
      <c r="F1489" s="1152" t="n">
        <f aca="false">'Смета Расходов'!G2093</f>
        <v>0</v>
      </c>
    </row>
    <row r="1490" customFormat="false" ht="15" hidden="false" customHeight="false" outlineLevel="0" collapsed="false">
      <c r="A1490" s="1139"/>
      <c r="B1490" s="1152" t="str">
        <f aca="false">'Смета Расходов'!B2094</f>
        <v>Нет техники</v>
      </c>
      <c r="C1490" s="1153" t="str">
        <f aca="false">'Смета Расходов'!C2094</f>
        <v>ед.</v>
      </c>
      <c r="D1490" s="1152" t="n">
        <f aca="false">'Смета Расходов'!D2094</f>
        <v>0</v>
      </c>
      <c r="E1490" s="1152" t="n">
        <f aca="false">'Смета Расходов'!F2094</f>
        <v>0</v>
      </c>
      <c r="F1490" s="1152" t="n">
        <f aca="false">'Смета Расходов'!G2094</f>
        <v>0</v>
      </c>
    </row>
    <row r="1491" customFormat="false" ht="15" hidden="false" customHeight="false" outlineLevel="0" collapsed="false">
      <c r="A1491" s="1139"/>
      <c r="B1491" s="1152" t="str">
        <f aca="false">'Смета Расходов'!B2095</f>
        <v>Нет техники</v>
      </c>
      <c r="C1491" s="1153" t="str">
        <f aca="false">'Смета Расходов'!C2095</f>
        <v>ед.</v>
      </c>
      <c r="D1491" s="1152" t="n">
        <f aca="false">'Смета Расходов'!D2095</f>
        <v>0</v>
      </c>
      <c r="E1491" s="1152" t="n">
        <f aca="false">'Смета Расходов'!F2095</f>
        <v>0</v>
      </c>
      <c r="F1491" s="1152" t="n">
        <f aca="false">'Смета Расходов'!G2095</f>
        <v>0</v>
      </c>
    </row>
    <row r="1492" customFormat="false" ht="15" hidden="false" customHeight="false" outlineLevel="0" collapsed="false">
      <c r="A1492" s="1139"/>
      <c r="B1492" s="1152" t="str">
        <f aca="false">'Смета Расходов'!B2096</f>
        <v>Нет техники</v>
      </c>
      <c r="C1492" s="1153" t="str">
        <f aca="false">'Смета Расходов'!C2096</f>
        <v>ед.</v>
      </c>
      <c r="D1492" s="1152" t="n">
        <f aca="false">'Смета Расходов'!D2096</f>
        <v>1</v>
      </c>
      <c r="E1492" s="1152" t="n">
        <f aca="false">'Смета Расходов'!F2096</f>
        <v>0</v>
      </c>
      <c r="F1492" s="1152" t="n">
        <f aca="false">'Смета Расходов'!G2096</f>
        <v>0</v>
      </c>
    </row>
    <row r="1493" customFormat="false" ht="15" hidden="false" customHeight="false" outlineLevel="0" collapsed="false">
      <c r="A1493" s="1139"/>
      <c r="B1493" s="1152" t="str">
        <f aca="false">'Смета Расходов'!B2097</f>
        <v>Нет техники</v>
      </c>
      <c r="C1493" s="1153" t="str">
        <f aca="false">'Смета Расходов'!C2097</f>
        <v>ед.</v>
      </c>
      <c r="D1493" s="1152" t="n">
        <f aca="false">'Смета Расходов'!D2097</f>
        <v>0</v>
      </c>
      <c r="E1493" s="1152" t="n">
        <f aca="false">'Смета Расходов'!F2097</f>
        <v>0</v>
      </c>
      <c r="F1493" s="1152" t="n">
        <f aca="false">'Смета Расходов'!G2097</f>
        <v>0</v>
      </c>
    </row>
    <row r="1494" customFormat="false" ht="15" hidden="false" customHeight="false" outlineLevel="0" collapsed="false">
      <c r="A1494" s="1139"/>
      <c r="B1494" s="1152" t="str">
        <f aca="false">'Смета Расходов'!B2098</f>
        <v>Нет техники</v>
      </c>
      <c r="C1494" s="1153" t="str">
        <f aca="false">'Смета Расходов'!C2098</f>
        <v>ед.</v>
      </c>
      <c r="D1494" s="1152" t="n">
        <f aca="false">'Смета Расходов'!D2098</f>
        <v>0</v>
      </c>
      <c r="E1494" s="1152" t="n">
        <f aca="false">'Смета Расходов'!F2098</f>
        <v>0</v>
      </c>
      <c r="F1494" s="1152" t="n">
        <f aca="false">'Смета Расходов'!G2098</f>
        <v>0</v>
      </c>
    </row>
    <row r="1495" customFormat="false" ht="15" hidden="false" customHeight="false" outlineLevel="0" collapsed="false">
      <c r="A1495" s="1139"/>
      <c r="B1495" s="1152" t="str">
        <f aca="false">'Смета Расходов'!B2099</f>
        <v>Нет техники</v>
      </c>
      <c r="C1495" s="1153" t="str">
        <f aca="false">'Смета Расходов'!C2099</f>
        <v>ед.</v>
      </c>
      <c r="D1495" s="1152" t="n">
        <f aca="false">'Смета Расходов'!D2099</f>
        <v>0</v>
      </c>
      <c r="E1495" s="1152" t="n">
        <f aca="false">'Смета Расходов'!F2099</f>
        <v>0</v>
      </c>
      <c r="F1495" s="1152" t="n">
        <f aca="false">'Смета Расходов'!G2099</f>
        <v>0</v>
      </c>
    </row>
    <row r="1496" customFormat="false" ht="15" hidden="false" customHeight="false" outlineLevel="0" collapsed="false">
      <c r="A1496" s="1139"/>
      <c r="B1496" s="1152" t="str">
        <f aca="false">'Смета Расходов'!B2100</f>
        <v>Нет техники</v>
      </c>
      <c r="C1496" s="1153" t="str">
        <f aca="false">'Смета Расходов'!C2100</f>
        <v>ед.</v>
      </c>
      <c r="D1496" s="1152" t="n">
        <f aca="false">'Смета Расходов'!D2100</f>
        <v>3</v>
      </c>
      <c r="E1496" s="1152" t="n">
        <f aca="false">'Смета Расходов'!F2100</f>
        <v>0</v>
      </c>
      <c r="F1496" s="1152" t="n">
        <f aca="false">'Смета Расходов'!G2100</f>
        <v>0</v>
      </c>
    </row>
    <row r="1497" customFormat="false" ht="15" hidden="false" customHeight="false" outlineLevel="0" collapsed="false">
      <c r="A1497" s="1139"/>
      <c r="B1497" s="1152" t="str">
        <f aca="false">'Смета Расходов'!B2101</f>
        <v>Нет техники</v>
      </c>
      <c r="C1497" s="1153" t="str">
        <f aca="false">'Смета Расходов'!C2101</f>
        <v>ед.</v>
      </c>
      <c r="D1497" s="1152" t="n">
        <f aca="false">'Смета Расходов'!D2101</f>
        <v>0</v>
      </c>
      <c r="E1497" s="1152" t="n">
        <f aca="false">'Смета Расходов'!F2101</f>
        <v>0</v>
      </c>
      <c r="F1497" s="1152" t="n">
        <f aca="false">'Смета Расходов'!G2101</f>
        <v>0</v>
      </c>
    </row>
    <row r="1498" customFormat="false" ht="15" hidden="false" customHeight="false" outlineLevel="0" collapsed="false">
      <c r="A1498" s="1139"/>
      <c r="B1498" s="1152" t="str">
        <f aca="false">'Смета Расходов'!B2102</f>
        <v>Нет техники</v>
      </c>
      <c r="C1498" s="1153" t="str">
        <f aca="false">'Смета Расходов'!C2102</f>
        <v>ед.</v>
      </c>
      <c r="D1498" s="1152" t="n">
        <f aca="false">'Смета Расходов'!D2102</f>
        <v>3</v>
      </c>
      <c r="E1498" s="1152" t="n">
        <f aca="false">'Смета Расходов'!F2102</f>
        <v>0</v>
      </c>
      <c r="F1498" s="1152" t="n">
        <f aca="false">'Смета Расходов'!G2102</f>
        <v>0</v>
      </c>
    </row>
    <row r="1499" customFormat="false" ht="15" hidden="false" customHeight="false" outlineLevel="0" collapsed="false">
      <c r="A1499" s="1139"/>
      <c r="B1499" s="1152" t="str">
        <f aca="false">'Смета Расходов'!B2103</f>
        <v>Нет техники</v>
      </c>
      <c r="C1499" s="1153" t="str">
        <f aca="false">'Смета Расходов'!C2103</f>
        <v>ед.</v>
      </c>
      <c r="D1499" s="1152" t="n">
        <f aca="false">'Смета Расходов'!D2103</f>
        <v>0</v>
      </c>
      <c r="E1499" s="1152" t="n">
        <f aca="false">'Смета Расходов'!F2103</f>
        <v>0</v>
      </c>
      <c r="F1499" s="1152" t="n">
        <f aca="false">'Смета Расходов'!G2103</f>
        <v>0</v>
      </c>
    </row>
    <row r="1500" customFormat="false" ht="15" hidden="false" customHeight="false" outlineLevel="0" collapsed="false">
      <c r="A1500" s="1139"/>
      <c r="B1500" s="1152" t="str">
        <f aca="false">'Смета Расходов'!B2104</f>
        <v>Нет техники</v>
      </c>
      <c r="C1500" s="1153" t="str">
        <f aca="false">'Смета Расходов'!C2104</f>
        <v>ед.</v>
      </c>
      <c r="D1500" s="1152" t="n">
        <f aca="false">'Смета Расходов'!D2104</f>
        <v>0</v>
      </c>
      <c r="E1500" s="1152" t="n">
        <f aca="false">'Смета Расходов'!F2104</f>
        <v>0</v>
      </c>
      <c r="F1500" s="1152" t="n">
        <f aca="false">'Смета Расходов'!G2104</f>
        <v>0</v>
      </c>
    </row>
    <row r="1501" customFormat="false" ht="15" hidden="false" customHeight="false" outlineLevel="0" collapsed="false">
      <c r="A1501" s="1139"/>
      <c r="B1501" s="1152" t="str">
        <f aca="false">'Смета Расходов'!B2105</f>
        <v>Нет техники</v>
      </c>
      <c r="C1501" s="1153" t="str">
        <f aca="false">'Смета Расходов'!C2105</f>
        <v>ед.</v>
      </c>
      <c r="D1501" s="1152" t="n">
        <f aca="false">'Смета Расходов'!D2105</f>
        <v>0</v>
      </c>
      <c r="E1501" s="1152" t="n">
        <f aca="false">'Смета Расходов'!F2105</f>
        <v>0</v>
      </c>
      <c r="F1501" s="1152" t="n">
        <f aca="false">'Смета Расходов'!G2105</f>
        <v>0</v>
      </c>
    </row>
    <row r="1502" customFormat="false" ht="15" hidden="false" customHeight="false" outlineLevel="0" collapsed="false">
      <c r="A1502" s="1139"/>
      <c r="B1502" s="1152" t="str">
        <f aca="false">'Смета Расходов'!B2106</f>
        <v>Нет техники</v>
      </c>
      <c r="C1502" s="1153" t="str">
        <f aca="false">'Смета Расходов'!C2106</f>
        <v>ед.</v>
      </c>
      <c r="D1502" s="1152" t="n">
        <f aca="false">'Смета Расходов'!D2106</f>
        <v>0</v>
      </c>
      <c r="E1502" s="1152" t="n">
        <f aca="false">'Смета Расходов'!F2106</f>
        <v>0</v>
      </c>
      <c r="F1502" s="1152" t="n">
        <f aca="false">'Смета Расходов'!G2106</f>
        <v>0</v>
      </c>
    </row>
    <row r="1503" customFormat="false" ht="15" hidden="false" customHeight="false" outlineLevel="0" collapsed="false">
      <c r="A1503" s="1139"/>
      <c r="B1503" s="1152" t="str">
        <f aca="false">'Смета Расходов'!B2107</f>
        <v>Нет техники</v>
      </c>
      <c r="C1503" s="1153" t="str">
        <f aca="false">'Смета Расходов'!C2107</f>
        <v>ед.</v>
      </c>
      <c r="D1503" s="1152" t="n">
        <f aca="false">'Смета Расходов'!D2107</f>
        <v>0</v>
      </c>
      <c r="E1503" s="1152" t="n">
        <f aca="false">'Смета Расходов'!F2107</f>
        <v>0</v>
      </c>
      <c r="F1503" s="1152" t="n">
        <f aca="false">'Смета Расходов'!G2107</f>
        <v>0</v>
      </c>
    </row>
    <row r="1504" customFormat="false" ht="15" hidden="false" customHeight="false" outlineLevel="0" collapsed="false">
      <c r="A1504" s="1139"/>
      <c r="B1504" s="1152" t="str">
        <f aca="false">'Смета Расходов'!B2108</f>
        <v>Нет техники</v>
      </c>
      <c r="C1504" s="1153" t="str">
        <f aca="false">'Смета Расходов'!C2108</f>
        <v>ед.</v>
      </c>
      <c r="D1504" s="1152" t="n">
        <f aca="false">'Смета Расходов'!D2108</f>
        <v>0</v>
      </c>
      <c r="E1504" s="1152" t="n">
        <f aca="false">'Смета Расходов'!F2108</f>
        <v>0</v>
      </c>
      <c r="F1504" s="1152" t="n">
        <f aca="false">'Смета Расходов'!G2108</f>
        <v>0</v>
      </c>
    </row>
    <row r="1505" customFormat="false" ht="15" hidden="false" customHeight="false" outlineLevel="0" collapsed="false">
      <c r="A1505" s="1139"/>
      <c r="B1505" s="1152" t="str">
        <f aca="false">'Смета Расходов'!B2109</f>
        <v>Экскаватор погрузчик, бурение</v>
      </c>
      <c r="C1505" s="1153" t="str">
        <f aca="false">'Смета Расходов'!C2109</f>
        <v>ед.</v>
      </c>
      <c r="D1505" s="1152" t="n">
        <f aca="false">'Смета Расходов'!D2109</f>
        <v>0</v>
      </c>
      <c r="E1505" s="1152" t="n">
        <f aca="false">'Смета Расходов'!F2109</f>
        <v>300</v>
      </c>
      <c r="F1505" s="1152" t="n">
        <f aca="false">'Смета Расходов'!G2109</f>
        <v>0</v>
      </c>
    </row>
    <row r="1506" customFormat="false" ht="15" hidden="false" customHeight="false" outlineLevel="0" collapsed="false">
      <c r="A1506" s="1139"/>
      <c r="B1506" s="1152" t="str">
        <f aca="false">'Смета Расходов'!B2110</f>
        <v>Нет техники</v>
      </c>
      <c r="C1506" s="1153" t="str">
        <f aca="false">'Смета Расходов'!C2110</f>
        <v>ед.</v>
      </c>
      <c r="D1506" s="1152" t="n">
        <f aca="false">'Смета Расходов'!D2110</f>
        <v>0</v>
      </c>
      <c r="E1506" s="1152" t="n">
        <f aca="false">'Смета Расходов'!F2110</f>
        <v>0</v>
      </c>
      <c r="F1506" s="1152" t="n">
        <f aca="false">'Смета Расходов'!G2110</f>
        <v>0</v>
      </c>
    </row>
    <row r="1507" customFormat="false" ht="15" hidden="false" customHeight="false" outlineLevel="0" collapsed="false">
      <c r="A1507" s="1139"/>
      <c r="B1507" s="1153" t="str">
        <f aca="false">'Смета Расходов'!B2111</f>
        <v>Итого, рублей</v>
      </c>
      <c r="C1507" s="1153"/>
      <c r="D1507" s="1153"/>
      <c r="E1507" s="1153"/>
      <c r="F1507" s="1152" t="n">
        <f aca="false">SUM(F1421:F1506)</f>
        <v>0</v>
      </c>
    </row>
    <row r="1508" customFormat="false" ht="18.75" hidden="false" customHeight="false" outlineLevel="0" collapsed="false">
      <c r="A1508" s="1139"/>
      <c r="B1508" s="1150" t="str">
        <f aca="false">'Смета Расходов'!B2112</f>
        <v>Расходные материалы</v>
      </c>
      <c r="C1508" s="1150"/>
      <c r="D1508" s="1150"/>
      <c r="E1508" s="1150"/>
      <c r="F1508" s="1155" t="n">
        <f aca="false">'Смета Внутр'!H2112</f>
        <v>22000</v>
      </c>
    </row>
    <row r="1509" customFormat="false" ht="15" hidden="false" customHeight="false" outlineLevel="0" collapsed="false">
      <c r="A1509" s="1139"/>
      <c r="B1509" s="1152" t="str">
        <f aca="false">'Смета Расходов'!B2113</f>
        <v>расходные материалы котельная</v>
      </c>
      <c r="C1509" s="1153" t="str">
        <f aca="false">'Смета Расходов'!C2113</f>
        <v>рублей</v>
      </c>
      <c r="D1509" s="1152" t="n">
        <f aca="false">'Смета Расходов'!D2113</f>
        <v>1</v>
      </c>
      <c r="E1509" s="1152" t="n">
        <f aca="false">'Смета Расходов'!F2113</f>
        <v>5000</v>
      </c>
      <c r="F1509" s="1152" t="n">
        <f aca="false">'Смета Расходов'!G2113</f>
        <v>0</v>
      </c>
    </row>
    <row r="1510" customFormat="false" ht="15" hidden="false" customHeight="false" outlineLevel="0" collapsed="false">
      <c r="A1510" s="1139"/>
      <c r="B1510" s="1152" t="str">
        <f aca="false">'Смета Расходов'!B2114</f>
        <v>расходные материалы скважина</v>
      </c>
      <c r="C1510" s="1153" t="str">
        <f aca="false">'Смета Расходов'!C2114</f>
        <v>рублей</v>
      </c>
      <c r="D1510" s="1152" t="n">
        <f aca="false">'Смета Расходов'!D2114</f>
        <v>1</v>
      </c>
      <c r="E1510" s="1152" t="n">
        <f aca="false">'Смета Расходов'!F2114</f>
        <v>5000</v>
      </c>
      <c r="F1510" s="1152" t="n">
        <f aca="false">'Смета Расходов'!G2114</f>
        <v>0</v>
      </c>
    </row>
    <row r="1511" customFormat="false" ht="15" hidden="false" customHeight="false" outlineLevel="0" collapsed="false">
      <c r="A1511" s="1139"/>
      <c r="B1511" s="1152" t="str">
        <f aca="false">'Смета Расходов'!B2115</f>
        <v>расходные материалы для отопления</v>
      </c>
      <c r="C1511" s="1153" t="str">
        <f aca="false">'Смета Расходов'!C2115</f>
        <v>рублей</v>
      </c>
      <c r="D1511" s="1152" t="n">
        <f aca="false">'Смета Расходов'!D2115</f>
        <v>1</v>
      </c>
      <c r="E1511" s="1152" t="n">
        <f aca="false">'Смета Расходов'!F2115</f>
        <v>5000</v>
      </c>
      <c r="F1511" s="1152" t="n">
        <f aca="false">'Смета Расходов'!G2115</f>
        <v>0</v>
      </c>
    </row>
    <row r="1512" customFormat="false" ht="15" hidden="false" customHeight="false" outlineLevel="0" collapsed="false">
      <c r="A1512" s="1139"/>
      <c r="B1512" s="1152" t="str">
        <f aca="false">'Смета Расходов'!B2116</f>
        <v>расходные материалы для электрики</v>
      </c>
      <c r="C1512" s="1153" t="str">
        <f aca="false">'Смета Расходов'!C2116</f>
        <v>рублей</v>
      </c>
      <c r="D1512" s="1152" t="n">
        <f aca="false">'Смета Расходов'!D2116</f>
        <v>1</v>
      </c>
      <c r="E1512" s="1152" t="n">
        <f aca="false">'Смета Расходов'!F2116</f>
        <v>5000</v>
      </c>
      <c r="F1512" s="1152" t="n">
        <f aca="false">'Смета Расходов'!G2116</f>
        <v>0</v>
      </c>
    </row>
    <row r="1513" customFormat="false" ht="15" hidden="false" customHeight="false" outlineLevel="0" collapsed="false">
      <c r="A1513" s="1139"/>
      <c r="B1513" s="1152" t="str">
        <f aca="false">'Смета Расходов'!B2117</f>
        <v>расходные материалы плита ушп</v>
      </c>
      <c r="C1513" s="1153" t="str">
        <f aca="false">'Смета Расходов'!C2117</f>
        <v>рублей</v>
      </c>
      <c r="D1513" s="1152" t="n">
        <f aca="false">'Смета Расходов'!D2117</f>
        <v>1</v>
      </c>
      <c r="E1513" s="1152" t="n">
        <f aca="false">'Смета Расходов'!F2117</f>
        <v>12000</v>
      </c>
      <c r="F1513" s="1152" t="n">
        <f aca="false">'Смета Расходов'!G2117</f>
        <v>0</v>
      </c>
    </row>
    <row r="1514" customFormat="false" ht="15" hidden="false" customHeight="false" outlineLevel="0" collapsed="false">
      <c r="A1514" s="1139"/>
      <c r="B1514" s="1152" t="str">
        <f aca="false">'Смета Расходов'!B2118</f>
        <v>расходные материалы свайноростверковый фундамент</v>
      </c>
      <c r="C1514" s="1153" t="str">
        <f aca="false">'Смета Расходов'!C2118</f>
        <v>рублей</v>
      </c>
      <c r="D1514" s="1152" t="n">
        <f aca="false">'Смета Расходов'!D2118</f>
        <v>1</v>
      </c>
      <c r="E1514" s="1152" t="n">
        <f aca="false">'Смета Расходов'!F2118</f>
        <v>8000</v>
      </c>
      <c r="F1514" s="1152" t="n">
        <f aca="false">'Смета Расходов'!G2118</f>
        <v>0</v>
      </c>
    </row>
    <row r="1515" customFormat="false" ht="15" hidden="false" customHeight="false" outlineLevel="0" collapsed="false">
      <c r="A1515" s="1139"/>
      <c r="B1515" s="1152" t="str">
        <f aca="false">'Смета Расходов'!B2119</f>
        <v>расходные материалы свайноростверковый фундамент</v>
      </c>
      <c r="C1515" s="1153" t="str">
        <f aca="false">'Смета Расходов'!C2119</f>
        <v>рублей</v>
      </c>
      <c r="D1515" s="1152" t="n">
        <f aca="false">'Смета Расходов'!D2119</f>
        <v>1</v>
      </c>
      <c r="E1515" s="1152" t="n">
        <f aca="false">'Смета Расходов'!F2119</f>
        <v>8000</v>
      </c>
      <c r="F1515" s="1152" t="n">
        <f aca="false">'Смета Расходов'!G2119</f>
        <v>8000</v>
      </c>
    </row>
    <row r="1516" customFormat="false" ht="15" hidden="false" customHeight="false" outlineLevel="0" collapsed="false">
      <c r="A1516" s="1139"/>
      <c r="B1516" s="1152" t="str">
        <f aca="false">'Смета Расходов'!B2120</f>
        <v>расходные материалы сип панели</v>
      </c>
      <c r="C1516" s="1153" t="str">
        <f aca="false">'Смета Расходов'!C2120</f>
        <v>рублей</v>
      </c>
      <c r="D1516" s="1152" t="n">
        <f aca="false">'Смета Расходов'!D2120</f>
        <v>1</v>
      </c>
      <c r="E1516" s="1152" t="n">
        <f aca="false">'Смета Расходов'!F2120</f>
        <v>3000</v>
      </c>
      <c r="F1516" s="1152" t="n">
        <f aca="false">'Смета Расходов'!G2120</f>
        <v>0</v>
      </c>
    </row>
    <row r="1517" customFormat="false" ht="15" hidden="false" customHeight="false" outlineLevel="0" collapsed="false">
      <c r="A1517" s="1139"/>
      <c r="B1517" s="1152" t="str">
        <f aca="false">'Смета Расходов'!B2121</f>
        <v>расходные материалы каркасный дом</v>
      </c>
      <c r="C1517" s="1153" t="str">
        <f aca="false">'Смета Расходов'!C2121</f>
        <v>рублей</v>
      </c>
      <c r="D1517" s="1152" t="n">
        <f aca="false">'Смета Расходов'!D2121</f>
        <v>1</v>
      </c>
      <c r="E1517" s="1152" t="n">
        <f aca="false">'Смета Расходов'!F2121</f>
        <v>3000</v>
      </c>
      <c r="F1517" s="1152" t="n">
        <f aca="false">'Смета Расходов'!G2121</f>
        <v>0</v>
      </c>
    </row>
    <row r="1518" customFormat="false" ht="15" hidden="false" customHeight="false" outlineLevel="0" collapsed="false">
      <c r="A1518" s="1139"/>
      <c r="B1518" s="1152" t="str">
        <f aca="false">'Смета Расходов'!B2122</f>
        <v>расходные материалы каменные дома</v>
      </c>
      <c r="C1518" s="1153" t="str">
        <f aca="false">'Смета Расходов'!C2122</f>
        <v>рублей</v>
      </c>
      <c r="D1518" s="1152" t="n">
        <f aca="false">'Смета Расходов'!D2122</f>
        <v>1</v>
      </c>
      <c r="E1518" s="1152" t="n">
        <f aca="false">'Смета Расходов'!F2122</f>
        <v>3000</v>
      </c>
      <c r="F1518" s="1152" t="n">
        <f aca="false">'Смета Расходов'!G2122</f>
        <v>0</v>
      </c>
    </row>
    <row r="1519" customFormat="false" ht="15" hidden="false" customHeight="false" outlineLevel="0" collapsed="false">
      <c r="A1519" s="1139"/>
      <c r="B1519" s="1152" t="str">
        <f aca="false">'Смета Расходов'!B2123</f>
        <v>расходные материалы каменные дома</v>
      </c>
      <c r="C1519" s="1153" t="str">
        <f aca="false">'Смета Расходов'!C2123</f>
        <v>рублей</v>
      </c>
      <c r="D1519" s="1152" t="n">
        <f aca="false">'Смета Расходов'!D2123</f>
        <v>1</v>
      </c>
      <c r="E1519" s="1152" t="n">
        <f aca="false">'Смета Расходов'!F2123</f>
        <v>0</v>
      </c>
      <c r="F1519" s="1152" t="n">
        <f aca="false">'Смета Расходов'!G2123</f>
        <v>0</v>
      </c>
    </row>
    <row r="1520" customFormat="false" ht="15" hidden="false" customHeight="false" outlineLevel="0" collapsed="false">
      <c r="A1520" s="1139"/>
      <c r="B1520" s="1152" t="str">
        <f aca="false">'Смета Расходов'!B2124</f>
        <v>расходные материалы каменные дома</v>
      </c>
      <c r="C1520" s="1153" t="str">
        <f aca="false">'Смета Расходов'!C2124</f>
        <v>рублей</v>
      </c>
      <c r="D1520" s="1152" t="n">
        <f aca="false">'Смета Расходов'!D2124</f>
        <v>1</v>
      </c>
      <c r="E1520" s="1152" t="n">
        <f aca="false">'Смета Расходов'!F2124</f>
        <v>3000</v>
      </c>
      <c r="F1520" s="1152" t="n">
        <f aca="false">'Смета Расходов'!G2124</f>
        <v>3000</v>
      </c>
    </row>
    <row r="1521" customFormat="false" ht="15" hidden="false" customHeight="false" outlineLevel="0" collapsed="false">
      <c r="A1521" s="1139"/>
      <c r="B1521" s="1152" t="str">
        <f aca="false">'Смета Расходов'!B2125</f>
        <v>расходные материалы дома из леса</v>
      </c>
      <c r="C1521" s="1153" t="str">
        <f aca="false">'Смета Расходов'!C2125</f>
        <v>рублей</v>
      </c>
      <c r="D1521" s="1152" t="n">
        <f aca="false">'Смета Расходов'!D2125</f>
        <v>1</v>
      </c>
      <c r="E1521" s="1152" t="n">
        <f aca="false">'Смета Расходов'!F2125</f>
        <v>3000</v>
      </c>
      <c r="F1521" s="1152" t="n">
        <f aca="false">'Смета Расходов'!G2125</f>
        <v>0</v>
      </c>
    </row>
    <row r="1522" customFormat="false" ht="15" hidden="false" customHeight="false" outlineLevel="0" collapsed="false">
      <c r="A1522" s="1139"/>
      <c r="B1522" s="1152" t="str">
        <f aca="false">'Смета Расходов'!B2126</f>
        <v>расходные материалы дома из леса</v>
      </c>
      <c r="C1522" s="1153" t="str">
        <f aca="false">'Смета Расходов'!C2126</f>
        <v>рублей</v>
      </c>
      <c r="D1522" s="1152" t="n">
        <f aca="false">'Смета Расходов'!D2126</f>
        <v>1</v>
      </c>
      <c r="E1522" s="1152" t="n">
        <f aca="false">'Смета Расходов'!F2126</f>
        <v>3000</v>
      </c>
      <c r="F1522" s="1152" t="n">
        <f aca="false">'Смета Расходов'!G2126</f>
        <v>0</v>
      </c>
    </row>
    <row r="1523" customFormat="false" ht="15" hidden="false" customHeight="false" outlineLevel="0" collapsed="false">
      <c r="A1523" s="1139"/>
      <c r="B1523" s="1152" t="str">
        <f aca="false">'Смета Расходов'!B2127</f>
        <v>расходные материалы дома из леса</v>
      </c>
      <c r="C1523" s="1153" t="str">
        <f aca="false">'Смета Расходов'!C2127</f>
        <v>рублей</v>
      </c>
      <c r="D1523" s="1152" t="n">
        <f aca="false">'Смета Расходов'!D2127</f>
        <v>1</v>
      </c>
      <c r="E1523" s="1152" t="n">
        <f aca="false">'Смета Расходов'!F2127</f>
        <v>3000</v>
      </c>
      <c r="F1523" s="1152" t="n">
        <f aca="false">'Смета Расходов'!G2127</f>
        <v>0</v>
      </c>
    </row>
    <row r="1524" customFormat="false" ht="15" hidden="false" customHeight="false" outlineLevel="0" collapsed="false">
      <c r="A1524" s="1139"/>
      <c r="B1524" s="1152" t="str">
        <f aca="false">'Смета Расходов'!B2128</f>
        <v>расходные материалы дома из леса</v>
      </c>
      <c r="C1524" s="1153" t="str">
        <f aca="false">'Смета Расходов'!C2128</f>
        <v>рублей</v>
      </c>
      <c r="D1524" s="1152" t="n">
        <f aca="false">'Смета Расходов'!D2128</f>
        <v>1</v>
      </c>
      <c r="E1524" s="1152" t="n">
        <f aca="false">'Смета Расходов'!F2128</f>
        <v>3000</v>
      </c>
      <c r="F1524" s="1152" t="n">
        <f aca="false">'Смета Расходов'!G2128</f>
        <v>0</v>
      </c>
    </row>
    <row r="1525" customFormat="false" ht="15" hidden="false" customHeight="false" outlineLevel="0" collapsed="false">
      <c r="A1525" s="1139"/>
      <c r="B1525" s="1152" t="str">
        <f aca="false">'Смета Расходов'!B2129</f>
        <v>расходные материалы дома из леса</v>
      </c>
      <c r="C1525" s="1153" t="str">
        <f aca="false">'Смета Расходов'!C2129</f>
        <v>рублей</v>
      </c>
      <c r="D1525" s="1152" t="n">
        <f aca="false">'Смета Расходов'!D2129</f>
        <v>1</v>
      </c>
      <c r="E1525" s="1152" t="n">
        <f aca="false">'Смета Расходов'!F2129</f>
        <v>3000</v>
      </c>
      <c r="F1525" s="1152" t="n">
        <f aca="false">'Смета Расходов'!G2129</f>
        <v>0</v>
      </c>
    </row>
    <row r="1526" customFormat="false" ht="15" hidden="false" customHeight="false" outlineLevel="0" collapsed="false">
      <c r="A1526" s="1139"/>
      <c r="B1526" s="1152" t="str">
        <f aca="false">'Смета Расходов'!B2130</f>
        <v>расходные материалы эркер</v>
      </c>
      <c r="C1526" s="1153" t="str">
        <f aca="false">'Смета Расходов'!C2130</f>
        <v>рублей</v>
      </c>
      <c r="D1526" s="1152" t="n">
        <f aca="false">'Смета Расходов'!D2130</f>
        <v>1</v>
      </c>
      <c r="E1526" s="1152" t="n">
        <f aca="false">'Смета Расходов'!F2130</f>
        <v>0</v>
      </c>
      <c r="F1526" s="1152" t="n">
        <f aca="false">'Смета Расходов'!G2130</f>
        <v>0</v>
      </c>
    </row>
    <row r="1527" customFormat="false" ht="15" hidden="false" customHeight="false" outlineLevel="0" collapsed="false">
      <c r="A1527" s="1139"/>
      <c r="B1527" s="1152" t="str">
        <f aca="false">'Смета Расходов'!B2131</f>
        <v>расходные материалы двускатная кровля</v>
      </c>
      <c r="C1527" s="1153" t="str">
        <f aca="false">'Смета Расходов'!C2131</f>
        <v>рублей</v>
      </c>
      <c r="D1527" s="1152" t="n">
        <f aca="false">'Смета Расходов'!D2131</f>
        <v>1</v>
      </c>
      <c r="E1527" s="1152" t="n">
        <f aca="false">'Смета Расходов'!F2131</f>
        <v>3000</v>
      </c>
      <c r="F1527" s="1152" t="n">
        <f aca="false">'Смета Расходов'!G2131</f>
        <v>3000</v>
      </c>
    </row>
    <row r="1528" customFormat="false" ht="15" hidden="false" customHeight="false" outlineLevel="0" collapsed="false">
      <c r="A1528" s="1139"/>
      <c r="B1528" s="1152" t="str">
        <f aca="false">'Смета Расходов'!B2132</f>
        <v>расходные материалы вальмовая кровля</v>
      </c>
      <c r="C1528" s="1153" t="str">
        <f aca="false">'Смета Расходов'!C2132</f>
        <v>рублей</v>
      </c>
      <c r="D1528" s="1152" t="n">
        <f aca="false">'Смета Расходов'!D2132</f>
        <v>1</v>
      </c>
      <c r="E1528" s="1152" t="n">
        <f aca="false">'Смета Расходов'!F2132</f>
        <v>3000</v>
      </c>
      <c r="F1528" s="1152" t="n">
        <f aca="false">'Смета Расходов'!G2132</f>
        <v>0</v>
      </c>
    </row>
    <row r="1529" customFormat="false" ht="15" hidden="false" customHeight="false" outlineLevel="0" collapsed="false">
      <c r="A1529" s="1139"/>
      <c r="B1529" s="1152" t="str">
        <f aca="false">'Смета Расходов'!B2133</f>
        <v>расходные материалы полувальмовая кровля</v>
      </c>
      <c r="C1529" s="1153" t="str">
        <f aca="false">'Смета Расходов'!C2133</f>
        <v>рублей</v>
      </c>
      <c r="D1529" s="1152" t="n">
        <f aca="false">'Смета Расходов'!D2133</f>
        <v>1</v>
      </c>
      <c r="E1529" s="1152" t="n">
        <f aca="false">'Смета Расходов'!F2133</f>
        <v>3000</v>
      </c>
      <c r="F1529" s="1152" t="n">
        <f aca="false">'Смета Расходов'!G2133</f>
        <v>0</v>
      </c>
    </row>
    <row r="1530" customFormat="false" ht="15" hidden="false" customHeight="false" outlineLevel="0" collapsed="false">
      <c r="A1530" s="1139"/>
      <c r="B1530" s="1152" t="str">
        <f aca="false">'Смета Расходов'!B2134</f>
        <v>расходные материалы элементы кровель</v>
      </c>
      <c r="C1530" s="1153" t="str">
        <f aca="false">'Смета Расходов'!C2134</f>
        <v>рублей</v>
      </c>
      <c r="D1530" s="1152" t="n">
        <f aca="false">'Смета Расходов'!D2134</f>
        <v>1</v>
      </c>
      <c r="E1530" s="1152" t="n">
        <f aca="false">'Смета Расходов'!F2134</f>
        <v>10000</v>
      </c>
      <c r="F1530" s="1152" t="n">
        <f aca="false">'Смета Расходов'!G2134</f>
        <v>0</v>
      </c>
    </row>
    <row r="1531" customFormat="false" ht="15" hidden="false" customHeight="false" outlineLevel="0" collapsed="false">
      <c r="A1531" s="1139"/>
      <c r="B1531" s="1152" t="str">
        <f aca="false">'Смета Расходов'!B2135</f>
        <v>расходные материалы пристройки</v>
      </c>
      <c r="C1531" s="1153" t="str">
        <f aca="false">'Смета Расходов'!C2135</f>
        <v>рублей</v>
      </c>
      <c r="D1531" s="1152" t="n">
        <f aca="false">'Смета Расходов'!D2135</f>
        <v>1</v>
      </c>
      <c r="E1531" s="1152" t="n">
        <f aca="false">'Смета Расходов'!F2135</f>
        <v>3000</v>
      </c>
      <c r="F1531" s="1152" t="n">
        <f aca="false">'Смета Расходов'!G2135</f>
        <v>0</v>
      </c>
    </row>
    <row r="1532" customFormat="false" ht="15" hidden="false" customHeight="false" outlineLevel="0" collapsed="false">
      <c r="A1532" s="1139"/>
      <c r="B1532" s="1152" t="str">
        <f aca="false">'Смета Расходов'!B2136</f>
        <v>расходные материалы веранда</v>
      </c>
      <c r="C1532" s="1153" t="str">
        <f aca="false">'Смета Расходов'!C2136</f>
        <v>рублей</v>
      </c>
      <c r="D1532" s="1152" t="n">
        <f aca="false">'Смета Расходов'!D2136</f>
        <v>1</v>
      </c>
      <c r="E1532" s="1152" t="n">
        <f aca="false">'Смета Расходов'!F2136</f>
        <v>0</v>
      </c>
      <c r="F1532" s="1152" t="n">
        <f aca="false">'Смета Расходов'!G2136</f>
        <v>0</v>
      </c>
    </row>
    <row r="1533" customFormat="false" ht="15" hidden="false" customHeight="false" outlineLevel="0" collapsed="false">
      <c r="A1533" s="1139"/>
      <c r="B1533" s="1152" t="str">
        <f aca="false">'Смета Расходов'!B2137</f>
        <v>расходные материалы для септика</v>
      </c>
      <c r="C1533" s="1153" t="str">
        <f aca="false">'Смета Расходов'!C2137</f>
        <v>рублей</v>
      </c>
      <c r="D1533" s="1152" t="n">
        <f aca="false">'Смета Расходов'!D2137</f>
        <v>1</v>
      </c>
      <c r="E1533" s="1152" t="n">
        <f aca="false">'Смета Расходов'!F2137</f>
        <v>5000</v>
      </c>
      <c r="F1533" s="1152" t="n">
        <f aca="false">'Смета Расходов'!G2137</f>
        <v>0</v>
      </c>
    </row>
    <row r="1534" customFormat="false" ht="15" hidden="false" customHeight="false" outlineLevel="0" collapsed="false">
      <c r="A1534" s="1139"/>
      <c r="B1534" s="1152" t="str">
        <f aca="false">'Смета Расходов'!B2138</f>
        <v>расходные материалы односкатная кровля</v>
      </c>
      <c r="C1534" s="1153" t="str">
        <f aca="false">'Смета Расходов'!C2138</f>
        <v>рублей</v>
      </c>
      <c r="D1534" s="1152" t="n">
        <f aca="false">'Смета Расходов'!D2138</f>
        <v>1</v>
      </c>
      <c r="E1534" s="1152" t="n">
        <f aca="false">'Смета Расходов'!F2138</f>
        <v>3000</v>
      </c>
      <c r="F1534" s="1152" t="n">
        <f aca="false">'Смета Расходов'!G2138</f>
        <v>0</v>
      </c>
    </row>
    <row r="1535" customFormat="false" ht="15" hidden="false" customHeight="false" outlineLevel="0" collapsed="false">
      <c r="A1535" s="1139"/>
      <c r="B1535" s="1152" t="str">
        <f aca="false">'Смета Расходов'!B2139</f>
        <v>Расходные материалы винтовые сваи</v>
      </c>
      <c r="C1535" s="1153" t="str">
        <f aca="false">'Смета Расходов'!C2139</f>
        <v>рублей</v>
      </c>
      <c r="D1535" s="1152" t="n">
        <f aca="false">'Смета Расходов'!D2139</f>
        <v>1</v>
      </c>
      <c r="E1535" s="1152" t="n">
        <f aca="false">'Смета Расходов'!F2139</f>
        <v>6000</v>
      </c>
      <c r="F1535" s="1152" t="n">
        <f aca="false">'Смета Расходов'!G2139</f>
        <v>0</v>
      </c>
    </row>
    <row r="1536" customFormat="false" ht="15" hidden="false" customHeight="false" outlineLevel="0" collapsed="false">
      <c r="A1536" s="1139"/>
      <c r="B1536" s="1152" t="str">
        <f aca="false">'Смета Расходов'!B2140</f>
        <v>расходные материалы окна</v>
      </c>
      <c r="C1536" s="1153" t="str">
        <f aca="false">'Смета Расходов'!C2140</f>
        <v>рублей</v>
      </c>
      <c r="D1536" s="1152" t="n">
        <f aca="false">'Смета Расходов'!D2140</f>
        <v>1</v>
      </c>
      <c r="E1536" s="1152" t="n">
        <f aca="false">'Смета Расходов'!F2140</f>
        <v>5000</v>
      </c>
      <c r="F1536" s="1152" t="n">
        <f aca="false">'Смета Расходов'!G2140</f>
        <v>0</v>
      </c>
    </row>
    <row r="1537" customFormat="false" ht="15" hidden="false" customHeight="false" outlineLevel="0" collapsed="false">
      <c r="A1537" s="1139"/>
      <c r="B1537" s="1152" t="str">
        <f aca="false">'Смета Расходов'!B2141</f>
        <v>расходные материалы лестница</v>
      </c>
      <c r="C1537" s="1153" t="str">
        <f aca="false">'Смета Расходов'!C2141</f>
        <v>рублей</v>
      </c>
      <c r="D1537" s="1152" t="n">
        <f aca="false">'Смета Расходов'!D2141</f>
        <v>1</v>
      </c>
      <c r="E1537" s="1152" t="n">
        <f aca="false">'Смета Расходов'!F2141</f>
        <v>5000</v>
      </c>
      <c r="F1537" s="1152" t="n">
        <f aca="false">'Смета Расходов'!G2141</f>
        <v>0</v>
      </c>
    </row>
    <row r="1538" customFormat="false" ht="15" hidden="false" customHeight="false" outlineLevel="0" collapsed="false">
      <c r="A1538" s="1139"/>
      <c r="B1538" s="1152" t="str">
        <f aca="false">'Смета Расходов'!B2142</f>
        <v>расходные материалы отделка внешняя</v>
      </c>
      <c r="C1538" s="1153" t="str">
        <f aca="false">'Смета Расходов'!C2142</f>
        <v>рублей</v>
      </c>
      <c r="D1538" s="1152" t="n">
        <f aca="false">'Смета Расходов'!D2142</f>
        <v>1</v>
      </c>
      <c r="E1538" s="1152" t="n">
        <f aca="false">'Смета Расходов'!F2142</f>
        <v>3000</v>
      </c>
      <c r="F1538" s="1152" t="n">
        <f aca="false">'Смета Расходов'!G2142</f>
        <v>3000</v>
      </c>
    </row>
    <row r="1539" customFormat="false" ht="15" hidden="false" customHeight="false" outlineLevel="0" collapsed="false">
      <c r="A1539" s="1139"/>
      <c r="B1539" s="1152" t="str">
        <f aca="false">'Смета Расходов'!B2143</f>
        <v>расходные материалы чистовая отделка</v>
      </c>
      <c r="C1539" s="1153" t="str">
        <f aca="false">'Смета Расходов'!C2143</f>
        <v>рублей</v>
      </c>
      <c r="D1539" s="1152" t="n">
        <f aca="false">'Смета Расходов'!D2143</f>
        <v>1</v>
      </c>
      <c r="E1539" s="1152" t="n">
        <f aca="false">'Смета Расходов'!F2143</f>
        <v>5000</v>
      </c>
      <c r="F1539" s="1152" t="n">
        <f aca="false">'Смета Расходов'!G2143</f>
        <v>5000</v>
      </c>
    </row>
    <row r="1540" customFormat="false" ht="15" hidden="false" customHeight="false" outlineLevel="0" collapsed="false">
      <c r="A1540" s="1139"/>
      <c r="B1540" s="1152" t="str">
        <f aca="false">'Смета Расходов'!B2144</f>
        <v>расходные материалы балкон</v>
      </c>
      <c r="C1540" s="1153" t="str">
        <f aca="false">'Смета Расходов'!C2144</f>
        <v>рублей</v>
      </c>
      <c r="D1540" s="1152" t="n">
        <f aca="false">'Смета Расходов'!D2144</f>
        <v>0</v>
      </c>
      <c r="E1540" s="1152" t="n">
        <f aca="false">'Смета Расходов'!F2144</f>
        <v>0</v>
      </c>
      <c r="F1540" s="1152" t="n">
        <f aca="false">'Смета Расходов'!G2144</f>
        <v>0</v>
      </c>
    </row>
    <row r="1541" customFormat="false" ht="15" hidden="false" customHeight="false" outlineLevel="0" collapsed="false">
      <c r="A1541" s="1139"/>
      <c r="B1541" s="1152" t="str">
        <f aca="false">'Смета Расходов'!B2145</f>
        <v>расходные материалы перекрытие</v>
      </c>
      <c r="C1541" s="1153" t="str">
        <f aca="false">'Смета Расходов'!C2145</f>
        <v>рублей</v>
      </c>
      <c r="D1541" s="1152" t="n">
        <f aca="false">'Смета Расходов'!D2145</f>
        <v>1</v>
      </c>
      <c r="E1541" s="1152" t="n">
        <f aca="false">'Смета Расходов'!F2145</f>
        <v>0</v>
      </c>
      <c r="F1541" s="1152" t="n">
        <f aca="false">'Смета Расходов'!G2145</f>
        <v>0</v>
      </c>
    </row>
    <row r="1542" customFormat="false" ht="15" hidden="false" customHeight="false" outlineLevel="0" collapsed="false">
      <c r="A1542" s="1139"/>
      <c r="B1542" s="1152" t="str">
        <f aca="false">'Смета Расходов'!B2146</f>
        <v>расходные материалы цокольный этаж</v>
      </c>
      <c r="C1542" s="1153" t="str">
        <f aca="false">'Смета Расходов'!C2146</f>
        <v>рублей</v>
      </c>
      <c r="D1542" s="1152" t="n">
        <f aca="false">'Смета Расходов'!D2146</f>
        <v>0</v>
      </c>
      <c r="E1542" s="1152" t="n">
        <f aca="false">'Смета Расходов'!F2146</f>
        <v>5000</v>
      </c>
      <c r="F1542" s="1152" t="n">
        <f aca="false">'Смета Расходов'!G2146</f>
        <v>0</v>
      </c>
    </row>
    <row r="1543" customFormat="false" ht="15" hidden="false" customHeight="false" outlineLevel="0" collapsed="false">
      <c r="A1543" s="1139"/>
      <c r="B1543" s="1152" t="str">
        <f aca="false">'Смета Расходов'!B2147</f>
        <v>Расходные материалы крыльцо</v>
      </c>
      <c r="C1543" s="1153" t="str">
        <f aca="false">'Смета Расходов'!C2147</f>
        <v>рублей</v>
      </c>
      <c r="D1543" s="1152" t="n">
        <f aca="false">'Смета Расходов'!D2147</f>
        <v>1</v>
      </c>
      <c r="E1543" s="1152" t="n">
        <f aca="false">'Смета Расходов'!F2147</f>
        <v>1000</v>
      </c>
      <c r="F1543" s="1152" t="n">
        <f aca="false">'Смета Расходов'!G2147</f>
        <v>0</v>
      </c>
    </row>
    <row r="1544" customFormat="false" ht="15" hidden="false" customHeight="false" outlineLevel="0" collapsed="false">
      <c r="A1544" s="1139"/>
      <c r="B1544" s="1154" t="str">
        <f aca="false">'Смета Расходов'!B2148</f>
        <v>Итого, рублей</v>
      </c>
      <c r="C1544" s="1154"/>
      <c r="D1544" s="1154"/>
      <c r="E1544" s="1154"/>
      <c r="F1544" s="1152" t="n">
        <f aca="false">'Смета Расходов'!G2148</f>
        <v>22000</v>
      </c>
    </row>
    <row r="1545" customFormat="false" ht="18.75" hidden="false" customHeight="false" outlineLevel="0" collapsed="false">
      <c r="A1545" s="1139"/>
      <c r="B1545" s="1150" t="str">
        <f aca="false">'Смета Расходов'!B2149</f>
        <v>Командировочные расходы</v>
      </c>
      <c r="C1545" s="1150"/>
      <c r="D1545" s="1150"/>
      <c r="E1545" s="1150"/>
      <c r="F1545" s="1155" t="n">
        <f aca="false">'Смета Внутр'!H2149</f>
        <v>0</v>
      </c>
    </row>
    <row r="1546" customFormat="false" ht="15" hidden="false" customHeight="false" outlineLevel="0" collapsed="false">
      <c r="A1546" s="1139"/>
      <c r="B1546" s="1152" t="str">
        <f aca="false">'Смета Расходов'!B2150</f>
        <v>Командировочные расходы</v>
      </c>
      <c r="C1546" s="1153" t="str">
        <f aca="false">'Смета Расходов'!C2150</f>
        <v>рублей</v>
      </c>
      <c r="D1546" s="1152" t="n">
        <f aca="false">'Смета Расходов'!D2150</f>
        <v>1</v>
      </c>
      <c r="E1546" s="1152" t="n">
        <f aca="false">'Смета Расходов'!F2150</f>
        <v>0</v>
      </c>
      <c r="F1546" s="1152" t="n">
        <f aca="false">'Смета Расходов'!G2150</f>
        <v>0</v>
      </c>
    </row>
    <row r="1547" customFormat="false" ht="15" hidden="false" customHeight="false" outlineLevel="0" collapsed="false">
      <c r="A1547" s="1139"/>
      <c r="B1547" s="1152" t="str">
        <f aca="false">'Смета Расходов'!B2151</f>
        <v>Командировочные расходы</v>
      </c>
      <c r="C1547" s="1153" t="str">
        <f aca="false">'Смета Расходов'!C2151</f>
        <v>рублей</v>
      </c>
      <c r="D1547" s="1152" t="n">
        <f aca="false">'Смета Расходов'!D2151</f>
        <v>1</v>
      </c>
      <c r="E1547" s="1152" t="n">
        <f aca="false">'Смета Расходов'!F2151</f>
        <v>0</v>
      </c>
      <c r="F1547" s="1152" t="n">
        <f aca="false">'Смета Расходов'!G2151</f>
        <v>0</v>
      </c>
    </row>
    <row r="1548" customFormat="false" ht="15" hidden="false" customHeight="false" outlineLevel="0" collapsed="false">
      <c r="A1548" s="1139"/>
      <c r="B1548" s="1152" t="str">
        <f aca="false">'Смета Расходов'!B2152</f>
        <v>Командировочные расходы</v>
      </c>
      <c r="C1548" s="1153" t="str">
        <f aca="false">'Смета Расходов'!C2152</f>
        <v>рублей</v>
      </c>
      <c r="D1548" s="1152" t="n">
        <f aca="false">'Смета Расходов'!D2152</f>
        <v>1</v>
      </c>
      <c r="E1548" s="1152" t="n">
        <f aca="false">'Смета Расходов'!F2152</f>
        <v>0</v>
      </c>
      <c r="F1548" s="1152" t="n">
        <f aca="false">'Смета Расходов'!G2152</f>
        <v>0</v>
      </c>
    </row>
    <row r="1549" customFormat="false" ht="15" hidden="false" customHeight="false" outlineLevel="0" collapsed="false">
      <c r="A1549" s="1139"/>
      <c r="B1549" s="1152" t="str">
        <f aca="false">'Смета Расходов'!B2153</f>
        <v>Командировочные расходы</v>
      </c>
      <c r="C1549" s="1153" t="str">
        <f aca="false">'Смета Расходов'!C2153</f>
        <v>рублей</v>
      </c>
      <c r="D1549" s="1152" t="n">
        <f aca="false">'Смета Расходов'!D2153</f>
        <v>1</v>
      </c>
      <c r="E1549" s="1152" t="n">
        <f aca="false">'Смета Расходов'!F2153</f>
        <v>0</v>
      </c>
      <c r="F1549" s="1152" t="n">
        <f aca="false">'Смета Расходов'!G2153</f>
        <v>0</v>
      </c>
    </row>
    <row r="1550" customFormat="false" ht="15" hidden="false" customHeight="false" outlineLevel="0" collapsed="false">
      <c r="A1550" s="1139"/>
      <c r="B1550" s="1152" t="str">
        <f aca="false">'Смета Расходов'!B2154</f>
        <v>Командировочные расходы</v>
      </c>
      <c r="C1550" s="1153" t="str">
        <f aca="false">'Смета Расходов'!C2154</f>
        <v>рублей</v>
      </c>
      <c r="D1550" s="1152" t="n">
        <f aca="false">'Смета Расходов'!D2154</f>
        <v>1</v>
      </c>
      <c r="E1550" s="1152" t="n">
        <f aca="false">'Смета Расходов'!F2154</f>
        <v>0</v>
      </c>
      <c r="F1550" s="1152" t="n">
        <f aca="false">'Смета Расходов'!G2154</f>
        <v>0</v>
      </c>
    </row>
    <row r="1551" customFormat="false" ht="15" hidden="false" customHeight="false" outlineLevel="0" collapsed="false">
      <c r="A1551" s="1139"/>
      <c r="B1551" s="1152" t="str">
        <f aca="false">'Смета Расходов'!B2155</f>
        <v>Командировочные расходы</v>
      </c>
      <c r="C1551" s="1153" t="str">
        <f aca="false">'Смета Расходов'!C2155</f>
        <v>рублей</v>
      </c>
      <c r="D1551" s="1152" t="n">
        <f aca="false">'Смета Расходов'!D2155</f>
        <v>1</v>
      </c>
      <c r="E1551" s="1152" t="n">
        <f aca="false">'Смета Расходов'!F2155</f>
        <v>0</v>
      </c>
      <c r="F1551" s="1152" t="n">
        <f aca="false">'Смета Расходов'!G2155</f>
        <v>0</v>
      </c>
    </row>
    <row r="1552" customFormat="false" ht="15" hidden="false" customHeight="false" outlineLevel="0" collapsed="false">
      <c r="A1552" s="1139"/>
      <c r="B1552" s="1152" t="str">
        <f aca="false">'Смета Расходов'!B2156</f>
        <v>Командировочные расходы</v>
      </c>
      <c r="C1552" s="1153" t="str">
        <f aca="false">'Смета Расходов'!C2156</f>
        <v>рублей</v>
      </c>
      <c r="D1552" s="1152" t="n">
        <f aca="false">'Смета Расходов'!D2156</f>
        <v>1</v>
      </c>
      <c r="E1552" s="1152" t="n">
        <f aca="false">'Смета Расходов'!F2156</f>
        <v>0</v>
      </c>
      <c r="F1552" s="1152" t="n">
        <f aca="false">'Смета Расходов'!G2156</f>
        <v>0</v>
      </c>
    </row>
    <row r="1553" customFormat="false" ht="15" hidden="false" customHeight="false" outlineLevel="0" collapsed="false">
      <c r="A1553" s="1139"/>
      <c r="B1553" s="1152" t="str">
        <f aca="false">'Смета Расходов'!B2157</f>
        <v>Командировочные расходы</v>
      </c>
      <c r="C1553" s="1153" t="str">
        <f aca="false">'Смета Расходов'!C2157</f>
        <v>рублей</v>
      </c>
      <c r="D1553" s="1152" t="n">
        <f aca="false">'Смета Расходов'!D2157</f>
        <v>1</v>
      </c>
      <c r="E1553" s="1152" t="n">
        <f aca="false">'Смета Расходов'!F2157</f>
        <v>0</v>
      </c>
      <c r="F1553" s="1152" t="n">
        <f aca="false">'Смета Расходов'!G2157</f>
        <v>0</v>
      </c>
    </row>
    <row r="1554" customFormat="false" ht="15" hidden="false" customHeight="false" outlineLevel="0" collapsed="false">
      <c r="A1554" s="1139"/>
      <c r="B1554" s="1152" t="str">
        <f aca="false">'Смета Расходов'!B2158</f>
        <v>Командировочные расходы</v>
      </c>
      <c r="C1554" s="1153" t="str">
        <f aca="false">'Смета Расходов'!C2158</f>
        <v>рублей</v>
      </c>
      <c r="D1554" s="1152" t="n">
        <f aca="false">'Смета Расходов'!D2158</f>
        <v>1</v>
      </c>
      <c r="E1554" s="1152" t="n">
        <f aca="false">'Смета Расходов'!F2158</f>
        <v>0</v>
      </c>
      <c r="F1554" s="1152" t="n">
        <f aca="false">'Смета Расходов'!G2158</f>
        <v>0</v>
      </c>
    </row>
    <row r="1555" customFormat="false" ht="15" hidden="false" customHeight="false" outlineLevel="0" collapsed="false">
      <c r="A1555" s="1139"/>
      <c r="B1555" s="1152" t="str">
        <f aca="false">'Смета Расходов'!B2159</f>
        <v>Командировочные расходы</v>
      </c>
      <c r="C1555" s="1153" t="str">
        <f aca="false">'Смета Расходов'!C2159</f>
        <v>рублей</v>
      </c>
      <c r="D1555" s="1152" t="n">
        <f aca="false">'Смета Расходов'!D2159</f>
        <v>1</v>
      </c>
      <c r="E1555" s="1152" t="n">
        <f aca="false">'Смета Расходов'!F2159</f>
        <v>0</v>
      </c>
      <c r="F1555" s="1152" t="n">
        <f aca="false">'Смета Расходов'!G2159</f>
        <v>0</v>
      </c>
    </row>
    <row r="1556" customFormat="false" ht="15" hidden="false" customHeight="false" outlineLevel="0" collapsed="false">
      <c r="A1556" s="1139"/>
      <c r="B1556" s="1154" t="str">
        <f aca="false">'Смета Расходов'!B2160</f>
        <v>Итого, рублей</v>
      </c>
      <c r="C1556" s="1154"/>
      <c r="D1556" s="1154"/>
      <c r="E1556" s="1154"/>
      <c r="F1556" s="1152" t="n">
        <f aca="false">'Смета Расходов'!G2160</f>
        <v>0</v>
      </c>
    </row>
    <row r="1557" customFormat="false" ht="15" hidden="false" customHeight="false" outlineLevel="0" collapsed="false">
      <c r="A1557" s="1139"/>
      <c r="B1557" s="1139"/>
      <c r="C1557" s="1140"/>
      <c r="D1557" s="1139"/>
      <c r="E1557" s="1139"/>
      <c r="F1557" s="1155"/>
    </row>
    <row r="1558" customFormat="false" ht="15" hidden="false" customHeight="false" outlineLevel="0" collapsed="false">
      <c r="A1558" s="1139"/>
      <c r="B1558" s="1157" t="s">
        <v>2310</v>
      </c>
      <c r="C1558" s="1157"/>
      <c r="D1558" s="1157"/>
      <c r="E1558" s="1157"/>
      <c r="F1558" s="1155" t="n">
        <f aca="false">F25+F46+F63+F77+F86+F95+F104+F122+F143+F169+F190+F211+F263+F310+F353+F379+F405+F431+F457+F483+F666+F695+F716+F730+F785+F840+F888+F941+F984+F1034+F1083+F1127+F1167+F1190+F1203+F1210+F1258+F1340+F1360+F1374+F1386+F1402+F1419+F1544</f>
        <v>1428060.26070287</v>
      </c>
    </row>
    <row r="1559" customFormat="false" ht="15" hidden="false" customHeight="false" outlineLevel="0" collapsed="false">
      <c r="A1559" s="1139"/>
      <c r="B1559" s="1157" t="s">
        <v>2311</v>
      </c>
      <c r="C1559" s="1157"/>
      <c r="D1559" s="1157"/>
      <c r="E1559" s="1157"/>
      <c r="F1559" s="1155" t="n">
        <f aca="false">F1507</f>
        <v>0</v>
      </c>
    </row>
    <row r="1560" customFormat="false" ht="15" hidden="false" customHeight="false" outlineLevel="0" collapsed="false">
      <c r="A1560" s="1139"/>
      <c r="B1560" s="1157" t="s">
        <v>2312</v>
      </c>
      <c r="C1560" s="1157"/>
      <c r="D1560" s="1157"/>
      <c r="E1560" s="1157"/>
      <c r="F1560" s="1155" t="n">
        <f aca="false">F1556</f>
        <v>0</v>
      </c>
    </row>
    <row r="1561" customFormat="false" ht="15" hidden="false" customHeight="false" outlineLevel="0" collapsed="false">
      <c r="A1561" s="1139"/>
      <c r="B1561" s="1157" t="s">
        <v>2313</v>
      </c>
      <c r="C1561" s="1157"/>
      <c r="D1561" s="1157"/>
      <c r="E1561" s="1157"/>
      <c r="F1561" s="1155" t="n">
        <f aca="false">F1558+F1559+F1560</f>
        <v>1428060.26070287</v>
      </c>
    </row>
    <row r="1562" customFormat="false" ht="15" hidden="false" customHeight="false" outlineLevel="0" collapsed="false">
      <c r="A1562" s="1139"/>
      <c r="B1562" s="1139"/>
      <c r="C1562" s="1140"/>
      <c r="D1562" s="1139"/>
      <c r="E1562" s="1139"/>
      <c r="F1562" s="1155"/>
    </row>
    <row r="1563" customFormat="false" ht="15" hidden="false" customHeight="false" outlineLevel="0" collapsed="false">
      <c r="A1563" s="1139"/>
      <c r="B1563" s="1139"/>
      <c r="E1563" s="1139"/>
      <c r="F1563" s="1155"/>
    </row>
    <row r="1564" customFormat="false" ht="15" hidden="false" customHeight="false" outlineLevel="0" collapsed="false">
      <c r="A1564" s="1139"/>
      <c r="B1564" s="1139"/>
      <c r="E1564" s="1139"/>
      <c r="F1564" s="1155"/>
    </row>
    <row r="1565" customFormat="false" ht="15" hidden="false" customHeight="false" outlineLevel="0" collapsed="false">
      <c r="A1565" s="1139"/>
      <c r="B1565" s="1139"/>
      <c r="E1565" s="1139"/>
      <c r="F1565" s="1155"/>
    </row>
    <row r="1566" customFormat="false" ht="15" hidden="false" customHeight="false" outlineLevel="0" collapsed="false">
      <c r="A1566" s="1139"/>
      <c r="B1566" s="1139"/>
      <c r="E1566" s="1139"/>
      <c r="F1566" s="1155"/>
    </row>
    <row r="1567" customFormat="false" ht="15" hidden="false" customHeight="false" outlineLevel="0" collapsed="false">
      <c r="A1567" s="1139"/>
      <c r="B1567" s="1139"/>
      <c r="C1567" s="1140"/>
      <c r="D1567" s="1139"/>
      <c r="E1567" s="1139"/>
      <c r="F1567" s="1155"/>
    </row>
    <row r="1568" customFormat="false" ht="15" hidden="false" customHeight="false" outlineLevel="0" collapsed="false">
      <c r="A1568" s="1139"/>
      <c r="B1568" s="1139"/>
      <c r="C1568" s="1140"/>
      <c r="D1568" s="1139"/>
      <c r="E1568" s="1139"/>
      <c r="F1568" s="1155"/>
    </row>
    <row r="1569" customFormat="false" ht="15" hidden="false" customHeight="false" outlineLevel="0" collapsed="false">
      <c r="A1569" s="1139"/>
      <c r="B1569" s="1139"/>
      <c r="C1569" s="1140"/>
      <c r="D1569" s="1139"/>
      <c r="E1569" s="1139"/>
      <c r="F1569" s="1155"/>
    </row>
    <row r="1570" customFormat="false" ht="15" hidden="false" customHeight="false" outlineLevel="0" collapsed="false">
      <c r="A1570" s="1139"/>
      <c r="B1570" s="1139"/>
      <c r="C1570" s="1140"/>
      <c r="D1570" s="1139"/>
      <c r="E1570" s="1139"/>
      <c r="F1570" s="1155"/>
    </row>
    <row r="1571" customFormat="false" ht="15" hidden="false" customHeight="false" outlineLevel="0" collapsed="false">
      <c r="A1571" s="1139"/>
      <c r="B1571" s="1139"/>
      <c r="C1571" s="1140"/>
      <c r="D1571" s="1139"/>
      <c r="E1571" s="1139"/>
      <c r="F1571" s="1155"/>
    </row>
    <row r="1572" customFormat="false" ht="15" hidden="false" customHeight="false" outlineLevel="0" collapsed="false">
      <c r="A1572" s="1139"/>
      <c r="B1572" s="1139"/>
      <c r="C1572" s="1140"/>
      <c r="D1572" s="1139"/>
      <c r="E1572" s="1139"/>
      <c r="F1572" s="1155"/>
    </row>
    <row r="1573" customFormat="false" ht="15" hidden="false" customHeight="false" outlineLevel="0" collapsed="false">
      <c r="A1573" s="1139"/>
      <c r="B1573" s="1139"/>
      <c r="C1573" s="1140"/>
      <c r="D1573" s="1139"/>
      <c r="E1573" s="1139"/>
      <c r="F1573" s="1155"/>
    </row>
    <row r="1574" customFormat="false" ht="15" hidden="false" customHeight="false" outlineLevel="0" collapsed="false">
      <c r="A1574" s="1139"/>
      <c r="B1574" s="1139"/>
      <c r="C1574" s="1140"/>
      <c r="D1574" s="1139"/>
      <c r="E1574" s="1139"/>
      <c r="F1574" s="1155"/>
    </row>
  </sheetData>
  <autoFilter ref="F13:F1556"/>
  <mergeCells count="149">
    <mergeCell ref="B9:F9"/>
    <mergeCell ref="B10:F10"/>
    <mergeCell ref="B14:E14"/>
    <mergeCell ref="B15:E15"/>
    <mergeCell ref="B25:E25"/>
    <mergeCell ref="B26:E26"/>
    <mergeCell ref="B27:E27"/>
    <mergeCell ref="B46:E46"/>
    <mergeCell ref="B47:E47"/>
    <mergeCell ref="B48:E48"/>
    <mergeCell ref="B63:E63"/>
    <mergeCell ref="B64:E64"/>
    <mergeCell ref="B65:E65"/>
    <mergeCell ref="B77:E77"/>
    <mergeCell ref="B78:E78"/>
    <mergeCell ref="B79:E79"/>
    <mergeCell ref="B86:E86"/>
    <mergeCell ref="B87:E87"/>
    <mergeCell ref="B88:E88"/>
    <mergeCell ref="B95:E95"/>
    <mergeCell ref="B96:E96"/>
    <mergeCell ref="B97:E97"/>
    <mergeCell ref="B104:E104"/>
    <mergeCell ref="B105:E105"/>
    <mergeCell ref="B106:E106"/>
    <mergeCell ref="B122:E122"/>
    <mergeCell ref="B123:E123"/>
    <mergeCell ref="B124:E124"/>
    <mergeCell ref="B143:E143"/>
    <mergeCell ref="B144:E144"/>
    <mergeCell ref="B145:E145"/>
    <mergeCell ref="B169:E169"/>
    <mergeCell ref="B170:E170"/>
    <mergeCell ref="B171:E171"/>
    <mergeCell ref="B190:E190"/>
    <mergeCell ref="B191:E191"/>
    <mergeCell ref="B192:E192"/>
    <mergeCell ref="B211:E211"/>
    <mergeCell ref="B212:E212"/>
    <mergeCell ref="B213:E213"/>
    <mergeCell ref="B263:E263"/>
    <mergeCell ref="B264:E264"/>
    <mergeCell ref="B265:E265"/>
    <mergeCell ref="B310:E310"/>
    <mergeCell ref="B311:E311"/>
    <mergeCell ref="B312:E312"/>
    <mergeCell ref="B353:E353"/>
    <mergeCell ref="B354:E354"/>
    <mergeCell ref="B355:E355"/>
    <mergeCell ref="B379:E379"/>
    <mergeCell ref="B380:E380"/>
    <mergeCell ref="B381:E381"/>
    <mergeCell ref="B405:E405"/>
    <mergeCell ref="B406:E406"/>
    <mergeCell ref="B407:E407"/>
    <mergeCell ref="B431:E431"/>
    <mergeCell ref="B432:E432"/>
    <mergeCell ref="B433:E433"/>
    <mergeCell ref="B457:E457"/>
    <mergeCell ref="B458:E458"/>
    <mergeCell ref="B459:E459"/>
    <mergeCell ref="B483:E483"/>
    <mergeCell ref="B484:E484"/>
    <mergeCell ref="B485:E485"/>
    <mergeCell ref="B666:E666"/>
    <mergeCell ref="B667:E667"/>
    <mergeCell ref="B668:E668"/>
    <mergeCell ref="B695:E695"/>
    <mergeCell ref="B696:E696"/>
    <mergeCell ref="B697:E697"/>
    <mergeCell ref="B716:E716"/>
    <mergeCell ref="B717:E717"/>
    <mergeCell ref="B718:E718"/>
    <mergeCell ref="B730:E730"/>
    <mergeCell ref="B731:E731"/>
    <mergeCell ref="B732:E732"/>
    <mergeCell ref="B785:E785"/>
    <mergeCell ref="B786:E786"/>
    <mergeCell ref="B787:E787"/>
    <mergeCell ref="B840:E840"/>
    <mergeCell ref="B841:E841"/>
    <mergeCell ref="B842:E842"/>
    <mergeCell ref="B888:E888"/>
    <mergeCell ref="B889:E889"/>
    <mergeCell ref="B890:E890"/>
    <mergeCell ref="B941:E941"/>
    <mergeCell ref="B942:E942"/>
    <mergeCell ref="B943:E943"/>
    <mergeCell ref="B984:E984"/>
    <mergeCell ref="B985:E985"/>
    <mergeCell ref="B986:E986"/>
    <mergeCell ref="B1034:E1034"/>
    <mergeCell ref="B1035:E1035"/>
    <mergeCell ref="B1036:E1036"/>
    <mergeCell ref="B1083:E1083"/>
    <mergeCell ref="B1084:E1084"/>
    <mergeCell ref="B1085:E1085"/>
    <mergeCell ref="B1127:E1127"/>
    <mergeCell ref="B1128:E1128"/>
    <mergeCell ref="B1129:E1129"/>
    <mergeCell ref="B1167:E1167"/>
    <mergeCell ref="B1168:E1168"/>
    <mergeCell ref="B1169:E1169"/>
    <mergeCell ref="B1190:E1190"/>
    <mergeCell ref="B1191:E1191"/>
    <mergeCell ref="B1192:E1192"/>
    <mergeCell ref="B1203:E1203"/>
    <mergeCell ref="B1204:E1204"/>
    <mergeCell ref="B1205:E1205"/>
    <mergeCell ref="B1210:E1210"/>
    <mergeCell ref="B1211:E1211"/>
    <mergeCell ref="B1212:E1212"/>
    <mergeCell ref="B1213:E1213"/>
    <mergeCell ref="B1238:E1238"/>
    <mergeCell ref="B1250:E1250"/>
    <mergeCell ref="B1258:E1258"/>
    <mergeCell ref="B1259:E1259"/>
    <mergeCell ref="B1260:E1260"/>
    <mergeCell ref="B1261:E1261"/>
    <mergeCell ref="B1286:E1286"/>
    <mergeCell ref="B1310:E1310"/>
    <mergeCell ref="B1321:E1321"/>
    <mergeCell ref="B1333:E1333"/>
    <mergeCell ref="B1340:E1340"/>
    <mergeCell ref="B1341:E1341"/>
    <mergeCell ref="B1342:E1342"/>
    <mergeCell ref="B1360:E1360"/>
    <mergeCell ref="B1361:E1361"/>
    <mergeCell ref="B1362:E1362"/>
    <mergeCell ref="B1374:E1374"/>
    <mergeCell ref="B1375:E1375"/>
    <mergeCell ref="B1376:E1376"/>
    <mergeCell ref="B1386:E1386"/>
    <mergeCell ref="B1387:E1387"/>
    <mergeCell ref="B1388:E1388"/>
    <mergeCell ref="B1402:E1402"/>
    <mergeCell ref="B1403:E1403"/>
    <mergeCell ref="B1404:E1404"/>
    <mergeCell ref="B1419:E1419"/>
    <mergeCell ref="B1420:E1420"/>
    <mergeCell ref="B1507:E1507"/>
    <mergeCell ref="B1508:E1508"/>
    <mergeCell ref="B1544:E1544"/>
    <mergeCell ref="B1545:E1545"/>
    <mergeCell ref="B1556:E1556"/>
    <mergeCell ref="B1558:E1558"/>
    <mergeCell ref="B1559:E1559"/>
    <mergeCell ref="B1560:E1560"/>
    <mergeCell ref="B1561:E1561"/>
  </mergeCells>
  <printOptions headings="false" gridLines="false" gridLinesSet="true" horizontalCentered="false" verticalCentered="false"/>
  <pageMargins left="0.708333333333333" right="0.708333333333333" top="0.747916666666667" bottom="0.747916666666667" header="0.511805555555555" footer="0.511805555555555"/>
  <pageSetup paperSize="9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L1051"/>
  <sheetViews>
    <sheetView showFormulas="false" showGridLines="true" showRowColHeaders="true" showZeros="true" rightToLeft="false" tabSelected="false" showOutlineSymbols="true" defaultGridColor="true" view="normal" topLeftCell="A10" colorId="64" zoomScale="90" zoomScaleNormal="90" zoomScalePageLayoutView="100" workbookViewId="0">
      <pane xSplit="1" ySplit="0" topLeftCell="B10" activePane="topRight" state="frozen"/>
      <selection pane="topLeft" activeCell="A10" activeCellId="0" sqref="A10"/>
      <selection pane="topRight" activeCell="H25" activeCellId="0" sqref="H25"/>
    </sheetView>
  </sheetViews>
  <sheetFormatPr defaultColWidth="9.15625" defaultRowHeight="15" zeroHeight="false" outlineLevelRow="0" outlineLevelCol="0"/>
  <cols>
    <col collapsed="false" customWidth="true" hidden="false" outlineLevel="0" max="1" min="1" style="1158" width="42.71"/>
    <col collapsed="false" customWidth="true" hidden="false" outlineLevel="0" max="2" min="2" style="1158" width="39.7"/>
    <col collapsed="false" customWidth="false" hidden="false" outlineLevel="0" max="3" min="3" style="1158" width="9.14"/>
    <col collapsed="false" customWidth="true" hidden="false" outlineLevel="0" max="4" min="4" style="1158" width="10.29"/>
    <col collapsed="false" customWidth="true" hidden="false" outlineLevel="0" max="5" min="5" style="1158" width="15.15"/>
    <col collapsed="false" customWidth="true" hidden="false" outlineLevel="0" max="6" min="6" style="1158" width="39.43"/>
    <col collapsed="false" customWidth="true" hidden="false" outlineLevel="0" max="7" min="7" style="1158" width="10.29"/>
    <col collapsed="false" customWidth="true" hidden="false" outlineLevel="0" max="8" min="8" style="1158" width="16.42"/>
    <col collapsed="false" customWidth="true" hidden="false" outlineLevel="0" max="9" min="9" style="1158" width="41.57"/>
    <col collapsed="false" customWidth="true" hidden="false" outlineLevel="0" max="10" min="10" style="1158" width="28.57"/>
    <col collapsed="false" customWidth="false" hidden="false" outlineLevel="0" max="11" min="11" style="1158" width="9.14"/>
    <col collapsed="false" customWidth="true" hidden="false" outlineLevel="0" max="13" min="12" style="1158" width="13.01"/>
    <col collapsed="false" customWidth="true" hidden="false" outlineLevel="0" max="16" min="14" style="1158" width="40"/>
    <col collapsed="false" customWidth="false" hidden="false" outlineLevel="0" max="18" min="17" style="1158" width="9.14"/>
    <col collapsed="false" customWidth="true" hidden="false" outlineLevel="0" max="19" min="19" style="1158" width="27.58"/>
    <col collapsed="false" customWidth="false" hidden="false" outlineLevel="0" max="1024" min="20" style="1158" width="9.14"/>
  </cols>
  <sheetData>
    <row r="1" customFormat="false" ht="15.75" hidden="false" customHeight="false" outlineLevel="0" collapsed="false">
      <c r="A1" s="1159" t="s">
        <v>486</v>
      </c>
      <c r="B1" s="1159"/>
      <c r="C1" s="1160"/>
      <c r="D1" s="1160"/>
      <c r="E1" s="1158" t="s">
        <v>2314</v>
      </c>
      <c r="F1" s="1159" t="s">
        <v>2315</v>
      </c>
      <c r="G1" s="1159"/>
      <c r="N1" s="1161"/>
      <c r="O1" s="1162" t="s">
        <v>2316</v>
      </c>
      <c r="R1" s="1158" t="s">
        <v>2317</v>
      </c>
      <c r="S1" s="1158" t="s">
        <v>200</v>
      </c>
    </row>
    <row r="2" customFormat="false" ht="15.75" hidden="false" customHeight="false" outlineLevel="0" collapsed="false">
      <c r="A2" s="1159" t="s">
        <v>44</v>
      </c>
      <c r="B2" s="1163" t="n">
        <v>1</v>
      </c>
      <c r="C2" s="1163"/>
      <c r="D2" s="1163"/>
      <c r="E2" s="1159" t="n">
        <v>0</v>
      </c>
      <c r="F2" s="1164" t="s">
        <v>2318</v>
      </c>
      <c r="G2" s="1159" t="n">
        <v>0</v>
      </c>
      <c r="H2" s="1158" t="s">
        <v>2319</v>
      </c>
      <c r="N2" s="1161" t="s">
        <v>2320</v>
      </c>
      <c r="O2" s="1162" t="s">
        <v>2321</v>
      </c>
      <c r="Q2" s="1158" t="n">
        <v>0</v>
      </c>
      <c r="R2" s="1158" t="n">
        <v>0</v>
      </c>
      <c r="S2" s="1158" t="n">
        <v>0</v>
      </c>
    </row>
    <row r="3" customFormat="false" ht="15.75" hidden="false" customHeight="false" outlineLevel="0" collapsed="false">
      <c r="A3" s="1159" t="s">
        <v>56</v>
      </c>
      <c r="B3" s="1163" t="n">
        <v>0</v>
      </c>
      <c r="C3" s="1163"/>
      <c r="D3" s="1163"/>
      <c r="E3" s="1159" t="n">
        <v>0.1</v>
      </c>
      <c r="F3" s="1164" t="s">
        <v>2322</v>
      </c>
      <c r="G3" s="1159" t="n">
        <v>1</v>
      </c>
      <c r="H3" s="1158" t="s">
        <v>101</v>
      </c>
      <c r="N3" s="1161"/>
      <c r="O3" s="1162"/>
      <c r="Q3" s="1158" t="n">
        <v>0.05</v>
      </c>
      <c r="R3" s="1158" t="n">
        <v>1</v>
      </c>
      <c r="S3" s="1158" t="n">
        <v>2</v>
      </c>
    </row>
    <row r="4" customFormat="false" ht="15.75" hidden="false" customHeight="false" outlineLevel="0" collapsed="false">
      <c r="E4" s="1159" t="n">
        <v>0.15</v>
      </c>
      <c r="H4" s="1158" t="s">
        <v>831</v>
      </c>
      <c r="N4" s="1161" t="s">
        <v>2323</v>
      </c>
      <c r="O4" s="1162"/>
      <c r="Q4" s="1158" t="n">
        <v>0.1</v>
      </c>
      <c r="R4" s="1158" t="n">
        <v>2</v>
      </c>
      <c r="S4" s="1158" t="n">
        <v>2.1</v>
      </c>
    </row>
    <row r="5" customFormat="false" ht="15.75" hidden="false" customHeight="false" outlineLevel="0" collapsed="false">
      <c r="A5" s="1159" t="s">
        <v>2324</v>
      </c>
      <c r="B5" s="1163"/>
      <c r="C5" s="1163"/>
      <c r="D5" s="1163"/>
      <c r="E5" s="1159" t="n">
        <v>0.18</v>
      </c>
      <c r="F5" s="1164" t="s">
        <v>731</v>
      </c>
      <c r="H5" s="1158" t="s">
        <v>2325</v>
      </c>
      <c r="N5" s="1161"/>
      <c r="O5" s="1162"/>
      <c r="Q5" s="1158" t="n">
        <v>0.15</v>
      </c>
      <c r="R5" s="1158" t="n">
        <v>3</v>
      </c>
      <c r="S5" s="1158" t="n">
        <v>2.2</v>
      </c>
    </row>
    <row r="6" customFormat="false" ht="15" hidden="false" customHeight="true" outlineLevel="0" collapsed="false">
      <c r="A6" s="1159" t="s">
        <v>55</v>
      </c>
      <c r="B6" s="1163" t="n">
        <v>1</v>
      </c>
      <c r="C6" s="1163"/>
      <c r="D6" s="1163"/>
      <c r="E6" s="1159" t="n">
        <v>0.2</v>
      </c>
      <c r="F6" s="1164" t="n">
        <v>0</v>
      </c>
      <c r="N6" s="1165" t="s">
        <v>2326</v>
      </c>
      <c r="O6" s="1165"/>
      <c r="Q6" s="1158" t="n">
        <v>0.2</v>
      </c>
      <c r="R6" s="1158" t="n">
        <v>4</v>
      </c>
      <c r="S6" s="1158" t="n">
        <v>2.3</v>
      </c>
    </row>
    <row r="7" customFormat="false" ht="15.75" hidden="false" customHeight="false" outlineLevel="0" collapsed="false">
      <c r="A7" s="1159" t="s">
        <v>2327</v>
      </c>
      <c r="B7" s="1163" t="n">
        <v>1</v>
      </c>
      <c r="C7" s="1163"/>
      <c r="D7" s="1163"/>
      <c r="E7" s="1159" t="n">
        <v>0.25</v>
      </c>
      <c r="F7" s="1164" t="n">
        <v>0.1</v>
      </c>
      <c r="H7" s="1158" t="s">
        <v>2328</v>
      </c>
      <c r="N7" s="1166" t="s">
        <v>2329</v>
      </c>
      <c r="O7" s="1162" t="s">
        <v>2330</v>
      </c>
      <c r="Q7" s="1158" t="n">
        <v>0.25</v>
      </c>
      <c r="R7" s="1158" t="n">
        <v>5</v>
      </c>
      <c r="S7" s="1158" t="n">
        <v>2.4</v>
      </c>
    </row>
    <row r="8" customFormat="false" ht="15.75" hidden="false" customHeight="false" outlineLevel="0" collapsed="false">
      <c r="A8" s="1159" t="s">
        <v>1714</v>
      </c>
      <c r="B8" s="1163" t="n">
        <v>1</v>
      </c>
      <c r="C8" s="1163"/>
      <c r="D8" s="1163"/>
      <c r="E8" s="1159" t="n">
        <v>0.3</v>
      </c>
      <c r="F8" s="1164" t="n">
        <v>0.15</v>
      </c>
      <c r="H8" s="1158" t="s">
        <v>839</v>
      </c>
      <c r="N8" s="1167" t="s">
        <v>2331</v>
      </c>
      <c r="O8" s="1162" t="s">
        <v>2332</v>
      </c>
      <c r="Q8" s="1158" t="n">
        <v>0.3</v>
      </c>
      <c r="R8" s="1158" t="n">
        <v>6</v>
      </c>
      <c r="S8" s="1158" t="n">
        <v>2.5</v>
      </c>
    </row>
    <row r="9" customFormat="false" ht="15.75" hidden="false" customHeight="false" outlineLevel="0" collapsed="false">
      <c r="A9" s="1159"/>
      <c r="B9" s="1163" t="n">
        <v>1</v>
      </c>
      <c r="C9" s="1163"/>
      <c r="D9" s="1163"/>
      <c r="E9" s="1159"/>
      <c r="F9" s="1164" t="n">
        <v>0.18</v>
      </c>
      <c r="H9" s="1158" t="s">
        <v>2333</v>
      </c>
      <c r="N9" s="1168" t="s">
        <v>1096</v>
      </c>
      <c r="O9" s="1162" t="s">
        <v>2334</v>
      </c>
      <c r="Q9" s="1158" t="n">
        <v>0.35</v>
      </c>
      <c r="R9" s="1158" t="n">
        <v>7</v>
      </c>
      <c r="S9" s="1158" t="n">
        <v>2.6</v>
      </c>
    </row>
    <row r="10" customFormat="false" ht="15.75" hidden="false" customHeight="false" outlineLevel="0" collapsed="false">
      <c r="F10" s="1159" t="n">
        <v>0.2</v>
      </c>
      <c r="H10" s="1158" t="s">
        <v>2335</v>
      </c>
      <c r="N10" s="1168" t="s">
        <v>2336</v>
      </c>
      <c r="O10" s="1162" t="s">
        <v>2337</v>
      </c>
      <c r="Q10" s="1158" t="n">
        <v>0.4</v>
      </c>
      <c r="R10" s="1158" t="n">
        <v>8</v>
      </c>
      <c r="S10" s="1158" t="n">
        <v>2.7</v>
      </c>
    </row>
    <row r="11" customFormat="false" ht="15" hidden="false" customHeight="true" outlineLevel="0" collapsed="false">
      <c r="E11" s="1159" t="s">
        <v>2338</v>
      </c>
      <c r="F11" s="1164" t="n">
        <v>0.25</v>
      </c>
      <c r="N11" s="1165" t="s">
        <v>2339</v>
      </c>
      <c r="O11" s="1165"/>
      <c r="Q11" s="1158" t="n">
        <v>0.45</v>
      </c>
      <c r="R11" s="1158" t="n">
        <v>9</v>
      </c>
      <c r="S11" s="1158" t="n">
        <v>2.8</v>
      </c>
    </row>
    <row r="12" customFormat="false" ht="15.75" hidden="false" customHeight="false" outlineLevel="0" collapsed="false">
      <c r="A12" s="1158" t="s">
        <v>2340</v>
      </c>
      <c r="E12" s="1159" t="n">
        <v>0</v>
      </c>
      <c r="F12" s="1164"/>
      <c r="H12" s="1158" t="s">
        <v>848</v>
      </c>
      <c r="N12" s="1167" t="s">
        <v>2341</v>
      </c>
      <c r="O12" s="1162" t="s">
        <v>2330</v>
      </c>
      <c r="Q12" s="1158" t="n">
        <v>0.5</v>
      </c>
      <c r="R12" s="1158" t="n">
        <v>10</v>
      </c>
      <c r="S12" s="1158" t="n">
        <v>2.9</v>
      </c>
    </row>
    <row r="13" customFormat="false" ht="15.75" hidden="false" customHeight="false" outlineLevel="0" collapsed="false">
      <c r="A13" s="1169" t="s">
        <v>2342</v>
      </c>
      <c r="E13" s="1159" t="n">
        <v>0.025</v>
      </c>
      <c r="H13" s="1158" t="s">
        <v>849</v>
      </c>
      <c r="N13" s="1167" t="s">
        <v>2343</v>
      </c>
      <c r="O13" s="1162" t="s">
        <v>2332</v>
      </c>
      <c r="Q13" s="1158" t="n">
        <v>0.55</v>
      </c>
      <c r="R13" s="1158" t="n">
        <v>11</v>
      </c>
      <c r="S13" s="1158" t="n">
        <v>3</v>
      </c>
    </row>
    <row r="14" customFormat="false" ht="15.75" hidden="false" customHeight="false" outlineLevel="0" collapsed="false">
      <c r="A14" s="1169" t="s">
        <v>2344</v>
      </c>
      <c r="E14" s="1159" t="n">
        <v>0.035</v>
      </c>
      <c r="F14" s="1164" t="s">
        <v>2345</v>
      </c>
      <c r="H14" s="1158" t="s">
        <v>2346</v>
      </c>
      <c r="N14" s="1168" t="s">
        <v>2320</v>
      </c>
      <c r="O14" s="1162" t="s">
        <v>2334</v>
      </c>
      <c r="Q14" s="1158" t="n">
        <v>0.6</v>
      </c>
      <c r="R14" s="1158" t="n">
        <v>12</v>
      </c>
      <c r="S14" s="1158" t="n">
        <v>3.1</v>
      </c>
    </row>
    <row r="15" customFormat="false" ht="15.75" hidden="false" customHeight="false" outlineLevel="0" collapsed="false">
      <c r="E15" s="1159" t="n">
        <v>0.04</v>
      </c>
      <c r="F15" s="1164" t="n">
        <v>0</v>
      </c>
      <c r="H15" s="1158" t="s">
        <v>2347</v>
      </c>
      <c r="N15" s="1168" t="s">
        <v>326</v>
      </c>
      <c r="O15" s="1162" t="s">
        <v>2337</v>
      </c>
      <c r="Q15" s="1158" t="n">
        <v>0.65</v>
      </c>
      <c r="R15" s="1158" t="n">
        <v>13</v>
      </c>
      <c r="S15" s="1158" t="n">
        <v>3.2</v>
      </c>
    </row>
    <row r="16" customFormat="false" ht="15" hidden="false" customHeight="false" outlineLevel="0" collapsed="false">
      <c r="E16" s="1159" t="n">
        <v>0.045</v>
      </c>
      <c r="F16" s="1164" t="n">
        <v>0.124</v>
      </c>
      <c r="Q16" s="1158" t="n">
        <v>0.7</v>
      </c>
      <c r="R16" s="1158" t="n">
        <v>14</v>
      </c>
      <c r="S16" s="1158" t="n">
        <v>3.3</v>
      </c>
    </row>
    <row r="17" customFormat="false" ht="15" hidden="false" customHeight="false" outlineLevel="0" collapsed="false">
      <c r="A17" s="1159" t="s">
        <v>2348</v>
      </c>
      <c r="E17" s="1159" t="n">
        <v>0.05</v>
      </c>
      <c r="F17" s="1164" t="n">
        <v>0.174</v>
      </c>
      <c r="H17" s="1159" t="s">
        <v>844</v>
      </c>
      <c r="Q17" s="1158" t="n">
        <v>0.75</v>
      </c>
      <c r="R17" s="1158" t="n">
        <v>15</v>
      </c>
      <c r="S17" s="1158" t="n">
        <v>3.4</v>
      </c>
    </row>
    <row r="18" customFormat="false" ht="15.75" hidden="false" customHeight="false" outlineLevel="0" collapsed="false">
      <c r="A18" s="46" t="s">
        <v>2349</v>
      </c>
      <c r="E18" s="1159" t="n">
        <v>0.055</v>
      </c>
      <c r="F18" s="1164" t="n">
        <v>0.224</v>
      </c>
      <c r="H18" s="1158" t="s">
        <v>849</v>
      </c>
      <c r="Q18" s="1158" t="n">
        <v>0.8</v>
      </c>
      <c r="R18" s="1158" t="n">
        <v>16</v>
      </c>
      <c r="S18" s="1158" t="n">
        <v>3.5</v>
      </c>
    </row>
    <row r="19" customFormat="false" ht="15.75" hidden="false" customHeight="false" outlineLevel="0" collapsed="false">
      <c r="A19" s="46" t="s">
        <v>2350</v>
      </c>
      <c r="E19" s="1159" t="n">
        <v>0.06</v>
      </c>
      <c r="F19" s="1164"/>
      <c r="H19" s="1170" t="s">
        <v>2351</v>
      </c>
      <c r="Q19" s="1158" t="n">
        <v>0.85</v>
      </c>
      <c r="R19" s="1158" t="n">
        <v>17</v>
      </c>
      <c r="S19" s="1158" t="n">
        <v>3.6</v>
      </c>
    </row>
    <row r="20" customFormat="false" ht="15.75" hidden="false" customHeight="false" outlineLevel="0" collapsed="false">
      <c r="A20" s="832" t="s">
        <v>1864</v>
      </c>
      <c r="E20" s="1159" t="n">
        <v>0.065</v>
      </c>
      <c r="H20" s="1170" t="s">
        <v>843</v>
      </c>
      <c r="Q20" s="1158" t="n">
        <v>0.9</v>
      </c>
      <c r="R20" s="1158" t="n">
        <v>18</v>
      </c>
      <c r="S20" s="1158" t="n">
        <v>3.7</v>
      </c>
    </row>
    <row r="21" customFormat="false" ht="15.75" hidden="false" customHeight="false" outlineLevel="0" collapsed="false">
      <c r="A21" s="832" t="s">
        <v>1868</v>
      </c>
      <c r="E21" s="1159" t="n">
        <v>0.07</v>
      </c>
      <c r="F21" s="1164" t="s">
        <v>2159</v>
      </c>
      <c r="G21" s="1163"/>
      <c r="H21" s="1170" t="s">
        <v>1891</v>
      </c>
      <c r="Q21" s="1158" t="n">
        <v>0.95</v>
      </c>
      <c r="R21" s="1158" t="n">
        <v>19</v>
      </c>
      <c r="S21" s="1158" t="n">
        <v>3.8</v>
      </c>
    </row>
    <row r="22" customFormat="false" ht="15.75" hidden="false" customHeight="false" outlineLevel="0" collapsed="false">
      <c r="A22" s="832" t="s">
        <v>2352</v>
      </c>
      <c r="E22" s="1159" t="n">
        <v>0.075</v>
      </c>
      <c r="F22" s="1164" t="s">
        <v>542</v>
      </c>
      <c r="G22" s="1163" t="n">
        <v>1</v>
      </c>
      <c r="H22" s="1170" t="s">
        <v>847</v>
      </c>
      <c r="Q22" s="1158" t="n">
        <v>1</v>
      </c>
      <c r="R22" s="1158" t="n">
        <v>20</v>
      </c>
      <c r="S22" s="1158" t="n">
        <v>3.9</v>
      </c>
    </row>
    <row r="23" customFormat="false" ht="15.75" hidden="false" customHeight="false" outlineLevel="0" collapsed="false">
      <c r="A23" s="832" t="s">
        <v>2353</v>
      </c>
      <c r="E23" s="1159" t="n">
        <v>0.08</v>
      </c>
      <c r="F23" s="1164" t="s">
        <v>2354</v>
      </c>
      <c r="G23" s="1163" t="n">
        <v>1</v>
      </c>
      <c r="H23" s="1159"/>
      <c r="Q23" s="1158" t="n">
        <v>1.05</v>
      </c>
      <c r="R23" s="1158" t="n">
        <v>21</v>
      </c>
      <c r="S23" s="1158" t="n">
        <v>4</v>
      </c>
    </row>
    <row r="24" customFormat="false" ht="15.75" hidden="false" customHeight="false" outlineLevel="0" collapsed="false">
      <c r="A24" s="46" t="s">
        <v>2355</v>
      </c>
      <c r="E24" s="1159" t="s">
        <v>2356</v>
      </c>
      <c r="F24" s="1164" t="s">
        <v>2357</v>
      </c>
      <c r="G24" s="1159"/>
      <c r="Q24" s="1158" t="n">
        <v>1.15</v>
      </c>
      <c r="R24" s="1158" t="n">
        <v>23</v>
      </c>
      <c r="S24" s="1158" t="n">
        <v>4.2</v>
      </c>
    </row>
    <row r="25" customFormat="false" ht="15" hidden="false" customHeight="false" outlineLevel="0" collapsed="false">
      <c r="A25" s="1159" t="s">
        <v>31</v>
      </c>
      <c r="E25" s="1159" t="n">
        <v>0</v>
      </c>
      <c r="F25" s="1164" t="s">
        <v>464</v>
      </c>
      <c r="G25" s="1159" t="n">
        <v>1</v>
      </c>
      <c r="H25" s="1159" t="s">
        <v>837</v>
      </c>
      <c r="Q25" s="1158" t="n">
        <v>1.2</v>
      </c>
      <c r="R25" s="1158" t="n">
        <v>24</v>
      </c>
      <c r="S25" s="1158" t="n">
        <v>4.3</v>
      </c>
    </row>
    <row r="26" customFormat="false" ht="15" hidden="false" customHeight="false" outlineLevel="0" collapsed="false">
      <c r="E26" s="1159" t="n">
        <v>0.2</v>
      </c>
      <c r="F26" s="1164" t="s">
        <v>2358</v>
      </c>
      <c r="G26" s="1159" t="n">
        <v>1</v>
      </c>
      <c r="H26" s="1159" t="s">
        <v>849</v>
      </c>
      <c r="Q26" s="1158" t="n">
        <v>1.25</v>
      </c>
      <c r="R26" s="1158" t="n">
        <v>25</v>
      </c>
      <c r="S26" s="1158" t="n">
        <v>4.4</v>
      </c>
    </row>
    <row r="27" customFormat="false" ht="15.75" hidden="false" customHeight="false" outlineLevel="0" collapsed="false">
      <c r="A27" s="1159" t="s">
        <v>2359</v>
      </c>
      <c r="E27" s="1159" t="n">
        <v>0.3</v>
      </c>
      <c r="H27" s="1170" t="s">
        <v>843</v>
      </c>
      <c r="Q27" s="1158" t="n">
        <v>1.3</v>
      </c>
      <c r="R27" s="1158" t="n">
        <v>26</v>
      </c>
      <c r="S27" s="1158" t="n">
        <v>4.5</v>
      </c>
    </row>
    <row r="28" customFormat="false" ht="15.75" hidden="false" customHeight="false" outlineLevel="0" collapsed="false">
      <c r="A28" s="832" t="s">
        <v>1868</v>
      </c>
      <c r="E28" s="1163" t="n">
        <v>0.4</v>
      </c>
      <c r="F28" s="1159" t="s">
        <v>2360</v>
      </c>
      <c r="H28" s="1170" t="s">
        <v>1891</v>
      </c>
      <c r="Q28" s="1158" t="n">
        <v>1.35</v>
      </c>
      <c r="R28" s="1158" t="n">
        <v>27</v>
      </c>
      <c r="S28" s="1158" t="n">
        <v>4.6</v>
      </c>
    </row>
    <row r="29" customFormat="false" ht="15.75" hidden="false" customHeight="false" outlineLevel="0" collapsed="false">
      <c r="A29" s="832" t="s">
        <v>823</v>
      </c>
      <c r="E29" s="1163" t="n">
        <v>0.5</v>
      </c>
      <c r="F29" s="1159" t="n">
        <v>0</v>
      </c>
      <c r="H29" s="1170" t="s">
        <v>847</v>
      </c>
      <c r="Q29" s="1158" t="n">
        <v>1.4</v>
      </c>
      <c r="R29" s="1158" t="n">
        <v>28</v>
      </c>
      <c r="S29" s="1158" t="n">
        <v>4.7</v>
      </c>
    </row>
    <row r="30" customFormat="false" ht="15.75" hidden="false" customHeight="false" outlineLevel="0" collapsed="false">
      <c r="A30" s="832" t="s">
        <v>1872</v>
      </c>
      <c r="E30" s="1163" t="n">
        <v>0.6</v>
      </c>
      <c r="F30" s="1159" t="n">
        <v>1</v>
      </c>
      <c r="H30" s="1159"/>
      <c r="Q30" s="1158" t="n">
        <v>1.45</v>
      </c>
      <c r="R30" s="1158" t="n">
        <v>29</v>
      </c>
      <c r="S30" s="1158" t="n">
        <v>4.8</v>
      </c>
    </row>
    <row r="31" customFormat="false" ht="15.75" hidden="false" customHeight="false" outlineLevel="0" collapsed="false">
      <c r="A31" s="832" t="s">
        <v>2361</v>
      </c>
      <c r="E31" s="1163" t="n">
        <v>0.7</v>
      </c>
      <c r="F31" s="1159" t="n">
        <v>2</v>
      </c>
      <c r="H31" s="1159"/>
      <c r="Q31" s="1158" t="n">
        <v>1.5</v>
      </c>
      <c r="R31" s="1158" t="n">
        <v>30</v>
      </c>
      <c r="S31" s="1158" t="n">
        <v>4.9</v>
      </c>
    </row>
    <row r="32" customFormat="false" ht="15" hidden="false" customHeight="false" outlineLevel="0" collapsed="false">
      <c r="E32" s="1163" t="n">
        <v>0.8</v>
      </c>
      <c r="F32" s="1159" t="n">
        <v>3</v>
      </c>
      <c r="Q32" s="1158" t="n">
        <v>1.55</v>
      </c>
      <c r="R32" s="1158" t="n">
        <v>31</v>
      </c>
      <c r="S32" s="1158" t="n">
        <v>5</v>
      </c>
    </row>
    <row r="33" customFormat="false" ht="15" hidden="false" customHeight="false" outlineLevel="0" collapsed="false">
      <c r="E33" s="1163" t="n">
        <v>0.9</v>
      </c>
      <c r="F33" s="1159" t="n">
        <v>4</v>
      </c>
      <c r="H33" s="1159" t="s">
        <v>2362</v>
      </c>
      <c r="Q33" s="1158" t="n">
        <v>1.6</v>
      </c>
      <c r="R33" s="1158" t="n">
        <v>32</v>
      </c>
      <c r="S33" s="1158" t="n">
        <v>5.1</v>
      </c>
    </row>
    <row r="34" customFormat="false" ht="15.75" hidden="false" customHeight="false" outlineLevel="0" collapsed="false">
      <c r="A34" s="832" t="s">
        <v>2341</v>
      </c>
      <c r="E34" s="1163" t="n">
        <v>1</v>
      </c>
      <c r="F34" s="1159" t="n">
        <v>5</v>
      </c>
      <c r="H34" s="1159" t="s">
        <v>849</v>
      </c>
      <c r="Q34" s="1158" t="n">
        <v>1.65</v>
      </c>
      <c r="R34" s="1158" t="n">
        <v>33</v>
      </c>
      <c r="S34" s="1158" t="n">
        <v>5.2</v>
      </c>
    </row>
    <row r="35" customFormat="false" ht="15.75" hidden="false" customHeight="false" outlineLevel="0" collapsed="false">
      <c r="A35" s="832" t="s">
        <v>2363</v>
      </c>
      <c r="E35" s="1163" t="n">
        <v>1.1</v>
      </c>
      <c r="F35" s="1159" t="n">
        <v>6</v>
      </c>
      <c r="H35" s="1159" t="s">
        <v>856</v>
      </c>
      <c r="Q35" s="1158" t="n">
        <v>1.7</v>
      </c>
      <c r="R35" s="1158" t="n">
        <v>34</v>
      </c>
      <c r="S35" s="1158" t="n">
        <v>5.3</v>
      </c>
    </row>
    <row r="36" customFormat="false" ht="15.75" hidden="false" customHeight="false" outlineLevel="0" collapsed="false">
      <c r="A36" s="832" t="s">
        <v>2364</v>
      </c>
      <c r="E36" s="1163" t="n">
        <v>1.2</v>
      </c>
      <c r="F36" s="1159" t="n">
        <v>7</v>
      </c>
      <c r="H36" s="1159" t="s">
        <v>2365</v>
      </c>
      <c r="Q36" s="1158" t="n">
        <v>1.75</v>
      </c>
      <c r="R36" s="1158" t="n">
        <v>35</v>
      </c>
      <c r="S36" s="1158" t="n">
        <v>5.4</v>
      </c>
    </row>
    <row r="37" customFormat="false" ht="15.75" hidden="false" customHeight="false" outlineLevel="0" collapsed="false">
      <c r="A37" s="832" t="s">
        <v>2366</v>
      </c>
      <c r="E37" s="1163" t="n">
        <v>1.3</v>
      </c>
      <c r="F37" s="1159" t="n">
        <v>8</v>
      </c>
      <c r="H37" s="1171"/>
      <c r="Q37" s="1158" t="n">
        <v>1.8</v>
      </c>
      <c r="R37" s="1158" t="n">
        <v>36</v>
      </c>
      <c r="S37" s="1158" t="n">
        <v>5.5</v>
      </c>
    </row>
    <row r="38" customFormat="false" ht="15.75" hidden="false" customHeight="false" outlineLevel="0" collapsed="false">
      <c r="A38" s="832" t="s">
        <v>2367</v>
      </c>
      <c r="E38" s="1163" t="n">
        <v>1.4</v>
      </c>
      <c r="F38" s="1159" t="n">
        <v>9</v>
      </c>
      <c r="H38" s="1172"/>
      <c r="Q38" s="1158" t="n">
        <v>1.85</v>
      </c>
      <c r="R38" s="1158" t="n">
        <v>37</v>
      </c>
      <c r="S38" s="1158" t="n">
        <v>5.6</v>
      </c>
    </row>
    <row r="39" customFormat="false" ht="15" hidden="false" customHeight="false" outlineLevel="0" collapsed="false">
      <c r="A39" s="1159"/>
      <c r="E39" s="1163" t="n">
        <v>1.5</v>
      </c>
      <c r="F39" s="1159" t="n">
        <v>10</v>
      </c>
      <c r="H39" s="1171" t="s">
        <v>2368</v>
      </c>
      <c r="Q39" s="1158" t="n">
        <v>1.9</v>
      </c>
      <c r="R39" s="1158" t="n">
        <v>38</v>
      </c>
      <c r="S39" s="1158" t="n">
        <v>5.7</v>
      </c>
    </row>
    <row r="40" customFormat="false" ht="15" hidden="false" customHeight="false" outlineLevel="0" collapsed="false">
      <c r="A40" s="1159"/>
      <c r="E40" s="1159" t="s">
        <v>2369</v>
      </c>
      <c r="F40" s="1164" t="n">
        <v>11</v>
      </c>
      <c r="H40" s="1159" t="s">
        <v>849</v>
      </c>
      <c r="Q40" s="1158" t="n">
        <v>1.95</v>
      </c>
      <c r="R40" s="1158" t="n">
        <v>39</v>
      </c>
      <c r="S40" s="1158" t="n">
        <v>5.8</v>
      </c>
    </row>
    <row r="41" customFormat="false" ht="15" hidden="false" customHeight="false" outlineLevel="0" collapsed="false">
      <c r="A41" s="1159"/>
      <c r="E41" s="1159" t="n">
        <v>0.1</v>
      </c>
      <c r="F41" s="1164" t="n">
        <v>12</v>
      </c>
      <c r="H41" s="1171" t="s">
        <v>857</v>
      </c>
      <c r="Q41" s="1158" t="n">
        <v>2</v>
      </c>
      <c r="R41" s="1158" t="n">
        <v>40</v>
      </c>
      <c r="S41" s="1158" t="n">
        <v>5.9</v>
      </c>
    </row>
    <row r="42" customFormat="false" ht="15" hidden="false" customHeight="false" outlineLevel="0" collapsed="false">
      <c r="B42" s="1173" t="s">
        <v>2370</v>
      </c>
      <c r="C42" s="1173"/>
      <c r="D42" s="1173"/>
      <c r="E42" s="1159" t="n">
        <v>0.15</v>
      </c>
      <c r="F42" s="1164" t="n">
        <v>13</v>
      </c>
      <c r="H42" s="1171" t="s">
        <v>2371</v>
      </c>
      <c r="Q42" s="1158" t="n">
        <v>2.05</v>
      </c>
      <c r="R42" s="1158" t="n">
        <v>41</v>
      </c>
      <c r="S42" s="1158" t="n">
        <v>6</v>
      </c>
    </row>
    <row r="43" customFormat="false" ht="15" hidden="false" customHeight="false" outlineLevel="0" collapsed="false">
      <c r="A43" s="1159" t="s">
        <v>2372</v>
      </c>
      <c r="B43" s="1159" t="s">
        <v>137</v>
      </c>
      <c r="C43" s="1159" t="s">
        <v>116</v>
      </c>
      <c r="D43" s="1159" t="s">
        <v>482</v>
      </c>
      <c r="E43" s="1159" t="n">
        <v>0.2</v>
      </c>
      <c r="F43" s="1164" t="n">
        <v>14</v>
      </c>
      <c r="H43" s="1171" t="s">
        <v>2373</v>
      </c>
      <c r="Q43" s="1158" t="n">
        <v>2.1</v>
      </c>
      <c r="R43" s="1158" t="n">
        <v>42</v>
      </c>
      <c r="S43" s="1158" t="n">
        <v>6.1</v>
      </c>
    </row>
    <row r="44" customFormat="false" ht="15" hidden="false" customHeight="false" outlineLevel="0" collapsed="false">
      <c r="A44" s="1159" t="s">
        <v>2374</v>
      </c>
      <c r="B44" s="1159" t="n">
        <v>0</v>
      </c>
      <c r="C44" s="1159" t="n">
        <v>0</v>
      </c>
      <c r="D44" s="1159" t="n">
        <v>0</v>
      </c>
      <c r="E44" s="1159" t="n">
        <v>0.25</v>
      </c>
      <c r="F44" s="1164" t="n">
        <v>15</v>
      </c>
      <c r="H44" s="1172"/>
      <c r="Q44" s="1158" t="n">
        <v>2.15</v>
      </c>
      <c r="R44" s="1158" t="n">
        <v>43</v>
      </c>
      <c r="S44" s="1158" t="n">
        <v>6.2</v>
      </c>
    </row>
    <row r="45" customFormat="false" ht="15" hidden="false" customHeight="false" outlineLevel="0" collapsed="false">
      <c r="A45" s="1159" t="s">
        <v>2375</v>
      </c>
      <c r="B45" s="1159" t="n">
        <v>0.1</v>
      </c>
      <c r="C45" s="1159" t="n">
        <v>0.05</v>
      </c>
      <c r="D45" s="1159" t="n">
        <v>0.1</v>
      </c>
      <c r="E45" s="1159" t="n">
        <v>0.3</v>
      </c>
      <c r="F45" s="1164" t="n">
        <v>16</v>
      </c>
      <c r="H45" s="1174" t="s">
        <v>2376</v>
      </c>
      <c r="Q45" s="1158" t="n">
        <v>2.2</v>
      </c>
      <c r="R45" s="1158" t="n">
        <v>44</v>
      </c>
      <c r="S45" s="1158" t="n">
        <v>6.3</v>
      </c>
    </row>
    <row r="46" customFormat="false" ht="15" hidden="false" customHeight="false" outlineLevel="0" collapsed="false">
      <c r="A46" s="1159" t="s">
        <v>2377</v>
      </c>
      <c r="B46" s="1159" t="n">
        <v>0.15</v>
      </c>
      <c r="C46" s="1159" t="n">
        <v>0.1</v>
      </c>
      <c r="D46" s="1159" t="n">
        <v>0.15</v>
      </c>
      <c r="E46" s="1159" t="n">
        <v>0.35</v>
      </c>
      <c r="F46" s="1164" t="n">
        <v>17</v>
      </c>
      <c r="H46" s="1159" t="s">
        <v>849</v>
      </c>
      <c r="Q46" s="1158" t="n">
        <v>2.25</v>
      </c>
      <c r="R46" s="1158" t="n">
        <v>45</v>
      </c>
      <c r="S46" s="1158" t="n">
        <v>6.4</v>
      </c>
    </row>
    <row r="47" customFormat="false" ht="15" hidden="false" customHeight="false" outlineLevel="0" collapsed="false">
      <c r="A47" s="1159" t="s">
        <v>2378</v>
      </c>
      <c r="B47" s="1159" t="n">
        <v>0.18</v>
      </c>
      <c r="C47" s="1159" t="n">
        <v>0.15</v>
      </c>
      <c r="D47" s="1159" t="n">
        <v>0.2</v>
      </c>
      <c r="E47" s="1159" t="n">
        <v>0.375</v>
      </c>
      <c r="H47" s="1171" t="s">
        <v>858</v>
      </c>
      <c r="Q47" s="1158" t="n">
        <v>2.3</v>
      </c>
      <c r="R47" s="1158" t="n">
        <v>46</v>
      </c>
      <c r="S47" s="1158" t="n">
        <v>6.5</v>
      </c>
    </row>
    <row r="48" customFormat="false" ht="15" hidden="false" customHeight="false" outlineLevel="0" collapsed="false">
      <c r="A48" s="1159" t="s">
        <v>2379</v>
      </c>
      <c r="B48" s="1159" t="n">
        <v>0.2</v>
      </c>
      <c r="C48" s="1159" t="n">
        <v>0.18</v>
      </c>
      <c r="D48" s="1159" t="n">
        <v>0.3</v>
      </c>
      <c r="E48" s="1159" t="n">
        <v>0.4</v>
      </c>
      <c r="H48" s="1171"/>
      <c r="Q48" s="1158" t="n">
        <v>2.35</v>
      </c>
      <c r="R48" s="1158" t="n">
        <v>47</v>
      </c>
      <c r="S48" s="1158" t="n">
        <v>6.6</v>
      </c>
    </row>
    <row r="49" customFormat="false" ht="15" hidden="false" customHeight="false" outlineLevel="0" collapsed="false">
      <c r="A49" s="1159"/>
      <c r="B49" s="1159" t="n">
        <v>0.25</v>
      </c>
      <c r="C49" s="1159" t="n">
        <v>0.2</v>
      </c>
      <c r="D49" s="1159" t="n">
        <v>0.4</v>
      </c>
      <c r="E49" s="1159" t="n">
        <v>0.425</v>
      </c>
      <c r="H49" s="1171"/>
      <c r="Q49" s="1158" t="n">
        <v>2.4</v>
      </c>
      <c r="R49" s="1158" t="n">
        <v>48</v>
      </c>
      <c r="S49" s="1158" t="n">
        <v>6.7</v>
      </c>
    </row>
    <row r="50" customFormat="false" ht="15" hidden="false" customHeight="false" outlineLevel="0" collapsed="false">
      <c r="A50" s="1159"/>
      <c r="B50" s="1159" t="n">
        <v>0.3</v>
      </c>
      <c r="C50" s="1159" t="n">
        <v>0.25</v>
      </c>
      <c r="D50" s="1159" t="n">
        <v>0.5</v>
      </c>
      <c r="E50" s="1159" t="n">
        <v>0.45</v>
      </c>
      <c r="H50" s="1171"/>
      <c r="Q50" s="1158" t="n">
        <v>2.45</v>
      </c>
      <c r="R50" s="1158" t="n">
        <v>49</v>
      </c>
      <c r="S50" s="1158" t="n">
        <v>6.8</v>
      </c>
    </row>
    <row r="51" customFormat="false" ht="15" hidden="false" customHeight="false" outlineLevel="0" collapsed="false">
      <c r="A51" s="1159"/>
      <c r="B51" s="1159"/>
      <c r="C51" s="1159" t="n">
        <v>0.3</v>
      </c>
      <c r="D51" s="1159" t="n">
        <v>0.6</v>
      </c>
      <c r="E51" s="1159" t="n">
        <v>0.475</v>
      </c>
      <c r="Q51" s="1158" t="n">
        <v>2.5</v>
      </c>
      <c r="R51" s="1158" t="n">
        <v>50</v>
      </c>
      <c r="S51" s="1158" t="n">
        <v>6.9</v>
      </c>
    </row>
    <row r="52" customFormat="false" ht="15" hidden="false" customHeight="false" outlineLevel="0" collapsed="false">
      <c r="A52" s="1159" t="s">
        <v>98</v>
      </c>
      <c r="B52" s="1159"/>
      <c r="D52" s="1159" t="n">
        <v>0.7</v>
      </c>
      <c r="E52" s="1159" t="n">
        <v>0.5</v>
      </c>
      <c r="Q52" s="1158" t="n">
        <v>2.55</v>
      </c>
      <c r="R52" s="1158" t="n">
        <v>51</v>
      </c>
      <c r="S52" s="1158" t="n">
        <v>7</v>
      </c>
    </row>
    <row r="53" customFormat="false" ht="15" hidden="false" customHeight="false" outlineLevel="0" collapsed="false">
      <c r="A53" s="1159" t="s">
        <v>2380</v>
      </c>
      <c r="B53" s="1159" t="n">
        <v>1</v>
      </c>
      <c r="D53" s="1159" t="n">
        <v>0.8</v>
      </c>
      <c r="E53" s="1159" t="n">
        <v>0.525</v>
      </c>
      <c r="H53" s="1158" t="s">
        <v>2359</v>
      </c>
      <c r="Q53" s="1158" t="n">
        <v>2.6</v>
      </c>
      <c r="R53" s="1158" t="n">
        <v>52</v>
      </c>
      <c r="S53" s="1158" t="n">
        <v>7.1</v>
      </c>
    </row>
    <row r="54" customFormat="false" ht="15" hidden="false" customHeight="false" outlineLevel="0" collapsed="false">
      <c r="A54" s="1159" t="s">
        <v>2381</v>
      </c>
      <c r="B54" s="1159" t="n">
        <v>0</v>
      </c>
      <c r="D54" s="1159" t="n">
        <v>0.9</v>
      </c>
      <c r="E54" s="1159" t="n">
        <v>0.55</v>
      </c>
      <c r="H54" s="1158" t="s">
        <v>2382</v>
      </c>
      <c r="Q54" s="1158" t="n">
        <v>2.65</v>
      </c>
      <c r="R54" s="1158" t="n">
        <v>53</v>
      </c>
      <c r="S54" s="1158" t="n">
        <v>7.2</v>
      </c>
    </row>
    <row r="55" customFormat="false" ht="15" hidden="false" customHeight="false" outlineLevel="0" collapsed="false">
      <c r="D55" s="1159" t="n">
        <v>1</v>
      </c>
      <c r="E55" s="1159" t="n">
        <v>0.575</v>
      </c>
      <c r="H55" s="1158" t="s">
        <v>542</v>
      </c>
      <c r="Q55" s="1158" t="n">
        <v>2.7</v>
      </c>
      <c r="R55" s="1158" t="n">
        <v>54</v>
      </c>
      <c r="S55" s="1158" t="n">
        <v>7.3</v>
      </c>
    </row>
    <row r="56" customFormat="false" ht="15" hidden="false" customHeight="false" outlineLevel="0" collapsed="false">
      <c r="A56" s="1159" t="s">
        <v>581</v>
      </c>
      <c r="B56" s="1159"/>
      <c r="D56" s="1159" t="n">
        <v>1.1</v>
      </c>
      <c r="E56" s="1159" t="n">
        <v>0.6</v>
      </c>
      <c r="Q56" s="1158" t="n">
        <v>2.75</v>
      </c>
      <c r="R56" s="1158" t="n">
        <v>55</v>
      </c>
      <c r="S56" s="1158" t="n">
        <v>7.4</v>
      </c>
    </row>
    <row r="57" customFormat="false" ht="15" hidden="false" customHeight="false" outlineLevel="0" collapsed="false">
      <c r="A57" s="1172" t="s">
        <v>2383</v>
      </c>
      <c r="B57" s="1159"/>
      <c r="D57" s="1159" t="n">
        <v>1.2</v>
      </c>
      <c r="E57" s="1159" t="n">
        <v>0.625</v>
      </c>
      <c r="F57" s="1159" t="s">
        <v>2384</v>
      </c>
      <c r="Q57" s="1158" t="n">
        <v>2.8</v>
      </c>
      <c r="R57" s="1158" t="n">
        <v>56</v>
      </c>
      <c r="S57" s="1158" t="n">
        <v>7.5</v>
      </c>
    </row>
    <row r="58" customFormat="false" ht="15" hidden="false" customHeight="false" outlineLevel="0" collapsed="false">
      <c r="A58" s="1159" t="s">
        <v>2264</v>
      </c>
      <c r="B58" s="1159"/>
      <c r="D58" s="1159" t="n">
        <v>1.3</v>
      </c>
      <c r="E58" s="1159" t="n">
        <v>0.65</v>
      </c>
      <c r="F58" s="1159" t="s">
        <v>2385</v>
      </c>
      <c r="H58" s="1175" t="s">
        <v>15</v>
      </c>
      <c r="Q58" s="1158" t="n">
        <v>2.85</v>
      </c>
      <c r="R58" s="1158" t="n">
        <v>57</v>
      </c>
      <c r="S58" s="1158" t="n">
        <v>7.60000000000001</v>
      </c>
    </row>
    <row r="59" customFormat="false" ht="15" hidden="false" customHeight="false" outlineLevel="0" collapsed="false">
      <c r="A59" s="1159" t="s">
        <v>2386</v>
      </c>
      <c r="B59" s="1159"/>
      <c r="D59" s="1159" t="n">
        <v>1.4</v>
      </c>
      <c r="E59" s="1159" t="n">
        <v>0.675</v>
      </c>
      <c r="F59" s="1176" t="s">
        <v>2387</v>
      </c>
      <c r="H59" s="1177" t="n">
        <v>5.3</v>
      </c>
      <c r="Q59" s="1158" t="n">
        <v>2.9</v>
      </c>
      <c r="R59" s="1158" t="n">
        <v>58</v>
      </c>
      <c r="S59" s="1158" t="n">
        <v>7.7</v>
      </c>
    </row>
    <row r="60" customFormat="false" ht="15" hidden="false" customHeight="false" outlineLevel="0" collapsed="false">
      <c r="A60" s="1159" t="s">
        <v>2265</v>
      </c>
      <c r="B60" s="1159"/>
      <c r="D60" s="1159" t="n">
        <v>1.5</v>
      </c>
      <c r="E60" s="1159" t="n">
        <v>0.7</v>
      </c>
      <c r="F60" s="1176" t="s">
        <v>2388</v>
      </c>
      <c r="H60" s="10"/>
      <c r="Q60" s="1158" t="n">
        <v>2.95</v>
      </c>
      <c r="R60" s="1158" t="n">
        <v>59</v>
      </c>
      <c r="S60" s="1158" t="n">
        <v>7.8</v>
      </c>
    </row>
    <row r="61" customFormat="false" ht="15" hidden="false" customHeight="false" outlineLevel="0" collapsed="false">
      <c r="A61" s="1159"/>
      <c r="B61" s="1159"/>
      <c r="D61" s="1159" t="n">
        <v>1.6</v>
      </c>
      <c r="E61" s="1159" t="n">
        <v>0.725</v>
      </c>
      <c r="F61" s="1176" t="s">
        <v>2389</v>
      </c>
      <c r="H61" s="10"/>
      <c r="Q61" s="1158" t="n">
        <v>3</v>
      </c>
      <c r="R61" s="1158" t="n">
        <v>60</v>
      </c>
      <c r="S61" s="1158" t="n">
        <v>7.90000000000001</v>
      </c>
    </row>
    <row r="62" customFormat="false" ht="15" hidden="false" customHeight="false" outlineLevel="0" collapsed="false">
      <c r="A62" s="1159" t="s">
        <v>2390</v>
      </c>
      <c r="B62" s="1159"/>
      <c r="D62" s="1159" t="n">
        <v>1.7</v>
      </c>
      <c r="E62" s="1159" t="n">
        <v>0.75</v>
      </c>
      <c r="H62" s="10"/>
      <c r="Q62" s="1158" t="n">
        <v>3.05</v>
      </c>
      <c r="R62" s="1158" t="n">
        <v>61</v>
      </c>
      <c r="S62" s="1158" t="n">
        <v>8.00000000000001</v>
      </c>
    </row>
    <row r="63" customFormat="false" ht="15" hidden="false" customHeight="false" outlineLevel="0" collapsed="false">
      <c r="A63" s="1172" t="s">
        <v>2383</v>
      </c>
      <c r="B63" s="1159"/>
      <c r="D63" s="1159" t="n">
        <v>1.8</v>
      </c>
      <c r="E63" s="1159" t="n">
        <v>0.775</v>
      </c>
      <c r="H63" s="1175" t="s">
        <v>15</v>
      </c>
      <c r="Q63" s="1158" t="n">
        <v>3.1</v>
      </c>
      <c r="R63" s="1158" t="n">
        <v>62</v>
      </c>
      <c r="S63" s="1158" t="n">
        <v>8.10000000000001</v>
      </c>
    </row>
    <row r="64" customFormat="false" ht="15" hidden="false" customHeight="false" outlineLevel="0" collapsed="false">
      <c r="A64" s="1159" t="s">
        <v>2263</v>
      </c>
      <c r="B64" s="1159"/>
      <c r="D64" s="1159" t="n">
        <v>1.9</v>
      </c>
      <c r="E64" s="1159" t="n">
        <v>0.8</v>
      </c>
      <c r="F64" s="1178" t="s">
        <v>2391</v>
      </c>
      <c r="H64" s="1177" t="n">
        <v>5.2</v>
      </c>
      <c r="Q64" s="1158" t="n">
        <v>3.15</v>
      </c>
      <c r="R64" s="1158" t="n">
        <v>63</v>
      </c>
      <c r="S64" s="1158" t="n">
        <v>8.2</v>
      </c>
    </row>
    <row r="65" customFormat="false" ht="15" hidden="false" customHeight="false" outlineLevel="0" collapsed="false">
      <c r="A65" s="1159" t="s">
        <v>2262</v>
      </c>
      <c r="B65" s="1159"/>
      <c r="D65" s="1159" t="n">
        <v>2</v>
      </c>
      <c r="E65" s="1159" t="n">
        <v>0.825</v>
      </c>
      <c r="F65" s="1178" t="s">
        <v>2374</v>
      </c>
      <c r="H65" s="42"/>
      <c r="Q65" s="1158" t="n">
        <v>3.2</v>
      </c>
      <c r="R65" s="1158" t="n">
        <v>64</v>
      </c>
      <c r="S65" s="1158" t="n">
        <v>8.30000000000001</v>
      </c>
    </row>
    <row r="66" customFormat="false" ht="15" hidden="false" customHeight="false" outlineLevel="0" collapsed="false">
      <c r="A66" s="1159"/>
      <c r="B66" s="1159"/>
      <c r="D66" s="1159" t="n">
        <v>2.1</v>
      </c>
      <c r="E66" s="1159" t="n">
        <v>0.85</v>
      </c>
      <c r="F66" s="1178" t="s">
        <v>2323</v>
      </c>
      <c r="H66" s="1175" t="s">
        <v>15</v>
      </c>
      <c r="Q66" s="1158" t="n">
        <v>3.25</v>
      </c>
      <c r="R66" s="1158" t="n">
        <v>65</v>
      </c>
      <c r="S66" s="1158" t="n">
        <v>8.40000000000001</v>
      </c>
    </row>
    <row r="67" customFormat="false" ht="15" hidden="false" customHeight="false" outlineLevel="0" collapsed="false">
      <c r="D67" s="1159" t="n">
        <v>2.2</v>
      </c>
      <c r="E67" s="1159" t="n">
        <v>0.875</v>
      </c>
      <c r="F67" s="1178" t="s">
        <v>2392</v>
      </c>
      <c r="H67" s="25" t="n">
        <v>3.2</v>
      </c>
      <c r="Q67" s="1158" t="n">
        <v>3.3</v>
      </c>
      <c r="R67" s="1158" t="n">
        <v>66</v>
      </c>
      <c r="S67" s="1158" t="n">
        <v>8.50000000000001</v>
      </c>
    </row>
    <row r="68" customFormat="false" ht="15" hidden="false" customHeight="false" outlineLevel="0" collapsed="false">
      <c r="A68" s="1158" t="s">
        <v>2393</v>
      </c>
      <c r="D68" s="1159" t="n">
        <v>2.3</v>
      </c>
      <c r="E68" s="1159" t="n">
        <v>0.9</v>
      </c>
      <c r="H68" s="42"/>
      <c r="Q68" s="1158" t="n">
        <v>3.35</v>
      </c>
      <c r="R68" s="1158" t="n">
        <v>67</v>
      </c>
      <c r="S68" s="1158" t="n">
        <v>8.60000000000001</v>
      </c>
    </row>
    <row r="69" customFormat="false" ht="15" hidden="false" customHeight="false" outlineLevel="0" collapsed="false">
      <c r="A69" s="1158" t="s">
        <v>2394</v>
      </c>
      <c r="D69" s="1159" t="n">
        <v>2.4</v>
      </c>
      <c r="E69" s="1159" t="n">
        <v>0.925</v>
      </c>
      <c r="H69" s="42"/>
      <c r="Q69" s="1158" t="n">
        <v>3.4</v>
      </c>
      <c r="R69" s="1158" t="n">
        <v>68</v>
      </c>
      <c r="S69" s="1158" t="n">
        <v>8.70000000000001</v>
      </c>
    </row>
    <row r="70" customFormat="false" ht="15" hidden="false" customHeight="false" outlineLevel="0" collapsed="false">
      <c r="A70" s="1158" t="s">
        <v>890</v>
      </c>
      <c r="D70" s="1159" t="n">
        <v>2.5</v>
      </c>
      <c r="E70" s="1159" t="n">
        <v>0.950000000000001</v>
      </c>
      <c r="H70" s="1179" t="s">
        <v>15</v>
      </c>
      <c r="Q70" s="1158" t="n">
        <v>3.45</v>
      </c>
      <c r="R70" s="1158" t="n">
        <v>69</v>
      </c>
      <c r="S70" s="1158" t="n">
        <v>8.80000000000001</v>
      </c>
    </row>
    <row r="71" customFormat="false" ht="15" hidden="false" customHeight="false" outlineLevel="0" collapsed="false">
      <c r="D71" s="1159" t="n">
        <v>2.6</v>
      </c>
      <c r="E71" s="1159" t="n">
        <v>0.975000000000001</v>
      </c>
      <c r="H71" s="25" t="n">
        <v>3</v>
      </c>
      <c r="Q71" s="1158" t="n">
        <v>3.5</v>
      </c>
      <c r="R71" s="1158" t="n">
        <v>70</v>
      </c>
      <c r="S71" s="1158" t="n">
        <v>8.90000000000001</v>
      </c>
    </row>
    <row r="72" customFormat="false" ht="15" hidden="false" customHeight="false" outlineLevel="0" collapsed="false">
      <c r="D72" s="1159" t="n">
        <v>2.7</v>
      </c>
      <c r="E72" s="1159" t="n">
        <v>1</v>
      </c>
      <c r="H72" s="42"/>
      <c r="Q72" s="1158" t="n">
        <v>3.55</v>
      </c>
      <c r="R72" s="1158" t="n">
        <v>71</v>
      </c>
      <c r="S72" s="1158" t="n">
        <v>9.00000000000001</v>
      </c>
    </row>
    <row r="73" customFormat="false" ht="15" hidden="false" customHeight="false" outlineLevel="0" collapsed="false">
      <c r="A73" s="1159" t="s">
        <v>2211</v>
      </c>
      <c r="B73" s="1159"/>
      <c r="D73" s="1159" t="n">
        <v>2.8</v>
      </c>
      <c r="H73" s="42"/>
      <c r="Q73" s="1158" t="n">
        <v>3.6</v>
      </c>
      <c r="R73" s="1158" t="n">
        <v>72</v>
      </c>
      <c r="S73" s="1158" t="n">
        <v>9.10000000000001</v>
      </c>
    </row>
    <row r="74" customFormat="false" ht="15" hidden="false" customHeight="false" outlineLevel="0" collapsed="false">
      <c r="A74" s="1171" t="s">
        <v>2395</v>
      </c>
      <c r="B74" s="1159" t="n">
        <v>0</v>
      </c>
      <c r="C74" s="1160"/>
      <c r="D74" s="1159" t="n">
        <v>2.9</v>
      </c>
      <c r="E74" s="1172"/>
      <c r="F74" s="1172"/>
      <c r="H74" s="1175" t="s">
        <v>15</v>
      </c>
      <c r="R74" s="1158" t="n">
        <v>73</v>
      </c>
      <c r="S74" s="1158" t="n">
        <v>9.20000000000001</v>
      </c>
    </row>
    <row r="75" customFormat="false" ht="15" hidden="false" customHeight="false" outlineLevel="0" collapsed="false">
      <c r="A75" s="1180" t="str">
        <f aca="false">'Прайс лист'!B1011</f>
        <v>дно бетонное, диаметр 1м.п.</v>
      </c>
      <c r="B75" s="1181" t="n">
        <f aca="false">'Прайс лист'!G1011</f>
        <v>2000</v>
      </c>
      <c r="C75" s="1160"/>
      <c r="D75" s="1159" t="n">
        <v>3</v>
      </c>
      <c r="E75" s="1160"/>
      <c r="F75" s="1160"/>
      <c r="H75" s="25" t="n">
        <v>0.2</v>
      </c>
      <c r="R75" s="1158" t="n">
        <v>74</v>
      </c>
      <c r="S75" s="1158" t="n">
        <v>9.30000000000001</v>
      </c>
    </row>
    <row r="76" customFormat="false" ht="15" hidden="false" customHeight="false" outlineLevel="0" collapsed="false">
      <c r="A76" s="1180" t="str">
        <f aca="false">'Прайс лист'!B1012</f>
        <v>дно бетонное, диаметр 1,5м.п.</v>
      </c>
      <c r="B76" s="1181" t="n">
        <f aca="false">'Прайс лист'!G1012</f>
        <v>2000</v>
      </c>
      <c r="C76" s="1160"/>
      <c r="D76" s="1182"/>
      <c r="E76" s="1160"/>
      <c r="F76" s="1160"/>
      <c r="H76" s="42"/>
      <c r="R76" s="1158" t="n">
        <v>75</v>
      </c>
      <c r="S76" s="1158" t="n">
        <v>9.40000000000001</v>
      </c>
    </row>
    <row r="77" customFormat="false" ht="18.75" hidden="false" customHeight="false" outlineLevel="0" collapsed="false">
      <c r="A77" s="1180" t="str">
        <f aca="false">'Прайс лист'!B1013</f>
        <v>дно бетонное, диаметр 2м.п.</v>
      </c>
      <c r="B77" s="1181" t="n">
        <f aca="false">'Прайс лист'!G1013</f>
        <v>2000</v>
      </c>
      <c r="C77" s="1160"/>
      <c r="D77" s="1182"/>
      <c r="E77" s="1183" t="s">
        <v>2322</v>
      </c>
      <c r="F77" s="1160"/>
      <c r="H77" s="42"/>
      <c r="R77" s="1158" t="n">
        <v>76</v>
      </c>
      <c r="S77" s="1158" t="n">
        <v>9.50000000000001</v>
      </c>
    </row>
    <row r="78" customFormat="false" ht="15" hidden="false" customHeight="false" outlineLevel="0" collapsed="false">
      <c r="A78" s="1180" t="str">
        <f aca="false">'Прайс лист'!B1014</f>
        <v>дно бетонное, диаметр 3м.п.</v>
      </c>
      <c r="B78" s="1181" t="n">
        <f aca="false">'Прайс лист'!G1014</f>
        <v>2800</v>
      </c>
      <c r="F78" s="1160"/>
      <c r="H78" s="1175" t="s">
        <v>15</v>
      </c>
      <c r="R78" s="1158" t="n">
        <v>77</v>
      </c>
      <c r="S78" s="1158" t="n">
        <v>9.60000000000001</v>
      </c>
    </row>
    <row r="79" customFormat="false" ht="15" hidden="false" customHeight="false" outlineLevel="0" collapsed="false">
      <c r="A79" s="1159" t="s">
        <v>2396</v>
      </c>
      <c r="B79" s="1159" t="n">
        <v>0</v>
      </c>
      <c r="F79" s="1160"/>
      <c r="H79" s="25" t="n">
        <v>0</v>
      </c>
      <c r="R79" s="1158" t="n">
        <v>78</v>
      </c>
      <c r="S79" s="1158" t="n">
        <v>9.70000000000001</v>
      </c>
    </row>
    <row r="80" customFormat="false" ht="15" hidden="false" customHeight="false" outlineLevel="0" collapsed="false">
      <c r="A80" s="1180" t="str">
        <f aca="false">'Прайс лист'!B1015</f>
        <v>кольцо бетонное, диаметр 1м.п.</v>
      </c>
      <c r="B80" s="1181" t="n">
        <f aca="false">'Прайс лист'!G1015</f>
        <v>2800</v>
      </c>
      <c r="H80" s="42"/>
      <c r="R80" s="1158" t="n">
        <v>79</v>
      </c>
      <c r="S80" s="1158" t="n">
        <v>9.80000000000001</v>
      </c>
    </row>
    <row r="81" customFormat="false" ht="15" hidden="false" customHeight="false" outlineLevel="0" collapsed="false">
      <c r="A81" s="1180" t="str">
        <f aca="false">'Прайс лист'!B1016</f>
        <v>кольцо бетонное, диаметр 1,5м.п.</v>
      </c>
      <c r="B81" s="1181" t="n">
        <f aca="false">'Прайс лист'!G1016</f>
        <v>2800</v>
      </c>
      <c r="F81" s="10" t="s">
        <v>2397</v>
      </c>
      <c r="I81" s="1184" t="s">
        <v>20</v>
      </c>
      <c r="J81" s="1185" t="s">
        <v>15</v>
      </c>
      <c r="K81" s="1186" t="n">
        <v>2.7</v>
      </c>
      <c r="R81" s="1158" t="n">
        <v>80</v>
      </c>
      <c r="S81" s="1158" t="n">
        <v>9.90000000000001</v>
      </c>
    </row>
    <row r="82" customFormat="false" ht="15" hidden="false" customHeight="false" outlineLevel="0" collapsed="false">
      <c r="A82" s="1180" t="str">
        <f aca="false">'Прайс лист'!B1017</f>
        <v>кольцо бетонное, диаметр 2м.п.</v>
      </c>
      <c r="B82" s="1181" t="n">
        <f aca="false">'Прайс лист'!G1017</f>
        <v>3300</v>
      </c>
      <c r="F82" s="10" t="s">
        <v>2398</v>
      </c>
      <c r="R82" s="1158" t="n">
        <v>81</v>
      </c>
      <c r="S82" s="1158" t="n">
        <v>10</v>
      </c>
    </row>
    <row r="83" customFormat="false" ht="15" hidden="false" customHeight="false" outlineLevel="0" collapsed="false">
      <c r="A83" s="1180" t="str">
        <f aca="false">'Прайс лист'!B1018</f>
        <v>кольцо бетонное, диаметр 3м.п.</v>
      </c>
      <c r="B83" s="1181" t="n">
        <f aca="false">'Прайс лист'!G1018</f>
        <v>3300</v>
      </c>
      <c r="F83" s="10" t="s">
        <v>2399</v>
      </c>
      <c r="H83" s="1187" t="s">
        <v>56</v>
      </c>
      <c r="R83" s="1158" t="n">
        <v>82</v>
      </c>
      <c r="S83" s="1158" t="n">
        <v>10.1</v>
      </c>
    </row>
    <row r="84" customFormat="false" ht="15" hidden="false" customHeight="false" outlineLevel="0" collapsed="false">
      <c r="A84" s="1159" t="s">
        <v>2400</v>
      </c>
      <c r="B84" s="1159" t="n">
        <v>0</v>
      </c>
      <c r="F84" s="10" t="s">
        <v>27</v>
      </c>
      <c r="R84" s="1158" t="n">
        <v>83</v>
      </c>
      <c r="S84" s="1158" t="n">
        <v>10.2</v>
      </c>
    </row>
    <row r="85" customFormat="false" ht="15" hidden="false" customHeight="false" outlineLevel="0" collapsed="false">
      <c r="A85" s="1180" t="str">
        <f aca="false">'Прайс лист'!B1019</f>
        <v>крышка бетонная, диаметр 1м.п.</v>
      </c>
      <c r="B85" s="1181" t="n">
        <f aca="false">'Прайс лист'!G1019</f>
        <v>3300</v>
      </c>
      <c r="F85" s="10" t="s">
        <v>2401</v>
      </c>
      <c r="H85" s="1188" t="s">
        <v>56</v>
      </c>
      <c r="R85" s="1158" t="n">
        <v>84</v>
      </c>
      <c r="S85" s="1158" t="n">
        <v>10.3</v>
      </c>
    </row>
    <row r="86" customFormat="false" ht="15" hidden="false" customHeight="false" outlineLevel="0" collapsed="false">
      <c r="A86" s="1180" t="str">
        <f aca="false">'Прайс лист'!B1020</f>
        <v>крышка бетонная, диаметр 1,5м.п.</v>
      </c>
      <c r="B86" s="1181" t="n">
        <f aca="false">'Прайс лист'!G1020</f>
        <v>4000</v>
      </c>
      <c r="R86" s="1158" t="n">
        <v>85</v>
      </c>
      <c r="S86" s="1158" t="n">
        <v>10.4</v>
      </c>
    </row>
    <row r="87" customFormat="false" ht="15" hidden="false" customHeight="false" outlineLevel="0" collapsed="false">
      <c r="A87" s="1180" t="str">
        <f aca="false">'Прайс лист'!B1021</f>
        <v>крышка бетонная, диаметр 2м.п.</v>
      </c>
      <c r="B87" s="1181" t="n">
        <f aca="false">'Прайс лист'!G1021</f>
        <v>4000</v>
      </c>
      <c r="F87" s="10" t="s">
        <v>2402</v>
      </c>
      <c r="H87" s="1188" t="s">
        <v>56</v>
      </c>
      <c r="R87" s="1158" t="n">
        <v>86</v>
      </c>
      <c r="S87" s="1158" t="n">
        <v>10.5</v>
      </c>
    </row>
    <row r="88" customFormat="false" ht="15" hidden="false" customHeight="false" outlineLevel="0" collapsed="false">
      <c r="A88" s="1180" t="str">
        <f aca="false">'Прайс лист'!B1022</f>
        <v>крышка бетонная, диаметр 3м.п.</v>
      </c>
      <c r="B88" s="1181" t="n">
        <f aca="false">'Прайс лист'!G1022</f>
        <v>4000</v>
      </c>
      <c r="F88" s="10" t="s">
        <v>29</v>
      </c>
      <c r="R88" s="1158" t="n">
        <v>87</v>
      </c>
      <c r="S88" s="1158" t="n">
        <v>10.6</v>
      </c>
    </row>
    <row r="89" customFormat="false" ht="15" hidden="false" customHeight="false" outlineLevel="0" collapsed="false">
      <c r="A89" s="1159" t="s">
        <v>905</v>
      </c>
      <c r="B89" s="1159" t="n">
        <v>0</v>
      </c>
      <c r="F89" s="10" t="s">
        <v>2403</v>
      </c>
      <c r="H89" s="1189" t="s">
        <v>44</v>
      </c>
      <c r="R89" s="1158" t="n">
        <v>88</v>
      </c>
      <c r="S89" s="1158" t="n">
        <v>10.7</v>
      </c>
    </row>
    <row r="90" customFormat="false" ht="15" hidden="false" customHeight="false" outlineLevel="0" collapsed="false">
      <c r="A90" s="1180" t="str">
        <f aca="false">'Прайс лист'!B1023</f>
        <v>Люк для крышки пластиковый</v>
      </c>
      <c r="B90" s="1180" t="n">
        <f aca="false">'Прайс лист'!G1023</f>
        <v>2000</v>
      </c>
      <c r="F90" s="10" t="s">
        <v>2404</v>
      </c>
      <c r="R90" s="1158" t="n">
        <v>89</v>
      </c>
      <c r="S90" s="1158" t="n">
        <v>10.8</v>
      </c>
    </row>
    <row r="91" customFormat="false" ht="15" hidden="false" customHeight="false" outlineLevel="0" collapsed="false">
      <c r="A91" s="1180" t="str">
        <f aca="false">'Прайс лист'!B1024</f>
        <v>Люк для крышки чугунный</v>
      </c>
      <c r="B91" s="1180" t="n">
        <f aca="false">'Прайс лист'!G1024</f>
        <v>3000</v>
      </c>
      <c r="F91" s="10" t="s">
        <v>2405</v>
      </c>
      <c r="H91" s="1189" t="s">
        <v>44</v>
      </c>
      <c r="R91" s="1158" t="n">
        <v>90</v>
      </c>
      <c r="S91" s="1158" t="n">
        <v>10.9</v>
      </c>
    </row>
    <row r="92" customFormat="false" ht="15" hidden="false" customHeight="false" outlineLevel="0" collapsed="false">
      <c r="F92" s="10" t="s">
        <v>2270</v>
      </c>
      <c r="R92" s="1158" t="n">
        <v>91</v>
      </c>
      <c r="S92" s="1158" t="n">
        <v>11</v>
      </c>
    </row>
    <row r="93" customFormat="false" ht="15" hidden="false" customHeight="false" outlineLevel="0" collapsed="false">
      <c r="A93" s="1159" t="s">
        <v>2406</v>
      </c>
      <c r="B93" s="1159"/>
      <c r="H93" s="1189" t="s">
        <v>44</v>
      </c>
      <c r="R93" s="1158" t="n">
        <v>92</v>
      </c>
      <c r="S93" s="1158" t="n">
        <v>11.1</v>
      </c>
    </row>
    <row r="94" customFormat="false" ht="15" hidden="false" customHeight="false" outlineLevel="0" collapsed="false">
      <c r="A94" s="1159" t="s">
        <v>311</v>
      </c>
      <c r="B94" s="1159" t="n">
        <v>1</v>
      </c>
      <c r="R94" s="1158" t="n">
        <v>93</v>
      </c>
      <c r="S94" s="1158" t="n">
        <v>11.2</v>
      </c>
    </row>
    <row r="95" customFormat="false" ht="15" hidden="false" customHeight="false" outlineLevel="0" collapsed="false">
      <c r="A95" s="1159" t="s">
        <v>299</v>
      </c>
      <c r="B95" s="1159" t="n">
        <v>2</v>
      </c>
      <c r="H95" s="1189" t="s">
        <v>44</v>
      </c>
      <c r="R95" s="1158" t="n">
        <v>94</v>
      </c>
      <c r="S95" s="1158" t="n">
        <v>11.3</v>
      </c>
    </row>
    <row r="96" customFormat="false" ht="15" hidden="false" customHeight="false" outlineLevel="0" collapsed="false">
      <c r="A96" s="1159" t="s">
        <v>22</v>
      </c>
      <c r="B96" s="1159" t="n">
        <v>2</v>
      </c>
      <c r="R96" s="1158" t="n">
        <v>95</v>
      </c>
      <c r="S96" s="1158" t="n">
        <v>11.4</v>
      </c>
    </row>
    <row r="97" customFormat="false" ht="15" hidden="false" customHeight="false" outlineLevel="0" collapsed="false">
      <c r="A97" s="1159" t="s">
        <v>64</v>
      </c>
      <c r="B97" s="1159" t="n">
        <v>1</v>
      </c>
      <c r="R97" s="1158" t="n">
        <v>96</v>
      </c>
      <c r="S97" s="1158" t="n">
        <v>11.5</v>
      </c>
    </row>
    <row r="98" customFormat="false" ht="15" hidden="false" customHeight="false" outlineLevel="0" collapsed="false">
      <c r="A98" s="1159" t="s">
        <v>2407</v>
      </c>
      <c r="B98" s="1159" t="n">
        <v>2</v>
      </c>
      <c r="R98" s="1158" t="n">
        <v>97</v>
      </c>
      <c r="S98" s="1158" t="n">
        <v>11.6</v>
      </c>
    </row>
    <row r="99" customFormat="false" ht="15" hidden="false" customHeight="false" outlineLevel="0" collapsed="false">
      <c r="A99" s="1190" t="s">
        <v>2408</v>
      </c>
      <c r="R99" s="1158" t="n">
        <v>98</v>
      </c>
      <c r="S99" s="1158" t="n">
        <v>11.7</v>
      </c>
    </row>
    <row r="100" customFormat="false" ht="15" hidden="false" customHeight="false" outlineLevel="0" collapsed="false">
      <c r="A100" s="1159" t="s">
        <v>2409</v>
      </c>
      <c r="B100" s="1159" t="n">
        <v>0</v>
      </c>
      <c r="R100" s="1158" t="n">
        <v>99</v>
      </c>
      <c r="S100" s="1158" t="n">
        <v>11.8</v>
      </c>
    </row>
    <row r="101" customFormat="false" ht="15" hidden="false" customHeight="false" outlineLevel="0" collapsed="false">
      <c r="A101" s="1191" t="s">
        <v>2410</v>
      </c>
      <c r="B101" s="1180" t="n">
        <f aca="false">дома!C1765</f>
        <v>0</v>
      </c>
      <c r="R101" s="1158" t="n">
        <v>100</v>
      </c>
      <c r="S101" s="1158" t="n">
        <v>11.9</v>
      </c>
    </row>
    <row r="102" customFormat="false" ht="15" hidden="false" customHeight="false" outlineLevel="0" collapsed="false">
      <c r="A102" s="1191" t="s">
        <v>624</v>
      </c>
      <c r="B102" s="1180" t="n">
        <f aca="false">дома!C1766</f>
        <v>5</v>
      </c>
      <c r="R102" s="1158" t="n">
        <v>101</v>
      </c>
      <c r="S102" s="1158" t="n">
        <v>12</v>
      </c>
    </row>
    <row r="103" customFormat="false" ht="15" hidden="false" customHeight="false" outlineLevel="0" collapsed="false">
      <c r="R103" s="1158" t="n">
        <v>102</v>
      </c>
      <c r="S103" s="1158" t="n">
        <v>12.1</v>
      </c>
    </row>
    <row r="104" customFormat="false" ht="15" hidden="false" customHeight="false" outlineLevel="0" collapsed="false">
      <c r="A104" s="1159" t="s">
        <v>2411</v>
      </c>
      <c r="B104" s="1159"/>
      <c r="R104" s="1158" t="n">
        <v>103</v>
      </c>
      <c r="S104" s="1158" t="n">
        <v>12.2</v>
      </c>
    </row>
    <row r="105" customFormat="false" ht="15" hidden="false" customHeight="false" outlineLevel="0" collapsed="false">
      <c r="A105" s="1172" t="s">
        <v>2412</v>
      </c>
      <c r="B105" s="1159"/>
      <c r="R105" s="1158" t="n">
        <v>104</v>
      </c>
      <c r="S105" s="1158" t="n">
        <v>12.3</v>
      </c>
    </row>
    <row r="106" customFormat="false" ht="15" hidden="false" customHeight="false" outlineLevel="0" collapsed="false">
      <c r="A106" s="1159" t="s">
        <v>76</v>
      </c>
      <c r="B106" s="1159"/>
      <c r="R106" s="1158" t="n">
        <v>105</v>
      </c>
      <c r="S106" s="1158" t="n">
        <v>12.4</v>
      </c>
    </row>
    <row r="107" customFormat="false" ht="15" hidden="false" customHeight="false" outlineLevel="0" collapsed="false">
      <c r="A107" s="1159" t="s">
        <v>66</v>
      </c>
      <c r="B107" s="1159"/>
      <c r="R107" s="1158" t="n">
        <v>106</v>
      </c>
      <c r="S107" s="1158" t="n">
        <v>12.5</v>
      </c>
    </row>
    <row r="108" customFormat="false" ht="15" hidden="false" customHeight="false" outlineLevel="0" collapsed="false">
      <c r="A108" s="1159" t="s">
        <v>2413</v>
      </c>
      <c r="B108" s="1159"/>
      <c r="R108" s="1158" t="n">
        <v>107</v>
      </c>
      <c r="S108" s="1158" t="n">
        <v>12.6</v>
      </c>
    </row>
    <row r="109" customFormat="false" ht="15" hidden="false" customHeight="false" outlineLevel="0" collapsed="false">
      <c r="A109" s="1159"/>
      <c r="B109" s="1159"/>
      <c r="R109" s="1158" t="n">
        <v>108</v>
      </c>
      <c r="S109" s="1158" t="n">
        <v>12.7</v>
      </c>
    </row>
    <row r="110" customFormat="false" ht="15" hidden="false" customHeight="false" outlineLevel="0" collapsed="false">
      <c r="A110" s="1159"/>
      <c r="B110" s="1159"/>
      <c r="R110" s="1158" t="n">
        <v>109</v>
      </c>
      <c r="S110" s="1158" t="n">
        <v>12.8</v>
      </c>
    </row>
    <row r="111" customFormat="false" ht="15" hidden="false" customHeight="false" outlineLevel="0" collapsed="false">
      <c r="A111" s="1159"/>
      <c r="B111" s="1159"/>
      <c r="R111" s="1158" t="n">
        <v>110</v>
      </c>
      <c r="S111" s="1158" t="n">
        <v>12.9</v>
      </c>
    </row>
    <row r="112" customFormat="false" ht="15" hidden="false" customHeight="false" outlineLevel="0" collapsed="false">
      <c r="R112" s="1158" t="n">
        <v>111</v>
      </c>
      <c r="S112" s="1158" t="n">
        <v>13</v>
      </c>
    </row>
    <row r="113" customFormat="false" ht="15" hidden="false" customHeight="false" outlineLevel="0" collapsed="false">
      <c r="A113" s="1159" t="s">
        <v>2414</v>
      </c>
      <c r="B113" s="1159"/>
      <c r="R113" s="1158" t="n">
        <v>112</v>
      </c>
      <c r="S113" s="1158" t="n">
        <v>13.1</v>
      </c>
    </row>
    <row r="114" customFormat="false" ht="15" hidden="false" customHeight="false" outlineLevel="0" collapsed="false">
      <c r="A114" s="1159" t="s">
        <v>2415</v>
      </c>
      <c r="B114" s="1159"/>
      <c r="R114" s="1158" t="n">
        <v>113</v>
      </c>
      <c r="S114" s="1158" t="n">
        <v>13.2</v>
      </c>
    </row>
    <row r="115" customFormat="false" ht="15" hidden="false" customHeight="false" outlineLevel="0" collapsed="false">
      <c r="A115" s="1159" t="s">
        <v>2416</v>
      </c>
      <c r="B115" s="1159"/>
      <c r="R115" s="1158" t="n">
        <v>114</v>
      </c>
      <c r="S115" s="1158" t="n">
        <v>13.3</v>
      </c>
    </row>
    <row r="116" customFormat="false" ht="15" hidden="false" customHeight="false" outlineLevel="0" collapsed="false">
      <c r="A116" s="1159" t="s">
        <v>2417</v>
      </c>
      <c r="B116" s="1159"/>
      <c r="R116" s="1158" t="n">
        <v>115</v>
      </c>
      <c r="S116" s="1158" t="n">
        <v>13.4</v>
      </c>
    </row>
    <row r="117" customFormat="false" ht="15" hidden="false" customHeight="false" outlineLevel="0" collapsed="false">
      <c r="A117" s="1159"/>
      <c r="B117" s="1159"/>
      <c r="R117" s="1158" t="n">
        <v>116</v>
      </c>
      <c r="S117" s="1158" t="n">
        <v>13.5</v>
      </c>
    </row>
    <row r="118" customFormat="false" ht="15" hidden="false" customHeight="false" outlineLevel="0" collapsed="false">
      <c r="R118" s="1158" t="n">
        <v>117</v>
      </c>
      <c r="S118" s="1158" t="n">
        <v>13.6</v>
      </c>
    </row>
    <row r="119" customFormat="false" ht="15" hidden="false" customHeight="false" outlineLevel="0" collapsed="false">
      <c r="A119" s="1159" t="s">
        <v>2418</v>
      </c>
      <c r="B119" s="1159"/>
      <c r="R119" s="1158" t="n">
        <v>118</v>
      </c>
      <c r="S119" s="1158" t="n">
        <v>13.7</v>
      </c>
    </row>
    <row r="120" customFormat="false" ht="15" hidden="false" customHeight="false" outlineLevel="0" collapsed="false">
      <c r="A120" s="1159" t="s">
        <v>301</v>
      </c>
      <c r="B120" s="1159"/>
      <c r="R120" s="1158" t="n">
        <v>119</v>
      </c>
      <c r="S120" s="1158" t="n">
        <v>13.8</v>
      </c>
    </row>
    <row r="121" customFormat="false" ht="15" hidden="false" customHeight="false" outlineLevel="0" collapsed="false">
      <c r="A121" s="1159" t="s">
        <v>313</v>
      </c>
      <c r="B121" s="1159"/>
      <c r="R121" s="1158" t="n">
        <v>120</v>
      </c>
      <c r="S121" s="1158" t="n">
        <v>13.9</v>
      </c>
    </row>
    <row r="122" customFormat="false" ht="15" hidden="false" customHeight="false" outlineLevel="0" collapsed="false">
      <c r="A122" s="1159" t="s">
        <v>2419</v>
      </c>
      <c r="B122" s="1159"/>
      <c r="R122" s="1158" t="n">
        <v>121</v>
      </c>
      <c r="S122" s="1158" t="n">
        <v>14</v>
      </c>
    </row>
    <row r="123" customFormat="false" ht="15" hidden="false" customHeight="false" outlineLevel="0" collapsed="false">
      <c r="A123" s="1159" t="s">
        <v>306</v>
      </c>
      <c r="B123" s="1159"/>
      <c r="R123" s="1158" t="n">
        <v>122</v>
      </c>
      <c r="S123" s="1158" t="n">
        <v>14.1</v>
      </c>
    </row>
    <row r="124" customFormat="false" ht="15" hidden="false" customHeight="false" outlineLevel="0" collapsed="false">
      <c r="A124" s="1171" t="s">
        <v>2420</v>
      </c>
      <c r="B124" s="1159"/>
      <c r="R124" s="1158" t="n">
        <v>123</v>
      </c>
      <c r="S124" s="1158" t="n">
        <v>14.2</v>
      </c>
    </row>
    <row r="125" customFormat="false" ht="15" hidden="false" customHeight="false" outlineLevel="0" collapsed="false">
      <c r="A125" s="1171" t="s">
        <v>294</v>
      </c>
      <c r="B125" s="1159"/>
    </row>
    <row r="126" customFormat="false" ht="15" hidden="false" customHeight="false" outlineLevel="0" collapsed="false">
      <c r="F126" s="1160"/>
      <c r="R126" s="1158" t="n">
        <v>124</v>
      </c>
      <c r="S126" s="1158" t="n">
        <v>14.3</v>
      </c>
    </row>
    <row r="127" customFormat="false" ht="15" hidden="false" customHeight="false" outlineLevel="0" collapsed="false">
      <c r="A127" s="1159" t="s">
        <v>2421</v>
      </c>
      <c r="B127" s="1159"/>
      <c r="F127" s="1160"/>
      <c r="R127" s="1158" t="n">
        <v>125</v>
      </c>
      <c r="S127" s="1158" t="n">
        <v>14.4</v>
      </c>
    </row>
    <row r="128" customFormat="false" ht="15" hidden="false" customHeight="false" outlineLevel="0" collapsed="false">
      <c r="A128" s="1159" t="s">
        <v>79</v>
      </c>
      <c r="B128" s="1159"/>
      <c r="F128" s="1160"/>
      <c r="R128" s="1158" t="n">
        <v>126</v>
      </c>
      <c r="S128" s="1158" t="n">
        <v>14.5</v>
      </c>
    </row>
    <row r="129" customFormat="false" ht="15" hidden="false" customHeight="false" outlineLevel="0" collapsed="false">
      <c r="A129" s="1159" t="s">
        <v>2422</v>
      </c>
      <c r="B129" s="1159"/>
      <c r="F129" s="1160"/>
      <c r="R129" s="1158" t="n">
        <v>127</v>
      </c>
      <c r="S129" s="1158" t="n">
        <v>14.6</v>
      </c>
    </row>
    <row r="130" customFormat="false" ht="15" hidden="false" customHeight="false" outlineLevel="0" collapsed="false">
      <c r="F130" s="1160"/>
      <c r="R130" s="1158" t="n">
        <v>128</v>
      </c>
      <c r="S130" s="1158" t="n">
        <v>14.7</v>
      </c>
    </row>
    <row r="131" customFormat="false" ht="15" hidden="false" customHeight="false" outlineLevel="0" collapsed="false">
      <c r="A131" s="1159" t="s">
        <v>2423</v>
      </c>
      <c r="B131" s="1159"/>
      <c r="F131" s="1160"/>
      <c r="R131" s="1158" t="n">
        <v>129</v>
      </c>
      <c r="S131" s="1158" t="n">
        <v>14.8</v>
      </c>
    </row>
    <row r="132" customFormat="false" ht="15" hidden="false" customHeight="false" outlineLevel="0" collapsed="false">
      <c r="A132" s="1159" t="s">
        <v>87</v>
      </c>
      <c r="B132" s="1159"/>
      <c r="F132" s="1160"/>
      <c r="R132" s="1158" t="n">
        <v>130</v>
      </c>
      <c r="S132" s="1158" t="n">
        <v>14.9</v>
      </c>
    </row>
    <row r="133" customFormat="false" ht="15" hidden="false" customHeight="false" outlineLevel="0" collapsed="false">
      <c r="A133" s="1159" t="s">
        <v>2424</v>
      </c>
      <c r="B133" s="1159"/>
      <c r="F133" s="1160"/>
      <c r="R133" s="1158" t="n">
        <v>131</v>
      </c>
      <c r="S133" s="1158" t="n">
        <v>15</v>
      </c>
    </row>
    <row r="134" customFormat="false" ht="15" hidden="false" customHeight="false" outlineLevel="0" collapsed="false">
      <c r="F134" s="1160"/>
      <c r="R134" s="1158" t="n">
        <v>132</v>
      </c>
      <c r="S134" s="1158" t="n">
        <v>15.1</v>
      </c>
    </row>
    <row r="135" customFormat="false" ht="15" hidden="false" customHeight="false" outlineLevel="0" collapsed="false">
      <c r="A135" s="1158" t="s">
        <v>2425</v>
      </c>
      <c r="F135" s="1160"/>
      <c r="R135" s="1158" t="n">
        <v>133</v>
      </c>
      <c r="S135" s="1158" t="n">
        <v>15.2</v>
      </c>
    </row>
    <row r="136" customFormat="false" ht="15" hidden="false" customHeight="false" outlineLevel="0" collapsed="false">
      <c r="A136" s="1158" t="s">
        <v>2426</v>
      </c>
      <c r="F136" s="1160"/>
      <c r="R136" s="1158" t="n">
        <v>134</v>
      </c>
      <c r="S136" s="1158" t="n">
        <v>15.3</v>
      </c>
    </row>
    <row r="137" customFormat="false" ht="15" hidden="false" customHeight="false" outlineLevel="0" collapsed="false">
      <c r="F137" s="1160"/>
      <c r="R137" s="1158" t="n">
        <v>135</v>
      </c>
      <c r="S137" s="1158" t="n">
        <v>15.4</v>
      </c>
    </row>
    <row r="138" customFormat="false" ht="15" hidden="false" customHeight="false" outlineLevel="0" collapsed="false">
      <c r="A138" s="1158" t="s">
        <v>14</v>
      </c>
      <c r="F138" s="1160"/>
      <c r="R138" s="1158" t="n">
        <v>136</v>
      </c>
      <c r="S138" s="1158" t="n">
        <v>15.5</v>
      </c>
    </row>
    <row r="139" customFormat="false" ht="15" hidden="false" customHeight="false" outlineLevel="0" collapsed="false">
      <c r="A139" s="1159" t="s">
        <v>2427</v>
      </c>
      <c r="B139" s="1159"/>
      <c r="F139" s="1160"/>
      <c r="R139" s="1158" t="n">
        <v>137</v>
      </c>
      <c r="S139" s="1158" t="n">
        <v>15.6</v>
      </c>
    </row>
    <row r="140" customFormat="false" ht="15" hidden="false" customHeight="false" outlineLevel="0" collapsed="false">
      <c r="A140" s="1159" t="s">
        <v>2428</v>
      </c>
      <c r="B140" s="1159"/>
      <c r="F140" s="1160"/>
      <c r="R140" s="1158" t="n">
        <v>138</v>
      </c>
      <c r="S140" s="1158" t="n">
        <v>15.7</v>
      </c>
    </row>
    <row r="141" customFormat="false" ht="15" hidden="false" customHeight="false" outlineLevel="0" collapsed="false">
      <c r="F141" s="1160"/>
      <c r="R141" s="1158" t="n">
        <v>139</v>
      </c>
      <c r="S141" s="1158" t="n">
        <v>15.8</v>
      </c>
    </row>
    <row r="142" customFormat="false" ht="15" hidden="false" customHeight="false" outlineLevel="0" collapsed="false">
      <c r="A142" s="1159" t="s">
        <v>2429</v>
      </c>
      <c r="B142" s="1159"/>
      <c r="F142" s="1160"/>
      <c r="R142" s="1158" t="n">
        <v>140</v>
      </c>
      <c r="S142" s="1158" t="n">
        <v>15.9</v>
      </c>
    </row>
    <row r="143" customFormat="false" ht="15" hidden="false" customHeight="false" outlineLevel="0" collapsed="false">
      <c r="A143" s="1159" t="s">
        <v>2430</v>
      </c>
      <c r="B143" s="1159"/>
      <c r="F143" s="1160"/>
      <c r="R143" s="1158" t="n">
        <v>141</v>
      </c>
      <c r="S143" s="1158" t="n">
        <v>16</v>
      </c>
    </row>
    <row r="144" customFormat="false" ht="15" hidden="false" customHeight="false" outlineLevel="0" collapsed="false">
      <c r="A144" s="1159" t="s">
        <v>2431</v>
      </c>
      <c r="B144" s="1159"/>
      <c r="F144" s="1160"/>
      <c r="R144" s="1158" t="n">
        <v>142</v>
      </c>
      <c r="S144" s="1158" t="n">
        <v>16.1</v>
      </c>
    </row>
    <row r="145" customFormat="false" ht="15" hidden="false" customHeight="false" outlineLevel="0" collapsed="false">
      <c r="A145" s="1159" t="s">
        <v>2432</v>
      </c>
      <c r="B145" s="1159"/>
      <c r="F145" s="1160"/>
      <c r="R145" s="1158" t="n">
        <v>143</v>
      </c>
      <c r="S145" s="1158" t="n">
        <v>16.2</v>
      </c>
    </row>
    <row r="146" customFormat="false" ht="15" hidden="false" customHeight="false" outlineLevel="0" collapsed="false">
      <c r="A146" s="1159" t="s">
        <v>2433</v>
      </c>
      <c r="B146" s="1159"/>
      <c r="F146" s="1173" t="s">
        <v>2434</v>
      </c>
      <c r="G146" s="1173"/>
      <c r="H146" s="1173"/>
      <c r="I146" s="1173" t="s">
        <v>2435</v>
      </c>
      <c r="J146" s="1173"/>
      <c r="K146" s="1173"/>
      <c r="R146" s="1158" t="n">
        <v>144</v>
      </c>
      <c r="S146" s="1158" t="n">
        <v>16.3</v>
      </c>
    </row>
    <row r="147" customFormat="false" ht="15" hidden="false" customHeight="false" outlineLevel="0" collapsed="false">
      <c r="A147" s="1172"/>
      <c r="B147" s="1160"/>
      <c r="C147" s="1160" t="s">
        <v>735</v>
      </c>
      <c r="D147" s="1158" t="s">
        <v>2436</v>
      </c>
      <c r="E147" s="1158" t="s">
        <v>2437</v>
      </c>
      <c r="F147" s="1159" t="s">
        <v>2438</v>
      </c>
      <c r="G147" s="1159" t="s">
        <v>2439</v>
      </c>
      <c r="H147" s="1159" t="s">
        <v>2440</v>
      </c>
      <c r="I147" s="1159" t="s">
        <v>2438</v>
      </c>
      <c r="J147" s="1159" t="s">
        <v>2439</v>
      </c>
      <c r="K147" s="1159" t="s">
        <v>2440</v>
      </c>
      <c r="R147" s="1158" t="n">
        <v>145</v>
      </c>
      <c r="S147" s="1158" t="n">
        <v>16.4</v>
      </c>
    </row>
    <row r="148" customFormat="false" ht="15" hidden="false" customHeight="false" outlineLevel="0" collapsed="false">
      <c r="A148" s="1172"/>
      <c r="B148" s="1160"/>
      <c r="R148" s="1158" t="n">
        <v>146</v>
      </c>
      <c r="S148" s="1158" t="n">
        <v>16.5</v>
      </c>
    </row>
    <row r="149" customFormat="false" ht="15" hidden="false" customHeight="false" outlineLevel="0" collapsed="false">
      <c r="A149" s="1172" t="s">
        <v>2441</v>
      </c>
      <c r="B149" s="1158" t="n">
        <v>0</v>
      </c>
      <c r="C149" s="1158" t="n">
        <v>0</v>
      </c>
      <c r="D149" s="1158" t="n">
        <v>0</v>
      </c>
      <c r="E149" s="1158" t="n">
        <v>0</v>
      </c>
      <c r="F149" s="1158" t="n">
        <v>0</v>
      </c>
      <c r="G149" s="1158" t="n">
        <v>0</v>
      </c>
      <c r="H149" s="1158" t="n">
        <v>0</v>
      </c>
      <c r="I149" s="1158" t="n">
        <v>0</v>
      </c>
      <c r="J149" s="1158" t="n">
        <v>0</v>
      </c>
      <c r="K149" s="1158" t="n">
        <v>0</v>
      </c>
      <c r="L149" s="1158" t="n">
        <v>0</v>
      </c>
      <c r="R149" s="1158" t="n">
        <v>147</v>
      </c>
      <c r="S149" s="1158" t="n">
        <v>16.6</v>
      </c>
    </row>
    <row r="150" customFormat="false" ht="15" hidden="false" customHeight="false" outlineLevel="0" collapsed="false">
      <c r="A150" s="1192" t="s">
        <v>730</v>
      </c>
      <c r="C150" s="1192" t="n">
        <f aca="false">IF('Ввод данных'!$A$19=связи1!A150,дома!$S$93,0)+IF('Ввод данных'!$A$19=связи1!A167,дома!$S$94,0)+IF('Ввод данных'!$A$19=связи1!A175,дома!$S$94,0)+IF('Ввод данных'!$A$19=связи1!A182,дома!$S$94,0)+IF('Ввод данных'!$A$19=связи1!A183,дома!$S$94,0)</f>
        <v>0</v>
      </c>
      <c r="D150" s="1159" t="n">
        <f aca="false">IF('Ввод данных'!$A$19=связи1!A150,дома!$K$112,0)+IF('Ввод данных'!$A$19=связи1!A167,дома!$G$114,0)+IF('Ввод данных'!$A$19=связи1!A175,дома!$G$114,0)+IF('Ввод данных'!$A$19=связи1!A182,дома!$G$114,0)+IF('Ввод данных'!$A$19=связи1!A183,дома!$G$114,0)</f>
        <v>0</v>
      </c>
      <c r="E150" s="1159" t="n">
        <f aca="false">IF('Ввод данных'!$A$19=связи1!A150,дома!K114,0)+IF('Ввод данных'!$A$19=связи1!A167,дома!G117,0)+IF('Ввод данных'!$A$19=связи1!A175,дома!G117,0)+IF('Ввод данных'!$A$19=связи1!A182,дома!G117,0)+IF('Ввод данных'!$A$19=связи1!A183,дома!G117,0)</f>
        <v>0</v>
      </c>
      <c r="F150" s="1159" t="n">
        <f aca="false">IF('Ввод данных'!$A$19=связи1!A150,связи1!C161,0)</f>
        <v>0</v>
      </c>
      <c r="G150" s="1159" t="n">
        <f aca="false">IF('Ввод данных'!$A$19=связи1!A150,связи1!D161,0)</f>
        <v>0</v>
      </c>
      <c r="H150" s="1159" t="n">
        <f aca="false">IF('Ввод данных'!$A$19=связи1!A150,связи1!E161,0)</f>
        <v>0</v>
      </c>
      <c r="I150" s="1159" t="n">
        <f aca="false">IF('Ввод данных'!$A$19=связи1!A150,связи1!C161,0)</f>
        <v>0</v>
      </c>
      <c r="J150" s="1159" t="n">
        <f aca="false">IF('Ввод данных'!$A$19=связи1!A150,связи1!D161,0)</f>
        <v>0</v>
      </c>
      <c r="K150" s="1159" t="n">
        <f aca="false">IF('Ввод данных'!$A$19=связи1!A150,связи1!E161,0)</f>
        <v>0</v>
      </c>
      <c r="R150" s="1158" t="n">
        <v>148</v>
      </c>
      <c r="S150" s="1158" t="n">
        <v>16.7</v>
      </c>
    </row>
    <row r="151" customFormat="false" ht="15" hidden="false" customHeight="false" outlineLevel="0" collapsed="false">
      <c r="A151" s="1192" t="s">
        <v>2442</v>
      </c>
      <c r="C151" s="1192" t="n">
        <f aca="false">IF('Ввод данных'!$A$19=связи1!A151,дома!$S$93,0)+IF('Ввод данных'!$A$19=связи1!A177,дома!$S$94,0)+IF('Ввод данных'!$A$19=связи1!A168,дома!$S$94,0)+IF('Ввод данных'!$A$19=связи1!A169,дома!$S$95,0)+IF('Ввод данных'!$A$19=связи1!A170,дома!$S$95,0)+IF('Ввод данных'!$A$19=связи1!A171,дома!$S$95,0)+IF('Ввод данных'!$A$19=связи1!A172,дома!$S$95,0)+IF('Ввод данных'!$A$19=связи1!A173,дома!$S$95,0)+IF('Ввод данных'!$A$19=связи1!A174,дома!$S$95,0)+IF('Ввод данных'!$A$19=связи1!A175,дома!$S$95,0)+IF('Ввод данных'!$A$19=связи1!A176,дома!$S$95,0)</f>
        <v>0</v>
      </c>
      <c r="D151" s="1159" t="n">
        <f aca="false">IF('Ввод данных'!$A$19=связи1!A151,дома!$K$112,0)+IF('Ввод данных'!$A$19=связи1!A177,дома!$G$114,0)+IF('Ввод данных'!$A$19=связи1!A168,дома!$G$114,0)+IF('Ввод данных'!$A$19=связи1!A169,дома!G112,0)+IF('Ввод данных'!$A$19=связи1!A170,дома!G112,0)+IF('Ввод данных'!$A$19=связи1!A171,дома!G112,0)+IF('Ввод данных'!$A$19=связи1!A172,дома!G112,0)+IF('Ввод данных'!$A$19=связи1!A173,дома!G112,0)+IF('Ввод данных'!$A$19=связи1!A174,дома!G112,0)+IF('Ввод данных'!$A$19=связи1!A175,дома!G112,0)+IF('Ввод данных'!$A$19=связи1!A176,дома!G112,0)</f>
        <v>0</v>
      </c>
      <c r="E151" s="1159" t="n">
        <f aca="false">IF('Ввод данных'!$A$19=связи1!A151,дома!K114,0)+IF('Ввод данных'!$A$19=связи1!A177,дома!G117,0)+IF('Ввод данных'!$A$19=связи1!A168,дома!G117,0)+IF('Ввод данных'!$A$19=связи1!A169,дома!G116,0)+IF('Ввод данных'!$A$19=связи1!A170,дома!G116,0)+IF('Ввод данных'!$A$19=связи1!A171,дома!G116,0)+IF('Ввод данных'!$A$19=связи1!A172,дома!G116,0)+IF('Ввод данных'!$A$19=связи1!A173,дома!G116,0)+IF('Ввод данных'!$A$19=связи1!A174,дома!G116,0)+IF('Ввод данных'!$A$19=связи1!A175,дома!G116,0)+IF('Ввод данных'!$A$19=связи1!A176,дома!G116,0)</f>
        <v>0</v>
      </c>
      <c r="F151" s="1159" t="n">
        <f aca="false">IF('Ввод данных'!$A$19=связи1!A151,связи1!C162,0)</f>
        <v>0</v>
      </c>
      <c r="G151" s="1159" t="n">
        <f aca="false">IF('Ввод данных'!$A$19=связи1!A151,связи1!D162,0)</f>
        <v>0</v>
      </c>
      <c r="H151" s="1159" t="n">
        <f aca="false">IF('Ввод данных'!$A$19=связи1!A151,связи1!E162,0)</f>
        <v>0</v>
      </c>
      <c r="I151" s="1159" t="n">
        <f aca="false">IF('Ввод данных'!$A$19=связи1!A151,связи1!C162,0)</f>
        <v>0</v>
      </c>
      <c r="J151" s="1159" t="n">
        <f aca="false">IF('Ввод данных'!$A$19=связи1!A151,связи1!D162,0)</f>
        <v>0</v>
      </c>
      <c r="K151" s="1159" t="n">
        <f aca="false">IF('Ввод данных'!$A$19=связи1!A151,связи1!E162,0)</f>
        <v>0</v>
      </c>
      <c r="R151" s="1158" t="n">
        <v>149</v>
      </c>
      <c r="S151" s="1158" t="n">
        <v>16.8</v>
      </c>
    </row>
    <row r="152" customFormat="false" ht="15" hidden="false" customHeight="false" outlineLevel="0" collapsed="false">
      <c r="A152" s="1192" t="s">
        <v>2443</v>
      </c>
      <c r="C152" s="1192" t="n">
        <f aca="false">IF('Ввод данных'!$A$19=связи1!A152,дома!$S$93,0)+IF('Ввод данных'!$A$19=связи1!A160,дома!$S$94,0)+IF('Ввод данных'!$A$19=связи1!A176,дома!$S$94,0)+IF('Ввод данных'!$A$19=связи1!A177,дома!$S$95,0)+IF('Ввод данных'!$A$19=связи1!A178,дома!$S$95,0)+IF('Ввод данных'!$A$19=связи1!A179,дома!$S$95,0)+IF('Ввод данных'!$A$19=связи1!A180,дома!$S$95,0)+IF('Ввод данных'!$A$19=связи1!A181,дома!$S$95,0)+IF('Ввод данных'!$A$19=связи1!A182,дома!$S$95,0)</f>
        <v>0</v>
      </c>
      <c r="D152" s="1159" t="n">
        <f aca="false">IF('Ввод данных'!$A$19=связи1!A152,дома!K112,0)+IF('Ввод данных'!$A$19=связи1!A160,дома!G114,0)+IF('Ввод данных'!$A$19=связи1!A176,дома!G114,0)+IF('Ввод данных'!$A$19=связи1!A177,дома!G112,0)+IF('Ввод данных'!$A$19=связи1!A178,дома!G112,0)+IF('Ввод данных'!$A$19=связи1!A179,дома!G112,0)+IF('Ввод данных'!$A$19=связи1!A180,дома!G112,0)+IF('Ввод данных'!$A$19=связи1!A181,дома!G112,0)+IF('Ввод данных'!$A$19=связи1!A182,дома!G112,0)</f>
        <v>0</v>
      </c>
      <c r="E152" s="1159" t="n">
        <f aca="false">IF('Ввод данных'!$A$19=связи1!A152,дома!K114,0)+IF('Ввод данных'!$A$19=связи1!A160,дома!G117,0)+IF('Ввод данных'!$A$19=связи1!A176,дома!G117,0)+IF('Ввод данных'!$A$19=связи1!A177,дома!G116,0)+IF('Ввод данных'!$A$19=связи1!A178,дома!G116,0)+IF('Ввод данных'!$A$19=связи1!A179,дома!G116,0)+IF('Ввод данных'!$A$19=связи1!A180,дома!G116,0)+IF('Ввод данных'!$A$19=связи1!A181,дома!G116,0)+IF('Ввод данных'!$A$19=связи1!A182,дома!G116,0)</f>
        <v>0</v>
      </c>
      <c r="F152" s="1159" t="n">
        <f aca="false">IF('Ввод данных'!$A$19=связи1!A152,связи1!C163,0)</f>
        <v>0</v>
      </c>
      <c r="G152" s="1159" t="n">
        <f aca="false">IF('Ввод данных'!$A$19=связи1!A152,связи1!D163,0)</f>
        <v>0</v>
      </c>
      <c r="H152" s="1159" t="n">
        <f aca="false">IF('Ввод данных'!$A$19=связи1!A152,связи1!E163,0)</f>
        <v>0</v>
      </c>
      <c r="I152" s="1159" t="n">
        <f aca="false">IF('Ввод данных'!$A$19=связи1!A152,связи1!C163,0)</f>
        <v>0</v>
      </c>
      <c r="J152" s="1159" t="n">
        <f aca="false">IF('Ввод данных'!$A$19=связи1!A152,связи1!D163,0)</f>
        <v>0</v>
      </c>
      <c r="K152" s="1159" t="n">
        <f aca="false">IF('Ввод данных'!$A$19=связи1!A152,связи1!E163,0)</f>
        <v>0</v>
      </c>
      <c r="R152" s="1158" t="n">
        <v>150</v>
      </c>
      <c r="S152" s="1158" t="n">
        <v>16.9</v>
      </c>
    </row>
    <row r="153" customFormat="false" ht="15" hidden="false" customHeight="false" outlineLevel="0" collapsed="false">
      <c r="A153" s="1192" t="s">
        <v>25</v>
      </c>
      <c r="C153" s="1192" t="n">
        <f aca="false">IF('Ввод данных'!$A$19=связи1!A153,дома!$S$93,0)+IF('Ввод данных'!$A$19=A160,дома!S95,0)+IF('Ввод данных'!$A$19=A161,дома!S95,0)+IF('Ввод данных'!$A$19=A162,дома!S95,0)+IF('Ввод данных'!$A$19=A163,дома!S95,0)+IF('Ввод данных'!$A$19=A164,дома!S95,0)+IF('Ввод данных'!$A$19=A165,дома!S95,0)+IF('Ввод данных'!$A$19=A166,дома!S95,0)+IF('Ввод данных'!$A$19=A167,дома!S95,0)+IF('Ввод данных'!$A$19=A168,дома!S95,0)</f>
        <v>174.43</v>
      </c>
      <c r="D153" s="1159" t="n">
        <f aca="false">IF('Ввод данных'!$A$19=связи1!A153,дома!K112,0)+IF('Ввод данных'!$A$19=A160,дома!G112,0)+IF('Ввод данных'!$A$19=A161,дома!G112,0)+IF('Ввод данных'!$A$19=A162,дома!G112,0)+IF('Ввод данных'!$A$19=A163,дома!G112,0)+IF('Ввод данных'!$A$19=A164,дома!G112,0)+IF('Ввод данных'!$A$19=A165,дома!G112,0)+IF('Ввод данных'!$A$19=A166,дома!G112,0)+IF('Ввод данных'!$A$19=A167,дома!G112,0)+IF('Ввод данных'!$A$19=A168,дома!G112,0)</f>
        <v>65.335</v>
      </c>
      <c r="E153" s="1159" t="n">
        <f aca="false">IF('Ввод данных'!$A$19=связи1!A153,дома!K114,0)+IF('Ввод данных'!$A$19=A160,дома!G116,0)+IF('Ввод данных'!$A$19=A161,дома!G116,0)+IF('Ввод данных'!$A$19=A162,дома!G116,0)+IF('Ввод данных'!$A$19=A163,дома!G116,0)+IF('Ввод данных'!$A$19=A164,дома!G116,0)+IF('Ввод данных'!$A$19=A165,дома!G116,0)+IF('Ввод данных'!$A$19=A166,дома!G116,0)+IF('Ввод данных'!$A$19=A167,дома!G116,0)+IF('Ввод данных'!$A$19=A168,дома!G116,0)</f>
        <v>21.84</v>
      </c>
      <c r="F153" s="1159" t="n">
        <f aca="false">IF('Ввод данных'!$A$19=связи1!A153,связи1!C164,0)</f>
        <v>0.4</v>
      </c>
      <c r="G153" s="1159" t="n">
        <f aca="false">IF('Ввод данных'!$A$19=связи1!A153,связи1!D164,0)</f>
        <v>0.3</v>
      </c>
      <c r="H153" s="1159" t="n">
        <f aca="false">IF('Ввод данных'!$A$19=связи1!A153,связи1!E164,0)</f>
        <v>0.2</v>
      </c>
      <c r="I153" s="1159" t="n">
        <f aca="false">IF('Ввод данных'!$A$19=связи1!A153,связи1!C164,0)</f>
        <v>0.4</v>
      </c>
      <c r="J153" s="1159" t="n">
        <f aca="false">IF('Ввод данных'!$A$19=связи1!A153,связи1!D164,0)</f>
        <v>0.3</v>
      </c>
      <c r="K153" s="1159" t="n">
        <f aca="false">IF('Ввод данных'!$A$19=связи1!A153,связи1!E164,0)</f>
        <v>0.2</v>
      </c>
      <c r="R153" s="1158" t="n">
        <v>151</v>
      </c>
      <c r="S153" s="1158" t="n">
        <v>17</v>
      </c>
    </row>
    <row r="154" customFormat="false" ht="15" hidden="false" customHeight="false" outlineLevel="0" collapsed="false">
      <c r="A154" s="1192" t="s">
        <v>2261</v>
      </c>
      <c r="C154" s="1192" t="n">
        <f aca="false">IF('Ввод данных'!$A$19=связи1!A154,дома!$S$93,0)+IF('Ввод данных'!$A$19=связи1!A161,дома!$S$94,0)+IF('Ввод данных'!$A$19=связи1!A169,дома!$S$94,0)+IF('Ввод данных'!$A$19=связи1!A178,дома!$S$94,0)+IF('Ввод данных'!$A$19=связи1!A183,дома!$S$95,0)</f>
        <v>0</v>
      </c>
      <c r="D154" s="1159" t="n">
        <f aca="false">IF('Ввод данных'!$A$19=связи1!A154,дома!K112,0)+IF('Ввод данных'!$A$19=связи1!A161,дома!G114,0)+IF('Ввод данных'!$A$19=связи1!A169,дома!G114,0)+IF('Ввод данных'!$A$19=связи1!A178,дома!G114,0)+IF('Ввод данных'!$A$19=связи1!A183,дома!G112,0)</f>
        <v>0</v>
      </c>
      <c r="E154" s="1159" t="n">
        <f aca="false">IF('Ввод данных'!$A$19=связи1!A154,дома!K114,0)+IF('Ввод данных'!$A$19=связи1!A161,дома!G117,0)+IF('Ввод данных'!$A$19=связи1!A169,дома!G117,0)+IF('Ввод данных'!$A$19=связи1!A178,дома!G117,0)+IF('Ввод данных'!$A$19=связи1!A183,дома!G116,0)</f>
        <v>0</v>
      </c>
      <c r="F154" s="1159" t="n">
        <f aca="false">IF('Ввод данных'!$A$19=связи1!A154,связи1!C165,0)</f>
        <v>0</v>
      </c>
      <c r="G154" s="1159" t="n">
        <f aca="false">IF('Ввод данных'!$A$19=связи1!A154,связи1!D165,0)</f>
        <v>0</v>
      </c>
      <c r="H154" s="1159" t="n">
        <f aca="false">IF('Ввод данных'!$A$19=связи1!A154,связи1!E165,0)</f>
        <v>0</v>
      </c>
      <c r="I154" s="1159" t="n">
        <f aca="false">IF('Ввод данных'!$A$19=связи1!A154,связи1!C165,0)</f>
        <v>0</v>
      </c>
      <c r="J154" s="1159" t="n">
        <f aca="false">IF('Ввод данных'!$A$19=связи1!A154,связи1!D165,0)</f>
        <v>0</v>
      </c>
      <c r="K154" s="1159" t="n">
        <f aca="false">IF('Ввод данных'!$A$19=связи1!A154,связи1!E165,0)</f>
        <v>0</v>
      </c>
      <c r="R154" s="1158" t="n">
        <v>152</v>
      </c>
      <c r="S154" s="1158" t="n">
        <v>17.1</v>
      </c>
    </row>
    <row r="155" customFormat="false" ht="15" hidden="false" customHeight="false" outlineLevel="0" collapsed="false">
      <c r="A155" s="1192" t="s">
        <v>2444</v>
      </c>
      <c r="C155" s="1192" t="n">
        <f aca="false">IF('Ввод данных'!$A$19=связи1!A155,дома!$S$93,0)+IF('Ввод данных'!$A$19=связи1!A166,дома!$S$94,0)+IF('Ввод данных'!$A$19=связи1!A174,дома!$S$94,0)+IF('Ввод данных'!$A$19=связи1!A181,дома!$S$94,0)</f>
        <v>0</v>
      </c>
      <c r="D155" s="1159" t="n">
        <f aca="false">IF('Ввод данных'!$A$19=связи1!A155,дома!K112,0)+IF('Ввод данных'!$A$19=связи1!A166,дома!G114,0)+IF('Ввод данных'!$A$19=связи1!A174,дома!G114,0)+IF('Ввод данных'!$A$19=связи1!A181,дома!G114,0)</f>
        <v>0</v>
      </c>
      <c r="E155" s="1159" t="n">
        <f aca="false">IF('Ввод данных'!$A$19=связи1!A155,дома!K114,0)+IF('Ввод данных'!$A$19=связи1!A166,дома!G117,0)+IF('Ввод данных'!$A$19=связи1!A174,дома!G117,0)+IF('Ввод данных'!$A$19=связи1!A181,дома!G117,0)</f>
        <v>0</v>
      </c>
      <c r="F155" s="1159" t="n">
        <f aca="false">IF('Ввод данных'!$A$19=связи1!A155,связи1!C166,0)</f>
        <v>0</v>
      </c>
      <c r="G155" s="1159" t="n">
        <f aca="false">IF('Ввод данных'!$A$19=связи1!A155,связи1!D166,0)</f>
        <v>0</v>
      </c>
      <c r="H155" s="1159" t="n">
        <f aca="false">IF('Ввод данных'!$A$19=связи1!A155,связи1!E166,0)</f>
        <v>0</v>
      </c>
      <c r="I155" s="1159" t="n">
        <f aca="false">IF('Ввод данных'!$A$19=связи1!A155,связи1!C166,0)</f>
        <v>0</v>
      </c>
      <c r="J155" s="1159" t="n">
        <f aca="false">IF('Ввод данных'!$A$19=связи1!A155,связи1!D166,0)</f>
        <v>0</v>
      </c>
      <c r="K155" s="1159" t="n">
        <f aca="false">IF('Ввод данных'!$A$19=связи1!A155,связи1!E166,0)</f>
        <v>0</v>
      </c>
      <c r="R155" s="1158" t="n">
        <v>153</v>
      </c>
      <c r="S155" s="1158" t="n">
        <v>17.2</v>
      </c>
    </row>
    <row r="156" customFormat="false" ht="15" hidden="false" customHeight="false" outlineLevel="0" collapsed="false">
      <c r="A156" s="1192" t="s">
        <v>2445</v>
      </c>
      <c r="C156" s="1192" t="n">
        <f aca="false">IF('Ввод данных'!$A$19=связи1!A156,дома!$S$93,0)+IF('Ввод данных'!$A$19=связи1!A162,дома!$S$94,0)+IF('Ввод данных'!$A$19=связи1!A170,дома!$S$94,0)</f>
        <v>0</v>
      </c>
      <c r="D156" s="1159" t="n">
        <f aca="false">IF('Ввод данных'!$A$19=связи1!A156,дома!K112,0)+IF('Ввод данных'!$A$19=связи1!A162,дома!G114,0)+IF('Ввод данных'!$A$19=связи1!A170,дома!G114,0)</f>
        <v>0</v>
      </c>
      <c r="E156" s="1159" t="n">
        <f aca="false">IF('Ввод данных'!$A$19=связи1!A156,дома!K114,0)+IF('Ввод данных'!$A$19=связи1!A162,дома!G117,0)+IF('Ввод данных'!$A$19=связи1!A170,дома!G117,0)</f>
        <v>0</v>
      </c>
      <c r="F156" s="1159" t="n">
        <f aca="false">IF('Ввод данных'!$A$19=связи1!A156,связи1!C167,0)</f>
        <v>0</v>
      </c>
      <c r="G156" s="1159" t="n">
        <f aca="false">IF('Ввод данных'!$A$19=связи1!A156,связи1!D167,0)</f>
        <v>0</v>
      </c>
      <c r="H156" s="1159" t="n">
        <f aca="false">IF('Ввод данных'!$A$19=связи1!A156,связи1!E167,0)</f>
        <v>0</v>
      </c>
      <c r="I156" s="1159" t="n">
        <f aca="false">IF('Ввод данных'!$A$19=связи1!A156,связи1!C167,0)</f>
        <v>0</v>
      </c>
      <c r="J156" s="1159" t="n">
        <f aca="false">IF('Ввод данных'!$A$19=связи1!A156,связи1!D167,0)</f>
        <v>0</v>
      </c>
      <c r="K156" s="1159" t="n">
        <f aca="false">IF('Ввод данных'!$A$19=связи1!A156,связи1!E167,0)</f>
        <v>0</v>
      </c>
      <c r="S156" s="1158" t="n">
        <v>17.3</v>
      </c>
    </row>
    <row r="157" customFormat="false" ht="15" hidden="false" customHeight="false" outlineLevel="0" collapsed="false">
      <c r="A157" s="1192" t="s">
        <v>2446</v>
      </c>
      <c r="C157" s="1192" t="n">
        <f aca="false">IF('Ввод данных'!$A$19=связи1!A157,дома!$S$93,0)+IF('Ввод данных'!$A$19=связи1!A163,дома!$S$94,0)+IF('Ввод данных'!$A$19=связи1!A171,дома!$S$94,0)+IF('Ввод данных'!$A$19=связи1!A179,дома!$S$94,0)</f>
        <v>0</v>
      </c>
      <c r="D157" s="1159" t="n">
        <f aca="false">IF('Ввод данных'!$A$19=связи1!A157,дома!K112,0)+IF('Ввод данных'!$A$19=связи1!A163,дома!G114,0)+IF('Ввод данных'!$A$19=связи1!A171,дома!G114,0)+IF('Ввод данных'!$A$19=связи1!A179,дома!G114,0)</f>
        <v>0</v>
      </c>
      <c r="E157" s="1159" t="n">
        <f aca="false">IF('Ввод данных'!$A$19=связи1!A157,дома!K114,0)+IF('Ввод данных'!$A$19=связи1!A163,дома!G117,0)+IF('Ввод данных'!$A$19=связи1!A171,дома!G117,0)+IF('Ввод данных'!$A$19=связи1!A179,дома!G117,0)</f>
        <v>0</v>
      </c>
      <c r="F157" s="1159" t="n">
        <f aca="false">IF('Ввод данных'!$A$19=связи1!A157,связи1!C168,0)</f>
        <v>0</v>
      </c>
      <c r="G157" s="1159" t="n">
        <f aca="false">IF('Ввод данных'!$A$19=связи1!A157,связи1!D168,0)</f>
        <v>0</v>
      </c>
      <c r="H157" s="1159" t="n">
        <f aca="false">IF('Ввод данных'!$A$19=связи1!A157,связи1!E168,0)</f>
        <v>0</v>
      </c>
      <c r="I157" s="1159" t="n">
        <f aca="false">IF('Ввод данных'!$A$19=связи1!A157,связи1!C168,0)</f>
        <v>0</v>
      </c>
      <c r="J157" s="1159" t="n">
        <f aca="false">IF('Ввод данных'!$A$19=связи1!A157,связи1!D168,0)</f>
        <v>0</v>
      </c>
      <c r="K157" s="1159" t="n">
        <f aca="false">IF('Ввод данных'!$A$19=связи1!A157,связи1!E168,0)</f>
        <v>0</v>
      </c>
      <c r="AG157" s="1159" t="s">
        <v>241</v>
      </c>
      <c r="AH157" s="1159" t="s">
        <v>2447</v>
      </c>
      <c r="AI157" s="1159" t="s">
        <v>2448</v>
      </c>
      <c r="AJ157" s="1159"/>
      <c r="AK157" s="1159" t="s">
        <v>2449</v>
      </c>
      <c r="AL157" s="1171" t="s">
        <v>2450</v>
      </c>
    </row>
    <row r="158" customFormat="false" ht="15" hidden="false" customHeight="false" outlineLevel="0" collapsed="false">
      <c r="A158" s="1192" t="s">
        <v>2451</v>
      </c>
      <c r="C158" s="1192" t="n">
        <f aca="false">IF('Ввод данных'!$A$19=связи1!A158,дома!$S$93,0)+IF('Ввод данных'!$A$19=связи1!A164,дома!$S$94,0)+IF('Ввод данных'!$A$19=связи1!A172,дома!$S$94,0)</f>
        <v>0</v>
      </c>
      <c r="D158" s="1159" t="n">
        <f aca="false">IF('Ввод данных'!$A$19=связи1!A158,дома!K112,0)+IF('Ввод данных'!$A$19=связи1!A164,дома!G114,0)+IF('Ввод данных'!$A$19=связи1!A172,дома!G114,0)</f>
        <v>0</v>
      </c>
      <c r="E158" s="1159" t="n">
        <f aca="false">IF('Ввод данных'!$A$19=связи1!A158,дома!K114,0)+IF('Ввод данных'!$A$19=связи1!A164,дома!G117,0)+IF('Ввод данных'!$A$19=связи1!A172,дома!G117,0)</f>
        <v>0</v>
      </c>
      <c r="F158" s="1159" t="n">
        <f aca="false">IF('Ввод данных'!$A$19=связи1!A158,связи1!C169,0)</f>
        <v>0</v>
      </c>
      <c r="G158" s="1159" t="n">
        <f aca="false">IF('Ввод данных'!$A$19=связи1!A158,связи1!D169,0)</f>
        <v>0</v>
      </c>
      <c r="H158" s="1159" t="n">
        <f aca="false">IF('Ввод данных'!$A$19=связи1!A158,связи1!E169,0)</f>
        <v>0</v>
      </c>
      <c r="I158" s="1159" t="n">
        <f aca="false">IF('Ввод данных'!$A$19=связи1!A158,связи1!C169,0)</f>
        <v>0</v>
      </c>
      <c r="J158" s="1159" t="n">
        <f aca="false">IF('Ввод данных'!$A$19=связи1!A158,связи1!D169,0)</f>
        <v>0</v>
      </c>
      <c r="K158" s="1159" t="n">
        <f aca="false">IF('Ввод данных'!$A$19=связи1!A158,связи1!E169,0)</f>
        <v>0</v>
      </c>
      <c r="AG158" s="1159" t="n">
        <v>0</v>
      </c>
      <c r="AH158" s="1193" t="n">
        <f aca="false">AG158*3.14/180</f>
        <v>0</v>
      </c>
      <c r="AI158" s="1193" t="n">
        <f aca="false">AH158+0.0002</f>
        <v>0.0002</v>
      </c>
      <c r="AJ158" s="1159" t="n">
        <v>0</v>
      </c>
      <c r="AK158" s="1159" t="n">
        <f aca="false">IF(AND(дома!$Z$29&gt;=AJ158,дома!$Z$29&lt;=AI158),связи1!AG158,0)</f>
        <v>0</v>
      </c>
      <c r="AL158" s="1159" t="n">
        <f aca="false">IF(AND(дома!$AA$29&gt;=AJ158,дома!$AA$29&lt;=AI158),связи1!AG158,0)</f>
        <v>0</v>
      </c>
    </row>
    <row r="159" customFormat="false" ht="15" hidden="false" customHeight="false" outlineLevel="0" collapsed="false">
      <c r="A159" s="1192" t="s">
        <v>2452</v>
      </c>
      <c r="C159" s="1192" t="n">
        <f aca="false">IF('Ввод данных'!$A$19=связи1!A159,дома!$S$93,0)+IF('Ввод данных'!$A$19=связи1!A173,дома!$S$94,0)+IF('Ввод данных'!$A$19=связи1!A180,дома!$S$94,0)+IF('Ввод данных'!$A$19=связи1!A165,дома!$S$94,0)</f>
        <v>0</v>
      </c>
      <c r="D159" s="1159" t="n">
        <f aca="false">IF('Ввод данных'!$A$19=связи1!A159,дома!K112,0)+IF('Ввод данных'!$A$19=связи1!A173,дома!G114,0)+IF('Ввод данных'!$A$19=связи1!A180,дома!G114,0)+IF('Ввод данных'!$A$19=связи1!A165,дома!G114,0)</f>
        <v>0</v>
      </c>
      <c r="E159" s="1159" t="n">
        <f aca="false">IF('Ввод данных'!$A$19=связи1!A159,дома!K114,0)+IF('Ввод данных'!$A$19=связи1!A173,дома!G117,0)+IF('Ввод данных'!$A$19=связи1!A180,дома!G117,0)+IF('Ввод данных'!$A$19=связи1!A165,дома!G117,0)</f>
        <v>0</v>
      </c>
      <c r="F159" s="1159" t="n">
        <f aca="false">IF('Ввод данных'!$A$19=связи1!A159,связи1!C170,0)</f>
        <v>0</v>
      </c>
      <c r="G159" s="1159" t="n">
        <f aca="false">IF('Ввод данных'!$A$19=связи1!A159,связи1!D170,0)</f>
        <v>0</v>
      </c>
      <c r="H159" s="1159" t="n">
        <f aca="false">IF('Ввод данных'!$A$19=связи1!A159,связи1!E170,0)</f>
        <v>0</v>
      </c>
      <c r="I159" s="1159" t="n">
        <f aca="false">IF('Ввод данных'!$A$19=связи1!A159,связи1!C170,0)</f>
        <v>0</v>
      </c>
      <c r="J159" s="1159" t="n">
        <f aca="false">IF('Ввод данных'!$A$19=связи1!A159,связи1!D170,0)</f>
        <v>0</v>
      </c>
      <c r="K159" s="1159" t="n">
        <f aca="false">IF('Ввод данных'!$A$19=связи1!A159,связи1!E170,0)</f>
        <v>0</v>
      </c>
      <c r="AG159" s="1159" t="n">
        <v>1</v>
      </c>
      <c r="AH159" s="1193" t="n">
        <f aca="false">AG159*3.1415926535897/180</f>
        <v>0.0174532925199428</v>
      </c>
      <c r="AI159" s="1193" t="n">
        <f aca="false">AH159+0.0005</f>
        <v>0.0179532925199428</v>
      </c>
      <c r="AJ159" s="1193" t="n">
        <f aca="false">AH159-0.0005</f>
        <v>0.0169532925199428</v>
      </c>
      <c r="AK159" s="1159" t="n">
        <f aca="false">IF(AND(дома!$Z$29&gt;=AJ159,дома!$Z$29&lt;=AI159),связи1!AG159,0)</f>
        <v>0</v>
      </c>
      <c r="AL159" s="1159" t="n">
        <f aca="false">IF(AND(дома!$AA$29&gt;=AJ159,дома!$AA$29&lt;=AI159),связи1!AG159,0)</f>
        <v>0</v>
      </c>
    </row>
    <row r="160" customFormat="false" ht="15" hidden="false" customHeight="false" outlineLevel="0" collapsed="false">
      <c r="A160" s="1159" t="s">
        <v>2453</v>
      </c>
      <c r="C160" s="1159"/>
      <c r="D160" s="1159"/>
      <c r="E160" s="1159"/>
      <c r="F160" s="1159" t="n">
        <f aca="false">IF('Ввод данных'!$A$19=связи1!A160,связи1!$C$164,0)</f>
        <v>0</v>
      </c>
      <c r="G160" s="1159" t="n">
        <f aca="false">IF('Ввод данных'!$A$19=связи1!A160,связи1!$D$164,0)</f>
        <v>0</v>
      </c>
      <c r="H160" s="1159" t="n">
        <f aca="false">IF('Ввод данных'!$A$19=связи1!A160,связи1!$E$164,0)</f>
        <v>0</v>
      </c>
      <c r="I160" s="1159" t="n">
        <f aca="false">IF('Ввод данных'!$A$19=связи1!A160,связи1!C163,0)</f>
        <v>0</v>
      </c>
      <c r="J160" s="1159" t="n">
        <f aca="false">IF('Ввод данных'!$A$19=связи1!A160,связи1!D163,0)</f>
        <v>0</v>
      </c>
      <c r="K160" s="1159" t="n">
        <f aca="false">IF('Ввод данных'!$A$19=связи1!A160,связи1!E163,0)</f>
        <v>0</v>
      </c>
      <c r="AG160" s="1159" t="n">
        <v>1.1</v>
      </c>
      <c r="AH160" s="1193" t="n">
        <f aca="false">AG160*3.1415926535897/180</f>
        <v>0.0191986217719371</v>
      </c>
      <c r="AI160" s="1193" t="n">
        <f aca="false">AH160+0.0005</f>
        <v>0.0196986217719371</v>
      </c>
      <c r="AJ160" s="1193" t="n">
        <f aca="false">AH160-0.0005</f>
        <v>0.0186986217719371</v>
      </c>
      <c r="AK160" s="1159" t="n">
        <f aca="false">IF(AND(дома!$Z$29&gt;=AJ160,дома!$Z$29&lt;=AI160),связи1!AG160,0)</f>
        <v>0</v>
      </c>
      <c r="AL160" s="1159" t="n">
        <f aca="false">IF(AND(дома!$AA$29&gt;=AJ160,дома!$AA$29&lt;=AI160),связи1!AG160,0)</f>
        <v>0</v>
      </c>
    </row>
    <row r="161" customFormat="false" ht="15" hidden="false" customHeight="false" outlineLevel="0" collapsed="false">
      <c r="A161" s="1159" t="s">
        <v>2454</v>
      </c>
      <c r="B161" s="1192" t="s">
        <v>730</v>
      </c>
      <c r="C161" s="1180" t="n">
        <f aca="false">VLOOKUP('Ввод данных'!A1115,связи1!A406:G415,6,0)</f>
        <v>0.145</v>
      </c>
      <c r="D161" s="1180" t="n">
        <f aca="false">VLOOKUP('Ввод данных'!A1117,связи1!A406:G415,6,0)</f>
        <v>0.145</v>
      </c>
      <c r="E161" s="1180" t="n">
        <f aca="false">VLOOKUP('Ввод данных'!A1119,связи1!A406:G415,6,0)</f>
        <v>0.1</v>
      </c>
      <c r="F161" s="1159" t="n">
        <f aca="false">IF('Ввод данных'!$A$19=связи1!A161,связи1!$C$164,0)</f>
        <v>0</v>
      </c>
      <c r="G161" s="1159" t="n">
        <f aca="false">IF('Ввод данных'!$A$19=связи1!A161,связи1!$D$164,0)</f>
        <v>0</v>
      </c>
      <c r="H161" s="1159" t="n">
        <f aca="false">IF('Ввод данных'!$A$19=связи1!A161,связи1!$E$164,0)</f>
        <v>0</v>
      </c>
      <c r="I161" s="1159" t="n">
        <f aca="false">IF('Ввод данных'!$A$19=связи1!A161,связи1!C165,0)</f>
        <v>0</v>
      </c>
      <c r="J161" s="1159" t="n">
        <f aca="false">IF('Ввод данных'!$A$19=связи1!A161,связи1!D165,0)</f>
        <v>0</v>
      </c>
      <c r="K161" s="1159" t="n">
        <f aca="false">IF('Ввод данных'!$A$19=связи1!A161,связи1!D165,0)</f>
        <v>0</v>
      </c>
      <c r="AG161" s="1159" t="n">
        <v>1.2</v>
      </c>
      <c r="AH161" s="1193" t="n">
        <f aca="false">AG161*3.1415926535897/180</f>
        <v>0.0209439510239313</v>
      </c>
      <c r="AI161" s="1193" t="n">
        <f aca="false">AH161+0.0005</f>
        <v>0.0214439510239313</v>
      </c>
      <c r="AJ161" s="1193" t="n">
        <f aca="false">AH161-0.0005</f>
        <v>0.0204439510239313</v>
      </c>
      <c r="AK161" s="1159" t="n">
        <f aca="false">IF(AND(дома!$Z$29&gt;=AJ161,дома!$Z$29&lt;=AI161),связи1!AG161,0)</f>
        <v>0</v>
      </c>
      <c r="AL161" s="1159" t="n">
        <f aca="false">IF(AND(дома!$AA$29&gt;=AJ161,дома!$AA$29&lt;=AI161),связи1!AG161,0)</f>
        <v>0</v>
      </c>
    </row>
    <row r="162" customFormat="false" ht="15" hidden="false" customHeight="false" outlineLevel="0" collapsed="false">
      <c r="A162" s="1159" t="s">
        <v>2455</v>
      </c>
      <c r="B162" s="1192" t="s">
        <v>2442</v>
      </c>
      <c r="C162" s="1159" t="n">
        <f aca="false">VLOOKUP('Ввод данных'!A1159,связи1!A253:D294,3,0)/1000</f>
        <v>0.3</v>
      </c>
      <c r="D162" s="1180" t="n">
        <f aca="false">VLOOKUP('Ввод данных'!A1161,связи1!A253:D294,3,0)/1000</f>
        <v>0.2</v>
      </c>
      <c r="E162" s="1180" t="n">
        <f aca="false">VLOOKUP('Ввод данных'!A1163,связи1!A253:D294,3,0)/1000</f>
        <v>0.1</v>
      </c>
      <c r="F162" s="1159" t="n">
        <f aca="false">IF('Ввод данных'!$A$19=связи1!A162,связи1!$C$164,0)</f>
        <v>0</v>
      </c>
      <c r="G162" s="1159" t="n">
        <f aca="false">IF('Ввод данных'!$A$19=связи1!A162,связи1!$D$164,0)</f>
        <v>0</v>
      </c>
      <c r="H162" s="1159" t="n">
        <f aca="false">IF('Ввод данных'!$A$19=связи1!A162,связи1!$E$164,0)</f>
        <v>0</v>
      </c>
      <c r="I162" s="1159" t="n">
        <f aca="false">IF('Ввод данных'!$A$19=связи1!A162,связи1!C167,0)</f>
        <v>0</v>
      </c>
      <c r="J162" s="1159" t="n">
        <f aca="false">IF('Ввод данных'!$A$19=связи1!A162,связи1!D167,0)</f>
        <v>0</v>
      </c>
      <c r="K162" s="1159" t="n">
        <f aca="false">IF('Ввод данных'!$A$19=связи1!A162,связи1!E167,0)</f>
        <v>0</v>
      </c>
      <c r="AG162" s="1159" t="n">
        <v>1.3</v>
      </c>
      <c r="AH162" s="1193" t="n">
        <f aca="false">AG162*3.1415926535897/180</f>
        <v>0.0226892802759256</v>
      </c>
      <c r="AI162" s="1193" t="n">
        <f aca="false">AH162+0.0005</f>
        <v>0.0231892802759256</v>
      </c>
      <c r="AJ162" s="1193" t="n">
        <f aca="false">AH162-0.0005</f>
        <v>0.0221892802759256</v>
      </c>
      <c r="AK162" s="1159" t="n">
        <f aca="false">IF(AND(дома!$Z$29&gt;=AJ162,дома!$Z$29&lt;=AI162),связи1!AG162,0)</f>
        <v>0</v>
      </c>
      <c r="AL162" s="1159" t="n">
        <f aca="false">IF(AND(дома!$AA$29&gt;=AJ162,дома!$AA$29&lt;=AI162),связи1!AG162,0)</f>
        <v>0</v>
      </c>
    </row>
    <row r="163" customFormat="false" ht="15" hidden="false" customHeight="false" outlineLevel="0" collapsed="false">
      <c r="A163" s="1159" t="s">
        <v>2456</v>
      </c>
      <c r="B163" s="1192" t="s">
        <v>2443</v>
      </c>
      <c r="C163" s="1159" t="n">
        <f aca="false">VLOOKUP('Ввод данных'!A1166,связи1!A382:E396,5,0)/1000</f>
        <v>0.6</v>
      </c>
      <c r="D163" s="1180" t="n">
        <f aca="false">VLOOKUP('Ввод данных'!A1168,связи1!A382:E396,5,0)/1000</f>
        <v>0.6</v>
      </c>
      <c r="E163" s="1180" t="n">
        <f aca="false">VLOOKUP('Ввод данных'!A1170,связи1!A382:E396,5,0)/1000</f>
        <v>0.6</v>
      </c>
      <c r="F163" s="1159" t="n">
        <f aca="false">IF('Ввод данных'!$A$19=связи1!A163,связи1!$C$164,0)</f>
        <v>0</v>
      </c>
      <c r="G163" s="1159" t="n">
        <f aca="false">IF('Ввод данных'!$A$19=связи1!A163,связи1!$D$164,0)</f>
        <v>0</v>
      </c>
      <c r="H163" s="1159" t="n">
        <f aca="false">IF('Ввод данных'!$A$19=связи1!A163,связи1!$E$164,0)</f>
        <v>0</v>
      </c>
      <c r="I163" s="1159" t="n">
        <f aca="false">IF('Ввод данных'!$A$19=связи1!A163,связи1!C168,0)</f>
        <v>0</v>
      </c>
      <c r="J163" s="1159" t="n">
        <f aca="false">IF('Ввод данных'!$A$19=связи1!A163,связи1!D168,0)</f>
        <v>0</v>
      </c>
      <c r="K163" s="1159" t="n">
        <f aca="false">IF('Ввод данных'!$A$19=связи1!A163,связи1!E168,0)</f>
        <v>0</v>
      </c>
      <c r="AG163" s="1159" t="n">
        <v>1.4</v>
      </c>
      <c r="AH163" s="1193" t="n">
        <f aca="false">AG163*3.1415926535897/180</f>
        <v>0.0244346095279199</v>
      </c>
      <c r="AI163" s="1193" t="n">
        <f aca="false">AH163+0.0005</f>
        <v>0.0249346095279199</v>
      </c>
      <c r="AJ163" s="1193" t="n">
        <f aca="false">AH163-0.0005</f>
        <v>0.0239346095279199</v>
      </c>
      <c r="AK163" s="1159" t="n">
        <f aca="false">IF(AND(дома!$Z$29&gt;=AJ163,дома!$Z$29&lt;=AI163),связи1!AG163,0)</f>
        <v>0</v>
      </c>
      <c r="AL163" s="1159" t="n">
        <f aca="false">IF(AND(дома!$AA$29&gt;=AJ163,дома!$AA$29&lt;=AI163),связи1!AG163,0)</f>
        <v>0</v>
      </c>
    </row>
    <row r="164" customFormat="false" ht="15" hidden="false" customHeight="false" outlineLevel="0" collapsed="false">
      <c r="A164" s="1159" t="s">
        <v>2457</v>
      </c>
      <c r="B164" s="1192" t="s">
        <v>25</v>
      </c>
      <c r="C164" s="1180" t="n">
        <f aca="false">'Ввод данных'!C1173</f>
        <v>0.4</v>
      </c>
      <c r="D164" s="1180" t="n">
        <f aca="false">'Ввод данных'!C1175</f>
        <v>0.3</v>
      </c>
      <c r="E164" s="1180" t="n">
        <f aca="false">'Ввод данных'!C1177</f>
        <v>0.2</v>
      </c>
      <c r="F164" s="1159" t="n">
        <f aca="false">IF('Ввод данных'!$A$19=связи1!A164,связи1!$C$164,0)</f>
        <v>0</v>
      </c>
      <c r="G164" s="1159" t="n">
        <f aca="false">IF('Ввод данных'!$A$19=связи1!A164,связи1!$D$164,0)</f>
        <v>0</v>
      </c>
      <c r="H164" s="1159" t="n">
        <f aca="false">IF('Ввод данных'!$A$19=связи1!A164,связи1!$E$164,0)</f>
        <v>0</v>
      </c>
      <c r="I164" s="1159" t="n">
        <f aca="false">IF('Ввод данных'!$A$19=связи1!A164,связи1!C169,0)</f>
        <v>0</v>
      </c>
      <c r="J164" s="1159" t="n">
        <f aca="false">IF('Ввод данных'!$A$19=связи1!A164,связи1!D169,0)</f>
        <v>0</v>
      </c>
      <c r="K164" s="1159" t="n">
        <f aca="false">IF('Ввод данных'!$A$19=связи1!A164,связи1!E169,0)</f>
        <v>0</v>
      </c>
      <c r="AG164" s="1159" t="n">
        <v>1.5</v>
      </c>
      <c r="AH164" s="1193" t="n">
        <f aca="false">AG164*3.1415926535897/180</f>
        <v>0.0261799387799142</v>
      </c>
      <c r="AI164" s="1193" t="n">
        <f aca="false">AH164+0.0005</f>
        <v>0.0266799387799142</v>
      </c>
      <c r="AJ164" s="1193" t="n">
        <f aca="false">AH164-0.0005</f>
        <v>0.0256799387799142</v>
      </c>
      <c r="AK164" s="1159" t="n">
        <f aca="false">IF(AND(дома!$Z$29&gt;=AJ164,дома!$Z$29&lt;=AI164),связи1!AG164,0)</f>
        <v>0</v>
      </c>
      <c r="AL164" s="1159" t="n">
        <f aca="false">IF(AND(дома!$AA$29&gt;=AJ164,дома!$AA$29&lt;=AI164),связи1!AG164,0)</f>
        <v>0</v>
      </c>
    </row>
    <row r="165" customFormat="false" ht="15" hidden="false" customHeight="false" outlineLevel="0" collapsed="false">
      <c r="A165" s="1159" t="s">
        <v>2458</v>
      </c>
      <c r="B165" s="1192" t="s">
        <v>2261</v>
      </c>
      <c r="C165" s="1159" t="n">
        <f aca="false">VLOOKUP('Ввод данных'!A983,'Прайс лист'!B340:G426,4,0)</f>
        <v>0.15</v>
      </c>
      <c r="D165" s="1159" t="n">
        <f aca="false">VLOOKUP('Ввод данных'!A985,'Прайс лист'!B340:G426,4,0)</f>
        <v>0.15</v>
      </c>
      <c r="E165" s="1159" t="n">
        <f aca="false">VLOOKUP('Ввод данных'!A987,'Прайс лист'!B340:G426,4,0)</f>
        <v>0.1</v>
      </c>
      <c r="F165" s="1159" t="n">
        <f aca="false">IF('Ввод данных'!$A$19=связи1!A165,связи1!$C$164,0)</f>
        <v>0</v>
      </c>
      <c r="G165" s="1159" t="n">
        <f aca="false">IF('Ввод данных'!$A$19=связи1!A165,связи1!$D$164,0)</f>
        <v>0</v>
      </c>
      <c r="H165" s="1159" t="n">
        <f aca="false">IF('Ввод данных'!$A$19=связи1!A165,связи1!$E$164,0)</f>
        <v>0</v>
      </c>
      <c r="I165" s="1159" t="n">
        <f aca="false">IF('Ввод данных'!$A$19=связи1!A165,связи1!C170,0)</f>
        <v>0</v>
      </c>
      <c r="J165" s="1159" t="n">
        <f aca="false">IF('Ввод данных'!$A$19=связи1!A165,связи1!D170,0)</f>
        <v>0</v>
      </c>
      <c r="K165" s="1159" t="n">
        <f aca="false">IF('Ввод данных'!$A$19=связи1!A165,связи1!E170,0)</f>
        <v>0</v>
      </c>
      <c r="AG165" s="1159" t="n">
        <v>1.6</v>
      </c>
      <c r="AH165" s="1193" t="n">
        <f aca="false">AG165*3.1415926535897/180</f>
        <v>0.0279252680319084</v>
      </c>
      <c r="AI165" s="1193" t="n">
        <f aca="false">AH165+0.0005</f>
        <v>0.0284252680319084</v>
      </c>
      <c r="AJ165" s="1193" t="n">
        <f aca="false">AH165-0.0005</f>
        <v>0.0274252680319084</v>
      </c>
      <c r="AK165" s="1159" t="n">
        <f aca="false">IF(AND(дома!$Z$29&gt;=AJ165,дома!$Z$29&lt;=AI165),связи1!AG165,0)</f>
        <v>0</v>
      </c>
      <c r="AL165" s="1159" t="n">
        <f aca="false">IF(AND(дома!$AA$29&gt;=AJ165,дома!$AA$29&lt;=AI165),связи1!AG165,0)</f>
        <v>0</v>
      </c>
    </row>
    <row r="166" customFormat="false" ht="15" hidden="false" customHeight="false" outlineLevel="0" collapsed="false">
      <c r="A166" s="1159" t="s">
        <v>2459</v>
      </c>
      <c r="B166" s="1192" t="s">
        <v>2444</v>
      </c>
      <c r="C166" s="1180" t="n">
        <f aca="false">VLOOKUP('Ввод данных'!A1085,связи1!A296:F308,6,0)</f>
        <v>0.174</v>
      </c>
      <c r="D166" s="1180" t="n">
        <f aca="false">VLOOKUP('Ввод данных'!A1087,связи1!A296:F308,6,0)</f>
        <v>0.174</v>
      </c>
      <c r="E166" s="1180" t="n">
        <f aca="false">VLOOKUP('Ввод данных'!A1089,связи1!A296:F308,6,0)</f>
        <v>0.124</v>
      </c>
      <c r="F166" s="1159" t="n">
        <f aca="false">IF('Ввод данных'!$A$19=связи1!A166,связи1!$C$164,0)</f>
        <v>0</v>
      </c>
      <c r="G166" s="1159" t="n">
        <f aca="false">IF('Ввод данных'!$A$19=связи1!A166,связи1!$D$164,0)</f>
        <v>0</v>
      </c>
      <c r="H166" s="1159" t="n">
        <f aca="false">IF('Ввод данных'!$A$19=связи1!A166,связи1!$E$164,0)</f>
        <v>0</v>
      </c>
      <c r="I166" s="1159" t="n">
        <f aca="false">IF('Ввод данных'!$A$19=связи1!A166,связи1!C166,0)</f>
        <v>0</v>
      </c>
      <c r="J166" s="1159" t="n">
        <f aca="false">IF('Ввод данных'!$A$19=связи1!A166,связи1!D166,0)</f>
        <v>0</v>
      </c>
      <c r="K166" s="1159" t="n">
        <f aca="false">IF('Ввод данных'!$A$19=связи1!A166,связи1!E166,0)</f>
        <v>0</v>
      </c>
      <c r="AG166" s="1159" t="n">
        <v>1.7</v>
      </c>
      <c r="AH166" s="1193" t="n">
        <f aca="false">AG166*3.1415926535897/180</f>
        <v>0.0296705972839027</v>
      </c>
      <c r="AI166" s="1193" t="n">
        <f aca="false">AH166+0.0005</f>
        <v>0.0301705972839027</v>
      </c>
      <c r="AJ166" s="1193" t="n">
        <f aca="false">AH166-0.0005</f>
        <v>0.0291705972839027</v>
      </c>
      <c r="AK166" s="1159" t="n">
        <f aca="false">IF(AND(дома!$Z$29&gt;=AJ166,дома!$Z$29&lt;=AI166),связи1!AG166,0)</f>
        <v>0</v>
      </c>
      <c r="AL166" s="1159" t="n">
        <f aca="false">IF(AND(дома!$AA$29&gt;=AJ166,дома!$AA$29&lt;=AI166),связи1!AG166,0)</f>
        <v>0</v>
      </c>
    </row>
    <row r="167" customFormat="false" ht="15" hidden="false" customHeight="false" outlineLevel="0" collapsed="false">
      <c r="A167" s="1159" t="s">
        <v>2460</v>
      </c>
      <c r="B167" s="1192" t="s">
        <v>2445</v>
      </c>
      <c r="C167" s="1159" t="n">
        <f aca="false">VLOOKUP('Ввод данных'!A983,'Прайс лист'!B340:G426,4,0)</f>
        <v>0.15</v>
      </c>
      <c r="D167" s="1159" t="n">
        <f aca="false">VLOOKUP('Ввод данных'!A985,'Прайс лист'!B340:G426,4,0)</f>
        <v>0.15</v>
      </c>
      <c r="E167" s="1159" t="n">
        <f aca="false">VLOOKUP('Ввод данных'!A987,'Прайс лист'!B340:G426,4,0)</f>
        <v>0.1</v>
      </c>
      <c r="F167" s="1159" t="n">
        <f aca="false">IF('Ввод данных'!$A$19=связи1!A167,связи1!$C$164,0)</f>
        <v>0</v>
      </c>
      <c r="G167" s="1159" t="n">
        <f aca="false">IF('Ввод данных'!$A$19=связи1!A167,связи1!$D$164,0)</f>
        <v>0</v>
      </c>
      <c r="H167" s="1159" t="n">
        <f aca="false">IF('Ввод данных'!$A$19=связи1!A167,связи1!$E$164,0)</f>
        <v>0</v>
      </c>
      <c r="I167" s="1159" t="n">
        <f aca="false">IF('Ввод данных'!$A$19=связи1!A167,связи1!C161,0)</f>
        <v>0</v>
      </c>
      <c r="J167" s="1159" t="n">
        <f aca="false">IF('Ввод данных'!$A$19=связи1!A167,связи1!D161,0)</f>
        <v>0</v>
      </c>
      <c r="K167" s="1159" t="n">
        <f aca="false">IF('Ввод данных'!$A$19=связи1!A167,связи1!E161,0)</f>
        <v>0</v>
      </c>
      <c r="AG167" s="1159" t="n">
        <v>1.8</v>
      </c>
      <c r="AH167" s="1193" t="n">
        <f aca="false">AG167*3.1415926535897/180</f>
        <v>0.031415926535897</v>
      </c>
      <c r="AI167" s="1193" t="n">
        <f aca="false">AH167+0.0005</f>
        <v>0.031915926535897</v>
      </c>
      <c r="AJ167" s="1193" t="n">
        <f aca="false">AH167-0.0005</f>
        <v>0.030915926535897</v>
      </c>
      <c r="AK167" s="1159" t="n">
        <f aca="false">IF(AND(дома!$Z$29&gt;=AJ167,дома!$Z$29&lt;=AI167),связи1!AG167,0)</f>
        <v>0</v>
      </c>
      <c r="AL167" s="1159" t="n">
        <f aca="false">IF(AND(дома!$AA$29&gt;=AJ167,дома!$AA$29&lt;=AI167),связи1!AG167,0)</f>
        <v>0</v>
      </c>
    </row>
    <row r="168" customFormat="false" ht="15" hidden="false" customHeight="false" outlineLevel="0" collapsed="false">
      <c r="A168" s="1159" t="s">
        <v>2461</v>
      </c>
      <c r="B168" s="1192" t="s">
        <v>2446</v>
      </c>
      <c r="C168" s="1159" t="n">
        <f aca="false">VLOOKUP('Ввод данных'!A983,'Прайс лист'!B340:G426,4,0)</f>
        <v>0.15</v>
      </c>
      <c r="D168" s="1159" t="n">
        <f aca="false">VLOOKUP('Ввод данных'!A985,'Прайс лист'!B340:G426,4,0)</f>
        <v>0.15</v>
      </c>
      <c r="E168" s="1159" t="n">
        <f aca="false">VLOOKUP('Ввод данных'!A987,'Прайс лист'!B340:G426,4,0)</f>
        <v>0.1</v>
      </c>
      <c r="F168" s="1159" t="n">
        <f aca="false">IF('Ввод данных'!$A$19=связи1!A168,связи1!$C$164,0)</f>
        <v>0</v>
      </c>
      <c r="G168" s="1159" t="n">
        <f aca="false">IF('Ввод данных'!$A$19=связи1!A168,связи1!$D$164,0)</f>
        <v>0</v>
      </c>
      <c r="H168" s="1159" t="n">
        <f aca="false">IF('Ввод данных'!$A$19=связи1!A168,связи1!$E$164,0)</f>
        <v>0</v>
      </c>
      <c r="I168" s="1159" t="n">
        <f aca="false">IF('Ввод данных'!$A$19=связи1!A168,связи1!C162,0)</f>
        <v>0</v>
      </c>
      <c r="J168" s="1159" t="n">
        <f aca="false">IF('Ввод данных'!$A$19=связи1!A168,связи1!D162,0)</f>
        <v>0</v>
      </c>
      <c r="K168" s="1159" t="n">
        <f aca="false">IF('Ввод данных'!$A$19=связи1!A168,связи1!E162,0)</f>
        <v>0</v>
      </c>
      <c r="AG168" s="1159" t="n">
        <v>1.9</v>
      </c>
      <c r="AH168" s="1193" t="n">
        <f aca="false">AG168*3.1415926535897/180</f>
        <v>0.0331612557878913</v>
      </c>
      <c r="AI168" s="1193" t="n">
        <f aca="false">AH168+0.0005</f>
        <v>0.0336612557878913</v>
      </c>
      <c r="AJ168" s="1193" t="n">
        <f aca="false">AH168-0.0005</f>
        <v>0.0326612557878913</v>
      </c>
      <c r="AK168" s="1159" t="n">
        <f aca="false">IF(AND(дома!$Z$29&gt;=AJ168,дома!$Z$29&lt;=AI168),связи1!AG168,0)</f>
        <v>0</v>
      </c>
      <c r="AL168" s="1159" t="n">
        <f aca="false">IF(AND(дома!$AA$29&gt;=AJ168,дома!$AA$29&lt;=AI168),связи1!AG168,0)</f>
        <v>0</v>
      </c>
    </row>
    <row r="169" customFormat="false" ht="15" hidden="false" customHeight="false" outlineLevel="0" collapsed="false">
      <c r="A169" s="1159" t="s">
        <v>2462</v>
      </c>
      <c r="B169" s="1192" t="s">
        <v>2451</v>
      </c>
      <c r="C169" s="1159" t="n">
        <f aca="false">VLOOKUP('Ввод данных'!A993,'Прайс лист'!B448:G535,3,0)</f>
        <v>0.22</v>
      </c>
      <c r="D169" s="1159" t="n">
        <f aca="false">VLOOKUP('Ввод данных'!A995,'Прайс лист'!B448:G535,3,0)</f>
        <v>0.22</v>
      </c>
      <c r="E169" s="1159" t="n">
        <f aca="false">VLOOKUP('Ввод данных'!A997,'Прайс лист'!B448:G535,3,0)</f>
        <v>0.22</v>
      </c>
      <c r="F169" s="1159" t="n">
        <f aca="false">IF('Ввод данных'!$A$19=связи1!A169,связи1!$C$162,0)</f>
        <v>0</v>
      </c>
      <c r="G169" s="1159" t="n">
        <f aca="false">IF('Ввод данных'!$A$19=связи1!A169,связи1!$D$162,0)</f>
        <v>0</v>
      </c>
      <c r="H169" s="1159" t="n">
        <f aca="false">IF('Ввод данных'!$A$19=связи1!A169,связи1!$E$162,0)</f>
        <v>0</v>
      </c>
      <c r="I169" s="1159" t="n">
        <f aca="false">IF('Ввод данных'!$A$19=связи1!A169,связи1!C165,0)</f>
        <v>0</v>
      </c>
      <c r="J169" s="1159" t="n">
        <f aca="false">IF('Ввод данных'!$A$19=связи1!A169,связи1!D165,0)</f>
        <v>0</v>
      </c>
      <c r="K169" s="1159" t="n">
        <f aca="false">IF('Ввод данных'!$A$19=связи1!A169,связи1!E165,0)</f>
        <v>0</v>
      </c>
      <c r="AG169" s="1159" t="n">
        <v>2</v>
      </c>
      <c r="AH169" s="1193" t="n">
        <f aca="false">AG169*3.1415926535897/180</f>
        <v>0.0349065850398856</v>
      </c>
      <c r="AI169" s="1193" t="n">
        <f aca="false">AH169+0.0005</f>
        <v>0.0354065850398856</v>
      </c>
      <c r="AJ169" s="1193" t="n">
        <f aca="false">AH169-0.0005</f>
        <v>0.0344065850398856</v>
      </c>
      <c r="AK169" s="1159" t="n">
        <f aca="false">IF(AND(дома!$Z$29&gt;=AJ169,дома!$Z$29&lt;=AI169),связи1!AG169,0)</f>
        <v>0</v>
      </c>
      <c r="AL169" s="1159" t="n">
        <f aca="false">IF(AND(дома!$AA$29&gt;=AJ169,дома!$AA$29&lt;=AI169),связи1!AG169,0)</f>
        <v>0</v>
      </c>
    </row>
    <row r="170" customFormat="false" ht="15" hidden="false" customHeight="false" outlineLevel="0" collapsed="false">
      <c r="A170" s="1159" t="s">
        <v>2463</v>
      </c>
      <c r="B170" s="1192" t="s">
        <v>2452</v>
      </c>
      <c r="C170" s="1159" t="n">
        <f aca="false">VLOOKUP('Ввод данных'!A993,'Прайс лист'!B448:G535,3,0)</f>
        <v>0.22</v>
      </c>
      <c r="D170" s="1159" t="n">
        <f aca="false">VLOOKUP('Ввод данных'!A995,'Прайс лист'!B448:G535,3,0)</f>
        <v>0.22</v>
      </c>
      <c r="E170" s="1159" t="n">
        <f aca="false">VLOOKUP('Ввод данных'!A997,'Прайс лист'!B448:G535,3,0)</f>
        <v>0.22</v>
      </c>
      <c r="F170" s="1159" t="n">
        <f aca="false">IF('Ввод данных'!$A$19=связи1!A170,связи1!$C$162,0)</f>
        <v>0</v>
      </c>
      <c r="G170" s="1159" t="n">
        <f aca="false">IF('Ввод данных'!$A$19=связи1!A170,связи1!$D$162,0)</f>
        <v>0</v>
      </c>
      <c r="H170" s="1159" t="n">
        <f aca="false">IF('Ввод данных'!$A$19=связи1!A170,связи1!$E$162,0)</f>
        <v>0</v>
      </c>
      <c r="I170" s="1159" t="n">
        <f aca="false">IF('Ввод данных'!$A$19=связи1!A170,связи1!C167,0)</f>
        <v>0</v>
      </c>
      <c r="J170" s="1159" t="n">
        <f aca="false">IF('Ввод данных'!$A$19=связи1!A170,связи1!D167,0)</f>
        <v>0</v>
      </c>
      <c r="K170" s="1159" t="n">
        <f aca="false">IF('Ввод данных'!$A$19=связи1!A170,связи1!E167,0)</f>
        <v>0</v>
      </c>
      <c r="AG170" s="1159" t="n">
        <v>2.1</v>
      </c>
      <c r="AH170" s="1193" t="n">
        <f aca="false">AG170*3.1415926535897/180</f>
        <v>0.0366519142918798</v>
      </c>
      <c r="AI170" s="1193" t="n">
        <f aca="false">AH170+0.0005</f>
        <v>0.0371519142918798</v>
      </c>
      <c r="AJ170" s="1193" t="n">
        <f aca="false">AH170-0.0005</f>
        <v>0.0361519142918798</v>
      </c>
      <c r="AK170" s="1159" t="n">
        <f aca="false">IF(AND(дома!$Z$29&gt;=AJ170,дома!$Z$29&lt;=AI170),связи1!AG170,0)</f>
        <v>0</v>
      </c>
      <c r="AL170" s="1159" t="n">
        <f aca="false">IF(AND(дома!$AA$29&gt;=AJ170,дома!$AA$29&lt;=AI170),связи1!AG170,0)</f>
        <v>0</v>
      </c>
    </row>
    <row r="171" customFormat="false" ht="15" hidden="false" customHeight="false" outlineLevel="0" collapsed="false">
      <c r="A171" s="1159" t="s">
        <v>2464</v>
      </c>
      <c r="C171" s="1159"/>
      <c r="D171" s="1159"/>
      <c r="E171" s="1159"/>
      <c r="F171" s="1159" t="n">
        <f aca="false">IF('Ввод данных'!$A$19=связи1!A171,связи1!$C$162,0)</f>
        <v>0</v>
      </c>
      <c r="G171" s="1159" t="n">
        <f aca="false">IF('Ввод данных'!$A$19=связи1!A171,связи1!$D$162,0)</f>
        <v>0</v>
      </c>
      <c r="H171" s="1159" t="n">
        <f aca="false">IF('Ввод данных'!$A$19=связи1!A171,связи1!$E$162,0)</f>
        <v>0</v>
      </c>
      <c r="I171" s="1159" t="n">
        <f aca="false">IF('Ввод данных'!$A$19=связи1!A171,связи1!C168,0)</f>
        <v>0</v>
      </c>
      <c r="J171" s="1159" t="n">
        <f aca="false">IF('Ввод данных'!$A$19=связи1!A171,связи1!D168,0)</f>
        <v>0</v>
      </c>
      <c r="K171" s="1159" t="n">
        <f aca="false">IF('Ввод данных'!$A$19=связи1!A171,связи1!E168,0)</f>
        <v>0</v>
      </c>
      <c r="AG171" s="1159" t="n">
        <v>2.2</v>
      </c>
      <c r="AH171" s="1193" t="n">
        <f aca="false">AG171*3.1415926535897/180</f>
        <v>0.0383972435438741</v>
      </c>
      <c r="AI171" s="1193" t="n">
        <f aca="false">AH171+0.0005</f>
        <v>0.0388972435438741</v>
      </c>
      <c r="AJ171" s="1193" t="n">
        <f aca="false">AH171-0.0005</f>
        <v>0.0378972435438741</v>
      </c>
      <c r="AK171" s="1159" t="n">
        <f aca="false">IF(AND(дома!$Z$29&gt;=AJ171,дома!$Z$29&lt;=AI171),связи1!AG171,0)</f>
        <v>0</v>
      </c>
      <c r="AL171" s="1159" t="n">
        <f aca="false">IF(AND(дома!$AA$29&gt;=AJ171,дома!$AA$29&lt;=AI171),связи1!AG171,0)</f>
        <v>0</v>
      </c>
    </row>
    <row r="172" customFormat="false" ht="15" hidden="false" customHeight="false" outlineLevel="0" collapsed="false">
      <c r="A172" s="1159" t="s">
        <v>2465</v>
      </c>
      <c r="C172" s="1159"/>
      <c r="D172" s="1159"/>
      <c r="E172" s="1159"/>
      <c r="F172" s="1159" t="n">
        <f aca="false">IF('Ввод данных'!$A$19=связи1!A172,связи1!$C$162,0)</f>
        <v>0</v>
      </c>
      <c r="G172" s="1159" t="n">
        <f aca="false">IF('Ввод данных'!$A$19=связи1!A172,связи1!$D$162,0)</f>
        <v>0</v>
      </c>
      <c r="H172" s="1159" t="n">
        <f aca="false">IF('Ввод данных'!$A$19=связи1!A172,связи1!$E$162,0)</f>
        <v>0</v>
      </c>
      <c r="I172" s="1159" t="n">
        <f aca="false">IF('Ввод данных'!$A$19=связи1!A172,связи1!C169,0)</f>
        <v>0</v>
      </c>
      <c r="J172" s="1159" t="n">
        <f aca="false">IF('Ввод данных'!$A$19=связи1!A172,связи1!D169,0)</f>
        <v>0</v>
      </c>
      <c r="K172" s="1159" t="n">
        <f aca="false">IF('Ввод данных'!$A$19=связи1!A172,связи1!E169,0)</f>
        <v>0</v>
      </c>
      <c r="AG172" s="1159" t="n">
        <v>2.3</v>
      </c>
      <c r="AH172" s="1193" t="n">
        <f aca="false">AG172*3.1415926535897/180</f>
        <v>0.0401425727958684</v>
      </c>
      <c r="AI172" s="1193" t="n">
        <f aca="false">AH172+0.0005</f>
        <v>0.0406425727958684</v>
      </c>
      <c r="AJ172" s="1193" t="n">
        <f aca="false">AH172-0.0005</f>
        <v>0.0396425727958684</v>
      </c>
      <c r="AK172" s="1159" t="n">
        <f aca="false">IF(AND(дома!$Z$29&gt;=AJ172,дома!$Z$29&lt;=AI172),связи1!AG172,0)</f>
        <v>0</v>
      </c>
      <c r="AL172" s="1159" t="n">
        <f aca="false">IF(AND(дома!$AA$29&gt;=AJ172,дома!$AA$29&lt;=AI172),связи1!AG172,0)</f>
        <v>0</v>
      </c>
    </row>
    <row r="173" customFormat="false" ht="15" hidden="false" customHeight="false" outlineLevel="0" collapsed="false">
      <c r="A173" s="1159" t="s">
        <v>2466</v>
      </c>
      <c r="C173" s="1159"/>
      <c r="D173" s="1159"/>
      <c r="E173" s="1159"/>
      <c r="F173" s="1159" t="n">
        <f aca="false">IF('Ввод данных'!$A$19=связи1!A173,связи1!$C$162,0)</f>
        <v>0</v>
      </c>
      <c r="G173" s="1159" t="n">
        <f aca="false">IF('Ввод данных'!$A$19=связи1!A173,связи1!$D$162,0)</f>
        <v>0</v>
      </c>
      <c r="H173" s="1159" t="n">
        <f aca="false">IF('Ввод данных'!$A$19=связи1!A173,связи1!$E$162,0)</f>
        <v>0</v>
      </c>
      <c r="I173" s="1159" t="n">
        <f aca="false">IF('Ввод данных'!$A$19=связи1!A173,связи1!C170,0)</f>
        <v>0</v>
      </c>
      <c r="J173" s="1159" t="n">
        <f aca="false">IF('Ввод данных'!$A$19=связи1!A173,связи1!D170,0)</f>
        <v>0</v>
      </c>
      <c r="K173" s="1159" t="n">
        <f aca="false">IF('Ввод данных'!$A$19=связи1!A173,связи1!E170,0)</f>
        <v>0</v>
      </c>
      <c r="AG173" s="1159" t="n">
        <v>2.4</v>
      </c>
      <c r="AH173" s="1193" t="n">
        <f aca="false">AG173*3.1415926535897/180</f>
        <v>0.0418879020478627</v>
      </c>
      <c r="AI173" s="1193" t="n">
        <f aca="false">AH173+0.0005</f>
        <v>0.0423879020478627</v>
      </c>
      <c r="AJ173" s="1193" t="n">
        <f aca="false">AH173-0.0005</f>
        <v>0.0413879020478627</v>
      </c>
      <c r="AK173" s="1159" t="n">
        <f aca="false">IF(AND(дома!$Z$29&gt;=AJ173,дома!$Z$29&lt;=AI173),связи1!AG173,0)</f>
        <v>0</v>
      </c>
      <c r="AL173" s="1159" t="n">
        <f aca="false">IF(AND(дома!$AA$29&gt;=AJ173,дома!$AA$29&lt;=AI173),связи1!AG173,0)</f>
        <v>0</v>
      </c>
    </row>
    <row r="174" customFormat="false" ht="15" hidden="false" customHeight="false" outlineLevel="0" collapsed="false">
      <c r="A174" s="1159" t="s">
        <v>2467</v>
      </c>
      <c r="C174" s="1159"/>
      <c r="D174" s="1159"/>
      <c r="E174" s="1159"/>
      <c r="F174" s="1159" t="n">
        <f aca="false">IF('Ввод данных'!$A$19=связи1!A174,связи1!$C$162,0)</f>
        <v>0</v>
      </c>
      <c r="G174" s="1159" t="n">
        <f aca="false">IF('Ввод данных'!$A$19=связи1!A174,связи1!$D$162,0)</f>
        <v>0</v>
      </c>
      <c r="H174" s="1159" t="n">
        <f aca="false">IF('Ввод данных'!$A$19=связи1!A174,связи1!$E$162,0)</f>
        <v>0</v>
      </c>
      <c r="I174" s="1159" t="n">
        <f aca="false">IF('Ввод данных'!$A$19=связи1!A174,связи1!C166,0)</f>
        <v>0</v>
      </c>
      <c r="J174" s="1159" t="n">
        <f aca="false">IF('Ввод данных'!$A$19=связи1!A174,связи1!D166,0)</f>
        <v>0</v>
      </c>
      <c r="K174" s="1159" t="n">
        <f aca="false">IF('Ввод данных'!$A$19=связи1!A174,связи1!E166,0)</f>
        <v>0</v>
      </c>
      <c r="AG174" s="1159" t="n">
        <v>2.5</v>
      </c>
      <c r="AH174" s="1193" t="n">
        <f aca="false">AG174*3.1415926535897/180</f>
        <v>0.0436332312998569</v>
      </c>
      <c r="AI174" s="1193" t="n">
        <f aca="false">AH174+0.0005</f>
        <v>0.0441332312998569</v>
      </c>
      <c r="AJ174" s="1193" t="n">
        <f aca="false">AH174-0.0005</f>
        <v>0.0431332312998569</v>
      </c>
      <c r="AK174" s="1159" t="n">
        <f aca="false">IF(AND(дома!$Z$29&gt;=AJ174,дома!$Z$29&lt;=AI174),связи1!AG174,0)</f>
        <v>0</v>
      </c>
      <c r="AL174" s="1159" t="n">
        <f aca="false">IF(AND(дома!$AA$29&gt;=AJ174,дома!$AA$29&lt;=AI174),связи1!AG174,0)</f>
        <v>0</v>
      </c>
    </row>
    <row r="175" customFormat="false" ht="15" hidden="false" customHeight="false" outlineLevel="0" collapsed="false">
      <c r="A175" s="1159" t="s">
        <v>2468</v>
      </c>
      <c r="C175" s="1159"/>
      <c r="D175" s="1159"/>
      <c r="E175" s="1159"/>
      <c r="F175" s="1159" t="n">
        <f aca="false">IF('Ввод данных'!$A$19=связи1!A175,связи1!$C$162,0)</f>
        <v>0</v>
      </c>
      <c r="G175" s="1159" t="n">
        <f aca="false">IF('Ввод данных'!$A$19=связи1!A175,связи1!$D$162,0)</f>
        <v>0</v>
      </c>
      <c r="H175" s="1159" t="n">
        <f aca="false">IF('Ввод данных'!$A$19=связи1!A175,связи1!$E$162,0)</f>
        <v>0</v>
      </c>
      <c r="I175" s="1159" t="n">
        <f aca="false">IF('Ввод данных'!$A$19=связи1!A175,связи1!C161,0)</f>
        <v>0</v>
      </c>
      <c r="J175" s="1159" t="n">
        <f aca="false">IF('Ввод данных'!$A$19=связи1!A175,связи1!D161,0)</f>
        <v>0</v>
      </c>
      <c r="K175" s="1159" t="n">
        <f aca="false">IF('Ввод данных'!$A$19=связи1!A175,связи1!E161,0)</f>
        <v>0</v>
      </c>
      <c r="AG175" s="1159" t="n">
        <v>2.6</v>
      </c>
      <c r="AH175" s="1193" t="n">
        <f aca="false">AG175*3.1415926535897/180</f>
        <v>0.0453785605518512</v>
      </c>
      <c r="AI175" s="1193" t="n">
        <f aca="false">AH175+0.0005</f>
        <v>0.0458785605518512</v>
      </c>
      <c r="AJ175" s="1193" t="n">
        <f aca="false">AH175-0.0005</f>
        <v>0.0448785605518512</v>
      </c>
      <c r="AK175" s="1159" t="n">
        <f aca="false">IF(AND(дома!$Z$29&gt;=AJ175,дома!$Z$29&lt;=AI175),связи1!AG175,0)</f>
        <v>0</v>
      </c>
      <c r="AL175" s="1159" t="n">
        <f aca="false">IF(AND(дома!$AA$29&gt;=AJ175,дома!$AA$29&lt;=AI175),связи1!AG175,0)</f>
        <v>0</v>
      </c>
    </row>
    <row r="176" customFormat="false" ht="15" hidden="false" customHeight="false" outlineLevel="0" collapsed="false">
      <c r="A176" s="1159" t="s">
        <v>2469</v>
      </c>
      <c r="C176" s="1159"/>
      <c r="D176" s="1159"/>
      <c r="E176" s="1159"/>
      <c r="F176" s="1159" t="n">
        <f aca="false">IF('Ввод данных'!$A$19=связи1!A176,связи1!$C$162,0)</f>
        <v>0</v>
      </c>
      <c r="G176" s="1159" t="n">
        <f aca="false">IF('Ввод данных'!$A$19=связи1!A176,связи1!$D$162,0)</f>
        <v>0</v>
      </c>
      <c r="H176" s="1159" t="n">
        <f aca="false">IF('Ввод данных'!$A$19=связи1!A176,связи1!$E$162,0)</f>
        <v>0</v>
      </c>
      <c r="I176" s="1159" t="n">
        <f aca="false">IF('Ввод данных'!$A$19=связи1!A176,связи1!C163,0)</f>
        <v>0</v>
      </c>
      <c r="J176" s="1159" t="n">
        <f aca="false">IF('Ввод данных'!$A$19=связи1!A176,связи1!D163,0)</f>
        <v>0</v>
      </c>
      <c r="K176" s="1159" t="n">
        <f aca="false">IF('Ввод данных'!$A$19=связи1!A176,связи1!E163,0)</f>
        <v>0</v>
      </c>
      <c r="AG176" s="1159" t="n">
        <v>2.7</v>
      </c>
      <c r="AH176" s="1193" t="n">
        <f aca="false">AG176*3.1415926535897/180</f>
        <v>0.0471238898038455</v>
      </c>
      <c r="AI176" s="1193" t="n">
        <f aca="false">AH176+0.0005</f>
        <v>0.0476238898038455</v>
      </c>
      <c r="AJ176" s="1193" t="n">
        <f aca="false">AH176-0.0005</f>
        <v>0.0466238898038455</v>
      </c>
      <c r="AK176" s="1159" t="n">
        <f aca="false">IF(AND(дома!$Z$29&gt;=AJ176,дома!$Z$29&lt;=AI176),связи1!AG176,0)</f>
        <v>0</v>
      </c>
      <c r="AL176" s="1159" t="n">
        <f aca="false">IF(AND(дома!$AA$29&gt;=AJ176,дома!$AA$29&lt;=AI176),связи1!AG176,0)</f>
        <v>0</v>
      </c>
    </row>
    <row r="177" customFormat="false" ht="15" hidden="false" customHeight="false" outlineLevel="0" collapsed="false">
      <c r="A177" s="1159" t="s">
        <v>2470</v>
      </c>
      <c r="C177" s="1159"/>
      <c r="D177" s="1159"/>
      <c r="E177" s="1159"/>
      <c r="F177" s="1159" t="n">
        <f aca="false">IF('Ввод данных'!$A$19=связи1!A177,связи1!$C$163,0)</f>
        <v>0</v>
      </c>
      <c r="G177" s="1159" t="n">
        <f aca="false">IF('Ввод данных'!$A$19=связи1!A177,связи1!$D$163,0)</f>
        <v>0</v>
      </c>
      <c r="H177" s="1159" t="n">
        <f aca="false">IF('Ввод данных'!$A$19=связи1!A177,связи1!$E$163,0)</f>
        <v>0</v>
      </c>
      <c r="I177" s="1159" t="n">
        <f aca="false">IF('Ввод данных'!$A$19=связи1!A177,связи1!C162,0)</f>
        <v>0</v>
      </c>
      <c r="J177" s="1159" t="n">
        <f aca="false">IF('Ввод данных'!$A$19=связи1!A177,связи1!D162,0)</f>
        <v>0</v>
      </c>
      <c r="K177" s="1159" t="n">
        <f aca="false">IF('Ввод данных'!$A$19=связи1!A177,связи1!E162,0)</f>
        <v>0</v>
      </c>
      <c r="AG177" s="1159" t="n">
        <v>2.8</v>
      </c>
      <c r="AH177" s="1193" t="n">
        <f aca="false">AG177*3.1415926535897/180</f>
        <v>0.0488692190558398</v>
      </c>
      <c r="AI177" s="1193" t="n">
        <f aca="false">AH177+0.0005</f>
        <v>0.0493692190558398</v>
      </c>
      <c r="AJ177" s="1193" t="n">
        <f aca="false">AH177-0.0005</f>
        <v>0.0483692190558398</v>
      </c>
      <c r="AK177" s="1159" t="n">
        <f aca="false">IF(AND(дома!$Z$29&gt;=AJ177,дома!$Z$29&lt;=AI177),связи1!AG177,0)</f>
        <v>0</v>
      </c>
      <c r="AL177" s="1159" t="n">
        <f aca="false">IF(AND(дома!$AA$29&gt;=AJ177,дома!$AA$29&lt;=AI177),связи1!AG177,0)</f>
        <v>0</v>
      </c>
    </row>
    <row r="178" customFormat="false" ht="15" hidden="false" customHeight="false" outlineLevel="0" collapsed="false">
      <c r="A178" s="1159" t="s">
        <v>2471</v>
      </c>
      <c r="C178" s="1159"/>
      <c r="D178" s="1159"/>
      <c r="E178" s="1159"/>
      <c r="F178" s="1159" t="n">
        <f aca="false">IF('Ввод данных'!$A$19=связи1!A178,связи1!$C$163,0)</f>
        <v>0</v>
      </c>
      <c r="G178" s="1159" t="n">
        <f aca="false">IF('Ввод данных'!$A$19=связи1!A178,связи1!$D$163,0)</f>
        <v>0</v>
      </c>
      <c r="H178" s="1159" t="n">
        <f aca="false">IF('Ввод данных'!$A$19=связи1!A178,связи1!$E$163,0)</f>
        <v>0</v>
      </c>
      <c r="I178" s="1159" t="n">
        <f aca="false">IF('Ввод данных'!$A$19=связи1!A178,связи1!C165,0)</f>
        <v>0</v>
      </c>
      <c r="J178" s="1159" t="n">
        <f aca="false">IF('Ввод данных'!$A$19=связи1!A178,связи1!D165,0)</f>
        <v>0</v>
      </c>
      <c r="K178" s="1159" t="n">
        <f aca="false">IF('Ввод данных'!$A$19=связи1!A178,связи1!E165,0)</f>
        <v>0</v>
      </c>
      <c r="AG178" s="1159" t="n">
        <v>2.9</v>
      </c>
      <c r="AH178" s="1193" t="n">
        <f aca="false">AG178*3.1415926535897/180</f>
        <v>0.0506145483078341</v>
      </c>
      <c r="AI178" s="1193" t="n">
        <f aca="false">AH178+0.0005</f>
        <v>0.0511145483078341</v>
      </c>
      <c r="AJ178" s="1193" t="n">
        <f aca="false">AH178-0.0005</f>
        <v>0.0501145483078341</v>
      </c>
      <c r="AK178" s="1159" t="n">
        <f aca="false">IF(AND(дома!$Z$29&gt;=AJ178,дома!$Z$29&lt;=AI178),связи1!AG178,0)</f>
        <v>0</v>
      </c>
      <c r="AL178" s="1159" t="n">
        <f aca="false">IF(AND(дома!$AA$29&gt;=AJ178,дома!$AA$29&lt;=AI178),связи1!AG178,0)</f>
        <v>0</v>
      </c>
    </row>
    <row r="179" customFormat="false" ht="15" hidden="false" customHeight="false" outlineLevel="0" collapsed="false">
      <c r="A179" s="1159" t="s">
        <v>2472</v>
      </c>
      <c r="C179" s="1159"/>
      <c r="D179" s="1159"/>
      <c r="E179" s="1159"/>
      <c r="F179" s="1159" t="n">
        <f aca="false">IF('Ввод данных'!$A$19=связи1!A179,связи1!$C$163,0)</f>
        <v>0</v>
      </c>
      <c r="G179" s="1159" t="n">
        <f aca="false">IF('Ввод данных'!$A$19=связи1!A179,связи1!$D$163,0)</f>
        <v>0</v>
      </c>
      <c r="H179" s="1159" t="n">
        <f aca="false">IF('Ввод данных'!$A$19=связи1!A179,связи1!$E$163,0)</f>
        <v>0</v>
      </c>
      <c r="I179" s="1159" t="n">
        <f aca="false">IF('Ввод данных'!$A$19=связи1!A179,связи1!C168,0)</f>
        <v>0</v>
      </c>
      <c r="J179" s="1159" t="n">
        <f aca="false">IF('Ввод данных'!$A$19=связи1!A179,связи1!D168,0)</f>
        <v>0</v>
      </c>
      <c r="K179" s="1159" t="n">
        <f aca="false">IF('Ввод данных'!$A$19=связи1!A179,связи1!E168,0)</f>
        <v>0</v>
      </c>
      <c r="AG179" s="1159" t="n">
        <v>3</v>
      </c>
      <c r="AH179" s="1193" t="n">
        <f aca="false">AG179*3.1415926535897/180</f>
        <v>0.0523598775598283</v>
      </c>
      <c r="AI179" s="1193" t="n">
        <f aca="false">AH179+0.0005</f>
        <v>0.0528598775598283</v>
      </c>
      <c r="AJ179" s="1193" t="n">
        <f aca="false">AH179-0.0005</f>
        <v>0.0518598775598283</v>
      </c>
      <c r="AK179" s="1159" t="n">
        <f aca="false">IF(AND(дома!$Z$29&gt;=AJ179,дома!$Z$29&lt;=AI179),связи1!AG179,0)</f>
        <v>0</v>
      </c>
      <c r="AL179" s="1159" t="n">
        <f aca="false">IF(AND(дома!$AA$29&gt;=AJ179,дома!$AA$29&lt;=AI179),связи1!AG179,0)</f>
        <v>0</v>
      </c>
    </row>
    <row r="180" customFormat="false" ht="15" hidden="false" customHeight="false" outlineLevel="0" collapsed="false">
      <c r="A180" s="1159" t="s">
        <v>2473</v>
      </c>
      <c r="C180" s="1159"/>
      <c r="D180" s="1159"/>
      <c r="E180" s="1159"/>
      <c r="F180" s="1159" t="n">
        <f aca="false">IF('Ввод данных'!$A$19=связи1!A180,связи1!$C$163,0)</f>
        <v>0</v>
      </c>
      <c r="G180" s="1159" t="n">
        <f aca="false">IF('Ввод данных'!$A$19=связи1!A180,связи1!$D$163,0)</f>
        <v>0</v>
      </c>
      <c r="H180" s="1159" t="n">
        <f aca="false">IF('Ввод данных'!$A$19=связи1!A180,связи1!$E$163,0)</f>
        <v>0</v>
      </c>
      <c r="I180" s="1159" t="n">
        <f aca="false">IF('Ввод данных'!$A$19=связи1!A180,связи1!C170,0)</f>
        <v>0</v>
      </c>
      <c r="J180" s="1159" t="n">
        <f aca="false">IF('Ввод данных'!$A$19=связи1!A180,связи1!D170,0)</f>
        <v>0</v>
      </c>
      <c r="K180" s="1159" t="n">
        <f aca="false">IF('Ввод данных'!$A$19=связи1!A180,связи1!E170,0)</f>
        <v>0</v>
      </c>
      <c r="AG180" s="1159" t="n">
        <v>3.1</v>
      </c>
      <c r="AH180" s="1193" t="n">
        <f aca="false">AG180*3.1415926535897/180</f>
        <v>0.0541052068118226</v>
      </c>
      <c r="AI180" s="1193" t="n">
        <f aca="false">AH180+0.0005</f>
        <v>0.0546052068118226</v>
      </c>
      <c r="AJ180" s="1193" t="n">
        <f aca="false">AH180-0.0005</f>
        <v>0.0536052068118226</v>
      </c>
      <c r="AK180" s="1159" t="n">
        <f aca="false">IF(AND(дома!$Z$29&gt;=AJ180,дома!$Z$29&lt;=AI180),связи1!AG180,0)</f>
        <v>0</v>
      </c>
      <c r="AL180" s="1159" t="n">
        <f aca="false">IF(AND(дома!$AA$29&gt;=AJ180,дома!$AA$29&lt;=AI180),связи1!AG180,0)</f>
        <v>0</v>
      </c>
    </row>
    <row r="181" customFormat="false" ht="15" hidden="false" customHeight="false" outlineLevel="0" collapsed="false">
      <c r="A181" s="1159" t="s">
        <v>2474</v>
      </c>
      <c r="C181" s="1159"/>
      <c r="D181" s="1159"/>
      <c r="E181" s="1159"/>
      <c r="F181" s="1159" t="n">
        <f aca="false">IF('Ввод данных'!$A$19=связи1!A181,связи1!$C$163,0)</f>
        <v>0</v>
      </c>
      <c r="G181" s="1159" t="n">
        <f aca="false">IF('Ввод данных'!$A$19=связи1!A181,связи1!$D$163,0)</f>
        <v>0</v>
      </c>
      <c r="H181" s="1159" t="n">
        <f aca="false">IF('Ввод данных'!$A$19=связи1!A181,связи1!$E$163,0)</f>
        <v>0</v>
      </c>
      <c r="I181" s="1159" t="n">
        <f aca="false">IF('Ввод данных'!$A$19=связи1!A181,связи1!C166,0)</f>
        <v>0</v>
      </c>
      <c r="J181" s="1159" t="n">
        <f aca="false">IF('Ввод данных'!$A$19=связи1!A181,связи1!D166,0)</f>
        <v>0</v>
      </c>
      <c r="K181" s="1159" t="n">
        <f aca="false">IF('Ввод данных'!$A$19=связи1!A181,связи1!E166,0)</f>
        <v>0</v>
      </c>
      <c r="AG181" s="1159" t="n">
        <v>3.2</v>
      </c>
      <c r="AH181" s="1193" t="n">
        <f aca="false">AG181*3.1415926535897/180</f>
        <v>0.0558505360638169</v>
      </c>
      <c r="AI181" s="1193" t="n">
        <f aca="false">AH181+0.0005</f>
        <v>0.0563505360638169</v>
      </c>
      <c r="AJ181" s="1193" t="n">
        <f aca="false">AH181-0.0005</f>
        <v>0.0553505360638169</v>
      </c>
      <c r="AK181" s="1159" t="n">
        <f aca="false">IF(AND(дома!$Z$29&gt;=AJ181,дома!$Z$29&lt;=AI181),связи1!AG181,0)</f>
        <v>0</v>
      </c>
      <c r="AL181" s="1159" t="n">
        <f aca="false">IF(AND(дома!$AA$29&gt;=AJ181,дома!$AA$29&lt;=AI181),связи1!AG181,0)</f>
        <v>0</v>
      </c>
    </row>
    <row r="182" customFormat="false" ht="15" hidden="false" customHeight="false" outlineLevel="0" collapsed="false">
      <c r="A182" s="1159" t="s">
        <v>2475</v>
      </c>
      <c r="C182" s="1159"/>
      <c r="D182" s="1159"/>
      <c r="E182" s="1159"/>
      <c r="F182" s="1159" t="n">
        <f aca="false">IF('Ввод данных'!$A$19=связи1!A182,связи1!$C$163,0)</f>
        <v>0</v>
      </c>
      <c r="G182" s="1159" t="n">
        <f aca="false">IF('Ввод данных'!$A$19=связи1!A182,связи1!$D$163,0)</f>
        <v>0</v>
      </c>
      <c r="H182" s="1159" t="n">
        <f aca="false">IF('Ввод данных'!$A$19=связи1!A182,связи1!$E$163,0)</f>
        <v>0</v>
      </c>
      <c r="I182" s="1159" t="n">
        <f aca="false">IF('Ввод данных'!$A$19=связи1!A182,связи1!C161,0)</f>
        <v>0</v>
      </c>
      <c r="J182" s="1159" t="n">
        <f aca="false">IF('Ввод данных'!$A$19=связи1!A182,связи1!D161,0)</f>
        <v>0</v>
      </c>
      <c r="K182" s="1159" t="n">
        <f aca="false">IF('Ввод данных'!$A$19=связи1!A182,связи1!E161,0)</f>
        <v>0</v>
      </c>
      <c r="AG182" s="1159" t="n">
        <v>3.3</v>
      </c>
      <c r="AH182" s="1193" t="n">
        <f aca="false">AG182*3.1415926535897/180</f>
        <v>0.0575958653158112</v>
      </c>
      <c r="AI182" s="1193" t="n">
        <f aca="false">AH182+0.0005</f>
        <v>0.0580958653158112</v>
      </c>
      <c r="AJ182" s="1193" t="n">
        <f aca="false">AH182-0.0005</f>
        <v>0.0570958653158112</v>
      </c>
      <c r="AK182" s="1159" t="n">
        <f aca="false">IF(AND(дома!$Z$29&gt;=AJ182,дома!$Z$29&lt;=AI182),связи1!AG182,0)</f>
        <v>0</v>
      </c>
      <c r="AL182" s="1159" t="n">
        <f aca="false">IF(AND(дома!$AA$29&gt;=AJ182,дома!$AA$29&lt;=AI182),связи1!AG182,0)</f>
        <v>0</v>
      </c>
    </row>
    <row r="183" customFormat="false" ht="15" hidden="false" customHeight="false" outlineLevel="0" collapsed="false">
      <c r="A183" s="1159" t="s">
        <v>2476</v>
      </c>
      <c r="C183" s="1159"/>
      <c r="D183" s="1159"/>
      <c r="E183" s="1159"/>
      <c r="F183" s="1159" t="n">
        <f aca="false">IF('Ввод данных'!$A$19=связи1!A183,связи1!$C$165,0)</f>
        <v>0</v>
      </c>
      <c r="G183" s="1159" t="n">
        <f aca="false">IF('Ввод данных'!$A$19=связи1!A183,связи1!$D$165,0)</f>
        <v>0</v>
      </c>
      <c r="H183" s="1159" t="n">
        <f aca="false">IF('Ввод данных'!$A$19=связи1!A183,связи1!$E$165,0)</f>
        <v>0</v>
      </c>
      <c r="I183" s="1159" t="n">
        <f aca="false">IF('Ввод данных'!$A$19=связи1!A183,связи1!C161,0)</f>
        <v>0</v>
      </c>
      <c r="J183" s="1159" t="n">
        <f aca="false">IF('Ввод данных'!$A$19=связи1!A183,связи1!D161,0)</f>
        <v>0</v>
      </c>
      <c r="K183" s="1159" t="n">
        <f aca="false">IF('Ввод данных'!$A$19=связи1!A183,связи1!E161,0)</f>
        <v>0</v>
      </c>
      <c r="AG183" s="1159" t="n">
        <v>3.4</v>
      </c>
      <c r="AH183" s="1193" t="n">
        <f aca="false">AG183*3.1415926535897/180</f>
        <v>0.0593411945678054</v>
      </c>
      <c r="AI183" s="1193" t="n">
        <f aca="false">AH183+0.0005</f>
        <v>0.0598411945678054</v>
      </c>
      <c r="AJ183" s="1193" t="n">
        <f aca="false">AH183-0.0005</f>
        <v>0.0588411945678054</v>
      </c>
      <c r="AK183" s="1159" t="n">
        <f aca="false">IF(AND(дома!$Z$29&gt;=AJ183,дома!$Z$29&lt;=AI183),связи1!AG183,0)</f>
        <v>0</v>
      </c>
      <c r="AL183" s="1159" t="n">
        <f aca="false">IF(AND(дома!$AA$29&gt;=AJ183,дома!$AA$29&lt;=AI183),связи1!AG183,0)</f>
        <v>0</v>
      </c>
    </row>
    <row r="184" customFormat="false" ht="15" hidden="false" customHeight="false" outlineLevel="0" collapsed="false">
      <c r="C184" s="1159"/>
      <c r="D184" s="1159"/>
      <c r="E184" s="1159" t="s">
        <v>2477</v>
      </c>
      <c r="F184" s="1159" t="n">
        <f aca="false">SUM(F150:F183)</f>
        <v>0.4</v>
      </c>
      <c r="G184" s="1159" t="n">
        <f aca="false">SUM(G150:G183)</f>
        <v>0.3</v>
      </c>
      <c r="H184" s="1159" t="n">
        <f aca="false">SUM(H150:H183)</f>
        <v>0.2</v>
      </c>
      <c r="I184" s="1159" t="n">
        <f aca="false">SUM(I150:I183)</f>
        <v>0.4</v>
      </c>
      <c r="J184" s="1159" t="n">
        <f aca="false">SUM(J150:J183)</f>
        <v>0.3</v>
      </c>
      <c r="K184" s="1159" t="n">
        <f aca="false">SUM(K150:K183)</f>
        <v>0.2</v>
      </c>
      <c r="AG184" s="1159" t="n">
        <v>3.5</v>
      </c>
      <c r="AH184" s="1193" t="n">
        <f aca="false">AG184*3.1415926535897/180</f>
        <v>0.0610865238197997</v>
      </c>
      <c r="AI184" s="1193" t="n">
        <f aca="false">AH184+0.0005</f>
        <v>0.0615865238197997</v>
      </c>
      <c r="AJ184" s="1193" t="n">
        <f aca="false">AH184-0.0005</f>
        <v>0.0605865238197997</v>
      </c>
      <c r="AK184" s="1159" t="n">
        <f aca="false">IF(AND(дома!$Z$29&gt;=AJ184,дома!$Z$29&lt;=AI184),связи1!AG184,0)</f>
        <v>0</v>
      </c>
      <c r="AL184" s="1159" t="n">
        <f aca="false">IF(AND(дома!$AA$29&gt;=AJ184,дома!$AA$29&lt;=AI184),связи1!AG184,0)</f>
        <v>0</v>
      </c>
    </row>
    <row r="185" customFormat="false" ht="15" hidden="false" customHeight="false" outlineLevel="0" collapsed="false">
      <c r="E185" s="1192" t="s">
        <v>2478</v>
      </c>
      <c r="F185" s="1192" t="n">
        <f aca="false">F184</f>
        <v>0.4</v>
      </c>
      <c r="AG185" s="1159" t="n">
        <v>3.6</v>
      </c>
      <c r="AH185" s="1193" t="n">
        <f aca="false">AG185*3.1415926535897/180</f>
        <v>0.062831853071794</v>
      </c>
      <c r="AI185" s="1193" t="n">
        <f aca="false">AH185+0.0005</f>
        <v>0.063331853071794</v>
      </c>
      <c r="AJ185" s="1193" t="n">
        <f aca="false">AH185-0.0005</f>
        <v>0.062331853071794</v>
      </c>
      <c r="AK185" s="1159" t="n">
        <f aca="false">IF(AND(дома!$Z$29&gt;=AJ185,дома!$Z$29&lt;=AI185),связи1!AG185,0)</f>
        <v>0</v>
      </c>
      <c r="AL185" s="1159" t="n">
        <f aca="false">IF(AND(дома!$AA$29&gt;=AJ185,дома!$AA$29&lt;=AI185),связи1!AG185,0)</f>
        <v>0</v>
      </c>
    </row>
    <row r="186" customFormat="false" ht="15" hidden="false" customHeight="false" outlineLevel="0" collapsed="false">
      <c r="E186" s="1192" t="s">
        <v>2479</v>
      </c>
      <c r="F186" s="1192" t="n">
        <f aca="false">G184</f>
        <v>0.3</v>
      </c>
      <c r="AG186" s="1159" t="n">
        <v>3.7</v>
      </c>
      <c r="AH186" s="1193" t="n">
        <f aca="false">AG186*3.1415926535897/180</f>
        <v>0.0645771823237883</v>
      </c>
      <c r="AI186" s="1193" t="n">
        <f aca="false">AH186+0.0005</f>
        <v>0.0650771823237883</v>
      </c>
      <c r="AJ186" s="1193" t="n">
        <f aca="false">AH186-0.0005</f>
        <v>0.0640771823237883</v>
      </c>
      <c r="AK186" s="1159" t="n">
        <f aca="false">IF(AND(дома!$Z$29&gt;=AJ186,дома!$Z$29&lt;=AI186),связи1!AG186,0)</f>
        <v>0</v>
      </c>
      <c r="AL186" s="1159" t="n">
        <f aca="false">IF(AND(дома!$AA$29&gt;=AJ186,дома!$AA$29&lt;=AI186),связи1!AG186,0)</f>
        <v>0</v>
      </c>
    </row>
    <row r="187" customFormat="false" ht="15" hidden="false" customHeight="false" outlineLevel="0" collapsed="false">
      <c r="E187" s="1192" t="s">
        <v>2480</v>
      </c>
      <c r="F187" s="1192" t="n">
        <f aca="false">H184</f>
        <v>0.2</v>
      </c>
      <c r="AG187" s="1159" t="n">
        <v>3.8</v>
      </c>
      <c r="AH187" s="1193" t="n">
        <f aca="false">AG187*3.1415926535897/180</f>
        <v>0.0663225115757825</v>
      </c>
      <c r="AI187" s="1193" t="n">
        <f aca="false">AH187+0.0005</f>
        <v>0.0668225115757825</v>
      </c>
      <c r="AJ187" s="1193" t="n">
        <f aca="false">AH187-0.0005</f>
        <v>0.0658225115757826</v>
      </c>
      <c r="AK187" s="1159" t="n">
        <f aca="false">IF(AND(дома!$Z$29&gt;=AJ187,дома!$Z$29&lt;=AI187),связи1!AG187,0)</f>
        <v>0</v>
      </c>
      <c r="AL187" s="1159" t="n">
        <f aca="false">IF(AND(дома!$AA$29&gt;=AJ187,дома!$AA$29&lt;=AI187),связи1!AG187,0)</f>
        <v>0</v>
      </c>
    </row>
    <row r="188" customFormat="false" ht="15" hidden="false" customHeight="false" outlineLevel="0" collapsed="false">
      <c r="A188" s="1159" t="s">
        <v>2481</v>
      </c>
      <c r="E188" s="1192" t="s">
        <v>2482</v>
      </c>
      <c r="F188" s="1192" t="n">
        <f aca="false">I184</f>
        <v>0.4</v>
      </c>
      <c r="AG188" s="1159" t="n">
        <v>3.9</v>
      </c>
      <c r="AH188" s="1193" t="n">
        <f aca="false">AG188*3.1415926535897/180</f>
        <v>0.0680678408277768</v>
      </c>
      <c r="AI188" s="1193" t="n">
        <f aca="false">AH188+0.0005</f>
        <v>0.0685678408277768</v>
      </c>
      <c r="AJ188" s="1193" t="n">
        <f aca="false">AH188-0.0005</f>
        <v>0.0675678408277768</v>
      </c>
      <c r="AK188" s="1159" t="n">
        <f aca="false">IF(AND(дома!$Z$29&gt;=AJ188,дома!$Z$29&lt;=AI188),связи1!AG188,0)</f>
        <v>0</v>
      </c>
      <c r="AL188" s="1159" t="n">
        <f aca="false">IF(AND(дома!$AA$29&gt;=AJ188,дома!$AA$29&lt;=AI188),связи1!AG188,0)</f>
        <v>0</v>
      </c>
    </row>
    <row r="189" customFormat="false" ht="15" hidden="false" customHeight="false" outlineLevel="0" collapsed="false">
      <c r="A189" s="1159" t="s">
        <v>2483</v>
      </c>
      <c r="E189" s="1192" t="s">
        <v>2484</v>
      </c>
      <c r="F189" s="1192" t="n">
        <f aca="false">J184</f>
        <v>0.3</v>
      </c>
      <c r="AG189" s="1159" t="n">
        <v>4</v>
      </c>
      <c r="AH189" s="1193" t="n">
        <f aca="false">AG189*3.1415926535897/180</f>
        <v>0.0698131700797711</v>
      </c>
      <c r="AI189" s="1193" t="n">
        <f aca="false">AH189+0.0005</f>
        <v>0.0703131700797711</v>
      </c>
      <c r="AJ189" s="1193" t="n">
        <f aca="false">AH189-0.0005</f>
        <v>0.0693131700797711</v>
      </c>
      <c r="AK189" s="1159" t="n">
        <f aca="false">IF(AND(дома!$Z$29&gt;=AJ189,дома!$Z$29&lt;=AI189),связи1!AG189,0)</f>
        <v>0</v>
      </c>
      <c r="AL189" s="1159" t="n">
        <f aca="false">IF(AND(дома!$AA$29&gt;=AJ189,дома!$AA$29&lt;=AI189),связи1!AG189,0)</f>
        <v>0</v>
      </c>
    </row>
    <row r="190" customFormat="false" ht="15" hidden="false" customHeight="false" outlineLevel="0" collapsed="false">
      <c r="A190" s="1159" t="s">
        <v>2485</v>
      </c>
      <c r="E190" s="1192" t="s">
        <v>2486</v>
      </c>
      <c r="F190" s="1192" t="n">
        <f aca="false">K184</f>
        <v>0.2</v>
      </c>
      <c r="AG190" s="1159" t="n">
        <v>4.1</v>
      </c>
      <c r="AH190" s="1193" t="n">
        <f aca="false">AG190*3.1415926535897/180</f>
        <v>0.0715584993317654</v>
      </c>
      <c r="AI190" s="1193" t="n">
        <f aca="false">AH190+0.0005</f>
        <v>0.0720584993317654</v>
      </c>
      <c r="AJ190" s="1193" t="n">
        <f aca="false">AH190-0.0005</f>
        <v>0.0710584993317654</v>
      </c>
      <c r="AK190" s="1159" t="n">
        <f aca="false">IF(AND(дома!$Z$29&gt;=AJ190,дома!$Z$29&lt;=AI190),связи1!AG190,0)</f>
        <v>0</v>
      </c>
      <c r="AL190" s="1159" t="n">
        <f aca="false">IF(AND(дома!$AA$29&gt;=AJ190,дома!$AA$29&lt;=AI190),связи1!AG190,0)</f>
        <v>0</v>
      </c>
    </row>
    <row r="191" customFormat="false" ht="15" hidden="false" customHeight="false" outlineLevel="0" collapsed="false">
      <c r="A191" s="1159" t="s">
        <v>2487</v>
      </c>
      <c r="AG191" s="1159" t="n">
        <v>4.2</v>
      </c>
      <c r="AH191" s="1193" t="n">
        <f aca="false">AG191*3.1415926535897/180</f>
        <v>0.0733038285837597</v>
      </c>
      <c r="AI191" s="1193" t="n">
        <f aca="false">AH191+0.0005</f>
        <v>0.0738038285837597</v>
      </c>
      <c r="AJ191" s="1193" t="n">
        <f aca="false">AH191-0.0005</f>
        <v>0.0728038285837597</v>
      </c>
      <c r="AK191" s="1159" t="n">
        <f aca="false">IF(AND(дома!$Z$29&gt;=AJ191,дома!$Z$29&lt;=AI191),связи1!AG191,0)</f>
        <v>0</v>
      </c>
      <c r="AL191" s="1159" t="n">
        <f aca="false">IF(AND(дома!$AA$29&gt;=AJ191,дома!$AA$29&lt;=AI191),связи1!AG191,0)</f>
        <v>0</v>
      </c>
    </row>
    <row r="192" customFormat="false" ht="15" hidden="false" customHeight="false" outlineLevel="0" collapsed="false">
      <c r="A192" s="1159"/>
      <c r="AG192" s="1159" t="n">
        <v>4.3</v>
      </c>
      <c r="AH192" s="1193" t="n">
        <f aca="false">AG192*3.1415926535897/180</f>
        <v>0.0750491578357539</v>
      </c>
      <c r="AI192" s="1193" t="n">
        <f aca="false">AH192+0.0005</f>
        <v>0.0755491578357539</v>
      </c>
      <c r="AJ192" s="1193" t="n">
        <f aca="false">AH192-0.0005</f>
        <v>0.0745491578357539</v>
      </c>
      <c r="AK192" s="1159" t="n">
        <f aca="false">IF(AND(дома!$Z$29&gt;=AJ192,дома!$Z$29&lt;=AI192),связи1!AG192,0)</f>
        <v>0</v>
      </c>
      <c r="AL192" s="1159" t="n">
        <f aca="false">IF(AND(дома!$AA$29&gt;=AJ192,дома!$AA$29&lt;=AI192),связи1!AG192,0)</f>
        <v>0</v>
      </c>
    </row>
    <row r="193" customFormat="false" ht="15" hidden="false" customHeight="false" outlineLevel="0" collapsed="false">
      <c r="A193" s="1159" t="s">
        <v>2481</v>
      </c>
      <c r="AG193" s="1159" t="n">
        <v>4.4</v>
      </c>
      <c r="AH193" s="1193" t="n">
        <f aca="false">AG193*3.1415926535897/180</f>
        <v>0.0767944870877482</v>
      </c>
      <c r="AI193" s="1193" t="n">
        <f aca="false">AH193+0.0005</f>
        <v>0.0772944870877482</v>
      </c>
      <c r="AJ193" s="1193" t="n">
        <f aca="false">AH193-0.0005</f>
        <v>0.0762944870877482</v>
      </c>
      <c r="AK193" s="1159" t="n">
        <f aca="false">IF(AND(дома!$Z$29&gt;=AJ193,дома!$Z$29&lt;=AI193),связи1!AG193,0)</f>
        <v>0</v>
      </c>
      <c r="AL193" s="1159" t="n">
        <f aca="false">IF(AND(дома!$AA$29&gt;=AJ193,дома!$AA$29&lt;=AI193),связи1!AG193,0)</f>
        <v>0</v>
      </c>
    </row>
    <row r="194" customFormat="false" ht="15" hidden="false" customHeight="false" outlineLevel="0" collapsed="false">
      <c r="A194" s="1159" t="s">
        <v>2483</v>
      </c>
      <c r="AG194" s="1159" t="n">
        <v>4.5</v>
      </c>
      <c r="AH194" s="1193" t="n">
        <f aca="false">AG194*3.1415926535897/180</f>
        <v>0.0785398163397425</v>
      </c>
      <c r="AI194" s="1193" t="n">
        <f aca="false">AH194+0.0005</f>
        <v>0.0790398163397425</v>
      </c>
      <c r="AJ194" s="1193" t="n">
        <f aca="false">AH194-0.0005</f>
        <v>0.0780398163397425</v>
      </c>
      <c r="AK194" s="1159" t="n">
        <f aca="false">IF(AND(дома!$Z$29&gt;=AJ194,дома!$Z$29&lt;=AI194),связи1!AG194,0)</f>
        <v>0</v>
      </c>
      <c r="AL194" s="1159" t="n">
        <f aca="false">IF(AND(дома!$AA$29&gt;=AJ194,дома!$AA$29&lt;=AI194),связи1!AG194,0)</f>
        <v>0</v>
      </c>
    </row>
    <row r="195" customFormat="false" ht="15" hidden="false" customHeight="false" outlineLevel="0" collapsed="false">
      <c r="A195" s="1159" t="s">
        <v>2488</v>
      </c>
      <c r="AG195" s="1159" t="n">
        <v>4.6</v>
      </c>
      <c r="AH195" s="1193" t="n">
        <f aca="false">AG195*3.1415926535897/180</f>
        <v>0.0802851455917368</v>
      </c>
      <c r="AI195" s="1193" t="n">
        <f aca="false">AH195+0.0005</f>
        <v>0.0807851455917368</v>
      </c>
      <c r="AJ195" s="1193" t="n">
        <f aca="false">AH195-0.0005</f>
        <v>0.0797851455917368</v>
      </c>
      <c r="AK195" s="1159" t="n">
        <f aca="false">IF(AND(дома!$Z$29&gt;=AJ195,дома!$Z$29&lt;=AI195),связи1!AG195,0)</f>
        <v>0</v>
      </c>
      <c r="AL195" s="1159" t="n">
        <f aca="false">IF(AND(дома!$AA$29&gt;=AJ195,дома!$AA$29&lt;=AI195),связи1!AG195,0)</f>
        <v>0</v>
      </c>
    </row>
    <row r="196" customFormat="false" ht="15" hidden="false" customHeight="false" outlineLevel="0" collapsed="false">
      <c r="A196" s="1159" t="s">
        <v>2489</v>
      </c>
      <c r="AG196" s="1159" t="n">
        <v>4.7</v>
      </c>
      <c r="AH196" s="1193" t="n">
        <f aca="false">AG196*3.1415926535897/180</f>
        <v>0.0820304748437311</v>
      </c>
      <c r="AI196" s="1193" t="n">
        <f aca="false">AH196+0.0005</f>
        <v>0.0825304748437311</v>
      </c>
      <c r="AJ196" s="1193" t="n">
        <f aca="false">AH196-0.0005</f>
        <v>0.0815304748437311</v>
      </c>
      <c r="AK196" s="1159" t="n">
        <f aca="false">IF(AND(дома!$Z$29&gt;=AJ196,дома!$Z$29&lt;=AI196),связи1!AG196,0)</f>
        <v>0</v>
      </c>
      <c r="AL196" s="1159" t="n">
        <f aca="false">IF(AND(дома!$AA$29&gt;=AJ196,дома!$AA$29&lt;=AI196),связи1!AG196,0)</f>
        <v>0</v>
      </c>
    </row>
    <row r="197" customFormat="false" ht="15" hidden="false" customHeight="false" outlineLevel="0" collapsed="false">
      <c r="I197" s="1158" t="s">
        <v>2490</v>
      </c>
      <c r="AG197" s="1159" t="n">
        <v>4.8</v>
      </c>
      <c r="AH197" s="1193" t="n">
        <f aca="false">AG197*3.1415926535897/180</f>
        <v>0.0837758040957253</v>
      </c>
      <c r="AI197" s="1193" t="n">
        <f aca="false">AH197+0.0005</f>
        <v>0.0842758040957253</v>
      </c>
      <c r="AJ197" s="1193" t="n">
        <f aca="false">AH197-0.0005</f>
        <v>0.0832758040957253</v>
      </c>
      <c r="AK197" s="1159" t="n">
        <f aca="false">IF(AND(дома!$Z$29&gt;=AJ197,дома!$Z$29&lt;=AI197),связи1!AG197,0)</f>
        <v>0</v>
      </c>
      <c r="AL197" s="1159" t="n">
        <f aca="false">IF(AND(дома!$AA$29&gt;=AJ197,дома!$AA$29&lt;=AI197),связи1!AG197,0)</f>
        <v>0</v>
      </c>
    </row>
    <row r="198" customFormat="false" ht="15" hidden="false" customHeight="false" outlineLevel="0" collapsed="false">
      <c r="A198" s="1159" t="s">
        <v>2374</v>
      </c>
      <c r="B198" s="1159" t="str">
        <f aca="false">A198</f>
        <v>Нет перекрытия</v>
      </c>
      <c r="C198" s="1159" t="s">
        <v>2491</v>
      </c>
      <c r="D198" s="1159" t="s">
        <v>482</v>
      </c>
      <c r="I198" s="1159" t="s">
        <v>42</v>
      </c>
      <c r="J198" s="1159"/>
      <c r="K198" s="1159"/>
      <c r="AG198" s="1159" t="n">
        <v>4.9</v>
      </c>
      <c r="AH198" s="1193" t="n">
        <f aca="false">AG198*3.1415926535897/180</f>
        <v>0.0855211333477196</v>
      </c>
      <c r="AI198" s="1193" t="n">
        <f aca="false">AH198+0.0005</f>
        <v>0.0860211333477196</v>
      </c>
      <c r="AJ198" s="1193" t="n">
        <f aca="false">AH198-0.0005</f>
        <v>0.0850211333477196</v>
      </c>
      <c r="AK198" s="1159" t="n">
        <f aca="false">IF(AND(дома!$Z$29&gt;=AJ198,дома!$Z$29&lt;=AI198),связи1!AG198,0)</f>
        <v>0</v>
      </c>
      <c r="AL198" s="1159" t="n">
        <f aca="false">IF(AND(дома!$AA$29&gt;=AJ198,дома!$AA$29&lt;=AI198),связи1!AG198,0)</f>
        <v>0</v>
      </c>
    </row>
    <row r="199" customFormat="false" ht="15" hidden="false" customHeight="false" outlineLevel="0" collapsed="false">
      <c r="A199" s="1159" t="str">
        <f aca="false">'Прайс лист'!B275</f>
        <v>Sip панель 2500*625*124мм</v>
      </c>
      <c r="B199" s="1159" t="str">
        <f aca="false">A199</f>
        <v>Sip панель 2500*625*124мм</v>
      </c>
      <c r="C199" s="1159" t="n">
        <v>0.124</v>
      </c>
      <c r="D199" s="1180" t="n">
        <f aca="false">'Прайс лист'!G275</f>
        <v>800</v>
      </c>
      <c r="I199" s="1159" t="s">
        <v>449</v>
      </c>
      <c r="J199" s="1159"/>
      <c r="K199" s="1159"/>
      <c r="AG199" s="1159" t="n">
        <v>5</v>
      </c>
      <c r="AH199" s="1193" t="n">
        <f aca="false">AG199*3.1415926535897/180</f>
        <v>0.0872664625997139</v>
      </c>
      <c r="AI199" s="1193" t="n">
        <f aca="false">AH199+0.0005</f>
        <v>0.0877664625997139</v>
      </c>
      <c r="AJ199" s="1193" t="n">
        <f aca="false">AH199-0.0005</f>
        <v>0.0867664625997139</v>
      </c>
      <c r="AK199" s="1159" t="n">
        <f aca="false">IF(AND(дома!$Z$29&gt;=AJ199,дома!$Z$29&lt;=AI199),связи1!AG199,0)</f>
        <v>0</v>
      </c>
      <c r="AL199" s="1159" t="n">
        <f aca="false">IF(AND(дома!$AA$29&gt;=AJ199,дома!$AA$29&lt;=AI199),связи1!AG199,0)</f>
        <v>0</v>
      </c>
    </row>
    <row r="200" customFormat="false" ht="15" hidden="false" customHeight="false" outlineLevel="0" collapsed="false">
      <c r="A200" s="1159" t="str">
        <f aca="false">'Прайс лист'!B276</f>
        <v>Sip панель 2500*625*174мм</v>
      </c>
      <c r="B200" s="1159" t="str">
        <f aca="false">A200</f>
        <v>Sip панель 2500*625*174мм</v>
      </c>
      <c r="C200" s="1159" t="n">
        <v>0.174</v>
      </c>
      <c r="D200" s="1180" t="n">
        <f aca="false">'Прайс лист'!G276</f>
        <v>1200</v>
      </c>
      <c r="I200" s="1159" t="s">
        <v>2492</v>
      </c>
      <c r="J200" s="1159"/>
      <c r="K200" s="1159"/>
      <c r="AG200" s="1159" t="n">
        <v>5.1</v>
      </c>
      <c r="AH200" s="1193" t="n">
        <f aca="false">AG200*3.1415926535897/180</f>
        <v>0.0890117918517081</v>
      </c>
      <c r="AI200" s="1193" t="n">
        <f aca="false">AH200+0.0005</f>
        <v>0.0895117918517082</v>
      </c>
      <c r="AJ200" s="1193" t="n">
        <f aca="false">AH200-0.0005</f>
        <v>0.0885117918517082</v>
      </c>
      <c r="AK200" s="1159" t="n">
        <f aca="false">IF(AND(дома!$Z$29&gt;=AJ200,дома!$Z$29&lt;=AI200),связи1!AG200,0)</f>
        <v>0</v>
      </c>
      <c r="AL200" s="1159" t="n">
        <f aca="false">IF(AND(дома!$AA$29&gt;=AJ200,дома!$AA$29&lt;=AI200),связи1!AG200,0)</f>
        <v>0</v>
      </c>
    </row>
    <row r="201" customFormat="false" ht="15" hidden="false" customHeight="false" outlineLevel="0" collapsed="false">
      <c r="A201" s="1159" t="str">
        <f aca="false">'Прайс лист'!B277</f>
        <v>Sip панель 2500*625*224мм</v>
      </c>
      <c r="B201" s="1159" t="str">
        <f aca="false">A201</f>
        <v>Sip панель 2500*625*224мм</v>
      </c>
      <c r="C201" s="1159" t="n">
        <v>0.224</v>
      </c>
      <c r="D201" s="1180" t="n">
        <f aca="false">'Прайс лист'!G277</f>
        <v>1400</v>
      </c>
      <c r="F201" s="1159" t="s">
        <v>101</v>
      </c>
      <c r="G201" s="1159" t="n">
        <v>0</v>
      </c>
      <c r="H201" s="1159" t="n">
        <v>0</v>
      </c>
      <c r="AG201" s="1159" t="n">
        <v>5.2</v>
      </c>
      <c r="AH201" s="1193" t="n">
        <f aca="false">AG201*3.1415926535897/180</f>
        <v>0.0907571211037024</v>
      </c>
      <c r="AI201" s="1193" t="n">
        <f aca="false">AH201+0.0005</f>
        <v>0.0912571211037024</v>
      </c>
      <c r="AJ201" s="1193" t="n">
        <f aca="false">AH201-0.0005</f>
        <v>0.0902571211037025</v>
      </c>
      <c r="AK201" s="1159" t="n">
        <f aca="false">IF(AND(дома!$Z$29&gt;=AJ201,дома!$Z$29&lt;=AI201),связи1!AG201,0)</f>
        <v>0</v>
      </c>
      <c r="AL201" s="1159" t="n">
        <f aca="false">IF(AND(дома!$AA$29&gt;=AJ201,дома!$AA$29&lt;=AI201),связи1!AG201,0)</f>
        <v>0</v>
      </c>
    </row>
    <row r="202" customFormat="false" ht="15" hidden="false" customHeight="false" outlineLevel="0" collapsed="false">
      <c r="A202" s="1159" t="s">
        <v>2493</v>
      </c>
      <c r="B202" s="1159" t="str">
        <f aca="false">A202</f>
        <v>Брус естественной влажности, 200*100мм</v>
      </c>
      <c r="C202" s="1159" t="n">
        <v>200</v>
      </c>
      <c r="D202" s="1159" t="n">
        <f aca="false">'Прайс лист'!G354</f>
        <v>6500</v>
      </c>
      <c r="E202" s="1163" t="n">
        <f aca="false">0.2*0.1</f>
        <v>0.02</v>
      </c>
      <c r="F202" s="1159" t="s">
        <v>2493</v>
      </c>
      <c r="G202" s="1159" t="n">
        <f aca="false">D202</f>
        <v>6500</v>
      </c>
      <c r="H202" s="1159" t="n">
        <f aca="false">E202</f>
        <v>0.02</v>
      </c>
      <c r="AG202" s="1159" t="n">
        <v>5.3</v>
      </c>
      <c r="AH202" s="1193" t="n">
        <f aca="false">AG202*3.1415926535897/180</f>
        <v>0.0925024503556967</v>
      </c>
      <c r="AI202" s="1193" t="n">
        <f aca="false">AH202+0.0005</f>
        <v>0.0930024503556967</v>
      </c>
      <c r="AJ202" s="1193" t="n">
        <f aca="false">AH202-0.0005</f>
        <v>0.0920024503556967</v>
      </c>
      <c r="AK202" s="1159" t="n">
        <f aca="false">IF(AND(дома!$Z$29&gt;=AJ202,дома!$Z$29&lt;=AI202),связи1!AG202,0)</f>
        <v>0</v>
      </c>
      <c r="AL202" s="1159" t="n">
        <f aca="false">IF(AND(дома!$AA$29&gt;=AJ202,дома!$AA$29&lt;=AI202),связи1!AG202,0)</f>
        <v>0</v>
      </c>
    </row>
    <row r="203" customFormat="false" ht="15" hidden="false" customHeight="false" outlineLevel="0" collapsed="false">
      <c r="A203" s="1159" t="s">
        <v>2494</v>
      </c>
      <c r="B203" s="1159" t="str">
        <f aca="false">A203</f>
        <v>Брус естественной влажности, 150*100мм</v>
      </c>
      <c r="C203" s="1159" t="n">
        <v>150</v>
      </c>
      <c r="D203" s="1159" t="n">
        <f aca="false">'Прайс лист'!G359</f>
        <v>6500</v>
      </c>
      <c r="E203" s="1163" t="n">
        <f aca="false">0.15*0.1</f>
        <v>0.015</v>
      </c>
      <c r="F203" s="1159" t="s">
        <v>2494</v>
      </c>
      <c r="G203" s="1159" t="n">
        <f aca="false">D203</f>
        <v>6500</v>
      </c>
      <c r="H203" s="1159" t="n">
        <f aca="false">E203</f>
        <v>0.015</v>
      </c>
      <c r="AG203" s="1159" t="n">
        <v>5.4</v>
      </c>
      <c r="AH203" s="1193" t="n">
        <f aca="false">AG203*3.1415926535897/180</f>
        <v>0.094247779607691</v>
      </c>
      <c r="AI203" s="1193" t="n">
        <f aca="false">AH203+0.0005</f>
        <v>0.094747779607691</v>
      </c>
      <c r="AJ203" s="1193" t="n">
        <f aca="false">AH203-0.0005</f>
        <v>0.093747779607691</v>
      </c>
      <c r="AK203" s="1159" t="n">
        <f aca="false">IF(AND(дома!$Z$29&gt;=AJ203,дома!$Z$29&lt;=AI203),связи1!AG203,0)</f>
        <v>0</v>
      </c>
      <c r="AL203" s="1159" t="n">
        <f aca="false">IF(AND(дома!$AA$29&gt;=AJ203,дома!$AA$29&lt;=AI203),связи1!AG203,0)</f>
        <v>0</v>
      </c>
    </row>
    <row r="204" customFormat="false" ht="15" hidden="false" customHeight="false" outlineLevel="0" collapsed="false">
      <c r="A204" s="1159" t="s">
        <v>268</v>
      </c>
      <c r="B204" s="1159" t="str">
        <f aca="false">A204</f>
        <v>Брус естественной влажности, 100*100мм</v>
      </c>
      <c r="C204" s="1159" t="n">
        <v>100</v>
      </c>
      <c r="D204" s="1159" t="n">
        <f aca="false">'Прайс лист'!G360</f>
        <v>6500</v>
      </c>
      <c r="E204" s="1163" t="n">
        <f aca="false">0.1*0.1</f>
        <v>0.01</v>
      </c>
      <c r="F204" s="1159" t="s">
        <v>268</v>
      </c>
      <c r="G204" s="1159" t="n">
        <f aca="false">D204</f>
        <v>6500</v>
      </c>
      <c r="H204" s="1159" t="n">
        <f aca="false">E204</f>
        <v>0.01</v>
      </c>
      <c r="AG204" s="1159" t="n">
        <v>5.5</v>
      </c>
      <c r="AH204" s="1193" t="n">
        <f aca="false">AG204*3.1415926535897/180</f>
        <v>0.0959931088596853</v>
      </c>
      <c r="AI204" s="1193" t="n">
        <f aca="false">AH204+0.0005</f>
        <v>0.0964931088596853</v>
      </c>
      <c r="AJ204" s="1193" t="n">
        <f aca="false">AH204-0.0005</f>
        <v>0.0954931088596853</v>
      </c>
      <c r="AK204" s="1159" t="n">
        <f aca="false">IF(AND(дома!$Z$29&gt;=AJ204,дома!$Z$29&lt;=AI204),связи1!AG204,0)</f>
        <v>0</v>
      </c>
      <c r="AL204" s="1159" t="n">
        <f aca="false">IF(AND(дома!$AA$29&gt;=AJ204,дома!$AA$29&lt;=AI204),связи1!AG204,0)</f>
        <v>0</v>
      </c>
    </row>
    <row r="205" customFormat="false" ht="15" hidden="false" customHeight="false" outlineLevel="0" collapsed="false">
      <c r="A205" s="1159" t="s">
        <v>721</v>
      </c>
      <c r="B205" s="1159" t="str">
        <f aca="false">A205</f>
        <v>Брус естественной влажности, 150*150мм</v>
      </c>
      <c r="C205" s="1159" t="n">
        <v>150</v>
      </c>
      <c r="D205" s="1159" t="n">
        <f aca="false">'Прайс лист'!G358</f>
        <v>6500</v>
      </c>
      <c r="E205" s="1163" t="n">
        <f aca="false">0.15*0.15</f>
        <v>0.0225</v>
      </c>
      <c r="F205" s="1159" t="s">
        <v>721</v>
      </c>
      <c r="G205" s="1159" t="n">
        <f aca="false">D205</f>
        <v>6500</v>
      </c>
      <c r="H205" s="1159" t="n">
        <f aca="false">E205</f>
        <v>0.0225</v>
      </c>
      <c r="AG205" s="1159" t="n">
        <v>5.6</v>
      </c>
      <c r="AH205" s="1193" t="n">
        <f aca="false">AG205*3.1415926535897/180</f>
        <v>0.0977384381116796</v>
      </c>
      <c r="AI205" s="1193" t="n">
        <f aca="false">AH205+0.0005</f>
        <v>0.0982384381116795</v>
      </c>
      <c r="AJ205" s="1193" t="n">
        <f aca="false">AH205-0.0005</f>
        <v>0.0972384381116795</v>
      </c>
      <c r="AK205" s="1159" t="n">
        <f aca="false">IF(AND(дома!$Z$29&gt;=AJ205,дома!$Z$29&lt;=AI205),связи1!AG205,0)</f>
        <v>0</v>
      </c>
      <c r="AL205" s="1159" t="n">
        <f aca="false">IF(AND(дома!$AA$29&gt;=AJ205,дома!$AA$29&lt;=AI205),связи1!AG205,0)</f>
        <v>0</v>
      </c>
    </row>
    <row r="206" customFormat="false" ht="15" hidden="false" customHeight="false" outlineLevel="0" collapsed="false">
      <c r="A206" s="1159" t="s">
        <v>363</v>
      </c>
      <c r="B206" s="1159" t="str">
        <f aca="false">A206</f>
        <v>Доска естественной влажности, 200*50мм</v>
      </c>
      <c r="C206" s="1159" t="n">
        <v>200</v>
      </c>
      <c r="D206" s="1159" t="n">
        <f aca="false">'Прайс лист'!G298</f>
        <v>6500</v>
      </c>
      <c r="E206" s="1163" t="n">
        <f aca="false">0.2*0.05</f>
        <v>0.01</v>
      </c>
      <c r="F206" s="1159" t="s">
        <v>363</v>
      </c>
      <c r="G206" s="1159" t="n">
        <f aca="false">D206</f>
        <v>6500</v>
      </c>
      <c r="H206" s="1159" t="n">
        <f aca="false">E206</f>
        <v>0.01</v>
      </c>
      <c r="AG206" s="1159" t="n">
        <v>5.8</v>
      </c>
      <c r="AH206" s="1193" t="n">
        <f aca="false">AG206*3.1415926535897/180</f>
        <v>0.101229096615668</v>
      </c>
      <c r="AI206" s="1193" t="n">
        <f aca="false">AH206+0.0005</f>
        <v>0.101729096615668</v>
      </c>
      <c r="AJ206" s="1193" t="n">
        <f aca="false">AH206-0.0005</f>
        <v>0.100729096615668</v>
      </c>
      <c r="AK206" s="1159" t="n">
        <f aca="false">IF(AND(дома!$Z$29&gt;=AJ206,дома!$Z$29&lt;=AI206),связи1!AG206,0)</f>
        <v>0</v>
      </c>
      <c r="AL206" s="1159" t="n">
        <f aca="false">IF(AND(дома!$AA$29&gt;=AJ206,дома!$AA$29&lt;=AI206),связи1!AG206,0)</f>
        <v>0</v>
      </c>
    </row>
    <row r="207" customFormat="false" ht="15" hidden="false" customHeight="false" outlineLevel="0" collapsed="false">
      <c r="A207" s="1159" t="s">
        <v>2495</v>
      </c>
      <c r="B207" s="1159" t="str">
        <f aca="false">A207</f>
        <v>Доска естественной влажности, 150*50мм</v>
      </c>
      <c r="C207" s="1159" t="n">
        <v>150</v>
      </c>
      <c r="D207" s="1159" t="n">
        <f aca="false">'Прайс лист'!G300</f>
        <v>6500</v>
      </c>
      <c r="E207" s="1163" t="n">
        <f aca="false">0.15*0.05</f>
        <v>0.0075</v>
      </c>
      <c r="F207" s="1159" t="s">
        <v>2495</v>
      </c>
      <c r="G207" s="1159" t="n">
        <f aca="false">D207</f>
        <v>6500</v>
      </c>
      <c r="H207" s="1159" t="n">
        <f aca="false">E207</f>
        <v>0.0075</v>
      </c>
      <c r="AG207" s="1159" t="n">
        <v>5.9</v>
      </c>
      <c r="AH207" s="1193" t="n">
        <f aca="false">AG207*3.1415926535897/180</f>
        <v>0.102974425867662</v>
      </c>
      <c r="AI207" s="1193" t="n">
        <f aca="false">AH207+0.0005</f>
        <v>0.103474425867662</v>
      </c>
      <c r="AJ207" s="1193" t="n">
        <f aca="false">AH207-0.0005</f>
        <v>0.102474425867662</v>
      </c>
      <c r="AK207" s="1159" t="n">
        <f aca="false">IF(AND(дома!$Z$29&gt;=AJ207,дома!$Z$29&lt;=AI207),связи1!AG207,0)</f>
        <v>0</v>
      </c>
      <c r="AL207" s="1159" t="n">
        <f aca="false">IF(AND(дома!$AA$29&gt;=AJ207,дома!$AA$29&lt;=AI207),связи1!AG207,0)</f>
        <v>0</v>
      </c>
    </row>
    <row r="208" customFormat="false" ht="15" hidden="false" customHeight="false" outlineLevel="0" collapsed="false">
      <c r="A208" s="1159" t="s">
        <v>42</v>
      </c>
      <c r="B208" s="1159" t="str">
        <f aca="false">A208</f>
        <v>Доска сухая, 200*50мм</v>
      </c>
      <c r="C208" s="1159" t="n">
        <v>200</v>
      </c>
      <c r="D208" s="1159" t="n">
        <f aca="false">'Прайс лист'!G323</f>
        <v>9000</v>
      </c>
      <c r="E208" s="1163" t="n">
        <f aca="false">0.2*0.05</f>
        <v>0.01</v>
      </c>
      <c r="F208" s="1159" t="s">
        <v>42</v>
      </c>
      <c r="G208" s="1159" t="n">
        <f aca="false">D208</f>
        <v>9000</v>
      </c>
      <c r="H208" s="1159" t="n">
        <f aca="false">E208</f>
        <v>0.01</v>
      </c>
      <c r="AG208" s="1159" t="n">
        <v>6</v>
      </c>
      <c r="AH208" s="1193" t="n">
        <f aca="false">AG208*3.1415926535897/180</f>
        <v>0.104719755119657</v>
      </c>
      <c r="AI208" s="1193" t="n">
        <f aca="false">AH208+0.0005</f>
        <v>0.105219755119657</v>
      </c>
      <c r="AJ208" s="1193" t="n">
        <f aca="false">AH208-0.0005</f>
        <v>0.104219755119657</v>
      </c>
      <c r="AK208" s="1159" t="n">
        <f aca="false">IF(AND(дома!$Z$29&gt;=AJ208,дома!$Z$29&lt;=AI208),связи1!AG208,0)</f>
        <v>0</v>
      </c>
      <c r="AL208" s="1159" t="n">
        <f aca="false">IF(AND(дома!$AA$29&gt;=AJ208,дома!$AA$29&lt;=AI208),связи1!AG208,0)</f>
        <v>0</v>
      </c>
    </row>
    <row r="209" customFormat="false" ht="15" hidden="false" customHeight="false" outlineLevel="0" collapsed="false">
      <c r="A209" s="1159" t="s">
        <v>449</v>
      </c>
      <c r="B209" s="1159" t="str">
        <f aca="false">A209</f>
        <v>Доска сухая, 150*50мм</v>
      </c>
      <c r="C209" s="1159" t="n">
        <v>150</v>
      </c>
      <c r="D209" s="1159" t="n">
        <f aca="false">'Прайс лист'!G325</f>
        <v>9000</v>
      </c>
      <c r="E209" s="1163" t="n">
        <f aca="false">0.15*0.05</f>
        <v>0.0075</v>
      </c>
      <c r="F209" s="1159" t="s">
        <v>449</v>
      </c>
      <c r="G209" s="1159" t="n">
        <f aca="false">D209</f>
        <v>9000</v>
      </c>
      <c r="H209" s="1159" t="n">
        <f aca="false">E209</f>
        <v>0.0075</v>
      </c>
      <c r="AG209" s="1159" t="n">
        <v>6.1</v>
      </c>
      <c r="AH209" s="1193" t="n">
        <f aca="false">AG209*3.1415926535897/180</f>
        <v>0.106465084371651</v>
      </c>
      <c r="AI209" s="1193" t="n">
        <f aca="false">AH209+0.0005</f>
        <v>0.106965084371651</v>
      </c>
      <c r="AJ209" s="1193" t="n">
        <f aca="false">AH209-0.0005</f>
        <v>0.105965084371651</v>
      </c>
      <c r="AK209" s="1159" t="n">
        <f aca="false">IF(AND(дома!$Z$29&gt;=AJ209,дома!$Z$29&lt;=AI209),связи1!AG209,0)</f>
        <v>0</v>
      </c>
      <c r="AL209" s="1159" t="n">
        <f aca="false">IF(AND(дома!$AA$29&gt;=AJ209,дома!$AA$29&lt;=AI209),связи1!AG209,0)</f>
        <v>0</v>
      </c>
    </row>
    <row r="210" customFormat="false" ht="15" hidden="false" customHeight="false" outlineLevel="0" collapsed="false">
      <c r="A210" s="1159" t="s">
        <v>326</v>
      </c>
      <c r="B210" s="1159" t="str">
        <f aca="false">A210</f>
        <v>Доска сухая калиброванная, 190*45мм</v>
      </c>
      <c r="C210" s="1159" t="n">
        <v>190</v>
      </c>
      <c r="D210" s="1159" t="n">
        <f aca="false">'Прайс лист'!G315</f>
        <v>12500</v>
      </c>
      <c r="E210" s="1163" t="n">
        <f aca="false">0.19*0.045</f>
        <v>0.00855</v>
      </c>
      <c r="F210" s="1159" t="s">
        <v>326</v>
      </c>
      <c r="G210" s="1159" t="n">
        <f aca="false">D210</f>
        <v>12500</v>
      </c>
      <c r="H210" s="1159" t="n">
        <f aca="false">E210</f>
        <v>0.00855</v>
      </c>
      <c r="AG210" s="1159" t="n">
        <v>6.2</v>
      </c>
      <c r="AH210" s="1193" t="n">
        <f aca="false">AG210*3.1415926535897/180</f>
        <v>0.108210413623645</v>
      </c>
      <c r="AI210" s="1193" t="n">
        <f aca="false">AH210+0.0005</f>
        <v>0.108710413623645</v>
      </c>
      <c r="AJ210" s="1193" t="n">
        <f aca="false">AH210-0.0005</f>
        <v>0.107710413623645</v>
      </c>
      <c r="AK210" s="1159" t="n">
        <f aca="false">IF(AND(дома!$Z$29&gt;=AJ210,дома!$Z$29&lt;=AI210),связи1!AG210,0)</f>
        <v>0</v>
      </c>
      <c r="AL210" s="1159" t="n">
        <f aca="false">IF(AND(дома!$AA$29&gt;=AJ210,дома!$AA$29&lt;=AI210),связи1!AG210,0)</f>
        <v>0</v>
      </c>
    </row>
    <row r="211" customFormat="false" ht="15" hidden="false" customHeight="false" outlineLevel="0" collapsed="false">
      <c r="A211" s="1159" t="s">
        <v>736</v>
      </c>
      <c r="B211" s="1159" t="str">
        <f aca="false">A211</f>
        <v>Доска сухая калиброванная, 145*45мм</v>
      </c>
      <c r="C211" s="1159" t="n">
        <v>145</v>
      </c>
      <c r="D211" s="1159" t="n">
        <f aca="false">'Прайс лист'!G316</f>
        <v>12500</v>
      </c>
      <c r="E211" s="1163" t="n">
        <f aca="false">0.145*0.045</f>
        <v>0.006525</v>
      </c>
      <c r="F211" s="1159" t="s">
        <v>736</v>
      </c>
      <c r="G211" s="1159" t="n">
        <f aca="false">D211</f>
        <v>12500</v>
      </c>
      <c r="H211" s="1159" t="n">
        <f aca="false">E211</f>
        <v>0.006525</v>
      </c>
      <c r="AG211" s="1159" t="n">
        <v>6.3</v>
      </c>
      <c r="AH211" s="1193" t="n">
        <f aca="false">AG211*3.1415926535897/180</f>
        <v>0.109955742875639</v>
      </c>
      <c r="AI211" s="1193" t="n">
        <f aca="false">AH211+0.0005</f>
        <v>0.110455742875639</v>
      </c>
      <c r="AJ211" s="1193" t="n">
        <f aca="false">AH211-0.0005</f>
        <v>0.109455742875639</v>
      </c>
      <c r="AK211" s="1159" t="n">
        <f aca="false">IF(AND(дома!$Z$29&gt;=AJ211,дома!$Z$29&lt;=AI211),связи1!AG211,0)</f>
        <v>0</v>
      </c>
      <c r="AL211" s="1159" t="n">
        <f aca="false">IF(AND(дома!$AA$29&gt;=AJ211,дома!$AA$29&lt;=AI211),связи1!AG211,0)</f>
        <v>0</v>
      </c>
    </row>
    <row r="212" customFormat="false" ht="15" hidden="false" customHeight="false" outlineLevel="0" collapsed="false">
      <c r="A212" s="1159" t="s">
        <v>2496</v>
      </c>
      <c r="B212" s="1159" t="str">
        <f aca="false">A212</f>
        <v>Монолит, бетон, 300мм, 2 слоя</v>
      </c>
      <c r="C212" s="1159" t="n">
        <v>300</v>
      </c>
      <c r="D212" s="1159"/>
      <c r="AG212" s="1159" t="n">
        <v>6.4</v>
      </c>
      <c r="AH212" s="1193" t="n">
        <f aca="false">AG212*3.1415926535897/180</f>
        <v>0.111701072127634</v>
      </c>
      <c r="AI212" s="1193" t="n">
        <f aca="false">AH212+0.0005</f>
        <v>0.112201072127634</v>
      </c>
      <c r="AJ212" s="1193" t="n">
        <f aca="false">AH212-0.0005</f>
        <v>0.111201072127634</v>
      </c>
      <c r="AK212" s="1159" t="n">
        <f aca="false">IF(AND(дома!$Z$29&gt;=AJ212,дома!$Z$29&lt;=AI212),связи1!AG212,0)</f>
        <v>0</v>
      </c>
      <c r="AL212" s="1159" t="n">
        <f aca="false">IF(AND(дома!$AA$29&gt;=AJ212,дома!$AA$29&lt;=AI212),связи1!AG212,0)</f>
        <v>0</v>
      </c>
    </row>
    <row r="213" customFormat="false" ht="15" hidden="false" customHeight="false" outlineLevel="0" collapsed="false">
      <c r="A213" s="1159" t="s">
        <v>2497</v>
      </c>
      <c r="B213" s="1159" t="str">
        <f aca="false">A213</f>
        <v>Монолит, бетон, 300мм, 1 слой</v>
      </c>
      <c r="C213" s="1159" t="n">
        <v>300</v>
      </c>
      <c r="D213" s="1159"/>
      <c r="AG213" s="1159" t="n">
        <v>6.50000000000001</v>
      </c>
      <c r="AH213" s="1193" t="n">
        <f aca="false">AG213*3.1415926535897/180</f>
        <v>0.113446401379628</v>
      </c>
      <c r="AI213" s="1193" t="n">
        <f aca="false">AH213+0.0005</f>
        <v>0.113946401379628</v>
      </c>
      <c r="AJ213" s="1193" t="n">
        <f aca="false">AH213-0.0005</f>
        <v>0.112946401379628</v>
      </c>
      <c r="AK213" s="1159" t="n">
        <f aca="false">IF(AND(дома!$Z$29&gt;=AJ213,дома!$Z$29&lt;=AI213),связи1!AG213,0)</f>
        <v>0</v>
      </c>
      <c r="AL213" s="1159" t="n">
        <f aca="false">IF(AND(дома!$AA$29&gt;=AJ213,дома!$AA$29&lt;=AI213),связи1!AG213,0)</f>
        <v>0</v>
      </c>
    </row>
    <row r="214" customFormat="false" ht="15" hidden="false" customHeight="false" outlineLevel="0" collapsed="false">
      <c r="A214" s="1159" t="s">
        <v>2498</v>
      </c>
      <c r="B214" s="1159" t="str">
        <f aca="false">A214</f>
        <v>Монолит, бетон, 250мм, 2 слоя</v>
      </c>
      <c r="C214" s="1159" t="n">
        <v>300</v>
      </c>
      <c r="D214" s="1159"/>
      <c r="AG214" s="1159" t="n">
        <v>6.6</v>
      </c>
      <c r="AH214" s="1193" t="n">
        <f aca="false">AG214*3.1415926535897/180</f>
        <v>0.115191730631622</v>
      </c>
      <c r="AI214" s="1193" t="n">
        <f aca="false">AH214+0.0005</f>
        <v>0.115691730631622</v>
      </c>
      <c r="AJ214" s="1193" t="n">
        <f aca="false">AH214-0.0005</f>
        <v>0.114691730631622</v>
      </c>
      <c r="AK214" s="1159" t="n">
        <f aca="false">IF(AND(дома!$Z$29&gt;=AJ214,дома!$Z$29&lt;=AI214),связи1!AG214,0)</f>
        <v>0</v>
      </c>
      <c r="AL214" s="1159" t="n">
        <f aca="false">IF(AND(дома!$AA$29&gt;=AJ214,дома!$AA$29&lt;=AI214),связи1!AG214,0)</f>
        <v>0</v>
      </c>
    </row>
    <row r="215" customFormat="false" ht="15" hidden="false" customHeight="false" outlineLevel="0" collapsed="false">
      <c r="A215" s="1159" t="s">
        <v>2499</v>
      </c>
      <c r="B215" s="1159" t="str">
        <f aca="false">A215</f>
        <v>Монолит, бетон, 250мм, 1 слой</v>
      </c>
      <c r="C215" s="1159" t="n">
        <v>300</v>
      </c>
      <c r="D215" s="1159"/>
      <c r="AG215" s="1159" t="n">
        <v>6.7</v>
      </c>
      <c r="AH215" s="1193" t="n">
        <f aca="false">AG215*3.1415926535897/180</f>
        <v>0.116937059883617</v>
      </c>
      <c r="AI215" s="1193" t="n">
        <f aca="false">AH215+0.0005</f>
        <v>0.117437059883617</v>
      </c>
      <c r="AJ215" s="1193" t="n">
        <f aca="false">AH215-0.0005</f>
        <v>0.116437059883617</v>
      </c>
      <c r="AK215" s="1159" t="n">
        <f aca="false">IF(AND(дома!$Z$29&gt;=AJ215,дома!$Z$29&lt;=AI215),связи1!AG215,0)</f>
        <v>0</v>
      </c>
      <c r="AL215" s="1159" t="n">
        <f aca="false">IF(AND(дома!$AA$29&gt;=AJ215,дома!$AA$29&lt;=AI215),связи1!AG215,0)</f>
        <v>0</v>
      </c>
    </row>
    <row r="216" customFormat="false" ht="15" hidden="false" customHeight="false" outlineLevel="0" collapsed="false">
      <c r="A216" s="1159" t="s">
        <v>38</v>
      </c>
      <c r="B216" s="1159" t="str">
        <f aca="false">A216</f>
        <v>Монолит, бетон, 200мм, 2 слоя</v>
      </c>
      <c r="C216" s="1159" t="n">
        <v>300</v>
      </c>
      <c r="D216" s="1159"/>
      <c r="AG216" s="1159" t="n">
        <v>6.80000000000001</v>
      </c>
      <c r="AH216" s="1193" t="n">
        <f aca="false">AG216*3.1415926535897/180</f>
        <v>0.118682389135611</v>
      </c>
      <c r="AI216" s="1193" t="n">
        <f aca="false">AH216+0.0005</f>
        <v>0.119182389135611</v>
      </c>
      <c r="AJ216" s="1193" t="n">
        <f aca="false">AH216-0.0005</f>
        <v>0.118182389135611</v>
      </c>
      <c r="AK216" s="1159" t="n">
        <f aca="false">IF(AND(дома!$Z$29&gt;=AJ216,дома!$Z$29&lt;=AI216),связи1!AG216,0)</f>
        <v>0</v>
      </c>
      <c r="AL216" s="1159" t="n">
        <f aca="false">IF(AND(дома!$AA$29&gt;=AJ216,дома!$AA$29&lt;=AI216),связи1!AG216,0)</f>
        <v>0</v>
      </c>
    </row>
    <row r="217" customFormat="false" ht="15" hidden="false" customHeight="false" outlineLevel="0" collapsed="false">
      <c r="A217" s="1159" t="s">
        <v>2500</v>
      </c>
      <c r="B217" s="1159" t="str">
        <f aca="false">A217</f>
        <v>Монолит, бетон, 200мм, 1 слой</v>
      </c>
      <c r="C217" s="1159" t="n">
        <v>300</v>
      </c>
      <c r="D217" s="1159"/>
      <c r="AG217" s="1159" t="n">
        <v>6.90000000000001</v>
      </c>
      <c r="AH217" s="1193" t="n">
        <f aca="false">AG217*3.1415926535897/180</f>
        <v>0.120427718387605</v>
      </c>
      <c r="AI217" s="1193" t="n">
        <f aca="false">AH217+0.0005</f>
        <v>0.120927718387605</v>
      </c>
      <c r="AJ217" s="1193" t="n">
        <f aca="false">AH217-0.0005</f>
        <v>0.119927718387605</v>
      </c>
      <c r="AK217" s="1159" t="n">
        <f aca="false">IF(AND(дома!$Z$29&gt;=AJ217,дома!$Z$29&lt;=AI217),связи1!AG217,0)</f>
        <v>0</v>
      </c>
      <c r="AL217" s="1159" t="n">
        <f aca="false">IF(AND(дома!$AA$29&gt;=AJ217,дома!$AA$29&lt;=AI217),связи1!AG217,0)</f>
        <v>0</v>
      </c>
    </row>
    <row r="218" customFormat="false" ht="15" hidden="false" customHeight="false" outlineLevel="0" collapsed="false">
      <c r="A218" s="1159" t="s">
        <v>2501</v>
      </c>
      <c r="B218" s="1159" t="str">
        <f aca="false">A218</f>
        <v>Монолит, бетон, 150мм, 2 слоя</v>
      </c>
      <c r="C218" s="1159" t="n">
        <v>250</v>
      </c>
      <c r="D218" s="1159"/>
      <c r="AG218" s="1159" t="n">
        <v>7.00000000000001</v>
      </c>
      <c r="AH218" s="1193" t="n">
        <f aca="false">AG218*3.1415926535897/180</f>
        <v>0.1221730476396</v>
      </c>
      <c r="AI218" s="1193" t="n">
        <f aca="false">AH218+0.0005</f>
        <v>0.1226730476396</v>
      </c>
      <c r="AJ218" s="1193" t="n">
        <f aca="false">AH218-0.0005</f>
        <v>0.1216730476396</v>
      </c>
      <c r="AK218" s="1159" t="n">
        <f aca="false">IF(AND(дома!$Z$29&gt;=AJ218,дома!$Z$29&lt;=AI218),связи1!AG218,0)</f>
        <v>0</v>
      </c>
      <c r="AL218" s="1159" t="n">
        <f aca="false">IF(AND(дома!$AA$29&gt;=AJ218,дома!$AA$29&lt;=AI218),связи1!AG218,0)</f>
        <v>0</v>
      </c>
    </row>
    <row r="219" customFormat="false" ht="15" hidden="false" customHeight="false" outlineLevel="0" collapsed="false">
      <c r="A219" s="1159" t="s">
        <v>2502</v>
      </c>
      <c r="B219" s="1159" t="str">
        <f aca="false">A219</f>
        <v>Монолит, бетон, 150мм, 1 слой</v>
      </c>
      <c r="C219" s="1159" t="n">
        <v>250</v>
      </c>
      <c r="D219" s="1159"/>
      <c r="AG219" s="1159" t="n">
        <v>7.1</v>
      </c>
      <c r="AH219" s="1193" t="n">
        <f aca="false">AG219*3.1415926535897/180</f>
        <v>0.123918376891594</v>
      </c>
      <c r="AI219" s="1193" t="n">
        <f aca="false">AH219+0.0005</f>
        <v>0.124418376891594</v>
      </c>
      <c r="AJ219" s="1193" t="n">
        <f aca="false">AH219-0.0005</f>
        <v>0.123418376891594</v>
      </c>
      <c r="AK219" s="1159" t="n">
        <f aca="false">IF(AND(дома!$Z$29&gt;=AJ219,дома!$Z$29&lt;=AI219),связи1!AG219,0)</f>
        <v>0</v>
      </c>
      <c r="AL219" s="1159" t="n">
        <f aca="false">IF(AND(дома!$AA$29&gt;=AJ219,дома!$AA$29&lt;=AI219),связи1!AG219,0)</f>
        <v>0</v>
      </c>
    </row>
    <row r="220" customFormat="false" ht="15" hidden="false" customHeight="false" outlineLevel="0" collapsed="false">
      <c r="A220" s="1159" t="s">
        <v>1041</v>
      </c>
      <c r="B220" s="1159" t="str">
        <f aca="false">A220</f>
        <v>Плита перекрытия ЖБИ</v>
      </c>
      <c r="C220" s="1159" t="n">
        <v>250</v>
      </c>
      <c r="D220" s="1159"/>
      <c r="AG220" s="1159" t="n">
        <v>7.20000000000001</v>
      </c>
      <c r="AH220" s="1193" t="n">
        <f aca="false">AG220*3.1415926535897/180</f>
        <v>0.125663706143588</v>
      </c>
      <c r="AI220" s="1193" t="n">
        <f aca="false">AH220+0.0005</f>
        <v>0.126163706143588</v>
      </c>
      <c r="AJ220" s="1193" t="n">
        <f aca="false">AH220-0.0005</f>
        <v>0.125163706143588</v>
      </c>
      <c r="AK220" s="1159" t="n">
        <f aca="false">IF(AND(дома!$Z$29&gt;=AJ220,дома!$Z$29&lt;=AI220),связи1!AG220,0)</f>
        <v>0</v>
      </c>
      <c r="AL220" s="1159" t="n">
        <f aca="false">IF(AND(дома!$AA$29&gt;=AJ220,дома!$AA$29&lt;=AI220),связи1!AG220,0)</f>
        <v>0</v>
      </c>
    </row>
    <row r="221" customFormat="false" ht="15" hidden="false" customHeight="false" outlineLevel="0" collapsed="false">
      <c r="A221" s="1159" t="s">
        <v>1124</v>
      </c>
      <c r="B221" s="1159" t="str">
        <f aca="false">A221</f>
        <v>Двутавровая деревянная балка, 400*65мм</v>
      </c>
      <c r="C221" s="1159"/>
      <c r="D221" s="1181" t="n">
        <f aca="false">'Прайс лист'!G281</f>
        <v>303</v>
      </c>
      <c r="AG221" s="1159" t="n">
        <v>7.30000000000001</v>
      </c>
      <c r="AH221" s="1193" t="n">
        <f aca="false">AG221*3.1415926535897/180</f>
        <v>0.127409035395582</v>
      </c>
      <c r="AI221" s="1193" t="n">
        <f aca="false">AH221+0.0005</f>
        <v>0.127909035395582</v>
      </c>
      <c r="AJ221" s="1193" t="n">
        <f aca="false">AH221-0.0005</f>
        <v>0.126909035395582</v>
      </c>
      <c r="AK221" s="1159" t="n">
        <f aca="false">IF(AND(дома!$Z$29&gt;=AJ221,дома!$Z$29&lt;=AI221),связи1!AG221,0)</f>
        <v>0</v>
      </c>
      <c r="AL221" s="1159" t="n">
        <f aca="false">IF(AND(дома!$AA$29&gt;=AJ221,дома!$AA$29&lt;=AI221),связи1!AG221,0)</f>
        <v>0</v>
      </c>
    </row>
    <row r="222" customFormat="false" ht="15" hidden="false" customHeight="false" outlineLevel="0" collapsed="false">
      <c r="A222" s="1159" t="s">
        <v>1125</v>
      </c>
      <c r="B222" s="1159" t="str">
        <f aca="false">A222</f>
        <v>Двутавровая деревянная балка, 400*90мм</v>
      </c>
      <c r="C222" s="1159"/>
      <c r="D222" s="1181" t="n">
        <f aca="false">'Прайс лист'!G282</f>
        <v>355</v>
      </c>
      <c r="AG222" s="1159" t="n">
        <v>7.40000000000001</v>
      </c>
      <c r="AH222" s="1193" t="n">
        <f aca="false">AG222*3.1415926535897/180</f>
        <v>0.129154364647577</v>
      </c>
      <c r="AI222" s="1193" t="n">
        <f aca="false">AH222+0.0005</f>
        <v>0.129654364647577</v>
      </c>
      <c r="AJ222" s="1193" t="n">
        <f aca="false">AH222-0.0005</f>
        <v>0.128654364647577</v>
      </c>
      <c r="AK222" s="1159" t="n">
        <f aca="false">IF(AND(дома!$Z$29&gt;=AJ222,дома!$Z$29&lt;=AI222),связи1!AG222,0)</f>
        <v>0</v>
      </c>
      <c r="AL222" s="1159" t="n">
        <f aca="false">IF(AND(дома!$AA$29&gt;=AJ222,дома!$AA$29&lt;=AI222),связи1!AG222,0)</f>
        <v>0</v>
      </c>
    </row>
    <row r="223" customFormat="false" ht="15" hidden="false" customHeight="false" outlineLevel="0" collapsed="false">
      <c r="A223" s="1159" t="s">
        <v>34</v>
      </c>
      <c r="B223" s="1159" t="str">
        <f aca="false">A223</f>
        <v>Двутавровая деревянная балка, 350*65мм</v>
      </c>
      <c r="C223" s="1159"/>
      <c r="D223" s="1181" t="n">
        <f aca="false">'Прайс лист'!G283</f>
        <v>287</v>
      </c>
      <c r="AG223" s="1159" t="n">
        <v>7.50000000000001</v>
      </c>
      <c r="AH223" s="1193" t="n">
        <f aca="false">AG223*3.1415926535897/180</f>
        <v>0.130899693899571</v>
      </c>
      <c r="AI223" s="1193" t="n">
        <f aca="false">AH223+0.0005</f>
        <v>0.131399693899571</v>
      </c>
      <c r="AJ223" s="1193" t="n">
        <f aca="false">AH223-0.0005</f>
        <v>0.130399693899571</v>
      </c>
      <c r="AK223" s="1159" t="n">
        <f aca="false">IF(AND(дома!$Z$29&gt;=AJ223,дома!$Z$29&lt;=AI223),связи1!AG223,0)</f>
        <v>0</v>
      </c>
      <c r="AL223" s="1159" t="n">
        <f aca="false">IF(AND(дома!$AA$29&gt;=AJ223,дома!$AA$29&lt;=AI223),связи1!AG223,0)</f>
        <v>0</v>
      </c>
    </row>
    <row r="224" customFormat="false" ht="15" hidden="false" customHeight="false" outlineLevel="0" collapsed="false">
      <c r="A224" s="1159" t="s">
        <v>1126</v>
      </c>
      <c r="B224" s="1159" t="str">
        <f aca="false">A224</f>
        <v>Двутавровая деревянная балка, 350*90мм</v>
      </c>
      <c r="C224" s="1159"/>
      <c r="D224" s="1181" t="n">
        <f aca="false">'Прайс лист'!G284</f>
        <v>315</v>
      </c>
      <c r="AG224" s="1159" t="n">
        <v>7.60000000000001</v>
      </c>
      <c r="AH224" s="1193" t="n">
        <f aca="false">AG224*3.1415926535897/180</f>
        <v>0.132645023151565</v>
      </c>
      <c r="AI224" s="1193" t="n">
        <f aca="false">AH224+0.0005</f>
        <v>0.133145023151565</v>
      </c>
      <c r="AJ224" s="1193" t="n">
        <f aca="false">AH224-0.0005</f>
        <v>0.132145023151565</v>
      </c>
      <c r="AK224" s="1159" t="n">
        <f aca="false">IF(AND(дома!$Z$29&gt;=AJ224,дома!$Z$29&lt;=AI224),связи1!AG224,0)</f>
        <v>0</v>
      </c>
      <c r="AL224" s="1159" t="n">
        <f aca="false">IF(AND(дома!$AA$29&gt;=AJ224,дома!$AA$29&lt;=AI224),связи1!AG224,0)</f>
        <v>0</v>
      </c>
    </row>
    <row r="225" customFormat="false" ht="15" hidden="false" customHeight="false" outlineLevel="0" collapsed="false">
      <c r="A225" s="1159" t="s">
        <v>1127</v>
      </c>
      <c r="B225" s="1159" t="str">
        <f aca="false">A225</f>
        <v>Двутавровая деревянная балка, 300*65мм</v>
      </c>
      <c r="C225" s="1159"/>
      <c r="D225" s="1181" t="n">
        <f aca="false">'Прайс лист'!G285</f>
        <v>273</v>
      </c>
      <c r="AG225" s="1159" t="n">
        <v>7.70000000000001</v>
      </c>
      <c r="AH225" s="1193" t="n">
        <f aca="false">AG225*3.1415926535897/180</f>
        <v>0.13439035240356</v>
      </c>
      <c r="AI225" s="1193" t="n">
        <f aca="false">AH225+0.0005</f>
        <v>0.13489035240356</v>
      </c>
      <c r="AJ225" s="1193" t="n">
        <f aca="false">AH225-0.0005</f>
        <v>0.13389035240356</v>
      </c>
      <c r="AK225" s="1159" t="n">
        <f aca="false">IF(AND(дома!$Z$29&gt;=AJ225,дома!$Z$29&lt;=AI225),связи1!AG225,0)</f>
        <v>0</v>
      </c>
      <c r="AL225" s="1159" t="n">
        <f aca="false">IF(AND(дома!$AA$29&gt;=AJ225,дома!$AA$29&lt;=AI225),связи1!AG225,0)</f>
        <v>0</v>
      </c>
    </row>
    <row r="226" customFormat="false" ht="15" hidden="false" customHeight="false" outlineLevel="0" collapsed="false">
      <c r="A226" s="1159" t="s">
        <v>1128</v>
      </c>
      <c r="B226" s="1159" t="str">
        <f aca="false">A226</f>
        <v>Двутавровая деревянная балка, 300*90мм</v>
      </c>
      <c r="C226" s="1159"/>
      <c r="D226" s="1181" t="n">
        <f aca="false">'Прайс лист'!G286</f>
        <v>315</v>
      </c>
      <c r="AG226" s="1159" t="n">
        <v>7.80000000000001</v>
      </c>
      <c r="AH226" s="1193" t="n">
        <f aca="false">AG226*3.1415926535897/180</f>
        <v>0.136135681655554</v>
      </c>
      <c r="AI226" s="1193" t="n">
        <f aca="false">AH226+0.0005</f>
        <v>0.136635681655554</v>
      </c>
      <c r="AJ226" s="1193" t="n">
        <f aca="false">AH226-0.0005</f>
        <v>0.135635681655554</v>
      </c>
      <c r="AK226" s="1159" t="n">
        <f aca="false">IF(AND(дома!$Z$29&gt;=AJ226,дома!$Z$29&lt;=AI226),связи1!AG226,0)</f>
        <v>0</v>
      </c>
      <c r="AL226" s="1159" t="n">
        <f aca="false">IF(AND(дома!$AA$29&gt;=AJ226,дома!$AA$29&lt;=AI226),связи1!AG226,0)</f>
        <v>0</v>
      </c>
    </row>
    <row r="227" customFormat="false" ht="15" hidden="false" customHeight="false" outlineLevel="0" collapsed="false">
      <c r="A227" s="1159" t="s">
        <v>1129</v>
      </c>
      <c r="B227" s="1159" t="str">
        <f aca="false">A227</f>
        <v>Двутавровая деревянная балка, 240*65мм</v>
      </c>
      <c r="C227" s="1159"/>
      <c r="D227" s="1181" t="n">
        <f aca="false">'Прайс лист'!G287</f>
        <v>263</v>
      </c>
      <c r="AG227" s="1159" t="n">
        <v>7.90000000000001</v>
      </c>
      <c r="AH227" s="1193" t="n">
        <f aca="false">AG227*3.1415926535897/180</f>
        <v>0.137881010907548</v>
      </c>
      <c r="AI227" s="1193" t="n">
        <f aca="false">AH227+0.0005</f>
        <v>0.138381010907548</v>
      </c>
      <c r="AJ227" s="1193" t="n">
        <f aca="false">AH227-0.0005</f>
        <v>0.137381010907548</v>
      </c>
      <c r="AK227" s="1159" t="n">
        <f aca="false">IF(AND(дома!$Z$29&gt;=AJ227,дома!$Z$29&lt;=AI227),связи1!AG227,0)</f>
        <v>0</v>
      </c>
      <c r="AL227" s="1159" t="n">
        <f aca="false">IF(AND(дома!$AA$29&gt;=AJ227,дома!$AA$29&lt;=AI227),связи1!AG227,0)</f>
        <v>0</v>
      </c>
    </row>
    <row r="228" customFormat="false" ht="15" hidden="false" customHeight="false" outlineLevel="0" collapsed="false">
      <c r="A228" s="1159" t="s">
        <v>1130</v>
      </c>
      <c r="B228" s="1159" t="str">
        <f aca="false">A228</f>
        <v>Двутавровая деревянная балка, 240*90мм</v>
      </c>
      <c r="C228" s="1159"/>
      <c r="D228" s="1181" t="n">
        <f aca="false">'Прайс лист'!G288</f>
        <v>291</v>
      </c>
      <c r="AG228" s="1159" t="n">
        <v>8.00000000000001</v>
      </c>
      <c r="AH228" s="1193" t="n">
        <f aca="false">AG228*3.1415926535897/180</f>
        <v>0.139626340159542</v>
      </c>
      <c r="AI228" s="1193" t="n">
        <f aca="false">AH228+0.0005</f>
        <v>0.140126340159542</v>
      </c>
      <c r="AJ228" s="1193" t="n">
        <f aca="false">AH228-0.0005</f>
        <v>0.139126340159542</v>
      </c>
      <c r="AK228" s="1159" t="n">
        <f aca="false">IF(AND(дома!$Z$29&gt;=AJ228,дома!$Z$29&lt;=AI228),связи1!AG228,0)</f>
        <v>0</v>
      </c>
      <c r="AL228" s="1159" t="n">
        <f aca="false">IF(AND(дома!$AA$29&gt;=AJ228,дома!$AA$29&lt;=AI228),связи1!AG228,0)</f>
        <v>0</v>
      </c>
    </row>
    <row r="229" customFormat="false" ht="15" hidden="false" customHeight="false" outlineLevel="0" collapsed="false">
      <c r="A229" s="1159" t="s">
        <v>1131</v>
      </c>
      <c r="B229" s="1159" t="str">
        <f aca="false">A229</f>
        <v>Двутавровая деревянная балка, 200*65мм</v>
      </c>
      <c r="C229" s="1159"/>
      <c r="D229" s="1181" t="n">
        <f aca="false">'Прайс лист'!G289</f>
        <v>250</v>
      </c>
      <c r="AG229" s="1159" t="n">
        <v>8.10000000000001</v>
      </c>
      <c r="AH229" s="1193" t="n">
        <f aca="false">AG229*3.1415926535897/180</f>
        <v>0.141371669411537</v>
      </c>
      <c r="AI229" s="1193" t="n">
        <f aca="false">AH229+0.0005</f>
        <v>0.141871669411537</v>
      </c>
      <c r="AJ229" s="1193" t="n">
        <f aca="false">AH229-0.0005</f>
        <v>0.140871669411537</v>
      </c>
      <c r="AK229" s="1159" t="n">
        <f aca="false">IF(AND(дома!$Z$29&gt;=AJ229,дома!$Z$29&lt;=AI229),связи1!AG229,0)</f>
        <v>0</v>
      </c>
      <c r="AL229" s="1159" t="n">
        <f aca="false">IF(AND(дома!$AA$29&gt;=AJ229,дома!$AA$29&lt;=AI229),связи1!AG229,0)</f>
        <v>0</v>
      </c>
    </row>
    <row r="230" customFormat="false" ht="15" hidden="false" customHeight="false" outlineLevel="0" collapsed="false">
      <c r="A230" s="1159" t="s">
        <v>1132</v>
      </c>
      <c r="B230" s="1159" t="str">
        <f aca="false">A230</f>
        <v>Двутавровая деревянная балка, 200*90мм</v>
      </c>
      <c r="C230" s="1159"/>
      <c r="D230" s="1181" t="n">
        <f aca="false">'Прайс лист'!G290</f>
        <v>280</v>
      </c>
      <c r="AG230" s="1159" t="n">
        <v>8.20000000000001</v>
      </c>
      <c r="AH230" s="1193" t="n">
        <f aca="false">AG230*3.1415926535897/180</f>
        <v>0.143116998663531</v>
      </c>
      <c r="AI230" s="1193" t="n">
        <f aca="false">AH230+0.0005</f>
        <v>0.143616998663531</v>
      </c>
      <c r="AJ230" s="1193" t="n">
        <f aca="false">AH230-0.0005</f>
        <v>0.142616998663531</v>
      </c>
      <c r="AK230" s="1159" t="n">
        <f aca="false">IF(AND(дома!$Z$29&gt;=AJ230,дома!$Z$29&lt;=AI230),связи1!AG230,0)</f>
        <v>0</v>
      </c>
      <c r="AL230" s="1159" t="n">
        <f aca="false">IF(AND(дома!$AA$29&gt;=AJ230,дома!$AA$29&lt;=AI230),связи1!AG230,0)</f>
        <v>0</v>
      </c>
    </row>
    <row r="231" customFormat="false" ht="15" hidden="false" customHeight="false" outlineLevel="0" collapsed="false">
      <c r="A231" s="1159" t="s">
        <v>1133</v>
      </c>
      <c r="B231" s="1159" t="str">
        <f aca="false">A231</f>
        <v>Двутавровая деревянная балка, 150*65мм</v>
      </c>
      <c r="C231" s="1159"/>
      <c r="D231" s="1181" t="n">
        <f aca="false">'Прайс лист'!G291</f>
        <v>220</v>
      </c>
      <c r="AG231" s="1159" t="n">
        <v>8.30000000000001</v>
      </c>
      <c r="AH231" s="1193" t="n">
        <f aca="false">AG231*3.1415926535897/180</f>
        <v>0.144862327915525</v>
      </c>
      <c r="AI231" s="1193" t="n">
        <f aca="false">AH231+0.0005</f>
        <v>0.145362327915525</v>
      </c>
      <c r="AJ231" s="1193" t="n">
        <f aca="false">AH231-0.0005</f>
        <v>0.144362327915525</v>
      </c>
      <c r="AK231" s="1159" t="n">
        <f aca="false">IF(AND(дома!$Z$29&gt;=AJ231,дома!$Z$29&lt;=AI231),связи1!AG231,0)</f>
        <v>0</v>
      </c>
      <c r="AL231" s="1159" t="n">
        <f aca="false">IF(AND(дома!$AA$29&gt;=AJ231,дома!$AA$29&lt;=AI231),связи1!AG231,0)</f>
        <v>0</v>
      </c>
    </row>
    <row r="232" customFormat="false" ht="15" hidden="false" customHeight="false" outlineLevel="0" collapsed="false">
      <c r="A232" s="1159" t="s">
        <v>1134</v>
      </c>
      <c r="B232" s="1159" t="str">
        <f aca="false">A232</f>
        <v>Двутавровая деревянная балка, 150*90мм</v>
      </c>
      <c r="C232" s="1159"/>
      <c r="D232" s="1181" t="n">
        <f aca="false">'Прайс лист'!G292</f>
        <v>250</v>
      </c>
      <c r="AG232" s="1159" t="n">
        <v>8.40000000000001</v>
      </c>
      <c r="AH232" s="1193" t="n">
        <f aca="false">AG232*3.1415926535897/180</f>
        <v>0.146607657167519</v>
      </c>
      <c r="AI232" s="1193" t="n">
        <f aca="false">AH232+0.0005</f>
        <v>0.14710765716752</v>
      </c>
      <c r="AJ232" s="1193" t="n">
        <f aca="false">AH232-0.0005</f>
        <v>0.14610765716752</v>
      </c>
      <c r="AK232" s="1159" t="n">
        <f aca="false">IF(AND(дома!$Z$29&gt;=AJ232,дома!$Z$29&lt;=AI232),связи1!AG232,0)</f>
        <v>0</v>
      </c>
      <c r="AL232" s="1159" t="n">
        <f aca="false">IF(AND(дома!$AA$29&gt;=AJ232,дома!$AA$29&lt;=AI232),связи1!AG232,0)</f>
        <v>0</v>
      </c>
    </row>
    <row r="233" customFormat="false" ht="15" hidden="false" customHeight="false" outlineLevel="0" collapsed="false">
      <c r="A233" s="1159"/>
      <c r="B233" s="1159"/>
      <c r="C233" s="1159"/>
      <c r="AG233" s="1159" t="n">
        <v>8.50000000000001</v>
      </c>
      <c r="AH233" s="1193" t="n">
        <f aca="false">AG233*3.1415926535897/180</f>
        <v>0.148352986419514</v>
      </c>
      <c r="AI233" s="1193" t="n">
        <f aca="false">AH233+0.0005</f>
        <v>0.148852986419514</v>
      </c>
      <c r="AJ233" s="1193" t="n">
        <f aca="false">AH233-0.0005</f>
        <v>0.147852986419514</v>
      </c>
      <c r="AK233" s="1159" t="n">
        <f aca="false">IF(AND(дома!$Z$29&gt;=AJ233,дома!$Z$29&lt;=AI233),связи1!AG233,0)</f>
        <v>0</v>
      </c>
      <c r="AL233" s="1159" t="n">
        <f aca="false">IF(AND(дома!$AA$29&gt;=AJ233,дома!$AA$29&lt;=AI233),связи1!AG233,0)</f>
        <v>0</v>
      </c>
    </row>
    <row r="234" customFormat="false" ht="15" hidden="false" customHeight="false" outlineLevel="0" collapsed="false">
      <c r="A234" s="1159"/>
      <c r="B234" s="1159"/>
      <c r="C234" s="1159"/>
      <c r="AG234" s="1159" t="n">
        <v>8.60000000000001</v>
      </c>
      <c r="AH234" s="1193" t="n">
        <f aca="false">AG234*3.1415926535897/180</f>
        <v>0.150098315671508</v>
      </c>
      <c r="AI234" s="1193" t="n">
        <f aca="false">AH234+0.0005</f>
        <v>0.150598315671508</v>
      </c>
      <c r="AJ234" s="1193" t="n">
        <f aca="false">AH234-0.0005</f>
        <v>0.149598315671508</v>
      </c>
      <c r="AK234" s="1159" t="n">
        <f aca="false">IF(AND(дома!$Z$29&gt;=AJ234,дома!$Z$29&lt;=AI234),связи1!AG234,0)</f>
        <v>0</v>
      </c>
      <c r="AL234" s="1159" t="n">
        <f aca="false">IF(AND(дома!$AA$29&gt;=AJ234,дома!$AA$29&lt;=AI234),связи1!AG234,0)</f>
        <v>0</v>
      </c>
    </row>
    <row r="235" customFormat="false" ht="31.5" hidden="false" customHeight="false" outlineLevel="0" collapsed="false">
      <c r="A235" s="1159"/>
      <c r="B235" s="1159"/>
      <c r="C235" s="1159"/>
      <c r="F235" s="1194" t="s">
        <v>2503</v>
      </c>
      <c r="G235" s="1195" t="s">
        <v>15</v>
      </c>
      <c r="H235" s="1196" t="n">
        <f aca="false">'Ввод данных'!C13-'Ввод данных'!C11-0.2</f>
        <v>5</v>
      </c>
      <c r="AG235" s="1159" t="n">
        <v>8.70000000000001</v>
      </c>
      <c r="AH235" s="1193" t="n">
        <f aca="false">AG235*3.1415926535897/180</f>
        <v>0.151843644923502</v>
      </c>
      <c r="AI235" s="1193" t="n">
        <f aca="false">AH235+0.0005</f>
        <v>0.152343644923502</v>
      </c>
      <c r="AJ235" s="1193" t="n">
        <f aca="false">AH235-0.0005</f>
        <v>0.151343644923502</v>
      </c>
      <c r="AK235" s="1159" t="n">
        <f aca="false">IF(AND(дома!$Z$29&gt;=AJ235,дома!$Z$29&lt;=AI235),связи1!AG235,0)</f>
        <v>0</v>
      </c>
      <c r="AL235" s="1159" t="n">
        <f aca="false">IF(AND(дома!$AA$29&gt;=AJ235,дома!$AA$29&lt;=AI235),связи1!AG235,0)</f>
        <v>0</v>
      </c>
    </row>
    <row r="236" customFormat="false" ht="15.75" hidden="false" customHeight="false" outlineLevel="0" collapsed="false">
      <c r="A236" s="1159"/>
      <c r="B236" s="1159"/>
      <c r="C236" s="1159"/>
      <c r="F236" s="1197" t="s">
        <v>2504</v>
      </c>
      <c r="G236" s="1195" t="s">
        <v>15</v>
      </c>
      <c r="H236" s="1196" t="n">
        <f aca="false">'Ввод данных'!C14</f>
        <v>1.6</v>
      </c>
      <c r="AG236" s="1159" t="n">
        <v>8.80000000000001</v>
      </c>
      <c r="AH236" s="1193" t="n">
        <f aca="false">AG236*3.1415926535897/180</f>
        <v>0.153588974175497</v>
      </c>
      <c r="AI236" s="1193" t="n">
        <f aca="false">AH236+0.0005</f>
        <v>0.154088974175497</v>
      </c>
      <c r="AJ236" s="1193" t="n">
        <f aca="false">AH236-0.0005</f>
        <v>0.153088974175497</v>
      </c>
      <c r="AK236" s="1159" t="n">
        <f aca="false">IF(AND(дома!$Z$29&gt;=AJ236,дома!$Z$29&lt;=AI236),связи1!AG236,0)</f>
        <v>0</v>
      </c>
      <c r="AL236" s="1159" t="n">
        <f aca="false">IF(AND(дома!$AA$29&gt;=AJ236,дома!$AA$29&lt;=AI236),связи1!AG236,0)</f>
        <v>0</v>
      </c>
    </row>
    <row r="237" customFormat="false" ht="15" hidden="false" customHeight="false" outlineLevel="0" collapsed="false">
      <c r="A237" s="1159"/>
      <c r="B237" s="1159"/>
      <c r="C237" s="1159"/>
      <c r="AG237" s="1159" t="n">
        <v>8.90000000000001</v>
      </c>
      <c r="AH237" s="1193" t="n">
        <f aca="false">AG237*3.1415926535897/180</f>
        <v>0.155334303427491</v>
      </c>
      <c r="AI237" s="1193" t="n">
        <f aca="false">AH237+0.0005</f>
        <v>0.155834303427491</v>
      </c>
      <c r="AJ237" s="1193" t="n">
        <f aca="false">AH237-0.0005</f>
        <v>0.154834303427491</v>
      </c>
      <c r="AK237" s="1159" t="n">
        <f aca="false">IF(AND(дома!$Z$29&gt;=AJ237,дома!$Z$29&lt;=AI237),связи1!AG237,0)</f>
        <v>0</v>
      </c>
      <c r="AL237" s="1159" t="n">
        <f aca="false">IF(AND(дома!$AA$29&gt;=AJ237,дома!$AA$29&lt;=AI237),связи1!AG237,0)</f>
        <v>0</v>
      </c>
    </row>
    <row r="238" customFormat="false" ht="15" hidden="false" customHeight="false" outlineLevel="0" collapsed="false">
      <c r="A238" s="1159"/>
      <c r="B238" s="1159"/>
      <c r="C238" s="1159"/>
      <c r="AG238" s="1159" t="n">
        <v>9.00000000000001</v>
      </c>
      <c r="AH238" s="1193" t="n">
        <f aca="false">AG238*3.1415926535897/180</f>
        <v>0.157079632679485</v>
      </c>
      <c r="AI238" s="1193" t="n">
        <f aca="false">AH238+0.0005</f>
        <v>0.157579632679485</v>
      </c>
      <c r="AJ238" s="1193" t="n">
        <f aca="false">AH238-0.0005</f>
        <v>0.156579632679485</v>
      </c>
      <c r="AK238" s="1159" t="n">
        <f aca="false">IF(AND(дома!$Z$29&gt;=AJ238,дома!$Z$29&lt;=AI238),связи1!AG238,0)</f>
        <v>0</v>
      </c>
      <c r="AL238" s="1159" t="n">
        <f aca="false">IF(AND(дома!$AA$29&gt;=AJ238,дома!$AA$29&lt;=AI238),связи1!AG238,0)</f>
        <v>0</v>
      </c>
    </row>
    <row r="239" customFormat="false" ht="15" hidden="false" customHeight="false" outlineLevel="0" collapsed="false">
      <c r="A239" s="1159"/>
      <c r="B239" s="1159"/>
      <c r="C239" s="1159"/>
      <c r="AG239" s="1159" t="n">
        <v>9.10000000000001</v>
      </c>
      <c r="AH239" s="1193" t="n">
        <f aca="false">AG239*3.1415926535897/180</f>
        <v>0.158824961931479</v>
      </c>
      <c r="AI239" s="1193" t="n">
        <f aca="false">AH239+0.0005</f>
        <v>0.159324961931479</v>
      </c>
      <c r="AJ239" s="1193" t="n">
        <f aca="false">AH239-0.0005</f>
        <v>0.158324961931479</v>
      </c>
      <c r="AK239" s="1159" t="n">
        <f aca="false">IF(AND(дома!$Z$29&gt;=AJ239,дома!$Z$29&lt;=AI239),связи1!AG239,0)</f>
        <v>0</v>
      </c>
      <c r="AL239" s="1159" t="n">
        <f aca="false">IF(AND(дома!$AA$29&gt;=AJ239,дома!$AA$29&lt;=AI239),связи1!AG239,0)</f>
        <v>0</v>
      </c>
    </row>
    <row r="240" customFormat="false" ht="15" hidden="false" customHeight="false" outlineLevel="0" collapsed="false">
      <c r="A240" s="1159"/>
      <c r="B240" s="1159"/>
      <c r="C240" s="1159"/>
      <c r="S240" s="1172"/>
      <c r="T240" s="1198"/>
      <c r="U240" s="1198"/>
      <c r="V240" s="1198"/>
      <c r="W240" s="1198"/>
      <c r="X240" s="1198"/>
      <c r="Y240" s="1198"/>
      <c r="Z240" s="1198"/>
      <c r="AG240" s="1159" t="n">
        <v>9.20000000000001</v>
      </c>
      <c r="AH240" s="1193" t="n">
        <f aca="false">AG240*3.1415926535897/180</f>
        <v>0.160570291183474</v>
      </c>
      <c r="AI240" s="1193" t="n">
        <f aca="false">AH240+0.0005</f>
        <v>0.161070291183474</v>
      </c>
      <c r="AJ240" s="1193" t="n">
        <f aca="false">AH240-0.0005</f>
        <v>0.160070291183474</v>
      </c>
      <c r="AK240" s="1159" t="n">
        <f aca="false">IF(AND(дома!$Z$29&gt;=AJ240,дома!$Z$29&lt;=AI240),связи1!AG240,0)</f>
        <v>0</v>
      </c>
      <c r="AL240" s="1159" t="n">
        <f aca="false">IF(AND(дома!$AA$29&gt;=AJ240,дома!$AA$29&lt;=AI240),связи1!AG240,0)</f>
        <v>0</v>
      </c>
    </row>
    <row r="241" customFormat="false" ht="15" hidden="false" customHeight="false" outlineLevel="0" collapsed="false">
      <c r="A241" s="1159"/>
      <c r="B241" s="1159"/>
      <c r="C241" s="1159"/>
      <c r="S241" s="1172"/>
      <c r="T241" s="1198"/>
      <c r="U241" s="1198"/>
      <c r="V241" s="1198"/>
      <c r="W241" s="1198"/>
      <c r="X241" s="1198"/>
      <c r="Y241" s="1198"/>
      <c r="Z241" s="1198"/>
      <c r="AG241" s="1159" t="n">
        <v>9.30000000000001</v>
      </c>
      <c r="AH241" s="1193" t="n">
        <f aca="false">AG241*3.1415926535897/180</f>
        <v>0.162315620435468</v>
      </c>
      <c r="AI241" s="1193" t="n">
        <f aca="false">AH241+0.0005</f>
        <v>0.162815620435468</v>
      </c>
      <c r="AJ241" s="1193" t="n">
        <f aca="false">AH241-0.0005</f>
        <v>0.161815620435468</v>
      </c>
      <c r="AK241" s="1159" t="n">
        <f aca="false">IF(AND(дома!$Z$29&gt;=AJ241,дома!$Z$29&lt;=AI241),связи1!AG241,0)</f>
        <v>0</v>
      </c>
      <c r="AL241" s="1159" t="n">
        <f aca="false">IF(AND(дома!$AA$29&gt;=AJ241,дома!$AA$29&lt;=AI241),связи1!AG241,0)</f>
        <v>0</v>
      </c>
    </row>
    <row r="242" customFormat="false" ht="15" hidden="false" customHeight="false" outlineLevel="0" collapsed="false">
      <c r="A242" s="1159"/>
      <c r="B242" s="1159"/>
      <c r="C242" s="1159"/>
      <c r="S242" s="1172"/>
      <c r="T242" s="1198"/>
      <c r="U242" s="1198"/>
      <c r="V242" s="1198"/>
      <c r="W242" s="1198"/>
      <c r="X242" s="1198"/>
      <c r="Y242" s="1198"/>
      <c r="Z242" s="1198"/>
      <c r="AG242" s="1159" t="n">
        <v>9.40000000000001</v>
      </c>
      <c r="AH242" s="1193" t="n">
        <f aca="false">AG242*3.1415926535897/180</f>
        <v>0.164060949687462</v>
      </c>
      <c r="AI242" s="1193" t="n">
        <f aca="false">AH242+0.0005</f>
        <v>0.164560949687462</v>
      </c>
      <c r="AJ242" s="1193" t="n">
        <f aca="false">AH242-0.0005</f>
        <v>0.163560949687462</v>
      </c>
      <c r="AK242" s="1159" t="n">
        <f aca="false">IF(AND(дома!$Z$29&gt;=AJ242,дома!$Z$29&lt;=AI242),связи1!AG242,0)</f>
        <v>0</v>
      </c>
      <c r="AL242" s="1159" t="n">
        <f aca="false">IF(AND(дома!$AA$29&gt;=AJ242,дома!$AA$29&lt;=AI242),связи1!AG242,0)</f>
        <v>0</v>
      </c>
    </row>
    <row r="243" customFormat="false" ht="15" hidden="false" customHeight="false" outlineLevel="0" collapsed="false">
      <c r="S243" s="1199"/>
      <c r="T243" s="1198"/>
      <c r="U243" s="1198"/>
      <c r="V243" s="1198"/>
      <c r="W243" s="1198"/>
      <c r="X243" s="1198"/>
      <c r="Y243" s="1198"/>
      <c r="Z243" s="1198"/>
      <c r="AG243" s="1159" t="n">
        <v>9.50000000000001</v>
      </c>
      <c r="AH243" s="1193" t="n">
        <f aca="false">AG243*3.1415926535897/180</f>
        <v>0.165806278939457</v>
      </c>
      <c r="AI243" s="1193" t="n">
        <f aca="false">AH243+0.0005</f>
        <v>0.166306278939457</v>
      </c>
      <c r="AJ243" s="1193" t="n">
        <f aca="false">AH243-0.0005</f>
        <v>0.165306278939457</v>
      </c>
      <c r="AK243" s="1159" t="n">
        <f aca="false">IF(AND(дома!$Z$29&gt;=AJ243,дома!$Z$29&lt;=AI243),связи1!AG243,0)</f>
        <v>0</v>
      </c>
      <c r="AL243" s="1159" t="n">
        <f aca="false">IF(AND(дома!$AA$29&gt;=AJ243,дома!$AA$29&lt;=AI243),связи1!AG243,0)</f>
        <v>0</v>
      </c>
    </row>
    <row r="244" customFormat="false" ht="15" hidden="false" customHeight="false" outlineLevel="0" collapsed="false">
      <c r="A244" s="1159"/>
      <c r="Q244" s="1200" t="s">
        <v>960</v>
      </c>
      <c r="R244" s="1201" t="n">
        <v>0.031</v>
      </c>
      <c r="S244" s="1201" t="n">
        <v>32.25</v>
      </c>
      <c r="T244" s="1173" t="n">
        <v>160</v>
      </c>
      <c r="U244" s="1173" t="n">
        <v>5161.3</v>
      </c>
      <c r="V244" s="1198"/>
      <c r="W244" s="1198"/>
      <c r="X244" s="1198"/>
      <c r="Y244" s="1198"/>
      <c r="Z244" s="1198"/>
      <c r="AG244" s="1159" t="n">
        <v>9.60000000000001</v>
      </c>
      <c r="AH244" s="1193" t="n">
        <f aca="false">AG244*3.1415926535897/180</f>
        <v>0.167551608191451</v>
      </c>
      <c r="AI244" s="1193" t="n">
        <f aca="false">AH244+0.0005</f>
        <v>0.168051608191451</v>
      </c>
      <c r="AJ244" s="1193" t="n">
        <f aca="false">AH244-0.0005</f>
        <v>0.167051608191451</v>
      </c>
      <c r="AK244" s="1159" t="n">
        <f aca="false">IF(AND(дома!$Z$29&gt;=AJ244,дома!$Z$29&lt;=AI244),связи1!AG244,0)</f>
        <v>0</v>
      </c>
      <c r="AL244" s="1159" t="n">
        <f aca="false">IF(AND(дома!$AA$29&gt;=AJ244,дома!$AA$29&lt;=AI244),связи1!AG244,0)</f>
        <v>0</v>
      </c>
    </row>
    <row r="245" customFormat="false" ht="15" hidden="false" customHeight="false" outlineLevel="0" collapsed="false">
      <c r="A245" s="1202" t="s">
        <v>99</v>
      </c>
      <c r="B245" s="1158" t="n">
        <v>0</v>
      </c>
      <c r="Q245" s="1200" t="s">
        <v>938</v>
      </c>
      <c r="R245" s="1201" t="n">
        <v>0.047</v>
      </c>
      <c r="S245" s="1201" t="n">
        <v>21.27</v>
      </c>
      <c r="T245" s="1173" t="n">
        <v>310</v>
      </c>
      <c r="U245" s="1173" t="n">
        <v>6595.74</v>
      </c>
      <c r="V245" s="1198"/>
      <c r="W245" s="1198"/>
      <c r="X245" s="1198"/>
      <c r="Y245" s="1198"/>
      <c r="Z245" s="1198"/>
      <c r="AG245" s="1159" t="n">
        <v>9.70000000000001</v>
      </c>
      <c r="AH245" s="1193" t="n">
        <f aca="false">AG245*3.1415926535897/180</f>
        <v>0.169296937443445</v>
      </c>
      <c r="AI245" s="1193" t="n">
        <f aca="false">AH245+0.0005</f>
        <v>0.169796937443445</v>
      </c>
      <c r="AJ245" s="1193" t="n">
        <f aca="false">AH245-0.0005</f>
        <v>0.168796937443445</v>
      </c>
      <c r="AK245" s="1159" t="n">
        <f aca="false">IF(AND(дома!$Z$29&gt;=AJ245,дома!$Z$29&lt;=AI245),связи1!AG245,0)</f>
        <v>0</v>
      </c>
      <c r="AL245" s="1159" t="n">
        <f aca="false">IF(AND(дома!$AA$29&gt;=AJ245,дома!$AA$29&lt;=AI245),связи1!AG245,0)</f>
        <v>0</v>
      </c>
    </row>
    <row r="246" customFormat="false" ht="15" hidden="false" customHeight="false" outlineLevel="0" collapsed="false">
      <c r="A246" s="1159" t="s">
        <v>2505</v>
      </c>
      <c r="B246" s="1159" t="n">
        <f aca="false">'Прайс лист'!G301</f>
        <v>6500</v>
      </c>
      <c r="C246" s="1159"/>
      <c r="Q246" s="1200" t="s">
        <v>961</v>
      </c>
      <c r="R246" s="1201" t="n">
        <v>0.036</v>
      </c>
      <c r="S246" s="1201" t="n">
        <v>27.77</v>
      </c>
      <c r="T246" s="1201" t="n">
        <v>242</v>
      </c>
      <c r="U246" s="1201" t="n">
        <v>6720.34</v>
      </c>
      <c r="V246" s="1198"/>
      <c r="W246" s="1198"/>
      <c r="X246" s="1198"/>
      <c r="Y246" s="1198"/>
      <c r="Z246" s="1198"/>
      <c r="AG246" s="1159" t="n">
        <v>9.80000000000001</v>
      </c>
      <c r="AH246" s="1193" t="n">
        <f aca="false">AG246*3.1415926535897/180</f>
        <v>0.171042266695439</v>
      </c>
      <c r="AI246" s="1193" t="n">
        <f aca="false">AH246+0.0005</f>
        <v>0.171542266695439</v>
      </c>
      <c r="AJ246" s="1193" t="n">
        <f aca="false">AH246-0.0005</f>
        <v>0.170542266695439</v>
      </c>
      <c r="AK246" s="1159" t="n">
        <f aca="false">IF(AND(дома!$Z$29&gt;=AJ246,дома!$Z$29&lt;=AI246),связи1!AG246,0)</f>
        <v>0</v>
      </c>
      <c r="AL246" s="1159" t="n">
        <f aca="false">IF(AND(дома!$AA$29&gt;=AJ246,дома!$AA$29&lt;=AI246),связи1!AG246,0)</f>
        <v>0</v>
      </c>
    </row>
    <row r="247" customFormat="false" ht="15" hidden="false" customHeight="false" outlineLevel="0" collapsed="false">
      <c r="A247" s="1159" t="s">
        <v>2506</v>
      </c>
      <c r="B247" s="1159" t="n">
        <f aca="false">'Прайс лист'!G326</f>
        <v>9000</v>
      </c>
      <c r="C247" s="1159"/>
      <c r="Q247" s="1200" t="s">
        <v>946</v>
      </c>
      <c r="R247" s="1201" t="n">
        <v>0.029</v>
      </c>
      <c r="S247" s="1201" t="n">
        <v>34.48</v>
      </c>
      <c r="T247" s="1173" t="n">
        <v>205</v>
      </c>
      <c r="U247" s="1173" t="n">
        <v>7068.96</v>
      </c>
      <c r="V247" s="1198"/>
      <c r="W247" s="1198"/>
      <c r="X247" s="1198"/>
      <c r="Y247" s="1198"/>
      <c r="Z247" s="1198"/>
      <c r="AG247" s="1159" t="n">
        <v>9.90000000000001</v>
      </c>
      <c r="AH247" s="1193" t="n">
        <f aca="false">AG247*3.1415926535897/180</f>
        <v>0.172787595947434</v>
      </c>
      <c r="AI247" s="1193" t="n">
        <f aca="false">AH247+0.0005</f>
        <v>0.173287595947434</v>
      </c>
      <c r="AJ247" s="1193" t="n">
        <f aca="false">AH247-0.0005</f>
        <v>0.172287595947434</v>
      </c>
      <c r="AK247" s="1159" t="n">
        <f aca="false">IF(AND(дома!$Z$29&gt;=AJ247,дома!$Z$29&lt;=AI247),связи1!AG247,0)</f>
        <v>0</v>
      </c>
      <c r="AL247" s="1159" t="n">
        <f aca="false">IF(AND(дома!$AA$29&gt;=AJ247,дома!$AA$29&lt;=AI247),связи1!AG247,0)</f>
        <v>0</v>
      </c>
    </row>
    <row r="248" customFormat="false" ht="15" hidden="false" customHeight="false" outlineLevel="0" collapsed="false">
      <c r="A248" s="1159" t="s">
        <v>2507</v>
      </c>
      <c r="B248" s="1159" t="n">
        <f aca="false">'Прайс лист'!G317</f>
        <v>12500</v>
      </c>
      <c r="C248" s="1159"/>
      <c r="Q248" s="1201"/>
      <c r="S248" s="1172"/>
      <c r="T248" s="1198"/>
      <c r="U248" s="1198"/>
      <c r="V248" s="1198"/>
      <c r="W248" s="1198"/>
      <c r="X248" s="1198"/>
      <c r="Y248" s="1198"/>
      <c r="Z248" s="1198"/>
      <c r="AG248" s="1159" t="n">
        <v>10</v>
      </c>
      <c r="AH248" s="1193" t="n">
        <f aca="false">AG248*3.1415926535897/180</f>
        <v>0.174532925199428</v>
      </c>
      <c r="AI248" s="1193" t="n">
        <f aca="false">AH248+0.0005</f>
        <v>0.175032925199428</v>
      </c>
      <c r="AJ248" s="1193" t="n">
        <f aca="false">AH248-0.0005</f>
        <v>0.174032925199428</v>
      </c>
      <c r="AK248" s="1159" t="n">
        <f aca="false">IF(AND(дома!$Z$29&gt;=AJ248,дома!$Z$29&lt;=AI248),связи1!AG248,0)</f>
        <v>0</v>
      </c>
      <c r="AL248" s="1159" t="n">
        <f aca="false">IF(AND(дома!$AA$29&gt;=AJ248,дома!$AA$29&lt;=AI248),связи1!AG248,0)</f>
        <v>0</v>
      </c>
    </row>
    <row r="249" customFormat="false" ht="15" hidden="false" customHeight="false" outlineLevel="0" collapsed="false">
      <c r="Q249" s="1201"/>
      <c r="S249" s="1172"/>
      <c r="T249" s="1198"/>
      <c r="U249" s="1198"/>
      <c r="V249" s="1198"/>
      <c r="W249" s="1198"/>
      <c r="X249" s="1198"/>
      <c r="Y249" s="1198"/>
      <c r="Z249" s="1198"/>
      <c r="AG249" s="1159" t="n">
        <v>10.1</v>
      </c>
      <c r="AH249" s="1193" t="n">
        <f aca="false">AG249*3.1415926535897/180</f>
        <v>0.176278254451422</v>
      </c>
      <c r="AI249" s="1193" t="n">
        <f aca="false">AH249+0.0005</f>
        <v>0.176778254451422</v>
      </c>
      <c r="AJ249" s="1193" t="n">
        <f aca="false">AH249-0.0005</f>
        <v>0.175778254451422</v>
      </c>
      <c r="AK249" s="1159" t="n">
        <f aca="false">IF(AND(дома!$Z$29&gt;=AJ249,дома!$Z$29&lt;=AI249),связи1!AG249,0)</f>
        <v>0</v>
      </c>
      <c r="AL249" s="1159" t="n">
        <f aca="false">IF(AND(дома!$AA$29&gt;=AJ249,дома!$AA$29&lt;=AI249),связи1!AG249,0)</f>
        <v>0</v>
      </c>
    </row>
    <row r="250" customFormat="false" ht="15.75" hidden="false" customHeight="false" outlineLevel="0" collapsed="false">
      <c r="Q250" s="1203"/>
      <c r="S250" s="1204"/>
      <c r="T250" s="1205"/>
      <c r="U250" s="1205"/>
      <c r="V250" s="1205"/>
      <c r="W250" s="1205"/>
      <c r="X250" s="1205"/>
      <c r="Y250" s="1205"/>
      <c r="Z250" s="1205"/>
      <c r="AG250" s="1159" t="n">
        <v>10.2</v>
      </c>
      <c r="AH250" s="1193" t="n">
        <f aca="false">AG250*3.1415926535897/180</f>
        <v>0.178023583703416</v>
      </c>
      <c r="AI250" s="1193" t="n">
        <f aca="false">AH250+0.0005</f>
        <v>0.178523583703416</v>
      </c>
      <c r="AJ250" s="1193" t="n">
        <f aca="false">AH250-0.0005</f>
        <v>0.177523583703416</v>
      </c>
      <c r="AK250" s="1159" t="n">
        <f aca="false">IF(AND(дома!$Z$29&gt;=AJ250,дома!$Z$29&lt;=AI250),связи1!AG250,0)</f>
        <v>0</v>
      </c>
      <c r="AL250" s="1159" t="n">
        <f aca="false">IF(AND(дома!$AA$29&gt;=AJ250,дома!$AA$29&lt;=AI250),связи1!AG250,0)</f>
        <v>0</v>
      </c>
    </row>
    <row r="251" customFormat="false" ht="15" hidden="false" customHeight="false" outlineLevel="0" collapsed="false">
      <c r="S251" s="1199"/>
      <c r="T251" s="1198"/>
      <c r="U251" s="1198"/>
      <c r="V251" s="1198"/>
      <c r="W251" s="1198"/>
      <c r="X251" s="1198"/>
      <c r="Y251" s="1198"/>
      <c r="Z251" s="1198"/>
      <c r="AG251" s="1159" t="n">
        <v>10.3</v>
      </c>
      <c r="AH251" s="1193" t="n">
        <f aca="false">AG251*3.1415926535897/180</f>
        <v>0.179768912955411</v>
      </c>
      <c r="AI251" s="1193" t="n">
        <f aca="false">AH251+0.0005</f>
        <v>0.180268912955411</v>
      </c>
      <c r="AJ251" s="1193" t="n">
        <f aca="false">AH251-0.0005</f>
        <v>0.179268912955411</v>
      </c>
      <c r="AK251" s="1159" t="n">
        <f aca="false">IF(AND(дома!$Z$29&gt;=AJ251,дома!$Z$29&lt;=AI251),связи1!AG251,0)</f>
        <v>0</v>
      </c>
      <c r="AL251" s="1159" t="n">
        <f aca="false">IF(AND(дома!$AA$29&gt;=AJ251,дома!$AA$29&lt;=AI251),связи1!AG251,0)</f>
        <v>0</v>
      </c>
    </row>
    <row r="252" customFormat="false" ht="15" hidden="false" customHeight="false" outlineLevel="0" collapsed="false">
      <c r="A252" s="1159" t="s">
        <v>2508</v>
      </c>
      <c r="B252" s="1159" t="s">
        <v>137</v>
      </c>
      <c r="C252" s="1159" t="s">
        <v>116</v>
      </c>
      <c r="D252" s="1171" t="s">
        <v>200</v>
      </c>
      <c r="E252" s="1206" t="s">
        <v>2509</v>
      </c>
      <c r="F252" s="1163" t="s">
        <v>2510</v>
      </c>
      <c r="G252" s="1207" t="s">
        <v>2511</v>
      </c>
      <c r="H252" s="1207" t="s">
        <v>2512</v>
      </c>
      <c r="I252" s="1171" t="s">
        <v>2513</v>
      </c>
      <c r="J252" s="1208" t="s">
        <v>2514</v>
      </c>
      <c r="K252" s="1208" t="s">
        <v>137</v>
      </c>
      <c r="L252" s="1208" t="s">
        <v>116</v>
      </c>
      <c r="M252" s="1208" t="s">
        <v>200</v>
      </c>
      <c r="N252" s="1208" t="s">
        <v>2515</v>
      </c>
      <c r="O252" s="1208"/>
      <c r="P252" s="1208"/>
      <c r="Q252" s="1159" t="s">
        <v>137</v>
      </c>
      <c r="R252" s="1159" t="s">
        <v>116</v>
      </c>
      <c r="S252" s="1171" t="s">
        <v>200</v>
      </c>
      <c r="T252" s="1206" t="s">
        <v>2509</v>
      </c>
      <c r="U252" s="1163" t="s">
        <v>2510</v>
      </c>
      <c r="V252" s="1207" t="s">
        <v>2511</v>
      </c>
      <c r="W252" s="1207" t="s">
        <v>2512</v>
      </c>
      <c r="X252" s="1198"/>
      <c r="Y252" s="1198"/>
      <c r="Z252" s="1198"/>
      <c r="AA252" s="1159"/>
      <c r="AB252" s="1208" t="s">
        <v>137</v>
      </c>
      <c r="AC252" s="1208" t="s">
        <v>116</v>
      </c>
      <c r="AD252" s="1208" t="s">
        <v>200</v>
      </c>
      <c r="AG252" s="1159" t="n">
        <v>10.4</v>
      </c>
      <c r="AH252" s="1193" t="n">
        <f aca="false">AG252*3.1415926535897/180</f>
        <v>0.181514242207405</v>
      </c>
      <c r="AI252" s="1193" t="n">
        <f aca="false">AH252+0.0005</f>
        <v>0.182014242207405</v>
      </c>
      <c r="AJ252" s="1193" t="n">
        <f aca="false">AH252-0.0005</f>
        <v>0.181014242207405</v>
      </c>
      <c r="AK252" s="1159" t="n">
        <f aca="false">IF(AND(дома!$Z$29&gt;=AJ252,дома!$Z$29&lt;=AI252),связи1!AG252,0)</f>
        <v>0</v>
      </c>
      <c r="AL252" s="1159" t="n">
        <f aca="false">IF(AND(дома!$AA$29&gt;=AJ252,дома!$AA$29&lt;=AI252),связи1!AG252,0)</f>
        <v>0</v>
      </c>
    </row>
    <row r="253" customFormat="false" ht="15" hidden="false" customHeight="false" outlineLevel="0" collapsed="false">
      <c r="A253" s="1200" t="s">
        <v>2516</v>
      </c>
      <c r="B253" s="1159" t="n">
        <v>200</v>
      </c>
      <c r="C253" s="1159" t="n">
        <v>390</v>
      </c>
      <c r="D253" s="1159" t="n">
        <v>390</v>
      </c>
      <c r="E253" s="1209" t="n">
        <f aca="false">B253*C253*D253/1000000000</f>
        <v>0.03042</v>
      </c>
      <c r="F253" s="1210" t="n">
        <f aca="false">'Прайс лист'!F10</f>
        <v>7000</v>
      </c>
      <c r="G253" s="1207" t="n">
        <v>2200</v>
      </c>
      <c r="H253" s="1207" t="n">
        <v>450</v>
      </c>
      <c r="I253" s="1200" t="s">
        <v>2517</v>
      </c>
      <c r="J253" s="1200" t="s">
        <v>2518</v>
      </c>
      <c r="K253" s="1211" t="n">
        <v>200</v>
      </c>
      <c r="L253" s="1211" t="n">
        <v>390</v>
      </c>
      <c r="M253" s="1211" t="n">
        <v>590</v>
      </c>
      <c r="N253" s="1200" t="s">
        <v>2519</v>
      </c>
      <c r="O253" s="1200" t="s">
        <v>2520</v>
      </c>
      <c r="P253" s="1200" t="s">
        <v>2521</v>
      </c>
      <c r="Q253" s="1159" t="n">
        <v>200</v>
      </c>
      <c r="R253" s="1159" t="n">
        <v>390</v>
      </c>
      <c r="S253" s="1159" t="n">
        <v>390</v>
      </c>
      <c r="T253" s="1209" t="n">
        <f aca="false">Q253*R253*S253/1000000000</f>
        <v>0.03042</v>
      </c>
      <c r="U253" s="1210" t="n">
        <f aca="false">F253</f>
        <v>7000</v>
      </c>
      <c r="V253" s="1207" t="n">
        <v>2200</v>
      </c>
      <c r="W253" s="1207" t="n">
        <v>450</v>
      </c>
      <c r="X253" s="1173"/>
      <c r="Y253" s="1173"/>
      <c r="Z253" s="1173"/>
      <c r="AA253" s="1200" t="s">
        <v>939</v>
      </c>
      <c r="AB253" s="1171" t="n">
        <v>200</v>
      </c>
      <c r="AC253" s="1171" t="n">
        <v>390</v>
      </c>
      <c r="AD253" s="1171" t="n">
        <v>194</v>
      </c>
      <c r="AG253" s="1159" t="n">
        <v>10.5</v>
      </c>
      <c r="AH253" s="1193" t="n">
        <f aca="false">AG253*3.1415926535897/180</f>
        <v>0.183259571459399</v>
      </c>
      <c r="AI253" s="1193" t="n">
        <f aca="false">AH253+0.0005</f>
        <v>0.183759571459399</v>
      </c>
      <c r="AJ253" s="1193" t="n">
        <f aca="false">AH253-0.0005</f>
        <v>0.182759571459399</v>
      </c>
      <c r="AK253" s="1159" t="n">
        <f aca="false">IF(AND(дома!$Z$29&gt;=AJ253,дома!$Z$29&lt;=AI253),связи1!AG253,0)</f>
        <v>0</v>
      </c>
      <c r="AL253" s="1159" t="n">
        <f aca="false">IF(AND(дома!$AA$29&gt;=AJ253,дома!$AA$29&lt;=AI253),связи1!AG253,0)</f>
        <v>0</v>
      </c>
    </row>
    <row r="254" customFormat="false" ht="15" hidden="false" customHeight="false" outlineLevel="0" collapsed="false">
      <c r="A254" s="1159" t="s">
        <v>2522</v>
      </c>
      <c r="B254" s="1159" t="n">
        <v>198</v>
      </c>
      <c r="C254" s="1159" t="n">
        <v>340</v>
      </c>
      <c r="D254" s="1159" t="n">
        <v>398</v>
      </c>
      <c r="E254" s="1209" t="n">
        <f aca="false">B254*C254*D254/1000000000</f>
        <v>0.02679336</v>
      </c>
      <c r="F254" s="1212" t="n">
        <f aca="false">'Прайс лист'!F14</f>
        <v>7074.07</v>
      </c>
      <c r="G254" s="1207" t="n">
        <v>2200</v>
      </c>
      <c r="H254" s="1207" t="n">
        <v>450</v>
      </c>
      <c r="I254" s="1159" t="s">
        <v>2523</v>
      </c>
      <c r="J254" s="1159" t="s">
        <v>2524</v>
      </c>
      <c r="K254" s="1213" t="n">
        <v>198</v>
      </c>
      <c r="L254" s="1213" t="n">
        <v>340</v>
      </c>
      <c r="M254" s="1211" t="n">
        <v>538</v>
      </c>
      <c r="N254" s="1159" t="s">
        <v>2525</v>
      </c>
      <c r="O254" s="1159" t="s">
        <v>2526</v>
      </c>
      <c r="P254" s="1159" t="s">
        <v>2527</v>
      </c>
      <c r="Q254" s="1159" t="n">
        <v>198</v>
      </c>
      <c r="R254" s="1159" t="n">
        <v>340</v>
      </c>
      <c r="S254" s="1159" t="n">
        <v>398</v>
      </c>
      <c r="T254" s="1209" t="n">
        <f aca="false">Q254*R254*S254/1000000000</f>
        <v>0.02679336</v>
      </c>
      <c r="U254" s="1212" t="n">
        <f aca="false">F254</f>
        <v>7074.07</v>
      </c>
      <c r="V254" s="1207" t="n">
        <v>2200</v>
      </c>
      <c r="W254" s="1207" t="n">
        <v>450</v>
      </c>
      <c r="X254" s="1173"/>
      <c r="Y254" s="1173"/>
      <c r="Z254" s="1173"/>
      <c r="AA254" s="1159" t="s">
        <v>944</v>
      </c>
      <c r="AB254" s="1213" t="n">
        <v>198</v>
      </c>
      <c r="AC254" s="1213" t="n">
        <v>340</v>
      </c>
      <c r="AD254" s="1159" t="n">
        <v>198</v>
      </c>
      <c r="AG254" s="1159" t="n">
        <v>10.6</v>
      </c>
      <c r="AH254" s="1193" t="n">
        <f aca="false">AG254*3.1415926535897/180</f>
        <v>0.185004900711393</v>
      </c>
      <c r="AI254" s="1193" t="n">
        <f aca="false">AH254+0.0005</f>
        <v>0.185504900711393</v>
      </c>
      <c r="AJ254" s="1193" t="n">
        <f aca="false">AH254-0.0005</f>
        <v>0.184504900711393</v>
      </c>
      <c r="AK254" s="1159" t="n">
        <f aca="false">IF(AND(дома!$Z$29&gt;=AJ254,дома!$Z$29&lt;=AI254),связи1!AG254,0)</f>
        <v>0</v>
      </c>
      <c r="AL254" s="1159" t="n">
        <f aca="false">IF(AND(дома!$AA$29&gt;=AJ254,дома!$AA$29&lt;=AI254),связи1!AG254,0)</f>
        <v>0</v>
      </c>
    </row>
    <row r="255" customFormat="false" ht="15" hidden="false" customHeight="false" outlineLevel="0" collapsed="false">
      <c r="A255" s="1214" t="s">
        <v>2343</v>
      </c>
      <c r="B255" s="1159" t="n">
        <v>200</v>
      </c>
      <c r="C255" s="1159" t="n">
        <v>290</v>
      </c>
      <c r="D255" s="1159" t="n">
        <v>390</v>
      </c>
      <c r="E255" s="1209" t="n">
        <f aca="false">B255*C255*D255/1000000000</f>
        <v>0.02262</v>
      </c>
      <c r="F255" s="1212" t="n">
        <f aca="false">'Прайс лист'!F17</f>
        <v>7173.91</v>
      </c>
      <c r="G255" s="1207" t="n">
        <v>2200</v>
      </c>
      <c r="H255" s="1207" t="n">
        <v>450</v>
      </c>
      <c r="I255" s="1214" t="s">
        <v>2528</v>
      </c>
      <c r="J255" s="1214" t="s">
        <v>2529</v>
      </c>
      <c r="K255" s="1213" t="n">
        <v>200</v>
      </c>
      <c r="L255" s="1213" t="n">
        <v>290</v>
      </c>
      <c r="M255" s="1211" t="n">
        <v>490</v>
      </c>
      <c r="N255" s="1214" t="s">
        <v>2530</v>
      </c>
      <c r="O255" s="1214" t="s">
        <v>2531</v>
      </c>
      <c r="P255" s="1214" t="s">
        <v>2532</v>
      </c>
      <c r="Q255" s="1159" t="n">
        <v>200</v>
      </c>
      <c r="R255" s="1159" t="n">
        <v>290</v>
      </c>
      <c r="S255" s="1159" t="n">
        <v>390</v>
      </c>
      <c r="T255" s="1209" t="n">
        <f aca="false">Q255*R255*S255/1000000000</f>
        <v>0.02262</v>
      </c>
      <c r="U255" s="1212" t="n">
        <f aca="false">F255</f>
        <v>7173.91</v>
      </c>
      <c r="V255" s="1207" t="n">
        <v>2200</v>
      </c>
      <c r="W255" s="1207" t="n">
        <v>450</v>
      </c>
      <c r="X255" s="1201"/>
      <c r="Y255" s="1201"/>
      <c r="Z255" s="1201"/>
      <c r="AA255" s="1214" t="s">
        <v>947</v>
      </c>
      <c r="AB255" s="1213" t="n">
        <v>200</v>
      </c>
      <c r="AC255" s="1213" t="n">
        <v>290</v>
      </c>
      <c r="AD255" s="1159" t="n">
        <v>194</v>
      </c>
      <c r="AG255" s="1159" t="n">
        <v>10.7</v>
      </c>
      <c r="AH255" s="1193" t="n">
        <f aca="false">AG255*3.1415926535897/180</f>
        <v>0.186750229963388</v>
      </c>
      <c r="AI255" s="1193" t="n">
        <f aca="false">AH255+0.0005</f>
        <v>0.187250229963388</v>
      </c>
      <c r="AJ255" s="1193" t="n">
        <f aca="false">AH255-0.0005</f>
        <v>0.186250229963388</v>
      </c>
      <c r="AK255" s="1159" t="n">
        <f aca="false">IF(AND(дома!$Z$29&gt;=AJ255,дома!$Z$29&lt;=AI255),связи1!AG255,0)</f>
        <v>0</v>
      </c>
      <c r="AL255" s="1159" t="n">
        <f aca="false">IF(AND(дома!$AA$29&gt;=AJ255,дома!$AA$29&lt;=AI255),связи1!AG255,0)</f>
        <v>0</v>
      </c>
    </row>
    <row r="256" customFormat="false" ht="15" hidden="false" customHeight="false" outlineLevel="0" collapsed="false">
      <c r="A256" s="1200" t="s">
        <v>2533</v>
      </c>
      <c r="B256" s="1159" t="n">
        <v>200</v>
      </c>
      <c r="C256" s="1159" t="n">
        <v>400</v>
      </c>
      <c r="D256" s="1159" t="n">
        <v>390</v>
      </c>
      <c r="E256" s="1209" t="n">
        <f aca="false">B256*C256*D256/1000000000</f>
        <v>0.0312</v>
      </c>
      <c r="F256" s="1212" t="n">
        <f aca="false">'Прайс лист'!F25</f>
        <v>6125</v>
      </c>
      <c r="G256" s="1207" t="n">
        <v>2200</v>
      </c>
      <c r="H256" s="1207" t="n">
        <v>450</v>
      </c>
      <c r="I256" s="1200" t="s">
        <v>2534</v>
      </c>
      <c r="J256" s="1200" t="s">
        <v>2535</v>
      </c>
      <c r="K256" s="1213" t="n">
        <v>200</v>
      </c>
      <c r="L256" s="1213" t="n">
        <v>400</v>
      </c>
      <c r="M256" s="1211" t="n">
        <v>600</v>
      </c>
      <c r="N256" s="1200" t="s">
        <v>2536</v>
      </c>
      <c r="O256" s="1200" t="s">
        <v>2537</v>
      </c>
      <c r="P256" s="1200" t="s">
        <v>2538</v>
      </c>
      <c r="Q256" s="1159" t="n">
        <v>200</v>
      </c>
      <c r="R256" s="1159" t="n">
        <v>400</v>
      </c>
      <c r="S256" s="1159" t="n">
        <v>390</v>
      </c>
      <c r="T256" s="1209" t="n">
        <f aca="false">Q256*R256*S256/1000000000</f>
        <v>0.0312</v>
      </c>
      <c r="U256" s="1212" t="n">
        <f aca="false">F256</f>
        <v>6125</v>
      </c>
      <c r="V256" s="1207" t="n">
        <v>2200</v>
      </c>
      <c r="W256" s="1207" t="n">
        <v>450</v>
      </c>
      <c r="X256" s="1173"/>
      <c r="Y256" s="1173"/>
      <c r="Z256" s="1173"/>
      <c r="AA256" s="1200" t="s">
        <v>951</v>
      </c>
      <c r="AB256" s="1213" t="n">
        <v>200</v>
      </c>
      <c r="AC256" s="1213" t="n">
        <v>400</v>
      </c>
      <c r="AD256" s="1159" t="n">
        <v>194</v>
      </c>
      <c r="AG256" s="1159" t="n">
        <v>10.8</v>
      </c>
      <c r="AH256" s="1193" t="n">
        <f aca="false">AG256*3.1415926535897/180</f>
        <v>0.188495559215382</v>
      </c>
      <c r="AI256" s="1193" t="n">
        <f aca="false">AH256+0.0005</f>
        <v>0.188995559215382</v>
      </c>
      <c r="AJ256" s="1193" t="n">
        <f aca="false">AH256-0.0005</f>
        <v>0.187995559215382</v>
      </c>
      <c r="AK256" s="1159" t="n">
        <f aca="false">IF(AND(дома!$Z$29&gt;=AJ256,дома!$Z$29&lt;=AI256),связи1!AG256,0)</f>
        <v>0</v>
      </c>
      <c r="AL256" s="1159" t="n">
        <f aca="false">IF(AND(дома!$AA$29&gt;=AJ256,дома!$AA$29&lt;=AI256),связи1!AG256,0)</f>
        <v>0</v>
      </c>
    </row>
    <row r="257" customFormat="false" ht="15" hidden="false" customHeight="false" outlineLevel="0" collapsed="false">
      <c r="A257" s="1200" t="s">
        <v>2539</v>
      </c>
      <c r="B257" s="1159" t="n">
        <v>198</v>
      </c>
      <c r="C257" s="1159" t="n">
        <v>350</v>
      </c>
      <c r="D257" s="1159" t="n">
        <v>398</v>
      </c>
      <c r="E257" s="1209" t="n">
        <f aca="false">B257*C257*D257/1000000000</f>
        <v>0.0275814</v>
      </c>
      <c r="F257" s="1210" t="n">
        <f aca="false">'Прайс лист'!F28</f>
        <v>5713.6</v>
      </c>
      <c r="G257" s="1207" t="n">
        <v>2200</v>
      </c>
      <c r="H257" s="1207" t="n">
        <v>450</v>
      </c>
      <c r="I257" s="1200" t="s">
        <v>2540</v>
      </c>
      <c r="J257" s="1200" t="s">
        <v>2541</v>
      </c>
      <c r="K257" s="1213" t="n">
        <v>198</v>
      </c>
      <c r="L257" s="1213" t="n">
        <v>350</v>
      </c>
      <c r="M257" s="1211" t="n">
        <v>548</v>
      </c>
      <c r="N257" s="1200" t="s">
        <v>2542</v>
      </c>
      <c r="O257" s="1200" t="s">
        <v>2543</v>
      </c>
      <c r="P257" s="1200" t="s">
        <v>2544</v>
      </c>
      <c r="Q257" s="1159" t="n">
        <v>198</v>
      </c>
      <c r="R257" s="1159" t="n">
        <v>350</v>
      </c>
      <c r="S257" s="1159" t="n">
        <v>398</v>
      </c>
      <c r="T257" s="1209" t="n">
        <f aca="false">Q257*R257*S257/1000000000</f>
        <v>0.0275814</v>
      </c>
      <c r="U257" s="1210" t="n">
        <f aca="false">F257</f>
        <v>5713.6</v>
      </c>
      <c r="V257" s="1207" t="n">
        <v>2200</v>
      </c>
      <c r="W257" s="1207" t="n">
        <v>450</v>
      </c>
      <c r="X257" s="1198"/>
      <c r="Y257" s="1198"/>
      <c r="Z257" s="1198"/>
      <c r="AA257" s="1200" t="s">
        <v>954</v>
      </c>
      <c r="AB257" s="1213" t="n">
        <v>198</v>
      </c>
      <c r="AC257" s="1213" t="n">
        <v>350</v>
      </c>
      <c r="AD257" s="1159" t="n">
        <v>198</v>
      </c>
      <c r="AG257" s="1159" t="n">
        <v>10.9</v>
      </c>
      <c r="AH257" s="1193" t="n">
        <f aca="false">AG257*3.1415926535897/180</f>
        <v>0.190240888467376</v>
      </c>
      <c r="AI257" s="1193" t="n">
        <f aca="false">AH257+0.0005</f>
        <v>0.190740888467376</v>
      </c>
      <c r="AJ257" s="1193" t="n">
        <f aca="false">AH257-0.0005</f>
        <v>0.189740888467376</v>
      </c>
      <c r="AK257" s="1159" t="n">
        <f aca="false">IF(AND(дома!$Z$29&gt;=AJ257,дома!$Z$29&lt;=AI257),связи1!AG257,0)</f>
        <v>0</v>
      </c>
      <c r="AL257" s="1159" t="n">
        <f aca="false">IF(AND(дома!$AA$29&gt;=AJ257,дома!$AA$29&lt;=AI257),связи1!AG257,0)</f>
        <v>0</v>
      </c>
    </row>
    <row r="258" customFormat="false" ht="15" hidden="false" customHeight="false" outlineLevel="0" collapsed="false">
      <c r="A258" s="1200" t="s">
        <v>2545</v>
      </c>
      <c r="B258" s="1159" t="n">
        <v>200</v>
      </c>
      <c r="C258" s="1159" t="n">
        <v>300</v>
      </c>
      <c r="D258" s="1159" t="n">
        <v>390</v>
      </c>
      <c r="E258" s="1209" t="n">
        <f aca="false">B258*C258*D258/1000000000</f>
        <v>0.0234</v>
      </c>
      <c r="F258" s="1212" t="n">
        <f aca="false">'Прайс лист'!F31</f>
        <v>6250</v>
      </c>
      <c r="G258" s="1207" t="n">
        <v>2200</v>
      </c>
      <c r="H258" s="1207" t="n">
        <v>450</v>
      </c>
      <c r="I258" s="1200" t="s">
        <v>2546</v>
      </c>
      <c r="J258" s="1200" t="s">
        <v>2547</v>
      </c>
      <c r="K258" s="1213" t="n">
        <v>200</v>
      </c>
      <c r="L258" s="1213" t="n">
        <v>300</v>
      </c>
      <c r="M258" s="1201" t="n">
        <v>500</v>
      </c>
      <c r="N258" s="1200" t="s">
        <v>2548</v>
      </c>
      <c r="O258" s="1200" t="s">
        <v>2549</v>
      </c>
      <c r="P258" s="1200" t="s">
        <v>2550</v>
      </c>
      <c r="Q258" s="1159" t="n">
        <v>200</v>
      </c>
      <c r="R258" s="1159" t="n">
        <v>300</v>
      </c>
      <c r="S258" s="1159" t="n">
        <v>390</v>
      </c>
      <c r="T258" s="1209" t="n">
        <f aca="false">Q258*R258*S258/1000000000</f>
        <v>0.0234</v>
      </c>
      <c r="U258" s="1212" t="n">
        <f aca="false">F258</f>
        <v>6250</v>
      </c>
      <c r="V258" s="1207" t="n">
        <v>2200</v>
      </c>
      <c r="W258" s="1207" t="n">
        <v>450</v>
      </c>
      <c r="X258" s="1198"/>
      <c r="Y258" s="1198"/>
      <c r="Z258" s="1198"/>
      <c r="AA258" s="1200" t="s">
        <v>957</v>
      </c>
      <c r="AB258" s="1215" t="n">
        <v>200</v>
      </c>
      <c r="AC258" s="1215" t="n">
        <v>300</v>
      </c>
      <c r="AD258" s="1159" t="n">
        <v>194</v>
      </c>
      <c r="AG258" s="1159" t="n">
        <v>11</v>
      </c>
      <c r="AH258" s="1193" t="n">
        <f aca="false">AG258*3.1415926535897/180</f>
        <v>0.191986217719371</v>
      </c>
      <c r="AI258" s="1193" t="n">
        <f aca="false">AH258+0.0005</f>
        <v>0.192486217719371</v>
      </c>
      <c r="AJ258" s="1193" t="n">
        <f aca="false">AH258-0.0005</f>
        <v>0.191486217719371</v>
      </c>
      <c r="AK258" s="1159" t="n">
        <f aca="false">IF(AND(дома!$Z$29&gt;=AJ258,дома!$Z$29&lt;=AI258),связи1!AG258,0)</f>
        <v>0</v>
      </c>
      <c r="AL258" s="1159" t="n">
        <f aca="false">IF(AND(дома!$AA$29&gt;=AJ258,дома!$AA$29&lt;=AI258),связи1!AG258,0)</f>
        <v>0</v>
      </c>
    </row>
    <row r="259" customFormat="false" ht="15" hidden="false" customHeight="false" outlineLevel="0" collapsed="false">
      <c r="A259" s="1200" t="s">
        <v>2551</v>
      </c>
      <c r="B259" s="1159" t="n">
        <v>200</v>
      </c>
      <c r="C259" s="1159" t="n">
        <v>390</v>
      </c>
      <c r="D259" s="1159" t="n">
        <v>390</v>
      </c>
      <c r="E259" s="1209" t="n">
        <f aca="false">B259*C259*D259/1000000000</f>
        <v>0.03042</v>
      </c>
      <c r="F259" s="1210" t="n">
        <f aca="false">'Прайс лист'!F39</f>
        <v>4419.35</v>
      </c>
      <c r="G259" s="1207" t="n">
        <v>2200</v>
      </c>
      <c r="H259" s="1207" t="n">
        <v>450</v>
      </c>
      <c r="I259" s="1200" t="s">
        <v>2517</v>
      </c>
      <c r="J259" s="1200" t="s">
        <v>2518</v>
      </c>
      <c r="K259" s="1213" t="n">
        <v>200</v>
      </c>
      <c r="L259" s="1213" t="n">
        <v>390</v>
      </c>
      <c r="M259" s="1201" t="n">
        <v>590</v>
      </c>
      <c r="N259" s="1200" t="s">
        <v>2552</v>
      </c>
      <c r="O259" s="1200" t="s">
        <v>2553</v>
      </c>
      <c r="P259" s="1200" t="s">
        <v>2521</v>
      </c>
      <c r="Q259" s="1159" t="n">
        <v>200</v>
      </c>
      <c r="R259" s="1159" t="n">
        <v>390</v>
      </c>
      <c r="S259" s="1159" t="n">
        <v>390</v>
      </c>
      <c r="T259" s="1209" t="n">
        <f aca="false">Q259*R259*S259/1000000000</f>
        <v>0.03042</v>
      </c>
      <c r="U259" s="1210" t="n">
        <f aca="false">F259</f>
        <v>4419.35</v>
      </c>
      <c r="V259" s="1207" t="n">
        <v>2200</v>
      </c>
      <c r="W259" s="1207" t="n">
        <v>450</v>
      </c>
      <c r="X259" s="1198"/>
      <c r="Y259" s="1198"/>
      <c r="Z259" s="1198"/>
      <c r="AA259" s="1200" t="s">
        <v>939</v>
      </c>
      <c r="AB259" s="1215" t="n">
        <v>200</v>
      </c>
      <c r="AC259" s="1216" t="n">
        <v>390</v>
      </c>
      <c r="AD259" s="1159" t="n">
        <v>194</v>
      </c>
      <c r="AG259" s="1159" t="n">
        <v>11.1</v>
      </c>
      <c r="AH259" s="1193" t="n">
        <f aca="false">AG259*3.1415926535897/180</f>
        <v>0.193731546971365</v>
      </c>
      <c r="AI259" s="1193" t="n">
        <f aca="false">AH259+0.0005</f>
        <v>0.194231546971365</v>
      </c>
      <c r="AJ259" s="1193" t="n">
        <f aca="false">AH259-0.0005</f>
        <v>0.193231546971365</v>
      </c>
      <c r="AK259" s="1159" t="n">
        <f aca="false">IF(AND(дома!$Z$29&gt;=AJ259,дома!$Z$29&lt;=AI259),связи1!AG259,0)</f>
        <v>0</v>
      </c>
      <c r="AL259" s="1159" t="n">
        <f aca="false">IF(AND(дома!$AA$29&gt;=AJ259,дома!$AA$29&lt;=AI259),связи1!AG259,0)</f>
        <v>0</v>
      </c>
    </row>
    <row r="260" customFormat="false" ht="15.75" hidden="false" customHeight="false" outlineLevel="0" collapsed="false">
      <c r="A260" s="1159" t="s">
        <v>2554</v>
      </c>
      <c r="B260" s="1159" t="n">
        <v>198</v>
      </c>
      <c r="C260" s="1159" t="n">
        <v>340</v>
      </c>
      <c r="D260" s="1159" t="n">
        <v>398</v>
      </c>
      <c r="E260" s="1209" t="n">
        <f aca="false">B260*C260*D260/1000000000</f>
        <v>0.02679336</v>
      </c>
      <c r="F260" s="1210" t="n">
        <f aca="false">'Прайс лист'!F42</f>
        <v>4407.41</v>
      </c>
      <c r="G260" s="1207" t="n">
        <v>2200</v>
      </c>
      <c r="H260" s="1207" t="n">
        <v>450</v>
      </c>
      <c r="I260" s="1159" t="s">
        <v>2523</v>
      </c>
      <c r="J260" s="1159" t="s">
        <v>2524</v>
      </c>
      <c r="K260" s="1213" t="n">
        <v>198</v>
      </c>
      <c r="L260" s="1213" t="n">
        <v>340</v>
      </c>
      <c r="M260" s="1201" t="n">
        <v>538</v>
      </c>
      <c r="N260" s="1159" t="s">
        <v>2555</v>
      </c>
      <c r="O260" s="1159" t="s">
        <v>2526</v>
      </c>
      <c r="P260" s="1159" t="s">
        <v>2527</v>
      </c>
      <c r="Q260" s="1159" t="n">
        <v>198</v>
      </c>
      <c r="R260" s="1159" t="n">
        <v>340</v>
      </c>
      <c r="S260" s="1159" t="n">
        <v>398</v>
      </c>
      <c r="T260" s="1209" t="n">
        <f aca="false">Q260*R260*S260/1000000000</f>
        <v>0.02679336</v>
      </c>
      <c r="U260" s="1210" t="n">
        <f aca="false">F260</f>
        <v>4407.41</v>
      </c>
      <c r="V260" s="1207" t="n">
        <v>2200</v>
      </c>
      <c r="W260" s="1207" t="n">
        <v>450</v>
      </c>
      <c r="X260" s="1205"/>
      <c r="Y260" s="1205"/>
      <c r="Z260" s="1205"/>
      <c r="AA260" s="1159" t="s">
        <v>944</v>
      </c>
      <c r="AB260" s="1213" t="n">
        <v>198</v>
      </c>
      <c r="AC260" s="1213" t="n">
        <v>340</v>
      </c>
      <c r="AD260" s="1159" t="n">
        <v>198</v>
      </c>
      <c r="AG260" s="1159" t="n">
        <v>11.2</v>
      </c>
      <c r="AH260" s="1193" t="n">
        <f aca="false">AG260*3.1415926535897/180</f>
        <v>0.195476876223359</v>
      </c>
      <c r="AI260" s="1193" t="n">
        <f aca="false">AH260+0.0005</f>
        <v>0.195976876223359</v>
      </c>
      <c r="AJ260" s="1193" t="n">
        <f aca="false">AH260-0.0005</f>
        <v>0.194976876223359</v>
      </c>
      <c r="AK260" s="1159" t="n">
        <f aca="false">IF(AND(дома!$Z$29&gt;=AJ260,дома!$Z$29&lt;=AI260),связи1!AG260,0)</f>
        <v>0</v>
      </c>
      <c r="AL260" s="1159" t="n">
        <f aca="false">IF(AND(дома!$AA$29&gt;=AJ260,дома!$AA$29&lt;=AI260),связи1!AG260,0)</f>
        <v>0</v>
      </c>
    </row>
    <row r="261" customFormat="false" ht="15" hidden="false" customHeight="false" outlineLevel="0" collapsed="false">
      <c r="A261" s="1200" t="s">
        <v>2556</v>
      </c>
      <c r="B261" s="1159" t="n">
        <v>200</v>
      </c>
      <c r="C261" s="1159" t="n">
        <v>290</v>
      </c>
      <c r="D261" s="1159" t="n">
        <v>390</v>
      </c>
      <c r="E261" s="1209" t="n">
        <f aca="false">B261*C261*D261/1000000000</f>
        <v>0.02262</v>
      </c>
      <c r="F261" s="1210" t="n">
        <f aca="false">'Прайс лист'!F41</f>
        <v>4434.78</v>
      </c>
      <c r="G261" s="1207" t="n">
        <v>2200</v>
      </c>
      <c r="H261" s="1207" t="n">
        <v>450</v>
      </c>
      <c r="I261" s="1200" t="s">
        <v>2528</v>
      </c>
      <c r="J261" s="1200" t="s">
        <v>2529</v>
      </c>
      <c r="K261" s="1213" t="n">
        <v>200</v>
      </c>
      <c r="L261" s="1213" t="n">
        <v>290</v>
      </c>
      <c r="M261" s="1201" t="n">
        <v>490</v>
      </c>
      <c r="N261" s="1200" t="s">
        <v>2557</v>
      </c>
      <c r="O261" s="1200" t="s">
        <v>2531</v>
      </c>
      <c r="P261" s="1200" t="s">
        <v>2532</v>
      </c>
      <c r="Q261" s="1159" t="n">
        <v>200</v>
      </c>
      <c r="R261" s="1159" t="n">
        <v>290</v>
      </c>
      <c r="S261" s="1159" t="n">
        <v>390</v>
      </c>
      <c r="T261" s="1209" t="n">
        <f aca="false">Q261*R261*S261/1000000000</f>
        <v>0.02262</v>
      </c>
      <c r="U261" s="1210" t="n">
        <f aca="false">F261</f>
        <v>4434.78</v>
      </c>
      <c r="V261" s="1207" t="n">
        <v>2200</v>
      </c>
      <c r="W261" s="1207" t="n">
        <v>450</v>
      </c>
      <c r="X261" s="1198"/>
      <c r="Y261" s="1198"/>
      <c r="Z261" s="1198"/>
      <c r="AA261" s="1200" t="s">
        <v>947</v>
      </c>
      <c r="AB261" s="1215" t="n">
        <v>200</v>
      </c>
      <c r="AC261" s="1215" t="n">
        <v>290</v>
      </c>
      <c r="AD261" s="1159" t="n">
        <v>194</v>
      </c>
      <c r="AG261" s="1159" t="n">
        <v>11.3</v>
      </c>
      <c r="AH261" s="1193" t="n">
        <f aca="false">AG261*3.1415926535897/180</f>
        <v>0.197222205475353</v>
      </c>
      <c r="AI261" s="1193" t="n">
        <f aca="false">AH261+0.0005</f>
        <v>0.197722205475353</v>
      </c>
      <c r="AJ261" s="1193" t="n">
        <f aca="false">AH261-0.0005</f>
        <v>0.196722205475353</v>
      </c>
      <c r="AK261" s="1159" t="n">
        <f aca="false">IF(AND(дома!$Z$29&gt;=AJ261,дома!$Z$29&lt;=AI261),связи1!AG261,0)</f>
        <v>0</v>
      </c>
      <c r="AL261" s="1159" t="n">
        <f aca="false">IF(AND(дома!$AA$29&gt;=AJ261,дома!$AA$29&lt;=AI261),связи1!AG261,0)</f>
        <v>0</v>
      </c>
    </row>
    <row r="262" customFormat="false" ht="15" hidden="false" customHeight="false" outlineLevel="0" collapsed="false">
      <c r="A262" s="1200" t="s">
        <v>963</v>
      </c>
      <c r="B262" s="1159" t="n">
        <v>200</v>
      </c>
      <c r="C262" s="1159" t="n">
        <v>300</v>
      </c>
      <c r="D262" s="1159" t="n">
        <v>390</v>
      </c>
      <c r="E262" s="1209" t="n">
        <f aca="false">B262*C262*D262/1000000000</f>
        <v>0.0234</v>
      </c>
      <c r="F262" s="1210" t="n">
        <f aca="false">'Прайс лист'!F61</f>
        <v>4200</v>
      </c>
      <c r="G262" s="1213" t="n">
        <v>3000</v>
      </c>
      <c r="H262" s="1207" t="n">
        <v>450</v>
      </c>
      <c r="I262" s="1200" t="s">
        <v>2517</v>
      </c>
      <c r="J262" s="1200" t="s">
        <v>2518</v>
      </c>
      <c r="K262" s="1213" t="n">
        <v>200</v>
      </c>
      <c r="L262" s="1213" t="n">
        <v>390</v>
      </c>
      <c r="M262" s="1201" t="n">
        <v>600</v>
      </c>
      <c r="N262" s="1200" t="s">
        <v>2558</v>
      </c>
      <c r="O262" s="1200" t="s">
        <v>2553</v>
      </c>
      <c r="P262" s="1200" t="s">
        <v>2521</v>
      </c>
      <c r="Q262" s="1159" t="n">
        <v>200</v>
      </c>
      <c r="R262" s="1159" t="n">
        <v>300</v>
      </c>
      <c r="S262" s="1159" t="n">
        <v>390</v>
      </c>
      <c r="T262" s="1209" t="n">
        <f aca="false">Q262*R262*S262/1000000000</f>
        <v>0.0234</v>
      </c>
      <c r="U262" s="1210" t="n">
        <f aca="false">F262</f>
        <v>4200</v>
      </c>
      <c r="V262" s="1213" t="n">
        <v>3000</v>
      </c>
      <c r="W262" s="1207" t="n">
        <v>450</v>
      </c>
      <c r="X262" s="1198"/>
      <c r="Y262" s="1198"/>
      <c r="Z262" s="1198"/>
      <c r="AA262" s="1200" t="s">
        <v>957</v>
      </c>
      <c r="AB262" s="1159"/>
      <c r="AC262" s="1159"/>
      <c r="AD262" s="1159" t="n">
        <v>194</v>
      </c>
      <c r="AG262" s="1159" t="n">
        <v>11.4</v>
      </c>
      <c r="AH262" s="1193" t="n">
        <f aca="false">AG262*3.1415926535897/180</f>
        <v>0.198967534727348</v>
      </c>
      <c r="AI262" s="1193" t="n">
        <f aca="false">AH262+0.0005</f>
        <v>0.199467534727348</v>
      </c>
      <c r="AJ262" s="1193" t="n">
        <f aca="false">AH262-0.0005</f>
        <v>0.198467534727348</v>
      </c>
      <c r="AK262" s="1159" t="n">
        <f aca="false">IF(AND(дома!$Z$29&gt;=AJ262,дома!$Z$29&lt;=AI262),связи1!AG262,0)</f>
        <v>0</v>
      </c>
      <c r="AL262" s="1159" t="n">
        <f aca="false">IF(AND(дома!$AA$29&gt;=AJ262,дома!$AA$29&lt;=AI262),связи1!AG262,0)</f>
        <v>0</v>
      </c>
    </row>
    <row r="263" customFormat="false" ht="15" hidden="false" customHeight="false" outlineLevel="0" collapsed="false">
      <c r="A263" s="1200" t="s">
        <v>964</v>
      </c>
      <c r="B263" s="1159" t="n">
        <v>200</v>
      </c>
      <c r="C263" s="1159" t="n">
        <v>400</v>
      </c>
      <c r="D263" s="1159" t="n">
        <v>390</v>
      </c>
      <c r="E263" s="1209" t="n">
        <f aca="false">B263*C263*D263/1000000000</f>
        <v>0.0312</v>
      </c>
      <c r="F263" s="1210" t="n">
        <f aca="false">'Прайс лист'!F62</f>
        <v>4200</v>
      </c>
      <c r="G263" s="1213" t="n">
        <v>3000</v>
      </c>
      <c r="H263" s="1207" t="n">
        <v>450</v>
      </c>
      <c r="I263" s="1200" t="s">
        <v>2534</v>
      </c>
      <c r="J263" s="1200" t="s">
        <v>2535</v>
      </c>
      <c r="K263" s="1213" t="n">
        <v>200</v>
      </c>
      <c r="L263" s="1213" t="n">
        <v>400</v>
      </c>
      <c r="M263" s="1201" t="n">
        <v>600</v>
      </c>
      <c r="N263" s="1200" t="s">
        <v>2559</v>
      </c>
      <c r="O263" s="1200" t="s">
        <v>2560</v>
      </c>
      <c r="P263" s="1200" t="s">
        <v>2538</v>
      </c>
      <c r="Q263" s="1159" t="n">
        <v>200</v>
      </c>
      <c r="R263" s="1159" t="n">
        <v>400</v>
      </c>
      <c r="S263" s="1159" t="n">
        <v>390</v>
      </c>
      <c r="T263" s="1209" t="n">
        <f aca="false">Q263*R263*S263/1000000000</f>
        <v>0.0312</v>
      </c>
      <c r="U263" s="1210" t="n">
        <f aca="false">F263</f>
        <v>4200</v>
      </c>
      <c r="V263" s="1213" t="n">
        <v>3000</v>
      </c>
      <c r="W263" s="1207" t="n">
        <v>450</v>
      </c>
      <c r="X263" s="1198"/>
      <c r="Y263" s="1198"/>
      <c r="Z263" s="1198"/>
      <c r="AA263" s="1200" t="s">
        <v>951</v>
      </c>
      <c r="AB263" s="1159"/>
      <c r="AC263" s="1159"/>
      <c r="AD263" s="1159" t="n">
        <v>194</v>
      </c>
      <c r="AG263" s="1159" t="n">
        <v>11.5</v>
      </c>
      <c r="AH263" s="1193" t="n">
        <f aca="false">AG263*3.1415926535897/180</f>
        <v>0.200712863979342</v>
      </c>
      <c r="AI263" s="1193" t="n">
        <f aca="false">AH263+0.0005</f>
        <v>0.201212863979342</v>
      </c>
      <c r="AJ263" s="1193" t="n">
        <f aca="false">AH263-0.0005</f>
        <v>0.200212863979342</v>
      </c>
      <c r="AK263" s="1159" t="n">
        <f aca="false">IF(AND(дома!$Z$29&gt;=AJ263,дома!$Z$29&lt;=AI263),связи1!AG263,0)</f>
        <v>0</v>
      </c>
      <c r="AL263" s="1159" t="n">
        <f aca="false">IF(AND(дома!$AA$29&gt;=AJ263,дома!$AA$29&lt;=AI263),связи1!AG263,0)</f>
        <v>0</v>
      </c>
    </row>
    <row r="264" customFormat="false" ht="15" hidden="false" customHeight="false" outlineLevel="0" collapsed="false">
      <c r="A264" s="1200" t="s">
        <v>758</v>
      </c>
      <c r="B264" s="1159" t="n">
        <v>200</v>
      </c>
      <c r="C264" s="1159" t="n">
        <v>100</v>
      </c>
      <c r="D264" s="1159" t="n">
        <v>390</v>
      </c>
      <c r="E264" s="1209" t="n">
        <f aca="false">B264*C264*D264/1000000000</f>
        <v>0.0078</v>
      </c>
      <c r="F264" s="1210" t="n">
        <f aca="false">'Прайс лист'!F69</f>
        <v>0</v>
      </c>
      <c r="G264" s="1213" t="n">
        <v>3000</v>
      </c>
      <c r="H264" s="1207" t="n">
        <v>450</v>
      </c>
      <c r="I264" s="1200" t="s">
        <v>2561</v>
      </c>
      <c r="J264" s="1200" t="s">
        <v>2562</v>
      </c>
      <c r="K264" s="1213" t="n">
        <v>200</v>
      </c>
      <c r="L264" s="1213" t="n">
        <v>100</v>
      </c>
      <c r="M264" s="1201" t="n">
        <v>600</v>
      </c>
      <c r="N264" s="1200" t="s">
        <v>2563</v>
      </c>
      <c r="O264" s="1200" t="s">
        <v>2564</v>
      </c>
      <c r="P264" s="1200" t="s">
        <v>2565</v>
      </c>
      <c r="Q264" s="1159" t="n">
        <v>200</v>
      </c>
      <c r="R264" s="1159" t="n">
        <v>100</v>
      </c>
      <c r="S264" s="1159" t="n">
        <v>390</v>
      </c>
      <c r="T264" s="1209" t="n">
        <f aca="false">Q264*R264*S264/1000000000</f>
        <v>0.0078</v>
      </c>
      <c r="U264" s="1210" t="n">
        <f aca="false">F264</f>
        <v>0</v>
      </c>
      <c r="V264" s="1213" t="n">
        <v>3000</v>
      </c>
      <c r="W264" s="1207" t="n">
        <v>450</v>
      </c>
      <c r="X264" s="1198"/>
      <c r="Y264" s="1198"/>
      <c r="Z264" s="1198"/>
      <c r="AA264" s="1200"/>
      <c r="AB264" s="1159"/>
      <c r="AC264" s="1159"/>
      <c r="AD264" s="1159"/>
      <c r="AG264" s="1159"/>
      <c r="AH264" s="1193"/>
      <c r="AI264" s="1193"/>
      <c r="AJ264" s="1193"/>
      <c r="AK264" s="1159"/>
      <c r="AL264" s="1159"/>
    </row>
    <row r="265" customFormat="false" ht="15" hidden="false" customHeight="false" outlineLevel="0" collapsed="false">
      <c r="A265" s="1200" t="s">
        <v>756</v>
      </c>
      <c r="B265" s="1159" t="n">
        <v>200</v>
      </c>
      <c r="C265" s="1159" t="n">
        <v>200</v>
      </c>
      <c r="D265" s="1159" t="n">
        <v>390</v>
      </c>
      <c r="E265" s="1209" t="n">
        <f aca="false">B265*C265*D265/1000000000</f>
        <v>0.0156</v>
      </c>
      <c r="F265" s="1210" t="n">
        <f aca="false">'Прайс лист'!F70</f>
        <v>0</v>
      </c>
      <c r="G265" s="1213" t="n">
        <v>3000</v>
      </c>
      <c r="H265" s="1207" t="n">
        <v>450</v>
      </c>
      <c r="I265" s="1200" t="s">
        <v>2566</v>
      </c>
      <c r="J265" s="1200" t="s">
        <v>2567</v>
      </c>
      <c r="K265" s="1213" t="n">
        <v>200</v>
      </c>
      <c r="L265" s="1213" t="n">
        <v>200</v>
      </c>
      <c r="M265" s="1201" t="n">
        <v>600</v>
      </c>
      <c r="N265" s="1200" t="s">
        <v>2568</v>
      </c>
      <c r="O265" s="1200" t="s">
        <v>2569</v>
      </c>
      <c r="P265" s="1200" t="s">
        <v>2570</v>
      </c>
      <c r="Q265" s="1159" t="n">
        <v>200</v>
      </c>
      <c r="R265" s="1159" t="n">
        <v>200</v>
      </c>
      <c r="S265" s="1159" t="n">
        <v>390</v>
      </c>
      <c r="T265" s="1209" t="n">
        <f aca="false">Q265*R265*S265/1000000000</f>
        <v>0.0156</v>
      </c>
      <c r="U265" s="1210" t="n">
        <f aca="false">F265</f>
        <v>0</v>
      </c>
      <c r="V265" s="1213" t="n">
        <v>3000</v>
      </c>
      <c r="W265" s="1207" t="n">
        <v>450</v>
      </c>
      <c r="X265" s="1198"/>
      <c r="Y265" s="1198"/>
      <c r="Z265" s="1198"/>
      <c r="AA265" s="1200"/>
      <c r="AB265" s="1159"/>
      <c r="AC265" s="1159"/>
      <c r="AD265" s="1159"/>
      <c r="AG265" s="1159"/>
      <c r="AH265" s="1193"/>
      <c r="AI265" s="1193"/>
      <c r="AJ265" s="1193"/>
      <c r="AK265" s="1159"/>
      <c r="AL265" s="1159"/>
    </row>
    <row r="266" customFormat="false" ht="15" hidden="false" customHeight="false" outlineLevel="0" collapsed="false">
      <c r="A266" s="1200" t="s">
        <v>754</v>
      </c>
      <c r="B266" s="1159" t="n">
        <v>200</v>
      </c>
      <c r="C266" s="1159" t="n">
        <v>300</v>
      </c>
      <c r="D266" s="1159" t="n">
        <v>390</v>
      </c>
      <c r="E266" s="1209" t="n">
        <f aca="false">B266*C266*D266/1000000000</f>
        <v>0.0234</v>
      </c>
      <c r="F266" s="1210" t="n">
        <f aca="false">'Прайс лист'!F67</f>
        <v>4200</v>
      </c>
      <c r="G266" s="1213" t="n">
        <v>3000</v>
      </c>
      <c r="H266" s="1207" t="n">
        <v>450</v>
      </c>
      <c r="I266" s="1200" t="s">
        <v>2571</v>
      </c>
      <c r="J266" s="1200" t="s">
        <v>2572</v>
      </c>
      <c r="K266" s="1213" t="n">
        <v>200</v>
      </c>
      <c r="L266" s="1207" t="n">
        <v>300</v>
      </c>
      <c r="M266" s="1201" t="n">
        <v>600</v>
      </c>
      <c r="N266" s="1200" t="s">
        <v>2573</v>
      </c>
      <c r="O266" s="1200" t="s">
        <v>2574</v>
      </c>
      <c r="P266" s="1200" t="s">
        <v>2575</v>
      </c>
      <c r="Q266" s="1159" t="n">
        <v>200</v>
      </c>
      <c r="R266" s="1159" t="n">
        <v>300</v>
      </c>
      <c r="S266" s="1159" t="n">
        <v>390</v>
      </c>
      <c r="T266" s="1209" t="n">
        <f aca="false">Q266*R266*S266/1000000000</f>
        <v>0.0234</v>
      </c>
      <c r="U266" s="1210" t="n">
        <f aca="false">F266</f>
        <v>4200</v>
      </c>
      <c r="V266" s="1213" t="n">
        <v>3000</v>
      </c>
      <c r="W266" s="1207" t="n">
        <v>450</v>
      </c>
      <c r="X266" s="1198"/>
      <c r="Y266" s="1198"/>
      <c r="Z266" s="1198"/>
      <c r="AA266" s="1200" t="s">
        <v>957</v>
      </c>
      <c r="AB266" s="1159"/>
      <c r="AC266" s="1159"/>
      <c r="AD266" s="1159" t="n">
        <v>194</v>
      </c>
      <c r="AG266" s="1159" t="n">
        <v>11.6</v>
      </c>
      <c r="AH266" s="1193" t="n">
        <f aca="false">AG266*3.1415926535897/180</f>
        <v>0.202458193231336</v>
      </c>
      <c r="AI266" s="1193" t="n">
        <f aca="false">AH266+0.0005</f>
        <v>0.202958193231336</v>
      </c>
      <c r="AJ266" s="1193" t="n">
        <f aca="false">AH266-0.0005</f>
        <v>0.201958193231336</v>
      </c>
      <c r="AK266" s="1159" t="n">
        <f aca="false">IF(AND(дома!$Z$29&gt;=AJ266,дома!$Z$29&lt;=AI266),связи1!AG266,0)</f>
        <v>0</v>
      </c>
      <c r="AL266" s="1159" t="n">
        <f aca="false">IF(AND(дома!$AA$29&gt;=AJ266,дома!$AA$29&lt;=AI266),связи1!AG266,0)</f>
        <v>0</v>
      </c>
    </row>
    <row r="267" customFormat="false" ht="15" hidden="false" customHeight="false" outlineLevel="0" collapsed="false">
      <c r="A267" s="1200" t="s">
        <v>967</v>
      </c>
      <c r="B267" s="1159" t="n">
        <v>200</v>
      </c>
      <c r="C267" s="1159" t="n">
        <v>400</v>
      </c>
      <c r="D267" s="1159" t="n">
        <v>390</v>
      </c>
      <c r="E267" s="1209" t="n">
        <f aca="false">B267*C267*D267/1000000000</f>
        <v>0.0312</v>
      </c>
      <c r="F267" s="1210" t="n">
        <f aca="false">'Прайс лист'!F68</f>
        <v>4200</v>
      </c>
      <c r="G267" s="1213" t="n">
        <v>3000</v>
      </c>
      <c r="H267" s="1207" t="n">
        <v>450</v>
      </c>
      <c r="I267" s="1200" t="s">
        <v>2534</v>
      </c>
      <c r="J267" s="1200" t="s">
        <v>2535</v>
      </c>
      <c r="K267" s="1213" t="n">
        <v>200</v>
      </c>
      <c r="L267" s="1213" t="n">
        <v>400</v>
      </c>
      <c r="M267" s="1201" t="n">
        <v>600</v>
      </c>
      <c r="N267" s="1200" t="s">
        <v>2576</v>
      </c>
      <c r="O267" s="1200" t="s">
        <v>2560</v>
      </c>
      <c r="P267" s="1200" t="s">
        <v>2538</v>
      </c>
      <c r="Q267" s="1159" t="n">
        <v>200</v>
      </c>
      <c r="R267" s="1159" t="n">
        <v>400</v>
      </c>
      <c r="S267" s="1159" t="n">
        <v>390</v>
      </c>
      <c r="T267" s="1209" t="n">
        <f aca="false">Q267*R267*S267/1000000000</f>
        <v>0.0312</v>
      </c>
      <c r="U267" s="1210" t="n">
        <f aca="false">F267</f>
        <v>4200</v>
      </c>
      <c r="V267" s="1213" t="n">
        <v>3000</v>
      </c>
      <c r="W267" s="1207" t="n">
        <v>450</v>
      </c>
      <c r="X267" s="1198"/>
      <c r="Y267" s="1198"/>
      <c r="Z267" s="1198"/>
      <c r="AA267" s="1200" t="s">
        <v>951</v>
      </c>
      <c r="AB267" s="1159"/>
      <c r="AC267" s="1159"/>
      <c r="AD267" s="1159" t="n">
        <v>194</v>
      </c>
      <c r="AG267" s="1159" t="n">
        <v>11.7</v>
      </c>
      <c r="AH267" s="1193" t="n">
        <f aca="false">AG267*3.1415926535897/180</f>
        <v>0.20420352248333</v>
      </c>
      <c r="AI267" s="1193" t="n">
        <f aca="false">AH267+0.0005</f>
        <v>0.20470352248333</v>
      </c>
      <c r="AJ267" s="1193" t="n">
        <f aca="false">AH267-0.0005</f>
        <v>0.20370352248333</v>
      </c>
      <c r="AK267" s="1159" t="n">
        <f aca="false">IF(AND(дома!$Z$29&gt;=AJ267,дома!$Z$29&lt;=AI267),связи1!AG267,0)</f>
        <v>0</v>
      </c>
      <c r="AL267" s="1159" t="n">
        <f aca="false">IF(AND(дома!$AA$29&gt;=AJ267,дома!$AA$29&lt;=AI267),связи1!AG267,0)</f>
        <v>0</v>
      </c>
    </row>
    <row r="268" customFormat="false" ht="15" hidden="false" customHeight="false" outlineLevel="0" collapsed="false">
      <c r="A268" s="1200" t="s">
        <v>2577</v>
      </c>
      <c r="B268" s="1159" t="n">
        <v>200</v>
      </c>
      <c r="C268" s="1159" t="n">
        <v>100</v>
      </c>
      <c r="D268" s="1159" t="n">
        <v>390</v>
      </c>
      <c r="E268" s="1209" t="n">
        <f aca="false">B268*C268*D268/1000000000</f>
        <v>0.0078</v>
      </c>
      <c r="F268" s="1210" t="n">
        <f aca="false">'Прайс лист'!F75</f>
        <v>0</v>
      </c>
      <c r="G268" s="1213" t="n">
        <v>3000</v>
      </c>
      <c r="H268" s="1207" t="n">
        <v>450</v>
      </c>
      <c r="I268" s="1200" t="s">
        <v>2561</v>
      </c>
      <c r="J268" s="1200" t="s">
        <v>2562</v>
      </c>
      <c r="K268" s="1213" t="n">
        <v>200</v>
      </c>
      <c r="L268" s="1213" t="n">
        <v>100</v>
      </c>
      <c r="M268" s="1201" t="n">
        <v>600</v>
      </c>
      <c r="N268" s="1200" t="s">
        <v>2578</v>
      </c>
      <c r="O268" s="1200" t="s">
        <v>2564</v>
      </c>
      <c r="P268" s="1200" t="s">
        <v>2565</v>
      </c>
      <c r="Q268" s="1159" t="n">
        <v>200</v>
      </c>
      <c r="R268" s="1159" t="n">
        <v>100</v>
      </c>
      <c r="S268" s="1159" t="n">
        <v>390</v>
      </c>
      <c r="T268" s="1209" t="n">
        <f aca="false">Q268*R268*S268/1000000000</f>
        <v>0.0078</v>
      </c>
      <c r="U268" s="1210" t="n">
        <f aca="false">F268</f>
        <v>0</v>
      </c>
      <c r="V268" s="1213" t="n">
        <v>3000</v>
      </c>
      <c r="W268" s="1207" t="n">
        <v>450</v>
      </c>
      <c r="X268" s="1198"/>
      <c r="Y268" s="1198"/>
      <c r="Z268" s="1198"/>
      <c r="AA268" s="1200"/>
      <c r="AB268" s="1159"/>
      <c r="AC268" s="1159"/>
      <c r="AD268" s="1159"/>
      <c r="AG268" s="1159"/>
      <c r="AH268" s="1193"/>
      <c r="AI268" s="1193"/>
      <c r="AJ268" s="1193"/>
      <c r="AK268" s="1159"/>
      <c r="AL268" s="1159"/>
    </row>
    <row r="269" customFormat="false" ht="15" hidden="false" customHeight="false" outlineLevel="0" collapsed="false">
      <c r="A269" s="1200" t="s">
        <v>2579</v>
      </c>
      <c r="B269" s="1159" t="n">
        <v>200</v>
      </c>
      <c r="C269" s="1159" t="n">
        <v>200</v>
      </c>
      <c r="D269" s="1159" t="n">
        <v>390</v>
      </c>
      <c r="E269" s="1209" t="n">
        <f aca="false">B269*C269*D269/1000000000</f>
        <v>0.0156</v>
      </c>
      <c r="F269" s="1210" t="n">
        <f aca="false">'Прайс лист'!F76</f>
        <v>0</v>
      </c>
      <c r="G269" s="1213" t="n">
        <v>3000</v>
      </c>
      <c r="H269" s="1207" t="n">
        <v>450</v>
      </c>
      <c r="I269" s="1200" t="s">
        <v>2566</v>
      </c>
      <c r="J269" s="1200" t="s">
        <v>2567</v>
      </c>
      <c r="K269" s="1213" t="n">
        <v>200</v>
      </c>
      <c r="L269" s="1213" t="n">
        <v>200</v>
      </c>
      <c r="M269" s="1201" t="n">
        <v>600</v>
      </c>
      <c r="N269" s="1200" t="s">
        <v>2580</v>
      </c>
      <c r="O269" s="1200" t="s">
        <v>2569</v>
      </c>
      <c r="P269" s="1200" t="s">
        <v>2570</v>
      </c>
      <c r="Q269" s="1159" t="n">
        <v>200</v>
      </c>
      <c r="R269" s="1159" t="n">
        <v>200</v>
      </c>
      <c r="S269" s="1159" t="n">
        <v>390</v>
      </c>
      <c r="T269" s="1209" t="n">
        <f aca="false">Q269*R269*S269/1000000000</f>
        <v>0.0156</v>
      </c>
      <c r="U269" s="1210" t="n">
        <f aca="false">F269</f>
        <v>0</v>
      </c>
      <c r="V269" s="1213" t="n">
        <v>3000</v>
      </c>
      <c r="W269" s="1207" t="n">
        <v>450</v>
      </c>
      <c r="X269" s="1198"/>
      <c r="Y269" s="1198"/>
      <c r="Z269" s="1198"/>
      <c r="AA269" s="1200"/>
      <c r="AB269" s="1159"/>
      <c r="AC269" s="1159"/>
      <c r="AD269" s="1159"/>
      <c r="AG269" s="1159"/>
      <c r="AH269" s="1193"/>
      <c r="AI269" s="1193"/>
      <c r="AJ269" s="1193"/>
      <c r="AK269" s="1159"/>
      <c r="AL269" s="1159"/>
    </row>
    <row r="270" customFormat="false" ht="15" hidden="false" customHeight="false" outlineLevel="0" collapsed="false">
      <c r="A270" s="1200" t="s">
        <v>969</v>
      </c>
      <c r="B270" s="1159" t="n">
        <v>200</v>
      </c>
      <c r="C270" s="1159" t="n">
        <v>300</v>
      </c>
      <c r="D270" s="1159" t="n">
        <v>390</v>
      </c>
      <c r="E270" s="1209" t="n">
        <f aca="false">B270*C270*D270/1000000000</f>
        <v>0.0234</v>
      </c>
      <c r="F270" s="1210" t="n">
        <f aca="false">'Прайс лист'!F73</f>
        <v>4200</v>
      </c>
      <c r="G270" s="1213" t="n">
        <v>3000</v>
      </c>
      <c r="H270" s="1207" t="n">
        <v>450</v>
      </c>
      <c r="I270" s="1200" t="s">
        <v>2571</v>
      </c>
      <c r="J270" s="1200" t="s">
        <v>2572</v>
      </c>
      <c r="K270" s="1213" t="n">
        <v>200</v>
      </c>
      <c r="L270" s="1207" t="n">
        <v>300</v>
      </c>
      <c r="M270" s="1201" t="n">
        <v>600</v>
      </c>
      <c r="N270" s="1200" t="s">
        <v>2581</v>
      </c>
      <c r="O270" s="1200" t="s">
        <v>2574</v>
      </c>
      <c r="P270" s="1200" t="s">
        <v>2575</v>
      </c>
      <c r="Q270" s="1159" t="n">
        <v>200</v>
      </c>
      <c r="R270" s="1159" t="n">
        <v>300</v>
      </c>
      <c r="S270" s="1159" t="n">
        <v>390</v>
      </c>
      <c r="T270" s="1209" t="n">
        <f aca="false">Q270*R270*S270/1000000000</f>
        <v>0.0234</v>
      </c>
      <c r="U270" s="1210" t="n">
        <f aca="false">F270</f>
        <v>4200</v>
      </c>
      <c r="V270" s="1213" t="n">
        <v>3000</v>
      </c>
      <c r="W270" s="1207" t="n">
        <v>450</v>
      </c>
      <c r="X270" s="1198"/>
      <c r="Y270" s="1198"/>
      <c r="Z270" s="1198"/>
      <c r="AA270" s="1200" t="s">
        <v>957</v>
      </c>
      <c r="AB270" s="1159"/>
      <c r="AC270" s="1159"/>
      <c r="AD270" s="1159" t="n">
        <v>194</v>
      </c>
      <c r="AG270" s="1159" t="n">
        <v>11.8</v>
      </c>
      <c r="AH270" s="1193" t="n">
        <f aca="false">AG270*3.1415926535897/180</f>
        <v>0.205948851735325</v>
      </c>
      <c r="AI270" s="1193" t="n">
        <f aca="false">AH270+0.0005</f>
        <v>0.206448851735325</v>
      </c>
      <c r="AJ270" s="1193" t="n">
        <f aca="false">AH270-0.0005</f>
        <v>0.205448851735325</v>
      </c>
      <c r="AK270" s="1159" t="n">
        <f aca="false">IF(AND(дома!$Z$29&gt;=AJ270,дома!$Z$29&lt;=AI270),связи1!AG270,0)</f>
        <v>0</v>
      </c>
      <c r="AL270" s="1159" t="n">
        <f aca="false">IF(AND(дома!$AA$29&gt;=AJ270,дома!$AA$29&lt;=AI270),связи1!AG270,0)</f>
        <v>0</v>
      </c>
    </row>
    <row r="271" customFormat="false" ht="15" hidden="false" customHeight="false" outlineLevel="0" collapsed="false">
      <c r="A271" s="1200" t="s">
        <v>970</v>
      </c>
      <c r="B271" s="1159" t="n">
        <v>200</v>
      </c>
      <c r="C271" s="1159" t="n">
        <v>400</v>
      </c>
      <c r="D271" s="1159" t="n">
        <v>390</v>
      </c>
      <c r="E271" s="1209" t="n">
        <f aca="false">B271*C271*D271/1000000000</f>
        <v>0.0312</v>
      </c>
      <c r="F271" s="1210" t="n">
        <f aca="false">'Прайс лист'!F74</f>
        <v>4200</v>
      </c>
      <c r="G271" s="1213" t="n">
        <v>3000</v>
      </c>
      <c r="H271" s="1207" t="n">
        <v>450</v>
      </c>
      <c r="I271" s="1200" t="s">
        <v>2534</v>
      </c>
      <c r="J271" s="1200" t="s">
        <v>2535</v>
      </c>
      <c r="K271" s="1213" t="n">
        <v>200</v>
      </c>
      <c r="L271" s="1213" t="n">
        <v>400</v>
      </c>
      <c r="M271" s="1201" t="n">
        <v>600</v>
      </c>
      <c r="N271" s="1200" t="s">
        <v>2582</v>
      </c>
      <c r="O271" s="1200" t="s">
        <v>2560</v>
      </c>
      <c r="P271" s="1200" t="s">
        <v>2538</v>
      </c>
      <c r="Q271" s="1159" t="n">
        <v>200</v>
      </c>
      <c r="R271" s="1159" t="n">
        <v>400</v>
      </c>
      <c r="S271" s="1159" t="n">
        <v>390</v>
      </c>
      <c r="T271" s="1209" t="n">
        <f aca="false">Q271*R271*S271/1000000000</f>
        <v>0.0312</v>
      </c>
      <c r="U271" s="1210" t="n">
        <f aca="false">F271</f>
        <v>4200</v>
      </c>
      <c r="V271" s="1213" t="n">
        <v>3000</v>
      </c>
      <c r="W271" s="1207" t="n">
        <v>450</v>
      </c>
      <c r="X271" s="1198"/>
      <c r="Y271" s="1198"/>
      <c r="Z271" s="1198"/>
      <c r="AA271" s="1200" t="s">
        <v>951</v>
      </c>
      <c r="AB271" s="1159"/>
      <c r="AC271" s="1159"/>
      <c r="AD271" s="1159" t="n">
        <v>194</v>
      </c>
      <c r="AG271" s="1159" t="n">
        <v>11.9</v>
      </c>
      <c r="AH271" s="1193" t="n">
        <f aca="false">AG271*3.1415926535897/180</f>
        <v>0.207694180987319</v>
      </c>
      <c r="AI271" s="1193" t="n">
        <f aca="false">AH271+0.0005</f>
        <v>0.208194180987319</v>
      </c>
      <c r="AJ271" s="1193" t="n">
        <f aca="false">AH271-0.0005</f>
        <v>0.207194180987319</v>
      </c>
      <c r="AK271" s="1159" t="n">
        <f aca="false">IF(AND(дома!$Z$29&gt;=AJ271,дома!$Z$29&lt;=AI271),связи1!AG271,0)</f>
        <v>0</v>
      </c>
      <c r="AL271" s="1159" t="n">
        <f aca="false">IF(AND(дома!$AA$29&gt;=AJ271,дома!$AA$29&lt;=AI271),связи1!AG271,0)</f>
        <v>0</v>
      </c>
    </row>
    <row r="272" customFormat="false" ht="15" hidden="false" customHeight="false" outlineLevel="0" collapsed="false">
      <c r="A272" s="1200" t="s">
        <v>2583</v>
      </c>
      <c r="B272" s="1159" t="n">
        <v>200</v>
      </c>
      <c r="C272" s="1159" t="n">
        <v>100</v>
      </c>
      <c r="D272" s="1159" t="n">
        <v>390</v>
      </c>
      <c r="E272" s="1209" t="n">
        <f aca="false">B272*C272*D272/1000000000</f>
        <v>0.0078</v>
      </c>
      <c r="F272" s="1210" t="n">
        <f aca="false">'Прайс лист'!F81</f>
        <v>0</v>
      </c>
      <c r="G272" s="1213" t="n">
        <v>3000</v>
      </c>
      <c r="H272" s="1207" t="n">
        <v>450</v>
      </c>
      <c r="I272" s="1200" t="s">
        <v>2561</v>
      </c>
      <c r="J272" s="1200" t="s">
        <v>2562</v>
      </c>
      <c r="K272" s="1213" t="n">
        <v>200</v>
      </c>
      <c r="L272" s="1213" t="n">
        <v>100</v>
      </c>
      <c r="M272" s="1201" t="n">
        <v>600</v>
      </c>
      <c r="N272" s="1200" t="s">
        <v>2584</v>
      </c>
      <c r="O272" s="1200" t="s">
        <v>2564</v>
      </c>
      <c r="P272" s="1200" t="s">
        <v>2565</v>
      </c>
      <c r="Q272" s="1159" t="n">
        <v>200</v>
      </c>
      <c r="R272" s="1159" t="n">
        <v>100</v>
      </c>
      <c r="S272" s="1159" t="n">
        <v>390</v>
      </c>
      <c r="T272" s="1209" t="n">
        <f aca="false">Q272*R272*S272/1000000000</f>
        <v>0.0078</v>
      </c>
      <c r="U272" s="1210" t="n">
        <f aca="false">F272</f>
        <v>0</v>
      </c>
      <c r="V272" s="1213" t="n">
        <v>3000</v>
      </c>
      <c r="W272" s="1207" t="n">
        <v>450</v>
      </c>
      <c r="X272" s="1198"/>
      <c r="Y272" s="1198"/>
      <c r="Z272" s="1198"/>
      <c r="AA272" s="1200"/>
      <c r="AB272" s="1159"/>
      <c r="AC272" s="1159"/>
      <c r="AD272" s="1159"/>
      <c r="AG272" s="1159"/>
      <c r="AH272" s="1193"/>
      <c r="AI272" s="1193"/>
      <c r="AJ272" s="1193"/>
      <c r="AK272" s="1159"/>
      <c r="AL272" s="1159"/>
    </row>
    <row r="273" customFormat="false" ht="15" hidden="false" customHeight="false" outlineLevel="0" collapsed="false">
      <c r="A273" s="1200" t="s">
        <v>2585</v>
      </c>
      <c r="B273" s="1159" t="n">
        <v>200</v>
      </c>
      <c r="C273" s="1159" t="n">
        <v>200</v>
      </c>
      <c r="D273" s="1159" t="n">
        <v>390</v>
      </c>
      <c r="E273" s="1209" t="n">
        <f aca="false">B273*C273*D273/1000000000</f>
        <v>0.0156</v>
      </c>
      <c r="F273" s="1210" t="n">
        <f aca="false">'Прайс лист'!F82</f>
        <v>0</v>
      </c>
      <c r="G273" s="1213" t="n">
        <v>3000</v>
      </c>
      <c r="H273" s="1207" t="n">
        <v>450</v>
      </c>
      <c r="I273" s="1200" t="s">
        <v>2566</v>
      </c>
      <c r="J273" s="1200" t="s">
        <v>2567</v>
      </c>
      <c r="K273" s="1213" t="n">
        <v>200</v>
      </c>
      <c r="L273" s="1213" t="n">
        <v>200</v>
      </c>
      <c r="M273" s="1201" t="n">
        <v>600</v>
      </c>
      <c r="N273" s="1200" t="s">
        <v>2586</v>
      </c>
      <c r="O273" s="1200" t="s">
        <v>2569</v>
      </c>
      <c r="P273" s="1200" t="s">
        <v>2570</v>
      </c>
      <c r="Q273" s="1159" t="n">
        <v>200</v>
      </c>
      <c r="R273" s="1159" t="n">
        <v>200</v>
      </c>
      <c r="S273" s="1159" t="n">
        <v>390</v>
      </c>
      <c r="T273" s="1209" t="n">
        <f aca="false">Q273*R273*S273/1000000000</f>
        <v>0.0156</v>
      </c>
      <c r="U273" s="1210" t="n">
        <f aca="false">F273</f>
        <v>0</v>
      </c>
      <c r="V273" s="1213" t="n">
        <v>3000</v>
      </c>
      <c r="W273" s="1207" t="n">
        <v>450</v>
      </c>
      <c r="X273" s="1198"/>
      <c r="Y273" s="1198"/>
      <c r="Z273" s="1198"/>
      <c r="AA273" s="1200"/>
      <c r="AB273" s="1159"/>
      <c r="AC273" s="1159"/>
      <c r="AD273" s="1159"/>
      <c r="AG273" s="1159"/>
      <c r="AH273" s="1193"/>
      <c r="AI273" s="1193"/>
      <c r="AJ273" s="1193"/>
      <c r="AK273" s="1159"/>
      <c r="AL273" s="1159"/>
    </row>
    <row r="274" customFormat="false" ht="15" hidden="false" customHeight="false" outlineLevel="0" collapsed="false">
      <c r="A274" s="1200" t="s">
        <v>972</v>
      </c>
      <c r="B274" s="1159" t="n">
        <v>200</v>
      </c>
      <c r="C274" s="1159" t="n">
        <v>300</v>
      </c>
      <c r="D274" s="1159" t="n">
        <v>390</v>
      </c>
      <c r="E274" s="1209" t="n">
        <f aca="false">B274*C274*D274/1000000000</f>
        <v>0.0234</v>
      </c>
      <c r="F274" s="1210" t="n">
        <f aca="false">'Прайс лист'!F79</f>
        <v>4200</v>
      </c>
      <c r="G274" s="1213" t="n">
        <v>3000</v>
      </c>
      <c r="H274" s="1207" t="n">
        <v>450</v>
      </c>
      <c r="I274" s="1200" t="s">
        <v>2571</v>
      </c>
      <c r="J274" s="1200" t="s">
        <v>2572</v>
      </c>
      <c r="K274" s="1213" t="n">
        <v>200</v>
      </c>
      <c r="L274" s="1207" t="n">
        <v>300</v>
      </c>
      <c r="M274" s="1201" t="n">
        <v>600</v>
      </c>
      <c r="N274" s="1200" t="s">
        <v>2587</v>
      </c>
      <c r="O274" s="1200" t="s">
        <v>2574</v>
      </c>
      <c r="P274" s="1200" t="s">
        <v>2575</v>
      </c>
      <c r="Q274" s="1159" t="n">
        <v>200</v>
      </c>
      <c r="R274" s="1159" t="n">
        <v>300</v>
      </c>
      <c r="S274" s="1159" t="n">
        <v>390</v>
      </c>
      <c r="T274" s="1209" t="n">
        <f aca="false">Q274*R274*S274/1000000000</f>
        <v>0.0234</v>
      </c>
      <c r="U274" s="1210" t="n">
        <f aca="false">F274</f>
        <v>4200</v>
      </c>
      <c r="V274" s="1213" t="n">
        <v>3000</v>
      </c>
      <c r="W274" s="1207" t="n">
        <v>450</v>
      </c>
      <c r="X274" s="1198"/>
      <c r="Y274" s="1198"/>
      <c r="Z274" s="1198"/>
      <c r="AA274" s="1200" t="s">
        <v>957</v>
      </c>
      <c r="AB274" s="1159"/>
      <c r="AC274" s="1159"/>
      <c r="AD274" s="1159" t="n">
        <v>194</v>
      </c>
      <c r="AG274" s="1159" t="n">
        <v>12</v>
      </c>
      <c r="AH274" s="1193" t="n">
        <f aca="false">AG274*3.1415926535897/180</f>
        <v>0.209439510239313</v>
      </c>
      <c r="AI274" s="1193" t="n">
        <f aca="false">AH274+0.0005</f>
        <v>0.209939510239313</v>
      </c>
      <c r="AJ274" s="1193" t="n">
        <f aca="false">AH274-0.0005</f>
        <v>0.208939510239313</v>
      </c>
      <c r="AK274" s="1159" t="n">
        <f aca="false">IF(AND(дома!$Z$29&gt;=AJ274,дома!$Z$29&lt;=AI274),связи1!AG274,0)</f>
        <v>0</v>
      </c>
      <c r="AL274" s="1159" t="n">
        <f aca="false">IF(AND(дома!$AA$29&gt;=AJ274,дома!$AA$29&lt;=AI274),связи1!AG274,0)</f>
        <v>0</v>
      </c>
    </row>
    <row r="275" customFormat="false" ht="15" hidden="false" customHeight="false" outlineLevel="0" collapsed="false">
      <c r="A275" s="1200" t="s">
        <v>973</v>
      </c>
      <c r="B275" s="1159" t="n">
        <v>200</v>
      </c>
      <c r="C275" s="1159" t="n">
        <v>400</v>
      </c>
      <c r="D275" s="1159" t="n">
        <v>390</v>
      </c>
      <c r="E275" s="1209" t="n">
        <f aca="false">B275*C275*D275/1000000000</f>
        <v>0.0312</v>
      </c>
      <c r="F275" s="1210" t="n">
        <f aca="false">'Прайс лист'!F80</f>
        <v>4200</v>
      </c>
      <c r="G275" s="1213" t="n">
        <v>3000</v>
      </c>
      <c r="H275" s="1207" t="n">
        <v>450</v>
      </c>
      <c r="I275" s="1200" t="s">
        <v>2534</v>
      </c>
      <c r="J275" s="1200" t="s">
        <v>2535</v>
      </c>
      <c r="K275" s="1213" t="n">
        <v>200</v>
      </c>
      <c r="L275" s="1213" t="n">
        <v>400</v>
      </c>
      <c r="M275" s="1201" t="n">
        <v>600</v>
      </c>
      <c r="N275" s="1200" t="s">
        <v>2588</v>
      </c>
      <c r="O275" s="1200" t="s">
        <v>2560</v>
      </c>
      <c r="P275" s="1200" t="s">
        <v>2538</v>
      </c>
      <c r="Q275" s="1159" t="n">
        <v>200</v>
      </c>
      <c r="R275" s="1159" t="n">
        <v>400</v>
      </c>
      <c r="S275" s="1159" t="n">
        <v>390</v>
      </c>
      <c r="T275" s="1209" t="n">
        <f aca="false">Q275*R275*S275/1000000000</f>
        <v>0.0312</v>
      </c>
      <c r="U275" s="1210" t="n">
        <f aca="false">F275</f>
        <v>4200</v>
      </c>
      <c r="V275" s="1213" t="n">
        <v>3000</v>
      </c>
      <c r="W275" s="1207" t="n">
        <v>450</v>
      </c>
      <c r="X275" s="1198"/>
      <c r="Y275" s="1198"/>
      <c r="Z275" s="1198"/>
      <c r="AA275" s="1200" t="s">
        <v>951</v>
      </c>
      <c r="AB275" s="1159"/>
      <c r="AC275" s="1159"/>
      <c r="AD275" s="1159" t="n">
        <v>194</v>
      </c>
      <c r="AG275" s="1159" t="n">
        <v>12.1</v>
      </c>
      <c r="AH275" s="1193" t="n">
        <f aca="false">AG275*3.1415926535897/180</f>
        <v>0.211184839491308</v>
      </c>
      <c r="AI275" s="1193" t="n">
        <f aca="false">AH275+0.0005</f>
        <v>0.211684839491308</v>
      </c>
      <c r="AJ275" s="1193" t="n">
        <f aca="false">AH275-0.0005</f>
        <v>0.210684839491308</v>
      </c>
      <c r="AK275" s="1159" t="n">
        <f aca="false">IF(AND(дома!$Z$29&gt;=AJ275,дома!$Z$29&lt;=AI275),связи1!AG275,0)</f>
        <v>0</v>
      </c>
      <c r="AL275" s="1159" t="n">
        <f aca="false">IF(AND(дома!$AA$29&gt;=AJ275,дома!$AA$29&lt;=AI275),связи1!AG275,0)</f>
        <v>0</v>
      </c>
    </row>
    <row r="276" customFormat="false" ht="15" hidden="false" customHeight="false" outlineLevel="0" collapsed="false">
      <c r="A276" s="1200" t="s">
        <v>2589</v>
      </c>
      <c r="B276" s="1159" t="n">
        <v>200</v>
      </c>
      <c r="C276" s="1159" t="n">
        <v>100</v>
      </c>
      <c r="D276" s="1159" t="n">
        <v>390</v>
      </c>
      <c r="E276" s="1209" t="n">
        <f aca="false">B276*C276*D276/1000000000</f>
        <v>0.0078</v>
      </c>
      <c r="F276" s="1210" t="n">
        <f aca="false">'Прайс лист'!F87</f>
        <v>0</v>
      </c>
      <c r="G276" s="1213" t="n">
        <v>3000</v>
      </c>
      <c r="H276" s="1207" t="n">
        <v>450</v>
      </c>
      <c r="I276" s="1200" t="s">
        <v>2561</v>
      </c>
      <c r="J276" s="1200" t="s">
        <v>2562</v>
      </c>
      <c r="K276" s="1213" t="n">
        <v>200</v>
      </c>
      <c r="L276" s="1213" t="n">
        <v>100</v>
      </c>
      <c r="M276" s="1201" t="n">
        <v>600</v>
      </c>
      <c r="N276" s="1200" t="s">
        <v>2590</v>
      </c>
      <c r="O276" s="1200" t="s">
        <v>2564</v>
      </c>
      <c r="P276" s="1200" t="s">
        <v>2565</v>
      </c>
      <c r="Q276" s="1159" t="n">
        <v>200</v>
      </c>
      <c r="R276" s="1159" t="n">
        <v>100</v>
      </c>
      <c r="S276" s="1159" t="n">
        <v>390</v>
      </c>
      <c r="T276" s="1209" t="n">
        <f aca="false">Q276*R276*S276/1000000000</f>
        <v>0.0078</v>
      </c>
      <c r="U276" s="1210" t="n">
        <f aca="false">F276</f>
        <v>0</v>
      </c>
      <c r="V276" s="1213" t="n">
        <v>3000</v>
      </c>
      <c r="W276" s="1207" t="n">
        <v>450</v>
      </c>
      <c r="X276" s="1198"/>
      <c r="Y276" s="1198"/>
      <c r="Z276" s="1198"/>
      <c r="AA276" s="1200"/>
      <c r="AB276" s="1159"/>
      <c r="AC276" s="1159"/>
      <c r="AD276" s="1159"/>
      <c r="AG276" s="1159"/>
      <c r="AH276" s="1193"/>
      <c r="AI276" s="1193"/>
      <c r="AJ276" s="1193"/>
      <c r="AK276" s="1159"/>
      <c r="AL276" s="1159"/>
    </row>
    <row r="277" customFormat="false" ht="15" hidden="false" customHeight="false" outlineLevel="0" collapsed="false">
      <c r="A277" s="1200" t="s">
        <v>2591</v>
      </c>
      <c r="B277" s="1159" t="n">
        <v>200</v>
      </c>
      <c r="C277" s="1159" t="n">
        <v>200</v>
      </c>
      <c r="D277" s="1159" t="n">
        <v>390</v>
      </c>
      <c r="E277" s="1209" t="n">
        <f aca="false">B277*C277*D277/1000000000</f>
        <v>0.0156</v>
      </c>
      <c r="F277" s="1210" t="n">
        <f aca="false">'Прайс лист'!F88</f>
        <v>0</v>
      </c>
      <c r="G277" s="1213" t="n">
        <v>3000</v>
      </c>
      <c r="H277" s="1207" t="n">
        <v>450</v>
      </c>
      <c r="I277" s="1200" t="s">
        <v>2566</v>
      </c>
      <c r="J277" s="1200" t="s">
        <v>2567</v>
      </c>
      <c r="K277" s="1213" t="n">
        <v>200</v>
      </c>
      <c r="L277" s="1213" t="n">
        <v>200</v>
      </c>
      <c r="M277" s="1201" t="n">
        <v>600</v>
      </c>
      <c r="N277" s="1200" t="s">
        <v>2592</v>
      </c>
      <c r="O277" s="1200" t="s">
        <v>2569</v>
      </c>
      <c r="P277" s="1200" t="s">
        <v>2570</v>
      </c>
      <c r="Q277" s="1159" t="n">
        <v>200</v>
      </c>
      <c r="R277" s="1159" t="n">
        <v>200</v>
      </c>
      <c r="S277" s="1159" t="n">
        <v>390</v>
      </c>
      <c r="T277" s="1209" t="n">
        <f aca="false">Q277*R277*S277/1000000000</f>
        <v>0.0156</v>
      </c>
      <c r="U277" s="1210" t="n">
        <f aca="false">F277</f>
        <v>0</v>
      </c>
      <c r="V277" s="1213" t="n">
        <v>3000</v>
      </c>
      <c r="W277" s="1207" t="n">
        <v>450</v>
      </c>
      <c r="X277" s="1198"/>
      <c r="Y277" s="1198"/>
      <c r="Z277" s="1198"/>
      <c r="AA277" s="1200"/>
      <c r="AB277" s="1159"/>
      <c r="AC277" s="1159"/>
      <c r="AD277" s="1159"/>
      <c r="AG277" s="1159"/>
      <c r="AH277" s="1193"/>
      <c r="AI277" s="1193"/>
      <c r="AJ277" s="1193"/>
      <c r="AK277" s="1159"/>
      <c r="AL277" s="1159"/>
    </row>
    <row r="278" customFormat="false" ht="15.75" hidden="false" customHeight="false" outlineLevel="0" collapsed="false">
      <c r="A278" s="1200" t="s">
        <v>975</v>
      </c>
      <c r="B278" s="1159" t="n">
        <v>200</v>
      </c>
      <c r="C278" s="1159" t="n">
        <v>300</v>
      </c>
      <c r="D278" s="1159" t="n">
        <v>390</v>
      </c>
      <c r="E278" s="1209" t="n">
        <f aca="false">B278*C278*D278/1000000000</f>
        <v>0.0234</v>
      </c>
      <c r="F278" s="1210" t="n">
        <f aca="false">'Прайс лист'!F85</f>
        <v>4050</v>
      </c>
      <c r="G278" s="1213" t="n">
        <v>3000</v>
      </c>
      <c r="H278" s="1207" t="n">
        <v>450</v>
      </c>
      <c r="I278" s="1200" t="s">
        <v>2571</v>
      </c>
      <c r="J278" s="1200" t="s">
        <v>2572</v>
      </c>
      <c r="K278" s="1213" t="n">
        <v>200</v>
      </c>
      <c r="L278" s="1207" t="n">
        <v>300</v>
      </c>
      <c r="M278" s="1201" t="n">
        <v>600</v>
      </c>
      <c r="N278" s="1200" t="s">
        <v>2593</v>
      </c>
      <c r="O278" s="1200" t="s">
        <v>2574</v>
      </c>
      <c r="P278" s="1200" t="s">
        <v>2575</v>
      </c>
      <c r="Q278" s="1159" t="n">
        <v>200</v>
      </c>
      <c r="R278" s="1159" t="n">
        <v>300</v>
      </c>
      <c r="S278" s="1159" t="n">
        <v>390</v>
      </c>
      <c r="T278" s="1209" t="n">
        <f aca="false">Q278*R278*S278/1000000000</f>
        <v>0.0234</v>
      </c>
      <c r="U278" s="1210" t="n">
        <f aca="false">F278</f>
        <v>4050</v>
      </c>
      <c r="V278" s="1213" t="n">
        <v>3000</v>
      </c>
      <c r="W278" s="1207" t="n">
        <v>450</v>
      </c>
      <c r="X278" s="1205"/>
      <c r="Y278" s="1205"/>
      <c r="Z278" s="1205"/>
      <c r="AA278" s="1200" t="s">
        <v>957</v>
      </c>
      <c r="AB278" s="1159"/>
      <c r="AC278" s="1159"/>
      <c r="AD278" s="1159" t="n">
        <v>194</v>
      </c>
      <c r="AG278" s="1159" t="n">
        <v>12.2</v>
      </c>
      <c r="AH278" s="1193" t="n">
        <f aca="false">AG278*3.1415926535897/180</f>
        <v>0.212930168743302</v>
      </c>
      <c r="AI278" s="1193" t="n">
        <f aca="false">AH278+0.0005</f>
        <v>0.213430168743302</v>
      </c>
      <c r="AJ278" s="1193" t="n">
        <f aca="false">AH278-0.0005</f>
        <v>0.212430168743302</v>
      </c>
      <c r="AK278" s="1159" t="n">
        <f aca="false">IF(AND(дома!$Z$29&gt;=AJ278,дома!$Z$29&lt;=AI278),связи1!AG278,0)</f>
        <v>0</v>
      </c>
      <c r="AL278" s="1159" t="n">
        <f aca="false">IF(AND(дома!$AA$29&gt;=AJ278,дома!$AA$29&lt;=AI278),связи1!AG278,0)</f>
        <v>0</v>
      </c>
    </row>
    <row r="279" customFormat="false" ht="15" hidden="false" customHeight="false" outlineLevel="0" collapsed="false">
      <c r="A279" s="1200" t="s">
        <v>976</v>
      </c>
      <c r="B279" s="1159" t="n">
        <v>200</v>
      </c>
      <c r="C279" s="1159" t="n">
        <v>400</v>
      </c>
      <c r="D279" s="1159" t="n">
        <v>390</v>
      </c>
      <c r="E279" s="1209" t="n">
        <f aca="false">B279*C279*D279/1000000000</f>
        <v>0.0312</v>
      </c>
      <c r="F279" s="1210" t="n">
        <f aca="false">'Прайс лист'!F86</f>
        <v>4050</v>
      </c>
      <c r="G279" s="1213" t="n">
        <v>3000</v>
      </c>
      <c r="H279" s="1207" t="n">
        <v>450</v>
      </c>
      <c r="I279" s="1200" t="s">
        <v>2534</v>
      </c>
      <c r="J279" s="1200" t="s">
        <v>2535</v>
      </c>
      <c r="K279" s="1213" t="n">
        <v>200</v>
      </c>
      <c r="L279" s="1213" t="n">
        <v>400</v>
      </c>
      <c r="M279" s="1201" t="n">
        <v>600</v>
      </c>
      <c r="N279" s="1200" t="s">
        <v>2594</v>
      </c>
      <c r="O279" s="1200" t="s">
        <v>2560</v>
      </c>
      <c r="P279" s="1200" t="s">
        <v>2538</v>
      </c>
      <c r="Q279" s="1159" t="n">
        <v>200</v>
      </c>
      <c r="R279" s="1159" t="n">
        <v>400</v>
      </c>
      <c r="S279" s="1159" t="n">
        <v>390</v>
      </c>
      <c r="T279" s="1209" t="n">
        <f aca="false">Q279*R279*S279/1000000000</f>
        <v>0.0312</v>
      </c>
      <c r="U279" s="1210" t="n">
        <f aca="false">F279</f>
        <v>4050</v>
      </c>
      <c r="V279" s="1213" t="n">
        <v>3000</v>
      </c>
      <c r="W279" s="1207" t="n">
        <v>450</v>
      </c>
      <c r="X279" s="1198"/>
      <c r="Y279" s="1198"/>
      <c r="Z279" s="1198"/>
      <c r="AA279" s="1200" t="s">
        <v>951</v>
      </c>
      <c r="AB279" s="1159"/>
      <c r="AC279" s="1159"/>
      <c r="AD279" s="1159" t="n">
        <v>194</v>
      </c>
      <c r="AG279" s="1159" t="n">
        <v>12.3</v>
      </c>
      <c r="AH279" s="1193" t="n">
        <f aca="false">AG279*3.1415926535897/180</f>
        <v>0.214675497995296</v>
      </c>
      <c r="AI279" s="1193" t="n">
        <f aca="false">AH279+0.0005</f>
        <v>0.215175497995296</v>
      </c>
      <c r="AJ279" s="1193" t="n">
        <f aca="false">AH279-0.0005</f>
        <v>0.214175497995296</v>
      </c>
      <c r="AK279" s="1159" t="n">
        <f aca="false">IF(AND(дома!$Z$29&gt;=AJ279,дома!$Z$29&lt;=AI279),связи1!AG279,0)</f>
        <v>0</v>
      </c>
      <c r="AL279" s="1159" t="n">
        <f aca="false">IF(AND(дома!$AA$29&gt;=AJ279,дома!$AA$29&lt;=AI279),связи1!AG279,0)</f>
        <v>0</v>
      </c>
    </row>
    <row r="280" customFormat="false" ht="15.75" hidden="false" customHeight="false" outlineLevel="0" collapsed="false">
      <c r="A280" s="1217" t="s">
        <v>2595</v>
      </c>
      <c r="B280" s="881" t="n">
        <v>250</v>
      </c>
      <c r="C280" s="881" t="n">
        <v>100</v>
      </c>
      <c r="D280" s="1217" t="n">
        <v>625</v>
      </c>
      <c r="E280" s="1218" t="n">
        <f aca="false">B280*C280*D280/100000000</f>
        <v>0.15625</v>
      </c>
      <c r="F280" s="1219" t="n">
        <f aca="false">'Прайс лист'!G91</f>
        <v>4100</v>
      </c>
      <c r="G280" s="1213" t="n">
        <v>3500</v>
      </c>
      <c r="H280" s="1207" t="n">
        <v>450</v>
      </c>
      <c r="I280" s="1200" t="s">
        <v>2596</v>
      </c>
      <c r="J280" s="1200" t="s">
        <v>2597</v>
      </c>
      <c r="K280" s="1213" t="n">
        <v>250</v>
      </c>
      <c r="L280" s="1213" t="n">
        <v>100</v>
      </c>
      <c r="M280" s="1201" t="n">
        <v>625</v>
      </c>
      <c r="N280" s="1217" t="s">
        <v>2598</v>
      </c>
      <c r="O280" s="1200" t="s">
        <v>2599</v>
      </c>
      <c r="P280" s="1200" t="s">
        <v>2600</v>
      </c>
      <c r="Q280" s="881" t="n">
        <v>250</v>
      </c>
      <c r="R280" s="881" t="n">
        <v>100</v>
      </c>
      <c r="S280" s="1217" t="n">
        <v>625</v>
      </c>
      <c r="T280" s="1218" t="n">
        <f aca="false">Q280*R280*S280/100000000</f>
        <v>0.15625</v>
      </c>
      <c r="U280" s="1219" t="n">
        <f aca="false">F280</f>
        <v>4100</v>
      </c>
      <c r="V280" s="1213" t="n">
        <v>3500</v>
      </c>
      <c r="W280" s="1207" t="n">
        <v>450</v>
      </c>
      <c r="X280" s="1198"/>
      <c r="Y280" s="1198"/>
      <c r="Z280" s="1198"/>
      <c r="AA280" s="1200"/>
      <c r="AB280" s="1159"/>
      <c r="AC280" s="1159"/>
      <c r="AD280" s="1159"/>
      <c r="AG280" s="1159"/>
      <c r="AH280" s="1193"/>
      <c r="AI280" s="1193"/>
      <c r="AJ280" s="1193"/>
      <c r="AK280" s="1159"/>
      <c r="AL280" s="1159"/>
    </row>
    <row r="281" customFormat="false" ht="15.75" hidden="false" customHeight="false" outlineLevel="0" collapsed="false">
      <c r="A281" s="1217" t="s">
        <v>2601</v>
      </c>
      <c r="B281" s="881" t="n">
        <v>250</v>
      </c>
      <c r="C281" s="881" t="n">
        <v>200</v>
      </c>
      <c r="D281" s="1217" t="n">
        <v>625</v>
      </c>
      <c r="E281" s="1218" t="n">
        <f aca="false">B281*C281*D281/100000000</f>
        <v>0.3125</v>
      </c>
      <c r="F281" s="1219" t="n">
        <f aca="false">'Прайс лист'!G92</f>
        <v>4100</v>
      </c>
      <c r="G281" s="1213" t="n">
        <v>3500</v>
      </c>
      <c r="H281" s="1207" t="n">
        <v>450</v>
      </c>
      <c r="I281" s="1200" t="s">
        <v>2602</v>
      </c>
      <c r="J281" s="1200" t="s">
        <v>2603</v>
      </c>
      <c r="K281" s="1213" t="n">
        <v>250</v>
      </c>
      <c r="L281" s="1213" t="n">
        <v>200</v>
      </c>
      <c r="M281" s="1201" t="n">
        <v>625</v>
      </c>
      <c r="N281" s="1217" t="s">
        <v>2604</v>
      </c>
      <c r="O281" s="1200" t="s">
        <v>2605</v>
      </c>
      <c r="P281" s="1200" t="s">
        <v>2606</v>
      </c>
      <c r="Q281" s="881" t="n">
        <v>250</v>
      </c>
      <c r="R281" s="881" t="n">
        <v>200</v>
      </c>
      <c r="S281" s="1217" t="n">
        <v>625</v>
      </c>
      <c r="T281" s="1218" t="n">
        <f aca="false">Q281*R281*S281/100000000</f>
        <v>0.3125</v>
      </c>
      <c r="U281" s="1219" t="n">
        <f aca="false">F281</f>
        <v>4100</v>
      </c>
      <c r="V281" s="1213" t="n">
        <v>3500</v>
      </c>
      <c r="W281" s="1207" t="n">
        <v>450</v>
      </c>
      <c r="X281" s="1198"/>
      <c r="Y281" s="1198"/>
      <c r="Z281" s="1198"/>
      <c r="AA281" s="1159" t="s">
        <v>2607</v>
      </c>
      <c r="AB281" s="1159" t="n">
        <v>250</v>
      </c>
      <c r="AC281" s="1159" t="n">
        <v>200</v>
      </c>
      <c r="AD281" s="1159" t="n">
        <v>200</v>
      </c>
      <c r="AG281" s="1159" t="n">
        <v>12.4</v>
      </c>
      <c r="AH281" s="1193" t="n">
        <f aca="false">AG281*3.1415926535897/180</f>
        <v>0.21642082724729</v>
      </c>
      <c r="AI281" s="1193" t="n">
        <f aca="false">AH281+0.0005</f>
        <v>0.21692082724729</v>
      </c>
      <c r="AJ281" s="1193" t="n">
        <f aca="false">AH281-0.0005</f>
        <v>0.21592082724729</v>
      </c>
      <c r="AK281" s="1159" t="n">
        <f aca="false">IF(AND(дома!$Z$29&gt;=AJ281,дома!$Z$29&lt;=AI281),связи1!AG281,0)</f>
        <v>0</v>
      </c>
      <c r="AL281" s="1159" t="n">
        <f aca="false">IF(AND(дома!$AA$29&gt;=AJ281,дома!$AA$29&lt;=AI281),связи1!AG281,0)</f>
        <v>0</v>
      </c>
    </row>
    <row r="282" customFormat="false" ht="15.75" hidden="false" customHeight="false" outlineLevel="0" collapsed="false">
      <c r="A282" s="1217" t="s">
        <v>2608</v>
      </c>
      <c r="B282" s="881" t="n">
        <v>250</v>
      </c>
      <c r="C282" s="881" t="n">
        <v>240</v>
      </c>
      <c r="D282" s="1217" t="n">
        <v>625</v>
      </c>
      <c r="E282" s="1218" t="n">
        <f aca="false">B282*C282*D282/100000000</f>
        <v>0.375</v>
      </c>
      <c r="F282" s="1219" t="n">
        <f aca="false">'Прайс лист'!G93</f>
        <v>4100</v>
      </c>
      <c r="G282" s="1213" t="n">
        <v>3500</v>
      </c>
      <c r="H282" s="1207" t="n">
        <v>450</v>
      </c>
      <c r="I282" s="1200" t="s">
        <v>2609</v>
      </c>
      <c r="J282" s="1200" t="s">
        <v>2610</v>
      </c>
      <c r="K282" s="1213" t="n">
        <v>250</v>
      </c>
      <c r="L282" s="1213" t="n">
        <v>240</v>
      </c>
      <c r="M282" s="1201" t="n">
        <v>625</v>
      </c>
      <c r="N282" s="1217" t="s">
        <v>2611</v>
      </c>
      <c r="O282" s="1200" t="s">
        <v>2612</v>
      </c>
      <c r="P282" s="1200" t="s">
        <v>2613</v>
      </c>
      <c r="Q282" s="881" t="n">
        <v>250</v>
      </c>
      <c r="R282" s="881" t="n">
        <v>240</v>
      </c>
      <c r="S282" s="1217" t="n">
        <v>625</v>
      </c>
      <c r="T282" s="1218" t="n">
        <f aca="false">Q282*R282*S282/100000000</f>
        <v>0.375</v>
      </c>
      <c r="U282" s="1219" t="n">
        <f aca="false">F282</f>
        <v>4100</v>
      </c>
      <c r="V282" s="1213" t="n">
        <v>3500</v>
      </c>
      <c r="W282" s="1207" t="n">
        <v>450</v>
      </c>
      <c r="X282" s="1198"/>
      <c r="Y282" s="1198"/>
      <c r="Z282" s="1198"/>
      <c r="AA282" s="1159" t="s">
        <v>2614</v>
      </c>
      <c r="AB282" s="1159" t="n">
        <v>250</v>
      </c>
      <c r="AC282" s="1159" t="n">
        <v>240</v>
      </c>
      <c r="AD282" s="1159" t="n">
        <v>200</v>
      </c>
      <c r="AG282" s="1159" t="n">
        <v>12.5</v>
      </c>
      <c r="AH282" s="1193" t="n">
        <f aca="false">AG282*3.1415926535897/180</f>
        <v>0.218166156499285</v>
      </c>
      <c r="AI282" s="1193" t="n">
        <f aca="false">AH282+0.0005</f>
        <v>0.218666156499285</v>
      </c>
      <c r="AJ282" s="1193" t="n">
        <f aca="false">AH282-0.0005</f>
        <v>0.217666156499285</v>
      </c>
      <c r="AK282" s="1159" t="n">
        <f aca="false">IF(AND(дома!$Z$29&gt;=AJ282,дома!$Z$29&lt;=AI282),связи1!AG282,0)</f>
        <v>0</v>
      </c>
      <c r="AL282" s="1159" t="n">
        <f aca="false">IF(AND(дома!$AA$29&gt;=AJ282,дома!$AA$29&lt;=AI282),связи1!AG282,0)</f>
        <v>0</v>
      </c>
    </row>
    <row r="283" customFormat="false" ht="15.75" hidden="false" customHeight="false" outlineLevel="0" collapsed="false">
      <c r="A283" s="1217" t="s">
        <v>2615</v>
      </c>
      <c r="B283" s="881" t="n">
        <v>250</v>
      </c>
      <c r="C283" s="881" t="n">
        <v>300</v>
      </c>
      <c r="D283" s="1217" t="n">
        <v>625</v>
      </c>
      <c r="E283" s="1218" t="n">
        <f aca="false">B283*C283*D283/100000000</f>
        <v>0.46875</v>
      </c>
      <c r="F283" s="1219" t="n">
        <f aca="false">'Прайс лист'!G94</f>
        <v>4100</v>
      </c>
      <c r="G283" s="1213" t="n">
        <v>3500</v>
      </c>
      <c r="H283" s="1207" t="n">
        <v>450</v>
      </c>
      <c r="I283" s="1200" t="s">
        <v>2616</v>
      </c>
      <c r="J283" s="1200" t="s">
        <v>2617</v>
      </c>
      <c r="K283" s="1213" t="n">
        <v>250</v>
      </c>
      <c r="L283" s="1207" t="n">
        <v>300</v>
      </c>
      <c r="M283" s="1201" t="n">
        <v>625</v>
      </c>
      <c r="N283" s="1217" t="s">
        <v>2618</v>
      </c>
      <c r="O283" s="1200" t="s">
        <v>2619</v>
      </c>
      <c r="P283" s="1200" t="s">
        <v>2620</v>
      </c>
      <c r="Q283" s="881" t="n">
        <v>250</v>
      </c>
      <c r="R283" s="881" t="n">
        <v>300</v>
      </c>
      <c r="S283" s="1217" t="n">
        <v>625</v>
      </c>
      <c r="T283" s="1218" t="n">
        <f aca="false">Q283*R283*S283/100000000</f>
        <v>0.46875</v>
      </c>
      <c r="U283" s="1219" t="n">
        <f aca="false">F283</f>
        <v>4100</v>
      </c>
      <c r="V283" s="1213" t="n">
        <v>3500</v>
      </c>
      <c r="W283" s="1207" t="n">
        <v>450</v>
      </c>
      <c r="X283" s="1198"/>
      <c r="Y283" s="1198"/>
      <c r="Z283" s="1198"/>
      <c r="AA283" s="1159" t="s">
        <v>2621</v>
      </c>
      <c r="AB283" s="1159" t="n">
        <v>250</v>
      </c>
      <c r="AC283" s="1159" t="n">
        <v>300</v>
      </c>
      <c r="AD283" s="1159" t="n">
        <v>200</v>
      </c>
      <c r="AG283" s="1159" t="n">
        <v>12.6</v>
      </c>
      <c r="AH283" s="1193" t="n">
        <f aca="false">AG283*3.1415926535897/180</f>
        <v>0.219911485751279</v>
      </c>
      <c r="AI283" s="1193" t="n">
        <f aca="false">AH283+0.0005</f>
        <v>0.220411485751279</v>
      </c>
      <c r="AJ283" s="1193" t="n">
        <f aca="false">AH283-0.0005</f>
        <v>0.219411485751279</v>
      </c>
      <c r="AK283" s="1159" t="n">
        <f aca="false">IF(AND(дома!$Z$29&gt;=AJ283,дома!$Z$29&lt;=AI283),связи1!AG283,0)</f>
        <v>0</v>
      </c>
      <c r="AL283" s="1159" t="n">
        <f aca="false">IF(AND(дома!$AA$29&gt;=AJ283,дома!$AA$29&lt;=AI283),связи1!AG283,0)</f>
        <v>0</v>
      </c>
    </row>
    <row r="284" customFormat="false" ht="15.75" hidden="false" customHeight="false" outlineLevel="0" collapsed="false">
      <c r="A284" s="1217" t="s">
        <v>2622</v>
      </c>
      <c r="B284" s="881" t="n">
        <v>250</v>
      </c>
      <c r="C284" s="881" t="n">
        <v>400</v>
      </c>
      <c r="D284" s="1217" t="n">
        <v>625</v>
      </c>
      <c r="E284" s="1218" t="n">
        <f aca="false">B284*C284*D284/100000000</f>
        <v>0.625</v>
      </c>
      <c r="F284" s="1219" t="n">
        <f aca="false">'Прайс лист'!G95</f>
        <v>4100</v>
      </c>
      <c r="G284" s="1213" t="n">
        <v>3500</v>
      </c>
      <c r="H284" s="1207" t="n">
        <v>450</v>
      </c>
      <c r="I284" s="1200" t="s">
        <v>2623</v>
      </c>
      <c r="J284" s="1200" t="s">
        <v>2624</v>
      </c>
      <c r="K284" s="1213" t="n">
        <v>250</v>
      </c>
      <c r="L284" s="1213" t="n">
        <v>400</v>
      </c>
      <c r="M284" s="1201" t="n">
        <v>625</v>
      </c>
      <c r="N284" s="1217" t="s">
        <v>2625</v>
      </c>
      <c r="O284" s="1200" t="s">
        <v>2626</v>
      </c>
      <c r="P284" s="1200" t="s">
        <v>2627</v>
      </c>
      <c r="Q284" s="881" t="n">
        <v>250</v>
      </c>
      <c r="R284" s="881" t="n">
        <v>400</v>
      </c>
      <c r="S284" s="1217" t="n">
        <v>625</v>
      </c>
      <c r="T284" s="1218" t="n">
        <f aca="false">Q284*R284*S284/100000000</f>
        <v>0.625</v>
      </c>
      <c r="U284" s="1219" t="n">
        <f aca="false">F284</f>
        <v>4100</v>
      </c>
      <c r="V284" s="1213" t="n">
        <v>3500</v>
      </c>
      <c r="W284" s="1207" t="n">
        <v>450</v>
      </c>
      <c r="X284" s="1205"/>
      <c r="Y284" s="1205"/>
      <c r="Z284" s="1205"/>
      <c r="AA284" s="1159" t="s">
        <v>2628</v>
      </c>
      <c r="AB284" s="1159" t="n">
        <v>250</v>
      </c>
      <c r="AC284" s="1159" t="n">
        <v>400</v>
      </c>
      <c r="AD284" s="1159" t="n">
        <v>200</v>
      </c>
      <c r="AG284" s="1159" t="n">
        <v>12.7</v>
      </c>
      <c r="AH284" s="1193" t="n">
        <f aca="false">AG284*3.1415926535897/180</f>
        <v>0.221656815003273</v>
      </c>
      <c r="AI284" s="1193" t="n">
        <f aca="false">AH284+0.0005</f>
        <v>0.222156815003273</v>
      </c>
      <c r="AJ284" s="1193" t="n">
        <f aca="false">AH284-0.0005</f>
        <v>0.221156815003273</v>
      </c>
      <c r="AK284" s="1159" t="n">
        <f aca="false">IF(AND(дома!$Z$29&gt;=AJ284,дома!$Z$29&lt;=AI284),связи1!AG284,0)</f>
        <v>0</v>
      </c>
      <c r="AL284" s="1159" t="n">
        <f aca="false">IF(AND(дома!$AA$29&gt;=AJ284,дома!$AA$29&lt;=AI284),связи1!AG284,0)</f>
        <v>0</v>
      </c>
    </row>
    <row r="285" customFormat="false" ht="15.75" hidden="false" customHeight="false" outlineLevel="0" collapsed="false">
      <c r="A285" s="1217" t="s">
        <v>2629</v>
      </c>
      <c r="B285" s="881" t="n">
        <v>250</v>
      </c>
      <c r="C285" s="881" t="n">
        <v>100</v>
      </c>
      <c r="D285" s="1217" t="n">
        <v>625</v>
      </c>
      <c r="E285" s="1218" t="n">
        <f aca="false">B285*C285*D285/100000000</f>
        <v>0.15625</v>
      </c>
      <c r="F285" s="1219" t="n">
        <f aca="false">'Прайс лист'!G96</f>
        <v>4200</v>
      </c>
      <c r="G285" s="1213" t="n">
        <v>3500</v>
      </c>
      <c r="H285" s="1207" t="n">
        <v>450</v>
      </c>
      <c r="I285" s="1200" t="s">
        <v>2596</v>
      </c>
      <c r="J285" s="1200" t="s">
        <v>2597</v>
      </c>
      <c r="K285" s="1213" t="n">
        <v>250</v>
      </c>
      <c r="L285" s="1213" t="n">
        <v>100</v>
      </c>
      <c r="M285" s="1201" t="n">
        <v>625</v>
      </c>
      <c r="N285" s="1217" t="s">
        <v>2630</v>
      </c>
      <c r="O285" s="1200" t="s">
        <v>2599</v>
      </c>
      <c r="P285" s="1200" t="s">
        <v>2600</v>
      </c>
      <c r="Q285" s="881" t="n">
        <v>250</v>
      </c>
      <c r="R285" s="881" t="n">
        <v>100</v>
      </c>
      <c r="S285" s="1217" t="n">
        <v>625</v>
      </c>
      <c r="T285" s="1218" t="n">
        <f aca="false">Q285*R285*S285/100000000</f>
        <v>0.15625</v>
      </c>
      <c r="U285" s="1219" t="n">
        <f aca="false">F285</f>
        <v>4200</v>
      </c>
      <c r="V285" s="1213" t="n">
        <v>3500</v>
      </c>
      <c r="W285" s="1207" t="n">
        <v>450</v>
      </c>
      <c r="X285" s="1205"/>
      <c r="Y285" s="1205"/>
      <c r="Z285" s="1205"/>
      <c r="AA285" s="1159"/>
      <c r="AB285" s="1159"/>
      <c r="AC285" s="1159"/>
      <c r="AD285" s="1159"/>
      <c r="AG285" s="1159"/>
      <c r="AH285" s="1193"/>
      <c r="AI285" s="1193"/>
      <c r="AJ285" s="1193"/>
      <c r="AK285" s="1159"/>
      <c r="AL285" s="1159"/>
    </row>
    <row r="286" customFormat="false" ht="15.75" hidden="false" customHeight="false" outlineLevel="0" collapsed="false">
      <c r="A286" s="1217" t="s">
        <v>2631</v>
      </c>
      <c r="B286" s="881" t="n">
        <v>250</v>
      </c>
      <c r="C286" s="881" t="n">
        <v>200</v>
      </c>
      <c r="D286" s="1217" t="n">
        <v>625</v>
      </c>
      <c r="E286" s="1218" t="n">
        <f aca="false">B286*C286*D286/100000000</f>
        <v>0.3125</v>
      </c>
      <c r="F286" s="1219" t="n">
        <f aca="false">'Прайс лист'!G97</f>
        <v>4200</v>
      </c>
      <c r="G286" s="1213" t="n">
        <v>3500</v>
      </c>
      <c r="H286" s="1207" t="n">
        <v>450</v>
      </c>
      <c r="I286" s="1200" t="s">
        <v>2602</v>
      </c>
      <c r="J286" s="1200" t="s">
        <v>2603</v>
      </c>
      <c r="K286" s="1213" t="n">
        <v>250</v>
      </c>
      <c r="L286" s="1213" t="n">
        <v>200</v>
      </c>
      <c r="M286" s="1201" t="n">
        <v>625</v>
      </c>
      <c r="N286" s="1217" t="s">
        <v>2632</v>
      </c>
      <c r="O286" s="1200" t="s">
        <v>2605</v>
      </c>
      <c r="P286" s="1200" t="s">
        <v>2606</v>
      </c>
      <c r="Q286" s="881" t="n">
        <v>250</v>
      </c>
      <c r="R286" s="881" t="n">
        <v>200</v>
      </c>
      <c r="S286" s="1217" t="n">
        <v>625</v>
      </c>
      <c r="T286" s="1218" t="n">
        <f aca="false">Q286*R286*S286/100000000</f>
        <v>0.3125</v>
      </c>
      <c r="U286" s="1219" t="n">
        <f aca="false">F286</f>
        <v>4200</v>
      </c>
      <c r="V286" s="1213" t="n">
        <v>3500</v>
      </c>
      <c r="W286" s="1207" t="n">
        <v>450</v>
      </c>
      <c r="X286" s="1198"/>
      <c r="Y286" s="1198"/>
      <c r="Z286" s="1198"/>
      <c r="AA286" s="1159" t="s">
        <v>2607</v>
      </c>
      <c r="AB286" s="1159" t="n">
        <v>250</v>
      </c>
      <c r="AC286" s="1159" t="n">
        <v>200</v>
      </c>
      <c r="AD286" s="1159" t="n">
        <v>200</v>
      </c>
      <c r="AG286" s="1159" t="n">
        <v>12.8</v>
      </c>
      <c r="AH286" s="1193" t="n">
        <f aca="false">AG286*3.1415926535897/180</f>
        <v>0.223402144255268</v>
      </c>
      <c r="AI286" s="1193" t="n">
        <f aca="false">AH286+0.0005</f>
        <v>0.223902144255268</v>
      </c>
      <c r="AJ286" s="1193" t="n">
        <f aca="false">AH286-0.0005</f>
        <v>0.222902144255268</v>
      </c>
      <c r="AK286" s="1159" t="n">
        <f aca="false">IF(AND(дома!$Z$29&gt;=AJ286,дома!$Z$29&lt;=AI286),связи1!AG286,0)</f>
        <v>0</v>
      </c>
      <c r="AL286" s="1159" t="n">
        <f aca="false">IF(AND(дома!$AA$29&gt;=AJ286,дома!$AA$29&lt;=AI286),связи1!AG286,0)</f>
        <v>0</v>
      </c>
    </row>
    <row r="287" customFormat="false" ht="15.75" hidden="false" customHeight="false" outlineLevel="0" collapsed="false">
      <c r="A287" s="1217" t="s">
        <v>2633</v>
      </c>
      <c r="B287" s="881" t="n">
        <v>250</v>
      </c>
      <c r="C287" s="881" t="n">
        <v>240</v>
      </c>
      <c r="D287" s="1217" t="n">
        <v>625</v>
      </c>
      <c r="E287" s="1218" t="n">
        <f aca="false">B287*C287*D287/100000000</f>
        <v>0.375</v>
      </c>
      <c r="F287" s="1219" t="n">
        <f aca="false">'Прайс лист'!G98</f>
        <v>4200</v>
      </c>
      <c r="G287" s="1213" t="n">
        <v>3500</v>
      </c>
      <c r="H287" s="1207" t="n">
        <v>450</v>
      </c>
      <c r="I287" s="1200" t="s">
        <v>2609</v>
      </c>
      <c r="J287" s="1200" t="s">
        <v>2610</v>
      </c>
      <c r="K287" s="1213" t="n">
        <v>250</v>
      </c>
      <c r="L287" s="1213" t="n">
        <v>240</v>
      </c>
      <c r="M287" s="1201" t="n">
        <v>625</v>
      </c>
      <c r="N287" s="1217" t="s">
        <v>2634</v>
      </c>
      <c r="O287" s="1200" t="s">
        <v>2612</v>
      </c>
      <c r="P287" s="1200" t="s">
        <v>2613</v>
      </c>
      <c r="Q287" s="881" t="n">
        <v>250</v>
      </c>
      <c r="R287" s="881" t="n">
        <v>240</v>
      </c>
      <c r="S287" s="1217" t="n">
        <v>625</v>
      </c>
      <c r="T287" s="1218" t="n">
        <f aca="false">Q287*R287*S287/100000000</f>
        <v>0.375</v>
      </c>
      <c r="U287" s="1219" t="n">
        <f aca="false">F287</f>
        <v>4200</v>
      </c>
      <c r="V287" s="1213" t="n">
        <v>3500</v>
      </c>
      <c r="W287" s="1207" t="n">
        <v>450</v>
      </c>
      <c r="X287" s="1198"/>
      <c r="Y287" s="1198"/>
      <c r="Z287" s="1198"/>
      <c r="AA287" s="1159" t="s">
        <v>2614</v>
      </c>
      <c r="AB287" s="1159" t="n">
        <v>250</v>
      </c>
      <c r="AC287" s="1159" t="n">
        <v>240</v>
      </c>
      <c r="AD287" s="1159" t="n">
        <v>200</v>
      </c>
      <c r="AG287" s="1159" t="n">
        <v>12.9</v>
      </c>
      <c r="AH287" s="1193" t="n">
        <f aca="false">AG287*3.1415926535897/180</f>
        <v>0.225147473507262</v>
      </c>
      <c r="AI287" s="1193" t="n">
        <f aca="false">AH287+0.0005</f>
        <v>0.225647473507262</v>
      </c>
      <c r="AJ287" s="1193" t="n">
        <f aca="false">AH287-0.0005</f>
        <v>0.224647473507262</v>
      </c>
      <c r="AK287" s="1159" t="n">
        <f aca="false">IF(AND(дома!$Z$29&gt;=AJ287,дома!$Z$29&lt;=AI287),связи1!AG287,0)</f>
        <v>0</v>
      </c>
      <c r="AL287" s="1159" t="n">
        <f aca="false">IF(AND(дома!$AA$29&gt;=AJ287,дома!$AA$29&lt;=AI287),связи1!AG287,0)</f>
        <v>0</v>
      </c>
    </row>
    <row r="288" customFormat="false" ht="15.75" hidden="false" customHeight="false" outlineLevel="0" collapsed="false">
      <c r="A288" s="1217" t="s">
        <v>2635</v>
      </c>
      <c r="B288" s="881" t="n">
        <v>250</v>
      </c>
      <c r="C288" s="881" t="n">
        <v>300</v>
      </c>
      <c r="D288" s="1217" t="n">
        <v>625</v>
      </c>
      <c r="E288" s="1218" t="n">
        <f aca="false">B288*C288*D288/100000000</f>
        <v>0.46875</v>
      </c>
      <c r="F288" s="1219" t="n">
        <f aca="false">'Прайс лист'!G99</f>
        <v>4200</v>
      </c>
      <c r="G288" s="1213" t="n">
        <v>3500</v>
      </c>
      <c r="H288" s="1207" t="n">
        <v>450</v>
      </c>
      <c r="I288" s="1200" t="s">
        <v>2616</v>
      </c>
      <c r="J288" s="1200" t="s">
        <v>2617</v>
      </c>
      <c r="K288" s="1213" t="n">
        <v>250</v>
      </c>
      <c r="L288" s="1207" t="n">
        <v>300</v>
      </c>
      <c r="M288" s="1201" t="n">
        <v>625</v>
      </c>
      <c r="N288" s="1217" t="s">
        <v>2636</v>
      </c>
      <c r="O288" s="1200" t="s">
        <v>2619</v>
      </c>
      <c r="P288" s="1200" t="s">
        <v>2620</v>
      </c>
      <c r="Q288" s="881" t="n">
        <v>250</v>
      </c>
      <c r="R288" s="881" t="n">
        <v>300</v>
      </c>
      <c r="S288" s="1217" t="n">
        <v>625</v>
      </c>
      <c r="T288" s="1218" t="n">
        <f aca="false">Q288*R288*S288/100000000</f>
        <v>0.46875</v>
      </c>
      <c r="U288" s="1219" t="n">
        <f aca="false">F288</f>
        <v>4200</v>
      </c>
      <c r="V288" s="1213" t="n">
        <v>3500</v>
      </c>
      <c r="W288" s="1207" t="n">
        <v>450</v>
      </c>
      <c r="X288" s="1205"/>
      <c r="Y288" s="1205"/>
      <c r="Z288" s="1205"/>
      <c r="AA288" s="1159" t="s">
        <v>2621</v>
      </c>
      <c r="AB288" s="1159" t="n">
        <v>250</v>
      </c>
      <c r="AC288" s="1159" t="n">
        <v>300</v>
      </c>
      <c r="AD288" s="1159" t="n">
        <v>200</v>
      </c>
      <c r="AG288" s="1159" t="n">
        <v>13</v>
      </c>
      <c r="AH288" s="1193" t="n">
        <f aca="false">AG288*3.1415926535897/180</f>
        <v>0.226892802759256</v>
      </c>
      <c r="AI288" s="1193" t="n">
        <f aca="false">AH288+0.0005</f>
        <v>0.227392802759256</v>
      </c>
      <c r="AJ288" s="1193" t="n">
        <f aca="false">AH288-0.0005</f>
        <v>0.226392802759256</v>
      </c>
      <c r="AK288" s="1159" t="n">
        <f aca="false">IF(AND(дома!$Z$29&gt;=AJ288,дома!$Z$29&lt;=AI288),связи1!AG288,0)</f>
        <v>0</v>
      </c>
      <c r="AL288" s="1159" t="n">
        <f aca="false">IF(AND(дома!$AA$29&gt;=AJ288,дома!$AA$29&lt;=AI288),связи1!AG288,0)</f>
        <v>0</v>
      </c>
    </row>
    <row r="289" customFormat="false" ht="15.75" hidden="false" customHeight="false" outlineLevel="0" collapsed="false">
      <c r="A289" s="1217" t="s">
        <v>2637</v>
      </c>
      <c r="B289" s="881" t="n">
        <v>250</v>
      </c>
      <c r="C289" s="881" t="n">
        <v>400</v>
      </c>
      <c r="D289" s="1217" t="n">
        <v>625</v>
      </c>
      <c r="E289" s="1218" t="n">
        <f aca="false">B289*C289*D289/100000000</f>
        <v>0.625</v>
      </c>
      <c r="F289" s="1219" t="n">
        <f aca="false">'Прайс лист'!G100</f>
        <v>4200</v>
      </c>
      <c r="G289" s="1213" t="n">
        <v>3500</v>
      </c>
      <c r="H289" s="1207" t="n">
        <v>450</v>
      </c>
      <c r="I289" s="1200" t="s">
        <v>2623</v>
      </c>
      <c r="J289" s="1200" t="s">
        <v>2624</v>
      </c>
      <c r="K289" s="1213" t="n">
        <v>250</v>
      </c>
      <c r="L289" s="1213" t="n">
        <v>400</v>
      </c>
      <c r="M289" s="1201" t="n">
        <v>625</v>
      </c>
      <c r="N289" s="1217" t="s">
        <v>2638</v>
      </c>
      <c r="O289" s="1200" t="s">
        <v>2626</v>
      </c>
      <c r="P289" s="1200" t="s">
        <v>2627</v>
      </c>
      <c r="Q289" s="881" t="n">
        <v>250</v>
      </c>
      <c r="R289" s="881" t="n">
        <v>400</v>
      </c>
      <c r="S289" s="1217" t="n">
        <v>625</v>
      </c>
      <c r="T289" s="1218" t="n">
        <f aca="false">Q289*R289*S289/100000000</f>
        <v>0.625</v>
      </c>
      <c r="U289" s="1219" t="n">
        <f aca="false">F289</f>
        <v>4200</v>
      </c>
      <c r="V289" s="1213" t="n">
        <v>3500</v>
      </c>
      <c r="W289" s="1207" t="n">
        <v>450</v>
      </c>
      <c r="X289" s="1198"/>
      <c r="Y289" s="1198"/>
      <c r="Z289" s="1198"/>
      <c r="AA289" s="1159" t="s">
        <v>2628</v>
      </c>
      <c r="AB289" s="1159" t="n">
        <v>250</v>
      </c>
      <c r="AC289" s="1159" t="n">
        <v>400</v>
      </c>
      <c r="AD289" s="1159" t="n">
        <v>200</v>
      </c>
      <c r="AG289" s="1159" t="n">
        <v>13.1</v>
      </c>
      <c r="AH289" s="1193" t="n">
        <f aca="false">AG289*3.1415926535897/180</f>
        <v>0.22863813201125</v>
      </c>
      <c r="AI289" s="1193" t="n">
        <f aca="false">AH289+0.0005</f>
        <v>0.22913813201125</v>
      </c>
      <c r="AJ289" s="1193" t="n">
        <f aca="false">AH289-0.0005</f>
        <v>0.22813813201125</v>
      </c>
      <c r="AK289" s="1159" t="n">
        <f aca="false">IF(AND(дома!$Z$29&gt;=AJ289,дома!$Z$29&lt;=AI289),связи1!AG289,0)</f>
        <v>0</v>
      </c>
      <c r="AL289" s="1159" t="n">
        <f aca="false">IF(AND(дома!$AA$29&gt;=AJ289,дома!$AA$29&lt;=AI289),связи1!AG289,0)</f>
        <v>0</v>
      </c>
    </row>
    <row r="290" customFormat="false" ht="15.75" hidden="false" customHeight="false" outlineLevel="0" collapsed="false">
      <c r="A290" s="1217" t="s">
        <v>2639</v>
      </c>
      <c r="B290" s="881" t="n">
        <v>250</v>
      </c>
      <c r="C290" s="881" t="n">
        <v>100</v>
      </c>
      <c r="D290" s="1217" t="n">
        <v>625</v>
      </c>
      <c r="E290" s="1218" t="n">
        <f aca="false">B290*C290*D290/100000000</f>
        <v>0.15625</v>
      </c>
      <c r="F290" s="1219" t="n">
        <f aca="false">'Прайс лист'!G101</f>
        <v>4350</v>
      </c>
      <c r="G290" s="1213" t="n">
        <v>3500</v>
      </c>
      <c r="H290" s="1207" t="n">
        <v>450</v>
      </c>
      <c r="I290" s="1200" t="s">
        <v>2596</v>
      </c>
      <c r="J290" s="1200" t="s">
        <v>2597</v>
      </c>
      <c r="K290" s="1213" t="n">
        <v>250</v>
      </c>
      <c r="L290" s="1213" t="n">
        <v>100</v>
      </c>
      <c r="M290" s="1201" t="n">
        <v>625</v>
      </c>
      <c r="N290" s="1217" t="s">
        <v>2640</v>
      </c>
      <c r="O290" s="1200" t="s">
        <v>2599</v>
      </c>
      <c r="P290" s="1200" t="s">
        <v>2600</v>
      </c>
      <c r="Q290" s="881" t="n">
        <v>250</v>
      </c>
      <c r="R290" s="881" t="n">
        <v>100</v>
      </c>
      <c r="S290" s="1217" t="n">
        <v>625</v>
      </c>
      <c r="T290" s="1218" t="n">
        <f aca="false">Q290*R290*S290/100000000</f>
        <v>0.15625</v>
      </c>
      <c r="U290" s="1219" t="n">
        <f aca="false">F290</f>
        <v>4350</v>
      </c>
      <c r="V290" s="1213" t="n">
        <v>3500</v>
      </c>
      <c r="W290" s="1207" t="n">
        <v>450</v>
      </c>
      <c r="X290" s="1198"/>
      <c r="Y290" s="1198"/>
      <c r="Z290" s="1198"/>
      <c r="AA290" s="1159"/>
      <c r="AB290" s="1159"/>
      <c r="AC290" s="1159"/>
      <c r="AD290" s="1159"/>
      <c r="AG290" s="1159"/>
      <c r="AH290" s="1193"/>
      <c r="AI290" s="1193"/>
      <c r="AJ290" s="1193"/>
      <c r="AK290" s="1159"/>
      <c r="AL290" s="1159"/>
    </row>
    <row r="291" customFormat="false" ht="15.75" hidden="false" customHeight="false" outlineLevel="0" collapsed="false">
      <c r="A291" s="1217" t="s">
        <v>2641</v>
      </c>
      <c r="B291" s="881" t="n">
        <v>250</v>
      </c>
      <c r="C291" s="881" t="n">
        <v>200</v>
      </c>
      <c r="D291" s="1217" t="n">
        <v>625</v>
      </c>
      <c r="E291" s="1218" t="n">
        <f aca="false">B291*C291*D291/100000000</f>
        <v>0.3125</v>
      </c>
      <c r="F291" s="1219" t="n">
        <f aca="false">'Прайс лист'!G102</f>
        <v>4350</v>
      </c>
      <c r="G291" s="1213" t="n">
        <v>3500</v>
      </c>
      <c r="H291" s="1207" t="n">
        <v>450</v>
      </c>
      <c r="I291" s="1200" t="s">
        <v>2602</v>
      </c>
      <c r="J291" s="1200" t="s">
        <v>2603</v>
      </c>
      <c r="K291" s="1213" t="n">
        <v>250</v>
      </c>
      <c r="L291" s="1213" t="n">
        <v>200</v>
      </c>
      <c r="M291" s="1201" t="n">
        <v>625</v>
      </c>
      <c r="N291" s="1217" t="s">
        <v>2642</v>
      </c>
      <c r="O291" s="1200" t="s">
        <v>2605</v>
      </c>
      <c r="P291" s="1200" t="s">
        <v>2606</v>
      </c>
      <c r="Q291" s="881" t="n">
        <v>250</v>
      </c>
      <c r="R291" s="881" t="n">
        <v>200</v>
      </c>
      <c r="S291" s="1217" t="n">
        <v>625</v>
      </c>
      <c r="T291" s="1218" t="n">
        <f aca="false">Q291*R291*S291/100000000</f>
        <v>0.3125</v>
      </c>
      <c r="U291" s="1219" t="n">
        <f aca="false">F291</f>
        <v>4350</v>
      </c>
      <c r="V291" s="1213" t="n">
        <v>3500</v>
      </c>
      <c r="W291" s="1207" t="n">
        <v>450</v>
      </c>
      <c r="X291" s="1198"/>
      <c r="Y291" s="1198"/>
      <c r="Z291" s="1198"/>
      <c r="AA291" s="1159" t="s">
        <v>2607</v>
      </c>
      <c r="AB291" s="1159" t="n">
        <v>250</v>
      </c>
      <c r="AC291" s="1159" t="n">
        <v>200</v>
      </c>
      <c r="AD291" s="1159" t="n">
        <v>200</v>
      </c>
      <c r="AG291" s="1159" t="n">
        <v>13.2</v>
      </c>
      <c r="AH291" s="1193" t="n">
        <f aca="false">AG291*3.1415926535897/180</f>
        <v>0.230383461263245</v>
      </c>
      <c r="AI291" s="1193" t="n">
        <f aca="false">AH291+0.0005</f>
        <v>0.230883461263245</v>
      </c>
      <c r="AJ291" s="1193" t="n">
        <f aca="false">AH291-0.0005</f>
        <v>0.229883461263245</v>
      </c>
      <c r="AK291" s="1159" t="n">
        <f aca="false">IF(AND(дома!$Z$29&gt;=AJ291,дома!$Z$29&lt;=AI291),связи1!AG291,0)</f>
        <v>0</v>
      </c>
      <c r="AL291" s="1159" t="n">
        <f aca="false">IF(AND(дома!$AA$29&gt;=AJ291,дома!$AA$29&lt;=AI291),связи1!AG291,0)</f>
        <v>0</v>
      </c>
    </row>
    <row r="292" customFormat="false" ht="15.75" hidden="false" customHeight="false" outlineLevel="0" collapsed="false">
      <c r="A292" s="1217" t="s">
        <v>2643</v>
      </c>
      <c r="B292" s="881" t="n">
        <v>250</v>
      </c>
      <c r="C292" s="881" t="n">
        <v>240</v>
      </c>
      <c r="D292" s="1217" t="n">
        <v>625</v>
      </c>
      <c r="E292" s="1218" t="n">
        <f aca="false">B292*C292*D292/100000000</f>
        <v>0.375</v>
      </c>
      <c r="F292" s="1219" t="n">
        <f aca="false">'Прайс лист'!G103</f>
        <v>4350</v>
      </c>
      <c r="G292" s="1213" t="n">
        <v>3500</v>
      </c>
      <c r="H292" s="1207" t="n">
        <v>450</v>
      </c>
      <c r="I292" s="1200" t="s">
        <v>2609</v>
      </c>
      <c r="J292" s="1200" t="s">
        <v>2610</v>
      </c>
      <c r="K292" s="1213" t="n">
        <v>250</v>
      </c>
      <c r="L292" s="1213" t="n">
        <v>240</v>
      </c>
      <c r="M292" s="1201" t="n">
        <v>625</v>
      </c>
      <c r="N292" s="1217" t="s">
        <v>2644</v>
      </c>
      <c r="O292" s="1200" t="s">
        <v>2612</v>
      </c>
      <c r="P292" s="1200" t="s">
        <v>2613</v>
      </c>
      <c r="Q292" s="881" t="n">
        <v>250</v>
      </c>
      <c r="R292" s="881" t="n">
        <v>240</v>
      </c>
      <c r="S292" s="1217" t="n">
        <v>625</v>
      </c>
      <c r="T292" s="1218" t="n">
        <f aca="false">Q292*R292*S292/100000000</f>
        <v>0.375</v>
      </c>
      <c r="U292" s="1219" t="n">
        <f aca="false">F292</f>
        <v>4350</v>
      </c>
      <c r="V292" s="1213" t="n">
        <v>3500</v>
      </c>
      <c r="W292" s="1207" t="n">
        <v>450</v>
      </c>
      <c r="X292" s="1205"/>
      <c r="Y292" s="1205"/>
      <c r="Z292" s="1205"/>
      <c r="AA292" s="1159" t="s">
        <v>2614</v>
      </c>
      <c r="AB292" s="1159" t="n">
        <v>250</v>
      </c>
      <c r="AC292" s="1159" t="n">
        <v>240</v>
      </c>
      <c r="AD292" s="1159" t="n">
        <v>200</v>
      </c>
      <c r="AG292" s="1159" t="n">
        <v>13.3</v>
      </c>
      <c r="AH292" s="1193" t="n">
        <f aca="false">AG292*3.1415926535897/180</f>
        <v>0.232128790515239</v>
      </c>
      <c r="AI292" s="1193" t="n">
        <f aca="false">AH292+0.0005</f>
        <v>0.232628790515239</v>
      </c>
      <c r="AJ292" s="1193" t="n">
        <f aca="false">AH292-0.0005</f>
        <v>0.231628790515239</v>
      </c>
      <c r="AK292" s="1159" t="n">
        <f aca="false">IF(AND(дома!$Z$29&gt;=AJ292,дома!$Z$29&lt;=AI292),связи1!AG292,0)</f>
        <v>0</v>
      </c>
      <c r="AL292" s="1159" t="n">
        <f aca="false">IF(AND(дома!$AA$29&gt;=AJ292,дома!$AA$29&lt;=AI292),связи1!AG292,0)</f>
        <v>0</v>
      </c>
    </row>
    <row r="293" customFormat="false" ht="15.75" hidden="false" customHeight="false" outlineLevel="0" collapsed="false">
      <c r="A293" s="1217" t="s">
        <v>2645</v>
      </c>
      <c r="B293" s="881" t="n">
        <v>250</v>
      </c>
      <c r="C293" s="881" t="n">
        <v>300</v>
      </c>
      <c r="D293" s="1217" t="n">
        <v>625</v>
      </c>
      <c r="E293" s="1218" t="n">
        <f aca="false">B293*C293*D293/100000000</f>
        <v>0.46875</v>
      </c>
      <c r="F293" s="1219" t="n">
        <f aca="false">'Прайс лист'!G104</f>
        <v>4350</v>
      </c>
      <c r="G293" s="1213" t="n">
        <v>3500</v>
      </c>
      <c r="H293" s="1207" t="n">
        <v>450</v>
      </c>
      <c r="I293" s="1200" t="s">
        <v>2616</v>
      </c>
      <c r="J293" s="1200" t="s">
        <v>2617</v>
      </c>
      <c r="K293" s="1213" t="n">
        <v>250</v>
      </c>
      <c r="L293" s="1207" t="n">
        <v>300</v>
      </c>
      <c r="M293" s="1201" t="n">
        <v>625</v>
      </c>
      <c r="N293" s="1217" t="s">
        <v>2646</v>
      </c>
      <c r="O293" s="1200" t="s">
        <v>2619</v>
      </c>
      <c r="P293" s="1200" t="s">
        <v>2620</v>
      </c>
      <c r="Q293" s="881" t="n">
        <v>250</v>
      </c>
      <c r="R293" s="881" t="n">
        <v>300</v>
      </c>
      <c r="S293" s="1217" t="n">
        <v>625</v>
      </c>
      <c r="T293" s="1218" t="n">
        <f aca="false">Q293*R293*S293/100000000</f>
        <v>0.46875</v>
      </c>
      <c r="U293" s="1219" t="n">
        <f aca="false">F293</f>
        <v>4350</v>
      </c>
      <c r="V293" s="1213" t="n">
        <v>3500</v>
      </c>
      <c r="W293" s="1207" t="n">
        <v>450</v>
      </c>
      <c r="X293" s="1198"/>
      <c r="Y293" s="1198"/>
      <c r="Z293" s="1198"/>
      <c r="AA293" s="1159" t="s">
        <v>2621</v>
      </c>
      <c r="AB293" s="1159" t="n">
        <v>250</v>
      </c>
      <c r="AC293" s="1159" t="n">
        <v>300</v>
      </c>
      <c r="AD293" s="1159" t="n">
        <v>200</v>
      </c>
      <c r="AG293" s="1159" t="n">
        <v>13.4</v>
      </c>
      <c r="AH293" s="1193" t="n">
        <f aca="false">AG293*3.1415926535897/180</f>
        <v>0.233874119767233</v>
      </c>
      <c r="AI293" s="1193" t="n">
        <f aca="false">AH293+0.0005</f>
        <v>0.234374119767233</v>
      </c>
      <c r="AJ293" s="1193" t="n">
        <f aca="false">AH293-0.0005</f>
        <v>0.233374119767233</v>
      </c>
      <c r="AK293" s="1159" t="n">
        <f aca="false">IF(AND(дома!$Z$29&gt;=AJ293,дома!$Z$29&lt;=AI293),связи1!AG293,0)</f>
        <v>0</v>
      </c>
      <c r="AL293" s="1159" t="n">
        <f aca="false">IF(AND(дома!$AA$29&gt;=AJ293,дома!$AA$29&lt;=AI293),связи1!AG293,0)</f>
        <v>0</v>
      </c>
    </row>
    <row r="294" customFormat="false" ht="15.75" hidden="false" customHeight="false" outlineLevel="0" collapsed="false">
      <c r="A294" s="1217" t="s">
        <v>2647</v>
      </c>
      <c r="B294" s="881" t="n">
        <v>250</v>
      </c>
      <c r="C294" s="881" t="n">
        <v>400</v>
      </c>
      <c r="D294" s="1217" t="n">
        <v>625</v>
      </c>
      <c r="E294" s="1218" t="n">
        <f aca="false">B294*C294*D294/100000000</f>
        <v>0.625</v>
      </c>
      <c r="F294" s="1219" t="n">
        <f aca="false">'Прайс лист'!G105</f>
        <v>4350</v>
      </c>
      <c r="G294" s="1213" t="n">
        <v>3500</v>
      </c>
      <c r="H294" s="1207" t="n">
        <v>450</v>
      </c>
      <c r="I294" s="1200" t="s">
        <v>2623</v>
      </c>
      <c r="J294" s="1200" t="s">
        <v>2624</v>
      </c>
      <c r="K294" s="1213" t="n">
        <v>250</v>
      </c>
      <c r="L294" s="1213" t="n">
        <v>400</v>
      </c>
      <c r="M294" s="1201" t="n">
        <v>625</v>
      </c>
      <c r="N294" s="1217" t="s">
        <v>2648</v>
      </c>
      <c r="O294" s="1200" t="s">
        <v>2626</v>
      </c>
      <c r="P294" s="1200" t="s">
        <v>2627</v>
      </c>
      <c r="Q294" s="881" t="n">
        <v>250</v>
      </c>
      <c r="R294" s="881" t="n">
        <v>400</v>
      </c>
      <c r="S294" s="1217" t="n">
        <v>625</v>
      </c>
      <c r="T294" s="1218" t="n">
        <f aca="false">Q294*R294*S294/100000000</f>
        <v>0.625</v>
      </c>
      <c r="U294" s="1219" t="n">
        <f aca="false">F294</f>
        <v>4350</v>
      </c>
      <c r="V294" s="1213" t="n">
        <v>3500</v>
      </c>
      <c r="W294" s="1207" t="n">
        <v>450</v>
      </c>
      <c r="X294" s="1198"/>
      <c r="Y294" s="1198"/>
      <c r="Z294" s="1198"/>
      <c r="AA294" s="1159" t="s">
        <v>2628</v>
      </c>
      <c r="AB294" s="1159" t="n">
        <v>250</v>
      </c>
      <c r="AC294" s="1159" t="n">
        <v>400</v>
      </c>
      <c r="AD294" s="1159" t="n">
        <v>200</v>
      </c>
      <c r="AG294" s="1159" t="n">
        <v>13.5</v>
      </c>
      <c r="AH294" s="1193" t="n">
        <f aca="false">AG294*3.1415926535897/180</f>
        <v>0.235619449019227</v>
      </c>
      <c r="AI294" s="1193" t="n">
        <f aca="false">AH294+0.0005</f>
        <v>0.236119449019227</v>
      </c>
      <c r="AJ294" s="1193" t="n">
        <f aca="false">AH294-0.0005</f>
        <v>0.235119449019227</v>
      </c>
      <c r="AK294" s="1159" t="n">
        <f aca="false">IF(AND(дома!$Z$29&gt;=AJ294,дома!$Z$29&lt;=AI294),связи1!AG294,0)</f>
        <v>0</v>
      </c>
      <c r="AL294" s="1159" t="n">
        <f aca="false">IF(AND(дома!$AA$29&gt;=AJ294,дома!$AA$29&lt;=AI294),связи1!AG294,0)</f>
        <v>0</v>
      </c>
    </row>
    <row r="295" customFormat="false" ht="15.75" hidden="false" customHeight="false" outlineLevel="0" collapsed="false">
      <c r="G295" s="1220"/>
      <c r="H295" s="1221"/>
      <c r="I295" s="1221"/>
      <c r="J295" s="1221"/>
      <c r="K295" s="1221"/>
      <c r="S295" s="1221"/>
      <c r="T295" s="1205"/>
      <c r="U295" s="1205"/>
      <c r="V295" s="1205"/>
      <c r="W295" s="1205"/>
      <c r="X295" s="1205"/>
      <c r="Y295" s="1205"/>
      <c r="Z295" s="1205"/>
      <c r="AG295" s="1159" t="n">
        <v>13.6</v>
      </c>
      <c r="AH295" s="1193" t="n">
        <f aca="false">AG295*3.1415926535897/180</f>
        <v>0.237364778271222</v>
      </c>
      <c r="AI295" s="1193" t="n">
        <f aca="false">AH295+0.0005</f>
        <v>0.237864778271222</v>
      </c>
      <c r="AJ295" s="1193" t="n">
        <f aca="false">AH295-0.0005</f>
        <v>0.236864778271222</v>
      </c>
      <c r="AK295" s="1159" t="n">
        <f aca="false">IF(AND(дома!$Z$29&gt;=AJ295,дома!$Z$29&lt;=AI295),связи1!AG295,0)</f>
        <v>0</v>
      </c>
      <c r="AL295" s="1159" t="n">
        <f aca="false">IF(AND(дома!$AA$29&gt;=AJ295,дома!$AA$29&lt;=AI295),связи1!AG295,0)</f>
        <v>0</v>
      </c>
    </row>
    <row r="296" customFormat="false" ht="15" hidden="false" customHeight="false" outlineLevel="0" collapsed="false">
      <c r="A296" s="1159" t="str">
        <f aca="false">'Прайс лист'!B265</f>
        <v>Нет </v>
      </c>
      <c r="B296" s="1180" t="n">
        <f aca="false">'Прайс лист'!G265</f>
        <v>0</v>
      </c>
      <c r="C296" s="1159" t="str">
        <f aca="false">A296</f>
        <v>Нет </v>
      </c>
      <c r="D296" s="1159"/>
      <c r="E296" s="1159"/>
      <c r="F296" s="1159" t="n">
        <v>0</v>
      </c>
      <c r="G296" s="1199" t="str">
        <f aca="false">A296</f>
        <v>Нет </v>
      </c>
      <c r="H296" s="1198"/>
      <c r="I296" s="1198"/>
      <c r="J296" s="1222"/>
      <c r="K296" s="1222"/>
      <c r="S296" s="1199"/>
      <c r="T296" s="1198"/>
      <c r="U296" s="1198"/>
      <c r="V296" s="1198"/>
      <c r="W296" s="1198"/>
      <c r="X296" s="1198"/>
      <c r="Y296" s="1198"/>
      <c r="Z296" s="1198"/>
      <c r="AG296" s="1159" t="n">
        <v>13.7</v>
      </c>
      <c r="AH296" s="1193" t="n">
        <f aca="false">AG296*3.1415926535897/180</f>
        <v>0.239110107523216</v>
      </c>
      <c r="AI296" s="1193" t="n">
        <f aca="false">AH296+0.0005</f>
        <v>0.239610107523216</v>
      </c>
      <c r="AJ296" s="1193" t="n">
        <f aca="false">AH296-0.0005</f>
        <v>0.238610107523216</v>
      </c>
      <c r="AK296" s="1159" t="n">
        <f aca="false">IF(AND(дома!$Z$29&gt;=AJ296,дома!$Z$29&lt;=AI296),связи1!AG296,0)</f>
        <v>0</v>
      </c>
      <c r="AL296" s="1159" t="n">
        <f aca="false">IF(AND(дома!$AA$29&gt;=AJ296,дома!$AA$29&lt;=AI296),связи1!AG296,0)</f>
        <v>0</v>
      </c>
    </row>
    <row r="297" customFormat="false" ht="15" hidden="false" customHeight="false" outlineLevel="0" collapsed="false">
      <c r="A297" s="1159" t="str">
        <f aca="false">'Прайс лист'!B266</f>
        <v>Sip панель 2500*1250*124мм</v>
      </c>
      <c r="B297" s="1180" t="n">
        <f aca="false">'Прайс лист'!G266</f>
        <v>800</v>
      </c>
      <c r="C297" s="1159" t="s">
        <v>2492</v>
      </c>
      <c r="D297" s="1159" t="n">
        <v>0.1</v>
      </c>
      <c r="E297" s="1180" t="n">
        <f aca="false">'Прайс лист'!G326</f>
        <v>9000</v>
      </c>
      <c r="F297" s="1223" t="n">
        <v>0.124</v>
      </c>
      <c r="G297" s="1199" t="str">
        <f aca="false">A297</f>
        <v>Sip панель 2500*1250*124мм</v>
      </c>
      <c r="H297" s="1224" t="n">
        <f aca="false">'Прайс лист'!D266</f>
        <v>3</v>
      </c>
      <c r="I297" s="1198" t="n">
        <v>2.5</v>
      </c>
      <c r="J297" s="1222" t="n">
        <v>1.25</v>
      </c>
      <c r="K297" s="1222"/>
      <c r="S297" s="1199"/>
      <c r="T297" s="1198"/>
      <c r="U297" s="1198"/>
      <c r="V297" s="1198"/>
      <c r="W297" s="1198"/>
      <c r="X297" s="1198"/>
      <c r="Y297" s="1198"/>
      <c r="Z297" s="1198"/>
      <c r="AG297" s="1159" t="n">
        <v>13.8</v>
      </c>
      <c r="AH297" s="1193" t="n">
        <f aca="false">AG297*3.1415926535897/180</f>
        <v>0.24085543677521</v>
      </c>
      <c r="AI297" s="1193" t="n">
        <f aca="false">AH297+0.0005</f>
        <v>0.24135543677521</v>
      </c>
      <c r="AJ297" s="1193" t="n">
        <f aca="false">AH297-0.0005</f>
        <v>0.24035543677521</v>
      </c>
      <c r="AK297" s="1159" t="n">
        <f aca="false">IF(AND(дома!$Z$29&gt;=AJ297,дома!$Z$29&lt;=AI297),связи1!AG297,0)</f>
        <v>0</v>
      </c>
      <c r="AL297" s="1159" t="n">
        <f aca="false">IF(AND(дома!$AA$29&gt;=AJ297,дома!$AA$29&lt;=AI297),связи1!AG297,0)</f>
        <v>0</v>
      </c>
    </row>
    <row r="298" customFormat="false" ht="15.75" hidden="false" customHeight="false" outlineLevel="0" collapsed="false">
      <c r="A298" s="1159" t="str">
        <f aca="false">'Прайс лист'!B267</f>
        <v>Sip панель 2500*1250*174мм</v>
      </c>
      <c r="B298" s="1180" t="n">
        <f aca="false">'Прайс лист'!G267</f>
        <v>1200</v>
      </c>
      <c r="C298" s="1159" t="s">
        <v>449</v>
      </c>
      <c r="D298" s="1159" t="n">
        <v>0.15</v>
      </c>
      <c r="E298" s="1180" t="n">
        <f aca="false">'Прайс лист'!G325</f>
        <v>9000</v>
      </c>
      <c r="F298" s="1223" t="n">
        <v>0.174</v>
      </c>
      <c r="G298" s="1199" t="str">
        <f aca="false">A298</f>
        <v>Sip панель 2500*1250*174мм</v>
      </c>
      <c r="H298" s="1224" t="n">
        <f aca="false">'Прайс лист'!D267</f>
        <v>3</v>
      </c>
      <c r="I298" s="1198" t="n">
        <v>2.5</v>
      </c>
      <c r="J298" s="1222" t="n">
        <v>1.25</v>
      </c>
      <c r="K298" s="1198"/>
      <c r="S298" s="1221"/>
      <c r="T298" s="1205"/>
      <c r="U298" s="1205"/>
      <c r="V298" s="1205"/>
      <c r="W298" s="1205"/>
      <c r="X298" s="1205"/>
      <c r="Y298" s="1205"/>
      <c r="Z298" s="1205"/>
      <c r="AG298" s="1159" t="n">
        <v>13.9</v>
      </c>
      <c r="AH298" s="1193" t="n">
        <f aca="false">AG298*3.1415926535897/180</f>
        <v>0.242600766027205</v>
      </c>
      <c r="AI298" s="1193" t="n">
        <f aca="false">AH298+0.0005</f>
        <v>0.243100766027205</v>
      </c>
      <c r="AJ298" s="1193" t="n">
        <f aca="false">AH298-0.0005</f>
        <v>0.242100766027205</v>
      </c>
      <c r="AK298" s="1159" t="n">
        <f aca="false">IF(AND(дома!$Z$29&gt;=AJ298,дома!$Z$29&lt;=AI298),связи1!AG298,0)</f>
        <v>0</v>
      </c>
      <c r="AL298" s="1159" t="n">
        <f aca="false">IF(AND(дома!$AA$29&gt;=AJ298,дома!$AA$29&lt;=AI298),связи1!AG298,0)</f>
        <v>0</v>
      </c>
    </row>
    <row r="299" customFormat="false" ht="15.75" hidden="false" customHeight="false" outlineLevel="0" collapsed="false">
      <c r="A299" s="1159" t="str">
        <f aca="false">'Прайс лист'!B268</f>
        <v>Sip панель 2500*1250*224мм</v>
      </c>
      <c r="B299" s="1180" t="n">
        <f aca="false">'Прайс лист'!G268</f>
        <v>1400</v>
      </c>
      <c r="C299" s="1159" t="s">
        <v>42</v>
      </c>
      <c r="D299" s="881" t="n">
        <v>0.2</v>
      </c>
      <c r="E299" s="832" t="n">
        <f aca="false">'Прайс лист'!G323</f>
        <v>9000</v>
      </c>
      <c r="F299" s="1223" t="n">
        <v>0.224</v>
      </c>
      <c r="G299" s="1199" t="str">
        <f aca="false">A299</f>
        <v>Sip панель 2500*1250*224мм</v>
      </c>
      <c r="H299" s="1224" t="n">
        <f aca="false">'Прайс лист'!D268</f>
        <v>3</v>
      </c>
      <c r="I299" s="1198" t="n">
        <v>2.5</v>
      </c>
      <c r="J299" s="1222" t="n">
        <v>1.25</v>
      </c>
      <c r="K299" s="1198"/>
      <c r="S299" s="1221"/>
      <c r="T299" s="1205"/>
      <c r="U299" s="1205"/>
      <c r="V299" s="1205"/>
      <c r="W299" s="1205"/>
      <c r="X299" s="1205"/>
      <c r="Y299" s="1205"/>
      <c r="Z299" s="1205"/>
      <c r="AG299" s="1159"/>
      <c r="AH299" s="1193"/>
      <c r="AI299" s="1193"/>
      <c r="AJ299" s="1193"/>
      <c r="AK299" s="1159"/>
      <c r="AL299" s="1159"/>
    </row>
    <row r="300" customFormat="false" ht="15.75" hidden="false" customHeight="false" outlineLevel="0" collapsed="false">
      <c r="A300" s="1159" t="str">
        <f aca="false">'Прайс лист'!B269</f>
        <v>Sip панель 2800*1250*124мм</v>
      </c>
      <c r="B300" s="1180" t="n">
        <f aca="false">'Прайс лист'!G269</f>
        <v>800</v>
      </c>
      <c r="C300" s="1159" t="s">
        <v>2492</v>
      </c>
      <c r="D300" s="1159" t="n">
        <v>0.1</v>
      </c>
      <c r="E300" s="1180" t="n">
        <f aca="false">'Прайс лист'!G326</f>
        <v>9000</v>
      </c>
      <c r="F300" s="1223" t="n">
        <v>0.124</v>
      </c>
      <c r="G300" s="1199" t="str">
        <f aca="false">A300</f>
        <v>Sip панель 2800*1250*124мм</v>
      </c>
      <c r="H300" s="1224" t="n">
        <f aca="false">'Прайс лист'!D269</f>
        <v>3.5</v>
      </c>
      <c r="I300" s="1198" t="n">
        <v>2.8</v>
      </c>
      <c r="J300" s="1222" t="n">
        <v>1.25</v>
      </c>
      <c r="K300" s="1198"/>
      <c r="S300" s="1221"/>
      <c r="T300" s="1205"/>
      <c r="U300" s="1205"/>
      <c r="V300" s="1205"/>
      <c r="W300" s="1205"/>
      <c r="X300" s="1205"/>
      <c r="Y300" s="1205"/>
      <c r="Z300" s="1205"/>
      <c r="AG300" s="1159"/>
      <c r="AH300" s="1193"/>
      <c r="AI300" s="1193"/>
      <c r="AJ300" s="1193"/>
      <c r="AK300" s="1159"/>
      <c r="AL300" s="1159"/>
    </row>
    <row r="301" customFormat="false" ht="15.75" hidden="false" customHeight="false" outlineLevel="0" collapsed="false">
      <c r="A301" s="1159" t="str">
        <f aca="false">'Прайс лист'!B270</f>
        <v>Sip панель 2800*1250*174мм</v>
      </c>
      <c r="B301" s="1180" t="n">
        <f aca="false">'Прайс лист'!G270</f>
        <v>1200</v>
      </c>
      <c r="C301" s="1159" t="s">
        <v>449</v>
      </c>
      <c r="D301" s="1159" t="n">
        <v>0.15</v>
      </c>
      <c r="E301" s="1180" t="n">
        <f aca="false">'Прайс лист'!G325</f>
        <v>9000</v>
      </c>
      <c r="F301" s="1223" t="n">
        <v>0.174</v>
      </c>
      <c r="G301" s="1199" t="str">
        <f aca="false">A301</f>
        <v>Sip панель 2800*1250*174мм</v>
      </c>
      <c r="H301" s="1224" t="n">
        <f aca="false">'Прайс лист'!D270</f>
        <v>3.5</v>
      </c>
      <c r="I301" s="1198" t="n">
        <v>2.8</v>
      </c>
      <c r="J301" s="1222" t="n">
        <v>1.25</v>
      </c>
      <c r="K301" s="1198"/>
      <c r="S301" s="1221"/>
      <c r="T301" s="1205"/>
      <c r="U301" s="1205"/>
      <c r="V301" s="1205"/>
      <c r="W301" s="1205"/>
      <c r="X301" s="1205"/>
      <c r="Y301" s="1205"/>
      <c r="Z301" s="1205"/>
      <c r="AG301" s="1159"/>
      <c r="AH301" s="1193"/>
      <c r="AI301" s="1193"/>
      <c r="AJ301" s="1193"/>
      <c r="AK301" s="1159"/>
      <c r="AL301" s="1159"/>
    </row>
    <row r="302" customFormat="false" ht="15.75" hidden="false" customHeight="false" outlineLevel="0" collapsed="false">
      <c r="A302" s="1159" t="str">
        <f aca="false">'Прайс лист'!B271</f>
        <v>Sip панель 2800*1250*224мм</v>
      </c>
      <c r="B302" s="1180" t="n">
        <f aca="false">'Прайс лист'!G271</f>
        <v>1400</v>
      </c>
      <c r="C302" s="1159" t="s">
        <v>42</v>
      </c>
      <c r="D302" s="881" t="n">
        <v>0.2</v>
      </c>
      <c r="E302" s="1180" t="n">
        <f aca="false">'Прайс лист'!G323</f>
        <v>9000</v>
      </c>
      <c r="F302" s="1223" t="n">
        <v>0.224</v>
      </c>
      <c r="G302" s="1199" t="str">
        <f aca="false">A302</f>
        <v>Sip панель 2800*1250*224мм</v>
      </c>
      <c r="H302" s="1224" t="n">
        <f aca="false">'Прайс лист'!D271</f>
        <v>3.5</v>
      </c>
      <c r="I302" s="1198" t="n">
        <v>2.8</v>
      </c>
      <c r="J302" s="1222" t="n">
        <v>1.25</v>
      </c>
      <c r="K302" s="1198"/>
      <c r="S302" s="1221"/>
      <c r="T302" s="1205"/>
      <c r="U302" s="1205"/>
      <c r="V302" s="1205"/>
      <c r="W302" s="1205"/>
      <c r="X302" s="1205"/>
      <c r="Y302" s="1205"/>
      <c r="Z302" s="1205"/>
      <c r="AG302" s="1159"/>
      <c r="AH302" s="1193"/>
      <c r="AI302" s="1193"/>
      <c r="AJ302" s="1193"/>
      <c r="AK302" s="1159"/>
      <c r="AL302" s="1159"/>
    </row>
    <row r="303" customFormat="false" ht="15.75" hidden="false" customHeight="false" outlineLevel="0" collapsed="false">
      <c r="A303" s="1159" t="str">
        <f aca="false">'Прайс лист'!B272</f>
        <v>Sip панель 3000*1250*124мм</v>
      </c>
      <c r="B303" s="1180" t="n">
        <f aca="false">'Прайс лист'!G272</f>
        <v>800</v>
      </c>
      <c r="C303" s="1159" t="s">
        <v>2492</v>
      </c>
      <c r="D303" s="1159" t="n">
        <v>0.1</v>
      </c>
      <c r="E303" s="1180" t="n">
        <f aca="false">'Прайс лист'!G326</f>
        <v>9000</v>
      </c>
      <c r="F303" s="1223" t="n">
        <v>0.124</v>
      </c>
      <c r="G303" s="1199" t="str">
        <f aca="false">A303</f>
        <v>Sip панель 3000*1250*124мм</v>
      </c>
      <c r="H303" s="1224" t="n">
        <f aca="false">'Прайс лист'!D272</f>
        <v>3.75</v>
      </c>
      <c r="I303" s="1198" t="n">
        <v>3</v>
      </c>
      <c r="J303" s="1222" t="n">
        <v>1.25</v>
      </c>
      <c r="K303" s="1198"/>
      <c r="S303" s="1221"/>
      <c r="T303" s="1205"/>
      <c r="U303" s="1205"/>
      <c r="V303" s="1205"/>
      <c r="W303" s="1205"/>
      <c r="X303" s="1205"/>
      <c r="Y303" s="1205"/>
      <c r="Z303" s="1205"/>
      <c r="AG303" s="1159"/>
      <c r="AH303" s="1193"/>
      <c r="AI303" s="1193"/>
      <c r="AJ303" s="1193"/>
      <c r="AK303" s="1159"/>
      <c r="AL303" s="1159"/>
    </row>
    <row r="304" customFormat="false" ht="15.75" hidden="false" customHeight="false" outlineLevel="0" collapsed="false">
      <c r="A304" s="1159" t="str">
        <f aca="false">'Прайс лист'!B273</f>
        <v>Sip панель 3000*1250*174мм</v>
      </c>
      <c r="B304" s="1180" t="n">
        <f aca="false">'Прайс лист'!G273</f>
        <v>1200</v>
      </c>
      <c r="C304" s="1159" t="s">
        <v>449</v>
      </c>
      <c r="D304" s="1159" t="n">
        <v>0.15</v>
      </c>
      <c r="E304" s="1180" t="n">
        <f aca="false">'Прайс лист'!G325</f>
        <v>9000</v>
      </c>
      <c r="F304" s="1223" t="n">
        <v>0.174</v>
      </c>
      <c r="G304" s="1199" t="str">
        <f aca="false">A304</f>
        <v>Sip панель 3000*1250*174мм</v>
      </c>
      <c r="H304" s="1224" t="n">
        <f aca="false">'Прайс лист'!D273</f>
        <v>3.75</v>
      </c>
      <c r="I304" s="1198" t="n">
        <v>3</v>
      </c>
      <c r="J304" s="1222" t="n">
        <v>1.25</v>
      </c>
      <c r="K304" s="1198"/>
      <c r="S304" s="1221"/>
      <c r="T304" s="1205"/>
      <c r="U304" s="1205"/>
      <c r="V304" s="1205"/>
      <c r="W304" s="1205"/>
      <c r="X304" s="1205"/>
      <c r="Y304" s="1205"/>
      <c r="Z304" s="1205"/>
      <c r="AG304" s="1159"/>
      <c r="AH304" s="1193"/>
      <c r="AI304" s="1193"/>
      <c r="AJ304" s="1193"/>
      <c r="AK304" s="1159"/>
      <c r="AL304" s="1159"/>
    </row>
    <row r="305" customFormat="false" ht="15.75" hidden="false" customHeight="false" outlineLevel="0" collapsed="false">
      <c r="A305" s="1159" t="str">
        <f aca="false">'Прайс лист'!B274</f>
        <v>Sip панель 3000*1250*224мм</v>
      </c>
      <c r="B305" s="1180" t="n">
        <f aca="false">'Прайс лист'!G274</f>
        <v>1400</v>
      </c>
      <c r="C305" s="1159" t="s">
        <v>42</v>
      </c>
      <c r="D305" s="881" t="n">
        <v>0.2</v>
      </c>
      <c r="E305" s="1180" t="n">
        <f aca="false">'Прайс лист'!G323</f>
        <v>9000</v>
      </c>
      <c r="F305" s="1223" t="n">
        <v>0.224</v>
      </c>
      <c r="G305" s="1199" t="str">
        <f aca="false">A305</f>
        <v>Sip панель 3000*1250*224мм</v>
      </c>
      <c r="H305" s="1224" t="n">
        <f aca="false">'Прайс лист'!D274</f>
        <v>3.75</v>
      </c>
      <c r="I305" s="1198" t="n">
        <v>3</v>
      </c>
      <c r="J305" s="1222" t="n">
        <v>1.25</v>
      </c>
      <c r="K305" s="1198"/>
      <c r="S305" s="1221"/>
      <c r="T305" s="1205"/>
      <c r="U305" s="1205"/>
      <c r="V305" s="1205"/>
      <c r="W305" s="1205"/>
      <c r="X305" s="1205"/>
      <c r="Y305" s="1205"/>
      <c r="Z305" s="1205"/>
      <c r="AG305" s="1159"/>
      <c r="AH305" s="1193"/>
      <c r="AI305" s="1193"/>
      <c r="AJ305" s="1193"/>
      <c r="AK305" s="1159"/>
      <c r="AL305" s="1159"/>
    </row>
    <row r="306" customFormat="false" ht="15.75" hidden="false" customHeight="false" outlineLevel="0" collapsed="false">
      <c r="A306" s="1159" t="str">
        <f aca="false">'Прайс лист'!B275</f>
        <v>Sip панель 2500*625*124мм</v>
      </c>
      <c r="B306" s="1180" t="n">
        <f aca="false">'Прайс лист'!G275</f>
        <v>800</v>
      </c>
      <c r="C306" s="1159" t="s">
        <v>2492</v>
      </c>
      <c r="D306" s="1159" t="n">
        <v>0.1</v>
      </c>
      <c r="E306" s="1180" t="n">
        <f aca="false">'Прайс лист'!G326</f>
        <v>9000</v>
      </c>
      <c r="F306" s="1223" t="n">
        <v>0.124</v>
      </c>
      <c r="G306" s="1199" t="str">
        <f aca="false">A306</f>
        <v>Sip панель 2500*625*124мм</v>
      </c>
      <c r="H306" s="1224" t="n">
        <f aca="false">'Прайс лист'!D275</f>
        <v>1.5</v>
      </c>
      <c r="I306" s="1198" t="n">
        <v>2.5</v>
      </c>
      <c r="J306" s="1198" t="n">
        <v>0.625</v>
      </c>
      <c r="K306" s="1198"/>
      <c r="S306" s="1221"/>
      <c r="T306" s="1205"/>
      <c r="U306" s="1205"/>
      <c r="V306" s="1205"/>
      <c r="W306" s="1205"/>
      <c r="X306" s="1205"/>
      <c r="Y306" s="1205"/>
      <c r="Z306" s="1205"/>
      <c r="AG306" s="1159"/>
      <c r="AH306" s="1193"/>
      <c r="AI306" s="1193"/>
      <c r="AJ306" s="1193"/>
      <c r="AK306" s="1159"/>
      <c r="AL306" s="1159"/>
    </row>
    <row r="307" customFormat="false" ht="15.75" hidden="false" customHeight="false" outlineLevel="0" collapsed="false">
      <c r="A307" s="1159" t="str">
        <f aca="false">'Прайс лист'!B276</f>
        <v>Sip панель 2500*625*174мм</v>
      </c>
      <c r="B307" s="1180" t="n">
        <f aca="false">'Прайс лист'!G276</f>
        <v>1200</v>
      </c>
      <c r="C307" s="1159" t="s">
        <v>449</v>
      </c>
      <c r="D307" s="1159" t="n">
        <v>0.15</v>
      </c>
      <c r="E307" s="1180" t="n">
        <f aca="false">'Прайс лист'!G325</f>
        <v>9000</v>
      </c>
      <c r="F307" s="1223" t="n">
        <v>0.174</v>
      </c>
      <c r="G307" s="1199" t="str">
        <f aca="false">A307</f>
        <v>Sip панель 2500*625*174мм</v>
      </c>
      <c r="H307" s="1224" t="n">
        <f aca="false">'Прайс лист'!D276</f>
        <v>1.5</v>
      </c>
      <c r="I307" s="1198" t="n">
        <v>2.8</v>
      </c>
      <c r="J307" s="1198" t="n">
        <v>0.625</v>
      </c>
      <c r="K307" s="1198"/>
      <c r="S307" s="1221"/>
      <c r="T307" s="1205"/>
      <c r="U307" s="1205"/>
      <c r="V307" s="1205"/>
      <c r="W307" s="1205"/>
      <c r="X307" s="1205"/>
      <c r="Y307" s="1205"/>
      <c r="Z307" s="1205"/>
      <c r="AG307" s="1159"/>
      <c r="AH307" s="1193"/>
      <c r="AI307" s="1193"/>
      <c r="AJ307" s="1193"/>
      <c r="AK307" s="1159"/>
      <c r="AL307" s="1159"/>
    </row>
    <row r="308" customFormat="false" ht="15.75" hidden="false" customHeight="false" outlineLevel="0" collapsed="false">
      <c r="A308" s="1159" t="str">
        <f aca="false">'Прайс лист'!B277</f>
        <v>Sip панель 2500*625*224мм</v>
      </c>
      <c r="B308" s="1180" t="n">
        <f aca="false">'Прайс лист'!G277</f>
        <v>1400</v>
      </c>
      <c r="C308" s="1159" t="s">
        <v>42</v>
      </c>
      <c r="D308" s="881" t="n">
        <v>0.2</v>
      </c>
      <c r="E308" s="832" t="n">
        <f aca="false">'Прайс лист'!G323</f>
        <v>9000</v>
      </c>
      <c r="F308" s="1223" t="n">
        <v>0.224</v>
      </c>
      <c r="G308" s="1199" t="str">
        <f aca="false">A308</f>
        <v>Sip панель 2500*625*224мм</v>
      </c>
      <c r="H308" s="1224" t="n">
        <f aca="false">'Прайс лист'!D277</f>
        <v>1.5</v>
      </c>
      <c r="I308" s="1198" t="n">
        <v>3</v>
      </c>
      <c r="J308" s="1198" t="n">
        <v>0.625</v>
      </c>
      <c r="K308" s="1222"/>
      <c r="S308" s="1199"/>
      <c r="T308" s="1198"/>
      <c r="U308" s="1198"/>
      <c r="V308" s="1198"/>
      <c r="W308" s="1198"/>
      <c r="X308" s="1198"/>
      <c r="Y308" s="1198"/>
      <c r="Z308" s="1198"/>
      <c r="AG308" s="1159" t="n">
        <v>14</v>
      </c>
      <c r="AH308" s="1193" t="n">
        <f aca="false">AG308*3.1415926535897/180</f>
        <v>0.244346095279199</v>
      </c>
      <c r="AI308" s="1193" t="n">
        <f aca="false">AH308+0.0005</f>
        <v>0.244846095279199</v>
      </c>
      <c r="AJ308" s="1193" t="n">
        <f aca="false">AH308-0.0005</f>
        <v>0.243846095279199</v>
      </c>
      <c r="AK308" s="1159" t="n">
        <f aca="false">IF(AND(дома!$Z$29&gt;=AJ308,дома!$Z$29&lt;=AI308),связи1!AG308,0)</f>
        <v>0</v>
      </c>
      <c r="AL308" s="1159" t="n">
        <f aca="false">IF(AND(дома!$AA$29&gt;=AJ308,дома!$AA$29&lt;=AI308),связи1!AG308,0)</f>
        <v>0</v>
      </c>
    </row>
    <row r="309" customFormat="false" ht="15.75" hidden="false" customHeight="false" outlineLevel="0" collapsed="false">
      <c r="A309" s="1225"/>
      <c r="B309" s="919"/>
      <c r="C309" s="1226"/>
      <c r="D309" s="1227"/>
      <c r="E309" s="1227"/>
      <c r="G309" s="1228"/>
      <c r="H309" s="1221"/>
      <c r="I309" s="1229"/>
      <c r="J309" s="1221"/>
      <c r="K309" s="1221"/>
      <c r="S309" s="1199"/>
      <c r="T309" s="1198"/>
      <c r="U309" s="1198"/>
      <c r="V309" s="1198"/>
      <c r="W309" s="1198"/>
      <c r="X309" s="1198"/>
      <c r="Y309" s="1198"/>
      <c r="Z309" s="1198"/>
      <c r="AG309" s="1159" t="n">
        <v>14.1</v>
      </c>
      <c r="AH309" s="1193" t="n">
        <f aca="false">AG309*3.1415926535897/180</f>
        <v>0.246091424531193</v>
      </c>
      <c r="AI309" s="1193" t="n">
        <f aca="false">AH309+0.0005</f>
        <v>0.246591424531193</v>
      </c>
      <c r="AJ309" s="1193" t="n">
        <f aca="false">AH309-0.0005</f>
        <v>0.245591424531193</v>
      </c>
      <c r="AK309" s="1159" t="n">
        <f aca="false">IF(AND(дома!$Z$29&gt;=AJ309,дома!$Z$29&lt;=AI309),связи1!AG309,0)</f>
        <v>0</v>
      </c>
      <c r="AL309" s="1159" t="n">
        <f aca="false">IF(AND(дома!$AA$29&gt;=AJ309,дома!$AA$29&lt;=AI309),связи1!AG309,0)</f>
        <v>0</v>
      </c>
    </row>
    <row r="310" customFormat="false" ht="15.75" hidden="false" customHeight="false" outlineLevel="0" collapsed="false">
      <c r="A310" s="1225"/>
      <c r="B310" s="1159" t="s">
        <v>42</v>
      </c>
      <c r="C310" s="1226"/>
      <c r="D310" s="1227"/>
      <c r="E310" s="1227"/>
      <c r="G310" s="1199"/>
      <c r="H310" s="1198"/>
      <c r="I310" s="1198"/>
      <c r="J310" s="1198"/>
      <c r="K310" s="1198"/>
      <c r="S310" s="1230"/>
      <c r="T310" s="1205"/>
      <c r="U310" s="1205"/>
      <c r="V310" s="1205"/>
      <c r="W310" s="1205"/>
      <c r="X310" s="1205"/>
      <c r="Y310" s="1205"/>
      <c r="Z310" s="1205"/>
      <c r="AG310" s="1159" t="n">
        <v>14.2</v>
      </c>
      <c r="AH310" s="1193" t="n">
        <f aca="false">AG310*3.1415926535897/180</f>
        <v>0.247836753783187</v>
      </c>
      <c r="AI310" s="1193" t="n">
        <f aca="false">AH310+0.0005</f>
        <v>0.248336753783187</v>
      </c>
      <c r="AJ310" s="1193" t="n">
        <f aca="false">AH310-0.0005</f>
        <v>0.247336753783187</v>
      </c>
      <c r="AK310" s="1159" t="n">
        <f aca="false">IF(AND(дома!$Z$29&gt;=AJ310,дома!$Z$29&lt;=AI310),связи1!AG310,0)</f>
        <v>0</v>
      </c>
      <c r="AL310" s="1159" t="n">
        <f aca="false">IF(AND(дома!$AA$29&gt;=AJ310,дома!$AA$29&lt;=AI310),связи1!AG310,0)</f>
        <v>0</v>
      </c>
    </row>
    <row r="311" customFormat="false" ht="15.75" hidden="false" customHeight="false" outlineLevel="0" collapsed="false">
      <c r="A311" s="1225"/>
      <c r="B311" s="1159" t="s">
        <v>449</v>
      </c>
      <c r="C311" s="1226"/>
      <c r="D311" s="1227"/>
      <c r="E311" s="1227"/>
      <c r="G311" s="1231"/>
      <c r="H311" s="1198"/>
      <c r="I311" s="1198"/>
      <c r="J311" s="1198"/>
      <c r="K311" s="1198"/>
      <c r="S311" s="1232"/>
      <c r="T311" s="1233"/>
      <c r="U311" s="1233"/>
      <c r="V311" s="1233"/>
      <c r="W311" s="1233"/>
      <c r="X311" s="1233"/>
      <c r="Y311" s="1233"/>
      <c r="Z311" s="1233"/>
      <c r="AG311" s="1159" t="n">
        <v>14.3</v>
      </c>
      <c r="AH311" s="1193" t="n">
        <f aca="false">AG311*3.1415926535897/180</f>
        <v>0.249582083035182</v>
      </c>
      <c r="AI311" s="1193" t="n">
        <f aca="false">AH311+0.0005</f>
        <v>0.250082083035182</v>
      </c>
      <c r="AJ311" s="1193" t="n">
        <f aca="false">AH311-0.0005</f>
        <v>0.249082083035182</v>
      </c>
      <c r="AK311" s="1159" t="n">
        <f aca="false">IF(AND(дома!$Z$29&gt;=AJ311,дома!$Z$29&lt;=AI311),связи1!AG311,0)</f>
        <v>0</v>
      </c>
      <c r="AL311" s="1159" t="n">
        <f aca="false">IF(AND(дома!$AA$29&gt;=AJ311,дома!$AA$29&lt;=AI311),связи1!AG311,0)</f>
        <v>0</v>
      </c>
    </row>
    <row r="312" customFormat="false" ht="15.75" hidden="false" customHeight="false" outlineLevel="0" collapsed="false">
      <c r="A312" s="1225"/>
      <c r="B312" s="1159" t="s">
        <v>2492</v>
      </c>
      <c r="C312" s="1226"/>
      <c r="D312" s="1227"/>
      <c r="E312" s="1227"/>
      <c r="G312" s="1228"/>
      <c r="H312" s="1221"/>
      <c r="I312" s="1221"/>
      <c r="J312" s="1221"/>
      <c r="K312" s="1221"/>
      <c r="S312" s="1232"/>
      <c r="T312" s="1233"/>
      <c r="U312" s="1233"/>
      <c r="V312" s="1233"/>
      <c r="W312" s="1233"/>
      <c r="X312" s="1233"/>
      <c r="Y312" s="1233"/>
      <c r="Z312" s="1233"/>
      <c r="AG312" s="1159" t="n">
        <v>14.4</v>
      </c>
      <c r="AH312" s="1193" t="n">
        <f aca="false">AG312*3.1415926535897/180</f>
        <v>0.251327412287176</v>
      </c>
      <c r="AI312" s="1193" t="n">
        <f aca="false">AH312+0.0005</f>
        <v>0.251827412287176</v>
      </c>
      <c r="AJ312" s="1193" t="n">
        <f aca="false">AH312-0.0005</f>
        <v>0.250827412287176</v>
      </c>
      <c r="AK312" s="1159" t="n">
        <f aca="false">IF(AND(дома!$Z$29&gt;=AJ312,дома!$Z$29&lt;=AI312),связи1!AG312,0)</f>
        <v>0</v>
      </c>
      <c r="AL312" s="1159" t="n">
        <f aca="false">IF(AND(дома!$AA$29&gt;=AJ312,дома!$AA$29&lt;=AI312),связи1!AG312,0)</f>
        <v>0</v>
      </c>
    </row>
    <row r="313" customFormat="false" ht="15.75" hidden="false" customHeight="false" outlineLevel="0" collapsed="false">
      <c r="A313" s="1225"/>
      <c r="B313" s="919"/>
      <c r="C313" s="1234"/>
      <c r="D313" s="1227"/>
      <c r="E313" s="1227"/>
      <c r="G313" s="1231"/>
      <c r="H313" s="1198"/>
      <c r="I313" s="1235" t="s">
        <v>2329</v>
      </c>
      <c r="J313" s="1198"/>
      <c r="K313" s="1198"/>
      <c r="S313" s="1232"/>
      <c r="T313" s="1233"/>
      <c r="U313" s="1233"/>
      <c r="V313" s="1233"/>
      <c r="W313" s="1233"/>
      <c r="X313" s="1233"/>
      <c r="Y313" s="1233"/>
      <c r="Z313" s="1233"/>
      <c r="AG313" s="1159" t="n">
        <v>14.5</v>
      </c>
      <c r="AH313" s="1193" t="n">
        <f aca="false">AG313*3.1415926535897/180</f>
        <v>0.25307274153917</v>
      </c>
      <c r="AI313" s="1193" t="n">
        <f aca="false">AH313+0.0005</f>
        <v>0.25357274153917</v>
      </c>
      <c r="AJ313" s="1193" t="n">
        <f aca="false">AH313-0.0005</f>
        <v>0.25257274153917</v>
      </c>
      <c r="AK313" s="1159" t="n">
        <f aca="false">IF(AND(дома!$Z$29&gt;=AJ313,дома!$Z$29&lt;=AI313),связи1!AG313,0)</f>
        <v>0</v>
      </c>
      <c r="AL313" s="1159" t="n">
        <f aca="false">IF(AND(дома!$AA$29&gt;=AJ313,дома!$AA$29&lt;=AI313),связи1!AG313,0)</f>
        <v>0</v>
      </c>
    </row>
    <row r="314" customFormat="false" ht="15.75" hidden="false" customHeight="false" outlineLevel="0" collapsed="false">
      <c r="A314" s="1236" t="s">
        <v>770</v>
      </c>
      <c r="D314" s="1237" t="n">
        <f aca="false">'Прайс лист'!G168</f>
        <v>185</v>
      </c>
      <c r="E314" s="1227"/>
      <c r="G314" s="1231"/>
      <c r="H314" s="1198"/>
      <c r="I314" s="1214" t="s">
        <v>2508</v>
      </c>
      <c r="J314" s="1198"/>
      <c r="K314" s="1198"/>
      <c r="S314" s="1232"/>
      <c r="T314" s="1233"/>
      <c r="U314" s="1233"/>
      <c r="V314" s="1233"/>
      <c r="W314" s="1233"/>
      <c r="X314" s="1233"/>
      <c r="Y314" s="1233"/>
      <c r="Z314" s="1233"/>
      <c r="AG314" s="1159" t="n">
        <v>14.6</v>
      </c>
      <c r="AH314" s="1193" t="n">
        <f aca="false">AG314*3.1415926535897/180</f>
        <v>0.254818070791165</v>
      </c>
      <c r="AI314" s="1193" t="n">
        <f aca="false">AH314+0.0005</f>
        <v>0.255318070791164</v>
      </c>
      <c r="AJ314" s="1193" t="n">
        <f aca="false">AH314-0.0005</f>
        <v>0.254318070791165</v>
      </c>
      <c r="AK314" s="1159" t="n">
        <f aca="false">IF(AND(дома!$Z$29&gt;=AJ314,дома!$Z$29&lt;=AI314),связи1!AG314,0)</f>
        <v>0</v>
      </c>
      <c r="AL314" s="1159" t="n">
        <f aca="false">IF(AND(дома!$AA$29&gt;=AJ314,дома!$AA$29&lt;=AI314),связи1!AG314,0)</f>
        <v>0</v>
      </c>
    </row>
    <row r="315" customFormat="false" ht="15.75" hidden="false" customHeight="false" outlineLevel="0" collapsed="false">
      <c r="A315" s="1236" t="s">
        <v>1039</v>
      </c>
      <c r="D315" s="1237" t="n">
        <f aca="false">'Прайс лист'!G169</f>
        <v>215</v>
      </c>
      <c r="E315" s="1227"/>
      <c r="G315" s="1228"/>
      <c r="H315" s="1221"/>
      <c r="I315" s="1238" t="s">
        <v>1096</v>
      </c>
      <c r="J315" s="1221"/>
      <c r="K315" s="1221"/>
      <c r="S315" s="1232"/>
      <c r="T315" s="1233"/>
      <c r="U315" s="1233"/>
      <c r="V315" s="1233"/>
      <c r="W315" s="1233"/>
      <c r="X315" s="1233"/>
      <c r="Y315" s="1233"/>
      <c r="Z315" s="1233"/>
      <c r="AG315" s="1159" t="n">
        <v>14.7</v>
      </c>
      <c r="AH315" s="1193" t="n">
        <f aca="false">AG315*3.1415926535897/180</f>
        <v>0.256563400043159</v>
      </c>
      <c r="AI315" s="1193" t="n">
        <f aca="false">AH315+0.0005</f>
        <v>0.257063400043159</v>
      </c>
      <c r="AJ315" s="1193" t="n">
        <f aca="false">AH315-0.0005</f>
        <v>0.256063400043159</v>
      </c>
      <c r="AK315" s="1159" t="n">
        <f aca="false">IF(AND(дома!$Z$29&gt;=AJ315,дома!$Z$29&lt;=AI315),связи1!AG315,0)</f>
        <v>0</v>
      </c>
      <c r="AL315" s="1159" t="n">
        <f aca="false">IF(AND(дома!$AA$29&gt;=AJ315,дома!$AA$29&lt;=AI315),связи1!AG315,0)</f>
        <v>0</v>
      </c>
    </row>
    <row r="316" customFormat="false" ht="15.75" hidden="false" customHeight="false" outlineLevel="0" collapsed="false">
      <c r="A316" s="1159" t="s">
        <v>2649</v>
      </c>
      <c r="B316" s="1159" t="s">
        <v>2650</v>
      </c>
      <c r="C316" s="1159" t="s">
        <v>2651</v>
      </c>
      <c r="D316" s="1159" t="n">
        <v>4000</v>
      </c>
      <c r="G316" s="1231"/>
      <c r="H316" s="1198"/>
      <c r="I316" s="1238" t="s">
        <v>2341</v>
      </c>
      <c r="J316" s="1198"/>
      <c r="K316" s="1198"/>
      <c r="S316" s="1232"/>
      <c r="T316" s="1233"/>
      <c r="U316" s="1233"/>
      <c r="V316" s="1233"/>
      <c r="W316" s="1233"/>
      <c r="X316" s="1233"/>
      <c r="Y316" s="1233"/>
      <c r="Z316" s="1233"/>
      <c r="AG316" s="1159" t="n">
        <v>14.8</v>
      </c>
      <c r="AH316" s="1193" t="n">
        <f aca="false">AG316*3.1415926535897/180</f>
        <v>0.258308729295153</v>
      </c>
      <c r="AI316" s="1193" t="n">
        <f aca="false">AH316+0.0005</f>
        <v>0.258808729295153</v>
      </c>
      <c r="AJ316" s="1193" t="n">
        <f aca="false">AH316-0.0005</f>
        <v>0.257808729295153</v>
      </c>
      <c r="AK316" s="1159" t="n">
        <f aca="false">IF(AND(дома!$Z$29&gt;=AJ316,дома!$Z$29&lt;=AI316),связи1!AG316,0)</f>
        <v>0</v>
      </c>
      <c r="AL316" s="1159" t="n">
        <f aca="false">IF(AND(дома!$AA$29&gt;=AJ316,дома!$AA$29&lt;=AI316),связи1!AG316,0)</f>
        <v>0</v>
      </c>
    </row>
    <row r="317" customFormat="false" ht="15.75" hidden="false" customHeight="false" outlineLevel="0" collapsed="false">
      <c r="A317" s="738" t="s">
        <v>1092</v>
      </c>
      <c r="D317" s="1159" t="n">
        <v>2100</v>
      </c>
      <c r="E317" s="1239"/>
      <c r="G317" s="1231"/>
      <c r="H317" s="1198"/>
      <c r="I317" s="1238" t="s">
        <v>2320</v>
      </c>
      <c r="J317" s="1198"/>
      <c r="K317" s="1198"/>
      <c r="S317" s="1232"/>
      <c r="T317" s="1233"/>
      <c r="U317" s="1233"/>
      <c r="V317" s="1233"/>
      <c r="W317" s="1233"/>
      <c r="X317" s="1233"/>
      <c r="Y317" s="1233"/>
      <c r="Z317" s="1233"/>
      <c r="AG317" s="1159" t="n">
        <v>14.9</v>
      </c>
      <c r="AH317" s="1193" t="n">
        <f aca="false">AG317*3.1415926535897/180</f>
        <v>0.260054058547147</v>
      </c>
      <c r="AI317" s="1193" t="n">
        <f aca="false">AH317+0.0005</f>
        <v>0.260554058547147</v>
      </c>
      <c r="AJ317" s="1193" t="n">
        <f aca="false">AH317-0.0005</f>
        <v>0.259554058547147</v>
      </c>
      <c r="AK317" s="1159" t="n">
        <f aca="false">IF(AND(дома!$Z$29&gt;=AJ317,дома!$Z$29&lt;=AI317),связи1!AG317,0)</f>
        <v>0</v>
      </c>
      <c r="AL317" s="1159" t="n">
        <f aca="false">IF(AND(дома!$AA$29&gt;=AJ317,дома!$AA$29&lt;=AI317),связи1!AG317,0)</f>
        <v>0</v>
      </c>
    </row>
    <row r="318" customFormat="false" ht="15.75" hidden="false" customHeight="false" outlineLevel="0" collapsed="false">
      <c r="A318" s="738" t="s">
        <v>1093</v>
      </c>
      <c r="D318" s="1159" t="n">
        <v>2500</v>
      </c>
      <c r="E318" s="1239"/>
      <c r="G318" s="1221"/>
      <c r="H318" s="1221"/>
      <c r="I318" s="1238" t="s">
        <v>2323</v>
      </c>
      <c r="J318" s="1221"/>
      <c r="K318" s="1221"/>
      <c r="S318" s="1232"/>
      <c r="T318" s="1233"/>
      <c r="U318" s="1233"/>
      <c r="V318" s="1233"/>
      <c r="W318" s="1233"/>
      <c r="X318" s="1233"/>
      <c r="Y318" s="1233"/>
      <c r="Z318" s="1233"/>
      <c r="AG318" s="1159" t="n">
        <v>15</v>
      </c>
      <c r="AH318" s="1193" t="n">
        <f aca="false">AG318*3.1415926535897/180</f>
        <v>0.261799387799142</v>
      </c>
      <c r="AI318" s="1193" t="n">
        <f aca="false">AH318+0.0005</f>
        <v>0.262299387799142</v>
      </c>
      <c r="AJ318" s="1193" t="n">
        <f aca="false">AH318-0.0005</f>
        <v>0.261299387799142</v>
      </c>
      <c r="AK318" s="1159" t="n">
        <f aca="false">IF(AND(дома!$Z$29&gt;=AJ318,дома!$Z$29&lt;=AI318),связи1!AG318,0)</f>
        <v>0</v>
      </c>
      <c r="AL318" s="1159" t="n">
        <f aca="false">IF(AND(дома!$AA$29&gt;=AJ318,дома!$AA$29&lt;=AI318),связи1!AG318,0)</f>
        <v>0</v>
      </c>
    </row>
    <row r="319" customFormat="false" ht="15.75" hidden="false" customHeight="false" outlineLevel="0" collapsed="false">
      <c r="A319" s="738" t="s">
        <v>1094</v>
      </c>
      <c r="D319" s="1159" t="n">
        <v>3000</v>
      </c>
      <c r="E319" s="1239"/>
      <c r="G319" s="1199"/>
      <c r="H319" s="1198"/>
      <c r="I319" s="881" t="s">
        <v>2652</v>
      </c>
      <c r="J319" s="1198"/>
      <c r="K319" s="1198"/>
      <c r="S319" s="1232"/>
      <c r="T319" s="1233"/>
      <c r="U319" s="1233"/>
      <c r="V319" s="1233"/>
      <c r="W319" s="1233"/>
      <c r="X319" s="1233"/>
      <c r="Y319" s="1233"/>
      <c r="Z319" s="1233"/>
      <c r="AG319" s="1159" t="n">
        <v>15.1</v>
      </c>
      <c r="AH319" s="1193" t="n">
        <f aca="false">AG319*3.1415926535897/180</f>
        <v>0.263544717051136</v>
      </c>
      <c r="AI319" s="1193" t="n">
        <f aca="false">AH319+0.0005</f>
        <v>0.264044717051136</v>
      </c>
      <c r="AJ319" s="1193" t="n">
        <f aca="false">AH319-0.0005</f>
        <v>0.263044717051136</v>
      </c>
      <c r="AK319" s="1159" t="n">
        <f aca="false">IF(AND(дома!$Z$29&gt;=AJ319,дома!$Z$29&lt;=AI319),связи1!AG319,0)</f>
        <v>0</v>
      </c>
      <c r="AL319" s="1159" t="n">
        <f aca="false">IF(AND(дома!$AA$29&gt;=AJ319,дома!$AA$29&lt;=AI319),связи1!AG319,0)</f>
        <v>0</v>
      </c>
    </row>
    <row r="320" customFormat="false" ht="15.75" hidden="false" customHeight="false" outlineLevel="0" collapsed="false">
      <c r="A320" s="738" t="s">
        <v>1095</v>
      </c>
      <c r="D320" s="1159" t="n">
        <v>3500</v>
      </c>
      <c r="E320" s="1239"/>
      <c r="G320" s="1199"/>
      <c r="H320" s="1198"/>
      <c r="I320" s="881" t="s">
        <v>2653</v>
      </c>
      <c r="J320" s="1198"/>
      <c r="K320" s="1198"/>
      <c r="S320" s="1232"/>
      <c r="T320" s="1233"/>
      <c r="U320" s="1233"/>
      <c r="V320" s="1233"/>
      <c r="W320" s="1233"/>
      <c r="X320" s="1233"/>
      <c r="Y320" s="1233"/>
      <c r="Z320" s="1233"/>
      <c r="AG320" s="1159" t="n">
        <v>15.2</v>
      </c>
      <c r="AH320" s="1193" t="n">
        <f aca="false">AG320*3.1415926535897/180</f>
        <v>0.26529004630313</v>
      </c>
      <c r="AI320" s="1193" t="n">
        <f aca="false">AH320+0.0005</f>
        <v>0.26579004630313</v>
      </c>
      <c r="AJ320" s="1193" t="n">
        <f aca="false">AH320-0.0005</f>
        <v>0.26479004630313</v>
      </c>
      <c r="AK320" s="1159" t="n">
        <f aca="false">IF(AND(дома!$Z$29&gt;=AJ320,дома!$Z$29&lt;=AI320),связи1!AG320,0)</f>
        <v>0</v>
      </c>
      <c r="AL320" s="1159" t="n">
        <f aca="false">IF(AND(дома!$AA$29&gt;=AJ320,дома!$AA$29&lt;=AI320),связи1!AG320,0)</f>
        <v>0</v>
      </c>
    </row>
    <row r="321" customFormat="false" ht="15.75" hidden="false" customHeight="false" outlineLevel="0" collapsed="false">
      <c r="G321" s="1221"/>
      <c r="H321" s="1221"/>
      <c r="I321" s="881" t="s">
        <v>2654</v>
      </c>
      <c r="J321" s="1221"/>
      <c r="K321" s="1221"/>
      <c r="S321" s="1232"/>
      <c r="T321" s="1233"/>
      <c r="U321" s="1233"/>
      <c r="V321" s="1233"/>
      <c r="W321" s="1233"/>
      <c r="X321" s="1233"/>
      <c r="Y321" s="1233"/>
      <c r="Z321" s="1233"/>
      <c r="AG321" s="1159" t="n">
        <v>15.3</v>
      </c>
      <c r="AH321" s="1193" t="n">
        <f aca="false">AG321*3.1415926535897/180</f>
        <v>0.267035375555124</v>
      </c>
      <c r="AI321" s="1193" t="n">
        <f aca="false">AH321+0.0005</f>
        <v>0.267535375555124</v>
      </c>
      <c r="AJ321" s="1193" t="n">
        <f aca="false">AH321-0.0005</f>
        <v>0.266535375555124</v>
      </c>
      <c r="AK321" s="1159" t="n">
        <f aca="false">IF(AND(дома!$Z$29&gt;=AJ321,дома!$Z$29&lt;=AI321),связи1!AG321,0)</f>
        <v>0</v>
      </c>
      <c r="AL321" s="1159" t="n">
        <f aca="false">IF(AND(дома!$AA$29&gt;=AJ321,дома!$AA$29&lt;=AI321),связи1!AG321,0)</f>
        <v>0</v>
      </c>
    </row>
    <row r="322" customFormat="false" ht="15.75" hidden="false" customHeight="false" outlineLevel="0" collapsed="false">
      <c r="G322" s="1199"/>
      <c r="H322" s="1198"/>
      <c r="I322" s="881" t="s">
        <v>2655</v>
      </c>
      <c r="J322" s="1198"/>
      <c r="K322" s="1198"/>
      <c r="S322" s="1232"/>
      <c r="T322" s="1233"/>
      <c r="U322" s="1233"/>
      <c r="V322" s="1233"/>
      <c r="W322" s="1233"/>
      <c r="X322" s="1233"/>
      <c r="Y322" s="1233"/>
      <c r="Z322" s="1233"/>
      <c r="AG322" s="1159" t="n">
        <v>15.4</v>
      </c>
      <c r="AH322" s="1193" t="n">
        <f aca="false">AG322*3.1415926535897/180</f>
        <v>0.268780704807119</v>
      </c>
      <c r="AI322" s="1193" t="n">
        <f aca="false">AH322+0.0005</f>
        <v>0.269280704807119</v>
      </c>
      <c r="AJ322" s="1193" t="n">
        <f aca="false">AH322-0.0005</f>
        <v>0.268280704807119</v>
      </c>
      <c r="AK322" s="1159" t="n">
        <f aca="false">IF(AND(дома!$Z$29&gt;=AJ322,дома!$Z$29&lt;=AI322),связи1!AG322,0)</f>
        <v>0</v>
      </c>
      <c r="AL322" s="1159" t="n">
        <f aca="false">IF(AND(дома!$AA$29&gt;=AJ322,дома!$AA$29&lt;=AI322),связи1!AG322,0)</f>
        <v>0</v>
      </c>
    </row>
    <row r="323" customFormat="false" ht="15.75" hidden="false" customHeight="false" outlineLevel="0" collapsed="false">
      <c r="G323" s="1199"/>
      <c r="H323" s="1198"/>
      <c r="I323" s="881" t="s">
        <v>2656</v>
      </c>
      <c r="J323" s="1198"/>
      <c r="K323" s="1198"/>
      <c r="AG323" s="1159" t="n">
        <v>15.5</v>
      </c>
      <c r="AH323" s="1193" t="n">
        <f aca="false">AG323*3.1415926535897/180</f>
        <v>0.270526034059113</v>
      </c>
      <c r="AI323" s="1193" t="n">
        <f aca="false">AH323+0.0005</f>
        <v>0.271026034059113</v>
      </c>
      <c r="AJ323" s="1193" t="n">
        <f aca="false">AH323-0.0005</f>
        <v>0.270026034059113</v>
      </c>
      <c r="AK323" s="1159" t="n">
        <f aca="false">IF(AND(дома!$Z$29&gt;=AJ323,дома!$Z$29&lt;=AI323),связи1!AG323,0)</f>
        <v>0</v>
      </c>
      <c r="AL323" s="1159" t="n">
        <f aca="false">IF(AND(дома!$AA$29&gt;=AJ323,дома!$AA$29&lt;=AI323),связи1!AG323,0)</f>
        <v>0</v>
      </c>
    </row>
    <row r="324" customFormat="false" ht="15" hidden="false" customHeight="false" outlineLevel="0" collapsed="false">
      <c r="E324" s="1158" t="n">
        <v>1</v>
      </c>
      <c r="F324" s="1158" t="n">
        <v>2</v>
      </c>
      <c r="G324" s="1172"/>
      <c r="H324" s="1198"/>
      <c r="I324" s="1172"/>
      <c r="J324" s="1172"/>
      <c r="K324" s="1172"/>
      <c r="AG324" s="1159" t="n">
        <v>15.6</v>
      </c>
      <c r="AH324" s="1193" t="n">
        <f aca="false">AG324*3.1415926535897/180</f>
        <v>0.272271363311107</v>
      </c>
      <c r="AI324" s="1193" t="n">
        <f aca="false">AH324+0.0005</f>
        <v>0.272771363311107</v>
      </c>
      <c r="AJ324" s="1193" t="n">
        <f aca="false">AH324-0.0005</f>
        <v>0.271771363311107</v>
      </c>
      <c r="AK324" s="1159" t="n">
        <f aca="false">IF(AND(дома!$Z$29&gt;=AJ324,дома!$Z$29&lt;=AI324),связи1!AG324,0)</f>
        <v>0</v>
      </c>
      <c r="AL324" s="1159" t="n">
        <f aca="false">IF(AND(дома!$AA$29&gt;=AJ324,дома!$AA$29&lt;=AI324),связи1!AG324,0)</f>
        <v>0</v>
      </c>
    </row>
    <row r="325" customFormat="false" ht="15.75" hidden="false" customHeight="false" outlineLevel="0" collapsed="false">
      <c r="A325" s="1240" t="s">
        <v>2657</v>
      </c>
      <c r="B325" s="1241" t="s">
        <v>12</v>
      </c>
      <c r="C325" s="1242" t="s">
        <v>116</v>
      </c>
      <c r="D325" s="1242" t="s">
        <v>137</v>
      </c>
      <c r="E325" s="1243" t="s">
        <v>118</v>
      </c>
      <c r="F325" s="1244" t="s">
        <v>2658</v>
      </c>
      <c r="G325" s="1245" t="s">
        <v>116</v>
      </c>
      <c r="H325" s="1246" t="s">
        <v>137</v>
      </c>
      <c r="I325" s="1246" t="s">
        <v>2659</v>
      </c>
      <c r="J325" s="1247" t="s">
        <v>2660</v>
      </c>
      <c r="K325" s="1247" t="s">
        <v>2661</v>
      </c>
      <c r="AG325" s="1159" t="n">
        <v>15.7</v>
      </c>
      <c r="AH325" s="1193" t="n">
        <f aca="false">AG325*3.1415926535897/180</f>
        <v>0.274016692563102</v>
      </c>
      <c r="AI325" s="1193" t="n">
        <f aca="false">AH325+0.0005</f>
        <v>0.274516692563102</v>
      </c>
      <c r="AJ325" s="1193" t="n">
        <f aca="false">AH325-0.0005</f>
        <v>0.273516692563102</v>
      </c>
      <c r="AK325" s="1159" t="n">
        <f aca="false">IF(AND(дома!$Z$29&gt;=AJ325,дома!$Z$29&lt;=AI325),связи1!AG325,0)</f>
        <v>0</v>
      </c>
      <c r="AL325" s="1159" t="n">
        <f aca="false">IF(AND(дома!$AA$29&gt;=AJ325,дома!$AA$29&lt;=AI325),связи1!AG325,0)</f>
        <v>0</v>
      </c>
    </row>
    <row r="326" customFormat="false" ht="15.75" hidden="false" customHeight="false" outlineLevel="0" collapsed="false">
      <c r="A326" s="832" t="s">
        <v>2662</v>
      </c>
      <c r="B326" s="1248" t="s">
        <v>15</v>
      </c>
      <c r="C326" s="1249" t="n">
        <f aca="false">'Ввод данных'!C158</f>
        <v>1</v>
      </c>
      <c r="D326" s="1249" t="n">
        <f aca="false">'Ввод данных'!D158</f>
        <v>1.2</v>
      </c>
      <c r="E326" s="1250" t="n">
        <f aca="false">'Ввод данных'!E158</f>
        <v>1</v>
      </c>
      <c r="F326" s="1180" t="n">
        <f aca="false">C326+0.4</f>
        <v>1.4</v>
      </c>
      <c r="G326" s="1159" t="n">
        <f aca="false">VLOOKUP('Ввод данных'!$A$1159,связи1!$A$253:$F$294,3,0)</f>
        <v>300</v>
      </c>
      <c r="H326" s="1159" t="n">
        <f aca="false">VLOOKUP('Ввод данных'!A1159,связи1!A253:F294,2,0)</f>
        <v>200</v>
      </c>
      <c r="I326" s="1159" t="n">
        <f aca="false">E326*F326*G326*H326/1000000</f>
        <v>0.084</v>
      </c>
      <c r="J326" s="1159" t="n">
        <v>1000</v>
      </c>
      <c r="K326" s="1159" t="n">
        <f aca="false">F326*J326</f>
        <v>1400</v>
      </c>
      <c r="AG326" s="1159" t="n">
        <v>15.8</v>
      </c>
      <c r="AH326" s="1193" t="n">
        <f aca="false">AG326*3.1415926535897/180</f>
        <v>0.275762021815096</v>
      </c>
      <c r="AI326" s="1193" t="n">
        <f aca="false">AH326+0.0005</f>
        <v>0.276262021815096</v>
      </c>
      <c r="AJ326" s="1193" t="n">
        <f aca="false">AH326-0.0005</f>
        <v>0.275262021815096</v>
      </c>
      <c r="AK326" s="1159" t="n">
        <f aca="false">IF(AND(дома!$Z$29&gt;=AJ326,дома!$Z$29&lt;=AI326),связи1!AG326,0)</f>
        <v>0</v>
      </c>
      <c r="AL326" s="1159" t="n">
        <f aca="false">IF(AND(дома!$AA$29&gt;=AJ326,дома!$AA$29&lt;=AI326),связи1!AG326,0)</f>
        <v>0</v>
      </c>
    </row>
    <row r="327" customFormat="false" ht="15.75" hidden="false" customHeight="false" outlineLevel="0" collapsed="false">
      <c r="A327" s="832" t="s">
        <v>2663</v>
      </c>
      <c r="B327" s="1248" t="s">
        <v>15</v>
      </c>
      <c r="C327" s="1249" t="n">
        <f aca="false">'Ввод данных'!C159</f>
        <v>0.6</v>
      </c>
      <c r="D327" s="1249" t="n">
        <f aca="false">'Ввод данных'!D159</f>
        <v>0.6</v>
      </c>
      <c r="E327" s="1250" t="n">
        <f aca="false">'Ввод данных'!E159</f>
        <v>0</v>
      </c>
      <c r="F327" s="1180" t="n">
        <f aca="false">C327+0.4</f>
        <v>1</v>
      </c>
      <c r="G327" s="1159" t="n">
        <f aca="false">VLOOKUP('Ввод данных'!$A$1159,связи1!$A$253:$F$294,3,0)</f>
        <v>300</v>
      </c>
      <c r="H327" s="1159" t="n">
        <f aca="false">VLOOKUP('Ввод данных'!A1159,связи1!A253:F294,2,0)</f>
        <v>200</v>
      </c>
      <c r="I327" s="1159" t="n">
        <f aca="false">E327*F327*G327*H327/1000000</f>
        <v>0</v>
      </c>
      <c r="J327" s="1159" t="n">
        <v>1000</v>
      </c>
      <c r="K327" s="1159" t="n">
        <f aca="false">F327*J327</f>
        <v>1000</v>
      </c>
      <c r="AG327" s="1159" t="n">
        <v>15.9</v>
      </c>
      <c r="AH327" s="1193" t="n">
        <f aca="false">AG327*3.1415926535897/180</f>
        <v>0.27750735106709</v>
      </c>
      <c r="AI327" s="1193" t="n">
        <f aca="false">AH327+0.0005</f>
        <v>0.27800735106709</v>
      </c>
      <c r="AJ327" s="1193" t="n">
        <f aca="false">AH327-0.0005</f>
        <v>0.27700735106709</v>
      </c>
      <c r="AK327" s="1159" t="n">
        <f aca="false">IF(AND(дома!$Z$29&gt;=AJ327,дома!$Z$29&lt;=AI327),связи1!AG327,0)</f>
        <v>0</v>
      </c>
      <c r="AL327" s="1159" t="n">
        <f aca="false">IF(AND(дома!$AA$29&gt;=AJ327,дома!$AA$29&lt;=AI327),связи1!AG327,0)</f>
        <v>0</v>
      </c>
    </row>
    <row r="328" customFormat="false" ht="15.75" hidden="false" customHeight="false" outlineLevel="0" collapsed="false">
      <c r="A328" s="832" t="s">
        <v>2664</v>
      </c>
      <c r="B328" s="1248" t="s">
        <v>15</v>
      </c>
      <c r="C328" s="1249" t="n">
        <f aca="false">'Ввод данных'!C160</f>
        <v>1</v>
      </c>
      <c r="D328" s="1249" t="n">
        <f aca="false">'Ввод данных'!D160</f>
        <v>2</v>
      </c>
      <c r="E328" s="1250" t="n">
        <f aca="false">'Ввод данных'!E160</f>
        <v>0</v>
      </c>
      <c r="F328" s="1180" t="n">
        <f aca="false">C328+0.4</f>
        <v>1.4</v>
      </c>
      <c r="G328" s="1159" t="n">
        <f aca="false">VLOOKUP('Ввод данных'!$A$1159,связи1!$A$253:$F$294,3,0)</f>
        <v>300</v>
      </c>
      <c r="H328" s="1159" t="n">
        <f aca="false">VLOOKUP('Ввод данных'!A1159,связи1!A253:F294,2,0)</f>
        <v>200</v>
      </c>
      <c r="I328" s="1159" t="n">
        <f aca="false">E328*F328*G328*H328/1000000</f>
        <v>0</v>
      </c>
      <c r="J328" s="1159" t="n">
        <v>1000</v>
      </c>
      <c r="K328" s="1159" t="n">
        <f aca="false">F328*J328</f>
        <v>1400</v>
      </c>
      <c r="AG328" s="1159" t="n">
        <v>16</v>
      </c>
      <c r="AH328" s="1193" t="n">
        <f aca="false">AG328*3.1415926535897/180</f>
        <v>0.279252680319084</v>
      </c>
      <c r="AI328" s="1193" t="n">
        <f aca="false">AH328+0.0005</f>
        <v>0.279752680319084</v>
      </c>
      <c r="AJ328" s="1193" t="n">
        <f aca="false">AH328-0.0005</f>
        <v>0.278752680319084</v>
      </c>
      <c r="AK328" s="1159" t="n">
        <f aca="false">IF(AND(дома!$Z$29&gt;=AJ328,дома!$Z$29&lt;=AI328),связи1!AG328,0)</f>
        <v>0</v>
      </c>
      <c r="AL328" s="1159" t="n">
        <f aca="false">IF(AND(дома!$AA$29&gt;=AJ328,дома!$AA$29&lt;=AI328),связи1!AG328,0)</f>
        <v>0</v>
      </c>
    </row>
    <row r="329" customFormat="false" ht="15.75" hidden="false" customHeight="false" outlineLevel="0" collapsed="false">
      <c r="A329" s="832" t="s">
        <v>2665</v>
      </c>
      <c r="B329" s="1251" t="s">
        <v>15</v>
      </c>
      <c r="C329" s="1249" t="n">
        <f aca="false">'Ввод данных'!C161</f>
        <v>0.6</v>
      </c>
      <c r="D329" s="1249" t="n">
        <f aca="false">'Ввод данных'!D161</f>
        <v>1.5</v>
      </c>
      <c r="E329" s="1250" t="n">
        <f aca="false">'Ввод данных'!E161</f>
        <v>0</v>
      </c>
      <c r="F329" s="1180" t="n">
        <f aca="false">C329+0.4</f>
        <v>1</v>
      </c>
      <c r="G329" s="1159" t="n">
        <f aca="false">VLOOKUP('Ввод данных'!$A$1159,связи1!$A$253:$F$294,3,0)</f>
        <v>300</v>
      </c>
      <c r="H329" s="1159" t="n">
        <f aca="false">VLOOKUP('Ввод данных'!A1159,связи1!A253:F294,2,0)</f>
        <v>200</v>
      </c>
      <c r="I329" s="1159" t="n">
        <f aca="false">E329*F329*G329*H329/1000000</f>
        <v>0</v>
      </c>
      <c r="J329" s="1159" t="n">
        <v>1000</v>
      </c>
      <c r="K329" s="1159" t="n">
        <f aca="false">F329*J329</f>
        <v>1000</v>
      </c>
      <c r="AG329" s="1159" t="n">
        <v>16.1</v>
      </c>
      <c r="AH329" s="1193" t="n">
        <f aca="false">AG329*3.1415926535897/180</f>
        <v>0.280998009571079</v>
      </c>
      <c r="AI329" s="1193" t="n">
        <f aca="false">AH329+0.0005</f>
        <v>0.281498009571079</v>
      </c>
      <c r="AJ329" s="1193" t="n">
        <f aca="false">AH329-0.0005</f>
        <v>0.280498009571079</v>
      </c>
      <c r="AK329" s="1159" t="n">
        <f aca="false">IF(AND(дома!$Z$29&gt;=AJ329,дома!$Z$29&lt;=AI329),связи1!AG329,0)</f>
        <v>0</v>
      </c>
      <c r="AL329" s="1159" t="n">
        <f aca="false">IF(AND(дома!$AA$29&gt;=AJ329,дома!$AA$29&lt;=AI329),связи1!AG329,0)</f>
        <v>0</v>
      </c>
    </row>
    <row r="330" customFormat="false" ht="15.75" hidden="false" customHeight="false" outlineLevel="0" collapsed="false">
      <c r="A330" s="832" t="s">
        <v>2666</v>
      </c>
      <c r="B330" s="1251" t="s">
        <v>15</v>
      </c>
      <c r="C330" s="1249" t="n">
        <f aca="false">'Ввод данных'!C162</f>
        <v>0.5</v>
      </c>
      <c r="D330" s="1249" t="n">
        <f aca="false">'Ввод данных'!D162</f>
        <v>1.5</v>
      </c>
      <c r="E330" s="1250" t="n">
        <f aca="false">'Ввод данных'!E162</f>
        <v>0</v>
      </c>
      <c r="F330" s="1180" t="n">
        <f aca="false">C330+0.4</f>
        <v>0.9</v>
      </c>
      <c r="G330" s="1159" t="n">
        <f aca="false">VLOOKUP('Ввод данных'!$A$1159,связи1!$A$253:$F$294,3,0)</f>
        <v>300</v>
      </c>
      <c r="H330" s="1159" t="n">
        <f aca="false">VLOOKUP('Ввод данных'!A1159,связи1!A253:F294,2,0)</f>
        <v>200</v>
      </c>
      <c r="I330" s="1159" t="n">
        <f aca="false">E330*F330*G330*H330/1000000</f>
        <v>0</v>
      </c>
      <c r="J330" s="1159" t="n">
        <v>1000</v>
      </c>
      <c r="K330" s="1159" t="n">
        <f aca="false">F330*J330</f>
        <v>900</v>
      </c>
      <c r="AG330" s="1159" t="n">
        <v>16.2</v>
      </c>
      <c r="AH330" s="1193" t="n">
        <f aca="false">AG330*3.1415926535897/180</f>
        <v>0.282743338823073</v>
      </c>
      <c r="AI330" s="1193" t="n">
        <f aca="false">AH330+0.0005</f>
        <v>0.283243338823073</v>
      </c>
      <c r="AJ330" s="1193" t="n">
        <f aca="false">AH330-0.0005</f>
        <v>0.282243338823073</v>
      </c>
      <c r="AK330" s="1159" t="n">
        <f aca="false">IF(AND(дома!$Z$29&gt;=AJ330,дома!$Z$29&lt;=AI330),связи1!AG330,0)</f>
        <v>0</v>
      </c>
      <c r="AL330" s="1159" t="n">
        <f aca="false">IF(AND(дома!$AA$29&gt;=AJ330,дома!$AA$29&lt;=AI330),связи1!AG330,0)</f>
        <v>0</v>
      </c>
    </row>
    <row r="331" customFormat="false" ht="15.75" hidden="false" customHeight="false" outlineLevel="0" collapsed="false">
      <c r="A331" s="832" t="s">
        <v>2667</v>
      </c>
      <c r="B331" s="1251" t="s">
        <v>15</v>
      </c>
      <c r="C331" s="1249" t="n">
        <f aca="false">'Ввод данных'!C167</f>
        <v>0.6</v>
      </c>
      <c r="D331" s="1249" t="n">
        <f aca="false">'Ввод данных'!D167</f>
        <v>0.6</v>
      </c>
      <c r="E331" s="1250" t="n">
        <f aca="false">'Ввод данных'!E167</f>
        <v>0</v>
      </c>
      <c r="F331" s="1180" t="n">
        <f aca="false">C331+0.4</f>
        <v>1</v>
      </c>
      <c r="G331" s="1159" t="n">
        <f aca="false">VLOOKUP('Ввод данных'!$A$1159,связи1!$A$253:$F$294,3,0)</f>
        <v>300</v>
      </c>
      <c r="H331" s="1159" t="n">
        <f aca="false">VLOOKUP('Ввод данных'!A1159,связи1!A253:F294,2,0)</f>
        <v>200</v>
      </c>
      <c r="I331" s="1159" t="n">
        <f aca="false">E331*F331*G331*H331/1000000</f>
        <v>0</v>
      </c>
      <c r="J331" s="1159" t="n">
        <v>1000</v>
      </c>
      <c r="K331" s="1159" t="n">
        <f aca="false">F331*J331</f>
        <v>1000</v>
      </c>
      <c r="AG331" s="1159" t="n">
        <v>16.3</v>
      </c>
      <c r="AH331" s="1193" t="n">
        <f aca="false">AG331*3.1415926535897/180</f>
        <v>0.284488668075067</v>
      </c>
      <c r="AI331" s="1193" t="n">
        <f aca="false">AH331+0.0005</f>
        <v>0.284988668075067</v>
      </c>
      <c r="AJ331" s="1193" t="n">
        <f aca="false">AH331-0.0005</f>
        <v>0.283988668075067</v>
      </c>
      <c r="AK331" s="1159" t="n">
        <f aca="false">IF(AND(дома!$Z$29&gt;=AJ331,дома!$Z$29&lt;=AI331),связи1!AG331,0)</f>
        <v>0</v>
      </c>
      <c r="AL331" s="1159" t="n">
        <f aca="false">IF(AND(дома!$AA$29&gt;=AJ331,дома!$AA$29&lt;=AI331),связи1!AG331,0)</f>
        <v>0</v>
      </c>
    </row>
    <row r="332" customFormat="false" ht="15.75" hidden="false" customHeight="false" outlineLevel="0" collapsed="false">
      <c r="A332" s="832" t="s">
        <v>2668</v>
      </c>
      <c r="B332" s="1251" t="s">
        <v>15</v>
      </c>
      <c r="C332" s="1249" t="n">
        <f aca="false">'Ввод данных'!C168</f>
        <v>0.8</v>
      </c>
      <c r="D332" s="1249" t="n">
        <f aca="false">'Ввод данных'!D168</f>
        <v>0.8</v>
      </c>
      <c r="E332" s="1250" t="n">
        <f aca="false">'Ввод данных'!E168</f>
        <v>0</v>
      </c>
      <c r="F332" s="1180" t="n">
        <f aca="false">C332+0.4</f>
        <v>1.2</v>
      </c>
      <c r="G332" s="1159" t="n">
        <f aca="false">VLOOKUP('Ввод данных'!$A$1159,связи1!$A$253:$F$294,3,0)</f>
        <v>300</v>
      </c>
      <c r="H332" s="1159" t="n">
        <f aca="false">VLOOKUP('Ввод данных'!A1159,связи1!A253:F294,2,0)</f>
        <v>200</v>
      </c>
      <c r="I332" s="1159" t="n">
        <f aca="false">E332*F332*G332*H332/1000000</f>
        <v>0</v>
      </c>
      <c r="J332" s="1159" t="n">
        <v>1000</v>
      </c>
      <c r="K332" s="1159" t="n">
        <f aca="false">F332*J332</f>
        <v>1200</v>
      </c>
      <c r="AG332" s="1159" t="n">
        <v>16.4</v>
      </c>
      <c r="AH332" s="1193" t="n">
        <f aca="false">AG332*3.1415926535897/180</f>
        <v>0.286233997327061</v>
      </c>
      <c r="AI332" s="1193" t="n">
        <f aca="false">AH332+0.0005</f>
        <v>0.286733997327061</v>
      </c>
      <c r="AJ332" s="1193" t="n">
        <f aca="false">AH332-0.0005</f>
        <v>0.285733997327061</v>
      </c>
      <c r="AK332" s="1159" t="n">
        <f aca="false">IF(AND(дома!$Z$29&gt;=AJ332,дома!$Z$29&lt;=AI332),связи1!AG332,0)</f>
        <v>0</v>
      </c>
      <c r="AL332" s="1159" t="n">
        <f aca="false">IF(AND(дома!$AA$29&gt;=AJ332,дома!$AA$29&lt;=AI332),связи1!AG332,0)</f>
        <v>0</v>
      </c>
    </row>
    <row r="333" customFormat="false" ht="15.75" hidden="false" customHeight="false" outlineLevel="0" collapsed="false">
      <c r="A333" s="832" t="s">
        <v>2669</v>
      </c>
      <c r="B333" s="1251" t="s">
        <v>15</v>
      </c>
      <c r="C333" s="1249" t="n">
        <f aca="false">'Ввод данных'!C169</f>
        <v>1</v>
      </c>
      <c r="D333" s="1249" t="n">
        <f aca="false">'Ввод данных'!D169</f>
        <v>0.7</v>
      </c>
      <c r="E333" s="1250" t="n">
        <f aca="false">'Ввод данных'!E169</f>
        <v>0</v>
      </c>
      <c r="F333" s="1180" t="n">
        <f aca="false">C333+0.4</f>
        <v>1.4</v>
      </c>
      <c r="G333" s="1159" t="n">
        <f aca="false">VLOOKUP('Ввод данных'!$A$1159,связи1!$A$253:$F$294,3,0)</f>
        <v>300</v>
      </c>
      <c r="H333" s="1159" t="n">
        <f aca="false">VLOOKUP('Ввод данных'!A1159,связи1!A253:F294,2,0)</f>
        <v>200</v>
      </c>
      <c r="I333" s="1159" t="n">
        <f aca="false">E333*F333*G333*H333/1000000</f>
        <v>0</v>
      </c>
      <c r="J333" s="1159" t="n">
        <v>1000</v>
      </c>
      <c r="K333" s="1159" t="n">
        <f aca="false">F333*J333</f>
        <v>1400</v>
      </c>
      <c r="AG333" s="1159" t="n">
        <v>16.5</v>
      </c>
      <c r="AH333" s="1193" t="n">
        <f aca="false">AG333*3.1415926535897/180</f>
        <v>0.287979326579056</v>
      </c>
      <c r="AI333" s="1193" t="n">
        <f aca="false">AH333+0.0005</f>
        <v>0.288479326579056</v>
      </c>
      <c r="AJ333" s="1193" t="n">
        <f aca="false">AH333-0.0005</f>
        <v>0.287479326579056</v>
      </c>
      <c r="AK333" s="1159" t="n">
        <f aca="false">IF(AND(дома!$Z$29&gt;=AJ333,дома!$Z$29&lt;=AI333),связи1!AG333,0)</f>
        <v>0</v>
      </c>
      <c r="AL333" s="1159" t="n">
        <f aca="false">IF(AND(дома!$AA$29&gt;=AJ333,дома!$AA$29&lt;=AI333),связи1!AG333,0)</f>
        <v>0</v>
      </c>
    </row>
    <row r="334" customFormat="false" ht="15.75" hidden="false" customHeight="false" outlineLevel="0" collapsed="false">
      <c r="A334" s="832" t="s">
        <v>2670</v>
      </c>
      <c r="B334" s="1251" t="s">
        <v>15</v>
      </c>
      <c r="C334" s="1249" t="n">
        <f aca="false">'Ввод данных'!C170</f>
        <v>5</v>
      </c>
      <c r="D334" s="1249" t="n">
        <f aca="false">'Ввод данных'!D170</f>
        <v>3</v>
      </c>
      <c r="E334" s="1250" t="n">
        <f aca="false">'Ввод данных'!E170</f>
        <v>0</v>
      </c>
      <c r="F334" s="1180" t="n">
        <f aca="false">C334+0.4</f>
        <v>5.4</v>
      </c>
      <c r="G334" s="1159" t="n">
        <f aca="false">VLOOKUP('Ввод данных'!$A$1159,связи1!$A$253:$F$294,3,0)</f>
        <v>300</v>
      </c>
      <c r="H334" s="1159" t="n">
        <f aca="false">VLOOKUP('Ввод данных'!A1159,связи1!A253:F294,2,0)</f>
        <v>200</v>
      </c>
      <c r="I334" s="1159" t="n">
        <f aca="false">E334*F334*G334*H334/1000000</f>
        <v>0</v>
      </c>
      <c r="J334" s="1159" t="n">
        <v>1000</v>
      </c>
      <c r="K334" s="1159" t="n">
        <f aca="false">F334*J334</f>
        <v>5400</v>
      </c>
      <c r="AG334" s="1159" t="n">
        <v>16.6</v>
      </c>
      <c r="AH334" s="1193" t="n">
        <f aca="false">AG334*3.1415926535897/180</f>
        <v>0.28972465583105</v>
      </c>
      <c r="AI334" s="1193" t="n">
        <f aca="false">AH334+0.0005</f>
        <v>0.29022465583105</v>
      </c>
      <c r="AJ334" s="1193" t="n">
        <f aca="false">AH334-0.0005</f>
        <v>0.28922465583105</v>
      </c>
      <c r="AK334" s="1159" t="n">
        <f aca="false">IF(AND(дома!$Z$29&gt;=AJ334,дома!$Z$29&lt;=AI334),связи1!AG334,0)</f>
        <v>0</v>
      </c>
      <c r="AL334" s="1159" t="n">
        <f aca="false">IF(AND(дома!$AA$29&gt;=AJ334,дома!$AA$29&lt;=AI334),связи1!AG334,0)</f>
        <v>0</v>
      </c>
    </row>
    <row r="335" customFormat="false" ht="15.75" hidden="false" customHeight="false" outlineLevel="0" collapsed="false">
      <c r="A335" s="832" t="s">
        <v>2671</v>
      </c>
      <c r="B335" s="1251" t="s">
        <v>15</v>
      </c>
      <c r="C335" s="1249" t="n">
        <f aca="false">'Ввод данных'!C171</f>
        <v>6</v>
      </c>
      <c r="D335" s="1249" t="n">
        <f aca="false">'Ввод данных'!D171</f>
        <v>2</v>
      </c>
      <c r="E335" s="1250" t="n">
        <f aca="false">'Ввод данных'!E171</f>
        <v>0</v>
      </c>
      <c r="F335" s="1180" t="n">
        <f aca="false">C335+0.4</f>
        <v>6.4</v>
      </c>
      <c r="G335" s="1159" t="n">
        <f aca="false">VLOOKUP('Ввод данных'!$A$1159,связи1!$A$253:$F$294,3,0)</f>
        <v>300</v>
      </c>
      <c r="H335" s="1159" t="n">
        <f aca="false">VLOOKUP('Ввод данных'!A1159,связи1!A253:F294,2,0)</f>
        <v>200</v>
      </c>
      <c r="I335" s="1159" t="n">
        <f aca="false">E335*F335*G335*H335/1000000</f>
        <v>0</v>
      </c>
      <c r="J335" s="1159" t="n">
        <v>1000</v>
      </c>
      <c r="K335" s="1159" t="n">
        <f aca="false">F335*J335</f>
        <v>6400</v>
      </c>
      <c r="AG335" s="1159" t="n">
        <v>16.7</v>
      </c>
      <c r="AH335" s="1193" t="n">
        <f aca="false">AG335*3.1415926535897/180</f>
        <v>0.291469985083044</v>
      </c>
      <c r="AI335" s="1193" t="n">
        <f aca="false">AH335+0.0005</f>
        <v>0.291969985083044</v>
      </c>
      <c r="AJ335" s="1193" t="n">
        <f aca="false">AH335-0.0005</f>
        <v>0.290969985083044</v>
      </c>
      <c r="AK335" s="1159" t="n">
        <f aca="false">IF(AND(дома!$Z$29&gt;=AJ335,дома!$Z$29&lt;=AI335),связи1!AG335,0)</f>
        <v>0</v>
      </c>
      <c r="AL335" s="1159" t="n">
        <f aca="false">IF(AND(дома!$AA$29&gt;=AJ335,дома!$AA$29&lt;=AI335),связи1!AG335,0)</f>
        <v>0</v>
      </c>
    </row>
    <row r="336" customFormat="false" ht="15.75" hidden="false" customHeight="false" outlineLevel="0" collapsed="false">
      <c r="A336" s="1252" t="s">
        <v>2672</v>
      </c>
      <c r="B336" s="1248" t="s">
        <v>15</v>
      </c>
      <c r="C336" s="1249" t="n">
        <f aca="false">'Ввод данных'!C163</f>
        <v>0.8</v>
      </c>
      <c r="D336" s="1249" t="n">
        <f aca="false">'Ввод данных'!D163</f>
        <v>2.1</v>
      </c>
      <c r="E336" s="1250" t="n">
        <f aca="false">'Ввод данных'!E163</f>
        <v>0</v>
      </c>
      <c r="F336" s="1180" t="n">
        <f aca="false">C336+0.4</f>
        <v>1.2</v>
      </c>
      <c r="G336" s="1159" t="n">
        <f aca="false">VLOOKUP('Ввод данных'!$A$1159,связи1!$A$253:$F$294,3,0)</f>
        <v>300</v>
      </c>
      <c r="H336" s="1159" t="n">
        <f aca="false">VLOOKUP('Ввод данных'!A1159,связи1!A253:F294,2,0)</f>
        <v>200</v>
      </c>
      <c r="I336" s="1159" t="n">
        <f aca="false">E336*F336*G336*H336/1000000</f>
        <v>0</v>
      </c>
      <c r="J336" s="1159" t="n">
        <v>1000</v>
      </c>
      <c r="K336" s="1159" t="n">
        <f aca="false">F336*J336</f>
        <v>1200</v>
      </c>
      <c r="AG336" s="1159" t="n">
        <v>16.8</v>
      </c>
      <c r="AH336" s="1193" t="n">
        <f aca="false">AG336*3.1415926535897/180</f>
        <v>0.293215314335039</v>
      </c>
      <c r="AI336" s="1193" t="n">
        <f aca="false">AH336+0.0005</f>
        <v>0.293715314335039</v>
      </c>
      <c r="AJ336" s="1193" t="n">
        <f aca="false">AH336-0.0005</f>
        <v>0.292715314335039</v>
      </c>
      <c r="AK336" s="1159" t="n">
        <f aca="false">IF(AND(дома!$Z$29&gt;=AJ336,дома!$Z$29&lt;=AI336),связи1!AG336,0)</f>
        <v>0</v>
      </c>
      <c r="AL336" s="1159" t="n">
        <f aca="false">IF(AND(дома!$AA$29&gt;=AJ336,дома!$AA$29&lt;=AI336),связи1!AG336,0)</f>
        <v>0</v>
      </c>
    </row>
    <row r="337" customFormat="false" ht="15.75" hidden="false" customHeight="false" outlineLevel="0" collapsed="false">
      <c r="A337" s="1252" t="s">
        <v>2673</v>
      </c>
      <c r="B337" s="1248" t="s">
        <v>15</v>
      </c>
      <c r="C337" s="1249" t="n">
        <f aca="false">'Ввод данных'!C172</f>
        <v>0.8</v>
      </c>
      <c r="D337" s="1249" t="n">
        <f aca="false">'Ввод данных'!D172</f>
        <v>2.1</v>
      </c>
      <c r="E337" s="1250" t="n">
        <f aca="false">'Ввод данных'!E172</f>
        <v>0</v>
      </c>
      <c r="F337" s="1180" t="n">
        <f aca="false">C337+0.4</f>
        <v>1.2</v>
      </c>
      <c r="G337" s="1159" t="n">
        <f aca="false">VLOOKUP('Ввод данных'!$A$1159,связи1!$A$253:$F$294,3,0)</f>
        <v>300</v>
      </c>
      <c r="H337" s="1159" t="n">
        <f aca="false">VLOOKUP('Ввод данных'!A1159,связи1!A253:F294,2,0)</f>
        <v>200</v>
      </c>
      <c r="I337" s="1159" t="n">
        <f aca="false">E337*F337*G337*H337/1000000</f>
        <v>0</v>
      </c>
      <c r="J337" s="1159" t="n">
        <v>1000</v>
      </c>
      <c r="K337" s="1159" t="n">
        <f aca="false">F337*J337</f>
        <v>1200</v>
      </c>
      <c r="AG337" s="1159" t="n">
        <v>16.9</v>
      </c>
      <c r="AH337" s="1193" t="n">
        <f aca="false">AG337*3.1415926535897/180</f>
        <v>0.294960643587033</v>
      </c>
      <c r="AI337" s="1193" t="n">
        <f aca="false">AH337+0.0005</f>
        <v>0.295460643587033</v>
      </c>
      <c r="AJ337" s="1193" t="n">
        <f aca="false">AH337-0.0005</f>
        <v>0.294460643587033</v>
      </c>
      <c r="AK337" s="1159" t="n">
        <f aca="false">IF(AND(дома!$Z$29&gt;=AJ337,дома!$Z$29&lt;=AI337),связи1!AG337,0)</f>
        <v>0</v>
      </c>
      <c r="AL337" s="1159" t="n">
        <f aca="false">IF(AND(дома!$AA$29&gt;=AJ337,дома!$AA$29&lt;=AI337),связи1!AG337,0)</f>
        <v>0</v>
      </c>
    </row>
    <row r="338" customFormat="false" ht="15.75" hidden="false" customHeight="false" outlineLevel="0" collapsed="false">
      <c r="A338" s="1253" t="s">
        <v>2674</v>
      </c>
      <c r="B338" s="1251" t="s">
        <v>15</v>
      </c>
      <c r="C338" s="1249" t="n">
        <f aca="false">'Ввод данных'!C164</f>
        <v>2</v>
      </c>
      <c r="D338" s="1249" t="n">
        <f aca="false">'Ввод данных'!D164</f>
        <v>2</v>
      </c>
      <c r="E338" s="1250" t="n">
        <f aca="false">'Ввод данных'!E164</f>
        <v>0</v>
      </c>
      <c r="F338" s="1180" t="n">
        <f aca="false">C338+0.4</f>
        <v>2.4</v>
      </c>
      <c r="G338" s="1159" t="n">
        <f aca="false">VLOOKUP('Ввод данных'!$A$1159,связи1!$A$253:$F$294,3,0)</f>
        <v>300</v>
      </c>
      <c r="H338" s="1159" t="n">
        <f aca="false">VLOOKUP('Ввод данных'!A1159,связи1!A253:F294,2,0)</f>
        <v>200</v>
      </c>
      <c r="I338" s="1159" t="n">
        <f aca="false">E338*F338*G338*H338/1000000</f>
        <v>0</v>
      </c>
      <c r="J338" s="1159" t="n">
        <v>1000</v>
      </c>
      <c r="K338" s="1159" t="n">
        <f aca="false">F338*J338</f>
        <v>2400</v>
      </c>
      <c r="AG338" s="1159" t="n">
        <v>17</v>
      </c>
      <c r="AH338" s="1193" t="n">
        <f aca="false">AG338*3.1415926535897/180</f>
        <v>0.296705972839027</v>
      </c>
      <c r="AI338" s="1193" t="n">
        <f aca="false">AH338+0.0005</f>
        <v>0.297205972839027</v>
      </c>
      <c r="AJ338" s="1193" t="n">
        <f aca="false">AH338-0.0005</f>
        <v>0.296205972839027</v>
      </c>
      <c r="AK338" s="1159" t="n">
        <f aca="false">IF(AND(дома!$Z$29&gt;=AJ338,дома!$Z$29&lt;=AI338),связи1!AG338,0)</f>
        <v>0</v>
      </c>
      <c r="AL338" s="1159" t="n">
        <f aca="false">IF(AND(дома!$AA$29&gt;=AJ338,дома!$AA$29&lt;=AI338),связи1!AG338,0)</f>
        <v>0</v>
      </c>
    </row>
    <row r="339" customFormat="false" ht="15.75" hidden="false" customHeight="false" outlineLevel="0" collapsed="false">
      <c r="A339" s="1253" t="s">
        <v>2675</v>
      </c>
      <c r="B339" s="1251" t="s">
        <v>15</v>
      </c>
      <c r="C339" s="1249" t="n">
        <f aca="false">'Ввод данных'!C165</f>
        <v>0</v>
      </c>
      <c r="D339" s="1249" t="n">
        <f aca="false">'Ввод данных'!D165</f>
        <v>3</v>
      </c>
      <c r="E339" s="1250" t="n">
        <f aca="false">'Ввод данных'!E165</f>
        <v>0</v>
      </c>
      <c r="F339" s="1180" t="n">
        <f aca="false">C339+0.4</f>
        <v>0.4</v>
      </c>
      <c r="G339" s="1159" t="n">
        <f aca="false">VLOOKUP('Ввод данных'!$A$1159,связи1!$A$253:$F$294,3,0)</f>
        <v>300</v>
      </c>
      <c r="H339" s="1159" t="n">
        <f aca="false">VLOOKUP('Ввод данных'!A1159,связи1!A253:F294,2,0)</f>
        <v>200</v>
      </c>
      <c r="I339" s="1159" t="n">
        <f aca="false">E339*F339*G339*H339/1000000</f>
        <v>0</v>
      </c>
      <c r="J339" s="1159" t="n">
        <v>1000</v>
      </c>
      <c r="K339" s="1159" t="n">
        <f aca="false">F339*J339</f>
        <v>400</v>
      </c>
      <c r="AG339" s="1159" t="n">
        <v>17.1</v>
      </c>
      <c r="AH339" s="1193" t="n">
        <f aca="false">AG339*3.1415926535897/180</f>
        <v>0.298451302091021</v>
      </c>
      <c r="AI339" s="1193" t="n">
        <f aca="false">AH339+0.0005</f>
        <v>0.298951302091021</v>
      </c>
      <c r="AJ339" s="1193" t="n">
        <f aca="false">AH339-0.0005</f>
        <v>0.297951302091021</v>
      </c>
      <c r="AK339" s="1159" t="n">
        <f aca="false">IF(AND(дома!$Z$29&gt;=AJ339,дома!$Z$29&lt;=AI339),связи1!AG339,0)</f>
        <v>0</v>
      </c>
      <c r="AL339" s="1159" t="n">
        <f aca="false">IF(AND(дома!$AA$29&gt;=AJ339,дома!$AA$29&lt;=AI339),связи1!AG339,0)</f>
        <v>0</v>
      </c>
    </row>
    <row r="340" customFormat="false" ht="15.75" hidden="false" customHeight="false" outlineLevel="0" collapsed="false">
      <c r="A340" s="1252" t="s">
        <v>2676</v>
      </c>
      <c r="B340" s="1248" t="s">
        <v>15</v>
      </c>
      <c r="C340" s="1249" t="n">
        <f aca="false">'Ввод данных'!C181</f>
        <v>0.8</v>
      </c>
      <c r="D340" s="1249" t="n">
        <f aca="false">'Ввод данных'!D181</f>
        <v>2.1</v>
      </c>
      <c r="E340" s="1250" t="n">
        <f aca="false">'Ввод данных'!E181</f>
        <v>3</v>
      </c>
      <c r="F340" s="1180" t="n">
        <f aca="false">C340+0.4</f>
        <v>1.2</v>
      </c>
      <c r="G340" s="1159" t="n">
        <f aca="false">VLOOKUP('Ввод данных'!$A$1161,связи1!$A$253:$F$294,3,0)</f>
        <v>200</v>
      </c>
      <c r="H340" s="1159" t="n">
        <f aca="false">VLOOKUP('Ввод данных'!A1161,связи1!A253:F294,2,0)</f>
        <v>200</v>
      </c>
      <c r="I340" s="1159" t="n">
        <f aca="false">E340*F340*G340*H340/1000000</f>
        <v>0.144</v>
      </c>
      <c r="J340" s="1159" t="n">
        <v>1000</v>
      </c>
      <c r="K340" s="1159" t="n">
        <f aca="false">F340*J340</f>
        <v>1200</v>
      </c>
      <c r="AG340" s="1159" t="n">
        <v>17.2</v>
      </c>
      <c r="AH340" s="1193" t="n">
        <f aca="false">AG340*3.1415926535897/180</f>
        <v>0.300196631343016</v>
      </c>
      <c r="AI340" s="1193" t="n">
        <f aca="false">AH340+0.0005</f>
        <v>0.300696631343016</v>
      </c>
      <c r="AJ340" s="1193" t="n">
        <f aca="false">AH340-0.0005</f>
        <v>0.299696631343016</v>
      </c>
      <c r="AK340" s="1159" t="n">
        <f aca="false">IF(AND(дома!$Z$29&gt;=AJ340,дома!$Z$29&lt;=AI340),связи1!AG340,0)</f>
        <v>0</v>
      </c>
      <c r="AL340" s="1159" t="n">
        <f aca="false">IF(AND(дома!$AA$29&gt;=AJ340,дома!$AA$29&lt;=AI340),связи1!AG340,0)</f>
        <v>0</v>
      </c>
    </row>
    <row r="341" customFormat="false" ht="15.75" hidden="false" customHeight="false" outlineLevel="0" collapsed="false">
      <c r="A341" s="1252" t="s">
        <v>2677</v>
      </c>
      <c r="B341" s="1248" t="s">
        <v>15</v>
      </c>
      <c r="C341" s="1249" t="n">
        <f aca="false">'Ввод данных'!C182</f>
        <v>0.6</v>
      </c>
      <c r="D341" s="1249" t="n">
        <f aca="false">'Ввод данных'!D182</f>
        <v>2</v>
      </c>
      <c r="E341" s="1250" t="n">
        <f aca="false">'Ввод данных'!E182</f>
        <v>0</v>
      </c>
      <c r="F341" s="1180" t="n">
        <f aca="false">C341+0.4</f>
        <v>1</v>
      </c>
      <c r="G341" s="1159" t="n">
        <f aca="false">VLOOKUP('Ввод данных'!$A$1161,связи1!$A$253:$F$294,3,0)</f>
        <v>200</v>
      </c>
      <c r="H341" s="1159" t="n">
        <f aca="false">VLOOKUP('Ввод данных'!A1161,связи1!A253:F294,2,0)</f>
        <v>200</v>
      </c>
      <c r="I341" s="1159" t="n">
        <f aca="false">E341*F341*G341*H341/1000000</f>
        <v>0</v>
      </c>
      <c r="J341" s="1159" t="n">
        <v>1000</v>
      </c>
      <c r="K341" s="1159" t="n">
        <f aca="false">F341*J341</f>
        <v>1000</v>
      </c>
      <c r="AG341" s="1159" t="n">
        <v>17.3</v>
      </c>
      <c r="AH341" s="1193" t="n">
        <f aca="false">AG341*3.1415926535897/180</f>
        <v>0.30194196059501</v>
      </c>
      <c r="AI341" s="1193" t="n">
        <f aca="false">AH341+0.0005</f>
        <v>0.30244196059501</v>
      </c>
      <c r="AJ341" s="1193" t="n">
        <f aca="false">AH341-0.0005</f>
        <v>0.30144196059501</v>
      </c>
      <c r="AK341" s="1159" t="n">
        <f aca="false">IF(AND(дома!$Z$29&gt;=AJ341,дома!$Z$29&lt;=AI341),связи1!AG341,0)</f>
        <v>0</v>
      </c>
      <c r="AL341" s="1159" t="n">
        <f aca="false">IF(AND(дома!$AA$29&gt;=AJ341,дома!$AA$29&lt;=AI341),связи1!AG341,0)</f>
        <v>0</v>
      </c>
    </row>
    <row r="342" customFormat="false" ht="15.75" hidden="false" customHeight="false" outlineLevel="0" collapsed="false">
      <c r="A342" s="1252" t="s">
        <v>2678</v>
      </c>
      <c r="B342" s="1248" t="s">
        <v>15</v>
      </c>
      <c r="C342" s="1249" t="n">
        <f aca="false">'Ввод данных'!C185</f>
        <v>0.9</v>
      </c>
      <c r="D342" s="1249" t="n">
        <f aca="false">'Ввод данных'!D185</f>
        <v>2.1</v>
      </c>
      <c r="E342" s="1250" t="n">
        <f aca="false">'Ввод данных'!E185</f>
        <v>0</v>
      </c>
      <c r="F342" s="1180" t="n">
        <f aca="false">C342+0.4</f>
        <v>1.3</v>
      </c>
      <c r="G342" s="1159" t="n">
        <f aca="false">VLOOKUP('Ввод данных'!$A$1161,связи1!$A$253:$F$294,3,0)</f>
        <v>200</v>
      </c>
      <c r="H342" s="1159" t="n">
        <f aca="false">VLOOKUP('Ввод данных'!A1161,связи1!A253:F294,2,0)</f>
        <v>200</v>
      </c>
      <c r="I342" s="1159" t="n">
        <f aca="false">E342*F342*G342*H342/1000000</f>
        <v>0</v>
      </c>
      <c r="J342" s="1159" t="n">
        <v>1000</v>
      </c>
      <c r="K342" s="1159" t="n">
        <f aca="false">F342*J342</f>
        <v>1300</v>
      </c>
      <c r="AG342" s="1159" t="n">
        <v>17.4</v>
      </c>
      <c r="AH342" s="1193" t="n">
        <f aca="false">AG342*3.1415926535897/180</f>
        <v>0.303687289847004</v>
      </c>
      <c r="AI342" s="1193" t="n">
        <f aca="false">AH342+0.0005</f>
        <v>0.304187289847004</v>
      </c>
      <c r="AJ342" s="1193" t="n">
        <f aca="false">AH342-0.0005</f>
        <v>0.303187289847004</v>
      </c>
      <c r="AK342" s="1159" t="n">
        <f aca="false">IF(AND(дома!$Z$29&gt;=AJ342,дома!$Z$29&lt;=AI342),связи1!AG342,0)</f>
        <v>0</v>
      </c>
      <c r="AL342" s="1159" t="n">
        <f aca="false">IF(AND(дома!$AA$29&gt;=AJ342,дома!$AA$29&lt;=AI342),связи1!AG342,0)</f>
        <v>0</v>
      </c>
    </row>
    <row r="343" customFormat="false" ht="15.75" hidden="false" customHeight="false" outlineLevel="0" collapsed="false">
      <c r="A343" s="1252" t="s">
        <v>2679</v>
      </c>
      <c r="B343" s="1248" t="s">
        <v>15</v>
      </c>
      <c r="C343" s="1249" t="n">
        <f aca="false">'Ввод данных'!C189</f>
        <v>0.8</v>
      </c>
      <c r="D343" s="1249" t="n">
        <f aca="false">'Ввод данных'!D189</f>
        <v>2.1</v>
      </c>
      <c r="E343" s="1250" t="n">
        <f aca="false">'Ввод данных'!E189</f>
        <v>0</v>
      </c>
      <c r="F343" s="1180" t="n">
        <f aca="false">C343+0.4</f>
        <v>1.2</v>
      </c>
      <c r="G343" s="1159" t="n">
        <f aca="false">VLOOKUP('Ввод данных'!$A$1161,связи1!$A$253:$F$294,3,0)</f>
        <v>200</v>
      </c>
      <c r="H343" s="1159" t="n">
        <f aca="false">VLOOKUP('Ввод данных'!A1161,связи1!A253:F294,2,0)</f>
        <v>200</v>
      </c>
      <c r="I343" s="1159" t="n">
        <f aca="false">E343*F343*G343*H343/1000000</f>
        <v>0</v>
      </c>
      <c r="J343" s="1159" t="n">
        <v>1000</v>
      </c>
      <c r="K343" s="1159" t="n">
        <f aca="false">F343*J343</f>
        <v>1200</v>
      </c>
      <c r="AG343" s="1159" t="n">
        <v>17.5</v>
      </c>
      <c r="AH343" s="1193" t="n">
        <f aca="false">AG343*3.1415926535897/180</f>
        <v>0.305432619098999</v>
      </c>
      <c r="AI343" s="1193" t="n">
        <f aca="false">AH343+0.0005</f>
        <v>0.305932619098999</v>
      </c>
      <c r="AJ343" s="1193" t="n">
        <f aca="false">AH343-0.0005</f>
        <v>0.304932619098999</v>
      </c>
      <c r="AK343" s="1159" t="n">
        <f aca="false">IF(AND(дома!$Z$29&gt;=AJ343,дома!$Z$29&lt;=AI343),связи1!AG343,0)</f>
        <v>0</v>
      </c>
      <c r="AL343" s="1159" t="n">
        <f aca="false">IF(AND(дома!$AA$29&gt;=AJ343,дома!$AA$29&lt;=AI343),связи1!AG343,0)</f>
        <v>0</v>
      </c>
    </row>
    <row r="344" customFormat="false" ht="15.75" hidden="false" customHeight="false" outlineLevel="0" collapsed="false">
      <c r="A344" s="1252" t="s">
        <v>2680</v>
      </c>
      <c r="B344" s="1248" t="s">
        <v>15</v>
      </c>
      <c r="C344" s="1249" t="n">
        <f aca="false">'Ввод данных'!C190</f>
        <v>1</v>
      </c>
      <c r="D344" s="1249" t="n">
        <f aca="false">'Ввод данных'!D190</f>
        <v>2</v>
      </c>
      <c r="E344" s="1250" t="n">
        <f aca="false">'Ввод данных'!E190</f>
        <v>0</v>
      </c>
      <c r="F344" s="1180" t="n">
        <f aca="false">C344+0.4</f>
        <v>1.4</v>
      </c>
      <c r="G344" s="1159" t="n">
        <f aca="false">VLOOKUP('Ввод данных'!$A$1161,связи1!$A$253:$F$294,3,0)</f>
        <v>200</v>
      </c>
      <c r="H344" s="1159" t="n">
        <f aca="false">VLOOKUP('Ввод данных'!A1161,связи1!A253:F294,2,0)</f>
        <v>200</v>
      </c>
      <c r="I344" s="1159" t="n">
        <f aca="false">E344*F344*G344*H344/1000000</f>
        <v>0</v>
      </c>
      <c r="J344" s="1159" t="n">
        <v>1000</v>
      </c>
      <c r="K344" s="1159" t="n">
        <f aca="false">F344*J344</f>
        <v>1400</v>
      </c>
      <c r="AG344" s="1159" t="n">
        <v>17.6</v>
      </c>
      <c r="AH344" s="1193" t="n">
        <f aca="false">AG344*3.1415926535897/180</f>
        <v>0.307177948350993</v>
      </c>
      <c r="AI344" s="1193" t="n">
        <f aca="false">AH344+0.0005</f>
        <v>0.307677948350993</v>
      </c>
      <c r="AJ344" s="1193" t="n">
        <f aca="false">AH344-0.0005</f>
        <v>0.306677948350993</v>
      </c>
      <c r="AK344" s="1159" t="n">
        <f aca="false">IF(AND(дома!$Z$29&gt;=AJ344,дома!$Z$29&lt;=AI344),связи1!AG344,0)</f>
        <v>0</v>
      </c>
      <c r="AL344" s="1159" t="n">
        <f aca="false">IF(AND(дома!$AA$29&gt;=AJ344,дома!$AA$29&lt;=AI344),связи1!AG344,0)</f>
        <v>0</v>
      </c>
    </row>
    <row r="345" customFormat="false" ht="15.75" hidden="false" customHeight="false" outlineLevel="0" collapsed="false">
      <c r="A345" s="1252" t="s">
        <v>2681</v>
      </c>
      <c r="B345" s="1248" t="s">
        <v>15</v>
      </c>
      <c r="C345" s="1249" t="n">
        <f aca="false">'Ввод данных'!C193</f>
        <v>1</v>
      </c>
      <c r="D345" s="1249" t="n">
        <f aca="false">'Ввод данных'!D193</f>
        <v>2</v>
      </c>
      <c r="E345" s="1250" t="n">
        <f aca="false">'Ввод данных'!E193</f>
        <v>0</v>
      </c>
      <c r="F345" s="1180" t="n">
        <f aca="false">C345+0.4</f>
        <v>1.4</v>
      </c>
      <c r="G345" s="1159" t="n">
        <f aca="false">VLOOKUP('Ввод данных'!$A$1161,связи1!$A$253:$F$294,3,0)</f>
        <v>200</v>
      </c>
      <c r="H345" s="1159" t="n">
        <f aca="false">VLOOKUP('Ввод данных'!A1161,связи1!A253:F294,2,0)</f>
        <v>200</v>
      </c>
      <c r="I345" s="1159" t="n">
        <f aca="false">E345*F345*G345*H345/1000000</f>
        <v>0</v>
      </c>
      <c r="J345" s="1159" t="n">
        <v>1000</v>
      </c>
      <c r="K345" s="1159" t="n">
        <f aca="false">F345*J345</f>
        <v>1400</v>
      </c>
      <c r="AG345" s="1159" t="n">
        <v>17.7</v>
      </c>
      <c r="AH345" s="1193" t="n">
        <f aca="false">AG345*3.1415926535897/180</f>
        <v>0.308923277602987</v>
      </c>
      <c r="AI345" s="1193" t="n">
        <f aca="false">AH345+0.0005</f>
        <v>0.309423277602987</v>
      </c>
      <c r="AJ345" s="1193" t="n">
        <f aca="false">AH345-0.0005</f>
        <v>0.308423277602987</v>
      </c>
      <c r="AK345" s="1159" t="n">
        <f aca="false">IF(AND(дома!$Z$29&gt;=AJ345,дома!$Z$29&lt;=AI345),связи1!AG345,0)</f>
        <v>0</v>
      </c>
      <c r="AL345" s="1159" t="n">
        <f aca="false">IF(AND(дома!$AA$29&gt;=AJ345,дома!$AA$29&lt;=AI345),связи1!AG345,0)</f>
        <v>0</v>
      </c>
    </row>
    <row r="346" customFormat="false" ht="15.75" hidden="false" customHeight="false" outlineLevel="0" collapsed="false">
      <c r="A346" s="1252" t="s">
        <v>2682</v>
      </c>
      <c r="B346" s="1248" t="s">
        <v>15</v>
      </c>
      <c r="C346" s="1249" t="n">
        <f aca="false">'Ввод данных'!C183</f>
        <v>2</v>
      </c>
      <c r="D346" s="1249" t="n">
        <f aca="false">'Ввод данных'!D183</f>
        <v>2.3</v>
      </c>
      <c r="E346" s="1250" t="n">
        <f aca="false">'Ввод данных'!E183</f>
        <v>0</v>
      </c>
      <c r="F346" s="1180" t="n">
        <f aca="false">C346+0.4</f>
        <v>2.4</v>
      </c>
      <c r="G346" s="1159" t="n">
        <f aca="false">VLOOKUP('Ввод данных'!$A$1161,связи1!$A$253:$F$294,3,0)</f>
        <v>200</v>
      </c>
      <c r="H346" s="1159" t="n">
        <f aca="false">VLOOKUP('Ввод данных'!A1161,связи1!A253:F294,2,0)</f>
        <v>200</v>
      </c>
      <c r="I346" s="1159" t="n">
        <f aca="false">E346*F346*G346*H346/1000000</f>
        <v>0</v>
      </c>
      <c r="J346" s="1159" t="n">
        <v>1000</v>
      </c>
      <c r="K346" s="1159" t="n">
        <f aca="false">F346*J346</f>
        <v>2400</v>
      </c>
      <c r="AG346" s="1159" t="n">
        <v>17.8</v>
      </c>
      <c r="AH346" s="1193" t="n">
        <f aca="false">AG346*3.1415926535897/180</f>
        <v>0.310668606854981</v>
      </c>
      <c r="AI346" s="1193" t="n">
        <f aca="false">AH346+0.0005</f>
        <v>0.311168606854981</v>
      </c>
      <c r="AJ346" s="1193" t="n">
        <f aca="false">AH346-0.0005</f>
        <v>0.310168606854981</v>
      </c>
      <c r="AK346" s="1159" t="n">
        <f aca="false">IF(AND(дома!$Z$29&gt;=AJ346,дома!$Z$29&lt;=AI346),связи1!AG346,0)</f>
        <v>0</v>
      </c>
      <c r="AL346" s="1159" t="n">
        <f aca="false">IF(AND(дома!$AA$29&gt;=AJ346,дома!$AA$29&lt;=AI346),связи1!AG346,0)</f>
        <v>0</v>
      </c>
    </row>
    <row r="347" customFormat="false" ht="15.75" hidden="false" customHeight="false" outlineLevel="0" collapsed="false">
      <c r="A347" s="1252" t="s">
        <v>2683</v>
      </c>
      <c r="B347" s="1248" t="s">
        <v>15</v>
      </c>
      <c r="C347" s="1249" t="n">
        <f aca="false">'Ввод данных'!C187</f>
        <v>1.4</v>
      </c>
      <c r="D347" s="1249" t="n">
        <f aca="false">'Ввод данных'!D187</f>
        <v>3</v>
      </c>
      <c r="E347" s="1250" t="n">
        <f aca="false">'Ввод данных'!E187</f>
        <v>0</v>
      </c>
      <c r="F347" s="1180" t="n">
        <f aca="false">C347+0.4</f>
        <v>1.8</v>
      </c>
      <c r="G347" s="1159" t="n">
        <f aca="false">VLOOKUP('Ввод данных'!$A$1161,связи1!$A$253:$F$294,3,0)</f>
        <v>200</v>
      </c>
      <c r="H347" s="1159" t="n">
        <f aca="false">VLOOKUP('Ввод данных'!A1161,связи1!A253:F294,2,0)</f>
        <v>200</v>
      </c>
      <c r="I347" s="1159" t="n">
        <f aca="false">E347*F347*G347*H347/1000000</f>
        <v>0</v>
      </c>
      <c r="J347" s="1159" t="n">
        <v>1000</v>
      </c>
      <c r="K347" s="1159" t="n">
        <f aca="false">F347*J347</f>
        <v>1800</v>
      </c>
      <c r="AG347" s="1159" t="n">
        <v>17.9</v>
      </c>
      <c r="AH347" s="1193" t="n">
        <f aca="false">AG347*3.1415926535897/180</f>
        <v>0.312413936106976</v>
      </c>
      <c r="AI347" s="1193" t="n">
        <f aca="false">AH347+0.0005</f>
        <v>0.312913936106976</v>
      </c>
      <c r="AJ347" s="1193" t="n">
        <f aca="false">AH347-0.0005</f>
        <v>0.311913936106976</v>
      </c>
      <c r="AK347" s="1159" t="n">
        <f aca="false">IF(AND(дома!$Z$29&gt;=AJ347,дома!$Z$29&lt;=AI347),связи1!AG347,0)</f>
        <v>0</v>
      </c>
      <c r="AL347" s="1159" t="n">
        <f aca="false">IF(AND(дома!$AA$29&gt;=AJ347,дома!$AA$29&lt;=AI347),связи1!AG347,0)</f>
        <v>0</v>
      </c>
    </row>
    <row r="348" customFormat="false" ht="15.75" hidden="false" customHeight="false" outlineLevel="0" collapsed="false">
      <c r="A348" s="1252" t="s">
        <v>2684</v>
      </c>
      <c r="B348" s="1248" t="s">
        <v>15</v>
      </c>
      <c r="C348" s="1249" t="n">
        <f aca="false">'Ввод данных'!C191</f>
        <v>2</v>
      </c>
      <c r="D348" s="1249" t="n">
        <f aca="false">'Ввод данных'!D191</f>
        <v>2.2</v>
      </c>
      <c r="E348" s="1250" t="n">
        <f aca="false">'Ввод данных'!E191</f>
        <v>0</v>
      </c>
      <c r="F348" s="1180" t="n">
        <f aca="false">C348+0.4</f>
        <v>2.4</v>
      </c>
      <c r="G348" s="1159" t="n">
        <f aca="false">VLOOKUP('Ввод данных'!$A$1161,связи1!$A$253:$F$294,3,0)</f>
        <v>200</v>
      </c>
      <c r="H348" s="1159" t="n">
        <f aca="false">VLOOKUP('Ввод данных'!A1161,связи1!A253:F294,2,0)</f>
        <v>200</v>
      </c>
      <c r="I348" s="1159" t="n">
        <f aca="false">E348*F348*G348*H348/1000000</f>
        <v>0</v>
      </c>
      <c r="J348" s="1159" t="n">
        <v>1000</v>
      </c>
      <c r="K348" s="1159" t="n">
        <f aca="false">F348*J348</f>
        <v>2400</v>
      </c>
      <c r="AG348" s="1159" t="n">
        <v>18</v>
      </c>
      <c r="AH348" s="1193" t="n">
        <f aca="false">AG348*3.1415926535897/180</f>
        <v>0.31415926535897</v>
      </c>
      <c r="AI348" s="1193" t="n">
        <f aca="false">AH348+0.0005</f>
        <v>0.31465926535897</v>
      </c>
      <c r="AJ348" s="1193" t="n">
        <f aca="false">AH348-0.0005</f>
        <v>0.31365926535897</v>
      </c>
      <c r="AK348" s="1159" t="n">
        <f aca="false">IF(AND(дома!$Z$29&gt;=AJ348,дома!$Z$29&lt;=AI348),связи1!AG348,0)</f>
        <v>0</v>
      </c>
      <c r="AL348" s="1159" t="n">
        <f aca="false">IF(AND(дома!$AA$29&gt;=AJ348,дома!$AA$29&lt;=AI348),связи1!AG348,0)</f>
        <v>0</v>
      </c>
    </row>
    <row r="349" customFormat="false" ht="15.75" hidden="false" customHeight="false" outlineLevel="0" collapsed="false">
      <c r="A349" s="1252" t="s">
        <v>2685</v>
      </c>
      <c r="B349" s="1248" t="s">
        <v>15</v>
      </c>
      <c r="C349" s="1249" t="n">
        <f aca="false">'Ввод данных'!C195</f>
        <v>2</v>
      </c>
      <c r="D349" s="1249" t="n">
        <f aca="false">'Ввод данных'!D195</f>
        <v>2</v>
      </c>
      <c r="E349" s="1250" t="n">
        <f aca="false">'Ввод данных'!E195</f>
        <v>0</v>
      </c>
      <c r="F349" s="1180" t="n">
        <f aca="false">C349+0.4</f>
        <v>2.4</v>
      </c>
      <c r="G349" s="1159" t="n">
        <f aca="false">VLOOKUP('Ввод данных'!$A$1161,связи1!$A$253:$F$294,3,0)</f>
        <v>200</v>
      </c>
      <c r="H349" s="1159" t="n">
        <f aca="false">VLOOKUP('Ввод данных'!A1161,связи1!A253:F294,2,0)</f>
        <v>200</v>
      </c>
      <c r="I349" s="1159" t="n">
        <f aca="false">E349*F349*G349*H349/1000000</f>
        <v>0</v>
      </c>
      <c r="J349" s="1159" t="n">
        <v>1000</v>
      </c>
      <c r="K349" s="1159" t="n">
        <f aca="false">F349*J349</f>
        <v>2400</v>
      </c>
      <c r="AG349" s="1159" t="n">
        <v>18.1</v>
      </c>
      <c r="AH349" s="1193" t="n">
        <f aca="false">AG349*3.1415926535897/180</f>
        <v>0.315904594610964</v>
      </c>
      <c r="AI349" s="1193" t="n">
        <f aca="false">AH349+0.0005</f>
        <v>0.316404594610964</v>
      </c>
      <c r="AJ349" s="1193" t="n">
        <f aca="false">AH349-0.0005</f>
        <v>0.315404594610964</v>
      </c>
      <c r="AK349" s="1159" t="n">
        <f aca="false">IF(AND(дома!$Z$29&gt;=AJ349,дома!$Z$29&lt;=AI349),связи1!AG349,0)</f>
        <v>0</v>
      </c>
      <c r="AL349" s="1159" t="n">
        <f aca="false">IF(AND(дома!$AA$29&gt;=AJ349,дома!$AA$29&lt;=AI349),связи1!AG349,0)</f>
        <v>0</v>
      </c>
    </row>
    <row r="350" customFormat="false" ht="15.75" hidden="false" customHeight="false" outlineLevel="0" collapsed="false">
      <c r="A350" s="832" t="s">
        <v>2672</v>
      </c>
      <c r="B350" s="1248" t="s">
        <v>15</v>
      </c>
      <c r="C350" s="1249" t="n">
        <f aca="false">'Ввод данных'!C175</f>
        <v>0.8</v>
      </c>
      <c r="D350" s="1249" t="n">
        <f aca="false">'Ввод данных'!D175</f>
        <v>2</v>
      </c>
      <c r="E350" s="1254" t="n">
        <f aca="false">'Ввод данных'!E175</f>
        <v>0</v>
      </c>
      <c r="F350" s="1180" t="n">
        <f aca="false">C350+0.4</f>
        <v>1.2</v>
      </c>
      <c r="G350" s="1159" t="n">
        <f aca="false">VLOOKUP('Ввод данных'!$A$1159,связи1!$A$253:$F$294,3,0)</f>
        <v>300</v>
      </c>
      <c r="H350" s="1159" t="n">
        <f aca="false">VLOOKUP('Ввод данных'!A1159,связи1!A253:F294,2,0)</f>
        <v>200</v>
      </c>
      <c r="I350" s="1159" t="n">
        <f aca="false">E350*F350*G350*H350/1000000</f>
        <v>0</v>
      </c>
      <c r="J350" s="1159" t="n">
        <v>1000</v>
      </c>
      <c r="K350" s="1159" t="n">
        <f aca="false">F350*J350</f>
        <v>1200</v>
      </c>
      <c r="AG350" s="1159" t="n">
        <v>18.2</v>
      </c>
      <c r="AH350" s="1193" t="n">
        <f aca="false">AG350*3.1415926535897/180</f>
        <v>0.317649923862959</v>
      </c>
      <c r="AI350" s="1193" t="n">
        <f aca="false">AH350+0.0005</f>
        <v>0.318149923862958</v>
      </c>
      <c r="AJ350" s="1193" t="n">
        <f aca="false">AH350-0.0005</f>
        <v>0.317149923862959</v>
      </c>
      <c r="AK350" s="1159" t="n">
        <f aca="false">IF(AND(дома!$Z$29&gt;=AJ350,дома!$Z$29&lt;=AI350),связи1!AG350,0)</f>
        <v>0</v>
      </c>
      <c r="AL350" s="1159" t="n">
        <f aca="false">IF(AND(дома!$AA$29&gt;=AJ350,дома!$AA$29&lt;=AI350),связи1!AG350,0)</f>
        <v>0</v>
      </c>
    </row>
    <row r="351" customFormat="false" ht="15.75" hidden="false" customHeight="false" outlineLevel="0" collapsed="false">
      <c r="A351" s="832" t="s">
        <v>2686</v>
      </c>
      <c r="B351" s="1248" t="s">
        <v>15</v>
      </c>
      <c r="C351" s="1249" t="n">
        <f aca="false">'Ввод данных'!C176</f>
        <v>0.9</v>
      </c>
      <c r="D351" s="1249" t="n">
        <f aca="false">'Ввод данных'!D176</f>
        <v>2.1</v>
      </c>
      <c r="E351" s="1254" t="n">
        <f aca="false">'Ввод данных'!E176</f>
        <v>1</v>
      </c>
      <c r="F351" s="1180" t="n">
        <f aca="false">C351+0.4</f>
        <v>1.3</v>
      </c>
      <c r="G351" s="1159" t="n">
        <f aca="false">VLOOKUP('Ввод данных'!$A$1159,связи1!$A$253:$F$294,3,0)</f>
        <v>300</v>
      </c>
      <c r="H351" s="1159" t="n">
        <f aca="false">VLOOKUP('Ввод данных'!A1159,связи1!A253:F294,2,0)</f>
        <v>200</v>
      </c>
      <c r="I351" s="1159" t="n">
        <f aca="false">E351*F351*G351*H351/1000000</f>
        <v>0.078</v>
      </c>
      <c r="J351" s="1159" t="n">
        <v>1000</v>
      </c>
      <c r="K351" s="1159" t="n">
        <f aca="false">F351*J351</f>
        <v>1300</v>
      </c>
      <c r="AG351" s="1159" t="n">
        <v>18.3</v>
      </c>
      <c r="AH351" s="1193" t="n">
        <f aca="false">AG351*3.1415926535897/180</f>
        <v>0.319395253114953</v>
      </c>
      <c r="AI351" s="1193" t="n">
        <f aca="false">AH351+0.0005</f>
        <v>0.319895253114953</v>
      </c>
      <c r="AJ351" s="1193" t="n">
        <f aca="false">AH351-0.0005</f>
        <v>0.318895253114953</v>
      </c>
      <c r="AK351" s="1159" t="n">
        <f aca="false">IF(AND(дома!$Z$29&gt;=AJ351,дома!$Z$29&lt;=AI351),связи1!AG351,0)</f>
        <v>0</v>
      </c>
      <c r="AL351" s="1159" t="n">
        <f aca="false">IF(AND(дома!$AA$29&gt;=AJ351,дома!$AA$29&lt;=AI351),связи1!AG351,0)</f>
        <v>0</v>
      </c>
    </row>
    <row r="352" customFormat="false" ht="15.75" hidden="false" customHeight="false" outlineLevel="0" collapsed="false">
      <c r="A352" s="832" t="s">
        <v>2687</v>
      </c>
      <c r="B352" s="1248" t="s">
        <v>15</v>
      </c>
      <c r="C352" s="1249" t="n">
        <f aca="false">'Ввод данных'!C177</f>
        <v>1</v>
      </c>
      <c r="D352" s="1249" t="n">
        <f aca="false">'Ввод данных'!D177</f>
        <v>2</v>
      </c>
      <c r="E352" s="1254" t="n">
        <f aca="false">'Ввод данных'!E177</f>
        <v>0</v>
      </c>
      <c r="F352" s="1180" t="n">
        <f aca="false">C352+0.4</f>
        <v>1.4</v>
      </c>
      <c r="G352" s="1159" t="n">
        <f aca="false">VLOOKUP('Ввод данных'!$A$1159,связи1!$A$253:$F$294,3,0)</f>
        <v>300</v>
      </c>
      <c r="H352" s="1159" t="n">
        <f aca="false">VLOOKUP('Ввод данных'!A1159,связи1!A253:F294,2,0)</f>
        <v>200</v>
      </c>
      <c r="I352" s="1159" t="n">
        <f aca="false">E352*F352*G352*H352/1000000</f>
        <v>0</v>
      </c>
      <c r="J352" s="1159" t="n">
        <v>1000</v>
      </c>
      <c r="K352" s="1159" t="n">
        <f aca="false">F352*J352</f>
        <v>1400</v>
      </c>
      <c r="AG352" s="1159" t="n">
        <v>18.4</v>
      </c>
      <c r="AH352" s="1193" t="n">
        <f aca="false">AG352*3.1415926535897/180</f>
        <v>0.321140582366947</v>
      </c>
      <c r="AI352" s="1193" t="n">
        <f aca="false">AH352+0.0005</f>
        <v>0.321640582366947</v>
      </c>
      <c r="AJ352" s="1193" t="n">
        <f aca="false">AH352-0.0005</f>
        <v>0.320640582366947</v>
      </c>
      <c r="AK352" s="1159" t="n">
        <f aca="false">IF(AND(дома!$Z$29&gt;=AJ352,дома!$Z$29&lt;=AI352),связи1!AG352,0)</f>
        <v>0</v>
      </c>
      <c r="AL352" s="1159" t="n">
        <f aca="false">IF(AND(дома!$AA$29&gt;=AJ352,дома!$AA$29&lt;=AI352),связи1!AG352,0)</f>
        <v>0</v>
      </c>
    </row>
    <row r="353" customFormat="false" ht="15.75" hidden="false" customHeight="false" outlineLevel="0" collapsed="false">
      <c r="A353" s="1169"/>
      <c r="B353" s="1255"/>
      <c r="C353" s="1169"/>
      <c r="D353" s="1169"/>
      <c r="E353" s="1256"/>
      <c r="F353" s="1257"/>
      <c r="AG353" s="1159" t="n">
        <v>18.5</v>
      </c>
      <c r="AH353" s="1193" t="n">
        <f aca="false">AG353*3.1415926535897/180</f>
        <v>0.322885911618941</v>
      </c>
      <c r="AI353" s="1193" t="n">
        <f aca="false">AH353+0.0005</f>
        <v>0.323385911618941</v>
      </c>
      <c r="AJ353" s="1193" t="n">
        <f aca="false">AH353-0.0005</f>
        <v>0.322385911618941</v>
      </c>
      <c r="AK353" s="1159" t="n">
        <f aca="false">IF(AND(дома!$Z$29&gt;=AJ353,дома!$Z$29&lt;=AI353),связи1!AG353,0)</f>
        <v>0</v>
      </c>
      <c r="AL353" s="1159" t="n">
        <f aca="false">IF(AND(дома!$AA$29&gt;=AJ353,дома!$AA$29&lt;=AI353),связи1!AG353,0)</f>
        <v>0</v>
      </c>
    </row>
    <row r="354" customFormat="false" ht="15" hidden="false" customHeight="false" outlineLevel="0" collapsed="false">
      <c r="F354" s="1158" t="s">
        <v>2688</v>
      </c>
      <c r="AG354" s="1159" t="n">
        <v>18.6</v>
      </c>
      <c r="AH354" s="1193" t="n">
        <f aca="false">AG354*3.1415926535897/180</f>
        <v>0.324631240870936</v>
      </c>
      <c r="AI354" s="1193" t="n">
        <f aca="false">AH354+0.0005</f>
        <v>0.325131240870936</v>
      </c>
      <c r="AJ354" s="1193" t="n">
        <f aca="false">AH354-0.0005</f>
        <v>0.324131240870936</v>
      </c>
      <c r="AK354" s="1159" t="n">
        <f aca="false">IF(AND(дома!$Z$29&gt;=AJ354,дома!$Z$29&lt;=AI354),связи1!AG354,0)</f>
        <v>0</v>
      </c>
      <c r="AL354" s="1159" t="n">
        <f aca="false">IF(AND(дома!$AA$29&gt;=AJ354,дома!$AA$29&lt;=AI354),связи1!AG354,0)</f>
        <v>0</v>
      </c>
    </row>
    <row r="355" customFormat="false" ht="15.75" hidden="false" customHeight="false" outlineLevel="0" collapsed="false">
      <c r="A355" s="876" t="s">
        <v>772</v>
      </c>
      <c r="B355" s="828" t="s">
        <v>15</v>
      </c>
      <c r="C355" s="1258"/>
      <c r="D355" s="1259" t="n">
        <v>40600</v>
      </c>
      <c r="E355" s="1260" t="n">
        <v>0.222</v>
      </c>
      <c r="F355" s="1260" t="n">
        <f aca="false">'Прайс лист'!G211</f>
        <v>0</v>
      </c>
      <c r="O355" s="1159" t="n">
        <f aca="false">'Прайс лист'!G211</f>
        <v>0</v>
      </c>
      <c r="AG355" s="1159" t="n">
        <v>18.7</v>
      </c>
      <c r="AH355" s="1193" t="n">
        <f aca="false">AG355*3.1415926535897/180</f>
        <v>0.32637657012293</v>
      </c>
      <c r="AI355" s="1193" t="n">
        <f aca="false">AH355+0.0005</f>
        <v>0.32687657012293</v>
      </c>
      <c r="AJ355" s="1193" t="n">
        <f aca="false">AH355-0.0005</f>
        <v>0.32587657012293</v>
      </c>
      <c r="AK355" s="1159" t="n">
        <f aca="false">IF(AND(дома!$Z$29&gt;=AJ355,дома!$Z$29&lt;=AI355),связи1!AG355,0)</f>
        <v>0</v>
      </c>
      <c r="AL355" s="1159" t="n">
        <f aca="false">IF(AND(дома!$AA$29&gt;=AJ355,дома!$AA$29&lt;=AI355),связи1!AG355,0)</f>
        <v>0</v>
      </c>
    </row>
    <row r="356" customFormat="false" ht="15.75" hidden="false" customHeight="false" outlineLevel="0" collapsed="false">
      <c r="A356" s="876" t="s">
        <v>2689</v>
      </c>
      <c r="B356" s="828" t="s">
        <v>15</v>
      </c>
      <c r="C356" s="1258"/>
      <c r="D356" s="1259" t="n">
        <v>40600</v>
      </c>
      <c r="E356" s="1260" t="n">
        <v>0.395</v>
      </c>
      <c r="F356" s="1260" t="n">
        <f aca="false">'Прайс лист'!G216</f>
        <v>16.037</v>
      </c>
      <c r="O356" s="1159" t="n">
        <f aca="false">'Прайс лист'!G216</f>
        <v>16.037</v>
      </c>
      <c r="AG356" s="1159" t="n">
        <v>18.8</v>
      </c>
      <c r="AH356" s="1193" t="n">
        <f aca="false">AG356*3.1415926535897/180</f>
        <v>0.328121899374924</v>
      </c>
      <c r="AI356" s="1193" t="n">
        <f aca="false">AH356+0.0005</f>
        <v>0.328621899374924</v>
      </c>
      <c r="AJ356" s="1193" t="n">
        <f aca="false">AH356-0.0005</f>
        <v>0.327621899374924</v>
      </c>
      <c r="AK356" s="1159" t="n">
        <f aca="false">IF(AND(дома!$Z$29&gt;=AJ356,дома!$Z$29&lt;=AI356),связи1!AG356,0)</f>
        <v>0</v>
      </c>
      <c r="AL356" s="1159" t="n">
        <f aca="false">IF(AND(дома!$AA$29&gt;=AJ356,дома!$AA$29&lt;=AI356),связи1!AG356,0)</f>
        <v>0</v>
      </c>
    </row>
    <row r="357" customFormat="false" ht="15.75" hidden="false" customHeight="false" outlineLevel="0" collapsed="false">
      <c r="A357" s="876" t="s">
        <v>2690</v>
      </c>
      <c r="B357" s="828" t="s">
        <v>15</v>
      </c>
      <c r="C357" s="1258"/>
      <c r="D357" s="1259" t="n">
        <v>34100</v>
      </c>
      <c r="E357" s="1260" t="n">
        <v>0.617</v>
      </c>
      <c r="F357" s="1260" t="n">
        <f aca="false">'Прайс лист'!G217</f>
        <v>21.0397</v>
      </c>
      <c r="O357" s="1159" t="n">
        <f aca="false">'Прайс лист'!G217</f>
        <v>21.0397</v>
      </c>
      <c r="AG357" s="1159" t="n">
        <v>18.9</v>
      </c>
      <c r="AH357" s="1193" t="n">
        <f aca="false">AG357*3.1415926535897/180</f>
        <v>0.329867228626918</v>
      </c>
      <c r="AI357" s="1193" t="n">
        <f aca="false">AH357+0.0005</f>
        <v>0.330367228626918</v>
      </c>
      <c r="AJ357" s="1193" t="n">
        <f aca="false">AH357-0.0005</f>
        <v>0.329367228626918</v>
      </c>
      <c r="AK357" s="1159" t="n">
        <f aca="false">IF(AND(дома!$Z$29&gt;=AJ357,дома!$Z$29&lt;=AI357),связи1!AG357,0)</f>
        <v>0</v>
      </c>
      <c r="AL357" s="1159" t="n">
        <f aca="false">IF(AND(дома!$AA$29&gt;=AJ357,дома!$AA$29&lt;=AI357),связи1!AG357,0)</f>
        <v>0</v>
      </c>
    </row>
    <row r="358" customFormat="false" ht="15.75" hidden="false" customHeight="false" outlineLevel="0" collapsed="false">
      <c r="A358" s="876" t="s">
        <v>2691</v>
      </c>
      <c r="B358" s="828" t="s">
        <v>15</v>
      </c>
      <c r="C358" s="1258"/>
      <c r="D358" s="1259" t="n">
        <v>32900</v>
      </c>
      <c r="E358" s="1260" t="n">
        <v>0.888</v>
      </c>
      <c r="F358" s="1260" t="n">
        <f aca="false">'Прайс лист'!G218</f>
        <v>29.2152</v>
      </c>
      <c r="O358" s="1159" t="n">
        <f aca="false">'Прайс лист'!G218</f>
        <v>29.2152</v>
      </c>
      <c r="AG358" s="1159" t="n">
        <v>19</v>
      </c>
      <c r="AH358" s="1193" t="n">
        <f aca="false">AG358*3.1415926535897/180</f>
        <v>0.331612557878913</v>
      </c>
      <c r="AI358" s="1193" t="n">
        <f aca="false">AH358+0.0005</f>
        <v>0.332112557878913</v>
      </c>
      <c r="AJ358" s="1193" t="n">
        <f aca="false">AH358-0.0005</f>
        <v>0.331112557878913</v>
      </c>
      <c r="AK358" s="1159" t="n">
        <f aca="false">IF(AND(дома!$Z$29&gt;=AJ358,дома!$Z$29&lt;=AI358),связи1!AG358,0)</f>
        <v>0</v>
      </c>
      <c r="AL358" s="1159" t="n">
        <f aca="false">IF(AND(дома!$AA$29&gt;=AJ358,дома!$AA$29&lt;=AI358),связи1!AG358,0)</f>
        <v>0</v>
      </c>
    </row>
    <row r="359" customFormat="false" ht="15.75" hidden="false" customHeight="false" outlineLevel="0" collapsed="false">
      <c r="A359" s="876" t="s">
        <v>2692</v>
      </c>
      <c r="B359" s="828" t="s">
        <v>15</v>
      </c>
      <c r="C359" s="1258"/>
      <c r="D359" s="1259" t="n">
        <v>32400</v>
      </c>
      <c r="E359" s="1260" t="n">
        <v>1.21</v>
      </c>
      <c r="F359" s="1260" t="n">
        <f aca="false">'Прайс лист'!G219</f>
        <v>39.204</v>
      </c>
      <c r="O359" s="1159" t="n">
        <f aca="false">'Прайс лист'!G219</f>
        <v>39.204</v>
      </c>
      <c r="AG359" s="1159" t="n">
        <v>19.1</v>
      </c>
      <c r="AH359" s="1193" t="n">
        <f aca="false">AG359*3.1415926535897/180</f>
        <v>0.333357887130907</v>
      </c>
      <c r="AI359" s="1193" t="n">
        <f aca="false">AH359+0.0005</f>
        <v>0.333857887130907</v>
      </c>
      <c r="AJ359" s="1193" t="n">
        <f aca="false">AH359-0.0005</f>
        <v>0.332857887130907</v>
      </c>
      <c r="AK359" s="1159" t="n">
        <f aca="false">IF(AND(дома!$Z$29&gt;=AJ359,дома!$Z$29&lt;=AI359),связи1!AG359,0)</f>
        <v>0</v>
      </c>
      <c r="AL359" s="1159" t="n">
        <f aca="false">IF(AND(дома!$AA$29&gt;=AJ359,дома!$AA$29&lt;=AI359),связи1!AG359,0)</f>
        <v>0</v>
      </c>
    </row>
    <row r="360" customFormat="false" ht="15.75" hidden="false" customHeight="false" outlineLevel="0" collapsed="false">
      <c r="A360" s="876" t="s">
        <v>2693</v>
      </c>
      <c r="B360" s="828" t="s">
        <v>15</v>
      </c>
      <c r="C360" s="1258"/>
      <c r="D360" s="1259" t="n">
        <v>32400</v>
      </c>
      <c r="E360" s="1260" t="n">
        <v>1.58</v>
      </c>
      <c r="F360" s="1260" t="n">
        <f aca="false">'Прайс лист'!G220</f>
        <v>51.192</v>
      </c>
      <c r="O360" s="1159" t="n">
        <f aca="false">'Прайс лист'!G220</f>
        <v>51.192</v>
      </c>
      <c r="AG360" s="1159" t="n">
        <v>19.2</v>
      </c>
      <c r="AH360" s="1193" t="n">
        <f aca="false">AG360*3.1415926535897/180</f>
        <v>0.335103216382901</v>
      </c>
      <c r="AI360" s="1193" t="n">
        <f aca="false">AH360+0.0005</f>
        <v>0.335603216382901</v>
      </c>
      <c r="AJ360" s="1193" t="n">
        <f aca="false">AH360-0.0005</f>
        <v>0.334603216382901</v>
      </c>
      <c r="AK360" s="1159" t="n">
        <f aca="false">IF(AND(дома!$Z$29&gt;=AJ360,дома!$Z$29&lt;=AI360),связи1!AG360,0)</f>
        <v>0</v>
      </c>
      <c r="AL360" s="1159" t="n">
        <f aca="false">IF(AND(дома!$AA$29&gt;=AJ360,дома!$AA$29&lt;=AI360),связи1!AG360,0)</f>
        <v>0</v>
      </c>
    </row>
    <row r="361" customFormat="false" ht="15.75" hidden="false" customHeight="false" outlineLevel="0" collapsed="false">
      <c r="A361" s="876" t="s">
        <v>2694</v>
      </c>
      <c r="B361" s="828" t="s">
        <v>15</v>
      </c>
      <c r="C361" s="1258"/>
      <c r="D361" s="1259" t="n">
        <v>32400</v>
      </c>
      <c r="E361" s="1260" t="n">
        <v>2</v>
      </c>
      <c r="F361" s="1260" t="n">
        <f aca="false">'Прайс лист'!G221</f>
        <v>64.8</v>
      </c>
      <c r="O361" s="1159" t="n">
        <f aca="false">'Прайс лист'!G221</f>
        <v>64.8</v>
      </c>
      <c r="AG361" s="1159" t="n">
        <v>19.3</v>
      </c>
      <c r="AH361" s="1193" t="n">
        <f aca="false">AG361*3.1415926535897/180</f>
        <v>0.336848545634896</v>
      </c>
      <c r="AI361" s="1193" t="n">
        <f aca="false">AH361+0.0005</f>
        <v>0.337348545634896</v>
      </c>
      <c r="AJ361" s="1193" t="n">
        <f aca="false">AH361-0.0005</f>
        <v>0.336348545634896</v>
      </c>
      <c r="AK361" s="1159" t="n">
        <f aca="false">IF(AND(дома!$Z$29&gt;=AJ361,дома!$Z$29&lt;=AI361),связи1!AG361,0)</f>
        <v>0</v>
      </c>
      <c r="AL361" s="1159" t="n">
        <f aca="false">IF(AND(дома!$AA$29&gt;=AJ361,дома!$AA$29&lt;=AI361),связи1!AG361,0)</f>
        <v>0</v>
      </c>
    </row>
    <row r="362" customFormat="false" ht="15.75" hidden="false" customHeight="false" outlineLevel="0" collapsed="false">
      <c r="A362" s="876" t="s">
        <v>2695</v>
      </c>
      <c r="B362" s="828" t="s">
        <v>15</v>
      </c>
      <c r="C362" s="1258"/>
      <c r="D362" s="1259" t="n">
        <v>32400</v>
      </c>
      <c r="E362" s="1260" t="n">
        <v>2.47</v>
      </c>
      <c r="F362" s="1260" t="n">
        <f aca="false">'Прайс лист'!G222</f>
        <v>80.028</v>
      </c>
      <c r="O362" s="1159" t="n">
        <f aca="false">'Прайс лист'!G222</f>
        <v>80.028</v>
      </c>
      <c r="AG362" s="1159" t="n">
        <v>19.4</v>
      </c>
      <c r="AH362" s="1193" t="n">
        <f aca="false">AG362*3.1415926535897/180</f>
        <v>0.33859387488689</v>
      </c>
      <c r="AI362" s="1193" t="n">
        <f aca="false">AH362+0.0005</f>
        <v>0.33909387488689</v>
      </c>
      <c r="AJ362" s="1193" t="n">
        <f aca="false">AH362-0.0005</f>
        <v>0.33809387488689</v>
      </c>
      <c r="AK362" s="1159" t="n">
        <f aca="false">IF(AND(дома!$Z$29&gt;=AJ362,дома!$Z$29&lt;=AI362),связи1!AG362,0)</f>
        <v>0</v>
      </c>
      <c r="AL362" s="1159" t="n">
        <f aca="false">IF(AND(дома!$AA$29&gt;=AJ362,дома!$AA$29&lt;=AI362),связи1!AG362,0)</f>
        <v>0</v>
      </c>
    </row>
    <row r="363" customFormat="false" ht="15.75" hidden="false" customHeight="false" outlineLevel="0" collapsed="false">
      <c r="A363" s="918" t="s">
        <v>554</v>
      </c>
      <c r="AG363" s="1159" t="n">
        <v>19.5</v>
      </c>
      <c r="AH363" s="1193" t="n">
        <f aca="false">AG363*3.1415926535897/180</f>
        <v>0.340339204138884</v>
      </c>
      <c r="AI363" s="1193" t="n">
        <f aca="false">AH363+0.0005</f>
        <v>0.340839204138884</v>
      </c>
      <c r="AJ363" s="1193" t="n">
        <f aca="false">AH363-0.0005</f>
        <v>0.339839204138884</v>
      </c>
      <c r="AK363" s="1159" t="n">
        <f aca="false">IF(AND(дома!$Z$29&gt;=AJ363,дома!$Z$29&lt;=AI363),связи1!AG363,0)</f>
        <v>0</v>
      </c>
      <c r="AL363" s="1159" t="n">
        <f aca="false">IF(AND(дома!$AA$29&gt;=AJ363,дома!$AA$29&lt;=AI363),связи1!AG363,0)</f>
        <v>0</v>
      </c>
    </row>
    <row r="364" customFormat="false" ht="15.75" hidden="false" customHeight="false" outlineLevel="0" collapsed="false">
      <c r="A364" s="876" t="s">
        <v>2696</v>
      </c>
      <c r="B364" s="828" t="s">
        <v>15</v>
      </c>
      <c r="C364" s="1258"/>
      <c r="D364" s="1259" t="n">
        <v>40600</v>
      </c>
      <c r="E364" s="1260" t="n">
        <v>0.222</v>
      </c>
      <c r="F364" s="1260" t="n">
        <f aca="false">F355</f>
        <v>0</v>
      </c>
      <c r="AG364" s="1159" t="n">
        <v>19.6</v>
      </c>
      <c r="AH364" s="1193" t="n">
        <f aca="false">AG364*3.1415926535897/180</f>
        <v>0.342084533390878</v>
      </c>
      <c r="AI364" s="1193" t="n">
        <f aca="false">AH364+0.0005</f>
        <v>0.342584533390878</v>
      </c>
      <c r="AJ364" s="1193" t="n">
        <f aca="false">AH364-0.0005</f>
        <v>0.341584533390878</v>
      </c>
      <c r="AK364" s="1159" t="n">
        <f aca="false">IF(AND(дома!$Z$29&gt;=AJ364,дома!$Z$29&lt;=AI364),связи1!AG364,0)</f>
        <v>0</v>
      </c>
      <c r="AL364" s="1159" t="n">
        <f aca="false">IF(AND(дома!$AA$29&gt;=AJ364,дома!$AA$29&lt;=AI364),связи1!AG364,0)</f>
        <v>0</v>
      </c>
    </row>
    <row r="365" customFormat="false" ht="15.75" hidden="false" customHeight="false" outlineLevel="0" collapsed="false">
      <c r="A365" s="876" t="s">
        <v>2697</v>
      </c>
      <c r="B365" s="828" t="s">
        <v>15</v>
      </c>
      <c r="C365" s="1258"/>
      <c r="D365" s="1259" t="n">
        <v>40600</v>
      </c>
      <c r="E365" s="1260" t="n">
        <v>0.395</v>
      </c>
      <c r="F365" s="1260" t="n">
        <f aca="false">F356</f>
        <v>16.037</v>
      </c>
      <c r="AG365" s="1159" t="n">
        <v>19.7</v>
      </c>
      <c r="AH365" s="1193" t="n">
        <f aca="false">AG365*3.1415926535897/180</f>
        <v>0.343829862642873</v>
      </c>
      <c r="AI365" s="1193" t="n">
        <f aca="false">AH365+0.0005</f>
        <v>0.344329862642873</v>
      </c>
      <c r="AJ365" s="1193" t="n">
        <f aca="false">AH365-0.0005</f>
        <v>0.343329862642873</v>
      </c>
      <c r="AK365" s="1159" t="n">
        <f aca="false">IF(AND(дома!$Z$29&gt;=AJ365,дома!$Z$29&lt;=AI365),связи1!AG365,0)</f>
        <v>0</v>
      </c>
      <c r="AL365" s="1159" t="n">
        <f aca="false">IF(AND(дома!$AA$29&gt;=AJ365,дома!$AA$29&lt;=AI365),связи1!AG365,0)</f>
        <v>0</v>
      </c>
    </row>
    <row r="366" customFormat="false" ht="15.75" hidden="false" customHeight="false" outlineLevel="0" collapsed="false">
      <c r="A366" s="876" t="s">
        <v>775</v>
      </c>
      <c r="B366" s="828" t="s">
        <v>15</v>
      </c>
      <c r="C366" s="1258"/>
      <c r="D366" s="1259" t="n">
        <v>34100</v>
      </c>
      <c r="E366" s="1260" t="n">
        <v>0.617</v>
      </c>
      <c r="F366" s="1260" t="n">
        <f aca="false">F357</f>
        <v>21.0397</v>
      </c>
      <c r="AG366" s="1159" t="n">
        <v>19.8</v>
      </c>
      <c r="AH366" s="1193" t="n">
        <f aca="false">AG366*3.1415926535897/180</f>
        <v>0.345575191894867</v>
      </c>
      <c r="AI366" s="1193" t="n">
        <f aca="false">AH366+0.0005</f>
        <v>0.346075191894867</v>
      </c>
      <c r="AJ366" s="1193" t="n">
        <f aca="false">AH366-0.0005</f>
        <v>0.345075191894867</v>
      </c>
      <c r="AK366" s="1159" t="n">
        <f aca="false">IF(AND(дома!$Z$29&gt;=AJ366,дома!$Z$29&lt;=AI366),связи1!AG366,0)</f>
        <v>0</v>
      </c>
      <c r="AL366" s="1159" t="n">
        <f aca="false">IF(AND(дома!$AA$29&gt;=AJ366,дома!$AA$29&lt;=AI366),связи1!AG366,0)</f>
        <v>0</v>
      </c>
    </row>
    <row r="367" customFormat="false" ht="15.75" hidden="false" customHeight="false" outlineLevel="0" collapsed="false">
      <c r="A367" s="876" t="s">
        <v>2698</v>
      </c>
      <c r="B367" s="828" t="s">
        <v>15</v>
      </c>
      <c r="C367" s="1258"/>
      <c r="D367" s="1259" t="n">
        <v>32900</v>
      </c>
      <c r="E367" s="1260" t="n">
        <v>0.888</v>
      </c>
      <c r="F367" s="1260" t="n">
        <f aca="false">F358</f>
        <v>29.2152</v>
      </c>
      <c r="AG367" s="1159" t="n">
        <v>19.9</v>
      </c>
      <c r="AH367" s="1193" t="n">
        <f aca="false">AG367*3.1415926535897/180</f>
        <v>0.347320521146861</v>
      </c>
      <c r="AI367" s="1193" t="n">
        <f aca="false">AH367+0.0005</f>
        <v>0.347820521146861</v>
      </c>
      <c r="AJ367" s="1193" t="n">
        <f aca="false">AH367-0.0005</f>
        <v>0.346820521146861</v>
      </c>
      <c r="AK367" s="1159" t="n">
        <f aca="false">IF(AND(дома!$Z$29&gt;=AJ367,дома!$Z$29&lt;=AI367),связи1!AG367,0)</f>
        <v>0</v>
      </c>
      <c r="AL367" s="1159" t="n">
        <f aca="false">IF(AND(дома!$AA$29&gt;=AJ367,дома!$AA$29&lt;=AI367),связи1!AG367,0)</f>
        <v>0</v>
      </c>
    </row>
    <row r="368" customFormat="false" ht="15.75" hidden="false" customHeight="false" outlineLevel="0" collapsed="false">
      <c r="A368" s="876" t="s">
        <v>2699</v>
      </c>
      <c r="B368" s="828" t="s">
        <v>15</v>
      </c>
      <c r="C368" s="1258"/>
      <c r="D368" s="1259" t="n">
        <v>32400</v>
      </c>
      <c r="E368" s="1260" t="n">
        <v>1.21</v>
      </c>
      <c r="F368" s="1260" t="n">
        <f aca="false">F359</f>
        <v>39.204</v>
      </c>
      <c r="AG368" s="1159" t="n">
        <v>20</v>
      </c>
      <c r="AH368" s="1193" t="n">
        <f aca="false">AG368*3.1415926535897/180</f>
        <v>0.349065850398856</v>
      </c>
      <c r="AI368" s="1193" t="n">
        <f aca="false">AH368+0.0005</f>
        <v>0.349565850398856</v>
      </c>
      <c r="AJ368" s="1193" t="n">
        <f aca="false">AH368-0.0005</f>
        <v>0.348565850398856</v>
      </c>
      <c r="AK368" s="1159" t="n">
        <f aca="false">IF(AND(дома!$Z$29&gt;=AJ368,дома!$Z$29&lt;=AI368),связи1!AG368,0)</f>
        <v>0</v>
      </c>
      <c r="AL368" s="1159" t="n">
        <f aca="false">IF(AND(дома!$AA$29&gt;=AJ368,дома!$AA$29&lt;=AI368),связи1!AG368,0)</f>
        <v>0</v>
      </c>
    </row>
    <row r="369" customFormat="false" ht="15.75" hidden="false" customHeight="false" outlineLevel="0" collapsed="false">
      <c r="A369" s="876" t="s">
        <v>2700</v>
      </c>
      <c r="B369" s="828" t="s">
        <v>15</v>
      </c>
      <c r="C369" s="1258"/>
      <c r="D369" s="1259" t="n">
        <v>32400</v>
      </c>
      <c r="E369" s="1260" t="n">
        <v>1.58</v>
      </c>
      <c r="F369" s="1260" t="n">
        <f aca="false">F360</f>
        <v>51.192</v>
      </c>
      <c r="AG369" s="1159" t="n">
        <v>20.1</v>
      </c>
      <c r="AH369" s="1193" t="n">
        <f aca="false">AG369*3.1415926535897/180</f>
        <v>0.35081117965085</v>
      </c>
      <c r="AI369" s="1193" t="n">
        <f aca="false">AH369+0.0005</f>
        <v>0.35131117965085</v>
      </c>
      <c r="AJ369" s="1193" t="n">
        <f aca="false">AH369-0.0005</f>
        <v>0.35031117965085</v>
      </c>
      <c r="AK369" s="1159" t="n">
        <f aca="false">IF(AND(дома!$Z$29&gt;=AJ369,дома!$Z$29&lt;=AI369),связи1!AG369,0)</f>
        <v>0</v>
      </c>
      <c r="AL369" s="1159" t="n">
        <f aca="false">IF(AND(дома!$AA$29&gt;=AJ369,дома!$AA$29&lt;=AI369),связи1!AG369,0)</f>
        <v>0</v>
      </c>
    </row>
    <row r="370" customFormat="false" ht="15.75" hidden="false" customHeight="false" outlineLevel="0" collapsed="false">
      <c r="A370" s="876" t="s">
        <v>2701</v>
      </c>
      <c r="B370" s="828" t="s">
        <v>15</v>
      </c>
      <c r="C370" s="1258"/>
      <c r="D370" s="1259" t="n">
        <v>32400</v>
      </c>
      <c r="E370" s="1260" t="n">
        <v>2</v>
      </c>
      <c r="F370" s="1260" t="n">
        <f aca="false">F361</f>
        <v>64.8</v>
      </c>
      <c r="AG370" s="1159" t="n">
        <v>20.2</v>
      </c>
      <c r="AH370" s="1193" t="n">
        <f aca="false">AG370*3.1415926535897/180</f>
        <v>0.352556508902844</v>
      </c>
      <c r="AI370" s="1193" t="n">
        <f aca="false">AH370+0.0005</f>
        <v>0.353056508902844</v>
      </c>
      <c r="AJ370" s="1193" t="n">
        <f aca="false">AH370-0.0005</f>
        <v>0.352056508902844</v>
      </c>
      <c r="AK370" s="1159" t="n">
        <f aca="false">IF(AND(дома!$Z$29&gt;=AJ370,дома!$Z$29&lt;=AI370),связи1!AG370,0)</f>
        <v>0</v>
      </c>
      <c r="AL370" s="1159" t="n">
        <f aca="false">IF(AND(дома!$AA$29&gt;=AJ370,дома!$AA$29&lt;=AI370),связи1!AG370,0)</f>
        <v>0</v>
      </c>
    </row>
    <row r="371" customFormat="false" ht="15.75" hidden="false" customHeight="false" outlineLevel="0" collapsed="false">
      <c r="A371" s="876" t="s">
        <v>2702</v>
      </c>
      <c r="B371" s="828" t="s">
        <v>15</v>
      </c>
      <c r="C371" s="1258"/>
      <c r="D371" s="1259" t="n">
        <v>32400</v>
      </c>
      <c r="E371" s="1260" t="n">
        <v>2.47</v>
      </c>
      <c r="F371" s="1260" t="n">
        <f aca="false">F362</f>
        <v>80.028</v>
      </c>
      <c r="AG371" s="1159" t="n">
        <v>20.3</v>
      </c>
      <c r="AH371" s="1193" t="n">
        <f aca="false">AG371*3.1415926535897/180</f>
        <v>0.354301838154838</v>
      </c>
      <c r="AI371" s="1193" t="n">
        <f aca="false">AH371+0.0005</f>
        <v>0.354801838154838</v>
      </c>
      <c r="AJ371" s="1193" t="n">
        <f aca="false">AH371-0.0005</f>
        <v>0.353801838154838</v>
      </c>
      <c r="AK371" s="1159" t="n">
        <f aca="false">IF(AND(дома!$Z$29&gt;=AJ371,дома!$Z$29&lt;=AI371),связи1!AG371,0)</f>
        <v>0</v>
      </c>
      <c r="AL371" s="1159" t="n">
        <f aca="false">IF(AND(дома!$AA$29&gt;=AJ371,дома!$AA$29&lt;=AI371),связи1!AG371,0)</f>
        <v>0</v>
      </c>
    </row>
    <row r="372" customFormat="false" ht="15.75" hidden="false" customHeight="false" outlineLevel="0" collapsed="false">
      <c r="A372" s="826" t="s">
        <v>2703</v>
      </c>
      <c r="AG372" s="1159" t="n">
        <v>20.4</v>
      </c>
      <c r="AH372" s="1193" t="n">
        <f aca="false">AG372*3.1415926535897/180</f>
        <v>0.356047167406833</v>
      </c>
      <c r="AI372" s="1193" t="n">
        <f aca="false">AH372+0.0005</f>
        <v>0.356547167406833</v>
      </c>
      <c r="AJ372" s="1193" t="n">
        <f aca="false">AH372-0.0005</f>
        <v>0.355547167406833</v>
      </c>
      <c r="AK372" s="1159" t="n">
        <f aca="false">IF(AND(дома!$Z$29&gt;=AJ372,дома!$Z$29&lt;=AI372),связи1!AG372,0)</f>
        <v>0</v>
      </c>
      <c r="AL372" s="1159" t="n">
        <f aca="false">IF(AND(дома!$AA$29&gt;=AJ372,дома!$AA$29&lt;=AI372),связи1!AG372,0)</f>
        <v>0</v>
      </c>
    </row>
    <row r="373" customFormat="false" ht="15.75" hidden="false" customHeight="false" outlineLevel="0" collapsed="false">
      <c r="A373" s="876" t="s">
        <v>2704</v>
      </c>
      <c r="B373" s="828" t="s">
        <v>15</v>
      </c>
      <c r="C373" s="1261" t="n">
        <v>0.6</v>
      </c>
      <c r="D373" s="1259" t="n">
        <v>40600</v>
      </c>
      <c r="E373" s="1260" t="n">
        <v>0.222</v>
      </c>
      <c r="F373" s="1260" t="n">
        <f aca="false">F355</f>
        <v>0</v>
      </c>
      <c r="AG373" s="1159" t="n">
        <v>20.5</v>
      </c>
      <c r="AH373" s="1193" t="n">
        <f aca="false">AG373*3.1415926535897/180</f>
        <v>0.357792496658827</v>
      </c>
      <c r="AI373" s="1193" t="n">
        <f aca="false">AH373+0.0005</f>
        <v>0.358292496658827</v>
      </c>
      <c r="AJ373" s="1193" t="n">
        <f aca="false">AH373-0.0005</f>
        <v>0.357292496658827</v>
      </c>
      <c r="AK373" s="1159" t="n">
        <f aca="false">IF(AND(дома!$Z$29&gt;=AJ373,дома!$Z$29&lt;=AI373),связи1!AG373,0)</f>
        <v>0</v>
      </c>
      <c r="AL373" s="1159" t="n">
        <f aca="false">IF(AND(дома!$AA$29&gt;=AJ373,дома!$AA$29&lt;=AI373),связи1!AG373,0)</f>
        <v>0</v>
      </c>
    </row>
    <row r="374" customFormat="false" ht="15.75" hidden="false" customHeight="false" outlineLevel="0" collapsed="false">
      <c r="A374" s="876" t="s">
        <v>777</v>
      </c>
      <c r="B374" s="828" t="s">
        <v>15</v>
      </c>
      <c r="C374" s="1261" t="n">
        <v>0.4</v>
      </c>
      <c r="D374" s="1259" t="n">
        <v>40600</v>
      </c>
      <c r="E374" s="1260" t="n">
        <v>0.395</v>
      </c>
      <c r="F374" s="1260" t="n">
        <f aca="false">F355</f>
        <v>0</v>
      </c>
      <c r="AG374" s="1159" t="n">
        <v>20.6</v>
      </c>
      <c r="AH374" s="1193" t="n">
        <f aca="false">AG374*3.1415926535897/180</f>
        <v>0.359537825910821</v>
      </c>
      <c r="AI374" s="1193" t="n">
        <f aca="false">AH374+0.0005</f>
        <v>0.360037825910821</v>
      </c>
      <c r="AJ374" s="1193" t="n">
        <f aca="false">AH374-0.0005</f>
        <v>0.359037825910821</v>
      </c>
      <c r="AK374" s="1159" t="n">
        <f aca="false">IF(AND(дома!$Z$29&gt;=AJ374,дома!$Z$29&lt;=AI374),связи1!AG374,0)</f>
        <v>0</v>
      </c>
      <c r="AL374" s="1159" t="n">
        <f aca="false">IF(AND(дома!$AA$29&gt;=AJ374,дома!$AA$29&lt;=AI374),связи1!AG374,0)</f>
        <v>0</v>
      </c>
    </row>
    <row r="375" customFormat="false" ht="15.75" hidden="false" customHeight="false" outlineLevel="0" collapsed="false">
      <c r="A375" s="876" t="s">
        <v>2705</v>
      </c>
      <c r="B375" s="828" t="s">
        <v>15</v>
      </c>
      <c r="C375" s="1261" t="n">
        <v>0.3</v>
      </c>
      <c r="D375" s="1259" t="n">
        <v>34100</v>
      </c>
      <c r="E375" s="1260" t="n">
        <v>0.617</v>
      </c>
      <c r="F375" s="1260" t="n">
        <f aca="false">F355</f>
        <v>0</v>
      </c>
      <c r="AG375" s="1159" t="n">
        <v>20.7</v>
      </c>
      <c r="AH375" s="1193" t="n">
        <f aca="false">AG375*3.1415926535897/180</f>
        <v>0.361283155162815</v>
      </c>
      <c r="AI375" s="1193" t="n">
        <f aca="false">AH375+0.0005</f>
        <v>0.361783155162815</v>
      </c>
      <c r="AJ375" s="1193" t="n">
        <f aca="false">AH375-0.0005</f>
        <v>0.360783155162815</v>
      </c>
      <c r="AK375" s="1159" t="n">
        <f aca="false">IF(AND(дома!$Z$29&gt;=AJ375,дома!$Z$29&lt;=AI375),связи1!AG375,0)</f>
        <v>0</v>
      </c>
      <c r="AL375" s="1159" t="n">
        <f aca="false">IF(AND(дома!$AA$29&gt;=AJ375,дома!$AA$29&lt;=AI375),связи1!AG375,0)</f>
        <v>0</v>
      </c>
    </row>
    <row r="376" customFormat="false" ht="15.75" hidden="false" customHeight="false" outlineLevel="0" collapsed="false">
      <c r="A376" s="876" t="s">
        <v>2706</v>
      </c>
      <c r="B376" s="828" t="s">
        <v>15</v>
      </c>
      <c r="C376" s="1261" t="n">
        <v>0.6</v>
      </c>
      <c r="D376" s="1259" t="n">
        <v>32900</v>
      </c>
      <c r="E376" s="1260" t="n">
        <v>0.888</v>
      </c>
      <c r="F376" s="1260" t="n">
        <f aca="false">F356</f>
        <v>16.037</v>
      </c>
      <c r="AG376" s="1159" t="n">
        <v>20.8</v>
      </c>
      <c r="AH376" s="1193" t="n">
        <f aca="false">AG376*3.1415926535897/180</f>
        <v>0.36302848441481</v>
      </c>
      <c r="AI376" s="1193" t="n">
        <f aca="false">AH376+0.0005</f>
        <v>0.36352848441481</v>
      </c>
      <c r="AJ376" s="1193" t="n">
        <f aca="false">AH376-0.0005</f>
        <v>0.36252848441481</v>
      </c>
      <c r="AK376" s="1159" t="n">
        <f aca="false">IF(AND(дома!$Z$29&gt;=AJ376,дома!$Z$29&lt;=AI376),связи1!AG376,0)</f>
        <v>0</v>
      </c>
      <c r="AL376" s="1159" t="n">
        <f aca="false">IF(AND(дома!$AA$29&gt;=AJ376,дома!$AA$29&lt;=AI376),связи1!AG376,0)</f>
        <v>0</v>
      </c>
    </row>
    <row r="377" customFormat="false" ht="15.75" hidden="false" customHeight="false" outlineLevel="0" collapsed="false">
      <c r="A377" s="876" t="s">
        <v>2707</v>
      </c>
      <c r="B377" s="828" t="s">
        <v>15</v>
      </c>
      <c r="C377" s="1261" t="n">
        <v>0.4</v>
      </c>
      <c r="D377" s="1259" t="n">
        <v>32400</v>
      </c>
      <c r="E377" s="1260" t="n">
        <v>1.21</v>
      </c>
      <c r="F377" s="1260" t="n">
        <f aca="false">F356</f>
        <v>16.037</v>
      </c>
      <c r="AG377" s="1159" t="n">
        <v>20.9</v>
      </c>
      <c r="AH377" s="1193" t="n">
        <f aca="false">AG377*3.1415926535897/180</f>
        <v>0.364773813666804</v>
      </c>
      <c r="AI377" s="1193" t="n">
        <f aca="false">AH377+0.0005</f>
        <v>0.365273813666804</v>
      </c>
      <c r="AJ377" s="1193" t="n">
        <f aca="false">AH377-0.0005</f>
        <v>0.364273813666804</v>
      </c>
      <c r="AK377" s="1159" t="n">
        <f aca="false">IF(AND(дома!$Z$29&gt;=AJ377,дома!$Z$29&lt;=AI377),связи1!AG377,0)</f>
        <v>0</v>
      </c>
      <c r="AL377" s="1159" t="n">
        <f aca="false">IF(AND(дома!$AA$29&gt;=AJ377,дома!$AA$29&lt;=AI377),связи1!AG377,0)</f>
        <v>0</v>
      </c>
    </row>
    <row r="378" customFormat="false" ht="15.75" hidden="false" customHeight="false" outlineLevel="0" collapsed="false">
      <c r="A378" s="876" t="s">
        <v>2708</v>
      </c>
      <c r="B378" s="828" t="s">
        <v>15</v>
      </c>
      <c r="C378" s="1261" t="n">
        <v>0.3</v>
      </c>
      <c r="D378" s="1259" t="n">
        <v>32400</v>
      </c>
      <c r="E378" s="1260" t="n">
        <v>1.58</v>
      </c>
      <c r="F378" s="1260" t="n">
        <f aca="false">F356</f>
        <v>16.037</v>
      </c>
      <c r="AG378" s="1159" t="n">
        <v>21</v>
      </c>
      <c r="AH378" s="1193" t="n">
        <f aca="false">AG378*3.1415926535897/180</f>
        <v>0.366519142918798</v>
      </c>
      <c r="AI378" s="1193" t="n">
        <f aca="false">AH378+0.0005</f>
        <v>0.367019142918798</v>
      </c>
      <c r="AJ378" s="1193" t="n">
        <f aca="false">AH378-0.0005</f>
        <v>0.366019142918798</v>
      </c>
      <c r="AK378" s="1159" t="n">
        <f aca="false">IF(AND(дома!$Z$29&gt;=AJ378,дома!$Z$29&lt;=AI378),связи1!AG378,0)</f>
        <v>0</v>
      </c>
      <c r="AL378" s="1159" t="n">
        <f aca="false">IF(AND(дома!$AA$29&gt;=AJ378,дома!$AA$29&lt;=AI378),связи1!AG378,0)</f>
        <v>0</v>
      </c>
    </row>
    <row r="379" customFormat="false" ht="15.75" hidden="false" customHeight="false" outlineLevel="0" collapsed="false">
      <c r="A379" s="876"/>
      <c r="B379" s="828"/>
      <c r="C379" s="1258"/>
      <c r="D379" s="1259"/>
      <c r="E379" s="1260"/>
      <c r="F379" s="1260"/>
      <c r="AG379" s="1159" t="n">
        <v>21.1</v>
      </c>
      <c r="AH379" s="1193" t="n">
        <f aca="false">AG379*3.1415926535897/180</f>
        <v>0.368264472170793</v>
      </c>
      <c r="AI379" s="1193" t="n">
        <f aca="false">AH379+0.0005</f>
        <v>0.368764472170793</v>
      </c>
      <c r="AJ379" s="1193" t="n">
        <f aca="false">AH379-0.0005</f>
        <v>0.367764472170793</v>
      </c>
      <c r="AK379" s="1159" t="n">
        <f aca="false">IF(AND(дома!$Z$29&gt;=AJ379,дома!$Z$29&lt;=AI379),связи1!AG379,0)</f>
        <v>0</v>
      </c>
      <c r="AL379" s="1159" t="n">
        <f aca="false">IF(AND(дома!$AA$29&gt;=AJ379,дома!$AA$29&lt;=AI379),связи1!AG379,0)</f>
        <v>0</v>
      </c>
    </row>
    <row r="380" customFormat="false" ht="15.75" hidden="false" customHeight="false" outlineLevel="0" collapsed="false">
      <c r="A380" s="876"/>
      <c r="B380" s="828"/>
      <c r="C380" s="1258"/>
      <c r="D380" s="1259"/>
      <c r="E380" s="1260"/>
      <c r="F380" s="1260"/>
      <c r="AG380" s="1159" t="n">
        <v>21.2</v>
      </c>
      <c r="AH380" s="1193" t="n">
        <f aca="false">AG380*3.1415926535897/180</f>
        <v>0.370009801422787</v>
      </c>
      <c r="AI380" s="1193" t="n">
        <f aca="false">AH380+0.0005</f>
        <v>0.370509801422787</v>
      </c>
      <c r="AJ380" s="1193" t="n">
        <f aca="false">AH380-0.0005</f>
        <v>0.369509801422787</v>
      </c>
      <c r="AK380" s="1159" t="n">
        <f aca="false">IF(AND(дома!$Z$29&gt;=AJ380,дома!$Z$29&lt;=AI380),связи1!AG380,0)</f>
        <v>0</v>
      </c>
      <c r="AL380" s="1159" t="n">
        <f aca="false">IF(AND(дома!$AA$29&gt;=AJ380,дома!$AA$29&lt;=AI380),связи1!AG380,0)</f>
        <v>0</v>
      </c>
    </row>
    <row r="381" customFormat="false" ht="15.75" hidden="false" customHeight="false" outlineLevel="0" collapsed="false">
      <c r="A381" s="1262" t="s">
        <v>1096</v>
      </c>
      <c r="AG381" s="1159" t="n">
        <v>21.3</v>
      </c>
      <c r="AH381" s="1193" t="n">
        <f aca="false">AG381*3.1415926535897/180</f>
        <v>0.371755130674781</v>
      </c>
      <c r="AI381" s="1193" t="n">
        <f aca="false">AH381+0.0005</f>
        <v>0.372255130674781</v>
      </c>
      <c r="AJ381" s="1193" t="n">
        <f aca="false">AH381-0.0005</f>
        <v>0.371255130674781</v>
      </c>
      <c r="AK381" s="1159" t="n">
        <f aca="false">IF(AND(дома!$Z$29&gt;=AJ381,дома!$Z$29&lt;=AI381),связи1!AG381,0)</f>
        <v>0</v>
      </c>
      <c r="AL381" s="1159" t="n">
        <f aca="false">IF(AND(дома!$AA$29&gt;=AJ381,дома!$AA$29&lt;=AI381),связи1!AG381,0)</f>
        <v>0</v>
      </c>
    </row>
    <row r="382" customFormat="false" ht="15.75" hidden="false" customHeight="false" outlineLevel="0" collapsed="false">
      <c r="A382" s="1263" t="str">
        <f aca="false">'Прайс лист'!B248</f>
        <v>Пенобетон 200x400x600</v>
      </c>
      <c r="B382" s="1263" t="str">
        <f aca="false">'Прайс лист'!C248</f>
        <v>м3</v>
      </c>
      <c r="C382" s="1263" t="n">
        <f aca="false">'Прайс лист'!D248</f>
        <v>200</v>
      </c>
      <c r="D382" s="1263" t="n">
        <f aca="false">'Прайс лист'!E248</f>
        <v>400</v>
      </c>
      <c r="E382" s="1263" t="n">
        <f aca="false">'Прайс лист'!F248</f>
        <v>600</v>
      </c>
      <c r="F382" s="1263" t="n">
        <f aca="false">'Прайс лист'!G248</f>
        <v>3950</v>
      </c>
      <c r="AG382" s="1159" t="n">
        <v>21.4</v>
      </c>
      <c r="AH382" s="1193" t="n">
        <f aca="false">AG382*3.1415926535897/180</f>
        <v>0.373500459926775</v>
      </c>
      <c r="AI382" s="1193" t="n">
        <f aca="false">AH382+0.0005</f>
        <v>0.374000459926775</v>
      </c>
      <c r="AJ382" s="1193" t="n">
        <f aca="false">AH382-0.0005</f>
        <v>0.373000459926775</v>
      </c>
      <c r="AK382" s="1159" t="n">
        <f aca="false">IF(AND(дома!$Z$29&gt;=AJ382,дома!$Z$29&lt;=AI382),связи1!AG382,0)</f>
        <v>0</v>
      </c>
      <c r="AL382" s="1159" t="n">
        <f aca="false">IF(AND(дома!$AA$29&gt;=AJ382,дома!$AA$29&lt;=AI382),связи1!AG382,0)</f>
        <v>0</v>
      </c>
    </row>
    <row r="383" customFormat="false" ht="15.75" hidden="false" customHeight="false" outlineLevel="0" collapsed="false">
      <c r="A383" s="1263" t="str">
        <f aca="false">'Прайс лист'!B249</f>
        <v>Пенобетон 200x300x600</v>
      </c>
      <c r="B383" s="1263" t="str">
        <f aca="false">'Прайс лист'!C249</f>
        <v>м3</v>
      </c>
      <c r="C383" s="1263" t="n">
        <f aca="false">'Прайс лист'!D249</f>
        <v>200</v>
      </c>
      <c r="D383" s="1263" t="n">
        <f aca="false">'Прайс лист'!E249</f>
        <v>300</v>
      </c>
      <c r="E383" s="1263" t="n">
        <f aca="false">'Прайс лист'!F249</f>
        <v>600</v>
      </c>
      <c r="F383" s="1263" t="n">
        <f aca="false">'Прайс лист'!G249</f>
        <v>3650</v>
      </c>
      <c r="AG383" s="1159"/>
      <c r="AH383" s="1193"/>
      <c r="AI383" s="1193"/>
      <c r="AJ383" s="1193"/>
      <c r="AK383" s="1159"/>
      <c r="AL383" s="1159"/>
    </row>
    <row r="384" customFormat="false" ht="15.75" hidden="false" customHeight="false" outlineLevel="0" collapsed="false">
      <c r="A384" s="1263" t="str">
        <f aca="false">'Прайс лист'!B250</f>
        <v>Пенобетон 200x200x600</v>
      </c>
      <c r="B384" s="1263" t="str">
        <f aca="false">'Прайс лист'!C250</f>
        <v>м3</v>
      </c>
      <c r="C384" s="1263" t="n">
        <f aca="false">'Прайс лист'!D250</f>
        <v>200</v>
      </c>
      <c r="D384" s="1263" t="n">
        <f aca="false">'Прайс лист'!E250</f>
        <v>200</v>
      </c>
      <c r="E384" s="1263" t="n">
        <f aca="false">'Прайс лист'!F250</f>
        <v>600</v>
      </c>
      <c r="F384" s="1263" t="n">
        <f aca="false">'Прайс лист'!G250</f>
        <v>3950</v>
      </c>
      <c r="AG384" s="1159"/>
      <c r="AH384" s="1193"/>
      <c r="AI384" s="1193"/>
      <c r="AJ384" s="1193"/>
      <c r="AK384" s="1159"/>
      <c r="AL384" s="1159"/>
    </row>
    <row r="385" customFormat="false" ht="15.75" hidden="false" customHeight="false" outlineLevel="0" collapsed="false">
      <c r="A385" s="1263" t="str">
        <f aca="false">'Прайс лист'!B251</f>
        <v>Пенобетон 200x150x600</v>
      </c>
      <c r="B385" s="1263" t="str">
        <f aca="false">'Прайс лист'!C251</f>
        <v>м3</v>
      </c>
      <c r="C385" s="1263" t="n">
        <f aca="false">'Прайс лист'!D251</f>
        <v>200</v>
      </c>
      <c r="D385" s="1263" t="n">
        <f aca="false">'Прайс лист'!E251</f>
        <v>150</v>
      </c>
      <c r="E385" s="1263" t="n">
        <f aca="false">'Прайс лист'!F251</f>
        <v>600</v>
      </c>
      <c r="F385" s="1263" t="n">
        <f aca="false">'Прайс лист'!G251</f>
        <v>3950</v>
      </c>
      <c r="AG385" s="1159"/>
      <c r="AH385" s="1193"/>
      <c r="AI385" s="1193"/>
      <c r="AJ385" s="1193"/>
      <c r="AK385" s="1159"/>
      <c r="AL385" s="1159"/>
    </row>
    <row r="386" customFormat="false" ht="15.75" hidden="false" customHeight="false" outlineLevel="0" collapsed="false">
      <c r="A386" s="1263" t="str">
        <f aca="false">'Прайс лист'!B252</f>
        <v>Пенобетон 200x100x600</v>
      </c>
      <c r="B386" s="1263" t="str">
        <f aca="false">'Прайс лист'!C252</f>
        <v>м3</v>
      </c>
      <c r="C386" s="1263" t="n">
        <f aca="false">'Прайс лист'!D252</f>
        <v>200</v>
      </c>
      <c r="D386" s="1263" t="n">
        <f aca="false">'Прайс лист'!E252</f>
        <v>100</v>
      </c>
      <c r="E386" s="1263" t="n">
        <f aca="false">'Прайс лист'!F252</f>
        <v>600</v>
      </c>
      <c r="F386" s="1263" t="n">
        <f aca="false">'Прайс лист'!G252</f>
        <v>3950</v>
      </c>
      <c r="AG386" s="1159"/>
      <c r="AH386" s="1193"/>
      <c r="AI386" s="1193"/>
      <c r="AJ386" s="1193"/>
      <c r="AK386" s="1159"/>
      <c r="AL386" s="1159"/>
    </row>
    <row r="387" customFormat="false" ht="15.75" hidden="false" customHeight="false" outlineLevel="0" collapsed="false">
      <c r="A387" s="1263" t="str">
        <f aca="false">'Прайс лист'!B253</f>
        <v>Пенобетон 150x400x600</v>
      </c>
      <c r="B387" s="1263" t="str">
        <f aca="false">'Прайс лист'!C253</f>
        <v>м3</v>
      </c>
      <c r="C387" s="1263" t="n">
        <f aca="false">'Прайс лист'!D253</f>
        <v>200</v>
      </c>
      <c r="D387" s="1263" t="n">
        <f aca="false">'Прайс лист'!E253</f>
        <v>400</v>
      </c>
      <c r="E387" s="1263" t="n">
        <f aca="false">'Прайс лист'!F253</f>
        <v>600</v>
      </c>
      <c r="F387" s="1263" t="n">
        <f aca="false">'Прайс лист'!G253</f>
        <v>3950</v>
      </c>
      <c r="AG387" s="1159"/>
      <c r="AH387" s="1193"/>
      <c r="AI387" s="1193"/>
      <c r="AJ387" s="1193"/>
      <c r="AK387" s="1159"/>
      <c r="AL387" s="1159"/>
    </row>
    <row r="388" customFormat="false" ht="15.75" hidden="false" customHeight="false" outlineLevel="0" collapsed="false">
      <c r="A388" s="1263" t="str">
        <f aca="false">'Прайс лист'!B254</f>
        <v>Пенобетон 150x300x600</v>
      </c>
      <c r="B388" s="1263" t="str">
        <f aca="false">'Прайс лист'!C254</f>
        <v>м3</v>
      </c>
      <c r="C388" s="1263" t="n">
        <f aca="false">'Прайс лист'!D254</f>
        <v>150</v>
      </c>
      <c r="D388" s="1263" t="n">
        <f aca="false">'Прайс лист'!E254</f>
        <v>300</v>
      </c>
      <c r="E388" s="1263" t="n">
        <f aca="false">'Прайс лист'!F254</f>
        <v>600</v>
      </c>
      <c r="F388" s="1263" t="n">
        <f aca="false">'Прайс лист'!G254</f>
        <v>3750</v>
      </c>
      <c r="AG388" s="1159"/>
      <c r="AH388" s="1193"/>
      <c r="AI388" s="1193"/>
      <c r="AJ388" s="1193"/>
      <c r="AK388" s="1159"/>
      <c r="AL388" s="1159"/>
    </row>
    <row r="389" customFormat="false" ht="15.75" hidden="false" customHeight="false" outlineLevel="0" collapsed="false">
      <c r="A389" s="1263" t="str">
        <f aca="false">'Прайс лист'!B255</f>
        <v>Пенобетон 150x200x600</v>
      </c>
      <c r="B389" s="1263" t="str">
        <f aca="false">'Прайс лист'!C255</f>
        <v>м3</v>
      </c>
      <c r="C389" s="1263" t="n">
        <f aca="false">'Прайс лист'!D255</f>
        <v>150</v>
      </c>
      <c r="D389" s="1263" t="n">
        <f aca="false">'Прайс лист'!E255</f>
        <v>200</v>
      </c>
      <c r="E389" s="1263" t="n">
        <f aca="false">'Прайс лист'!F255</f>
        <v>600</v>
      </c>
      <c r="F389" s="1263" t="n">
        <f aca="false">'Прайс лист'!G255</f>
        <v>3750</v>
      </c>
      <c r="AG389" s="1159" t="n">
        <v>21.5</v>
      </c>
      <c r="AH389" s="1193" t="n">
        <f aca="false">AG389*3.1415926535897/180</f>
        <v>0.37524578917877</v>
      </c>
      <c r="AI389" s="1193" t="n">
        <f aca="false">AH389+0.0005</f>
        <v>0.37574578917877</v>
      </c>
      <c r="AJ389" s="1193" t="n">
        <f aca="false">AH389-0.0005</f>
        <v>0.37474578917877</v>
      </c>
      <c r="AK389" s="1159" t="n">
        <f aca="false">IF(AND(дома!$Z$29&gt;=AJ389,дома!$Z$29&lt;=AI389),связи1!AG389,0)</f>
        <v>0</v>
      </c>
      <c r="AL389" s="1159" t="n">
        <f aca="false">IF(AND(дома!$AA$29&gt;=AJ389,дома!$AA$29&lt;=AI389),связи1!AG389,0)</f>
        <v>0</v>
      </c>
    </row>
    <row r="390" customFormat="false" ht="15.75" hidden="false" customHeight="false" outlineLevel="0" collapsed="false">
      <c r="A390" s="1263" t="str">
        <f aca="false">'Прайс лист'!B256</f>
        <v>Пенобетон 150x150x600</v>
      </c>
      <c r="B390" s="1263" t="str">
        <f aca="false">'Прайс лист'!C256</f>
        <v>м3</v>
      </c>
      <c r="C390" s="1263" t="n">
        <f aca="false">'Прайс лист'!D256</f>
        <v>150</v>
      </c>
      <c r="D390" s="1263" t="n">
        <f aca="false">'Прайс лист'!E256</f>
        <v>150</v>
      </c>
      <c r="E390" s="1263" t="n">
        <f aca="false">'Прайс лист'!F256</f>
        <v>600</v>
      </c>
      <c r="F390" s="1263" t="n">
        <f aca="false">'Прайс лист'!G256</f>
        <v>3750</v>
      </c>
      <c r="AG390" s="1159" t="n">
        <v>21.6</v>
      </c>
      <c r="AH390" s="1193" t="n">
        <f aca="false">AG390*3.1415926535897/180</f>
        <v>0.376991118430764</v>
      </c>
      <c r="AI390" s="1193" t="n">
        <f aca="false">AH390+0.0005</f>
        <v>0.377491118430764</v>
      </c>
      <c r="AJ390" s="1193" t="n">
        <f aca="false">AH390-0.0005</f>
        <v>0.376491118430764</v>
      </c>
      <c r="AK390" s="1159" t="n">
        <f aca="false">IF(AND(дома!$Z$29&gt;=AJ390,дома!$Z$29&lt;=AI390),связи1!AG390,0)</f>
        <v>0</v>
      </c>
      <c r="AL390" s="1159" t="n">
        <f aca="false">IF(AND(дома!$AA$29&gt;=AJ390,дома!$AA$29&lt;=AI390),связи1!AG390,0)</f>
        <v>0</v>
      </c>
    </row>
    <row r="391" customFormat="false" ht="15.75" hidden="false" customHeight="false" outlineLevel="0" collapsed="false">
      <c r="A391" s="1263" t="str">
        <f aca="false">'Прайс лист'!B257</f>
        <v>Пенобетон 150x100x600</v>
      </c>
      <c r="B391" s="1263" t="str">
        <f aca="false">'Прайс лист'!C257</f>
        <v>м3</v>
      </c>
      <c r="C391" s="1263" t="n">
        <f aca="false">'Прайс лист'!D257</f>
        <v>150</v>
      </c>
      <c r="D391" s="1263" t="n">
        <f aca="false">'Прайс лист'!E257</f>
        <v>100</v>
      </c>
      <c r="E391" s="1263" t="n">
        <f aca="false">'Прайс лист'!F257</f>
        <v>600</v>
      </c>
      <c r="F391" s="1263" t="n">
        <f aca="false">'Прайс лист'!G257</f>
        <v>3750</v>
      </c>
      <c r="AG391" s="1159" t="n">
        <v>21.7</v>
      </c>
      <c r="AH391" s="1193" t="n">
        <f aca="false">AG391*3.1415926535897/180</f>
        <v>0.378736447682758</v>
      </c>
      <c r="AI391" s="1193" t="n">
        <f aca="false">AH391+0.0005</f>
        <v>0.379236447682758</v>
      </c>
      <c r="AJ391" s="1193" t="n">
        <f aca="false">AH391-0.0005</f>
        <v>0.378236447682758</v>
      </c>
      <c r="AK391" s="1159" t="n">
        <f aca="false">IF(AND(дома!$Z$29&gt;=AJ391,дома!$Z$29&lt;=AI391),связи1!AG391,0)</f>
        <v>0</v>
      </c>
      <c r="AL391" s="1159" t="n">
        <f aca="false">IF(AND(дома!$AA$29&gt;=AJ391,дома!$AA$29&lt;=AI391),связи1!AG391,0)</f>
        <v>0</v>
      </c>
    </row>
    <row r="392" customFormat="false" ht="15.75" hidden="false" customHeight="false" outlineLevel="0" collapsed="false">
      <c r="A392" s="1263" t="str">
        <f aca="false">'Прайс лист'!B258</f>
        <v>Пенобетон 100x400x600</v>
      </c>
      <c r="B392" s="1263" t="str">
        <f aca="false">'Прайс лист'!C258</f>
        <v>м3</v>
      </c>
      <c r="C392" s="1263" t="n">
        <f aca="false">'Прайс лист'!D258</f>
        <v>100</v>
      </c>
      <c r="D392" s="1263" t="n">
        <f aca="false">'Прайс лист'!E258</f>
        <v>400</v>
      </c>
      <c r="E392" s="1263" t="n">
        <f aca="false">'Прайс лист'!F258</f>
        <v>600</v>
      </c>
      <c r="F392" s="1263" t="n">
        <f aca="false">'Прайс лист'!G258</f>
        <v>3750</v>
      </c>
      <c r="AG392" s="1159" t="n">
        <v>21.8</v>
      </c>
      <c r="AH392" s="1193" t="n">
        <f aca="false">AG392*3.1415926535897/180</f>
        <v>0.380481776934752</v>
      </c>
      <c r="AI392" s="1193" t="n">
        <f aca="false">AH392+0.0005</f>
        <v>0.380981776934753</v>
      </c>
      <c r="AJ392" s="1193" t="n">
        <f aca="false">AH392-0.0005</f>
        <v>0.379981776934753</v>
      </c>
      <c r="AK392" s="1159" t="n">
        <f aca="false">IF(AND(дома!$Z$29&gt;=AJ392,дома!$Z$29&lt;=AI392),связи1!AG392,0)</f>
        <v>0</v>
      </c>
      <c r="AL392" s="1159" t="n">
        <f aca="false">IF(AND(дома!$AA$29&gt;=AJ392,дома!$AA$29&lt;=AI392),связи1!AG392,0)</f>
        <v>0</v>
      </c>
    </row>
    <row r="393" customFormat="false" ht="15.75" hidden="false" customHeight="false" outlineLevel="0" collapsed="false">
      <c r="A393" s="1263" t="str">
        <f aca="false">'Прайс лист'!B259</f>
        <v>Пенобетон 100x300x600</v>
      </c>
      <c r="B393" s="1263" t="str">
        <f aca="false">'Прайс лист'!C259</f>
        <v>м3</v>
      </c>
      <c r="C393" s="1263" t="n">
        <f aca="false">'Прайс лист'!D259</f>
        <v>100</v>
      </c>
      <c r="D393" s="1263" t="n">
        <f aca="false">'Прайс лист'!E259</f>
        <v>300</v>
      </c>
      <c r="E393" s="1263" t="n">
        <f aca="false">'Прайс лист'!F259</f>
        <v>600</v>
      </c>
      <c r="F393" s="1263" t="n">
        <f aca="false">'Прайс лист'!G259</f>
        <v>3950</v>
      </c>
      <c r="AG393" s="1159"/>
      <c r="AH393" s="1193"/>
      <c r="AI393" s="1193"/>
      <c r="AJ393" s="1193"/>
      <c r="AK393" s="1159"/>
      <c r="AL393" s="1159"/>
    </row>
    <row r="394" customFormat="false" ht="15.75" hidden="false" customHeight="false" outlineLevel="0" collapsed="false">
      <c r="A394" s="1263" t="str">
        <f aca="false">'Прайс лист'!B260</f>
        <v>Пенобетон 100x200x600</v>
      </c>
      <c r="B394" s="1263" t="str">
        <f aca="false">'Прайс лист'!C260</f>
        <v>м3</v>
      </c>
      <c r="C394" s="1263" t="n">
        <f aca="false">'Прайс лист'!D260</f>
        <v>100</v>
      </c>
      <c r="D394" s="1263" t="n">
        <f aca="false">'Прайс лист'!E260</f>
        <v>200</v>
      </c>
      <c r="E394" s="1263" t="n">
        <f aca="false">'Прайс лист'!F260</f>
        <v>600</v>
      </c>
      <c r="F394" s="1263" t="n">
        <f aca="false">'Прайс лист'!G260</f>
        <v>3950</v>
      </c>
      <c r="AG394" s="1159"/>
      <c r="AH394" s="1193"/>
      <c r="AI394" s="1193"/>
      <c r="AJ394" s="1193"/>
      <c r="AK394" s="1159"/>
      <c r="AL394" s="1159"/>
    </row>
    <row r="395" customFormat="false" ht="15.75" hidden="false" customHeight="false" outlineLevel="0" collapsed="false">
      <c r="A395" s="1263" t="str">
        <f aca="false">'Прайс лист'!B261</f>
        <v>Пенобетон 100x150x600</v>
      </c>
      <c r="B395" s="1263" t="str">
        <f aca="false">'Прайс лист'!C261</f>
        <v>м3</v>
      </c>
      <c r="C395" s="1263" t="n">
        <f aca="false">'Прайс лист'!D261</f>
        <v>100</v>
      </c>
      <c r="D395" s="1263" t="n">
        <f aca="false">'Прайс лист'!E261</f>
        <v>150</v>
      </c>
      <c r="E395" s="1263" t="n">
        <f aca="false">'Прайс лист'!F261</f>
        <v>600</v>
      </c>
      <c r="F395" s="1263" t="n">
        <f aca="false">'Прайс лист'!G261</f>
        <v>3950</v>
      </c>
      <c r="AG395" s="1159"/>
      <c r="AH395" s="1193"/>
      <c r="AI395" s="1193"/>
      <c r="AJ395" s="1193"/>
      <c r="AK395" s="1159"/>
      <c r="AL395" s="1159"/>
    </row>
    <row r="396" customFormat="false" ht="15.75" hidden="false" customHeight="false" outlineLevel="0" collapsed="false">
      <c r="A396" s="1263" t="str">
        <f aca="false">'Прайс лист'!B262</f>
        <v>Пенобетон 100x100x600</v>
      </c>
      <c r="B396" s="1263" t="str">
        <f aca="false">'Прайс лист'!C262</f>
        <v>м3</v>
      </c>
      <c r="C396" s="1263" t="n">
        <f aca="false">'Прайс лист'!D262</f>
        <v>100</v>
      </c>
      <c r="D396" s="1263" t="n">
        <f aca="false">'Прайс лист'!E262</f>
        <v>100</v>
      </c>
      <c r="E396" s="1263" t="n">
        <f aca="false">'Прайс лист'!F262</f>
        <v>600</v>
      </c>
      <c r="F396" s="1263" t="n">
        <f aca="false">'Прайс лист'!G262</f>
        <v>3950</v>
      </c>
      <c r="AG396" s="1159" t="n">
        <v>21.9</v>
      </c>
      <c r="AH396" s="1193" t="n">
        <f aca="false">AG396*3.1415926535897/180</f>
        <v>0.382227106186747</v>
      </c>
      <c r="AI396" s="1193" t="n">
        <f aca="false">AH396+0.0005</f>
        <v>0.382727106186747</v>
      </c>
      <c r="AJ396" s="1193" t="n">
        <f aca="false">AH396-0.0005</f>
        <v>0.381727106186747</v>
      </c>
      <c r="AK396" s="1159" t="n">
        <f aca="false">IF(AND(дома!$Z$29&gt;=AJ396,дома!$Z$29&lt;=AI396),связи1!AG396,0)</f>
        <v>0</v>
      </c>
      <c r="AL396" s="1159" t="n">
        <f aca="false">IF(AND(дома!$AA$29&gt;=AJ396,дома!$AA$29&lt;=AI396),связи1!AG396,0)</f>
        <v>0</v>
      </c>
    </row>
    <row r="397" customFormat="false" ht="15.75" hidden="false" customHeight="false" outlineLevel="0" collapsed="false">
      <c r="A397" s="1264" t="s">
        <v>2709</v>
      </c>
      <c r="C397" s="1159"/>
      <c r="D397" s="1159"/>
      <c r="E397" s="1159"/>
      <c r="AG397" s="1159" t="n">
        <v>22</v>
      </c>
      <c r="AH397" s="1193" t="n">
        <f aca="false">AG397*3.1415926535897/180</f>
        <v>0.383972435438741</v>
      </c>
      <c r="AI397" s="1193" t="n">
        <f aca="false">AH397+0.0005</f>
        <v>0.384472435438741</v>
      </c>
      <c r="AJ397" s="1193" t="n">
        <f aca="false">AH397-0.0005</f>
        <v>0.383472435438741</v>
      </c>
      <c r="AK397" s="1159" t="n">
        <f aca="false">IF(AND(дома!$Z$29&gt;=AJ397,дома!$Z$29&lt;=AI397),связи1!AG397,0)</f>
        <v>0</v>
      </c>
      <c r="AL397" s="1159" t="n">
        <f aca="false">IF(AND(дома!$AA$29&gt;=AJ397,дома!$AA$29&lt;=AI397),связи1!AG397,0)</f>
        <v>0</v>
      </c>
    </row>
    <row r="398" customFormat="false" ht="15.75" hidden="false" customHeight="false" outlineLevel="0" collapsed="false">
      <c r="A398" s="876" t="s">
        <v>2710</v>
      </c>
      <c r="B398" s="1265" t="n">
        <f aca="false">F356</f>
        <v>16.037</v>
      </c>
      <c r="C398" s="1258"/>
      <c r="D398" s="1259"/>
      <c r="E398" s="1260"/>
      <c r="AG398" s="1159" t="n">
        <v>22.1</v>
      </c>
      <c r="AH398" s="1193" t="n">
        <f aca="false">AG398*3.1415926535897/180</f>
        <v>0.385717764690735</v>
      </c>
      <c r="AI398" s="1193" t="n">
        <f aca="false">AH398+0.0005</f>
        <v>0.386217764690735</v>
      </c>
      <c r="AJ398" s="1193" t="n">
        <f aca="false">AH398-0.0005</f>
        <v>0.385217764690735</v>
      </c>
      <c r="AK398" s="1159" t="n">
        <f aca="false">IF(AND(дома!$Z$29&gt;=AJ398,дома!$Z$29&lt;=AI398),связи1!AG398,0)</f>
        <v>0</v>
      </c>
      <c r="AL398" s="1159" t="n">
        <f aca="false">IF(AND(дома!$AA$29&gt;=AJ398,дома!$AA$29&lt;=AI398),связи1!AG398,0)</f>
        <v>0</v>
      </c>
    </row>
    <row r="399" customFormat="false" ht="15.75" hidden="false" customHeight="false" outlineLevel="0" collapsed="false">
      <c r="A399" s="876" t="s">
        <v>96</v>
      </c>
      <c r="B399" s="1265" t="n">
        <f aca="false">F357</f>
        <v>21.0397</v>
      </c>
      <c r="C399" s="1258"/>
      <c r="D399" s="1259"/>
      <c r="E399" s="1260"/>
      <c r="AG399" s="1159" t="n">
        <v>22.2</v>
      </c>
      <c r="AH399" s="1193" t="n">
        <f aca="false">AG399*3.1415926535897/180</f>
        <v>0.38746309394273</v>
      </c>
      <c r="AI399" s="1193" t="n">
        <f aca="false">AH399+0.0005</f>
        <v>0.38796309394273</v>
      </c>
      <c r="AJ399" s="1193" t="n">
        <f aca="false">AH399-0.0005</f>
        <v>0.38696309394273</v>
      </c>
      <c r="AK399" s="1159" t="n">
        <f aca="false">IF(AND(дома!$Z$29&gt;=AJ399,дома!$Z$29&lt;=AI399),связи1!AG399,0)</f>
        <v>0</v>
      </c>
      <c r="AL399" s="1159" t="n">
        <f aca="false">IF(AND(дома!$AA$29&gt;=AJ399,дома!$AA$29&lt;=AI399),связи1!AG399,0)</f>
        <v>0</v>
      </c>
    </row>
    <row r="400" customFormat="false" ht="15.75" hidden="false" customHeight="false" outlineLevel="0" collapsed="false">
      <c r="A400" s="876" t="s">
        <v>105</v>
      </c>
      <c r="B400" s="1265" t="n">
        <f aca="false">F358</f>
        <v>29.2152</v>
      </c>
      <c r="C400" s="1258"/>
      <c r="D400" s="1259"/>
      <c r="E400" s="1260"/>
      <c r="AG400" s="1159" t="n">
        <v>22.3</v>
      </c>
      <c r="AH400" s="1193" t="n">
        <f aca="false">AG400*3.1415926535897/180</f>
        <v>0.389208423194724</v>
      </c>
      <c r="AI400" s="1193" t="n">
        <f aca="false">AH400+0.0005</f>
        <v>0.389708423194724</v>
      </c>
      <c r="AJ400" s="1193" t="n">
        <f aca="false">AH400-0.0005</f>
        <v>0.388708423194724</v>
      </c>
      <c r="AK400" s="1159" t="n">
        <f aca="false">IF(AND(дома!$Z$29&gt;=AJ400,дома!$Z$29&lt;=AI400),связи1!AG400,0)</f>
        <v>0</v>
      </c>
      <c r="AL400" s="1159" t="n">
        <f aca="false">IF(AND(дома!$AA$29&gt;=AJ400,дома!$AA$29&lt;=AI400),связи1!AG400,0)</f>
        <v>0</v>
      </c>
    </row>
    <row r="401" customFormat="false" ht="15.75" hidden="false" customHeight="false" outlineLevel="0" collapsed="false">
      <c r="A401" s="876" t="s">
        <v>2711</v>
      </c>
      <c r="B401" s="1265" t="n">
        <f aca="false">F359</f>
        <v>39.204</v>
      </c>
      <c r="C401" s="1258"/>
      <c r="D401" s="1259"/>
      <c r="E401" s="1260"/>
      <c r="AG401" s="1159" t="n">
        <v>22.4</v>
      </c>
      <c r="AH401" s="1193" t="n">
        <f aca="false">AG401*3.1415926535897/180</f>
        <v>0.390953752446718</v>
      </c>
      <c r="AI401" s="1193" t="n">
        <f aca="false">AH401+0.0005</f>
        <v>0.391453752446718</v>
      </c>
      <c r="AJ401" s="1193" t="n">
        <f aca="false">AH401-0.0005</f>
        <v>0.390453752446718</v>
      </c>
      <c r="AK401" s="1159" t="n">
        <f aca="false">IF(AND(дома!$Z$29&gt;=AJ401,дома!$Z$29&lt;=AI401),связи1!AG401,0)</f>
        <v>0</v>
      </c>
      <c r="AL401" s="1159" t="n">
        <f aca="false">IF(AND(дома!$AA$29&gt;=AJ401,дома!$AA$29&lt;=AI401),связи1!AG401,0)</f>
        <v>0</v>
      </c>
    </row>
    <row r="402" customFormat="false" ht="15.75" hidden="false" customHeight="false" outlineLevel="0" collapsed="false">
      <c r="A402" s="876" t="s">
        <v>2712</v>
      </c>
      <c r="B402" s="1265" t="n">
        <f aca="false">F360</f>
        <v>51.192</v>
      </c>
      <c r="C402" s="1258"/>
      <c r="D402" s="1259"/>
      <c r="E402" s="1260"/>
      <c r="AG402" s="1159" t="n">
        <v>22.5</v>
      </c>
      <c r="AH402" s="1193" t="n">
        <f aca="false">AG402*3.1415926535897/180</f>
        <v>0.392699081698712</v>
      </c>
      <c r="AI402" s="1193" t="n">
        <f aca="false">AH402+0.0005</f>
        <v>0.393199081698712</v>
      </c>
      <c r="AJ402" s="1193" t="n">
        <f aca="false">AH402-0.0005</f>
        <v>0.392199081698712</v>
      </c>
      <c r="AK402" s="1159" t="n">
        <f aca="false">IF(AND(дома!$Z$29&gt;=AJ402,дома!$Z$29&lt;=AI402),связи1!AG402,0)</f>
        <v>0</v>
      </c>
      <c r="AL402" s="1159" t="n">
        <f aca="false">IF(AND(дома!$AA$29&gt;=AJ402,дома!$AA$29&lt;=AI402),связи1!AG402,0)</f>
        <v>0</v>
      </c>
    </row>
    <row r="403" customFormat="false" ht="15.75" hidden="false" customHeight="false" outlineLevel="0" collapsed="false">
      <c r="A403" s="876" t="s">
        <v>2713</v>
      </c>
      <c r="B403" s="1265" t="n">
        <f aca="false">F361</f>
        <v>64.8</v>
      </c>
      <c r="C403" s="1258"/>
      <c r="D403" s="1259"/>
      <c r="E403" s="1260"/>
      <c r="AG403" s="1159" t="n">
        <v>22.6</v>
      </c>
      <c r="AH403" s="1193" t="n">
        <f aca="false">AG403*3.1415926535897/180</f>
        <v>0.394444410950707</v>
      </c>
      <c r="AI403" s="1193" t="n">
        <f aca="false">AH403+0.0005</f>
        <v>0.394944410950707</v>
      </c>
      <c r="AJ403" s="1193" t="n">
        <f aca="false">AH403-0.0005</f>
        <v>0.393944410950707</v>
      </c>
      <c r="AK403" s="1159" t="n">
        <f aca="false">IF(AND(дома!$Z$29&gt;=AJ403,дома!$Z$29&lt;=AI403),связи1!AG403,0)</f>
        <v>0</v>
      </c>
      <c r="AL403" s="1159" t="n">
        <f aca="false">IF(AND(дома!$AA$29&gt;=AJ403,дома!$AA$29&lt;=AI403),связи1!AG403,0)</f>
        <v>0</v>
      </c>
    </row>
    <row r="404" customFormat="false" ht="15.75" hidden="false" customHeight="false" outlineLevel="0" collapsed="false">
      <c r="A404" s="876" t="s">
        <v>2714</v>
      </c>
      <c r="B404" s="1265" t="n">
        <f aca="false">F362</f>
        <v>80.028</v>
      </c>
      <c r="C404" s="1258"/>
      <c r="D404" s="1259"/>
      <c r="E404" s="1260"/>
      <c r="AG404" s="1159" t="n">
        <v>22.7</v>
      </c>
      <c r="AH404" s="1193" t="n">
        <f aca="false">AG404*3.1415926535897/180</f>
        <v>0.396189740202701</v>
      </c>
      <c r="AI404" s="1193" t="n">
        <f aca="false">AH404+0.0005</f>
        <v>0.396689740202701</v>
      </c>
      <c r="AJ404" s="1193" t="n">
        <f aca="false">AH404-0.0005</f>
        <v>0.395689740202701</v>
      </c>
      <c r="AK404" s="1159" t="n">
        <f aca="false">IF(AND(дома!$Z$29&gt;=AJ404,дома!$Z$29&lt;=AI404),связи1!AG404,0)</f>
        <v>0</v>
      </c>
      <c r="AL404" s="1159" t="n">
        <f aca="false">IF(AND(дома!$AA$29&gt;=AJ404,дома!$AA$29&lt;=AI404),связи1!AG404,0)</f>
        <v>0</v>
      </c>
    </row>
    <row r="405" customFormat="false" ht="15" hidden="false" customHeight="false" outlineLevel="0" collapsed="false">
      <c r="C405" s="1202"/>
      <c r="D405" s="1202"/>
      <c r="E405" s="1202"/>
      <c r="AG405" s="1159" t="n">
        <v>22.8</v>
      </c>
      <c r="AH405" s="1193" t="n">
        <f aca="false">AG405*3.1415926535897/180</f>
        <v>0.397935069454695</v>
      </c>
      <c r="AI405" s="1193" t="n">
        <f aca="false">AH405+0.0005</f>
        <v>0.398435069454695</v>
      </c>
      <c r="AJ405" s="1193" t="n">
        <f aca="false">AH405-0.0005</f>
        <v>0.397435069454695</v>
      </c>
      <c r="AK405" s="1159" t="n">
        <f aca="false">IF(AND(дома!$Z$29&gt;=AJ405,дома!$Z$29&lt;=AI405),связи1!AG405,0)</f>
        <v>0</v>
      </c>
      <c r="AL405" s="1159" t="n">
        <f aca="false">IF(AND(дома!$AA$29&gt;=AJ405,дома!$AA$29&lt;=AI405),связи1!AG405,0)</f>
        <v>0</v>
      </c>
    </row>
    <row r="406" customFormat="false" ht="15.75" hidden="false" customHeight="false" outlineLevel="0" collapsed="false">
      <c r="A406" s="876" t="s">
        <v>101</v>
      </c>
      <c r="B406" s="1159" t="n">
        <v>0</v>
      </c>
      <c r="C406" s="1159" t="n">
        <v>0</v>
      </c>
      <c r="D406" s="1159" t="n">
        <v>0</v>
      </c>
      <c r="E406" s="1159" t="n">
        <v>0</v>
      </c>
      <c r="F406" s="1159" t="n">
        <v>0</v>
      </c>
      <c r="G406" s="1159" t="n">
        <v>0</v>
      </c>
      <c r="AG406" s="1159"/>
      <c r="AH406" s="1193"/>
      <c r="AI406" s="1193"/>
      <c r="AJ406" s="1193"/>
      <c r="AK406" s="1159"/>
      <c r="AL406" s="1159"/>
    </row>
    <row r="407" customFormat="false" ht="15" hidden="false" customHeight="false" outlineLevel="0" collapsed="false">
      <c r="A407" s="1159" t="s">
        <v>42</v>
      </c>
      <c r="B407" s="1180" t="n">
        <f aca="false">'Прайс лист'!G323</f>
        <v>9000</v>
      </c>
      <c r="C407" s="1159" t="n">
        <f aca="false">1/0.05/0.2</f>
        <v>100</v>
      </c>
      <c r="D407" s="1159" t="n">
        <f aca="false">B407/C407</f>
        <v>90</v>
      </c>
      <c r="E407" s="1159" t="n">
        <f aca="false">0.2*0.05</f>
        <v>0.01</v>
      </c>
      <c r="F407" s="1159" t="n">
        <v>0.2</v>
      </c>
      <c r="G407" s="1159" t="n">
        <v>0.05</v>
      </c>
      <c r="AG407" s="1159" t="n">
        <v>22.9</v>
      </c>
      <c r="AH407" s="1193" t="n">
        <f aca="false">AG407*3.1415926535897/180</f>
        <v>0.39968039870669</v>
      </c>
      <c r="AI407" s="1193" t="n">
        <f aca="false">AH407+0.0005</f>
        <v>0.40018039870669</v>
      </c>
      <c r="AJ407" s="1193" t="n">
        <f aca="false">AH407-0.0005</f>
        <v>0.39918039870669</v>
      </c>
      <c r="AK407" s="1159" t="n">
        <f aca="false">IF(AND(дома!$Z$29&gt;=AJ407,дома!$Z$29&lt;=AI407),связи1!AG407,0)</f>
        <v>0</v>
      </c>
      <c r="AL407" s="1159" t="n">
        <f aca="false">IF(AND(дома!$AA$29&gt;=AJ407,дома!$AA$29&lt;=AI407),связи1!AG407,0)</f>
        <v>0</v>
      </c>
    </row>
    <row r="408" customFormat="false" ht="15" hidden="false" customHeight="false" outlineLevel="0" collapsed="false">
      <c r="A408" s="1159" t="s">
        <v>449</v>
      </c>
      <c r="B408" s="1180" t="n">
        <f aca="false">'Прайс лист'!G325</f>
        <v>9000</v>
      </c>
      <c r="C408" s="1159" t="n">
        <f aca="false">1/0.15/0.05</f>
        <v>133.333333333333</v>
      </c>
      <c r="D408" s="1159" t="n">
        <f aca="false">B408/C408</f>
        <v>67.5</v>
      </c>
      <c r="E408" s="1159" t="n">
        <f aca="false">0.15*0.05</f>
        <v>0.0075</v>
      </c>
      <c r="F408" s="1159" t="n">
        <v>0.15</v>
      </c>
      <c r="G408" s="1159" t="n">
        <v>0.05</v>
      </c>
      <c r="AG408" s="1159" t="n">
        <v>23</v>
      </c>
      <c r="AH408" s="1193" t="n">
        <f aca="false">AG408*3.1415926535897/180</f>
        <v>0.401425727958684</v>
      </c>
      <c r="AI408" s="1193" t="n">
        <f aca="false">AH408+0.0005</f>
        <v>0.401925727958684</v>
      </c>
      <c r="AJ408" s="1193" t="n">
        <f aca="false">AH408-0.0005</f>
        <v>0.400925727958684</v>
      </c>
      <c r="AK408" s="1159" t="n">
        <f aca="false">IF(AND(дома!$Z$29&gt;=AJ408,дома!$Z$29&lt;=AI408),связи1!AG408,0)</f>
        <v>0</v>
      </c>
      <c r="AL408" s="1159" t="n">
        <f aca="false">IF(AND(дома!$AA$29&gt;=AJ408,дома!$AA$29&lt;=AI408),связи1!AG408,0)</f>
        <v>0</v>
      </c>
    </row>
    <row r="409" customFormat="false" ht="15" hidden="false" customHeight="false" outlineLevel="0" collapsed="false">
      <c r="A409" s="1159" t="s">
        <v>2492</v>
      </c>
      <c r="B409" s="1180" t="n">
        <f aca="false">'Прайс лист'!G326</f>
        <v>9000</v>
      </c>
      <c r="C409" s="1159" t="n">
        <f aca="false">1/0.1/0.05</f>
        <v>200</v>
      </c>
      <c r="D409" s="1159" t="n">
        <f aca="false">B409/C409</f>
        <v>45</v>
      </c>
      <c r="E409" s="1159" t="n">
        <f aca="false">0.1*0.05</f>
        <v>0.005</v>
      </c>
      <c r="F409" s="1159" t="n">
        <v>0.1</v>
      </c>
      <c r="G409" s="1159" t="n">
        <v>0.05</v>
      </c>
      <c r="AG409" s="1159"/>
      <c r="AH409" s="1193"/>
      <c r="AI409" s="1193"/>
      <c r="AJ409" s="1193"/>
      <c r="AK409" s="1159"/>
      <c r="AL409" s="1159"/>
    </row>
    <row r="410" customFormat="false" ht="15" hidden="false" customHeight="false" outlineLevel="0" collapsed="false">
      <c r="A410" s="1159" t="s">
        <v>326</v>
      </c>
      <c r="B410" s="1180" t="n">
        <f aca="false">'Прайс лист'!G315</f>
        <v>12500</v>
      </c>
      <c r="C410" s="1159" t="n">
        <f aca="false">1/0.19/0.045</f>
        <v>116.959064327485</v>
      </c>
      <c r="D410" s="1159" t="n">
        <f aca="false">B410/C410</f>
        <v>106.875</v>
      </c>
      <c r="E410" s="1159" t="n">
        <f aca="false">0.19*0.045</f>
        <v>0.00855</v>
      </c>
      <c r="F410" s="1159" t="n">
        <v>0.19</v>
      </c>
      <c r="G410" s="1159" t="n">
        <v>0.045</v>
      </c>
      <c r="AG410" s="1159" t="n">
        <v>23.1</v>
      </c>
      <c r="AH410" s="1193" t="n">
        <f aca="false">AG410*3.1415926535897/180</f>
        <v>0.403171057210678</v>
      </c>
      <c r="AI410" s="1193" t="n">
        <f aca="false">AH410+0.0005</f>
        <v>0.403671057210678</v>
      </c>
      <c r="AJ410" s="1193" t="n">
        <f aca="false">AH410-0.0005</f>
        <v>0.402671057210678</v>
      </c>
      <c r="AK410" s="1159" t="n">
        <f aca="false">IF(AND(дома!$Z$29&gt;=AJ410,дома!$Z$29&lt;=AI410),связи1!AG410,0)</f>
        <v>0</v>
      </c>
      <c r="AL410" s="1159" t="n">
        <f aca="false">IF(AND(дома!$AA$29&gt;=AJ410,дома!$AA$29&lt;=AI410),связи1!AG410,0)</f>
        <v>0</v>
      </c>
    </row>
    <row r="411" customFormat="false" ht="15" hidden="false" customHeight="false" outlineLevel="0" collapsed="false">
      <c r="A411" s="1159" t="s">
        <v>736</v>
      </c>
      <c r="B411" s="1180" t="n">
        <f aca="false">'Прайс лист'!G316</f>
        <v>12500</v>
      </c>
      <c r="C411" s="1159" t="n">
        <f aca="false">1/0.145/0.045</f>
        <v>153.256704980843</v>
      </c>
      <c r="D411" s="1159" t="n">
        <f aca="false">B411/C411</f>
        <v>81.5625</v>
      </c>
      <c r="E411" s="1159" t="n">
        <f aca="false">0.145*0.045</f>
        <v>0.006525</v>
      </c>
      <c r="F411" s="1159" t="n">
        <v>0.145</v>
      </c>
      <c r="G411" s="1159" t="n">
        <v>0.045</v>
      </c>
      <c r="AG411" s="1159" t="n">
        <v>23.2</v>
      </c>
      <c r="AH411" s="1193" t="n">
        <f aca="false">AG411*3.1415926535897/180</f>
        <v>0.404916386462672</v>
      </c>
      <c r="AI411" s="1193" t="n">
        <f aca="false">AH411+0.0005</f>
        <v>0.405416386462673</v>
      </c>
      <c r="AJ411" s="1193" t="n">
        <f aca="false">AH411-0.0005</f>
        <v>0.404416386462672</v>
      </c>
      <c r="AK411" s="1159" t="n">
        <f aca="false">IF(AND(дома!$Z$29&gt;=AJ411,дома!$Z$29&lt;=AI411),связи1!AG411,0)</f>
        <v>0</v>
      </c>
      <c r="AL411" s="1159" t="n">
        <f aca="false">IF(AND(дома!$AA$29&gt;=AJ411,дома!$AA$29&lt;=AI411),связи1!AG411,0)</f>
        <v>0</v>
      </c>
    </row>
    <row r="412" customFormat="false" ht="15" hidden="false" customHeight="false" outlineLevel="0" collapsed="false">
      <c r="A412" s="1159" t="s">
        <v>738</v>
      </c>
      <c r="B412" s="1180" t="n">
        <f aca="false">'Прайс лист'!G317</f>
        <v>12500</v>
      </c>
      <c r="C412" s="1159" t="n">
        <f aca="false">1/0.1/0.045</f>
        <v>222.222222222222</v>
      </c>
      <c r="D412" s="1159" t="n">
        <f aca="false">B412/C412</f>
        <v>56.25</v>
      </c>
      <c r="E412" s="1159" t="n">
        <f aca="false">0.1*0.045</f>
        <v>0.0045</v>
      </c>
      <c r="F412" s="1159" t="n">
        <v>0.1</v>
      </c>
      <c r="G412" s="1159" t="n">
        <v>0.045</v>
      </c>
      <c r="AG412" s="1159" t="n">
        <v>23.3</v>
      </c>
      <c r="AH412" s="1193" t="n">
        <f aca="false">AG412*3.1415926535897/180</f>
        <v>0.406661715714667</v>
      </c>
      <c r="AI412" s="1193" t="n">
        <f aca="false">AH412+0.0005</f>
        <v>0.407161715714667</v>
      </c>
      <c r="AJ412" s="1193" t="n">
        <f aca="false">AH412-0.0005</f>
        <v>0.406161715714667</v>
      </c>
      <c r="AK412" s="1159" t="n">
        <f aca="false">IF(AND(дома!$Z$29&gt;=AJ412,дома!$Z$29&lt;=AI412),связи1!AG412,0)</f>
        <v>0</v>
      </c>
      <c r="AL412" s="1159" t="n">
        <f aca="false">IF(AND(дома!$AA$29&gt;=AJ412,дома!$AA$29&lt;=AI412),связи1!AG412,0)</f>
        <v>0</v>
      </c>
    </row>
    <row r="413" customFormat="false" ht="15" hidden="false" customHeight="false" outlineLevel="0" collapsed="false">
      <c r="A413" s="1159" t="s">
        <v>2715</v>
      </c>
      <c r="B413" s="1180" t="n">
        <f aca="false">'Прайс лист'!G298</f>
        <v>6500</v>
      </c>
      <c r="C413" s="1159" t="n">
        <f aca="false">1/0.05/0.2</f>
        <v>100</v>
      </c>
      <c r="D413" s="1159" t="n">
        <f aca="false">B413/C413</f>
        <v>65</v>
      </c>
      <c r="E413" s="1159" t="n">
        <f aca="false">0.2*0.05</f>
        <v>0.01</v>
      </c>
      <c r="F413" s="1159" t="n">
        <v>0.2</v>
      </c>
      <c r="G413" s="1159" t="n">
        <v>0.05</v>
      </c>
      <c r="AG413" s="1159" t="n">
        <v>23.4</v>
      </c>
      <c r="AH413" s="1193" t="n">
        <f aca="false">AG413*3.1415926535897/180</f>
        <v>0.408407044966661</v>
      </c>
      <c r="AI413" s="1193" t="n">
        <f aca="false">AH413+0.0005</f>
        <v>0.408907044966661</v>
      </c>
      <c r="AJ413" s="1193" t="n">
        <f aca="false">AH413-0.0005</f>
        <v>0.407907044966661</v>
      </c>
      <c r="AK413" s="1159" t="n">
        <f aca="false">IF(AND(дома!$Z$29&gt;=AJ413,дома!$Z$29&lt;=AI413),связи1!AG413,0)</f>
        <v>0</v>
      </c>
      <c r="AL413" s="1159" t="n">
        <f aca="false">IF(AND(дома!$AA$29&gt;=AJ413,дома!$AA$29&lt;=AI413),связи1!AG413,0)</f>
        <v>0</v>
      </c>
    </row>
    <row r="414" customFormat="false" ht="15" hidden="false" customHeight="false" outlineLevel="0" collapsed="false">
      <c r="A414" s="1159" t="s">
        <v>210</v>
      </c>
      <c r="B414" s="1180" t="n">
        <f aca="false">'Прайс лист'!G300</f>
        <v>6500</v>
      </c>
      <c r="C414" s="1159" t="n">
        <f aca="false">1/0.15/0.05</f>
        <v>133.333333333333</v>
      </c>
      <c r="D414" s="1159" t="n">
        <f aca="false">B414/C414</f>
        <v>48.75</v>
      </c>
      <c r="E414" s="1159" t="n">
        <f aca="false">0.15*0.05</f>
        <v>0.0075</v>
      </c>
      <c r="F414" s="1159" t="n">
        <v>0.15</v>
      </c>
      <c r="G414" s="1159" t="n">
        <v>0.05</v>
      </c>
      <c r="AG414" s="1159" t="n">
        <v>23.5</v>
      </c>
      <c r="AH414" s="1193" t="n">
        <f aca="false">AG414*3.1415926535897/180</f>
        <v>0.410152374218655</v>
      </c>
      <c r="AI414" s="1193" t="n">
        <f aca="false">AH414+0.0005</f>
        <v>0.410652374218655</v>
      </c>
      <c r="AJ414" s="1193" t="n">
        <f aca="false">AH414-0.0005</f>
        <v>0.409652374218655</v>
      </c>
      <c r="AK414" s="1159" t="n">
        <f aca="false">IF(AND(дома!$Z$29&gt;=AJ414,дома!$Z$29&lt;=AI414),связи1!AG414,0)</f>
        <v>0</v>
      </c>
      <c r="AL414" s="1159" t="n">
        <f aca="false">IF(AND(дома!$AA$29&gt;=AJ414,дома!$AA$29&lt;=AI414),связи1!AG414,0)</f>
        <v>0</v>
      </c>
    </row>
    <row r="415" customFormat="false" ht="15" hidden="false" customHeight="false" outlineLevel="0" collapsed="false">
      <c r="A415" s="1159" t="s">
        <v>2716</v>
      </c>
      <c r="B415" s="1180" t="n">
        <f aca="false">'Прайс лист'!G301</f>
        <v>6500</v>
      </c>
      <c r="C415" s="1159" t="n">
        <f aca="false">1/0.1/0.05</f>
        <v>200</v>
      </c>
      <c r="D415" s="1159" t="n">
        <f aca="false">B415/C415</f>
        <v>32.5</v>
      </c>
      <c r="E415" s="1159" t="n">
        <f aca="false">0.1*0.05</f>
        <v>0.005</v>
      </c>
      <c r="F415" s="1159" t="n">
        <v>0.1</v>
      </c>
      <c r="G415" s="1159" t="n">
        <v>0.05</v>
      </c>
      <c r="AG415" s="1159" t="n">
        <v>23.6</v>
      </c>
      <c r="AH415" s="1193" t="n">
        <f aca="false">AG415*3.1415926535897/180</f>
        <v>0.41189770347065</v>
      </c>
      <c r="AI415" s="1193" t="n">
        <f aca="false">AH415+0.0005</f>
        <v>0.41239770347065</v>
      </c>
      <c r="AJ415" s="1193" t="n">
        <f aca="false">AH415-0.0005</f>
        <v>0.41139770347065</v>
      </c>
      <c r="AK415" s="1159" t="n">
        <f aca="false">IF(AND(дома!$Z$29&gt;=AJ415,дома!$Z$29&lt;=AI415),связи1!AG415,0)</f>
        <v>0</v>
      </c>
      <c r="AL415" s="1159" t="n">
        <f aca="false">IF(AND(дома!$AA$29&gt;=AJ415,дома!$AA$29&lt;=AI415),связи1!AG415,0)</f>
        <v>0</v>
      </c>
    </row>
    <row r="416" customFormat="false" ht="15" hidden="false" customHeight="false" outlineLevel="0" collapsed="false">
      <c r="AG416" s="1159" t="n">
        <v>23.7</v>
      </c>
      <c r="AH416" s="1193" t="n">
        <f aca="false">AG416*3.1415926535897/180</f>
        <v>0.413643032722644</v>
      </c>
      <c r="AI416" s="1193" t="n">
        <f aca="false">AH416+0.0005</f>
        <v>0.414143032722644</v>
      </c>
      <c r="AJ416" s="1193" t="n">
        <f aca="false">AH416-0.0005</f>
        <v>0.413143032722644</v>
      </c>
      <c r="AK416" s="1159" t="n">
        <f aca="false">IF(AND(дома!$Z$29&gt;=AJ416,дома!$Z$29&lt;=AI416),связи1!AG416,0)</f>
        <v>0</v>
      </c>
      <c r="AL416" s="1159" t="n">
        <f aca="false">IF(AND(дома!$AA$29&gt;=AJ416,дома!$AA$29&lt;=AI416),связи1!AG416,0)</f>
        <v>0</v>
      </c>
    </row>
    <row r="417" customFormat="false" ht="15" hidden="false" customHeight="false" outlineLevel="0" collapsed="false">
      <c r="A417" s="1171" t="s">
        <v>101</v>
      </c>
      <c r="B417" s="1159" t="n">
        <v>0</v>
      </c>
      <c r="C417" s="1159"/>
      <c r="D417" s="1159" t="n">
        <v>0</v>
      </c>
      <c r="E417" s="1159" t="n">
        <v>0</v>
      </c>
      <c r="F417" s="1159"/>
      <c r="AG417" s="1159"/>
      <c r="AH417" s="1193"/>
      <c r="AI417" s="1193"/>
      <c r="AJ417" s="1193"/>
      <c r="AK417" s="1159"/>
      <c r="AL417" s="1159"/>
    </row>
    <row r="418" customFormat="false" ht="15" hidden="false" customHeight="false" outlineLevel="0" collapsed="false">
      <c r="A418" s="1180" t="str">
        <f aca="false">'Прайс лист'!B310</f>
        <v>Сосна влаж, 50*50мм</v>
      </c>
      <c r="B418" s="1180" t="n">
        <f aca="false">'Прайс лист'!G310</f>
        <v>6500</v>
      </c>
      <c r="C418" s="1159" t="n">
        <f aca="false">1/0.05/0.05</f>
        <v>400</v>
      </c>
      <c r="D418" s="1159" t="n">
        <f aca="false">B418/C418</f>
        <v>16.25</v>
      </c>
      <c r="E418" s="1159" t="n">
        <f aca="false">0.05*0.05</f>
        <v>0.0025</v>
      </c>
      <c r="F418" s="1159"/>
      <c r="AG418" s="1159" t="n">
        <v>23.8</v>
      </c>
      <c r="AH418" s="1193" t="n">
        <f aca="false">AG418*3.1415926535897/180</f>
        <v>0.415388361974638</v>
      </c>
      <c r="AI418" s="1193" t="n">
        <f aca="false">AH418+0.0005</f>
        <v>0.415888361974638</v>
      </c>
      <c r="AJ418" s="1193" t="n">
        <f aca="false">AH418-0.0005</f>
        <v>0.414888361974638</v>
      </c>
      <c r="AK418" s="1159" t="n">
        <f aca="false">IF(AND(дома!$Z$29&gt;=AJ418,дома!$Z$29&lt;=AI418),связи1!AG418,0)</f>
        <v>0</v>
      </c>
      <c r="AL418" s="1159" t="n">
        <f aca="false">IF(AND(дома!$AA$29&gt;=AJ418,дома!$AA$29&lt;=AI418),связи1!AG418,0)</f>
        <v>0</v>
      </c>
    </row>
    <row r="419" customFormat="false" ht="15" hidden="false" customHeight="false" outlineLevel="0" collapsed="false">
      <c r="A419" s="1180" t="str">
        <f aca="false">'Прайс лист'!B318</f>
        <v>Доска сухая, калибр., 35*45мм</v>
      </c>
      <c r="B419" s="1180" t="n">
        <f aca="false">'Прайс лист'!G318</f>
        <v>12500</v>
      </c>
      <c r="C419" s="1159" t="n">
        <f aca="false">1/0.035/0.045</f>
        <v>634.920634920635</v>
      </c>
      <c r="D419" s="1159" t="n">
        <f aca="false">B419/C419</f>
        <v>19.6875</v>
      </c>
      <c r="E419" s="1159" t="n">
        <f aca="false">0.035*0.035</f>
        <v>0.001225</v>
      </c>
      <c r="F419" s="1159"/>
      <c r="AG419" s="1159" t="n">
        <v>23.9</v>
      </c>
      <c r="AH419" s="1193" t="n">
        <f aca="false">AG419*3.1415926535897/180</f>
        <v>0.417133691226632</v>
      </c>
      <c r="AI419" s="1193" t="n">
        <f aca="false">AH419+0.0005</f>
        <v>0.417633691226632</v>
      </c>
      <c r="AJ419" s="1193" t="n">
        <f aca="false">AH419-0.0005</f>
        <v>0.416633691226632</v>
      </c>
      <c r="AK419" s="1159" t="n">
        <f aca="false">IF(AND(дома!$Z$29&gt;=AJ419,дома!$Z$29&lt;=AI419),связи1!AG419,0)</f>
        <v>0</v>
      </c>
      <c r="AL419" s="1159" t="n">
        <f aca="false">IF(AND(дома!$AA$29&gt;=AJ419,дома!$AA$29&lt;=AI419),связи1!AG419,0)</f>
        <v>0</v>
      </c>
    </row>
    <row r="420" customFormat="false" ht="15" hidden="false" customHeight="false" outlineLevel="0" collapsed="false">
      <c r="A420" s="1180" t="str">
        <f aca="false">'Прайс лист'!B335</f>
        <v>Доска сухая 50*50мм</v>
      </c>
      <c r="B420" s="1180" t="n">
        <f aca="false">'Прайс лист'!G335</f>
        <v>9000</v>
      </c>
      <c r="C420" s="1159" t="n">
        <f aca="false">C418</f>
        <v>400</v>
      </c>
      <c r="D420" s="1163" t="n">
        <f aca="false">B420/C420</f>
        <v>22.5</v>
      </c>
      <c r="E420" s="1159" t="n">
        <f aca="false">0.05*0.05</f>
        <v>0.0025</v>
      </c>
      <c r="F420" s="1159"/>
      <c r="AG420" s="1159" t="n">
        <v>24</v>
      </c>
      <c r="AH420" s="1193" t="n">
        <f aca="false">AG420*3.1415926535897/180</f>
        <v>0.418879020478627</v>
      </c>
      <c r="AI420" s="1193" t="n">
        <f aca="false">AH420+0.0005</f>
        <v>0.419379020478627</v>
      </c>
      <c r="AJ420" s="1193" t="n">
        <f aca="false">AH420-0.0005</f>
        <v>0.418379020478627</v>
      </c>
      <c r="AK420" s="1159" t="n">
        <f aca="false">IF(AND(дома!$Z$29&gt;=AJ420,дома!$Z$29&lt;=AI420),связи1!AG420,0)</f>
        <v>0</v>
      </c>
      <c r="AL420" s="1159" t="n">
        <f aca="false">IF(AND(дома!$AA$29&gt;=AJ420,дома!$AA$29&lt;=AI420),связи1!AG420,0)</f>
        <v>0</v>
      </c>
    </row>
    <row r="421" customFormat="false" ht="15" hidden="false" customHeight="false" outlineLevel="0" collapsed="false">
      <c r="AG421" s="1159" t="n">
        <v>24.1</v>
      </c>
      <c r="AH421" s="1193" t="n">
        <f aca="false">AG421*3.1415926535897/180</f>
        <v>0.420624349730621</v>
      </c>
      <c r="AI421" s="1193" t="n">
        <f aca="false">AH421+0.0005</f>
        <v>0.421124349730621</v>
      </c>
      <c r="AJ421" s="1193" t="n">
        <f aca="false">AH421-0.0005</f>
        <v>0.420124349730621</v>
      </c>
      <c r="AK421" s="1159" t="n">
        <f aca="false">IF(AND(дома!$Z$29&gt;=AJ421,дома!$Z$29&lt;=AI421),связи1!AG421,0)</f>
        <v>0</v>
      </c>
      <c r="AL421" s="1159" t="n">
        <f aca="false">IF(AND(дома!$AA$29&gt;=AJ421,дома!$AA$29&lt;=AI421),связи1!AG421,0)</f>
        <v>0</v>
      </c>
    </row>
    <row r="422" customFormat="false" ht="15.75" hidden="false" customHeight="false" outlineLevel="0" collapsed="false">
      <c r="A422" s="800" t="s">
        <v>2717</v>
      </c>
      <c r="B422" s="1266" t="s">
        <v>1043</v>
      </c>
      <c r="C422" s="762" t="n">
        <v>0</v>
      </c>
      <c r="D422" s="802"/>
      <c r="E422" s="802"/>
      <c r="F422" s="803" t="n">
        <v>0</v>
      </c>
      <c r="AG422" s="1159" t="n">
        <v>24.2</v>
      </c>
      <c r="AH422" s="1193" t="n">
        <f aca="false">AG422*3.1415926535897/180</f>
        <v>0.422369678982615</v>
      </c>
      <c r="AI422" s="1193" t="n">
        <f aca="false">AH422+0.0005</f>
        <v>0.422869678982615</v>
      </c>
      <c r="AJ422" s="1193" t="n">
        <f aca="false">AH422-0.0005</f>
        <v>0.421869678982615</v>
      </c>
      <c r="AK422" s="1159" t="n">
        <f aca="false">IF(AND(дома!$Z$29&gt;=AJ422,дома!$Z$29&lt;=AI422),связи1!AG422,0)</f>
        <v>0</v>
      </c>
      <c r="AL422" s="1159" t="n">
        <f aca="false">IF(AND(дома!$AA$29&gt;=AJ422,дома!$AA$29&lt;=AI422),связи1!AG422,0)</f>
        <v>0</v>
      </c>
    </row>
    <row r="423" customFormat="false" ht="18" hidden="false" customHeight="false" outlineLevel="0" collapsed="false">
      <c r="A423" s="800" t="s">
        <v>2718</v>
      </c>
      <c r="B423" s="1266" t="s">
        <v>1043</v>
      </c>
      <c r="C423" s="762" t="n">
        <v>0.05</v>
      </c>
      <c r="D423" s="762"/>
      <c r="E423" s="802" t="s">
        <v>1398</v>
      </c>
      <c r="F423" s="762" t="n">
        <f aca="false">'Прайс лист'!G601</f>
        <v>1700</v>
      </c>
      <c r="AG423" s="1159" t="n">
        <v>24.3</v>
      </c>
      <c r="AH423" s="1193" t="n">
        <f aca="false">AG423*3.1415926535897/180</f>
        <v>0.424115008234609</v>
      </c>
      <c r="AI423" s="1193" t="n">
        <f aca="false">AH423+0.0005</f>
        <v>0.424615008234609</v>
      </c>
      <c r="AJ423" s="1193" t="n">
        <f aca="false">AH423-0.0005</f>
        <v>0.42361500823461</v>
      </c>
      <c r="AK423" s="1159" t="n">
        <f aca="false">IF(AND(дома!$Z$29&gt;=AJ423,дома!$Z$29&lt;=AI423),связи1!AG423,0)</f>
        <v>0</v>
      </c>
      <c r="AL423" s="1159" t="n">
        <f aca="false">IF(AND(дома!$AA$29&gt;=AJ423,дома!$AA$29&lt;=AI423),связи1!AG423,0)</f>
        <v>0</v>
      </c>
    </row>
    <row r="424" customFormat="false" ht="18" hidden="false" customHeight="false" outlineLevel="0" collapsed="false">
      <c r="A424" s="800" t="s">
        <v>2719</v>
      </c>
      <c r="B424" s="1266" t="s">
        <v>1043</v>
      </c>
      <c r="C424" s="762" t="n">
        <v>0.05</v>
      </c>
      <c r="D424" s="762"/>
      <c r="E424" s="802" t="s">
        <v>1402</v>
      </c>
      <c r="F424" s="762" t="n">
        <f aca="false">'Прайс лист'!G607</f>
        <v>2500</v>
      </c>
      <c r="AG424" s="1159" t="n">
        <v>24.9</v>
      </c>
      <c r="AH424" s="1193" t="n">
        <f aca="false">AG424*3.1415926535897/180</f>
        <v>0.434586983746575</v>
      </c>
      <c r="AI424" s="1193" t="n">
        <f aca="false">AH424+0.0005</f>
        <v>0.435086983746575</v>
      </c>
      <c r="AJ424" s="1193" t="n">
        <f aca="false">AH424-0.0005</f>
        <v>0.434086983746575</v>
      </c>
      <c r="AK424" s="1159" t="n">
        <f aca="false">IF(AND(дома!$Z$29&gt;=AJ424,дома!$Z$29&lt;=AI424),связи1!AG424,0)</f>
        <v>0</v>
      </c>
      <c r="AL424" s="1159" t="n">
        <f aca="false">IF(AND(дома!$AA$29&gt;=AJ424,дома!$AA$29&lt;=AI424),связи1!AG424,0)</f>
        <v>0</v>
      </c>
    </row>
    <row r="425" customFormat="false" ht="18" hidden="false" customHeight="false" outlineLevel="0" collapsed="false">
      <c r="A425" s="804" t="s">
        <v>2720</v>
      </c>
      <c r="B425" s="1266" t="s">
        <v>1043</v>
      </c>
      <c r="C425" s="762" t="n">
        <v>0.05</v>
      </c>
      <c r="D425" s="802"/>
      <c r="E425" s="802" t="s">
        <v>1409</v>
      </c>
      <c r="F425" s="803" t="n">
        <f aca="false">'Прайс лист'!G613</f>
        <v>1400</v>
      </c>
      <c r="AG425" s="1159" t="n">
        <v>25.5</v>
      </c>
      <c r="AH425" s="1193" t="n">
        <f aca="false">AG425*3.1415926535897/180</f>
        <v>0.445058959258541</v>
      </c>
      <c r="AI425" s="1193" t="n">
        <f aca="false">AH425+0.0005</f>
        <v>0.445558959258541</v>
      </c>
      <c r="AJ425" s="1193" t="n">
        <f aca="false">AH425-0.0005</f>
        <v>0.444558959258541</v>
      </c>
      <c r="AK425" s="1159" t="n">
        <f aca="false">IF(AND(дома!$Z$29&gt;=AJ425,дома!$Z$29&lt;=AI425),связи1!AG425,0)</f>
        <v>0</v>
      </c>
      <c r="AL425" s="1159" t="n">
        <f aca="false">IF(AND(дома!$AA$29&gt;=AJ425,дома!$AA$29&lt;=AI425),связи1!AG425,0)</f>
        <v>0</v>
      </c>
    </row>
    <row r="426" customFormat="false" ht="18" hidden="false" customHeight="false" outlineLevel="0" collapsed="false">
      <c r="A426" s="804" t="s">
        <v>2721</v>
      </c>
      <c r="B426" s="1266" t="s">
        <v>1043</v>
      </c>
      <c r="C426" s="762" t="n">
        <v>0.05</v>
      </c>
      <c r="D426" s="802"/>
      <c r="E426" s="802" t="s">
        <v>1398</v>
      </c>
      <c r="F426" s="803" t="n">
        <f aca="false">'Прайс лист'!G620</f>
        <v>2200</v>
      </c>
      <c r="AG426" s="1159" t="n">
        <v>26.1</v>
      </c>
      <c r="AH426" s="1193" t="n">
        <f aca="false">AG426*3.1415926535897/180</f>
        <v>0.455530934770507</v>
      </c>
      <c r="AI426" s="1193" t="n">
        <f aca="false">AH426+0.0005</f>
        <v>0.456030934770507</v>
      </c>
      <c r="AJ426" s="1193" t="n">
        <f aca="false">AH426-0.0005</f>
        <v>0.455030934770506</v>
      </c>
      <c r="AK426" s="1159" t="n">
        <f aca="false">IF(AND(дома!$Z$29&gt;=AJ426,дома!$Z$29&lt;=AI426),связи1!AG426,0)</f>
        <v>0</v>
      </c>
      <c r="AL426" s="1159" t="n">
        <f aca="false">IF(AND(дома!$AA$29&gt;=AJ426,дома!$AA$29&lt;=AI426),связи1!AG426,0)</f>
        <v>0</v>
      </c>
    </row>
    <row r="427" customFormat="false" ht="18" hidden="false" customHeight="false" outlineLevel="0" collapsed="false">
      <c r="A427" s="804" t="s">
        <v>510</v>
      </c>
      <c r="B427" s="1266" t="s">
        <v>1043</v>
      </c>
      <c r="C427" s="762" t="n">
        <v>0.05</v>
      </c>
      <c r="D427" s="802"/>
      <c r="E427" s="802" t="s">
        <v>1402</v>
      </c>
      <c r="F427" s="803" t="n">
        <f aca="false">'Прайс лист'!G627</f>
        <v>3400</v>
      </c>
      <c r="AG427" s="1159" t="n">
        <v>26.7</v>
      </c>
      <c r="AH427" s="1193" t="n">
        <f aca="false">AG427*3.1415926535897/180</f>
        <v>0.466002910282472</v>
      </c>
      <c r="AI427" s="1193" t="n">
        <f aca="false">AH427+0.0005</f>
        <v>0.466502910282472</v>
      </c>
      <c r="AJ427" s="1193" t="n">
        <f aca="false">AH427-0.0005</f>
        <v>0.465502910282472</v>
      </c>
      <c r="AK427" s="1159" t="n">
        <f aca="false">IF(AND(дома!$Z$29&gt;=AJ427,дома!$Z$29&lt;=AI427),связи1!AG427,0)</f>
        <v>0</v>
      </c>
      <c r="AL427" s="1159" t="n">
        <f aca="false">IF(AND(дома!$AA$29&gt;=AJ427,дома!$AA$29&lt;=AI427),связи1!AG427,0)</f>
        <v>0</v>
      </c>
    </row>
    <row r="428" customFormat="false" ht="18" hidden="false" customHeight="false" outlineLevel="0" collapsed="false">
      <c r="A428" s="800" t="s">
        <v>2722</v>
      </c>
      <c r="B428" s="1266" t="s">
        <v>1043</v>
      </c>
      <c r="C428" s="762" t="n">
        <v>0.2</v>
      </c>
      <c r="D428" s="762"/>
      <c r="E428" s="802" t="s">
        <v>1402</v>
      </c>
      <c r="F428" s="762" t="n">
        <f aca="false">'Прайс лист'!G632</f>
        <v>5000</v>
      </c>
      <c r="AG428" s="1159" t="n">
        <v>27.6</v>
      </c>
      <c r="AH428" s="1193" t="n">
        <f aca="false">AG428*3.1415926535897/180</f>
        <v>0.481710873550421</v>
      </c>
      <c r="AI428" s="1193" t="n">
        <f aca="false">AH428+0.0005</f>
        <v>0.482210873550421</v>
      </c>
      <c r="AJ428" s="1193" t="n">
        <f aca="false">AH428-0.0005</f>
        <v>0.481210873550421</v>
      </c>
      <c r="AK428" s="1159" t="n">
        <f aca="false">IF(AND(дома!$Z$29&gt;=AJ428,дома!$Z$29&lt;=AI428),связи1!AG428,0)</f>
        <v>0</v>
      </c>
      <c r="AL428" s="1159" t="n">
        <f aca="false">IF(AND(дома!$AA$29&gt;=AJ428,дома!$AA$29&lt;=AI428),связи1!AG428,0)</f>
        <v>0</v>
      </c>
    </row>
    <row r="429" customFormat="false" ht="18" hidden="false" customHeight="false" outlineLevel="0" collapsed="false">
      <c r="A429" s="800" t="s">
        <v>2723</v>
      </c>
      <c r="B429" s="1266" t="s">
        <v>1043</v>
      </c>
      <c r="C429" s="762" t="n">
        <v>0.05</v>
      </c>
      <c r="D429" s="762"/>
      <c r="E429" s="802" t="s">
        <v>1398</v>
      </c>
      <c r="F429" s="762" t="n">
        <f aca="false">'Прайс лист'!G637</f>
        <v>5000</v>
      </c>
      <c r="AG429" s="1159" t="n">
        <v>27.7</v>
      </c>
      <c r="AH429" s="1193" t="n">
        <f aca="false">AG429*3.1415926535897/180</f>
        <v>0.483456202802415</v>
      </c>
      <c r="AI429" s="1193" t="n">
        <f aca="false">AH429+0.0005</f>
        <v>0.483956202802415</v>
      </c>
      <c r="AJ429" s="1193" t="n">
        <f aca="false">AH429-0.0005</f>
        <v>0.482956202802415</v>
      </c>
      <c r="AK429" s="1159" t="n">
        <f aca="false">IF(AND(дома!$Z$29&gt;=AJ429,дома!$Z$29&lt;=AI429),связи1!AG429,0)</f>
        <v>0</v>
      </c>
      <c r="AL429" s="1159" t="n">
        <f aca="false">IF(AND(дома!$AA$29&gt;=AJ429,дома!$AA$29&lt;=AI429),связи1!AG429,0)</f>
        <v>0</v>
      </c>
    </row>
    <row r="430" customFormat="false" ht="15" hidden="false" customHeight="false" outlineLevel="0" collapsed="false">
      <c r="AG430" s="1159" t="n">
        <v>28.1</v>
      </c>
      <c r="AH430" s="1193" t="n">
        <f aca="false">AG430*3.1415926535897/180</f>
        <v>0.490437519810392</v>
      </c>
      <c r="AI430" s="1193" t="n">
        <f aca="false">AH430+0.0005</f>
        <v>0.490937519810392</v>
      </c>
      <c r="AJ430" s="1193" t="n">
        <f aca="false">AH430-0.0005</f>
        <v>0.489937519810392</v>
      </c>
      <c r="AK430" s="1159" t="n">
        <f aca="false">IF(AND(дома!$Z$29&gt;=AJ430,дома!$Z$29&lt;=AI430),связи1!AG430,0)</f>
        <v>0</v>
      </c>
      <c r="AL430" s="1159" t="n">
        <f aca="false">IF(AND(дома!$AA$29&gt;=AJ430,дома!$AA$29&lt;=AI430),связи1!AG430,0)</f>
        <v>0</v>
      </c>
    </row>
    <row r="431" customFormat="false" ht="15" hidden="false" customHeight="false" outlineLevel="0" collapsed="false">
      <c r="A431" s="1158" t="s">
        <v>101</v>
      </c>
      <c r="F431" s="1158" t="n">
        <v>0</v>
      </c>
      <c r="AG431" s="1159" t="n">
        <v>28.2</v>
      </c>
      <c r="AH431" s="1193" t="n">
        <f aca="false">AG431*3.1415926535897/180</f>
        <v>0.492182849062386</v>
      </c>
      <c r="AI431" s="1193" t="n">
        <f aca="false">AH431+0.0005</f>
        <v>0.492682849062386</v>
      </c>
      <c r="AJ431" s="1193" t="n">
        <f aca="false">AH431-0.0005</f>
        <v>0.491682849062386</v>
      </c>
      <c r="AK431" s="1159" t="n">
        <f aca="false">IF(AND(дома!$Z$29&gt;=AJ431,дома!$Z$29&lt;=AI431),связи1!AG431,0)</f>
        <v>0</v>
      </c>
      <c r="AL431" s="1159" t="n">
        <f aca="false">IF(AND(дома!$AA$29&gt;=AJ431,дома!$AA$29&lt;=AI431),связи1!AG431,0)</f>
        <v>0</v>
      </c>
    </row>
    <row r="432" customFormat="false" ht="15.75" hidden="false" customHeight="false" outlineLevel="0" collapsed="false">
      <c r="A432" s="738" t="str">
        <f aca="false">'Прайс лист'!B306</f>
        <v>Сосна влаж,200*25мм</v>
      </c>
      <c r="B432" s="738" t="str">
        <f aca="false">'Прайс лист'!C306</f>
        <v>м3</v>
      </c>
      <c r="C432" s="738" t="n">
        <v>0.2</v>
      </c>
      <c r="D432" s="1267" t="n">
        <f aca="false">'Прайс лист'!E306</f>
        <v>0.025</v>
      </c>
      <c r="E432" s="1267" t="n">
        <f aca="false">C432*D432</f>
        <v>0.005</v>
      </c>
      <c r="F432" s="738" t="n">
        <f aca="false">'Прайс лист'!G306</f>
        <v>6500</v>
      </c>
      <c r="AG432" s="1159" t="n">
        <v>28.3</v>
      </c>
      <c r="AH432" s="1193" t="n">
        <f aca="false">AG432*3.1415926535897/180</f>
        <v>0.493928178314381</v>
      </c>
      <c r="AI432" s="1193" t="n">
        <f aca="false">AH432+0.0005</f>
        <v>0.494428178314381</v>
      </c>
      <c r="AJ432" s="1193" t="n">
        <f aca="false">AH432-0.0005</f>
        <v>0.493428178314381</v>
      </c>
      <c r="AK432" s="1159" t="n">
        <f aca="false">IF(AND(дома!$Z$29&gt;=AJ432,дома!$Z$29&lt;=AI432),связи1!AG432,0)</f>
        <v>0</v>
      </c>
      <c r="AL432" s="1159" t="n">
        <f aca="false">IF(AND(дома!$AA$29&gt;=AJ432,дома!$AA$29&lt;=AI432),связи1!AG432,0)</f>
        <v>0</v>
      </c>
    </row>
    <row r="433" customFormat="false" ht="15.75" hidden="false" customHeight="false" outlineLevel="0" collapsed="false">
      <c r="A433" s="738" t="str">
        <f aca="false">'Прайс лист'!B307</f>
        <v>Сосна влаж,180*25мм</v>
      </c>
      <c r="B433" s="738" t="str">
        <f aca="false">'Прайс лист'!C307</f>
        <v>м3</v>
      </c>
      <c r="C433" s="738" t="n">
        <v>0.18</v>
      </c>
      <c r="D433" s="1267" t="n">
        <f aca="false">'Прайс лист'!E307</f>
        <v>0.025</v>
      </c>
      <c r="E433" s="1267" t="n">
        <f aca="false">C433*D433</f>
        <v>0.0045</v>
      </c>
      <c r="F433" s="738" t="n">
        <f aca="false">'Прайс лист'!G307</f>
        <v>6500</v>
      </c>
      <c r="AG433" s="1159" t="n">
        <v>28.4</v>
      </c>
      <c r="AH433" s="1193" t="n">
        <f aca="false">AG433*3.1415926535897/180</f>
        <v>0.495673507566375</v>
      </c>
      <c r="AI433" s="1193" t="n">
        <f aca="false">AH433+0.0005</f>
        <v>0.496173507566375</v>
      </c>
      <c r="AJ433" s="1193" t="n">
        <f aca="false">AH433-0.0005</f>
        <v>0.495173507566375</v>
      </c>
      <c r="AK433" s="1159" t="n">
        <f aca="false">IF(AND(дома!$Z$29&gt;=AJ433,дома!$Z$29&lt;=AI433),связи1!AG433,0)</f>
        <v>0</v>
      </c>
      <c r="AL433" s="1159" t="n">
        <f aca="false">IF(AND(дома!$AA$29&gt;=AJ433,дома!$AA$29&lt;=AI433),связи1!AG433,0)</f>
        <v>0</v>
      </c>
    </row>
    <row r="434" customFormat="false" ht="15.75" hidden="false" customHeight="false" outlineLevel="0" collapsed="false">
      <c r="A434" s="738" t="str">
        <f aca="false">'Прайс лист'!B308</f>
        <v>Сосна влаж, 150*25мм</v>
      </c>
      <c r="B434" s="738" t="str">
        <f aca="false">'Прайс лист'!C308</f>
        <v>м3</v>
      </c>
      <c r="C434" s="738" t="n">
        <v>0.15</v>
      </c>
      <c r="D434" s="1267" t="n">
        <f aca="false">'Прайс лист'!E308</f>
        <v>0.025</v>
      </c>
      <c r="E434" s="1267" t="n">
        <f aca="false">C434*D434</f>
        <v>0.00375</v>
      </c>
      <c r="F434" s="738" t="n">
        <f aca="false">'Прайс лист'!G308</f>
        <v>6500</v>
      </c>
      <c r="AG434" s="1159" t="n">
        <v>28.5</v>
      </c>
      <c r="AH434" s="1193" t="n">
        <f aca="false">AG434*3.1415926535897/180</f>
        <v>0.497418836818369</v>
      </c>
      <c r="AI434" s="1193" t="n">
        <f aca="false">AH434+0.0005</f>
        <v>0.497918836818369</v>
      </c>
      <c r="AJ434" s="1193" t="n">
        <f aca="false">AH434-0.0005</f>
        <v>0.496918836818369</v>
      </c>
      <c r="AK434" s="1159" t="n">
        <f aca="false">IF(AND(дома!$Z$29&gt;=AJ434,дома!$Z$29&lt;=AI434),связи1!AG434,0)</f>
        <v>0</v>
      </c>
      <c r="AL434" s="1159" t="n">
        <f aca="false">IF(AND(дома!$AA$29&gt;=AJ434,дома!$AA$29&lt;=AI434),связи1!AG434,0)</f>
        <v>0</v>
      </c>
    </row>
    <row r="435" customFormat="false" ht="15.75" hidden="false" customHeight="false" outlineLevel="0" collapsed="false">
      <c r="A435" s="738" t="str">
        <f aca="false">'Прайс лист'!B309</f>
        <v>Сосна влаж,100*25мм</v>
      </c>
      <c r="B435" s="738" t="str">
        <f aca="false">'Прайс лист'!C309</f>
        <v>м3</v>
      </c>
      <c r="C435" s="738" t="n">
        <v>0.1</v>
      </c>
      <c r="D435" s="1267" t="n">
        <f aca="false">'Прайс лист'!E309</f>
        <v>0.025</v>
      </c>
      <c r="E435" s="1267" t="n">
        <f aca="false">C435*D435</f>
        <v>0.0025</v>
      </c>
      <c r="F435" s="738" t="n">
        <f aca="false">'Прайс лист'!G309</f>
        <v>6500</v>
      </c>
      <c r="AG435" s="1159" t="n">
        <v>28.6</v>
      </c>
      <c r="AH435" s="1193" t="n">
        <f aca="false">AG435*3.1415926535897/180</f>
        <v>0.499164166070363</v>
      </c>
      <c r="AI435" s="1193" t="n">
        <f aca="false">AH435+0.0005</f>
        <v>0.499664166070363</v>
      </c>
      <c r="AJ435" s="1193" t="n">
        <f aca="false">AH435-0.0005</f>
        <v>0.498664166070363</v>
      </c>
      <c r="AK435" s="1159" t="n">
        <f aca="false">IF(AND(дома!$Z$29&gt;=AJ435,дома!$Z$29&lt;=AI435),связи1!AG435,0)</f>
        <v>0</v>
      </c>
      <c r="AL435" s="1159" t="n">
        <f aca="false">IF(AND(дома!$AA$29&gt;=AJ435,дома!$AA$29&lt;=AI435),связи1!AG435,0)</f>
        <v>0</v>
      </c>
    </row>
    <row r="436" customFormat="false" ht="15.75" hidden="false" customHeight="false" outlineLevel="0" collapsed="false">
      <c r="A436" s="738" t="str">
        <f aca="false">'Прайс лист'!B331</f>
        <v>Доска сухая 200*25мм</v>
      </c>
      <c r="B436" s="738" t="str">
        <f aca="false">'Прайс лист'!C331</f>
        <v>м3</v>
      </c>
      <c r="C436" s="738" t="n">
        <v>0.2</v>
      </c>
      <c r="D436" s="1267" t="n">
        <v>0.025</v>
      </c>
      <c r="E436" s="1267" t="n">
        <f aca="false">C436*D436</f>
        <v>0.005</v>
      </c>
      <c r="F436" s="738" t="n">
        <f aca="false">'Прайс лист'!G331</f>
        <v>9000</v>
      </c>
      <c r="AG436" s="1159" t="n">
        <v>28.7</v>
      </c>
      <c r="AH436" s="1193" t="n">
        <f aca="false">AG436*3.1415926535897/180</f>
        <v>0.500909495322358</v>
      </c>
      <c r="AI436" s="1193" t="n">
        <f aca="false">AH436+0.0005</f>
        <v>0.501409495322358</v>
      </c>
      <c r="AJ436" s="1193" t="n">
        <f aca="false">AH436-0.0005</f>
        <v>0.500409495322358</v>
      </c>
      <c r="AK436" s="1159" t="n">
        <f aca="false">IF(AND(дома!$Z$29&gt;=AJ436,дома!$Z$29&lt;=AI436),связи1!AG436,0)</f>
        <v>0</v>
      </c>
      <c r="AL436" s="1159" t="n">
        <f aca="false">IF(AND(дома!$AA$29&gt;=AJ436,дома!$AA$29&lt;=AI436),связи1!AG436,0)</f>
        <v>0</v>
      </c>
    </row>
    <row r="437" customFormat="false" ht="15.75" hidden="false" customHeight="false" outlineLevel="0" collapsed="false">
      <c r="A437" s="738" t="str">
        <f aca="false">'Прайс лист'!B332</f>
        <v>Доска сухая 180*25мм</v>
      </c>
      <c r="B437" s="738" t="str">
        <f aca="false">'Прайс лист'!C332</f>
        <v>м3</v>
      </c>
      <c r="C437" s="738" t="n">
        <v>0.18</v>
      </c>
      <c r="D437" s="1267" t="n">
        <v>0.025</v>
      </c>
      <c r="E437" s="1267" t="n">
        <f aca="false">C437*D437</f>
        <v>0.0045</v>
      </c>
      <c r="F437" s="738" t="n">
        <f aca="false">'Прайс лист'!G332</f>
        <v>9000</v>
      </c>
      <c r="AG437" s="1159" t="n">
        <v>28.8</v>
      </c>
      <c r="AH437" s="1193" t="n">
        <f aca="false">AG437*3.1415926535897/180</f>
        <v>0.502654824574352</v>
      </c>
      <c r="AI437" s="1193" t="n">
        <f aca="false">AH437+0.0005</f>
        <v>0.503154824574352</v>
      </c>
      <c r="AJ437" s="1193" t="n">
        <f aca="false">AH437-0.0005</f>
        <v>0.502154824574352</v>
      </c>
      <c r="AK437" s="1159" t="n">
        <f aca="false">IF(AND(дома!$Z$29&gt;=AJ437,дома!$Z$29&lt;=AI437),связи1!AG437,0)</f>
        <v>0</v>
      </c>
      <c r="AL437" s="1159" t="n">
        <f aca="false">IF(AND(дома!$AA$29&gt;=AJ437,дома!$AA$29&lt;=AI437),связи1!AG437,0)</f>
        <v>0</v>
      </c>
    </row>
    <row r="438" customFormat="false" ht="15.75" hidden="false" customHeight="false" outlineLevel="0" collapsed="false">
      <c r="A438" s="738" t="str">
        <f aca="false">'Прайс лист'!B333</f>
        <v>Доска сухая 150*25мм</v>
      </c>
      <c r="B438" s="738" t="str">
        <f aca="false">'Прайс лист'!C333</f>
        <v>м3</v>
      </c>
      <c r="C438" s="738" t="n">
        <v>0.15</v>
      </c>
      <c r="D438" s="1267" t="n">
        <v>0.025</v>
      </c>
      <c r="E438" s="1267" t="n">
        <f aca="false">C438*D438</f>
        <v>0.00375</v>
      </c>
      <c r="F438" s="738" t="n">
        <f aca="false">'Прайс лист'!G333</f>
        <v>9000</v>
      </c>
      <c r="AG438" s="1159" t="n">
        <v>28.9</v>
      </c>
      <c r="AH438" s="1193" t="n">
        <f aca="false">AG438*3.1415926535897/180</f>
        <v>0.504400153826346</v>
      </c>
      <c r="AI438" s="1193" t="n">
        <f aca="false">AH438+0.0005</f>
        <v>0.504900153826346</v>
      </c>
      <c r="AJ438" s="1193" t="n">
        <f aca="false">AH438-0.0005</f>
        <v>0.503900153826346</v>
      </c>
      <c r="AK438" s="1159" t="n">
        <f aca="false">IF(AND(дома!$Z$29&gt;=AJ438,дома!$Z$29&lt;=AI438),связи1!AG438,0)</f>
        <v>0</v>
      </c>
      <c r="AL438" s="1159" t="n">
        <f aca="false">IF(AND(дома!$AA$29&gt;=AJ438,дома!$AA$29&lt;=AI438),связи1!AG438,0)</f>
        <v>0</v>
      </c>
    </row>
    <row r="439" customFormat="false" ht="15.75" hidden="false" customHeight="false" outlineLevel="0" collapsed="false">
      <c r="A439" s="738" t="str">
        <f aca="false">'Прайс лист'!B334</f>
        <v>Доска сухая 100*25мм</v>
      </c>
      <c r="B439" s="738" t="str">
        <f aca="false">'Прайс лист'!C334</f>
        <v>м3</v>
      </c>
      <c r="C439" s="738" t="n">
        <v>0.1</v>
      </c>
      <c r="D439" s="1267" t="n">
        <v>0.025</v>
      </c>
      <c r="E439" s="1267" t="n">
        <f aca="false">C439*D439</f>
        <v>0.0025</v>
      </c>
      <c r="F439" s="738" t="n">
        <f aca="false">'Прайс лист'!G334</f>
        <v>9000</v>
      </c>
      <c r="AG439" s="1159" t="n">
        <v>29</v>
      </c>
      <c r="AH439" s="1193" t="n">
        <f aca="false">AG439*3.1415926535897/180</f>
        <v>0.506145483078341</v>
      </c>
      <c r="AI439" s="1193" t="n">
        <f aca="false">AH439+0.0005</f>
        <v>0.50664548307834</v>
      </c>
      <c r="AJ439" s="1193" t="n">
        <f aca="false">AH439-0.0005</f>
        <v>0.505645483078341</v>
      </c>
      <c r="AK439" s="1159" t="n">
        <f aca="false">IF(AND(дома!$Z$29&gt;=AJ439,дома!$Z$29&lt;=AI439),связи1!AG439,0)</f>
        <v>0</v>
      </c>
      <c r="AL439" s="1159" t="n">
        <f aca="false">IF(AND(дома!$AA$29&gt;=AJ439,дома!$AA$29&lt;=AI439),связи1!AG439,0)</f>
        <v>0</v>
      </c>
    </row>
    <row r="440" customFormat="false" ht="15" hidden="false" customHeight="false" outlineLevel="0" collapsed="false">
      <c r="AG440" s="1159" t="n">
        <v>29.1</v>
      </c>
      <c r="AH440" s="1193" t="n">
        <f aca="false">AG440*3.1415926535897/180</f>
        <v>0.507890812330335</v>
      </c>
      <c r="AI440" s="1193" t="n">
        <f aca="false">AH440+0.0005</f>
        <v>0.508390812330335</v>
      </c>
      <c r="AJ440" s="1193" t="n">
        <f aca="false">AH440-0.0005</f>
        <v>0.507390812330335</v>
      </c>
      <c r="AK440" s="1159" t="n">
        <f aca="false">IF(AND(дома!$Z$29&gt;=AJ440,дома!$Z$29&lt;=AI440),связи1!AG440,0)</f>
        <v>0</v>
      </c>
      <c r="AL440" s="1159" t="n">
        <f aca="false">IF(AND(дома!$AA$29&gt;=AJ440,дома!$AA$29&lt;=AI440),связи1!AG440,0)</f>
        <v>0</v>
      </c>
    </row>
    <row r="441" customFormat="false" ht="15" hidden="false" customHeight="false" outlineLevel="0" collapsed="false">
      <c r="A441" s="1158" t="s">
        <v>2724</v>
      </c>
      <c r="AG441" s="1159" t="n">
        <v>29.2</v>
      </c>
      <c r="AH441" s="1193" t="n">
        <f aca="false">AG441*3.1415926535897/180</f>
        <v>0.509636141582329</v>
      </c>
      <c r="AI441" s="1193" t="n">
        <f aca="false">AH441+0.0005</f>
        <v>0.510136141582329</v>
      </c>
      <c r="AJ441" s="1193" t="n">
        <f aca="false">AH441-0.0005</f>
        <v>0.509136141582329</v>
      </c>
      <c r="AK441" s="1159" t="n">
        <f aca="false">IF(AND(дома!$Z$29&gt;=AJ441,дома!$Z$29&lt;=AI441),связи1!AG441,0)</f>
        <v>0</v>
      </c>
      <c r="AL441" s="1159" t="n">
        <f aca="false">IF(AND(дома!$AA$29&gt;=AJ441,дома!$AA$29&lt;=AI441),связи1!AG441,0)</f>
        <v>0</v>
      </c>
    </row>
    <row r="442" customFormat="false" ht="15" hidden="false" customHeight="false" outlineLevel="0" collapsed="false">
      <c r="A442" s="1171" t="s">
        <v>101</v>
      </c>
      <c r="B442" s="1159" t="n">
        <v>0</v>
      </c>
      <c r="C442" s="1159"/>
      <c r="D442" s="1159" t="n">
        <v>0</v>
      </c>
      <c r="E442" s="1159" t="n">
        <v>0</v>
      </c>
      <c r="AG442" s="1159" t="n">
        <v>29.3</v>
      </c>
      <c r="AH442" s="1193" t="n">
        <f aca="false">AG442*3.1415926535897/180</f>
        <v>0.511381470834323</v>
      </c>
      <c r="AI442" s="1193" t="n">
        <f aca="false">AH442+0.0005</f>
        <v>0.511881470834323</v>
      </c>
      <c r="AJ442" s="1193" t="n">
        <f aca="false">AH442-0.0005</f>
        <v>0.510881470834323</v>
      </c>
      <c r="AK442" s="1159" t="n">
        <f aca="false">IF(AND(дома!$Z$29&gt;=AJ442,дома!$Z$29&lt;=AI442),связи1!AG442,0)</f>
        <v>0</v>
      </c>
      <c r="AL442" s="1159" t="n">
        <f aca="false">IF(AND(дома!$AA$29&gt;=AJ442,дома!$AA$29&lt;=AI442),связи1!AG442,0)</f>
        <v>0</v>
      </c>
    </row>
    <row r="443" customFormat="false" ht="15" hidden="false" customHeight="false" outlineLevel="0" collapsed="false">
      <c r="A443" s="1180" t="str">
        <f aca="false">A418</f>
        <v>Сосна влаж, 50*50мм</v>
      </c>
      <c r="B443" s="1180" t="n">
        <f aca="false">B418</f>
        <v>6500</v>
      </c>
      <c r="C443" s="1180" t="n">
        <f aca="false">C418</f>
        <v>400</v>
      </c>
      <c r="D443" s="1180" t="n">
        <f aca="false">'Прайс лист'!F310</f>
        <v>15</v>
      </c>
      <c r="E443" s="1180" t="n">
        <f aca="false">E418</f>
        <v>0.0025</v>
      </c>
      <c r="AG443" s="1159" t="n">
        <v>29.4</v>
      </c>
      <c r="AH443" s="1193" t="n">
        <f aca="false">AG443*3.1415926535897/180</f>
        <v>0.513126800086318</v>
      </c>
      <c r="AI443" s="1193" t="n">
        <f aca="false">AH443+0.0005</f>
        <v>0.513626800086318</v>
      </c>
      <c r="AJ443" s="1193" t="n">
        <f aca="false">AH443-0.0005</f>
        <v>0.512626800086318</v>
      </c>
      <c r="AK443" s="1159" t="n">
        <f aca="false">IF(AND(дома!$Z$29&gt;=AJ443,дома!$Z$29&lt;=AI443),связи1!AG443,0)</f>
        <v>0</v>
      </c>
      <c r="AL443" s="1159" t="n">
        <f aca="false">IF(AND(дома!$AA$29&gt;=AJ443,дома!$AA$29&lt;=AI443),связи1!AG443,0)</f>
        <v>0</v>
      </c>
    </row>
    <row r="444" customFormat="false" ht="15" hidden="false" customHeight="false" outlineLevel="0" collapsed="false">
      <c r="A444" s="1180" t="str">
        <f aca="false">A419</f>
        <v>Доска сухая, калибр., 35*45мм</v>
      </c>
      <c r="B444" s="1180" t="n">
        <f aca="false">B419</f>
        <v>12500</v>
      </c>
      <c r="C444" s="1180" t="n">
        <f aca="false">C419</f>
        <v>634.920634920635</v>
      </c>
      <c r="D444" s="1180" t="n">
        <f aca="false">'Прайс лист'!F318</f>
        <v>17</v>
      </c>
      <c r="E444" s="1180" t="n">
        <f aca="false">E419</f>
        <v>0.001225</v>
      </c>
      <c r="AG444" s="1159" t="n">
        <v>29.5</v>
      </c>
      <c r="AH444" s="1193" t="n">
        <f aca="false">AG444*3.1415926535897/180</f>
        <v>0.514872129338312</v>
      </c>
      <c r="AI444" s="1193" t="n">
        <f aca="false">AH444+0.0005</f>
        <v>0.515372129338312</v>
      </c>
      <c r="AJ444" s="1193" t="n">
        <f aca="false">AH444-0.0005</f>
        <v>0.514372129338312</v>
      </c>
      <c r="AK444" s="1159" t="n">
        <f aca="false">IF(AND(дома!$Z$29&gt;=AJ444,дома!$Z$29&lt;=AI444),связи1!AG444,0)</f>
        <v>0</v>
      </c>
      <c r="AL444" s="1159" t="n">
        <f aca="false">IF(AND(дома!$AA$29&gt;=AJ444,дома!$AA$29&lt;=AI444),связи1!AG444,0)</f>
        <v>0</v>
      </c>
    </row>
    <row r="445" customFormat="false" ht="15" hidden="false" customHeight="false" outlineLevel="0" collapsed="false">
      <c r="A445" s="1180" t="str">
        <f aca="false">A420</f>
        <v>Доска сухая 50*50мм</v>
      </c>
      <c r="B445" s="1180" t="n">
        <f aca="false">B420</f>
        <v>9000</v>
      </c>
      <c r="C445" s="1180" t="n">
        <f aca="false">C420</f>
        <v>400</v>
      </c>
      <c r="D445" s="1180" t="n">
        <f aca="false">'Прайс лист'!F335</f>
        <v>22.5</v>
      </c>
      <c r="E445" s="1180" t="n">
        <f aca="false">E420</f>
        <v>0.0025</v>
      </c>
      <c r="AG445" s="1159" t="n">
        <v>29.6</v>
      </c>
      <c r="AH445" s="1193" t="n">
        <f aca="false">AG445*3.1415926535897/180</f>
        <v>0.516617458590306</v>
      </c>
      <c r="AI445" s="1193" t="n">
        <f aca="false">AH445+0.0005</f>
        <v>0.517117458590306</v>
      </c>
      <c r="AJ445" s="1193" t="n">
        <f aca="false">AH445-0.0005</f>
        <v>0.516117458590306</v>
      </c>
      <c r="AK445" s="1159" t="n">
        <f aca="false">IF(AND(дома!$Z$29&gt;=AJ445,дома!$Z$29&lt;=AI445),связи1!AG445,0)</f>
        <v>0</v>
      </c>
      <c r="AL445" s="1159" t="n">
        <f aca="false">IF(AND(дома!$AA$29&gt;=AJ445,дома!$AA$29&lt;=AI445),связи1!AG445,0)</f>
        <v>0</v>
      </c>
    </row>
    <row r="446" customFormat="false" ht="15" hidden="false" customHeight="false" outlineLevel="0" collapsed="false">
      <c r="A446" s="1159" t="str">
        <f aca="false">'Прайс лист'!B1322</f>
        <v>Г-образный профиль 40*30, 9мм</v>
      </c>
      <c r="B446" s="1159"/>
      <c r="C446" s="1159"/>
      <c r="D446" s="1180" t="n">
        <f aca="false">'Прайс лист'!G1322</f>
        <v>45</v>
      </c>
      <c r="E446" s="1159"/>
      <c r="AG446" s="1159" t="n">
        <v>29.7</v>
      </c>
      <c r="AH446" s="1193" t="n">
        <f aca="false">AG446*3.1415926535897/180</f>
        <v>0.518362787842301</v>
      </c>
      <c r="AI446" s="1193" t="n">
        <f aca="false">AH446+0.0005</f>
        <v>0.5188627878423</v>
      </c>
      <c r="AJ446" s="1193" t="n">
        <f aca="false">AH446-0.0005</f>
        <v>0.517862787842301</v>
      </c>
      <c r="AK446" s="1159" t="n">
        <f aca="false">IF(AND(дома!$Z$29&gt;=AJ446,дома!$Z$29&lt;=AI446),связи1!AG446,0)</f>
        <v>0</v>
      </c>
      <c r="AL446" s="1159" t="n">
        <f aca="false">IF(AND(дома!$AA$29&gt;=AJ446,дома!$AA$29&lt;=AI446),связи1!AG446,0)</f>
        <v>0</v>
      </c>
    </row>
    <row r="447" customFormat="false" ht="15" hidden="false" customHeight="false" outlineLevel="0" collapsed="false">
      <c r="A447" s="1159" t="str">
        <f aca="false">'Прайс лист'!B1323</f>
        <v>Г-образный профиль 40*40, 9мм</v>
      </c>
      <c r="B447" s="1159"/>
      <c r="C447" s="1159"/>
      <c r="D447" s="1180" t="n">
        <f aca="false">'Прайс лист'!G1323</f>
        <v>47</v>
      </c>
      <c r="E447" s="1159"/>
      <c r="AG447" s="1159" t="n">
        <v>29.8</v>
      </c>
      <c r="AH447" s="1193" t="n">
        <f aca="false">AG447*3.1415926535897/180</f>
        <v>0.520108117094295</v>
      </c>
      <c r="AI447" s="1193" t="n">
        <f aca="false">AH447+0.0005</f>
        <v>0.520608117094295</v>
      </c>
      <c r="AJ447" s="1193" t="n">
        <f aca="false">AH447-0.0005</f>
        <v>0.519608117094295</v>
      </c>
      <c r="AK447" s="1159" t="n">
        <f aca="false">IF(AND(дома!$Z$29&gt;=AJ447,дома!$Z$29&lt;=AI447),связи1!AG447,0)</f>
        <v>0</v>
      </c>
      <c r="AL447" s="1159" t="n">
        <f aca="false">IF(AND(дома!$AA$29&gt;=AJ447,дома!$AA$29&lt;=AI447),связи1!AG447,0)</f>
        <v>0</v>
      </c>
    </row>
    <row r="448" customFormat="false" ht="15" hidden="false" customHeight="false" outlineLevel="0" collapsed="false">
      <c r="A448" s="1159" t="str">
        <f aca="false">'Прайс лист'!B1324</f>
        <v>Г-образный профиль 40*50, 9мм</v>
      </c>
      <c r="B448" s="1159"/>
      <c r="C448" s="1159"/>
      <c r="D448" s="1180" t="n">
        <f aca="false">'Прайс лист'!G1324</f>
        <v>49</v>
      </c>
      <c r="E448" s="1159"/>
      <c r="AG448" s="1159" t="n">
        <v>29.9</v>
      </c>
      <c r="AH448" s="1193" t="n">
        <f aca="false">AG448*3.1415926535897/180</f>
        <v>0.521853446346289</v>
      </c>
      <c r="AI448" s="1193" t="n">
        <f aca="false">AH448+0.0005</f>
        <v>0.522353446346289</v>
      </c>
      <c r="AJ448" s="1193" t="n">
        <f aca="false">AH448-0.0005</f>
        <v>0.521353446346289</v>
      </c>
      <c r="AK448" s="1159" t="n">
        <f aca="false">IF(AND(дома!$Z$29&gt;=AJ448,дома!$Z$29&lt;=AI448),связи1!AG448,0)</f>
        <v>0</v>
      </c>
      <c r="AL448" s="1159" t="n">
        <f aca="false">IF(AND(дома!$AA$29&gt;=AJ448,дома!$AA$29&lt;=AI448),связи1!AG448,0)</f>
        <v>0</v>
      </c>
    </row>
    <row r="449" customFormat="false" ht="15" hidden="false" customHeight="false" outlineLevel="0" collapsed="false">
      <c r="A449" s="1159" t="str">
        <f aca="false">'Прайс лист'!B1325</f>
        <v>Г-образный профиль 40*60, 9мм</v>
      </c>
      <c r="B449" s="1159"/>
      <c r="C449" s="1159"/>
      <c r="D449" s="1180" t="n">
        <f aca="false">'Прайс лист'!G1325</f>
        <v>52</v>
      </c>
      <c r="E449" s="1159"/>
      <c r="AG449" s="1159" t="n">
        <v>30</v>
      </c>
      <c r="AH449" s="1193" t="n">
        <f aca="false">AG449*3.1415926535897/180</f>
        <v>0.523598775598283</v>
      </c>
      <c r="AI449" s="1193" t="n">
        <f aca="false">AH449+0.0005</f>
        <v>0.524098775598283</v>
      </c>
      <c r="AJ449" s="1193" t="n">
        <f aca="false">AH449-0.0005</f>
        <v>0.523098775598283</v>
      </c>
      <c r="AK449" s="1159" t="n">
        <f aca="false">IF(AND(дома!$Z$29&gt;=AJ449,дома!$Z$29&lt;=AI449),связи1!AG449,0)</f>
        <v>0</v>
      </c>
      <c r="AL449" s="1159" t="n">
        <f aca="false">IF(AND(дома!$AA$29&gt;=AJ449,дома!$AA$29&lt;=AI449),связи1!AG449,0)</f>
        <v>0</v>
      </c>
    </row>
    <row r="450" customFormat="false" ht="15" hidden="false" customHeight="false" outlineLevel="0" collapsed="false">
      <c r="A450" s="1159" t="str">
        <f aca="false">'Прайс лист'!B1326</f>
        <v>Г-образный профиль 40*30, 12мм</v>
      </c>
      <c r="B450" s="1159"/>
      <c r="C450" s="1159"/>
      <c r="D450" s="1180" t="n">
        <f aca="false">'Прайс лист'!G1326</f>
        <v>58</v>
      </c>
      <c r="E450" s="1159"/>
      <c r="AG450" s="1159" t="n">
        <v>30.1</v>
      </c>
      <c r="AH450" s="1193" t="n">
        <f aca="false">AG450*3.1415926535897/180</f>
        <v>0.525344104850278</v>
      </c>
      <c r="AI450" s="1193" t="n">
        <f aca="false">AH450+0.0005</f>
        <v>0.525844104850278</v>
      </c>
      <c r="AJ450" s="1193" t="n">
        <f aca="false">AH450-0.0005</f>
        <v>0.524844104850278</v>
      </c>
      <c r="AK450" s="1159" t="n">
        <f aca="false">IF(AND(дома!$Z$29&gt;=AJ450,дома!$Z$29&lt;=AI450),связи1!AG450,0)</f>
        <v>0</v>
      </c>
      <c r="AL450" s="1159" t="n">
        <f aca="false">IF(AND(дома!$AA$29&gt;=AJ450,дома!$AA$29&lt;=AI450),связи1!AG450,0)</f>
        <v>0</v>
      </c>
    </row>
    <row r="451" customFormat="false" ht="15" hidden="false" customHeight="false" outlineLevel="0" collapsed="false">
      <c r="A451" s="1159" t="str">
        <f aca="false">'Прайс лист'!B1327</f>
        <v>Г-образный профиль 40*40, 12мм</v>
      </c>
      <c r="B451" s="1159"/>
      <c r="C451" s="1159"/>
      <c r="D451" s="1180" t="n">
        <f aca="false">'Прайс лист'!G1327</f>
        <v>62</v>
      </c>
      <c r="E451" s="1159"/>
      <c r="AG451" s="1159" t="n">
        <v>30.2</v>
      </c>
      <c r="AH451" s="1193" t="n">
        <f aca="false">AG451*3.1415926535897/180</f>
        <v>0.527089434102272</v>
      </c>
      <c r="AI451" s="1193" t="n">
        <f aca="false">AH451+0.0005</f>
        <v>0.527589434102272</v>
      </c>
      <c r="AJ451" s="1193" t="n">
        <f aca="false">AH451-0.0005</f>
        <v>0.526589434102272</v>
      </c>
      <c r="AK451" s="1159" t="n">
        <f aca="false">IF(AND(дома!$Z$29&gt;=AJ451,дома!$Z$29&lt;=AI451),связи1!AG451,0)</f>
        <v>0</v>
      </c>
      <c r="AL451" s="1159" t="n">
        <f aca="false">IF(AND(дома!$AA$29&gt;=AJ451,дома!$AA$29&lt;=AI451),связи1!AG451,0)</f>
        <v>0</v>
      </c>
    </row>
    <row r="452" customFormat="false" ht="15" hidden="false" customHeight="false" outlineLevel="0" collapsed="false">
      <c r="A452" s="1159" t="str">
        <f aca="false">'Прайс лист'!B1328</f>
        <v>Г-образный профиль 40*50, 12мм</v>
      </c>
      <c r="B452" s="1159"/>
      <c r="C452" s="1159"/>
      <c r="D452" s="1180" t="n">
        <f aca="false">'Прайс лист'!G1328</f>
        <v>66</v>
      </c>
      <c r="E452" s="1159"/>
      <c r="AG452" s="1159" t="n">
        <v>30.3</v>
      </c>
      <c r="AH452" s="1193" t="n">
        <f aca="false">AG452*3.1415926535897/180</f>
        <v>0.528834763354266</v>
      </c>
      <c r="AI452" s="1193" t="n">
        <f aca="false">AH452+0.0005</f>
        <v>0.529334763354266</v>
      </c>
      <c r="AJ452" s="1193" t="n">
        <f aca="false">AH452-0.0005</f>
        <v>0.528334763354266</v>
      </c>
      <c r="AK452" s="1159" t="n">
        <f aca="false">IF(AND(дома!$Z$29&gt;=AJ452,дома!$Z$29&lt;=AI452),связи1!AG452,0)</f>
        <v>0</v>
      </c>
      <c r="AL452" s="1159" t="n">
        <f aca="false">IF(AND(дома!$AA$29&gt;=AJ452,дома!$AA$29&lt;=AI452),связи1!AG452,0)</f>
        <v>0</v>
      </c>
    </row>
    <row r="453" customFormat="false" ht="15" hidden="false" customHeight="false" outlineLevel="0" collapsed="false">
      <c r="A453" s="1159" t="str">
        <f aca="false">'Прайс лист'!B1329</f>
        <v>Г-образный профиль 40*60, 12мм</v>
      </c>
      <c r="B453" s="1159"/>
      <c r="C453" s="1159"/>
      <c r="D453" s="1180" t="n">
        <f aca="false">'Прайс лист'!G1329</f>
        <v>70</v>
      </c>
      <c r="E453" s="1159"/>
      <c r="AG453" s="1159" t="n">
        <v>30.4</v>
      </c>
      <c r="AH453" s="1193" t="n">
        <f aca="false">AG453*3.1415926535897/180</f>
        <v>0.53058009260626</v>
      </c>
      <c r="AI453" s="1193" t="n">
        <f aca="false">AH453+0.0005</f>
        <v>0.53108009260626</v>
      </c>
      <c r="AJ453" s="1193" t="n">
        <f aca="false">AH453-0.0005</f>
        <v>0.53008009260626</v>
      </c>
      <c r="AK453" s="1159" t="n">
        <f aca="false">IF(AND(дома!$Z$29&gt;=AJ453,дома!$Z$29&lt;=AI453),связи1!AG453,0)</f>
        <v>0</v>
      </c>
      <c r="AL453" s="1159" t="n">
        <f aca="false">IF(AND(дома!$AA$29&gt;=AJ453,дома!$AA$29&lt;=AI453),связи1!AG453,0)</f>
        <v>0</v>
      </c>
    </row>
    <row r="454" customFormat="false" ht="15" hidden="false" customHeight="false" outlineLevel="0" collapsed="false">
      <c r="AG454" s="1159" t="n">
        <v>30.5</v>
      </c>
      <c r="AH454" s="1193" t="n">
        <f aca="false">AG454*3.1415926535897/180</f>
        <v>0.532325421858255</v>
      </c>
      <c r="AI454" s="1193" t="n">
        <f aca="false">AH454+0.0005</f>
        <v>0.532825421858255</v>
      </c>
      <c r="AJ454" s="1193" t="n">
        <f aca="false">AH454-0.0005</f>
        <v>0.531825421858255</v>
      </c>
      <c r="AK454" s="1159" t="n">
        <f aca="false">IF(AND(дома!$Z$29&gt;=AJ454,дома!$Z$29&lt;=AI454),связи1!AG454,0)</f>
        <v>0</v>
      </c>
      <c r="AL454" s="1159" t="n">
        <f aca="false">IF(AND(дома!$AA$29&gt;=AJ454,дома!$AA$29&lt;=AI454),связи1!AG454,0)</f>
        <v>0</v>
      </c>
    </row>
    <row r="455" customFormat="false" ht="15" hidden="false" customHeight="false" outlineLevel="0" collapsed="false">
      <c r="A455" s="1158" t="s">
        <v>2725</v>
      </c>
      <c r="AG455" s="1159" t="n">
        <v>30.6</v>
      </c>
      <c r="AH455" s="1193" t="n">
        <f aca="false">AG455*3.1415926535897/180</f>
        <v>0.534070751110249</v>
      </c>
      <c r="AI455" s="1193" t="n">
        <f aca="false">AH455+0.0005</f>
        <v>0.534570751110249</v>
      </c>
      <c r="AJ455" s="1193" t="n">
        <f aca="false">AH455-0.0005</f>
        <v>0.533570751110249</v>
      </c>
      <c r="AK455" s="1159" t="n">
        <f aca="false">IF(AND(дома!$Z$29&gt;=AJ455,дома!$Z$29&lt;=AI455),связи1!AG455,0)</f>
        <v>0</v>
      </c>
      <c r="AL455" s="1159" t="n">
        <f aca="false">IF(AND(дома!$AA$29&gt;=AJ455,дома!$AA$29&lt;=AI455),связи1!AG455,0)</f>
        <v>0</v>
      </c>
    </row>
    <row r="456" customFormat="false" ht="15" hidden="false" customHeight="false" outlineLevel="0" collapsed="false">
      <c r="A456" s="1158" t="s">
        <v>359</v>
      </c>
      <c r="AG456" s="1159" t="n">
        <v>30.7</v>
      </c>
      <c r="AH456" s="1193" t="n">
        <f aca="false">AG456*3.1415926535897/180</f>
        <v>0.535816080362243</v>
      </c>
      <c r="AI456" s="1193" t="n">
        <f aca="false">AH456+0.0005</f>
        <v>0.536316080362243</v>
      </c>
      <c r="AJ456" s="1193" t="n">
        <f aca="false">AH456-0.0005</f>
        <v>0.535316080362243</v>
      </c>
      <c r="AK456" s="1159" t="n">
        <f aca="false">IF(AND(дома!$Z$29&gt;=AJ456,дома!$Z$29&lt;=AI456),связи1!AG456,0)</f>
        <v>0</v>
      </c>
      <c r="AL456" s="1159" t="n">
        <f aca="false">IF(AND(дома!$AA$29&gt;=AJ456,дома!$AA$29&lt;=AI456),связи1!AG456,0)</f>
        <v>0</v>
      </c>
    </row>
    <row r="457" customFormat="false" ht="15" hidden="false" customHeight="false" outlineLevel="0" collapsed="false">
      <c r="AG457" s="1159" t="n">
        <v>30.8</v>
      </c>
      <c r="AH457" s="1193" t="n">
        <f aca="false">AG457*3.1415926535897/180</f>
        <v>0.537561409614238</v>
      </c>
      <c r="AI457" s="1193" t="n">
        <f aca="false">AH457+0.0005</f>
        <v>0.538061409614238</v>
      </c>
      <c r="AJ457" s="1193" t="n">
        <f aca="false">AH457-0.0005</f>
        <v>0.537061409614238</v>
      </c>
      <c r="AK457" s="1159" t="n">
        <f aca="false">IF(AND(дома!$Z$29&gt;=AJ457,дома!$Z$29&lt;=AI457),связи1!AG457,0)</f>
        <v>0</v>
      </c>
      <c r="AL457" s="1159" t="n">
        <f aca="false">IF(AND(дома!$AA$29&gt;=AJ457,дома!$AA$29&lt;=AI457),связи1!AG457,0)</f>
        <v>0</v>
      </c>
    </row>
    <row r="458" customFormat="false" ht="15" hidden="false" customHeight="false" outlineLevel="0" collapsed="false">
      <c r="A458" s="1268" t="str">
        <f aca="false">'Прайс лист'!B432</f>
        <v>Шкант</v>
      </c>
      <c r="B458" s="1268" t="n">
        <f aca="false">'Прайс лист'!G432</f>
        <v>6</v>
      </c>
      <c r="AG458" s="1159" t="n">
        <v>30.9</v>
      </c>
      <c r="AH458" s="1193" t="n">
        <f aca="false">AG458*3.1415926535897/180</f>
        <v>0.539306738866232</v>
      </c>
      <c r="AI458" s="1193" t="n">
        <f aca="false">AH458+0.0005</f>
        <v>0.539806738866232</v>
      </c>
      <c r="AJ458" s="1193" t="n">
        <f aca="false">AH458-0.0005</f>
        <v>0.538806738866232</v>
      </c>
      <c r="AK458" s="1159" t="n">
        <f aca="false">IF(AND(дома!$Z$29&gt;=AJ458,дома!$Z$29&lt;=AI458),связи1!AG458,0)</f>
        <v>0</v>
      </c>
      <c r="AL458" s="1159" t="n">
        <f aca="false">IF(AND(дома!$AA$29&gt;=AJ458,дома!$AA$29&lt;=AI458),связи1!AG458,0)</f>
        <v>0</v>
      </c>
    </row>
    <row r="459" customFormat="false" ht="15" hidden="false" customHeight="false" outlineLevel="0" collapsed="false">
      <c r="A459" s="1268" t="str">
        <f aca="false">'Прайс лист'!B538</f>
        <v>Пружинный узел</v>
      </c>
      <c r="B459" s="1268" t="n">
        <f aca="false">'Прайс лист'!G538</f>
        <v>51</v>
      </c>
      <c r="AG459" s="1159"/>
      <c r="AH459" s="1193"/>
      <c r="AI459" s="1193"/>
      <c r="AJ459" s="1193"/>
      <c r="AK459" s="1159"/>
      <c r="AL459" s="1159"/>
    </row>
    <row r="460" customFormat="false" ht="15" hidden="false" customHeight="false" outlineLevel="0" collapsed="false">
      <c r="A460" s="1158" t="str">
        <f aca="false">'Прайс лист'!B536</f>
        <v>Глухарь для сборки сруба</v>
      </c>
      <c r="B460" s="1268" t="n">
        <f aca="false">'Прайс лист'!G536</f>
        <v>50</v>
      </c>
      <c r="AG460" s="1159" t="n">
        <v>31</v>
      </c>
      <c r="AH460" s="1193" t="n">
        <f aca="false">AG460*3.1415926535897/180</f>
        <v>0.541052068118226</v>
      </c>
      <c r="AI460" s="1193" t="n">
        <f aca="false">AH460+0.0005</f>
        <v>0.541552068118226</v>
      </c>
      <c r="AJ460" s="1193" t="n">
        <f aca="false">AH460-0.0005</f>
        <v>0.540552068118226</v>
      </c>
      <c r="AK460" s="1159" t="n">
        <f aca="false">IF(AND(дома!$Z$29&gt;=AJ460,дома!$Z$29&lt;=AI460),связи1!AG460,0)</f>
        <v>0</v>
      </c>
      <c r="AL460" s="1159" t="n">
        <f aca="false">IF(AND(дома!$AA$29&gt;=AJ460,дома!$AA$29&lt;=AI460),связи1!AG460,0)</f>
        <v>0</v>
      </c>
    </row>
    <row r="461" customFormat="false" ht="15" hidden="false" customHeight="false" outlineLevel="0" collapsed="false">
      <c r="AG461" s="1159" t="n">
        <v>31.1</v>
      </c>
      <c r="AH461" s="1193" t="n">
        <f aca="false">AG461*3.1415926535897/180</f>
        <v>0.54279739737022</v>
      </c>
      <c r="AI461" s="1193" t="n">
        <f aca="false">AH461+0.0005</f>
        <v>0.54329739737022</v>
      </c>
      <c r="AJ461" s="1193" t="n">
        <f aca="false">AH461-0.0005</f>
        <v>0.54229739737022</v>
      </c>
      <c r="AK461" s="1159" t="n">
        <f aca="false">IF(AND(дома!$Z$29&gt;=AJ461,дома!$Z$29&lt;=AI461),связи1!AG461,0)</f>
        <v>0</v>
      </c>
      <c r="AL461" s="1159" t="n">
        <f aca="false">IF(AND(дома!$AA$29&gt;=AJ461,дома!$AA$29&lt;=AI461),связи1!AG461,0)</f>
        <v>0</v>
      </c>
    </row>
    <row r="462" customFormat="false" ht="15" hidden="false" customHeight="false" outlineLevel="0" collapsed="false">
      <c r="AG462" s="1159" t="n">
        <v>31.2</v>
      </c>
      <c r="AH462" s="1193" t="n">
        <f aca="false">AG462*3.1415926535897/180</f>
        <v>0.544542726622215</v>
      </c>
      <c r="AI462" s="1193" t="n">
        <f aca="false">AH462+0.0005</f>
        <v>0.545042726622215</v>
      </c>
      <c r="AJ462" s="1193" t="n">
        <f aca="false">AH462-0.0005</f>
        <v>0.544042726622215</v>
      </c>
      <c r="AK462" s="1159" t="n">
        <f aca="false">IF(AND(дома!$Z$29&gt;=AJ462,дома!$Z$29&lt;=AI462),связи1!AG462,0)</f>
        <v>0</v>
      </c>
      <c r="AL462" s="1159" t="n">
        <f aca="false">IF(AND(дома!$AA$29&gt;=AJ462,дома!$AA$29&lt;=AI462),связи1!AG462,0)</f>
        <v>0</v>
      </c>
    </row>
    <row r="463" customFormat="false" ht="15" hidden="false" customHeight="false" outlineLevel="0" collapsed="false">
      <c r="AG463" s="1159"/>
      <c r="AH463" s="1193"/>
      <c r="AI463" s="1193"/>
      <c r="AJ463" s="1193"/>
      <c r="AK463" s="1159"/>
      <c r="AL463" s="1159"/>
    </row>
    <row r="464" customFormat="false" ht="15" hidden="false" customHeight="false" outlineLevel="0" collapsed="false">
      <c r="AG464" s="1159" t="n">
        <v>31.3</v>
      </c>
      <c r="AH464" s="1193" t="n">
        <f aca="false">AG464*3.1415926535897/180</f>
        <v>0.546288055874209</v>
      </c>
      <c r="AI464" s="1193" t="n">
        <f aca="false">AH464+0.0005</f>
        <v>0.546788055874209</v>
      </c>
      <c r="AJ464" s="1193" t="n">
        <f aca="false">AH464-0.0005</f>
        <v>0.545788055874209</v>
      </c>
      <c r="AK464" s="1159" t="n">
        <f aca="false">IF(AND(дома!$Z$29&gt;=AJ464,дома!$Z$29&lt;=AI464),связи1!AG464,0)</f>
        <v>0</v>
      </c>
      <c r="AL464" s="1159" t="n">
        <f aca="false">IF(AND(дома!$AA$29&gt;=AJ464,дома!$AA$29&lt;=AI464),связи1!AG464,0)</f>
        <v>0</v>
      </c>
    </row>
    <row r="465" customFormat="false" ht="15" hidden="false" customHeight="false" outlineLevel="0" collapsed="false">
      <c r="AG465" s="1159" t="n">
        <v>31.4</v>
      </c>
      <c r="AH465" s="1193" t="n">
        <f aca="false">AG465*3.1415926535897/180</f>
        <v>0.548033385126203</v>
      </c>
      <c r="AI465" s="1193" t="n">
        <f aca="false">AH465+0.0005</f>
        <v>0.548533385126203</v>
      </c>
      <c r="AJ465" s="1193" t="n">
        <f aca="false">AH465-0.0005</f>
        <v>0.547533385126203</v>
      </c>
      <c r="AK465" s="1159" t="n">
        <f aca="false">IF(AND(дома!$Z$29&gt;=AJ465,дома!$Z$29&lt;=AI465),связи1!AG465,0)</f>
        <v>0</v>
      </c>
      <c r="AL465" s="1159" t="n">
        <f aca="false">IF(AND(дома!$AA$29&gt;=AJ465,дома!$AA$29&lt;=AI465),связи1!AG465,0)</f>
        <v>0</v>
      </c>
    </row>
    <row r="466" customFormat="false" ht="15" hidden="false" customHeight="false" outlineLevel="0" collapsed="false">
      <c r="AG466" s="1159" t="n">
        <v>31.5</v>
      </c>
      <c r="AH466" s="1193" t="n">
        <f aca="false">AG466*3.1415926535897/180</f>
        <v>0.549778714378197</v>
      </c>
      <c r="AI466" s="1193" t="n">
        <f aca="false">AH466+0.0005</f>
        <v>0.550278714378197</v>
      </c>
      <c r="AJ466" s="1193" t="n">
        <f aca="false">AH466-0.0005</f>
        <v>0.549278714378197</v>
      </c>
      <c r="AK466" s="1159" t="n">
        <f aca="false">IF(AND(дома!$Z$29&gt;=AJ466,дома!$Z$29&lt;=AI466),связи1!AG466,0)</f>
        <v>0</v>
      </c>
      <c r="AL466" s="1159" t="n">
        <f aca="false">IF(AND(дома!$AA$29&gt;=AJ466,дома!$AA$29&lt;=AI466),связи1!AG466,0)</f>
        <v>0</v>
      </c>
    </row>
    <row r="467" customFormat="false" ht="15" hidden="false" customHeight="false" outlineLevel="0" collapsed="false">
      <c r="A467" s="1158" t="s">
        <v>2726</v>
      </c>
      <c r="AG467" s="1159" t="n">
        <v>31.6</v>
      </c>
      <c r="AH467" s="1193" t="n">
        <f aca="false">AG467*3.1415926535897/180</f>
        <v>0.551524043630192</v>
      </c>
      <c r="AI467" s="1193" t="n">
        <f aca="false">AH467+0.0005</f>
        <v>0.552024043630192</v>
      </c>
      <c r="AJ467" s="1193" t="n">
        <f aca="false">AH467-0.0005</f>
        <v>0.551024043630192</v>
      </c>
      <c r="AK467" s="1159" t="n">
        <f aca="false">IF(AND(дома!$Z$29&gt;=AJ467,дома!$Z$29&lt;=AI467),связи1!AG467,0)</f>
        <v>0</v>
      </c>
      <c r="AL467" s="1159" t="n">
        <f aca="false">IF(AND(дома!$AA$29&gt;=AJ467,дома!$AA$29&lt;=AI467),связи1!AG467,0)</f>
        <v>0</v>
      </c>
    </row>
    <row r="468" customFormat="false" ht="15" hidden="false" customHeight="false" outlineLevel="0" collapsed="false">
      <c r="A468" s="1158" t="s">
        <v>2727</v>
      </c>
      <c r="AG468" s="1159" t="n">
        <v>31.7</v>
      </c>
      <c r="AH468" s="1193" t="n">
        <f aca="false">AG468*3.1415926535897/180</f>
        <v>0.553269372882186</v>
      </c>
      <c r="AI468" s="1193" t="n">
        <f aca="false">AH468+0.0005</f>
        <v>0.553769372882186</v>
      </c>
      <c r="AJ468" s="1193" t="n">
        <f aca="false">AH468-0.0005</f>
        <v>0.552769372882186</v>
      </c>
      <c r="AK468" s="1159" t="n">
        <f aca="false">IF(AND(дома!$Z$29&gt;=AJ468,дома!$Z$29&lt;=AI468),связи1!AG468,0)</f>
        <v>0</v>
      </c>
      <c r="AL468" s="1159" t="n">
        <f aca="false">IF(AND(дома!$AA$29&gt;=AJ468,дома!$AA$29&lt;=AI468),связи1!AG468,0)</f>
        <v>0</v>
      </c>
    </row>
    <row r="469" customFormat="false" ht="15" hidden="false" customHeight="false" outlineLevel="0" collapsed="false">
      <c r="A469" s="1158" t="s">
        <v>2728</v>
      </c>
      <c r="AG469" s="1159" t="n">
        <v>31.8</v>
      </c>
      <c r="AH469" s="1193" t="n">
        <f aca="false">AG469*3.1415926535897/180</f>
        <v>0.55501470213418</v>
      </c>
      <c r="AI469" s="1193" t="n">
        <f aca="false">AH469+0.0005</f>
        <v>0.55551470213418</v>
      </c>
      <c r="AJ469" s="1193" t="n">
        <f aca="false">AH469-0.0005</f>
        <v>0.55451470213418</v>
      </c>
      <c r="AK469" s="1159" t="n">
        <f aca="false">IF(AND(дома!$Z$29&gt;=AJ469,дома!$Z$29&lt;=AI469),связи1!AG469,0)</f>
        <v>0</v>
      </c>
      <c r="AL469" s="1159" t="n">
        <f aca="false">IF(AND(дома!$AA$29&gt;=AJ469,дома!$AA$29&lt;=AI469),связи1!AG469,0)</f>
        <v>0</v>
      </c>
    </row>
    <row r="470" customFormat="false" ht="15" hidden="false" customHeight="false" outlineLevel="0" collapsed="false">
      <c r="A470" s="1158" t="s">
        <v>2729</v>
      </c>
      <c r="AG470" s="1159" t="n">
        <v>31.9</v>
      </c>
      <c r="AH470" s="1193" t="n">
        <f aca="false">AG470*3.1415926535897/180</f>
        <v>0.556760031386174</v>
      </c>
      <c r="AI470" s="1193" t="n">
        <f aca="false">AH470+0.0005</f>
        <v>0.557260031386174</v>
      </c>
      <c r="AJ470" s="1193" t="n">
        <f aca="false">AH470-0.0005</f>
        <v>0.556260031386175</v>
      </c>
      <c r="AK470" s="1159" t="n">
        <f aca="false">IF(AND(дома!$Z$29&gt;=AJ470,дома!$Z$29&lt;=AI470),связи1!AG470,0)</f>
        <v>0</v>
      </c>
      <c r="AL470" s="1159" t="n">
        <f aca="false">IF(AND(дома!$AA$29&gt;=AJ470,дома!$AA$29&lt;=AI470),связи1!AG470,0)</f>
        <v>0</v>
      </c>
    </row>
    <row r="471" customFormat="false" ht="15" hidden="false" customHeight="false" outlineLevel="0" collapsed="false">
      <c r="A471" s="1158" t="s">
        <v>2730</v>
      </c>
      <c r="AG471" s="1159" t="n">
        <v>32</v>
      </c>
      <c r="AH471" s="1193" t="n">
        <f aca="false">AG471*3.1415926535897/180</f>
        <v>0.558505360638169</v>
      </c>
      <c r="AI471" s="1193" t="n">
        <f aca="false">AH471+0.0005</f>
        <v>0.559005360638169</v>
      </c>
      <c r="AJ471" s="1193" t="n">
        <f aca="false">AH471-0.0005</f>
        <v>0.558005360638169</v>
      </c>
      <c r="AK471" s="1159" t="n">
        <f aca="false">IF(AND(дома!$Z$29&gt;=AJ471,дома!$Z$29&lt;=AI471),связи1!AG471,0)</f>
        <v>0</v>
      </c>
      <c r="AL471" s="1159" t="n">
        <f aca="false">IF(AND(дома!$AA$29&gt;=AJ471,дома!$AA$29&lt;=AI471),связи1!AG471,0)</f>
        <v>0</v>
      </c>
    </row>
    <row r="472" customFormat="false" ht="15" hidden="false" customHeight="false" outlineLevel="0" collapsed="false">
      <c r="A472" s="1158" t="s">
        <v>2731</v>
      </c>
      <c r="AG472" s="1159" t="n">
        <v>32.1</v>
      </c>
      <c r="AH472" s="1193" t="n">
        <f aca="false">AG472*3.1415926535897/180</f>
        <v>0.560250689890163</v>
      </c>
      <c r="AI472" s="1193" t="n">
        <f aca="false">AH472+0.0005</f>
        <v>0.560750689890163</v>
      </c>
      <c r="AJ472" s="1193" t="n">
        <f aca="false">AH472-0.0005</f>
        <v>0.559750689890163</v>
      </c>
      <c r="AK472" s="1159" t="n">
        <f aca="false">IF(AND(дома!$Z$29&gt;=AJ472,дома!$Z$29&lt;=AI472),связи1!AG472,0)</f>
        <v>0</v>
      </c>
      <c r="AL472" s="1159" t="n">
        <f aca="false">IF(AND(дома!$AA$29&gt;=AJ472,дома!$AA$29&lt;=AI472),связи1!AG472,0)</f>
        <v>0</v>
      </c>
    </row>
    <row r="473" customFormat="false" ht="15" hidden="false" customHeight="false" outlineLevel="0" collapsed="false">
      <c r="AG473" s="1159" t="n">
        <v>32.2</v>
      </c>
      <c r="AH473" s="1193" t="n">
        <f aca="false">AG473*3.1415926535897/180</f>
        <v>0.561996019142157</v>
      </c>
      <c r="AI473" s="1193" t="n">
        <f aca="false">AH473+0.0005</f>
        <v>0.562496019142157</v>
      </c>
      <c r="AJ473" s="1193" t="n">
        <f aca="false">AH473-0.0005</f>
        <v>0.561496019142157</v>
      </c>
      <c r="AK473" s="1159" t="n">
        <f aca="false">IF(AND(дома!$Z$29&gt;=AJ473,дома!$Z$29&lt;=AI473),связи1!AG473,0)</f>
        <v>0</v>
      </c>
      <c r="AL473" s="1159" t="n">
        <f aca="false">IF(AND(дома!$AA$29&gt;=AJ473,дома!$AA$29&lt;=AI473),связи1!AG473,0)</f>
        <v>0</v>
      </c>
    </row>
    <row r="474" customFormat="false" ht="15" hidden="false" customHeight="false" outlineLevel="0" collapsed="false">
      <c r="A474" s="1158" t="s">
        <v>690</v>
      </c>
      <c r="AG474" s="1159" t="n">
        <v>32.3</v>
      </c>
      <c r="AH474" s="1193" t="n">
        <f aca="false">AG474*3.1415926535897/180</f>
        <v>0.563741348394152</v>
      </c>
      <c r="AI474" s="1193" t="n">
        <f aca="false">AH474+0.0005</f>
        <v>0.564241348394152</v>
      </c>
      <c r="AJ474" s="1193" t="n">
        <f aca="false">AH474-0.0005</f>
        <v>0.563241348394152</v>
      </c>
      <c r="AK474" s="1159" t="n">
        <f aca="false">IF(AND(дома!$Z$29&gt;=AJ474,дома!$Z$29&lt;=AI474),связи1!AG474,0)</f>
        <v>0</v>
      </c>
      <c r="AL474" s="1159" t="n">
        <f aca="false">IF(AND(дома!$AA$29&gt;=AJ474,дома!$AA$29&lt;=AI474),связи1!AG474,0)</f>
        <v>0</v>
      </c>
    </row>
    <row r="475" customFormat="false" ht="15" hidden="false" customHeight="false" outlineLevel="0" collapsed="false">
      <c r="A475" s="1158" t="s">
        <v>2732</v>
      </c>
      <c r="AG475" s="1159" t="n">
        <v>32.4</v>
      </c>
      <c r="AH475" s="1193" t="n">
        <f aca="false">AG475*3.1415926535897/180</f>
        <v>0.565486677646146</v>
      </c>
      <c r="AI475" s="1193" t="n">
        <f aca="false">AH475+0.0005</f>
        <v>0.565986677646146</v>
      </c>
      <c r="AJ475" s="1193" t="n">
        <f aca="false">AH475-0.0005</f>
        <v>0.564986677646146</v>
      </c>
      <c r="AK475" s="1159" t="n">
        <f aca="false">IF(AND(дома!$Z$29&gt;=AJ475,дома!$Z$29&lt;=AI475),связи1!AG475,0)</f>
        <v>0</v>
      </c>
      <c r="AL475" s="1159" t="n">
        <f aca="false">IF(AND(дома!$AA$29&gt;=AJ475,дома!$AA$29&lt;=AI475),связи1!AG475,0)</f>
        <v>0</v>
      </c>
    </row>
    <row r="476" customFormat="false" ht="15" hidden="false" customHeight="false" outlineLevel="0" collapsed="false">
      <c r="AG476" s="1159" t="n">
        <v>32.5</v>
      </c>
      <c r="AH476" s="1193" t="n">
        <f aca="false">AG476*3.1415926535897/180</f>
        <v>0.56723200689814</v>
      </c>
      <c r="AI476" s="1193" t="n">
        <f aca="false">AH476+0.0005</f>
        <v>0.56773200689814</v>
      </c>
      <c r="AJ476" s="1193" t="n">
        <f aca="false">AH476-0.0005</f>
        <v>0.56673200689814</v>
      </c>
      <c r="AK476" s="1159" t="n">
        <f aca="false">IF(AND(дома!$Z$29&gt;=AJ476,дома!$Z$29&lt;=AI476),связи1!AG476,0)</f>
        <v>0</v>
      </c>
      <c r="AL476" s="1159" t="n">
        <f aca="false">IF(AND(дома!$AA$29&gt;=AJ476,дома!$AA$29&lt;=AI476),связи1!AG476,0)</f>
        <v>0</v>
      </c>
    </row>
    <row r="477" customFormat="false" ht="15" hidden="false" customHeight="false" outlineLevel="0" collapsed="false">
      <c r="A477" s="1158" t="s">
        <v>398</v>
      </c>
      <c r="AG477" s="1159" t="n">
        <v>32.6</v>
      </c>
      <c r="AH477" s="1193" t="n">
        <f aca="false">AG477*3.1415926535897/180</f>
        <v>0.568977336150135</v>
      </c>
      <c r="AI477" s="1193" t="n">
        <f aca="false">AH477+0.0005</f>
        <v>0.569477336150135</v>
      </c>
      <c r="AJ477" s="1193" t="n">
        <f aca="false">AH477-0.0005</f>
        <v>0.568477336150135</v>
      </c>
      <c r="AK477" s="1159" t="n">
        <f aca="false">IF(AND(дома!$Z$29&gt;=AJ477,дома!$Z$29&lt;=AI477),связи1!AG477,0)</f>
        <v>0</v>
      </c>
      <c r="AL477" s="1159" t="n">
        <f aca="false">IF(AND(дома!$AA$29&gt;=AJ477,дома!$AA$29&lt;=AI477),связи1!AG477,0)</f>
        <v>0</v>
      </c>
    </row>
    <row r="478" customFormat="false" ht="15" hidden="false" customHeight="false" outlineLevel="0" collapsed="false">
      <c r="A478" s="1158" t="s">
        <v>2733</v>
      </c>
      <c r="AG478" s="1159" t="n">
        <v>32.7</v>
      </c>
      <c r="AH478" s="1193" t="n">
        <f aca="false">AG478*3.1415926535897/180</f>
        <v>0.570722665402129</v>
      </c>
      <c r="AI478" s="1193" t="n">
        <f aca="false">AH478+0.0005</f>
        <v>0.571222665402129</v>
      </c>
      <c r="AJ478" s="1193" t="n">
        <f aca="false">AH478-0.0005</f>
        <v>0.570222665402129</v>
      </c>
      <c r="AK478" s="1159" t="n">
        <f aca="false">IF(AND(дома!$Z$29&gt;=AJ478,дома!$Z$29&lt;=AI478),связи1!AG478,0)</f>
        <v>0</v>
      </c>
      <c r="AL478" s="1159" t="n">
        <f aca="false">IF(AND(дома!$AA$29&gt;=AJ478,дома!$AA$29&lt;=AI478),связи1!AG478,0)</f>
        <v>0</v>
      </c>
    </row>
    <row r="479" customFormat="false" ht="15" hidden="false" customHeight="false" outlineLevel="0" collapsed="false">
      <c r="A479" s="1158" t="s">
        <v>2734</v>
      </c>
      <c r="AG479" s="1159" t="n">
        <v>32.8</v>
      </c>
      <c r="AH479" s="1193" t="n">
        <f aca="false">AG479*3.1415926535897/180</f>
        <v>0.572467994654123</v>
      </c>
      <c r="AI479" s="1193" t="n">
        <f aca="false">AH479+0.0005</f>
        <v>0.572967994654123</v>
      </c>
      <c r="AJ479" s="1193" t="n">
        <f aca="false">AH479-0.0005</f>
        <v>0.571967994654123</v>
      </c>
      <c r="AK479" s="1159" t="n">
        <f aca="false">IF(AND(дома!$Z$29&gt;=AJ479,дома!$Z$29&lt;=AI479),связи1!AG479,0)</f>
        <v>0</v>
      </c>
      <c r="AL479" s="1159" t="n">
        <f aca="false">IF(AND(дома!$AA$29&gt;=AJ479,дома!$AA$29&lt;=AI479),связи1!AG479,0)</f>
        <v>0</v>
      </c>
    </row>
    <row r="480" customFormat="false" ht="15" hidden="false" customHeight="false" outlineLevel="0" collapsed="false">
      <c r="A480" s="1158" t="s">
        <v>74</v>
      </c>
      <c r="AG480" s="1159" t="n">
        <v>32.9</v>
      </c>
      <c r="AH480" s="1193" t="n">
        <f aca="false">AG480*3.1415926535897/180</f>
        <v>0.574213323906117</v>
      </c>
      <c r="AI480" s="1193" t="n">
        <f aca="false">AH480+0.0005</f>
        <v>0.574713323906117</v>
      </c>
      <c r="AJ480" s="1193" t="n">
        <f aca="false">AH480-0.0005</f>
        <v>0.573713323906117</v>
      </c>
      <c r="AK480" s="1159" t="n">
        <f aca="false">IF(AND(дома!$Z$29&gt;=AJ480,дома!$Z$29&lt;=AI480),связи1!AG480,0)</f>
        <v>0</v>
      </c>
      <c r="AL480" s="1159" t="n">
        <f aca="false">IF(AND(дома!$AA$29&gt;=AJ480,дома!$AA$29&lt;=AI480),связи1!AG480,0)</f>
        <v>0</v>
      </c>
    </row>
    <row r="481" customFormat="false" ht="15" hidden="false" customHeight="false" outlineLevel="0" collapsed="false">
      <c r="AG481" s="1159" t="n">
        <v>33</v>
      </c>
      <c r="AH481" s="1193" t="n">
        <f aca="false">AG481*3.1415926535897/180</f>
        <v>0.575958653158112</v>
      </c>
      <c r="AI481" s="1193" t="n">
        <f aca="false">AH481+0.0005</f>
        <v>0.576458653158112</v>
      </c>
      <c r="AJ481" s="1193" t="n">
        <f aca="false">AH481-0.0005</f>
        <v>0.575458653158112</v>
      </c>
      <c r="AK481" s="1159" t="n">
        <f aca="false">IF(AND(дома!$Z$29&gt;=AJ481,дома!$Z$29&lt;=AI481),связи1!AG481,0)</f>
        <v>0</v>
      </c>
      <c r="AL481" s="1159" t="n">
        <f aca="false">IF(AND(дома!$AA$29&gt;=AJ481,дома!$AA$29&lt;=AI481),связи1!AG481,0)</f>
        <v>0</v>
      </c>
    </row>
    <row r="482" customFormat="false" ht="15" hidden="false" customHeight="false" outlineLevel="0" collapsed="false">
      <c r="A482" s="1268" t="str">
        <f aca="false">'Прайс лист'!B1463</f>
        <v>монтаж свай гидравликой</v>
      </c>
      <c r="B482" s="1268" t="n">
        <f aca="false">'Прайс лист'!G1463</f>
        <v>1000</v>
      </c>
      <c r="AG482" s="1159" t="n">
        <v>33.1</v>
      </c>
      <c r="AH482" s="1193" t="n">
        <f aca="false">AG482*3.1415926535897/180</f>
        <v>0.577703982410106</v>
      </c>
      <c r="AI482" s="1193" t="n">
        <f aca="false">AH482+0.0005</f>
        <v>0.578203982410106</v>
      </c>
      <c r="AJ482" s="1193" t="n">
        <f aca="false">AH482-0.0005</f>
        <v>0.577203982410106</v>
      </c>
      <c r="AK482" s="1159" t="n">
        <f aca="false">IF(AND(дома!$Z$29&gt;=AJ482,дома!$Z$29&lt;=AI482),связи1!AG482,0)</f>
        <v>0</v>
      </c>
      <c r="AL482" s="1159" t="n">
        <f aca="false">IF(AND(дома!$AA$29&gt;=AJ482,дома!$AA$29&lt;=AI482),связи1!AG482,0)</f>
        <v>0</v>
      </c>
    </row>
    <row r="483" customFormat="false" ht="15" hidden="false" customHeight="false" outlineLevel="0" collapsed="false">
      <c r="A483" s="1268" t="str">
        <f aca="false">'Прайс лист'!B1462</f>
        <v>монтаж свай в ручную</v>
      </c>
      <c r="B483" s="1268" t="n">
        <f aca="false">'Прайс лист'!G1462</f>
        <v>1000</v>
      </c>
      <c r="AG483" s="1159" t="n">
        <v>33.2</v>
      </c>
      <c r="AH483" s="1193" t="n">
        <f aca="false">AG483*3.1415926535897/180</f>
        <v>0.5794493116621</v>
      </c>
      <c r="AI483" s="1193" t="n">
        <f aca="false">AH483+0.0005</f>
        <v>0.5799493116621</v>
      </c>
      <c r="AJ483" s="1193" t="n">
        <f aca="false">AH483-0.0005</f>
        <v>0.5789493116621</v>
      </c>
      <c r="AK483" s="1159" t="n">
        <f aca="false">IF(AND(дома!$Z$29&gt;=AJ483,дома!$Z$29&lt;=AI483),связи1!AG483,0)</f>
        <v>0</v>
      </c>
      <c r="AL483" s="1159" t="n">
        <f aca="false">IF(AND(дома!$AA$29&gt;=AJ483,дома!$AA$29&lt;=AI483),связи1!AG483,0)</f>
        <v>0</v>
      </c>
    </row>
    <row r="484" customFormat="false" ht="15" hidden="false" customHeight="false" outlineLevel="0" collapsed="false">
      <c r="AG484" s="1159" t="n">
        <v>33.3</v>
      </c>
      <c r="AH484" s="1193" t="n">
        <f aca="false">AG484*3.1415926535897/180</f>
        <v>0.581194640914094</v>
      </c>
      <c r="AI484" s="1193" t="n">
        <f aca="false">AH484+0.0005</f>
        <v>0.581694640914094</v>
      </c>
      <c r="AJ484" s="1193" t="n">
        <f aca="false">AH484-0.0005</f>
        <v>0.580694640914095</v>
      </c>
      <c r="AK484" s="1159" t="n">
        <f aca="false">IF(AND(дома!$Z$29&gt;=AJ484,дома!$Z$29&lt;=AI484),связи1!AG484,0)</f>
        <v>0</v>
      </c>
      <c r="AL484" s="1159" t="n">
        <f aca="false">IF(AND(дома!$AA$29&gt;=AJ484,дома!$AA$29&lt;=AI484),связи1!AG484,0)</f>
        <v>0</v>
      </c>
    </row>
    <row r="485" customFormat="false" ht="15" hidden="false" customHeight="false" outlineLevel="0" collapsed="false">
      <c r="AG485" s="1159" t="n">
        <v>33.4</v>
      </c>
      <c r="AH485" s="1193" t="n">
        <f aca="false">AG485*3.1415926535897/180</f>
        <v>0.582939970166089</v>
      </c>
      <c r="AI485" s="1193" t="n">
        <f aca="false">AH485+0.0005</f>
        <v>0.583439970166089</v>
      </c>
      <c r="AJ485" s="1193" t="n">
        <f aca="false">AH485-0.0005</f>
        <v>0.582439970166089</v>
      </c>
      <c r="AK485" s="1159" t="n">
        <f aca="false">IF(AND(дома!$Z$29&gt;=AJ485,дома!$Z$29&lt;=AI485),связи1!AG485,0)</f>
        <v>0</v>
      </c>
      <c r="AL485" s="1159" t="n">
        <f aca="false">IF(AND(дома!$AA$29&gt;=AJ485,дома!$AA$29&lt;=AI485),связи1!AG485,0)</f>
        <v>0</v>
      </c>
    </row>
    <row r="486" customFormat="false" ht="15" hidden="false" customHeight="false" outlineLevel="0" collapsed="false">
      <c r="AG486" s="1159" t="n">
        <v>33.5</v>
      </c>
      <c r="AH486" s="1193" t="n">
        <f aca="false">AG486*3.1415926535897/180</f>
        <v>0.584685299418083</v>
      </c>
      <c r="AI486" s="1193" t="n">
        <f aca="false">AH486+0.0005</f>
        <v>0.585185299418083</v>
      </c>
      <c r="AJ486" s="1193" t="n">
        <f aca="false">AH486-0.0005</f>
        <v>0.584185299418083</v>
      </c>
      <c r="AK486" s="1159" t="n">
        <f aca="false">IF(AND(дома!$Z$29&gt;=AJ486,дома!$Z$29&lt;=AI486),связи1!AG486,0)</f>
        <v>0</v>
      </c>
      <c r="AL486" s="1159" t="n">
        <f aca="false">IF(AND(дома!$AA$29&gt;=AJ486,дома!$AA$29&lt;=AI486),связи1!AG486,0)</f>
        <v>0</v>
      </c>
    </row>
    <row r="487" customFormat="false" ht="15" hidden="false" customHeight="false" outlineLevel="0" collapsed="false">
      <c r="A487" s="1159" t="s">
        <v>101</v>
      </c>
      <c r="B487" s="1159" t="n">
        <v>0</v>
      </c>
      <c r="AG487" s="1159" t="n">
        <v>33.6</v>
      </c>
      <c r="AH487" s="1193" t="n">
        <f aca="false">AG487*3.1415926535897/180</f>
        <v>0.586430628670077</v>
      </c>
      <c r="AI487" s="1193" t="n">
        <f aca="false">AH487+0.0005</f>
        <v>0.586930628670077</v>
      </c>
      <c r="AJ487" s="1193" t="n">
        <f aca="false">AH487-0.0005</f>
        <v>0.585930628670077</v>
      </c>
      <c r="AK487" s="1159" t="n">
        <f aca="false">IF(AND(дома!$Z$29&gt;=AJ487,дома!$Z$29&lt;=AI487),связи1!AG487,0)</f>
        <v>0</v>
      </c>
      <c r="AL487" s="1159" t="n">
        <f aca="false">IF(AND(дома!$AA$29&gt;=AJ487,дома!$AA$29&lt;=AI487),связи1!AG487,0)</f>
        <v>0</v>
      </c>
    </row>
    <row r="488" customFormat="false" ht="15" hidden="false" customHeight="false" outlineLevel="0" collapsed="false">
      <c r="A488" s="1159" t="str">
        <f aca="false">'Прайс лист'!B435</f>
        <v>Лен-джут 100х5х20000 мм</v>
      </c>
      <c r="B488" s="1180" t="n">
        <f aca="false">'Прайс лист'!G435</f>
        <v>110</v>
      </c>
      <c r="AG488" s="1159" t="n">
        <v>33.7</v>
      </c>
      <c r="AH488" s="1193" t="n">
        <f aca="false">AG488*3.1415926535897/180</f>
        <v>0.588175957922072</v>
      </c>
      <c r="AI488" s="1193" t="n">
        <f aca="false">AH488+0.0005</f>
        <v>0.588675957922071</v>
      </c>
      <c r="AJ488" s="1193" t="n">
        <f aca="false">AH488-0.0005</f>
        <v>0.587675957922072</v>
      </c>
      <c r="AK488" s="1159" t="n">
        <f aca="false">IF(AND(дома!$Z$29&gt;=AJ488,дома!$Z$29&lt;=AI488),связи1!AG488,0)</f>
        <v>0</v>
      </c>
      <c r="AL488" s="1159" t="n">
        <f aca="false">IF(AND(дома!$AA$29&gt;=AJ488,дома!$AA$29&lt;=AI488),связи1!AG488,0)</f>
        <v>0</v>
      </c>
    </row>
    <row r="489" customFormat="false" ht="15" hidden="false" customHeight="false" outlineLevel="0" collapsed="false">
      <c r="A489" s="1159" t="str">
        <f aca="false">'Прайс лист'!B436</f>
        <v>Лен-джут 150х5х20000 мм</v>
      </c>
      <c r="B489" s="1180" t="n">
        <f aca="false">'Прайс лист'!G436</f>
        <v>140</v>
      </c>
      <c r="AG489" s="1159" t="n">
        <v>33.8</v>
      </c>
      <c r="AH489" s="1193" t="n">
        <f aca="false">AG489*3.1415926535897/180</f>
        <v>0.589921287174066</v>
      </c>
      <c r="AI489" s="1193" t="n">
        <f aca="false">AH489+0.0005</f>
        <v>0.590421287174066</v>
      </c>
      <c r="AJ489" s="1193" t="n">
        <f aca="false">AH489-0.0005</f>
        <v>0.589421287174066</v>
      </c>
      <c r="AK489" s="1159" t="n">
        <f aca="false">IF(AND(дома!$Z$29&gt;=AJ489,дома!$Z$29&lt;=AI489),связи1!AG489,0)</f>
        <v>0</v>
      </c>
      <c r="AL489" s="1159" t="n">
        <f aca="false">IF(AND(дома!$AA$29&gt;=AJ489,дома!$AA$29&lt;=AI489),связи1!AG489,0)</f>
        <v>0</v>
      </c>
    </row>
    <row r="490" customFormat="false" ht="15" hidden="false" customHeight="false" outlineLevel="0" collapsed="false">
      <c r="A490" s="1159" t="str">
        <f aca="false">'Прайс лист'!B437</f>
        <v>Лен-джут 200х5х20000 мм</v>
      </c>
      <c r="B490" s="1180" t="n">
        <f aca="false">'Прайс лист'!G437</f>
        <v>175</v>
      </c>
      <c r="AG490" s="1159" t="n">
        <v>33.9</v>
      </c>
      <c r="AH490" s="1193" t="n">
        <f aca="false">AG490*3.1415926535897/180</f>
        <v>0.59166661642606</v>
      </c>
      <c r="AI490" s="1193" t="n">
        <f aca="false">AH490+0.0005</f>
        <v>0.59216661642606</v>
      </c>
      <c r="AJ490" s="1193" t="n">
        <f aca="false">AH490-0.0005</f>
        <v>0.59116661642606</v>
      </c>
      <c r="AK490" s="1159" t="n">
        <f aca="false">IF(AND(дома!$Z$29&gt;=AJ490,дома!$Z$29&lt;=AI490),связи1!AG490,0)</f>
        <v>0</v>
      </c>
      <c r="AL490" s="1159" t="n">
        <f aca="false">IF(AND(дома!$AA$29&gt;=AJ490,дома!$AA$29&lt;=AI490),связи1!AG490,0)</f>
        <v>0</v>
      </c>
    </row>
    <row r="491" customFormat="false" ht="15" hidden="false" customHeight="false" outlineLevel="0" collapsed="false">
      <c r="A491" s="1159" t="str">
        <f aca="false">'Прайс лист'!B438</f>
        <v>Лен-джут 80х5х20000 мм</v>
      </c>
      <c r="B491" s="1180" t="n">
        <f aca="false">'Прайс лист'!G438</f>
        <v>750</v>
      </c>
      <c r="AG491" s="1159" t="n">
        <v>34</v>
      </c>
      <c r="AH491" s="1193" t="n">
        <f aca="false">AG491*3.1415926535897/180</f>
        <v>0.593411945678054</v>
      </c>
      <c r="AI491" s="1193" t="n">
        <f aca="false">AH491+0.0005</f>
        <v>0.593911945678054</v>
      </c>
      <c r="AJ491" s="1193" t="n">
        <f aca="false">AH491-0.0005</f>
        <v>0.592911945678055</v>
      </c>
      <c r="AK491" s="1159" t="n">
        <f aca="false">IF(AND(дома!$Z$29&gt;=AJ491,дома!$Z$29&lt;=AI491),связи1!AG491,0)</f>
        <v>0</v>
      </c>
      <c r="AL491" s="1159" t="n">
        <f aca="false">IF(AND(дома!$AA$29&gt;=AJ491,дома!$AA$29&lt;=AI491),связи1!AG491,0)</f>
        <v>0</v>
      </c>
    </row>
    <row r="492" customFormat="false" ht="15" hidden="false" customHeight="false" outlineLevel="0" collapsed="false">
      <c r="A492" s="1159" t="str">
        <f aca="false">'Прайс лист'!B439</f>
        <v>Лен-джут 160х5х20000 мм</v>
      </c>
      <c r="B492" s="1180" t="n">
        <f aca="false">'Прайс лист'!G439</f>
        <v>1500</v>
      </c>
      <c r="AG492" s="1159" t="n">
        <v>34.1</v>
      </c>
      <c r="AH492" s="1193" t="n">
        <f aca="false">AG492*3.1415926535897/180</f>
        <v>0.595157274930049</v>
      </c>
      <c r="AI492" s="1193" t="n">
        <f aca="false">AH492+0.0005</f>
        <v>0.595657274930049</v>
      </c>
      <c r="AJ492" s="1193" t="n">
        <f aca="false">AH492-0.0005</f>
        <v>0.594657274930049</v>
      </c>
      <c r="AK492" s="1159" t="n">
        <f aca="false">IF(AND(дома!$Z$29&gt;=AJ492,дома!$Z$29&lt;=AI492),связи1!AG492,0)</f>
        <v>0</v>
      </c>
      <c r="AL492" s="1159" t="n">
        <f aca="false">IF(AND(дома!$AA$29&gt;=AJ492,дома!$AA$29&lt;=AI492),связи1!AG492,0)</f>
        <v>0</v>
      </c>
    </row>
    <row r="493" customFormat="false" ht="15" hidden="false" customHeight="false" outlineLevel="0" collapsed="false">
      <c r="AG493" s="1159" t="n">
        <v>34.2</v>
      </c>
      <c r="AH493" s="1193" t="n">
        <f aca="false">AG493*3.1415926535897/180</f>
        <v>0.596902604182043</v>
      </c>
      <c r="AI493" s="1193" t="n">
        <f aca="false">AH493+0.0005</f>
        <v>0.597402604182043</v>
      </c>
      <c r="AJ493" s="1193" t="n">
        <f aca="false">AH493-0.0005</f>
        <v>0.596402604182043</v>
      </c>
      <c r="AK493" s="1159" t="n">
        <f aca="false">IF(AND(дома!$Z$29&gt;=AJ493,дома!$Z$29&lt;=AI493),связи1!AG493,0)</f>
        <v>0</v>
      </c>
      <c r="AL493" s="1159" t="n">
        <f aca="false">IF(AND(дома!$AA$29&gt;=AJ493,дома!$AA$29&lt;=AI493),связи1!AG493,0)</f>
        <v>0</v>
      </c>
    </row>
    <row r="494" customFormat="false" ht="15" hidden="false" customHeight="false" outlineLevel="0" collapsed="false">
      <c r="C494" s="1158" t="s">
        <v>116</v>
      </c>
      <c r="U494" s="1269"/>
      <c r="V494" s="1269"/>
      <c r="AG494" s="1159" t="n">
        <v>34.3</v>
      </c>
      <c r="AH494" s="1193" t="n">
        <f aca="false">AG494*3.1415926535897/180</f>
        <v>0.598647933434037</v>
      </c>
      <c r="AI494" s="1193" t="n">
        <f aca="false">AH494+0.0005</f>
        <v>0.599147933434037</v>
      </c>
      <c r="AJ494" s="1193" t="n">
        <f aca="false">AH494-0.0005</f>
        <v>0.598147933434037</v>
      </c>
      <c r="AK494" s="1159" t="n">
        <f aca="false">IF(AND(дома!$Z$29&gt;=AJ494,дома!$Z$29&lt;=AI494),связи1!AG494,0)</f>
        <v>0</v>
      </c>
      <c r="AL494" s="1159" t="n">
        <f aca="false">IF(AND(дома!$AA$29&gt;=AJ494,дома!$AA$29&lt;=AI494),связи1!AG494,0)</f>
        <v>0</v>
      </c>
    </row>
    <row r="495" customFormat="false" ht="15" hidden="false" customHeight="true" outlineLevel="0" collapsed="false">
      <c r="L495" s="1270" t="s">
        <v>2735</v>
      </c>
      <c r="M495" s="1270"/>
      <c r="N495" s="1270"/>
      <c r="O495" s="1270"/>
      <c r="P495" s="1270"/>
      <c r="Q495" s="1270"/>
      <c r="R495" s="1270"/>
      <c r="S495" s="1270"/>
      <c r="T495" s="1270"/>
      <c r="U495" s="1270"/>
      <c r="V495" s="1270"/>
      <c r="AG495" s="1159" t="n">
        <v>34.4</v>
      </c>
      <c r="AH495" s="1193" t="n">
        <f aca="false">AG495*3.1415926535897/180</f>
        <v>0.600393262686032</v>
      </c>
      <c r="AI495" s="1193" t="n">
        <f aca="false">AH495+0.0005</f>
        <v>0.600893262686031</v>
      </c>
      <c r="AJ495" s="1193" t="n">
        <f aca="false">AH495-0.0005</f>
        <v>0.599893262686032</v>
      </c>
      <c r="AK495" s="1159" t="n">
        <f aca="false">IF(AND(дома!$Z$29&gt;=AJ495,дома!$Z$29&lt;=AI495),связи1!AG495,0)</f>
        <v>0</v>
      </c>
      <c r="AL495" s="1159" t="n">
        <f aca="false">IF(AND(дома!$AA$29&gt;=AJ495,дома!$AA$29&lt;=AI495),связи1!AG495,0)</f>
        <v>0</v>
      </c>
    </row>
    <row r="496" customFormat="false" ht="15" hidden="false" customHeight="false" outlineLevel="0" collapsed="false">
      <c r="A496" s="1269"/>
      <c r="B496" s="1269"/>
      <c r="C496" s="1269"/>
      <c r="D496" s="1271"/>
      <c r="E496" s="1272"/>
      <c r="F496" s="1271"/>
      <c r="G496" s="1271"/>
      <c r="H496" s="1269"/>
      <c r="I496" s="1269"/>
      <c r="L496" s="1270"/>
      <c r="M496" s="1270"/>
      <c r="N496" s="1270"/>
      <c r="O496" s="1270"/>
      <c r="P496" s="1270"/>
      <c r="Q496" s="1270"/>
      <c r="R496" s="1270"/>
      <c r="S496" s="1270"/>
      <c r="T496" s="1270"/>
      <c r="U496" s="1270"/>
      <c r="V496" s="1270"/>
      <c r="AG496" s="1159" t="n">
        <v>34.5</v>
      </c>
      <c r="AH496" s="1193" t="n">
        <f aca="false">AG496*3.1415926535897/180</f>
        <v>0.602138591938026</v>
      </c>
      <c r="AI496" s="1193" t="n">
        <f aca="false">AH496+0.0005</f>
        <v>0.602638591938026</v>
      </c>
      <c r="AJ496" s="1193" t="n">
        <f aca="false">AH496-0.0005</f>
        <v>0.601638591938026</v>
      </c>
      <c r="AK496" s="1159" t="n">
        <f aca="false">IF(AND(дома!$Z$29&gt;=AJ496,дома!$Z$29&lt;=AI496),связи1!AG496,0)</f>
        <v>0</v>
      </c>
      <c r="AL496" s="1159" t="n">
        <f aca="false">IF(AND(дома!$AA$29&gt;=AJ496,дома!$AA$29&lt;=AI496),связи1!AG496,0)</f>
        <v>0</v>
      </c>
    </row>
    <row r="497" customFormat="false" ht="15" hidden="false" customHeight="false" outlineLevel="0" collapsed="false">
      <c r="A497" s="1269"/>
      <c r="B497" s="1269"/>
      <c r="C497" s="1269"/>
      <c r="D497" s="1271"/>
      <c r="E497" s="1271"/>
      <c r="F497" s="1271"/>
      <c r="G497" s="1271"/>
      <c r="H497" s="1269"/>
      <c r="I497" s="1269"/>
      <c r="L497" s="1270"/>
      <c r="M497" s="1270"/>
      <c r="N497" s="1270"/>
      <c r="O497" s="1270"/>
      <c r="P497" s="1270"/>
      <c r="Q497" s="1270"/>
      <c r="R497" s="1270"/>
      <c r="S497" s="1270"/>
      <c r="T497" s="1270"/>
      <c r="U497" s="1270"/>
      <c r="V497" s="1270"/>
      <c r="AG497" s="1159" t="n">
        <v>34.6</v>
      </c>
      <c r="AH497" s="1193" t="n">
        <f aca="false">AG497*3.1415926535897/180</f>
        <v>0.60388392119002</v>
      </c>
      <c r="AI497" s="1193" t="n">
        <f aca="false">AH497+0.0005</f>
        <v>0.60438392119002</v>
      </c>
      <c r="AJ497" s="1193" t="n">
        <f aca="false">AH497-0.0005</f>
        <v>0.60338392119002</v>
      </c>
      <c r="AK497" s="1159" t="n">
        <f aca="false">IF(AND(дома!$Z$29&gt;=AJ497,дома!$Z$29&lt;=AI497),связи1!AG497,0)</f>
        <v>0</v>
      </c>
      <c r="AL497" s="1159" t="n">
        <f aca="false">IF(AND(дома!$AA$29&gt;=AJ497,дома!$AA$29&lt;=AI497),связи1!AG497,0)</f>
        <v>0</v>
      </c>
    </row>
    <row r="498" customFormat="false" ht="15" hidden="false" customHeight="true" outlineLevel="0" collapsed="false">
      <c r="A498" s="1269"/>
      <c r="B498" s="1269"/>
      <c r="C498" s="1269"/>
      <c r="D498" s="1271"/>
      <c r="E498" s="1271"/>
      <c r="F498" s="1271"/>
      <c r="G498" s="1273" t="s">
        <v>137</v>
      </c>
      <c r="H498" s="1273"/>
      <c r="I498" s="1273"/>
      <c r="J498" s="1273"/>
      <c r="L498" s="1270"/>
      <c r="M498" s="1270"/>
      <c r="N498" s="1270"/>
      <c r="O498" s="1270"/>
      <c r="P498" s="1270"/>
      <c r="Q498" s="1270"/>
      <c r="R498" s="1270"/>
      <c r="S498" s="1270"/>
      <c r="T498" s="1270"/>
      <c r="U498" s="1270"/>
      <c r="V498" s="1270"/>
      <c r="AG498" s="1159" t="n">
        <v>34.7</v>
      </c>
      <c r="AH498" s="1193" t="n">
        <f aca="false">AG498*3.1415926535897/180</f>
        <v>0.605629250442014</v>
      </c>
      <c r="AI498" s="1193" t="n">
        <f aca="false">AH498+0.0005</f>
        <v>0.606129250442014</v>
      </c>
      <c r="AJ498" s="1193" t="n">
        <f aca="false">AH498-0.0005</f>
        <v>0.605129250442015</v>
      </c>
      <c r="AK498" s="1159" t="n">
        <f aca="false">IF(AND(дома!$Z$29&gt;=AJ498,дома!$Z$29&lt;=AI498),связи1!AG498,0)</f>
        <v>0</v>
      </c>
      <c r="AL498" s="1159" t="n">
        <f aca="false">IF(AND(дома!$AA$29&gt;=AJ498,дома!$AA$29&lt;=AI498),связи1!AG498,0)</f>
        <v>0</v>
      </c>
    </row>
    <row r="499" customFormat="false" ht="15" hidden="false" customHeight="false" outlineLevel="0" collapsed="false">
      <c r="A499" s="1269"/>
      <c r="B499" s="1269"/>
      <c r="C499" s="1269"/>
      <c r="D499" s="1271"/>
      <c r="E499" s="1271"/>
      <c r="F499" s="1271"/>
      <c r="G499" s="1271"/>
      <c r="H499" s="1269"/>
      <c r="I499" s="1269"/>
      <c r="L499" s="1274"/>
      <c r="M499" s="1274"/>
      <c r="N499" s="1274"/>
      <c r="O499" s="1274"/>
      <c r="P499" s="1274"/>
      <c r="Q499" s="1274"/>
      <c r="R499" s="1274"/>
      <c r="S499" s="1274"/>
      <c r="T499" s="1274"/>
      <c r="U499" s="1274"/>
      <c r="V499" s="1274"/>
      <c r="AG499" s="1159" t="n">
        <v>34.8</v>
      </c>
      <c r="AH499" s="1193" t="n">
        <f aca="false">AG499*3.1415926535897/180</f>
        <v>0.607374579694009</v>
      </c>
      <c r="AI499" s="1193" t="n">
        <f aca="false">AH499+0.0005</f>
        <v>0.607874579694008</v>
      </c>
      <c r="AJ499" s="1193" t="n">
        <f aca="false">AH499-0.0005</f>
        <v>0.606874579694009</v>
      </c>
      <c r="AK499" s="1159" t="n">
        <f aca="false">IF(AND(дома!$Z$29&gt;=AJ499,дома!$Z$29&lt;=AI499),связи1!AG499,0)</f>
        <v>0</v>
      </c>
      <c r="AL499" s="1159" t="n">
        <f aca="false">IF(AND(дома!$AA$29&gt;=AJ499,дома!$AA$29&lt;=AI499),связи1!AG499,0)</f>
        <v>0</v>
      </c>
    </row>
    <row r="500" customFormat="false" ht="15" hidden="false" customHeight="false" outlineLevel="0" collapsed="false">
      <c r="A500" s="1269"/>
      <c r="B500" s="1269"/>
      <c r="C500" s="1269"/>
      <c r="D500" s="1271"/>
      <c r="E500" s="1271"/>
      <c r="F500" s="1271"/>
      <c r="G500" s="1271"/>
      <c r="H500" s="1269"/>
      <c r="I500" s="1269"/>
      <c r="J500" s="1275"/>
      <c r="K500" s="1275"/>
      <c r="L500" s="1275"/>
      <c r="M500" s="1275"/>
      <c r="N500" s="1275"/>
      <c r="O500" s="1275"/>
      <c r="P500" s="1275"/>
      <c r="Q500" s="1275"/>
      <c r="R500" s="1275"/>
      <c r="S500" s="1275"/>
      <c r="T500" s="1275"/>
      <c r="U500" s="1276"/>
      <c r="V500" s="1276"/>
      <c r="AG500" s="1159" t="n">
        <v>34.9</v>
      </c>
      <c r="AH500" s="1193" t="n">
        <f aca="false">AG500*3.1415926535897/180</f>
        <v>0.609119908946003</v>
      </c>
      <c r="AI500" s="1193" t="n">
        <f aca="false">AH500+0.0005</f>
        <v>0.609619908946003</v>
      </c>
      <c r="AJ500" s="1193" t="n">
        <f aca="false">AH500-0.0005</f>
        <v>0.608619908946003</v>
      </c>
      <c r="AK500" s="1159" t="n">
        <f aca="false">IF(AND(дома!$Z$29&gt;=AJ500,дома!$Z$29&lt;=AI500),связи1!AG500,0)</f>
        <v>0</v>
      </c>
      <c r="AL500" s="1159" t="n">
        <f aca="false">IF(AND(дома!$AA$29&gt;=AJ500,дома!$AA$29&lt;=AI500),связи1!AG500,0)</f>
        <v>0</v>
      </c>
    </row>
    <row r="501" customFormat="false" ht="15" hidden="false" customHeight="false" outlineLevel="0" collapsed="false">
      <c r="A501" s="1269"/>
      <c r="B501" s="1269"/>
      <c r="C501" s="1269"/>
      <c r="D501" s="1271"/>
      <c r="E501" s="1271"/>
      <c r="F501" s="1271"/>
      <c r="G501" s="1271"/>
      <c r="H501" s="1269"/>
      <c r="I501" s="1269"/>
      <c r="J501" s="1276"/>
      <c r="K501" s="1276"/>
      <c r="L501" s="1276"/>
      <c r="M501" s="1276"/>
      <c r="N501" s="1276"/>
      <c r="O501" s="1276"/>
      <c r="P501" s="1276"/>
      <c r="Q501" s="1276"/>
      <c r="R501" s="1276"/>
      <c r="S501" s="1276"/>
      <c r="T501" s="1276"/>
      <c r="U501" s="1276"/>
      <c r="V501" s="1276"/>
      <c r="AG501" s="1159" t="n">
        <v>35</v>
      </c>
      <c r="AH501" s="1193" t="n">
        <f aca="false">AG501*3.1415926535897/180</f>
        <v>0.610865238197997</v>
      </c>
      <c r="AI501" s="1193" t="n">
        <f aca="false">AH501+0.0005</f>
        <v>0.611365238197997</v>
      </c>
      <c r="AJ501" s="1193" t="n">
        <f aca="false">AH501-0.0005</f>
        <v>0.610365238197997</v>
      </c>
      <c r="AK501" s="1159" t="n">
        <f aca="false">IF(AND(дома!$Z$29&gt;=AJ501,дома!$Z$29&lt;=AI501),связи1!AG501,0)</f>
        <v>0</v>
      </c>
      <c r="AL501" s="1159" t="n">
        <f aca="false">IF(AND(дома!$AA$29&gt;=AJ501,дома!$AA$29&lt;=AI501),связи1!AG501,0)</f>
        <v>0</v>
      </c>
    </row>
    <row r="502" customFormat="false" ht="15" hidden="false" customHeight="false" outlineLevel="0" collapsed="false">
      <c r="A502" s="1269"/>
      <c r="B502" s="1269"/>
      <c r="C502" s="1269"/>
      <c r="D502" s="1271"/>
      <c r="E502" s="1271"/>
      <c r="F502" s="1271"/>
      <c r="G502" s="1271"/>
      <c r="H502" s="1269"/>
      <c r="I502" s="1269"/>
      <c r="U502" s="1276"/>
      <c r="V502" s="1276"/>
      <c r="AG502" s="1159" t="n">
        <v>35.1</v>
      </c>
      <c r="AH502" s="1193" t="n">
        <f aca="false">AG502*3.1415926535897/180</f>
        <v>0.612610567449992</v>
      </c>
      <c r="AI502" s="1193" t="n">
        <f aca="false">AH502+0.0005</f>
        <v>0.613110567449991</v>
      </c>
      <c r="AJ502" s="1193" t="n">
        <f aca="false">AH502-0.0005</f>
        <v>0.612110567449992</v>
      </c>
      <c r="AK502" s="1159" t="n">
        <f aca="false">IF(AND(дома!$Z$29&gt;=AJ502,дома!$Z$29&lt;=AI502),связи1!AG502,0)</f>
        <v>0</v>
      </c>
      <c r="AL502" s="1159" t="n">
        <f aca="false">IF(AND(дома!$AA$29&gt;=AJ502,дома!$AA$29&lt;=AI502),связи1!AG502,0)</f>
        <v>0</v>
      </c>
    </row>
    <row r="503" customFormat="false" ht="15" hidden="false" customHeight="false" outlineLevel="0" collapsed="false">
      <c r="A503" s="1269"/>
      <c r="B503" s="1269"/>
      <c r="C503" s="1269"/>
      <c r="D503" s="1271"/>
      <c r="E503" s="1271"/>
      <c r="F503" s="1271"/>
      <c r="G503" s="1271"/>
      <c r="H503" s="1269"/>
      <c r="I503" s="1269"/>
      <c r="U503" s="1276"/>
      <c r="V503" s="1276"/>
      <c r="AG503" s="1159" t="n">
        <v>35.2</v>
      </c>
      <c r="AH503" s="1193" t="n">
        <f aca="false">AG503*3.1415926535897/180</f>
        <v>0.614355896701986</v>
      </c>
      <c r="AI503" s="1193" t="n">
        <f aca="false">AH503+0.0005</f>
        <v>0.614855896701986</v>
      </c>
      <c r="AJ503" s="1193" t="n">
        <f aca="false">AH503-0.0005</f>
        <v>0.613855896701986</v>
      </c>
      <c r="AK503" s="1159" t="n">
        <f aca="false">IF(AND(дома!$Z$29&gt;=AJ503,дома!$Z$29&lt;=AI503),связи1!AG503,0)</f>
        <v>0</v>
      </c>
      <c r="AL503" s="1159" t="n">
        <f aca="false">IF(AND(дома!$AA$29&gt;=AJ503,дома!$AA$29&lt;=AI503),связи1!AG503,0)</f>
        <v>0</v>
      </c>
    </row>
    <row r="504" customFormat="false" ht="15" hidden="false" customHeight="false" outlineLevel="0" collapsed="false">
      <c r="U504" s="1276"/>
      <c r="V504" s="1276"/>
      <c r="AG504" s="1159" t="n">
        <v>35.3</v>
      </c>
      <c r="AH504" s="1193" t="n">
        <f aca="false">AG504*3.1415926535897/180</f>
        <v>0.61610122595398</v>
      </c>
      <c r="AI504" s="1193" t="n">
        <f aca="false">AH504+0.0005</f>
        <v>0.61660122595398</v>
      </c>
      <c r="AJ504" s="1193" t="n">
        <f aca="false">AH504-0.0005</f>
        <v>0.61560122595398</v>
      </c>
      <c r="AK504" s="1159" t="n">
        <f aca="false">IF(AND(дома!$Z$29&gt;=AJ504,дома!$Z$29&lt;=AI504),связи1!AG504,0)</f>
        <v>0</v>
      </c>
      <c r="AL504" s="1159" t="n">
        <f aca="false">IF(AND(дома!$AA$29&gt;=AJ504,дома!$AA$29&lt;=AI504),связи1!AG504,0)</f>
        <v>0</v>
      </c>
    </row>
    <row r="505" customFormat="false" ht="15" hidden="false" customHeight="false" outlineLevel="0" collapsed="false">
      <c r="A505" s="1269"/>
      <c r="B505" s="1269"/>
      <c r="C505" s="1269"/>
      <c r="D505" s="1271"/>
      <c r="E505" s="1272"/>
      <c r="F505" s="1271"/>
      <c r="G505" s="1271"/>
      <c r="H505" s="1269"/>
      <c r="I505" s="1269"/>
      <c r="J505" s="1269"/>
      <c r="K505" s="1269"/>
      <c r="L505" s="1269"/>
      <c r="M505" s="1269"/>
      <c r="N505" s="1269"/>
      <c r="O505" s="1269"/>
      <c r="P505" s="1269"/>
      <c r="Q505" s="1269"/>
      <c r="R505" s="1269"/>
      <c r="S505" s="1269"/>
      <c r="T505" s="1269"/>
      <c r="U505" s="1276"/>
      <c r="V505" s="1276"/>
      <c r="AG505" s="1159" t="n">
        <v>35.4</v>
      </c>
      <c r="AH505" s="1193" t="n">
        <f aca="false">AG505*3.1415926535897/180</f>
        <v>0.617846555205974</v>
      </c>
      <c r="AI505" s="1193" t="n">
        <f aca="false">AH505+0.0005</f>
        <v>0.618346555205974</v>
      </c>
      <c r="AJ505" s="1193" t="n">
        <f aca="false">AH505-0.0005</f>
        <v>0.617346555205974</v>
      </c>
      <c r="AK505" s="1159" t="n">
        <f aca="false">IF(AND(дома!$Z$29&gt;=AJ505,дома!$Z$29&lt;=AI505),связи1!AG505,0)</f>
        <v>0</v>
      </c>
      <c r="AL505" s="1159" t="n">
        <f aca="false">IF(AND(дома!$AA$29&gt;=AJ505,дома!$AA$29&lt;=AI505),связи1!AG505,0)</f>
        <v>0</v>
      </c>
    </row>
    <row r="506" customFormat="false" ht="15" hidden="false" customHeight="false" outlineLevel="0" collapsed="false">
      <c r="A506" s="1269"/>
      <c r="B506" s="1269"/>
      <c r="C506" s="1269"/>
      <c r="D506" s="1271"/>
      <c r="E506" s="1271"/>
      <c r="F506" s="1271"/>
      <c r="G506" s="1271"/>
      <c r="H506" s="1269"/>
      <c r="I506" s="1269"/>
      <c r="J506" s="1269"/>
      <c r="K506" s="1269"/>
      <c r="L506" s="1269"/>
      <c r="M506" s="1269"/>
      <c r="N506" s="1269"/>
      <c r="O506" s="1269"/>
      <c r="P506" s="1269"/>
      <c r="Q506" s="1269"/>
      <c r="R506" s="1269"/>
      <c r="S506" s="1269"/>
      <c r="T506" s="1269"/>
      <c r="U506" s="1276"/>
      <c r="V506" s="1276"/>
      <c r="AG506" s="1159" t="n">
        <v>35.5</v>
      </c>
      <c r="AH506" s="1193" t="n">
        <f aca="false">AG506*3.1415926535897/180</f>
        <v>0.619591884457969</v>
      </c>
      <c r="AI506" s="1193" t="n">
        <f aca="false">AH506+0.0005</f>
        <v>0.620091884457969</v>
      </c>
      <c r="AJ506" s="1193" t="n">
        <f aca="false">AH506-0.0005</f>
        <v>0.619091884457969</v>
      </c>
      <c r="AK506" s="1159" t="n">
        <f aca="false">IF(AND(дома!$Z$29&gt;=AJ506,дома!$Z$29&lt;=AI506),связи1!AG506,0)</f>
        <v>0</v>
      </c>
      <c r="AL506" s="1159" t="n">
        <f aca="false">IF(AND(дома!$AA$29&gt;=AJ506,дома!$AA$29&lt;=AI506),связи1!AG506,0)</f>
        <v>0</v>
      </c>
    </row>
    <row r="507" customFormat="false" ht="15" hidden="false" customHeight="false" outlineLevel="0" collapsed="false">
      <c r="A507" s="1269"/>
      <c r="B507" s="1269"/>
      <c r="C507" s="1269"/>
      <c r="D507" s="1271"/>
      <c r="E507" s="1271"/>
      <c r="F507" s="1271"/>
      <c r="G507" s="1271"/>
      <c r="H507" s="1269"/>
      <c r="I507" s="1269"/>
      <c r="J507" s="1269"/>
      <c r="K507" s="1269"/>
      <c r="L507" s="1269"/>
      <c r="M507" s="1269"/>
      <c r="N507" s="1269"/>
      <c r="O507" s="1269"/>
      <c r="P507" s="1269"/>
      <c r="Q507" s="1269"/>
      <c r="R507" s="1269"/>
      <c r="S507" s="1269"/>
      <c r="T507" s="1269"/>
      <c r="U507" s="1276"/>
      <c r="V507" s="1276"/>
      <c r="AG507" s="1159" t="n">
        <v>35.6</v>
      </c>
      <c r="AH507" s="1193" t="n">
        <f aca="false">AG507*3.1415926535897/180</f>
        <v>0.621337213709963</v>
      </c>
      <c r="AI507" s="1193" t="n">
        <f aca="false">AH507+0.0005</f>
        <v>0.621837213709963</v>
      </c>
      <c r="AJ507" s="1193" t="n">
        <f aca="false">AH507-0.0005</f>
        <v>0.620837213709963</v>
      </c>
      <c r="AK507" s="1159" t="n">
        <f aca="false">IF(AND(дома!$Z$29&gt;=AJ507,дома!$Z$29&lt;=AI507),связи1!AG507,0)</f>
        <v>0</v>
      </c>
      <c r="AL507" s="1159" t="n">
        <f aca="false">IF(AND(дома!$AA$29&gt;=AJ507,дома!$AA$29&lt;=AI507),связи1!AG507,0)</f>
        <v>0</v>
      </c>
    </row>
    <row r="508" customFormat="false" ht="15" hidden="false" customHeight="false" outlineLevel="0" collapsed="false">
      <c r="A508" s="1269"/>
      <c r="B508" s="1269"/>
      <c r="C508" s="1269"/>
      <c r="D508" s="1271"/>
      <c r="E508" s="1271"/>
      <c r="F508" s="1271"/>
      <c r="G508" s="1271"/>
      <c r="H508" s="1269"/>
      <c r="I508" s="1269"/>
      <c r="J508" s="1269"/>
      <c r="K508" s="1269"/>
      <c r="L508" s="1269"/>
      <c r="M508" s="1269"/>
      <c r="N508" s="1269"/>
      <c r="O508" s="1269"/>
      <c r="P508" s="1269"/>
      <c r="Q508" s="1269"/>
      <c r="R508" s="1269"/>
      <c r="S508" s="1269"/>
      <c r="T508" s="1269"/>
      <c r="U508" s="1276"/>
      <c r="V508" s="1276"/>
      <c r="AG508" s="1159" t="n">
        <v>35.7</v>
      </c>
      <c r="AH508" s="1193" t="n">
        <f aca="false">AG508*3.1415926535897/180</f>
        <v>0.623082542961957</v>
      </c>
      <c r="AI508" s="1193" t="n">
        <f aca="false">AH508+0.0005</f>
        <v>0.623582542961957</v>
      </c>
      <c r="AJ508" s="1193" t="n">
        <f aca="false">AH508-0.0005</f>
        <v>0.622582542961957</v>
      </c>
      <c r="AK508" s="1159" t="n">
        <f aca="false">IF(AND(дома!$Z$29&gt;=AJ508,дома!$Z$29&lt;=AI508),связи1!AG508,0)</f>
        <v>0</v>
      </c>
      <c r="AL508" s="1159" t="n">
        <f aca="false">IF(AND(дома!$AA$29&gt;=AJ508,дома!$AA$29&lt;=AI508),связи1!AG508,0)</f>
        <v>0</v>
      </c>
    </row>
    <row r="509" customFormat="false" ht="15" hidden="false" customHeight="false" outlineLevel="0" collapsed="false">
      <c r="A509" s="1269"/>
      <c r="B509" s="1269"/>
      <c r="C509" s="1269"/>
      <c r="D509" s="1271"/>
      <c r="E509" s="1271"/>
      <c r="F509" s="1271"/>
      <c r="G509" s="1271"/>
      <c r="H509" s="1269"/>
      <c r="I509" s="1269"/>
      <c r="J509" s="1269"/>
      <c r="K509" s="1269"/>
      <c r="L509" s="1269"/>
      <c r="M509" s="1269"/>
      <c r="N509" s="1269"/>
      <c r="O509" s="1269"/>
      <c r="P509" s="1269"/>
      <c r="Q509" s="1269"/>
      <c r="R509" s="1269"/>
      <c r="S509" s="1269"/>
      <c r="T509" s="1269"/>
      <c r="U509" s="1275"/>
      <c r="V509" s="1276"/>
      <c r="AG509" s="1159" t="n">
        <v>35.8</v>
      </c>
      <c r="AH509" s="1193" t="n">
        <f aca="false">AG509*3.1415926535897/180</f>
        <v>0.624827872213951</v>
      </c>
      <c r="AI509" s="1193" t="n">
        <f aca="false">AH509+0.0005</f>
        <v>0.625327872213951</v>
      </c>
      <c r="AJ509" s="1193" t="n">
        <f aca="false">AH509-0.0005</f>
        <v>0.624327872213951</v>
      </c>
      <c r="AK509" s="1159" t="n">
        <f aca="false">IF(AND(дома!$Z$29&gt;=AJ509,дома!$Z$29&lt;=AI509),связи1!AG509,0)</f>
        <v>0</v>
      </c>
      <c r="AL509" s="1159" t="n">
        <f aca="false">IF(AND(дома!$AA$29&gt;=AJ509,дома!$AA$29&lt;=AI509),связи1!AG509,0)</f>
        <v>0</v>
      </c>
    </row>
    <row r="510" customFormat="false" ht="15" hidden="false" customHeight="false" outlineLevel="0" collapsed="false">
      <c r="A510" s="1269"/>
      <c r="B510" s="1269"/>
      <c r="C510" s="1269"/>
      <c r="D510" s="1271"/>
      <c r="E510" s="1271"/>
      <c r="F510" s="1271"/>
      <c r="G510" s="1271"/>
      <c r="H510" s="1269"/>
      <c r="I510" s="1269"/>
      <c r="J510" s="1269"/>
      <c r="K510" s="1269"/>
      <c r="L510" s="1269"/>
      <c r="M510" s="1269"/>
      <c r="N510" s="1269"/>
      <c r="O510" s="1269"/>
      <c r="P510" s="1269"/>
      <c r="Q510" s="1269"/>
      <c r="R510" s="1269"/>
      <c r="S510" s="1269"/>
      <c r="T510" s="1269"/>
      <c r="U510" s="1275"/>
      <c r="V510" s="1276"/>
      <c r="AG510" s="1159" t="n">
        <v>35.9</v>
      </c>
      <c r="AH510" s="1193" t="n">
        <f aca="false">AG510*3.1415926535897/180</f>
        <v>0.626573201465946</v>
      </c>
      <c r="AI510" s="1193" t="n">
        <f aca="false">AH510+0.0005</f>
        <v>0.627073201465946</v>
      </c>
      <c r="AJ510" s="1193" t="n">
        <f aca="false">AH510-0.0005</f>
        <v>0.626073201465946</v>
      </c>
      <c r="AK510" s="1159" t="n">
        <f aca="false">IF(AND(дома!$Z$29&gt;=AJ510,дома!$Z$29&lt;=AI510),связи1!AG510,0)</f>
        <v>0</v>
      </c>
      <c r="AL510" s="1159" t="n">
        <f aca="false">IF(AND(дома!$AA$29&gt;=AJ510,дома!$AA$29&lt;=AI510),связи1!AG510,0)</f>
        <v>0</v>
      </c>
    </row>
    <row r="511" customFormat="false" ht="15" hidden="false" customHeight="false" outlineLevel="0" collapsed="false">
      <c r="A511" s="1269"/>
      <c r="B511" s="1269"/>
      <c r="C511" s="1269"/>
      <c r="D511" s="1271"/>
      <c r="E511" s="1271"/>
      <c r="F511" s="1271"/>
      <c r="G511" s="1271"/>
      <c r="H511" s="1269"/>
      <c r="I511" s="1269"/>
      <c r="J511" s="1269"/>
      <c r="K511" s="1269"/>
      <c r="L511" s="1269"/>
      <c r="M511" s="1269"/>
      <c r="N511" s="1269"/>
      <c r="O511" s="1269"/>
      <c r="P511" s="1269"/>
      <c r="Q511" s="1269"/>
      <c r="R511" s="1269"/>
      <c r="S511" s="1269"/>
      <c r="T511" s="1269"/>
      <c r="U511" s="1275"/>
      <c r="V511" s="1276"/>
      <c r="AG511" s="1159" t="n">
        <v>36</v>
      </c>
      <c r="AH511" s="1193" t="n">
        <f aca="false">AG511*3.1415926535897/180</f>
        <v>0.62831853071794</v>
      </c>
      <c r="AI511" s="1193" t="n">
        <f aca="false">AH511+0.0005</f>
        <v>0.62881853071794</v>
      </c>
      <c r="AJ511" s="1193" t="n">
        <f aca="false">AH511-0.0005</f>
        <v>0.62781853071794</v>
      </c>
      <c r="AK511" s="1159" t="n">
        <f aca="false">IF(AND(дома!$Z$29&gt;=AJ511,дома!$Z$29&lt;=AI511),связи1!AG511,0)</f>
        <v>0</v>
      </c>
      <c r="AL511" s="1159" t="n">
        <f aca="false">IF(AND(дома!$AA$29&gt;=AJ511,дома!$AA$29&lt;=AI511),связи1!AG511,0)</f>
        <v>0</v>
      </c>
    </row>
    <row r="512" customFormat="false" ht="15" hidden="false" customHeight="false" outlineLevel="0" collapsed="false">
      <c r="A512" s="1269"/>
      <c r="B512" s="1269"/>
      <c r="C512" s="1269"/>
      <c r="D512" s="1271"/>
      <c r="E512" s="1271"/>
      <c r="F512" s="1271"/>
      <c r="G512" s="1271"/>
      <c r="H512" s="1269"/>
      <c r="I512" s="1269"/>
      <c r="J512" s="1269"/>
      <c r="K512" s="1269"/>
      <c r="L512" s="1269"/>
      <c r="M512" s="1269"/>
      <c r="N512" s="1269"/>
      <c r="O512" s="1269"/>
      <c r="P512" s="1269"/>
      <c r="Q512" s="1269"/>
      <c r="R512" s="1269"/>
      <c r="S512" s="1269"/>
      <c r="T512" s="1269"/>
      <c r="U512" s="1276"/>
      <c r="V512" s="1276"/>
      <c r="AG512" s="1159" t="n">
        <v>36.1</v>
      </c>
      <c r="AH512" s="1193" t="n">
        <f aca="false">AG512*3.1415926535897/180</f>
        <v>0.630063859969934</v>
      </c>
      <c r="AI512" s="1193" t="n">
        <f aca="false">AH512+0.0005</f>
        <v>0.630563859969934</v>
      </c>
      <c r="AJ512" s="1193" t="n">
        <f aca="false">AH512-0.0005</f>
        <v>0.629563859969934</v>
      </c>
      <c r="AK512" s="1159" t="n">
        <f aca="false">IF(AND(дома!$Z$29&gt;=AJ512,дома!$Z$29&lt;=AI512),связи1!AG512,0)</f>
        <v>0</v>
      </c>
      <c r="AL512" s="1159" t="n">
        <f aca="false">IF(AND(дома!$AA$29&gt;=AJ512,дома!$AA$29&lt;=AI512),связи1!AG512,0)</f>
        <v>0</v>
      </c>
    </row>
    <row r="513" customFormat="false" ht="15" hidden="false" customHeight="false" outlineLevel="0" collapsed="false">
      <c r="A513" s="1158" t="str">
        <f aca="false">'Прайс лист'!B821</f>
        <v>Нет</v>
      </c>
      <c r="B513" s="1158" t="n">
        <f aca="false">'Прайс лист'!E821</f>
        <v>0</v>
      </c>
      <c r="C513" s="1158" t="n">
        <f aca="false">'Прайс лист'!D821</f>
        <v>0</v>
      </c>
      <c r="D513" s="1158" t="n">
        <f aca="false">'Прайс лист'!C821</f>
        <v>0</v>
      </c>
      <c r="E513" s="1158" t="n">
        <f aca="false">'Прайс лист'!F821</f>
        <v>0</v>
      </c>
      <c r="F513" s="1158" t="n">
        <f aca="false">'Прайс лист'!G821</f>
        <v>0</v>
      </c>
      <c r="AG513" s="1159" t="n">
        <v>36.2</v>
      </c>
      <c r="AH513" s="1193" t="n">
        <f aca="false">AG513*3.1415926535897/180</f>
        <v>0.631809189221929</v>
      </c>
      <c r="AI513" s="1193" t="n">
        <f aca="false">AH513+0.0005</f>
        <v>0.632309189221929</v>
      </c>
      <c r="AJ513" s="1193" t="n">
        <f aca="false">AH513-0.0005</f>
        <v>0.631309189221929</v>
      </c>
      <c r="AK513" s="1159" t="n">
        <f aca="false">IF(AND(дома!$Z$29&gt;=AJ513,дома!$Z$29&lt;=AI513),связи1!AG513,0)</f>
        <v>0</v>
      </c>
      <c r="AL513" s="1159" t="n">
        <f aca="false">IF(AND(дома!$AA$29&gt;=AJ513,дома!$AA$29&lt;=AI513),связи1!AG513,0)</f>
        <v>0</v>
      </c>
    </row>
    <row r="514" customFormat="false" ht="15" hidden="false" customHeight="false" outlineLevel="0" collapsed="false">
      <c r="A514" s="1158" t="str">
        <f aca="false">'Прайс лист'!B822</f>
        <v>0,7НФ/150/75 Красный</v>
      </c>
      <c r="B514" s="1158" t="n">
        <f aca="false">'Прайс лист'!E822/1000</f>
        <v>0.25</v>
      </c>
      <c r="C514" s="1158" t="n">
        <f aca="false">'Прайс лист'!D822/1000</f>
        <v>0.085</v>
      </c>
      <c r="D514" s="1158" t="n">
        <f aca="false">'Прайс лист'!C822/1000</f>
        <v>0.065</v>
      </c>
      <c r="E514" s="1158" t="n">
        <f aca="false">'Прайс лист'!F822</f>
        <v>11.59</v>
      </c>
      <c r="F514" s="1158" t="n">
        <f aca="false">CEILING(1/B514/D514*E514,1)</f>
        <v>714</v>
      </c>
      <c r="AG514" s="1159" t="n">
        <v>36.3</v>
      </c>
      <c r="AH514" s="1193" t="n">
        <f aca="false">AG514*3.1415926535897/180</f>
        <v>0.633554518473923</v>
      </c>
      <c r="AI514" s="1193" t="n">
        <f aca="false">AH514+0.0005</f>
        <v>0.634054518473923</v>
      </c>
      <c r="AJ514" s="1193" t="n">
        <f aca="false">AH514-0.0005</f>
        <v>0.633054518473923</v>
      </c>
      <c r="AK514" s="1159" t="n">
        <f aca="false">IF(AND(дома!$Z$29&gt;=AJ514,дома!$Z$29&lt;=AI514),связи1!AG514,0)</f>
        <v>0</v>
      </c>
      <c r="AL514" s="1159" t="n">
        <f aca="false">IF(AND(дома!$AA$29&gt;=AJ514,дома!$AA$29&lt;=AI514),связи1!AG514,0)</f>
        <v>0</v>
      </c>
    </row>
    <row r="515" customFormat="false" ht="15" hidden="false" customHeight="false" outlineLevel="0" collapsed="false">
      <c r="A515" s="1158" t="str">
        <f aca="false">'Прайс лист'!B823</f>
        <v>0,7НФ/150/75 Аренберг</v>
      </c>
      <c r="B515" s="1158" t="n">
        <f aca="false">'Прайс лист'!E823/1000</f>
        <v>0.25</v>
      </c>
      <c r="C515" s="1158" t="n">
        <f aca="false">'Прайс лист'!D823/1000</f>
        <v>0.085</v>
      </c>
      <c r="D515" s="1158" t="n">
        <f aca="false">'Прайс лист'!C823/1000</f>
        <v>0.065</v>
      </c>
      <c r="E515" s="1158" t="n">
        <f aca="false">'Прайс лист'!F823</f>
        <v>17.08</v>
      </c>
      <c r="F515" s="1158" t="n">
        <f aca="false">CEILING(1/B515/D515*E515,1)</f>
        <v>1052</v>
      </c>
      <c r="AG515" s="1159" t="n">
        <v>36.4</v>
      </c>
      <c r="AH515" s="1193" t="n">
        <f aca="false">AG515*3.1415926535897/180</f>
        <v>0.635299847725917</v>
      </c>
      <c r="AI515" s="1193" t="n">
        <f aca="false">AH515+0.0005</f>
        <v>0.635799847725917</v>
      </c>
      <c r="AJ515" s="1193" t="n">
        <f aca="false">AH515-0.0005</f>
        <v>0.634799847725917</v>
      </c>
      <c r="AK515" s="1159" t="n">
        <f aca="false">IF(AND(дома!$Z$29&gt;=AJ515,дома!$Z$29&lt;=AI515),связи1!AG515,0)</f>
        <v>0</v>
      </c>
      <c r="AL515" s="1159" t="n">
        <f aca="false">IF(AND(дома!$AA$29&gt;=AJ515,дома!$AA$29&lt;=AI515),связи1!AG515,0)</f>
        <v>0</v>
      </c>
    </row>
    <row r="516" customFormat="false" ht="15" hidden="false" customHeight="false" outlineLevel="0" collapsed="false">
      <c r="A516" s="1158" t="str">
        <f aca="false">'Прайс лист'!B824</f>
        <v>0,7НФ/150/75 Гляссе</v>
      </c>
      <c r="B516" s="1158" t="n">
        <f aca="false">'Прайс лист'!E824/1000</f>
        <v>0.25</v>
      </c>
      <c r="C516" s="1158" t="n">
        <f aca="false">'Прайс лист'!D824/1000</f>
        <v>0.085</v>
      </c>
      <c r="D516" s="1158" t="n">
        <f aca="false">'Прайс лист'!C824/1000</f>
        <v>0.065</v>
      </c>
      <c r="E516" s="1158" t="n">
        <f aca="false">'Прайс лист'!F824</f>
        <v>17.08</v>
      </c>
      <c r="F516" s="1158" t="n">
        <f aca="false">CEILING(1/B516/D516*E516,1)</f>
        <v>1052</v>
      </c>
      <c r="AG516" s="1159" t="n">
        <v>36.5</v>
      </c>
      <c r="AH516" s="1193" t="n">
        <f aca="false">AG516*3.1415926535897/180</f>
        <v>0.637045176977911</v>
      </c>
      <c r="AI516" s="1193" t="n">
        <f aca="false">AH516+0.0005</f>
        <v>0.637545176977911</v>
      </c>
      <c r="AJ516" s="1193" t="n">
        <f aca="false">AH516-0.0005</f>
        <v>0.636545176977911</v>
      </c>
      <c r="AK516" s="1159" t="n">
        <f aca="false">IF(AND(дома!$Z$29&gt;=AJ516,дома!$Z$29&lt;=AI516),связи1!AG516,0)</f>
        <v>0</v>
      </c>
      <c r="AL516" s="1159" t="n">
        <f aca="false">IF(AND(дома!$AA$29&gt;=AJ516,дома!$AA$29&lt;=AI516),связи1!AG516,0)</f>
        <v>0</v>
      </c>
    </row>
    <row r="517" customFormat="false" ht="15" hidden="false" customHeight="false" outlineLevel="0" collapsed="false">
      <c r="A517" s="1158" t="str">
        <f aca="false">'Прайс лист'!B825</f>
        <v>0,7НФ/150/75 Терракот</v>
      </c>
      <c r="B517" s="1158" t="n">
        <f aca="false">'Прайс лист'!E825/1000</f>
        <v>0.25</v>
      </c>
      <c r="C517" s="1158" t="n">
        <f aca="false">'Прайс лист'!D825/1000</f>
        <v>0.085</v>
      </c>
      <c r="D517" s="1158" t="n">
        <f aca="false">'Прайс лист'!C825/1000</f>
        <v>0.065</v>
      </c>
      <c r="E517" s="1158" t="n">
        <f aca="false">'Прайс лист'!F825</f>
        <v>17.08</v>
      </c>
      <c r="F517" s="1158" t="n">
        <f aca="false">CEILING(1/B517/D517*E517,1)</f>
        <v>1052</v>
      </c>
      <c r="AG517" s="1159" t="n">
        <v>36.6</v>
      </c>
      <c r="AH517" s="1193" t="n">
        <f aca="false">AG517*3.1415926535897/180</f>
        <v>0.638790506229906</v>
      </c>
      <c r="AI517" s="1193" t="n">
        <f aca="false">AH517+0.0005</f>
        <v>0.639290506229906</v>
      </c>
      <c r="AJ517" s="1193" t="n">
        <f aca="false">AH517-0.0005</f>
        <v>0.638290506229906</v>
      </c>
      <c r="AK517" s="1159" t="n">
        <f aca="false">IF(AND(дома!$Z$29&gt;=AJ517,дома!$Z$29&lt;=AI517),связи1!AG517,0)</f>
        <v>0</v>
      </c>
      <c r="AL517" s="1159" t="n">
        <f aca="false">IF(AND(дома!$AA$29&gt;=AJ517,дома!$AA$29&lt;=AI517),связи1!AG517,0)</f>
        <v>0</v>
      </c>
    </row>
    <row r="518" customFormat="false" ht="15" hidden="false" customHeight="false" outlineLevel="0" collapsed="false">
      <c r="A518" s="1158" t="str">
        <f aca="false">'Прайс лист'!B826</f>
        <v>0,7НФ/150/75 Шоколад</v>
      </c>
      <c r="B518" s="1158" t="n">
        <f aca="false">'Прайс лист'!E826/1000</f>
        <v>0.25</v>
      </c>
      <c r="C518" s="1158" t="n">
        <f aca="false">'Прайс лист'!D826/1000</f>
        <v>0.085</v>
      </c>
      <c r="D518" s="1158" t="n">
        <f aca="false">'Прайс лист'!C826/1000</f>
        <v>0.065</v>
      </c>
      <c r="E518" s="1158" t="n">
        <f aca="false">'Прайс лист'!F826</f>
        <v>17.08</v>
      </c>
      <c r="F518" s="1158" t="n">
        <f aca="false">CEILING(1/B518/D518*E518,1)</f>
        <v>1052</v>
      </c>
      <c r="AG518" s="1159" t="n">
        <v>36.7</v>
      </c>
      <c r="AH518" s="1193" t="n">
        <f aca="false">AG518*3.1415926535897/180</f>
        <v>0.6405358354819</v>
      </c>
      <c r="AI518" s="1193" t="n">
        <f aca="false">AH518+0.0005</f>
        <v>0.6410358354819</v>
      </c>
      <c r="AJ518" s="1193" t="n">
        <f aca="false">AH518-0.0005</f>
        <v>0.6400358354819</v>
      </c>
      <c r="AK518" s="1159" t="n">
        <f aca="false">IF(AND(дома!$Z$29&gt;=AJ518,дома!$Z$29&lt;=AI518),связи1!AG518,0)</f>
        <v>0</v>
      </c>
      <c r="AL518" s="1159" t="n">
        <f aca="false">IF(AND(дома!$AA$29&gt;=AJ518,дома!$AA$29&lt;=AI518),связи1!AG518,0)</f>
        <v>0</v>
      </c>
    </row>
    <row r="519" customFormat="false" ht="15" hidden="false" customHeight="false" outlineLevel="0" collapsed="false">
      <c r="A519" s="1158" t="str">
        <f aca="false">'Прайс лист'!B827</f>
        <v>0,7НФ/150/75 Темный Шоколад</v>
      </c>
      <c r="B519" s="1158" t="n">
        <f aca="false">'Прайс лист'!E827/1000</f>
        <v>0.25</v>
      </c>
      <c r="C519" s="1158" t="n">
        <f aca="false">'Прайс лист'!D827/1000</f>
        <v>0.085</v>
      </c>
      <c r="D519" s="1158" t="n">
        <f aca="false">'Прайс лист'!C827/1000</f>
        <v>0.065</v>
      </c>
      <c r="E519" s="1158" t="n">
        <f aca="false">'Прайс лист'!F827</f>
        <v>17.08</v>
      </c>
      <c r="F519" s="1158" t="n">
        <f aca="false">CEILING(1/B519/D519*E519,1)</f>
        <v>1052</v>
      </c>
      <c r="AG519" s="1159" t="n">
        <v>36.8</v>
      </c>
      <c r="AH519" s="1193" t="n">
        <f aca="false">AG519*3.1415926535897/180</f>
        <v>0.642281164733894</v>
      </c>
      <c r="AI519" s="1193" t="n">
        <f aca="false">AH519+0.0005</f>
        <v>0.642781164733894</v>
      </c>
      <c r="AJ519" s="1193" t="n">
        <f aca="false">AH519-0.0005</f>
        <v>0.641781164733894</v>
      </c>
      <c r="AK519" s="1159" t="n">
        <f aca="false">IF(AND(дома!$Z$29&gt;=AJ519,дома!$Z$29&lt;=AI519),связи1!AG519,0)</f>
        <v>0</v>
      </c>
      <c r="AL519" s="1159" t="n">
        <f aca="false">IF(AND(дома!$AA$29&gt;=AJ519,дома!$AA$29&lt;=AI519),связи1!AG519,0)</f>
        <v>0</v>
      </c>
    </row>
    <row r="520" customFormat="false" ht="15" hidden="false" customHeight="false" outlineLevel="0" collapsed="false">
      <c r="A520" s="1158" t="str">
        <f aca="false">'Прайс лист'!B828</f>
        <v>0,7НФ/150/75 Бавария Микс</v>
      </c>
      <c r="B520" s="1158" t="n">
        <f aca="false">'Прайс лист'!E828/1000</f>
        <v>0.25</v>
      </c>
      <c r="C520" s="1158" t="n">
        <f aca="false">'Прайс лист'!D828/1000</f>
        <v>0.085</v>
      </c>
      <c r="D520" s="1158" t="n">
        <f aca="false">'Прайс лист'!C828/1000</f>
        <v>0.065</v>
      </c>
      <c r="E520" s="1158" t="n">
        <f aca="false">'Прайс лист'!F828</f>
        <v>17.08</v>
      </c>
      <c r="F520" s="1158" t="n">
        <f aca="false">CEILING(1/B520/D520*E520,1)</f>
        <v>1052</v>
      </c>
      <c r="AG520" s="1159" t="n">
        <v>36.9</v>
      </c>
      <c r="AH520" s="1193" t="n">
        <f aca="false">AG520*3.1415926535897/180</f>
        <v>0.644026493985888</v>
      </c>
      <c r="AI520" s="1193" t="n">
        <f aca="false">AH520+0.0005</f>
        <v>0.644526493985888</v>
      </c>
      <c r="AJ520" s="1193" t="n">
        <f aca="false">AH520-0.0005</f>
        <v>0.643526493985888</v>
      </c>
      <c r="AK520" s="1159" t="n">
        <f aca="false">IF(AND(дома!$Z$29&gt;=AJ520,дома!$Z$29&lt;=AI520),связи1!AG520,0)</f>
        <v>0</v>
      </c>
      <c r="AL520" s="1159" t="n">
        <f aca="false">IF(AND(дома!$AA$29&gt;=AJ520,дома!$AA$29&lt;=AI520),связи1!AG520,0)</f>
        <v>0</v>
      </c>
    </row>
    <row r="521" customFormat="false" ht="15" hidden="false" customHeight="false" outlineLevel="0" collapsed="false">
      <c r="A521" s="1158" t="str">
        <f aca="false">'Прайс лист'!B829</f>
        <v>0,7НФ/150/50 Белый</v>
      </c>
      <c r="B521" s="1158" t="n">
        <f aca="false">'Прайс лист'!E829/1000</f>
        <v>0.25</v>
      </c>
      <c r="C521" s="1158" t="n">
        <f aca="false">'Прайс лист'!D829/1000</f>
        <v>0.085</v>
      </c>
      <c r="D521" s="1158" t="n">
        <f aca="false">'Прайс лист'!C829/1000</f>
        <v>0.065</v>
      </c>
      <c r="E521" s="1158" t="n">
        <f aca="false">'Прайс лист'!F829</f>
        <v>20.77</v>
      </c>
      <c r="F521" s="1158" t="n">
        <f aca="false">CEILING(1/B521/D521*E521,1)</f>
        <v>1279</v>
      </c>
      <c r="AG521" s="1159" t="n">
        <v>37</v>
      </c>
      <c r="AH521" s="1193" t="n">
        <f aca="false">AG521*3.1415926535897/180</f>
        <v>0.645771823237883</v>
      </c>
      <c r="AI521" s="1193" t="n">
        <f aca="false">AH521+0.0005</f>
        <v>0.646271823237883</v>
      </c>
      <c r="AJ521" s="1193" t="n">
        <f aca="false">AH521-0.0005</f>
        <v>0.645271823237883</v>
      </c>
      <c r="AK521" s="1159" t="n">
        <f aca="false">IF(AND(дома!$Z$29&gt;=AJ521,дома!$Z$29&lt;=AI521),связи1!AG521,0)</f>
        <v>0</v>
      </c>
      <c r="AL521" s="1159" t="n">
        <f aca="false">IF(AND(дома!$AA$29&gt;=AJ521,дома!$AA$29&lt;=AI521),связи1!AG521,0)</f>
        <v>0</v>
      </c>
    </row>
    <row r="522" customFormat="false" ht="15" hidden="false" customHeight="false" outlineLevel="0" collapsed="false">
      <c r="A522" s="1158" t="str">
        <f aca="false">'Прайс лист'!B830</f>
        <v>0,7НФ/150/50 Лотос</v>
      </c>
      <c r="B522" s="1158" t="n">
        <f aca="false">'Прайс лист'!E830/1000</f>
        <v>0.25</v>
      </c>
      <c r="C522" s="1158" t="n">
        <f aca="false">'Прайс лист'!D830/1000</f>
        <v>0.085</v>
      </c>
      <c r="D522" s="1158" t="n">
        <f aca="false">'Прайс лист'!C830/1000</f>
        <v>0.065</v>
      </c>
      <c r="E522" s="1158" t="n">
        <f aca="false">'Прайс лист'!F830</f>
        <v>18.33</v>
      </c>
      <c r="F522" s="1158" t="n">
        <f aca="false">CEILING(1/B522/D522*E522,1)</f>
        <v>1128</v>
      </c>
      <c r="AG522" s="1159" t="n">
        <v>37.1</v>
      </c>
      <c r="AH522" s="1193" t="n">
        <f aca="false">AG522*3.1415926535897/180</f>
        <v>0.647517152489877</v>
      </c>
      <c r="AI522" s="1193" t="n">
        <f aca="false">AH522+0.0005</f>
        <v>0.648017152489877</v>
      </c>
      <c r="AJ522" s="1193" t="n">
        <f aca="false">AH522-0.0005</f>
        <v>0.647017152489877</v>
      </c>
      <c r="AK522" s="1159" t="n">
        <f aca="false">IF(AND(дома!$Z$29&gt;=AJ522,дома!$Z$29&lt;=AI522),связи1!AG522,0)</f>
        <v>0</v>
      </c>
      <c r="AL522" s="1159" t="n">
        <f aca="false">IF(AND(дома!$AA$29&gt;=AJ522,дома!$AA$29&lt;=AI522),связи1!AG522,0)</f>
        <v>0</v>
      </c>
    </row>
    <row r="523" customFormat="false" ht="15" hidden="false" customHeight="false" outlineLevel="0" collapsed="false">
      <c r="A523" s="1158" t="str">
        <f aca="false">'Прайс лист'!B831</f>
        <v>0,7НФ/150/50 Камелот Гляссе</v>
      </c>
      <c r="B523" s="1158" t="n">
        <f aca="false">'Прайс лист'!E831/1000</f>
        <v>0.25</v>
      </c>
      <c r="C523" s="1158" t="n">
        <f aca="false">'Прайс лист'!D831/1000</f>
        <v>0.085</v>
      </c>
      <c r="D523" s="1158" t="n">
        <f aca="false">'Прайс лист'!C831/1000</f>
        <v>0.065</v>
      </c>
      <c r="E523" s="1158" t="n">
        <f aca="false">'Прайс лист'!F831</f>
        <v>20.76</v>
      </c>
      <c r="F523" s="1158" t="n">
        <f aca="false">CEILING(1/B523/D523*E523,1)</f>
        <v>1278</v>
      </c>
      <c r="AG523" s="1159" t="n">
        <v>37.2</v>
      </c>
      <c r="AH523" s="1193" t="n">
        <f aca="false">AG523*3.1415926535897/180</f>
        <v>0.649262481741871</v>
      </c>
      <c r="AI523" s="1193" t="n">
        <f aca="false">AH523+0.0005</f>
        <v>0.649762481741871</v>
      </c>
      <c r="AJ523" s="1193" t="n">
        <f aca="false">AH523-0.0005</f>
        <v>0.648762481741871</v>
      </c>
      <c r="AK523" s="1159" t="n">
        <f aca="false">IF(AND(дома!$Z$29&gt;=AJ523,дома!$Z$29&lt;=AI523),связи1!AG523,0)</f>
        <v>0</v>
      </c>
      <c r="AL523" s="1159" t="n">
        <f aca="false">IF(AND(дома!$AA$29&gt;=AJ523,дома!$AA$29&lt;=AI523),связи1!AG523,0)</f>
        <v>0</v>
      </c>
    </row>
    <row r="524" customFormat="false" ht="15" hidden="false" customHeight="false" outlineLevel="0" collapsed="false">
      <c r="A524" s="1158" t="str">
        <f aca="false">'Прайс лист'!B832</f>
        <v>0,7НФ/150/50 Камелот Терракот</v>
      </c>
      <c r="B524" s="1158" t="n">
        <f aca="false">'Прайс лист'!E832/1000</f>
        <v>0.25</v>
      </c>
      <c r="C524" s="1158" t="n">
        <f aca="false">'Прайс лист'!D832/1000</f>
        <v>0.085</v>
      </c>
      <c r="D524" s="1158" t="n">
        <f aca="false">'Прайс лист'!C832/1000</f>
        <v>0.065</v>
      </c>
      <c r="E524" s="1158" t="n">
        <f aca="false">'Прайс лист'!F832</f>
        <v>20.76</v>
      </c>
      <c r="F524" s="1158" t="n">
        <f aca="false">CEILING(1/B524/D524*E524,1)</f>
        <v>1278</v>
      </c>
      <c r="AG524" s="1159" t="n">
        <v>37.3</v>
      </c>
      <c r="AH524" s="1193" t="n">
        <f aca="false">AG524*3.1415926535897/180</f>
        <v>0.651007810993865</v>
      </c>
      <c r="AI524" s="1193" t="n">
        <f aca="false">AH524+0.0005</f>
        <v>0.651507810993865</v>
      </c>
      <c r="AJ524" s="1193" t="n">
        <f aca="false">AH524-0.0005</f>
        <v>0.650507810993866</v>
      </c>
      <c r="AK524" s="1159" t="n">
        <f aca="false">IF(AND(дома!$Z$29&gt;=AJ524,дома!$Z$29&lt;=AI524),связи1!AG524,0)</f>
        <v>0</v>
      </c>
      <c r="AL524" s="1159" t="n">
        <f aca="false">IF(AND(дома!$AA$29&gt;=AJ524,дома!$AA$29&lt;=AI524),связи1!AG524,0)</f>
        <v>0</v>
      </c>
    </row>
    <row r="525" customFormat="false" ht="15" hidden="false" customHeight="false" outlineLevel="0" collapsed="false">
      <c r="A525" s="1158" t="str">
        <f aca="false">'Прайс лист'!B833</f>
        <v>0,7НФ/150/50 Камелот Шоколад</v>
      </c>
      <c r="B525" s="1158" t="n">
        <f aca="false">'Прайс лист'!E833/1000</f>
        <v>0.25</v>
      </c>
      <c r="C525" s="1158" t="n">
        <f aca="false">'Прайс лист'!D833/1000</f>
        <v>0.085</v>
      </c>
      <c r="D525" s="1158" t="n">
        <f aca="false">'Прайс лист'!C833/1000</f>
        <v>0.065</v>
      </c>
      <c r="E525" s="1158" t="n">
        <f aca="false">'Прайс лист'!F833</f>
        <v>20.76</v>
      </c>
      <c r="F525" s="1158" t="n">
        <f aca="false">CEILING(1/B525/D525*E525,1)</f>
        <v>1278</v>
      </c>
      <c r="AG525" s="1159" t="n">
        <v>37.4</v>
      </c>
      <c r="AH525" s="1193" t="n">
        <f aca="false">AG525*3.1415926535897/180</f>
        <v>0.65275314024586</v>
      </c>
      <c r="AI525" s="1193" t="n">
        <f aca="false">AH525+0.0005</f>
        <v>0.65325314024586</v>
      </c>
      <c r="AJ525" s="1193" t="n">
        <f aca="false">AH525-0.0005</f>
        <v>0.65225314024586</v>
      </c>
      <c r="AK525" s="1159" t="n">
        <f aca="false">IF(AND(дома!$Z$29&gt;=AJ525,дома!$Z$29&lt;=AI525),связи1!AG525,0)</f>
        <v>0</v>
      </c>
      <c r="AL525" s="1159" t="n">
        <f aca="false">IF(AND(дома!$AA$29&gt;=AJ525,дома!$AA$29&lt;=AI525),связи1!AG525,0)</f>
        <v>0</v>
      </c>
    </row>
    <row r="526" customFormat="false" ht="15" hidden="false" customHeight="false" outlineLevel="0" collapsed="false">
      <c r="A526" s="1158" t="str">
        <f aca="false">'Прайс лист'!B834</f>
        <v>0,7НФ/150/50 Камелот Темный Шоколад</v>
      </c>
      <c r="B526" s="1158" t="n">
        <f aca="false">'Прайс лист'!E834/1000</f>
        <v>0.25</v>
      </c>
      <c r="C526" s="1158" t="n">
        <f aca="false">'Прайс лист'!D834/1000</f>
        <v>0.085</v>
      </c>
      <c r="D526" s="1158" t="n">
        <f aca="false">'Прайс лист'!C834/1000</f>
        <v>0.065</v>
      </c>
      <c r="E526" s="1158" t="n">
        <f aca="false">'Прайс лист'!F834</f>
        <v>22.73</v>
      </c>
      <c r="F526" s="1158" t="n">
        <f aca="false">CEILING(1/B526/D526*E526,1)</f>
        <v>1399</v>
      </c>
      <c r="AG526" s="1159" t="n">
        <v>37.5</v>
      </c>
      <c r="AH526" s="1193" t="n">
        <f aca="false">AG526*3.1415926535897/180</f>
        <v>0.654498469497854</v>
      </c>
      <c r="AI526" s="1193" t="n">
        <f aca="false">AH526+0.0005</f>
        <v>0.654998469497854</v>
      </c>
      <c r="AJ526" s="1193" t="n">
        <f aca="false">AH526-0.0005</f>
        <v>0.653998469497854</v>
      </c>
      <c r="AK526" s="1159" t="n">
        <f aca="false">IF(AND(дома!$Z$29&gt;=AJ526,дома!$Z$29&lt;=AI526),связи1!AG526,0)</f>
        <v>0</v>
      </c>
      <c r="AL526" s="1159" t="n">
        <f aca="false">IF(AND(дома!$AA$29&gt;=AJ526,дома!$AA$29&lt;=AI526),связи1!AG526,0)</f>
        <v>0</v>
      </c>
    </row>
    <row r="527" customFormat="false" ht="15" hidden="false" customHeight="false" outlineLevel="0" collapsed="false">
      <c r="A527" s="1158" t="str">
        <f aca="false">'Прайс лист'!B835</f>
        <v>0,7НФ/150/50 Камелот Микс</v>
      </c>
      <c r="B527" s="1158" t="n">
        <f aca="false">'Прайс лист'!E835/1000</f>
        <v>0.25</v>
      </c>
      <c r="C527" s="1158" t="n">
        <f aca="false">'Прайс лист'!D835/1000</f>
        <v>0.085</v>
      </c>
      <c r="D527" s="1158" t="n">
        <f aca="false">'Прайс лист'!C835/1000</f>
        <v>0.065</v>
      </c>
      <c r="E527" s="1158" t="n">
        <f aca="false">'Прайс лист'!F835</f>
        <v>20.76</v>
      </c>
      <c r="F527" s="1158" t="n">
        <f aca="false">CEILING(1/B527/D527*E527,1)</f>
        <v>1278</v>
      </c>
      <c r="AG527" s="1159" t="n">
        <v>37.6</v>
      </c>
      <c r="AH527" s="1193" t="n">
        <f aca="false">AG527*3.1415926535897/180</f>
        <v>0.656243798749849</v>
      </c>
      <c r="AI527" s="1193" t="n">
        <f aca="false">AH527+0.0005</f>
        <v>0.656743798749848</v>
      </c>
      <c r="AJ527" s="1193" t="n">
        <f aca="false">AH527-0.0005</f>
        <v>0.655743798749849</v>
      </c>
      <c r="AK527" s="1159" t="n">
        <f aca="false">IF(AND(дома!$Z$29&gt;=AJ527,дома!$Z$29&lt;=AI527),связи1!AG527,0)</f>
        <v>0</v>
      </c>
      <c r="AL527" s="1159" t="n">
        <f aca="false">IF(AND(дома!$AA$29&gt;=AJ527,дома!$AA$29&lt;=AI527),связи1!AG527,0)</f>
        <v>0</v>
      </c>
    </row>
    <row r="528" customFormat="false" ht="15" hidden="false" customHeight="false" outlineLevel="0" collapsed="false">
      <c r="A528" s="1158" t="str">
        <f aca="false">'Прайс лист'!B836</f>
        <v>1НФ/150/75 Красный</v>
      </c>
      <c r="B528" s="1158" t="n">
        <f aca="false">'Прайс лист'!E836/1000</f>
        <v>0.25</v>
      </c>
      <c r="C528" s="1158" t="n">
        <f aca="false">'Прайс лист'!D836/1000</f>
        <v>0.12</v>
      </c>
      <c r="D528" s="1158" t="n">
        <f aca="false">'Прайс лист'!C836/1000</f>
        <v>0.065</v>
      </c>
      <c r="E528" s="1158" t="n">
        <f aca="false">'Прайс лист'!F836</f>
        <v>13.63</v>
      </c>
      <c r="F528" s="1158" t="n">
        <f aca="false">CEILING(1/B528/D528*E528,1)</f>
        <v>839</v>
      </c>
      <c r="AG528" s="1159" t="n">
        <v>37.7</v>
      </c>
      <c r="AH528" s="1193" t="n">
        <f aca="false">AG528*3.1415926535897/180</f>
        <v>0.657989128001843</v>
      </c>
      <c r="AI528" s="1193" t="n">
        <f aca="false">AH528+0.0005</f>
        <v>0.658489128001843</v>
      </c>
      <c r="AJ528" s="1193" t="n">
        <f aca="false">AH528-0.0005</f>
        <v>0.657489128001843</v>
      </c>
      <c r="AK528" s="1159" t="n">
        <f aca="false">IF(AND(дома!$Z$29&gt;=AJ528,дома!$Z$29&lt;=AI528),связи1!AG528,0)</f>
        <v>0</v>
      </c>
      <c r="AL528" s="1159" t="n">
        <f aca="false">IF(AND(дома!$AA$29&gt;=AJ528,дома!$AA$29&lt;=AI528),связи1!AG528,0)</f>
        <v>0</v>
      </c>
    </row>
    <row r="529" customFormat="false" ht="15" hidden="false" customHeight="false" outlineLevel="0" collapsed="false">
      <c r="A529" s="1158" t="str">
        <f aca="false">'Прайс лист'!B837</f>
        <v>1НФ/150/75 Аренберг</v>
      </c>
      <c r="B529" s="1158" t="n">
        <f aca="false">'Прайс лист'!E837/1000</f>
        <v>0.25</v>
      </c>
      <c r="C529" s="1158" t="n">
        <f aca="false">'Прайс лист'!D837/1000</f>
        <v>0.12</v>
      </c>
      <c r="D529" s="1158" t="n">
        <f aca="false">'Прайс лист'!C837/1000</f>
        <v>0.065</v>
      </c>
      <c r="E529" s="1158" t="n">
        <f aca="false">'Прайс лист'!F837</f>
        <v>20.09</v>
      </c>
      <c r="F529" s="1158" t="n">
        <f aca="false">CEILING(1/B529/D529*E529,1)</f>
        <v>1237</v>
      </c>
      <c r="AG529" s="1159" t="n">
        <v>37.8</v>
      </c>
      <c r="AH529" s="1193" t="n">
        <f aca="false">AG529*3.1415926535897/180</f>
        <v>0.659734457253837</v>
      </c>
      <c r="AI529" s="1193" t="n">
        <f aca="false">AH529+0.0005</f>
        <v>0.660234457253837</v>
      </c>
      <c r="AJ529" s="1193" t="n">
        <f aca="false">AH529-0.0005</f>
        <v>0.659234457253837</v>
      </c>
      <c r="AK529" s="1159" t="n">
        <f aca="false">IF(AND(дома!$Z$29&gt;=AJ529,дома!$Z$29&lt;=AI529),связи1!AG529,0)</f>
        <v>0</v>
      </c>
      <c r="AL529" s="1159" t="n">
        <f aca="false">IF(AND(дома!$AA$29&gt;=AJ529,дома!$AA$29&lt;=AI529),связи1!AG529,0)</f>
        <v>0</v>
      </c>
    </row>
    <row r="530" customFormat="false" ht="15" hidden="false" customHeight="false" outlineLevel="0" collapsed="false">
      <c r="A530" s="1158" t="str">
        <f aca="false">'Прайс лист'!B838</f>
        <v>1НФ/150/75 Эльц</v>
      </c>
      <c r="B530" s="1158" t="n">
        <f aca="false">'Прайс лист'!E838/1000</f>
        <v>0.25</v>
      </c>
      <c r="C530" s="1158" t="n">
        <f aca="false">'Прайс лист'!D838/1000</f>
        <v>0.12</v>
      </c>
      <c r="D530" s="1158" t="n">
        <f aca="false">'Прайс лист'!C838/1000</f>
        <v>0.065</v>
      </c>
      <c r="E530" s="1158" t="n">
        <f aca="false">'Прайс лист'!F838</f>
        <v>23.09</v>
      </c>
      <c r="F530" s="1158" t="n">
        <f aca="false">CEILING(1/B530/D530*E530,1)</f>
        <v>1421</v>
      </c>
      <c r="AG530" s="1159" t="n">
        <v>37.9</v>
      </c>
      <c r="AH530" s="1193" t="n">
        <f aca="false">AG530*3.1415926535897/180</f>
        <v>0.661479786505831</v>
      </c>
      <c r="AI530" s="1193" t="n">
        <f aca="false">AH530+0.0005</f>
        <v>0.661979786505831</v>
      </c>
      <c r="AJ530" s="1193" t="n">
        <f aca="false">AH530-0.0005</f>
        <v>0.660979786505831</v>
      </c>
      <c r="AK530" s="1159" t="n">
        <f aca="false">IF(AND(дома!$Z$29&gt;=AJ530,дома!$Z$29&lt;=AI530),связи1!AG530,0)</f>
        <v>0</v>
      </c>
      <c r="AL530" s="1159" t="n">
        <f aca="false">IF(AND(дома!$AA$29&gt;=AJ530,дома!$AA$29&lt;=AI530),связи1!AG530,0)</f>
        <v>0</v>
      </c>
    </row>
    <row r="531" customFormat="false" ht="15" hidden="false" customHeight="false" outlineLevel="0" collapsed="false">
      <c r="A531" s="1158" t="str">
        <f aca="false">'Прайс лист'!B839</f>
        <v>1НФ/150/75 Рочестер</v>
      </c>
      <c r="B531" s="1158" t="n">
        <f aca="false">'Прайс лист'!E839/1000</f>
        <v>0.25</v>
      </c>
      <c r="C531" s="1158" t="n">
        <f aca="false">'Прайс лист'!D839/1000</f>
        <v>0.12</v>
      </c>
      <c r="D531" s="1158" t="n">
        <f aca="false">'Прайс лист'!C839/1000</f>
        <v>0.065</v>
      </c>
      <c r="E531" s="1158" t="n">
        <f aca="false">'Прайс лист'!F839</f>
        <v>23.09</v>
      </c>
      <c r="F531" s="1158" t="n">
        <f aca="false">CEILING(1/B531/D531*E531,1)</f>
        <v>1421</v>
      </c>
      <c r="AG531" s="1159" t="n">
        <v>38</v>
      </c>
      <c r="AH531" s="1193" t="n">
        <f aca="false">AG531*3.1415926535897/180</f>
        <v>0.663225115757825</v>
      </c>
      <c r="AI531" s="1193" t="n">
        <f aca="false">AH531+0.0005</f>
        <v>0.663725115757825</v>
      </c>
      <c r="AJ531" s="1193" t="n">
        <f aca="false">AH531-0.0005</f>
        <v>0.662725115757826</v>
      </c>
      <c r="AK531" s="1159" t="n">
        <f aca="false">IF(AND(дома!$Z$29&gt;=AJ531,дома!$Z$29&lt;=AI531),связи1!AG531,0)</f>
        <v>0</v>
      </c>
      <c r="AL531" s="1159" t="n">
        <f aca="false">IF(AND(дома!$AA$29&gt;=AJ531,дома!$AA$29&lt;=AI531),связи1!AG531,0)</f>
        <v>0</v>
      </c>
    </row>
    <row r="532" customFormat="false" ht="15" hidden="false" customHeight="false" outlineLevel="0" collapsed="false">
      <c r="A532" s="1158" t="str">
        <f aca="false">'Прайс лист'!B840</f>
        <v>1НФ/150/75 Гляссе</v>
      </c>
      <c r="B532" s="1158" t="n">
        <f aca="false">'Прайс лист'!E840/1000</f>
        <v>0.25</v>
      </c>
      <c r="C532" s="1158" t="n">
        <f aca="false">'Прайс лист'!D840/1000</f>
        <v>0.12</v>
      </c>
      <c r="D532" s="1158" t="n">
        <f aca="false">'Прайс лист'!C840/1000</f>
        <v>0.065</v>
      </c>
      <c r="E532" s="1158" t="n">
        <f aca="false">'Прайс лист'!F840</f>
        <v>20.09</v>
      </c>
      <c r="F532" s="1158" t="n">
        <f aca="false">CEILING(1/B532/D532*E532,1)</f>
        <v>1237</v>
      </c>
      <c r="AG532" s="1159" t="n">
        <v>38.1</v>
      </c>
      <c r="AH532" s="1193" t="n">
        <f aca="false">AG532*3.1415926535897/180</f>
        <v>0.66497044500982</v>
      </c>
      <c r="AI532" s="1193" t="n">
        <f aca="false">AH532+0.0005</f>
        <v>0.66547044500982</v>
      </c>
      <c r="AJ532" s="1193" t="n">
        <f aca="false">AH532-0.0005</f>
        <v>0.66447044500982</v>
      </c>
      <c r="AK532" s="1159" t="n">
        <f aca="false">IF(AND(дома!$Z$29&gt;=AJ532,дома!$Z$29&lt;=AI532),связи1!AG532,0)</f>
        <v>0</v>
      </c>
      <c r="AL532" s="1159" t="n">
        <f aca="false">IF(AND(дома!$AA$29&gt;=AJ532,дома!$AA$29&lt;=AI532),связи1!AG532,0)</f>
        <v>0</v>
      </c>
    </row>
    <row r="533" customFormat="false" ht="15" hidden="false" customHeight="false" outlineLevel="0" collapsed="false">
      <c r="A533" s="1158" t="str">
        <f aca="false">'Прайс лист'!B841</f>
        <v>1НФ/150/75 Терракот</v>
      </c>
      <c r="B533" s="1158" t="n">
        <f aca="false">'Прайс лист'!E841/1000</f>
        <v>0.25</v>
      </c>
      <c r="C533" s="1158" t="n">
        <f aca="false">'Прайс лист'!D841/1000</f>
        <v>0.12</v>
      </c>
      <c r="D533" s="1158" t="n">
        <f aca="false">'Прайс лист'!C841/1000</f>
        <v>0.065</v>
      </c>
      <c r="E533" s="1158" t="n">
        <f aca="false">'Прайс лист'!F841</f>
        <v>20.09</v>
      </c>
      <c r="F533" s="1158" t="n">
        <f aca="false">CEILING(1/B533/D533*E533,1)</f>
        <v>1237</v>
      </c>
      <c r="AG533" s="1159" t="n">
        <v>38.2</v>
      </c>
      <c r="AH533" s="1193" t="n">
        <f aca="false">AG533*3.1415926535897/180</f>
        <v>0.666715774261814</v>
      </c>
      <c r="AI533" s="1193" t="n">
        <f aca="false">AH533+0.0005</f>
        <v>0.667215774261814</v>
      </c>
      <c r="AJ533" s="1193" t="n">
        <f aca="false">AH533-0.0005</f>
        <v>0.666215774261814</v>
      </c>
      <c r="AK533" s="1159" t="n">
        <f aca="false">IF(AND(дома!$Z$29&gt;=AJ533,дома!$Z$29&lt;=AI533),связи1!AG533,0)</f>
        <v>0</v>
      </c>
      <c r="AL533" s="1159" t="n">
        <f aca="false">IF(AND(дома!$AA$29&gt;=AJ533,дома!$AA$29&lt;=AI533),связи1!AG533,0)</f>
        <v>0</v>
      </c>
    </row>
    <row r="534" customFormat="false" ht="15" hidden="false" customHeight="false" outlineLevel="0" collapsed="false">
      <c r="A534" s="1158" t="str">
        <f aca="false">'Прайс лист'!B842</f>
        <v>1НФ/150/75 Шоколад</v>
      </c>
      <c r="B534" s="1158" t="n">
        <f aca="false">'Прайс лист'!E842/1000</f>
        <v>0.25</v>
      </c>
      <c r="C534" s="1158" t="n">
        <f aca="false">'Прайс лист'!D842/1000</f>
        <v>0.12</v>
      </c>
      <c r="D534" s="1158" t="n">
        <f aca="false">'Прайс лист'!C842/1000</f>
        <v>0.065</v>
      </c>
      <c r="E534" s="1158" t="n">
        <f aca="false">'Прайс лист'!F842</f>
        <v>20.09</v>
      </c>
      <c r="F534" s="1158" t="n">
        <f aca="false">CEILING(1/B534/D534*E534,1)</f>
        <v>1237</v>
      </c>
      <c r="AG534" s="1159" t="n">
        <v>38.3</v>
      </c>
      <c r="AH534" s="1193" t="n">
        <f aca="false">AG534*3.1415926535897/180</f>
        <v>0.668461103513808</v>
      </c>
      <c r="AI534" s="1193" t="n">
        <f aca="false">AH534+0.0005</f>
        <v>0.668961103513808</v>
      </c>
      <c r="AJ534" s="1193" t="n">
        <f aca="false">AH534-0.0005</f>
        <v>0.667961103513808</v>
      </c>
      <c r="AK534" s="1159" t="n">
        <f aca="false">IF(AND(дома!$Z$29&gt;=AJ534,дома!$Z$29&lt;=AI534),связи1!AG534,0)</f>
        <v>0</v>
      </c>
      <c r="AL534" s="1159" t="n">
        <f aca="false">IF(AND(дома!$AA$29&gt;=AJ534,дома!$AA$29&lt;=AI534),связи1!AG534,0)</f>
        <v>0</v>
      </c>
    </row>
    <row r="535" customFormat="false" ht="15" hidden="false" customHeight="false" outlineLevel="0" collapsed="false">
      <c r="A535" s="1158" t="str">
        <f aca="false">'Прайс лист'!B843</f>
        <v>1НФ/150/75 Темный Шоколад</v>
      </c>
      <c r="B535" s="1158" t="n">
        <f aca="false">'Прайс лист'!E843/1000</f>
        <v>0.25</v>
      </c>
      <c r="C535" s="1158" t="n">
        <f aca="false">'Прайс лист'!D843/1000</f>
        <v>0.12</v>
      </c>
      <c r="D535" s="1158" t="n">
        <f aca="false">'Прайс лист'!C843/1000</f>
        <v>0.065</v>
      </c>
      <c r="E535" s="1158" t="n">
        <f aca="false">'Прайс лист'!F843</f>
        <v>20.09</v>
      </c>
      <c r="F535" s="1158" t="n">
        <f aca="false">CEILING(1/B535/D535*E535,1)</f>
        <v>1237</v>
      </c>
      <c r="AG535" s="1159" t="n">
        <v>38.4</v>
      </c>
      <c r="AH535" s="1193" t="n">
        <f aca="false">AG535*3.1415926535897/180</f>
        <v>0.670206432765803</v>
      </c>
      <c r="AI535" s="1193" t="n">
        <f aca="false">AH535+0.0005</f>
        <v>0.670706432765803</v>
      </c>
      <c r="AJ535" s="1193" t="n">
        <f aca="false">AH535-0.0005</f>
        <v>0.669706432765803</v>
      </c>
      <c r="AK535" s="1159" t="n">
        <f aca="false">IF(AND(дома!$Z$29&gt;=AJ535,дома!$Z$29&lt;=AI535),связи1!AG535,0)</f>
        <v>0</v>
      </c>
      <c r="AL535" s="1159" t="n">
        <f aca="false">IF(AND(дома!$AA$29&gt;=AJ535,дома!$AA$29&lt;=AI535),связи1!AG535,0)</f>
        <v>0</v>
      </c>
    </row>
    <row r="536" customFormat="false" ht="15" hidden="false" customHeight="false" outlineLevel="0" collapsed="false">
      <c r="A536" s="1158" t="str">
        <f aca="false">'Прайс лист'!B844</f>
        <v>1НФ/150/75 Бавария микс</v>
      </c>
      <c r="B536" s="1158" t="n">
        <f aca="false">'Прайс лист'!E844/1000</f>
        <v>0.25</v>
      </c>
      <c r="C536" s="1158" t="n">
        <f aca="false">'Прайс лист'!D844/1000</f>
        <v>0.12</v>
      </c>
      <c r="D536" s="1158" t="n">
        <f aca="false">'Прайс лист'!C844/1000</f>
        <v>0.065</v>
      </c>
      <c r="E536" s="1158" t="n">
        <f aca="false">'Прайс лист'!F844</f>
        <v>20.09</v>
      </c>
      <c r="F536" s="1158" t="n">
        <f aca="false">CEILING(1/B536/D536*E536,1)</f>
        <v>1237</v>
      </c>
      <c r="AG536" s="1159" t="n">
        <v>38.5</v>
      </c>
      <c r="AH536" s="1193" t="n">
        <f aca="false">AG536*3.1415926535897/180</f>
        <v>0.671951762017797</v>
      </c>
      <c r="AI536" s="1193" t="n">
        <f aca="false">AH536+0.0005</f>
        <v>0.672451762017797</v>
      </c>
      <c r="AJ536" s="1193" t="n">
        <f aca="false">AH536-0.0005</f>
        <v>0.671451762017797</v>
      </c>
      <c r="AK536" s="1159" t="n">
        <f aca="false">IF(AND(дома!$Z$29&gt;=AJ536,дома!$Z$29&lt;=AI536),связи1!AG536,0)</f>
        <v>0</v>
      </c>
      <c r="AL536" s="1159" t="n">
        <f aca="false">IF(AND(дома!$AA$29&gt;=AJ536,дома!$AA$29&lt;=AI536),связи1!AG536,0)</f>
        <v>0</v>
      </c>
    </row>
    <row r="537" customFormat="false" ht="15" hidden="false" customHeight="false" outlineLevel="0" collapsed="false">
      <c r="A537" s="1158" t="str">
        <f aca="false">'Прайс лист'!B845</f>
        <v>1НФ/150/50 Белый</v>
      </c>
      <c r="B537" s="1158" t="n">
        <f aca="false">'Прайс лист'!E845/1000</f>
        <v>0.25</v>
      </c>
      <c r="C537" s="1158" t="n">
        <f aca="false">'Прайс лист'!D845/1000</f>
        <v>0.12</v>
      </c>
      <c r="D537" s="1158" t="n">
        <f aca="false">'Прайс лист'!C845/1000</f>
        <v>0.065</v>
      </c>
      <c r="E537" s="1158" t="n">
        <f aca="false">'Прайс лист'!F845</f>
        <v>24.43</v>
      </c>
      <c r="F537" s="1158" t="n">
        <f aca="false">CEILING(1/B537/D537*E537,1)</f>
        <v>1504</v>
      </c>
      <c r="AG537" s="1159" t="n">
        <v>38.6</v>
      </c>
      <c r="AH537" s="1193" t="n">
        <f aca="false">AG537*3.1415926535897/180</f>
        <v>0.673697091269791</v>
      </c>
      <c r="AI537" s="1193" t="n">
        <f aca="false">AH537+0.0005</f>
        <v>0.674197091269791</v>
      </c>
      <c r="AJ537" s="1193" t="n">
        <f aca="false">AH537-0.0005</f>
        <v>0.673197091269791</v>
      </c>
      <c r="AK537" s="1159" t="n">
        <f aca="false">IF(AND(дома!$Z$29&gt;=AJ537,дома!$Z$29&lt;=AI537),связи1!AG537,0)</f>
        <v>0</v>
      </c>
      <c r="AL537" s="1159" t="n">
        <f aca="false">IF(AND(дома!$AA$29&gt;=AJ537,дома!$AA$29&lt;=AI537),связи1!AG537,0)</f>
        <v>0</v>
      </c>
    </row>
    <row r="538" customFormat="false" ht="15" hidden="false" customHeight="false" outlineLevel="0" collapsed="false">
      <c r="A538" s="1158" t="str">
        <f aca="false">'Прайс лист'!B846</f>
        <v>1НФ/150/50 Лотос</v>
      </c>
      <c r="B538" s="1158" t="n">
        <f aca="false">'Прайс лист'!E846/1000</f>
        <v>0.25</v>
      </c>
      <c r="C538" s="1158" t="n">
        <f aca="false">'Прайс лист'!D846/1000</f>
        <v>0.12</v>
      </c>
      <c r="D538" s="1158" t="n">
        <f aca="false">'Прайс лист'!C846/1000</f>
        <v>0.065</v>
      </c>
      <c r="E538" s="1158" t="n">
        <f aca="false">'Прайс лист'!F846</f>
        <v>21.57</v>
      </c>
      <c r="F538" s="1158" t="n">
        <f aca="false">CEILING(1/B538/D538*E538,1)</f>
        <v>1328</v>
      </c>
      <c r="AG538" s="1159" t="n">
        <v>38.7</v>
      </c>
      <c r="AH538" s="1193" t="n">
        <f aca="false">AG538*3.1415926535897/180</f>
        <v>0.675442420521785</v>
      </c>
      <c r="AI538" s="1193" t="n">
        <f aca="false">AH538+0.0005</f>
        <v>0.675942420521785</v>
      </c>
      <c r="AJ538" s="1193" t="n">
        <f aca="false">AH538-0.0005</f>
        <v>0.674942420521786</v>
      </c>
      <c r="AK538" s="1159" t="n">
        <f aca="false">IF(AND(дома!$Z$29&gt;=AJ538,дома!$Z$29&lt;=AI538),связи1!AG538,0)</f>
        <v>0</v>
      </c>
      <c r="AL538" s="1159" t="n">
        <f aca="false">IF(AND(дома!$AA$29&gt;=AJ538,дома!$AA$29&lt;=AI538),связи1!AG538,0)</f>
        <v>0</v>
      </c>
    </row>
    <row r="539" customFormat="false" ht="15" hidden="false" customHeight="false" outlineLevel="0" collapsed="false">
      <c r="A539" s="1158" t="str">
        <f aca="false">'Прайс лист'!B847</f>
        <v>1НФ/150/50 Камелот Микс</v>
      </c>
      <c r="B539" s="1158" t="n">
        <f aca="false">'Прайс лист'!E847/1000</f>
        <v>0.25</v>
      </c>
      <c r="C539" s="1158" t="n">
        <f aca="false">'Прайс лист'!D847/1000</f>
        <v>0.12</v>
      </c>
      <c r="D539" s="1158" t="n">
        <f aca="false">'Прайс лист'!C847/1000</f>
        <v>0.065</v>
      </c>
      <c r="E539" s="1158" t="n">
        <f aca="false">'Прайс лист'!F847</f>
        <v>24.43</v>
      </c>
      <c r="F539" s="1158" t="n">
        <f aca="false">CEILING(1/B539/D539*E539,1)</f>
        <v>1504</v>
      </c>
      <c r="AG539" s="1159" t="n">
        <v>38.8</v>
      </c>
      <c r="AH539" s="1193" t="n">
        <f aca="false">AG539*3.1415926535897/180</f>
        <v>0.67718774977378</v>
      </c>
      <c r="AI539" s="1193" t="n">
        <f aca="false">AH539+0.0005</f>
        <v>0.67768774977378</v>
      </c>
      <c r="AJ539" s="1193" t="n">
        <f aca="false">AH539-0.0005</f>
        <v>0.67668774977378</v>
      </c>
      <c r="AK539" s="1159" t="n">
        <f aca="false">IF(AND(дома!$Z$29&gt;=AJ539,дома!$Z$29&lt;=AI539),связи1!AG539,0)</f>
        <v>0</v>
      </c>
      <c r="AL539" s="1159" t="n">
        <f aca="false">IF(AND(дома!$AA$29&gt;=AJ539,дома!$AA$29&lt;=AI539),связи1!AG539,0)</f>
        <v>0</v>
      </c>
    </row>
    <row r="540" customFormat="false" ht="15" hidden="false" customHeight="false" outlineLevel="0" collapsed="false">
      <c r="A540" s="1158" t="str">
        <f aca="false">'Прайс лист'!B848</f>
        <v>1НФ/150/50 Камелот Гляссе</v>
      </c>
      <c r="B540" s="1158" t="n">
        <f aca="false">'Прайс лист'!E848/1000</f>
        <v>0.25</v>
      </c>
      <c r="C540" s="1158" t="n">
        <f aca="false">'Прайс лист'!D848/1000</f>
        <v>0.12</v>
      </c>
      <c r="D540" s="1158" t="n">
        <f aca="false">'Прайс лист'!C848/1000</f>
        <v>0.065</v>
      </c>
      <c r="E540" s="1158" t="n">
        <f aca="false">'Прайс лист'!F848</f>
        <v>24.43</v>
      </c>
      <c r="F540" s="1158" t="n">
        <f aca="false">CEILING(1/B540/D540*E540,1)</f>
        <v>1504</v>
      </c>
      <c r="AG540" s="1159" t="n">
        <v>38.9</v>
      </c>
      <c r="AH540" s="1193" t="n">
        <f aca="false">AG540*3.1415926535897/180</f>
        <v>0.678933079025774</v>
      </c>
      <c r="AI540" s="1193" t="n">
        <f aca="false">AH540+0.0005</f>
        <v>0.679433079025774</v>
      </c>
      <c r="AJ540" s="1193" t="n">
        <f aca="false">AH540-0.0005</f>
        <v>0.678433079025774</v>
      </c>
      <c r="AK540" s="1159" t="n">
        <f aca="false">IF(AND(дома!$Z$29&gt;=AJ540,дома!$Z$29&lt;=AI540),связи1!AG540,0)</f>
        <v>0</v>
      </c>
      <c r="AL540" s="1159" t="n">
        <f aca="false">IF(AND(дома!$AA$29&gt;=AJ540,дома!$AA$29&lt;=AI540),связи1!AG540,0)</f>
        <v>0</v>
      </c>
    </row>
    <row r="541" customFormat="false" ht="15" hidden="false" customHeight="false" outlineLevel="0" collapsed="false">
      <c r="A541" s="1158" t="str">
        <f aca="false">'Прайс лист'!B849</f>
        <v>1НФ/150/50 Камелот Терракот</v>
      </c>
      <c r="B541" s="1158" t="n">
        <f aca="false">'Прайс лист'!E849/1000</f>
        <v>0.25</v>
      </c>
      <c r="C541" s="1158" t="n">
        <f aca="false">'Прайс лист'!D849/1000</f>
        <v>0.12</v>
      </c>
      <c r="D541" s="1158" t="n">
        <f aca="false">'Прайс лист'!C849/1000</f>
        <v>0.065</v>
      </c>
      <c r="E541" s="1158" t="n">
        <f aca="false">'Прайс лист'!F849</f>
        <v>24.43</v>
      </c>
      <c r="F541" s="1158" t="n">
        <f aca="false">CEILING(1/B541/D541*E541,1)</f>
        <v>1504</v>
      </c>
      <c r="AG541" s="1159" t="n">
        <v>39</v>
      </c>
      <c r="AH541" s="1193" t="n">
        <f aca="false">AG541*3.1415926535897/180</f>
        <v>0.680678408277768</v>
      </c>
      <c r="AI541" s="1193" t="n">
        <f aca="false">AH541+0.0005</f>
        <v>0.681178408277768</v>
      </c>
      <c r="AJ541" s="1193" t="n">
        <f aca="false">AH541-0.0005</f>
        <v>0.680178408277768</v>
      </c>
      <c r="AK541" s="1159" t="n">
        <f aca="false">IF(AND(дома!$Z$29&gt;=AJ541,дома!$Z$29&lt;=AI541),связи1!AG541,0)</f>
        <v>0</v>
      </c>
      <c r="AL541" s="1159" t="n">
        <f aca="false">IF(AND(дома!$AA$29&gt;=AJ541,дома!$AA$29&lt;=AI541),связи1!AG541,0)</f>
        <v>0</v>
      </c>
    </row>
    <row r="542" customFormat="false" ht="15" hidden="false" customHeight="false" outlineLevel="0" collapsed="false">
      <c r="A542" s="1158" t="str">
        <f aca="false">'Прайс лист'!B850</f>
        <v>1НФ/150/50 Камелот Шоколад</v>
      </c>
      <c r="B542" s="1158" t="n">
        <f aca="false">'Прайс лист'!E850/1000</f>
        <v>0.25</v>
      </c>
      <c r="C542" s="1158" t="n">
        <f aca="false">'Прайс лист'!D850/1000</f>
        <v>0.12</v>
      </c>
      <c r="D542" s="1158" t="n">
        <f aca="false">'Прайс лист'!C850/1000</f>
        <v>0.065</v>
      </c>
      <c r="E542" s="1158" t="n">
        <f aca="false">'Прайс лист'!F850</f>
        <v>24.43</v>
      </c>
      <c r="F542" s="1158" t="n">
        <f aca="false">CEILING(1/B542/D542*E542,1)</f>
        <v>1504</v>
      </c>
      <c r="AG542" s="1159" t="n">
        <v>39.1</v>
      </c>
      <c r="AH542" s="1193" t="n">
        <f aca="false">AG542*3.1415926535897/180</f>
        <v>0.682423737529763</v>
      </c>
      <c r="AI542" s="1193" t="n">
        <f aca="false">AH542+0.0005</f>
        <v>0.682923737529763</v>
      </c>
      <c r="AJ542" s="1193" t="n">
        <f aca="false">AH542-0.0005</f>
        <v>0.681923737529763</v>
      </c>
      <c r="AK542" s="1159" t="n">
        <f aca="false">IF(AND(дома!$Z$29&gt;=AJ542,дома!$Z$29&lt;=AI542),связи1!AG542,0)</f>
        <v>0</v>
      </c>
      <c r="AL542" s="1159" t="n">
        <f aca="false">IF(AND(дома!$AA$29&gt;=AJ542,дома!$AA$29&lt;=AI542),связи1!AG542,0)</f>
        <v>0</v>
      </c>
    </row>
    <row r="543" customFormat="false" ht="15" hidden="false" customHeight="false" outlineLevel="0" collapsed="false">
      <c r="A543" s="1158" t="str">
        <f aca="false">'Прайс лист'!B851</f>
        <v>1НФ/150/50 Камелот Темный  Шоколад</v>
      </c>
      <c r="B543" s="1158" t="n">
        <f aca="false">'Прайс лист'!E851/1000</f>
        <v>0.25</v>
      </c>
      <c r="C543" s="1158" t="n">
        <f aca="false">'Прайс лист'!D851/1000</f>
        <v>0.12</v>
      </c>
      <c r="D543" s="1158" t="n">
        <f aca="false">'Прайс лист'!C851/1000</f>
        <v>0.065</v>
      </c>
      <c r="E543" s="1158" t="n">
        <f aca="false">'Прайс лист'!F851</f>
        <v>26.87</v>
      </c>
      <c r="F543" s="1158" t="n">
        <f aca="false">CEILING(1/B543/D543*E543,1)</f>
        <v>1654</v>
      </c>
      <c r="AG543" s="1159" t="n">
        <v>39.2</v>
      </c>
      <c r="AH543" s="1193" t="n">
        <f aca="false">AG543*3.1415926535897/180</f>
        <v>0.684169066781757</v>
      </c>
      <c r="AI543" s="1193" t="n">
        <f aca="false">AH543+0.0005</f>
        <v>0.684669066781757</v>
      </c>
      <c r="AJ543" s="1193" t="n">
        <f aca="false">AH543-0.0005</f>
        <v>0.683669066781757</v>
      </c>
      <c r="AK543" s="1159" t="n">
        <f aca="false">IF(AND(дома!$Z$29&gt;=AJ543,дома!$Z$29&lt;=AI543),связи1!AG543,0)</f>
        <v>0</v>
      </c>
      <c r="AL543" s="1159" t="n">
        <f aca="false">IF(AND(дома!$AA$29&gt;=AJ543,дома!$AA$29&lt;=AI543),связи1!AG543,0)</f>
        <v>0</v>
      </c>
    </row>
    <row r="544" customFormat="false" ht="15" hidden="false" customHeight="false" outlineLevel="0" collapsed="false">
      <c r="A544" s="1158" t="str">
        <f aca="false">'Прайс лист'!B852</f>
        <v>1,4НФ/150/75 Красный</v>
      </c>
      <c r="B544" s="1158" t="n">
        <f aca="false">'Прайс лист'!E852/1000</f>
        <v>0.25</v>
      </c>
      <c r="C544" s="1158" t="n">
        <f aca="false">'Прайс лист'!D852/1000</f>
        <v>0.12</v>
      </c>
      <c r="D544" s="1158" t="n">
        <f aca="false">'Прайс лист'!C852/1000</f>
        <v>0.088</v>
      </c>
      <c r="E544" s="1158" t="n">
        <f aca="false">'Прайс лист'!F852</f>
        <v>18.39</v>
      </c>
      <c r="F544" s="1158" t="n">
        <f aca="false">CEILING(1/B544/D544*E544,1)</f>
        <v>836</v>
      </c>
      <c r="AG544" s="1159" t="n">
        <v>39.3</v>
      </c>
      <c r="AH544" s="1193" t="n">
        <f aca="false">AG544*3.1415926535897/180</f>
        <v>0.685914396033751</v>
      </c>
      <c r="AI544" s="1193" t="n">
        <f aca="false">AH544+0.0005</f>
        <v>0.686414396033751</v>
      </c>
      <c r="AJ544" s="1193" t="n">
        <f aca="false">AH544-0.0005</f>
        <v>0.685414396033751</v>
      </c>
      <c r="AK544" s="1159" t="n">
        <f aca="false">IF(AND(дома!$Z$29&gt;=AJ544,дома!$Z$29&lt;=AI544),связи1!AG544,0)</f>
        <v>0</v>
      </c>
      <c r="AL544" s="1159" t="n">
        <f aca="false">IF(AND(дома!$AA$29&gt;=AJ544,дома!$AA$29&lt;=AI544),связи1!AG544,0)</f>
        <v>0</v>
      </c>
    </row>
    <row r="545" customFormat="false" ht="15" hidden="false" customHeight="false" outlineLevel="0" collapsed="false">
      <c r="A545" s="1158" t="str">
        <f aca="false">'Прайс лист'!B853</f>
        <v>1,4НФ/150/75 Аренберг</v>
      </c>
      <c r="B545" s="1158" t="n">
        <f aca="false">'Прайс лист'!E853/1000</f>
        <v>0.25</v>
      </c>
      <c r="C545" s="1158" t="n">
        <f aca="false">'Прайс лист'!D853/1000</f>
        <v>0.12</v>
      </c>
      <c r="D545" s="1158" t="n">
        <f aca="false">'Прайс лист'!C853/1000</f>
        <v>0.088</v>
      </c>
      <c r="E545" s="1158" t="n">
        <f aca="false">'Прайс лист'!F853</f>
        <v>27.12</v>
      </c>
      <c r="F545" s="1158" t="n">
        <f aca="false">CEILING(1/B545/D545*E545,1)</f>
        <v>1233</v>
      </c>
      <c r="AG545" s="1159" t="n">
        <v>39.4</v>
      </c>
      <c r="AH545" s="1193" t="n">
        <f aca="false">AG545*3.1415926535897/180</f>
        <v>0.687659725285745</v>
      </c>
      <c r="AI545" s="1193" t="n">
        <f aca="false">AH545+0.0005</f>
        <v>0.688159725285745</v>
      </c>
      <c r="AJ545" s="1193" t="n">
        <f aca="false">AH545-0.0005</f>
        <v>0.687159725285745</v>
      </c>
      <c r="AK545" s="1159" t="n">
        <f aca="false">IF(AND(дома!$Z$29&gt;=AJ545,дома!$Z$29&lt;=AI545),связи1!AG545,0)</f>
        <v>0</v>
      </c>
      <c r="AL545" s="1159" t="n">
        <f aca="false">IF(AND(дома!$AA$29&gt;=AJ545,дома!$AA$29&lt;=AI545),связи1!AG545,0)</f>
        <v>0</v>
      </c>
    </row>
    <row r="546" customFormat="false" ht="15" hidden="false" customHeight="false" outlineLevel="0" collapsed="false">
      <c r="A546" s="1158" t="str">
        <f aca="false">'Прайс лист'!B854</f>
        <v>1,4НФ/150/75 Гляссе</v>
      </c>
      <c r="B546" s="1158" t="n">
        <f aca="false">'Прайс лист'!E854/1000</f>
        <v>0.25</v>
      </c>
      <c r="C546" s="1158" t="n">
        <f aca="false">'Прайс лист'!D854/1000</f>
        <v>0.12</v>
      </c>
      <c r="D546" s="1158" t="n">
        <f aca="false">'Прайс лист'!C854/1000</f>
        <v>0.088</v>
      </c>
      <c r="E546" s="1158" t="n">
        <f aca="false">'Прайс лист'!F854</f>
        <v>27.12</v>
      </c>
      <c r="F546" s="1158" t="n">
        <f aca="false">CEILING(1/B546/D546*E546,1)</f>
        <v>1233</v>
      </c>
      <c r="AG546" s="1159" t="n">
        <v>39.5</v>
      </c>
      <c r="AH546" s="1193" t="n">
        <f aca="false">AG546*3.1415926535897/180</f>
        <v>0.68940505453774</v>
      </c>
      <c r="AI546" s="1193" t="n">
        <f aca="false">AH546+0.0005</f>
        <v>0.68990505453774</v>
      </c>
      <c r="AJ546" s="1193" t="n">
        <f aca="false">AH546-0.0005</f>
        <v>0.68890505453774</v>
      </c>
      <c r="AK546" s="1159" t="n">
        <f aca="false">IF(AND(дома!$Z$29&gt;=AJ546,дома!$Z$29&lt;=AI546),связи1!AG546,0)</f>
        <v>0</v>
      </c>
      <c r="AL546" s="1159" t="n">
        <f aca="false">IF(AND(дома!$AA$29&gt;=AJ546,дома!$AA$29&lt;=AI546),связи1!AG546,0)</f>
        <v>0</v>
      </c>
    </row>
    <row r="547" customFormat="false" ht="15" hidden="false" customHeight="false" outlineLevel="0" collapsed="false">
      <c r="A547" s="1158" t="str">
        <f aca="false">'Прайс лист'!B855</f>
        <v>1,4НФ/150/75 Терракот</v>
      </c>
      <c r="B547" s="1158" t="n">
        <f aca="false">'Прайс лист'!E855/1000</f>
        <v>0.25</v>
      </c>
      <c r="C547" s="1158" t="n">
        <f aca="false">'Прайс лист'!D855/1000</f>
        <v>0.12</v>
      </c>
      <c r="D547" s="1158" t="n">
        <f aca="false">'Прайс лист'!C855/1000</f>
        <v>0.088</v>
      </c>
      <c r="E547" s="1158" t="n">
        <f aca="false">'Прайс лист'!F855</f>
        <v>27.12</v>
      </c>
      <c r="F547" s="1158" t="n">
        <f aca="false">CEILING(1/B547/D547*E547,1)</f>
        <v>1233</v>
      </c>
      <c r="AG547" s="1159" t="n">
        <v>39.6</v>
      </c>
      <c r="AH547" s="1193" t="n">
        <f aca="false">AG547*3.1415926535897/180</f>
        <v>0.691150383789734</v>
      </c>
      <c r="AI547" s="1193" t="n">
        <f aca="false">AH547+0.0005</f>
        <v>0.691650383789734</v>
      </c>
      <c r="AJ547" s="1193" t="n">
        <f aca="false">AH547-0.0005</f>
        <v>0.690650383789734</v>
      </c>
      <c r="AK547" s="1159" t="n">
        <f aca="false">IF(AND(дома!$Z$29&gt;=AJ547,дома!$Z$29&lt;=AI547),связи1!AG547,0)</f>
        <v>0</v>
      </c>
      <c r="AL547" s="1159" t="n">
        <f aca="false">IF(AND(дома!$AA$29&gt;=AJ547,дома!$AA$29&lt;=AI547),связи1!AG547,0)</f>
        <v>0</v>
      </c>
    </row>
    <row r="548" customFormat="false" ht="15" hidden="false" customHeight="false" outlineLevel="0" collapsed="false">
      <c r="A548" s="1158" t="str">
        <f aca="false">'Прайс лист'!B856</f>
        <v>1,4НФ/150/75 Шоколад</v>
      </c>
      <c r="B548" s="1158" t="n">
        <f aca="false">'Прайс лист'!E856/1000</f>
        <v>0.25</v>
      </c>
      <c r="C548" s="1158" t="n">
        <f aca="false">'Прайс лист'!D856/1000</f>
        <v>0.12</v>
      </c>
      <c r="D548" s="1158" t="n">
        <f aca="false">'Прайс лист'!C856/1000</f>
        <v>0.088</v>
      </c>
      <c r="E548" s="1158" t="n">
        <f aca="false">'Прайс лист'!F856</f>
        <v>27.12</v>
      </c>
      <c r="F548" s="1158" t="n">
        <f aca="false">CEILING(1/B548/D548*E548,1)</f>
        <v>1233</v>
      </c>
      <c r="AG548" s="1159" t="n">
        <v>39.7</v>
      </c>
      <c r="AH548" s="1193" t="n">
        <f aca="false">AG548*3.1415926535897/180</f>
        <v>0.692895713041728</v>
      </c>
      <c r="AI548" s="1193" t="n">
        <f aca="false">AH548+0.0005</f>
        <v>0.693395713041728</v>
      </c>
      <c r="AJ548" s="1193" t="n">
        <f aca="false">AH548-0.0005</f>
        <v>0.692395713041728</v>
      </c>
      <c r="AK548" s="1159" t="n">
        <f aca="false">IF(AND(дома!$Z$29&gt;=AJ548,дома!$Z$29&lt;=AI548),связи1!AG548,0)</f>
        <v>0</v>
      </c>
      <c r="AL548" s="1159" t="n">
        <f aca="false">IF(AND(дома!$AA$29&gt;=AJ548,дома!$AA$29&lt;=AI548),связи1!AG548,0)</f>
        <v>0</v>
      </c>
    </row>
    <row r="549" customFormat="false" ht="15" hidden="false" customHeight="false" outlineLevel="0" collapsed="false">
      <c r="A549" s="1158" t="str">
        <f aca="false">'Прайс лист'!B857</f>
        <v>1,4НФ/150/75 Темный Шоколад</v>
      </c>
      <c r="B549" s="1158" t="n">
        <f aca="false">'Прайс лист'!E857/1000</f>
        <v>0.25</v>
      </c>
      <c r="C549" s="1158" t="n">
        <f aca="false">'Прайс лист'!D857/1000</f>
        <v>0.12</v>
      </c>
      <c r="D549" s="1158" t="n">
        <f aca="false">'Прайс лист'!C857/1000</f>
        <v>0.088</v>
      </c>
      <c r="E549" s="1158" t="n">
        <f aca="false">'Прайс лист'!F857</f>
        <v>27.12</v>
      </c>
      <c r="F549" s="1158" t="n">
        <f aca="false">CEILING(1/B549/D549*E549,1)</f>
        <v>1233</v>
      </c>
      <c r="AG549" s="1159" t="n">
        <v>39.8</v>
      </c>
      <c r="AH549" s="1193" t="n">
        <f aca="false">AG549*3.1415926535897/180</f>
        <v>0.694641042293722</v>
      </c>
      <c r="AI549" s="1193" t="n">
        <f aca="false">AH549+0.0005</f>
        <v>0.695141042293722</v>
      </c>
      <c r="AJ549" s="1193" t="n">
        <f aca="false">AH549-0.0005</f>
        <v>0.694141042293723</v>
      </c>
      <c r="AK549" s="1159" t="n">
        <f aca="false">IF(AND(дома!$Z$29&gt;=AJ549,дома!$Z$29&lt;=AI549),связи1!AG549,0)</f>
        <v>0</v>
      </c>
      <c r="AL549" s="1159" t="n">
        <f aca="false">IF(AND(дома!$AA$29&gt;=AJ549,дома!$AA$29&lt;=AI549),связи1!AG549,0)</f>
        <v>0</v>
      </c>
    </row>
    <row r="550" customFormat="false" ht="15" hidden="false" customHeight="false" outlineLevel="0" collapsed="false">
      <c r="A550" s="1158" t="str">
        <f aca="false">'Прайс лист'!B858</f>
        <v>1,4НФ/150/75 Бавария Микс</v>
      </c>
      <c r="B550" s="1158" t="n">
        <f aca="false">'Прайс лист'!E858/1000</f>
        <v>0.25</v>
      </c>
      <c r="C550" s="1158" t="n">
        <f aca="false">'Прайс лист'!D858/1000</f>
        <v>0.12</v>
      </c>
      <c r="D550" s="1158" t="n">
        <f aca="false">'Прайс лист'!C858/1000</f>
        <v>0.088</v>
      </c>
      <c r="E550" s="1158" t="n">
        <f aca="false">'Прайс лист'!F858</f>
        <v>27.12</v>
      </c>
      <c r="F550" s="1158" t="n">
        <f aca="false">CEILING(1/B550/D550*E550,1)</f>
        <v>1233</v>
      </c>
      <c r="AG550" s="1159" t="n">
        <v>39.9</v>
      </c>
      <c r="AH550" s="1193" t="n">
        <f aca="false">AG550*3.1415926535897/180</f>
        <v>0.696386371545717</v>
      </c>
      <c r="AI550" s="1193" t="n">
        <f aca="false">AH550+0.0005</f>
        <v>0.696886371545717</v>
      </c>
      <c r="AJ550" s="1193" t="n">
        <f aca="false">AH550-0.0005</f>
        <v>0.695886371545717</v>
      </c>
      <c r="AK550" s="1159" t="n">
        <f aca="false">IF(AND(дома!$Z$29&gt;=AJ550,дома!$Z$29&lt;=AI550),связи1!AG550,0)</f>
        <v>0</v>
      </c>
      <c r="AL550" s="1159" t="n">
        <f aca="false">IF(AND(дома!$AA$29&gt;=AJ550,дома!$AA$29&lt;=AI550),связи1!AG550,0)</f>
        <v>0</v>
      </c>
    </row>
    <row r="551" customFormat="false" ht="15" hidden="false" customHeight="false" outlineLevel="0" collapsed="false">
      <c r="A551" s="1158" t="str">
        <f aca="false">'Прайс лист'!B859</f>
        <v>1,4НФ/150/50 Белый</v>
      </c>
      <c r="B551" s="1158" t="n">
        <f aca="false">'Прайс лист'!E859/1000</f>
        <v>0.25</v>
      </c>
      <c r="C551" s="1158" t="n">
        <f aca="false">'Прайс лист'!D859/1000</f>
        <v>0.12</v>
      </c>
      <c r="D551" s="1158" t="n">
        <f aca="false">'Прайс лист'!C859/1000</f>
        <v>0.088</v>
      </c>
      <c r="E551" s="1158" t="n">
        <f aca="false">'Прайс лист'!F859</f>
        <v>32.99</v>
      </c>
      <c r="F551" s="1158" t="n">
        <f aca="false">CEILING(1/B551/D551*E551,1)</f>
        <v>1500</v>
      </c>
      <c r="AG551" s="1159" t="n">
        <v>40</v>
      </c>
      <c r="AH551" s="1193" t="n">
        <f aca="false">AG551*3.1415926535897/180</f>
        <v>0.698131700797711</v>
      </c>
      <c r="AI551" s="1193" t="n">
        <f aca="false">AH551+0.0005</f>
        <v>0.698631700797711</v>
      </c>
      <c r="AJ551" s="1193" t="n">
        <f aca="false">AH551-0.0005</f>
        <v>0.697631700797711</v>
      </c>
      <c r="AK551" s="1159" t="n">
        <f aca="false">IF(AND(дома!$Z$29&gt;=AJ551,дома!$Z$29&lt;=AI551),связи1!AG551,0)</f>
        <v>0</v>
      </c>
      <c r="AL551" s="1159" t="n">
        <f aca="false">IF(AND(дома!$AA$29&gt;=AJ551,дома!$AA$29&lt;=AI551),связи1!AG551,0)</f>
        <v>0</v>
      </c>
    </row>
    <row r="552" customFormat="false" ht="15" hidden="false" customHeight="false" outlineLevel="0" collapsed="false">
      <c r="A552" s="1158" t="str">
        <f aca="false">'Прайс лист'!B860</f>
        <v>1,4НФ/150/50 Лотос</v>
      </c>
      <c r="B552" s="1158" t="n">
        <f aca="false">'Прайс лист'!E860/1000</f>
        <v>0.25</v>
      </c>
      <c r="C552" s="1158" t="n">
        <f aca="false">'Прайс лист'!D860/1000</f>
        <v>0.12</v>
      </c>
      <c r="D552" s="1158" t="n">
        <f aca="false">'Прайс лист'!C860/1000</f>
        <v>0.088</v>
      </c>
      <c r="E552" s="1158" t="n">
        <f aca="false">'Прайс лист'!F860</f>
        <v>29.12</v>
      </c>
      <c r="F552" s="1158" t="n">
        <f aca="false">CEILING(1/B552/D552*E552,1)</f>
        <v>1324</v>
      </c>
      <c r="AG552" s="1159" t="n">
        <v>40.1</v>
      </c>
      <c r="AH552" s="1193" t="n">
        <f aca="false">AG552*3.1415926535897/180</f>
        <v>0.699877030049705</v>
      </c>
      <c r="AI552" s="1193" t="n">
        <f aca="false">AH552+0.0005</f>
        <v>0.700377030049705</v>
      </c>
      <c r="AJ552" s="1193" t="n">
        <f aca="false">AH552-0.0005</f>
        <v>0.699377030049705</v>
      </c>
      <c r="AK552" s="1159" t="n">
        <f aca="false">IF(AND(дома!$Z$29&gt;=AJ552,дома!$Z$29&lt;=AI552),связи1!AG552,0)</f>
        <v>0</v>
      </c>
      <c r="AL552" s="1159" t="n">
        <f aca="false">IF(AND(дома!$AA$29&gt;=AJ552,дома!$AA$29&lt;=AI552),связи1!AG552,0)</f>
        <v>0</v>
      </c>
    </row>
    <row r="553" customFormat="false" ht="15" hidden="false" customHeight="false" outlineLevel="0" collapsed="false">
      <c r="AG553" s="1159" t="n">
        <v>40.2</v>
      </c>
      <c r="AH553" s="1193" t="n">
        <f aca="false">AG553*3.1415926535897/180</f>
        <v>0.7016223593017</v>
      </c>
      <c r="AI553" s="1193" t="n">
        <f aca="false">AH553+0.0005</f>
        <v>0.7021223593017</v>
      </c>
      <c r="AJ553" s="1193" t="n">
        <f aca="false">AH553-0.0005</f>
        <v>0.7011223593017</v>
      </c>
      <c r="AK553" s="1159" t="n">
        <f aca="false">IF(AND(дома!$Z$29&gt;=AJ553,дома!$Z$29&lt;=AI553),связи1!AG553,0)</f>
        <v>0</v>
      </c>
      <c r="AL553" s="1159" t="n">
        <f aca="false">IF(AND(дома!$AA$29&gt;=AJ553,дома!$AA$29&lt;=AI553),связи1!AG553,0)</f>
        <v>0</v>
      </c>
    </row>
    <row r="554" customFormat="false" ht="15" hidden="false" customHeight="false" outlineLevel="0" collapsed="false">
      <c r="A554" s="1158" t="s">
        <v>868</v>
      </c>
      <c r="AG554" s="1159" t="n">
        <v>40.3</v>
      </c>
      <c r="AH554" s="1193" t="n">
        <f aca="false">AG554*3.1415926535897/180</f>
        <v>0.703367688553694</v>
      </c>
      <c r="AI554" s="1193" t="n">
        <f aca="false">AH554+0.0005</f>
        <v>0.703867688553694</v>
      </c>
      <c r="AJ554" s="1193" t="n">
        <f aca="false">AH554-0.0005</f>
        <v>0.702867688553694</v>
      </c>
      <c r="AK554" s="1159" t="n">
        <f aca="false">IF(AND(дома!$Z$29&gt;=AJ554,дома!$Z$29&lt;=AI554),связи1!AG554,0)</f>
        <v>0</v>
      </c>
      <c r="AL554" s="1159" t="n">
        <f aca="false">IF(AND(дома!$AA$29&gt;=AJ554,дома!$AA$29&lt;=AI554),связи1!AG554,0)</f>
        <v>0</v>
      </c>
    </row>
    <row r="555" customFormat="false" ht="15" hidden="false" customHeight="false" outlineLevel="0" collapsed="false">
      <c r="A555" s="1158" t="s">
        <v>2736</v>
      </c>
      <c r="AG555" s="1159" t="n">
        <v>40.4</v>
      </c>
      <c r="AH555" s="1193" t="n">
        <f aca="false">AG555*3.1415926535897/180</f>
        <v>0.705113017805688</v>
      </c>
      <c r="AI555" s="1193" t="n">
        <f aca="false">AH555+0.0005</f>
        <v>0.705613017805688</v>
      </c>
      <c r="AJ555" s="1193" t="n">
        <f aca="false">AH555-0.0005</f>
        <v>0.704613017805688</v>
      </c>
      <c r="AK555" s="1159" t="n">
        <f aca="false">IF(AND(дома!$Z$29&gt;=AJ555,дома!$Z$29&lt;=AI555),связи1!AG555,0)</f>
        <v>0</v>
      </c>
      <c r="AL555" s="1159" t="n">
        <f aca="false">IF(AND(дома!$AA$29&gt;=AJ555,дома!$AA$29&lt;=AI555),связи1!AG555,0)</f>
        <v>0</v>
      </c>
    </row>
    <row r="556" customFormat="false" ht="15" hidden="false" customHeight="false" outlineLevel="0" collapsed="false">
      <c r="AG556" s="1159" t="n">
        <v>40.5</v>
      </c>
      <c r="AH556" s="1193" t="n">
        <f aca="false">AG556*3.1415926535897/180</f>
        <v>0.706858347057682</v>
      </c>
      <c r="AI556" s="1193" t="n">
        <f aca="false">AH556+0.0005</f>
        <v>0.707358347057682</v>
      </c>
      <c r="AJ556" s="1193" t="n">
        <f aca="false">AH556-0.0005</f>
        <v>0.706358347057683</v>
      </c>
      <c r="AK556" s="1159" t="n">
        <f aca="false">IF(AND(дома!$Z$29&gt;=AJ556,дома!$Z$29&lt;=AI556),связи1!AG556,0)</f>
        <v>0</v>
      </c>
      <c r="AL556" s="1159" t="n">
        <f aca="false">IF(AND(дома!$AA$29&gt;=AJ556,дома!$AA$29&lt;=AI556),связи1!AG556,0)</f>
        <v>0</v>
      </c>
    </row>
    <row r="557" customFormat="false" ht="15" hidden="false" customHeight="false" outlineLevel="0" collapsed="false">
      <c r="A557" s="1158" t="s">
        <v>2199</v>
      </c>
      <c r="AG557" s="1159" t="n">
        <v>40.6</v>
      </c>
      <c r="AH557" s="1193" t="n">
        <f aca="false">AG557*3.1415926535897/180</f>
        <v>0.708603676309677</v>
      </c>
      <c r="AI557" s="1193" t="n">
        <f aca="false">AH557+0.0005</f>
        <v>0.709103676309677</v>
      </c>
      <c r="AJ557" s="1193" t="n">
        <f aca="false">AH557-0.0005</f>
        <v>0.708103676309677</v>
      </c>
      <c r="AK557" s="1159" t="n">
        <f aca="false">IF(AND(дома!$Z$29&gt;=AJ557,дома!$Z$29&lt;=AI557),связи1!AG557,0)</f>
        <v>0</v>
      </c>
      <c r="AL557" s="1159" t="n">
        <f aca="false">IF(AND(дома!$AA$29&gt;=AJ557,дома!$AA$29&lt;=AI557),связи1!AG557,0)</f>
        <v>0</v>
      </c>
    </row>
    <row r="558" customFormat="false" ht="15" hidden="false" customHeight="false" outlineLevel="0" collapsed="false">
      <c r="A558" s="1158" t="s">
        <v>56</v>
      </c>
      <c r="AG558" s="1159" t="n">
        <v>40.7</v>
      </c>
      <c r="AH558" s="1193" t="n">
        <f aca="false">AG558*3.1415926535897/180</f>
        <v>0.710349005561671</v>
      </c>
      <c r="AI558" s="1193" t="n">
        <f aca="false">AH558+0.0005</f>
        <v>0.710849005561671</v>
      </c>
      <c r="AJ558" s="1193" t="n">
        <f aca="false">AH558-0.0005</f>
        <v>0.709849005561671</v>
      </c>
      <c r="AK558" s="1159" t="n">
        <f aca="false">IF(AND(дома!$Z$29&gt;=AJ558,дома!$Z$29&lt;=AI558),связи1!AG558,0)</f>
        <v>0</v>
      </c>
      <c r="AL558" s="1159" t="n">
        <f aca="false">IF(AND(дома!$AA$29&gt;=AJ558,дома!$AA$29&lt;=AI558),связи1!AG558,0)</f>
        <v>0</v>
      </c>
    </row>
    <row r="559" customFormat="false" ht="15" hidden="false" customHeight="false" outlineLevel="0" collapsed="false">
      <c r="AG559" s="1159" t="n">
        <v>40.8</v>
      </c>
      <c r="AH559" s="1193" t="n">
        <f aca="false">AG559*3.1415926535897/180</f>
        <v>0.712094334813665</v>
      </c>
      <c r="AI559" s="1193" t="n">
        <f aca="false">AH559+0.0005</f>
        <v>0.712594334813665</v>
      </c>
      <c r="AJ559" s="1193" t="n">
        <f aca="false">AH559-0.0005</f>
        <v>0.711594334813665</v>
      </c>
      <c r="AK559" s="1159" t="n">
        <f aca="false">IF(AND(дома!$Z$29&gt;=AJ559,дома!$Z$29&lt;=AI559),связи1!AG559,0)</f>
        <v>0</v>
      </c>
      <c r="AL559" s="1159" t="n">
        <f aca="false">IF(AND(дома!$AA$29&gt;=AJ559,дома!$AA$29&lt;=AI559),связи1!AG559,0)</f>
        <v>0</v>
      </c>
    </row>
    <row r="560" customFormat="false" ht="15" hidden="false" customHeight="false" outlineLevel="0" collapsed="false">
      <c r="A560" s="1158" t="s">
        <v>2737</v>
      </c>
      <c r="AG560" s="1159" t="n">
        <v>40.9</v>
      </c>
      <c r="AH560" s="1193" t="n">
        <f aca="false">AG560*3.1415926535897/180</f>
        <v>0.71383966406566</v>
      </c>
      <c r="AI560" s="1193" t="n">
        <f aca="false">AH560+0.0005</f>
        <v>0.714339664065659</v>
      </c>
      <c r="AJ560" s="1193" t="n">
        <f aca="false">AH560-0.0005</f>
        <v>0.71333966406566</v>
      </c>
      <c r="AK560" s="1159" t="n">
        <f aca="false">IF(AND(дома!$Z$29&gt;=AJ560,дома!$Z$29&lt;=AI560),связи1!AG560,0)</f>
        <v>0</v>
      </c>
      <c r="AL560" s="1159" t="n">
        <f aca="false">IF(AND(дома!$AA$29&gt;=AJ560,дома!$AA$29&lt;=AI560),связи1!AG560,0)</f>
        <v>0</v>
      </c>
    </row>
    <row r="561" customFormat="false" ht="15" hidden="false" customHeight="false" outlineLevel="0" collapsed="false">
      <c r="A561" s="1158" t="s">
        <v>710</v>
      </c>
      <c r="AG561" s="1159" t="n">
        <v>41</v>
      </c>
      <c r="AH561" s="1193" t="n">
        <f aca="false">AG561*3.1415926535897/180</f>
        <v>0.715584993317654</v>
      </c>
      <c r="AI561" s="1193" t="n">
        <f aca="false">AH561+0.0005</f>
        <v>0.716084993317654</v>
      </c>
      <c r="AJ561" s="1193" t="n">
        <f aca="false">AH561-0.0005</f>
        <v>0.715084993317654</v>
      </c>
      <c r="AK561" s="1159" t="n">
        <f aca="false">IF(AND(дома!$Z$29&gt;=AJ561,дома!$Z$29&lt;=AI561),связи1!AG561,0)</f>
        <v>0</v>
      </c>
      <c r="AL561" s="1159" t="n">
        <f aca="false">IF(AND(дома!$AA$29&gt;=AJ561,дома!$AA$29&lt;=AI561),связи1!AG561,0)</f>
        <v>0</v>
      </c>
    </row>
    <row r="562" customFormat="false" ht="15" hidden="false" customHeight="false" outlineLevel="0" collapsed="false">
      <c r="AG562" s="1159" t="n">
        <v>41.1</v>
      </c>
      <c r="AH562" s="1193" t="n">
        <f aca="false">AG562*3.1415926535897/180</f>
        <v>0.717330322569648</v>
      </c>
      <c r="AI562" s="1193" t="n">
        <f aca="false">AH562+0.0005</f>
        <v>0.717830322569648</v>
      </c>
      <c r="AJ562" s="1193" t="n">
        <f aca="false">AH562-0.0005</f>
        <v>0.716830322569648</v>
      </c>
      <c r="AK562" s="1159" t="n">
        <f aca="false">IF(AND(дома!$Z$29&gt;=AJ562,дома!$Z$29&lt;=AI562),связи1!AG562,0)</f>
        <v>0</v>
      </c>
      <c r="AL562" s="1159" t="n">
        <f aca="false">IF(AND(дома!$AA$29&gt;=AJ562,дома!$AA$29&lt;=AI562),связи1!AG562,0)</f>
        <v>0</v>
      </c>
    </row>
    <row r="563" customFormat="false" ht="15" hidden="false" customHeight="false" outlineLevel="0" collapsed="false">
      <c r="A563" s="1158" t="s">
        <v>2738</v>
      </c>
      <c r="AG563" s="1159" t="n">
        <v>41.2</v>
      </c>
      <c r="AH563" s="1193" t="n">
        <f aca="false">AG563*3.1415926535897/180</f>
        <v>0.719075651821642</v>
      </c>
      <c r="AI563" s="1193" t="n">
        <f aca="false">AH563+0.0005</f>
        <v>0.719575651821642</v>
      </c>
      <c r="AJ563" s="1193" t="n">
        <f aca="false">AH563-0.0005</f>
        <v>0.718575651821642</v>
      </c>
      <c r="AK563" s="1159" t="n">
        <f aca="false">IF(AND(дома!$Z$29&gt;=AJ563,дома!$Z$29&lt;=AI563),связи1!AG563,0)</f>
        <v>0</v>
      </c>
      <c r="AL563" s="1159" t="n">
        <f aca="false">IF(AND(дома!$AA$29&gt;=AJ563,дома!$AA$29&lt;=AI563),связи1!AG563,0)</f>
        <v>0</v>
      </c>
    </row>
    <row r="564" customFormat="false" ht="15" hidden="false" customHeight="false" outlineLevel="0" collapsed="false">
      <c r="A564" s="1158" t="s">
        <v>712</v>
      </c>
      <c r="AG564" s="1159" t="n">
        <v>41.3</v>
      </c>
      <c r="AH564" s="1193" t="n">
        <f aca="false">AG564*3.1415926535897/180</f>
        <v>0.720820981073637</v>
      </c>
      <c r="AI564" s="1193" t="n">
        <f aca="false">AH564+0.0005</f>
        <v>0.721320981073637</v>
      </c>
      <c r="AJ564" s="1193" t="n">
        <f aca="false">AH564-0.0005</f>
        <v>0.720320981073637</v>
      </c>
      <c r="AK564" s="1159" t="n">
        <f aca="false">IF(AND(дома!$Z$29&gt;=AJ564,дома!$Z$29&lt;=AI564),связи1!AG564,0)</f>
        <v>0</v>
      </c>
      <c r="AL564" s="1159" t="n">
        <f aca="false">IF(AND(дома!$AA$29&gt;=AJ564,дома!$AA$29&lt;=AI564),связи1!AG564,0)</f>
        <v>0</v>
      </c>
    </row>
    <row r="565" customFormat="false" ht="15" hidden="false" customHeight="false" outlineLevel="0" collapsed="false">
      <c r="AG565" s="1159" t="n">
        <v>41.4</v>
      </c>
      <c r="AH565" s="1193" t="n">
        <f aca="false">AG565*3.1415926535897/180</f>
        <v>0.722566310325631</v>
      </c>
      <c r="AI565" s="1193" t="n">
        <f aca="false">AH565+0.0005</f>
        <v>0.723066310325631</v>
      </c>
      <c r="AJ565" s="1193" t="n">
        <f aca="false">AH565-0.0005</f>
        <v>0.722066310325631</v>
      </c>
      <c r="AK565" s="1159" t="n">
        <f aca="false">IF(AND(дома!$Z$29&gt;=AJ565,дома!$Z$29&lt;=AI565),связи1!AG565,0)</f>
        <v>0</v>
      </c>
      <c r="AL565" s="1159" t="n">
        <f aca="false">IF(AND(дома!$AA$29&gt;=AJ565,дома!$AA$29&lt;=AI565),связи1!AG565,0)</f>
        <v>0</v>
      </c>
    </row>
    <row r="566" customFormat="false" ht="15" hidden="false" customHeight="false" outlineLevel="0" collapsed="false">
      <c r="A566" s="1277" t="s">
        <v>46</v>
      </c>
      <c r="B566" s="1278" t="s">
        <v>12</v>
      </c>
      <c r="C566" s="1279" t="s">
        <v>13</v>
      </c>
      <c r="D566" s="1280"/>
      <c r="E566" s="1280"/>
      <c r="F566" s="1278"/>
      <c r="AG566" s="1159" t="n">
        <v>41.5</v>
      </c>
      <c r="AH566" s="1193" t="n">
        <f aca="false">AG566*3.1415926535897/180</f>
        <v>0.724311639577625</v>
      </c>
      <c r="AI566" s="1193" t="n">
        <f aca="false">AH566+0.0005</f>
        <v>0.724811639577625</v>
      </c>
      <c r="AJ566" s="1193" t="n">
        <f aca="false">AH566-0.0005</f>
        <v>0.723811639577625</v>
      </c>
      <c r="AK566" s="1159" t="n">
        <f aca="false">IF(AND(дома!$Z$29&gt;=AJ566,дома!$Z$29&lt;=AI566),связи1!AG566,0)</f>
        <v>0</v>
      </c>
      <c r="AL566" s="1159" t="n">
        <f aca="false">IF(AND(дома!$AA$29&gt;=AJ566,дома!$AA$29&lt;=AI566),связи1!AG566,0)</f>
        <v>0</v>
      </c>
    </row>
    <row r="567" customFormat="false" ht="15" hidden="false" customHeight="false" outlineLevel="0" collapsed="false">
      <c r="A567" s="1281" t="s">
        <v>317</v>
      </c>
      <c r="B567" s="1282" t="s">
        <v>48</v>
      </c>
      <c r="C567" s="1282" t="s">
        <v>267</v>
      </c>
      <c r="D567" s="1185" t="s">
        <v>271</v>
      </c>
      <c r="E567" s="1283" t="s">
        <v>318</v>
      </c>
      <c r="F567" s="1185" t="s">
        <v>319</v>
      </c>
      <c r="AG567" s="1159" t="n">
        <v>41.6</v>
      </c>
      <c r="AH567" s="1193" t="n">
        <f aca="false">AG567*3.1415926535897/180</f>
        <v>0.72605696882962</v>
      </c>
      <c r="AI567" s="1193" t="n">
        <f aca="false">AH567+0.0005</f>
        <v>0.726556968829619</v>
      </c>
      <c r="AJ567" s="1193" t="n">
        <f aca="false">AH567-0.0005</f>
        <v>0.72555696882962</v>
      </c>
      <c r="AK567" s="1159" t="n">
        <f aca="false">IF(AND(дома!$Z$29&gt;=AJ567,дома!$Z$29&lt;=AI567),связи1!AG567,0)</f>
        <v>0</v>
      </c>
      <c r="AL567" s="1159" t="n">
        <f aca="false">IF(AND(дома!$AA$29&gt;=AJ567,дома!$AA$29&lt;=AI567),связи1!AG567,0)</f>
        <v>0</v>
      </c>
    </row>
    <row r="568" customFormat="false" ht="15" hidden="false" customHeight="false" outlineLevel="0" collapsed="false">
      <c r="A568" s="1281" t="s">
        <v>58</v>
      </c>
      <c r="B568" s="1282" t="s">
        <v>48</v>
      </c>
      <c r="C568" s="1284" t="n">
        <f aca="false">'Ввод данных'!C64</f>
        <v>1</v>
      </c>
      <c r="D568" s="1284" t="n">
        <f aca="false">'Ввод данных'!D468</f>
        <v>1</v>
      </c>
      <c r="E568" s="1284" t="n">
        <f aca="false">'Ввод данных'!E468</f>
        <v>1</v>
      </c>
      <c r="F568" s="1284" t="n">
        <f aca="false">'Ввод данных'!F468</f>
        <v>1</v>
      </c>
      <c r="AG568" s="1159" t="n">
        <v>41.7</v>
      </c>
      <c r="AH568" s="1193" t="n">
        <f aca="false">AG568*3.1415926535897/180</f>
        <v>0.727802298081614</v>
      </c>
      <c r="AI568" s="1193" t="n">
        <f aca="false">AH568+0.0005</f>
        <v>0.728302298081614</v>
      </c>
      <c r="AJ568" s="1193" t="n">
        <f aca="false">AH568-0.0005</f>
        <v>0.727302298081614</v>
      </c>
      <c r="AK568" s="1159" t="n">
        <f aca="false">IF(AND(дома!$Z$29&gt;=AJ568,дома!$Z$29&lt;=AI568),связи1!AG568,0)</f>
        <v>0</v>
      </c>
      <c r="AL568" s="1159" t="n">
        <f aca="false">IF(AND(дома!$AA$29&gt;=AJ568,дома!$AA$29&lt;=AI568),связи1!AG568,0)</f>
        <v>0</v>
      </c>
    </row>
    <row r="569" customFormat="false" ht="15" hidden="false" customHeight="false" outlineLevel="0" collapsed="false">
      <c r="A569" s="1285" t="s">
        <v>59</v>
      </c>
      <c r="B569" s="1185" t="s">
        <v>15</v>
      </c>
      <c r="C569" s="1286" t="n">
        <f aca="false">IF('Ввод данных'!C65=0,1,'Ввод данных'!C65)</f>
        <v>3</v>
      </c>
      <c r="D569" s="1286" t="n">
        <f aca="false">IF('Ввод данных'!D469=0,1,'Ввод данных'!D469)</f>
        <v>3</v>
      </c>
      <c r="E569" s="1286" t="n">
        <f aca="false">IF('Ввод данных'!E469=0,1,'Ввод данных'!E469)</f>
        <v>3</v>
      </c>
      <c r="F569" s="1286" t="n">
        <f aca="false">IF('Ввод данных'!F469=0,1,'Ввод данных'!F469)</f>
        <v>3</v>
      </c>
      <c r="AG569" s="1159" t="n">
        <v>41.8</v>
      </c>
      <c r="AH569" s="1193" t="n">
        <f aca="false">AG569*3.1415926535897/180</f>
        <v>0.729547627333608</v>
      </c>
      <c r="AI569" s="1193" t="n">
        <f aca="false">AH569+0.0005</f>
        <v>0.730047627333608</v>
      </c>
      <c r="AJ569" s="1193" t="n">
        <f aca="false">AH569-0.0005</f>
        <v>0.729047627333608</v>
      </c>
      <c r="AK569" s="1159" t="n">
        <f aca="false">IF(AND(дома!$Z$29&gt;=AJ569,дома!$Z$29&lt;=AI569),связи1!AG569,0)</f>
        <v>0</v>
      </c>
      <c r="AL569" s="1159" t="n">
        <f aca="false">IF(AND(дома!$AA$29&gt;=AJ569,дома!$AA$29&lt;=AI569),связи1!AG569,0)</f>
        <v>0</v>
      </c>
    </row>
    <row r="570" customFormat="false" ht="15" hidden="false" customHeight="false" outlineLevel="0" collapsed="false">
      <c r="A570" s="1285" t="s">
        <v>60</v>
      </c>
      <c r="B570" s="1185" t="s">
        <v>15</v>
      </c>
      <c r="C570" s="1286" t="n">
        <f aca="false">IF('Ввод данных'!C66=0,1,'Ввод данных'!C66)</f>
        <v>6</v>
      </c>
      <c r="D570" s="1286" t="n">
        <f aca="false">IF('Ввод данных'!D470=0,1,'Ввод данных'!D470)</f>
        <v>3</v>
      </c>
      <c r="E570" s="1286" t="n">
        <f aca="false">IF('Ввод данных'!E470=0,1,'Ввод данных'!E470)</f>
        <v>3</v>
      </c>
      <c r="F570" s="1286" t="n">
        <f aca="false">IF('Ввод данных'!F470=0,1,'Ввод данных'!F470)</f>
        <v>5</v>
      </c>
      <c r="AG570" s="1159" t="n">
        <v>41.9</v>
      </c>
      <c r="AH570" s="1193" t="n">
        <f aca="false">AG570*3.1415926535897/180</f>
        <v>0.731292956585602</v>
      </c>
      <c r="AI570" s="1193" t="n">
        <f aca="false">AH570+0.0005</f>
        <v>0.731792956585602</v>
      </c>
      <c r="AJ570" s="1193" t="n">
        <f aca="false">AH570-0.0005</f>
        <v>0.730792956585602</v>
      </c>
      <c r="AK570" s="1159" t="n">
        <f aca="false">IF(AND(дома!$Z$29&gt;=AJ570,дома!$Z$29&lt;=AI570),связи1!AG570,0)</f>
        <v>0</v>
      </c>
      <c r="AL570" s="1159" t="n">
        <f aca="false">IF(AND(дома!$AA$29&gt;=AJ570,дома!$AA$29&lt;=AI570),связи1!AG570,0)</f>
        <v>0</v>
      </c>
    </row>
    <row r="571" customFormat="false" ht="15" hidden="false" customHeight="false" outlineLevel="0" collapsed="false">
      <c r="A571" s="1285" t="s">
        <v>61</v>
      </c>
      <c r="B571" s="1185" t="s">
        <v>15</v>
      </c>
      <c r="C571" s="1286" t="n">
        <f aca="false">IF('Ввод данных'!C67=0,1,'Ввод данных'!C67)</f>
        <v>2.9</v>
      </c>
      <c r="D571" s="1286" t="n">
        <f aca="false">IF('Ввод данных'!D471=0,1,'Ввод данных'!D471)</f>
        <v>2.9</v>
      </c>
      <c r="E571" s="1286" t="n">
        <f aca="false">IF('Ввод данных'!E471=0,1,'Ввод данных'!E471)</f>
        <v>2.9</v>
      </c>
      <c r="F571" s="1286" t="n">
        <f aca="false">IF('Ввод данных'!F471=0,1,'Ввод данных'!F471)</f>
        <v>3</v>
      </c>
      <c r="AG571" s="1159" t="n">
        <v>42</v>
      </c>
      <c r="AH571" s="1193" t="n">
        <f aca="false">AG571*3.1415926535897/180</f>
        <v>0.733038285837597</v>
      </c>
      <c r="AI571" s="1193" t="n">
        <f aca="false">AH571+0.0005</f>
        <v>0.733538285837597</v>
      </c>
      <c r="AJ571" s="1193" t="n">
        <f aca="false">AH571-0.0005</f>
        <v>0.732538285837597</v>
      </c>
      <c r="AK571" s="1159" t="n">
        <f aca="false">IF(AND(дома!$Z$29&gt;=AJ571,дома!$Z$29&lt;=AI571),связи1!AG571,0)</f>
        <v>0</v>
      </c>
      <c r="AL571" s="1159" t="n">
        <f aca="false">IF(AND(дома!$AA$29&gt;=AJ571,дома!$AA$29&lt;=AI571),связи1!AG571,0)</f>
        <v>0</v>
      </c>
    </row>
    <row r="572" customFormat="false" ht="15" hidden="false" customHeight="false" outlineLevel="0" collapsed="false">
      <c r="A572" s="1285" t="s">
        <v>19</v>
      </c>
      <c r="B572" s="1185" t="s">
        <v>15</v>
      </c>
      <c r="C572" s="1286" t="n">
        <f aca="false">IF('Ввод данных'!C68=0,1,'Ввод данных'!C68)</f>
        <v>5</v>
      </c>
      <c r="D572" s="1286" t="n">
        <f aca="false">IF('Ввод данных'!D472=0,1,'Ввод данных'!D472)</f>
        <v>4.1</v>
      </c>
      <c r="E572" s="1286" t="n">
        <f aca="false">IF('Ввод данных'!E472=0,1,'Ввод данных'!E472)</f>
        <v>6</v>
      </c>
      <c r="F572" s="1286" t="n">
        <f aca="false">IF('Ввод данных'!F472=0,1,'Ввод данных'!F472)</f>
        <v>4</v>
      </c>
      <c r="AG572" s="1159" t="n">
        <v>42.1</v>
      </c>
      <c r="AH572" s="1193" t="n">
        <f aca="false">AG572*3.1415926535897/180</f>
        <v>0.734783615089591</v>
      </c>
      <c r="AI572" s="1193" t="n">
        <f aca="false">AH572+0.0005</f>
        <v>0.735283615089591</v>
      </c>
      <c r="AJ572" s="1193" t="n">
        <f aca="false">AH572-0.0005</f>
        <v>0.734283615089591</v>
      </c>
      <c r="AK572" s="1159" t="n">
        <f aca="false">IF(AND(дома!$Z$29&gt;=AJ572,дома!$Z$29&lt;=AI572),связи1!AG572,0)</f>
        <v>0</v>
      </c>
      <c r="AL572" s="1159" t="n">
        <f aca="false">IF(AND(дома!$AA$29&gt;=AJ572,дома!$AA$29&lt;=AI572),связи1!AG572,0)</f>
        <v>0</v>
      </c>
    </row>
    <row r="573" customFormat="false" ht="15" hidden="false" customHeight="false" outlineLevel="0" collapsed="false">
      <c r="A573" s="1285" t="s">
        <v>2739</v>
      </c>
      <c r="B573" s="1185" t="s">
        <v>15</v>
      </c>
      <c r="C573" s="1286" t="n">
        <f aca="false">IF('Ввод данных'!C69=0,1,'Ввод данных'!C69)</f>
        <v>1.2</v>
      </c>
      <c r="D573" s="1286" t="n">
        <f aca="false">IF('Ввод данных'!D473=0,1,'Ввод данных'!D473)</f>
        <v>2.1</v>
      </c>
      <c r="E573" s="1286" t="n">
        <f aca="false">IF('Ввод данных'!E473=0,1,'Ввод данных'!E473)</f>
        <v>1.5</v>
      </c>
      <c r="F573" s="1286" t="n">
        <f aca="false">IF('Ввод данных'!F473=0,1,'Ввод данных'!F473)</f>
        <v>2.7</v>
      </c>
      <c r="AG573" s="1159" t="n">
        <v>42.2</v>
      </c>
      <c r="AH573" s="1193" t="n">
        <f aca="false">AG573*3.1415926535897/180</f>
        <v>0.736528944341585</v>
      </c>
      <c r="AI573" s="1193" t="n">
        <f aca="false">AH573+0.0005</f>
        <v>0.737028944341585</v>
      </c>
      <c r="AJ573" s="1193" t="n">
        <f aca="false">AH573-0.0005</f>
        <v>0.736028944341585</v>
      </c>
      <c r="AK573" s="1159" t="n">
        <f aca="false">IF(AND(дома!$Z$29&gt;=AJ573,дома!$Z$29&lt;=AI573),связи1!AG573,0)</f>
        <v>0</v>
      </c>
      <c r="AL573" s="1159" t="n">
        <f aca="false">IF(AND(дома!$AA$29&gt;=AJ573,дома!$AA$29&lt;=AI573),связи1!AG573,0)</f>
        <v>0</v>
      </c>
    </row>
    <row r="574" customFormat="false" ht="15" hidden="false" customHeight="false" outlineLevel="0" collapsed="false">
      <c r="A574" s="1285" t="s">
        <v>62</v>
      </c>
      <c r="B574" s="1185" t="s">
        <v>15</v>
      </c>
      <c r="C574" s="1286" t="n">
        <f aca="false">IF('Ввод данных'!C70=0,1,'Ввод данных'!C70)</f>
        <v>2.5</v>
      </c>
      <c r="D574" s="1286" t="n">
        <f aca="false">IF('Ввод данных'!D474=0,1,'Ввод данных'!D474)</f>
        <v>2.2</v>
      </c>
      <c r="E574" s="1286" t="n">
        <f aca="false">IF('Ввод данных'!E474=0,1,'Ввод данных'!E474)</f>
        <v>2.2</v>
      </c>
      <c r="F574" s="1286" t="n">
        <f aca="false">IF('Ввод данных'!F474=0,1,'Ввод данных'!F474)</f>
        <v>2.7</v>
      </c>
      <c r="AG574" s="1159" t="n">
        <v>42.3</v>
      </c>
      <c r="AH574" s="1193" t="n">
        <f aca="false">AG574*3.1415926535897/180</f>
        <v>0.738274273593579</v>
      </c>
      <c r="AI574" s="1193" t="n">
        <f aca="false">AH574+0.0005</f>
        <v>0.738774273593579</v>
      </c>
      <c r="AJ574" s="1193" t="n">
        <f aca="false">AH574-0.0005</f>
        <v>0.737774273593579</v>
      </c>
      <c r="AK574" s="1159" t="n">
        <f aca="false">IF(AND(дома!$Z$29&gt;=AJ574,дома!$Z$29&lt;=AI574),связи1!AG574,0)</f>
        <v>0</v>
      </c>
      <c r="AL574" s="1159" t="n">
        <f aca="false">IF(AND(дома!$AA$29&gt;=AJ574,дома!$AA$29&lt;=AI574),связи1!AG574,0)</f>
        <v>0</v>
      </c>
    </row>
    <row r="575" customFormat="false" ht="15" hidden="false" customHeight="false" outlineLevel="0" collapsed="false">
      <c r="A575" s="1285" t="s">
        <v>2740</v>
      </c>
      <c r="B575" s="1287" t="s">
        <v>15</v>
      </c>
      <c r="C575" s="1286" t="n">
        <f aca="false">IF(связи1!C584=0,1,связи1!C584)</f>
        <v>1.9</v>
      </c>
      <c r="D575" s="1286" t="n">
        <f aca="false">IF(связи1!D584=0,1,связи1!D584)</f>
        <v>1</v>
      </c>
      <c r="E575" s="1286" t="n">
        <f aca="false">IF(связи1!E584=0,1,связи1!E584)</f>
        <v>2.9</v>
      </c>
      <c r="F575" s="1286" t="n">
        <f aca="false">IF(связи1!F584=0,1,связи1!F584)</f>
        <v>0.8</v>
      </c>
      <c r="AG575" s="1159" t="n">
        <v>42.4</v>
      </c>
      <c r="AH575" s="1193" t="n">
        <f aca="false">AG575*3.1415926535897/180</f>
        <v>0.740019602845574</v>
      </c>
      <c r="AI575" s="1193" t="n">
        <f aca="false">AH575+0.0005</f>
        <v>0.740519602845574</v>
      </c>
      <c r="AJ575" s="1193" t="n">
        <f aca="false">AH575-0.0005</f>
        <v>0.739519602845574</v>
      </c>
      <c r="AK575" s="1159" t="n">
        <f aca="false">IF(AND(дома!$Z$29&gt;=AJ575,дома!$Z$29&lt;=AI575),связи1!AG575,0)</f>
        <v>0</v>
      </c>
      <c r="AL575" s="1159" t="n">
        <f aca="false">IF(AND(дома!$AA$29&gt;=AJ575,дома!$AA$29&lt;=AI575),связи1!AG575,0)</f>
        <v>0</v>
      </c>
    </row>
    <row r="576" customFormat="false" ht="15" hidden="false" customHeight="false" outlineLevel="0" collapsed="false">
      <c r="A576" s="1285" t="s">
        <v>2741</v>
      </c>
      <c r="B576" s="1185" t="s">
        <v>15</v>
      </c>
      <c r="C576" s="1286" t="n">
        <f aca="false">IF(связи1!C585=0,1,связи1!C585)</f>
        <v>1.2</v>
      </c>
      <c r="D576" s="1286" t="n">
        <f aca="false">IF(связи1!D585=0,1,связи1!D585)</f>
        <v>2.1</v>
      </c>
      <c r="E576" s="1286" t="n">
        <f aca="false">IF(связи1!E585=0,1,связи1!E585)</f>
        <v>1.5</v>
      </c>
      <c r="F576" s="1286" t="n">
        <f aca="false">IF(связи1!F585=0,1,связи1!F585)</f>
        <v>2.7</v>
      </c>
      <c r="AG576" s="1159" t="n">
        <v>42.5</v>
      </c>
      <c r="AH576" s="1193" t="n">
        <f aca="false">AG576*3.1415926535897/180</f>
        <v>0.741764932097568</v>
      </c>
      <c r="AI576" s="1193" t="n">
        <f aca="false">AH576+0.0005</f>
        <v>0.742264932097568</v>
      </c>
      <c r="AJ576" s="1193" t="n">
        <f aca="false">AH576-0.0005</f>
        <v>0.741264932097568</v>
      </c>
      <c r="AK576" s="1159" t="n">
        <f aca="false">IF(AND(дома!$Z$29&gt;=AJ576,дома!$Z$29&lt;=AI576),связи1!AG576,0)</f>
        <v>0</v>
      </c>
      <c r="AL576" s="1159" t="n">
        <f aca="false">IF(AND(дома!$AA$29&gt;=AJ576,дома!$AA$29&lt;=AI576),связи1!AG576,0)</f>
        <v>0</v>
      </c>
    </row>
    <row r="577" customFormat="false" ht="15" hidden="false" customHeight="false" outlineLevel="0" collapsed="false">
      <c r="A577" s="1288" t="s">
        <v>2742</v>
      </c>
      <c r="B577" s="1289" t="s">
        <v>15</v>
      </c>
      <c r="C577" s="1286" t="n">
        <f aca="false">IF('Ввод данных'!C477=0,1,'Ввод данных'!C477)</f>
        <v>0.5</v>
      </c>
      <c r="D577" s="1286" t="n">
        <f aca="false">IF('Ввод данных'!D477=0,1,'Ввод данных'!D477)</f>
        <v>0.6</v>
      </c>
      <c r="E577" s="1286" t="n">
        <f aca="false">IF('Ввод данных'!E477=0,1,'Ввод данных'!E477)</f>
        <v>0.6</v>
      </c>
      <c r="F577" s="1286" t="n">
        <f aca="false">IF('Ввод данных'!F477=0,1,'Ввод данных'!F477)</f>
        <v>0.6</v>
      </c>
      <c r="AG577" s="1159" t="n">
        <v>42.6</v>
      </c>
      <c r="AH577" s="1193" t="n">
        <f aca="false">AG577*3.1415926535897/180</f>
        <v>0.743510261349562</v>
      </c>
      <c r="AI577" s="1193" t="n">
        <f aca="false">AH577+0.0005</f>
        <v>0.744010261349562</v>
      </c>
      <c r="AJ577" s="1193" t="n">
        <f aca="false">AH577-0.0005</f>
        <v>0.743010261349562</v>
      </c>
      <c r="AK577" s="1159" t="n">
        <f aca="false">IF(AND(дома!$Z$29&gt;=AJ577,дома!$Z$29&lt;=AI577),связи1!AG577,0)</f>
        <v>0</v>
      </c>
      <c r="AL577" s="1159" t="n">
        <f aca="false">IF(AND(дома!$AA$29&gt;=AJ577,дома!$AA$29&lt;=AI577),связи1!AG577,0)</f>
        <v>0</v>
      </c>
    </row>
    <row r="578" customFormat="false" ht="15" hidden="false" customHeight="false" outlineLevel="0" collapsed="false">
      <c r="A578" s="1288" t="s">
        <v>2743</v>
      </c>
      <c r="B578" s="1289" t="s">
        <v>15</v>
      </c>
      <c r="C578" s="1286" t="n">
        <f aca="false">IF('Ввод данных'!C478=0,1,'Ввод данных'!C478)</f>
        <v>0.7</v>
      </c>
      <c r="D578" s="1286" t="n">
        <f aca="false">IF('Ввод данных'!D478=0,1,'Ввод данных'!D478)</f>
        <v>0.6</v>
      </c>
      <c r="E578" s="1286" t="n">
        <f aca="false">IF('Ввод данных'!E478=0,1,'Ввод данных'!E478)</f>
        <v>0.6</v>
      </c>
      <c r="F578" s="1286" t="n">
        <f aca="false">IF('Ввод данных'!F478=0,1,'Ввод данных'!F478)</f>
        <v>0.6</v>
      </c>
      <c r="AG578" s="1159" t="n">
        <v>42.7</v>
      </c>
      <c r="AH578" s="1193" t="n">
        <f aca="false">AG578*3.1415926535897/180</f>
        <v>0.745255590601557</v>
      </c>
      <c r="AI578" s="1193" t="n">
        <f aca="false">AH578+0.0005</f>
        <v>0.745755590601557</v>
      </c>
      <c r="AJ578" s="1193" t="n">
        <f aca="false">AH578-0.0005</f>
        <v>0.744755590601557</v>
      </c>
      <c r="AK578" s="1159" t="n">
        <f aca="false">IF(AND(дома!$Z$29&gt;=AJ578,дома!$Z$29&lt;=AI578),связи1!AG578,0)</f>
        <v>0</v>
      </c>
      <c r="AL578" s="1159" t="n">
        <f aca="false">IF(AND(дома!$AA$29&gt;=AJ578,дома!$AA$29&lt;=AI578),связи1!AG578,0)</f>
        <v>0</v>
      </c>
    </row>
    <row r="579" customFormat="false" ht="15" hidden="false" customHeight="false" outlineLevel="0" collapsed="false">
      <c r="A579" s="1288" t="s">
        <v>323</v>
      </c>
      <c r="B579" s="1289" t="s">
        <v>15</v>
      </c>
      <c r="C579" s="1286" t="n">
        <f aca="false">IF('Ввод данных'!C479=0,1,'Ввод данных'!C479)</f>
        <v>0.5</v>
      </c>
      <c r="D579" s="1286" t="n">
        <f aca="false">IF('Ввод данных'!D479=0,1,'Ввод данных'!D479)</f>
        <v>0.5</v>
      </c>
      <c r="E579" s="1286" t="n">
        <f aca="false">IF('Ввод данных'!E479=0,1,'Ввод данных'!E479)</f>
        <v>0.8</v>
      </c>
      <c r="F579" s="1286" t="n">
        <f aca="false">IF('Ввод данных'!F479=0,1,'Ввод данных'!F479)</f>
        <v>0.8</v>
      </c>
      <c r="AG579" s="1159" t="n">
        <v>42.8</v>
      </c>
      <c r="AH579" s="1193" t="n">
        <f aca="false">AG579*3.1415926535897/180</f>
        <v>0.747000919853551</v>
      </c>
      <c r="AI579" s="1193" t="n">
        <f aca="false">AH579+0.0005</f>
        <v>0.747500919853551</v>
      </c>
      <c r="AJ579" s="1193" t="n">
        <f aca="false">AH579-0.0005</f>
        <v>0.746500919853551</v>
      </c>
      <c r="AK579" s="1159" t="n">
        <f aca="false">IF(AND(дома!$Z$29&gt;=AJ579,дома!$Z$29&lt;=AI579),связи1!AG579,0)</f>
        <v>0</v>
      </c>
      <c r="AL579" s="1159" t="n">
        <f aca="false">IF(AND(дома!$AA$29&gt;=AJ579,дома!$AA$29&lt;=AI579),связи1!AG579,0)</f>
        <v>0</v>
      </c>
    </row>
    <row r="580" customFormat="false" ht="15" hidden="false" customHeight="false" outlineLevel="0" collapsed="false">
      <c r="A580" s="1288" t="s">
        <v>324</v>
      </c>
      <c r="B580" s="1290" t="s">
        <v>15</v>
      </c>
      <c r="C580" s="1286" t="n">
        <f aca="false">IF('Ввод данных'!C480=0,1,'Ввод данных'!C480)</f>
        <v>0.7</v>
      </c>
      <c r="D580" s="1286" t="n">
        <f aca="false">IF('Ввод данных'!D480=0,1,'Ввод данных'!D480)</f>
        <v>0.4</v>
      </c>
      <c r="E580" s="1286" t="n">
        <f aca="false">IF('Ввод данных'!E480=0,1,'Ввод данных'!E480)</f>
        <v>0.9</v>
      </c>
      <c r="F580" s="1286" t="n">
        <f aca="false">IF('Ввод данных'!F480=0,1,'Ввод данных'!F480)</f>
        <v>0.9</v>
      </c>
      <c r="AG580" s="1159" t="n">
        <v>42.9</v>
      </c>
      <c r="AH580" s="1193" t="n">
        <f aca="false">AG580*3.1415926535897/180</f>
        <v>0.748746249105545</v>
      </c>
      <c r="AI580" s="1193" t="n">
        <f aca="false">AH580+0.0005</f>
        <v>0.749246249105545</v>
      </c>
      <c r="AJ580" s="1193" t="n">
        <f aca="false">AH580-0.0005</f>
        <v>0.748246249105545</v>
      </c>
      <c r="AK580" s="1159" t="n">
        <f aca="false">IF(AND(дома!$Z$29&gt;=AJ580,дома!$Z$29&lt;=AI580),связи1!AG580,0)</f>
        <v>0</v>
      </c>
      <c r="AL580" s="1159" t="n">
        <f aca="false">IF(AND(дома!$AA$29&gt;=AJ580,дома!$AA$29&lt;=AI580),связи1!AG580,0)</f>
        <v>0</v>
      </c>
    </row>
    <row r="581" customFormat="false" ht="30" hidden="false" customHeight="false" outlineLevel="0" collapsed="false">
      <c r="A581" s="1288" t="s">
        <v>325</v>
      </c>
      <c r="B581" s="1289" t="s">
        <v>15</v>
      </c>
      <c r="C581" s="1286" t="n">
        <f aca="false">IF('Ввод данных'!C481=0,1,'Ввод данных'!C481)</f>
        <v>2</v>
      </c>
      <c r="D581" s="1286" t="n">
        <f aca="false">IF('Ввод данных'!D481=0,1,'Ввод данных'!D481)</f>
        <v>1</v>
      </c>
      <c r="E581" s="1286" t="n">
        <f aca="false">IF('Ввод данных'!E481=0,1,'Ввод данных'!E481)</f>
        <v>2</v>
      </c>
      <c r="F581" s="1286" t="n">
        <f aca="false">IF('Ввод данных'!F481=0,1,'Ввод данных'!F481)</f>
        <v>3</v>
      </c>
      <c r="AG581" s="1159" t="n">
        <v>43</v>
      </c>
      <c r="AH581" s="1193" t="n">
        <f aca="false">AG581*3.1415926535897/180</f>
        <v>0.750491578357539</v>
      </c>
      <c r="AI581" s="1193" t="n">
        <f aca="false">AH581+0.0005</f>
        <v>0.750991578357539</v>
      </c>
      <c r="AJ581" s="1193" t="n">
        <f aca="false">AH581-0.0005</f>
        <v>0.749991578357539</v>
      </c>
      <c r="AK581" s="1159" t="n">
        <f aca="false">IF(AND(дома!$Z$29&gt;=AJ581,дома!$Z$29&lt;=AI581),связи1!AG581,0)</f>
        <v>0</v>
      </c>
      <c r="AL581" s="1159" t="n">
        <f aca="false">IF(AND(дома!$AA$29&gt;=AJ581,дома!$AA$29&lt;=AI581),связи1!AG581,0)</f>
        <v>0</v>
      </c>
    </row>
    <row r="582" customFormat="false" ht="15" hidden="false" customHeight="false" outlineLevel="0" collapsed="false">
      <c r="AG582" s="1159" t="n">
        <v>43.1</v>
      </c>
      <c r="AH582" s="1193" t="n">
        <f aca="false">AG582*3.1415926535897/180</f>
        <v>0.752236907609534</v>
      </c>
      <c r="AI582" s="1193" t="n">
        <f aca="false">AH582+0.0005</f>
        <v>0.752736907609534</v>
      </c>
      <c r="AJ582" s="1193" t="n">
        <f aca="false">AH582-0.0005</f>
        <v>0.751736907609534</v>
      </c>
      <c r="AK582" s="1159" t="n">
        <f aca="false">IF(AND(дома!$Z$29&gt;=AJ582,дома!$Z$29&lt;=AI582),связи1!AG582,0)</f>
        <v>0</v>
      </c>
      <c r="AL582" s="1159" t="n">
        <f aca="false">IF(AND(дома!$AA$29&gt;=AJ582,дома!$AA$29&lt;=AI582),связи1!AG582,0)</f>
        <v>0</v>
      </c>
    </row>
    <row r="583" customFormat="false" ht="15" hidden="false" customHeight="false" outlineLevel="0" collapsed="false">
      <c r="AG583" s="1159" t="n">
        <v>43.2</v>
      </c>
      <c r="AH583" s="1193" t="n">
        <f aca="false">AG583*3.1415926535897/180</f>
        <v>0.753982236861528</v>
      </c>
      <c r="AI583" s="1193" t="n">
        <f aca="false">AH583+0.0005</f>
        <v>0.754482236861528</v>
      </c>
      <c r="AJ583" s="1193" t="n">
        <f aca="false">AH583-0.0005</f>
        <v>0.753482236861528</v>
      </c>
      <c r="AK583" s="1159" t="n">
        <f aca="false">IF(AND(дома!$Z$29&gt;=AJ583,дома!$Z$29&lt;=AI583),связи1!AG583,0)</f>
        <v>0</v>
      </c>
      <c r="AL583" s="1159" t="n">
        <f aca="false">IF(AND(дома!$AA$29&gt;=AJ583,дома!$AA$29&lt;=AI583),связи1!AG583,0)</f>
        <v>0</v>
      </c>
    </row>
    <row r="584" customFormat="false" ht="15" hidden="false" customHeight="false" outlineLevel="0" collapsed="false">
      <c r="A584" s="1184" t="s">
        <v>2740</v>
      </c>
      <c r="B584" s="1287" t="s">
        <v>15</v>
      </c>
      <c r="C584" s="1186" t="n">
        <f aca="false">'Ввод данных'!C68-'Ввод данных'!C67-0.2</f>
        <v>1.9</v>
      </c>
      <c r="D584" s="1186" t="n">
        <f aca="false">'Ввод данных'!D472-'Ввод данных'!D471-0.2</f>
        <v>1</v>
      </c>
      <c r="E584" s="1186" t="n">
        <f aca="false">'Ввод данных'!E472-'Ввод данных'!E471-0.2</f>
        <v>2.9</v>
      </c>
      <c r="F584" s="1186" t="n">
        <f aca="false">'Ввод данных'!F472-'Ввод данных'!F471-0.2</f>
        <v>0.8</v>
      </c>
      <c r="AG584" s="1159" t="n">
        <v>43.3</v>
      </c>
      <c r="AH584" s="1193" t="n">
        <f aca="false">AG584*3.1415926535897/180</f>
        <v>0.755727566113522</v>
      </c>
      <c r="AI584" s="1193" t="n">
        <f aca="false">AH584+0.0005</f>
        <v>0.756227566113522</v>
      </c>
      <c r="AJ584" s="1193" t="n">
        <f aca="false">AH584-0.0005</f>
        <v>0.755227566113522</v>
      </c>
      <c r="AK584" s="1159" t="n">
        <f aca="false">IF(AND(дома!$Z$29&gt;=AJ584,дома!$Z$29&lt;=AI584),связи1!AG584,0)</f>
        <v>0</v>
      </c>
      <c r="AL584" s="1159" t="n">
        <f aca="false">IF(AND(дома!$AA$29&gt;=AJ584,дома!$AA$29&lt;=AI584),связи1!AG584,0)</f>
        <v>0</v>
      </c>
    </row>
    <row r="585" customFormat="false" ht="15" hidden="false" customHeight="false" outlineLevel="0" collapsed="false">
      <c r="A585" s="1184" t="s">
        <v>2741</v>
      </c>
      <c r="B585" s="1185" t="s">
        <v>15</v>
      </c>
      <c r="C585" s="1186" t="n">
        <f aca="false">'Ввод данных'!C69</f>
        <v>1.2</v>
      </c>
      <c r="D585" s="1186" t="n">
        <f aca="false">'Ввод данных'!D473</f>
        <v>2.1</v>
      </c>
      <c r="E585" s="1186" t="n">
        <f aca="false">'Ввод данных'!E473</f>
        <v>1.5</v>
      </c>
      <c r="F585" s="1186" t="n">
        <f aca="false">'Ввод данных'!F473</f>
        <v>2.7</v>
      </c>
      <c r="AG585" s="1159" t="n">
        <v>43.4</v>
      </c>
      <c r="AH585" s="1193" t="n">
        <f aca="false">AG585*3.1415926535897/180</f>
        <v>0.757472895365516</v>
      </c>
      <c r="AI585" s="1193" t="n">
        <f aca="false">AH585+0.0005</f>
        <v>0.757972895365516</v>
      </c>
      <c r="AJ585" s="1193" t="n">
        <f aca="false">AH585-0.0005</f>
        <v>0.756972895365516</v>
      </c>
      <c r="AK585" s="1159" t="n">
        <f aca="false">IF(AND(дома!$Z$29&gt;=AJ585,дома!$Z$29&lt;=AI585),связи1!AG585,0)</f>
        <v>0</v>
      </c>
      <c r="AL585" s="1159" t="n">
        <f aca="false">IF(AND(дома!$AA$29&gt;=AJ585,дома!$AA$29&lt;=AI585),связи1!AG585,0)</f>
        <v>0</v>
      </c>
    </row>
    <row r="586" customFormat="false" ht="15" hidden="false" customHeight="false" outlineLevel="0" collapsed="false">
      <c r="AG586" s="1159" t="n">
        <v>43.5</v>
      </c>
      <c r="AH586" s="1193" t="n">
        <f aca="false">AG586*3.1415926535897/180</f>
        <v>0.759218224617511</v>
      </c>
      <c r="AI586" s="1193" t="n">
        <f aca="false">AH586+0.0005</f>
        <v>0.759718224617511</v>
      </c>
      <c r="AJ586" s="1193" t="n">
        <f aca="false">AH586-0.0005</f>
        <v>0.758718224617511</v>
      </c>
      <c r="AK586" s="1159" t="n">
        <f aca="false">IF(AND(дома!$Z$29&gt;=AJ586,дома!$Z$29&lt;=AI586),связи1!AG586,0)</f>
        <v>0</v>
      </c>
      <c r="AL586" s="1159" t="n">
        <f aca="false">IF(AND(дома!$AA$29&gt;=AJ586,дома!$AA$29&lt;=AI586),связи1!AG586,0)</f>
        <v>0</v>
      </c>
    </row>
    <row r="764" customFormat="false" ht="15" hidden="false" customHeight="false" outlineLevel="0" collapsed="false">
      <c r="AG764" s="1159" t="n">
        <v>61.3000000000001</v>
      </c>
      <c r="AH764" s="1193" t="n">
        <f aca="false">AG764*3.1415926535897/180</f>
        <v>1.06988683147249</v>
      </c>
      <c r="AI764" s="1193" t="n">
        <f aca="false">AH764+0.0005</f>
        <v>1.07038683147249</v>
      </c>
      <c r="AJ764" s="1193" t="n">
        <f aca="false">AH764-0.0005</f>
        <v>1.06938683147249</v>
      </c>
      <c r="AK764" s="1159" t="n">
        <f aca="false">IF(AND(дома!$Z$29&gt;=AJ764,дома!$Z$29&lt;=AI764),связи1!AG764,0)</f>
        <v>0</v>
      </c>
      <c r="AL764" s="1159" t="n">
        <f aca="false">IF(AND(дома!$AA$29&gt;=AJ764,дома!$AA$29&lt;=AI764),связи1!AG764,0)</f>
        <v>0</v>
      </c>
    </row>
    <row r="765" customFormat="false" ht="15" hidden="false" customHeight="false" outlineLevel="0" collapsed="false">
      <c r="AG765" s="1159" t="n">
        <v>61.4000000000001</v>
      </c>
      <c r="AH765" s="1193" t="n">
        <f aca="false">AG765*3.1415926535897/180</f>
        <v>1.07163216072449</v>
      </c>
      <c r="AI765" s="1193" t="n">
        <f aca="false">AH765+0.0005</f>
        <v>1.07213216072449</v>
      </c>
      <c r="AJ765" s="1193" t="n">
        <f aca="false">AH765-0.0005</f>
        <v>1.07113216072449</v>
      </c>
      <c r="AK765" s="1159" t="n">
        <f aca="false">IF(AND(дома!$Z$29&gt;=AJ765,дома!$Z$29&lt;=AI765),связи1!AG765,0)</f>
        <v>0</v>
      </c>
      <c r="AL765" s="1159" t="n">
        <f aca="false">IF(AND(дома!$AA$29&gt;=AJ765,дома!$AA$29&lt;=AI765),связи1!AG765,0)</f>
        <v>0</v>
      </c>
    </row>
    <row r="766" customFormat="false" ht="15" hidden="false" customHeight="false" outlineLevel="0" collapsed="false">
      <c r="AG766" s="1159" t="n">
        <v>61.5000000000001</v>
      </c>
      <c r="AH766" s="1193" t="n">
        <f aca="false">AG766*3.1415926535897/180</f>
        <v>1.07337748997648</v>
      </c>
      <c r="AI766" s="1193" t="n">
        <f aca="false">AH766+0.0005</f>
        <v>1.07387748997648</v>
      </c>
      <c r="AJ766" s="1193" t="n">
        <f aca="false">AH766-0.0005</f>
        <v>1.07287748997648</v>
      </c>
      <c r="AK766" s="1159" t="n">
        <f aca="false">IF(AND(дома!$Z$29&gt;=AJ766,дома!$Z$29&lt;=AI766),связи1!AG766,0)</f>
        <v>0</v>
      </c>
      <c r="AL766" s="1159" t="n">
        <f aca="false">IF(AND(дома!$AA$29&gt;=AJ766,дома!$AA$29&lt;=AI766),связи1!AG766,0)</f>
        <v>0</v>
      </c>
    </row>
    <row r="767" customFormat="false" ht="15" hidden="false" customHeight="false" outlineLevel="0" collapsed="false">
      <c r="AG767" s="1159" t="n">
        <v>61.6000000000001</v>
      </c>
      <c r="AH767" s="1193" t="n">
        <f aca="false">AG767*3.1415926535897/180</f>
        <v>1.07512281922848</v>
      </c>
      <c r="AI767" s="1193" t="n">
        <f aca="false">AH767+0.0005</f>
        <v>1.07562281922848</v>
      </c>
      <c r="AJ767" s="1193" t="n">
        <f aca="false">AH767-0.0005</f>
        <v>1.07462281922848</v>
      </c>
      <c r="AK767" s="1159" t="n">
        <f aca="false">IF(AND(дома!$Z$29&gt;=AJ767,дома!$Z$29&lt;=AI767),связи1!AG767,0)</f>
        <v>0</v>
      </c>
      <c r="AL767" s="1159" t="n">
        <f aca="false">IF(AND(дома!$AA$29&gt;=AJ767,дома!$AA$29&lt;=AI767),связи1!AG767,0)</f>
        <v>0</v>
      </c>
    </row>
    <row r="768" customFormat="false" ht="15" hidden="false" customHeight="false" outlineLevel="0" collapsed="false">
      <c r="AG768" s="1159" t="n">
        <v>61.7000000000001</v>
      </c>
      <c r="AH768" s="1193" t="n">
        <f aca="false">AG768*3.1415926535897/180</f>
        <v>1.07686814848047</v>
      </c>
      <c r="AI768" s="1193" t="n">
        <f aca="false">AH768+0.0005</f>
        <v>1.07736814848047</v>
      </c>
      <c r="AJ768" s="1193" t="n">
        <f aca="false">AH768-0.0005</f>
        <v>1.07636814848047</v>
      </c>
      <c r="AK768" s="1159" t="n">
        <f aca="false">IF(AND(дома!$Z$29&gt;=AJ768,дома!$Z$29&lt;=AI768),связи1!AG768,0)</f>
        <v>0</v>
      </c>
      <c r="AL768" s="1159" t="n">
        <f aca="false">IF(AND(дома!$AA$29&gt;=AJ768,дома!$AA$29&lt;=AI768),связи1!AG768,0)</f>
        <v>0</v>
      </c>
    </row>
    <row r="769" customFormat="false" ht="15" hidden="false" customHeight="false" outlineLevel="0" collapsed="false">
      <c r="AG769" s="1159" t="n">
        <v>61.8000000000001</v>
      </c>
      <c r="AH769" s="1193" t="n">
        <f aca="false">AG769*3.1415926535897/180</f>
        <v>1.07861347773247</v>
      </c>
      <c r="AI769" s="1193" t="n">
        <f aca="false">AH769+0.0005</f>
        <v>1.07911347773247</v>
      </c>
      <c r="AJ769" s="1193" t="n">
        <f aca="false">AH769-0.0005</f>
        <v>1.07811347773247</v>
      </c>
      <c r="AK769" s="1159" t="n">
        <f aca="false">IF(AND(дома!$Z$29&gt;=AJ769,дома!$Z$29&lt;=AI769),связи1!AG769,0)</f>
        <v>0</v>
      </c>
      <c r="AL769" s="1159" t="n">
        <f aca="false">IF(AND(дома!$AA$29&gt;=AJ769,дома!$AA$29&lt;=AI769),связи1!AG769,0)</f>
        <v>0</v>
      </c>
    </row>
    <row r="770" customFormat="false" ht="15" hidden="false" customHeight="false" outlineLevel="0" collapsed="false">
      <c r="AG770" s="1159" t="n">
        <v>61.9000000000001</v>
      </c>
      <c r="AH770" s="1193" t="n">
        <f aca="false">AG770*3.1415926535897/180</f>
        <v>1.08035880698446</v>
      </c>
      <c r="AI770" s="1193" t="n">
        <f aca="false">AH770+0.0005</f>
        <v>1.08085880698446</v>
      </c>
      <c r="AJ770" s="1193" t="n">
        <f aca="false">AH770-0.0005</f>
        <v>1.07985880698446</v>
      </c>
      <c r="AK770" s="1159" t="n">
        <f aca="false">IF(AND(дома!$Z$29&gt;=AJ770,дома!$Z$29&lt;=AI770),связи1!AG770,0)</f>
        <v>0</v>
      </c>
      <c r="AL770" s="1159" t="n">
        <f aca="false">IF(AND(дома!$AA$29&gt;=AJ770,дома!$AA$29&lt;=AI770),связи1!AG770,0)</f>
        <v>0</v>
      </c>
    </row>
    <row r="771" customFormat="false" ht="15" hidden="false" customHeight="false" outlineLevel="0" collapsed="false">
      <c r="AG771" s="1159" t="n">
        <v>62.0000000000001</v>
      </c>
      <c r="AH771" s="1193" t="n">
        <f aca="false">AG771*3.1415926535897/180</f>
        <v>1.08210413623645</v>
      </c>
      <c r="AI771" s="1193" t="n">
        <f aca="false">AH771+0.0005</f>
        <v>1.08260413623645</v>
      </c>
      <c r="AJ771" s="1193" t="n">
        <f aca="false">AH771-0.0005</f>
        <v>1.08160413623645</v>
      </c>
      <c r="AK771" s="1159" t="n">
        <f aca="false">IF(AND(дома!$Z$29&gt;=AJ771,дома!$Z$29&lt;=AI771),связи1!AG771,0)</f>
        <v>0</v>
      </c>
      <c r="AL771" s="1159" t="n">
        <f aca="false">IF(AND(дома!$AA$29&gt;=AJ771,дома!$AA$29&lt;=AI771),связи1!AG771,0)</f>
        <v>0</v>
      </c>
    </row>
    <row r="772" customFormat="false" ht="15" hidden="false" customHeight="false" outlineLevel="0" collapsed="false">
      <c r="AG772" s="1159" t="n">
        <v>62.1000000000001</v>
      </c>
      <c r="AH772" s="1193" t="n">
        <f aca="false">AG772*3.1415926535897/180</f>
        <v>1.08384946548845</v>
      </c>
      <c r="AI772" s="1193" t="n">
        <f aca="false">AH772+0.0005</f>
        <v>1.08434946548845</v>
      </c>
      <c r="AJ772" s="1193" t="n">
        <f aca="false">AH772-0.0005</f>
        <v>1.08334946548845</v>
      </c>
      <c r="AK772" s="1159" t="n">
        <f aca="false">IF(AND(дома!$Z$29&gt;=AJ772,дома!$Z$29&lt;=AI772),связи1!AG772,0)</f>
        <v>0</v>
      </c>
      <c r="AL772" s="1159" t="n">
        <f aca="false">IF(AND(дома!$AA$29&gt;=AJ772,дома!$AA$29&lt;=AI772),связи1!AG772,0)</f>
        <v>0</v>
      </c>
    </row>
    <row r="773" customFormat="false" ht="15" hidden="false" customHeight="false" outlineLevel="0" collapsed="false">
      <c r="AG773" s="1159" t="n">
        <v>62.2000000000001</v>
      </c>
      <c r="AH773" s="1193" t="n">
        <f aca="false">AG773*3.1415926535897/180</f>
        <v>1.08559479474044</v>
      </c>
      <c r="AI773" s="1193" t="n">
        <f aca="false">AH773+0.0005</f>
        <v>1.08609479474044</v>
      </c>
      <c r="AJ773" s="1193" t="n">
        <f aca="false">AH773-0.0005</f>
        <v>1.08509479474044</v>
      </c>
      <c r="AK773" s="1159" t="n">
        <f aca="false">IF(AND(дома!$Z$29&gt;=AJ773,дома!$Z$29&lt;=AI773),связи1!AG773,0)</f>
        <v>0</v>
      </c>
      <c r="AL773" s="1159" t="n">
        <f aca="false">IF(AND(дома!$AA$29&gt;=AJ773,дома!$AA$29&lt;=AI773),связи1!AG773,0)</f>
        <v>0</v>
      </c>
    </row>
    <row r="774" customFormat="false" ht="15" hidden="false" customHeight="false" outlineLevel="0" collapsed="false">
      <c r="AG774" s="1159" t="n">
        <v>62.3000000000001</v>
      </c>
      <c r="AH774" s="1193" t="n">
        <f aca="false">AG774*3.1415926535897/180</f>
        <v>1.08734012399244</v>
      </c>
      <c r="AI774" s="1193" t="n">
        <f aca="false">AH774+0.0005</f>
        <v>1.08784012399244</v>
      </c>
      <c r="AJ774" s="1193" t="n">
        <f aca="false">AH774-0.0005</f>
        <v>1.08684012399244</v>
      </c>
      <c r="AK774" s="1159" t="n">
        <f aca="false">IF(AND(дома!$Z$29&gt;=AJ774,дома!$Z$29&lt;=AI774),связи1!AG774,0)</f>
        <v>0</v>
      </c>
      <c r="AL774" s="1159" t="n">
        <f aca="false">IF(AND(дома!$AA$29&gt;=AJ774,дома!$AA$29&lt;=AI774),связи1!AG774,0)</f>
        <v>0</v>
      </c>
    </row>
    <row r="775" customFormat="false" ht="15" hidden="false" customHeight="false" outlineLevel="0" collapsed="false">
      <c r="AG775" s="1159" t="n">
        <v>62.4000000000001</v>
      </c>
      <c r="AH775" s="1193" t="n">
        <f aca="false">AG775*3.1415926535897/180</f>
        <v>1.08908545324443</v>
      </c>
      <c r="AI775" s="1193" t="n">
        <f aca="false">AH775+0.0005</f>
        <v>1.08958545324443</v>
      </c>
      <c r="AJ775" s="1193" t="n">
        <f aca="false">AH775-0.0005</f>
        <v>1.08858545324443</v>
      </c>
      <c r="AK775" s="1159" t="n">
        <f aca="false">IF(AND(дома!$Z$29&gt;=AJ775,дома!$Z$29&lt;=AI775),связи1!AG775,0)</f>
        <v>0</v>
      </c>
      <c r="AL775" s="1159" t="n">
        <f aca="false">IF(AND(дома!$AA$29&gt;=AJ775,дома!$AA$29&lt;=AI775),связи1!AG775,0)</f>
        <v>0</v>
      </c>
    </row>
    <row r="776" customFormat="false" ht="15" hidden="false" customHeight="false" outlineLevel="0" collapsed="false">
      <c r="AG776" s="1159" t="n">
        <v>62.5000000000001</v>
      </c>
      <c r="AH776" s="1193" t="n">
        <f aca="false">AG776*3.1415926535897/180</f>
        <v>1.09083078249643</v>
      </c>
      <c r="AI776" s="1193" t="n">
        <f aca="false">AH776+0.0005</f>
        <v>1.09133078249643</v>
      </c>
      <c r="AJ776" s="1193" t="n">
        <f aca="false">AH776-0.0005</f>
        <v>1.09033078249643</v>
      </c>
      <c r="AK776" s="1159" t="n">
        <f aca="false">IF(AND(дома!$Z$29&gt;=AJ776,дома!$Z$29&lt;=AI776),связи1!AG776,0)</f>
        <v>0</v>
      </c>
      <c r="AL776" s="1159" t="n">
        <f aca="false">IF(AND(дома!$AA$29&gt;=AJ776,дома!$AA$29&lt;=AI776),связи1!AG776,0)</f>
        <v>0</v>
      </c>
    </row>
    <row r="777" customFormat="false" ht="15" hidden="false" customHeight="false" outlineLevel="0" collapsed="false">
      <c r="AG777" s="1159" t="n">
        <v>62.6000000000001</v>
      </c>
      <c r="AH777" s="1193" t="n">
        <f aca="false">AG777*3.1415926535897/180</f>
        <v>1.09257611174842</v>
      </c>
      <c r="AI777" s="1193" t="n">
        <f aca="false">AH777+0.0005</f>
        <v>1.09307611174842</v>
      </c>
      <c r="AJ777" s="1193" t="n">
        <f aca="false">AH777-0.0005</f>
        <v>1.09207611174842</v>
      </c>
      <c r="AK777" s="1159" t="n">
        <f aca="false">IF(AND(дома!$Z$29&gt;=AJ777,дома!$Z$29&lt;=AI777),связи1!AG777,0)</f>
        <v>0</v>
      </c>
      <c r="AL777" s="1159" t="n">
        <f aca="false">IF(AND(дома!$AA$29&gt;=AJ777,дома!$AA$29&lt;=AI777),связи1!AG777,0)</f>
        <v>0</v>
      </c>
    </row>
    <row r="778" customFormat="false" ht="15" hidden="false" customHeight="false" outlineLevel="0" collapsed="false">
      <c r="AG778" s="1159" t="n">
        <v>62.7000000000001</v>
      </c>
      <c r="AH778" s="1193" t="n">
        <f aca="false">AG778*3.1415926535897/180</f>
        <v>1.09432144100041</v>
      </c>
      <c r="AI778" s="1193" t="n">
        <f aca="false">AH778+0.0005</f>
        <v>1.09482144100041</v>
      </c>
      <c r="AJ778" s="1193" t="n">
        <f aca="false">AH778-0.0005</f>
        <v>1.09382144100041</v>
      </c>
      <c r="AK778" s="1159" t="n">
        <f aca="false">IF(AND(дома!$Z$29&gt;=AJ778,дома!$Z$29&lt;=AI778),связи1!AG778,0)</f>
        <v>0</v>
      </c>
      <c r="AL778" s="1159" t="n">
        <f aca="false">IF(AND(дома!$AA$29&gt;=AJ778,дома!$AA$29&lt;=AI778),связи1!AG778,0)</f>
        <v>0</v>
      </c>
    </row>
    <row r="779" customFormat="false" ht="15" hidden="false" customHeight="false" outlineLevel="0" collapsed="false">
      <c r="AG779" s="1159" t="n">
        <v>62.8000000000001</v>
      </c>
      <c r="AH779" s="1193" t="n">
        <f aca="false">AG779*3.1415926535897/180</f>
        <v>1.09606677025241</v>
      </c>
      <c r="AI779" s="1193" t="n">
        <f aca="false">AH779+0.0005</f>
        <v>1.09656677025241</v>
      </c>
      <c r="AJ779" s="1193" t="n">
        <f aca="false">AH779-0.0005</f>
        <v>1.09556677025241</v>
      </c>
      <c r="AK779" s="1159" t="n">
        <f aca="false">IF(AND(дома!$Z$29&gt;=AJ779,дома!$Z$29&lt;=AI779),связи1!AG779,0)</f>
        <v>0</v>
      </c>
      <c r="AL779" s="1159" t="n">
        <f aca="false">IF(AND(дома!$AA$29&gt;=AJ779,дома!$AA$29&lt;=AI779),связи1!AG779,0)</f>
        <v>0</v>
      </c>
    </row>
    <row r="780" customFormat="false" ht="15" hidden="false" customHeight="false" outlineLevel="0" collapsed="false">
      <c r="AG780" s="1159" t="n">
        <v>62.9000000000001</v>
      </c>
      <c r="AH780" s="1193" t="n">
        <f aca="false">AG780*3.1415926535897/180</f>
        <v>1.0978120995044</v>
      </c>
      <c r="AI780" s="1193" t="n">
        <f aca="false">AH780+0.0005</f>
        <v>1.0983120995044</v>
      </c>
      <c r="AJ780" s="1193" t="n">
        <f aca="false">AH780-0.0005</f>
        <v>1.0973120995044</v>
      </c>
      <c r="AK780" s="1159" t="n">
        <f aca="false">IF(AND(дома!$Z$29&gt;=AJ780,дома!$Z$29&lt;=AI780),связи1!AG780,0)</f>
        <v>0</v>
      </c>
      <c r="AL780" s="1159" t="n">
        <f aca="false">IF(AND(дома!$AA$29&gt;=AJ780,дома!$AA$29&lt;=AI780),связи1!AG780,0)</f>
        <v>0</v>
      </c>
    </row>
    <row r="781" customFormat="false" ht="15" hidden="false" customHeight="false" outlineLevel="0" collapsed="false">
      <c r="AG781" s="1159" t="n">
        <v>63.0000000000001</v>
      </c>
      <c r="AH781" s="1193" t="n">
        <f aca="false">AG781*3.1415926535897/180</f>
        <v>1.0995574287564</v>
      </c>
      <c r="AI781" s="1193" t="n">
        <f aca="false">AH781+0.0005</f>
        <v>1.1000574287564</v>
      </c>
      <c r="AJ781" s="1193" t="n">
        <f aca="false">AH781-0.0005</f>
        <v>1.0990574287564</v>
      </c>
      <c r="AK781" s="1159" t="n">
        <f aca="false">IF(AND(дома!$Z$29&gt;=AJ781,дома!$Z$29&lt;=AI781),связи1!AG781,0)</f>
        <v>0</v>
      </c>
      <c r="AL781" s="1159" t="n">
        <f aca="false">IF(AND(дома!$AA$29&gt;=AJ781,дома!$AA$29&lt;=AI781),связи1!AG781,0)</f>
        <v>0</v>
      </c>
    </row>
    <row r="782" customFormat="false" ht="15" hidden="false" customHeight="false" outlineLevel="0" collapsed="false">
      <c r="AG782" s="1159" t="n">
        <v>63.1000000000001</v>
      </c>
      <c r="AH782" s="1193" t="n">
        <f aca="false">AG782*3.1415926535897/180</f>
        <v>1.10130275800839</v>
      </c>
      <c r="AI782" s="1193" t="n">
        <f aca="false">AH782+0.0005</f>
        <v>1.10180275800839</v>
      </c>
      <c r="AJ782" s="1193" t="n">
        <f aca="false">AH782-0.0005</f>
        <v>1.10080275800839</v>
      </c>
      <c r="AK782" s="1159" t="n">
        <f aca="false">IF(AND(дома!$Z$29&gt;=AJ782,дома!$Z$29&lt;=AI782),связи1!AG782,0)</f>
        <v>0</v>
      </c>
      <c r="AL782" s="1159" t="n">
        <f aca="false">IF(AND(дома!$AA$29&gt;=AJ782,дома!$AA$29&lt;=AI782),связи1!AG782,0)</f>
        <v>0</v>
      </c>
    </row>
    <row r="783" customFormat="false" ht="15" hidden="false" customHeight="false" outlineLevel="0" collapsed="false">
      <c r="AG783" s="1159" t="n">
        <v>63.2000000000001</v>
      </c>
      <c r="AH783" s="1193" t="n">
        <f aca="false">AG783*3.1415926535897/180</f>
        <v>1.10304808726039</v>
      </c>
      <c r="AI783" s="1193" t="n">
        <f aca="false">AH783+0.0005</f>
        <v>1.10354808726039</v>
      </c>
      <c r="AJ783" s="1193" t="n">
        <f aca="false">AH783-0.0005</f>
        <v>1.10254808726039</v>
      </c>
      <c r="AK783" s="1159" t="n">
        <f aca="false">IF(AND(дома!$Z$29&gt;=AJ783,дома!$Z$29&lt;=AI783),связи1!AG783,0)</f>
        <v>0</v>
      </c>
      <c r="AL783" s="1159" t="n">
        <f aca="false">IF(AND(дома!$AA$29&gt;=AJ783,дома!$AA$29&lt;=AI783),связи1!AG783,0)</f>
        <v>0</v>
      </c>
    </row>
    <row r="784" customFormat="false" ht="15" hidden="false" customHeight="false" outlineLevel="0" collapsed="false">
      <c r="AG784" s="1159" t="n">
        <v>63.3000000000001</v>
      </c>
      <c r="AH784" s="1193" t="n">
        <f aca="false">AG784*3.1415926535897/180</f>
        <v>1.10479341651238</v>
      </c>
      <c r="AI784" s="1193" t="n">
        <f aca="false">AH784+0.0005</f>
        <v>1.10529341651238</v>
      </c>
      <c r="AJ784" s="1193" t="n">
        <f aca="false">AH784-0.0005</f>
        <v>1.10429341651238</v>
      </c>
      <c r="AK784" s="1159" t="n">
        <f aca="false">IF(AND(дома!$Z$29&gt;=AJ784,дома!$Z$29&lt;=AI784),связи1!AG784,0)</f>
        <v>0</v>
      </c>
      <c r="AL784" s="1159" t="n">
        <f aca="false">IF(AND(дома!$AA$29&gt;=AJ784,дома!$AA$29&lt;=AI784),связи1!AG784,0)</f>
        <v>0</v>
      </c>
    </row>
    <row r="785" customFormat="false" ht="15" hidden="false" customHeight="false" outlineLevel="0" collapsed="false">
      <c r="AG785" s="1159" t="n">
        <v>63.4000000000001</v>
      </c>
      <c r="AH785" s="1193" t="n">
        <f aca="false">AG785*3.1415926535897/180</f>
        <v>1.10653874576437</v>
      </c>
      <c r="AI785" s="1193" t="n">
        <f aca="false">AH785+0.0005</f>
        <v>1.10703874576437</v>
      </c>
      <c r="AJ785" s="1193" t="n">
        <f aca="false">AH785-0.0005</f>
        <v>1.10603874576437</v>
      </c>
      <c r="AK785" s="1159" t="n">
        <f aca="false">IF(AND(дома!$Z$29&gt;=AJ785,дома!$Z$29&lt;=AI785),связи1!AG785,0)</f>
        <v>0</v>
      </c>
      <c r="AL785" s="1159" t="n">
        <f aca="false">IF(AND(дома!$AA$29&gt;=AJ785,дома!$AA$29&lt;=AI785),связи1!AG785,0)</f>
        <v>0</v>
      </c>
    </row>
    <row r="786" customFormat="false" ht="15" hidden="false" customHeight="false" outlineLevel="0" collapsed="false">
      <c r="AG786" s="1159" t="n">
        <v>63.5000000000001</v>
      </c>
      <c r="AH786" s="1193" t="n">
        <f aca="false">AG786*3.1415926535897/180</f>
        <v>1.10828407501637</v>
      </c>
      <c r="AI786" s="1193" t="n">
        <f aca="false">AH786+0.0005</f>
        <v>1.10878407501637</v>
      </c>
      <c r="AJ786" s="1193" t="n">
        <f aca="false">AH786-0.0005</f>
        <v>1.10778407501637</v>
      </c>
      <c r="AK786" s="1159" t="n">
        <f aca="false">IF(AND(дома!$Z$29&gt;=AJ786,дома!$Z$29&lt;=AI786),связи1!AG786,0)</f>
        <v>0</v>
      </c>
      <c r="AL786" s="1159" t="n">
        <f aca="false">IF(AND(дома!$AA$29&gt;=AJ786,дома!$AA$29&lt;=AI786),связи1!AG786,0)</f>
        <v>0</v>
      </c>
    </row>
    <row r="787" customFormat="false" ht="15" hidden="false" customHeight="false" outlineLevel="0" collapsed="false">
      <c r="AG787" s="1159" t="n">
        <v>63.6000000000001</v>
      </c>
      <c r="AH787" s="1193" t="n">
        <f aca="false">AG787*3.1415926535897/180</f>
        <v>1.11002940426836</v>
      </c>
      <c r="AI787" s="1193" t="n">
        <f aca="false">AH787+0.0005</f>
        <v>1.11052940426836</v>
      </c>
      <c r="AJ787" s="1193" t="n">
        <f aca="false">AH787-0.0005</f>
        <v>1.10952940426836</v>
      </c>
      <c r="AK787" s="1159" t="n">
        <f aca="false">IF(AND(дома!$Z$29&gt;=AJ787,дома!$Z$29&lt;=AI787),связи1!AG787,0)</f>
        <v>0</v>
      </c>
      <c r="AL787" s="1159" t="n">
        <f aca="false">IF(AND(дома!$AA$29&gt;=AJ787,дома!$AA$29&lt;=AI787),связи1!AG787,0)</f>
        <v>0</v>
      </c>
    </row>
    <row r="788" customFormat="false" ht="15" hidden="false" customHeight="false" outlineLevel="0" collapsed="false">
      <c r="AG788" s="1159" t="n">
        <v>63.7000000000001</v>
      </c>
      <c r="AH788" s="1193" t="n">
        <f aca="false">AG788*3.1415926535897/180</f>
        <v>1.11177473352036</v>
      </c>
      <c r="AI788" s="1193" t="n">
        <f aca="false">AH788+0.0005</f>
        <v>1.11227473352036</v>
      </c>
      <c r="AJ788" s="1193" t="n">
        <f aca="false">AH788-0.0005</f>
        <v>1.11127473352036</v>
      </c>
      <c r="AK788" s="1159" t="n">
        <f aca="false">IF(AND(дома!$Z$29&gt;=AJ788,дома!$Z$29&lt;=AI788),связи1!AG788,0)</f>
        <v>0</v>
      </c>
      <c r="AL788" s="1159" t="n">
        <f aca="false">IF(AND(дома!$AA$29&gt;=AJ788,дома!$AA$29&lt;=AI788),связи1!AG788,0)</f>
        <v>0</v>
      </c>
    </row>
    <row r="789" customFormat="false" ht="15" hidden="false" customHeight="false" outlineLevel="0" collapsed="false">
      <c r="AG789" s="1159" t="n">
        <v>63.8000000000001</v>
      </c>
      <c r="AH789" s="1193" t="n">
        <f aca="false">AG789*3.1415926535897/180</f>
        <v>1.11352006277235</v>
      </c>
      <c r="AI789" s="1193" t="n">
        <f aca="false">AH789+0.0005</f>
        <v>1.11402006277235</v>
      </c>
      <c r="AJ789" s="1193" t="n">
        <f aca="false">AH789-0.0005</f>
        <v>1.11302006277235</v>
      </c>
      <c r="AK789" s="1159" t="n">
        <f aca="false">IF(AND(дома!$Z$29&gt;=AJ789,дома!$Z$29&lt;=AI789),связи1!AG789,0)</f>
        <v>0</v>
      </c>
      <c r="AL789" s="1159" t="n">
        <f aca="false">IF(AND(дома!$AA$29&gt;=AJ789,дома!$AA$29&lt;=AI789),связи1!AG789,0)</f>
        <v>0</v>
      </c>
    </row>
    <row r="790" customFormat="false" ht="15" hidden="false" customHeight="false" outlineLevel="0" collapsed="false">
      <c r="AG790" s="1159" t="n">
        <v>63.9000000000001</v>
      </c>
      <c r="AH790" s="1193" t="n">
        <f aca="false">AG790*3.1415926535897/180</f>
        <v>1.11526539202435</v>
      </c>
      <c r="AI790" s="1193" t="n">
        <f aca="false">AH790+0.0005</f>
        <v>1.11576539202435</v>
      </c>
      <c r="AJ790" s="1193" t="n">
        <f aca="false">AH790-0.0005</f>
        <v>1.11476539202435</v>
      </c>
      <c r="AK790" s="1159" t="n">
        <f aca="false">IF(AND(дома!$Z$29&gt;=AJ790,дома!$Z$29&lt;=AI790),связи1!AG790,0)</f>
        <v>0</v>
      </c>
      <c r="AL790" s="1159" t="n">
        <f aca="false">IF(AND(дома!$AA$29&gt;=AJ790,дома!$AA$29&lt;=AI790),связи1!AG790,0)</f>
        <v>0</v>
      </c>
    </row>
    <row r="791" customFormat="false" ht="15" hidden="false" customHeight="false" outlineLevel="0" collapsed="false">
      <c r="AG791" s="1159" t="n">
        <v>64.0000000000001</v>
      </c>
      <c r="AH791" s="1193" t="n">
        <f aca="false">AG791*3.1415926535897/180</f>
        <v>1.11701072127634</v>
      </c>
      <c r="AI791" s="1193" t="n">
        <f aca="false">AH791+0.0005</f>
        <v>1.11751072127634</v>
      </c>
      <c r="AJ791" s="1193" t="n">
        <f aca="false">AH791-0.0005</f>
        <v>1.11651072127634</v>
      </c>
      <c r="AK791" s="1159" t="n">
        <f aca="false">IF(AND(дома!$Z$29&gt;=AJ791,дома!$Z$29&lt;=AI791),связи1!AG791,0)</f>
        <v>0</v>
      </c>
      <c r="AL791" s="1159" t="n">
        <f aca="false">IF(AND(дома!$AA$29&gt;=AJ791,дома!$AA$29&lt;=AI791),связи1!AG791,0)</f>
        <v>0</v>
      </c>
    </row>
    <row r="792" customFormat="false" ht="15" hidden="false" customHeight="false" outlineLevel="0" collapsed="false">
      <c r="AG792" s="1159" t="n">
        <v>64.1000000000001</v>
      </c>
      <c r="AH792" s="1193" t="n">
        <f aca="false">AG792*3.1415926535897/180</f>
        <v>1.11875605052833</v>
      </c>
      <c r="AI792" s="1193" t="n">
        <f aca="false">AH792+0.0005</f>
        <v>1.11925605052833</v>
      </c>
      <c r="AJ792" s="1193" t="n">
        <f aca="false">AH792-0.0005</f>
        <v>1.11825605052833</v>
      </c>
      <c r="AK792" s="1159" t="n">
        <f aca="false">IF(AND(дома!$Z$29&gt;=AJ792,дома!$Z$29&lt;=AI792),связи1!AG792,0)</f>
        <v>0</v>
      </c>
      <c r="AL792" s="1159" t="n">
        <f aca="false">IF(AND(дома!$AA$29&gt;=AJ792,дома!$AA$29&lt;=AI792),связи1!AG792,0)</f>
        <v>0</v>
      </c>
    </row>
    <row r="793" customFormat="false" ht="15" hidden="false" customHeight="false" outlineLevel="0" collapsed="false">
      <c r="AG793" s="1159" t="n">
        <v>64.2000000000001</v>
      </c>
      <c r="AH793" s="1193" t="n">
        <f aca="false">AG793*3.1415926535897/180</f>
        <v>1.12050137978033</v>
      </c>
      <c r="AI793" s="1193" t="n">
        <f aca="false">AH793+0.0005</f>
        <v>1.12100137978033</v>
      </c>
      <c r="AJ793" s="1193" t="n">
        <f aca="false">AH793-0.0005</f>
        <v>1.12000137978033</v>
      </c>
      <c r="AK793" s="1159" t="n">
        <f aca="false">IF(AND(дома!$Z$29&gt;=AJ793,дома!$Z$29&lt;=AI793),связи1!AG793,0)</f>
        <v>0</v>
      </c>
      <c r="AL793" s="1159" t="n">
        <f aca="false">IF(AND(дома!$AA$29&gt;=AJ793,дома!$AA$29&lt;=AI793),связи1!AG793,0)</f>
        <v>0</v>
      </c>
    </row>
    <row r="794" customFormat="false" ht="15" hidden="false" customHeight="false" outlineLevel="0" collapsed="false">
      <c r="AG794" s="1159" t="n">
        <v>64.3000000000001</v>
      </c>
      <c r="AH794" s="1193" t="n">
        <f aca="false">AG794*3.1415926535897/180</f>
        <v>1.12224670903232</v>
      </c>
      <c r="AI794" s="1193" t="n">
        <f aca="false">AH794+0.0005</f>
        <v>1.12274670903232</v>
      </c>
      <c r="AJ794" s="1193" t="n">
        <f aca="false">AH794-0.0005</f>
        <v>1.12174670903232</v>
      </c>
      <c r="AK794" s="1159" t="n">
        <f aca="false">IF(AND(дома!$Z$29&gt;=AJ794,дома!$Z$29&lt;=AI794),связи1!AG794,0)</f>
        <v>0</v>
      </c>
      <c r="AL794" s="1159" t="n">
        <f aca="false">IF(AND(дома!$AA$29&gt;=AJ794,дома!$AA$29&lt;=AI794),связи1!AG794,0)</f>
        <v>0</v>
      </c>
    </row>
    <row r="795" customFormat="false" ht="15" hidden="false" customHeight="false" outlineLevel="0" collapsed="false">
      <c r="AG795" s="1159" t="n">
        <v>64.4000000000001</v>
      </c>
      <c r="AH795" s="1193" t="n">
        <f aca="false">AG795*3.1415926535897/180</f>
        <v>1.12399203828432</v>
      </c>
      <c r="AI795" s="1193" t="n">
        <f aca="false">AH795+0.0005</f>
        <v>1.12449203828432</v>
      </c>
      <c r="AJ795" s="1193" t="n">
        <f aca="false">AH795-0.0005</f>
        <v>1.12349203828432</v>
      </c>
      <c r="AK795" s="1159" t="n">
        <f aca="false">IF(AND(дома!$Z$29&gt;=AJ795,дома!$Z$29&lt;=AI795),связи1!AG795,0)</f>
        <v>0</v>
      </c>
      <c r="AL795" s="1159" t="n">
        <f aca="false">IF(AND(дома!$AA$29&gt;=AJ795,дома!$AA$29&lt;=AI795),связи1!AG795,0)</f>
        <v>0</v>
      </c>
    </row>
    <row r="796" customFormat="false" ht="15" hidden="false" customHeight="false" outlineLevel="0" collapsed="false">
      <c r="AG796" s="1159" t="n">
        <v>64.5000000000001</v>
      </c>
      <c r="AH796" s="1193" t="n">
        <f aca="false">AG796*3.1415926535897/180</f>
        <v>1.12573736753631</v>
      </c>
      <c r="AI796" s="1193" t="n">
        <f aca="false">AH796+0.0005</f>
        <v>1.12623736753631</v>
      </c>
      <c r="AJ796" s="1193" t="n">
        <f aca="false">AH796-0.0005</f>
        <v>1.12523736753631</v>
      </c>
      <c r="AK796" s="1159" t="n">
        <f aca="false">IF(AND(дома!$Z$29&gt;=AJ796,дома!$Z$29&lt;=AI796),связи1!AG796,0)</f>
        <v>0</v>
      </c>
      <c r="AL796" s="1159" t="n">
        <f aca="false">IF(AND(дома!$AA$29&gt;=AJ796,дома!$AA$29&lt;=AI796),связи1!AG796,0)</f>
        <v>0</v>
      </c>
    </row>
    <row r="797" customFormat="false" ht="15" hidden="false" customHeight="false" outlineLevel="0" collapsed="false">
      <c r="AG797" s="1159" t="n">
        <v>64.6000000000001</v>
      </c>
      <c r="AH797" s="1193" t="n">
        <f aca="false">AG797*3.1415926535897/180</f>
        <v>1.12748269678831</v>
      </c>
      <c r="AI797" s="1193" t="n">
        <f aca="false">AH797+0.0005</f>
        <v>1.1279826967883</v>
      </c>
      <c r="AJ797" s="1193" t="n">
        <f aca="false">AH797-0.0005</f>
        <v>1.12698269678831</v>
      </c>
      <c r="AK797" s="1159" t="n">
        <f aca="false">IF(AND(дома!$Z$29&gt;=AJ797,дома!$Z$29&lt;=AI797),связи1!AG797,0)</f>
        <v>0</v>
      </c>
      <c r="AL797" s="1159" t="n">
        <f aca="false">IF(AND(дома!$AA$29&gt;=AJ797,дома!$AA$29&lt;=AI797),связи1!AG797,0)</f>
        <v>0</v>
      </c>
    </row>
    <row r="798" customFormat="false" ht="15" hidden="false" customHeight="false" outlineLevel="0" collapsed="false">
      <c r="AG798" s="1159" t="n">
        <v>64.7000000000001</v>
      </c>
      <c r="AH798" s="1193" t="n">
        <f aca="false">AG798*3.1415926535897/180</f>
        <v>1.1292280260403</v>
      </c>
      <c r="AI798" s="1193" t="n">
        <f aca="false">AH798+0.0005</f>
        <v>1.1297280260403</v>
      </c>
      <c r="AJ798" s="1193" t="n">
        <f aca="false">AH798-0.0005</f>
        <v>1.1287280260403</v>
      </c>
      <c r="AK798" s="1159" t="n">
        <f aca="false">IF(AND(дома!$Z$29&gt;=AJ798,дома!$Z$29&lt;=AI798),связи1!AG798,0)</f>
        <v>0</v>
      </c>
      <c r="AL798" s="1159" t="n">
        <f aca="false">IF(AND(дома!$AA$29&gt;=AJ798,дома!$AA$29&lt;=AI798),связи1!AG798,0)</f>
        <v>0</v>
      </c>
    </row>
    <row r="799" customFormat="false" ht="15" hidden="false" customHeight="false" outlineLevel="0" collapsed="false">
      <c r="AG799" s="1159" t="n">
        <v>64.8000000000001</v>
      </c>
      <c r="AH799" s="1193" t="n">
        <f aca="false">AG799*3.1415926535897/180</f>
        <v>1.13097335529229</v>
      </c>
      <c r="AI799" s="1193" t="n">
        <f aca="false">AH799+0.0005</f>
        <v>1.13147335529229</v>
      </c>
      <c r="AJ799" s="1193" t="n">
        <f aca="false">AH799-0.0005</f>
        <v>1.13047335529229</v>
      </c>
      <c r="AK799" s="1159" t="n">
        <f aca="false">IF(AND(дома!$Z$29&gt;=AJ799,дома!$Z$29&lt;=AI799),связи1!AG799,0)</f>
        <v>0</v>
      </c>
      <c r="AL799" s="1159" t="n">
        <f aca="false">IF(AND(дома!$AA$29&gt;=AJ799,дома!$AA$29&lt;=AI799),связи1!AG799,0)</f>
        <v>0</v>
      </c>
    </row>
    <row r="800" customFormat="false" ht="15" hidden="false" customHeight="false" outlineLevel="0" collapsed="false">
      <c r="AG800" s="1159" t="n">
        <v>64.9000000000001</v>
      </c>
      <c r="AH800" s="1193" t="n">
        <f aca="false">AG800*3.1415926535897/180</f>
        <v>1.13271868454429</v>
      </c>
      <c r="AI800" s="1193" t="n">
        <f aca="false">AH800+0.0005</f>
        <v>1.13321868454429</v>
      </c>
      <c r="AJ800" s="1193" t="n">
        <f aca="false">AH800-0.0005</f>
        <v>1.13221868454429</v>
      </c>
      <c r="AK800" s="1159" t="n">
        <f aca="false">IF(AND(дома!$Z$29&gt;=AJ800,дома!$Z$29&lt;=AI800),связи1!AG800,0)</f>
        <v>0</v>
      </c>
      <c r="AL800" s="1159" t="n">
        <f aca="false">IF(AND(дома!$AA$29&gt;=AJ800,дома!$AA$29&lt;=AI800),связи1!AG800,0)</f>
        <v>0</v>
      </c>
    </row>
    <row r="801" customFormat="false" ht="15" hidden="false" customHeight="false" outlineLevel="0" collapsed="false">
      <c r="AG801" s="1159" t="n">
        <v>65.0000000000001</v>
      </c>
      <c r="AH801" s="1193" t="n">
        <f aca="false">AG801*3.1415926535897/180</f>
        <v>1.13446401379628</v>
      </c>
      <c r="AI801" s="1193" t="n">
        <f aca="false">AH801+0.0005</f>
        <v>1.13496401379628</v>
      </c>
      <c r="AJ801" s="1193" t="n">
        <f aca="false">AH801-0.0005</f>
        <v>1.13396401379628</v>
      </c>
      <c r="AK801" s="1159" t="n">
        <f aca="false">IF(AND(дома!$Z$29&gt;=AJ801,дома!$Z$29&lt;=AI801),связи1!AG801,0)</f>
        <v>0</v>
      </c>
      <c r="AL801" s="1159" t="n">
        <f aca="false">IF(AND(дома!$AA$29&gt;=AJ801,дома!$AA$29&lt;=AI801),связи1!AG801,0)</f>
        <v>0</v>
      </c>
    </row>
    <row r="802" customFormat="false" ht="15" hidden="false" customHeight="false" outlineLevel="0" collapsed="false">
      <c r="AG802" s="1159" t="n">
        <v>65.1000000000001</v>
      </c>
      <c r="AH802" s="1193" t="n">
        <f aca="false">AG802*3.1415926535897/180</f>
        <v>1.13620934304828</v>
      </c>
      <c r="AI802" s="1193" t="n">
        <f aca="false">AH802+0.0005</f>
        <v>1.13670934304828</v>
      </c>
      <c r="AJ802" s="1193" t="n">
        <f aca="false">AH802-0.0005</f>
        <v>1.13570934304828</v>
      </c>
      <c r="AK802" s="1159" t="n">
        <f aca="false">IF(AND(дома!$Z$29&gt;=AJ802,дома!$Z$29&lt;=AI802),связи1!AG802,0)</f>
        <v>0</v>
      </c>
      <c r="AL802" s="1159" t="n">
        <f aca="false">IF(AND(дома!$AA$29&gt;=AJ802,дома!$AA$29&lt;=AI802),связи1!AG802,0)</f>
        <v>0</v>
      </c>
    </row>
    <row r="803" customFormat="false" ht="15" hidden="false" customHeight="false" outlineLevel="0" collapsed="false">
      <c r="AG803" s="1159" t="n">
        <v>65.2000000000001</v>
      </c>
      <c r="AH803" s="1193" t="n">
        <f aca="false">AG803*3.1415926535897/180</f>
        <v>1.13795467230027</v>
      </c>
      <c r="AI803" s="1193" t="n">
        <f aca="false">AH803+0.0005</f>
        <v>1.13845467230027</v>
      </c>
      <c r="AJ803" s="1193" t="n">
        <f aca="false">AH803-0.0005</f>
        <v>1.13745467230027</v>
      </c>
      <c r="AK803" s="1159" t="n">
        <f aca="false">IF(AND(дома!$Z$29&gt;=AJ803,дома!$Z$29&lt;=AI803),связи1!AG803,0)</f>
        <v>0</v>
      </c>
      <c r="AL803" s="1159" t="n">
        <f aca="false">IF(AND(дома!$AA$29&gt;=AJ803,дома!$AA$29&lt;=AI803),связи1!AG803,0)</f>
        <v>0</v>
      </c>
    </row>
    <row r="804" customFormat="false" ht="15" hidden="false" customHeight="false" outlineLevel="0" collapsed="false">
      <c r="AG804" s="1159" t="n">
        <v>65.3000000000001</v>
      </c>
      <c r="AH804" s="1193" t="n">
        <f aca="false">AG804*3.1415926535897/180</f>
        <v>1.13970000155227</v>
      </c>
      <c r="AI804" s="1193" t="n">
        <f aca="false">AH804+0.0005</f>
        <v>1.14020000155226</v>
      </c>
      <c r="AJ804" s="1193" t="n">
        <f aca="false">AH804-0.0005</f>
        <v>1.13920000155227</v>
      </c>
      <c r="AK804" s="1159" t="n">
        <f aca="false">IF(AND(дома!$Z$29&gt;=AJ804,дома!$Z$29&lt;=AI804),связи1!AG804,0)</f>
        <v>0</v>
      </c>
      <c r="AL804" s="1159" t="n">
        <f aca="false">IF(AND(дома!$AA$29&gt;=AJ804,дома!$AA$29&lt;=AI804),связи1!AG804,0)</f>
        <v>0</v>
      </c>
    </row>
    <row r="805" customFormat="false" ht="15" hidden="false" customHeight="false" outlineLevel="0" collapsed="false">
      <c r="AG805" s="1159" t="n">
        <v>65.4000000000001</v>
      </c>
      <c r="AH805" s="1193" t="n">
        <f aca="false">AG805*3.1415926535897/180</f>
        <v>1.14144533080426</v>
      </c>
      <c r="AI805" s="1193" t="n">
        <f aca="false">AH805+0.0005</f>
        <v>1.14194533080426</v>
      </c>
      <c r="AJ805" s="1193" t="n">
        <f aca="false">AH805-0.0005</f>
        <v>1.14094533080426</v>
      </c>
      <c r="AK805" s="1159" t="n">
        <f aca="false">IF(AND(дома!$Z$29&gt;=AJ805,дома!$Z$29&lt;=AI805),связи1!AG805,0)</f>
        <v>0</v>
      </c>
      <c r="AL805" s="1159" t="n">
        <f aca="false">IF(AND(дома!$AA$29&gt;=AJ805,дома!$AA$29&lt;=AI805),связи1!AG805,0)</f>
        <v>0</v>
      </c>
    </row>
    <row r="806" customFormat="false" ht="15" hidden="false" customHeight="false" outlineLevel="0" collapsed="false">
      <c r="AG806" s="1159" t="n">
        <v>65.5000000000001</v>
      </c>
      <c r="AH806" s="1193" t="n">
        <f aca="false">AG806*3.1415926535897/180</f>
        <v>1.14319066005625</v>
      </c>
      <c r="AI806" s="1193" t="n">
        <f aca="false">AH806+0.0005</f>
        <v>1.14369066005625</v>
      </c>
      <c r="AJ806" s="1193" t="n">
        <f aca="false">AH806-0.0005</f>
        <v>1.14269066005625</v>
      </c>
      <c r="AK806" s="1159" t="n">
        <f aca="false">IF(AND(дома!$Z$29&gt;=AJ806,дома!$Z$29&lt;=AI806),связи1!AG806,0)</f>
        <v>0</v>
      </c>
      <c r="AL806" s="1159" t="n">
        <f aca="false">IF(AND(дома!$AA$29&gt;=AJ806,дома!$AA$29&lt;=AI806),связи1!AG806,0)</f>
        <v>0</v>
      </c>
    </row>
    <row r="807" customFormat="false" ht="15" hidden="false" customHeight="false" outlineLevel="0" collapsed="false">
      <c r="AG807" s="1159" t="n">
        <v>65.6000000000001</v>
      </c>
      <c r="AH807" s="1193" t="n">
        <f aca="false">AG807*3.1415926535897/180</f>
        <v>1.14493598930825</v>
      </c>
      <c r="AI807" s="1193" t="n">
        <f aca="false">AH807+0.0005</f>
        <v>1.14543598930825</v>
      </c>
      <c r="AJ807" s="1193" t="n">
        <f aca="false">AH807-0.0005</f>
        <v>1.14443598930825</v>
      </c>
      <c r="AK807" s="1159" t="n">
        <f aca="false">IF(AND(дома!$Z$29&gt;=AJ807,дома!$Z$29&lt;=AI807),связи1!AG807,0)</f>
        <v>0</v>
      </c>
      <c r="AL807" s="1159" t="n">
        <f aca="false">IF(AND(дома!$AA$29&gt;=AJ807,дома!$AA$29&lt;=AI807),связи1!AG807,0)</f>
        <v>0</v>
      </c>
    </row>
    <row r="808" customFormat="false" ht="15" hidden="false" customHeight="false" outlineLevel="0" collapsed="false">
      <c r="AG808" s="1159" t="n">
        <v>65.7000000000001</v>
      </c>
      <c r="AH808" s="1193" t="n">
        <f aca="false">AG808*3.1415926535897/180</f>
        <v>1.14668131856024</v>
      </c>
      <c r="AI808" s="1193" t="n">
        <f aca="false">AH808+0.0005</f>
        <v>1.14718131856024</v>
      </c>
      <c r="AJ808" s="1193" t="n">
        <f aca="false">AH808-0.0005</f>
        <v>1.14618131856024</v>
      </c>
      <c r="AK808" s="1159" t="n">
        <f aca="false">IF(AND(дома!$Z$29&gt;=AJ808,дома!$Z$29&lt;=AI808),связи1!AG808,0)</f>
        <v>0</v>
      </c>
      <c r="AL808" s="1159" t="n">
        <f aca="false">IF(AND(дома!$AA$29&gt;=AJ808,дома!$AA$29&lt;=AI808),связи1!AG808,0)</f>
        <v>0</v>
      </c>
    </row>
    <row r="809" customFormat="false" ht="15" hidden="false" customHeight="false" outlineLevel="0" collapsed="false">
      <c r="AG809" s="1159" t="n">
        <v>65.8000000000001</v>
      </c>
      <c r="AH809" s="1193" t="n">
        <f aca="false">AG809*3.1415926535897/180</f>
        <v>1.14842664781224</v>
      </c>
      <c r="AI809" s="1193" t="n">
        <f aca="false">AH809+0.0005</f>
        <v>1.14892664781224</v>
      </c>
      <c r="AJ809" s="1193" t="n">
        <f aca="false">AH809-0.0005</f>
        <v>1.14792664781224</v>
      </c>
      <c r="AK809" s="1159" t="n">
        <f aca="false">IF(AND(дома!$Z$29&gt;=AJ809,дома!$Z$29&lt;=AI809),связи1!AG809,0)</f>
        <v>0</v>
      </c>
      <c r="AL809" s="1159" t="n">
        <f aca="false">IF(AND(дома!$AA$29&gt;=AJ809,дома!$AA$29&lt;=AI809),связи1!AG809,0)</f>
        <v>0</v>
      </c>
    </row>
    <row r="810" customFormat="false" ht="15" hidden="false" customHeight="false" outlineLevel="0" collapsed="false">
      <c r="AG810" s="1159" t="n">
        <v>65.9000000000001</v>
      </c>
      <c r="AH810" s="1193" t="n">
        <f aca="false">AG810*3.1415926535897/180</f>
        <v>1.15017197706423</v>
      </c>
      <c r="AI810" s="1193" t="n">
        <f aca="false">AH810+0.0005</f>
        <v>1.15067197706423</v>
      </c>
      <c r="AJ810" s="1193" t="n">
        <f aca="false">AH810-0.0005</f>
        <v>1.14967197706423</v>
      </c>
      <c r="AK810" s="1159" t="n">
        <f aca="false">IF(AND(дома!$Z$29&gt;=AJ810,дома!$Z$29&lt;=AI810),связи1!AG810,0)</f>
        <v>0</v>
      </c>
      <c r="AL810" s="1159" t="n">
        <f aca="false">IF(AND(дома!$AA$29&gt;=AJ810,дома!$AA$29&lt;=AI810),связи1!AG810,0)</f>
        <v>0</v>
      </c>
    </row>
    <row r="811" customFormat="false" ht="15" hidden="false" customHeight="false" outlineLevel="0" collapsed="false">
      <c r="AG811" s="1159" t="n">
        <v>66.0000000000001</v>
      </c>
      <c r="AH811" s="1193" t="n">
        <f aca="false">AG811*3.1415926535897/180</f>
        <v>1.15191730631623</v>
      </c>
      <c r="AI811" s="1193" t="n">
        <f aca="false">AH811+0.0005</f>
        <v>1.15241730631622</v>
      </c>
      <c r="AJ811" s="1193" t="n">
        <f aca="false">AH811-0.0005</f>
        <v>1.15141730631623</v>
      </c>
      <c r="AK811" s="1159" t="n">
        <f aca="false">IF(AND(дома!$Z$29&gt;=AJ811,дома!$Z$29&lt;=AI811),связи1!AG811,0)</f>
        <v>0</v>
      </c>
      <c r="AL811" s="1159" t="n">
        <f aca="false">IF(AND(дома!$AA$29&gt;=AJ811,дома!$AA$29&lt;=AI811),связи1!AG811,0)</f>
        <v>0</v>
      </c>
    </row>
    <row r="812" customFormat="false" ht="15" hidden="false" customHeight="false" outlineLevel="0" collapsed="false">
      <c r="AG812" s="1159" t="n">
        <v>66.1000000000001</v>
      </c>
      <c r="AH812" s="1193" t="n">
        <f aca="false">AG812*3.1415926535897/180</f>
        <v>1.15366263556822</v>
      </c>
      <c r="AI812" s="1193" t="n">
        <f aca="false">AH812+0.0005</f>
        <v>1.15416263556822</v>
      </c>
      <c r="AJ812" s="1193" t="n">
        <f aca="false">AH812-0.0005</f>
        <v>1.15316263556822</v>
      </c>
      <c r="AK812" s="1159" t="n">
        <f aca="false">IF(AND(дома!$Z$29&gt;=AJ812,дома!$Z$29&lt;=AI812),связи1!AG812,0)</f>
        <v>0</v>
      </c>
      <c r="AL812" s="1159" t="n">
        <f aca="false">IF(AND(дома!$AA$29&gt;=AJ812,дома!$AA$29&lt;=AI812),связи1!AG812,0)</f>
        <v>0</v>
      </c>
    </row>
    <row r="813" customFormat="false" ht="15" hidden="false" customHeight="false" outlineLevel="0" collapsed="false">
      <c r="AG813" s="1159" t="n">
        <v>66.2000000000001</v>
      </c>
      <c r="AH813" s="1193" t="n">
        <f aca="false">AG813*3.1415926535897/180</f>
        <v>1.15540796482021</v>
      </c>
      <c r="AI813" s="1193" t="n">
        <f aca="false">AH813+0.0005</f>
        <v>1.15590796482021</v>
      </c>
      <c r="AJ813" s="1193" t="n">
        <f aca="false">AH813-0.0005</f>
        <v>1.15490796482021</v>
      </c>
      <c r="AK813" s="1159" t="n">
        <f aca="false">IF(AND(дома!$Z$29&gt;=AJ813,дома!$Z$29&lt;=AI813),связи1!AG813,0)</f>
        <v>0</v>
      </c>
      <c r="AL813" s="1159" t="n">
        <f aca="false">IF(AND(дома!$AA$29&gt;=AJ813,дома!$AA$29&lt;=AI813),связи1!AG813,0)</f>
        <v>0</v>
      </c>
    </row>
    <row r="814" customFormat="false" ht="15" hidden="false" customHeight="false" outlineLevel="0" collapsed="false">
      <c r="AG814" s="1159" t="n">
        <v>66.3000000000001</v>
      </c>
      <c r="AH814" s="1193" t="n">
        <f aca="false">AG814*3.1415926535897/180</f>
        <v>1.15715329407221</v>
      </c>
      <c r="AI814" s="1193" t="n">
        <f aca="false">AH814+0.0005</f>
        <v>1.15765329407221</v>
      </c>
      <c r="AJ814" s="1193" t="n">
        <f aca="false">AH814-0.0005</f>
        <v>1.15665329407221</v>
      </c>
      <c r="AK814" s="1159" t="n">
        <f aca="false">IF(AND(дома!$Z$29&gt;=AJ814,дома!$Z$29&lt;=AI814),связи1!AG814,0)</f>
        <v>0</v>
      </c>
      <c r="AL814" s="1159" t="n">
        <f aca="false">IF(AND(дома!$AA$29&gt;=AJ814,дома!$AA$29&lt;=AI814),связи1!AG814,0)</f>
        <v>0</v>
      </c>
    </row>
    <row r="815" customFormat="false" ht="15" hidden="false" customHeight="false" outlineLevel="0" collapsed="false">
      <c r="AG815" s="1159" t="n">
        <v>66.4000000000001</v>
      </c>
      <c r="AH815" s="1193" t="n">
        <f aca="false">AG815*3.1415926535897/180</f>
        <v>1.1588986233242</v>
      </c>
      <c r="AI815" s="1193" t="n">
        <f aca="false">AH815+0.0005</f>
        <v>1.1593986233242</v>
      </c>
      <c r="AJ815" s="1193" t="n">
        <f aca="false">AH815-0.0005</f>
        <v>1.1583986233242</v>
      </c>
      <c r="AK815" s="1159" t="n">
        <f aca="false">IF(AND(дома!$Z$29&gt;=AJ815,дома!$Z$29&lt;=AI815),связи1!AG815,0)</f>
        <v>0</v>
      </c>
      <c r="AL815" s="1159" t="n">
        <f aca="false">IF(AND(дома!$AA$29&gt;=AJ815,дома!$AA$29&lt;=AI815),связи1!AG815,0)</f>
        <v>0</v>
      </c>
    </row>
    <row r="816" customFormat="false" ht="15" hidden="false" customHeight="false" outlineLevel="0" collapsed="false">
      <c r="AG816" s="1159" t="n">
        <v>66.5000000000001</v>
      </c>
      <c r="AH816" s="1193" t="n">
        <f aca="false">AG816*3.1415926535897/180</f>
        <v>1.1606439525762</v>
      </c>
      <c r="AI816" s="1193" t="n">
        <f aca="false">AH816+0.0005</f>
        <v>1.1611439525762</v>
      </c>
      <c r="AJ816" s="1193" t="n">
        <f aca="false">AH816-0.0005</f>
        <v>1.1601439525762</v>
      </c>
      <c r="AK816" s="1159" t="n">
        <f aca="false">IF(AND(дома!$Z$29&gt;=AJ816,дома!$Z$29&lt;=AI816),связи1!AG816,0)</f>
        <v>0</v>
      </c>
      <c r="AL816" s="1159" t="n">
        <f aca="false">IF(AND(дома!$AA$29&gt;=AJ816,дома!$AA$29&lt;=AI816),связи1!AG816,0)</f>
        <v>0</v>
      </c>
    </row>
    <row r="817" customFormat="false" ht="15" hidden="false" customHeight="false" outlineLevel="0" collapsed="false">
      <c r="AG817" s="1159" t="n">
        <v>66.6000000000001</v>
      </c>
      <c r="AH817" s="1193" t="n">
        <f aca="false">AG817*3.1415926535897/180</f>
        <v>1.16238928182819</v>
      </c>
      <c r="AI817" s="1193" t="n">
        <f aca="false">AH817+0.0005</f>
        <v>1.16288928182819</v>
      </c>
      <c r="AJ817" s="1193" t="n">
        <f aca="false">AH817-0.0005</f>
        <v>1.16188928182819</v>
      </c>
      <c r="AK817" s="1159" t="n">
        <f aca="false">IF(AND(дома!$Z$29&gt;=AJ817,дома!$Z$29&lt;=AI817),связи1!AG817,0)</f>
        <v>0</v>
      </c>
      <c r="AL817" s="1159" t="n">
        <f aca="false">IF(AND(дома!$AA$29&gt;=AJ817,дома!$AA$29&lt;=AI817),связи1!AG817,0)</f>
        <v>0</v>
      </c>
    </row>
    <row r="818" customFormat="false" ht="15" hidden="false" customHeight="false" outlineLevel="0" collapsed="false">
      <c r="AG818" s="1159" t="n">
        <v>66.7000000000001</v>
      </c>
      <c r="AH818" s="1193" t="n">
        <f aca="false">AG818*3.1415926535897/180</f>
        <v>1.16413461108019</v>
      </c>
      <c r="AI818" s="1193" t="n">
        <f aca="false">AH818+0.0005</f>
        <v>1.16463461108018</v>
      </c>
      <c r="AJ818" s="1193" t="n">
        <f aca="false">AH818-0.0005</f>
        <v>1.16363461108019</v>
      </c>
      <c r="AK818" s="1159" t="n">
        <f aca="false">IF(AND(дома!$Z$29&gt;=AJ818,дома!$Z$29&lt;=AI818),связи1!AG818,0)</f>
        <v>0</v>
      </c>
      <c r="AL818" s="1159" t="n">
        <f aca="false">IF(AND(дома!$AA$29&gt;=AJ818,дома!$AA$29&lt;=AI818),связи1!AG818,0)</f>
        <v>0</v>
      </c>
    </row>
    <row r="819" customFormat="false" ht="15" hidden="false" customHeight="false" outlineLevel="0" collapsed="false">
      <c r="AG819" s="1159" t="n">
        <v>66.8000000000001</v>
      </c>
      <c r="AH819" s="1193" t="n">
        <f aca="false">AG819*3.1415926535897/180</f>
        <v>1.16587994033218</v>
      </c>
      <c r="AI819" s="1193" t="n">
        <f aca="false">AH819+0.0005</f>
        <v>1.16637994033218</v>
      </c>
      <c r="AJ819" s="1193" t="n">
        <f aca="false">AH819-0.0005</f>
        <v>1.16537994033218</v>
      </c>
      <c r="AK819" s="1159" t="n">
        <f aca="false">IF(AND(дома!$Z$29&gt;=AJ819,дома!$Z$29&lt;=AI819),связи1!AG819,0)</f>
        <v>0</v>
      </c>
      <c r="AL819" s="1159" t="n">
        <f aca="false">IF(AND(дома!$AA$29&gt;=AJ819,дома!$AA$29&lt;=AI819),связи1!AG819,0)</f>
        <v>0</v>
      </c>
    </row>
    <row r="820" customFormat="false" ht="15" hidden="false" customHeight="false" outlineLevel="0" collapsed="false">
      <c r="AG820" s="1159" t="n">
        <v>66.9000000000001</v>
      </c>
      <c r="AH820" s="1193" t="n">
        <f aca="false">AG820*3.1415926535897/180</f>
        <v>1.16762526958417</v>
      </c>
      <c r="AI820" s="1193" t="n">
        <f aca="false">AH820+0.0005</f>
        <v>1.16812526958417</v>
      </c>
      <c r="AJ820" s="1193" t="n">
        <f aca="false">AH820-0.0005</f>
        <v>1.16712526958417</v>
      </c>
      <c r="AK820" s="1159" t="n">
        <f aca="false">IF(AND(дома!$Z$29&gt;=AJ820,дома!$Z$29&lt;=AI820),связи1!AG820,0)</f>
        <v>0</v>
      </c>
      <c r="AL820" s="1159" t="n">
        <f aca="false">IF(AND(дома!$AA$29&gt;=AJ820,дома!$AA$29&lt;=AI820),связи1!AG820,0)</f>
        <v>0</v>
      </c>
    </row>
    <row r="821" customFormat="false" ht="15" hidden="false" customHeight="false" outlineLevel="0" collapsed="false">
      <c r="AG821" s="1159" t="n">
        <v>67.0000000000001</v>
      </c>
      <c r="AH821" s="1193" t="n">
        <f aca="false">AG821*3.1415926535897/180</f>
        <v>1.16937059883617</v>
      </c>
      <c r="AI821" s="1193" t="n">
        <f aca="false">AH821+0.0005</f>
        <v>1.16987059883617</v>
      </c>
      <c r="AJ821" s="1193" t="n">
        <f aca="false">AH821-0.0005</f>
        <v>1.16887059883617</v>
      </c>
      <c r="AK821" s="1159" t="n">
        <f aca="false">IF(AND(дома!$Z$29&gt;=AJ821,дома!$Z$29&lt;=AI821),связи1!AG821,0)</f>
        <v>0</v>
      </c>
      <c r="AL821" s="1159" t="n">
        <f aca="false">IF(AND(дома!$AA$29&gt;=AJ821,дома!$AA$29&lt;=AI821),связи1!AG821,0)</f>
        <v>0</v>
      </c>
    </row>
    <row r="822" customFormat="false" ht="15" hidden="false" customHeight="false" outlineLevel="0" collapsed="false">
      <c r="AG822" s="1159" t="n">
        <v>67.1000000000001</v>
      </c>
      <c r="AH822" s="1193" t="n">
        <f aca="false">AG822*3.1415926535897/180</f>
        <v>1.17111592808816</v>
      </c>
      <c r="AI822" s="1193" t="n">
        <f aca="false">AH822+0.0005</f>
        <v>1.17161592808816</v>
      </c>
      <c r="AJ822" s="1193" t="n">
        <f aca="false">AH822-0.0005</f>
        <v>1.17061592808816</v>
      </c>
      <c r="AK822" s="1159" t="n">
        <f aca="false">IF(AND(дома!$Z$29&gt;=AJ822,дома!$Z$29&lt;=AI822),связи1!AG822,0)</f>
        <v>0</v>
      </c>
      <c r="AL822" s="1159" t="n">
        <f aca="false">IF(AND(дома!$AA$29&gt;=AJ822,дома!$AA$29&lt;=AI822),связи1!AG822,0)</f>
        <v>0</v>
      </c>
    </row>
    <row r="823" customFormat="false" ht="15" hidden="false" customHeight="false" outlineLevel="0" collapsed="false">
      <c r="AG823" s="1159" t="n">
        <v>67.2000000000001</v>
      </c>
      <c r="AH823" s="1193" t="n">
        <f aca="false">AG823*3.1415926535897/180</f>
        <v>1.17286125734016</v>
      </c>
      <c r="AI823" s="1193" t="n">
        <f aca="false">AH823+0.0005</f>
        <v>1.17336125734016</v>
      </c>
      <c r="AJ823" s="1193" t="n">
        <f aca="false">AH823-0.0005</f>
        <v>1.17236125734016</v>
      </c>
      <c r="AK823" s="1159" t="n">
        <f aca="false">IF(AND(дома!$Z$29&gt;=AJ823,дома!$Z$29&lt;=AI823),связи1!AG823,0)</f>
        <v>0</v>
      </c>
      <c r="AL823" s="1159" t="n">
        <f aca="false">IF(AND(дома!$AA$29&gt;=AJ823,дома!$AA$29&lt;=AI823),связи1!AG823,0)</f>
        <v>0</v>
      </c>
    </row>
    <row r="824" customFormat="false" ht="15" hidden="false" customHeight="false" outlineLevel="0" collapsed="false">
      <c r="AG824" s="1159" t="n">
        <v>67.3000000000001</v>
      </c>
      <c r="AH824" s="1193" t="n">
        <f aca="false">AG824*3.1415926535897/180</f>
        <v>1.17460658659215</v>
      </c>
      <c r="AI824" s="1193" t="n">
        <f aca="false">AH824+0.0005</f>
        <v>1.17510658659215</v>
      </c>
      <c r="AJ824" s="1193" t="n">
        <f aca="false">AH824-0.0005</f>
        <v>1.17410658659215</v>
      </c>
      <c r="AK824" s="1159" t="n">
        <f aca="false">IF(AND(дома!$Z$29&gt;=AJ824,дома!$Z$29&lt;=AI824),связи1!AG824,0)</f>
        <v>0</v>
      </c>
      <c r="AL824" s="1159" t="n">
        <f aca="false">IF(AND(дома!$AA$29&gt;=AJ824,дома!$AA$29&lt;=AI824),связи1!AG824,0)</f>
        <v>0</v>
      </c>
    </row>
    <row r="825" customFormat="false" ht="15" hidden="false" customHeight="false" outlineLevel="0" collapsed="false">
      <c r="AG825" s="1159" t="n">
        <v>67.4000000000001</v>
      </c>
      <c r="AH825" s="1193" t="n">
        <f aca="false">AG825*3.1415926535897/180</f>
        <v>1.17635191584414</v>
      </c>
      <c r="AI825" s="1193" t="n">
        <f aca="false">AH825+0.0005</f>
        <v>1.17685191584414</v>
      </c>
      <c r="AJ825" s="1193" t="n">
        <f aca="false">AH825-0.0005</f>
        <v>1.17585191584415</v>
      </c>
      <c r="AK825" s="1159" t="n">
        <f aca="false">IF(AND(дома!$Z$29&gt;=AJ825,дома!$Z$29&lt;=AI825),связи1!AG825,0)</f>
        <v>0</v>
      </c>
      <c r="AL825" s="1159" t="n">
        <f aca="false">IF(AND(дома!$AA$29&gt;=AJ825,дома!$AA$29&lt;=AI825),связи1!AG825,0)</f>
        <v>0</v>
      </c>
    </row>
    <row r="826" customFormat="false" ht="15" hidden="false" customHeight="false" outlineLevel="0" collapsed="false">
      <c r="AG826" s="1159" t="n">
        <v>67.5000000000001</v>
      </c>
      <c r="AH826" s="1193" t="n">
        <f aca="false">AG826*3.1415926535897/180</f>
        <v>1.17809724509614</v>
      </c>
      <c r="AI826" s="1193" t="n">
        <f aca="false">AH826+0.0005</f>
        <v>1.17859724509614</v>
      </c>
      <c r="AJ826" s="1193" t="n">
        <f aca="false">AH826-0.0005</f>
        <v>1.17759724509614</v>
      </c>
      <c r="AK826" s="1159" t="n">
        <f aca="false">IF(AND(дома!$Z$29&gt;=AJ826,дома!$Z$29&lt;=AI826),связи1!AG826,0)</f>
        <v>0</v>
      </c>
      <c r="AL826" s="1159" t="n">
        <f aca="false">IF(AND(дома!$AA$29&gt;=AJ826,дома!$AA$29&lt;=AI826),связи1!AG826,0)</f>
        <v>0</v>
      </c>
    </row>
    <row r="827" customFormat="false" ht="15" hidden="false" customHeight="false" outlineLevel="0" collapsed="false">
      <c r="AG827" s="1159" t="n">
        <v>67.6000000000001</v>
      </c>
      <c r="AH827" s="1193" t="n">
        <f aca="false">AG827*3.1415926535897/180</f>
        <v>1.17984257434813</v>
      </c>
      <c r="AI827" s="1193" t="n">
        <f aca="false">AH827+0.0005</f>
        <v>1.18034257434813</v>
      </c>
      <c r="AJ827" s="1193" t="n">
        <f aca="false">AH827-0.0005</f>
        <v>1.17934257434813</v>
      </c>
      <c r="AK827" s="1159" t="n">
        <f aca="false">IF(AND(дома!$Z$29&gt;=AJ827,дома!$Z$29&lt;=AI827),связи1!AG827,0)</f>
        <v>0</v>
      </c>
      <c r="AL827" s="1159" t="n">
        <f aca="false">IF(AND(дома!$AA$29&gt;=AJ827,дома!$AA$29&lt;=AI827),связи1!AG827,0)</f>
        <v>0</v>
      </c>
    </row>
    <row r="828" customFormat="false" ht="15" hidden="false" customHeight="false" outlineLevel="0" collapsed="false">
      <c r="AG828" s="1159" t="n">
        <v>67.7000000000001</v>
      </c>
      <c r="AH828" s="1193" t="n">
        <f aca="false">AG828*3.1415926535897/180</f>
        <v>1.18158790360013</v>
      </c>
      <c r="AI828" s="1193" t="n">
        <f aca="false">AH828+0.0005</f>
        <v>1.18208790360013</v>
      </c>
      <c r="AJ828" s="1193" t="n">
        <f aca="false">AH828-0.0005</f>
        <v>1.18108790360013</v>
      </c>
      <c r="AK828" s="1159" t="n">
        <f aca="false">IF(AND(дома!$Z$29&gt;=AJ828,дома!$Z$29&lt;=AI828),связи1!AG828,0)</f>
        <v>0</v>
      </c>
      <c r="AL828" s="1159" t="n">
        <f aca="false">IF(AND(дома!$AA$29&gt;=AJ828,дома!$AA$29&lt;=AI828),связи1!AG828,0)</f>
        <v>0</v>
      </c>
    </row>
    <row r="829" customFormat="false" ht="15" hidden="false" customHeight="false" outlineLevel="0" collapsed="false">
      <c r="AG829" s="1159" t="n">
        <v>67.8000000000001</v>
      </c>
      <c r="AH829" s="1193" t="n">
        <f aca="false">AG829*3.1415926535897/180</f>
        <v>1.18333323285212</v>
      </c>
      <c r="AI829" s="1193" t="n">
        <f aca="false">AH829+0.0005</f>
        <v>1.18383323285212</v>
      </c>
      <c r="AJ829" s="1193" t="n">
        <f aca="false">AH829-0.0005</f>
        <v>1.18283323285212</v>
      </c>
      <c r="AK829" s="1159" t="n">
        <f aca="false">IF(AND(дома!$Z$29&gt;=AJ829,дома!$Z$29&lt;=AI829),связи1!AG829,0)</f>
        <v>0</v>
      </c>
      <c r="AL829" s="1159" t="n">
        <f aca="false">IF(AND(дома!$AA$29&gt;=AJ829,дома!$AA$29&lt;=AI829),связи1!AG829,0)</f>
        <v>0</v>
      </c>
    </row>
    <row r="830" customFormat="false" ht="15" hidden="false" customHeight="false" outlineLevel="0" collapsed="false">
      <c r="AG830" s="1159" t="n">
        <v>67.9000000000001</v>
      </c>
      <c r="AH830" s="1193" t="n">
        <f aca="false">AG830*3.1415926535897/180</f>
        <v>1.18507856210412</v>
      </c>
      <c r="AI830" s="1193" t="n">
        <f aca="false">AH830+0.0005</f>
        <v>1.18557856210412</v>
      </c>
      <c r="AJ830" s="1193" t="n">
        <f aca="false">AH830-0.0005</f>
        <v>1.18457856210412</v>
      </c>
      <c r="AK830" s="1159" t="n">
        <f aca="false">IF(AND(дома!$Z$29&gt;=AJ830,дома!$Z$29&lt;=AI830),связи1!AG830,0)</f>
        <v>0</v>
      </c>
      <c r="AL830" s="1159" t="n">
        <f aca="false">IF(AND(дома!$AA$29&gt;=AJ830,дома!$AA$29&lt;=AI830),связи1!AG830,0)</f>
        <v>0</v>
      </c>
    </row>
    <row r="831" customFormat="false" ht="15" hidden="false" customHeight="false" outlineLevel="0" collapsed="false">
      <c r="AG831" s="1159" t="n">
        <v>68.0000000000001</v>
      </c>
      <c r="AH831" s="1193" t="n">
        <f aca="false">AG831*3.1415926535897/180</f>
        <v>1.18682389135611</v>
      </c>
      <c r="AI831" s="1193" t="n">
        <f aca="false">AH831+0.0005</f>
        <v>1.18732389135611</v>
      </c>
      <c r="AJ831" s="1193" t="n">
        <f aca="false">AH831-0.0005</f>
        <v>1.18632389135611</v>
      </c>
      <c r="AK831" s="1159" t="n">
        <f aca="false">IF(AND(дома!$Z$29&gt;=AJ831,дома!$Z$29&lt;=AI831),связи1!AG831,0)</f>
        <v>0</v>
      </c>
      <c r="AL831" s="1159" t="n">
        <f aca="false">IF(AND(дома!$AA$29&gt;=AJ831,дома!$AA$29&lt;=AI831),связи1!AG831,0)</f>
        <v>0</v>
      </c>
    </row>
    <row r="832" customFormat="false" ht="15" hidden="false" customHeight="false" outlineLevel="0" collapsed="false">
      <c r="AG832" s="1159" t="n">
        <v>68.1000000000001</v>
      </c>
      <c r="AH832" s="1193" t="n">
        <f aca="false">AG832*3.1415926535897/180</f>
        <v>1.1885692206081</v>
      </c>
      <c r="AI832" s="1193" t="n">
        <f aca="false">AH832+0.0005</f>
        <v>1.1890692206081</v>
      </c>
      <c r="AJ832" s="1193" t="n">
        <f aca="false">AH832-0.0005</f>
        <v>1.18806922060811</v>
      </c>
      <c r="AK832" s="1159" t="n">
        <f aca="false">IF(AND(дома!$Z$29&gt;=AJ832,дома!$Z$29&lt;=AI832),связи1!AG832,0)</f>
        <v>0</v>
      </c>
      <c r="AL832" s="1159" t="n">
        <f aca="false">IF(AND(дома!$AA$29&gt;=AJ832,дома!$AA$29&lt;=AI832),связи1!AG832,0)</f>
        <v>0</v>
      </c>
    </row>
    <row r="833" customFormat="false" ht="15" hidden="false" customHeight="false" outlineLevel="0" collapsed="false">
      <c r="AG833" s="1159" t="n">
        <v>68.2000000000001</v>
      </c>
      <c r="AH833" s="1193" t="n">
        <f aca="false">AG833*3.1415926535897/180</f>
        <v>1.1903145498601</v>
      </c>
      <c r="AI833" s="1193" t="n">
        <f aca="false">AH833+0.0005</f>
        <v>1.1908145498601</v>
      </c>
      <c r="AJ833" s="1193" t="n">
        <f aca="false">AH833-0.0005</f>
        <v>1.1898145498601</v>
      </c>
      <c r="AK833" s="1159" t="n">
        <f aca="false">IF(AND(дома!$Z$29&gt;=AJ833,дома!$Z$29&lt;=AI833),связи1!AG833,0)</f>
        <v>0</v>
      </c>
      <c r="AL833" s="1159" t="n">
        <f aca="false">IF(AND(дома!$AA$29&gt;=AJ833,дома!$AA$29&lt;=AI833),связи1!AG833,0)</f>
        <v>0</v>
      </c>
    </row>
    <row r="834" customFormat="false" ht="15" hidden="false" customHeight="false" outlineLevel="0" collapsed="false">
      <c r="AG834" s="1159" t="n">
        <v>68.3000000000001</v>
      </c>
      <c r="AH834" s="1193" t="n">
        <f aca="false">AG834*3.1415926535897/180</f>
        <v>1.19205987911209</v>
      </c>
      <c r="AI834" s="1193" t="n">
        <f aca="false">AH834+0.0005</f>
        <v>1.19255987911209</v>
      </c>
      <c r="AJ834" s="1193" t="n">
        <f aca="false">AH834-0.0005</f>
        <v>1.19155987911209</v>
      </c>
      <c r="AK834" s="1159" t="n">
        <f aca="false">IF(AND(дома!$Z$29&gt;=AJ834,дома!$Z$29&lt;=AI834),связи1!AG834,0)</f>
        <v>0</v>
      </c>
      <c r="AL834" s="1159" t="n">
        <f aca="false">IF(AND(дома!$AA$29&gt;=AJ834,дома!$AA$29&lt;=AI834),связи1!AG834,0)</f>
        <v>0</v>
      </c>
    </row>
    <row r="835" customFormat="false" ht="15" hidden="false" customHeight="false" outlineLevel="0" collapsed="false">
      <c r="AG835" s="1159" t="n">
        <v>68.4000000000001</v>
      </c>
      <c r="AH835" s="1193" t="n">
        <f aca="false">AG835*3.1415926535897/180</f>
        <v>1.19380520836409</v>
      </c>
      <c r="AI835" s="1193" t="n">
        <f aca="false">AH835+0.0005</f>
        <v>1.19430520836409</v>
      </c>
      <c r="AJ835" s="1193" t="n">
        <f aca="false">AH835-0.0005</f>
        <v>1.19330520836409</v>
      </c>
      <c r="AK835" s="1159" t="n">
        <f aca="false">IF(AND(дома!$Z$29&gt;=AJ835,дома!$Z$29&lt;=AI835),связи1!AG835,0)</f>
        <v>0</v>
      </c>
      <c r="AL835" s="1159" t="n">
        <f aca="false">IF(AND(дома!$AA$29&gt;=AJ835,дома!$AA$29&lt;=AI835),связи1!AG835,0)</f>
        <v>0</v>
      </c>
    </row>
    <row r="836" customFormat="false" ht="15" hidden="false" customHeight="false" outlineLevel="0" collapsed="false">
      <c r="AG836" s="1159" t="n">
        <v>68.5000000000001</v>
      </c>
      <c r="AH836" s="1193" t="n">
        <f aca="false">AG836*3.1415926535897/180</f>
        <v>1.19555053761608</v>
      </c>
      <c r="AI836" s="1193" t="n">
        <f aca="false">AH836+0.0005</f>
        <v>1.19605053761608</v>
      </c>
      <c r="AJ836" s="1193" t="n">
        <f aca="false">AH836-0.0005</f>
        <v>1.19505053761608</v>
      </c>
      <c r="AK836" s="1159" t="n">
        <f aca="false">IF(AND(дома!$Z$29&gt;=AJ836,дома!$Z$29&lt;=AI836),связи1!AG836,0)</f>
        <v>0</v>
      </c>
      <c r="AL836" s="1159" t="n">
        <f aca="false">IF(AND(дома!$AA$29&gt;=AJ836,дома!$AA$29&lt;=AI836),связи1!AG836,0)</f>
        <v>0</v>
      </c>
    </row>
    <row r="837" customFormat="false" ht="15" hidden="false" customHeight="false" outlineLevel="0" collapsed="false">
      <c r="AG837" s="1159" t="n">
        <v>68.6000000000001</v>
      </c>
      <c r="AH837" s="1193" t="n">
        <f aca="false">AG837*3.1415926535897/180</f>
        <v>1.19729586686808</v>
      </c>
      <c r="AI837" s="1193" t="n">
        <f aca="false">AH837+0.0005</f>
        <v>1.19779586686808</v>
      </c>
      <c r="AJ837" s="1193" t="n">
        <f aca="false">AH837-0.0005</f>
        <v>1.19679586686808</v>
      </c>
      <c r="AK837" s="1159" t="n">
        <f aca="false">IF(AND(дома!$Z$29&gt;=AJ837,дома!$Z$29&lt;=AI837),связи1!AG837,0)</f>
        <v>0</v>
      </c>
      <c r="AL837" s="1159" t="n">
        <f aca="false">IF(AND(дома!$AA$29&gt;=AJ837,дома!$AA$29&lt;=AI837),связи1!AG837,0)</f>
        <v>0</v>
      </c>
    </row>
    <row r="838" customFormat="false" ht="15" hidden="false" customHeight="false" outlineLevel="0" collapsed="false">
      <c r="AG838" s="1159" t="n">
        <v>68.7000000000001</v>
      </c>
      <c r="AH838" s="1193" t="n">
        <f aca="false">AG838*3.1415926535897/180</f>
        <v>1.19904119612007</v>
      </c>
      <c r="AI838" s="1193" t="n">
        <f aca="false">AH838+0.0005</f>
        <v>1.19954119612007</v>
      </c>
      <c r="AJ838" s="1193" t="n">
        <f aca="false">AH838-0.0005</f>
        <v>1.19854119612007</v>
      </c>
      <c r="AK838" s="1159" t="n">
        <f aca="false">IF(AND(дома!$Z$29&gt;=AJ838,дома!$Z$29&lt;=AI838),связи1!AG838,0)</f>
        <v>0</v>
      </c>
      <c r="AL838" s="1159" t="n">
        <f aca="false">IF(AND(дома!$AA$29&gt;=AJ838,дома!$AA$29&lt;=AI838),связи1!AG838,0)</f>
        <v>0</v>
      </c>
    </row>
    <row r="839" customFormat="false" ht="15" hidden="false" customHeight="false" outlineLevel="0" collapsed="false">
      <c r="AG839" s="1159" t="n">
        <v>68.8000000000001</v>
      </c>
      <c r="AH839" s="1193" t="n">
        <f aca="false">AG839*3.1415926535897/180</f>
        <v>1.20078652537206</v>
      </c>
      <c r="AI839" s="1193" t="n">
        <f aca="false">AH839+0.0005</f>
        <v>1.20128652537206</v>
      </c>
      <c r="AJ839" s="1193" t="n">
        <f aca="false">AH839-0.0005</f>
        <v>1.20028652537206</v>
      </c>
      <c r="AK839" s="1159" t="n">
        <f aca="false">IF(AND(дома!$Z$29&gt;=AJ839,дома!$Z$29&lt;=AI839),связи1!AG839,0)</f>
        <v>0</v>
      </c>
      <c r="AL839" s="1159" t="n">
        <f aca="false">IF(AND(дома!$AA$29&gt;=AJ839,дома!$AA$29&lt;=AI839),связи1!AG839,0)</f>
        <v>0</v>
      </c>
    </row>
    <row r="840" customFormat="false" ht="15" hidden="false" customHeight="false" outlineLevel="0" collapsed="false">
      <c r="AG840" s="1159" t="n">
        <v>68.9000000000001</v>
      </c>
      <c r="AH840" s="1193" t="n">
        <f aca="false">AG840*3.1415926535897/180</f>
        <v>1.20253185462406</v>
      </c>
      <c r="AI840" s="1193" t="n">
        <f aca="false">AH840+0.0005</f>
        <v>1.20303185462406</v>
      </c>
      <c r="AJ840" s="1193" t="n">
        <f aca="false">AH840-0.0005</f>
        <v>1.20203185462406</v>
      </c>
      <c r="AK840" s="1159" t="n">
        <f aca="false">IF(AND(дома!$Z$29&gt;=AJ840,дома!$Z$29&lt;=AI840),связи1!AG840,0)</f>
        <v>0</v>
      </c>
      <c r="AL840" s="1159" t="n">
        <f aca="false">IF(AND(дома!$AA$29&gt;=AJ840,дома!$AA$29&lt;=AI840),связи1!AG840,0)</f>
        <v>0</v>
      </c>
    </row>
    <row r="841" customFormat="false" ht="15" hidden="false" customHeight="false" outlineLevel="0" collapsed="false">
      <c r="AG841" s="1159" t="n">
        <v>69.0000000000001</v>
      </c>
      <c r="AH841" s="1193" t="n">
        <f aca="false">AG841*3.1415926535897/180</f>
        <v>1.20427718387605</v>
      </c>
      <c r="AI841" s="1193" t="n">
        <f aca="false">AH841+0.0005</f>
        <v>1.20477718387605</v>
      </c>
      <c r="AJ841" s="1193" t="n">
        <f aca="false">AH841-0.0005</f>
        <v>1.20377718387605</v>
      </c>
      <c r="AK841" s="1159" t="n">
        <f aca="false">IF(AND(дома!$Z$29&gt;=AJ841,дома!$Z$29&lt;=AI841),связи1!AG841,0)</f>
        <v>0</v>
      </c>
      <c r="AL841" s="1159" t="n">
        <f aca="false">IF(AND(дома!$AA$29&gt;=AJ841,дома!$AA$29&lt;=AI841),связи1!AG841,0)</f>
        <v>0</v>
      </c>
    </row>
    <row r="842" customFormat="false" ht="15" hidden="false" customHeight="false" outlineLevel="0" collapsed="false">
      <c r="AG842" s="1159" t="n">
        <v>69.1000000000001</v>
      </c>
      <c r="AH842" s="1193" t="n">
        <f aca="false">AG842*3.1415926535897/180</f>
        <v>1.20602251312805</v>
      </c>
      <c r="AI842" s="1193" t="n">
        <f aca="false">AH842+0.0005</f>
        <v>1.20652251312805</v>
      </c>
      <c r="AJ842" s="1193" t="n">
        <f aca="false">AH842-0.0005</f>
        <v>1.20552251312805</v>
      </c>
      <c r="AK842" s="1159" t="n">
        <f aca="false">IF(AND(дома!$Z$29&gt;=AJ842,дома!$Z$29&lt;=AI842),связи1!AG842,0)</f>
        <v>0</v>
      </c>
      <c r="AL842" s="1159" t="n">
        <f aca="false">IF(AND(дома!$AA$29&gt;=AJ842,дома!$AA$29&lt;=AI842),связи1!AG842,0)</f>
        <v>0</v>
      </c>
    </row>
    <row r="843" customFormat="false" ht="15" hidden="false" customHeight="false" outlineLevel="0" collapsed="false">
      <c r="AG843" s="1159" t="n">
        <v>69.2000000000001</v>
      </c>
      <c r="AH843" s="1193" t="n">
        <f aca="false">AG843*3.1415926535897/180</f>
        <v>1.20776784238004</v>
      </c>
      <c r="AI843" s="1193" t="n">
        <f aca="false">AH843+0.0005</f>
        <v>1.20826784238004</v>
      </c>
      <c r="AJ843" s="1193" t="n">
        <f aca="false">AH843-0.0005</f>
        <v>1.20726784238004</v>
      </c>
      <c r="AK843" s="1159" t="n">
        <f aca="false">IF(AND(дома!$Z$29&gt;=AJ843,дома!$Z$29&lt;=AI843),связи1!AG843,0)</f>
        <v>0</v>
      </c>
      <c r="AL843" s="1159" t="n">
        <f aca="false">IF(AND(дома!$AA$29&gt;=AJ843,дома!$AA$29&lt;=AI843),связи1!AG843,0)</f>
        <v>0</v>
      </c>
    </row>
    <row r="844" customFormat="false" ht="15" hidden="false" customHeight="false" outlineLevel="0" collapsed="false">
      <c r="AG844" s="1159" t="n">
        <v>69.3000000000001</v>
      </c>
      <c r="AH844" s="1193" t="n">
        <f aca="false">AG844*3.1415926535897/180</f>
        <v>1.20951317163204</v>
      </c>
      <c r="AI844" s="1193" t="n">
        <f aca="false">AH844+0.0005</f>
        <v>1.21001317163204</v>
      </c>
      <c r="AJ844" s="1193" t="n">
        <f aca="false">AH844-0.0005</f>
        <v>1.20901317163204</v>
      </c>
      <c r="AK844" s="1159" t="n">
        <f aca="false">IF(AND(дома!$Z$29&gt;=AJ844,дома!$Z$29&lt;=AI844),связи1!AG844,0)</f>
        <v>0</v>
      </c>
      <c r="AL844" s="1159" t="n">
        <f aca="false">IF(AND(дома!$AA$29&gt;=AJ844,дома!$AA$29&lt;=AI844),связи1!AG844,0)</f>
        <v>0</v>
      </c>
    </row>
    <row r="845" customFormat="false" ht="15" hidden="false" customHeight="false" outlineLevel="0" collapsed="false">
      <c r="AG845" s="1159" t="n">
        <v>69.4000000000001</v>
      </c>
      <c r="AH845" s="1193" t="n">
        <f aca="false">AG845*3.1415926535897/180</f>
        <v>1.21125850088403</v>
      </c>
      <c r="AI845" s="1193" t="n">
        <f aca="false">AH845+0.0005</f>
        <v>1.21175850088403</v>
      </c>
      <c r="AJ845" s="1193" t="n">
        <f aca="false">AH845-0.0005</f>
        <v>1.21075850088403</v>
      </c>
      <c r="AK845" s="1159" t="n">
        <f aca="false">IF(AND(дома!$Z$29&gt;=AJ845,дома!$Z$29&lt;=AI845),связи1!AG845,0)</f>
        <v>0</v>
      </c>
      <c r="AL845" s="1159" t="n">
        <f aca="false">IF(AND(дома!$AA$29&gt;=AJ845,дома!$AA$29&lt;=AI845),связи1!AG845,0)</f>
        <v>0</v>
      </c>
    </row>
    <row r="846" customFormat="false" ht="15" hidden="false" customHeight="false" outlineLevel="0" collapsed="false">
      <c r="AG846" s="1159" t="n">
        <v>69.5000000000001</v>
      </c>
      <c r="AH846" s="1193" t="n">
        <f aca="false">AG846*3.1415926535897/180</f>
        <v>1.21300383013602</v>
      </c>
      <c r="AI846" s="1193" t="n">
        <f aca="false">AH846+0.0005</f>
        <v>1.21350383013602</v>
      </c>
      <c r="AJ846" s="1193" t="n">
        <f aca="false">AH846-0.0005</f>
        <v>1.21250383013602</v>
      </c>
      <c r="AK846" s="1159" t="n">
        <f aca="false">IF(AND(дома!$Z$29&gt;=AJ846,дома!$Z$29&lt;=AI846),связи1!AG846,0)</f>
        <v>0</v>
      </c>
      <c r="AL846" s="1159" t="n">
        <f aca="false">IF(AND(дома!$AA$29&gt;=AJ846,дома!$AA$29&lt;=AI846),связи1!AG846,0)</f>
        <v>0</v>
      </c>
    </row>
    <row r="847" customFormat="false" ht="15" hidden="false" customHeight="false" outlineLevel="0" collapsed="false">
      <c r="AG847" s="1159" t="n">
        <v>69.6000000000001</v>
      </c>
      <c r="AH847" s="1193" t="n">
        <f aca="false">AG847*3.1415926535897/180</f>
        <v>1.21474915938802</v>
      </c>
      <c r="AI847" s="1193" t="n">
        <f aca="false">AH847+0.0005</f>
        <v>1.21524915938802</v>
      </c>
      <c r="AJ847" s="1193" t="n">
        <f aca="false">AH847-0.0005</f>
        <v>1.21424915938802</v>
      </c>
      <c r="AK847" s="1159" t="n">
        <f aca="false">IF(AND(дома!$Z$29&gt;=AJ847,дома!$Z$29&lt;=AI847),связи1!AG847,0)</f>
        <v>0</v>
      </c>
      <c r="AL847" s="1159" t="n">
        <f aca="false">IF(AND(дома!$AA$29&gt;=AJ847,дома!$AA$29&lt;=AI847),связи1!AG847,0)</f>
        <v>0</v>
      </c>
    </row>
    <row r="848" customFormat="false" ht="15" hidden="false" customHeight="false" outlineLevel="0" collapsed="false">
      <c r="AG848" s="1159" t="n">
        <v>69.7000000000001</v>
      </c>
      <c r="AH848" s="1193" t="n">
        <f aca="false">AG848*3.1415926535897/180</f>
        <v>1.21649448864001</v>
      </c>
      <c r="AI848" s="1193" t="n">
        <f aca="false">AH848+0.0005</f>
        <v>1.21699448864001</v>
      </c>
      <c r="AJ848" s="1193" t="n">
        <f aca="false">AH848-0.0005</f>
        <v>1.21599448864001</v>
      </c>
      <c r="AK848" s="1159" t="n">
        <f aca="false">IF(AND(дома!$Z$29&gt;=AJ848,дома!$Z$29&lt;=AI848),связи1!AG848,0)</f>
        <v>0</v>
      </c>
      <c r="AL848" s="1159" t="n">
        <f aca="false">IF(AND(дома!$AA$29&gt;=AJ848,дома!$AA$29&lt;=AI848),связи1!AG848,0)</f>
        <v>0</v>
      </c>
    </row>
    <row r="849" customFormat="false" ht="15" hidden="false" customHeight="false" outlineLevel="0" collapsed="false">
      <c r="AG849" s="1159" t="n">
        <v>69.8000000000001</v>
      </c>
      <c r="AH849" s="1193" t="n">
        <f aca="false">AG849*3.1415926535897/180</f>
        <v>1.21823981789201</v>
      </c>
      <c r="AI849" s="1193" t="n">
        <f aca="false">AH849+0.0005</f>
        <v>1.21873981789201</v>
      </c>
      <c r="AJ849" s="1193" t="n">
        <f aca="false">AH849-0.0005</f>
        <v>1.21773981789201</v>
      </c>
      <c r="AK849" s="1159" t="n">
        <f aca="false">IF(AND(дома!$Z$29&gt;=AJ849,дома!$Z$29&lt;=AI849),связи1!AG849,0)</f>
        <v>0</v>
      </c>
      <c r="AL849" s="1159" t="n">
        <f aca="false">IF(AND(дома!$AA$29&gt;=AJ849,дома!$AA$29&lt;=AI849),связи1!AG849,0)</f>
        <v>0</v>
      </c>
    </row>
    <row r="850" customFormat="false" ht="15" hidden="false" customHeight="false" outlineLevel="0" collapsed="false">
      <c r="AG850" s="1159" t="n">
        <v>69.9000000000001</v>
      </c>
      <c r="AH850" s="1193" t="n">
        <f aca="false">AG850*3.1415926535897/180</f>
        <v>1.219985147144</v>
      </c>
      <c r="AI850" s="1193" t="n">
        <f aca="false">AH850+0.0005</f>
        <v>1.220485147144</v>
      </c>
      <c r="AJ850" s="1193" t="n">
        <f aca="false">AH850-0.0005</f>
        <v>1.219485147144</v>
      </c>
      <c r="AK850" s="1159" t="n">
        <f aca="false">IF(AND(дома!$Z$29&gt;=AJ850,дома!$Z$29&lt;=AI850),связи1!AG850,0)</f>
        <v>0</v>
      </c>
      <c r="AL850" s="1159" t="n">
        <f aca="false">IF(AND(дома!$AA$29&gt;=AJ850,дома!$AA$29&lt;=AI850),связи1!AG850,0)</f>
        <v>0</v>
      </c>
    </row>
    <row r="851" customFormat="false" ht="15" hidden="false" customHeight="false" outlineLevel="0" collapsed="false">
      <c r="AG851" s="1159" t="n">
        <v>70.0000000000001</v>
      </c>
      <c r="AH851" s="1193" t="n">
        <f aca="false">AG851*3.1415926535897/180</f>
        <v>1.221730476396</v>
      </c>
      <c r="AI851" s="1193" t="n">
        <f aca="false">AH851+0.0005</f>
        <v>1.222230476396</v>
      </c>
      <c r="AJ851" s="1193" t="n">
        <f aca="false">AH851-0.0005</f>
        <v>1.221230476396</v>
      </c>
      <c r="AK851" s="1159" t="n">
        <f aca="false">IF(AND(дома!$Z$29&gt;=AJ851,дома!$Z$29&lt;=AI851),связи1!AG851,0)</f>
        <v>0</v>
      </c>
      <c r="AL851" s="1159" t="n">
        <f aca="false">IF(AND(дома!$AA$29&gt;=AJ851,дома!$AA$29&lt;=AI851),связи1!AG851,0)</f>
        <v>0</v>
      </c>
    </row>
    <row r="852" customFormat="false" ht="15" hidden="false" customHeight="false" outlineLevel="0" collapsed="false">
      <c r="AG852" s="1159" t="n">
        <v>70.1000000000001</v>
      </c>
      <c r="AH852" s="1193" t="n">
        <f aca="false">AG852*3.1415926535897/180</f>
        <v>1.22347580564799</v>
      </c>
      <c r="AI852" s="1193" t="n">
        <f aca="false">AH852+0.0005</f>
        <v>1.22397580564799</v>
      </c>
      <c r="AJ852" s="1193" t="n">
        <f aca="false">AH852-0.0005</f>
        <v>1.22297580564799</v>
      </c>
      <c r="AK852" s="1159" t="n">
        <f aca="false">IF(AND(дома!$Z$29&gt;=AJ852,дома!$Z$29&lt;=AI852),связи1!AG852,0)</f>
        <v>0</v>
      </c>
      <c r="AL852" s="1159" t="n">
        <f aca="false">IF(AND(дома!$AA$29&gt;=AJ852,дома!$AA$29&lt;=AI852),связи1!AG852,0)</f>
        <v>0</v>
      </c>
    </row>
    <row r="853" customFormat="false" ht="15" hidden="false" customHeight="false" outlineLevel="0" collapsed="false">
      <c r="AG853" s="1159" t="n">
        <v>70.2000000000001</v>
      </c>
      <c r="AH853" s="1193" t="n">
        <f aca="false">AG853*3.1415926535897/180</f>
        <v>1.22522113489998</v>
      </c>
      <c r="AI853" s="1193" t="n">
        <f aca="false">AH853+0.0005</f>
        <v>1.22572113489998</v>
      </c>
      <c r="AJ853" s="1193" t="n">
        <f aca="false">AH853-0.0005</f>
        <v>1.22472113489998</v>
      </c>
      <c r="AK853" s="1159" t="n">
        <f aca="false">IF(AND(дома!$Z$29&gt;=AJ853,дома!$Z$29&lt;=AI853),связи1!AG853,0)</f>
        <v>0</v>
      </c>
      <c r="AL853" s="1159" t="n">
        <f aca="false">IF(AND(дома!$AA$29&gt;=AJ853,дома!$AA$29&lt;=AI853),связи1!AG853,0)</f>
        <v>0</v>
      </c>
    </row>
    <row r="854" customFormat="false" ht="15" hidden="false" customHeight="false" outlineLevel="0" collapsed="false">
      <c r="AG854" s="1159" t="n">
        <v>70.3000000000001</v>
      </c>
      <c r="AH854" s="1193" t="n">
        <f aca="false">AG854*3.1415926535897/180</f>
        <v>1.22696646415198</v>
      </c>
      <c r="AI854" s="1193" t="n">
        <f aca="false">AH854+0.0005</f>
        <v>1.22746646415198</v>
      </c>
      <c r="AJ854" s="1193" t="n">
        <f aca="false">AH854-0.0005</f>
        <v>1.22646646415198</v>
      </c>
      <c r="AK854" s="1159" t="n">
        <f aca="false">IF(AND(дома!$Z$29&gt;=AJ854,дома!$Z$29&lt;=AI854),связи1!AG854,0)</f>
        <v>0</v>
      </c>
      <c r="AL854" s="1159" t="n">
        <f aca="false">IF(AND(дома!$AA$29&gt;=AJ854,дома!$AA$29&lt;=AI854),связи1!AG854,0)</f>
        <v>0</v>
      </c>
    </row>
    <row r="855" customFormat="false" ht="15" hidden="false" customHeight="false" outlineLevel="0" collapsed="false">
      <c r="AG855" s="1159" t="n">
        <v>70.4000000000001</v>
      </c>
      <c r="AH855" s="1193" t="n">
        <f aca="false">AG855*3.1415926535897/180</f>
        <v>1.22871179340397</v>
      </c>
      <c r="AI855" s="1193" t="n">
        <f aca="false">AH855+0.0005</f>
        <v>1.22921179340397</v>
      </c>
      <c r="AJ855" s="1193" t="n">
        <f aca="false">AH855-0.0005</f>
        <v>1.22821179340397</v>
      </c>
      <c r="AK855" s="1159" t="n">
        <f aca="false">IF(AND(дома!$Z$29&gt;=AJ855,дома!$Z$29&lt;=AI855),связи1!AG855,0)</f>
        <v>0</v>
      </c>
      <c r="AL855" s="1159" t="n">
        <f aca="false">IF(AND(дома!$AA$29&gt;=AJ855,дома!$AA$29&lt;=AI855),связи1!AG855,0)</f>
        <v>0</v>
      </c>
    </row>
    <row r="856" customFormat="false" ht="15" hidden="false" customHeight="false" outlineLevel="0" collapsed="false">
      <c r="AG856" s="1159" t="n">
        <v>70.5000000000001</v>
      </c>
      <c r="AH856" s="1193" t="n">
        <f aca="false">AG856*3.1415926535897/180</f>
        <v>1.23045712265597</v>
      </c>
      <c r="AI856" s="1193" t="n">
        <f aca="false">AH856+0.0005</f>
        <v>1.23095712265597</v>
      </c>
      <c r="AJ856" s="1193" t="n">
        <f aca="false">AH856-0.0005</f>
        <v>1.22995712265597</v>
      </c>
      <c r="AK856" s="1159" t="n">
        <f aca="false">IF(AND(дома!$Z$29&gt;=AJ856,дома!$Z$29&lt;=AI856),связи1!AG856,0)</f>
        <v>0</v>
      </c>
      <c r="AL856" s="1159" t="n">
        <f aca="false">IF(AND(дома!$AA$29&gt;=AJ856,дома!$AA$29&lt;=AI856),связи1!AG856,0)</f>
        <v>0</v>
      </c>
    </row>
    <row r="857" customFormat="false" ht="15" hidden="false" customHeight="false" outlineLevel="0" collapsed="false">
      <c r="AG857" s="1159" t="n">
        <v>70.6000000000001</v>
      </c>
      <c r="AH857" s="1193" t="n">
        <f aca="false">AG857*3.1415926535897/180</f>
        <v>1.23220245190796</v>
      </c>
      <c r="AI857" s="1193" t="n">
        <f aca="false">AH857+0.0005</f>
        <v>1.23270245190796</v>
      </c>
      <c r="AJ857" s="1193" t="n">
        <f aca="false">AH857-0.0005</f>
        <v>1.23170245190796</v>
      </c>
      <c r="AK857" s="1159" t="n">
        <f aca="false">IF(AND(дома!$Z$29&gt;=AJ857,дома!$Z$29&lt;=AI857),связи1!AG857,0)</f>
        <v>0</v>
      </c>
      <c r="AL857" s="1159" t="n">
        <f aca="false">IF(AND(дома!$AA$29&gt;=AJ857,дома!$AA$29&lt;=AI857),связи1!AG857,0)</f>
        <v>0</v>
      </c>
    </row>
    <row r="858" customFormat="false" ht="15" hidden="false" customHeight="false" outlineLevel="0" collapsed="false">
      <c r="AG858" s="1159" t="n">
        <v>70.7000000000001</v>
      </c>
      <c r="AH858" s="1193" t="n">
        <f aca="false">AG858*3.1415926535897/180</f>
        <v>1.23394778115996</v>
      </c>
      <c r="AI858" s="1193" t="n">
        <f aca="false">AH858+0.0005</f>
        <v>1.23444778115996</v>
      </c>
      <c r="AJ858" s="1193" t="n">
        <f aca="false">AH858-0.0005</f>
        <v>1.23344778115996</v>
      </c>
      <c r="AK858" s="1159" t="n">
        <f aca="false">IF(AND(дома!$Z$29&gt;=AJ858,дома!$Z$29&lt;=AI858),связи1!AG858,0)</f>
        <v>0</v>
      </c>
      <c r="AL858" s="1159" t="n">
        <f aca="false">IF(AND(дома!$AA$29&gt;=AJ858,дома!$AA$29&lt;=AI858),связи1!AG858,0)</f>
        <v>0</v>
      </c>
    </row>
    <row r="859" customFormat="false" ht="15" hidden="false" customHeight="false" outlineLevel="0" collapsed="false">
      <c r="AG859" s="1159" t="n">
        <v>70.8000000000001</v>
      </c>
      <c r="AH859" s="1193" t="n">
        <f aca="false">AG859*3.1415926535897/180</f>
        <v>1.23569311041195</v>
      </c>
      <c r="AI859" s="1193" t="n">
        <f aca="false">AH859+0.0005</f>
        <v>1.23619311041195</v>
      </c>
      <c r="AJ859" s="1193" t="n">
        <f aca="false">AH859-0.0005</f>
        <v>1.23519311041195</v>
      </c>
      <c r="AK859" s="1159" t="n">
        <f aca="false">IF(AND(дома!$Z$29&gt;=AJ859,дома!$Z$29&lt;=AI859),связи1!AG859,0)</f>
        <v>0</v>
      </c>
      <c r="AL859" s="1159" t="n">
        <f aca="false">IF(AND(дома!$AA$29&gt;=AJ859,дома!$AA$29&lt;=AI859),связи1!AG859,0)</f>
        <v>0</v>
      </c>
    </row>
    <row r="860" customFormat="false" ht="15" hidden="false" customHeight="false" outlineLevel="0" collapsed="false">
      <c r="AG860" s="1159" t="n">
        <v>70.9000000000001</v>
      </c>
      <c r="AH860" s="1193" t="n">
        <f aca="false">AG860*3.1415926535897/180</f>
        <v>1.23743843966394</v>
      </c>
      <c r="AI860" s="1193" t="n">
        <f aca="false">AH860+0.0005</f>
        <v>1.23793843966394</v>
      </c>
      <c r="AJ860" s="1193" t="n">
        <f aca="false">AH860-0.0005</f>
        <v>1.23693843966394</v>
      </c>
      <c r="AK860" s="1159" t="n">
        <f aca="false">IF(AND(дома!$Z$29&gt;=AJ860,дома!$Z$29&lt;=AI860),связи1!AG860,0)</f>
        <v>0</v>
      </c>
      <c r="AL860" s="1159" t="n">
        <f aca="false">IF(AND(дома!$AA$29&gt;=AJ860,дома!$AA$29&lt;=AI860),связи1!AG860,0)</f>
        <v>0</v>
      </c>
    </row>
    <row r="861" customFormat="false" ht="15" hidden="false" customHeight="false" outlineLevel="0" collapsed="false">
      <c r="AG861" s="1159" t="n">
        <v>71.0000000000001</v>
      </c>
      <c r="AH861" s="1193" t="n">
        <f aca="false">AG861*3.1415926535897/180</f>
        <v>1.23918376891594</v>
      </c>
      <c r="AI861" s="1193" t="n">
        <f aca="false">AH861+0.0005</f>
        <v>1.23968376891594</v>
      </c>
      <c r="AJ861" s="1193" t="n">
        <f aca="false">AH861-0.0005</f>
        <v>1.23868376891594</v>
      </c>
      <c r="AK861" s="1159" t="n">
        <f aca="false">IF(AND(дома!$Z$29&gt;=AJ861,дома!$Z$29&lt;=AI861),связи1!AG861,0)</f>
        <v>0</v>
      </c>
      <c r="AL861" s="1159" t="n">
        <f aca="false">IF(AND(дома!$AA$29&gt;=AJ861,дома!$AA$29&lt;=AI861),связи1!AG861,0)</f>
        <v>0</v>
      </c>
    </row>
    <row r="862" customFormat="false" ht="15" hidden="false" customHeight="false" outlineLevel="0" collapsed="false">
      <c r="AG862" s="1159" t="n">
        <v>71.1000000000001</v>
      </c>
      <c r="AH862" s="1193" t="n">
        <f aca="false">AG862*3.1415926535897/180</f>
        <v>1.24092909816793</v>
      </c>
      <c r="AI862" s="1193" t="n">
        <f aca="false">AH862+0.0005</f>
        <v>1.24142909816793</v>
      </c>
      <c r="AJ862" s="1193" t="n">
        <f aca="false">AH862-0.0005</f>
        <v>1.24042909816793</v>
      </c>
      <c r="AK862" s="1159" t="n">
        <f aca="false">IF(AND(дома!$Z$29&gt;=AJ862,дома!$Z$29&lt;=AI862),связи1!AG862,0)</f>
        <v>0</v>
      </c>
      <c r="AL862" s="1159" t="n">
        <f aca="false">IF(AND(дома!$AA$29&gt;=AJ862,дома!$AA$29&lt;=AI862),связи1!AG862,0)</f>
        <v>0</v>
      </c>
    </row>
    <row r="863" customFormat="false" ht="15" hidden="false" customHeight="false" outlineLevel="0" collapsed="false">
      <c r="AG863" s="1159" t="n">
        <v>71.2000000000001</v>
      </c>
      <c r="AH863" s="1193" t="n">
        <f aca="false">AG863*3.1415926535897/180</f>
        <v>1.24267442741993</v>
      </c>
      <c r="AI863" s="1193" t="n">
        <f aca="false">AH863+0.0005</f>
        <v>1.24317442741993</v>
      </c>
      <c r="AJ863" s="1193" t="n">
        <f aca="false">AH863-0.0005</f>
        <v>1.24217442741993</v>
      </c>
      <c r="AK863" s="1159" t="n">
        <f aca="false">IF(AND(дома!$Z$29&gt;=AJ863,дома!$Z$29&lt;=AI863),связи1!AG863,0)</f>
        <v>0</v>
      </c>
      <c r="AL863" s="1159" t="n">
        <f aca="false">IF(AND(дома!$AA$29&gt;=AJ863,дома!$AA$29&lt;=AI863),связи1!AG863,0)</f>
        <v>0</v>
      </c>
    </row>
    <row r="864" customFormat="false" ht="15" hidden="false" customHeight="false" outlineLevel="0" collapsed="false">
      <c r="AG864" s="1159" t="n">
        <v>71.3000000000001</v>
      </c>
      <c r="AH864" s="1193" t="n">
        <f aca="false">AG864*3.1415926535897/180</f>
        <v>1.24441975667192</v>
      </c>
      <c r="AI864" s="1193" t="n">
        <f aca="false">AH864+0.0005</f>
        <v>1.24491975667192</v>
      </c>
      <c r="AJ864" s="1193" t="n">
        <f aca="false">AH864-0.0005</f>
        <v>1.24391975667192</v>
      </c>
      <c r="AK864" s="1159" t="n">
        <f aca="false">IF(AND(дома!$Z$29&gt;=AJ864,дома!$Z$29&lt;=AI864),связи1!AG864,0)</f>
        <v>0</v>
      </c>
      <c r="AL864" s="1159" t="n">
        <f aca="false">IF(AND(дома!$AA$29&gt;=AJ864,дома!$AA$29&lt;=AI864),связи1!AG864,0)</f>
        <v>0</v>
      </c>
    </row>
    <row r="865" customFormat="false" ht="15" hidden="false" customHeight="false" outlineLevel="0" collapsed="false">
      <c r="AG865" s="1159" t="n">
        <v>71.4000000000001</v>
      </c>
      <c r="AH865" s="1193" t="n">
        <f aca="false">AG865*3.1415926535897/180</f>
        <v>1.24616508592392</v>
      </c>
      <c r="AI865" s="1193" t="n">
        <f aca="false">AH865+0.0005</f>
        <v>1.24666508592392</v>
      </c>
      <c r="AJ865" s="1193" t="n">
        <f aca="false">AH865-0.0005</f>
        <v>1.24566508592392</v>
      </c>
      <c r="AK865" s="1159" t="n">
        <f aca="false">IF(AND(дома!$Z$29&gt;=AJ865,дома!$Z$29&lt;=AI865),связи1!AG865,0)</f>
        <v>0</v>
      </c>
      <c r="AL865" s="1159" t="n">
        <f aca="false">IF(AND(дома!$AA$29&gt;=AJ865,дома!$AA$29&lt;=AI865),связи1!AG865,0)</f>
        <v>0</v>
      </c>
    </row>
    <row r="866" customFormat="false" ht="15" hidden="false" customHeight="false" outlineLevel="0" collapsed="false">
      <c r="AG866" s="1159" t="n">
        <v>71.5000000000001</v>
      </c>
      <c r="AH866" s="1193" t="n">
        <f aca="false">AG866*3.1415926535897/180</f>
        <v>1.24791041517591</v>
      </c>
      <c r="AI866" s="1193" t="n">
        <f aca="false">AH866+0.0005</f>
        <v>1.24841041517591</v>
      </c>
      <c r="AJ866" s="1193" t="n">
        <f aca="false">AH866-0.0005</f>
        <v>1.24741041517591</v>
      </c>
      <c r="AK866" s="1159" t="n">
        <f aca="false">IF(AND(дома!$Z$29&gt;=AJ866,дома!$Z$29&lt;=AI866),связи1!AG866,0)</f>
        <v>0</v>
      </c>
      <c r="AL866" s="1159" t="n">
        <f aca="false">IF(AND(дома!$AA$29&gt;=AJ866,дома!$AA$29&lt;=AI866),связи1!AG866,0)</f>
        <v>0</v>
      </c>
    </row>
    <row r="867" customFormat="false" ht="15" hidden="false" customHeight="false" outlineLevel="0" collapsed="false">
      <c r="AG867" s="1159" t="n">
        <v>71.6000000000001</v>
      </c>
      <c r="AH867" s="1193" t="n">
        <f aca="false">AG867*3.1415926535897/180</f>
        <v>1.2496557444279</v>
      </c>
      <c r="AI867" s="1193" t="n">
        <f aca="false">AH867+0.0005</f>
        <v>1.2501557444279</v>
      </c>
      <c r="AJ867" s="1193" t="n">
        <f aca="false">AH867-0.0005</f>
        <v>1.2491557444279</v>
      </c>
      <c r="AK867" s="1159" t="n">
        <f aca="false">IF(AND(дома!$Z$29&gt;=AJ867,дома!$Z$29&lt;=AI867),связи1!AG867,0)</f>
        <v>0</v>
      </c>
      <c r="AL867" s="1159" t="n">
        <f aca="false">IF(AND(дома!$AA$29&gt;=AJ867,дома!$AA$29&lt;=AI867),связи1!AG867,0)</f>
        <v>0</v>
      </c>
    </row>
    <row r="868" customFormat="false" ht="15" hidden="false" customHeight="false" outlineLevel="0" collapsed="false">
      <c r="AG868" s="1159" t="n">
        <v>71.7000000000001</v>
      </c>
      <c r="AH868" s="1193" t="n">
        <f aca="false">AG868*3.1415926535897/180</f>
        <v>1.2514010736799</v>
      </c>
      <c r="AI868" s="1193" t="n">
        <f aca="false">AH868+0.0005</f>
        <v>1.2519010736799</v>
      </c>
      <c r="AJ868" s="1193" t="n">
        <f aca="false">AH868-0.0005</f>
        <v>1.2509010736799</v>
      </c>
      <c r="AK868" s="1159" t="n">
        <f aca="false">IF(AND(дома!$Z$29&gt;=AJ868,дома!$Z$29&lt;=AI868),связи1!AG868,0)</f>
        <v>0</v>
      </c>
      <c r="AL868" s="1159" t="n">
        <f aca="false">IF(AND(дома!$AA$29&gt;=AJ868,дома!$AA$29&lt;=AI868),связи1!AG868,0)</f>
        <v>0</v>
      </c>
    </row>
    <row r="869" customFormat="false" ht="15" hidden="false" customHeight="false" outlineLevel="0" collapsed="false">
      <c r="AG869" s="1159" t="n">
        <v>71.8000000000001</v>
      </c>
      <c r="AH869" s="1193" t="n">
        <f aca="false">AG869*3.1415926535897/180</f>
        <v>1.25314640293189</v>
      </c>
      <c r="AI869" s="1193" t="n">
        <f aca="false">AH869+0.0005</f>
        <v>1.25364640293189</v>
      </c>
      <c r="AJ869" s="1193" t="n">
        <f aca="false">AH869-0.0005</f>
        <v>1.25264640293189</v>
      </c>
      <c r="AK869" s="1159" t="n">
        <f aca="false">IF(AND(дома!$Z$29&gt;=AJ869,дома!$Z$29&lt;=AI869),связи1!AG869,0)</f>
        <v>0</v>
      </c>
      <c r="AL869" s="1159" t="n">
        <f aca="false">IF(AND(дома!$AA$29&gt;=AJ869,дома!$AA$29&lt;=AI869),связи1!AG869,0)</f>
        <v>0</v>
      </c>
    </row>
    <row r="870" customFormat="false" ht="15" hidden="false" customHeight="false" outlineLevel="0" collapsed="false">
      <c r="AG870" s="1159" t="n">
        <v>71.9000000000001</v>
      </c>
      <c r="AH870" s="1193" t="n">
        <f aca="false">AG870*3.1415926535897/180</f>
        <v>1.25489173218389</v>
      </c>
      <c r="AI870" s="1193" t="n">
        <f aca="false">AH870+0.0005</f>
        <v>1.25539173218389</v>
      </c>
      <c r="AJ870" s="1193" t="n">
        <f aca="false">AH870-0.0005</f>
        <v>1.25439173218389</v>
      </c>
      <c r="AK870" s="1159" t="n">
        <f aca="false">IF(AND(дома!$Z$29&gt;=AJ870,дома!$Z$29&lt;=AI870),связи1!AG870,0)</f>
        <v>0</v>
      </c>
      <c r="AL870" s="1159" t="n">
        <f aca="false">IF(AND(дома!$AA$29&gt;=AJ870,дома!$AA$29&lt;=AI870),связи1!AG870,0)</f>
        <v>0</v>
      </c>
    </row>
    <row r="871" customFormat="false" ht="15" hidden="false" customHeight="false" outlineLevel="0" collapsed="false">
      <c r="AG871" s="1159" t="n">
        <v>72.0000000000001</v>
      </c>
      <c r="AH871" s="1193" t="n">
        <f aca="false">AG871*3.1415926535897/180</f>
        <v>1.25663706143588</v>
      </c>
      <c r="AI871" s="1193" t="n">
        <f aca="false">AH871+0.0005</f>
        <v>1.25713706143588</v>
      </c>
      <c r="AJ871" s="1193" t="n">
        <f aca="false">AH871-0.0005</f>
        <v>1.25613706143588</v>
      </c>
      <c r="AK871" s="1159" t="n">
        <f aca="false">IF(AND(дома!$Z$29&gt;=AJ871,дома!$Z$29&lt;=AI871),связи1!AG871,0)</f>
        <v>0</v>
      </c>
      <c r="AL871" s="1159" t="n">
        <f aca="false">IF(AND(дома!$AA$29&gt;=AJ871,дома!$AA$29&lt;=AI871),связи1!AG871,0)</f>
        <v>0</v>
      </c>
    </row>
    <row r="872" customFormat="false" ht="15" hidden="false" customHeight="false" outlineLevel="0" collapsed="false">
      <c r="AG872" s="1159" t="n">
        <v>72.1000000000001</v>
      </c>
      <c r="AH872" s="1193" t="n">
        <f aca="false">AG872*3.1415926535897/180</f>
        <v>1.25838239068788</v>
      </c>
      <c r="AI872" s="1193" t="n">
        <f aca="false">AH872+0.0005</f>
        <v>1.25888239068788</v>
      </c>
      <c r="AJ872" s="1193" t="n">
        <f aca="false">AH872-0.0005</f>
        <v>1.25788239068788</v>
      </c>
      <c r="AK872" s="1159" t="n">
        <f aca="false">IF(AND(дома!$Z$29&gt;=AJ872,дома!$Z$29&lt;=AI872),связи1!AG872,0)</f>
        <v>0</v>
      </c>
      <c r="AL872" s="1159" t="n">
        <f aca="false">IF(AND(дома!$AA$29&gt;=AJ872,дома!$AA$29&lt;=AI872),связи1!AG872,0)</f>
        <v>0</v>
      </c>
    </row>
    <row r="873" customFormat="false" ht="15" hidden="false" customHeight="false" outlineLevel="0" collapsed="false">
      <c r="AG873" s="1159" t="n">
        <v>72.2000000000001</v>
      </c>
      <c r="AH873" s="1193" t="n">
        <f aca="false">AG873*3.1415926535897/180</f>
        <v>1.26012771993987</v>
      </c>
      <c r="AI873" s="1193" t="n">
        <f aca="false">AH873+0.0005</f>
        <v>1.26062771993987</v>
      </c>
      <c r="AJ873" s="1193" t="n">
        <f aca="false">AH873-0.0005</f>
        <v>1.25962771993987</v>
      </c>
      <c r="AK873" s="1159" t="n">
        <f aca="false">IF(AND(дома!$Z$29&gt;=AJ873,дома!$Z$29&lt;=AI873),связи1!AG873,0)</f>
        <v>0</v>
      </c>
      <c r="AL873" s="1159" t="n">
        <f aca="false">IF(AND(дома!$AA$29&gt;=AJ873,дома!$AA$29&lt;=AI873),связи1!AG873,0)</f>
        <v>0</v>
      </c>
    </row>
    <row r="874" customFormat="false" ht="15" hidden="false" customHeight="false" outlineLevel="0" collapsed="false">
      <c r="AG874" s="1159" t="n">
        <v>72.3000000000001</v>
      </c>
      <c r="AH874" s="1193" t="n">
        <f aca="false">AG874*3.1415926535897/180</f>
        <v>1.26187304919186</v>
      </c>
      <c r="AI874" s="1193" t="n">
        <f aca="false">AH874+0.0005</f>
        <v>1.26237304919186</v>
      </c>
      <c r="AJ874" s="1193" t="n">
        <f aca="false">AH874-0.0005</f>
        <v>1.26137304919186</v>
      </c>
      <c r="AK874" s="1159" t="n">
        <f aca="false">IF(AND(дома!$Z$29&gt;=AJ874,дома!$Z$29&lt;=AI874),связи1!AG874,0)</f>
        <v>0</v>
      </c>
      <c r="AL874" s="1159" t="n">
        <f aca="false">IF(AND(дома!$AA$29&gt;=AJ874,дома!$AA$29&lt;=AI874),связи1!AG874,0)</f>
        <v>0</v>
      </c>
    </row>
    <row r="875" customFormat="false" ht="15" hidden="false" customHeight="false" outlineLevel="0" collapsed="false">
      <c r="AG875" s="1159" t="n">
        <v>72.4000000000001</v>
      </c>
      <c r="AH875" s="1193" t="n">
        <f aca="false">AG875*3.1415926535897/180</f>
        <v>1.26361837844386</v>
      </c>
      <c r="AI875" s="1193" t="n">
        <f aca="false">AH875+0.0005</f>
        <v>1.26411837844386</v>
      </c>
      <c r="AJ875" s="1193" t="n">
        <f aca="false">AH875-0.0005</f>
        <v>1.26311837844386</v>
      </c>
      <c r="AK875" s="1159" t="n">
        <f aca="false">IF(AND(дома!$Z$29&gt;=AJ875,дома!$Z$29&lt;=AI875),связи1!AG875,0)</f>
        <v>0</v>
      </c>
      <c r="AL875" s="1159" t="n">
        <f aca="false">IF(AND(дома!$AA$29&gt;=AJ875,дома!$AA$29&lt;=AI875),связи1!AG875,0)</f>
        <v>0</v>
      </c>
    </row>
    <row r="876" customFormat="false" ht="15" hidden="false" customHeight="false" outlineLevel="0" collapsed="false">
      <c r="AG876" s="1159" t="n">
        <v>72.5000000000001</v>
      </c>
      <c r="AH876" s="1193" t="n">
        <f aca="false">AG876*3.1415926535897/180</f>
        <v>1.26536370769585</v>
      </c>
      <c r="AI876" s="1193" t="n">
        <f aca="false">AH876+0.0005</f>
        <v>1.26586370769585</v>
      </c>
      <c r="AJ876" s="1193" t="n">
        <f aca="false">AH876-0.0005</f>
        <v>1.26486370769585</v>
      </c>
      <c r="AK876" s="1159" t="n">
        <f aca="false">IF(AND(дома!$Z$29&gt;=AJ876,дома!$Z$29&lt;=AI876),связи1!AG876,0)</f>
        <v>0</v>
      </c>
      <c r="AL876" s="1159" t="n">
        <f aca="false">IF(AND(дома!$AA$29&gt;=AJ876,дома!$AA$29&lt;=AI876),связи1!AG876,0)</f>
        <v>0</v>
      </c>
    </row>
    <row r="877" customFormat="false" ht="15" hidden="false" customHeight="false" outlineLevel="0" collapsed="false">
      <c r="AG877" s="1159" t="n">
        <v>72.6000000000001</v>
      </c>
      <c r="AH877" s="1193" t="n">
        <f aca="false">AG877*3.1415926535897/180</f>
        <v>1.26710903694785</v>
      </c>
      <c r="AI877" s="1193" t="n">
        <f aca="false">AH877+0.0005</f>
        <v>1.26760903694785</v>
      </c>
      <c r="AJ877" s="1193" t="n">
        <f aca="false">AH877-0.0005</f>
        <v>1.26660903694785</v>
      </c>
      <c r="AK877" s="1159" t="n">
        <f aca="false">IF(AND(дома!$Z$29&gt;=AJ877,дома!$Z$29&lt;=AI877),связи1!AG877,0)</f>
        <v>0</v>
      </c>
      <c r="AL877" s="1159" t="n">
        <f aca="false">IF(AND(дома!$AA$29&gt;=AJ877,дома!$AA$29&lt;=AI877),связи1!AG877,0)</f>
        <v>0</v>
      </c>
    </row>
    <row r="878" customFormat="false" ht="15" hidden="false" customHeight="false" outlineLevel="0" collapsed="false">
      <c r="AG878" s="1159" t="n">
        <v>72.7000000000001</v>
      </c>
      <c r="AH878" s="1193" t="n">
        <f aca="false">AG878*3.1415926535897/180</f>
        <v>1.26885436619984</v>
      </c>
      <c r="AI878" s="1193" t="n">
        <f aca="false">AH878+0.0005</f>
        <v>1.26935436619984</v>
      </c>
      <c r="AJ878" s="1193" t="n">
        <f aca="false">AH878-0.0005</f>
        <v>1.26835436619984</v>
      </c>
      <c r="AK878" s="1159" t="n">
        <f aca="false">IF(AND(дома!$Z$29&gt;=AJ878,дома!$Z$29&lt;=AI878),связи1!AG878,0)</f>
        <v>0</v>
      </c>
      <c r="AL878" s="1159" t="n">
        <f aca="false">IF(AND(дома!$AA$29&gt;=AJ878,дома!$AA$29&lt;=AI878),связи1!AG878,0)</f>
        <v>0</v>
      </c>
    </row>
    <row r="879" customFormat="false" ht="15" hidden="false" customHeight="false" outlineLevel="0" collapsed="false">
      <c r="AG879" s="1159" t="n">
        <v>72.8000000000001</v>
      </c>
      <c r="AH879" s="1193" t="n">
        <f aca="false">AG879*3.1415926535897/180</f>
        <v>1.27059969545184</v>
      </c>
      <c r="AI879" s="1193" t="n">
        <f aca="false">AH879+0.0005</f>
        <v>1.27109969545184</v>
      </c>
      <c r="AJ879" s="1193" t="n">
        <f aca="false">AH879-0.0005</f>
        <v>1.27009969545184</v>
      </c>
      <c r="AK879" s="1159" t="n">
        <f aca="false">IF(AND(дома!$Z$29&gt;=AJ879,дома!$Z$29&lt;=AI879),связи1!AG879,0)</f>
        <v>0</v>
      </c>
      <c r="AL879" s="1159" t="n">
        <f aca="false">IF(AND(дома!$AA$29&gt;=AJ879,дома!$AA$29&lt;=AI879),связи1!AG879,0)</f>
        <v>0</v>
      </c>
    </row>
    <row r="880" customFormat="false" ht="15" hidden="false" customHeight="false" outlineLevel="0" collapsed="false">
      <c r="AG880" s="1159" t="n">
        <v>72.9000000000001</v>
      </c>
      <c r="AH880" s="1193" t="n">
        <f aca="false">AG880*3.1415926535897/180</f>
        <v>1.27234502470383</v>
      </c>
      <c r="AI880" s="1193" t="n">
        <f aca="false">AH880+0.0005</f>
        <v>1.27284502470383</v>
      </c>
      <c r="AJ880" s="1193" t="n">
        <f aca="false">AH880-0.0005</f>
        <v>1.27184502470383</v>
      </c>
      <c r="AK880" s="1159" t="n">
        <f aca="false">IF(AND(дома!$Z$29&gt;=AJ880,дома!$Z$29&lt;=AI880),связи1!AG880,0)</f>
        <v>0</v>
      </c>
      <c r="AL880" s="1159" t="n">
        <f aca="false">IF(AND(дома!$AA$29&gt;=AJ880,дома!$AA$29&lt;=AI880),связи1!AG880,0)</f>
        <v>0</v>
      </c>
    </row>
    <row r="881" customFormat="false" ht="15" hidden="false" customHeight="false" outlineLevel="0" collapsed="false">
      <c r="AG881" s="1159" t="n">
        <v>73.0000000000001</v>
      </c>
      <c r="AH881" s="1193" t="n">
        <f aca="false">AG881*3.1415926535897/180</f>
        <v>1.27409035395582</v>
      </c>
      <c r="AI881" s="1193" t="n">
        <f aca="false">AH881+0.0005</f>
        <v>1.27459035395582</v>
      </c>
      <c r="AJ881" s="1193" t="n">
        <f aca="false">AH881-0.0005</f>
        <v>1.27359035395582</v>
      </c>
      <c r="AK881" s="1159" t="n">
        <f aca="false">IF(AND(дома!$Z$29&gt;=AJ881,дома!$Z$29&lt;=AI881),связи1!AG881,0)</f>
        <v>0</v>
      </c>
      <c r="AL881" s="1159" t="n">
        <f aca="false">IF(AND(дома!$AA$29&gt;=AJ881,дома!$AA$29&lt;=AI881),связи1!AG881,0)</f>
        <v>0</v>
      </c>
    </row>
    <row r="882" customFormat="false" ht="15" hidden="false" customHeight="false" outlineLevel="0" collapsed="false">
      <c r="AG882" s="1159" t="n">
        <v>73.1000000000001</v>
      </c>
      <c r="AH882" s="1193" t="n">
        <f aca="false">AG882*3.1415926535897/180</f>
        <v>1.27583568320782</v>
      </c>
      <c r="AI882" s="1193" t="n">
        <f aca="false">AH882+0.0005</f>
        <v>1.27633568320782</v>
      </c>
      <c r="AJ882" s="1193" t="n">
        <f aca="false">AH882-0.0005</f>
        <v>1.27533568320782</v>
      </c>
      <c r="AK882" s="1159" t="n">
        <f aca="false">IF(AND(дома!$Z$29&gt;=AJ882,дома!$Z$29&lt;=AI882),связи1!AG882,0)</f>
        <v>0</v>
      </c>
      <c r="AL882" s="1159" t="n">
        <f aca="false">IF(AND(дома!$AA$29&gt;=AJ882,дома!$AA$29&lt;=AI882),связи1!AG882,0)</f>
        <v>0</v>
      </c>
    </row>
    <row r="883" customFormat="false" ht="15" hidden="false" customHeight="false" outlineLevel="0" collapsed="false">
      <c r="AG883" s="1159" t="n">
        <v>73.2000000000001</v>
      </c>
      <c r="AH883" s="1193" t="n">
        <f aca="false">AG883*3.1415926535897/180</f>
        <v>1.27758101245981</v>
      </c>
      <c r="AI883" s="1193" t="n">
        <f aca="false">AH883+0.0005</f>
        <v>1.27808101245981</v>
      </c>
      <c r="AJ883" s="1193" t="n">
        <f aca="false">AH883-0.0005</f>
        <v>1.27708101245981</v>
      </c>
      <c r="AK883" s="1159" t="n">
        <f aca="false">IF(AND(дома!$Z$29&gt;=AJ883,дома!$Z$29&lt;=AI883),связи1!AG883,0)</f>
        <v>0</v>
      </c>
      <c r="AL883" s="1159" t="n">
        <f aca="false">IF(AND(дома!$AA$29&gt;=AJ883,дома!$AA$29&lt;=AI883),связи1!AG883,0)</f>
        <v>0</v>
      </c>
    </row>
    <row r="884" customFormat="false" ht="15" hidden="false" customHeight="false" outlineLevel="0" collapsed="false">
      <c r="AG884" s="1159" t="n">
        <v>73.3000000000001</v>
      </c>
      <c r="AH884" s="1193" t="n">
        <f aca="false">AG884*3.1415926535897/180</f>
        <v>1.27932634171181</v>
      </c>
      <c r="AI884" s="1193" t="n">
        <f aca="false">AH884+0.0005</f>
        <v>1.27982634171181</v>
      </c>
      <c r="AJ884" s="1193" t="n">
        <f aca="false">AH884-0.0005</f>
        <v>1.27882634171181</v>
      </c>
      <c r="AK884" s="1159" t="n">
        <f aca="false">IF(AND(дома!$Z$29&gt;=AJ884,дома!$Z$29&lt;=AI884),связи1!AG884,0)</f>
        <v>0</v>
      </c>
      <c r="AL884" s="1159" t="n">
        <f aca="false">IF(AND(дома!$AA$29&gt;=AJ884,дома!$AA$29&lt;=AI884),связи1!AG884,0)</f>
        <v>0</v>
      </c>
    </row>
    <row r="885" customFormat="false" ht="15" hidden="false" customHeight="false" outlineLevel="0" collapsed="false">
      <c r="AG885" s="1159" t="n">
        <v>73.4000000000001</v>
      </c>
      <c r="AH885" s="1193" t="n">
        <f aca="false">AG885*3.1415926535897/180</f>
        <v>1.2810716709638</v>
      </c>
      <c r="AI885" s="1193" t="n">
        <f aca="false">AH885+0.0005</f>
        <v>1.2815716709638</v>
      </c>
      <c r="AJ885" s="1193" t="n">
        <f aca="false">AH885-0.0005</f>
        <v>1.2805716709638</v>
      </c>
      <c r="AK885" s="1159" t="n">
        <f aca="false">IF(AND(дома!$Z$29&gt;=AJ885,дома!$Z$29&lt;=AI885),связи1!AG885,0)</f>
        <v>0</v>
      </c>
      <c r="AL885" s="1159" t="n">
        <f aca="false">IF(AND(дома!$AA$29&gt;=AJ885,дома!$AA$29&lt;=AI885),связи1!AG885,0)</f>
        <v>0</v>
      </c>
    </row>
    <row r="886" customFormat="false" ht="15" hidden="false" customHeight="false" outlineLevel="0" collapsed="false">
      <c r="AG886" s="1159" t="n">
        <v>73.5000000000001</v>
      </c>
      <c r="AH886" s="1193" t="n">
        <f aca="false">AG886*3.1415926535897/180</f>
        <v>1.2828170002158</v>
      </c>
      <c r="AI886" s="1193" t="n">
        <f aca="false">AH886+0.0005</f>
        <v>1.2833170002158</v>
      </c>
      <c r="AJ886" s="1193" t="n">
        <f aca="false">AH886-0.0005</f>
        <v>1.2823170002158</v>
      </c>
      <c r="AK886" s="1159" t="n">
        <f aca="false">IF(AND(дома!$Z$29&gt;=AJ886,дома!$Z$29&lt;=AI886),связи1!AG886,0)</f>
        <v>0</v>
      </c>
      <c r="AL886" s="1159" t="n">
        <f aca="false">IF(AND(дома!$AA$29&gt;=AJ886,дома!$AA$29&lt;=AI886),связи1!AG886,0)</f>
        <v>0</v>
      </c>
    </row>
    <row r="887" customFormat="false" ht="15" hidden="false" customHeight="false" outlineLevel="0" collapsed="false">
      <c r="AG887" s="1159" t="n">
        <v>73.6000000000001</v>
      </c>
      <c r="AH887" s="1193" t="n">
        <f aca="false">AG887*3.1415926535897/180</f>
        <v>1.28456232946779</v>
      </c>
      <c r="AI887" s="1193" t="n">
        <f aca="false">AH887+0.0005</f>
        <v>1.28506232946779</v>
      </c>
      <c r="AJ887" s="1193" t="n">
        <f aca="false">AH887-0.0005</f>
        <v>1.28406232946779</v>
      </c>
      <c r="AK887" s="1159" t="n">
        <f aca="false">IF(AND(дома!$Z$29&gt;=AJ887,дома!$Z$29&lt;=AI887),связи1!AG887,0)</f>
        <v>0</v>
      </c>
      <c r="AL887" s="1159" t="n">
        <f aca="false">IF(AND(дома!$AA$29&gt;=AJ887,дома!$AA$29&lt;=AI887),связи1!AG887,0)</f>
        <v>0</v>
      </c>
    </row>
    <row r="888" customFormat="false" ht="15" hidden="false" customHeight="false" outlineLevel="0" collapsed="false">
      <c r="AG888" s="1159" t="n">
        <v>73.7000000000001</v>
      </c>
      <c r="AH888" s="1193" t="n">
        <f aca="false">AG888*3.1415926535897/180</f>
        <v>1.28630765871978</v>
      </c>
      <c r="AI888" s="1193" t="n">
        <f aca="false">AH888+0.0005</f>
        <v>1.28680765871978</v>
      </c>
      <c r="AJ888" s="1193" t="n">
        <f aca="false">AH888-0.0005</f>
        <v>1.28580765871978</v>
      </c>
      <c r="AK888" s="1159" t="n">
        <f aca="false">IF(AND(дома!$Z$29&gt;=AJ888,дома!$Z$29&lt;=AI888),связи1!AG888,0)</f>
        <v>0</v>
      </c>
      <c r="AL888" s="1159" t="n">
        <f aca="false">IF(AND(дома!$AA$29&gt;=AJ888,дома!$AA$29&lt;=AI888),связи1!AG888,0)</f>
        <v>0</v>
      </c>
    </row>
    <row r="889" customFormat="false" ht="15" hidden="false" customHeight="false" outlineLevel="0" collapsed="false">
      <c r="AG889" s="1159" t="n">
        <v>73.8000000000001</v>
      </c>
      <c r="AH889" s="1193" t="n">
        <f aca="false">AG889*3.1415926535897/180</f>
        <v>1.28805298797178</v>
      </c>
      <c r="AI889" s="1193" t="n">
        <f aca="false">AH889+0.0005</f>
        <v>1.28855298797178</v>
      </c>
      <c r="AJ889" s="1193" t="n">
        <f aca="false">AH889-0.0005</f>
        <v>1.28755298797178</v>
      </c>
      <c r="AK889" s="1159" t="n">
        <f aca="false">IF(AND(дома!$Z$29&gt;=AJ889,дома!$Z$29&lt;=AI889),связи1!AG889,0)</f>
        <v>0</v>
      </c>
      <c r="AL889" s="1159" t="n">
        <f aca="false">IF(AND(дома!$AA$29&gt;=AJ889,дома!$AA$29&lt;=AI889),связи1!AG889,0)</f>
        <v>0</v>
      </c>
    </row>
    <row r="890" customFormat="false" ht="15" hidden="false" customHeight="false" outlineLevel="0" collapsed="false">
      <c r="AG890" s="1159" t="n">
        <v>73.9000000000001</v>
      </c>
      <c r="AH890" s="1193" t="n">
        <f aca="false">AG890*3.1415926535897/180</f>
        <v>1.28979831722377</v>
      </c>
      <c r="AI890" s="1193" t="n">
        <f aca="false">AH890+0.0005</f>
        <v>1.29029831722377</v>
      </c>
      <c r="AJ890" s="1193" t="n">
        <f aca="false">AH890-0.0005</f>
        <v>1.28929831722377</v>
      </c>
      <c r="AK890" s="1159" t="n">
        <f aca="false">IF(AND(дома!$Z$29&gt;=AJ890,дома!$Z$29&lt;=AI890),связи1!AG890,0)</f>
        <v>0</v>
      </c>
      <c r="AL890" s="1159" t="n">
        <f aca="false">IF(AND(дома!$AA$29&gt;=AJ890,дома!$AA$29&lt;=AI890),связи1!AG890,0)</f>
        <v>0</v>
      </c>
    </row>
    <row r="891" customFormat="false" ht="15" hidden="false" customHeight="false" outlineLevel="0" collapsed="false">
      <c r="AG891" s="1159" t="n">
        <v>74.0000000000001</v>
      </c>
      <c r="AH891" s="1193" t="n">
        <f aca="false">AG891*3.1415926535897/180</f>
        <v>1.29154364647577</v>
      </c>
      <c r="AI891" s="1193" t="n">
        <f aca="false">AH891+0.0005</f>
        <v>1.29204364647577</v>
      </c>
      <c r="AJ891" s="1193" t="n">
        <f aca="false">AH891-0.0005</f>
        <v>1.29104364647577</v>
      </c>
      <c r="AK891" s="1159" t="n">
        <f aca="false">IF(AND(дома!$Z$29&gt;=AJ891,дома!$Z$29&lt;=AI891),связи1!AG891,0)</f>
        <v>0</v>
      </c>
      <c r="AL891" s="1159" t="n">
        <f aca="false">IF(AND(дома!$AA$29&gt;=AJ891,дома!$AA$29&lt;=AI891),связи1!AG891,0)</f>
        <v>0</v>
      </c>
    </row>
    <row r="892" customFormat="false" ht="15" hidden="false" customHeight="false" outlineLevel="0" collapsed="false">
      <c r="AG892" s="1159" t="n">
        <v>74.1000000000001</v>
      </c>
      <c r="AH892" s="1193" t="n">
        <f aca="false">AG892*3.1415926535897/180</f>
        <v>1.29328897572776</v>
      </c>
      <c r="AI892" s="1193" t="n">
        <f aca="false">AH892+0.0005</f>
        <v>1.29378897572776</v>
      </c>
      <c r="AJ892" s="1193" t="n">
        <f aca="false">AH892-0.0005</f>
        <v>1.29278897572776</v>
      </c>
      <c r="AK892" s="1159" t="n">
        <f aca="false">IF(AND(дома!$Z$29&gt;=AJ892,дома!$Z$29&lt;=AI892),связи1!AG892,0)</f>
        <v>0</v>
      </c>
      <c r="AL892" s="1159" t="n">
        <f aca="false">IF(AND(дома!$AA$29&gt;=AJ892,дома!$AA$29&lt;=AI892),связи1!AG892,0)</f>
        <v>0</v>
      </c>
    </row>
    <row r="893" customFormat="false" ht="15" hidden="false" customHeight="false" outlineLevel="0" collapsed="false">
      <c r="AG893" s="1159" t="n">
        <v>74.2000000000001</v>
      </c>
      <c r="AH893" s="1193" t="n">
        <f aca="false">AG893*3.1415926535897/180</f>
        <v>1.29503430497976</v>
      </c>
      <c r="AI893" s="1193" t="n">
        <f aca="false">AH893+0.0005</f>
        <v>1.29553430497976</v>
      </c>
      <c r="AJ893" s="1193" t="n">
        <f aca="false">AH893-0.0005</f>
        <v>1.29453430497976</v>
      </c>
      <c r="AK893" s="1159" t="n">
        <f aca="false">IF(AND(дома!$Z$29&gt;=AJ893,дома!$Z$29&lt;=AI893),связи1!AG893,0)</f>
        <v>0</v>
      </c>
      <c r="AL893" s="1159" t="n">
        <f aca="false">IF(AND(дома!$AA$29&gt;=AJ893,дома!$AA$29&lt;=AI893),связи1!AG893,0)</f>
        <v>0</v>
      </c>
    </row>
    <row r="894" customFormat="false" ht="15" hidden="false" customHeight="false" outlineLevel="0" collapsed="false">
      <c r="AG894" s="1159" t="n">
        <v>74.3000000000001</v>
      </c>
      <c r="AH894" s="1193" t="n">
        <f aca="false">AG894*3.1415926535897/180</f>
        <v>1.29677963423175</v>
      </c>
      <c r="AI894" s="1193" t="n">
        <f aca="false">AH894+0.0005</f>
        <v>1.29727963423175</v>
      </c>
      <c r="AJ894" s="1193" t="n">
        <f aca="false">AH894-0.0005</f>
        <v>1.29627963423175</v>
      </c>
      <c r="AK894" s="1159" t="n">
        <f aca="false">IF(AND(дома!$Z$29&gt;=AJ894,дома!$Z$29&lt;=AI894),связи1!AG894,0)</f>
        <v>0</v>
      </c>
      <c r="AL894" s="1159" t="n">
        <f aca="false">IF(AND(дома!$AA$29&gt;=AJ894,дома!$AA$29&lt;=AI894),связи1!AG894,0)</f>
        <v>0</v>
      </c>
    </row>
    <row r="895" customFormat="false" ht="15" hidden="false" customHeight="false" outlineLevel="0" collapsed="false">
      <c r="AG895" s="1159" t="n">
        <v>74.4000000000001</v>
      </c>
      <c r="AH895" s="1193" t="n">
        <f aca="false">AG895*3.1415926535897/180</f>
        <v>1.29852496348374</v>
      </c>
      <c r="AI895" s="1193" t="n">
        <f aca="false">AH895+0.0005</f>
        <v>1.29902496348374</v>
      </c>
      <c r="AJ895" s="1193" t="n">
        <f aca="false">AH895-0.0005</f>
        <v>1.29802496348374</v>
      </c>
      <c r="AK895" s="1159" t="n">
        <f aca="false">IF(AND(дома!$Z$29&gt;=AJ895,дома!$Z$29&lt;=AI895),связи1!AG895,0)</f>
        <v>0</v>
      </c>
      <c r="AL895" s="1159" t="n">
        <f aca="false">IF(AND(дома!$AA$29&gt;=AJ895,дома!$AA$29&lt;=AI895),связи1!AG895,0)</f>
        <v>0</v>
      </c>
    </row>
    <row r="896" customFormat="false" ht="15" hidden="false" customHeight="false" outlineLevel="0" collapsed="false">
      <c r="AG896" s="1159" t="n">
        <v>74.5000000000001</v>
      </c>
      <c r="AH896" s="1193" t="n">
        <f aca="false">AG896*3.1415926535897/180</f>
        <v>1.30027029273574</v>
      </c>
      <c r="AI896" s="1193" t="n">
        <f aca="false">AH896+0.0005</f>
        <v>1.30077029273574</v>
      </c>
      <c r="AJ896" s="1193" t="n">
        <f aca="false">AH896-0.0005</f>
        <v>1.29977029273574</v>
      </c>
      <c r="AK896" s="1159" t="n">
        <f aca="false">IF(AND(дома!$Z$29&gt;=AJ896,дома!$Z$29&lt;=AI896),связи1!AG896,0)</f>
        <v>0</v>
      </c>
      <c r="AL896" s="1159" t="n">
        <f aca="false">IF(AND(дома!$AA$29&gt;=AJ896,дома!$AA$29&lt;=AI896),связи1!AG896,0)</f>
        <v>0</v>
      </c>
    </row>
    <row r="897" customFormat="false" ht="15" hidden="false" customHeight="false" outlineLevel="0" collapsed="false">
      <c r="AG897" s="1159" t="n">
        <v>74.6000000000001</v>
      </c>
      <c r="AH897" s="1193" t="n">
        <f aca="false">AG897*3.1415926535897/180</f>
        <v>1.30201562198773</v>
      </c>
      <c r="AI897" s="1193" t="n">
        <f aca="false">AH897+0.0005</f>
        <v>1.30251562198773</v>
      </c>
      <c r="AJ897" s="1193" t="n">
        <f aca="false">AH897-0.0005</f>
        <v>1.30151562198773</v>
      </c>
      <c r="AK897" s="1159" t="n">
        <f aca="false">IF(AND(дома!$Z$29&gt;=AJ897,дома!$Z$29&lt;=AI897),связи1!AG897,0)</f>
        <v>0</v>
      </c>
      <c r="AL897" s="1159" t="n">
        <f aca="false">IF(AND(дома!$AA$29&gt;=AJ897,дома!$AA$29&lt;=AI897),связи1!AG897,0)</f>
        <v>0</v>
      </c>
    </row>
    <row r="898" customFormat="false" ht="15" hidden="false" customHeight="false" outlineLevel="0" collapsed="false">
      <c r="AG898" s="1159" t="n">
        <v>74.7000000000001</v>
      </c>
      <c r="AH898" s="1193" t="n">
        <f aca="false">AG898*3.1415926535897/180</f>
        <v>1.30376095123973</v>
      </c>
      <c r="AI898" s="1193" t="n">
        <f aca="false">AH898+0.0005</f>
        <v>1.30426095123973</v>
      </c>
      <c r="AJ898" s="1193" t="n">
        <f aca="false">AH898-0.0005</f>
        <v>1.30326095123973</v>
      </c>
      <c r="AK898" s="1159" t="n">
        <f aca="false">IF(AND(дома!$Z$29&gt;=AJ898,дома!$Z$29&lt;=AI898),связи1!AG898,0)</f>
        <v>0</v>
      </c>
      <c r="AL898" s="1159" t="n">
        <f aca="false">IF(AND(дома!$AA$29&gt;=AJ898,дома!$AA$29&lt;=AI898),связи1!AG898,0)</f>
        <v>0</v>
      </c>
    </row>
    <row r="899" customFormat="false" ht="15" hidden="false" customHeight="false" outlineLevel="0" collapsed="false">
      <c r="AG899" s="1159" t="n">
        <v>74.8000000000001</v>
      </c>
      <c r="AH899" s="1193" t="n">
        <f aca="false">AG899*3.1415926535897/180</f>
        <v>1.30550628049172</v>
      </c>
      <c r="AI899" s="1193" t="n">
        <f aca="false">AH899+0.0005</f>
        <v>1.30600628049172</v>
      </c>
      <c r="AJ899" s="1193" t="n">
        <f aca="false">AH899-0.0005</f>
        <v>1.30500628049172</v>
      </c>
      <c r="AK899" s="1159" t="n">
        <f aca="false">IF(AND(дома!$Z$29&gt;=AJ899,дома!$Z$29&lt;=AI899),связи1!AG899,0)</f>
        <v>0</v>
      </c>
      <c r="AL899" s="1159" t="n">
        <f aca="false">IF(AND(дома!$AA$29&gt;=AJ899,дома!$AA$29&lt;=AI899),связи1!AG899,0)</f>
        <v>0</v>
      </c>
    </row>
    <row r="900" customFormat="false" ht="15" hidden="false" customHeight="false" outlineLevel="0" collapsed="false">
      <c r="AG900" s="1159" t="n">
        <v>74.9000000000001</v>
      </c>
      <c r="AH900" s="1193" t="n">
        <f aca="false">AG900*3.1415926535897/180</f>
        <v>1.30725160974372</v>
      </c>
      <c r="AI900" s="1193" t="n">
        <f aca="false">AH900+0.0005</f>
        <v>1.30775160974372</v>
      </c>
      <c r="AJ900" s="1193" t="n">
        <f aca="false">AH900-0.0005</f>
        <v>1.30675160974372</v>
      </c>
      <c r="AK900" s="1159" t="n">
        <f aca="false">IF(AND(дома!$Z$29&gt;=AJ900,дома!$Z$29&lt;=AI900),связи1!AG900,0)</f>
        <v>0</v>
      </c>
      <c r="AL900" s="1159" t="n">
        <f aca="false">IF(AND(дома!$AA$29&gt;=AJ900,дома!$AA$29&lt;=AI900),связи1!AG900,0)</f>
        <v>0</v>
      </c>
    </row>
    <row r="901" customFormat="false" ht="15" hidden="false" customHeight="false" outlineLevel="0" collapsed="false">
      <c r="AG901" s="1159" t="n">
        <v>75.0000000000001</v>
      </c>
      <c r="AH901" s="1193" t="n">
        <f aca="false">AG901*3.1415926535897/180</f>
        <v>1.30899693899571</v>
      </c>
      <c r="AI901" s="1193" t="n">
        <f aca="false">AH901+0.0005</f>
        <v>1.30949693899571</v>
      </c>
      <c r="AJ901" s="1193" t="n">
        <f aca="false">AH901-0.0005</f>
        <v>1.30849693899571</v>
      </c>
      <c r="AK901" s="1159" t="n">
        <f aca="false">IF(AND(дома!$Z$29&gt;=AJ901,дома!$Z$29&lt;=AI901),связи1!AG901,0)</f>
        <v>0</v>
      </c>
      <c r="AL901" s="1159" t="n">
        <f aca="false">IF(AND(дома!$AA$29&gt;=AJ901,дома!$AA$29&lt;=AI901),связи1!AG901,0)</f>
        <v>0</v>
      </c>
    </row>
    <row r="902" customFormat="false" ht="15" hidden="false" customHeight="false" outlineLevel="0" collapsed="false">
      <c r="AG902" s="1159" t="n">
        <v>75.1000000000001</v>
      </c>
      <c r="AH902" s="1193" t="n">
        <f aca="false">AG902*3.1415926535897/180</f>
        <v>1.3107422682477</v>
      </c>
      <c r="AI902" s="1193" t="n">
        <f aca="false">AH902+0.0005</f>
        <v>1.3112422682477</v>
      </c>
      <c r="AJ902" s="1193" t="n">
        <f aca="false">AH902-0.0005</f>
        <v>1.3102422682477</v>
      </c>
      <c r="AK902" s="1159" t="n">
        <f aca="false">IF(AND(дома!$Z$29&gt;=AJ902,дома!$Z$29&lt;=AI902),связи1!AG902,0)</f>
        <v>0</v>
      </c>
      <c r="AL902" s="1159" t="n">
        <f aca="false">IF(AND(дома!$AA$29&gt;=AJ902,дома!$AA$29&lt;=AI902),связи1!AG902,0)</f>
        <v>0</v>
      </c>
    </row>
    <row r="903" customFormat="false" ht="15" hidden="false" customHeight="false" outlineLevel="0" collapsed="false">
      <c r="AG903" s="1159" t="n">
        <v>75.2000000000001</v>
      </c>
      <c r="AH903" s="1193" t="n">
        <f aca="false">AG903*3.1415926535897/180</f>
        <v>1.3124875974997</v>
      </c>
      <c r="AI903" s="1193" t="n">
        <f aca="false">AH903+0.0005</f>
        <v>1.3129875974997</v>
      </c>
      <c r="AJ903" s="1193" t="n">
        <f aca="false">AH903-0.0005</f>
        <v>1.3119875974997</v>
      </c>
      <c r="AK903" s="1159" t="n">
        <f aca="false">IF(AND(дома!$Z$29&gt;=AJ903,дома!$Z$29&lt;=AI903),связи1!AG903,0)</f>
        <v>0</v>
      </c>
      <c r="AL903" s="1159" t="n">
        <f aca="false">IF(AND(дома!$AA$29&gt;=AJ903,дома!$AA$29&lt;=AI903),связи1!AG903,0)</f>
        <v>0</v>
      </c>
    </row>
    <row r="904" customFormat="false" ht="15" hidden="false" customHeight="false" outlineLevel="0" collapsed="false">
      <c r="AG904" s="1159" t="n">
        <v>75.3000000000001</v>
      </c>
      <c r="AH904" s="1193" t="n">
        <f aca="false">AG904*3.1415926535897/180</f>
        <v>1.31423292675169</v>
      </c>
      <c r="AI904" s="1193" t="n">
        <f aca="false">AH904+0.0005</f>
        <v>1.31473292675169</v>
      </c>
      <c r="AJ904" s="1193" t="n">
        <f aca="false">AH904-0.0005</f>
        <v>1.31373292675169</v>
      </c>
      <c r="AK904" s="1159" t="n">
        <f aca="false">IF(AND(дома!$Z$29&gt;=AJ904,дома!$Z$29&lt;=AI904),связи1!AG904,0)</f>
        <v>0</v>
      </c>
      <c r="AL904" s="1159" t="n">
        <f aca="false">IF(AND(дома!$AA$29&gt;=AJ904,дома!$AA$29&lt;=AI904),связи1!AG904,0)</f>
        <v>0</v>
      </c>
    </row>
    <row r="905" customFormat="false" ht="15" hidden="false" customHeight="false" outlineLevel="0" collapsed="false">
      <c r="AG905" s="1159" t="n">
        <v>75.4000000000001</v>
      </c>
      <c r="AH905" s="1193" t="n">
        <f aca="false">AG905*3.1415926535897/180</f>
        <v>1.31597825600369</v>
      </c>
      <c r="AI905" s="1193" t="n">
        <f aca="false">AH905+0.0005</f>
        <v>1.31647825600369</v>
      </c>
      <c r="AJ905" s="1193" t="n">
        <f aca="false">AH905-0.0005</f>
        <v>1.31547825600369</v>
      </c>
      <c r="AK905" s="1159" t="n">
        <f aca="false">IF(AND(дома!$Z$29&gt;=AJ905,дома!$Z$29&lt;=AI905),связи1!AG905,0)</f>
        <v>0</v>
      </c>
      <c r="AL905" s="1159" t="n">
        <f aca="false">IF(AND(дома!$AA$29&gt;=AJ905,дома!$AA$29&lt;=AI905),связи1!AG905,0)</f>
        <v>0</v>
      </c>
    </row>
    <row r="906" customFormat="false" ht="15" hidden="false" customHeight="false" outlineLevel="0" collapsed="false">
      <c r="AG906" s="1159" t="n">
        <v>75.5000000000001</v>
      </c>
      <c r="AH906" s="1193" t="n">
        <f aca="false">AG906*3.1415926535897/180</f>
        <v>1.31772358525568</v>
      </c>
      <c r="AI906" s="1193" t="n">
        <f aca="false">AH906+0.0005</f>
        <v>1.31822358525568</v>
      </c>
      <c r="AJ906" s="1193" t="n">
        <f aca="false">AH906-0.0005</f>
        <v>1.31722358525568</v>
      </c>
      <c r="AK906" s="1159" t="n">
        <f aca="false">IF(AND(дома!$Z$29&gt;=AJ906,дома!$Z$29&lt;=AI906),связи1!AG906,0)</f>
        <v>0</v>
      </c>
      <c r="AL906" s="1159" t="n">
        <f aca="false">IF(AND(дома!$AA$29&gt;=AJ906,дома!$AA$29&lt;=AI906),связи1!AG906,0)</f>
        <v>0</v>
      </c>
    </row>
    <row r="907" customFormat="false" ht="15" hidden="false" customHeight="false" outlineLevel="0" collapsed="false">
      <c r="AG907" s="1159" t="n">
        <v>75.6000000000001</v>
      </c>
      <c r="AH907" s="1193" t="n">
        <f aca="false">AG907*3.1415926535897/180</f>
        <v>1.31946891450768</v>
      </c>
      <c r="AI907" s="1193" t="n">
        <f aca="false">AH907+0.0005</f>
        <v>1.31996891450768</v>
      </c>
      <c r="AJ907" s="1193" t="n">
        <f aca="false">AH907-0.0005</f>
        <v>1.31896891450768</v>
      </c>
      <c r="AK907" s="1159" t="n">
        <f aca="false">IF(AND(дома!$Z$29&gt;=AJ907,дома!$Z$29&lt;=AI907),связи1!AG907,0)</f>
        <v>0</v>
      </c>
      <c r="AL907" s="1159" t="n">
        <f aca="false">IF(AND(дома!$AA$29&gt;=AJ907,дома!$AA$29&lt;=AI907),связи1!AG907,0)</f>
        <v>0</v>
      </c>
    </row>
    <row r="908" customFormat="false" ht="15" hidden="false" customHeight="false" outlineLevel="0" collapsed="false">
      <c r="AG908" s="1159" t="n">
        <v>75.7000000000001</v>
      </c>
      <c r="AH908" s="1193" t="n">
        <f aca="false">AG908*3.1415926535897/180</f>
        <v>1.32121424375967</v>
      </c>
      <c r="AI908" s="1193" t="n">
        <f aca="false">AH908+0.0005</f>
        <v>1.32171424375967</v>
      </c>
      <c r="AJ908" s="1193" t="n">
        <f aca="false">AH908-0.0005</f>
        <v>1.32071424375967</v>
      </c>
      <c r="AK908" s="1159" t="n">
        <f aca="false">IF(AND(дома!$Z$29&gt;=AJ908,дома!$Z$29&lt;=AI908),связи1!AG908,0)</f>
        <v>0</v>
      </c>
      <c r="AL908" s="1159" t="n">
        <f aca="false">IF(AND(дома!$AA$29&gt;=AJ908,дома!$AA$29&lt;=AI908),связи1!AG908,0)</f>
        <v>0</v>
      </c>
    </row>
    <row r="909" customFormat="false" ht="15" hidden="false" customHeight="false" outlineLevel="0" collapsed="false">
      <c r="AG909" s="1159" t="n">
        <v>75.8000000000001</v>
      </c>
      <c r="AH909" s="1193" t="n">
        <f aca="false">AG909*3.1415926535897/180</f>
        <v>1.32295957301166</v>
      </c>
      <c r="AI909" s="1193" t="n">
        <f aca="false">AH909+0.0005</f>
        <v>1.32345957301166</v>
      </c>
      <c r="AJ909" s="1193" t="n">
        <f aca="false">AH909-0.0005</f>
        <v>1.32245957301166</v>
      </c>
      <c r="AK909" s="1159" t="n">
        <f aca="false">IF(AND(дома!$Z$29&gt;=AJ909,дома!$Z$29&lt;=AI909),связи1!AG909,0)</f>
        <v>0</v>
      </c>
      <c r="AL909" s="1159" t="n">
        <f aca="false">IF(AND(дома!$AA$29&gt;=AJ909,дома!$AA$29&lt;=AI909),связи1!AG909,0)</f>
        <v>0</v>
      </c>
    </row>
    <row r="910" customFormat="false" ht="15" hidden="false" customHeight="false" outlineLevel="0" collapsed="false">
      <c r="AG910" s="1159" t="n">
        <v>75.9000000000001</v>
      </c>
      <c r="AH910" s="1193" t="n">
        <f aca="false">AG910*3.1415926535897/180</f>
        <v>1.32470490226366</v>
      </c>
      <c r="AI910" s="1193" t="n">
        <f aca="false">AH910+0.0005</f>
        <v>1.32520490226366</v>
      </c>
      <c r="AJ910" s="1193" t="n">
        <f aca="false">AH910-0.0005</f>
        <v>1.32420490226366</v>
      </c>
      <c r="AK910" s="1159" t="n">
        <f aca="false">IF(AND(дома!$Z$29&gt;=AJ910,дома!$Z$29&lt;=AI910),связи1!AG910,0)</f>
        <v>0</v>
      </c>
      <c r="AL910" s="1159" t="n">
        <f aca="false">IF(AND(дома!$AA$29&gt;=AJ910,дома!$AA$29&lt;=AI910),связи1!AG910,0)</f>
        <v>0</v>
      </c>
    </row>
    <row r="911" customFormat="false" ht="15" hidden="false" customHeight="false" outlineLevel="0" collapsed="false">
      <c r="AG911" s="1159" t="n">
        <v>76.0000000000001</v>
      </c>
      <c r="AH911" s="1193" t="n">
        <f aca="false">AG911*3.1415926535897/180</f>
        <v>1.32645023151565</v>
      </c>
      <c r="AI911" s="1193" t="n">
        <f aca="false">AH911+0.0005</f>
        <v>1.32695023151565</v>
      </c>
      <c r="AJ911" s="1193" t="n">
        <f aca="false">AH911-0.0005</f>
        <v>1.32595023151565</v>
      </c>
      <c r="AK911" s="1159" t="n">
        <f aca="false">IF(AND(дома!$Z$29&gt;=AJ911,дома!$Z$29&lt;=AI911),связи1!AG911,0)</f>
        <v>0</v>
      </c>
      <c r="AL911" s="1159" t="n">
        <f aca="false">IF(AND(дома!$AA$29&gt;=AJ911,дома!$AA$29&lt;=AI911),связи1!AG911,0)</f>
        <v>0</v>
      </c>
    </row>
    <row r="912" customFormat="false" ht="15" hidden="false" customHeight="false" outlineLevel="0" collapsed="false">
      <c r="AG912" s="1159" t="n">
        <v>76.1000000000001</v>
      </c>
      <c r="AH912" s="1193" t="n">
        <f aca="false">AG912*3.1415926535897/180</f>
        <v>1.32819556076765</v>
      </c>
      <c r="AI912" s="1193" t="n">
        <f aca="false">AH912+0.0005</f>
        <v>1.32869556076765</v>
      </c>
      <c r="AJ912" s="1193" t="n">
        <f aca="false">AH912-0.0005</f>
        <v>1.32769556076765</v>
      </c>
      <c r="AK912" s="1159" t="n">
        <f aca="false">IF(AND(дома!$Z$29&gt;=AJ912,дома!$Z$29&lt;=AI912),связи1!AG912,0)</f>
        <v>0</v>
      </c>
      <c r="AL912" s="1159" t="n">
        <f aca="false">IF(AND(дома!$AA$29&gt;=AJ912,дома!$AA$29&lt;=AI912),связи1!AG912,0)</f>
        <v>0</v>
      </c>
    </row>
    <row r="913" customFormat="false" ht="15" hidden="false" customHeight="false" outlineLevel="0" collapsed="false">
      <c r="AG913" s="1159" t="n">
        <v>76.2000000000001</v>
      </c>
      <c r="AH913" s="1193" t="n">
        <f aca="false">AG913*3.1415926535897/180</f>
        <v>1.32994089001964</v>
      </c>
      <c r="AI913" s="1193" t="n">
        <f aca="false">AH913+0.0005</f>
        <v>1.33044089001964</v>
      </c>
      <c r="AJ913" s="1193" t="n">
        <f aca="false">AH913-0.0005</f>
        <v>1.32944089001964</v>
      </c>
      <c r="AK913" s="1159" t="n">
        <f aca="false">IF(AND(дома!$Z$29&gt;=AJ913,дома!$Z$29&lt;=AI913),связи1!AG913,0)</f>
        <v>0</v>
      </c>
      <c r="AL913" s="1159" t="n">
        <f aca="false">IF(AND(дома!$AA$29&gt;=AJ913,дома!$AA$29&lt;=AI913),связи1!AG913,0)</f>
        <v>0</v>
      </c>
    </row>
    <row r="914" customFormat="false" ht="15" hidden="false" customHeight="false" outlineLevel="0" collapsed="false">
      <c r="AG914" s="1159" t="n">
        <v>76.3000000000001</v>
      </c>
      <c r="AH914" s="1193" t="n">
        <f aca="false">AG914*3.1415926535897/180</f>
        <v>1.33168621927164</v>
      </c>
      <c r="AI914" s="1193" t="n">
        <f aca="false">AH914+0.0005</f>
        <v>1.33218621927164</v>
      </c>
      <c r="AJ914" s="1193" t="n">
        <f aca="false">AH914-0.0005</f>
        <v>1.33118621927164</v>
      </c>
      <c r="AK914" s="1159" t="n">
        <f aca="false">IF(AND(дома!$Z$29&gt;=AJ914,дома!$Z$29&lt;=AI914),связи1!AG914,0)</f>
        <v>0</v>
      </c>
      <c r="AL914" s="1159" t="n">
        <f aca="false">IF(AND(дома!$AA$29&gt;=AJ914,дома!$AA$29&lt;=AI914),связи1!AG914,0)</f>
        <v>0</v>
      </c>
    </row>
    <row r="915" customFormat="false" ht="15" hidden="false" customHeight="false" outlineLevel="0" collapsed="false">
      <c r="AG915" s="1159" t="n">
        <v>76.4000000000001</v>
      </c>
      <c r="AH915" s="1193" t="n">
        <f aca="false">AG915*3.1415926535897/180</f>
        <v>1.33343154852363</v>
      </c>
      <c r="AI915" s="1193" t="n">
        <f aca="false">AH915+0.0005</f>
        <v>1.33393154852363</v>
      </c>
      <c r="AJ915" s="1193" t="n">
        <f aca="false">AH915-0.0005</f>
        <v>1.33293154852363</v>
      </c>
      <c r="AK915" s="1159" t="n">
        <f aca="false">IF(AND(дома!$Z$29&gt;=AJ915,дома!$Z$29&lt;=AI915),связи1!AG915,0)</f>
        <v>0</v>
      </c>
      <c r="AL915" s="1159" t="n">
        <f aca="false">IF(AND(дома!$AA$29&gt;=AJ915,дома!$AA$29&lt;=AI915),связи1!AG915,0)</f>
        <v>0</v>
      </c>
    </row>
    <row r="916" customFormat="false" ht="15" hidden="false" customHeight="false" outlineLevel="0" collapsed="false">
      <c r="AG916" s="1159" t="n">
        <v>76.5000000000001</v>
      </c>
      <c r="AH916" s="1193" t="n">
        <f aca="false">AG916*3.1415926535897/180</f>
        <v>1.33517687777562</v>
      </c>
      <c r="AI916" s="1193" t="n">
        <f aca="false">AH916+0.0005</f>
        <v>1.33567687777562</v>
      </c>
      <c r="AJ916" s="1193" t="n">
        <f aca="false">AH916-0.0005</f>
        <v>1.33467687777562</v>
      </c>
      <c r="AK916" s="1159" t="n">
        <f aca="false">IF(AND(дома!$Z$29&gt;=AJ916,дома!$Z$29&lt;=AI916),связи1!AG916,0)</f>
        <v>0</v>
      </c>
      <c r="AL916" s="1159" t="n">
        <f aca="false">IF(AND(дома!$AA$29&gt;=AJ916,дома!$AA$29&lt;=AI916),связи1!AG916,0)</f>
        <v>0</v>
      </c>
    </row>
    <row r="917" customFormat="false" ht="15" hidden="false" customHeight="false" outlineLevel="0" collapsed="false">
      <c r="AG917" s="1159" t="n">
        <v>76.6000000000001</v>
      </c>
      <c r="AH917" s="1193" t="n">
        <f aca="false">AG917*3.1415926535897/180</f>
        <v>1.33692220702762</v>
      </c>
      <c r="AI917" s="1193" t="n">
        <f aca="false">AH917+0.0005</f>
        <v>1.33742220702762</v>
      </c>
      <c r="AJ917" s="1193" t="n">
        <f aca="false">AH917-0.0005</f>
        <v>1.33642220702762</v>
      </c>
      <c r="AK917" s="1159" t="n">
        <f aca="false">IF(AND(дома!$Z$29&gt;=AJ917,дома!$Z$29&lt;=AI917),связи1!AG917,0)</f>
        <v>0</v>
      </c>
      <c r="AL917" s="1159" t="n">
        <f aca="false">IF(AND(дома!$AA$29&gt;=AJ917,дома!$AA$29&lt;=AI917),связи1!AG917,0)</f>
        <v>0</v>
      </c>
    </row>
    <row r="918" customFormat="false" ht="15" hidden="false" customHeight="false" outlineLevel="0" collapsed="false">
      <c r="AG918" s="1159" t="n">
        <v>76.7000000000001</v>
      </c>
      <c r="AH918" s="1193" t="n">
        <f aca="false">AG918*3.1415926535897/180</f>
        <v>1.33866753627961</v>
      </c>
      <c r="AI918" s="1193" t="n">
        <f aca="false">AH918+0.0005</f>
        <v>1.33916753627961</v>
      </c>
      <c r="AJ918" s="1193" t="n">
        <f aca="false">AH918-0.0005</f>
        <v>1.33816753627961</v>
      </c>
      <c r="AK918" s="1159" t="n">
        <f aca="false">IF(AND(дома!$Z$29&gt;=AJ918,дома!$Z$29&lt;=AI918),связи1!AG918,0)</f>
        <v>0</v>
      </c>
      <c r="AL918" s="1159" t="n">
        <f aca="false">IF(AND(дома!$AA$29&gt;=AJ918,дома!$AA$29&lt;=AI918),связи1!AG918,0)</f>
        <v>0</v>
      </c>
    </row>
    <row r="919" customFormat="false" ht="15" hidden="false" customHeight="false" outlineLevel="0" collapsed="false">
      <c r="AG919" s="1159" t="n">
        <v>76.8000000000001</v>
      </c>
      <c r="AH919" s="1193" t="n">
        <f aca="false">AG919*3.1415926535897/180</f>
        <v>1.34041286553161</v>
      </c>
      <c r="AI919" s="1193" t="n">
        <f aca="false">AH919+0.0005</f>
        <v>1.34091286553161</v>
      </c>
      <c r="AJ919" s="1193" t="n">
        <f aca="false">AH919-0.0005</f>
        <v>1.33991286553161</v>
      </c>
      <c r="AK919" s="1159" t="n">
        <f aca="false">IF(AND(дома!$Z$29&gt;=AJ919,дома!$Z$29&lt;=AI919),связи1!AG919,0)</f>
        <v>0</v>
      </c>
      <c r="AL919" s="1159" t="n">
        <f aca="false">IF(AND(дома!$AA$29&gt;=AJ919,дома!$AA$29&lt;=AI919),связи1!AG919,0)</f>
        <v>0</v>
      </c>
    </row>
    <row r="920" customFormat="false" ht="15" hidden="false" customHeight="false" outlineLevel="0" collapsed="false">
      <c r="AG920" s="1159" t="n">
        <v>76.9000000000001</v>
      </c>
      <c r="AH920" s="1193" t="n">
        <f aca="false">AG920*3.1415926535897/180</f>
        <v>1.3421581947836</v>
      </c>
      <c r="AI920" s="1193" t="n">
        <f aca="false">AH920+0.0005</f>
        <v>1.3426581947836</v>
      </c>
      <c r="AJ920" s="1193" t="n">
        <f aca="false">AH920-0.0005</f>
        <v>1.3416581947836</v>
      </c>
      <c r="AK920" s="1159" t="n">
        <f aca="false">IF(AND(дома!$Z$29&gt;=AJ920,дома!$Z$29&lt;=AI920),связи1!AG920,0)</f>
        <v>0</v>
      </c>
      <c r="AL920" s="1159" t="n">
        <f aca="false">IF(AND(дома!$AA$29&gt;=AJ920,дома!$AA$29&lt;=AI920),связи1!AG920,0)</f>
        <v>0</v>
      </c>
    </row>
    <row r="921" customFormat="false" ht="15" hidden="false" customHeight="false" outlineLevel="0" collapsed="false">
      <c r="AG921" s="1159" t="n">
        <v>77.0000000000001</v>
      </c>
      <c r="AH921" s="1193" t="n">
        <f aca="false">AG921*3.1415926535897/180</f>
        <v>1.3439035240356</v>
      </c>
      <c r="AI921" s="1193" t="n">
        <f aca="false">AH921+0.0005</f>
        <v>1.3444035240356</v>
      </c>
      <c r="AJ921" s="1193" t="n">
        <f aca="false">AH921-0.0005</f>
        <v>1.3434035240356</v>
      </c>
      <c r="AK921" s="1159" t="n">
        <f aca="false">IF(AND(дома!$Z$29&gt;=AJ921,дома!$Z$29&lt;=AI921),связи1!AG921,0)</f>
        <v>0</v>
      </c>
      <c r="AL921" s="1159" t="n">
        <f aca="false">IF(AND(дома!$AA$29&gt;=AJ921,дома!$AA$29&lt;=AI921),связи1!AG921,0)</f>
        <v>0</v>
      </c>
    </row>
    <row r="922" customFormat="false" ht="15" hidden="false" customHeight="false" outlineLevel="0" collapsed="false">
      <c r="AG922" s="1159" t="n">
        <v>77.1000000000001</v>
      </c>
      <c r="AH922" s="1193" t="n">
        <f aca="false">AG922*3.1415926535897/180</f>
        <v>1.34564885328759</v>
      </c>
      <c r="AI922" s="1193" t="n">
        <f aca="false">AH922+0.0005</f>
        <v>1.34614885328759</v>
      </c>
      <c r="AJ922" s="1193" t="n">
        <f aca="false">AH922-0.0005</f>
        <v>1.34514885328759</v>
      </c>
      <c r="AK922" s="1159" t="n">
        <f aca="false">IF(AND(дома!$Z$29&gt;=AJ922,дома!$Z$29&lt;=AI922),связи1!AG922,0)</f>
        <v>0</v>
      </c>
      <c r="AL922" s="1159" t="n">
        <f aca="false">IF(AND(дома!$AA$29&gt;=AJ922,дома!$AA$29&lt;=AI922),связи1!AG922,0)</f>
        <v>0</v>
      </c>
    </row>
    <row r="923" customFormat="false" ht="15" hidden="false" customHeight="false" outlineLevel="0" collapsed="false">
      <c r="AG923" s="1159" t="n">
        <v>77.2000000000001</v>
      </c>
      <c r="AH923" s="1193" t="n">
        <f aca="false">AG923*3.1415926535897/180</f>
        <v>1.34739418253958</v>
      </c>
      <c r="AI923" s="1193" t="n">
        <f aca="false">AH923+0.0005</f>
        <v>1.34789418253958</v>
      </c>
      <c r="AJ923" s="1193" t="n">
        <f aca="false">AH923-0.0005</f>
        <v>1.34689418253958</v>
      </c>
      <c r="AK923" s="1159" t="n">
        <f aca="false">IF(AND(дома!$Z$29&gt;=AJ923,дома!$Z$29&lt;=AI923),связи1!AG923,0)</f>
        <v>0</v>
      </c>
      <c r="AL923" s="1159" t="n">
        <f aca="false">IF(AND(дома!$AA$29&gt;=AJ923,дома!$AA$29&lt;=AI923),связи1!AG923,0)</f>
        <v>0</v>
      </c>
    </row>
    <row r="924" customFormat="false" ht="15" hidden="false" customHeight="false" outlineLevel="0" collapsed="false">
      <c r="AG924" s="1159" t="n">
        <v>77.3000000000001</v>
      </c>
      <c r="AH924" s="1193" t="n">
        <f aca="false">AG924*3.1415926535897/180</f>
        <v>1.34913951179158</v>
      </c>
      <c r="AI924" s="1193" t="n">
        <f aca="false">AH924+0.0005</f>
        <v>1.34963951179158</v>
      </c>
      <c r="AJ924" s="1193" t="n">
        <f aca="false">AH924-0.0005</f>
        <v>1.34863951179158</v>
      </c>
      <c r="AK924" s="1159" t="n">
        <f aca="false">IF(AND(дома!$Z$29&gt;=AJ924,дома!$Z$29&lt;=AI924),связи1!AG924,0)</f>
        <v>0</v>
      </c>
      <c r="AL924" s="1159" t="n">
        <f aca="false">IF(AND(дома!$AA$29&gt;=AJ924,дома!$AA$29&lt;=AI924),связи1!AG924,0)</f>
        <v>0</v>
      </c>
    </row>
    <row r="925" customFormat="false" ht="15" hidden="false" customHeight="false" outlineLevel="0" collapsed="false">
      <c r="AG925" s="1159" t="n">
        <v>77.4000000000001</v>
      </c>
      <c r="AH925" s="1193" t="n">
        <f aca="false">AG925*3.1415926535897/180</f>
        <v>1.35088484104357</v>
      </c>
      <c r="AI925" s="1193" t="n">
        <f aca="false">AH925+0.0005</f>
        <v>1.35138484104357</v>
      </c>
      <c r="AJ925" s="1193" t="n">
        <f aca="false">AH925-0.0005</f>
        <v>1.35038484104357</v>
      </c>
      <c r="AK925" s="1159" t="n">
        <f aca="false">IF(AND(дома!$Z$29&gt;=AJ925,дома!$Z$29&lt;=AI925),связи1!AG925,0)</f>
        <v>0</v>
      </c>
      <c r="AL925" s="1159" t="n">
        <f aca="false">IF(AND(дома!$AA$29&gt;=AJ925,дома!$AA$29&lt;=AI925),связи1!AG925,0)</f>
        <v>0</v>
      </c>
    </row>
    <row r="926" customFormat="false" ht="15" hidden="false" customHeight="false" outlineLevel="0" collapsed="false">
      <c r="AG926" s="1159" t="n">
        <v>77.5000000000001</v>
      </c>
      <c r="AH926" s="1193" t="n">
        <f aca="false">AG926*3.1415926535897/180</f>
        <v>1.35263017029557</v>
      </c>
      <c r="AI926" s="1193" t="n">
        <f aca="false">AH926+0.0005</f>
        <v>1.35313017029557</v>
      </c>
      <c r="AJ926" s="1193" t="n">
        <f aca="false">AH926-0.0005</f>
        <v>1.35213017029557</v>
      </c>
      <c r="AK926" s="1159" t="n">
        <f aca="false">IF(AND(дома!$Z$29&gt;=AJ926,дома!$Z$29&lt;=AI926),связи1!AG926,0)</f>
        <v>0</v>
      </c>
      <c r="AL926" s="1159" t="n">
        <f aca="false">IF(AND(дома!$AA$29&gt;=AJ926,дома!$AA$29&lt;=AI926),связи1!AG926,0)</f>
        <v>0</v>
      </c>
    </row>
    <row r="927" customFormat="false" ht="15" hidden="false" customHeight="false" outlineLevel="0" collapsed="false">
      <c r="AG927" s="1159" t="n">
        <v>77.6000000000001</v>
      </c>
      <c r="AH927" s="1193" t="n">
        <f aca="false">AG927*3.1415926535897/180</f>
        <v>1.35437549954756</v>
      </c>
      <c r="AI927" s="1193" t="n">
        <f aca="false">AH927+0.0005</f>
        <v>1.35487549954756</v>
      </c>
      <c r="AJ927" s="1193" t="n">
        <f aca="false">AH927-0.0005</f>
        <v>1.35387549954756</v>
      </c>
      <c r="AK927" s="1159" t="n">
        <f aca="false">IF(AND(дома!$Z$29&gt;=AJ927,дома!$Z$29&lt;=AI927),связи1!AG927,0)</f>
        <v>0</v>
      </c>
      <c r="AL927" s="1159" t="n">
        <f aca="false">IF(AND(дома!$AA$29&gt;=AJ927,дома!$AA$29&lt;=AI927),связи1!AG927,0)</f>
        <v>0</v>
      </c>
    </row>
    <row r="928" customFormat="false" ht="15" hidden="false" customHeight="false" outlineLevel="0" collapsed="false">
      <c r="AG928" s="1159" t="n">
        <v>77.7000000000001</v>
      </c>
      <c r="AH928" s="1193" t="n">
        <f aca="false">AG928*3.1415926535897/180</f>
        <v>1.35612082879956</v>
      </c>
      <c r="AI928" s="1193" t="n">
        <f aca="false">AH928+0.0005</f>
        <v>1.35662082879956</v>
      </c>
      <c r="AJ928" s="1193" t="n">
        <f aca="false">AH928-0.0005</f>
        <v>1.35562082879956</v>
      </c>
      <c r="AK928" s="1159" t="n">
        <f aca="false">IF(AND(дома!$Z$29&gt;=AJ928,дома!$Z$29&lt;=AI928),связи1!AG928,0)</f>
        <v>0</v>
      </c>
      <c r="AL928" s="1159" t="n">
        <f aca="false">IF(AND(дома!$AA$29&gt;=AJ928,дома!$AA$29&lt;=AI928),связи1!AG928,0)</f>
        <v>0</v>
      </c>
    </row>
    <row r="929" customFormat="false" ht="15" hidden="false" customHeight="false" outlineLevel="0" collapsed="false">
      <c r="AG929" s="1159" t="n">
        <v>77.8000000000001</v>
      </c>
      <c r="AH929" s="1193" t="n">
        <f aca="false">AG929*3.1415926535897/180</f>
        <v>1.35786615805155</v>
      </c>
      <c r="AI929" s="1193" t="n">
        <f aca="false">AH929+0.0005</f>
        <v>1.35836615805155</v>
      </c>
      <c r="AJ929" s="1193" t="n">
        <f aca="false">AH929-0.0005</f>
        <v>1.35736615805155</v>
      </c>
      <c r="AK929" s="1159" t="n">
        <f aca="false">IF(AND(дома!$Z$29&gt;=AJ929,дома!$Z$29&lt;=AI929),связи1!AG929,0)</f>
        <v>0</v>
      </c>
      <c r="AL929" s="1159" t="n">
        <f aca="false">IF(AND(дома!$AA$29&gt;=AJ929,дома!$AA$29&lt;=AI929),связи1!AG929,0)</f>
        <v>0</v>
      </c>
    </row>
    <row r="930" customFormat="false" ht="15" hidden="false" customHeight="false" outlineLevel="0" collapsed="false">
      <c r="AG930" s="1159" t="n">
        <v>77.9000000000001</v>
      </c>
      <c r="AH930" s="1193" t="n">
        <f aca="false">AG930*3.1415926535897/180</f>
        <v>1.35961148730354</v>
      </c>
      <c r="AI930" s="1193" t="n">
        <f aca="false">AH930+0.0005</f>
        <v>1.36011148730354</v>
      </c>
      <c r="AJ930" s="1193" t="n">
        <f aca="false">AH930-0.0005</f>
        <v>1.35911148730354</v>
      </c>
      <c r="AK930" s="1159" t="n">
        <f aca="false">IF(AND(дома!$Z$29&gt;=AJ930,дома!$Z$29&lt;=AI930),связи1!AG930,0)</f>
        <v>0</v>
      </c>
      <c r="AL930" s="1159" t="n">
        <f aca="false">IF(AND(дома!$AA$29&gt;=AJ930,дома!$AA$29&lt;=AI930),связи1!AG930,0)</f>
        <v>0</v>
      </c>
    </row>
    <row r="931" customFormat="false" ht="15" hidden="false" customHeight="false" outlineLevel="0" collapsed="false">
      <c r="AG931" s="1159" t="n">
        <v>78.0000000000001</v>
      </c>
      <c r="AH931" s="1193" t="n">
        <f aca="false">AG931*3.1415926535897/180</f>
        <v>1.36135681655554</v>
      </c>
      <c r="AI931" s="1193" t="n">
        <f aca="false">AH931+0.0005</f>
        <v>1.36185681655554</v>
      </c>
      <c r="AJ931" s="1193" t="n">
        <f aca="false">AH931-0.0005</f>
        <v>1.36085681655554</v>
      </c>
      <c r="AK931" s="1159" t="n">
        <f aca="false">IF(AND(дома!$Z$29&gt;=AJ931,дома!$Z$29&lt;=AI931),связи1!AG931,0)</f>
        <v>0</v>
      </c>
      <c r="AL931" s="1159" t="n">
        <f aca="false">IF(AND(дома!$AA$29&gt;=AJ931,дома!$AA$29&lt;=AI931),связи1!AG931,0)</f>
        <v>0</v>
      </c>
    </row>
    <row r="932" customFormat="false" ht="15" hidden="false" customHeight="false" outlineLevel="0" collapsed="false">
      <c r="AG932" s="1159" t="n">
        <v>78.1000000000001</v>
      </c>
      <c r="AH932" s="1193" t="n">
        <f aca="false">AG932*3.1415926535897/180</f>
        <v>1.36310214580753</v>
      </c>
      <c r="AI932" s="1193" t="n">
        <f aca="false">AH932+0.0005</f>
        <v>1.36360214580753</v>
      </c>
      <c r="AJ932" s="1193" t="n">
        <f aca="false">AH932-0.0005</f>
        <v>1.36260214580753</v>
      </c>
      <c r="AK932" s="1159" t="n">
        <f aca="false">IF(AND(дома!$Z$29&gt;=AJ932,дома!$Z$29&lt;=AI932),связи1!AG932,0)</f>
        <v>0</v>
      </c>
      <c r="AL932" s="1159" t="n">
        <f aca="false">IF(AND(дома!$AA$29&gt;=AJ932,дома!$AA$29&lt;=AI932),связи1!AG932,0)</f>
        <v>0</v>
      </c>
    </row>
    <row r="933" customFormat="false" ht="15" hidden="false" customHeight="false" outlineLevel="0" collapsed="false">
      <c r="AG933" s="1159" t="n">
        <v>78.2000000000001</v>
      </c>
      <c r="AH933" s="1193" t="n">
        <f aca="false">AG933*3.1415926535897/180</f>
        <v>1.36484747505953</v>
      </c>
      <c r="AI933" s="1193" t="n">
        <f aca="false">AH933+0.0005</f>
        <v>1.36534747505953</v>
      </c>
      <c r="AJ933" s="1193" t="n">
        <f aca="false">AH933-0.0005</f>
        <v>1.36434747505953</v>
      </c>
      <c r="AK933" s="1159" t="n">
        <f aca="false">IF(AND(дома!$Z$29&gt;=AJ933,дома!$Z$29&lt;=AI933),связи1!AG933,0)</f>
        <v>0</v>
      </c>
      <c r="AL933" s="1159" t="n">
        <f aca="false">IF(AND(дома!$AA$29&gt;=AJ933,дома!$AA$29&lt;=AI933),связи1!AG933,0)</f>
        <v>0</v>
      </c>
    </row>
    <row r="934" customFormat="false" ht="15" hidden="false" customHeight="false" outlineLevel="0" collapsed="false">
      <c r="AG934" s="1159" t="n">
        <v>78.3000000000001</v>
      </c>
      <c r="AH934" s="1193" t="n">
        <f aca="false">AG934*3.1415926535897/180</f>
        <v>1.36659280431152</v>
      </c>
      <c r="AI934" s="1193" t="n">
        <f aca="false">AH934+0.0005</f>
        <v>1.36709280431152</v>
      </c>
      <c r="AJ934" s="1193" t="n">
        <f aca="false">AH934-0.0005</f>
        <v>1.36609280431152</v>
      </c>
      <c r="AK934" s="1159" t="n">
        <f aca="false">IF(AND(дома!$Z$29&gt;=AJ934,дома!$Z$29&lt;=AI934),связи1!AG934,0)</f>
        <v>0</v>
      </c>
      <c r="AL934" s="1159" t="n">
        <f aca="false">IF(AND(дома!$AA$29&gt;=AJ934,дома!$AA$29&lt;=AI934),связи1!AG934,0)</f>
        <v>0</v>
      </c>
    </row>
    <row r="935" customFormat="false" ht="15" hidden="false" customHeight="false" outlineLevel="0" collapsed="false">
      <c r="AG935" s="1159" t="n">
        <v>78.4000000000001</v>
      </c>
      <c r="AH935" s="1193" t="n">
        <f aca="false">AG935*3.1415926535897/180</f>
        <v>1.36833813356352</v>
      </c>
      <c r="AI935" s="1193" t="n">
        <f aca="false">AH935+0.0005</f>
        <v>1.36883813356352</v>
      </c>
      <c r="AJ935" s="1193" t="n">
        <f aca="false">AH935-0.0005</f>
        <v>1.36783813356352</v>
      </c>
      <c r="AK935" s="1159" t="n">
        <f aca="false">IF(AND(дома!$Z$29&gt;=AJ935,дома!$Z$29&lt;=AI935),связи1!AG935,0)</f>
        <v>0</v>
      </c>
      <c r="AL935" s="1159" t="n">
        <f aca="false">IF(AND(дома!$AA$29&gt;=AJ935,дома!$AA$29&lt;=AI935),связи1!AG935,0)</f>
        <v>0</v>
      </c>
    </row>
    <row r="936" customFormat="false" ht="15" hidden="false" customHeight="false" outlineLevel="0" collapsed="false">
      <c r="AG936" s="1159" t="n">
        <v>78.5000000000001</v>
      </c>
      <c r="AH936" s="1193" t="n">
        <f aca="false">AG936*3.1415926535897/180</f>
        <v>1.37008346281551</v>
      </c>
      <c r="AI936" s="1193" t="n">
        <f aca="false">AH936+0.0005</f>
        <v>1.37058346281551</v>
      </c>
      <c r="AJ936" s="1193" t="n">
        <f aca="false">AH936-0.0005</f>
        <v>1.36958346281551</v>
      </c>
      <c r="AK936" s="1159" t="n">
        <f aca="false">IF(AND(дома!$Z$29&gt;=AJ936,дома!$Z$29&lt;=AI936),связи1!AG936,0)</f>
        <v>0</v>
      </c>
      <c r="AL936" s="1159" t="n">
        <f aca="false">IF(AND(дома!$AA$29&gt;=AJ936,дома!$AA$29&lt;=AI936),связи1!AG936,0)</f>
        <v>0</v>
      </c>
    </row>
    <row r="937" customFormat="false" ht="15" hidden="false" customHeight="false" outlineLevel="0" collapsed="false">
      <c r="AG937" s="1159" t="n">
        <v>78.6000000000001</v>
      </c>
      <c r="AH937" s="1193" t="n">
        <f aca="false">AG937*3.1415926535897/180</f>
        <v>1.3718287920675</v>
      </c>
      <c r="AI937" s="1193" t="n">
        <f aca="false">AH937+0.0005</f>
        <v>1.3723287920675</v>
      </c>
      <c r="AJ937" s="1193" t="n">
        <f aca="false">AH937-0.0005</f>
        <v>1.3713287920675</v>
      </c>
      <c r="AK937" s="1159" t="n">
        <f aca="false">IF(AND(дома!$Z$29&gt;=AJ937,дома!$Z$29&lt;=AI937),связи1!AG937,0)</f>
        <v>0</v>
      </c>
      <c r="AL937" s="1159" t="n">
        <f aca="false">IF(AND(дома!$AA$29&gt;=AJ937,дома!$AA$29&lt;=AI937),связи1!AG937,0)</f>
        <v>0</v>
      </c>
    </row>
    <row r="938" customFormat="false" ht="15" hidden="false" customHeight="false" outlineLevel="0" collapsed="false">
      <c r="AG938" s="1159" t="n">
        <v>78.7000000000001</v>
      </c>
      <c r="AH938" s="1193" t="n">
        <f aca="false">AG938*3.1415926535897/180</f>
        <v>1.3735741213195</v>
      </c>
      <c r="AI938" s="1193" t="n">
        <f aca="false">AH938+0.0005</f>
        <v>1.3740741213195</v>
      </c>
      <c r="AJ938" s="1193" t="n">
        <f aca="false">AH938-0.0005</f>
        <v>1.3730741213195</v>
      </c>
      <c r="AK938" s="1159" t="n">
        <f aca="false">IF(AND(дома!$Z$29&gt;=AJ938,дома!$Z$29&lt;=AI938),связи1!AG938,0)</f>
        <v>0</v>
      </c>
      <c r="AL938" s="1159" t="n">
        <f aca="false">IF(AND(дома!$AA$29&gt;=AJ938,дома!$AA$29&lt;=AI938),связи1!AG938,0)</f>
        <v>0</v>
      </c>
    </row>
    <row r="939" customFormat="false" ht="15" hidden="false" customHeight="false" outlineLevel="0" collapsed="false">
      <c r="AG939" s="1159" t="n">
        <v>78.8000000000001</v>
      </c>
      <c r="AH939" s="1193" t="n">
        <f aca="false">AG939*3.1415926535897/180</f>
        <v>1.37531945057149</v>
      </c>
      <c r="AI939" s="1193" t="n">
        <f aca="false">AH939+0.0005</f>
        <v>1.37581945057149</v>
      </c>
      <c r="AJ939" s="1193" t="n">
        <f aca="false">AH939-0.0005</f>
        <v>1.37481945057149</v>
      </c>
      <c r="AK939" s="1159" t="n">
        <f aca="false">IF(AND(дома!$Z$29&gt;=AJ939,дома!$Z$29&lt;=AI939),связи1!AG939,0)</f>
        <v>0</v>
      </c>
      <c r="AL939" s="1159" t="n">
        <f aca="false">IF(AND(дома!$AA$29&gt;=AJ939,дома!$AA$29&lt;=AI939),связи1!AG939,0)</f>
        <v>0</v>
      </c>
    </row>
    <row r="940" customFormat="false" ht="15" hidden="false" customHeight="false" outlineLevel="0" collapsed="false">
      <c r="AG940" s="1159" t="n">
        <v>78.9000000000001</v>
      </c>
      <c r="AH940" s="1193" t="n">
        <f aca="false">AG940*3.1415926535897/180</f>
        <v>1.37706477982349</v>
      </c>
      <c r="AI940" s="1193" t="n">
        <f aca="false">AH940+0.0005</f>
        <v>1.37756477982349</v>
      </c>
      <c r="AJ940" s="1193" t="n">
        <f aca="false">AH940-0.0005</f>
        <v>1.37656477982349</v>
      </c>
      <c r="AK940" s="1159" t="n">
        <f aca="false">IF(AND(дома!$Z$29&gt;=AJ940,дома!$Z$29&lt;=AI940),связи1!AG940,0)</f>
        <v>0</v>
      </c>
      <c r="AL940" s="1159" t="n">
        <f aca="false">IF(AND(дома!$AA$29&gt;=AJ940,дома!$AA$29&lt;=AI940),связи1!AG940,0)</f>
        <v>0</v>
      </c>
    </row>
    <row r="941" customFormat="false" ht="15" hidden="false" customHeight="false" outlineLevel="0" collapsed="false">
      <c r="AG941" s="1159" t="n">
        <v>79.0000000000001</v>
      </c>
      <c r="AH941" s="1193" t="n">
        <f aca="false">AG941*3.1415926535897/180</f>
        <v>1.37881010907548</v>
      </c>
      <c r="AI941" s="1193" t="n">
        <f aca="false">AH941+0.0005</f>
        <v>1.37931010907548</v>
      </c>
      <c r="AJ941" s="1193" t="n">
        <f aca="false">AH941-0.0005</f>
        <v>1.37831010907548</v>
      </c>
      <c r="AK941" s="1159" t="n">
        <f aca="false">IF(AND(дома!$Z$29&gt;=AJ941,дома!$Z$29&lt;=AI941),связи1!AG941,0)</f>
        <v>0</v>
      </c>
      <c r="AL941" s="1159" t="n">
        <f aca="false">IF(AND(дома!$AA$29&gt;=AJ941,дома!$AA$29&lt;=AI941),связи1!AG941,0)</f>
        <v>0</v>
      </c>
    </row>
    <row r="942" customFormat="false" ht="15" hidden="false" customHeight="false" outlineLevel="0" collapsed="false">
      <c r="AG942" s="1159" t="n">
        <v>79.1000000000001</v>
      </c>
      <c r="AH942" s="1193" t="n">
        <f aca="false">AG942*3.1415926535897/180</f>
        <v>1.38055543832748</v>
      </c>
      <c r="AI942" s="1193" t="n">
        <f aca="false">AH942+0.0005</f>
        <v>1.38105543832748</v>
      </c>
      <c r="AJ942" s="1193" t="n">
        <f aca="false">AH942-0.0005</f>
        <v>1.38005543832748</v>
      </c>
      <c r="AK942" s="1159" t="n">
        <f aca="false">IF(AND(дома!$Z$29&gt;=AJ942,дома!$Z$29&lt;=AI942),связи1!AG942,0)</f>
        <v>0</v>
      </c>
      <c r="AL942" s="1159" t="n">
        <f aca="false">IF(AND(дома!$AA$29&gt;=AJ942,дома!$AA$29&lt;=AI942),связи1!AG942,0)</f>
        <v>0</v>
      </c>
    </row>
    <row r="943" customFormat="false" ht="15" hidden="false" customHeight="false" outlineLevel="0" collapsed="false">
      <c r="AG943" s="1159" t="n">
        <v>79.2000000000001</v>
      </c>
      <c r="AH943" s="1193" t="n">
        <f aca="false">AG943*3.1415926535897/180</f>
        <v>1.38230076757947</v>
      </c>
      <c r="AI943" s="1193" t="n">
        <f aca="false">AH943+0.0005</f>
        <v>1.38280076757947</v>
      </c>
      <c r="AJ943" s="1193" t="n">
        <f aca="false">AH943-0.0005</f>
        <v>1.38180076757947</v>
      </c>
      <c r="AK943" s="1159" t="n">
        <f aca="false">IF(AND(дома!$Z$29&gt;=AJ943,дома!$Z$29&lt;=AI943),связи1!AG943,0)</f>
        <v>0</v>
      </c>
      <c r="AL943" s="1159" t="n">
        <f aca="false">IF(AND(дома!$AA$29&gt;=AJ943,дома!$AA$29&lt;=AI943),связи1!AG943,0)</f>
        <v>0</v>
      </c>
    </row>
    <row r="944" customFormat="false" ht="15" hidden="false" customHeight="false" outlineLevel="0" collapsed="false">
      <c r="AG944" s="1159" t="n">
        <v>79.3000000000001</v>
      </c>
      <c r="AH944" s="1193" t="n">
        <f aca="false">AG944*3.1415926535897/180</f>
        <v>1.38404609683146</v>
      </c>
      <c r="AI944" s="1193" t="n">
        <f aca="false">AH944+0.0005</f>
        <v>1.38454609683146</v>
      </c>
      <c r="AJ944" s="1193" t="n">
        <f aca="false">AH944-0.0005</f>
        <v>1.38354609683146</v>
      </c>
      <c r="AK944" s="1159" t="n">
        <f aca="false">IF(AND(дома!$Z$29&gt;=AJ944,дома!$Z$29&lt;=AI944),связи1!AG944,0)</f>
        <v>0</v>
      </c>
      <c r="AL944" s="1159" t="n">
        <f aca="false">IF(AND(дома!$AA$29&gt;=AJ944,дома!$AA$29&lt;=AI944),связи1!AG944,0)</f>
        <v>0</v>
      </c>
    </row>
    <row r="945" customFormat="false" ht="15" hidden="false" customHeight="false" outlineLevel="0" collapsed="false">
      <c r="AG945" s="1159" t="n">
        <v>79.4000000000001</v>
      </c>
      <c r="AH945" s="1193" t="n">
        <f aca="false">AG945*3.1415926535897/180</f>
        <v>1.38579142608346</v>
      </c>
      <c r="AI945" s="1193" t="n">
        <f aca="false">AH945+0.0005</f>
        <v>1.38629142608346</v>
      </c>
      <c r="AJ945" s="1193" t="n">
        <f aca="false">AH945-0.0005</f>
        <v>1.38529142608346</v>
      </c>
      <c r="AK945" s="1159" t="n">
        <f aca="false">IF(AND(дома!$Z$29&gt;=AJ945,дома!$Z$29&lt;=AI945),связи1!AG945,0)</f>
        <v>0</v>
      </c>
      <c r="AL945" s="1159" t="n">
        <f aca="false">IF(AND(дома!$AA$29&gt;=AJ945,дома!$AA$29&lt;=AI945),связи1!AG945,0)</f>
        <v>0</v>
      </c>
    </row>
    <row r="946" customFormat="false" ht="15" hidden="false" customHeight="false" outlineLevel="0" collapsed="false">
      <c r="AG946" s="1159" t="n">
        <v>79.5000000000001</v>
      </c>
      <c r="AH946" s="1193" t="n">
        <f aca="false">AG946*3.1415926535897/180</f>
        <v>1.38753675533545</v>
      </c>
      <c r="AI946" s="1193" t="n">
        <f aca="false">AH946+0.0005</f>
        <v>1.38803675533545</v>
      </c>
      <c r="AJ946" s="1193" t="n">
        <f aca="false">AH946-0.0005</f>
        <v>1.38703675533545</v>
      </c>
      <c r="AK946" s="1159" t="n">
        <f aca="false">IF(AND(дома!$Z$29&gt;=AJ946,дома!$Z$29&lt;=AI946),связи1!AG946,0)</f>
        <v>0</v>
      </c>
      <c r="AL946" s="1159" t="n">
        <f aca="false">IF(AND(дома!$AA$29&gt;=AJ946,дома!$AA$29&lt;=AI946),связи1!AG946,0)</f>
        <v>0</v>
      </c>
    </row>
    <row r="947" customFormat="false" ht="15" hidden="false" customHeight="false" outlineLevel="0" collapsed="false">
      <c r="AG947" s="1159" t="n">
        <v>79.6000000000001</v>
      </c>
      <c r="AH947" s="1193" t="n">
        <f aca="false">AG947*3.1415926535897/180</f>
        <v>1.38928208458745</v>
      </c>
      <c r="AI947" s="1193" t="n">
        <f aca="false">AH947+0.0005</f>
        <v>1.38978208458745</v>
      </c>
      <c r="AJ947" s="1193" t="n">
        <f aca="false">AH947-0.0005</f>
        <v>1.38878208458745</v>
      </c>
      <c r="AK947" s="1159" t="n">
        <f aca="false">IF(AND(дома!$Z$29&gt;=AJ947,дома!$Z$29&lt;=AI947),связи1!AG947,0)</f>
        <v>0</v>
      </c>
      <c r="AL947" s="1159" t="n">
        <f aca="false">IF(AND(дома!$AA$29&gt;=AJ947,дома!$AA$29&lt;=AI947),связи1!AG947,0)</f>
        <v>0</v>
      </c>
    </row>
    <row r="948" customFormat="false" ht="15" hidden="false" customHeight="false" outlineLevel="0" collapsed="false">
      <c r="AG948" s="1159" t="n">
        <v>79.7000000000001</v>
      </c>
      <c r="AH948" s="1193" t="n">
        <f aca="false">AG948*3.1415926535897/180</f>
        <v>1.39102741383944</v>
      </c>
      <c r="AI948" s="1193" t="n">
        <f aca="false">AH948+0.0005</f>
        <v>1.39152741383944</v>
      </c>
      <c r="AJ948" s="1193" t="n">
        <f aca="false">AH948-0.0005</f>
        <v>1.39052741383944</v>
      </c>
      <c r="AK948" s="1159" t="n">
        <f aca="false">IF(AND(дома!$Z$29&gt;=AJ948,дома!$Z$29&lt;=AI948),связи1!AG948,0)</f>
        <v>0</v>
      </c>
      <c r="AL948" s="1159" t="n">
        <f aca="false">IF(AND(дома!$AA$29&gt;=AJ948,дома!$AA$29&lt;=AI948),связи1!AG948,0)</f>
        <v>0</v>
      </c>
    </row>
    <row r="949" customFormat="false" ht="15" hidden="false" customHeight="false" outlineLevel="0" collapsed="false">
      <c r="AG949" s="1159" t="n">
        <v>79.8000000000001</v>
      </c>
      <c r="AH949" s="1193" t="n">
        <f aca="false">AG949*3.1415926535897/180</f>
        <v>1.39277274309144</v>
      </c>
      <c r="AI949" s="1193" t="n">
        <f aca="false">AH949+0.0005</f>
        <v>1.39327274309144</v>
      </c>
      <c r="AJ949" s="1193" t="n">
        <f aca="false">AH949-0.0005</f>
        <v>1.39227274309144</v>
      </c>
      <c r="AK949" s="1159" t="n">
        <f aca="false">IF(AND(дома!$Z$29&gt;=AJ949,дома!$Z$29&lt;=AI949),связи1!AG949,0)</f>
        <v>0</v>
      </c>
      <c r="AL949" s="1159" t="n">
        <f aca="false">IF(AND(дома!$AA$29&gt;=AJ949,дома!$AA$29&lt;=AI949),связи1!AG949,0)</f>
        <v>0</v>
      </c>
    </row>
    <row r="950" customFormat="false" ht="15" hidden="false" customHeight="false" outlineLevel="0" collapsed="false">
      <c r="AG950" s="1159" t="n">
        <v>79.9000000000001</v>
      </c>
      <c r="AH950" s="1193" t="n">
        <f aca="false">AG950*3.1415926535897/180</f>
        <v>1.39451807234343</v>
      </c>
      <c r="AI950" s="1193" t="n">
        <f aca="false">AH950+0.0005</f>
        <v>1.39501807234343</v>
      </c>
      <c r="AJ950" s="1193" t="n">
        <f aca="false">AH950-0.0005</f>
        <v>1.39401807234343</v>
      </c>
      <c r="AK950" s="1159" t="n">
        <f aca="false">IF(AND(дома!$Z$29&gt;=AJ950,дома!$Z$29&lt;=AI950),связи1!AG950,0)</f>
        <v>0</v>
      </c>
      <c r="AL950" s="1159" t="n">
        <f aca="false">IF(AND(дома!$AA$29&gt;=AJ950,дома!$AA$29&lt;=AI950),связи1!AG950,0)</f>
        <v>0</v>
      </c>
    </row>
    <row r="951" customFormat="false" ht="15" hidden="false" customHeight="false" outlineLevel="0" collapsed="false">
      <c r="AG951" s="1159" t="n">
        <v>80.0000000000001</v>
      </c>
      <c r="AH951" s="1193" t="n">
        <f aca="false">AG951*3.1415926535897/180</f>
        <v>1.39626340159542</v>
      </c>
      <c r="AI951" s="1193" t="n">
        <f aca="false">AH951+0.0005</f>
        <v>1.39676340159542</v>
      </c>
      <c r="AJ951" s="1193" t="n">
        <f aca="false">AH951-0.0005</f>
        <v>1.39576340159542</v>
      </c>
      <c r="AK951" s="1159" t="n">
        <f aca="false">IF(AND(дома!$Z$29&gt;=AJ951,дома!$Z$29&lt;=AI951),связи1!AG951,0)</f>
        <v>0</v>
      </c>
      <c r="AL951" s="1159" t="n">
        <f aca="false">IF(AND(дома!$AA$29&gt;=AJ951,дома!$AA$29&lt;=AI951),связи1!AG951,0)</f>
        <v>0</v>
      </c>
    </row>
    <row r="952" customFormat="false" ht="15" hidden="false" customHeight="false" outlineLevel="0" collapsed="false">
      <c r="AG952" s="1159" t="n">
        <v>80.1000000000001</v>
      </c>
      <c r="AH952" s="1193" t="n">
        <f aca="false">AG952*3.1415926535897/180</f>
        <v>1.39800873084742</v>
      </c>
      <c r="AI952" s="1193" t="n">
        <f aca="false">AH952+0.0005</f>
        <v>1.39850873084742</v>
      </c>
      <c r="AJ952" s="1193" t="n">
        <f aca="false">AH952-0.0005</f>
        <v>1.39750873084742</v>
      </c>
      <c r="AK952" s="1159" t="n">
        <f aca="false">IF(AND(дома!$Z$29&gt;=AJ952,дома!$Z$29&lt;=AI952),связи1!AG952,0)</f>
        <v>0</v>
      </c>
      <c r="AL952" s="1159" t="n">
        <f aca="false">IF(AND(дома!$AA$29&gt;=AJ952,дома!$AA$29&lt;=AI952),связи1!AG952,0)</f>
        <v>0</v>
      </c>
    </row>
    <row r="953" customFormat="false" ht="15" hidden="false" customHeight="false" outlineLevel="0" collapsed="false">
      <c r="AG953" s="1159" t="n">
        <v>80.2000000000001</v>
      </c>
      <c r="AH953" s="1193" t="n">
        <f aca="false">AG953*3.1415926535897/180</f>
        <v>1.39975406009941</v>
      </c>
      <c r="AI953" s="1193" t="n">
        <f aca="false">AH953+0.0005</f>
        <v>1.40025406009941</v>
      </c>
      <c r="AJ953" s="1193" t="n">
        <f aca="false">AH953-0.0005</f>
        <v>1.39925406009941</v>
      </c>
      <c r="AK953" s="1159" t="n">
        <f aca="false">IF(AND(дома!$Z$29&gt;=AJ953,дома!$Z$29&lt;=AI953),связи1!AG953,0)</f>
        <v>0</v>
      </c>
      <c r="AL953" s="1159" t="n">
        <f aca="false">IF(AND(дома!$AA$29&gt;=AJ953,дома!$AA$29&lt;=AI953),связи1!AG953,0)</f>
        <v>0</v>
      </c>
    </row>
    <row r="954" customFormat="false" ht="15" hidden="false" customHeight="false" outlineLevel="0" collapsed="false">
      <c r="AG954" s="1159" t="n">
        <v>80.3000000000001</v>
      </c>
      <c r="AH954" s="1193" t="n">
        <f aca="false">AG954*3.1415926535897/180</f>
        <v>1.40149938935141</v>
      </c>
      <c r="AI954" s="1193" t="n">
        <f aca="false">AH954+0.0005</f>
        <v>1.40199938935141</v>
      </c>
      <c r="AJ954" s="1193" t="n">
        <f aca="false">AH954-0.0005</f>
        <v>1.40099938935141</v>
      </c>
      <c r="AK954" s="1159" t="n">
        <f aca="false">IF(AND(дома!$Z$29&gt;=AJ954,дома!$Z$29&lt;=AI954),связи1!AG954,0)</f>
        <v>0</v>
      </c>
      <c r="AL954" s="1159" t="n">
        <f aca="false">IF(AND(дома!$AA$29&gt;=AJ954,дома!$AA$29&lt;=AI954),связи1!AG954,0)</f>
        <v>0</v>
      </c>
    </row>
    <row r="955" customFormat="false" ht="15" hidden="false" customHeight="false" outlineLevel="0" collapsed="false">
      <c r="AG955" s="1159" t="n">
        <v>80.4000000000001</v>
      </c>
      <c r="AH955" s="1193" t="n">
        <f aca="false">AG955*3.1415926535897/180</f>
        <v>1.4032447186034</v>
      </c>
      <c r="AI955" s="1193" t="n">
        <f aca="false">AH955+0.0005</f>
        <v>1.4037447186034</v>
      </c>
      <c r="AJ955" s="1193" t="n">
        <f aca="false">AH955-0.0005</f>
        <v>1.4027447186034</v>
      </c>
      <c r="AK955" s="1159" t="n">
        <f aca="false">IF(AND(дома!$Z$29&gt;=AJ955,дома!$Z$29&lt;=AI955),связи1!AG955,0)</f>
        <v>0</v>
      </c>
      <c r="AL955" s="1159" t="n">
        <f aca="false">IF(AND(дома!$AA$29&gt;=AJ955,дома!$AA$29&lt;=AI955),связи1!AG955,0)</f>
        <v>0</v>
      </c>
    </row>
    <row r="956" customFormat="false" ht="15" hidden="false" customHeight="false" outlineLevel="0" collapsed="false">
      <c r="AG956" s="1159" t="n">
        <v>80.5000000000001</v>
      </c>
      <c r="AH956" s="1193" t="n">
        <f aca="false">AG956*3.1415926535897/180</f>
        <v>1.4049900478554</v>
      </c>
      <c r="AI956" s="1193" t="n">
        <f aca="false">AH956+0.0005</f>
        <v>1.4054900478554</v>
      </c>
      <c r="AJ956" s="1193" t="n">
        <f aca="false">AH956-0.0005</f>
        <v>1.4044900478554</v>
      </c>
      <c r="AK956" s="1159" t="n">
        <f aca="false">IF(AND(дома!$Z$29&gt;=AJ956,дома!$Z$29&lt;=AI956),связи1!AG956,0)</f>
        <v>0</v>
      </c>
      <c r="AL956" s="1159" t="n">
        <f aca="false">IF(AND(дома!$AA$29&gt;=AJ956,дома!$AA$29&lt;=AI956),связи1!AG956,0)</f>
        <v>0</v>
      </c>
    </row>
    <row r="957" customFormat="false" ht="15" hidden="false" customHeight="false" outlineLevel="0" collapsed="false">
      <c r="AG957" s="1159" t="n">
        <v>80.6000000000001</v>
      </c>
      <c r="AH957" s="1193" t="n">
        <f aca="false">AG957*3.1415926535897/180</f>
        <v>1.40673537710739</v>
      </c>
      <c r="AI957" s="1193" t="n">
        <f aca="false">AH957+0.0005</f>
        <v>1.40723537710739</v>
      </c>
      <c r="AJ957" s="1193" t="n">
        <f aca="false">AH957-0.0005</f>
        <v>1.40623537710739</v>
      </c>
      <c r="AK957" s="1159" t="n">
        <f aca="false">IF(AND(дома!$Z$29&gt;=AJ957,дома!$Z$29&lt;=AI957),связи1!AG957,0)</f>
        <v>0</v>
      </c>
      <c r="AL957" s="1159" t="n">
        <f aca="false">IF(AND(дома!$AA$29&gt;=AJ957,дома!$AA$29&lt;=AI957),связи1!AG957,0)</f>
        <v>0</v>
      </c>
    </row>
    <row r="958" customFormat="false" ht="15" hidden="false" customHeight="false" outlineLevel="0" collapsed="false">
      <c r="AG958" s="1159" t="n">
        <v>80.7000000000001</v>
      </c>
      <c r="AH958" s="1193" t="n">
        <f aca="false">AG958*3.1415926535897/180</f>
        <v>1.40848070635938</v>
      </c>
      <c r="AI958" s="1193" t="n">
        <f aca="false">AH958+0.0005</f>
        <v>1.40898070635938</v>
      </c>
      <c r="AJ958" s="1193" t="n">
        <f aca="false">AH958-0.0005</f>
        <v>1.40798070635938</v>
      </c>
      <c r="AK958" s="1159" t="n">
        <f aca="false">IF(AND(дома!$Z$29&gt;=AJ958,дома!$Z$29&lt;=AI958),связи1!AG958,0)</f>
        <v>0</v>
      </c>
      <c r="AL958" s="1159" t="n">
        <f aca="false">IF(AND(дома!$AA$29&gt;=AJ958,дома!$AA$29&lt;=AI958),связи1!AG958,0)</f>
        <v>0</v>
      </c>
    </row>
    <row r="959" customFormat="false" ht="15" hidden="false" customHeight="false" outlineLevel="0" collapsed="false">
      <c r="AG959" s="1159" t="n">
        <v>80.8000000000001</v>
      </c>
      <c r="AH959" s="1193" t="n">
        <f aca="false">AG959*3.1415926535897/180</f>
        <v>1.41022603561138</v>
      </c>
      <c r="AI959" s="1193" t="n">
        <f aca="false">AH959+0.0005</f>
        <v>1.41072603561138</v>
      </c>
      <c r="AJ959" s="1193" t="n">
        <f aca="false">AH959-0.0005</f>
        <v>1.40972603561138</v>
      </c>
      <c r="AK959" s="1159" t="n">
        <f aca="false">IF(AND(дома!$Z$29&gt;=AJ959,дома!$Z$29&lt;=AI959),связи1!AG959,0)</f>
        <v>0</v>
      </c>
      <c r="AL959" s="1159" t="n">
        <f aca="false">IF(AND(дома!$AA$29&gt;=AJ959,дома!$AA$29&lt;=AI959),связи1!AG959,0)</f>
        <v>0</v>
      </c>
    </row>
    <row r="960" customFormat="false" ht="15" hidden="false" customHeight="false" outlineLevel="0" collapsed="false">
      <c r="AG960" s="1159" t="n">
        <v>80.9000000000001</v>
      </c>
      <c r="AH960" s="1193" t="n">
        <f aca="false">AG960*3.1415926535897/180</f>
        <v>1.41197136486337</v>
      </c>
      <c r="AI960" s="1193" t="n">
        <f aca="false">AH960+0.0005</f>
        <v>1.41247136486337</v>
      </c>
      <c r="AJ960" s="1193" t="n">
        <f aca="false">AH960-0.0005</f>
        <v>1.41147136486337</v>
      </c>
      <c r="AK960" s="1159" t="n">
        <f aca="false">IF(AND(дома!$Z$29&gt;=AJ960,дома!$Z$29&lt;=AI960),связи1!AG960,0)</f>
        <v>0</v>
      </c>
      <c r="AL960" s="1159" t="n">
        <f aca="false">IF(AND(дома!$AA$29&gt;=AJ960,дома!$AA$29&lt;=AI960),связи1!AG960,0)</f>
        <v>0</v>
      </c>
    </row>
    <row r="961" customFormat="false" ht="15" hidden="false" customHeight="false" outlineLevel="0" collapsed="false">
      <c r="AG961" s="1159" t="n">
        <v>81.0000000000001</v>
      </c>
      <c r="AH961" s="1193" t="n">
        <f aca="false">AG961*3.1415926535897/180</f>
        <v>1.41371669411537</v>
      </c>
      <c r="AI961" s="1193" t="n">
        <f aca="false">AH961+0.0005</f>
        <v>1.41421669411537</v>
      </c>
      <c r="AJ961" s="1193" t="n">
        <f aca="false">AH961-0.0005</f>
        <v>1.41321669411537</v>
      </c>
      <c r="AK961" s="1159" t="n">
        <f aca="false">IF(AND(дома!$Z$29&gt;=AJ961,дома!$Z$29&lt;=AI961),связи1!AG961,0)</f>
        <v>0</v>
      </c>
      <c r="AL961" s="1159" t="n">
        <f aca="false">IF(AND(дома!$AA$29&gt;=AJ961,дома!$AA$29&lt;=AI961),связи1!AG961,0)</f>
        <v>0</v>
      </c>
    </row>
    <row r="962" customFormat="false" ht="15" hidden="false" customHeight="false" outlineLevel="0" collapsed="false">
      <c r="AG962" s="1159" t="n">
        <v>81.1000000000001</v>
      </c>
      <c r="AH962" s="1193" t="n">
        <f aca="false">AG962*3.1415926535897/180</f>
        <v>1.41546202336736</v>
      </c>
      <c r="AI962" s="1193" t="n">
        <f aca="false">AH962+0.0005</f>
        <v>1.41596202336736</v>
      </c>
      <c r="AJ962" s="1193" t="n">
        <f aca="false">AH962-0.0005</f>
        <v>1.41496202336736</v>
      </c>
      <c r="AK962" s="1159" t="n">
        <f aca="false">IF(AND(дома!$Z$29&gt;=AJ962,дома!$Z$29&lt;=AI962),связи1!AG962,0)</f>
        <v>0</v>
      </c>
      <c r="AL962" s="1159" t="n">
        <f aca="false">IF(AND(дома!$AA$29&gt;=AJ962,дома!$AA$29&lt;=AI962),связи1!AG962,0)</f>
        <v>0</v>
      </c>
    </row>
    <row r="963" customFormat="false" ht="15" hidden="false" customHeight="false" outlineLevel="0" collapsed="false">
      <c r="AG963" s="1159" t="n">
        <v>81.2000000000001</v>
      </c>
      <c r="AH963" s="1193" t="n">
        <f aca="false">AG963*3.1415926535897/180</f>
        <v>1.41720735261936</v>
      </c>
      <c r="AI963" s="1193" t="n">
        <f aca="false">AH963+0.0005</f>
        <v>1.41770735261936</v>
      </c>
      <c r="AJ963" s="1193" t="n">
        <f aca="false">AH963-0.0005</f>
        <v>1.41670735261936</v>
      </c>
      <c r="AK963" s="1159" t="n">
        <f aca="false">IF(AND(дома!$Z$29&gt;=AJ963,дома!$Z$29&lt;=AI963),связи1!AG963,0)</f>
        <v>0</v>
      </c>
      <c r="AL963" s="1159" t="n">
        <f aca="false">IF(AND(дома!$AA$29&gt;=AJ963,дома!$AA$29&lt;=AI963),связи1!AG963,0)</f>
        <v>0</v>
      </c>
    </row>
    <row r="964" customFormat="false" ht="15" hidden="false" customHeight="false" outlineLevel="0" collapsed="false">
      <c r="AG964" s="1159" t="n">
        <v>81.3000000000001</v>
      </c>
      <c r="AH964" s="1193" t="n">
        <f aca="false">AG964*3.1415926535897/180</f>
        <v>1.41895268187135</v>
      </c>
      <c r="AI964" s="1193" t="n">
        <f aca="false">AH964+0.0005</f>
        <v>1.41945268187135</v>
      </c>
      <c r="AJ964" s="1193" t="n">
        <f aca="false">AH964-0.0005</f>
        <v>1.41845268187135</v>
      </c>
      <c r="AK964" s="1159" t="n">
        <f aca="false">IF(AND(дома!$Z$29&gt;=AJ964,дома!$Z$29&lt;=AI964),связи1!AG964,0)</f>
        <v>0</v>
      </c>
      <c r="AL964" s="1159" t="n">
        <f aca="false">IF(AND(дома!$AA$29&gt;=AJ964,дома!$AA$29&lt;=AI964),связи1!AG964,0)</f>
        <v>0</v>
      </c>
    </row>
    <row r="965" customFormat="false" ht="15" hidden="false" customHeight="false" outlineLevel="0" collapsed="false">
      <c r="AG965" s="1159" t="n">
        <v>81.4000000000001</v>
      </c>
      <c r="AH965" s="1193" t="n">
        <f aca="false">AG965*3.1415926535897/180</f>
        <v>1.42069801112334</v>
      </c>
      <c r="AI965" s="1193" t="n">
        <f aca="false">AH965+0.0005</f>
        <v>1.42119801112334</v>
      </c>
      <c r="AJ965" s="1193" t="n">
        <f aca="false">AH965-0.0005</f>
        <v>1.42019801112334</v>
      </c>
      <c r="AK965" s="1159" t="n">
        <f aca="false">IF(AND(дома!$Z$29&gt;=AJ965,дома!$Z$29&lt;=AI965),связи1!AG965,0)</f>
        <v>0</v>
      </c>
      <c r="AL965" s="1159" t="n">
        <f aca="false">IF(AND(дома!$AA$29&gt;=AJ965,дома!$AA$29&lt;=AI965),связи1!AG965,0)</f>
        <v>0</v>
      </c>
    </row>
    <row r="966" customFormat="false" ht="15" hidden="false" customHeight="false" outlineLevel="0" collapsed="false">
      <c r="AG966" s="1159" t="n">
        <v>81.5000000000001</v>
      </c>
      <c r="AH966" s="1193" t="n">
        <f aca="false">AG966*3.1415926535897/180</f>
        <v>1.42244334037534</v>
      </c>
      <c r="AI966" s="1193" t="n">
        <f aca="false">AH966+0.0005</f>
        <v>1.42294334037534</v>
      </c>
      <c r="AJ966" s="1193" t="n">
        <f aca="false">AH966-0.0005</f>
        <v>1.42194334037534</v>
      </c>
      <c r="AK966" s="1159" t="n">
        <f aca="false">IF(AND(дома!$Z$29&gt;=AJ966,дома!$Z$29&lt;=AI966),связи1!AG966,0)</f>
        <v>0</v>
      </c>
      <c r="AL966" s="1159" t="n">
        <f aca="false">IF(AND(дома!$AA$29&gt;=AJ966,дома!$AA$29&lt;=AI966),связи1!AG966,0)</f>
        <v>0</v>
      </c>
    </row>
    <row r="967" customFormat="false" ht="15" hidden="false" customHeight="false" outlineLevel="0" collapsed="false">
      <c r="AG967" s="1159" t="n">
        <v>81.6000000000001</v>
      </c>
      <c r="AH967" s="1193" t="n">
        <f aca="false">AG967*3.1415926535897/180</f>
        <v>1.42418866962733</v>
      </c>
      <c r="AI967" s="1193" t="n">
        <f aca="false">AH967+0.0005</f>
        <v>1.42468866962733</v>
      </c>
      <c r="AJ967" s="1193" t="n">
        <f aca="false">AH967-0.0005</f>
        <v>1.42368866962733</v>
      </c>
      <c r="AK967" s="1159" t="n">
        <f aca="false">IF(AND(дома!$Z$29&gt;=AJ967,дома!$Z$29&lt;=AI967),связи1!AG967,0)</f>
        <v>0</v>
      </c>
      <c r="AL967" s="1159" t="n">
        <f aca="false">IF(AND(дома!$AA$29&gt;=AJ967,дома!$AA$29&lt;=AI967),связи1!AG967,0)</f>
        <v>0</v>
      </c>
    </row>
    <row r="968" customFormat="false" ht="15" hidden="false" customHeight="false" outlineLevel="0" collapsed="false">
      <c r="AG968" s="1159" t="n">
        <v>81.7000000000001</v>
      </c>
      <c r="AH968" s="1193" t="n">
        <f aca="false">AG968*3.1415926535897/180</f>
        <v>1.42593399887933</v>
      </c>
      <c r="AI968" s="1193" t="n">
        <f aca="false">AH968+0.0005</f>
        <v>1.42643399887933</v>
      </c>
      <c r="AJ968" s="1193" t="n">
        <f aca="false">AH968-0.0005</f>
        <v>1.42543399887933</v>
      </c>
      <c r="AK968" s="1159" t="n">
        <f aca="false">IF(AND(дома!$Z$29&gt;=AJ968,дома!$Z$29&lt;=AI968),связи1!AG968,0)</f>
        <v>0</v>
      </c>
      <c r="AL968" s="1159" t="n">
        <f aca="false">IF(AND(дома!$AA$29&gt;=AJ968,дома!$AA$29&lt;=AI968),связи1!AG968,0)</f>
        <v>0</v>
      </c>
    </row>
    <row r="969" customFormat="false" ht="15" hidden="false" customHeight="false" outlineLevel="0" collapsed="false">
      <c r="AG969" s="1159" t="n">
        <v>81.8000000000001</v>
      </c>
      <c r="AH969" s="1193" t="n">
        <f aca="false">AG969*3.1415926535897/180</f>
        <v>1.42767932813132</v>
      </c>
      <c r="AI969" s="1193" t="n">
        <f aca="false">AH969+0.0005</f>
        <v>1.42817932813132</v>
      </c>
      <c r="AJ969" s="1193" t="n">
        <f aca="false">AH969-0.0005</f>
        <v>1.42717932813132</v>
      </c>
      <c r="AK969" s="1159" t="n">
        <f aca="false">IF(AND(дома!$Z$29&gt;=AJ969,дома!$Z$29&lt;=AI969),связи1!AG969,0)</f>
        <v>0</v>
      </c>
      <c r="AL969" s="1159" t="n">
        <f aca="false">IF(AND(дома!$AA$29&gt;=AJ969,дома!$AA$29&lt;=AI969),связи1!AG969,0)</f>
        <v>0</v>
      </c>
    </row>
    <row r="970" customFormat="false" ht="15" hidden="false" customHeight="false" outlineLevel="0" collapsed="false">
      <c r="AG970" s="1159" t="n">
        <v>81.9000000000001</v>
      </c>
      <c r="AH970" s="1193" t="n">
        <f aca="false">AG970*3.1415926535897/180</f>
        <v>1.42942465738332</v>
      </c>
      <c r="AI970" s="1193" t="n">
        <f aca="false">AH970+0.0005</f>
        <v>1.42992465738332</v>
      </c>
      <c r="AJ970" s="1193" t="n">
        <f aca="false">AH970-0.0005</f>
        <v>1.42892465738332</v>
      </c>
      <c r="AK970" s="1159" t="n">
        <f aca="false">IF(AND(дома!$Z$29&gt;=AJ970,дома!$Z$29&lt;=AI970),связи1!AG970,0)</f>
        <v>0</v>
      </c>
      <c r="AL970" s="1159" t="n">
        <f aca="false">IF(AND(дома!$AA$29&gt;=AJ970,дома!$AA$29&lt;=AI970),связи1!AG970,0)</f>
        <v>0</v>
      </c>
    </row>
    <row r="971" customFormat="false" ht="15" hidden="false" customHeight="false" outlineLevel="0" collapsed="false">
      <c r="AG971" s="1159" t="n">
        <v>82.0000000000001</v>
      </c>
      <c r="AH971" s="1193" t="n">
        <f aca="false">AG971*3.1415926535897/180</f>
        <v>1.43116998663531</v>
      </c>
      <c r="AI971" s="1193" t="n">
        <f aca="false">AH971+0.0005</f>
        <v>1.43166998663531</v>
      </c>
      <c r="AJ971" s="1193" t="n">
        <f aca="false">AH971-0.0005</f>
        <v>1.43066998663531</v>
      </c>
      <c r="AK971" s="1159" t="n">
        <f aca="false">IF(AND(дома!$Z$29&gt;=AJ971,дома!$Z$29&lt;=AI971),связи1!AG971,0)</f>
        <v>0</v>
      </c>
      <c r="AL971" s="1159" t="n">
        <f aca="false">IF(AND(дома!$AA$29&gt;=AJ971,дома!$AA$29&lt;=AI971),связи1!AG971,0)</f>
        <v>0</v>
      </c>
    </row>
    <row r="972" customFormat="false" ht="15" hidden="false" customHeight="false" outlineLevel="0" collapsed="false">
      <c r="AG972" s="1159" t="n">
        <v>82.1000000000001</v>
      </c>
      <c r="AH972" s="1193" t="n">
        <f aca="false">AG972*3.1415926535897/180</f>
        <v>1.4329153158873</v>
      </c>
      <c r="AI972" s="1193" t="n">
        <f aca="false">AH972+0.0005</f>
        <v>1.4334153158873</v>
      </c>
      <c r="AJ972" s="1193" t="n">
        <f aca="false">AH972-0.0005</f>
        <v>1.4324153158873</v>
      </c>
      <c r="AK972" s="1159" t="n">
        <f aca="false">IF(AND(дома!$Z$29&gt;=AJ972,дома!$Z$29&lt;=AI972),связи1!AG972,0)</f>
        <v>0</v>
      </c>
      <c r="AL972" s="1159" t="n">
        <f aca="false">IF(AND(дома!$AA$29&gt;=AJ972,дома!$AA$29&lt;=AI972),связи1!AG972,0)</f>
        <v>0</v>
      </c>
    </row>
    <row r="973" customFormat="false" ht="15" hidden="false" customHeight="false" outlineLevel="0" collapsed="false">
      <c r="AG973" s="1159" t="n">
        <v>82.2000000000001</v>
      </c>
      <c r="AH973" s="1193" t="n">
        <f aca="false">AG973*3.1415926535897/180</f>
        <v>1.4346606451393</v>
      </c>
      <c r="AI973" s="1193" t="n">
        <f aca="false">AH973+0.0005</f>
        <v>1.4351606451393</v>
      </c>
      <c r="AJ973" s="1193" t="n">
        <f aca="false">AH973-0.0005</f>
        <v>1.4341606451393</v>
      </c>
      <c r="AK973" s="1159" t="n">
        <f aca="false">IF(AND(дома!$Z$29&gt;=AJ973,дома!$Z$29&lt;=AI973),связи1!AG973,0)</f>
        <v>0</v>
      </c>
      <c r="AL973" s="1159" t="n">
        <f aca="false">IF(AND(дома!$AA$29&gt;=AJ973,дома!$AA$29&lt;=AI973),связи1!AG973,0)</f>
        <v>0</v>
      </c>
    </row>
    <row r="974" customFormat="false" ht="15" hidden="false" customHeight="false" outlineLevel="0" collapsed="false">
      <c r="AG974" s="1159" t="n">
        <v>82.3000000000001</v>
      </c>
      <c r="AH974" s="1193" t="n">
        <f aca="false">AG974*3.1415926535897/180</f>
        <v>1.43640597439129</v>
      </c>
      <c r="AI974" s="1193" t="n">
        <f aca="false">AH974+0.0005</f>
        <v>1.43690597439129</v>
      </c>
      <c r="AJ974" s="1193" t="n">
        <f aca="false">AH974-0.0005</f>
        <v>1.43590597439129</v>
      </c>
      <c r="AK974" s="1159" t="n">
        <f aca="false">IF(AND(дома!$Z$29&gt;=AJ974,дома!$Z$29&lt;=AI974),связи1!AG974,0)</f>
        <v>0</v>
      </c>
      <c r="AL974" s="1159" t="n">
        <f aca="false">IF(AND(дома!$AA$29&gt;=AJ974,дома!$AA$29&lt;=AI974),связи1!AG974,0)</f>
        <v>0</v>
      </c>
    </row>
    <row r="975" customFormat="false" ht="15" hidden="false" customHeight="false" outlineLevel="0" collapsed="false">
      <c r="AG975" s="1159" t="n">
        <v>82.4000000000001</v>
      </c>
      <c r="AH975" s="1193" t="n">
        <f aca="false">AG975*3.1415926535897/180</f>
        <v>1.43815130364329</v>
      </c>
      <c r="AI975" s="1193" t="n">
        <f aca="false">AH975+0.0005</f>
        <v>1.43865130364329</v>
      </c>
      <c r="AJ975" s="1193" t="n">
        <f aca="false">AH975-0.0005</f>
        <v>1.43765130364329</v>
      </c>
      <c r="AK975" s="1159" t="n">
        <f aca="false">IF(AND(дома!$Z$29&gt;=AJ975,дома!$Z$29&lt;=AI975),связи1!AG975,0)</f>
        <v>0</v>
      </c>
      <c r="AL975" s="1159" t="n">
        <f aca="false">IF(AND(дома!$AA$29&gt;=AJ975,дома!$AA$29&lt;=AI975),связи1!AG975,0)</f>
        <v>0</v>
      </c>
    </row>
    <row r="976" customFormat="false" ht="15" hidden="false" customHeight="false" outlineLevel="0" collapsed="false">
      <c r="AG976" s="1159" t="n">
        <v>82.5000000000001</v>
      </c>
      <c r="AH976" s="1193" t="n">
        <f aca="false">AG976*3.1415926535897/180</f>
        <v>1.43989663289528</v>
      </c>
      <c r="AI976" s="1193" t="n">
        <f aca="false">AH976+0.0005</f>
        <v>1.44039663289528</v>
      </c>
      <c r="AJ976" s="1193" t="n">
        <f aca="false">AH976-0.0005</f>
        <v>1.43939663289528</v>
      </c>
      <c r="AK976" s="1159" t="n">
        <f aca="false">IF(AND(дома!$Z$29&gt;=AJ976,дома!$Z$29&lt;=AI976),связи1!AG976,0)</f>
        <v>0</v>
      </c>
      <c r="AL976" s="1159" t="n">
        <f aca="false">IF(AND(дома!$AA$29&gt;=AJ976,дома!$AA$29&lt;=AI976),связи1!AG976,0)</f>
        <v>0</v>
      </c>
    </row>
    <row r="977" customFormat="false" ht="15" hidden="false" customHeight="false" outlineLevel="0" collapsed="false">
      <c r="AG977" s="1159" t="n">
        <v>82.6000000000001</v>
      </c>
      <c r="AH977" s="1193" t="n">
        <f aca="false">AG977*3.1415926535897/180</f>
        <v>1.44164196214727</v>
      </c>
      <c r="AI977" s="1193" t="n">
        <f aca="false">AH977+0.0005</f>
        <v>1.44214196214727</v>
      </c>
      <c r="AJ977" s="1193" t="n">
        <f aca="false">AH977-0.0005</f>
        <v>1.44114196214728</v>
      </c>
      <c r="AK977" s="1159" t="n">
        <f aca="false">IF(AND(дома!$Z$29&gt;=AJ977,дома!$Z$29&lt;=AI977),связи1!AG977,0)</f>
        <v>0</v>
      </c>
      <c r="AL977" s="1159" t="n">
        <f aca="false">IF(AND(дома!$AA$29&gt;=AJ977,дома!$AA$29&lt;=AI977),связи1!AG977,0)</f>
        <v>0</v>
      </c>
    </row>
    <row r="978" customFormat="false" ht="15" hidden="false" customHeight="false" outlineLevel="0" collapsed="false">
      <c r="AG978" s="1159" t="n">
        <v>82.7000000000001</v>
      </c>
      <c r="AH978" s="1193" t="n">
        <f aca="false">AG978*3.1415926535897/180</f>
        <v>1.44338729139927</v>
      </c>
      <c r="AI978" s="1193" t="n">
        <f aca="false">AH978+0.0005</f>
        <v>1.44388729139927</v>
      </c>
      <c r="AJ978" s="1193" t="n">
        <f aca="false">AH978-0.0005</f>
        <v>1.44288729139927</v>
      </c>
      <c r="AK978" s="1159" t="n">
        <f aca="false">IF(AND(дома!$Z$29&gt;=AJ978,дома!$Z$29&lt;=AI978),связи1!AG978,0)</f>
        <v>0</v>
      </c>
      <c r="AL978" s="1159" t="n">
        <f aca="false">IF(AND(дома!$AA$29&gt;=AJ978,дома!$AA$29&lt;=AI978),связи1!AG978,0)</f>
        <v>0</v>
      </c>
    </row>
    <row r="979" customFormat="false" ht="15" hidden="false" customHeight="false" outlineLevel="0" collapsed="false">
      <c r="AG979" s="1159" t="n">
        <v>82.8000000000001</v>
      </c>
      <c r="AH979" s="1193" t="n">
        <f aca="false">AG979*3.1415926535897/180</f>
        <v>1.44513262065126</v>
      </c>
      <c r="AI979" s="1193" t="n">
        <f aca="false">AH979+0.0005</f>
        <v>1.44563262065126</v>
      </c>
      <c r="AJ979" s="1193" t="n">
        <f aca="false">AH979-0.0005</f>
        <v>1.44463262065126</v>
      </c>
      <c r="AK979" s="1159" t="n">
        <f aca="false">IF(AND(дома!$Z$29&gt;=AJ979,дома!$Z$29&lt;=AI979),связи1!AG979,0)</f>
        <v>0</v>
      </c>
      <c r="AL979" s="1159" t="n">
        <f aca="false">IF(AND(дома!$AA$29&gt;=AJ979,дома!$AA$29&lt;=AI979),связи1!AG979,0)</f>
        <v>0</v>
      </c>
    </row>
    <row r="980" customFormat="false" ht="15" hidden="false" customHeight="false" outlineLevel="0" collapsed="false">
      <c r="AG980" s="1159" t="n">
        <v>82.9000000000001</v>
      </c>
      <c r="AH980" s="1193" t="n">
        <f aca="false">AG980*3.1415926535897/180</f>
        <v>1.44687794990326</v>
      </c>
      <c r="AI980" s="1193" t="n">
        <f aca="false">AH980+0.0005</f>
        <v>1.44737794990326</v>
      </c>
      <c r="AJ980" s="1193" t="n">
        <f aca="false">AH980-0.0005</f>
        <v>1.44637794990326</v>
      </c>
      <c r="AK980" s="1159" t="n">
        <f aca="false">IF(AND(дома!$Z$29&gt;=AJ980,дома!$Z$29&lt;=AI980),связи1!AG980,0)</f>
        <v>0</v>
      </c>
      <c r="AL980" s="1159" t="n">
        <f aca="false">IF(AND(дома!$AA$29&gt;=AJ980,дома!$AA$29&lt;=AI980),связи1!AG980,0)</f>
        <v>0</v>
      </c>
    </row>
    <row r="981" customFormat="false" ht="15" hidden="false" customHeight="false" outlineLevel="0" collapsed="false">
      <c r="AG981" s="1159" t="n">
        <v>83.0000000000001</v>
      </c>
      <c r="AH981" s="1193" t="n">
        <f aca="false">AG981*3.1415926535897/180</f>
        <v>1.44862327915525</v>
      </c>
      <c r="AI981" s="1193" t="n">
        <f aca="false">AH981+0.0005</f>
        <v>1.44912327915525</v>
      </c>
      <c r="AJ981" s="1193" t="n">
        <f aca="false">AH981-0.0005</f>
        <v>1.44812327915525</v>
      </c>
      <c r="AK981" s="1159" t="n">
        <f aca="false">IF(AND(дома!$Z$29&gt;=AJ981,дома!$Z$29&lt;=AI981),связи1!AG981,0)</f>
        <v>0</v>
      </c>
      <c r="AL981" s="1159" t="n">
        <f aca="false">IF(AND(дома!$AA$29&gt;=AJ981,дома!$AA$29&lt;=AI981),связи1!AG981,0)</f>
        <v>0</v>
      </c>
    </row>
    <row r="982" customFormat="false" ht="15" hidden="false" customHeight="false" outlineLevel="0" collapsed="false">
      <c r="AG982" s="1159" t="n">
        <v>83.1000000000001</v>
      </c>
      <c r="AH982" s="1193" t="n">
        <f aca="false">AG982*3.1415926535897/180</f>
        <v>1.45036860840725</v>
      </c>
      <c r="AI982" s="1193" t="n">
        <f aca="false">AH982+0.0005</f>
        <v>1.45086860840725</v>
      </c>
      <c r="AJ982" s="1193" t="n">
        <f aca="false">AH982-0.0005</f>
        <v>1.44986860840725</v>
      </c>
      <c r="AK982" s="1159" t="n">
        <f aca="false">IF(AND(дома!$Z$29&gt;=AJ982,дома!$Z$29&lt;=AI982),связи1!AG982,0)</f>
        <v>0</v>
      </c>
      <c r="AL982" s="1159" t="n">
        <f aca="false">IF(AND(дома!$AA$29&gt;=AJ982,дома!$AA$29&lt;=AI982),связи1!AG982,0)</f>
        <v>0</v>
      </c>
    </row>
    <row r="983" customFormat="false" ht="15" hidden="false" customHeight="false" outlineLevel="0" collapsed="false">
      <c r="AG983" s="1159" t="n">
        <v>83.2000000000001</v>
      </c>
      <c r="AH983" s="1193" t="n">
        <f aca="false">AG983*3.1415926535897/180</f>
        <v>1.45211393765924</v>
      </c>
      <c r="AI983" s="1193" t="n">
        <f aca="false">AH983+0.0005</f>
        <v>1.45261393765924</v>
      </c>
      <c r="AJ983" s="1193" t="n">
        <f aca="false">AH983-0.0005</f>
        <v>1.45161393765924</v>
      </c>
      <c r="AK983" s="1159" t="n">
        <f aca="false">IF(AND(дома!$Z$29&gt;=AJ983,дома!$Z$29&lt;=AI983),связи1!AG983,0)</f>
        <v>0</v>
      </c>
      <c r="AL983" s="1159" t="n">
        <f aca="false">IF(AND(дома!$AA$29&gt;=AJ983,дома!$AA$29&lt;=AI983),связи1!AG983,0)</f>
        <v>0</v>
      </c>
    </row>
    <row r="984" customFormat="false" ht="15" hidden="false" customHeight="false" outlineLevel="0" collapsed="false">
      <c r="AG984" s="1159" t="n">
        <v>83.3000000000001</v>
      </c>
      <c r="AH984" s="1193" t="n">
        <f aca="false">AG984*3.1415926535897/180</f>
        <v>1.45385926691124</v>
      </c>
      <c r="AI984" s="1193" t="n">
        <f aca="false">AH984+0.0005</f>
        <v>1.45435926691124</v>
      </c>
      <c r="AJ984" s="1193" t="n">
        <f aca="false">AH984-0.0005</f>
        <v>1.45335926691124</v>
      </c>
      <c r="AK984" s="1159" t="n">
        <f aca="false">IF(AND(дома!$Z$29&gt;=AJ984,дома!$Z$29&lt;=AI984),связи1!AG984,0)</f>
        <v>0</v>
      </c>
      <c r="AL984" s="1159" t="n">
        <f aca="false">IF(AND(дома!$AA$29&gt;=AJ984,дома!$AA$29&lt;=AI984),связи1!AG984,0)</f>
        <v>0</v>
      </c>
    </row>
    <row r="985" customFormat="false" ht="15" hidden="false" customHeight="false" outlineLevel="0" collapsed="false">
      <c r="AG985" s="1159" t="n">
        <v>83.4000000000001</v>
      </c>
      <c r="AH985" s="1193" t="n">
        <f aca="false">AG985*3.1415926535897/180</f>
        <v>1.45560459616323</v>
      </c>
      <c r="AI985" s="1193" t="n">
        <f aca="false">AH985+0.0005</f>
        <v>1.45610459616323</v>
      </c>
      <c r="AJ985" s="1193" t="n">
        <f aca="false">AH985-0.0005</f>
        <v>1.45510459616323</v>
      </c>
      <c r="AK985" s="1159" t="n">
        <f aca="false">IF(AND(дома!$Z$29&gt;=AJ985,дома!$Z$29&lt;=AI985),связи1!AG985,0)</f>
        <v>0</v>
      </c>
      <c r="AL985" s="1159" t="n">
        <f aca="false">IF(AND(дома!$AA$29&gt;=AJ985,дома!$AA$29&lt;=AI985),связи1!AG985,0)</f>
        <v>0</v>
      </c>
    </row>
    <row r="986" customFormat="false" ht="15" hidden="false" customHeight="false" outlineLevel="0" collapsed="false">
      <c r="AG986" s="1159" t="n">
        <v>83.5000000000001</v>
      </c>
      <c r="AH986" s="1193" t="n">
        <f aca="false">AG986*3.1415926535897/180</f>
        <v>1.45734992541522</v>
      </c>
      <c r="AI986" s="1193" t="n">
        <f aca="false">AH986+0.0005</f>
        <v>1.45784992541522</v>
      </c>
      <c r="AJ986" s="1193" t="n">
        <f aca="false">AH986-0.0005</f>
        <v>1.45684992541522</v>
      </c>
      <c r="AK986" s="1159" t="n">
        <f aca="false">IF(AND(дома!$Z$29&gt;=AJ986,дома!$Z$29&lt;=AI986),связи1!AG986,0)</f>
        <v>0</v>
      </c>
      <c r="AL986" s="1159" t="n">
        <f aca="false">IF(AND(дома!$AA$29&gt;=AJ986,дома!$AA$29&lt;=AI986),связи1!AG986,0)</f>
        <v>0</v>
      </c>
    </row>
    <row r="987" customFormat="false" ht="15" hidden="false" customHeight="false" outlineLevel="0" collapsed="false">
      <c r="AG987" s="1159" t="n">
        <v>83.6000000000001</v>
      </c>
      <c r="AH987" s="1193" t="n">
        <f aca="false">AG987*3.1415926535897/180</f>
        <v>1.45909525466722</v>
      </c>
      <c r="AI987" s="1193" t="n">
        <f aca="false">AH987+0.0005</f>
        <v>1.45959525466722</v>
      </c>
      <c r="AJ987" s="1193" t="n">
        <f aca="false">AH987-0.0005</f>
        <v>1.45859525466722</v>
      </c>
      <c r="AK987" s="1159" t="n">
        <f aca="false">IF(AND(дома!$Z$29&gt;=AJ987,дома!$Z$29&lt;=AI987),связи1!AG987,0)</f>
        <v>0</v>
      </c>
      <c r="AL987" s="1159" t="n">
        <f aca="false">IF(AND(дома!$AA$29&gt;=AJ987,дома!$AA$29&lt;=AI987),связи1!AG987,0)</f>
        <v>0</v>
      </c>
    </row>
    <row r="988" customFormat="false" ht="15" hidden="false" customHeight="false" outlineLevel="0" collapsed="false">
      <c r="AG988" s="1159" t="n">
        <v>83.7000000000001</v>
      </c>
      <c r="AH988" s="1193" t="n">
        <f aca="false">AG988*3.1415926535897/180</f>
        <v>1.46084058391921</v>
      </c>
      <c r="AI988" s="1193" t="n">
        <f aca="false">AH988+0.0005</f>
        <v>1.46134058391921</v>
      </c>
      <c r="AJ988" s="1193" t="n">
        <f aca="false">AH988-0.0005</f>
        <v>1.46034058391921</v>
      </c>
      <c r="AK988" s="1159" t="n">
        <f aca="false">IF(AND(дома!$Z$29&gt;=AJ988,дома!$Z$29&lt;=AI988),связи1!AG988,0)</f>
        <v>0</v>
      </c>
      <c r="AL988" s="1159" t="n">
        <f aca="false">IF(AND(дома!$AA$29&gt;=AJ988,дома!$AA$29&lt;=AI988),связи1!AG988,0)</f>
        <v>0</v>
      </c>
    </row>
    <row r="989" customFormat="false" ht="15" hidden="false" customHeight="false" outlineLevel="0" collapsed="false">
      <c r="AG989" s="1159" t="n">
        <v>83.8000000000001</v>
      </c>
      <c r="AH989" s="1193" t="n">
        <f aca="false">AG989*3.1415926535897/180</f>
        <v>1.46258591317121</v>
      </c>
      <c r="AI989" s="1193" t="n">
        <f aca="false">AH989+0.0005</f>
        <v>1.46308591317121</v>
      </c>
      <c r="AJ989" s="1193" t="n">
        <f aca="false">AH989-0.0005</f>
        <v>1.46208591317121</v>
      </c>
      <c r="AK989" s="1159" t="n">
        <f aca="false">IF(AND(дома!$Z$29&gt;=AJ989,дома!$Z$29&lt;=AI989),связи1!AG989,0)</f>
        <v>0</v>
      </c>
      <c r="AL989" s="1159" t="n">
        <f aca="false">IF(AND(дома!$AA$29&gt;=AJ989,дома!$AA$29&lt;=AI989),связи1!AG989,0)</f>
        <v>0</v>
      </c>
    </row>
    <row r="990" customFormat="false" ht="15" hidden="false" customHeight="false" outlineLevel="0" collapsed="false">
      <c r="AG990" s="1159" t="n">
        <v>83.9000000000001</v>
      </c>
      <c r="AH990" s="1193" t="n">
        <f aca="false">AG990*3.1415926535897/180</f>
        <v>1.4643312424232</v>
      </c>
      <c r="AI990" s="1193" t="n">
        <f aca="false">AH990+0.0005</f>
        <v>1.4648312424232</v>
      </c>
      <c r="AJ990" s="1193" t="n">
        <f aca="false">AH990-0.0005</f>
        <v>1.4638312424232</v>
      </c>
      <c r="AK990" s="1159" t="n">
        <f aca="false">IF(AND(дома!$Z$29&gt;=AJ990,дома!$Z$29&lt;=AI990),связи1!AG990,0)</f>
        <v>0</v>
      </c>
      <c r="AL990" s="1159" t="n">
        <f aca="false">IF(AND(дома!$AA$29&gt;=AJ990,дома!$AA$29&lt;=AI990),связи1!AG990,0)</f>
        <v>0</v>
      </c>
    </row>
    <row r="991" customFormat="false" ht="15" hidden="false" customHeight="false" outlineLevel="0" collapsed="false">
      <c r="AG991" s="1159" t="n">
        <v>84.0000000000001</v>
      </c>
      <c r="AH991" s="1193" t="n">
        <f aca="false">AG991*3.1415926535897/180</f>
        <v>1.46607657167519</v>
      </c>
      <c r="AI991" s="1193" t="n">
        <f aca="false">AH991+0.0005</f>
        <v>1.46657657167519</v>
      </c>
      <c r="AJ991" s="1193" t="n">
        <f aca="false">AH991-0.0005</f>
        <v>1.4655765716752</v>
      </c>
      <c r="AK991" s="1159" t="n">
        <f aca="false">IF(AND(дома!$Z$29&gt;=AJ991,дома!$Z$29&lt;=AI991),связи1!AG991,0)</f>
        <v>0</v>
      </c>
      <c r="AL991" s="1159" t="n">
        <f aca="false">IF(AND(дома!$AA$29&gt;=AJ991,дома!$AA$29&lt;=AI991),связи1!AG991,0)</f>
        <v>0</v>
      </c>
    </row>
    <row r="992" customFormat="false" ht="15" hidden="false" customHeight="false" outlineLevel="0" collapsed="false">
      <c r="AG992" s="1159" t="n">
        <v>84.1000000000001</v>
      </c>
      <c r="AH992" s="1193" t="n">
        <f aca="false">AG992*3.1415926535897/180</f>
        <v>1.46782190092719</v>
      </c>
      <c r="AI992" s="1193" t="n">
        <f aca="false">AH992+0.0005</f>
        <v>1.46832190092719</v>
      </c>
      <c r="AJ992" s="1193" t="n">
        <f aca="false">AH992-0.0005</f>
        <v>1.46732190092719</v>
      </c>
      <c r="AK992" s="1159" t="n">
        <f aca="false">IF(AND(дома!$Z$29&gt;=AJ992,дома!$Z$29&lt;=AI992),связи1!AG992,0)</f>
        <v>0</v>
      </c>
      <c r="AL992" s="1159" t="n">
        <f aca="false">IF(AND(дома!$AA$29&gt;=AJ992,дома!$AA$29&lt;=AI992),связи1!AG992,0)</f>
        <v>0</v>
      </c>
    </row>
    <row r="993" customFormat="false" ht="15" hidden="false" customHeight="false" outlineLevel="0" collapsed="false">
      <c r="AG993" s="1159" t="n">
        <v>84.2000000000001</v>
      </c>
      <c r="AH993" s="1193" t="n">
        <f aca="false">AG993*3.1415926535897/180</f>
        <v>1.46956723017918</v>
      </c>
      <c r="AI993" s="1193" t="n">
        <f aca="false">AH993+0.0005</f>
        <v>1.47006723017918</v>
      </c>
      <c r="AJ993" s="1193" t="n">
        <f aca="false">AH993-0.0005</f>
        <v>1.46906723017918</v>
      </c>
      <c r="AK993" s="1159" t="n">
        <f aca="false">IF(AND(дома!$Z$29&gt;=AJ993,дома!$Z$29&lt;=AI993),связи1!AG993,0)</f>
        <v>0</v>
      </c>
      <c r="AL993" s="1159" t="n">
        <f aca="false">IF(AND(дома!$AA$29&gt;=AJ993,дома!$AA$29&lt;=AI993),связи1!AG993,0)</f>
        <v>0</v>
      </c>
    </row>
    <row r="994" customFormat="false" ht="15" hidden="false" customHeight="false" outlineLevel="0" collapsed="false">
      <c r="AG994" s="1159" t="n">
        <v>84.3000000000001</v>
      </c>
      <c r="AH994" s="1193" t="n">
        <f aca="false">AG994*3.1415926535897/180</f>
        <v>1.47131255943118</v>
      </c>
      <c r="AI994" s="1193" t="n">
        <f aca="false">AH994+0.0005</f>
        <v>1.47181255943118</v>
      </c>
      <c r="AJ994" s="1193" t="n">
        <f aca="false">AH994-0.0005</f>
        <v>1.47081255943118</v>
      </c>
      <c r="AK994" s="1159" t="n">
        <f aca="false">IF(AND(дома!$Z$29&gt;=AJ994,дома!$Z$29&lt;=AI994),связи1!AG994,0)</f>
        <v>0</v>
      </c>
      <c r="AL994" s="1159" t="n">
        <f aca="false">IF(AND(дома!$AA$29&gt;=AJ994,дома!$AA$29&lt;=AI994),связи1!AG994,0)</f>
        <v>0</v>
      </c>
    </row>
    <row r="995" customFormat="false" ht="15" hidden="false" customHeight="false" outlineLevel="0" collapsed="false">
      <c r="AG995" s="1159" t="n">
        <v>84.4000000000001</v>
      </c>
      <c r="AH995" s="1193" t="n">
        <f aca="false">AG995*3.1415926535897/180</f>
        <v>1.47305788868317</v>
      </c>
      <c r="AI995" s="1193" t="n">
        <f aca="false">AH995+0.0005</f>
        <v>1.47355788868317</v>
      </c>
      <c r="AJ995" s="1193" t="n">
        <f aca="false">AH995-0.0005</f>
        <v>1.47255788868317</v>
      </c>
      <c r="AK995" s="1159" t="n">
        <f aca="false">IF(AND(дома!$Z$29&gt;=AJ995,дома!$Z$29&lt;=AI995),связи1!AG995,0)</f>
        <v>0</v>
      </c>
      <c r="AL995" s="1159" t="n">
        <f aca="false">IF(AND(дома!$AA$29&gt;=AJ995,дома!$AA$29&lt;=AI995),связи1!AG995,0)</f>
        <v>0</v>
      </c>
    </row>
    <row r="996" customFormat="false" ht="15" hidden="false" customHeight="false" outlineLevel="0" collapsed="false">
      <c r="AG996" s="1159" t="n">
        <v>84.5000000000001</v>
      </c>
      <c r="AH996" s="1193" t="n">
        <f aca="false">AG996*3.1415926535897/180</f>
        <v>1.47480321793517</v>
      </c>
      <c r="AI996" s="1193" t="n">
        <f aca="false">AH996+0.0005</f>
        <v>1.47530321793517</v>
      </c>
      <c r="AJ996" s="1193" t="n">
        <f aca="false">AH996-0.0005</f>
        <v>1.47430321793517</v>
      </c>
      <c r="AK996" s="1159" t="n">
        <f aca="false">IF(AND(дома!$Z$29&gt;=AJ996,дома!$Z$29&lt;=AI996),связи1!AG996,0)</f>
        <v>0</v>
      </c>
      <c r="AL996" s="1159" t="n">
        <f aca="false">IF(AND(дома!$AA$29&gt;=AJ996,дома!$AA$29&lt;=AI996),связи1!AG996,0)</f>
        <v>0</v>
      </c>
    </row>
    <row r="997" customFormat="false" ht="15" hidden="false" customHeight="false" outlineLevel="0" collapsed="false">
      <c r="AG997" s="1159" t="n">
        <v>84.6000000000001</v>
      </c>
      <c r="AH997" s="1193" t="n">
        <f aca="false">AG997*3.1415926535897/180</f>
        <v>1.47654854718716</v>
      </c>
      <c r="AI997" s="1193" t="n">
        <f aca="false">AH997+0.0005</f>
        <v>1.47704854718716</v>
      </c>
      <c r="AJ997" s="1193" t="n">
        <f aca="false">AH997-0.0005</f>
        <v>1.47604854718716</v>
      </c>
      <c r="AK997" s="1159" t="n">
        <f aca="false">IF(AND(дома!$Z$29&gt;=AJ997,дома!$Z$29&lt;=AI997),связи1!AG997,0)</f>
        <v>0</v>
      </c>
      <c r="AL997" s="1159" t="n">
        <f aca="false">IF(AND(дома!$AA$29&gt;=AJ997,дома!$AA$29&lt;=AI997),связи1!AG997,0)</f>
        <v>0</v>
      </c>
    </row>
    <row r="998" customFormat="false" ht="15" hidden="false" customHeight="false" outlineLevel="0" collapsed="false">
      <c r="AG998" s="1159" t="n">
        <v>84.7000000000001</v>
      </c>
      <c r="AH998" s="1193" t="n">
        <f aca="false">AG998*3.1415926535897/180</f>
        <v>1.47829387643916</v>
      </c>
      <c r="AI998" s="1193" t="n">
        <f aca="false">AH998+0.0005</f>
        <v>1.47879387643916</v>
      </c>
      <c r="AJ998" s="1193" t="n">
        <f aca="false">AH998-0.0005</f>
        <v>1.47779387643916</v>
      </c>
      <c r="AK998" s="1159" t="n">
        <f aca="false">IF(AND(дома!$Z$29&gt;=AJ998,дома!$Z$29&lt;=AI998),связи1!AG998,0)</f>
        <v>0</v>
      </c>
      <c r="AL998" s="1159" t="n">
        <f aca="false">IF(AND(дома!$AA$29&gt;=AJ998,дома!$AA$29&lt;=AI998),связи1!AG998,0)</f>
        <v>0</v>
      </c>
    </row>
    <row r="999" customFormat="false" ht="15" hidden="false" customHeight="false" outlineLevel="0" collapsed="false">
      <c r="AG999" s="1159" t="n">
        <v>84.8000000000001</v>
      </c>
      <c r="AH999" s="1193" t="n">
        <f aca="false">AG999*3.1415926535897/180</f>
        <v>1.48003920569115</v>
      </c>
      <c r="AI999" s="1193" t="n">
        <f aca="false">AH999+0.0005</f>
        <v>1.48053920569115</v>
      </c>
      <c r="AJ999" s="1193" t="n">
        <f aca="false">AH999-0.0005</f>
        <v>1.47953920569115</v>
      </c>
      <c r="AK999" s="1159" t="n">
        <f aca="false">IF(AND(дома!$Z$29&gt;=AJ999,дома!$Z$29&lt;=AI999),связи1!AG999,0)</f>
        <v>0</v>
      </c>
      <c r="AL999" s="1159" t="n">
        <f aca="false">IF(AND(дома!$AA$29&gt;=AJ999,дома!$AA$29&lt;=AI999),связи1!AG999,0)</f>
        <v>0</v>
      </c>
    </row>
    <row r="1000" customFormat="false" ht="15" hidden="false" customHeight="false" outlineLevel="0" collapsed="false">
      <c r="AG1000" s="1159" t="n">
        <v>84.9000000000001</v>
      </c>
      <c r="AH1000" s="1193" t="n">
        <f aca="false">AG1000*3.1415926535897/180</f>
        <v>1.48178453494314</v>
      </c>
      <c r="AI1000" s="1193" t="n">
        <f aca="false">AH1000+0.0005</f>
        <v>1.48228453494314</v>
      </c>
      <c r="AJ1000" s="1193" t="n">
        <f aca="false">AH1000-0.0005</f>
        <v>1.48128453494314</v>
      </c>
      <c r="AK1000" s="1159" t="n">
        <f aca="false">IF(AND(дома!$Z$29&gt;=AJ1000,дома!$Z$29&lt;=AI1000),связи1!AG1000,0)</f>
        <v>0</v>
      </c>
      <c r="AL1000" s="1159" t="n">
        <f aca="false">IF(AND(дома!$AA$29&gt;=AJ1000,дома!$AA$29&lt;=AI1000),связи1!AG1000,0)</f>
        <v>0</v>
      </c>
    </row>
    <row r="1001" customFormat="false" ht="15" hidden="false" customHeight="false" outlineLevel="0" collapsed="false">
      <c r="AG1001" s="1159" t="n">
        <v>85.0000000000001</v>
      </c>
      <c r="AH1001" s="1193" t="n">
        <f aca="false">AG1001*3.1415926535897/180</f>
        <v>1.48352986419514</v>
      </c>
      <c r="AI1001" s="1193" t="n">
        <f aca="false">AH1001+0.0005</f>
        <v>1.48402986419514</v>
      </c>
      <c r="AJ1001" s="1193" t="n">
        <f aca="false">AH1001-0.0005</f>
        <v>1.48302986419514</v>
      </c>
      <c r="AK1001" s="1159" t="n">
        <f aca="false">IF(AND(дома!$Z$29&gt;=AJ1001,дома!$Z$29&lt;=AI1001),связи1!AG1001,0)</f>
        <v>0</v>
      </c>
      <c r="AL1001" s="1159" t="n">
        <f aca="false">IF(AND(дома!$AA$29&gt;=AJ1001,дома!$AA$29&lt;=AI1001),связи1!AG1001,0)</f>
        <v>0</v>
      </c>
    </row>
    <row r="1002" customFormat="false" ht="15" hidden="false" customHeight="false" outlineLevel="0" collapsed="false">
      <c r="AG1002" s="1159" t="n">
        <v>85.1000000000001</v>
      </c>
      <c r="AH1002" s="1193" t="n">
        <f aca="false">AG1002*3.1415926535897/180</f>
        <v>1.48527519344713</v>
      </c>
      <c r="AI1002" s="1193" t="n">
        <f aca="false">AH1002+0.0005</f>
        <v>1.48577519344713</v>
      </c>
      <c r="AJ1002" s="1193" t="n">
        <f aca="false">AH1002-0.0005</f>
        <v>1.48477519344713</v>
      </c>
      <c r="AK1002" s="1159" t="n">
        <f aca="false">IF(AND(дома!$Z$29&gt;=AJ1002,дома!$Z$29&lt;=AI1002),связи1!AG1002,0)</f>
        <v>0</v>
      </c>
      <c r="AL1002" s="1159" t="n">
        <f aca="false">IF(AND(дома!$AA$29&gt;=AJ1002,дома!$AA$29&lt;=AI1002),связи1!AG1002,0)</f>
        <v>0</v>
      </c>
    </row>
    <row r="1003" customFormat="false" ht="15" hidden="false" customHeight="false" outlineLevel="0" collapsed="false">
      <c r="AG1003" s="1159" t="n">
        <v>85.2000000000001</v>
      </c>
      <c r="AH1003" s="1193" t="n">
        <f aca="false">AG1003*3.1415926535897/180</f>
        <v>1.48702052269913</v>
      </c>
      <c r="AI1003" s="1193" t="n">
        <f aca="false">AH1003+0.0005</f>
        <v>1.48752052269913</v>
      </c>
      <c r="AJ1003" s="1193" t="n">
        <f aca="false">AH1003-0.0005</f>
        <v>1.48652052269913</v>
      </c>
      <c r="AK1003" s="1159" t="n">
        <f aca="false">IF(AND(дома!$Z$29&gt;=AJ1003,дома!$Z$29&lt;=AI1003),связи1!AG1003,0)</f>
        <v>0</v>
      </c>
      <c r="AL1003" s="1159" t="n">
        <f aca="false">IF(AND(дома!$AA$29&gt;=AJ1003,дома!$AA$29&lt;=AI1003),связи1!AG1003,0)</f>
        <v>0</v>
      </c>
    </row>
    <row r="1004" customFormat="false" ht="15" hidden="false" customHeight="false" outlineLevel="0" collapsed="false">
      <c r="AG1004" s="1159" t="n">
        <v>85.3000000000001</v>
      </c>
      <c r="AH1004" s="1193" t="n">
        <f aca="false">AG1004*3.1415926535897/180</f>
        <v>1.48876585195112</v>
      </c>
      <c r="AI1004" s="1193" t="n">
        <f aca="false">AH1004+0.0005</f>
        <v>1.48926585195112</v>
      </c>
      <c r="AJ1004" s="1193" t="n">
        <f aca="false">AH1004-0.0005</f>
        <v>1.48826585195112</v>
      </c>
      <c r="AK1004" s="1159" t="n">
        <f aca="false">IF(AND(дома!$Z$29&gt;=AJ1004,дома!$Z$29&lt;=AI1004),связи1!AG1004,0)</f>
        <v>0</v>
      </c>
      <c r="AL1004" s="1159" t="n">
        <f aca="false">IF(AND(дома!$AA$29&gt;=AJ1004,дома!$AA$29&lt;=AI1004),связи1!AG1004,0)</f>
        <v>0</v>
      </c>
    </row>
    <row r="1005" customFormat="false" ht="15" hidden="false" customHeight="false" outlineLevel="0" collapsed="false">
      <c r="AG1005" s="1159" t="n">
        <v>85.4000000000001</v>
      </c>
      <c r="AH1005" s="1193" t="n">
        <f aca="false">AG1005*3.1415926535897/180</f>
        <v>1.49051118120312</v>
      </c>
      <c r="AI1005" s="1193" t="n">
        <f aca="false">AH1005+0.0005</f>
        <v>1.49101118120312</v>
      </c>
      <c r="AJ1005" s="1193" t="n">
        <f aca="false">AH1005-0.0005</f>
        <v>1.49001118120312</v>
      </c>
      <c r="AK1005" s="1159" t="n">
        <f aca="false">IF(AND(дома!$Z$29&gt;=AJ1005,дома!$Z$29&lt;=AI1005),связи1!AG1005,0)</f>
        <v>0</v>
      </c>
      <c r="AL1005" s="1159" t="n">
        <f aca="false">IF(AND(дома!$AA$29&gt;=AJ1005,дома!$AA$29&lt;=AI1005),связи1!AG1005,0)</f>
        <v>0</v>
      </c>
    </row>
    <row r="1006" customFormat="false" ht="15" hidden="false" customHeight="false" outlineLevel="0" collapsed="false">
      <c r="AG1006" s="1159" t="n">
        <v>85.5000000000001</v>
      </c>
      <c r="AH1006" s="1193" t="n">
        <f aca="false">AG1006*3.1415926535897/180</f>
        <v>1.49225651045511</v>
      </c>
      <c r="AI1006" s="1193" t="n">
        <f aca="false">AH1006+0.0005</f>
        <v>1.49275651045511</v>
      </c>
      <c r="AJ1006" s="1193" t="n">
        <f aca="false">AH1006-0.0005</f>
        <v>1.49175651045511</v>
      </c>
      <c r="AK1006" s="1159" t="n">
        <f aca="false">IF(AND(дома!$Z$29&gt;=AJ1006,дома!$Z$29&lt;=AI1006),связи1!AG1006,0)</f>
        <v>0</v>
      </c>
      <c r="AL1006" s="1159" t="n">
        <f aca="false">IF(AND(дома!$AA$29&gt;=AJ1006,дома!$AA$29&lt;=AI1006),связи1!AG1006,0)</f>
        <v>0</v>
      </c>
    </row>
    <row r="1007" customFormat="false" ht="15" hidden="false" customHeight="false" outlineLevel="0" collapsed="false">
      <c r="AG1007" s="1159" t="n">
        <v>85.6000000000001</v>
      </c>
      <c r="AH1007" s="1193" t="n">
        <f aca="false">AG1007*3.1415926535897/180</f>
        <v>1.4940018397071</v>
      </c>
      <c r="AI1007" s="1193" t="n">
        <f aca="false">AH1007+0.0005</f>
        <v>1.4945018397071</v>
      </c>
      <c r="AJ1007" s="1193" t="n">
        <f aca="false">AH1007-0.0005</f>
        <v>1.4935018397071</v>
      </c>
      <c r="AK1007" s="1159" t="n">
        <f aca="false">IF(AND(дома!$Z$29&gt;=AJ1007,дома!$Z$29&lt;=AI1007),связи1!AG1007,0)</f>
        <v>0</v>
      </c>
      <c r="AL1007" s="1159" t="n">
        <f aca="false">IF(AND(дома!$AA$29&gt;=AJ1007,дома!$AA$29&lt;=AI1007),связи1!AG1007,0)</f>
        <v>0</v>
      </c>
    </row>
    <row r="1008" customFormat="false" ht="15" hidden="false" customHeight="false" outlineLevel="0" collapsed="false">
      <c r="AG1008" s="1159" t="n">
        <v>85.7000000000001</v>
      </c>
      <c r="AH1008" s="1193" t="n">
        <f aca="false">AG1008*3.1415926535897/180</f>
        <v>1.4957471689591</v>
      </c>
      <c r="AI1008" s="1193" t="n">
        <f aca="false">AH1008+0.0005</f>
        <v>1.4962471689591</v>
      </c>
      <c r="AJ1008" s="1193" t="n">
        <f aca="false">AH1008-0.0005</f>
        <v>1.4952471689591</v>
      </c>
      <c r="AK1008" s="1159" t="n">
        <f aca="false">IF(AND(дома!$Z$29&gt;=AJ1008,дома!$Z$29&lt;=AI1008),связи1!AG1008,0)</f>
        <v>0</v>
      </c>
      <c r="AL1008" s="1159" t="n">
        <f aca="false">IF(AND(дома!$AA$29&gt;=AJ1008,дома!$AA$29&lt;=AI1008),связи1!AG1008,0)</f>
        <v>0</v>
      </c>
    </row>
    <row r="1009" customFormat="false" ht="15" hidden="false" customHeight="false" outlineLevel="0" collapsed="false">
      <c r="AG1009" s="1159" t="n">
        <v>85.8000000000001</v>
      </c>
      <c r="AH1009" s="1193" t="n">
        <f aca="false">AG1009*3.1415926535897/180</f>
        <v>1.49749249821109</v>
      </c>
      <c r="AI1009" s="1193" t="n">
        <f aca="false">AH1009+0.0005</f>
        <v>1.49799249821109</v>
      </c>
      <c r="AJ1009" s="1193" t="n">
        <f aca="false">AH1009-0.0005</f>
        <v>1.49699249821109</v>
      </c>
      <c r="AK1009" s="1159" t="n">
        <f aca="false">IF(AND(дома!$Z$29&gt;=AJ1009,дома!$Z$29&lt;=AI1009),связи1!AG1009,0)</f>
        <v>0</v>
      </c>
      <c r="AL1009" s="1159" t="n">
        <f aca="false">IF(AND(дома!$AA$29&gt;=AJ1009,дома!$AA$29&lt;=AI1009),связи1!AG1009,0)</f>
        <v>0</v>
      </c>
    </row>
    <row r="1010" customFormat="false" ht="15" hidden="false" customHeight="false" outlineLevel="0" collapsed="false">
      <c r="AG1010" s="1159" t="n">
        <v>85.9000000000001</v>
      </c>
      <c r="AH1010" s="1193" t="n">
        <f aca="false">AG1010*3.1415926535897/180</f>
        <v>1.49923782746309</v>
      </c>
      <c r="AI1010" s="1193" t="n">
        <f aca="false">AH1010+0.0005</f>
        <v>1.49973782746309</v>
      </c>
      <c r="AJ1010" s="1193" t="n">
        <f aca="false">AH1010-0.0005</f>
        <v>1.49873782746309</v>
      </c>
      <c r="AK1010" s="1159" t="n">
        <f aca="false">IF(AND(дома!$Z$29&gt;=AJ1010,дома!$Z$29&lt;=AI1010),связи1!AG1010,0)</f>
        <v>0</v>
      </c>
      <c r="AL1010" s="1159" t="n">
        <f aca="false">IF(AND(дома!$AA$29&gt;=AJ1010,дома!$AA$29&lt;=AI1010),связи1!AG1010,0)</f>
        <v>0</v>
      </c>
    </row>
    <row r="1011" customFormat="false" ht="15" hidden="false" customHeight="false" outlineLevel="0" collapsed="false">
      <c r="AG1011" s="1159" t="n">
        <v>86.0000000000001</v>
      </c>
      <c r="AH1011" s="1193" t="n">
        <f aca="false">AG1011*3.1415926535897/180</f>
        <v>1.50098315671508</v>
      </c>
      <c r="AI1011" s="1193" t="n">
        <f aca="false">AH1011+0.0005</f>
        <v>1.50148315671508</v>
      </c>
      <c r="AJ1011" s="1193" t="n">
        <f aca="false">AH1011-0.0005</f>
        <v>1.50048315671508</v>
      </c>
      <c r="AK1011" s="1159" t="n">
        <f aca="false">IF(AND(дома!$Z$29&gt;=AJ1011,дома!$Z$29&lt;=AI1011),связи1!AG1011,0)</f>
        <v>0</v>
      </c>
      <c r="AL1011" s="1159" t="n">
        <f aca="false">IF(AND(дома!$AA$29&gt;=AJ1011,дома!$AA$29&lt;=AI1011),связи1!AG1011,0)</f>
        <v>0</v>
      </c>
    </row>
    <row r="1012" customFormat="false" ht="15" hidden="false" customHeight="false" outlineLevel="0" collapsed="false">
      <c r="AG1012" s="1159" t="n">
        <v>86.1000000000001</v>
      </c>
      <c r="AH1012" s="1193" t="n">
        <f aca="false">AG1012*3.1415926535897/180</f>
        <v>1.50272848596707</v>
      </c>
      <c r="AI1012" s="1193" t="n">
        <f aca="false">AH1012+0.0005</f>
        <v>1.50322848596707</v>
      </c>
      <c r="AJ1012" s="1193" t="n">
        <f aca="false">AH1012-0.0005</f>
        <v>1.50222848596707</v>
      </c>
      <c r="AK1012" s="1159" t="n">
        <f aca="false">IF(AND(дома!$Z$29&gt;=AJ1012,дома!$Z$29&lt;=AI1012),связи1!AG1012,0)</f>
        <v>0</v>
      </c>
      <c r="AL1012" s="1159" t="n">
        <f aca="false">IF(AND(дома!$AA$29&gt;=AJ1012,дома!$AA$29&lt;=AI1012),связи1!AG1012,0)</f>
        <v>0</v>
      </c>
    </row>
    <row r="1013" customFormat="false" ht="15" hidden="false" customHeight="false" outlineLevel="0" collapsed="false">
      <c r="AG1013" s="1159" t="n">
        <v>86.2000000000001</v>
      </c>
      <c r="AH1013" s="1193" t="n">
        <f aca="false">AG1013*3.1415926535897/180</f>
        <v>1.50447381521907</v>
      </c>
      <c r="AI1013" s="1193" t="n">
        <f aca="false">AH1013+0.0005</f>
        <v>1.50497381521907</v>
      </c>
      <c r="AJ1013" s="1193" t="n">
        <f aca="false">AH1013-0.0005</f>
        <v>1.50397381521907</v>
      </c>
      <c r="AK1013" s="1159" t="n">
        <f aca="false">IF(AND(дома!$Z$29&gt;=AJ1013,дома!$Z$29&lt;=AI1013),связи1!AG1013,0)</f>
        <v>0</v>
      </c>
      <c r="AL1013" s="1159" t="n">
        <f aca="false">IF(AND(дома!$AA$29&gt;=AJ1013,дома!$AA$29&lt;=AI1013),связи1!AG1013,0)</f>
        <v>0</v>
      </c>
    </row>
    <row r="1014" customFormat="false" ht="15" hidden="false" customHeight="false" outlineLevel="0" collapsed="false">
      <c r="AG1014" s="1159" t="n">
        <v>86.3000000000001</v>
      </c>
      <c r="AH1014" s="1193" t="n">
        <f aca="false">AG1014*3.1415926535897/180</f>
        <v>1.50621914447106</v>
      </c>
      <c r="AI1014" s="1193" t="n">
        <f aca="false">AH1014+0.0005</f>
        <v>1.50671914447106</v>
      </c>
      <c r="AJ1014" s="1193" t="n">
        <f aca="false">AH1014-0.0005</f>
        <v>1.50571914447106</v>
      </c>
      <c r="AK1014" s="1159" t="n">
        <f aca="false">IF(AND(дома!$Z$29&gt;=AJ1014,дома!$Z$29&lt;=AI1014),связи1!AG1014,0)</f>
        <v>0</v>
      </c>
      <c r="AL1014" s="1159" t="n">
        <f aca="false">IF(AND(дома!$AA$29&gt;=AJ1014,дома!$AA$29&lt;=AI1014),связи1!AG1014,0)</f>
        <v>0</v>
      </c>
    </row>
    <row r="1015" customFormat="false" ht="15" hidden="false" customHeight="false" outlineLevel="0" collapsed="false">
      <c r="AG1015" s="1159" t="n">
        <v>86.4000000000001</v>
      </c>
      <c r="AH1015" s="1193" t="n">
        <f aca="false">AG1015*3.1415926535897/180</f>
        <v>1.50796447372306</v>
      </c>
      <c r="AI1015" s="1193" t="n">
        <f aca="false">AH1015+0.0005</f>
        <v>1.50846447372306</v>
      </c>
      <c r="AJ1015" s="1193" t="n">
        <f aca="false">AH1015-0.0005</f>
        <v>1.50746447372306</v>
      </c>
      <c r="AK1015" s="1159" t="n">
        <f aca="false">IF(AND(дома!$Z$29&gt;=AJ1015,дома!$Z$29&lt;=AI1015),связи1!AG1015,0)</f>
        <v>0</v>
      </c>
      <c r="AL1015" s="1159" t="n">
        <f aca="false">IF(AND(дома!$AA$29&gt;=AJ1015,дома!$AA$29&lt;=AI1015),связи1!AG1015,0)</f>
        <v>0</v>
      </c>
    </row>
    <row r="1016" customFormat="false" ht="15" hidden="false" customHeight="false" outlineLevel="0" collapsed="false">
      <c r="AG1016" s="1159" t="n">
        <v>86.5000000000001</v>
      </c>
      <c r="AH1016" s="1193" t="n">
        <f aca="false">AG1016*3.1415926535897/180</f>
        <v>1.50970980297505</v>
      </c>
      <c r="AI1016" s="1193" t="n">
        <f aca="false">AH1016+0.0005</f>
        <v>1.51020980297505</v>
      </c>
      <c r="AJ1016" s="1193" t="n">
        <f aca="false">AH1016-0.0005</f>
        <v>1.50920980297505</v>
      </c>
      <c r="AK1016" s="1159" t="n">
        <f aca="false">IF(AND(дома!$Z$29&gt;=AJ1016,дома!$Z$29&lt;=AI1016),связи1!AG1016,0)</f>
        <v>0</v>
      </c>
      <c r="AL1016" s="1159" t="n">
        <f aca="false">IF(AND(дома!$AA$29&gt;=AJ1016,дома!$AA$29&lt;=AI1016),связи1!AG1016,0)</f>
        <v>0</v>
      </c>
    </row>
    <row r="1017" customFormat="false" ht="15" hidden="false" customHeight="false" outlineLevel="0" collapsed="false">
      <c r="AG1017" s="1159" t="n">
        <v>86.6000000000001</v>
      </c>
      <c r="AH1017" s="1193" t="n">
        <f aca="false">AG1017*3.1415926535897/180</f>
        <v>1.51145513222705</v>
      </c>
      <c r="AI1017" s="1193" t="n">
        <f aca="false">AH1017+0.0005</f>
        <v>1.51195513222705</v>
      </c>
      <c r="AJ1017" s="1193" t="n">
        <f aca="false">AH1017-0.0005</f>
        <v>1.51095513222705</v>
      </c>
      <c r="AK1017" s="1159" t="n">
        <f aca="false">IF(AND(дома!$Z$29&gt;=AJ1017,дома!$Z$29&lt;=AI1017),связи1!AG1017,0)</f>
        <v>0</v>
      </c>
      <c r="AL1017" s="1159" t="n">
        <f aca="false">IF(AND(дома!$AA$29&gt;=AJ1017,дома!$AA$29&lt;=AI1017),связи1!AG1017,0)</f>
        <v>0</v>
      </c>
    </row>
    <row r="1018" customFormat="false" ht="15" hidden="false" customHeight="false" outlineLevel="0" collapsed="false">
      <c r="AG1018" s="1159" t="n">
        <v>86.7000000000001</v>
      </c>
      <c r="AH1018" s="1193" t="n">
        <f aca="false">AG1018*3.1415926535897/180</f>
        <v>1.51320046147904</v>
      </c>
      <c r="AI1018" s="1193" t="n">
        <f aca="false">AH1018+0.0005</f>
        <v>1.51370046147904</v>
      </c>
      <c r="AJ1018" s="1193" t="n">
        <f aca="false">AH1018-0.0005</f>
        <v>1.51270046147904</v>
      </c>
      <c r="AK1018" s="1159" t="n">
        <f aca="false">IF(AND(дома!$Z$29&gt;=AJ1018,дома!$Z$29&lt;=AI1018),связи1!AG1018,0)</f>
        <v>0</v>
      </c>
      <c r="AL1018" s="1159" t="n">
        <f aca="false">IF(AND(дома!$AA$29&gt;=AJ1018,дома!$AA$29&lt;=AI1018),связи1!AG1018,0)</f>
        <v>0</v>
      </c>
    </row>
    <row r="1019" customFormat="false" ht="15" hidden="false" customHeight="false" outlineLevel="0" collapsed="false">
      <c r="AG1019" s="1159" t="n">
        <v>86.8000000000001</v>
      </c>
      <c r="AH1019" s="1193" t="n">
        <f aca="false">AG1019*3.1415926535897/180</f>
        <v>1.51494579073103</v>
      </c>
      <c r="AI1019" s="1193" t="n">
        <f aca="false">AH1019+0.0005</f>
        <v>1.51544579073103</v>
      </c>
      <c r="AJ1019" s="1193" t="n">
        <f aca="false">AH1019-0.0005</f>
        <v>1.51444579073104</v>
      </c>
      <c r="AK1019" s="1159" t="n">
        <f aca="false">IF(AND(дома!$Z$29&gt;=AJ1019,дома!$Z$29&lt;=AI1019),связи1!AG1019,0)</f>
        <v>0</v>
      </c>
      <c r="AL1019" s="1159" t="n">
        <f aca="false">IF(AND(дома!$AA$29&gt;=AJ1019,дома!$AA$29&lt;=AI1019),связи1!AG1019,0)</f>
        <v>0</v>
      </c>
    </row>
    <row r="1020" customFormat="false" ht="15" hidden="false" customHeight="false" outlineLevel="0" collapsed="false">
      <c r="AG1020" s="1159" t="n">
        <v>86.9000000000001</v>
      </c>
      <c r="AH1020" s="1193" t="n">
        <f aca="false">AG1020*3.1415926535897/180</f>
        <v>1.51669111998303</v>
      </c>
      <c r="AI1020" s="1193" t="n">
        <f aca="false">AH1020+0.0005</f>
        <v>1.51719111998303</v>
      </c>
      <c r="AJ1020" s="1193" t="n">
        <f aca="false">AH1020-0.0005</f>
        <v>1.51619111998303</v>
      </c>
      <c r="AK1020" s="1159" t="n">
        <f aca="false">IF(AND(дома!$Z$29&gt;=AJ1020,дома!$Z$29&lt;=AI1020),связи1!AG1020,0)</f>
        <v>0</v>
      </c>
      <c r="AL1020" s="1159" t="n">
        <f aca="false">IF(AND(дома!$AA$29&gt;=AJ1020,дома!$AA$29&lt;=AI1020),связи1!AG1020,0)</f>
        <v>0</v>
      </c>
    </row>
    <row r="1021" customFormat="false" ht="15" hidden="false" customHeight="false" outlineLevel="0" collapsed="false">
      <c r="AG1021" s="1159" t="n">
        <v>87.0000000000001</v>
      </c>
      <c r="AH1021" s="1193" t="n">
        <f aca="false">AG1021*3.1415926535897/180</f>
        <v>1.51843644923502</v>
      </c>
      <c r="AI1021" s="1193" t="n">
        <f aca="false">AH1021+0.0005</f>
        <v>1.51893644923502</v>
      </c>
      <c r="AJ1021" s="1193" t="n">
        <f aca="false">AH1021-0.0005</f>
        <v>1.51793644923502</v>
      </c>
      <c r="AK1021" s="1159" t="n">
        <f aca="false">IF(AND(дома!$Z$29&gt;=AJ1021,дома!$Z$29&lt;=AI1021),связи1!AG1021,0)</f>
        <v>0</v>
      </c>
      <c r="AL1021" s="1159" t="n">
        <f aca="false">IF(AND(дома!$AA$29&gt;=AJ1021,дома!$AA$29&lt;=AI1021),связи1!AG1021,0)</f>
        <v>0</v>
      </c>
    </row>
    <row r="1022" customFormat="false" ht="15" hidden="false" customHeight="false" outlineLevel="0" collapsed="false">
      <c r="AG1022" s="1159" t="n">
        <v>87.1000000000001</v>
      </c>
      <c r="AH1022" s="1193" t="n">
        <f aca="false">AG1022*3.1415926535897/180</f>
        <v>1.52018177848702</v>
      </c>
      <c r="AI1022" s="1193" t="n">
        <f aca="false">AH1022+0.0005</f>
        <v>1.52068177848702</v>
      </c>
      <c r="AJ1022" s="1193" t="n">
        <f aca="false">AH1022-0.0005</f>
        <v>1.51968177848702</v>
      </c>
      <c r="AK1022" s="1159" t="n">
        <f aca="false">IF(AND(дома!$Z$29&gt;=AJ1022,дома!$Z$29&lt;=AI1022),связи1!AG1022,0)</f>
        <v>0</v>
      </c>
      <c r="AL1022" s="1159" t="n">
        <f aca="false">IF(AND(дома!$AA$29&gt;=AJ1022,дома!$AA$29&lt;=AI1022),связи1!AG1022,0)</f>
        <v>0</v>
      </c>
    </row>
    <row r="1023" customFormat="false" ht="15" hidden="false" customHeight="false" outlineLevel="0" collapsed="false">
      <c r="AG1023" s="1159" t="n">
        <v>87.2000000000001</v>
      </c>
      <c r="AH1023" s="1193" t="n">
        <f aca="false">AG1023*3.1415926535897/180</f>
        <v>1.52192710773901</v>
      </c>
      <c r="AI1023" s="1193" t="n">
        <f aca="false">AH1023+0.0005</f>
        <v>1.52242710773901</v>
      </c>
      <c r="AJ1023" s="1193" t="n">
        <f aca="false">AH1023-0.0005</f>
        <v>1.52142710773901</v>
      </c>
      <c r="AK1023" s="1159" t="n">
        <f aca="false">IF(AND(дома!$Z$29&gt;=AJ1023,дома!$Z$29&lt;=AI1023),связи1!AG1023,0)</f>
        <v>0</v>
      </c>
      <c r="AL1023" s="1159" t="n">
        <f aca="false">IF(AND(дома!$AA$29&gt;=AJ1023,дома!$AA$29&lt;=AI1023),связи1!AG1023,0)</f>
        <v>0</v>
      </c>
    </row>
    <row r="1024" customFormat="false" ht="15" hidden="false" customHeight="false" outlineLevel="0" collapsed="false">
      <c r="AG1024" s="1159" t="n">
        <v>87.3000000000001</v>
      </c>
      <c r="AH1024" s="1193" t="n">
        <f aca="false">AG1024*3.1415926535897/180</f>
        <v>1.52367243699101</v>
      </c>
      <c r="AI1024" s="1193" t="n">
        <f aca="false">AH1024+0.0005</f>
        <v>1.52417243699101</v>
      </c>
      <c r="AJ1024" s="1193" t="n">
        <f aca="false">AH1024-0.0005</f>
        <v>1.52317243699101</v>
      </c>
      <c r="AK1024" s="1159" t="n">
        <f aca="false">IF(AND(дома!$Z$29&gt;=AJ1024,дома!$Z$29&lt;=AI1024),связи1!AG1024,0)</f>
        <v>0</v>
      </c>
      <c r="AL1024" s="1159" t="n">
        <f aca="false">IF(AND(дома!$AA$29&gt;=AJ1024,дома!$AA$29&lt;=AI1024),связи1!AG1024,0)</f>
        <v>0</v>
      </c>
    </row>
    <row r="1025" customFormat="false" ht="15" hidden="false" customHeight="false" outlineLevel="0" collapsed="false">
      <c r="AG1025" s="1159" t="n">
        <v>87.4000000000001</v>
      </c>
      <c r="AH1025" s="1193" t="n">
        <f aca="false">AG1025*3.1415926535897/180</f>
        <v>1.525417766243</v>
      </c>
      <c r="AI1025" s="1193" t="n">
        <f aca="false">AH1025+0.0005</f>
        <v>1.525917766243</v>
      </c>
      <c r="AJ1025" s="1193" t="n">
        <f aca="false">AH1025-0.0005</f>
        <v>1.524917766243</v>
      </c>
      <c r="AK1025" s="1159" t="n">
        <f aca="false">IF(AND(дома!$Z$29&gt;=AJ1025,дома!$Z$29&lt;=AI1025),связи1!AG1025,0)</f>
        <v>0</v>
      </c>
      <c r="AL1025" s="1159" t="n">
        <f aca="false">IF(AND(дома!$AA$29&gt;=AJ1025,дома!$AA$29&lt;=AI1025),связи1!AG1025,0)</f>
        <v>0</v>
      </c>
    </row>
    <row r="1026" customFormat="false" ht="15" hidden="false" customHeight="false" outlineLevel="0" collapsed="false">
      <c r="AG1026" s="1159" t="n">
        <v>87.5000000000001</v>
      </c>
      <c r="AH1026" s="1193" t="n">
        <f aca="false">AG1026*3.1415926535897/180</f>
        <v>1.52716309549499</v>
      </c>
      <c r="AI1026" s="1193" t="n">
        <f aca="false">AH1026+0.0005</f>
        <v>1.52766309549499</v>
      </c>
      <c r="AJ1026" s="1193" t="n">
        <f aca="false">AH1026-0.0005</f>
        <v>1.52666309549499</v>
      </c>
      <c r="AK1026" s="1159" t="n">
        <f aca="false">IF(AND(дома!$Z$29&gt;=AJ1026,дома!$Z$29&lt;=AI1026),связи1!AG1026,0)</f>
        <v>0</v>
      </c>
      <c r="AL1026" s="1159" t="n">
        <f aca="false">IF(AND(дома!$AA$29&gt;=AJ1026,дома!$AA$29&lt;=AI1026),связи1!AG1026,0)</f>
        <v>0</v>
      </c>
    </row>
    <row r="1027" customFormat="false" ht="15" hidden="false" customHeight="false" outlineLevel="0" collapsed="false">
      <c r="AG1027" s="1159" t="n">
        <v>87.6000000000001</v>
      </c>
      <c r="AH1027" s="1193" t="n">
        <f aca="false">AG1027*3.1415926535897/180</f>
        <v>1.52890842474699</v>
      </c>
      <c r="AI1027" s="1193" t="n">
        <f aca="false">AH1027+0.0005</f>
        <v>1.52940842474699</v>
      </c>
      <c r="AJ1027" s="1193" t="n">
        <f aca="false">AH1027-0.0005</f>
        <v>1.52840842474699</v>
      </c>
      <c r="AK1027" s="1159" t="n">
        <f aca="false">IF(AND(дома!$Z$29&gt;=AJ1027,дома!$Z$29&lt;=AI1027),связи1!AG1027,0)</f>
        <v>0</v>
      </c>
      <c r="AL1027" s="1159" t="n">
        <f aca="false">IF(AND(дома!$AA$29&gt;=AJ1027,дома!$AA$29&lt;=AI1027),связи1!AG1027,0)</f>
        <v>0</v>
      </c>
    </row>
    <row r="1028" customFormat="false" ht="15" hidden="false" customHeight="false" outlineLevel="0" collapsed="false">
      <c r="AG1028" s="1159" t="n">
        <v>87.7000000000001</v>
      </c>
      <c r="AH1028" s="1193" t="n">
        <f aca="false">AG1028*3.1415926535897/180</f>
        <v>1.53065375399898</v>
      </c>
      <c r="AI1028" s="1193" t="n">
        <f aca="false">AH1028+0.0005</f>
        <v>1.53115375399898</v>
      </c>
      <c r="AJ1028" s="1193" t="n">
        <f aca="false">AH1028-0.0005</f>
        <v>1.53015375399898</v>
      </c>
      <c r="AK1028" s="1159" t="n">
        <f aca="false">IF(AND(дома!$Z$29&gt;=AJ1028,дома!$Z$29&lt;=AI1028),связи1!AG1028,0)</f>
        <v>0</v>
      </c>
      <c r="AL1028" s="1159" t="n">
        <f aca="false">IF(AND(дома!$AA$29&gt;=AJ1028,дома!$AA$29&lt;=AI1028),связи1!AG1028,0)</f>
        <v>0</v>
      </c>
    </row>
    <row r="1029" customFormat="false" ht="15" hidden="false" customHeight="false" outlineLevel="0" collapsed="false">
      <c r="AG1029" s="1159" t="n">
        <v>87.8000000000001</v>
      </c>
      <c r="AH1029" s="1193" t="n">
        <f aca="false">AG1029*3.1415926535897/180</f>
        <v>1.53239908325098</v>
      </c>
      <c r="AI1029" s="1193" t="n">
        <f aca="false">AH1029+0.0005</f>
        <v>1.53289908325098</v>
      </c>
      <c r="AJ1029" s="1193" t="n">
        <f aca="false">AH1029-0.0005</f>
        <v>1.53189908325098</v>
      </c>
      <c r="AK1029" s="1159" t="n">
        <f aca="false">IF(AND(дома!$Z$29&gt;=AJ1029,дома!$Z$29&lt;=AI1029),связи1!AG1029,0)</f>
        <v>0</v>
      </c>
      <c r="AL1029" s="1159" t="n">
        <f aca="false">IF(AND(дома!$AA$29&gt;=AJ1029,дома!$AA$29&lt;=AI1029),связи1!AG1029,0)</f>
        <v>0</v>
      </c>
    </row>
    <row r="1030" customFormat="false" ht="15" hidden="false" customHeight="false" outlineLevel="0" collapsed="false">
      <c r="AG1030" s="1159" t="n">
        <v>87.9000000000001</v>
      </c>
      <c r="AH1030" s="1193" t="n">
        <f aca="false">AG1030*3.1415926535897/180</f>
        <v>1.53414441250297</v>
      </c>
      <c r="AI1030" s="1193" t="n">
        <f aca="false">AH1030+0.0005</f>
        <v>1.53464441250297</v>
      </c>
      <c r="AJ1030" s="1193" t="n">
        <f aca="false">AH1030-0.0005</f>
        <v>1.53364441250297</v>
      </c>
      <c r="AK1030" s="1159" t="n">
        <f aca="false">IF(AND(дома!$Z$29&gt;=AJ1030,дома!$Z$29&lt;=AI1030),связи1!AG1030,0)</f>
        <v>0</v>
      </c>
      <c r="AL1030" s="1159" t="n">
        <f aca="false">IF(AND(дома!$AA$29&gt;=AJ1030,дома!$AA$29&lt;=AI1030),связи1!AG1030,0)</f>
        <v>0</v>
      </c>
    </row>
    <row r="1031" customFormat="false" ht="15" hidden="false" customHeight="false" outlineLevel="0" collapsed="false">
      <c r="AG1031" s="1159" t="n">
        <v>88.0000000000001</v>
      </c>
      <c r="AH1031" s="1193" t="n">
        <f aca="false">AG1031*3.1415926535897/180</f>
        <v>1.53588974175497</v>
      </c>
      <c r="AI1031" s="1193" t="n">
        <f aca="false">AH1031+0.0005</f>
        <v>1.53638974175497</v>
      </c>
      <c r="AJ1031" s="1193" t="n">
        <f aca="false">AH1031-0.0005</f>
        <v>1.53538974175497</v>
      </c>
      <c r="AK1031" s="1159" t="n">
        <f aca="false">IF(AND(дома!$Z$29&gt;=AJ1031,дома!$Z$29&lt;=AI1031),связи1!AG1031,0)</f>
        <v>0</v>
      </c>
      <c r="AL1031" s="1159" t="n">
        <f aca="false">IF(AND(дома!$AA$29&gt;=AJ1031,дома!$AA$29&lt;=AI1031),связи1!AG1031,0)</f>
        <v>0</v>
      </c>
    </row>
    <row r="1032" customFormat="false" ht="15" hidden="false" customHeight="false" outlineLevel="0" collapsed="false">
      <c r="AG1032" s="1159" t="n">
        <v>88.1000000000001</v>
      </c>
      <c r="AH1032" s="1193" t="n">
        <f aca="false">AG1032*3.1415926535897/180</f>
        <v>1.53763507100696</v>
      </c>
      <c r="AI1032" s="1193" t="n">
        <f aca="false">AH1032+0.0005</f>
        <v>1.53813507100696</v>
      </c>
      <c r="AJ1032" s="1193" t="n">
        <f aca="false">AH1032-0.0005</f>
        <v>1.53713507100696</v>
      </c>
      <c r="AK1032" s="1159" t="n">
        <f aca="false">IF(AND(дома!$Z$29&gt;=AJ1032,дома!$Z$29&lt;=AI1032),связи1!AG1032,0)</f>
        <v>0</v>
      </c>
      <c r="AL1032" s="1159" t="n">
        <f aca="false">IF(AND(дома!$AA$29&gt;=AJ1032,дома!$AA$29&lt;=AI1032),связи1!AG1032,0)</f>
        <v>0</v>
      </c>
    </row>
    <row r="1033" customFormat="false" ht="15" hidden="false" customHeight="false" outlineLevel="0" collapsed="false">
      <c r="AG1033" s="1159" t="n">
        <v>88.2000000000001</v>
      </c>
      <c r="AH1033" s="1193" t="n">
        <f aca="false">AG1033*3.1415926535897/180</f>
        <v>1.53938040025895</v>
      </c>
      <c r="AI1033" s="1193" t="n">
        <f aca="false">AH1033+0.0005</f>
        <v>1.53988040025895</v>
      </c>
      <c r="AJ1033" s="1193" t="n">
        <f aca="false">AH1033-0.0005</f>
        <v>1.53888040025896</v>
      </c>
      <c r="AK1033" s="1159" t="n">
        <f aca="false">IF(AND(дома!$Z$29&gt;=AJ1033,дома!$Z$29&lt;=AI1033),связи1!AG1033,0)</f>
        <v>0</v>
      </c>
      <c r="AL1033" s="1159" t="n">
        <f aca="false">IF(AND(дома!$AA$29&gt;=AJ1033,дома!$AA$29&lt;=AI1033),связи1!AG1033,0)</f>
        <v>0</v>
      </c>
    </row>
    <row r="1034" customFormat="false" ht="15" hidden="false" customHeight="false" outlineLevel="0" collapsed="false">
      <c r="AG1034" s="1159" t="n">
        <v>88.3000000000001</v>
      </c>
      <c r="AH1034" s="1193" t="n">
        <f aca="false">AG1034*3.1415926535897/180</f>
        <v>1.54112572951095</v>
      </c>
      <c r="AI1034" s="1193" t="n">
        <f aca="false">AH1034+0.0005</f>
        <v>1.54162572951095</v>
      </c>
      <c r="AJ1034" s="1193" t="n">
        <f aca="false">AH1034-0.0005</f>
        <v>1.54062572951095</v>
      </c>
      <c r="AK1034" s="1159" t="n">
        <f aca="false">IF(AND(дома!$Z$29&gt;=AJ1034,дома!$Z$29&lt;=AI1034),связи1!AG1034,0)</f>
        <v>0</v>
      </c>
      <c r="AL1034" s="1159" t="n">
        <f aca="false">IF(AND(дома!$AA$29&gt;=AJ1034,дома!$AA$29&lt;=AI1034),связи1!AG1034,0)</f>
        <v>0</v>
      </c>
    </row>
    <row r="1035" customFormat="false" ht="15" hidden="false" customHeight="false" outlineLevel="0" collapsed="false">
      <c r="AG1035" s="1159" t="n">
        <v>88.4000000000001</v>
      </c>
      <c r="AH1035" s="1193" t="n">
        <f aca="false">AG1035*3.1415926535897/180</f>
        <v>1.54287105876294</v>
      </c>
      <c r="AI1035" s="1193" t="n">
        <f aca="false">AH1035+0.0005</f>
        <v>1.54337105876294</v>
      </c>
      <c r="AJ1035" s="1193" t="n">
        <f aca="false">AH1035-0.0005</f>
        <v>1.54237105876294</v>
      </c>
      <c r="AK1035" s="1159" t="n">
        <f aca="false">IF(AND(дома!$Z$29&gt;=AJ1035,дома!$Z$29&lt;=AI1035),связи1!AG1035,0)</f>
        <v>0</v>
      </c>
      <c r="AL1035" s="1159" t="n">
        <f aca="false">IF(AND(дома!$AA$29&gt;=AJ1035,дома!$AA$29&lt;=AI1035),связи1!AG1035,0)</f>
        <v>0</v>
      </c>
    </row>
    <row r="1036" customFormat="false" ht="15" hidden="false" customHeight="false" outlineLevel="0" collapsed="false">
      <c r="AG1036" s="1159" t="n">
        <v>88.5000000000001</v>
      </c>
      <c r="AH1036" s="1193" t="n">
        <f aca="false">AG1036*3.1415926535897/180</f>
        <v>1.54461638801494</v>
      </c>
      <c r="AI1036" s="1193" t="n">
        <f aca="false">AH1036+0.0005</f>
        <v>1.54511638801494</v>
      </c>
      <c r="AJ1036" s="1193" t="n">
        <f aca="false">AH1036-0.0005</f>
        <v>1.54411638801494</v>
      </c>
      <c r="AK1036" s="1159" t="n">
        <f aca="false">IF(AND(дома!$Z$29&gt;=AJ1036,дома!$Z$29&lt;=AI1036),связи1!AG1036,0)</f>
        <v>0</v>
      </c>
      <c r="AL1036" s="1159" t="n">
        <f aca="false">IF(AND(дома!$AA$29&gt;=AJ1036,дома!$AA$29&lt;=AI1036),связи1!AG1036,0)</f>
        <v>0</v>
      </c>
    </row>
    <row r="1037" customFormat="false" ht="15" hidden="false" customHeight="false" outlineLevel="0" collapsed="false">
      <c r="AG1037" s="1159" t="n">
        <v>88.6000000000001</v>
      </c>
      <c r="AH1037" s="1193" t="n">
        <f aca="false">AG1037*3.1415926535897/180</f>
        <v>1.54636171726693</v>
      </c>
      <c r="AI1037" s="1193" t="n">
        <f aca="false">AH1037+0.0005</f>
        <v>1.54686171726693</v>
      </c>
      <c r="AJ1037" s="1193" t="n">
        <f aca="false">AH1037-0.0005</f>
        <v>1.54586171726693</v>
      </c>
      <c r="AK1037" s="1159" t="n">
        <f aca="false">IF(AND(дома!$Z$29&gt;=AJ1037,дома!$Z$29&lt;=AI1037),связи1!AG1037,0)</f>
        <v>0</v>
      </c>
      <c r="AL1037" s="1159" t="n">
        <f aca="false">IF(AND(дома!$AA$29&gt;=AJ1037,дома!$AA$29&lt;=AI1037),связи1!AG1037,0)</f>
        <v>0</v>
      </c>
    </row>
    <row r="1038" customFormat="false" ht="15" hidden="false" customHeight="false" outlineLevel="0" collapsed="false">
      <c r="AG1038" s="1159" t="n">
        <v>88.7000000000001</v>
      </c>
      <c r="AH1038" s="1193" t="n">
        <f aca="false">AG1038*3.1415926535897/180</f>
        <v>1.54810704651893</v>
      </c>
      <c r="AI1038" s="1193" t="n">
        <f aca="false">AH1038+0.0005</f>
        <v>1.54860704651893</v>
      </c>
      <c r="AJ1038" s="1193" t="n">
        <f aca="false">AH1038-0.0005</f>
        <v>1.54760704651893</v>
      </c>
      <c r="AK1038" s="1159" t="n">
        <f aca="false">IF(AND(дома!$Z$29&gt;=AJ1038,дома!$Z$29&lt;=AI1038),связи1!AG1038,0)</f>
        <v>0</v>
      </c>
      <c r="AL1038" s="1159" t="n">
        <f aca="false">IF(AND(дома!$AA$29&gt;=AJ1038,дома!$AA$29&lt;=AI1038),связи1!AG1038,0)</f>
        <v>0</v>
      </c>
    </row>
    <row r="1039" customFormat="false" ht="15" hidden="false" customHeight="false" outlineLevel="0" collapsed="false">
      <c r="AG1039" s="1159" t="n">
        <v>88.8000000000001</v>
      </c>
      <c r="AH1039" s="1193" t="n">
        <f aca="false">AG1039*3.1415926535897/180</f>
        <v>1.54985237577092</v>
      </c>
      <c r="AI1039" s="1193" t="n">
        <f aca="false">AH1039+0.0005</f>
        <v>1.55035237577092</v>
      </c>
      <c r="AJ1039" s="1193" t="n">
        <f aca="false">AH1039-0.0005</f>
        <v>1.54935237577092</v>
      </c>
      <c r="AK1039" s="1159" t="n">
        <f aca="false">IF(AND(дома!$Z$29&gt;=AJ1039,дома!$Z$29&lt;=AI1039),связи1!AG1039,0)</f>
        <v>0</v>
      </c>
      <c r="AL1039" s="1159" t="n">
        <f aca="false">IF(AND(дома!$AA$29&gt;=AJ1039,дома!$AA$29&lt;=AI1039),связи1!AG1039,0)</f>
        <v>0</v>
      </c>
    </row>
    <row r="1040" customFormat="false" ht="15" hidden="false" customHeight="false" outlineLevel="0" collapsed="false">
      <c r="AG1040" s="1159" t="n">
        <v>88.9000000000001</v>
      </c>
      <c r="AH1040" s="1193" t="n">
        <f aca="false">AG1040*3.1415926535897/180</f>
        <v>1.55159770502291</v>
      </c>
      <c r="AI1040" s="1193" t="n">
        <f aca="false">AH1040+0.0005</f>
        <v>1.55209770502291</v>
      </c>
      <c r="AJ1040" s="1193" t="n">
        <f aca="false">AH1040-0.0005</f>
        <v>1.55109770502291</v>
      </c>
      <c r="AK1040" s="1159" t="n">
        <f aca="false">IF(AND(дома!$Z$29&gt;=AJ1040,дома!$Z$29&lt;=AI1040),связи1!AG1040,0)</f>
        <v>0</v>
      </c>
      <c r="AL1040" s="1159" t="n">
        <f aca="false">IF(AND(дома!$AA$29&gt;=AJ1040,дома!$AA$29&lt;=AI1040),связи1!AG1040,0)</f>
        <v>0</v>
      </c>
    </row>
    <row r="1041" customFormat="false" ht="15" hidden="false" customHeight="false" outlineLevel="0" collapsed="false">
      <c r="AG1041" s="1159" t="n">
        <v>89.0000000000001</v>
      </c>
      <c r="AH1041" s="1193" t="n">
        <f aca="false">AG1041*3.1415926535897/180</f>
        <v>1.55334303427491</v>
      </c>
      <c r="AI1041" s="1193" t="n">
        <f aca="false">AH1041+0.0005</f>
        <v>1.55384303427491</v>
      </c>
      <c r="AJ1041" s="1193" t="n">
        <f aca="false">AH1041-0.0005</f>
        <v>1.55284303427491</v>
      </c>
      <c r="AK1041" s="1159" t="n">
        <f aca="false">IF(AND(дома!$Z$29&gt;=AJ1041,дома!$Z$29&lt;=AI1041),связи1!AG1041,0)</f>
        <v>0</v>
      </c>
      <c r="AL1041" s="1159" t="n">
        <f aca="false">IF(AND(дома!$AA$29&gt;=AJ1041,дома!$AA$29&lt;=AI1041),связи1!AG1041,0)</f>
        <v>0</v>
      </c>
    </row>
    <row r="1042" customFormat="false" ht="15" hidden="false" customHeight="false" outlineLevel="0" collapsed="false">
      <c r="AG1042" s="1159" t="n">
        <v>89.1000000000001</v>
      </c>
      <c r="AH1042" s="1193" t="n">
        <f aca="false">AG1042*3.1415926535897/180</f>
        <v>1.5550883635269</v>
      </c>
      <c r="AI1042" s="1193" t="n">
        <f aca="false">AH1042+0.0005</f>
        <v>1.5555883635269</v>
      </c>
      <c r="AJ1042" s="1193" t="n">
        <f aca="false">AH1042-0.0005</f>
        <v>1.5545883635269</v>
      </c>
      <c r="AK1042" s="1159" t="n">
        <f aca="false">IF(AND(дома!$Z$29&gt;=AJ1042,дома!$Z$29&lt;=AI1042),связи1!AG1042,0)</f>
        <v>0</v>
      </c>
      <c r="AL1042" s="1159" t="n">
        <f aca="false">IF(AND(дома!$AA$29&gt;=AJ1042,дома!$AA$29&lt;=AI1042),связи1!AG1042,0)</f>
        <v>0</v>
      </c>
    </row>
    <row r="1043" customFormat="false" ht="15" hidden="false" customHeight="false" outlineLevel="0" collapsed="false">
      <c r="AG1043" s="1159" t="n">
        <v>89.2000000000001</v>
      </c>
      <c r="AH1043" s="1193" t="n">
        <f aca="false">AG1043*3.1415926535897/180</f>
        <v>1.5568336927789</v>
      </c>
      <c r="AI1043" s="1193" t="n">
        <f aca="false">AH1043+0.0005</f>
        <v>1.5573336927789</v>
      </c>
      <c r="AJ1043" s="1193" t="n">
        <f aca="false">AH1043-0.0005</f>
        <v>1.5563336927789</v>
      </c>
      <c r="AK1043" s="1159" t="n">
        <f aca="false">IF(AND(дома!$Z$29&gt;=AJ1043,дома!$Z$29&lt;=AI1043),связи1!AG1043,0)</f>
        <v>0</v>
      </c>
      <c r="AL1043" s="1159" t="n">
        <f aca="false">IF(AND(дома!$AA$29&gt;=AJ1043,дома!$AA$29&lt;=AI1043),связи1!AG1043,0)</f>
        <v>0</v>
      </c>
    </row>
    <row r="1044" customFormat="false" ht="15" hidden="false" customHeight="false" outlineLevel="0" collapsed="false">
      <c r="AG1044" s="1159" t="n">
        <v>89.3000000000001</v>
      </c>
      <c r="AH1044" s="1193" t="n">
        <f aca="false">AG1044*3.1415926535897/180</f>
        <v>1.55857902203089</v>
      </c>
      <c r="AI1044" s="1193" t="n">
        <f aca="false">AH1044+0.0005</f>
        <v>1.55907902203089</v>
      </c>
      <c r="AJ1044" s="1193" t="n">
        <f aca="false">AH1044-0.0005</f>
        <v>1.55807902203089</v>
      </c>
      <c r="AK1044" s="1159" t="n">
        <f aca="false">IF(AND(дома!$Z$29&gt;=AJ1044,дома!$Z$29&lt;=AI1044),связи1!AG1044,0)</f>
        <v>0</v>
      </c>
      <c r="AL1044" s="1159" t="n">
        <f aca="false">IF(AND(дома!$AA$29&gt;=AJ1044,дома!$AA$29&lt;=AI1044),связи1!AG1044,0)</f>
        <v>0</v>
      </c>
    </row>
    <row r="1045" customFormat="false" ht="15" hidden="false" customHeight="false" outlineLevel="0" collapsed="false">
      <c r="AG1045" s="1159" t="n">
        <v>89.4000000000001</v>
      </c>
      <c r="AH1045" s="1193" t="n">
        <f aca="false">AG1045*3.1415926535897/180</f>
        <v>1.56032435128289</v>
      </c>
      <c r="AI1045" s="1193" t="n">
        <f aca="false">AH1045+0.0005</f>
        <v>1.56082435128289</v>
      </c>
      <c r="AJ1045" s="1193" t="n">
        <f aca="false">AH1045-0.0005</f>
        <v>1.55982435128289</v>
      </c>
      <c r="AK1045" s="1159" t="n">
        <f aca="false">IF(AND(дома!$Z$29&gt;=AJ1045,дома!$Z$29&lt;=AI1045),связи1!AG1045,0)</f>
        <v>0</v>
      </c>
      <c r="AL1045" s="1159" t="n">
        <f aca="false">IF(AND(дома!$AA$29&gt;=AJ1045,дома!$AA$29&lt;=AI1045),связи1!AG1045,0)</f>
        <v>0</v>
      </c>
    </row>
    <row r="1046" customFormat="false" ht="15" hidden="false" customHeight="false" outlineLevel="0" collapsed="false">
      <c r="AG1046" s="1159" t="n">
        <v>89.5000000000001</v>
      </c>
      <c r="AH1046" s="1193" t="n">
        <f aca="false">AG1046*3.1415926535897/180</f>
        <v>1.56206968053488</v>
      </c>
      <c r="AI1046" s="1193" t="n">
        <f aca="false">AH1046+0.0005</f>
        <v>1.56256968053488</v>
      </c>
      <c r="AJ1046" s="1193" t="n">
        <f aca="false">AH1046-0.0005</f>
        <v>1.56156968053488</v>
      </c>
      <c r="AK1046" s="1159" t="n">
        <f aca="false">IF(AND(дома!$Z$29&gt;=AJ1046,дома!$Z$29&lt;=AI1046),связи1!AG1046,0)</f>
        <v>0</v>
      </c>
      <c r="AL1046" s="1159" t="n">
        <f aca="false">IF(AND(дома!$AA$29&gt;=AJ1046,дома!$AA$29&lt;=AI1046),связи1!AG1046,0)</f>
        <v>0</v>
      </c>
    </row>
    <row r="1047" customFormat="false" ht="15" hidden="false" customHeight="false" outlineLevel="0" collapsed="false">
      <c r="AG1047" s="1159" t="n">
        <v>89.6000000000001</v>
      </c>
      <c r="AH1047" s="1193" t="n">
        <f aca="false">AG1047*3.1415926535897/180</f>
        <v>1.56381500978687</v>
      </c>
      <c r="AI1047" s="1193" t="n">
        <f aca="false">AH1047+0.0005</f>
        <v>1.56431500978687</v>
      </c>
      <c r="AJ1047" s="1193" t="n">
        <f aca="false">AH1047-0.0005</f>
        <v>1.56331500978687</v>
      </c>
      <c r="AK1047" s="1159" t="n">
        <f aca="false">IF(AND(дома!$Z$29&gt;=AJ1047,дома!$Z$29&lt;=AI1047),связи1!AG1047,0)</f>
        <v>0</v>
      </c>
      <c r="AL1047" s="1159" t="n">
        <f aca="false">IF(AND(дома!$AA$29&gt;=AJ1047,дома!$AA$29&lt;=AI1047),связи1!AG1047,0)</f>
        <v>0</v>
      </c>
    </row>
    <row r="1048" customFormat="false" ht="15" hidden="false" customHeight="false" outlineLevel="0" collapsed="false">
      <c r="AG1048" s="1159" t="n">
        <v>89.7000000000001</v>
      </c>
      <c r="AH1048" s="1193" t="n">
        <f aca="false">AG1048*3.1415926535897/180</f>
        <v>1.56556033903887</v>
      </c>
      <c r="AI1048" s="1193" t="n">
        <f aca="false">AH1048+0.0005</f>
        <v>1.56606033903887</v>
      </c>
      <c r="AJ1048" s="1193" t="n">
        <f aca="false">AH1048-0.0005</f>
        <v>1.56506033903887</v>
      </c>
      <c r="AK1048" s="1159" t="n">
        <f aca="false">IF(AND(дома!$Z$29&gt;=AJ1048,дома!$Z$29&lt;=AI1048),связи1!AG1048,0)</f>
        <v>0</v>
      </c>
      <c r="AL1048" s="1159" t="n">
        <f aca="false">IF(AND(дома!$AA$29&gt;=AJ1048,дома!$AA$29&lt;=AI1048),связи1!AG1048,0)</f>
        <v>0</v>
      </c>
    </row>
    <row r="1049" customFormat="false" ht="15" hidden="false" customHeight="false" outlineLevel="0" collapsed="false">
      <c r="AG1049" s="1159" t="n">
        <v>89.8000000000001</v>
      </c>
      <c r="AH1049" s="1193" t="n">
        <f aca="false">AG1049*3.1415926535897/180</f>
        <v>1.56730566829086</v>
      </c>
      <c r="AI1049" s="1193" t="n">
        <f aca="false">AH1049+0.0005</f>
        <v>1.56780566829086</v>
      </c>
      <c r="AJ1049" s="1193" t="n">
        <f aca="false">AH1049-0.0005</f>
        <v>1.56680566829086</v>
      </c>
      <c r="AK1049" s="1159" t="n">
        <f aca="false">IF(AND(дома!$Z$29&gt;=AJ1049,дома!$Z$29&lt;=AI1049),связи1!AG1049,0)</f>
        <v>0</v>
      </c>
      <c r="AL1049" s="1159" t="n">
        <f aca="false">IF(AND(дома!$AA$29&gt;=AJ1049,дома!$AA$29&lt;=AI1049),связи1!AG1049,0)</f>
        <v>0</v>
      </c>
    </row>
    <row r="1050" customFormat="false" ht="15" hidden="false" customHeight="false" outlineLevel="0" collapsed="false">
      <c r="AG1050" s="1159" t="n">
        <v>89.9000000000001</v>
      </c>
      <c r="AH1050" s="1193" t="n">
        <f aca="false">AG1050*3.1415926535897/180</f>
        <v>1.56905099754286</v>
      </c>
      <c r="AI1050" s="1193" t="n">
        <f aca="false">AH1050+0.0005</f>
        <v>1.56955099754286</v>
      </c>
      <c r="AJ1050" s="1193" t="n">
        <f aca="false">AH1050-0.0005</f>
        <v>1.56855099754286</v>
      </c>
      <c r="AK1050" s="1159" t="n">
        <f aca="false">IF(AND(дома!$Z$29&gt;=AJ1050,дома!$Z$29&lt;=AI1050),связи1!AG1050,0)</f>
        <v>0</v>
      </c>
      <c r="AL1050" s="1159" t="n">
        <f aca="false">IF(AND(дома!$AA$29&gt;=AJ1050,дома!$AA$29&lt;=AI1050),связи1!AG1050,0)</f>
        <v>0</v>
      </c>
    </row>
    <row r="1051" customFormat="false" ht="15" hidden="false" customHeight="false" outlineLevel="0" collapsed="false">
      <c r="AG1051" s="1159" t="n">
        <v>90.0000000000001</v>
      </c>
      <c r="AH1051" s="1193" t="n">
        <f aca="false">AG1051*3.1415926535897/180</f>
        <v>1.57079632679485</v>
      </c>
      <c r="AI1051" s="1193" t="n">
        <f aca="false">AH1051+0.0005</f>
        <v>1.57129632679485</v>
      </c>
      <c r="AJ1051" s="1193" t="n">
        <f aca="false">AH1051-0.0005</f>
        <v>1.57029632679485</v>
      </c>
      <c r="AK1051" s="1159" t="n">
        <f aca="false">IF(AND(дома!$Z$29&gt;=AJ1051,дома!$Z$29&lt;=AI1051),связи1!AG1051,0)</f>
        <v>0</v>
      </c>
      <c r="AL1051" s="1159" t="n">
        <f aca="false">IF(AND(дома!$AA$29&gt;=AJ1051,дома!$AA$29&lt;=AI1051),связи1!AG1051,0)</f>
        <v>0</v>
      </c>
    </row>
  </sheetData>
  <mergeCells count="7">
    <mergeCell ref="N6:O6"/>
    <mergeCell ref="N11:O11"/>
    <mergeCell ref="B42:D42"/>
    <mergeCell ref="F146:H146"/>
    <mergeCell ref="I146:K146"/>
    <mergeCell ref="L495:V498"/>
    <mergeCell ref="G498:J498"/>
  </mergeCells>
  <dataValidations count="7">
    <dataValidation allowBlank="true" errorStyle="stop" operator="between" showDropDown="false" showErrorMessage="true" showInputMessage="true" sqref="N15" type="list">
      <formula1>INDIRECT($A$21)</formula1>
      <formula2>0</formula2>
    </dataValidation>
    <dataValidation allowBlank="true" errorStyle="stop" operator="between" showDropDown="false" showErrorMessage="true" showInputMessage="true" sqref="N13" type="list">
      <formula1>INDIRECT($A$19)</formula1>
      <formula2>0</formula2>
    </dataValidation>
    <dataValidation allowBlank="true" errorStyle="stop" operator="between" showDropDown="false" showErrorMessage="true" showInputMessage="true" sqref="N10" type="list">
      <formula1>INDIRECT($A$16)</formula1>
      <formula2>0</formula2>
    </dataValidation>
    <dataValidation allowBlank="true" errorStyle="stop" operator="between" showDropDown="false" showErrorMessage="true" showInputMessage="true" sqref="N8" type="list">
      <formula1>INDIRECT($A$14)</formula1>
      <formula2>0</formula2>
    </dataValidation>
    <dataValidation allowBlank="true" errorStyle="stop" operator="between" showDropDown="false" showErrorMessage="true" showInputMessage="true" sqref="N2 N4:N5 N7 N9 N12 N14" type="list">
      <formula1>связи1!$I$305:$I$315</formula1>
      <formula2>0</formula2>
    </dataValidation>
    <dataValidation allowBlank="true" errorStyle="stop" operator="between" showDropDown="false" showErrorMessage="true" showInputMessage="true" sqref="E77" type="list">
      <formula1>связи1!$F$2:$F$3</formula1>
      <formula2>0</formula2>
    </dataValidation>
    <dataValidation allowBlank="true" errorStyle="stop" operator="between" showDropDown="false" showErrorMessage="true" showInputMessage="true" sqref="H83 H85 H87 H89 H91 H93 H95" type="list">
      <formula1>связи1!$A$2:$A$3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Q276"/>
  <sheetViews>
    <sheetView showFormulas="false" showGridLines="true" showRowColHeaders="true" showZeros="true" rightToLeft="false" tabSelected="false" showOutlineSymbols="true" defaultGridColor="true" view="normal" topLeftCell="A238" colorId="64" zoomScale="100" zoomScaleNormal="100" zoomScalePageLayoutView="100" workbookViewId="0">
      <selection pane="topLeft" activeCell="I92" activeCellId="0" sqref="I92"/>
    </sheetView>
  </sheetViews>
  <sheetFormatPr defaultColWidth="8.6875" defaultRowHeight="14.1" zeroHeight="false" outlineLevelRow="0" outlineLevelCol="0"/>
  <cols>
    <col collapsed="false" customWidth="true" hidden="false" outlineLevel="0" max="1" min="1" style="0" width="34.29"/>
    <col collapsed="false" customWidth="true" hidden="false" outlineLevel="0" max="2" min="2" style="1291" width="6.15"/>
    <col collapsed="false" customWidth="true" hidden="false" outlineLevel="0" max="3" min="3" style="0" width="8.86"/>
    <col collapsed="false" customWidth="true" hidden="false" outlineLevel="0" max="4" min="4" style="0" width="9.29"/>
    <col collapsed="false" customWidth="true" hidden="false" outlineLevel="0" max="5" min="5" style="0" width="9"/>
    <col collapsed="false" customWidth="true" hidden="false" outlineLevel="0" max="6" min="6" style="0" width="8"/>
    <col collapsed="false" customWidth="true" hidden="false" outlineLevel="0" max="7" min="7" style="1275" width="7.86"/>
    <col collapsed="false" customWidth="true" hidden="false" outlineLevel="0" max="8" min="8" style="0" width="9"/>
    <col collapsed="false" customWidth="true" hidden="false" outlineLevel="0" max="9" min="9" style="0" width="7.57"/>
    <col collapsed="false" customWidth="true" hidden="false" outlineLevel="0" max="10" min="10" style="0" width="7.15"/>
    <col collapsed="false" customWidth="true" hidden="false" outlineLevel="0" max="11" min="11" style="0" width="7.57"/>
    <col collapsed="false" customWidth="true" hidden="false" outlineLevel="0" max="12" min="12" style="1275" width="9.14"/>
    <col collapsed="false" customWidth="true" hidden="false" outlineLevel="0" max="13" min="13" style="0" width="9.29"/>
    <col collapsed="false" customWidth="true" hidden="false" outlineLevel="0" max="14" min="14" style="0" width="9.14"/>
    <col collapsed="false" customWidth="true" hidden="false" outlineLevel="0" max="15" min="15" style="0" width="9"/>
    <col collapsed="false" customWidth="true" hidden="false" outlineLevel="0" max="16" min="16" style="0" width="8.86"/>
    <col collapsed="false" customWidth="true" hidden="false" outlineLevel="0" max="17" min="17" style="1275" width="9.14"/>
  </cols>
  <sheetData>
    <row r="1" customFormat="false" ht="14.1" hidden="false" customHeight="true" outlineLevel="0" collapsed="false">
      <c r="H1" s="1292" t="n">
        <f aca="false">дома!Q1112</f>
        <v>0</v>
      </c>
      <c r="I1" s="1293" t="n">
        <f aca="false">H1</f>
        <v>0</v>
      </c>
      <c r="J1" s="1294" t="s">
        <v>2744</v>
      </c>
      <c r="K1" s="1295"/>
    </row>
    <row r="2" customFormat="false" ht="14.1" hidden="false" customHeight="true" outlineLevel="0" collapsed="false">
      <c r="A2" s="1296" t="s">
        <v>2745</v>
      </c>
      <c r="B2" s="1297" t="s">
        <v>12</v>
      </c>
      <c r="C2" s="1298" t="s">
        <v>13</v>
      </c>
      <c r="D2" s="1299" t="n">
        <f aca="false">VLOOKUP('Ввод данных'!C79,связи1!A2:B3,2,0)</f>
        <v>0</v>
      </c>
      <c r="E2" s="1300" t="s">
        <v>2746</v>
      </c>
      <c r="F2" s="1301"/>
      <c r="G2" s="1302"/>
      <c r="H2" s="1292" t="n">
        <f aca="false">дома!Q1113</f>
        <v>1</v>
      </c>
      <c r="I2" s="1293" t="n">
        <f aca="false">H2</f>
        <v>1</v>
      </c>
      <c r="J2" s="1294" t="s">
        <v>2747</v>
      </c>
      <c r="K2" s="1295"/>
      <c r="L2" s="1303"/>
    </row>
    <row r="3" customFormat="false" ht="14.1" hidden="false" customHeight="true" outlineLevel="0" collapsed="false">
      <c r="A3" s="1184" t="s">
        <v>2748</v>
      </c>
      <c r="B3" s="1304" t="s">
        <v>48</v>
      </c>
      <c r="C3" s="1305" t="n">
        <f aca="false">IF('Ввод данных'!A73=связи1!A94,1,0)+IF('Ввод данных'!A73=связи1!A95,1,0)+IF('Ввод данных'!A73=связи1!A96,1,0)+IF('Ввод данных'!A73=связи1!A97,1,0)+IF('Ввод данных'!A73=связи1!A98,1,0)</f>
        <v>1</v>
      </c>
      <c r="D3" s="1306" t="n">
        <f aca="false">IF('Ввод данных'!A30=связи1!A198,0,1)</f>
        <v>1</v>
      </c>
      <c r="E3" s="1306" t="n">
        <f aca="false">IF('Ввод данных'!A30=связи1!A198,0,1)</f>
        <v>1</v>
      </c>
      <c r="F3" s="1306" t="n">
        <f aca="false">IF('Ввод данных'!A30=связи1!A198,0,1)</f>
        <v>1</v>
      </c>
      <c r="G3" s="1302"/>
      <c r="H3" s="1305" t="n">
        <f aca="false">IF('Ввод данных'!A30=связи1!A198,0,1)</f>
        <v>1</v>
      </c>
      <c r="I3" s="1306" t="n">
        <f aca="false">IF('Ввод данных'!A30=связи1!A198,0,1)</f>
        <v>1</v>
      </c>
      <c r="J3" s="1306" t="n">
        <f aca="false">IF('Ввод данных'!A30=связи1!A198,0,1)</f>
        <v>1</v>
      </c>
      <c r="K3" s="1306" t="n">
        <f aca="false">IF('Ввод данных'!A30=связи1!A198,0,1)</f>
        <v>1</v>
      </c>
      <c r="L3" s="1302"/>
      <c r="M3" s="1305" t="n">
        <f aca="false">IF('Ввод данных'!A30=связи1!A198,0,1)</f>
        <v>1</v>
      </c>
      <c r="N3" s="1306" t="n">
        <f aca="false">IF('Ввод данных'!A30=связи1!A198,0,1)</f>
        <v>1</v>
      </c>
      <c r="O3" s="1306" t="n">
        <f aca="false">IF('Ввод данных'!A30=связи1!A198,0,1)</f>
        <v>1</v>
      </c>
      <c r="P3" s="1306" t="n">
        <f aca="false">IF('Ввод данных'!A30=связи1!A198,0,1)</f>
        <v>1</v>
      </c>
      <c r="Q3" s="1302"/>
      <c r="AD3" s="1307" t="n">
        <f aca="false">'Ввод данных'!BD455</f>
        <v>0</v>
      </c>
      <c r="AE3" s="1308" t="s">
        <v>300</v>
      </c>
      <c r="AF3" s="1309" t="n">
        <v>8</v>
      </c>
      <c r="AH3" s="1310" t="s">
        <v>46</v>
      </c>
      <c r="AI3" s="1310"/>
      <c r="AJ3" s="1311" t="s">
        <v>12</v>
      </c>
      <c r="AK3" s="1312" t="s">
        <v>200</v>
      </c>
      <c r="AL3" s="1176" t="s">
        <v>118</v>
      </c>
      <c r="AM3" s="1313" t="s">
        <v>200</v>
      </c>
      <c r="AN3" s="1313" t="s">
        <v>2749</v>
      </c>
      <c r="AO3" s="1313" t="s">
        <v>2750</v>
      </c>
      <c r="AP3" s="1314" t="s">
        <v>2751</v>
      </c>
      <c r="AQ3" s="918"/>
    </row>
    <row r="4" customFormat="false" ht="14.1" hidden="false" customHeight="true" outlineLevel="0" collapsed="false">
      <c r="A4" s="1184" t="s">
        <v>2752</v>
      </c>
      <c r="B4" s="1304"/>
      <c r="C4" s="1305" t="n">
        <f aca="false">IF('Ввод данных'!A73=связи1!A94,1,0)+IF('Ввод данных'!A73=связи1!A95,0,0)+IF('Ввод данных'!A73=связи1!A96,0,0)+IF('Ввод данных'!A73=связи1!A97,1,0)+IF('Ввод данных'!A73=связи1!A98,0,0)</f>
        <v>1</v>
      </c>
      <c r="D4" s="1306" t="n">
        <f aca="false">IF('Ввод данных'!A455=связи1!A94,1,0)+IF('Ввод данных'!A455=связи1!A95,0,0)+IF('Ввод данных'!A455=связи1!A96,0,0)+IF('Ввод данных'!A455=связи1!A97,1,0)+IF('Ввод данных'!A455=связи1!A98,0,0)</f>
        <v>0</v>
      </c>
      <c r="E4" s="1306" t="n">
        <f aca="false">IF('Ввод данных'!A459=связи1!A94,1,0)+IF('Ввод данных'!A459=связи1!A95,0,0)+IF('Ввод данных'!A459=связи1!A96,0,0)+IF('Ввод данных'!A459=связи1!A97,1,0)+IF('Ввод данных'!A459=связи1!A98,0,0)</f>
        <v>0</v>
      </c>
      <c r="F4" s="1306" t="n">
        <f aca="false">IF('Ввод данных'!A463=связи1!A94,1,0)+IF('Ввод данных'!A463=связи1!A95,0,0)+IF('Ввод данных'!A463=связи1!A96,0,0)+IF('Ввод данных'!A463=связи1!A97,1,0)+IF('Ввод данных'!A463=связи1!A98,0,0)</f>
        <v>1</v>
      </c>
      <c r="G4" s="1302"/>
      <c r="H4" s="1305" t="n">
        <f aca="false">C4</f>
        <v>1</v>
      </c>
      <c r="I4" s="1306" t="n">
        <f aca="false">D4</f>
        <v>0</v>
      </c>
      <c r="J4" s="1306" t="n">
        <f aca="false">E4</f>
        <v>0</v>
      </c>
      <c r="K4" s="1306" t="n">
        <f aca="false">F4</f>
        <v>1</v>
      </c>
      <c r="L4" s="1302"/>
      <c r="M4" s="1305" t="n">
        <f aca="false">C4</f>
        <v>1</v>
      </c>
      <c r="N4" s="1306" t="n">
        <f aca="false">D4</f>
        <v>0</v>
      </c>
      <c r="O4" s="1306" t="n">
        <f aca="false">E4</f>
        <v>0</v>
      </c>
      <c r="P4" s="1306" t="n">
        <f aca="false">F4</f>
        <v>1</v>
      </c>
      <c r="Q4" s="1302"/>
      <c r="AD4" s="1307"/>
      <c r="AE4" s="1308"/>
      <c r="AF4" s="1309"/>
      <c r="AH4" s="1315"/>
      <c r="AI4" s="1316"/>
      <c r="AJ4" s="1311"/>
      <c r="AK4" s="1317"/>
      <c r="AL4" s="1176"/>
      <c r="AM4" s="1313"/>
      <c r="AN4" s="1313"/>
      <c r="AO4" s="1313"/>
      <c r="AP4" s="1314"/>
      <c r="AQ4" s="918"/>
    </row>
    <row r="5" customFormat="false" ht="14.1" hidden="false" customHeight="true" outlineLevel="0" collapsed="false">
      <c r="A5" s="1184" t="s">
        <v>2753</v>
      </c>
      <c r="B5" s="1304" t="s">
        <v>48</v>
      </c>
      <c r="C5" s="1305" t="n">
        <f aca="false">IF('Ввод данных'!A73=связи1!A94,0,0)+IF('Ввод данных'!A73=связи1!A95,1,0)+IF('Ввод данных'!A73=связи1!A96,1,0)+IF('Ввод данных'!A73=связи1!A97,0,0)+IF('Ввод данных'!A73=связи1!A98,1,0)</f>
        <v>0</v>
      </c>
      <c r="D5" s="1306" t="n">
        <f aca="false">IF('Ввод данных'!A455=связи1!A94,0,0)+IF('Ввод данных'!A455=связи1!A95,1,0)+IF('Ввод данных'!A455=связи1!A96,1,0)+IF('Ввод данных'!A455=связи1!A97,0,0)+IF('Ввод данных'!A455=связи1!A98,1,0)</f>
        <v>1</v>
      </c>
      <c r="E5" s="1306" t="n">
        <f aca="false">IF('Ввод данных'!A459=связи1!A94,0,0)+IF('Ввод данных'!A459=связи1!A95,1,0)+IF('Ввод данных'!A459=связи1!A96,1,0)+IF('Ввод данных'!A459=связи1!A97,0,0)+IF('Ввод данных'!A459=связи1!A98,1,0)</f>
        <v>1</v>
      </c>
      <c r="F5" s="1306" t="n">
        <f aca="false">IF('Ввод данных'!A463=связи1!A94,0,0)+IF('Ввод данных'!A463=связи1!A95,1,0)+IF('Ввод данных'!A463=связи1!A96,1,0)+IF('Ввод данных'!A463=связи1!A97,0,0)+IF('Ввод данных'!A463=связи1!A98,1,0)</f>
        <v>0</v>
      </c>
      <c r="G5" s="1302"/>
      <c r="H5" s="1305" t="n">
        <f aca="false">C5</f>
        <v>0</v>
      </c>
      <c r="I5" s="1305" t="n">
        <f aca="false">D5</f>
        <v>1</v>
      </c>
      <c r="J5" s="1305" t="n">
        <f aca="false">E5</f>
        <v>1</v>
      </c>
      <c r="K5" s="1305" t="n">
        <f aca="false">F5</f>
        <v>0</v>
      </c>
      <c r="L5" s="1302"/>
      <c r="M5" s="1305" t="n">
        <f aca="false">H5</f>
        <v>0</v>
      </c>
      <c r="N5" s="1305" t="n">
        <f aca="false">I5</f>
        <v>1</v>
      </c>
      <c r="O5" s="1305" t="n">
        <f aca="false">J5</f>
        <v>1</v>
      </c>
      <c r="P5" s="1305" t="n">
        <f aca="false">K5</f>
        <v>0</v>
      </c>
      <c r="Q5" s="1302"/>
      <c r="AD5" s="1307" t="n">
        <f aca="false">'Ввод данных'!BD456</f>
        <v>0.2</v>
      </c>
      <c r="AE5" s="1308" t="s">
        <v>302</v>
      </c>
      <c r="AF5" s="1308"/>
      <c r="AH5" s="1304" t="s">
        <v>2754</v>
      </c>
      <c r="AI5" s="1304"/>
      <c r="AJ5" s="1176" t="s">
        <v>15</v>
      </c>
      <c r="AK5" s="1318" t="n">
        <v>0</v>
      </c>
      <c r="AL5" s="1319" t="n">
        <v>0</v>
      </c>
      <c r="AM5" s="1313" t="n">
        <f aca="false">AK5*AL5</f>
        <v>0</v>
      </c>
      <c r="AN5" s="1313"/>
      <c r="AO5" s="1313" t="n">
        <v>0</v>
      </c>
      <c r="AP5" s="1314" t="n">
        <v>0</v>
      </c>
      <c r="AQ5" s="918" t="n">
        <f aca="false">AO5+AP5+0.3</f>
        <v>0.3</v>
      </c>
    </row>
    <row r="6" customFormat="false" ht="14.1" hidden="false" customHeight="true" outlineLevel="0" collapsed="false">
      <c r="A6" s="1320" t="s">
        <v>2755</v>
      </c>
      <c r="B6" s="1321"/>
      <c r="C6" s="1322" t="n">
        <f aca="false">IF('Ввод данных'!A75=связи1!A106,1,0)*D2</f>
        <v>0</v>
      </c>
      <c r="D6" s="1323" t="n">
        <f aca="false">IF('Ввод данных'!A454=связи1!A106,1,0)*D2</f>
        <v>0</v>
      </c>
      <c r="E6" s="1323" t="n">
        <f aca="false">IF('Ввод данных'!A458=связи1!A106,1,0)*D2</f>
        <v>0</v>
      </c>
      <c r="F6" s="1323" t="n">
        <f aca="false">IF('Ввод данных'!A462=связи1!A106,1,0)*D2</f>
        <v>0</v>
      </c>
      <c r="G6" s="1302"/>
      <c r="H6" s="1322" t="n">
        <f aca="false">IF('Ввод данных'!A75=связи1!A107,1,0)*D2</f>
        <v>0</v>
      </c>
      <c r="I6" s="1322" t="n">
        <f aca="false">IF('Ввод данных'!A454=связи1!A107,1,0)*D2</f>
        <v>0</v>
      </c>
      <c r="J6" s="1322" t="n">
        <f aca="false">IF('Ввод данных'!A458=связи1!A107,1,0)*D2</f>
        <v>0</v>
      </c>
      <c r="K6" s="1322" t="n">
        <f aca="false">IF('Ввод данных'!A462=связи1!A107,1,0)*D2</f>
        <v>0</v>
      </c>
      <c r="L6" s="1302"/>
      <c r="M6" s="1322" t="n">
        <f aca="false">IF('Ввод данных'!A75=связи1!A108,1,0)*D2</f>
        <v>0</v>
      </c>
      <c r="N6" s="1322" t="n">
        <f aca="false">IF('Ввод данных'!A454=связи1!A108,1,0)*D2</f>
        <v>0</v>
      </c>
      <c r="O6" s="1322" t="n">
        <f aca="false">IF('Ввод данных'!A458=связи1!A108,1,0)*D2</f>
        <v>0</v>
      </c>
      <c r="P6" s="1322" t="n">
        <f aca="false">IF('Ввод данных'!A462=связи1!A108,1,0)*D2</f>
        <v>0</v>
      </c>
      <c r="Q6" s="1302"/>
      <c r="AD6" s="1307"/>
      <c r="AE6" s="1308"/>
      <c r="AF6" s="1308"/>
      <c r="AH6" s="1304"/>
      <c r="AI6" s="1304"/>
      <c r="AJ6" s="1176"/>
      <c r="AK6" s="1318"/>
      <c r="AL6" s="1319"/>
      <c r="AM6" s="1313"/>
      <c r="AN6" s="1313"/>
      <c r="AO6" s="1313"/>
      <c r="AP6" s="1314"/>
      <c r="AQ6" s="918"/>
    </row>
    <row r="7" customFormat="false" ht="14.1" hidden="false" customHeight="true" outlineLevel="0" collapsed="false">
      <c r="A7" s="1184"/>
      <c r="B7" s="1304"/>
      <c r="C7" s="1324" t="n">
        <f aca="false">D2</f>
        <v>0</v>
      </c>
      <c r="D7" s="1325" t="n">
        <f aca="false">D2</f>
        <v>0</v>
      </c>
      <c r="E7" s="1325" t="n">
        <f aca="false">D2</f>
        <v>0</v>
      </c>
      <c r="F7" s="1325" t="n">
        <f aca="false">D2</f>
        <v>0</v>
      </c>
      <c r="G7" s="1302"/>
      <c r="H7" s="1324" t="n">
        <f aca="false">D2</f>
        <v>0</v>
      </c>
      <c r="I7" s="1324" t="n">
        <f aca="false">D2</f>
        <v>0</v>
      </c>
      <c r="J7" s="1324" t="n">
        <f aca="false">D2</f>
        <v>0</v>
      </c>
      <c r="K7" s="1324" t="n">
        <f aca="false">D2</f>
        <v>0</v>
      </c>
      <c r="L7" s="1302"/>
      <c r="M7" s="1324" t="n">
        <f aca="false">D2</f>
        <v>0</v>
      </c>
      <c r="N7" s="1324" t="n">
        <f aca="false">D2</f>
        <v>0</v>
      </c>
      <c r="O7" s="1324" t="n">
        <f aca="false">D2</f>
        <v>0</v>
      </c>
      <c r="P7" s="1324" t="n">
        <f aca="false">D2</f>
        <v>0</v>
      </c>
      <c r="Q7" s="1302"/>
      <c r="AD7" s="1307"/>
      <c r="AE7" s="1308"/>
      <c r="AF7" s="1308"/>
      <c r="AH7" s="1304"/>
      <c r="AI7" s="1304"/>
      <c r="AJ7" s="1176"/>
      <c r="AK7" s="1318"/>
      <c r="AL7" s="1319"/>
      <c r="AM7" s="1313"/>
      <c r="AN7" s="1313"/>
      <c r="AO7" s="1313"/>
      <c r="AP7" s="1314"/>
      <c r="AQ7" s="918"/>
    </row>
    <row r="8" customFormat="false" ht="14.1" hidden="false" customHeight="true" outlineLevel="0" collapsed="false">
      <c r="A8" s="1326" t="s">
        <v>161</v>
      </c>
      <c r="B8" s="1287" t="s">
        <v>12</v>
      </c>
      <c r="C8" s="1287" t="s">
        <v>13</v>
      </c>
      <c r="D8" s="1287"/>
      <c r="E8" s="1287"/>
      <c r="F8" s="1287"/>
      <c r="G8" s="1302"/>
      <c r="H8" s="1287" t="s">
        <v>13</v>
      </c>
      <c r="I8" s="1287"/>
      <c r="J8" s="1287"/>
      <c r="K8" s="1287"/>
      <c r="L8" s="1302"/>
      <c r="M8" s="1287" t="s">
        <v>13</v>
      </c>
      <c r="N8" s="1287"/>
      <c r="O8" s="1287"/>
      <c r="P8" s="1287"/>
      <c r="Q8" s="1302"/>
      <c r="AD8" s="1307" t="n">
        <f aca="false">'Ввод данных'!BD457</f>
        <v>3.2</v>
      </c>
      <c r="AE8" s="1308" t="s">
        <v>303</v>
      </c>
      <c r="AF8" s="1308"/>
      <c r="AH8" s="1304"/>
      <c r="AI8" s="1304"/>
      <c r="AJ8" s="1176" t="s">
        <v>488</v>
      </c>
      <c r="AK8" s="1318" t="n">
        <v>0</v>
      </c>
      <c r="AL8" s="1319" t="n">
        <v>0</v>
      </c>
      <c r="AM8" s="1313" t="n">
        <f aca="false">AK8*AL8</f>
        <v>0</v>
      </c>
      <c r="AN8" s="1313" t="n">
        <f aca="false">AM8*C35</f>
        <v>0</v>
      </c>
      <c r="AO8" s="1313" t="n">
        <v>0</v>
      </c>
      <c r="AP8" s="1314" t="n">
        <v>0</v>
      </c>
      <c r="AQ8" s="918" t="n">
        <f aca="false">AO8+AP8+0.3</f>
        <v>0.3</v>
      </c>
    </row>
    <row r="9" customFormat="false" ht="14.1" hidden="false" customHeight="true" outlineLevel="0" collapsed="false">
      <c r="A9" s="1184" t="s">
        <v>302</v>
      </c>
      <c r="B9" s="1304" t="s">
        <v>15</v>
      </c>
      <c r="C9" s="1327" t="n">
        <f aca="false">C34*C33*C25*C6*C32</f>
        <v>0</v>
      </c>
      <c r="D9" s="1327" t="n">
        <f aca="false">D34*D33*D25*D6*D32</f>
        <v>0</v>
      </c>
      <c r="E9" s="1327" t="n">
        <f aca="false">E34*E33*E25*E6*E32</f>
        <v>0</v>
      </c>
      <c r="F9" s="1327" t="n">
        <f aca="false">F34*F33*F25*F6*F32</f>
        <v>0</v>
      </c>
      <c r="G9" s="1328" t="n">
        <f aca="false">C9+D9+E9+F9</f>
        <v>0</v>
      </c>
      <c r="H9" s="1327" t="n">
        <f aca="false">H34*H33*H25*H6*H32</f>
        <v>0</v>
      </c>
      <c r="I9" s="1327" t="n">
        <f aca="false">I34*I33*I25*I6*I32</f>
        <v>0</v>
      </c>
      <c r="J9" s="1327" t="n">
        <f aca="false">J34*J33*J25*J6*J32</f>
        <v>0</v>
      </c>
      <c r="K9" s="1327" t="n">
        <f aca="false">K34*K33*K25*K6*K32</f>
        <v>0</v>
      </c>
      <c r="L9" s="1328" t="n">
        <f aca="false">H9+I9+J9+K9</f>
        <v>0</v>
      </c>
      <c r="M9" s="1327" t="n">
        <f aca="false">M34*M33*M25*M6</f>
        <v>0</v>
      </c>
      <c r="N9" s="1327" t="n">
        <f aca="false">N34*N33*N25*N6</f>
        <v>0</v>
      </c>
      <c r="O9" s="1327" t="n">
        <f aca="false">O34*O33*O25*O6</f>
        <v>0</v>
      </c>
      <c r="P9" s="1327" t="n">
        <f aca="false">P34*P33*P25*P6</f>
        <v>0</v>
      </c>
      <c r="Q9" s="1328" t="n">
        <f aca="false">M9+N9+O9+P9</f>
        <v>0</v>
      </c>
      <c r="R9" s="1329" t="n">
        <f aca="false">G9+L9+Q9</f>
        <v>0</v>
      </c>
      <c r="AD9" s="1330" t="n">
        <f aca="false">AD8-AD5</f>
        <v>3</v>
      </c>
      <c r="AE9" s="1331" t="s">
        <v>2756</v>
      </c>
      <c r="AF9" s="1332"/>
      <c r="AH9" s="1304" t="s">
        <v>2757</v>
      </c>
      <c r="AI9" s="1304"/>
      <c r="AJ9" s="1176" t="s">
        <v>15</v>
      </c>
      <c r="AK9" s="1318" t="n">
        <v>0</v>
      </c>
      <c r="AL9" s="1319" t="n">
        <v>0</v>
      </c>
      <c r="AM9" s="1313" t="n">
        <f aca="false">AK9*AL9</f>
        <v>0</v>
      </c>
      <c r="AN9" s="1313" t="n">
        <f aca="false">AM9*C35</f>
        <v>0</v>
      </c>
      <c r="AO9" s="1313" t="n">
        <v>0</v>
      </c>
      <c r="AP9" s="1314" t="n">
        <v>0</v>
      </c>
      <c r="AQ9" s="918" t="n">
        <f aca="false">AO9+AP9+0.3</f>
        <v>0.3</v>
      </c>
    </row>
    <row r="10" customFormat="false" ht="14.1" hidden="false" customHeight="true" outlineLevel="0" collapsed="false">
      <c r="A10" s="1184" t="s">
        <v>2758</v>
      </c>
      <c r="B10" s="1304" t="s">
        <v>15</v>
      </c>
      <c r="C10" s="1327" t="n">
        <f aca="false">C34*C33*C26*C6*C32</f>
        <v>0</v>
      </c>
      <c r="D10" s="1327" t="n">
        <f aca="false">D34*D33*D26*D6*D32</f>
        <v>0</v>
      </c>
      <c r="E10" s="1327" t="n">
        <f aca="false">E34*E33*E26*E6*E32</f>
        <v>0</v>
      </c>
      <c r="F10" s="1327" t="n">
        <f aca="false">F34*F33*F26*F6*F32</f>
        <v>0</v>
      </c>
      <c r="G10" s="1328" t="n">
        <f aca="false">C10+D10+E10+F10</f>
        <v>0</v>
      </c>
      <c r="H10" s="1327" t="n">
        <f aca="false">H34*H33*H26*H6*H32</f>
        <v>0</v>
      </c>
      <c r="I10" s="1327" t="n">
        <f aca="false">I34*I33*I26*I6*I32</f>
        <v>0</v>
      </c>
      <c r="J10" s="1327" t="n">
        <f aca="false">J34*J33*J26*J6*J32</f>
        <v>0</v>
      </c>
      <c r="K10" s="1327" t="n">
        <f aca="false">K34*K33*K26*K6*K32</f>
        <v>0</v>
      </c>
      <c r="L10" s="1328" t="n">
        <f aca="false">H10+I10+J10+K10</f>
        <v>0</v>
      </c>
      <c r="M10" s="1327" t="n">
        <f aca="false">M34*M33*M26*M6</f>
        <v>0</v>
      </c>
      <c r="N10" s="1327" t="n">
        <f aca="false">N34*N33*N26*N6</f>
        <v>0</v>
      </c>
      <c r="O10" s="1327" t="n">
        <f aca="false">O34*O33*O26*O6</f>
        <v>0</v>
      </c>
      <c r="P10" s="1327" t="n">
        <f aca="false">P34*P33*P26*P6</f>
        <v>0</v>
      </c>
      <c r="Q10" s="1328" t="n">
        <f aca="false">M10+N10+O10+P10</f>
        <v>0</v>
      </c>
      <c r="R10" s="1329" t="n">
        <f aca="false">G10+L10+Q10</f>
        <v>0</v>
      </c>
      <c r="AD10" s="1307" t="n">
        <f aca="false">'Ввод данных'!BD458</f>
        <v>3.4</v>
      </c>
      <c r="AE10" s="1308" t="s">
        <v>305</v>
      </c>
      <c r="AF10" s="1308"/>
      <c r="AH10" s="1304"/>
      <c r="AI10" s="1304"/>
      <c r="AJ10" s="1176" t="s">
        <v>15</v>
      </c>
      <c r="AK10" s="1318" t="n">
        <v>0</v>
      </c>
      <c r="AL10" s="1319" t="n">
        <v>0</v>
      </c>
      <c r="AM10" s="1313" t="n">
        <f aca="false">AK10*AL10</f>
        <v>0</v>
      </c>
      <c r="AN10" s="1313" t="n">
        <f aca="false">AM10*C35</f>
        <v>0</v>
      </c>
      <c r="AO10" s="1313" t="n">
        <v>0</v>
      </c>
      <c r="AP10" s="1314" t="n">
        <v>0</v>
      </c>
      <c r="AQ10" s="918" t="n">
        <f aca="false">AO10+AP10+0.3</f>
        <v>0.3</v>
      </c>
    </row>
    <row r="11" customFormat="false" ht="14.1" hidden="false" customHeight="true" outlineLevel="0" collapsed="false">
      <c r="A11" s="1333" t="s">
        <v>2759</v>
      </c>
      <c r="B11" s="1334" t="s">
        <v>15</v>
      </c>
      <c r="C11" s="1335" t="n">
        <f aca="false">(IF('Ввод данных'!A73=связи1!A94,0,0)+IF('Ввод данных'!A73=связи1!A95,пристройка!C10,0)+IF('Ввод данных'!A73=связи1!A96,0,0)+IF('Ввод данных'!A73=связи1!A98,пристройка!C116,0)+IF('Ввод данных'!A73=связи1!A97,0,0))*C6*C32</f>
        <v>0</v>
      </c>
      <c r="D11" s="1335" t="n">
        <f aca="false">(IF('Ввод данных'!A455=связи1!A94,0,0)+IF('Ввод данных'!A455=связи1!A95,пристройка!D10,0)+IF('Ввод данных'!A455=связи1!A96,0,0)+IF('Ввод данных'!A455=связи1!A98,пристройка!D116,0)+IF('Ввод данных'!A455=связи1!A97,0,0))*D6*D32</f>
        <v>0</v>
      </c>
      <c r="E11" s="1335" t="n">
        <f aca="false">(IF('Ввод данных'!A459=связи1!A94,0,0)+IF('Ввод данных'!A459=связи1!A95,пристройка!E10,0)+IF('Ввод данных'!A459=связи1!A96,0,0)+IF('Ввод данных'!A459=связи1!A98,пристройка!E116,0)+IF('Ввод данных'!A459=связи1!A97,0,0))*E6*E32</f>
        <v>0</v>
      </c>
      <c r="F11" s="1335" t="n">
        <f aca="false">(IF('Ввод данных'!A463=связи1!A94,0,0)+IF('Ввод данных'!A463=связи1!A95,пристройка!F10,0)+IF('Ввод данных'!A463=связи1!A96,0,0)+IF('Ввод данных'!A463=связи1!A98,пристройка!F116,0)+IF('Ввод данных'!A463=связи1!A97,0,0))*F6*F32</f>
        <v>0</v>
      </c>
      <c r="G11" s="1328" t="n">
        <f aca="false">C11+D11+E11+F11</f>
        <v>0</v>
      </c>
      <c r="H11" s="1335" t="n">
        <f aca="false">(IF('Ввод данных'!A73=связи1!A94,0,0)+IF('Ввод данных'!A73=связи1!A95,пристройка!H10,0)+IF('Ввод данных'!A73=связи1!A96,0,0)+IF('Ввод данных'!A73=связи1!A98,пристройка!H116,0)+IF('Ввод данных'!A73=связи1!A97,0,0))*H6</f>
        <v>0</v>
      </c>
      <c r="I11" s="1335" t="n">
        <f aca="false">(IF('Ввод данных'!A455=связи1!A94,0,0)+IF('Ввод данных'!A455=связи1!A95,пристройка!I10,0)+IF('Ввод данных'!A455=связи1!A96,0,0)+IF('Ввод данных'!A455=связи1!A98,пристройка!I116,0)+IF('Ввод данных'!A455=связи1!A97,0,0))*I6</f>
        <v>0</v>
      </c>
      <c r="J11" s="1335" t="n">
        <f aca="false">(IF('Ввод данных'!A459=связи1!A94,0,0)+IF('Ввод данных'!A459=связи1!A95,пристройка!J10,0)+IF('Ввод данных'!A459=связи1!A96,0,0)+IF('Ввод данных'!A459=связи1!A98,пристройка!J116,0)+IF('Ввод данных'!A459=связи1!A97,0,0))*J6</f>
        <v>0</v>
      </c>
      <c r="K11" s="1335" t="n">
        <f aca="false">(IF('Ввод данных'!A463=связи1!A94,0,0)+IF('Ввод данных'!A463=связи1!A95,пристройка!K10,0)+IF('Ввод данных'!A463=связи1!A96,0,0)+IF('Ввод данных'!A463=связи1!A98,пристройка!K116,0)+IF('Ввод данных'!A463=связи1!A97,0,0))*K6</f>
        <v>0</v>
      </c>
      <c r="L11" s="1328" t="n">
        <f aca="false">H11+I11+J11+K11</f>
        <v>0</v>
      </c>
      <c r="M11" s="1335" t="n">
        <f aca="false">(IF('Ввод данных'!A73=связи1!A94,0,0)+IF('Ввод данных'!A73=связи1!A95,пристройка!M10,0)+IF('Ввод данных'!A73=связи1!A96,0,0)+IF('Ввод данных'!A73=связи1!A98,пристройка!M116,0)+IF('Ввод данных'!A73=связи1!A97,0,0))*M6</f>
        <v>0</v>
      </c>
      <c r="N11" s="1335" t="n">
        <f aca="false">(IF('Ввод данных'!A455=связи1!A94,0,0)+IF('Ввод данных'!A455=связи1!A95,пристройка!N10,0)+IF('Ввод данных'!A455=связи1!A96,0,0)+IF('Ввод данных'!A455=связи1!A98,пристройка!N116,0)+IF('Ввод данных'!A455=связи1!A97,0,0))*N6</f>
        <v>0</v>
      </c>
      <c r="O11" s="1335" t="n">
        <f aca="false">(IF('Ввод данных'!A459=связи1!A94,0,0)+IF('Ввод данных'!A459=связи1!A95,пристройка!O10,0)+IF('Ввод данных'!A459=связи1!A96,0,0)+IF('Ввод данных'!A459=связи1!A98,пристройка!O116,0)+IF('Ввод данных'!A459=связи1!A97,0,0))*O6</f>
        <v>0</v>
      </c>
      <c r="P11" s="1335" t="n">
        <f aca="false">(IF('Ввод данных'!A463=связи1!A94,0,0)+IF('Ввод данных'!A463=связи1!A95,пристройка!P10,0)+IF('Ввод данных'!A463=связи1!A96,0,0)+IF('Ввод данных'!A463=связи1!A98,пристройка!P116,0)+IF('Ввод данных'!A463=связи1!A97,0,0))*P6</f>
        <v>0</v>
      </c>
      <c r="Q11" s="1328" t="n">
        <f aca="false">M11+N11+O11+P11</f>
        <v>0</v>
      </c>
      <c r="R11" s="1329" t="n">
        <f aca="false">G11+L11+Q11</f>
        <v>0</v>
      </c>
      <c r="AD11" s="1307" t="n">
        <f aca="false">AD39-AD10</f>
        <v>2.7</v>
      </c>
      <c r="AE11" s="1308" t="s">
        <v>295</v>
      </c>
      <c r="AF11" s="1336"/>
      <c r="AH11" s="1304" t="s">
        <v>2760</v>
      </c>
      <c r="AI11" s="1304"/>
      <c r="AJ11" s="1176" t="s">
        <v>488</v>
      </c>
      <c r="AK11" s="1318" t="n">
        <v>0</v>
      </c>
      <c r="AL11" s="1319" t="n">
        <v>0</v>
      </c>
      <c r="AM11" s="1313" t="n">
        <f aca="false">AK11*AL11</f>
        <v>0</v>
      </c>
      <c r="AN11" s="1313" t="n">
        <f aca="false">AM11*C38*C5</f>
        <v>0</v>
      </c>
      <c r="AO11" s="1313" t="n">
        <v>0</v>
      </c>
      <c r="AP11" s="1314" t="n">
        <v>0</v>
      </c>
      <c r="AQ11" s="918" t="n">
        <f aca="false">AO11+AP11+0.3</f>
        <v>0.3</v>
      </c>
    </row>
    <row r="12" s="1275" customFormat="true" ht="14.1" hidden="false" customHeight="true" outlineLevel="0" collapsed="false">
      <c r="A12" s="1337" t="s">
        <v>2761</v>
      </c>
      <c r="B12" s="1338"/>
      <c r="C12" s="1339" t="n">
        <f aca="false">C3*C9*C32*C6</f>
        <v>0</v>
      </c>
      <c r="D12" s="1339" t="n">
        <f aca="false">D3*D9*D32*D6</f>
        <v>0</v>
      </c>
      <c r="E12" s="1339" t="n">
        <f aca="false">E3*E9*E32*E6</f>
        <v>0</v>
      </c>
      <c r="F12" s="1340" t="n">
        <f aca="false">F3*F9*F32*F6</f>
        <v>0</v>
      </c>
      <c r="G12" s="1328" t="n">
        <f aca="false">C12+D12+E12+F12</f>
        <v>0</v>
      </c>
      <c r="H12" s="1339" t="n">
        <f aca="false">H3*H9*H32*H6</f>
        <v>0</v>
      </c>
      <c r="I12" s="1339" t="n">
        <f aca="false">I3*I9*I32*I6</f>
        <v>0</v>
      </c>
      <c r="J12" s="1339" t="n">
        <f aca="false">J3*J9*J32*J6</f>
        <v>0</v>
      </c>
      <c r="K12" s="1340" t="n">
        <f aca="false">K3*K9*K32*K6</f>
        <v>0</v>
      </c>
      <c r="L12" s="1328" t="n">
        <f aca="false">H12+I12+J12+K12</f>
        <v>0</v>
      </c>
      <c r="M12" s="1339" t="n">
        <f aca="false">M3*M9*M32*M6</f>
        <v>0</v>
      </c>
      <c r="N12" s="1339" t="n">
        <f aca="false">N3*N9*N32*N6</f>
        <v>0</v>
      </c>
      <c r="O12" s="1339" t="n">
        <f aca="false">O3*O9*O32*O6</f>
        <v>0</v>
      </c>
      <c r="P12" s="1340" t="n">
        <f aca="false">P3*P9*P32*P6</f>
        <v>0</v>
      </c>
      <c r="Q12" s="1328" t="n">
        <f aca="false">M12+N12+O12+P12</f>
        <v>0</v>
      </c>
      <c r="R12" s="1329" t="n">
        <f aca="false">G12+L12+Q12</f>
        <v>0</v>
      </c>
      <c r="AD12" s="1341"/>
      <c r="AE12" s="1313"/>
      <c r="AF12" s="1342"/>
      <c r="AH12" s="1304"/>
      <c r="AI12" s="1304"/>
      <c r="AJ12" s="1313"/>
      <c r="AK12" s="1343"/>
      <c r="AL12" s="1344"/>
      <c r="AM12" s="1313"/>
      <c r="AN12" s="1313"/>
      <c r="AO12" s="1313"/>
      <c r="AP12" s="1314"/>
      <c r="AQ12" s="918"/>
    </row>
    <row r="13" s="1275" customFormat="true" ht="14.1" hidden="false" customHeight="true" outlineLevel="0" collapsed="false">
      <c r="A13" s="1337" t="s">
        <v>2762</v>
      </c>
      <c r="B13" s="1338"/>
      <c r="C13" s="1339" t="n">
        <f aca="false">C10*C5*C32*C6</f>
        <v>0</v>
      </c>
      <c r="D13" s="1339" t="n">
        <f aca="false">D10*D5*D32*D6</f>
        <v>0</v>
      </c>
      <c r="E13" s="1339" t="n">
        <f aca="false">E10*E5*E32*E6</f>
        <v>0</v>
      </c>
      <c r="F13" s="1340" t="n">
        <f aca="false">F10*F5*F32*F6</f>
        <v>0</v>
      </c>
      <c r="G13" s="1328" t="n">
        <f aca="false">C13+D13+E13+F13</f>
        <v>0</v>
      </c>
      <c r="H13" s="1339" t="n">
        <f aca="false">H10*H5*H32*H6</f>
        <v>0</v>
      </c>
      <c r="I13" s="1339" t="n">
        <f aca="false">I10*I5*I32*I6</f>
        <v>0</v>
      </c>
      <c r="J13" s="1339" t="n">
        <f aca="false">J10*J5*J32*J6</f>
        <v>0</v>
      </c>
      <c r="K13" s="1340" t="n">
        <f aca="false">K10*K5*K32*K6</f>
        <v>0</v>
      </c>
      <c r="L13" s="1328" t="n">
        <f aca="false">H13+I13+J13+K13</f>
        <v>0</v>
      </c>
      <c r="M13" s="1339" t="n">
        <f aca="false">M10*M5*M32*M6</f>
        <v>0</v>
      </c>
      <c r="N13" s="1339" t="n">
        <f aca="false">N10*N5*N32*N6</f>
        <v>0</v>
      </c>
      <c r="O13" s="1339" t="n">
        <f aca="false">O10*O5*O32*O6</f>
        <v>0</v>
      </c>
      <c r="P13" s="1340" t="n">
        <f aca="false">P10*P5*P32*P6</f>
        <v>0</v>
      </c>
      <c r="Q13" s="1328" t="n">
        <f aca="false">M13+N13+O13+P13</f>
        <v>0</v>
      </c>
      <c r="R13" s="1329" t="n">
        <f aca="false">G13+L13+Q13</f>
        <v>0</v>
      </c>
      <c r="AD13" s="1341"/>
      <c r="AE13" s="1313"/>
      <c r="AF13" s="1342"/>
      <c r="AH13" s="1304"/>
      <c r="AI13" s="1304"/>
      <c r="AJ13" s="1313"/>
      <c r="AK13" s="1343"/>
      <c r="AL13" s="1344"/>
      <c r="AM13" s="1313"/>
      <c r="AN13" s="1313"/>
      <c r="AO13" s="1313"/>
      <c r="AP13" s="1314"/>
      <c r="AQ13" s="918"/>
    </row>
    <row r="14" s="1275" customFormat="true" ht="14.1" hidden="false" customHeight="true" outlineLevel="0" collapsed="false">
      <c r="A14" s="1337" t="s">
        <v>2763</v>
      </c>
      <c r="B14" s="1338"/>
      <c r="C14" s="1339" t="n">
        <f aca="false">(IF('Ввод данных'!A73=связи1!A94,пристройка!C10,0)+IF('Ввод данных'!A73=связи1!A95,пристройка!C10,0)+IF('Ввод данных'!A73=связи1!A96,пристройка!C10,0)+IF('Ввод данных'!A73=связи1!A97,пристройка!C114,0)+IF('Ввод данных'!A73=связи1!A98,пристройка!C10,0))*C6*C32</f>
        <v>0</v>
      </c>
      <c r="D14" s="1339" t="n">
        <f aca="false">(IF('Ввод данных'!A455=связи1!A94,пристройка!D10,0)+IF('Ввод данных'!A455=связи1!A95,пристройка!D10,0)+IF('Ввод данных'!A455=связи1!A96,пристройка!D10,0)+IF('Ввод данных'!A455=связи1!A97,пристройка!D114,0)+IF('Ввод данных'!A455=связи1!A98,пристройка!D10,0))*D6*D32</f>
        <v>0</v>
      </c>
      <c r="E14" s="1339" t="n">
        <f aca="false">(IF('Ввод данных'!A459=связи1!A94,пристройка!E10,0)+IF('Ввод данных'!A459=связи1!A95,пристройка!E10,0)+IF('Ввод данных'!A459=связи1!A96,пристройка!E10,0)+IF('Ввод данных'!A459=связи1!A97,пристройка!E114,0)+IF('Ввод данных'!A459=связи1!A98,пристройка!E10,0))*E32*E6</f>
        <v>0</v>
      </c>
      <c r="F14" s="1340" t="n">
        <f aca="false">(IF('Ввод данных'!A463=связи1!A94,пристройка!F10,0)+IF('Ввод данных'!A463=связи1!A95,пристройка!F10,0)+IF('Ввод данных'!A463=связи1!A96,пристройка!F10,0)+IF('Ввод данных'!A463=связи1!A97,пристройка!F114,0)+IF('Ввод данных'!A463=связи1!A98,пристройка!F10,0))*F6*F32</f>
        <v>0</v>
      </c>
      <c r="G14" s="1328" t="n">
        <f aca="false">C14+D14+E14+F14</f>
        <v>0</v>
      </c>
      <c r="H14" s="1339" t="n">
        <f aca="false">(IF('Ввод данных'!A73=связи1!A94,пристройка!H10,0)+IF('Ввод данных'!A73=связи1!A95,пристройка!H10,0)+IF('Ввод данных'!A73=связи1!A96,пристройка!H10,0)+IF('Ввод данных'!A73=связи1!A97,пристройка!H114,0)+IF('Ввод данных'!A73=связи1!A98,пристройка!H10,0))*H6*H32</f>
        <v>0</v>
      </c>
      <c r="I14" s="1339" t="n">
        <f aca="false">(IF('Ввод данных'!A455=связи1!A94,пристройка!I10,0)+IF('Ввод данных'!A455=связи1!A95,пристройка!I10,0)+IF('Ввод данных'!A455=связи1!A96,пристройка!I10,0)+IF('Ввод данных'!A455=связи1!A97,пристройка!I114,0)+IF('Ввод данных'!A455=связи1!A98,пристройка!I10,0))*I6*I32</f>
        <v>0</v>
      </c>
      <c r="J14" s="1339" t="n">
        <f aca="false">(IF('Ввод данных'!A459=связи1!A94,пристройка!J10,0)+IF('Ввод данных'!A459=связи1!A95,пристройка!J10,0)+IF('Ввод данных'!A459=связи1!A96,пристройка!J10,0)+IF('Ввод данных'!A459=связи1!A97,пристройка!J114,0)+IF('Ввод данных'!A459=связи1!A98,пристройка!J10,0))*J6*J32</f>
        <v>0</v>
      </c>
      <c r="K14" s="1340" t="n">
        <f aca="false">(IF('Ввод данных'!A463=связи1!A94,пристройка!K10,0)+IF('Ввод данных'!A463=связи1!A95,пристройка!K10,0)+IF('Ввод данных'!A463=связи1!A96,пристройка!K10,0)+IF('Ввод данных'!A463=связи1!A97,пристройка!K114,0)+IF('Ввод данных'!A463=связи1!A98,пристройка!K10,0))*K6*K32</f>
        <v>0</v>
      </c>
      <c r="L14" s="1328" t="n">
        <f aca="false">H14+I14+J14+K14</f>
        <v>0</v>
      </c>
      <c r="M14" s="1339" t="n">
        <f aca="false">IF('Ввод данных'!A73=связи1!A94,пристройка!M10,0)+IF('Ввод данных'!A73=связи1!A95,пристройка!M10,0)+IF('Ввод данных'!A73=связи1!A96,пристройка!M10,0)+IF('Ввод данных'!A73=связи1!A97,пристройка!M114,0)+IF('Ввод данных'!A73=связи1!A98,пристройка!M10,0)</f>
        <v>0</v>
      </c>
      <c r="N14" s="1339" t="n">
        <f aca="false">IF('Ввод данных'!A455=связи1!A94,пристройка!N10,0)+IF('Ввод данных'!A455=связи1!A95,пристройка!N10,0)+IF('Ввод данных'!A455=связи1!A96,пристройка!N10,0)+IF('Ввод данных'!A455=связи1!A97,пристройка!N114,0)+IF('Ввод данных'!A455=связи1!A98,пристройка!N10,0)</f>
        <v>0</v>
      </c>
      <c r="O14" s="1339" t="n">
        <f aca="false">IF('Ввод данных'!A459=связи1!A94,пристройка!O10,0)+IF('Ввод данных'!A459=связи1!A95,пристройка!O10,0)+IF('Ввод данных'!A459=связи1!A96,пристройка!O10,0)+IF('Ввод данных'!A459=связи1!A97,пристройка!O114,0)+IF('Ввод данных'!A459=связи1!A98,пристройка!O10,0)</f>
        <v>0</v>
      </c>
      <c r="P14" s="1340" t="n">
        <f aca="false">IF('Ввод данных'!A463=связи1!A94,пристройка!P10,0)+IF('Ввод данных'!A463=связи1!A95,пристройка!P10,0)+IF('Ввод данных'!A463=связи1!A96,пристройка!P10,0)+IF('Ввод данных'!A463=связи1!A97,пристройка!P114,0)+IF('Ввод данных'!A463=связи1!A98,пристройка!P10,0)</f>
        <v>0</v>
      </c>
      <c r="Q14" s="1328" t="n">
        <f aca="false">M14+N14+O14+P14</f>
        <v>0</v>
      </c>
      <c r="R14" s="1329" t="n">
        <f aca="false">G14+L14+Q14</f>
        <v>0</v>
      </c>
      <c r="AD14" s="1341"/>
      <c r="AE14" s="1313"/>
      <c r="AF14" s="1342"/>
      <c r="AH14" s="1304"/>
      <c r="AI14" s="1304"/>
      <c r="AJ14" s="1313"/>
      <c r="AK14" s="1343"/>
      <c r="AL14" s="1344"/>
      <c r="AM14" s="1313"/>
      <c r="AN14" s="1313"/>
      <c r="AO14" s="1313"/>
      <c r="AP14" s="1314"/>
      <c r="AQ14" s="918"/>
    </row>
    <row r="15" s="1275" customFormat="true" ht="14.1" hidden="false" customHeight="true" outlineLevel="0" collapsed="false">
      <c r="A15" s="1337" t="s">
        <v>2764</v>
      </c>
      <c r="B15" s="1338"/>
      <c r="C15" s="1339" t="n">
        <f aca="false">(IF('Ввод данных'!A73=связи1!A94,0,0)+IF('Ввод данных'!A73=связи1!A95,пристройка!C11,0)+IF('Ввод данных'!A73=связи1!A96,пристройка!C65,0)+IF('Ввод данных'!A73=связи1!A97,0,0)+IF('Ввод данных'!A73=связи1!A98,пристройка!C114+пристройка!C115+пристройка!C116,0))*C32*C6</f>
        <v>0</v>
      </c>
      <c r="D15" s="1339" t="n">
        <f aca="false">(IF('Ввод данных'!A455=связи1!A94,0,0)+IF('Ввод данных'!A455=связи1!A95,пристройка!D11,0)+IF('Ввод данных'!A455=связи1!A96,пристройка!D65,0)+IF('Ввод данных'!A455=связи1!A97,0,0)+IF('Ввод данных'!A455=связи1!A98,пристройка!D114+пристройка!D115+пристройка!D116,0))*D6*D32</f>
        <v>0</v>
      </c>
      <c r="E15" s="1339" t="n">
        <f aca="false">(IF('Ввод данных'!A459=связи1!A94,0,0)+IF('Ввод данных'!A459=связи1!A95,пристройка!E11,0)+IF('Ввод данных'!A459=связи1!A96,пристройка!E65,0)+IF('Ввод данных'!A459=связи1!A97,0,0)+IF('Ввод данных'!A459=связи1!A98,пристройка!E114+пристройка!E115+пристройка!E116,0))*E32*E6</f>
        <v>0</v>
      </c>
      <c r="F15" s="1340" t="n">
        <f aca="false">(IF('Ввод данных'!A463=связи1!A94,0,0)+IF('Ввод данных'!A463=связи1!A95,пристройка!F11,0)+IF('Ввод данных'!A463=связи1!A96,пристройка!F65,0)+IF('Ввод данных'!A463=связи1!A97,0,0)+IF('Ввод данных'!A463=связи1!A98,пристройка!F114+пристройка!F115+пристройка!F116,0))*F6*F32</f>
        <v>0</v>
      </c>
      <c r="G15" s="1328" t="n">
        <f aca="false">C15+D15+E15+F15</f>
        <v>0</v>
      </c>
      <c r="H15" s="1339" t="n">
        <f aca="false">(IF('Ввод данных'!A73=связи1!A94,0,0)+IF('Ввод данных'!A73=связи1!A95,пристройка!H11,0)+IF('Ввод данных'!A73=связи1!A96,пристройка!H65,0)+IF('Ввод данных'!A73=связи1!A97,0,0)+IF('Ввод данных'!A73=связи1!A98,пристройка!H114+пристройка!H115+пристройка!H116,0))*H6*H32</f>
        <v>0</v>
      </c>
      <c r="I15" s="1339" t="n">
        <f aca="false">(IF('Ввод данных'!A455=связи1!A94,0,0)+IF('Ввод данных'!A455=связи1!A95,пристройка!I11,0)+IF('Ввод данных'!A455=связи1!A96,пристройка!I65,0)+IF('Ввод данных'!A455=связи1!A97,0,0)+IF('Ввод данных'!A455=связи1!A98,пристройка!I114+пристройка!I115+пристройка!I116,0))*I6*I32</f>
        <v>0</v>
      </c>
      <c r="J15" s="1339" t="n">
        <f aca="false">(IF('Ввод данных'!A459=связи1!A94,0,0)+IF('Ввод данных'!A459=связи1!A95,пристройка!J11,0)+IF('Ввод данных'!A459=связи1!A96,пристройка!J65,0)+IF('Ввод данных'!A459=связи1!A97,0,0)+IF('Ввод данных'!A459=связи1!A98,пристройка!J114+пристройка!J115+пристройка!J116,0))*J6*J32</f>
        <v>0</v>
      </c>
      <c r="K15" s="1340" t="n">
        <f aca="false">(IF('Ввод данных'!A463=связи1!A94,0,0)+IF('Ввод данных'!A463=связи1!A95,пристройка!K11,0)+IF('Ввод данных'!A463=связи1!A96,пристройка!K65,0)+IF('Ввод данных'!A463=связи1!A97,0,0)+IF('Ввод данных'!A463=связи1!A98,пристройка!K114+пристройка!K115+пристройка!K116,0))*K6*K32</f>
        <v>0</v>
      </c>
      <c r="L15" s="1328" t="n">
        <f aca="false">H15+I15+J15+K15</f>
        <v>0</v>
      </c>
      <c r="M15" s="1339" t="n">
        <f aca="false">IF('Ввод данных'!A73=связи1!A94,0,0)+IF('Ввод данных'!A73=связи1!A95,пристройка!M11,0)+IF('Ввод данных'!A73=связи1!A96,пристройка!M65,0)+IF('Ввод данных'!A73=связи1!A97,0,0)+IF('Ввод данных'!A73=связи1!A98,пристройка!M114+пристройка!M115+пристройка!M116,0)</f>
        <v>0</v>
      </c>
      <c r="N15" s="1339" t="n">
        <f aca="false">IF('Ввод данных'!A455=связи1!A94,0,0)+IF('Ввод данных'!A455=связи1!A95,пристройка!N11,0)+IF('Ввод данных'!A455=связи1!A96,пристройка!N65,0)+IF('Ввод данных'!A455=связи1!A97,0,0)+IF('Ввод данных'!A455=связи1!A98,пристройка!N114+пристройка!N115+пристройка!N116,0)</f>
        <v>0</v>
      </c>
      <c r="O15" s="1339" t="n">
        <f aca="false">IF('Ввод данных'!A459=связи1!A94,0,0)+IF('Ввод данных'!A459=связи1!A95,пристройка!O11,0)+IF('Ввод данных'!A459=связи1!A96,пристройка!O65,0)+IF('Ввод данных'!A459=связи1!A97,0,0)+IF('Ввод данных'!A459=связи1!A98,пристройка!O114+пристройка!O115+пристройка!O116,0)</f>
        <v>0</v>
      </c>
      <c r="P15" s="1340" t="n">
        <f aca="false">IF('Ввод данных'!A463=связи1!A94,0,0)+IF('Ввод данных'!A463=связи1!A95,пристройка!P11,0)+IF('Ввод данных'!A463=связи1!A96,пристройка!P65,0)+IF('Ввод данных'!A463=связи1!A97,0,0)+IF('Ввод данных'!A463=связи1!A98,пристройка!P114+пристройка!P115+пристройка!P116,0)</f>
        <v>0</v>
      </c>
      <c r="Q15" s="1328" t="n">
        <f aca="false">M15+N15+O15+P15</f>
        <v>0</v>
      </c>
      <c r="R15" s="1329" t="n">
        <f aca="false">G15+L15+Q15</f>
        <v>0</v>
      </c>
      <c r="AD15" s="1341"/>
      <c r="AE15" s="1313"/>
      <c r="AF15" s="1342"/>
      <c r="AH15" s="1304"/>
      <c r="AI15" s="1304"/>
      <c r="AJ15" s="1313"/>
      <c r="AK15" s="1343"/>
      <c r="AL15" s="1344"/>
      <c r="AM15" s="1313"/>
      <c r="AN15" s="1313"/>
      <c r="AO15" s="1313"/>
      <c r="AP15" s="1314"/>
      <c r="AQ15" s="918"/>
    </row>
    <row r="16" s="1275" customFormat="true" ht="14.1" hidden="false" customHeight="true" outlineLevel="0" collapsed="false">
      <c r="A16" s="1337" t="s">
        <v>2761</v>
      </c>
      <c r="B16" s="1338"/>
      <c r="C16" s="1339" t="n">
        <f aca="false">пристройка!D2*пристройка!C25*пристройка!C32</f>
        <v>0</v>
      </c>
      <c r="D16" s="1339" t="n">
        <f aca="false">D2*пристройка!D25*пристройка!D32</f>
        <v>0</v>
      </c>
      <c r="E16" s="1339" t="n">
        <f aca="false">пристройка!D2*пристройка!E25*пристройка!E32</f>
        <v>0</v>
      </c>
      <c r="F16" s="1340" t="n">
        <f aca="false">пристройка!D2*пристройка!F25*пристройка!F32</f>
        <v>0</v>
      </c>
      <c r="G16" s="1328"/>
      <c r="H16" s="1339" t="n">
        <f aca="false">пристройка!D2*пристройка!H25*пристройка!H32</f>
        <v>0</v>
      </c>
      <c r="I16" s="1339" t="n">
        <f aca="false">пристройка!D2*пристройка!I25*пристройка!I32</f>
        <v>0</v>
      </c>
      <c r="J16" s="1339" t="n">
        <f aca="false">пристройка!D2*пристройка!J25*пристройка!J32</f>
        <v>0</v>
      </c>
      <c r="K16" s="1340" t="n">
        <f aca="false">пристройка!D2*пристройка!K25*пристройка!K32</f>
        <v>0</v>
      </c>
      <c r="L16" s="1328"/>
      <c r="M16" s="1339" t="n">
        <f aca="false">пристройка!D2*пристройка!M25*пристройка!M32</f>
        <v>0</v>
      </c>
      <c r="N16" s="1339" t="n">
        <f aca="false">пристройка!D2*пристройка!N25*пристройка!N32</f>
        <v>0</v>
      </c>
      <c r="O16" s="1339" t="n">
        <f aca="false">пристройка!D2*пристройка!O25*пристройка!O32</f>
        <v>0</v>
      </c>
      <c r="P16" s="1340" t="n">
        <f aca="false">пристройка!D2*пристройка!P25*пристройка!P32</f>
        <v>0</v>
      </c>
      <c r="Q16" s="1328"/>
      <c r="R16" s="1345"/>
      <c r="AD16" s="1341"/>
      <c r="AE16" s="1313"/>
      <c r="AF16" s="1342"/>
      <c r="AH16" s="1304"/>
      <c r="AI16" s="1304"/>
      <c r="AJ16" s="1313"/>
      <c r="AK16" s="1343"/>
      <c r="AL16" s="1344"/>
      <c r="AM16" s="1313"/>
      <c r="AN16" s="1313"/>
      <c r="AO16" s="1313"/>
      <c r="AP16" s="1314"/>
      <c r="AQ16" s="918"/>
    </row>
    <row r="17" s="1275" customFormat="true" ht="14.1" hidden="false" customHeight="true" outlineLevel="0" collapsed="false">
      <c r="A17" s="1337" t="s">
        <v>2763</v>
      </c>
      <c r="B17" s="1338"/>
      <c r="C17" s="1339" t="n">
        <f aca="false">C25*C32*D2</f>
        <v>0</v>
      </c>
      <c r="D17" s="1339" t="n">
        <f aca="false">D25*D32*D2</f>
        <v>0</v>
      </c>
      <c r="E17" s="1339" t="n">
        <f aca="false">E25*E32*D2</f>
        <v>0</v>
      </c>
      <c r="F17" s="1340" t="n">
        <f aca="false">F25*F32*D2</f>
        <v>0</v>
      </c>
      <c r="G17" s="1328"/>
      <c r="H17" s="1339" t="n">
        <f aca="false">H25*H32*D2</f>
        <v>0</v>
      </c>
      <c r="I17" s="1339" t="n">
        <f aca="false">I25*I32*D2</f>
        <v>0</v>
      </c>
      <c r="J17" s="1339" t="n">
        <f aca="false">J25*J32*D2</f>
        <v>0</v>
      </c>
      <c r="K17" s="1340" t="n">
        <f aca="false">K25*K32*D2</f>
        <v>0</v>
      </c>
      <c r="L17" s="1328"/>
      <c r="M17" s="1339" t="n">
        <f aca="false">M25*M32*D2</f>
        <v>0</v>
      </c>
      <c r="N17" s="1339" t="n">
        <f aca="false">N25*N32*D2</f>
        <v>0</v>
      </c>
      <c r="O17" s="1339" t="n">
        <f aca="false">O25*O32*D2</f>
        <v>0</v>
      </c>
      <c r="P17" s="1340" t="n">
        <f aca="false">P25*P32*D2</f>
        <v>0</v>
      </c>
      <c r="Q17" s="1328"/>
      <c r="R17" s="1345"/>
      <c r="AD17" s="1341"/>
      <c r="AE17" s="1313"/>
      <c r="AF17" s="1342"/>
      <c r="AH17" s="1304"/>
      <c r="AI17" s="1304"/>
      <c r="AJ17" s="1313"/>
      <c r="AK17" s="1343"/>
      <c r="AL17" s="1344"/>
      <c r="AM17" s="1313"/>
      <c r="AN17" s="1313"/>
      <c r="AO17" s="1313"/>
      <c r="AP17" s="1314"/>
      <c r="AQ17" s="918"/>
    </row>
    <row r="18" s="1275" customFormat="true" ht="14.1" hidden="false" customHeight="true" outlineLevel="0" collapsed="false">
      <c r="A18" s="1337" t="s">
        <v>2762</v>
      </c>
      <c r="B18" s="1338"/>
      <c r="C18" s="1339" t="n">
        <f aca="false">C5*C32*D2</f>
        <v>0</v>
      </c>
      <c r="D18" s="1339" t="n">
        <f aca="false">D5*D32*D2</f>
        <v>0</v>
      </c>
      <c r="E18" s="1339" t="n">
        <f aca="false">E5*E32*D2</f>
        <v>0</v>
      </c>
      <c r="F18" s="1340" t="n">
        <f aca="false">F5*F32*D2</f>
        <v>0</v>
      </c>
      <c r="G18" s="1328"/>
      <c r="H18" s="1339" t="n">
        <f aca="false">H5*H32*D2</f>
        <v>0</v>
      </c>
      <c r="I18" s="1339" t="n">
        <f aca="false">I5*I32*D2</f>
        <v>0</v>
      </c>
      <c r="J18" s="1339" t="n">
        <f aca="false">J5*J32*D2</f>
        <v>0</v>
      </c>
      <c r="K18" s="1340" t="n">
        <f aca="false">K5*K32*D2</f>
        <v>0</v>
      </c>
      <c r="L18" s="1328"/>
      <c r="M18" s="1339" t="n">
        <f aca="false">M5*M32*D2</f>
        <v>0</v>
      </c>
      <c r="N18" s="1339" t="n">
        <f aca="false">N5*N32*D2</f>
        <v>0</v>
      </c>
      <c r="O18" s="1339" t="n">
        <f aca="false">O5*O32*D2</f>
        <v>0</v>
      </c>
      <c r="P18" s="1340" t="n">
        <f aca="false">P5*P32*D2</f>
        <v>0</v>
      </c>
      <c r="Q18" s="1328"/>
      <c r="R18" s="1345"/>
      <c r="AD18" s="1341"/>
      <c r="AE18" s="1313"/>
      <c r="AF18" s="1342"/>
      <c r="AH18" s="1304"/>
      <c r="AI18" s="1304"/>
      <c r="AJ18" s="1313"/>
      <c r="AK18" s="1343"/>
      <c r="AL18" s="1344"/>
      <c r="AM18" s="1313"/>
      <c r="AN18" s="1313"/>
      <c r="AO18" s="1313"/>
      <c r="AP18" s="1314"/>
      <c r="AQ18" s="918"/>
    </row>
    <row r="19" s="1275" customFormat="true" ht="14.1" hidden="false" customHeight="true" outlineLevel="0" collapsed="false">
      <c r="A19" s="1337" t="s">
        <v>2764</v>
      </c>
      <c r="B19" s="1338"/>
      <c r="C19" s="1339" t="n">
        <f aca="false">C5*D2*C32</f>
        <v>0</v>
      </c>
      <c r="D19" s="1339" t="n">
        <f aca="false">D5*D2*D32</f>
        <v>0</v>
      </c>
      <c r="E19" s="1339" t="n">
        <f aca="false">E5*D2*E32</f>
        <v>0</v>
      </c>
      <c r="F19" s="1340" t="n">
        <f aca="false">F5*D2*F32</f>
        <v>0</v>
      </c>
      <c r="G19" s="1328"/>
      <c r="H19" s="1339" t="n">
        <f aca="false">H5*D2*H32</f>
        <v>0</v>
      </c>
      <c r="I19" s="1339" t="n">
        <f aca="false">I5*D2*I32</f>
        <v>0</v>
      </c>
      <c r="J19" s="1339" t="n">
        <f aca="false">J5*D2*J32</f>
        <v>0</v>
      </c>
      <c r="K19" s="1340" t="n">
        <f aca="false">K5*D2*K32</f>
        <v>0</v>
      </c>
      <c r="L19" s="1328"/>
      <c r="M19" s="1339" t="n">
        <f aca="false">M5*D2*M32</f>
        <v>0</v>
      </c>
      <c r="N19" s="1339" t="n">
        <f aca="false">N5*D2*N32</f>
        <v>0</v>
      </c>
      <c r="O19" s="1339" t="n">
        <f aca="false">O5*D2*O32</f>
        <v>0</v>
      </c>
      <c r="P19" s="1340" t="n">
        <f aca="false">P5*D2*P32</f>
        <v>0</v>
      </c>
      <c r="Q19" s="1328"/>
      <c r="R19" s="1345"/>
      <c r="AD19" s="1341"/>
      <c r="AE19" s="1313"/>
      <c r="AF19" s="1342"/>
      <c r="AH19" s="1304"/>
      <c r="AI19" s="1304"/>
      <c r="AJ19" s="1313"/>
      <c r="AK19" s="1343"/>
      <c r="AL19" s="1344"/>
      <c r="AM19" s="1313"/>
      <c r="AN19" s="1313"/>
      <c r="AO19" s="1313"/>
      <c r="AP19" s="1314"/>
      <c r="AQ19" s="918"/>
    </row>
    <row r="20" customFormat="false" ht="14.1" hidden="false" customHeight="true" outlineLevel="0" collapsed="false">
      <c r="A20" s="1346"/>
      <c r="B20" s="1347"/>
      <c r="C20" s="1287" t="s">
        <v>137</v>
      </c>
      <c r="D20" s="1287"/>
      <c r="E20" s="1287"/>
      <c r="F20" s="1287"/>
      <c r="G20" s="53"/>
      <c r="H20" s="1287" t="s">
        <v>137</v>
      </c>
      <c r="I20" s="1287"/>
      <c r="J20" s="1287"/>
      <c r="K20" s="1287"/>
      <c r="L20" s="53"/>
      <c r="M20" s="1287" t="s">
        <v>137</v>
      </c>
      <c r="N20" s="1287"/>
      <c r="O20" s="1287"/>
      <c r="P20" s="1287"/>
      <c r="Q20" s="53"/>
      <c r="AD20" s="1307"/>
      <c r="AE20" s="1308"/>
      <c r="AF20" s="1336"/>
      <c r="AH20" s="1304"/>
      <c r="AI20" s="1304"/>
      <c r="AJ20" s="1176"/>
      <c r="AK20" s="1318"/>
      <c r="AL20" s="1319"/>
      <c r="AM20" s="1313"/>
      <c r="AN20" s="1313"/>
      <c r="AO20" s="1313"/>
      <c r="AP20" s="1314"/>
      <c r="AQ20" s="918"/>
    </row>
    <row r="21" customFormat="false" ht="14.1" hidden="false" customHeight="true" outlineLevel="0" collapsed="false">
      <c r="A21" s="1184" t="s">
        <v>302</v>
      </c>
      <c r="B21" s="1334"/>
      <c r="C21" s="1319" t="n">
        <v>0.2</v>
      </c>
      <c r="D21" s="1348" t="n">
        <v>0.2</v>
      </c>
      <c r="E21" s="1349" t="n">
        <v>0.2</v>
      </c>
      <c r="F21" s="1349" t="n">
        <v>0.2</v>
      </c>
      <c r="G21" s="53"/>
      <c r="H21" s="1319" t="n">
        <f aca="false">C21</f>
        <v>0.2</v>
      </c>
      <c r="I21" s="1350" t="n">
        <f aca="false">D21</f>
        <v>0.2</v>
      </c>
      <c r="J21" s="1350" t="n">
        <v>0.2</v>
      </c>
      <c r="K21" s="1350" t="n">
        <v>0.2</v>
      </c>
      <c r="L21" s="53"/>
      <c r="M21" s="1319" t="n">
        <f aca="false">H21</f>
        <v>0.2</v>
      </c>
      <c r="N21" s="1350" t="n">
        <f aca="false">I21</f>
        <v>0.2</v>
      </c>
      <c r="O21" s="1350" t="n">
        <v>0.2</v>
      </c>
      <c r="P21" s="1350" t="n">
        <v>0.2</v>
      </c>
      <c r="Q21" s="53"/>
      <c r="AD21" s="1307"/>
      <c r="AE21" s="1308"/>
      <c r="AF21" s="1336"/>
      <c r="AH21" s="1304"/>
      <c r="AI21" s="1304"/>
      <c r="AJ21" s="1176"/>
      <c r="AK21" s="1318"/>
      <c r="AL21" s="1319"/>
      <c r="AM21" s="1313"/>
      <c r="AN21" s="1313"/>
      <c r="AO21" s="1313"/>
      <c r="AP21" s="1314"/>
      <c r="AQ21" s="918"/>
    </row>
    <row r="22" customFormat="false" ht="14.1" hidden="false" customHeight="true" outlineLevel="0" collapsed="false">
      <c r="A22" s="1184" t="s">
        <v>2758</v>
      </c>
      <c r="B22" s="1334"/>
      <c r="C22" s="1319" t="n">
        <v>0.2</v>
      </c>
      <c r="D22" s="1348" t="n">
        <v>0.2</v>
      </c>
      <c r="E22" s="1349" t="n">
        <v>0.2</v>
      </c>
      <c r="F22" s="1349" t="n">
        <v>0.2</v>
      </c>
      <c r="G22" s="53"/>
      <c r="H22" s="1319" t="n">
        <f aca="false">C22</f>
        <v>0.2</v>
      </c>
      <c r="I22" s="1350" t="n">
        <f aca="false">D22</f>
        <v>0.2</v>
      </c>
      <c r="J22" s="1350" t="n">
        <v>0.2</v>
      </c>
      <c r="K22" s="1350" t="n">
        <v>0.2</v>
      </c>
      <c r="L22" s="53"/>
      <c r="M22" s="1319" t="n">
        <f aca="false">H22</f>
        <v>0.2</v>
      </c>
      <c r="N22" s="1350" t="n">
        <f aca="false">I22</f>
        <v>0.2</v>
      </c>
      <c r="O22" s="1350" t="n">
        <v>0.2</v>
      </c>
      <c r="P22" s="1350" t="n">
        <v>0.2</v>
      </c>
      <c r="Q22" s="53"/>
      <c r="AD22" s="1307"/>
      <c r="AE22" s="1308"/>
      <c r="AF22" s="1336"/>
      <c r="AH22" s="1304"/>
      <c r="AI22" s="1304"/>
      <c r="AJ22" s="1176"/>
      <c r="AK22" s="1318"/>
      <c r="AL22" s="1319"/>
      <c r="AM22" s="1313"/>
      <c r="AN22" s="1313"/>
      <c r="AO22" s="1313"/>
      <c r="AP22" s="1314"/>
      <c r="AQ22" s="918"/>
    </row>
    <row r="23" customFormat="false" ht="14.1" hidden="false" customHeight="true" outlineLevel="0" collapsed="false">
      <c r="A23" s="1333" t="s">
        <v>2759</v>
      </c>
      <c r="B23" s="1334"/>
      <c r="C23" s="1319" t="n">
        <v>0.2</v>
      </c>
      <c r="D23" s="1348" t="n">
        <v>0.2</v>
      </c>
      <c r="E23" s="1349" t="n">
        <v>0.2</v>
      </c>
      <c r="F23" s="1349" t="n">
        <v>0.2</v>
      </c>
      <c r="G23" s="53"/>
      <c r="H23" s="1319" t="n">
        <f aca="false">C23</f>
        <v>0.2</v>
      </c>
      <c r="I23" s="1350" t="n">
        <f aca="false">D23</f>
        <v>0.2</v>
      </c>
      <c r="J23" s="1350" t="n">
        <v>0.2</v>
      </c>
      <c r="K23" s="1350" t="n">
        <v>0.2</v>
      </c>
      <c r="L23" s="53"/>
      <c r="M23" s="1319" t="n">
        <f aca="false">H23</f>
        <v>0.2</v>
      </c>
      <c r="N23" s="1350" t="n">
        <f aca="false">I23</f>
        <v>0.2</v>
      </c>
      <c r="O23" s="1350" t="n">
        <v>0.2</v>
      </c>
      <c r="P23" s="1350" t="n">
        <v>0.2</v>
      </c>
      <c r="Q23" s="53"/>
      <c r="AD23" s="1307"/>
      <c r="AE23" s="1308"/>
      <c r="AF23" s="1336"/>
      <c r="AH23" s="1304"/>
      <c r="AI23" s="1304"/>
      <c r="AJ23" s="1176"/>
      <c r="AK23" s="1318"/>
      <c r="AL23" s="1319"/>
      <c r="AM23" s="1313"/>
      <c r="AN23" s="1313"/>
      <c r="AO23" s="1313"/>
      <c r="AP23" s="1314"/>
      <c r="AQ23" s="918"/>
    </row>
    <row r="24" customFormat="false" ht="14.1" hidden="false" customHeight="true" outlineLevel="0" collapsed="false">
      <c r="A24" s="1346"/>
      <c r="B24" s="1347"/>
      <c r="C24" s="1287" t="s">
        <v>486</v>
      </c>
      <c r="D24" s="1287"/>
      <c r="E24" s="1287"/>
      <c r="F24" s="1287"/>
      <c r="G24" s="53"/>
      <c r="H24" s="1287" t="s">
        <v>486</v>
      </c>
      <c r="I24" s="1287"/>
      <c r="J24" s="1287"/>
      <c r="K24" s="1287"/>
      <c r="L24" s="53"/>
      <c r="M24" s="1287" t="s">
        <v>486</v>
      </c>
      <c r="N24" s="1287"/>
      <c r="O24" s="1287"/>
      <c r="P24" s="1287"/>
      <c r="Q24" s="53"/>
      <c r="AD24" s="1307"/>
      <c r="AE24" s="1308"/>
      <c r="AF24" s="1336"/>
      <c r="AH24" s="1304"/>
      <c r="AI24" s="1304"/>
      <c r="AJ24" s="1176"/>
      <c r="AK24" s="1318"/>
      <c r="AL24" s="1319"/>
      <c r="AM24" s="1313"/>
      <c r="AN24" s="1313"/>
      <c r="AO24" s="1313"/>
      <c r="AP24" s="1314"/>
      <c r="AQ24" s="918"/>
    </row>
    <row r="25" customFormat="false" ht="14.1" hidden="false" customHeight="true" outlineLevel="0" collapsed="false">
      <c r="A25" s="1184" t="s">
        <v>302</v>
      </c>
      <c r="B25" s="1334"/>
      <c r="C25" s="1306" t="n">
        <f aca="false">IF('Ввод данных'!A73=связи1!A94,1,0)+IF('Ввод данных'!A73=связи1!A95,1,0)+IF('Ввод данных'!A73=связи1!A96,1,0)+IF('Ввод данных'!A73=связи1!A97,1,0)+IF('Ввод данных'!A73=связи1!A98,1,0)</f>
        <v>1</v>
      </c>
      <c r="D25" s="1305" t="n">
        <f aca="false">IF('Ввод данных'!A455=связи1!A94,1,0)+IF('Ввод данных'!A455=связи1!A95,1,0)+IF('Ввод данных'!A455=связи1!A96,1,0)+IF('Ввод данных'!A455=связи1!A97,1,0)+IF('Ввод данных'!A455=связи1!A98,1,0)</f>
        <v>1</v>
      </c>
      <c r="E25" s="1306" t="n">
        <f aca="false">IF('Ввод данных'!A459=связи1!A94,1,0)+IF('Ввод данных'!A459=связи1!A95,1,0)+IF('Ввод данных'!A459=связи1!A96,1,0)+IF('Ввод данных'!A459=связи1!A97,1,0)+IF('Ввод данных'!A459=связи1!A98,1,0)</f>
        <v>1</v>
      </c>
      <c r="F25" s="1306" t="n">
        <f aca="false">IF('Ввод данных'!A463=связи1!A94,1,0)+IF('Ввод данных'!A463=связи1!A95,1,0)+IF('Ввод данных'!A463=связи1!A96,1,0)+IF('Ввод данных'!A463=связи1!A97,1,0)+IF('Ввод данных'!A463=связи1!A98,1,0)</f>
        <v>1</v>
      </c>
      <c r="G25" s="53" t="n">
        <f aca="false">пристройка!D2*пристройка!C25*пристройка!C32</f>
        <v>0</v>
      </c>
      <c r="H25" s="1305" t="n">
        <f aca="false">C25</f>
        <v>1</v>
      </c>
      <c r="I25" s="1305" t="n">
        <f aca="false">D25</f>
        <v>1</v>
      </c>
      <c r="J25" s="1305" t="n">
        <f aca="false">E25</f>
        <v>1</v>
      </c>
      <c r="K25" s="1305" t="n">
        <f aca="false">F25</f>
        <v>1</v>
      </c>
      <c r="L25" s="53"/>
      <c r="M25" s="1305" t="n">
        <f aca="false">H25</f>
        <v>1</v>
      </c>
      <c r="N25" s="1305" t="n">
        <f aca="false">I25</f>
        <v>1</v>
      </c>
      <c r="O25" s="1305" t="n">
        <f aca="false">J25</f>
        <v>1</v>
      </c>
      <c r="P25" s="1305" t="n">
        <f aca="false">K25</f>
        <v>1</v>
      </c>
      <c r="Q25" s="53"/>
      <c r="AD25" s="1307"/>
      <c r="AE25" s="1308"/>
      <c r="AF25" s="1336"/>
      <c r="AH25" s="1304"/>
      <c r="AI25" s="1304"/>
      <c r="AJ25" s="1176"/>
      <c r="AK25" s="1318"/>
      <c r="AL25" s="1319"/>
      <c r="AM25" s="1313"/>
      <c r="AN25" s="1313"/>
      <c r="AO25" s="1313"/>
      <c r="AP25" s="1314"/>
      <c r="AQ25" s="918"/>
    </row>
    <row r="26" customFormat="false" ht="14.1" hidden="false" customHeight="true" outlineLevel="0" collapsed="false">
      <c r="A26" s="1184" t="s">
        <v>2758</v>
      </c>
      <c r="B26" s="1334"/>
      <c r="C26" s="1306" t="n">
        <f aca="false">IF('Ввод данных'!A73=связи1!A94,1,0)+IF('Ввод данных'!A73=связи1!A95,1,0)+IF('Ввод данных'!A73=связи1!A96,1,0)+IF('Ввод данных'!A73=связи1!A97,0,0)+IF('Ввод данных'!A73=связи1!A98,1,0)</f>
        <v>0</v>
      </c>
      <c r="D26" s="1305" t="n">
        <f aca="false">IF('Ввод данных'!A455=связи1!A94,1,0)+IF('Ввод данных'!A455=связи1!A95,1,0)+IF('Ввод данных'!A455=связи1!A96,1,0)+IF('Ввод данных'!A455=связи1!A97,0,0)+IF('Ввод данных'!A455=связи1!A98,1,0)</f>
        <v>1</v>
      </c>
      <c r="E26" s="1306" t="n">
        <f aca="false">IF('Ввод данных'!A459=связи1!A94,1,0)+IF('Ввод данных'!A459=связи1!A95,1,0)+IF('Ввод данных'!A459=связи1!A96,1,0)+IF('Ввод данных'!A459=связи1!A97,0,0)+IF('Ввод данных'!A459=связи1!A98,1,0)</f>
        <v>1</v>
      </c>
      <c r="F26" s="1306" t="n">
        <f aca="false">IF('Ввод данных'!A463=связи1!A94,1,0)+IF('Ввод данных'!A463=связи1!A95,1,0)+IF('Ввод данных'!A463=связи1!A96,1,0)+IF('Ввод данных'!A463=связи1!A97,0,0)+IF('Ввод данных'!A463=связи1!A98,1,0)</f>
        <v>1</v>
      </c>
      <c r="G26" s="53"/>
      <c r="H26" s="1305" t="n">
        <f aca="false">C26</f>
        <v>0</v>
      </c>
      <c r="I26" s="1305" t="n">
        <f aca="false">D26</f>
        <v>1</v>
      </c>
      <c r="J26" s="1305" t="n">
        <f aca="false">E26</f>
        <v>1</v>
      </c>
      <c r="K26" s="1305" t="n">
        <f aca="false">F26</f>
        <v>1</v>
      </c>
      <c r="L26" s="53"/>
      <c r="M26" s="1305" t="n">
        <f aca="false">H26</f>
        <v>0</v>
      </c>
      <c r="N26" s="1305" t="n">
        <f aca="false">I26</f>
        <v>1</v>
      </c>
      <c r="O26" s="1305" t="n">
        <f aca="false">J26</f>
        <v>1</v>
      </c>
      <c r="P26" s="1305" t="n">
        <f aca="false">K26</f>
        <v>1</v>
      </c>
      <c r="Q26" s="53"/>
      <c r="AD26" s="1307"/>
      <c r="AE26" s="1308"/>
      <c r="AF26" s="1336"/>
      <c r="AH26" s="1304"/>
      <c r="AI26" s="1304"/>
      <c r="AJ26" s="1176"/>
      <c r="AK26" s="1318"/>
      <c r="AL26" s="1319"/>
      <c r="AM26" s="1313"/>
      <c r="AN26" s="1313"/>
      <c r="AO26" s="1313"/>
      <c r="AP26" s="1314"/>
      <c r="AQ26" s="918"/>
    </row>
    <row r="27" customFormat="false" ht="14.1" hidden="false" customHeight="true" outlineLevel="0" collapsed="false">
      <c r="A27" s="1333" t="s">
        <v>2759</v>
      </c>
      <c r="B27" s="1334"/>
      <c r="C27" s="1306" t="n">
        <f aca="false">IF('Ввод данных'!A73=связи1!A94,0,0)+IF('Ввод данных'!A73=связи1!A95,1,0)+IF('Ввод данных'!A73=связи1!A96,0,0)+IF('Ввод данных'!A73=связи1!A97,0,0)+IF('Ввод данных'!A73=связи1!A98,1,0)</f>
        <v>0</v>
      </c>
      <c r="D27" s="1305" t="n">
        <f aca="false">IF('Ввод данных'!A455=связи1!A94,0,0)+IF('Ввод данных'!A455=связи1!A95,1,0)+IF('Ввод данных'!A455=связи1!A96,0,0)+IF('Ввод данных'!A455=связи1!A97,0,0)+IF('Ввод данных'!A455=связи1!A98,1,0)</f>
        <v>1</v>
      </c>
      <c r="E27" s="1306" t="n">
        <f aca="false">IF('Ввод данных'!A459=связи1!A94,0,0)+IF('Ввод данных'!A459=связи1!A95,1,0)+IF('Ввод данных'!A459=связи1!A96,0,0)+IF('Ввод данных'!A459=связи1!A97,0,0)+IF('Ввод данных'!A459=связи1!A98,1,0)</f>
        <v>0</v>
      </c>
      <c r="F27" s="1306" t="n">
        <f aca="false">IF('Ввод данных'!A463=связи1!A94,0,0)+IF('Ввод данных'!A463=связи1!A95,1,0)+IF('Ввод данных'!A463=связи1!A96,0,0)+IF('Ввод данных'!A463=связи1!A97,0,0)+IF('Ввод данных'!A463=связи1!A98,1,0)</f>
        <v>0</v>
      </c>
      <c r="G27" s="53"/>
      <c r="H27" s="1305" t="n">
        <f aca="false">C27</f>
        <v>0</v>
      </c>
      <c r="I27" s="1305" t="n">
        <f aca="false">D27</f>
        <v>1</v>
      </c>
      <c r="J27" s="1305" t="n">
        <f aca="false">E27</f>
        <v>0</v>
      </c>
      <c r="K27" s="1305" t="n">
        <f aca="false">F27</f>
        <v>0</v>
      </c>
      <c r="L27" s="53"/>
      <c r="M27" s="1305" t="n">
        <f aca="false">H27</f>
        <v>0</v>
      </c>
      <c r="N27" s="1305" t="n">
        <f aca="false">I27</f>
        <v>1</v>
      </c>
      <c r="O27" s="1305" t="n">
        <f aca="false">J27</f>
        <v>0</v>
      </c>
      <c r="P27" s="1305" t="n">
        <f aca="false">K27</f>
        <v>0</v>
      </c>
      <c r="Q27" s="53"/>
      <c r="AD27" s="1307"/>
      <c r="AE27" s="1308"/>
      <c r="AF27" s="1336"/>
      <c r="AH27" s="1304"/>
      <c r="AI27" s="1304"/>
      <c r="AJ27" s="1176"/>
      <c r="AK27" s="1318"/>
      <c r="AL27" s="1319"/>
      <c r="AM27" s="1313"/>
      <c r="AN27" s="1313"/>
      <c r="AO27" s="1313"/>
      <c r="AP27" s="1314"/>
      <c r="AQ27" s="918"/>
    </row>
    <row r="28" customFormat="false" ht="14.1" hidden="false" customHeight="true" outlineLevel="0" collapsed="false">
      <c r="A28" s="1333" t="s">
        <v>2765</v>
      </c>
      <c r="B28" s="1334"/>
      <c r="C28" s="1351" t="n">
        <f aca="false">(C34+C33+C33)*C32*C25</f>
        <v>0</v>
      </c>
      <c r="D28" s="1351" t="n">
        <f aca="false">(D34+D33+D33)*D32*D25</f>
        <v>0</v>
      </c>
      <c r="E28" s="1351" t="n">
        <f aca="false">(E34+E33+E33)*E32*E25</f>
        <v>0</v>
      </c>
      <c r="F28" s="1306" t="n">
        <f aca="false">(F34+F33+F33)*F32*F25</f>
        <v>0</v>
      </c>
      <c r="G28" s="1352" t="n">
        <f aca="false">C28+D28+E28+F28</f>
        <v>0</v>
      </c>
      <c r="H28" s="1351" t="n">
        <f aca="false">(H34+H33+H33)*H32*H25</f>
        <v>0</v>
      </c>
      <c r="I28" s="1351" t="n">
        <f aca="false">(I34+I33+I33)*I32*I25</f>
        <v>0</v>
      </c>
      <c r="J28" s="1351" t="n">
        <f aca="false">(J34+J33+J33)*J32*J25</f>
        <v>0</v>
      </c>
      <c r="K28" s="1306" t="n">
        <f aca="false">(K34+K33+K33)*K32*K25</f>
        <v>0</v>
      </c>
      <c r="L28" s="1352" t="n">
        <f aca="false">H28+I28+J28+K28</f>
        <v>0</v>
      </c>
      <c r="M28" s="1351" t="n">
        <f aca="false">(M34+M33+M33)*M32*M25</f>
        <v>0</v>
      </c>
      <c r="N28" s="1351" t="n">
        <f aca="false">(N34+N33+N33)*N32*N25</f>
        <v>0</v>
      </c>
      <c r="O28" s="1351" t="n">
        <f aca="false">(O34+O33+O33)*O32*O25</f>
        <v>0</v>
      </c>
      <c r="P28" s="1306" t="n">
        <f aca="false">(P34+P33+P33)*P32*P25</f>
        <v>0</v>
      </c>
      <c r="Q28" s="1352" t="n">
        <f aca="false">M28+N28+O28+P28</f>
        <v>0</v>
      </c>
      <c r="R28" s="1353" t="n">
        <f aca="false">G28+L28+Q28</f>
        <v>0</v>
      </c>
      <c r="AD28" s="1307"/>
      <c r="AE28" s="1308"/>
      <c r="AF28" s="1336"/>
      <c r="AH28" s="1304"/>
      <c r="AI28" s="1304"/>
      <c r="AJ28" s="1176"/>
      <c r="AK28" s="1318"/>
      <c r="AL28" s="1319"/>
      <c r="AM28" s="1313"/>
      <c r="AN28" s="1313"/>
      <c r="AO28" s="1313"/>
      <c r="AP28" s="1314"/>
      <c r="AQ28" s="918"/>
    </row>
    <row r="29" customFormat="false" ht="14.1" hidden="false" customHeight="true" outlineLevel="0" collapsed="false">
      <c r="A29" s="1333" t="s">
        <v>2766</v>
      </c>
      <c r="B29" s="1334"/>
      <c r="C29" s="1351" t="n">
        <f aca="false">(C34+C33+C33)*C32*C26</f>
        <v>0</v>
      </c>
      <c r="D29" s="1351" t="n">
        <f aca="false">(D34+D33+D33)*D32*D26</f>
        <v>0</v>
      </c>
      <c r="E29" s="1351" t="n">
        <f aca="false">(E34+E33+E33)*E32*E26</f>
        <v>0</v>
      </c>
      <c r="F29" s="1306" t="n">
        <f aca="false">(F34+F33+F33)*F32*F26</f>
        <v>0</v>
      </c>
      <c r="G29" s="1352" t="n">
        <f aca="false">C29+D29+E29+F29</f>
        <v>0</v>
      </c>
      <c r="H29" s="1351" t="n">
        <f aca="false">(H34+H33+H33)*H32*H26</f>
        <v>0</v>
      </c>
      <c r="I29" s="1351" t="n">
        <f aca="false">(I34+I33+I33)*I32*I26</f>
        <v>0</v>
      </c>
      <c r="J29" s="1351" t="n">
        <f aca="false">(J34+J33+J33)*J32*J26</f>
        <v>0</v>
      </c>
      <c r="K29" s="1306" t="n">
        <f aca="false">(K34+K33+K33)*K32*K26</f>
        <v>0</v>
      </c>
      <c r="L29" s="1352" t="n">
        <f aca="false">H29+I29+J29+K29</f>
        <v>0</v>
      </c>
      <c r="M29" s="1351" t="n">
        <f aca="false">(M34+M33+M33)*M32*M26</f>
        <v>0</v>
      </c>
      <c r="N29" s="1351" t="n">
        <f aca="false">(N34+N33+N33)*N32*N26</f>
        <v>0</v>
      </c>
      <c r="O29" s="1351" t="n">
        <f aca="false">(O34+O33+O33)*O32*O26</f>
        <v>0</v>
      </c>
      <c r="P29" s="1306" t="n">
        <f aca="false">(P34+P33+P33)*P32*P26</f>
        <v>0</v>
      </c>
      <c r="Q29" s="1352" t="n">
        <f aca="false">M29+N29+O29+P29</f>
        <v>0</v>
      </c>
      <c r="R29" s="1353" t="n">
        <f aca="false">G29+L29+Q29</f>
        <v>0</v>
      </c>
      <c r="AD29" s="1307"/>
      <c r="AE29" s="1308"/>
      <c r="AF29" s="1336"/>
      <c r="AH29" s="1304"/>
      <c r="AI29" s="1304"/>
      <c r="AJ29" s="1176"/>
      <c r="AK29" s="1318"/>
      <c r="AL29" s="1319"/>
      <c r="AM29" s="1313"/>
      <c r="AN29" s="1313"/>
      <c r="AO29" s="1313"/>
      <c r="AP29" s="1314"/>
      <c r="AQ29" s="918"/>
    </row>
    <row r="30" customFormat="false" ht="14.1" hidden="false" customHeight="true" outlineLevel="0" collapsed="false">
      <c r="A30" s="1333" t="s">
        <v>2767</v>
      </c>
      <c r="B30" s="1334"/>
      <c r="C30" s="1351" t="n">
        <f aca="false">(C34+C33+C33)*C32*C27</f>
        <v>0</v>
      </c>
      <c r="D30" s="1351" t="n">
        <f aca="false">(D34+D33+D33)*D32*D27</f>
        <v>0</v>
      </c>
      <c r="E30" s="1351" t="n">
        <f aca="false">(E34+E33+E33)*E32*E27</f>
        <v>0</v>
      </c>
      <c r="F30" s="1306" t="n">
        <f aca="false">(F34+F33+F33)*F32*F27</f>
        <v>0</v>
      </c>
      <c r="G30" s="1352" t="n">
        <f aca="false">C30+D30+E30+F30</f>
        <v>0</v>
      </c>
      <c r="H30" s="1351" t="n">
        <f aca="false">(H34+H33+H33)*H32*H27</f>
        <v>0</v>
      </c>
      <c r="I30" s="1351" t="n">
        <f aca="false">(I34+I33+I33)*I32*I27</f>
        <v>0</v>
      </c>
      <c r="J30" s="1351" t="n">
        <f aca="false">(J34+J33+J33)*J32*J27</f>
        <v>0</v>
      </c>
      <c r="K30" s="1306" t="n">
        <f aca="false">(K34+K33+K33)*K32*K27</f>
        <v>0</v>
      </c>
      <c r="L30" s="1352" t="n">
        <f aca="false">H30+I30+J30+K30</f>
        <v>0</v>
      </c>
      <c r="M30" s="1351" t="n">
        <f aca="false">(M34+M33+M33)*M32*M27</f>
        <v>0</v>
      </c>
      <c r="N30" s="1351" t="n">
        <f aca="false">(N34+N33+N33)*N32*N27</f>
        <v>0</v>
      </c>
      <c r="O30" s="1351" t="n">
        <f aca="false">(O34+O33+O33)*O32*O27</f>
        <v>0</v>
      </c>
      <c r="P30" s="1306" t="n">
        <f aca="false">(P34+P33+P33)*P32*P27</f>
        <v>0</v>
      </c>
      <c r="Q30" s="1352" t="n">
        <f aca="false">M30+N30+O30+P30</f>
        <v>0</v>
      </c>
      <c r="R30" s="1353" t="n">
        <f aca="false">G30+L30+Q30</f>
        <v>0</v>
      </c>
      <c r="AD30" s="1307"/>
      <c r="AE30" s="1308"/>
      <c r="AF30" s="1336"/>
      <c r="AH30" s="1304"/>
      <c r="AI30" s="1304"/>
      <c r="AJ30" s="1176"/>
      <c r="AK30" s="1318"/>
      <c r="AL30" s="1319"/>
      <c r="AM30" s="1313"/>
      <c r="AN30" s="1313"/>
      <c r="AO30" s="1313"/>
      <c r="AP30" s="1314"/>
      <c r="AQ30" s="918"/>
    </row>
    <row r="31" customFormat="false" ht="14.1" hidden="false" customHeight="true" outlineLevel="0" collapsed="false">
      <c r="A31" s="1354"/>
      <c r="B31" s="1347"/>
      <c r="C31" s="1355" t="s">
        <v>2768</v>
      </c>
      <c r="D31" s="1356" t="s">
        <v>2769</v>
      </c>
      <c r="E31" s="1332" t="s">
        <v>2770</v>
      </c>
      <c r="F31" s="1332" t="s">
        <v>2771</v>
      </c>
      <c r="H31" s="1355" t="s">
        <v>2768</v>
      </c>
      <c r="I31" s="1356" t="s">
        <v>2769</v>
      </c>
      <c r="J31" s="1332" t="s">
        <v>2770</v>
      </c>
      <c r="K31" s="1332" t="s">
        <v>2771</v>
      </c>
      <c r="M31" s="1355" t="s">
        <v>2768</v>
      </c>
      <c r="N31" s="1356" t="s">
        <v>2769</v>
      </c>
      <c r="O31" s="1332" t="s">
        <v>2770</v>
      </c>
      <c r="P31" s="1332" t="s">
        <v>2771</v>
      </c>
      <c r="AD31" s="1307" t="n">
        <f aca="false">'Ввод данных'!BD460</f>
        <v>5.8</v>
      </c>
      <c r="AE31" s="1308" t="s">
        <v>2772</v>
      </c>
      <c r="AF31" s="1297"/>
      <c r="AH31" s="1304"/>
      <c r="AI31" s="1304"/>
      <c r="AJ31" s="1176" t="s">
        <v>15</v>
      </c>
      <c r="AK31" s="1318" t="n">
        <v>0</v>
      </c>
      <c r="AL31" s="1319" t="n">
        <v>0</v>
      </c>
      <c r="AM31" s="1313" t="n">
        <f aca="false">AK31*AL31</f>
        <v>0</v>
      </c>
      <c r="AN31" s="1313" t="n">
        <f aca="false">AM31*C38*C5</f>
        <v>0</v>
      </c>
      <c r="AO31" s="1313" t="n">
        <v>0</v>
      </c>
      <c r="AP31" s="1314" t="n">
        <v>0</v>
      </c>
      <c r="AQ31" s="918" t="n">
        <f aca="false">AO31+AP31+0.3</f>
        <v>0.3</v>
      </c>
    </row>
    <row r="32" customFormat="false" ht="14.1" hidden="false" customHeight="true" outlineLevel="0" collapsed="false">
      <c r="A32" s="1354"/>
      <c r="B32" s="1347"/>
      <c r="C32" s="1355" t="n">
        <f aca="false">связи1!C568*C7*C6</f>
        <v>0</v>
      </c>
      <c r="D32" s="1356" t="n">
        <f aca="false">связи1!D568*D7*D6</f>
        <v>0</v>
      </c>
      <c r="E32" s="1332" t="n">
        <f aca="false">связи1!E568*E7*E6</f>
        <v>0</v>
      </c>
      <c r="F32" s="1332" t="n">
        <f aca="false">связи1!F568*F7*F6</f>
        <v>0</v>
      </c>
      <c r="G32" s="1275" t="s">
        <v>2773</v>
      </c>
      <c r="H32" s="1357" t="n">
        <f aca="false">связи1!C568*H7*H6</f>
        <v>0</v>
      </c>
      <c r="I32" s="1357" t="n">
        <f aca="false">связи1!D568*I7*I6</f>
        <v>0</v>
      </c>
      <c r="J32" s="1357" t="n">
        <f aca="false">связи1!E568*J7*J6</f>
        <v>0</v>
      </c>
      <c r="K32" s="1357" t="n">
        <f aca="false">связи1!F568*K7*K6</f>
        <v>0</v>
      </c>
      <c r="L32" s="1275" t="s">
        <v>2773</v>
      </c>
      <c r="M32" s="1357" t="n">
        <f aca="false">связи1!C568*пристройка!M6</f>
        <v>0</v>
      </c>
      <c r="N32" s="1357" t="n">
        <f aca="false">связи1!D568*пристройка!N6</f>
        <v>0</v>
      </c>
      <c r="O32" s="1357" t="n">
        <f aca="false">связи1!E568*пристройка!O6</f>
        <v>0</v>
      </c>
      <c r="P32" s="1357" t="n">
        <f aca="false">связи1!F568*пристройка!P6</f>
        <v>0</v>
      </c>
      <c r="AD32" s="1307"/>
      <c r="AE32" s="1308"/>
      <c r="AF32" s="1297"/>
      <c r="AH32" s="1304"/>
      <c r="AI32" s="1304"/>
      <c r="AJ32" s="1176"/>
      <c r="AK32" s="1318"/>
      <c r="AL32" s="1319"/>
      <c r="AM32" s="1313"/>
      <c r="AN32" s="1313"/>
      <c r="AO32" s="1313"/>
      <c r="AP32" s="1314"/>
      <c r="AQ32" s="918"/>
    </row>
    <row r="33" customFormat="false" ht="14.1" hidden="false" customHeight="true" outlineLevel="0" collapsed="false">
      <c r="A33" s="1333" t="s">
        <v>2774</v>
      </c>
      <c r="B33" s="1334" t="s">
        <v>15</v>
      </c>
      <c r="C33" s="1318" t="n">
        <f aca="false">пристройка!AF42</f>
        <v>3</v>
      </c>
      <c r="D33" s="1350" t="n">
        <f aca="false">связи1!D569</f>
        <v>3</v>
      </c>
      <c r="E33" s="1358" t="n">
        <f aca="false">связи1!E569</f>
        <v>3</v>
      </c>
      <c r="F33" s="1358" t="n">
        <f aca="false">связи1!F569</f>
        <v>3</v>
      </c>
      <c r="G33" s="1328" t="n">
        <f aca="false">(C34+C33+C33)*C32*C3+(D34+D33+D33)*D32*D3+E32*(E34+E33+E33)*E3+F32*(F34+F33+F33)*F3</f>
        <v>0</v>
      </c>
      <c r="H33" s="1319" t="n">
        <f aca="false">C33</f>
        <v>3</v>
      </c>
      <c r="I33" s="1319" t="n">
        <f aca="false">D33</f>
        <v>3</v>
      </c>
      <c r="J33" s="1319" t="n">
        <f aca="false">E33</f>
        <v>3</v>
      </c>
      <c r="K33" s="1319" t="n">
        <f aca="false">связи1!F569</f>
        <v>3</v>
      </c>
      <c r="L33" s="1328" t="n">
        <f aca="false">H32*(H34+H33+H33)*H3+I32*(I34+I33+I33)*I3+J32*(J34+J33+J33)*J3+K32*(K34+K33+K33)</f>
        <v>0</v>
      </c>
      <c r="M33" s="1319" t="n">
        <f aca="false">H33</f>
        <v>3</v>
      </c>
      <c r="N33" s="1319" t="n">
        <f aca="false">I33</f>
        <v>3</v>
      </c>
      <c r="O33" s="1319" t="n">
        <f aca="false">J33</f>
        <v>3</v>
      </c>
      <c r="P33" s="1319" t="n">
        <f aca="false">F33</f>
        <v>3</v>
      </c>
      <c r="Q33" s="1328" t="n">
        <f aca="false">M32*(M34+M33+M33)*M3+N32*(N34+N33+N33)*N3+O32*(O34+O33+O33)*O3+P32*(P34+P33+P33)</f>
        <v>0</v>
      </c>
      <c r="R33" s="1329" t="n">
        <f aca="false">G33+L33+Q33</f>
        <v>0</v>
      </c>
      <c r="AD33" s="1307"/>
      <c r="AE33" s="1308"/>
      <c r="AF33" s="1297"/>
      <c r="AH33" s="1304"/>
      <c r="AI33" s="1304"/>
      <c r="AJ33" s="1176"/>
      <c r="AK33" s="1318"/>
      <c r="AL33" s="1319"/>
      <c r="AM33" s="1313"/>
      <c r="AN33" s="1313"/>
      <c r="AO33" s="1313"/>
      <c r="AP33" s="1314"/>
      <c r="AQ33" s="918"/>
    </row>
    <row r="34" customFormat="false" ht="14.1" hidden="false" customHeight="true" outlineLevel="0" collapsed="false">
      <c r="A34" s="1333" t="s">
        <v>366</v>
      </c>
      <c r="B34" s="1334" t="s">
        <v>15</v>
      </c>
      <c r="C34" s="1318" t="n">
        <f aca="false">пристройка!AF50</f>
        <v>6</v>
      </c>
      <c r="D34" s="1350" t="n">
        <f aca="false">связи1!D570</f>
        <v>3</v>
      </c>
      <c r="E34" s="1358" t="n">
        <f aca="false">связи1!E570</f>
        <v>3</v>
      </c>
      <c r="F34" s="1358" t="n">
        <f aca="false">связи1!F570</f>
        <v>5</v>
      </c>
      <c r="G34" s="1328" t="s">
        <v>2775</v>
      </c>
      <c r="H34" s="1319" t="n">
        <f aca="false">C34</f>
        <v>6</v>
      </c>
      <c r="I34" s="1319" t="n">
        <f aca="false">D34</f>
        <v>3</v>
      </c>
      <c r="J34" s="1319" t="n">
        <f aca="false">E34</f>
        <v>3</v>
      </c>
      <c r="K34" s="1319" t="n">
        <f aca="false">связи1!F570</f>
        <v>5</v>
      </c>
      <c r="L34" s="1328"/>
      <c r="M34" s="1319" t="n">
        <f aca="false">H34</f>
        <v>6</v>
      </c>
      <c r="N34" s="1319" t="n">
        <f aca="false">I34</f>
        <v>3</v>
      </c>
      <c r="O34" s="1319" t="n">
        <f aca="false">J34</f>
        <v>3</v>
      </c>
      <c r="P34" s="1319" t="n">
        <f aca="false">F34</f>
        <v>5</v>
      </c>
      <c r="AD34" s="1307" t="n">
        <f aca="false">'Ввод данных'!BD461</f>
        <v>6</v>
      </c>
      <c r="AE34" s="1308" t="s">
        <v>308</v>
      </c>
      <c r="AF34" s="1308"/>
      <c r="AH34" s="1304" t="s">
        <v>2760</v>
      </c>
      <c r="AI34" s="1304"/>
      <c r="AJ34" s="1176" t="s">
        <v>15</v>
      </c>
      <c r="AK34" s="1318" t="n">
        <v>0</v>
      </c>
      <c r="AL34" s="1319" t="n">
        <v>0</v>
      </c>
      <c r="AM34" s="1313" t="n">
        <f aca="false">AK34*AL34</f>
        <v>0</v>
      </c>
      <c r="AN34" s="1176" t="n">
        <f aca="false">AM34*C38*C5</f>
        <v>0</v>
      </c>
      <c r="AO34" s="1313" t="n">
        <v>0</v>
      </c>
      <c r="AP34" s="1314" t="n">
        <v>0</v>
      </c>
      <c r="AQ34" s="918" t="n">
        <f aca="false">AO34+AP34+0.3</f>
        <v>0.3</v>
      </c>
    </row>
    <row r="35" customFormat="false" ht="14.1" hidden="false" customHeight="true" outlineLevel="0" collapsed="false">
      <c r="A35" s="1333" t="s">
        <v>2776</v>
      </c>
      <c r="B35" s="1334" t="s">
        <v>15</v>
      </c>
      <c r="C35" s="1318" t="n">
        <f aca="false">(IF('Ввод данных'!A73=связи1!A94,связи1!C571,0)+IF('Ввод данных'!A73=связи1!A95,связи1!C571,0)+IF('Ввод данных'!A73=связи1!A96,связи1!C571,0)+IF('Ввод данных'!A73=связи1!A97,связи1!C571,0)+IF('Ввод данных'!A73=связи1!A98,связи1!C571,0))</f>
        <v>2.9</v>
      </c>
      <c r="D35" s="1318" t="n">
        <f aca="false">IF('Ввод данных'!A455=связи1!A94,связи1!D571,0)+IF('Ввод данных'!A455=связи1!A95,связи1!D571,0)+IF('Ввод данных'!A455=связи1!A96,связи1!D571,0)+IF('Ввод данных'!A455=связи1!A97,связи1!D571,0)+IF('Ввод данных'!A455=связи1!A98,связи1!D571,0)</f>
        <v>2.9</v>
      </c>
      <c r="E35" s="1319" t="n">
        <f aca="false">IF('Ввод данных'!A459=связи1!A94,связи1!E571,0)+IF('Ввод данных'!A459=связи1!A95,связи1!E571,0)+IF('Ввод данных'!A459=связи1!A96,связи1!E571,0)+IF('Ввод данных'!A459=связи1!A97,связи1!E571,0)+IF('Ввод данных'!A459=связи1!A98,связи1!E571,0)</f>
        <v>2.9</v>
      </c>
      <c r="F35" s="1358" t="n">
        <f aca="false">IF('Ввод данных'!A463=связи1!A94,связи1!F571,0)+IF('Ввод данных'!A463=связи1!A95,связи1!F571,0)+IF('Ввод данных'!A463=связи1!A96,связи1!F571,0)+IF('Ввод данных'!A463=связи1!A97,связи1!F571,0)+IF('Ввод данных'!A463=связи1!A98,связи1!F571,0)</f>
        <v>3</v>
      </c>
      <c r="G35" s="1328" t="n">
        <f aca="false">(C34+C33+C33)*C32*C5+(D34+D33+D33)*D32*D5+E32*(E34+E33+E33)*E5+F32*(F34+F33+F33)*F5</f>
        <v>0</v>
      </c>
      <c r="H35" s="1319" t="n">
        <f aca="false">C35</f>
        <v>2.9</v>
      </c>
      <c r="I35" s="1319" t="n">
        <f aca="false">D35</f>
        <v>2.9</v>
      </c>
      <c r="J35" s="1319" t="n">
        <f aca="false">E35</f>
        <v>2.9</v>
      </c>
      <c r="K35" s="1319" t="n">
        <f aca="false">F35</f>
        <v>3</v>
      </c>
      <c r="L35" s="1328" t="n">
        <f aca="false">H32*(H34+H33+H33)*H5+I32*(I34+I33+I33)*I5+J32*(J34+J33+J33)*J5+K32*(K34+K33+K33)*K5</f>
        <v>0</v>
      </c>
      <c r="M35" s="1319" t="n">
        <f aca="false">H35</f>
        <v>2.9</v>
      </c>
      <c r="N35" s="1319" t="n">
        <f aca="false">I35</f>
        <v>2.9</v>
      </c>
      <c r="O35" s="1319" t="n">
        <f aca="false">J35</f>
        <v>2.9</v>
      </c>
      <c r="P35" s="1319" t="n">
        <f aca="false">K35</f>
        <v>3</v>
      </c>
      <c r="Q35" s="1328" t="n">
        <f aca="false">M32*(M34+M33+M33)*M5+N32*(N34+N33+N33)*N5+O32*(O34+O33+O33)*O5+P32*(P34+P33+P33)*P5</f>
        <v>0</v>
      </c>
      <c r="R35" s="1329" t="n">
        <f aca="false">G35+L35+Q35</f>
        <v>0</v>
      </c>
      <c r="AD35" s="1307"/>
      <c r="AE35" s="1308"/>
      <c r="AF35" s="1308"/>
    </row>
    <row r="36" customFormat="false" ht="14.1" hidden="false" customHeight="true" outlineLevel="0" collapsed="false">
      <c r="A36" s="1285" t="s">
        <v>19</v>
      </c>
      <c r="B36" s="1334" t="s">
        <v>15</v>
      </c>
      <c r="C36" s="1318" t="n">
        <f aca="false">(IF('Ввод данных'!A73=связи1!A94,связи1!C572,0)+IF('Ввод данных'!A73=связи1!A95,связи1!C571,0)+IF('Ввод данных'!A73=связи1!A96,связи1!C571,0)+IF('Ввод данных'!A73=связи1!A97,связи1!C572,0)+IF('Ввод данных'!A73=связи1!A98,связи1!C571,0))</f>
        <v>5</v>
      </c>
      <c r="D36" s="1350" t="n">
        <f aca="false">IF('Ввод данных'!A455=связи1!A94,связи1!D572,0)+IF('Ввод данных'!A455=связи1!A95,связи1!D571,0)+IF('Ввод данных'!A455=связи1!A96,связи1!D571,0)+IF('Ввод данных'!A455=связи1!A97,связи1!D572,0)+IF('Ввод данных'!A455=связи1!A98,связи1!D571,0)</f>
        <v>2.9</v>
      </c>
      <c r="E36" s="1358" t="n">
        <f aca="false">IF('Ввод данных'!A459=связи1!A94,связи1!E572,0)+IF('Ввод данных'!A459=связи1!A95,связи1!E571,0)+IF('Ввод данных'!A459=связи1!A96,связи1!E571,0)+IF('Ввод данных'!A459=связи1!A97,связи1!E572,0)+IF('Ввод данных'!A459=связи1!A98,связи1!E571,0)</f>
        <v>2.9</v>
      </c>
      <c r="F36" s="1358" t="n">
        <f aca="false">IF('Ввод данных'!A463=связи1!A94,связи1!F572,0)+IF('Ввод данных'!A463=связи1!A95,связи1!F571,0)+IF('Ввод данных'!A463=связи1!A96,связи1!F571,0)+IF('Ввод данных'!A463=связи1!A97,связи1!F572,0)+IF('Ввод данных'!A463=связи1!A98,связи1!F571,0)</f>
        <v>4</v>
      </c>
      <c r="G36" s="1328"/>
      <c r="H36" s="1319" t="n">
        <f aca="false">C36</f>
        <v>5</v>
      </c>
      <c r="I36" s="1319" t="n">
        <f aca="false">D36</f>
        <v>2.9</v>
      </c>
      <c r="J36" s="1319" t="n">
        <f aca="false">E36</f>
        <v>2.9</v>
      </c>
      <c r="K36" s="1319" t="n">
        <f aca="false">F36</f>
        <v>4</v>
      </c>
      <c r="L36" s="1328"/>
      <c r="M36" s="1319" t="n">
        <f aca="false">H36</f>
        <v>5</v>
      </c>
      <c r="N36" s="1319" t="n">
        <f aca="false">I36</f>
        <v>2.9</v>
      </c>
      <c r="O36" s="1319" t="n">
        <f aca="false">J36</f>
        <v>2.9</v>
      </c>
      <c r="P36" s="1319" t="n">
        <f aca="false">K36</f>
        <v>4</v>
      </c>
      <c r="AD36" s="1307"/>
      <c r="AE36" s="1308"/>
      <c r="AF36" s="1308"/>
    </row>
    <row r="37" customFormat="false" ht="14.1" hidden="false" customHeight="true" outlineLevel="0" collapsed="false">
      <c r="A37" s="1285" t="s">
        <v>2739</v>
      </c>
      <c r="B37" s="1334" t="s">
        <v>15</v>
      </c>
      <c r="C37" s="1318" t="n">
        <f aca="false">(IF('Ввод данных'!A73=связи1!A94,связи1!C571,0)+IF('Ввод данных'!A73=связи1!A95,связи1!C571,0)+IF('Ввод данных'!A73=связи1!A96,связи1!C571,0)+IF('Ввод данных'!A73=связи1!A97,связи1!C573,0)+IF('Ввод данных'!A73=связи1!A98,связи1!C571,0))</f>
        <v>1.2</v>
      </c>
      <c r="D37" s="1350" t="n">
        <f aca="false">IF('Ввод данных'!A455=связи1!A94,связи1!D571,0)+IF('Ввод данных'!A455=связи1!A95,связи1!D571,0)+IF('Ввод данных'!A455=связи1!A96,связи1!D571,0)+IF('Ввод данных'!A455=связи1!A97,связи1!D573,0)+IF('Ввод данных'!A455=связи1!A98,связи1!D571,0)</f>
        <v>2.9</v>
      </c>
      <c r="E37" s="1358" t="n">
        <f aca="false">IF('Ввод данных'!A459=связи1!A94,связи1!E571,0)+IF('Ввод данных'!A459=связи1!A95,связи1!E571,0)+IF('Ввод данных'!A459=связи1!A96,связи1!E571,0)+IF('Ввод данных'!A459=связи1!A97,связи1!E573,0)+IF('Ввод данных'!A459=связи1!A98,связи1!E571,0)</f>
        <v>2.9</v>
      </c>
      <c r="F37" s="1358" t="n">
        <f aca="false">IF('Ввод данных'!A463=связи1!A94,связи1!F571,0)+IF('Ввод данных'!A463=связи1!A95,связи1!F571,0)+IF('Ввод данных'!A463=связи1!A96,связи1!F571,0)+IF('Ввод данных'!A463=связи1!A97,связи1!F573,0)+IF('Ввод данных'!A463=связи1!A98,связи1!F571,0)</f>
        <v>3</v>
      </c>
      <c r="G37" s="1328"/>
      <c r="H37" s="1319" t="n">
        <f aca="false">C37</f>
        <v>1.2</v>
      </c>
      <c r="I37" s="1319" t="n">
        <f aca="false">D37</f>
        <v>2.9</v>
      </c>
      <c r="J37" s="1319" t="n">
        <f aca="false">E37</f>
        <v>2.9</v>
      </c>
      <c r="K37" s="1319" t="n">
        <f aca="false">F37</f>
        <v>3</v>
      </c>
      <c r="L37" s="1328"/>
      <c r="M37" s="1319" t="n">
        <f aca="false">H37</f>
        <v>1.2</v>
      </c>
      <c r="N37" s="1319" t="n">
        <f aca="false">I37</f>
        <v>2.9</v>
      </c>
      <c r="O37" s="1319" t="n">
        <f aca="false">J37</f>
        <v>2.9</v>
      </c>
      <c r="P37" s="1319" t="n">
        <f aca="false">K37</f>
        <v>3</v>
      </c>
      <c r="AD37" s="1307"/>
      <c r="AE37" s="1308"/>
      <c r="AF37" s="1308"/>
    </row>
    <row r="38" customFormat="false" ht="14.1" hidden="false" customHeight="true" outlineLevel="0" collapsed="false">
      <c r="A38" s="1333" t="s">
        <v>2777</v>
      </c>
      <c r="B38" s="1334" t="s">
        <v>15</v>
      </c>
      <c r="C38" s="1318" t="n">
        <f aca="false">(IF('Ввод данных'!A73=связи1!A94,0,0)+IF('Ввод данных'!A73=связи1!A95,связи1!C574,0)+IF('Ввод данных'!A73=связи1!A96,0,0)+IF('Ввод данных'!A73=связи1!A97,0,0)+IF('Ввод данных'!A73=связи1!A98,связи1!C574,0))</f>
        <v>0</v>
      </c>
      <c r="D38" s="1350" t="n">
        <f aca="false">IF('Ввод данных'!A455=связи1!A94,0,0)+IF('Ввод данных'!A455=связи1!A95,связи1!D574,0)+IF('Ввод данных'!A455=связи1!A96,0,0)+IF('Ввод данных'!A455=связи1!A97,0,0)+IF('Ввод данных'!A455=связи1!A98,связи1!D574,0)</f>
        <v>2.2</v>
      </c>
      <c r="E38" s="1358" t="n">
        <f aca="false">IF('Ввод данных'!A459=связи1!A94,0,0)+IF('Ввод данных'!A459=связи1!A95,связи1!E574,0)+IF('Ввод данных'!A459=связи1!A96,0,0)+IF('Ввод данных'!A459=связи1!A97,0,0)+IF('Ввод данных'!A459=связи1!A98,связи1!E574,0)</f>
        <v>0</v>
      </c>
      <c r="F38" s="1358" t="n">
        <f aca="false">IF('Ввод данных'!A463=связи1!A94,0,0)+IF('Ввод данных'!A463=связи1!A95,связи1!F574,0)+IF('Ввод данных'!A463=связи1!A96,0,0)+IF('Ввод данных'!A463=связи1!A97,0,0)+IF('Ввод данных'!A463=связи1!A98,связи1!F574,0)</f>
        <v>0</v>
      </c>
      <c r="G38" s="1328"/>
      <c r="H38" s="1319" t="n">
        <f aca="false">C38</f>
        <v>0</v>
      </c>
      <c r="I38" s="1319" t="n">
        <f aca="false">D38</f>
        <v>2.2</v>
      </c>
      <c r="J38" s="1319" t="n">
        <f aca="false">E38</f>
        <v>0</v>
      </c>
      <c r="K38" s="1319" t="n">
        <f aca="false">F38</f>
        <v>0</v>
      </c>
      <c r="L38" s="1328"/>
      <c r="M38" s="1319" t="n">
        <f aca="false">H38</f>
        <v>0</v>
      </c>
      <c r="N38" s="1319" t="n">
        <f aca="false">I38</f>
        <v>2.2</v>
      </c>
      <c r="O38" s="1319" t="n">
        <f aca="false">J38</f>
        <v>0</v>
      </c>
      <c r="P38" s="1319" t="n">
        <f aca="false">K38</f>
        <v>0</v>
      </c>
      <c r="AD38" s="1307" t="n">
        <f aca="false">'Ввод данных'!BD463</f>
        <v>7.3</v>
      </c>
      <c r="AE38" s="1308" t="s">
        <v>312</v>
      </c>
      <c r="AF38" s="1308"/>
      <c r="AH38" s="1359" t="s">
        <v>2778</v>
      </c>
      <c r="AI38" s="1359"/>
      <c r="AJ38" s="1359"/>
      <c r="AK38" s="1359"/>
      <c r="AL38" s="1359"/>
      <c r="AM38" s="1313" t="n">
        <f aca="false">SUM(AM5:AM34)</f>
        <v>0</v>
      </c>
      <c r="AN38" s="1313" t="n">
        <f aca="false">SUM(AN5:AN34)</f>
        <v>0</v>
      </c>
      <c r="AO38" s="1360"/>
    </row>
    <row r="39" customFormat="false" ht="14.1" hidden="false" customHeight="true" outlineLevel="0" collapsed="false">
      <c r="A39" s="1361" t="s">
        <v>2740</v>
      </c>
      <c r="B39" s="1334" t="s">
        <v>15</v>
      </c>
      <c r="C39" s="1362" t="n">
        <f aca="false">(IF('Ввод данных'!A73=связи1!A94,0,0)+IF('Ввод данных'!A73=связи1!A95,связи1!C575,0)+IF('Ввод данных'!A73=связи1!A96,связи1!C575,0)+IF('Ввод данных'!A73=связи1!A97,0,0)+IF('Ввод данных'!A73=связи1!A98,связи1!C575,0))</f>
        <v>0</v>
      </c>
      <c r="D39" s="1350" t="n">
        <f aca="false">IF('Ввод данных'!A455=связи1!A94,0,0)+IF('Ввод данных'!A455=связи1!A95,связи1!D575,0)+IF('Ввод данных'!A455=связи1!A96,связи1!D575,0)+IF('Ввод данных'!A455=связи1!A97,0,0)+IF('Ввод данных'!A455=связи1!A98,связи1!D575,0)</f>
        <v>1</v>
      </c>
      <c r="E39" s="1358" t="n">
        <f aca="false">IF('Ввод данных'!A459=связи1!A94,0,0)+IF('Ввод данных'!A459=связи1!A95,связи1!E575,0)+IF('Ввод данных'!A459=связи1!A96,связи1!E575,0)+IF('Ввод данных'!A459=связи1!A97,0,0)+IF('Ввод данных'!A459=связи1!A98,связи1!E575,0)</f>
        <v>2.9</v>
      </c>
      <c r="F39" s="1358" t="n">
        <f aca="false">IF('Ввод данных'!A463=связи1!A94,0,0)+IF('Ввод данных'!A463=связи1!A95,связи1!F575,0)+IF('Ввод данных'!A463=связи1!A96,связи1!F575,0)+IF('Ввод данных'!A463=связи1!A97,0,0)+IF('Ввод данных'!A463=связи1!A98,связи1!F575,0)</f>
        <v>0</v>
      </c>
      <c r="G39" s="1328"/>
      <c r="H39" s="1319" t="n">
        <f aca="false">C39</f>
        <v>0</v>
      </c>
      <c r="I39" s="1319" t="n">
        <f aca="false">D39</f>
        <v>1</v>
      </c>
      <c r="J39" s="1319" t="n">
        <f aca="false">E39</f>
        <v>2.9</v>
      </c>
      <c r="K39" s="1319" t="n">
        <f aca="false">F39</f>
        <v>0</v>
      </c>
      <c r="L39" s="1328"/>
      <c r="M39" s="1319" t="n">
        <f aca="false">H39</f>
        <v>0</v>
      </c>
      <c r="N39" s="1319" t="n">
        <f aca="false">I39</f>
        <v>1</v>
      </c>
      <c r="O39" s="1319" t="n">
        <f aca="false">J39</f>
        <v>2.9</v>
      </c>
      <c r="P39" s="1319" t="n">
        <f aca="false">K39</f>
        <v>0</v>
      </c>
      <c r="AD39" s="1307" t="n">
        <f aca="false">'Ввод данных'!BD464</f>
        <v>6.1</v>
      </c>
      <c r="AE39" s="1308" t="s">
        <v>314</v>
      </c>
      <c r="AF39" s="1308"/>
      <c r="AH39" s="1363" t="s">
        <v>548</v>
      </c>
      <c r="AI39" s="1364"/>
      <c r="AJ39" s="1365" t="s">
        <v>12</v>
      </c>
      <c r="AK39" s="1365" t="s">
        <v>2779</v>
      </c>
      <c r="AL39" s="1365" t="s">
        <v>2780</v>
      </c>
      <c r="AM39" s="1365" t="s">
        <v>118</v>
      </c>
      <c r="AN39" s="1308" t="s">
        <v>2749</v>
      </c>
    </row>
    <row r="40" customFormat="false" ht="14.1" hidden="false" customHeight="true" outlineLevel="0" collapsed="false">
      <c r="A40" s="1315" t="s">
        <v>2781</v>
      </c>
      <c r="B40" s="1334" t="s">
        <v>15</v>
      </c>
      <c r="C40" s="1350" t="n">
        <f aca="false">(IF('Ввод данных'!A73=связи1!A94,0,0)+IF('Ввод данных'!A73=связи1!A95,связи1!C574,0)+IF('Ввод данных'!A73=связи1!A96,связи1!C576,0)+IF('Ввод данных'!A73=связи1!A97,0,0)+IF('Ввод данных'!A73=связи1!A98,связи1!C576,0))</f>
        <v>0</v>
      </c>
      <c r="D40" s="1350" t="n">
        <f aca="false">IF('Ввод данных'!A455=связи1!A94,0,0)+IF('Ввод данных'!A455=связи1!A95,связи1!D574,0)+IF('Ввод данных'!A455=связи1!A96,связи1!D576,0)+IF('Ввод данных'!A455=связи1!A97,0,0)+IF('Ввод данных'!A455=связи1!A98,связи1!D576,0)</f>
        <v>2.2</v>
      </c>
      <c r="E40" s="1358" t="n">
        <f aca="false">IF('Ввод данных'!A459=связи1!A94,0,0)+IF('Ввод данных'!A459=связи1!A95,связи1!E574,0)+IF('Ввод данных'!A459=связи1!A96,связи1!E576,0)+IF('Ввод данных'!A459=связи1!A97,0,0)+IF('Ввод данных'!A459=связи1!A98,связи1!E576,0)</f>
        <v>1.5</v>
      </c>
      <c r="F40" s="1358" t="n">
        <f aca="false">IF('Ввод данных'!A463=связи1!A94,0,0)+IF('Ввод данных'!A463=связи1!A95,связи1!F574,0)+IF('Ввод данных'!A463=связи1!A96,связи1!F576,0)+IF('Ввод данных'!A463=связи1!A97,0,0)+IF('Ввод данных'!A463=связи1!A98,связи1!F576,0)</f>
        <v>0</v>
      </c>
      <c r="G40" s="1366"/>
      <c r="H40" s="1319" t="n">
        <f aca="false">C40</f>
        <v>0</v>
      </c>
      <c r="I40" s="1319" t="n">
        <f aca="false">D40</f>
        <v>2.2</v>
      </c>
      <c r="J40" s="1319" t="n">
        <f aca="false">E40</f>
        <v>1.5</v>
      </c>
      <c r="K40" s="1319" t="n">
        <f aca="false">F40</f>
        <v>0</v>
      </c>
      <c r="L40" s="1366"/>
      <c r="M40" s="1319" t="n">
        <f aca="false">H40</f>
        <v>0</v>
      </c>
      <c r="N40" s="1319" t="n">
        <f aca="false">I40</f>
        <v>2.2</v>
      </c>
      <c r="O40" s="1319" t="n">
        <f aca="false">J40</f>
        <v>1.5</v>
      </c>
      <c r="P40" s="1319" t="n">
        <f aca="false">K40</f>
        <v>0</v>
      </c>
      <c r="Q40" s="1367"/>
      <c r="AD40" s="1307" t="n">
        <f aca="false">'Ввод данных'!BD465</f>
        <v>6.3</v>
      </c>
      <c r="AE40" s="1308" t="s">
        <v>315</v>
      </c>
      <c r="AF40" s="1308"/>
      <c r="AH40" s="1304" t="s">
        <v>550</v>
      </c>
      <c r="AI40" s="1304"/>
      <c r="AJ40" s="1304" t="s">
        <v>15</v>
      </c>
      <c r="AK40" s="1318" t="n">
        <v>0</v>
      </c>
      <c r="AL40" s="1319" t="n">
        <v>0</v>
      </c>
      <c r="AM40" s="1306" t="n">
        <v>0</v>
      </c>
      <c r="AN40" s="1368" t="n">
        <f aca="false">AK40*AL40*AM40</f>
        <v>0</v>
      </c>
    </row>
    <row r="41" customFormat="false" ht="14.1" hidden="false" customHeight="true" outlineLevel="0" collapsed="false">
      <c r="A41" s="1369" t="s">
        <v>2782</v>
      </c>
      <c r="B41" s="1370" t="s">
        <v>15</v>
      </c>
      <c r="C41" s="1371" t="n">
        <f aca="false">(C39-C40+C36-C35)</f>
        <v>2.1</v>
      </c>
      <c r="D41" s="1371" t="n">
        <f aca="false">D39-D40+D36-D35</f>
        <v>-1.2</v>
      </c>
      <c r="E41" s="1371" t="n">
        <f aca="false">E39-E40+E36-E35</f>
        <v>1.4</v>
      </c>
      <c r="F41" s="1371" t="n">
        <f aca="false">F39-F40+F36-F35</f>
        <v>1</v>
      </c>
      <c r="G41" s="1366"/>
      <c r="H41" s="1372" t="n">
        <f aca="false">C41</f>
        <v>2.1</v>
      </c>
      <c r="I41" s="1372" t="n">
        <f aca="false">D41</f>
        <v>-1.2</v>
      </c>
      <c r="J41" s="1372" t="n">
        <f aca="false">E41</f>
        <v>1.4</v>
      </c>
      <c r="K41" s="1372" t="n">
        <f aca="false">F41</f>
        <v>1</v>
      </c>
      <c r="L41" s="1366"/>
      <c r="M41" s="1372" t="n">
        <f aca="false">H41</f>
        <v>2.1</v>
      </c>
      <c r="N41" s="1372" t="n">
        <f aca="false">I41</f>
        <v>-1.2</v>
      </c>
      <c r="O41" s="1372" t="n">
        <f aca="false">J41</f>
        <v>1.4</v>
      </c>
      <c r="P41" s="1372" t="n">
        <f aca="false">K41</f>
        <v>1</v>
      </c>
      <c r="Q41" s="1367"/>
      <c r="AD41" s="918" t="n">
        <f aca="false">'Ввод данных'!BD466</f>
        <v>6.1</v>
      </c>
      <c r="AE41" s="918" t="s">
        <v>235</v>
      </c>
      <c r="AF41" s="918"/>
      <c r="AH41" s="1304"/>
      <c r="AI41" s="1304"/>
      <c r="AJ41" s="1304" t="s">
        <v>15</v>
      </c>
      <c r="AK41" s="1318" t="n">
        <v>0</v>
      </c>
      <c r="AL41" s="1319" t="n">
        <v>0</v>
      </c>
      <c r="AM41" s="1306" t="n">
        <v>0</v>
      </c>
      <c r="AN41" s="1368" t="n">
        <f aca="false">AK41*AL41*AM41</f>
        <v>0</v>
      </c>
      <c r="AO41" s="1360"/>
    </row>
    <row r="42" customFormat="false" ht="14.1" hidden="false" customHeight="true" outlineLevel="0" collapsed="false">
      <c r="A42" s="1369" t="s">
        <v>2783</v>
      </c>
      <c r="B42" s="1373"/>
      <c r="C42" s="1374"/>
      <c r="D42" s="1374"/>
      <c r="E42" s="1374"/>
      <c r="F42" s="1374"/>
      <c r="G42" s="1302"/>
      <c r="H42" s="1375" t="n">
        <f aca="false">H34/2</f>
        <v>3</v>
      </c>
      <c r="I42" s="1375" t="n">
        <f aca="false">I34/2</f>
        <v>1.5</v>
      </c>
      <c r="J42" s="1375" t="n">
        <f aca="false">J34/2</f>
        <v>1.5</v>
      </c>
      <c r="K42" s="1375" t="n">
        <f aca="false">K34/2</f>
        <v>2.5</v>
      </c>
      <c r="L42" s="1302"/>
      <c r="M42" s="1375" t="n">
        <f aca="false">M34/2</f>
        <v>3</v>
      </c>
      <c r="N42" s="1375" t="n">
        <f aca="false">N34/2</f>
        <v>1.5</v>
      </c>
      <c r="O42" s="1375" t="n">
        <f aca="false">O34/2</f>
        <v>1.5</v>
      </c>
      <c r="P42" s="1375" t="n">
        <f aca="false">P34/2</f>
        <v>2.5</v>
      </c>
      <c r="Q42" s="1302"/>
      <c r="AD42" s="1376" t="s">
        <v>205</v>
      </c>
      <c r="AE42" s="1377" t="s">
        <v>2773</v>
      </c>
      <c r="AF42" s="1378" t="n">
        <f aca="false">'Ввод данных'!BD449</f>
        <v>3</v>
      </c>
      <c r="AH42" s="1304"/>
      <c r="AI42" s="1304"/>
      <c r="AJ42" s="1304" t="s">
        <v>15</v>
      </c>
      <c r="AK42" s="1318" t="n">
        <v>0</v>
      </c>
      <c r="AL42" s="1319" t="n">
        <v>0</v>
      </c>
      <c r="AM42" s="1306" t="n">
        <v>0</v>
      </c>
      <c r="AN42" s="1368" t="n">
        <f aca="false">AK42*AL42*AM42</f>
        <v>0</v>
      </c>
      <c r="AO42" s="1379" t="n">
        <f aca="false">AN40+AN41+AN42+AN52+AN54</f>
        <v>0</v>
      </c>
    </row>
    <row r="43" customFormat="false" ht="14.1" hidden="false" customHeight="true" outlineLevel="0" collapsed="false">
      <c r="A43" s="1380" t="s">
        <v>2784</v>
      </c>
      <c r="B43" s="1381"/>
      <c r="C43" s="1382" t="n">
        <f aca="false">C37*C32</f>
        <v>0</v>
      </c>
      <c r="D43" s="1382" t="n">
        <f aca="false">D37*D32</f>
        <v>0</v>
      </c>
      <c r="E43" s="1382" t="n">
        <f aca="false">E37*E32</f>
        <v>0</v>
      </c>
      <c r="F43" s="1382" t="n">
        <f aca="false">F37*F32</f>
        <v>0</v>
      </c>
      <c r="G43" s="1367" t="n">
        <f aca="false">C43+D43+E43+F43</f>
        <v>0</v>
      </c>
      <c r="H43" s="1382" t="n">
        <f aca="false">H37*H32</f>
        <v>0</v>
      </c>
      <c r="I43" s="1382" t="n">
        <f aca="false">I37*I32</f>
        <v>0</v>
      </c>
      <c r="J43" s="1382" t="n">
        <f aca="false">J37*J32</f>
        <v>0</v>
      </c>
      <c r="K43" s="1382" t="n">
        <f aca="false">K37*K32</f>
        <v>0</v>
      </c>
      <c r="L43" s="1367" t="n">
        <f aca="false">H43+I43+J43+K43</f>
        <v>0</v>
      </c>
      <c r="M43" s="1382" t="n">
        <f aca="false">M37*M32</f>
        <v>0</v>
      </c>
      <c r="N43" s="1382" t="n">
        <f aca="false">N37*N32</f>
        <v>0</v>
      </c>
      <c r="O43" s="1382" t="n">
        <f aca="false">O37*O32</f>
        <v>0</v>
      </c>
      <c r="P43" s="1382" t="n">
        <f aca="false">P37*P32</f>
        <v>0</v>
      </c>
      <c r="Q43" s="1367" t="n">
        <f aca="false">M43+N43+O43+P43</f>
        <v>0</v>
      </c>
      <c r="R43" s="1383" t="n">
        <f aca="false">G43+L43+Q43</f>
        <v>0</v>
      </c>
      <c r="AD43" s="1376"/>
      <c r="AE43" s="1377"/>
      <c r="AF43" s="1378"/>
      <c r="AH43" s="1384"/>
      <c r="AI43" s="1385"/>
      <c r="AJ43" s="1304"/>
      <c r="AK43" s="1318"/>
      <c r="AL43" s="1319"/>
      <c r="AM43" s="1306"/>
      <c r="AN43" s="1368"/>
      <c r="AO43" s="1379"/>
    </row>
    <row r="44" customFormat="false" ht="14.1" hidden="false" customHeight="true" outlineLevel="0" collapsed="false">
      <c r="A44" s="1380" t="s">
        <v>2785</v>
      </c>
      <c r="B44" s="1381"/>
      <c r="C44" s="1382" t="n">
        <f aca="false">C40*C32</f>
        <v>0</v>
      </c>
      <c r="D44" s="1382" t="n">
        <f aca="false">D40*D32</f>
        <v>0</v>
      </c>
      <c r="E44" s="1382" t="n">
        <f aca="false">E40*E32</f>
        <v>0</v>
      </c>
      <c r="F44" s="1382" t="n">
        <f aca="false">F40*F32</f>
        <v>0</v>
      </c>
      <c r="G44" s="1367" t="n">
        <f aca="false">C44+D44+E44+F44</f>
        <v>0</v>
      </c>
      <c r="H44" s="1382" t="n">
        <f aca="false">H40*H32</f>
        <v>0</v>
      </c>
      <c r="I44" s="1382" t="n">
        <f aca="false">I40*I32</f>
        <v>0</v>
      </c>
      <c r="J44" s="1382" t="n">
        <f aca="false">J40*J32</f>
        <v>0</v>
      </c>
      <c r="K44" s="1382" t="n">
        <f aca="false">K40*K32</f>
        <v>0</v>
      </c>
      <c r="L44" s="1367" t="n">
        <f aca="false">H44+I44+J44+K44</f>
        <v>0</v>
      </c>
      <c r="M44" s="1382" t="n">
        <f aca="false">M40*M32</f>
        <v>0</v>
      </c>
      <c r="N44" s="1382" t="n">
        <f aca="false">N40*N32</f>
        <v>0</v>
      </c>
      <c r="O44" s="1382" t="n">
        <f aca="false">O40*O32</f>
        <v>0</v>
      </c>
      <c r="P44" s="1382" t="n">
        <f aca="false">P40*P32</f>
        <v>0</v>
      </c>
      <c r="Q44" s="1367" t="n">
        <f aca="false">M44+N44+O44+P44</f>
        <v>0</v>
      </c>
      <c r="R44" s="1383" t="n">
        <f aca="false">G44+L44+Q44</f>
        <v>0</v>
      </c>
      <c r="AD44" s="1376"/>
      <c r="AE44" s="1377"/>
      <c r="AF44" s="1378"/>
      <c r="AH44" s="1384"/>
      <c r="AI44" s="1385"/>
      <c r="AJ44" s="1304"/>
      <c r="AK44" s="1318"/>
      <c r="AL44" s="1319"/>
      <c r="AM44" s="1306"/>
      <c r="AN44" s="1368"/>
      <c r="AO44" s="1379"/>
    </row>
    <row r="45" customFormat="false" ht="14.1" hidden="false" customHeight="true" outlineLevel="0" collapsed="false">
      <c r="A45" s="1386" t="s">
        <v>2786</v>
      </c>
      <c r="B45" s="1387"/>
      <c r="C45" s="1388" t="n">
        <f aca="false">C36*C32</f>
        <v>0</v>
      </c>
      <c r="D45" s="1388" t="n">
        <f aca="false">D36*D32</f>
        <v>0</v>
      </c>
      <c r="E45" s="1388" t="n">
        <f aca="false">E36*E32</f>
        <v>0</v>
      </c>
      <c r="F45" s="1388" t="n">
        <f aca="false">F36*F32</f>
        <v>0</v>
      </c>
      <c r="G45" s="1367" t="n">
        <f aca="false">C45+D45+E45+F45</f>
        <v>0</v>
      </c>
      <c r="H45" s="1388" t="n">
        <f aca="false">H36*H32</f>
        <v>0</v>
      </c>
      <c r="I45" s="1388" t="n">
        <f aca="false">I36*I32</f>
        <v>0</v>
      </c>
      <c r="J45" s="1388" t="n">
        <f aca="false">J36*J32</f>
        <v>0</v>
      </c>
      <c r="K45" s="1388" t="n">
        <f aca="false">K36*K32</f>
        <v>0</v>
      </c>
      <c r="L45" s="1367" t="n">
        <f aca="false">H45+I45+J45+K45</f>
        <v>0</v>
      </c>
      <c r="M45" s="1388" t="n">
        <f aca="false">M36*M32</f>
        <v>0</v>
      </c>
      <c r="N45" s="1388" t="n">
        <f aca="false">N36*N32</f>
        <v>0</v>
      </c>
      <c r="O45" s="1388" t="n">
        <f aca="false">O36*O32</f>
        <v>0</v>
      </c>
      <c r="P45" s="1388" t="n">
        <f aca="false">P36*P32</f>
        <v>0</v>
      </c>
      <c r="Q45" s="1367" t="n">
        <f aca="false">M45+N45+O45+P45</f>
        <v>0</v>
      </c>
      <c r="R45" s="1383" t="n">
        <f aca="false">G45+L45+Q45</f>
        <v>0</v>
      </c>
      <c r="AD45" s="1376"/>
      <c r="AE45" s="1377"/>
      <c r="AF45" s="1378"/>
      <c r="AH45" s="1384"/>
      <c r="AI45" s="1385"/>
      <c r="AJ45" s="1304"/>
      <c r="AK45" s="1318"/>
      <c r="AL45" s="1319"/>
      <c r="AM45" s="1306"/>
      <c r="AN45" s="1368"/>
      <c r="AO45" s="1379"/>
    </row>
    <row r="46" customFormat="false" ht="14.1" hidden="false" customHeight="true" outlineLevel="0" collapsed="false">
      <c r="A46" s="1386" t="s">
        <v>2787</v>
      </c>
      <c r="B46" s="1387"/>
      <c r="C46" s="1388" t="n">
        <f aca="false">C39*C32</f>
        <v>0</v>
      </c>
      <c r="D46" s="1388" t="n">
        <f aca="false">D39*D32</f>
        <v>0</v>
      </c>
      <c r="E46" s="1388" t="n">
        <f aca="false">E39*E32</f>
        <v>0</v>
      </c>
      <c r="F46" s="1388" t="n">
        <f aca="false">F39*F32</f>
        <v>0</v>
      </c>
      <c r="G46" s="1367" t="n">
        <f aca="false">C46+D46+E46+F46</f>
        <v>0</v>
      </c>
      <c r="H46" s="1388" t="n">
        <f aca="false">H39*H32</f>
        <v>0</v>
      </c>
      <c r="I46" s="1388" t="n">
        <f aca="false">I39*I32</f>
        <v>0</v>
      </c>
      <c r="J46" s="1388" t="n">
        <f aca="false">J39*J32</f>
        <v>0</v>
      </c>
      <c r="K46" s="1388" t="n">
        <f aca="false">K39*K32</f>
        <v>0</v>
      </c>
      <c r="L46" s="1367" t="n">
        <f aca="false">H46+I46+J46+K46</f>
        <v>0</v>
      </c>
      <c r="M46" s="1388" t="n">
        <f aca="false">M39*M32</f>
        <v>0</v>
      </c>
      <c r="N46" s="1388" t="n">
        <f aca="false">N39*N32</f>
        <v>0</v>
      </c>
      <c r="O46" s="1388" t="n">
        <f aca="false">O39*O32</f>
        <v>0</v>
      </c>
      <c r="P46" s="1388" t="n">
        <f aca="false">P39*P32</f>
        <v>0</v>
      </c>
      <c r="Q46" s="1367" t="n">
        <f aca="false">M46+N46+O46+P46</f>
        <v>0</v>
      </c>
      <c r="R46" s="1383" t="n">
        <f aca="false">G46+L46+Q46</f>
        <v>0</v>
      </c>
      <c r="AD46" s="1376"/>
      <c r="AE46" s="1377"/>
      <c r="AF46" s="1378"/>
      <c r="AH46" s="1384"/>
      <c r="AI46" s="1385"/>
      <c r="AJ46" s="1304"/>
      <c r="AK46" s="1318"/>
      <c r="AL46" s="1319"/>
      <c r="AM46" s="1306"/>
      <c r="AN46" s="1368"/>
      <c r="AO46" s="1379"/>
    </row>
    <row r="47" customFormat="false" ht="14.1" hidden="false" customHeight="true" outlineLevel="0" collapsed="false">
      <c r="A47" s="1389" t="s">
        <v>2788</v>
      </c>
      <c r="B47" s="1390"/>
      <c r="C47" s="1391" t="n">
        <f aca="false">CEILING(IF(C34&lt;=2,2,IF(C34&gt;2,C34/2+1,0))*C32,1)</f>
        <v>0</v>
      </c>
      <c r="D47" s="1391" t="n">
        <f aca="false">CEILING(IF(D34&lt;=2,2,IF(D34&gt;2,D34/2+1,0))*D32,1)</f>
        <v>0</v>
      </c>
      <c r="E47" s="1391" t="n">
        <f aca="false">CEILING(IF(E34&lt;=2,2,IF(E34&gt;2,E34/2+1,0))*E32,1)</f>
        <v>0</v>
      </c>
      <c r="F47" s="1391" t="n">
        <f aca="false">CEILING(IF(F34&lt;=2,2,IF(F34&gt;2,F34/2+1,0))*F32,1)</f>
        <v>0</v>
      </c>
      <c r="G47" s="1392"/>
      <c r="H47" s="1391" t="n">
        <f aca="false">CEILING(IF(H34&lt;=2,2,IF(H34&gt;2,H34/2+1,0))*H32,1)</f>
        <v>0</v>
      </c>
      <c r="I47" s="1391" t="n">
        <f aca="false">CEILING(IF(I34&lt;=2,2,IF(I34&gt;2,I34/2+1,0))*I32,1)</f>
        <v>0</v>
      </c>
      <c r="J47" s="1391" t="n">
        <f aca="false">CEILING(IF(J34&lt;=2,2,IF(J34&gt;2,J34/2+1,0))*J32,1)</f>
        <v>0</v>
      </c>
      <c r="K47" s="1391" t="n">
        <f aca="false">CEILING(IF(K34&lt;=2,2,IF(K34&gt;2,K34/2+1,0))*K32,1)</f>
        <v>0</v>
      </c>
      <c r="L47" s="1392"/>
      <c r="M47" s="1391" t="n">
        <f aca="false">CEILING(IF(M34&lt;=2,2,IF(M34&gt;2,M34/2+1,0))*M32,1)</f>
        <v>0</v>
      </c>
      <c r="N47" s="1391" t="n">
        <f aca="false">CEILING(IF(N34&lt;=2,2,IF(N34&gt;2,N34/2+1,0))*N32,1)</f>
        <v>0</v>
      </c>
      <c r="O47" s="1391" t="n">
        <f aca="false">CEILING(IF(O34&lt;=2,2,IF(O34&gt;2,O34/2+1,0))*O32,1)</f>
        <v>0</v>
      </c>
      <c r="P47" s="1391" t="n">
        <f aca="false">CEILING(IF(P34&lt;=2,2,IF(P34&gt;2,P34/2+1,0))*P32,1)</f>
        <v>0</v>
      </c>
      <c r="Q47" s="1367"/>
      <c r="R47" s="1383" t="n">
        <f aca="false">C47+D47+E47+F47+H47+I47+J47+K47+M47+N47+O47+P47</f>
        <v>0</v>
      </c>
      <c r="AD47" s="1376"/>
      <c r="AE47" s="1377"/>
      <c r="AF47" s="1378"/>
      <c r="AH47" s="1384"/>
      <c r="AI47" s="1385"/>
      <c r="AJ47" s="1304"/>
      <c r="AK47" s="1318"/>
      <c r="AL47" s="1319"/>
      <c r="AM47" s="1306"/>
      <c r="AN47" s="1368"/>
      <c r="AO47" s="1379"/>
    </row>
    <row r="48" customFormat="false" ht="14.1" hidden="false" customHeight="true" outlineLevel="0" collapsed="false">
      <c r="A48" s="1389" t="s">
        <v>2789</v>
      </c>
      <c r="B48" s="1390"/>
      <c r="C48" s="1391" t="n">
        <f aca="false">CEILING(IF(C33&lt;=2,2,IF(C33&gt;2,C33/2+1,0))*C32,1)*2</f>
        <v>0</v>
      </c>
      <c r="D48" s="1391" t="n">
        <f aca="false">CEILING(IF(D33&lt;=2,2,IF(D33&gt;2,D33/2+1,0))*D32,1)*2</f>
        <v>0</v>
      </c>
      <c r="E48" s="1391" t="n">
        <f aca="false">CEILING(IF(E33&lt;=2,2,IF(E33&gt;2,E33/2+1,0))*E32,1)*2</f>
        <v>0</v>
      </c>
      <c r="F48" s="1391" t="n">
        <f aca="false">CEILING(IF(F33&lt;=2,2,IF(F33&gt;2,F33/2+1,0))*F32,1)*2</f>
        <v>0</v>
      </c>
      <c r="G48" s="1392"/>
      <c r="H48" s="1391" t="n">
        <f aca="false">CEILING(IF(H33&lt;=2,2,IF(H33&gt;2,H33/2+1,0))*H32,1)*2</f>
        <v>0</v>
      </c>
      <c r="I48" s="1391" t="n">
        <f aca="false">CEILING(IF(I33&lt;=2,2,IF(I33&gt;2,I33/2+1,0))*I32,1)*2</f>
        <v>0</v>
      </c>
      <c r="J48" s="1391" t="n">
        <f aca="false">CEILING(IF(J33&lt;=2,2,IF(J33&gt;2,J33/2+1,0))*J32,1)*2</f>
        <v>0</v>
      </c>
      <c r="K48" s="1391" t="n">
        <f aca="false">CEILING(IF(K33&lt;=2,2,IF(K33&gt;2,K33/2+1,0))*K32,1)*2</f>
        <v>0</v>
      </c>
      <c r="L48" s="1392"/>
      <c r="M48" s="1391" t="n">
        <f aca="false">CEILING(IF(M33&lt;=2,2,IF(M33&gt;2,M33/2+1,0))*M32,1)*2</f>
        <v>0</v>
      </c>
      <c r="N48" s="1391" t="n">
        <f aca="false">CEILING(IF(N33&lt;=2,2,IF(N33&gt;2,N33/2+1,0))*N32,1)*2</f>
        <v>0</v>
      </c>
      <c r="O48" s="1391" t="n">
        <f aca="false">CEILING(IF(O33&lt;=2,2,IF(O33&gt;2,O33/2+1,0))*O32,1)*2</f>
        <v>0</v>
      </c>
      <c r="P48" s="1391" t="n">
        <f aca="false">CEILING(IF(P33&lt;=2,2,IF(P33&gt;2,P33/2+1,0))*P32,1)*2</f>
        <v>0</v>
      </c>
      <c r="Q48" s="1367"/>
      <c r="R48" s="1383" t="n">
        <f aca="false">C48+D48+E48+F48+H48+I48+J48+K48+M48+N48+O48+P48</f>
        <v>0</v>
      </c>
      <c r="AD48" s="1376"/>
      <c r="AE48" s="1377"/>
      <c r="AF48" s="1378"/>
      <c r="AH48" s="1384"/>
      <c r="AI48" s="1385"/>
      <c r="AJ48" s="1304"/>
      <c r="AK48" s="1318"/>
      <c r="AL48" s="1319"/>
      <c r="AM48" s="1306"/>
      <c r="AN48" s="1368"/>
      <c r="AO48" s="1379"/>
    </row>
    <row r="49" customFormat="false" ht="14.1" hidden="false" customHeight="true" outlineLevel="0" collapsed="false">
      <c r="A49" s="1389"/>
      <c r="B49" s="1390"/>
      <c r="C49" s="1391"/>
      <c r="D49" s="1391"/>
      <c r="E49" s="1391"/>
      <c r="F49" s="1391"/>
      <c r="G49" s="1392"/>
      <c r="H49" s="1391"/>
      <c r="I49" s="1391"/>
      <c r="J49" s="1391"/>
      <c r="K49" s="1391"/>
      <c r="L49" s="1392"/>
      <c r="M49" s="1391"/>
      <c r="N49" s="1391"/>
      <c r="O49" s="1391"/>
      <c r="P49" s="1391"/>
      <c r="Q49" s="1393" t="s">
        <v>2477</v>
      </c>
      <c r="R49" s="1394" t="n">
        <f aca="false">R48+R47</f>
        <v>0</v>
      </c>
      <c r="AD49" s="1376"/>
      <c r="AE49" s="1377"/>
      <c r="AF49" s="1378"/>
      <c r="AH49" s="1384"/>
      <c r="AI49" s="1385"/>
      <c r="AJ49" s="1304"/>
      <c r="AK49" s="1318"/>
      <c r="AL49" s="1319"/>
      <c r="AM49" s="1306"/>
      <c r="AN49" s="1368"/>
      <c r="AO49" s="1379"/>
    </row>
    <row r="50" customFormat="false" ht="14.1" hidden="false" customHeight="true" outlineLevel="0" collapsed="false">
      <c r="A50" s="1395" t="s">
        <v>2790</v>
      </c>
      <c r="B50" s="1396" t="s">
        <v>12</v>
      </c>
      <c r="C50" s="1397" t="s">
        <v>200</v>
      </c>
      <c r="D50" s="1356" t="n">
        <v>1</v>
      </c>
      <c r="E50" s="1398"/>
      <c r="F50" s="1398"/>
      <c r="G50" s="1399"/>
      <c r="H50" s="1397" t="s">
        <v>200</v>
      </c>
      <c r="I50" s="1356" t="n">
        <v>1</v>
      </c>
      <c r="J50" s="1398"/>
      <c r="K50" s="1398"/>
      <c r="L50" s="1295"/>
      <c r="M50" s="1397" t="s">
        <v>200</v>
      </c>
      <c r="N50" s="1356" t="n">
        <v>1</v>
      </c>
      <c r="O50" s="1398"/>
      <c r="P50" s="1398"/>
      <c r="Q50" s="1295"/>
      <c r="AD50" s="1376" t="s">
        <v>208</v>
      </c>
      <c r="AE50" s="1400" t="n">
        <f aca="false">AF42+AF42+AF50</f>
        <v>12</v>
      </c>
      <c r="AF50" s="1378" t="n">
        <f aca="false">'Ввод данных'!BD450</f>
        <v>6</v>
      </c>
      <c r="AH50" s="1401" t="s">
        <v>2791</v>
      </c>
      <c r="AI50" s="1401"/>
      <c r="AJ50" s="1304" t="s">
        <v>15</v>
      </c>
      <c r="AK50" s="1318" t="n">
        <v>0</v>
      </c>
      <c r="AL50" s="1319" t="n">
        <v>0</v>
      </c>
      <c r="AM50" s="1306" t="n">
        <v>0</v>
      </c>
      <c r="AN50" s="1368" t="n">
        <f aca="false">AK50*AL50*AM50</f>
        <v>0</v>
      </c>
      <c r="AO50" s="1311"/>
    </row>
    <row r="51" customFormat="false" ht="14.1" hidden="false" customHeight="true" outlineLevel="0" collapsed="false">
      <c r="A51" s="1402" t="s">
        <v>2792</v>
      </c>
      <c r="B51" s="1403" t="s">
        <v>15</v>
      </c>
      <c r="C51" s="1404" t="n">
        <f aca="false">SQRT(C33*C33+(C39-C40+C36-C37)*(C39-C40+C36-C37))</f>
        <v>4.84148737476408</v>
      </c>
      <c r="D51" s="1404" t="n">
        <f aca="false">SQRT(D33*D33+(D39-D40+D36-D37)*(D39-D40+D36-D37))</f>
        <v>3.2310988842807</v>
      </c>
      <c r="E51" s="1404" t="n">
        <f aca="false">SQRT(E33*E33+(E39-E40+E36-E37)*(E39-E40+E36-E37))</f>
        <v>3.31058907144937</v>
      </c>
      <c r="F51" s="1404" t="n">
        <f aca="false">SQRT(F33*F33+(F39-F40+F36-F37)*(F39-F40+F36-F37))</f>
        <v>3.16227766016838</v>
      </c>
      <c r="H51" s="1404" t="n">
        <f aca="false">SQRT((H34/2)*(H34/2)+(H39-H40+H36-H35)*(H39-H40+H36-H35))</f>
        <v>3.66196668472011</v>
      </c>
      <c r="I51" s="1404" t="n">
        <f aca="false">SQRT((I34/2)*(I34/2)+(I39-I40+I36-I35)*(I39-I40+I36-I35))</f>
        <v>1.92093727122986</v>
      </c>
      <c r="J51" s="1404" t="n">
        <f aca="false">SQRT((J34/2)*(J34/2)+(J39-J40+J36-J35)*(J39-J40+J36-J35))</f>
        <v>2.05182845286832</v>
      </c>
      <c r="K51" s="1404" t="n">
        <f aca="false">SQRT((K34/2)*(K34/2)+(K39-K40+K36-K35)*(K39-K40+K36-K35))</f>
        <v>2.69258240356725</v>
      </c>
      <c r="M51" s="1404"/>
      <c r="N51" s="1404"/>
      <c r="O51" s="1404"/>
      <c r="P51" s="1404"/>
      <c r="AD51" s="1376" t="s">
        <v>293</v>
      </c>
      <c r="AE51" s="1377" t="n">
        <v>3</v>
      </c>
      <c r="AF51" s="1378" t="n">
        <f aca="false">'Ввод данных'!BD451</f>
        <v>2.9</v>
      </c>
      <c r="AH51" s="1401"/>
      <c r="AI51" s="1401"/>
      <c r="AJ51" s="1304" t="s">
        <v>15</v>
      </c>
      <c r="AK51" s="1318" t="n">
        <v>0</v>
      </c>
      <c r="AL51" s="1319" t="n">
        <v>0</v>
      </c>
      <c r="AM51" s="1306" t="n">
        <v>0</v>
      </c>
      <c r="AN51" s="1368" t="n">
        <f aca="false">AK51*AL51*AM51</f>
        <v>0</v>
      </c>
      <c r="AO51" s="1379" t="n">
        <f aca="false">AN50+AN51</f>
        <v>0</v>
      </c>
    </row>
    <row r="52" customFormat="false" ht="14.1" hidden="false" customHeight="true" outlineLevel="0" collapsed="false">
      <c r="A52" s="1405" t="s">
        <v>2793</v>
      </c>
      <c r="B52" s="1406" t="s">
        <v>15</v>
      </c>
      <c r="C52" s="1407" t="n">
        <f aca="false">связи1!C577</f>
        <v>0.5</v>
      </c>
      <c r="D52" s="1408" t="n">
        <f aca="false">связи1!D577</f>
        <v>0.6</v>
      </c>
      <c r="E52" s="1408" t="n">
        <f aca="false">связи1!E577</f>
        <v>0.6</v>
      </c>
      <c r="F52" s="1408" t="n">
        <f aca="false">связи1!F577</f>
        <v>0.6</v>
      </c>
      <c r="H52" s="1407" t="n">
        <f aca="false">C52</f>
        <v>0.5</v>
      </c>
      <c r="I52" s="1407" t="n">
        <f aca="false">D52</f>
        <v>0.6</v>
      </c>
      <c r="J52" s="1407" t="n">
        <f aca="false">E52</f>
        <v>0.6</v>
      </c>
      <c r="K52" s="1407" t="n">
        <f aca="false">F52</f>
        <v>0.6</v>
      </c>
      <c r="M52" s="1407" t="n">
        <f aca="false">H52</f>
        <v>0.5</v>
      </c>
      <c r="N52" s="1407" t="n">
        <f aca="false">I52</f>
        <v>0.6</v>
      </c>
      <c r="O52" s="1407" t="n">
        <f aca="false">J52</f>
        <v>0.6</v>
      </c>
      <c r="P52" s="1407" t="n">
        <f aca="false">K52</f>
        <v>0.6</v>
      </c>
      <c r="AD52" s="1376" t="s">
        <v>295</v>
      </c>
      <c r="AE52" s="1377" t="n">
        <v>4</v>
      </c>
      <c r="AF52" s="1378" t="n">
        <f aca="false">'Ввод данных'!BD452</f>
        <v>2.5</v>
      </c>
      <c r="AH52" s="1310" t="s">
        <v>1839</v>
      </c>
      <c r="AI52" s="1310"/>
      <c r="AJ52" s="1334" t="s">
        <v>15</v>
      </c>
      <c r="AK52" s="1318" t="n">
        <v>0</v>
      </c>
      <c r="AL52" s="1319" t="n">
        <v>0</v>
      </c>
      <c r="AM52" s="1306" t="n">
        <v>0</v>
      </c>
      <c r="AN52" s="1176" t="n">
        <f aca="false">AK52*AL52*AM52</f>
        <v>0</v>
      </c>
      <c r="AO52" s="1311"/>
    </row>
    <row r="53" customFormat="false" ht="14.1" hidden="false" customHeight="true" outlineLevel="0" collapsed="false">
      <c r="A53" s="1405" t="s">
        <v>2794</v>
      </c>
      <c r="B53" s="1406" t="s">
        <v>15</v>
      </c>
      <c r="C53" s="1407" t="n">
        <f aca="false">связи1!C578</f>
        <v>0.7</v>
      </c>
      <c r="D53" s="1407" t="n">
        <f aca="false">связи1!D578</f>
        <v>0.6</v>
      </c>
      <c r="E53" s="1407" t="n">
        <f aca="false">связи1!E578</f>
        <v>0.6</v>
      </c>
      <c r="F53" s="1408" t="n">
        <f aca="false">связи1!F578</f>
        <v>0.6</v>
      </c>
      <c r="H53" s="1407" t="n">
        <f aca="false">C53</f>
        <v>0.7</v>
      </c>
      <c r="I53" s="1407" t="n">
        <f aca="false">D53</f>
        <v>0.6</v>
      </c>
      <c r="J53" s="1407" t="n">
        <f aca="false">E53</f>
        <v>0.6</v>
      </c>
      <c r="K53" s="1407" t="n">
        <f aca="false">F53</f>
        <v>0.6</v>
      </c>
      <c r="M53" s="1407" t="n">
        <f aca="false">H53</f>
        <v>0.7</v>
      </c>
      <c r="N53" s="1407" t="n">
        <f aca="false">I53</f>
        <v>0.6</v>
      </c>
      <c r="O53" s="1407" t="n">
        <f aca="false">J53</f>
        <v>0.6</v>
      </c>
      <c r="P53" s="1407" t="n">
        <f aca="false">K53</f>
        <v>0.6</v>
      </c>
      <c r="AD53" s="1376"/>
      <c r="AE53" s="1377"/>
      <c r="AF53" s="1378"/>
      <c r="AH53" s="1315"/>
      <c r="AI53" s="1316"/>
      <c r="AJ53" s="1334"/>
      <c r="AK53" s="1318"/>
      <c r="AL53" s="1319"/>
      <c r="AM53" s="1306"/>
      <c r="AN53" s="1176"/>
      <c r="AO53" s="1311"/>
    </row>
    <row r="54" customFormat="false" ht="14.1" hidden="false" customHeight="true" outlineLevel="0" collapsed="false">
      <c r="A54" s="1409" t="s">
        <v>2795</v>
      </c>
      <c r="B54" s="1410" t="s">
        <v>15</v>
      </c>
      <c r="C54" s="1319" t="n">
        <f aca="false">связи1!C579</f>
        <v>0.5</v>
      </c>
      <c r="D54" s="1411" t="n">
        <f aca="false">связи1!D579</f>
        <v>0.5</v>
      </c>
      <c r="E54" s="1411" t="n">
        <f aca="false">связи1!E579</f>
        <v>0.8</v>
      </c>
      <c r="F54" s="1411" t="n">
        <f aca="false">связи1!F579</f>
        <v>0.8</v>
      </c>
      <c r="H54" s="1319" t="n">
        <f aca="false">C54</f>
        <v>0.5</v>
      </c>
      <c r="I54" s="1319" t="n">
        <f aca="false">D54</f>
        <v>0.5</v>
      </c>
      <c r="J54" s="1319" t="n">
        <f aca="false">E54</f>
        <v>0.8</v>
      </c>
      <c r="K54" s="1319" t="n">
        <f aca="false">F54</f>
        <v>0.8</v>
      </c>
      <c r="M54" s="1412" t="n">
        <f aca="false">H54</f>
        <v>0.5</v>
      </c>
      <c r="N54" s="1412" t="n">
        <f aca="false">I54</f>
        <v>0.5</v>
      </c>
      <c r="O54" s="1412" t="n">
        <f aca="false">J54</f>
        <v>0.8</v>
      </c>
      <c r="P54" s="1412" t="n">
        <f aca="false">K54</f>
        <v>0.8</v>
      </c>
      <c r="AD54" s="1376" t="s">
        <v>296</v>
      </c>
      <c r="AE54" s="1377" t="n">
        <v>5</v>
      </c>
      <c r="AF54" s="1378" t="n">
        <f aca="false">'Ввод данных'!BD453</f>
        <v>1.2</v>
      </c>
      <c r="AH54" s="1413" t="s">
        <v>553</v>
      </c>
      <c r="AI54" s="1413"/>
      <c r="AJ54" s="1334" t="s">
        <v>15</v>
      </c>
      <c r="AK54" s="1318" t="n">
        <v>0</v>
      </c>
      <c r="AL54" s="1319" t="n">
        <v>0</v>
      </c>
      <c r="AM54" s="1306" t="n">
        <v>0</v>
      </c>
      <c r="AN54" s="1176" t="n">
        <f aca="false">AK54*AL54*AM54</f>
        <v>0</v>
      </c>
      <c r="AO54" s="1414"/>
    </row>
    <row r="55" customFormat="false" ht="14.1" hidden="false" customHeight="true" outlineLevel="0" collapsed="false">
      <c r="A55" s="1402" t="s">
        <v>2796</v>
      </c>
      <c r="B55" s="1403" t="s">
        <v>15</v>
      </c>
      <c r="C55" s="1319" t="n">
        <f aca="false">связи1!C580</f>
        <v>0.7</v>
      </c>
      <c r="D55" s="1358" t="n">
        <f aca="false">связи1!D580</f>
        <v>0.4</v>
      </c>
      <c r="E55" s="1358" t="n">
        <f aca="false">связи1!E580</f>
        <v>0.9</v>
      </c>
      <c r="F55" s="1358" t="n">
        <f aca="false">связи1!F580</f>
        <v>0.9</v>
      </c>
      <c r="H55" s="1319" t="n">
        <f aca="false">C55</f>
        <v>0.7</v>
      </c>
      <c r="I55" s="1319" t="n">
        <f aca="false">D55</f>
        <v>0.4</v>
      </c>
      <c r="J55" s="1319" t="n">
        <f aca="false">E55</f>
        <v>0.9</v>
      </c>
      <c r="K55" s="1319" t="n">
        <f aca="false">F55</f>
        <v>0.9</v>
      </c>
      <c r="M55" s="1319" t="n">
        <f aca="false">H55</f>
        <v>0.7</v>
      </c>
      <c r="N55" s="1319" t="n">
        <f aca="false">I55</f>
        <v>0.4</v>
      </c>
      <c r="O55" s="1319" t="n">
        <f aca="false">J55</f>
        <v>0.9</v>
      </c>
      <c r="P55" s="1319" t="n">
        <f aca="false">K55</f>
        <v>0.9</v>
      </c>
      <c r="AD55" s="1376" t="s">
        <v>298</v>
      </c>
      <c r="AE55" s="1377" t="n">
        <v>6</v>
      </c>
      <c r="AF55" s="1378" t="n">
        <f aca="false">'Ввод данных'!BD454</f>
        <v>1.9</v>
      </c>
      <c r="AH55" s="1343" t="s">
        <v>2797</v>
      </c>
      <c r="AI55" s="1415"/>
      <c r="AJ55" s="1415"/>
      <c r="AK55" s="1415"/>
      <c r="AL55" s="1415"/>
      <c r="AM55" s="1416"/>
      <c r="AN55" s="1294" t="n">
        <f aca="false">SUM(AN40:AN54)</f>
        <v>0</v>
      </c>
      <c r="AO55" s="1379"/>
    </row>
    <row r="56" customFormat="false" ht="14.1" hidden="false" customHeight="true" outlineLevel="0" collapsed="false">
      <c r="A56" s="1402" t="s">
        <v>2798</v>
      </c>
      <c r="B56" s="1403" t="s">
        <v>15</v>
      </c>
      <c r="C56" s="1319" t="n">
        <f aca="false">C51</f>
        <v>4.84148737476408</v>
      </c>
      <c r="D56" s="1319" t="n">
        <f aca="false">D51</f>
        <v>3.2310988842807</v>
      </c>
      <c r="E56" s="1319" t="n">
        <f aca="false">E51</f>
        <v>3.31058907144937</v>
      </c>
      <c r="F56" s="1319" t="n">
        <f aca="false">F51</f>
        <v>3.16227766016838</v>
      </c>
      <c r="H56" s="1319" t="n">
        <f aca="false">H51</f>
        <v>3.66196668472011</v>
      </c>
      <c r="I56" s="1319" t="n">
        <f aca="false">I51</f>
        <v>1.92093727122986</v>
      </c>
      <c r="J56" s="1319" t="n">
        <f aca="false">J51</f>
        <v>2.05182845286832</v>
      </c>
      <c r="K56" s="1319" t="n">
        <f aca="false">K51</f>
        <v>2.69258240356725</v>
      </c>
      <c r="M56" s="1319"/>
      <c r="N56" s="1319"/>
      <c r="O56" s="1319"/>
      <c r="P56" s="1319"/>
      <c r="AD56" s="1376"/>
      <c r="AE56" s="1377"/>
      <c r="AF56" s="1378"/>
      <c r="AH56" s="1417"/>
      <c r="AI56" s="1417"/>
      <c r="AJ56" s="1417"/>
      <c r="AK56" s="1417"/>
      <c r="AL56" s="1417"/>
      <c r="AM56" s="1417"/>
      <c r="AN56" s="1295"/>
      <c r="AO56" s="1379"/>
    </row>
    <row r="57" customFormat="false" ht="14.1" hidden="false" customHeight="true" outlineLevel="0" collapsed="false">
      <c r="A57" s="1402" t="s">
        <v>2799</v>
      </c>
      <c r="B57" s="1403" t="s">
        <v>15</v>
      </c>
      <c r="C57" s="1319"/>
      <c r="D57" s="1319"/>
      <c r="E57" s="1319"/>
      <c r="F57" s="1319"/>
      <c r="H57" s="1319"/>
      <c r="I57" s="1319"/>
      <c r="J57" s="1319"/>
      <c r="K57" s="1319"/>
      <c r="M57" s="1319" t="n">
        <f aca="false">связи1!C581</f>
        <v>2</v>
      </c>
      <c r="N57" s="1319" t="n">
        <f aca="false">связи1!D581</f>
        <v>1</v>
      </c>
      <c r="O57" s="1319" t="n">
        <f aca="false">связи1!E581</f>
        <v>2</v>
      </c>
      <c r="P57" s="1319" t="n">
        <f aca="false">связи1!F581</f>
        <v>3</v>
      </c>
      <c r="AD57" s="1376"/>
      <c r="AE57" s="1377"/>
      <c r="AF57" s="1378"/>
      <c r="AH57" s="1417"/>
      <c r="AI57" s="1417"/>
      <c r="AJ57" s="1417"/>
      <c r="AK57" s="1417"/>
      <c r="AL57" s="1417"/>
      <c r="AM57" s="1417"/>
      <c r="AN57" s="1295"/>
      <c r="AO57" s="1379"/>
    </row>
    <row r="58" customFormat="false" ht="14.1" hidden="false" customHeight="true" outlineLevel="0" collapsed="false">
      <c r="A58" s="1418" t="s">
        <v>2800</v>
      </c>
      <c r="B58" s="1403" t="s">
        <v>15</v>
      </c>
      <c r="C58" s="1319"/>
      <c r="D58" s="1319"/>
      <c r="E58" s="1319"/>
      <c r="F58" s="1319"/>
      <c r="H58" s="1319"/>
      <c r="I58" s="1319"/>
      <c r="J58" s="1319"/>
      <c r="K58" s="1319"/>
      <c r="M58" s="1319" t="n">
        <f aca="false">SQRT((M33+M54-M57)*(M33+M54-M57)+M41*M41)</f>
        <v>2.58069758011279</v>
      </c>
      <c r="N58" s="1319" t="n">
        <f aca="false">SQRT((N33+N54-N57)*(N33+N54-N57)+N41*N41)</f>
        <v>2.77308492477241</v>
      </c>
      <c r="O58" s="1319" t="n">
        <f aca="false">SQRT((O33+O54-O57)*(O33+O54-O57)+O41*O41)</f>
        <v>2.28035085019828</v>
      </c>
      <c r="P58" s="1319" t="n">
        <f aca="false">SQRT((P33+P54-P57)*(P33+P54-P57)+P41*P41)</f>
        <v>1.28062484748657</v>
      </c>
      <c r="AD58" s="1376"/>
      <c r="AE58" s="1377"/>
      <c r="AF58" s="1378"/>
      <c r="AH58" s="1417"/>
      <c r="AI58" s="1417"/>
      <c r="AJ58" s="1417"/>
      <c r="AK58" s="1417"/>
      <c r="AL58" s="1417"/>
      <c r="AM58" s="1417"/>
      <c r="AN58" s="1295"/>
      <c r="AO58" s="1379"/>
    </row>
    <row r="59" customFormat="false" ht="14.1" hidden="false" customHeight="true" outlineLevel="0" collapsed="false">
      <c r="A59" s="1402" t="s">
        <v>2801</v>
      </c>
      <c r="B59" s="1403" t="s">
        <v>15</v>
      </c>
      <c r="C59" s="1319"/>
      <c r="D59" s="1319"/>
      <c r="E59" s="1319"/>
      <c r="F59" s="1319"/>
      <c r="H59" s="1319"/>
      <c r="I59" s="1319"/>
      <c r="J59" s="1319"/>
      <c r="K59" s="1319"/>
      <c r="M59" s="1319" t="n">
        <f aca="false">SQRT((M34/2+M52)*(M34/2+M52)+M58*M58)</f>
        <v>4.34856298103178</v>
      </c>
      <c r="N59" s="1319" t="n">
        <f aca="false">SQRT((N34/2+N52)*(N34/2+N52)+N58*N58)</f>
        <v>3.47850542618522</v>
      </c>
      <c r="O59" s="1319" t="n">
        <f aca="false">SQRT((O34/2+O52)*(O34/2+O52)+O58*O58)</f>
        <v>3.1</v>
      </c>
      <c r="P59" s="1319" t="n">
        <f aca="false">SQRT((P34/2+P52)*(P34/2+P52)+P58*P58)</f>
        <v>3.35410196624968</v>
      </c>
      <c r="AD59" s="1376"/>
      <c r="AE59" s="1377"/>
      <c r="AF59" s="1378"/>
      <c r="AH59" s="1417"/>
      <c r="AI59" s="1417"/>
      <c r="AJ59" s="1417"/>
      <c r="AK59" s="1417"/>
      <c r="AL59" s="1417"/>
      <c r="AM59" s="1417"/>
      <c r="AN59" s="1295"/>
      <c r="AO59" s="1379"/>
    </row>
    <row r="60" customFormat="false" ht="14.1" hidden="false" customHeight="true" outlineLevel="0" collapsed="false">
      <c r="A60" s="1402" t="s">
        <v>2802</v>
      </c>
      <c r="B60" s="1403" t="s">
        <v>15</v>
      </c>
      <c r="C60" s="1319"/>
      <c r="D60" s="1319"/>
      <c r="E60" s="1319"/>
      <c r="F60" s="1319"/>
      <c r="H60" s="1319"/>
      <c r="I60" s="1319"/>
      <c r="J60" s="1319"/>
      <c r="K60" s="1319"/>
      <c r="M60" s="1319" t="n">
        <f aca="false">SQRT((M34/2+M53)*(M34/2+M53)+M58*M58)</f>
        <v>4.51109742745599</v>
      </c>
      <c r="N60" s="1319" t="n">
        <f aca="false">SQRT((N34/2+N53)*(N34/2+N53)+N58*N58)</f>
        <v>3.47850542618522</v>
      </c>
      <c r="O60" s="1319" t="n">
        <f aca="false">SQRT((O34/2+O53)*(O34/2+O53)+O58*O58)</f>
        <v>3.1</v>
      </c>
      <c r="P60" s="1319" t="n">
        <f aca="false">SQRT((P34/2+P53)*(P34/2+P53)+P58*P58)</f>
        <v>3.35410196624968</v>
      </c>
      <c r="AD60" s="1376"/>
      <c r="AE60" s="1377"/>
      <c r="AF60" s="1378"/>
      <c r="AH60" s="1417"/>
      <c r="AI60" s="1417"/>
      <c r="AJ60" s="1417"/>
      <c r="AK60" s="1417"/>
      <c r="AL60" s="1417"/>
      <c r="AM60" s="1417"/>
      <c r="AN60" s="1295"/>
      <c r="AO60" s="1379"/>
    </row>
    <row r="61" customFormat="false" ht="14.1" hidden="false" customHeight="true" outlineLevel="0" collapsed="false">
      <c r="A61" s="1402" t="s">
        <v>2803</v>
      </c>
      <c r="B61" s="1403" t="s">
        <v>15</v>
      </c>
      <c r="C61" s="1319"/>
      <c r="D61" s="1319"/>
      <c r="E61" s="1319"/>
      <c r="F61" s="1319"/>
      <c r="H61" s="1319"/>
      <c r="I61" s="1319"/>
      <c r="J61" s="1319"/>
      <c r="K61" s="1319"/>
      <c r="M61" s="1319" t="n">
        <f aca="false">SQRT(M58*M58-M41*M41)</f>
        <v>1.5</v>
      </c>
      <c r="N61" s="1319" t="n">
        <f aca="false">SQRT(N58*N58-N41*N41)</f>
        <v>2.5</v>
      </c>
      <c r="O61" s="1319" t="n">
        <f aca="false">SQRT(O58*O58-O41*O41)</f>
        <v>1.8</v>
      </c>
      <c r="P61" s="1319" t="n">
        <f aca="false">SQRT(P58*P58-P41*P41)</f>
        <v>0.8</v>
      </c>
      <c r="AD61" s="1376"/>
      <c r="AE61" s="1377"/>
      <c r="AF61" s="1378"/>
      <c r="AH61" s="1417"/>
      <c r="AI61" s="1417"/>
      <c r="AJ61" s="1417"/>
      <c r="AK61" s="1417"/>
      <c r="AL61" s="1417"/>
      <c r="AM61" s="1417"/>
      <c r="AN61" s="1295"/>
      <c r="AO61" s="1379"/>
    </row>
    <row r="62" customFormat="false" ht="14.1" hidden="false" customHeight="true" outlineLevel="0" collapsed="false">
      <c r="A62" s="1402" t="s">
        <v>2804</v>
      </c>
      <c r="B62" s="1403" t="s">
        <v>15</v>
      </c>
      <c r="C62" s="1319"/>
      <c r="D62" s="1319"/>
      <c r="E62" s="1319"/>
      <c r="F62" s="1319"/>
      <c r="H62" s="1319"/>
      <c r="I62" s="1319"/>
      <c r="J62" s="1319"/>
      <c r="K62" s="1319"/>
      <c r="M62" s="1319" t="n">
        <f aca="false">(M33+M54)*M59-M59*M61/2</f>
        <v>11.9585481978374</v>
      </c>
      <c r="N62" s="1319" t="n">
        <f aca="false">(N33+N54)*N59-N59*N61/2</f>
        <v>7.82663720891674</v>
      </c>
      <c r="O62" s="1319" t="n">
        <f aca="false">(O33+O54)*O59-O59*O61/2</f>
        <v>8.99</v>
      </c>
      <c r="P62" s="1319" t="n">
        <f aca="false">(P33+P54)*P59-P59*P61/2</f>
        <v>11.4039466852489</v>
      </c>
      <c r="AD62" s="1376"/>
      <c r="AE62" s="1377"/>
      <c r="AF62" s="1378"/>
      <c r="AH62" s="1417"/>
      <c r="AI62" s="1417"/>
      <c r="AJ62" s="1417"/>
      <c r="AK62" s="1417"/>
      <c r="AL62" s="1417"/>
      <c r="AM62" s="1417"/>
      <c r="AN62" s="1295"/>
      <c r="AO62" s="1379"/>
    </row>
    <row r="63" customFormat="false" ht="14.1" hidden="false" customHeight="true" outlineLevel="0" collapsed="false">
      <c r="A63" s="1402" t="s">
        <v>2805</v>
      </c>
      <c r="B63" s="1403" t="s">
        <v>15</v>
      </c>
      <c r="C63" s="1319"/>
      <c r="D63" s="1319"/>
      <c r="E63" s="1319"/>
      <c r="F63" s="1319"/>
      <c r="H63" s="1319"/>
      <c r="I63" s="1319"/>
      <c r="J63" s="1319"/>
      <c r="K63" s="1319"/>
      <c r="M63" s="1319" t="n">
        <f aca="false">(M33+M55)*M59-M59*M61/2</f>
        <v>12.8282607940438</v>
      </c>
      <c r="N63" s="1319" t="n">
        <f aca="false">(N33+N55)*N59-N59*N61/2</f>
        <v>7.47878666629822</v>
      </c>
      <c r="O63" s="1319" t="n">
        <f aca="false">(O33+O55)*O59-O59*O61/2</f>
        <v>9.3</v>
      </c>
      <c r="P63" s="1319" t="n">
        <f aca="false">(P33+P55)*P59-P59*P61/2</f>
        <v>11.7393568818739</v>
      </c>
      <c r="AD63" s="1376"/>
      <c r="AE63" s="1377"/>
      <c r="AF63" s="1378"/>
      <c r="AH63" s="1417"/>
      <c r="AI63" s="1417"/>
      <c r="AJ63" s="1417"/>
      <c r="AK63" s="1417"/>
      <c r="AL63" s="1417"/>
      <c r="AM63" s="1417"/>
      <c r="AN63" s="1295"/>
      <c r="AO63" s="1379"/>
    </row>
    <row r="64" customFormat="false" ht="14.1" hidden="false" customHeight="true" outlineLevel="0" collapsed="false">
      <c r="A64" s="1402" t="s">
        <v>2806</v>
      </c>
      <c r="B64" s="1403" t="s">
        <v>15</v>
      </c>
      <c r="C64" s="1319"/>
      <c r="D64" s="1319"/>
      <c r="E64" s="1319"/>
      <c r="F64" s="1319"/>
      <c r="H64" s="1319"/>
      <c r="I64" s="1319"/>
      <c r="J64" s="1319"/>
      <c r="K64" s="1319"/>
      <c r="M64" s="1319" t="n">
        <f aca="false">M58*(M34/2+M52)/2+M58*(M34/2+M53)/2</f>
        <v>9.29051128840604</v>
      </c>
      <c r="N64" s="1319" t="n">
        <f aca="false">N58*(N34/2+N52)/2+N58*(N34/2+N53)/2</f>
        <v>5.82347834202206</v>
      </c>
      <c r="O64" s="1319" t="n">
        <f aca="false">O58*(O34/2+O52)/2+O58*(O34/2+O53)/2</f>
        <v>4.78873678541638</v>
      </c>
      <c r="P64" s="1319" t="n">
        <f aca="false">P58*(P34/2+P52)/2+P58*(P34/2+P53)/2</f>
        <v>3.96993702720837</v>
      </c>
      <c r="AD64" s="1376"/>
      <c r="AE64" s="1377"/>
      <c r="AF64" s="1378"/>
      <c r="AH64" s="1417"/>
      <c r="AI64" s="1417"/>
      <c r="AJ64" s="1417"/>
      <c r="AK64" s="1417"/>
      <c r="AL64" s="1417"/>
      <c r="AM64" s="1417"/>
      <c r="AN64" s="1295"/>
      <c r="AO64" s="1379"/>
    </row>
    <row r="65" customFormat="false" ht="14.1" hidden="false" customHeight="true" outlineLevel="0" collapsed="false">
      <c r="A65" s="1402" t="s">
        <v>2807</v>
      </c>
      <c r="B65" s="1403" t="s">
        <v>820</v>
      </c>
      <c r="C65" s="1404" t="n">
        <f aca="false">C51*C34</f>
        <v>29.0489242485845</v>
      </c>
      <c r="D65" s="1404" t="n">
        <f aca="false">D51*D34</f>
        <v>9.69329665284211</v>
      </c>
      <c r="E65" s="1404" t="n">
        <f aca="false">E51*E34</f>
        <v>9.93176721434811</v>
      </c>
      <c r="F65" s="1404" t="n">
        <f aca="false">F51*F34</f>
        <v>15.8113883008419</v>
      </c>
      <c r="G65" s="1419" t="n">
        <f aca="false">(C65*C32+D65*D32+E65*E32+F65*F32)</f>
        <v>0</v>
      </c>
      <c r="H65" s="1404" t="n">
        <f aca="false">H51*H33*2</f>
        <v>21.9718001083207</v>
      </c>
      <c r="I65" s="1404" t="n">
        <f aca="false">I51*I34</f>
        <v>5.76281181368957</v>
      </c>
      <c r="J65" s="1404" t="n">
        <f aca="false">J51*J34</f>
        <v>6.15548535860496</v>
      </c>
      <c r="K65" s="1404" t="n">
        <f aca="false">K51*K33*2</f>
        <v>16.1554944214035</v>
      </c>
      <c r="L65" s="1419" t="n">
        <f aca="false">(H65*H32+I65*I32+J65*J32+K65*K32)</f>
        <v>0</v>
      </c>
      <c r="M65" s="1404"/>
      <c r="N65" s="1404"/>
      <c r="O65" s="1404"/>
      <c r="P65" s="1404"/>
      <c r="Q65" s="1419" t="n">
        <f aca="false">(M65*M32+N65*N32+O65*O32+P65*P32)</f>
        <v>0</v>
      </c>
      <c r="AD65" s="1376" t="s">
        <v>334</v>
      </c>
      <c r="AE65" s="1377" t="n">
        <v>7</v>
      </c>
      <c r="AF65" s="1378" t="n">
        <f aca="false">'Ввод данных'!BD455</f>
        <v>0</v>
      </c>
    </row>
    <row r="66" customFormat="false" ht="14.1" hidden="false" customHeight="true" outlineLevel="0" collapsed="false">
      <c r="A66" s="1420" t="s">
        <v>2808</v>
      </c>
      <c r="B66" s="1403" t="s">
        <v>820</v>
      </c>
      <c r="C66" s="1404" t="n">
        <f aca="false">(C51+C52)*(C34+C54+C55)</f>
        <v>38.4587090983014</v>
      </c>
      <c r="D66" s="1404" t="n">
        <f aca="false">(D51+D52)*(D34+D54+D55)</f>
        <v>14.9412856486947</v>
      </c>
      <c r="E66" s="1404" t="n">
        <f aca="false">(E51+E52)*(E34+E54+E55)</f>
        <v>18.379768635812</v>
      </c>
      <c r="F66" s="1404" t="n">
        <f aca="false">(F51+F52)*(F34+F54+F55)</f>
        <v>25.2072603231281</v>
      </c>
      <c r="G66" s="1399"/>
      <c r="H66" s="1404" t="n">
        <f aca="false">(H51+H52+H51+H53)*(H33+H54)*1.02</f>
        <v>30.4304421289016</v>
      </c>
      <c r="I66" s="1404" t="n">
        <f aca="false">(I51+I52+I51+I53)*(I33+I54)*1.02</f>
        <v>17.9994921165812</v>
      </c>
      <c r="J66" s="1404" t="n">
        <f aca="false">(J51+J52+J51+J53)*(J33+J54)*1.02</f>
        <v>20.5569741666352</v>
      </c>
      <c r="K66" s="1404" t="n">
        <f aca="false">(K51+K52+K51+K53)*(K33+K54)*1.02</f>
        <v>25.5240987924533</v>
      </c>
      <c r="L66" s="1399"/>
      <c r="M66" s="1404" t="n">
        <f aca="false">M62+M63+M64</f>
        <v>34.0773202802872</v>
      </c>
      <c r="N66" s="1404" t="n">
        <f aca="false">N62+N63+N64</f>
        <v>21.128902217237</v>
      </c>
      <c r="O66" s="1404" t="n">
        <f aca="false">O62+O63+O64</f>
        <v>23.0787367854164</v>
      </c>
      <c r="P66" s="1404" t="n">
        <f aca="false">P62+P63+P64</f>
        <v>27.1132405943312</v>
      </c>
      <c r="Q66" s="1399"/>
    </row>
    <row r="67" customFormat="false" ht="14.1" hidden="false" customHeight="true" outlineLevel="0" collapsed="false">
      <c r="A67" s="1420" t="s">
        <v>2809</v>
      </c>
      <c r="B67" s="1403"/>
      <c r="C67" s="1404"/>
      <c r="D67" s="1404"/>
      <c r="E67" s="1404"/>
      <c r="F67" s="1404"/>
      <c r="G67" s="1399"/>
      <c r="H67" s="1404"/>
      <c r="I67" s="1404"/>
      <c r="J67" s="1404"/>
      <c r="K67" s="1404"/>
      <c r="L67" s="1399"/>
      <c r="M67" s="1421"/>
      <c r="N67" s="1421"/>
      <c r="O67" s="1421"/>
      <c r="P67" s="1421"/>
      <c r="Q67" s="1295"/>
    </row>
    <row r="68" customFormat="false" ht="14.1" hidden="false" customHeight="true" outlineLevel="0" collapsed="false">
      <c r="A68" s="1422" t="s">
        <v>2810</v>
      </c>
      <c r="B68" s="1211"/>
      <c r="C68" s="1423" t="n">
        <f aca="false">(C51+C52)*C6</f>
        <v>0</v>
      </c>
      <c r="D68" s="1423" t="n">
        <f aca="false">(D51+D52)*D6</f>
        <v>0</v>
      </c>
      <c r="E68" s="1423" t="n">
        <f aca="false">(E51+E52)*E6</f>
        <v>0</v>
      </c>
      <c r="F68" s="1423" t="n">
        <f aca="false">(F51+F52)*F6</f>
        <v>0</v>
      </c>
      <c r="G68" s="1419" t="n">
        <f aca="false">(C68*C32+D68*D32+E68*E32+F68*F32)</f>
        <v>0</v>
      </c>
      <c r="H68" s="1424"/>
      <c r="I68" s="1424"/>
      <c r="J68" s="1424"/>
      <c r="K68" s="1424"/>
      <c r="L68" s="1284"/>
      <c r="AD68" s="1360" t="s">
        <v>2811</v>
      </c>
      <c r="AF68" s="1301"/>
      <c r="AG68" s="1301"/>
    </row>
    <row r="69" customFormat="false" ht="14.1" hidden="false" customHeight="true" outlineLevel="0" collapsed="false">
      <c r="A69" s="1422" t="s">
        <v>2812</v>
      </c>
      <c r="B69" s="1211"/>
      <c r="C69" s="1404"/>
      <c r="D69" s="1404"/>
      <c r="E69" s="1404"/>
      <c r="F69" s="1404"/>
      <c r="G69" s="1419"/>
      <c r="H69" s="1424"/>
      <c r="I69" s="1424"/>
      <c r="J69" s="1424"/>
      <c r="K69" s="1424"/>
      <c r="L69" s="1425"/>
      <c r="AD69" s="1360"/>
      <c r="AF69" s="1301"/>
      <c r="AG69" s="1301"/>
    </row>
    <row r="70" customFormat="false" ht="14.1" hidden="false" customHeight="true" outlineLevel="0" collapsed="false">
      <c r="A70" s="1422" t="s">
        <v>2813</v>
      </c>
      <c r="B70" s="1211"/>
      <c r="C70" s="1404"/>
      <c r="D70" s="1404"/>
      <c r="E70" s="1404"/>
      <c r="F70" s="1404"/>
      <c r="G70" s="1419"/>
      <c r="H70" s="1424"/>
      <c r="I70" s="1424"/>
      <c r="J70" s="1424"/>
      <c r="K70" s="1424"/>
      <c r="L70" s="1425"/>
      <c r="AD70" s="1360"/>
      <c r="AF70" s="1301"/>
      <c r="AG70" s="1301"/>
    </row>
    <row r="71" customFormat="false" ht="14.1" hidden="false" customHeight="true" outlineLevel="0" collapsed="false">
      <c r="A71" s="1422" t="s">
        <v>2814</v>
      </c>
      <c r="B71" s="1211"/>
      <c r="C71" s="1404"/>
      <c r="D71" s="1404"/>
      <c r="E71" s="1404"/>
      <c r="F71" s="1404"/>
      <c r="G71" s="1419"/>
      <c r="H71" s="1423" t="n">
        <f aca="false">(H51+H52)*1.05*H6</f>
        <v>0</v>
      </c>
      <c r="I71" s="1423" t="n">
        <f aca="false">(I51+I52)*1.05*I6</f>
        <v>0</v>
      </c>
      <c r="J71" s="1423" t="n">
        <f aca="false">(J51+J52)*1.05*J6</f>
        <v>0</v>
      </c>
      <c r="K71" s="1423" t="n">
        <f aca="false">(K51+K52)*1.05*K6</f>
        <v>0</v>
      </c>
      <c r="L71" s="1419" t="n">
        <f aca="false">(H71*H32+I71*I32+J71*J32+K32*K71)</f>
        <v>0</v>
      </c>
      <c r="AD71" s="1360"/>
      <c r="AF71" s="1301"/>
      <c r="AG71" s="1301"/>
    </row>
    <row r="72" customFormat="false" ht="14.1" hidden="false" customHeight="true" outlineLevel="0" collapsed="false">
      <c r="A72" s="1422" t="s">
        <v>2815</v>
      </c>
      <c r="B72" s="1211"/>
      <c r="C72" s="1404"/>
      <c r="D72" s="1404"/>
      <c r="E72" s="1404"/>
      <c r="F72" s="1404"/>
      <c r="G72" s="1419"/>
      <c r="H72" s="1423" t="n">
        <f aca="false">(H51+H53)*1.05*H6</f>
        <v>0</v>
      </c>
      <c r="I72" s="1423" t="n">
        <f aca="false">(I51+I53)*1.05*I6</f>
        <v>0</v>
      </c>
      <c r="J72" s="1423" t="n">
        <f aca="false">(J51+J53)*1.05*J6</f>
        <v>0</v>
      </c>
      <c r="K72" s="1423" t="n">
        <f aca="false">(K51+K53)*1.05*K6</f>
        <v>0</v>
      </c>
      <c r="L72" s="1419" t="n">
        <f aca="false">(H72*H32+I72*I32+J72*J32+K32*K72)</f>
        <v>0</v>
      </c>
      <c r="AD72" s="1360"/>
      <c r="AF72" s="1301"/>
      <c r="AG72" s="1301"/>
    </row>
    <row r="73" customFormat="false" ht="14.1" hidden="false" customHeight="true" outlineLevel="0" collapsed="false">
      <c r="A73" s="1422" t="s">
        <v>2816</v>
      </c>
      <c r="B73" s="1211"/>
      <c r="C73" s="1404"/>
      <c r="D73" s="1404"/>
      <c r="E73" s="1404"/>
      <c r="F73" s="1404"/>
      <c r="G73" s="1419"/>
      <c r="H73" s="1404"/>
      <c r="I73" s="1404"/>
      <c r="J73" s="1404"/>
      <c r="K73" s="1404"/>
      <c r="L73" s="1419"/>
      <c r="M73" s="1423" t="n">
        <f aca="false">M59</f>
        <v>4.34856298103178</v>
      </c>
      <c r="N73" s="1423" t="n">
        <f aca="false">N59</f>
        <v>3.47850542618522</v>
      </c>
      <c r="O73" s="1423" t="n">
        <f aca="false">O59</f>
        <v>3.1</v>
      </c>
      <c r="P73" s="1423" t="n">
        <f aca="false">P59</f>
        <v>3.35410196624968</v>
      </c>
      <c r="Q73" s="1404"/>
      <c r="AD73" s="1360"/>
      <c r="AF73" s="1301"/>
      <c r="AG73" s="1301"/>
    </row>
    <row r="74" customFormat="false" ht="14.1" hidden="false" customHeight="true" outlineLevel="0" collapsed="false">
      <c r="A74" s="1422" t="s">
        <v>2817</v>
      </c>
      <c r="B74" s="1211"/>
      <c r="C74" s="1404"/>
      <c r="D74" s="1404"/>
      <c r="E74" s="1404"/>
      <c r="F74" s="1404"/>
      <c r="G74" s="1419"/>
      <c r="H74" s="1404"/>
      <c r="I74" s="1404"/>
      <c r="J74" s="1404"/>
      <c r="K74" s="1404"/>
      <c r="L74" s="1419"/>
      <c r="M74" s="1423" t="n">
        <f aca="false">M60</f>
        <v>4.51109742745599</v>
      </c>
      <c r="N74" s="1423" t="n">
        <f aca="false">N60</f>
        <v>3.47850542618522</v>
      </c>
      <c r="O74" s="1423" t="n">
        <f aca="false">O60</f>
        <v>3.1</v>
      </c>
      <c r="P74" s="1423" t="n">
        <f aca="false">P60</f>
        <v>3.35410196624968</v>
      </c>
      <c r="Q74" s="1404"/>
      <c r="AD74" s="1360"/>
      <c r="AF74" s="1301"/>
      <c r="AG74" s="1301"/>
    </row>
    <row r="75" customFormat="false" ht="14.1" hidden="false" customHeight="true" outlineLevel="0" collapsed="false">
      <c r="A75" s="1422" t="s">
        <v>2818</v>
      </c>
      <c r="B75" s="1211"/>
      <c r="C75" s="1404"/>
      <c r="D75" s="1404"/>
      <c r="E75" s="1404"/>
      <c r="F75" s="1404"/>
      <c r="G75" s="1419"/>
      <c r="H75" s="1404"/>
      <c r="I75" s="1404"/>
      <c r="J75" s="1404"/>
      <c r="K75" s="1404"/>
      <c r="L75" s="1419"/>
      <c r="M75" s="1423" t="n">
        <f aca="false">M58</f>
        <v>2.58069758011279</v>
      </c>
      <c r="N75" s="1423" t="n">
        <f aca="false">N58</f>
        <v>2.77308492477241</v>
      </c>
      <c r="O75" s="1423" t="n">
        <f aca="false">O58</f>
        <v>2.28035085019828</v>
      </c>
      <c r="P75" s="1423" t="n">
        <f aca="false">P58</f>
        <v>1.28062484748657</v>
      </c>
      <c r="Q75" s="1404"/>
      <c r="AD75" s="1360"/>
      <c r="AF75" s="1301"/>
      <c r="AG75" s="1301"/>
    </row>
    <row r="76" customFormat="false" ht="14.1" hidden="false" customHeight="true" outlineLevel="0" collapsed="false">
      <c r="A76" s="1422" t="s">
        <v>2819</v>
      </c>
      <c r="B76" s="1211"/>
      <c r="C76" s="1426" t="n">
        <f aca="false">(C34+C54+C55)*C32</f>
        <v>0</v>
      </c>
      <c r="D76" s="1426" t="n">
        <f aca="false">(D34+D54+D55)*D32</f>
        <v>0</v>
      </c>
      <c r="E76" s="1426" t="n">
        <f aca="false">(E34+E54+E55)*E32</f>
        <v>0</v>
      </c>
      <c r="F76" s="1426" t="n">
        <f aca="false">(F34+F54+F55)*F32</f>
        <v>0</v>
      </c>
      <c r="G76" s="1419" t="n">
        <f aca="false">C76+D76+E76+F76</f>
        <v>0</v>
      </c>
      <c r="H76" s="1426" t="n">
        <f aca="false">(H33+H54)*H32</f>
        <v>0</v>
      </c>
      <c r="I76" s="1426" t="n">
        <f aca="false">(I33+I54)*I32</f>
        <v>0</v>
      </c>
      <c r="J76" s="1426" t="n">
        <f aca="false">(J33+J54)*J32</f>
        <v>0</v>
      </c>
      <c r="K76" s="1426" t="n">
        <f aca="false">(K33+K54)*K32</f>
        <v>0</v>
      </c>
      <c r="L76" s="1419" t="n">
        <f aca="false">H76+I76+J76+K76</f>
        <v>0</v>
      </c>
      <c r="M76" s="1426" t="n">
        <f aca="false">(M33+M54)*M32</f>
        <v>0</v>
      </c>
      <c r="N76" s="1426" t="n">
        <f aca="false">(N33+N54)*N32</f>
        <v>0</v>
      </c>
      <c r="O76" s="1426" t="n">
        <f aca="false">(O33+O54)*O32</f>
        <v>0</v>
      </c>
      <c r="P76" s="1426" t="n">
        <f aca="false">(P33+P54)*P32</f>
        <v>0</v>
      </c>
      <c r="Q76" s="1419" t="n">
        <f aca="false">M76+N76+O76+P76</f>
        <v>0</v>
      </c>
      <c r="R76" s="1427" t="n">
        <f aca="false">G76+L76+Q76</f>
        <v>0</v>
      </c>
      <c r="AD76" s="1360" t="s">
        <v>2820</v>
      </c>
      <c r="AE76" s="1311"/>
      <c r="AF76" s="1301"/>
      <c r="AG76" s="1301"/>
    </row>
    <row r="77" customFormat="false" ht="14.1" hidden="false" customHeight="true" outlineLevel="0" collapsed="false">
      <c r="A77" s="1422" t="s">
        <v>2821</v>
      </c>
      <c r="B77" s="1211"/>
      <c r="C77" s="1426" t="n">
        <f aca="false">C68*(C54+C55+C34)*C32</f>
        <v>0</v>
      </c>
      <c r="D77" s="1426" t="n">
        <f aca="false">D68*(D54+D55+D34)*D32</f>
        <v>0</v>
      </c>
      <c r="E77" s="1426" t="n">
        <f aca="false">E68*(E54+E55+E34)*E32</f>
        <v>0</v>
      </c>
      <c r="F77" s="1426" t="n">
        <f aca="false">F68*(F54+F55+F34)*F32</f>
        <v>0</v>
      </c>
      <c r="G77" s="1419" t="n">
        <f aca="false">C77+D77+E77+F77</f>
        <v>0</v>
      </c>
      <c r="H77" s="1428" t="n">
        <f aca="false">(H76*(H71+H72))*H32</f>
        <v>0</v>
      </c>
      <c r="I77" s="1428" t="n">
        <f aca="false">(I76*(I71+I72))*I32</f>
        <v>0</v>
      </c>
      <c r="J77" s="1428" t="n">
        <f aca="false">(J76*(J71+J72))*J32</f>
        <v>0</v>
      </c>
      <c r="K77" s="1428" t="n">
        <f aca="false">(K76*(K71+K72))*K32</f>
        <v>0</v>
      </c>
      <c r="L77" s="1419" t="n">
        <f aca="false">H77+I77+J77+K77</f>
        <v>0</v>
      </c>
      <c r="M77" s="1428" t="n">
        <f aca="false">M66*M32</f>
        <v>0</v>
      </c>
      <c r="N77" s="1428" t="n">
        <f aca="false">N66*N32</f>
        <v>0</v>
      </c>
      <c r="O77" s="1428" t="n">
        <f aca="false">O66*O32</f>
        <v>0</v>
      </c>
      <c r="P77" s="1428" t="n">
        <f aca="false">P66*P32</f>
        <v>0</v>
      </c>
      <c r="Q77" s="1419" t="n">
        <f aca="false">M77+N77+O77+P77</f>
        <v>0</v>
      </c>
      <c r="R77" s="1427" t="n">
        <f aca="false">G77+L77+Q77</f>
        <v>0</v>
      </c>
      <c r="AD77" s="1429" t="s">
        <v>2822</v>
      </c>
      <c r="AE77" s="1430" t="n">
        <f aca="false">(((AQ5+AQ8+AQ9+AQ10)*(C21+C35+C22))*I2+I1*((AQ5+AQ8+AQ9+AQ10)*(AD10-AD3)))</f>
        <v>3.96</v>
      </c>
      <c r="AF77" s="1301"/>
      <c r="AG77" s="1301"/>
    </row>
    <row r="78" customFormat="false" ht="14.1" hidden="false" customHeight="true" outlineLevel="0" collapsed="false">
      <c r="A78" s="1422" t="s">
        <v>2823</v>
      </c>
      <c r="B78" s="1211"/>
      <c r="C78" s="1426" t="n">
        <f aca="false">(C68*C54+C68*C55+C34*C52)*C32</f>
        <v>0</v>
      </c>
      <c r="D78" s="1426" t="n">
        <f aca="false">(D68*D54+D68*D55+D34*D52)*D32</f>
        <v>0</v>
      </c>
      <c r="E78" s="1426" t="n">
        <f aca="false">(E68*E54+E68*E55+E34*E52)*E32</f>
        <v>0</v>
      </c>
      <c r="F78" s="1426" t="n">
        <f aca="false">(F68*F54+F68*F55+F34*F52)*F32</f>
        <v>0</v>
      </c>
      <c r="G78" s="1419" t="n">
        <f aca="false">C78+D78+E78+F78</f>
        <v>0</v>
      </c>
      <c r="H78" s="1428" t="n">
        <f aca="false">(H71*H54+H72*H54+H33*H52+H33*H53)*H32</f>
        <v>0</v>
      </c>
      <c r="I78" s="1428" t="n">
        <f aca="false">(I71*I54+I72*I54+I33*I52+I33*I53)*I32</f>
        <v>0</v>
      </c>
      <c r="J78" s="1428" t="n">
        <f aca="false">(J71*J54+J72*J54+J33*J52+J33*J53)*J32</f>
        <v>0</v>
      </c>
      <c r="K78" s="1428" t="n">
        <f aca="false">(K71*K54+K72*K54+K33*K52+K33*K53)*K32</f>
        <v>0</v>
      </c>
      <c r="L78" s="1419" t="n">
        <f aca="false">H78+I78+J78+K78</f>
        <v>0</v>
      </c>
      <c r="M78" s="1428" t="n">
        <f aca="false">(M34*M54+(M33+M54)*M52+(M33+M54)*M53)*M32</f>
        <v>0</v>
      </c>
      <c r="N78" s="1428" t="n">
        <f aca="false">(N34*N54+(N33+N54)*N52+(N33+N54)*N53)*N32</f>
        <v>0</v>
      </c>
      <c r="O78" s="1428" t="n">
        <f aca="false">(O34*O54+(O33+O54)*O52+(O33+O54)*O53)*O32</f>
        <v>0</v>
      </c>
      <c r="P78" s="1428" t="n">
        <f aca="false">(P34*P54+(P33+P54)*P52+(P33+P54)*P53)*P32</f>
        <v>0</v>
      </c>
      <c r="Q78" s="1419" t="n">
        <f aca="false">M78+N78+O78+P78</f>
        <v>0</v>
      </c>
      <c r="R78" s="1427" t="n">
        <f aca="false">G78+L78+Q78</f>
        <v>0</v>
      </c>
      <c r="AD78" s="1429" t="s">
        <v>2822</v>
      </c>
      <c r="AE78" s="1430" t="e">
        <f aca="false">((AQ11+AQ31+AQ34+#REF!)*C5*(C23+C38))*I2+((AQ11+AQ31+AQ34+#REF!)*C5*(AD39-AD10))*I1</f>
        <v>#REF!</v>
      </c>
      <c r="AF78" s="1301"/>
      <c r="AG78" s="1301"/>
    </row>
    <row r="79" customFormat="false" ht="14.1" hidden="false" customHeight="true" outlineLevel="0" collapsed="false">
      <c r="A79" s="1422" t="s">
        <v>2824</v>
      </c>
      <c r="B79" s="1211"/>
      <c r="C79" s="1426" t="n">
        <f aca="false">C77*1.2*C32</f>
        <v>0</v>
      </c>
      <c r="D79" s="1426" t="n">
        <f aca="false">D77*1.2*D32</f>
        <v>0</v>
      </c>
      <c r="E79" s="1426" t="n">
        <f aca="false">E77*1.2*E32</f>
        <v>0</v>
      </c>
      <c r="F79" s="1426" t="n">
        <f aca="false">F77*1.2*F32</f>
        <v>0</v>
      </c>
      <c r="G79" s="1419" t="n">
        <f aca="false">C79+D79+E79+F79</f>
        <v>0</v>
      </c>
      <c r="H79" s="1426" t="n">
        <f aca="false">H77*1.2*H32</f>
        <v>0</v>
      </c>
      <c r="I79" s="1426" t="n">
        <f aca="false">I77*1.2*I32</f>
        <v>0</v>
      </c>
      <c r="J79" s="1426" t="n">
        <f aca="false">J77*1.2*J32</f>
        <v>0</v>
      </c>
      <c r="K79" s="1426" t="n">
        <f aca="false">K77*1.2*K32</f>
        <v>0</v>
      </c>
      <c r="L79" s="1419" t="n">
        <f aca="false">H79+I79+J79+K79</f>
        <v>0</v>
      </c>
      <c r="M79" s="1426" t="n">
        <f aca="false">M77*1.5*M32</f>
        <v>0</v>
      </c>
      <c r="N79" s="1426" t="n">
        <f aca="false">N77*1.5*N32</f>
        <v>0</v>
      </c>
      <c r="O79" s="1426" t="n">
        <f aca="false">O77*1.5*O32</f>
        <v>0</v>
      </c>
      <c r="P79" s="1426" t="n">
        <f aca="false">P77*1.5*P32</f>
        <v>0</v>
      </c>
      <c r="Q79" s="1419" t="n">
        <f aca="false">M79+N79+O79+P79</f>
        <v>0</v>
      </c>
      <c r="R79" s="1427" t="n">
        <f aca="false">G79+L79+Q79</f>
        <v>0</v>
      </c>
      <c r="AD79" s="1429" t="s">
        <v>2825</v>
      </c>
      <c r="AE79" s="1431" t="e">
        <f aca="false">AE77+AE78</f>
        <v>#REF!</v>
      </c>
      <c r="AF79" s="1301"/>
      <c r="AG79" s="1301"/>
    </row>
    <row r="80" customFormat="false" ht="14.1" hidden="false" customHeight="true" outlineLevel="0" collapsed="false">
      <c r="A80" s="1432" t="s">
        <v>2826</v>
      </c>
      <c r="B80" s="1287" t="s">
        <v>486</v>
      </c>
      <c r="C80" s="1433" t="s">
        <v>137</v>
      </c>
      <c r="D80" s="1433" t="s">
        <v>137</v>
      </c>
      <c r="E80" s="1433" t="s">
        <v>137</v>
      </c>
      <c r="F80" s="1433" t="s">
        <v>137</v>
      </c>
      <c r="G80" s="1434"/>
      <c r="H80" s="1433" t="s">
        <v>137</v>
      </c>
      <c r="I80" s="1433" t="s">
        <v>137</v>
      </c>
      <c r="J80" s="1433" t="s">
        <v>137</v>
      </c>
      <c r="K80" s="1433" t="s">
        <v>137</v>
      </c>
      <c r="L80" s="1434"/>
      <c r="M80" s="1433" t="s">
        <v>137</v>
      </c>
      <c r="N80" s="1433" t="s">
        <v>137</v>
      </c>
      <c r="O80" s="1433" t="s">
        <v>137</v>
      </c>
      <c r="P80" s="1433" t="s">
        <v>137</v>
      </c>
      <c r="Q80" s="1434"/>
      <c r="AD80" s="1435" t="s">
        <v>2827</v>
      </c>
      <c r="AE80" s="1436"/>
      <c r="AF80" s="1313" t="n">
        <f aca="false">((AD8-AD5)*C3+(AD39-AD10)*C5)*пристройка!AE50+(C21*C25+C22*C26+C23*C27)*пристройка!AE50+(AD38-AD40)*C33</f>
        <v>41.4</v>
      </c>
      <c r="AG80" s="1301" t="s">
        <v>2828</v>
      </c>
    </row>
    <row r="81" customFormat="false" ht="14.1" hidden="false" customHeight="true" outlineLevel="0" collapsed="false">
      <c r="A81" s="1437"/>
      <c r="B81" s="862" t="s">
        <v>15</v>
      </c>
      <c r="C81" s="1438" t="n">
        <v>0.6</v>
      </c>
      <c r="D81" s="1439" t="n">
        <f aca="false">C81</f>
        <v>0.6</v>
      </c>
      <c r="E81" s="1439" t="n">
        <f aca="false">C81</f>
        <v>0.6</v>
      </c>
      <c r="F81" s="1439" t="n">
        <f aca="false">C81</f>
        <v>0.6</v>
      </c>
      <c r="G81" s="1434" t="n">
        <v>1</v>
      </c>
      <c r="H81" s="1319" t="n">
        <f aca="false">C81</f>
        <v>0.6</v>
      </c>
      <c r="I81" s="1319" t="n">
        <f aca="false">D81</f>
        <v>0.6</v>
      </c>
      <c r="J81" s="1319" t="n">
        <f aca="false">E81</f>
        <v>0.6</v>
      </c>
      <c r="K81" s="1319" t="n">
        <f aca="false">F81</f>
        <v>0.6</v>
      </c>
      <c r="L81" s="1416" t="n">
        <f aca="false">G81</f>
        <v>1</v>
      </c>
      <c r="M81" s="1319" t="n">
        <f aca="false">H81</f>
        <v>0.6</v>
      </c>
      <c r="N81" s="1319" t="n">
        <f aca="false">I81</f>
        <v>0.6</v>
      </c>
      <c r="O81" s="1319" t="n">
        <f aca="false">J81</f>
        <v>0.6</v>
      </c>
      <c r="P81" s="1319" t="n">
        <f aca="false">K81</f>
        <v>0.6</v>
      </c>
      <c r="Q81" s="1416" t="n">
        <f aca="false">L81</f>
        <v>1</v>
      </c>
      <c r="R81" s="1440" t="n">
        <f aca="false">E37*(E33+E33+E34)*E32+E40*(E33+E33+E34)*E32</f>
        <v>0</v>
      </c>
      <c r="AD81" s="1435" t="s">
        <v>2829</v>
      </c>
      <c r="AE81" s="1441" t="e">
        <f aca="false">C94*I2+AF81*I1</f>
        <v>#REF!</v>
      </c>
      <c r="AF81" s="1436" t="e">
        <f aca="false">#REF!-AN40-AN41-AN42-AN52-AN54</f>
        <v>#REF!</v>
      </c>
      <c r="AG81" s="1301"/>
    </row>
    <row r="82" customFormat="false" ht="14.1" hidden="false" customHeight="true" outlineLevel="0" collapsed="false">
      <c r="A82" s="1442" t="s">
        <v>2830</v>
      </c>
      <c r="B82" s="862" t="s">
        <v>15</v>
      </c>
      <c r="C82" s="1438" t="n">
        <f aca="false">VLOOKUP(A218,'Прайс лист'!B600:G638,3,0)</f>
        <v>0.2</v>
      </c>
      <c r="D82" s="1424" t="n">
        <f aca="false">VLOOKUP(A218,'Прайс лист'!B600:G638,3,0)</f>
        <v>0.2</v>
      </c>
      <c r="E82" s="1424" t="n">
        <f aca="false">VLOOKUP(A218,'Прайс лист'!B600:G638,3,0)</f>
        <v>0.2</v>
      </c>
      <c r="F82" s="1424" t="n">
        <f aca="false">VLOOKUP(A218,'Прайс лист'!B600:G638,3,0)</f>
        <v>0.2</v>
      </c>
      <c r="G82" s="1434" t="n">
        <v>1</v>
      </c>
      <c r="H82" s="1319" t="n">
        <f aca="false">C82</f>
        <v>0.2</v>
      </c>
      <c r="I82" s="1319" t="n">
        <f aca="false">D82</f>
        <v>0.2</v>
      </c>
      <c r="J82" s="1319" t="n">
        <f aca="false">E82</f>
        <v>0.2</v>
      </c>
      <c r="K82" s="1319" t="n">
        <f aca="false">F82</f>
        <v>0.2</v>
      </c>
      <c r="L82" s="1416" t="n">
        <f aca="false">G82</f>
        <v>1</v>
      </c>
      <c r="M82" s="1319" t="n">
        <f aca="false">H82</f>
        <v>0.2</v>
      </c>
      <c r="N82" s="1319" t="n">
        <f aca="false">I82</f>
        <v>0.2</v>
      </c>
      <c r="O82" s="1319" t="n">
        <f aca="false">J82</f>
        <v>0.2</v>
      </c>
      <c r="P82" s="1319" t="n">
        <f aca="false">K82</f>
        <v>0.2</v>
      </c>
      <c r="Q82" s="1416" t="n">
        <f aca="false">L82</f>
        <v>1</v>
      </c>
      <c r="AD82" s="1176" t="s">
        <v>2831</v>
      </c>
      <c r="AE82" s="1441" t="n">
        <v>0</v>
      </c>
      <c r="AF82" s="1436" t="n">
        <v>0</v>
      </c>
      <c r="AG82" s="1301"/>
    </row>
    <row r="83" customFormat="false" ht="14.1" hidden="false" customHeight="true" outlineLevel="0" collapsed="false">
      <c r="A83" s="1437"/>
      <c r="B83" s="862" t="s">
        <v>15</v>
      </c>
      <c r="C83" s="1438"/>
      <c r="D83" s="1424"/>
      <c r="E83" s="1424"/>
      <c r="F83" s="1424"/>
      <c r="G83" s="1434" t="n">
        <v>1</v>
      </c>
      <c r="H83" s="1438"/>
      <c r="I83" s="1424"/>
      <c r="J83" s="1424"/>
      <c r="K83" s="1424"/>
      <c r="L83" s="1416" t="n">
        <f aca="false">G83</f>
        <v>1</v>
      </c>
      <c r="M83" s="1438"/>
      <c r="N83" s="1424"/>
      <c r="O83" s="1424"/>
      <c r="P83" s="1424"/>
      <c r="Q83" s="1416" t="n">
        <f aca="false">L83</f>
        <v>1</v>
      </c>
      <c r="AD83" s="1180" t="s">
        <v>2832</v>
      </c>
      <c r="AE83" s="1443" t="n">
        <v>0</v>
      </c>
      <c r="AF83" s="1444" t="n">
        <v>0</v>
      </c>
      <c r="AG83" s="1301"/>
    </row>
    <row r="84" customFormat="false" ht="14.1" hidden="false" customHeight="true" outlineLevel="0" collapsed="false">
      <c r="A84" s="1445" t="s">
        <v>2833</v>
      </c>
      <c r="B84" s="1446"/>
      <c r="C84" s="1445"/>
      <c r="D84" s="1356" t="n">
        <f aca="false">1</f>
        <v>1</v>
      </c>
      <c r="E84" s="1447"/>
      <c r="F84" s="1447"/>
      <c r="G84" s="1448"/>
      <c r="H84" s="1445"/>
      <c r="I84" s="1356" t="n">
        <f aca="false">1</f>
        <v>1</v>
      </c>
      <c r="J84" s="1447"/>
      <c r="K84" s="1447"/>
      <c r="L84" s="1448"/>
      <c r="M84" s="1445"/>
      <c r="N84" s="1356" t="n">
        <f aca="false">1</f>
        <v>1</v>
      </c>
      <c r="O84" s="1447"/>
      <c r="P84" s="1447"/>
      <c r="Q84" s="1448"/>
      <c r="AD84" s="1435" t="s">
        <v>2834</v>
      </c>
      <c r="AE84" s="1443" t="e">
        <f aca="false">AF84*I1+C95*I2</f>
        <v>#REF!</v>
      </c>
      <c r="AF84" s="1313" t="e">
        <f aca="false">AF83*2+AF81</f>
        <v>#REF!</v>
      </c>
      <c r="AG84" s="53"/>
    </row>
    <row r="85" customFormat="false" ht="14.1" hidden="false" customHeight="true" outlineLevel="0" collapsed="false">
      <c r="A85" s="1449" t="s">
        <v>2773</v>
      </c>
      <c r="C85" s="1449" t="n">
        <f aca="false">(C34+C33*2)*C32</f>
        <v>0</v>
      </c>
      <c r="D85" s="1449" t="n">
        <f aca="false">(D34+D33*2)*D32</f>
        <v>0</v>
      </c>
      <c r="E85" s="1449" t="n">
        <f aca="false">(E34+E33*2)*E32</f>
        <v>0</v>
      </c>
      <c r="F85" s="1449" t="n">
        <f aca="false">(F34+F33*2)*F32</f>
        <v>0</v>
      </c>
      <c r="G85" s="1302" t="n">
        <f aca="false">C85+D85+E85+F85</f>
        <v>0</v>
      </c>
      <c r="H85" s="1449" t="n">
        <f aca="false">(H34+H33*2)*H32</f>
        <v>0</v>
      </c>
      <c r="I85" s="1449" t="n">
        <f aca="false">(I34+I33*2)*I32</f>
        <v>0</v>
      </c>
      <c r="J85" s="1449" t="n">
        <f aca="false">(J34+J33*2)*J32</f>
        <v>0</v>
      </c>
      <c r="K85" s="1449" t="n">
        <f aca="false">(K34+K33*2)*K32</f>
        <v>0</v>
      </c>
      <c r="L85" s="1302" t="n">
        <f aca="false">H85+I85+J85+K85</f>
        <v>0</v>
      </c>
      <c r="M85" s="1449" t="n">
        <f aca="false">(M34+M33*2)*M32</f>
        <v>0</v>
      </c>
      <c r="N85" s="1449" t="n">
        <f aca="false">(N34+N33*2)*N32</f>
        <v>0</v>
      </c>
      <c r="O85" s="1449" t="n">
        <f aca="false">(O34+O33*2)*O32</f>
        <v>0</v>
      </c>
      <c r="P85" s="1449" t="n">
        <f aca="false">(P34+P33*2)*P32</f>
        <v>0</v>
      </c>
      <c r="Q85" s="1302" t="n">
        <f aca="false">M85+N85+O85+P85</f>
        <v>0</v>
      </c>
      <c r="R85" s="1450" t="n">
        <f aca="false">G85+L85+Q85</f>
        <v>0</v>
      </c>
      <c r="AD85" s="1451" t="s">
        <v>2835</v>
      </c>
      <c r="AE85" s="1452" t="n">
        <f aca="false">(C34*C35+C34*C5*C38+(C21+C22)*C34*C3+C23*C5)*D2</f>
        <v>0</v>
      </c>
    </row>
    <row r="86" customFormat="false" ht="14.1" hidden="false" customHeight="true" outlineLevel="0" collapsed="false">
      <c r="A86" s="1286" t="s">
        <v>2836</v>
      </c>
      <c r="B86" s="1334" t="s">
        <v>820</v>
      </c>
      <c r="C86" s="1286" t="n">
        <f aca="false">(C34*C33*C3+C34*C33*C5)*C32</f>
        <v>0</v>
      </c>
      <c r="D86" s="1286" t="n">
        <f aca="false">(D34*D33*D3+D34*D33*D5)*D32</f>
        <v>0</v>
      </c>
      <c r="E86" s="1286" t="n">
        <f aca="false">(E34*E33*E3+E34*E33*E5)*E32</f>
        <v>0</v>
      </c>
      <c r="F86" s="1286" t="n">
        <f aca="false">(F34*F33*F3+F34*F33*F5)*F32</f>
        <v>0</v>
      </c>
      <c r="G86" s="1302" t="n">
        <f aca="false">C86+D86+E86+F86</f>
        <v>0</v>
      </c>
      <c r="H86" s="1286" t="n">
        <f aca="false">(H34*H33*H3+H34*H33*H5)*H32</f>
        <v>0</v>
      </c>
      <c r="I86" s="1286" t="n">
        <f aca="false">(I34*I33*I3+I34*I33*I5)*I32</f>
        <v>0</v>
      </c>
      <c r="J86" s="1286" t="n">
        <f aca="false">(J34*J33*J3+J34*J33*J5)*J32</f>
        <v>0</v>
      </c>
      <c r="K86" s="1286" t="n">
        <f aca="false">(K34*K33*K3+K34*K33*K5)*K32</f>
        <v>0</v>
      </c>
      <c r="L86" s="1302" t="n">
        <f aca="false">H86+I86+J86+K86</f>
        <v>0</v>
      </c>
      <c r="M86" s="1286" t="n">
        <f aca="false">(M34*M33*M3+M34*M33*M5)*M32</f>
        <v>0</v>
      </c>
      <c r="N86" s="1286" t="n">
        <f aca="false">(N34*N33*N3+N34*N33*N5)*N32</f>
        <v>0</v>
      </c>
      <c r="O86" s="1286" t="n">
        <f aca="false">(O34*O33*O3+O34*O33*O5)*O32</f>
        <v>0</v>
      </c>
      <c r="P86" s="1286" t="n">
        <f aca="false">(P34*P33*P3+P34*P33*P5)*P32</f>
        <v>0</v>
      </c>
      <c r="Q86" s="1302" t="n">
        <f aca="false">M86+N86+O86+P86</f>
        <v>0</v>
      </c>
      <c r="R86" s="1450" t="n">
        <f aca="false">G86+L86+Q86</f>
        <v>0</v>
      </c>
    </row>
    <row r="87" customFormat="false" ht="14.1" hidden="false" customHeight="true" outlineLevel="0" collapsed="false">
      <c r="A87" s="1452" t="s">
        <v>2837</v>
      </c>
      <c r="B87" s="1334" t="s">
        <v>820</v>
      </c>
      <c r="C87" s="1452" t="n">
        <f aca="false">(C41*C33)*C32*C4</f>
        <v>0</v>
      </c>
      <c r="D87" s="1452" t="n">
        <f aca="false">(D41*D33)*D32*D4</f>
        <v>0</v>
      </c>
      <c r="E87" s="1452" t="n">
        <f aca="false">(E41*E33)*E32*E4</f>
        <v>0</v>
      </c>
      <c r="F87" s="1452" t="n">
        <f aca="false">(F41*F33)*F32*F4</f>
        <v>0</v>
      </c>
      <c r="G87" s="1302" t="n">
        <f aca="false">C87+D87+E87+F87</f>
        <v>0</v>
      </c>
      <c r="H87" s="1452" t="n">
        <f aca="false">(H41*H33)*H32*H4</f>
        <v>0</v>
      </c>
      <c r="I87" s="1452" t="n">
        <f aca="false">(I41*I33)*I32*I4</f>
        <v>0</v>
      </c>
      <c r="J87" s="1452" t="n">
        <f aca="false">(J41*J33)*J32*J4</f>
        <v>0</v>
      </c>
      <c r="K87" s="1452" t="n">
        <f aca="false">(K41*K33)*K32*K4</f>
        <v>0</v>
      </c>
      <c r="L87" s="1302" t="n">
        <f aca="false">H87+I87+J87+K87</f>
        <v>0</v>
      </c>
      <c r="M87" s="1452"/>
      <c r="N87" s="1452"/>
      <c r="O87" s="1452"/>
      <c r="P87" s="1452"/>
      <c r="Q87" s="1302" t="n">
        <f aca="false">M87+N87+O87+P87</f>
        <v>0</v>
      </c>
      <c r="R87" s="1450" t="n">
        <f aca="false">G87+L87+Q87</f>
        <v>0</v>
      </c>
      <c r="AE87" s="1453" t="s">
        <v>2838</v>
      </c>
      <c r="AF87" s="1447" t="s">
        <v>2839</v>
      </c>
    </row>
    <row r="88" customFormat="false" ht="14.1" hidden="false" customHeight="true" outlineLevel="0" collapsed="false">
      <c r="A88" s="1452" t="s">
        <v>2840</v>
      </c>
      <c r="B88" s="1334"/>
      <c r="C88" s="1452" t="n">
        <f aca="false">(C41*C33)*C32*C5</f>
        <v>0</v>
      </c>
      <c r="D88" s="1452" t="n">
        <f aca="false">(D41*D33)*D32*D5</f>
        <v>0</v>
      </c>
      <c r="E88" s="1452" t="n">
        <f aca="false">(E41*E33)*E32*E5</f>
        <v>0</v>
      </c>
      <c r="F88" s="1452" t="n">
        <f aca="false">(F41*F33)*F32*F5</f>
        <v>0</v>
      </c>
      <c r="G88" s="1302" t="n">
        <f aca="false">C88+D88+E88+F88</f>
        <v>0</v>
      </c>
      <c r="H88" s="1452" t="n">
        <f aca="false">(H41*H33)*H32*H5</f>
        <v>0</v>
      </c>
      <c r="I88" s="1452" t="n">
        <f aca="false">(I41*I33)*I32*I5</f>
        <v>0</v>
      </c>
      <c r="J88" s="1452" t="n">
        <f aca="false">(J41*J33)*J32*J5</f>
        <v>0</v>
      </c>
      <c r="K88" s="1452" t="n">
        <f aca="false">(K41*K33)*K32*K5</f>
        <v>0</v>
      </c>
      <c r="L88" s="1302" t="n">
        <f aca="false">H88+I88+J88+K88</f>
        <v>0</v>
      </c>
      <c r="M88" s="1452"/>
      <c r="N88" s="1452"/>
      <c r="O88" s="1452"/>
      <c r="P88" s="1452"/>
      <c r="Q88" s="1302" t="n">
        <f aca="false">M88+N88+O88+P88</f>
        <v>0</v>
      </c>
      <c r="R88" s="1450" t="n">
        <f aca="false">G88+L88+Q88</f>
        <v>0</v>
      </c>
      <c r="AE88" s="1453"/>
      <c r="AF88" s="1447"/>
    </row>
    <row r="89" s="1457" customFormat="true" ht="14.1" hidden="false" customHeight="true" outlineLevel="0" collapsed="false">
      <c r="A89" s="1454" t="s">
        <v>2841</v>
      </c>
      <c r="B89" s="1455" t="s">
        <v>820</v>
      </c>
      <c r="C89" s="1454" t="n">
        <f aca="false">C37*(C33+C33+C34)*C32</f>
        <v>0</v>
      </c>
      <c r="D89" s="1454" t="n">
        <f aca="false">D37*(D33+D33+D34)*D32</f>
        <v>0</v>
      </c>
      <c r="E89" s="1454" t="n">
        <f aca="false">E37*(E33+E33+E34)*E32</f>
        <v>0</v>
      </c>
      <c r="F89" s="1454" t="n">
        <f aca="false">F37*(F33+F33+F34)*F32</f>
        <v>0</v>
      </c>
      <c r="G89" s="1302" t="n">
        <f aca="false">C89+D89+E89+F89</f>
        <v>0</v>
      </c>
      <c r="H89" s="1454" t="n">
        <f aca="false">H37*(H33+H33+H34)*H32</f>
        <v>0</v>
      </c>
      <c r="I89" s="1454" t="n">
        <f aca="false">I37*(I33+I33+I34)*I32</f>
        <v>0</v>
      </c>
      <c r="J89" s="1454" t="n">
        <f aca="false">J37*(J33+J33+J34)*J32</f>
        <v>0</v>
      </c>
      <c r="K89" s="1454" t="n">
        <f aca="false">K37*(K33+K33+K34)*K32</f>
        <v>0</v>
      </c>
      <c r="L89" s="1302" t="n">
        <f aca="false">H89+I89+J89+K89</f>
        <v>0</v>
      </c>
      <c r="M89" s="1454" t="n">
        <f aca="false">M37*(M33+M33+M34)*M32</f>
        <v>0</v>
      </c>
      <c r="N89" s="1454" t="n">
        <f aca="false">N37*(N33+N33+N34)*N32</f>
        <v>0</v>
      </c>
      <c r="O89" s="1454" t="n">
        <f aca="false">O37*(O33+O33+O34)*O32</f>
        <v>0</v>
      </c>
      <c r="P89" s="1454" t="n">
        <f aca="false">P37*(P33+P33+P34)*P32</f>
        <v>0</v>
      </c>
      <c r="Q89" s="1302" t="n">
        <f aca="false">M89+N89+O89+P89</f>
        <v>0</v>
      </c>
      <c r="R89" s="1456" t="n">
        <f aca="false">G89+L89+Q89</f>
        <v>0</v>
      </c>
      <c r="AE89" s="1458"/>
      <c r="AF89" s="1456"/>
    </row>
    <row r="90" customFormat="false" ht="14.1" hidden="false" customHeight="true" outlineLevel="0" collapsed="false">
      <c r="A90" s="1452" t="s">
        <v>2842</v>
      </c>
      <c r="B90" s="1334" t="s">
        <v>820</v>
      </c>
      <c r="C90" s="1452" t="n">
        <f aca="false">C40*(C33+C33+C34)*C32</f>
        <v>0</v>
      </c>
      <c r="D90" s="1452" t="n">
        <f aca="false">D40*(D33+D33+D34)*D32</f>
        <v>0</v>
      </c>
      <c r="E90" s="1452" t="n">
        <f aca="false">E40*(E33+E33+E34)*E32</f>
        <v>0</v>
      </c>
      <c r="F90" s="1452" t="n">
        <f aca="false">F40*(F33+F33+F34)*F32</f>
        <v>0</v>
      </c>
      <c r="G90" s="1302" t="n">
        <f aca="false">C90+D90+E90+F90</f>
        <v>0</v>
      </c>
      <c r="H90" s="1452" t="n">
        <f aca="false">H40*(H33+H33+H34)*H32</f>
        <v>0</v>
      </c>
      <c r="I90" s="1452" t="n">
        <f aca="false">I40*(I33+I33+I34)*I32</f>
        <v>0</v>
      </c>
      <c r="J90" s="1452" t="n">
        <f aca="false">J40*(J33+J33+J34)*J32</f>
        <v>0</v>
      </c>
      <c r="K90" s="1452" t="n">
        <f aca="false">K40*(K33+K33+K34)*K32</f>
        <v>0</v>
      </c>
      <c r="L90" s="1302" t="n">
        <f aca="false">H90+I90+J90+K90</f>
        <v>0</v>
      </c>
      <c r="M90" s="1452" t="n">
        <f aca="false">M40*(M33+M33+M34)*M32</f>
        <v>0</v>
      </c>
      <c r="N90" s="1452" t="n">
        <f aca="false">N40*(N33+N33+N34)*N32</f>
        <v>0</v>
      </c>
      <c r="O90" s="1452" t="n">
        <f aca="false">O40*(O33+O33+O34)*O32</f>
        <v>0</v>
      </c>
      <c r="P90" s="1452" t="n">
        <f aca="false">P40*(P33+P33+P34)*P32</f>
        <v>0</v>
      </c>
      <c r="Q90" s="1302" t="n">
        <f aca="false">M90+N90+O90+P90</f>
        <v>0</v>
      </c>
      <c r="R90" s="1450" t="n">
        <f aca="false">G90+L90+Q90</f>
        <v>0</v>
      </c>
      <c r="AE90" s="1453"/>
      <c r="AF90" s="1447"/>
    </row>
    <row r="91" s="1457" customFormat="true" ht="14.1" hidden="false" customHeight="true" outlineLevel="0" collapsed="false">
      <c r="A91" s="1454" t="s">
        <v>2843</v>
      </c>
      <c r="B91" s="1455" t="s">
        <v>820</v>
      </c>
      <c r="C91" s="1454" t="n">
        <f aca="false">(C21*C25)*(C33+C33+C34)*C32</f>
        <v>0</v>
      </c>
      <c r="D91" s="1454" t="n">
        <f aca="false">(D21*D25)*(D33+D33+D34)*D32</f>
        <v>0</v>
      </c>
      <c r="E91" s="1454" t="n">
        <f aca="false">(E21*E25)*(E33+E33+E34)*E32</f>
        <v>0</v>
      </c>
      <c r="F91" s="1454" t="n">
        <f aca="false">(F21*F25)*(F33+F33+F34)*F32</f>
        <v>0</v>
      </c>
      <c r="G91" s="1302" t="n">
        <f aca="false">C91+D91+E91+F91</f>
        <v>0</v>
      </c>
      <c r="H91" s="1454" t="n">
        <f aca="false">(H21*H25)*(H33+H33+H34)*H32</f>
        <v>0</v>
      </c>
      <c r="I91" s="1454" t="n">
        <f aca="false">(I21*I25)*(I33+I33+I34)*I32</f>
        <v>0</v>
      </c>
      <c r="J91" s="1454" t="n">
        <f aca="false">(J21*J25)*(J33+J33+J34)*J32</f>
        <v>0</v>
      </c>
      <c r="K91" s="1454" t="n">
        <f aca="false">(K21*K25)*(K33+K33+K34)*K32</f>
        <v>0</v>
      </c>
      <c r="L91" s="1302" t="n">
        <f aca="false">H91+I91+J91+K91</f>
        <v>0</v>
      </c>
      <c r="M91" s="1454" t="n">
        <f aca="false">(M21*M25)*(M33+M33+M34)*M32</f>
        <v>0</v>
      </c>
      <c r="N91" s="1454" t="n">
        <f aca="false">(N21*N25)*(N33+N33+N34)*N32</f>
        <v>0</v>
      </c>
      <c r="O91" s="1454" t="n">
        <f aca="false">(O21*O25)*(O33+O33+O34)*O32</f>
        <v>0</v>
      </c>
      <c r="P91" s="1454" t="n">
        <f aca="false">(P21*P25)*(P33+P33+P34)*P32</f>
        <v>0</v>
      </c>
      <c r="Q91" s="1302" t="n">
        <f aca="false">M91+N91+O91+P91</f>
        <v>0</v>
      </c>
      <c r="R91" s="1456" t="n">
        <f aca="false">G91+L91+Q91</f>
        <v>0</v>
      </c>
      <c r="AE91" s="1458"/>
      <c r="AF91" s="1456"/>
    </row>
    <row r="92" s="1457" customFormat="true" ht="14.1" hidden="false" customHeight="true" outlineLevel="0" collapsed="false">
      <c r="A92" s="1454" t="s">
        <v>2844</v>
      </c>
      <c r="B92" s="1455"/>
      <c r="C92" s="1454" t="n">
        <f aca="false">(C22*C26)*(C33+C33+C34)*C32</f>
        <v>0</v>
      </c>
      <c r="D92" s="1454" t="n">
        <f aca="false">(D22*D26)*(D33+D33+D34)*D32</f>
        <v>0</v>
      </c>
      <c r="E92" s="1454" t="n">
        <f aca="false">(E22*E26)*(E33+E33+E34)*E32</f>
        <v>0</v>
      </c>
      <c r="F92" s="1454" t="n">
        <f aca="false">(F22*F26)*(F33+F33+F34)*F32</f>
        <v>0</v>
      </c>
      <c r="G92" s="1302" t="n">
        <f aca="false">C92+D92+E92+F92</f>
        <v>0</v>
      </c>
      <c r="H92" s="1454" t="n">
        <f aca="false">(H22*H26)*(H33+H33+H34)*H32</f>
        <v>0</v>
      </c>
      <c r="I92" s="1454" t="n">
        <f aca="false">(I22*I26)*(I33+I33+I34)*I32</f>
        <v>0</v>
      </c>
      <c r="J92" s="1454" t="n">
        <f aca="false">(J22*J26)*(J33+J33+J34)*J32</f>
        <v>0</v>
      </c>
      <c r="K92" s="1454" t="n">
        <f aca="false">(K22*K26)*(K33+K33+K34)*K32</f>
        <v>0</v>
      </c>
      <c r="L92" s="1302" t="n">
        <f aca="false">H92+I92+J92+K92</f>
        <v>0</v>
      </c>
      <c r="M92" s="1454" t="n">
        <f aca="false">(M22*M26)*(M33+M33+M34)*M32</f>
        <v>0</v>
      </c>
      <c r="N92" s="1454" t="n">
        <f aca="false">(N22*N26)*(N33+N33+N34)*N32</f>
        <v>0</v>
      </c>
      <c r="O92" s="1454" t="n">
        <f aca="false">(O22*O26)*(O33+O33+O34)*O32</f>
        <v>0</v>
      </c>
      <c r="P92" s="1454" t="n">
        <f aca="false">(P22*P26)*(P33+P33+P34)*P32</f>
        <v>0</v>
      </c>
      <c r="Q92" s="1302" t="n">
        <f aca="false">M92+N92+O92+P92</f>
        <v>0</v>
      </c>
      <c r="R92" s="1456" t="n">
        <f aca="false">G92+L92+Q92</f>
        <v>0</v>
      </c>
      <c r="AE92" s="1458"/>
      <c r="AF92" s="1456"/>
    </row>
    <row r="93" s="1457" customFormat="true" ht="14.1" hidden="false" customHeight="true" outlineLevel="0" collapsed="false">
      <c r="A93" s="1454" t="s">
        <v>2845</v>
      </c>
      <c r="B93" s="1455"/>
      <c r="C93" s="1454" t="n">
        <f aca="false">(C23*C27)*(C33+C33+C34)*C32</f>
        <v>0</v>
      </c>
      <c r="D93" s="1454" t="n">
        <f aca="false">(D23*D27)*(D33+D33+D34)*D32</f>
        <v>0</v>
      </c>
      <c r="E93" s="1454" t="n">
        <f aca="false">(E23*E27)*(E33+E33+E34)*E32</f>
        <v>0</v>
      </c>
      <c r="F93" s="1454" t="n">
        <f aca="false">(F23*F27)*(F33+F33+F34)*F32</f>
        <v>0</v>
      </c>
      <c r="G93" s="1302" t="n">
        <f aca="false">C93+D93+E93+F93</f>
        <v>0</v>
      </c>
      <c r="H93" s="1454" t="n">
        <f aca="false">(H23*H27)*(H33+H33+H34)*H32</f>
        <v>0</v>
      </c>
      <c r="I93" s="1454" t="n">
        <f aca="false">(I23*I27)*(I33+I33+I34)*I32</f>
        <v>0</v>
      </c>
      <c r="J93" s="1454" t="n">
        <f aca="false">(J23*J27)*(J33+J33+J34)*J32</f>
        <v>0</v>
      </c>
      <c r="K93" s="1454" t="n">
        <f aca="false">(K23*K27)*(K33+K33+K34)*K32</f>
        <v>0</v>
      </c>
      <c r="L93" s="1302" t="n">
        <f aca="false">H93+I93+J93+K93</f>
        <v>0</v>
      </c>
      <c r="M93" s="1454" t="n">
        <f aca="false">(M23*M27)*(M33+M33+M34)*M32</f>
        <v>0</v>
      </c>
      <c r="N93" s="1454" t="n">
        <f aca="false">(N23*N27)*(N33+N33+N34)*N32</f>
        <v>0</v>
      </c>
      <c r="O93" s="1454" t="n">
        <f aca="false">(O23*O27)*(O33+O33+O34)*O32</f>
        <v>0</v>
      </c>
      <c r="P93" s="1454" t="n">
        <f aca="false">(P23*P27)*(P33+P33+P34)*P32</f>
        <v>0</v>
      </c>
      <c r="Q93" s="1302" t="n">
        <f aca="false">M93+N93+O93+P93</f>
        <v>0</v>
      </c>
      <c r="R93" s="1456" t="n">
        <f aca="false">G93+L93+Q93</f>
        <v>0</v>
      </c>
      <c r="AE93" s="1458"/>
      <c r="AF93" s="1456"/>
    </row>
    <row r="94" customFormat="false" ht="14.1" hidden="false" customHeight="true" outlineLevel="0" collapsed="false">
      <c r="A94" s="1452" t="s">
        <v>2846</v>
      </c>
      <c r="B94" s="1334" t="s">
        <v>820</v>
      </c>
      <c r="C94" s="1452" t="n">
        <f aca="false">(C87+C89+C90)*C32</f>
        <v>0</v>
      </c>
      <c r="D94" s="1452" t="n">
        <f aca="false">(D87+D89+D90+D91)*D32</f>
        <v>0</v>
      </c>
      <c r="E94" s="1452" t="n">
        <f aca="false">(E87+E89+E90+E91)*E32</f>
        <v>0</v>
      </c>
      <c r="F94" s="1452" t="n">
        <f aca="false">(F87+F89+F90+F91)*F32</f>
        <v>0</v>
      </c>
      <c r="G94" s="1302" t="n">
        <f aca="false">C94+D94+E94+F94</f>
        <v>0</v>
      </c>
      <c r="H94" s="1452" t="n">
        <f aca="false">(H87+H89+H90+H91)*H32</f>
        <v>0</v>
      </c>
      <c r="I94" s="1452" t="n">
        <f aca="false">(I87+I89+I90+I91)*I32</f>
        <v>0</v>
      </c>
      <c r="J94" s="1452" t="n">
        <f aca="false">(J87+J89+J90+J91)*J32</f>
        <v>0</v>
      </c>
      <c r="K94" s="1452" t="n">
        <f aca="false">(K87+K89+K90+K91)*K32</f>
        <v>0</v>
      </c>
      <c r="L94" s="1302" t="n">
        <f aca="false">H94+I94+J94+K94</f>
        <v>0</v>
      </c>
      <c r="M94" s="1452" t="n">
        <f aca="false">(M87+M89+M90+M91)*M32</f>
        <v>0</v>
      </c>
      <c r="N94" s="1452" t="n">
        <f aca="false">(N87+N89+N90+N91)*N32</f>
        <v>0</v>
      </c>
      <c r="O94" s="1452" t="n">
        <f aca="false">(O87+O89+O90+O91)*O32</f>
        <v>0</v>
      </c>
      <c r="P94" s="1452" t="n">
        <f aca="false">(P87+P89+P90+P91)*P32</f>
        <v>0</v>
      </c>
      <c r="Q94" s="1302" t="n">
        <f aca="false">M94+N94+O94+P94</f>
        <v>0</v>
      </c>
      <c r="R94" s="1450" t="n">
        <f aca="false">G94+L94+Q94</f>
        <v>0</v>
      </c>
      <c r="AE94" s="1453"/>
      <c r="AF94" s="1447"/>
    </row>
    <row r="95" s="1457" customFormat="true" ht="14.1" hidden="false" customHeight="true" outlineLevel="0" collapsed="false">
      <c r="A95" s="1454" t="s">
        <v>2847</v>
      </c>
      <c r="B95" s="1455" t="s">
        <v>820</v>
      </c>
      <c r="C95" s="1454" t="n">
        <f aca="false">C89</f>
        <v>0</v>
      </c>
      <c r="D95" s="1454" t="n">
        <f aca="false">D89</f>
        <v>0</v>
      </c>
      <c r="E95" s="1454" t="n">
        <f aca="false">E89</f>
        <v>0</v>
      </c>
      <c r="F95" s="1454" t="n">
        <f aca="false">F89</f>
        <v>0</v>
      </c>
      <c r="G95" s="1302" t="n">
        <f aca="false">C95+D95+E95+F95</f>
        <v>0</v>
      </c>
      <c r="H95" s="1454" t="n">
        <f aca="false">H89</f>
        <v>0</v>
      </c>
      <c r="I95" s="1454" t="n">
        <f aca="false">I89</f>
        <v>0</v>
      </c>
      <c r="J95" s="1454" t="n">
        <f aca="false">J89</f>
        <v>0</v>
      </c>
      <c r="K95" s="1454" t="n">
        <f aca="false">K89</f>
        <v>0</v>
      </c>
      <c r="L95" s="1302" t="n">
        <f aca="false">H95+I95+J95+K95</f>
        <v>0</v>
      </c>
      <c r="M95" s="1454" t="n">
        <f aca="false">M89</f>
        <v>0</v>
      </c>
      <c r="N95" s="1454" t="n">
        <f aca="false">N89</f>
        <v>0</v>
      </c>
      <c r="O95" s="1454" t="n">
        <f aca="false">O89</f>
        <v>0</v>
      </c>
      <c r="P95" s="1454" t="n">
        <f aca="false">P89</f>
        <v>0</v>
      </c>
      <c r="Q95" s="1302" t="n">
        <f aca="false">M95+N95+O95+P95</f>
        <v>0</v>
      </c>
      <c r="R95" s="1456" t="n">
        <f aca="false">G95+L95+Q95</f>
        <v>0</v>
      </c>
      <c r="AE95" s="1459" t="n">
        <f aca="false">C34</f>
        <v>6</v>
      </c>
      <c r="AF95" s="1459"/>
    </row>
    <row r="96" customFormat="false" ht="14.1" hidden="false" customHeight="true" outlineLevel="0" collapsed="false">
      <c r="A96" s="1452" t="s">
        <v>2848</v>
      </c>
      <c r="B96" s="1334" t="s">
        <v>820</v>
      </c>
      <c r="C96" s="1452" t="n">
        <f aca="false">C90</f>
        <v>0</v>
      </c>
      <c r="D96" s="1452" t="n">
        <f aca="false">D90</f>
        <v>0</v>
      </c>
      <c r="E96" s="1452" t="n">
        <f aca="false">E90</f>
        <v>0</v>
      </c>
      <c r="F96" s="1452" t="n">
        <f aca="false">F90</f>
        <v>0</v>
      </c>
      <c r="G96" s="1302" t="n">
        <f aca="false">C96+D96+E96+F96</f>
        <v>0</v>
      </c>
      <c r="H96" s="1452" t="n">
        <f aca="false">H90</f>
        <v>0</v>
      </c>
      <c r="I96" s="1452" t="n">
        <f aca="false">I90</f>
        <v>0</v>
      </c>
      <c r="J96" s="1452" t="n">
        <f aca="false">J90</f>
        <v>0</v>
      </c>
      <c r="K96" s="1452" t="n">
        <f aca="false">K90</f>
        <v>0</v>
      </c>
      <c r="L96" s="1302" t="n">
        <f aca="false">H96+I96+J96+K96</f>
        <v>0</v>
      </c>
      <c r="M96" s="1452" t="n">
        <f aca="false">M90</f>
        <v>0</v>
      </c>
      <c r="N96" s="1452" t="n">
        <f aca="false">N90</f>
        <v>0</v>
      </c>
      <c r="O96" s="1452" t="n">
        <f aca="false">O90</f>
        <v>0</v>
      </c>
      <c r="P96" s="1452" t="n">
        <f aca="false">P90</f>
        <v>0</v>
      </c>
      <c r="Q96" s="1302" t="n">
        <f aca="false">M96+N96+O96+P96</f>
        <v>0</v>
      </c>
      <c r="R96" s="1450" t="n">
        <f aca="false">G96+L96+Q96</f>
        <v>0</v>
      </c>
      <c r="AE96" s="1460"/>
      <c r="AF96" s="1460"/>
    </row>
    <row r="97" s="1457" customFormat="true" ht="14.1" hidden="false" customHeight="true" outlineLevel="0" collapsed="false">
      <c r="A97" s="1454" t="s">
        <v>2849</v>
      </c>
      <c r="B97" s="1455" t="s">
        <v>820</v>
      </c>
      <c r="C97" s="1461" t="n">
        <f aca="false">C37*(C34)*C32</f>
        <v>0</v>
      </c>
      <c r="D97" s="1461" t="n">
        <f aca="false">D37*(D34)*D32</f>
        <v>0</v>
      </c>
      <c r="E97" s="1461" t="n">
        <f aca="false">E37*(E34)*E32</f>
        <v>0</v>
      </c>
      <c r="F97" s="1461" t="n">
        <f aca="false">F37*(F34)*F32</f>
        <v>0</v>
      </c>
      <c r="G97" s="1302" t="n">
        <f aca="false">C97+D97+E97+F97</f>
        <v>0</v>
      </c>
      <c r="H97" s="1461" t="n">
        <f aca="false">H37*(H34)*H32</f>
        <v>0</v>
      </c>
      <c r="I97" s="1461" t="n">
        <f aca="false">I37*(I34)*I32</f>
        <v>0</v>
      </c>
      <c r="J97" s="1461" t="n">
        <f aca="false">J37*(J34)*J32</f>
        <v>0</v>
      </c>
      <c r="K97" s="1461" t="n">
        <f aca="false">K37*(K34)*K32</f>
        <v>0</v>
      </c>
      <c r="L97" s="1302" t="n">
        <f aca="false">H97+I97+J97+K97</f>
        <v>0</v>
      </c>
      <c r="M97" s="1461" t="n">
        <f aca="false">M37*(M34)*M32</f>
        <v>0</v>
      </c>
      <c r="N97" s="1461" t="n">
        <f aca="false">N37*(N34)*N32</f>
        <v>0</v>
      </c>
      <c r="O97" s="1461" t="n">
        <f aca="false">O37*(O34)*O32</f>
        <v>0</v>
      </c>
      <c r="P97" s="1461" t="n">
        <f aca="false">P37*(P34)*P32</f>
        <v>0</v>
      </c>
      <c r="Q97" s="1302" t="n">
        <f aca="false">M97+N97+O97+P97</f>
        <v>0</v>
      </c>
      <c r="R97" s="1456" t="n">
        <f aca="false">G97+L97+Q97</f>
        <v>0</v>
      </c>
      <c r="AE97" s="1459" t="n">
        <f aca="false">C33</f>
        <v>3</v>
      </c>
      <c r="AF97" s="1459"/>
    </row>
    <row r="98" s="1457" customFormat="true" ht="14.1" hidden="false" customHeight="true" outlineLevel="0" collapsed="false">
      <c r="A98" s="1454" t="s">
        <v>2850</v>
      </c>
      <c r="B98" s="1455"/>
      <c r="C98" s="1462" t="n">
        <f aca="false">C40*(C34)*C32</f>
        <v>0</v>
      </c>
      <c r="D98" s="1462" t="n">
        <f aca="false">D40*(D34)*D32</f>
        <v>0</v>
      </c>
      <c r="E98" s="1462" t="n">
        <f aca="false">E40*(E34)*E32</f>
        <v>0</v>
      </c>
      <c r="F98" s="1462" t="n">
        <f aca="false">F40*(F34)*F32</f>
        <v>0</v>
      </c>
      <c r="G98" s="1302" t="n">
        <f aca="false">C98+D98+E98+F98</f>
        <v>0</v>
      </c>
      <c r="H98" s="1462" t="n">
        <f aca="false">H40*(H34)*H32</f>
        <v>0</v>
      </c>
      <c r="I98" s="1462" t="n">
        <f aca="false">I40*(I34)*I32</f>
        <v>0</v>
      </c>
      <c r="J98" s="1462" t="n">
        <f aca="false">J40*(J34)*J32</f>
        <v>0</v>
      </c>
      <c r="K98" s="1462" t="n">
        <f aca="false">K40*(K34)*K32</f>
        <v>0</v>
      </c>
      <c r="L98" s="1302" t="n">
        <f aca="false">H98+I98+J98+K98</f>
        <v>0</v>
      </c>
      <c r="M98" s="1462" t="n">
        <f aca="false">M40*(M34)*M32</f>
        <v>0</v>
      </c>
      <c r="N98" s="1462" t="n">
        <f aca="false">N40*(N34)*N32</f>
        <v>0</v>
      </c>
      <c r="O98" s="1462" t="n">
        <f aca="false">O40*(O34)*O32</f>
        <v>0</v>
      </c>
      <c r="P98" s="1462" t="n">
        <f aca="false">P40*(P34)*P32</f>
        <v>0</v>
      </c>
      <c r="Q98" s="1302" t="n">
        <f aca="false">M98+N98+O98+P98</f>
        <v>0</v>
      </c>
      <c r="R98" s="1456" t="n">
        <f aca="false">G98+L98+Q98</f>
        <v>0</v>
      </c>
      <c r="AE98" s="1459"/>
      <c r="AF98" s="1459"/>
    </row>
    <row r="99" customFormat="false" ht="14.1" hidden="false" customHeight="true" outlineLevel="0" collapsed="false">
      <c r="A99" s="1313" t="s">
        <v>2851</v>
      </c>
      <c r="B99" s="1338"/>
      <c r="C99" s="1463" t="n">
        <f aca="false">(SQRT(C33*C33+(C39-C40+C36-C37)*(C39-C40+C36-C37)))</f>
        <v>4.84148737476408</v>
      </c>
      <c r="D99" s="1463" t="n">
        <f aca="false">SQRT(D33*D33+(D39-D40+D36-D35)*(D39-D40+D36-D35))</f>
        <v>3.2310988842807</v>
      </c>
      <c r="E99" s="1463" t="n">
        <f aca="false">SQRT(E33*E33+(E39-E40+E36-E35)*(E39-E40+E36-E35))</f>
        <v>3.31058907144937</v>
      </c>
      <c r="F99" s="1463" t="n">
        <f aca="false">SQRT(F33*F33+(F39-F40+F36-F35)*(F39-F40+F36-F35))</f>
        <v>3.16227766016838</v>
      </c>
      <c r="G99" s="1366"/>
      <c r="H99" s="1463" t="n">
        <f aca="false">(H51+H52)*1.05</f>
        <v>4.37006501895612</v>
      </c>
      <c r="I99" s="1463" t="n">
        <f aca="false">(I51+I52)*1.05</f>
        <v>2.64698413479135</v>
      </c>
      <c r="J99" s="1463" t="n">
        <f aca="false">(J51+J52)*1.05</f>
        <v>2.78441987551174</v>
      </c>
      <c r="K99" s="1463" t="n">
        <f aca="false">(K51+K52)*1.05</f>
        <v>3.45721152374561</v>
      </c>
      <c r="L99" s="1302"/>
      <c r="M99" s="1463" t="n">
        <f aca="false">M73</f>
        <v>4.34856298103178</v>
      </c>
      <c r="N99" s="1463" t="n">
        <f aca="false">N73</f>
        <v>3.47850542618522</v>
      </c>
      <c r="O99" s="1463" t="n">
        <f aca="false">O73</f>
        <v>3.1</v>
      </c>
      <c r="P99" s="1463" t="n">
        <f aca="false">P73</f>
        <v>3.35410196624968</v>
      </c>
      <c r="Q99" s="1302"/>
      <c r="AE99" s="1460"/>
      <c r="AF99" s="1460"/>
    </row>
    <row r="100" s="1457" customFormat="true" ht="14.1" hidden="false" customHeight="true" outlineLevel="0" collapsed="false">
      <c r="A100" s="1454"/>
      <c r="B100" s="1455"/>
      <c r="C100" s="1464" t="n">
        <f aca="false">C99*C32</f>
        <v>0</v>
      </c>
      <c r="D100" s="1464" t="n">
        <f aca="false">D99*D32</f>
        <v>0</v>
      </c>
      <c r="E100" s="1464" t="n">
        <f aca="false">E99*E32</f>
        <v>0</v>
      </c>
      <c r="F100" s="1464" t="n">
        <f aca="false">F99*F32</f>
        <v>0</v>
      </c>
      <c r="G100" s="1366" t="n">
        <f aca="false">(C100+D100+E100+F100)</f>
        <v>0</v>
      </c>
      <c r="H100" s="1464" t="n">
        <f aca="false">H99*H32</f>
        <v>0</v>
      </c>
      <c r="I100" s="1464" t="n">
        <f aca="false">I99*I32</f>
        <v>0</v>
      </c>
      <c r="J100" s="1464" t="n">
        <f aca="false">J99*J32</f>
        <v>0</v>
      </c>
      <c r="K100" s="1464" t="n">
        <f aca="false">K99*K32</f>
        <v>0</v>
      </c>
      <c r="L100" s="1302" t="n">
        <f aca="false">H100+I100+J100+K100</f>
        <v>0</v>
      </c>
      <c r="M100" s="1464" t="n">
        <f aca="false">M99*M32</f>
        <v>0</v>
      </c>
      <c r="N100" s="1464" t="n">
        <f aca="false">N99*N32</f>
        <v>0</v>
      </c>
      <c r="O100" s="1464" t="n">
        <f aca="false">O99*O32</f>
        <v>0</v>
      </c>
      <c r="P100" s="1464" t="n">
        <f aca="false">P99*P32</f>
        <v>0</v>
      </c>
      <c r="Q100" s="1302" t="n">
        <f aca="false">M100+N100+O100+P100</f>
        <v>0</v>
      </c>
      <c r="R100" s="1465" t="n">
        <f aca="false">G100+L100+Q100</f>
        <v>0</v>
      </c>
      <c r="AE100" s="1459"/>
      <c r="AF100" s="1459"/>
    </row>
    <row r="101" s="1275" customFormat="true" ht="14.1" hidden="false" customHeight="true" outlineLevel="0" collapsed="false">
      <c r="A101" s="1313" t="s">
        <v>2852</v>
      </c>
      <c r="B101" s="1338"/>
      <c r="C101" s="1463"/>
      <c r="D101" s="1463"/>
      <c r="E101" s="1463"/>
      <c r="F101" s="1463"/>
      <c r="G101" s="1366"/>
      <c r="H101" s="1463" t="n">
        <f aca="false">(H51+H53)*1.05</f>
        <v>4.58006501895612</v>
      </c>
      <c r="I101" s="1463" t="n">
        <f aca="false">(I51+I53)*1.05</f>
        <v>2.64698413479135</v>
      </c>
      <c r="J101" s="1463" t="n">
        <f aca="false">(J51+J53)*1.05</f>
        <v>2.78441987551174</v>
      </c>
      <c r="K101" s="1463" t="n">
        <f aca="false">(K51+K53)*1.05</f>
        <v>3.45721152374561</v>
      </c>
      <c r="L101" s="1302"/>
      <c r="M101" s="1463" t="n">
        <f aca="false">M74</f>
        <v>4.51109742745599</v>
      </c>
      <c r="N101" s="1463" t="n">
        <f aca="false">N74</f>
        <v>3.47850542618522</v>
      </c>
      <c r="O101" s="1463" t="n">
        <f aca="false">O74</f>
        <v>3.1</v>
      </c>
      <c r="P101" s="1463" t="n">
        <f aca="false">P74</f>
        <v>3.35410196624968</v>
      </c>
      <c r="Q101" s="1302"/>
      <c r="R101" s="1466"/>
      <c r="AE101" s="1467"/>
      <c r="AF101" s="1467"/>
    </row>
    <row r="102" s="1457" customFormat="true" ht="14.1" hidden="false" customHeight="true" outlineLevel="0" collapsed="false">
      <c r="A102" s="1454"/>
      <c r="B102" s="1455"/>
      <c r="C102" s="1464"/>
      <c r="D102" s="1464"/>
      <c r="E102" s="1464"/>
      <c r="F102" s="1464"/>
      <c r="G102" s="1366"/>
      <c r="H102" s="1464" t="n">
        <f aca="false">H101*H32</f>
        <v>0</v>
      </c>
      <c r="I102" s="1464" t="n">
        <f aca="false">I101*I32</f>
        <v>0</v>
      </c>
      <c r="J102" s="1464" t="n">
        <f aca="false">J101*J32</f>
        <v>0</v>
      </c>
      <c r="K102" s="1464" t="n">
        <f aca="false">K101*K32</f>
        <v>0</v>
      </c>
      <c r="L102" s="1302"/>
      <c r="M102" s="1464" t="n">
        <f aca="false">M101*M32</f>
        <v>0</v>
      </c>
      <c r="N102" s="1464" t="n">
        <f aca="false">N101*N32</f>
        <v>0</v>
      </c>
      <c r="O102" s="1464" t="n">
        <f aca="false">O101*O32</f>
        <v>0</v>
      </c>
      <c r="P102" s="1464" t="n">
        <f aca="false">P101*P32</f>
        <v>0</v>
      </c>
      <c r="Q102" s="1302"/>
      <c r="R102" s="1468"/>
      <c r="AE102" s="1459"/>
      <c r="AF102" s="1459"/>
    </row>
    <row r="103" s="1275" customFormat="true" ht="14.1" hidden="false" customHeight="true" outlineLevel="0" collapsed="false">
      <c r="A103" s="1313" t="s">
        <v>2853</v>
      </c>
      <c r="B103" s="1338"/>
      <c r="C103" s="1469" t="n">
        <f aca="false">(C36-C37+C39-C40)/C99</f>
        <v>0.784882765533426</v>
      </c>
      <c r="D103" s="1469" t="n">
        <f aca="false">(D36-D37+D39-D40)/D99</f>
        <v>-0.371390676354104</v>
      </c>
      <c r="E103" s="1469" t="n">
        <f aca="false">(E36-E37+E39-E40)/E99</f>
        <v>0.422885465331124</v>
      </c>
      <c r="F103" s="1469" t="n">
        <f aca="false">(F36-F37+F39-F40)/F99</f>
        <v>0.316227766016838</v>
      </c>
      <c r="G103" s="1328"/>
      <c r="H103" s="1469" t="n">
        <f aca="false">(H36-H37+H39-H40)/H99</f>
        <v>0.869552279775396</v>
      </c>
      <c r="I103" s="1469" t="n">
        <f aca="false">(I36-I37+I39-I40)/I99</f>
        <v>-0.453346124832211</v>
      </c>
      <c r="J103" s="1469" t="n">
        <f aca="false">(J36-J37+J39-J40)/J99</f>
        <v>0.502797732595089</v>
      </c>
      <c r="K103" s="1469" t="n">
        <f aca="false">(K36-K37+K39-K40)/K99</f>
        <v>0.289250453185051</v>
      </c>
      <c r="M103" s="1469" t="n">
        <f aca="false">(M36-M37+M39-M40)/M99</f>
        <v>0.87385189465472</v>
      </c>
      <c r="N103" s="1469" t="n">
        <f aca="false">(N36-N37+N39-N40)/N99</f>
        <v>-0.344975744745641</v>
      </c>
      <c r="O103" s="1469" t="n">
        <f aca="false">(O36-O37+O39-O40)/O99</f>
        <v>0.451612903225806</v>
      </c>
      <c r="P103" s="1469" t="n">
        <f aca="false">(P36-P37+P39-P40)/P99</f>
        <v>0.298142396999972</v>
      </c>
      <c r="AE103" s="1467"/>
      <c r="AF103" s="1467"/>
    </row>
    <row r="104" customFormat="false" ht="14.1" hidden="false" customHeight="true" outlineLevel="0" collapsed="false">
      <c r="A104" s="1470" t="s">
        <v>2854</v>
      </c>
      <c r="B104" s="1471"/>
      <c r="C104" s="1472" t="n">
        <f aca="false">DEGREES(C103)</f>
        <v>44.9704698776215</v>
      </c>
      <c r="D104" s="1472" t="n">
        <f aca="false">DEGREES(D103)</f>
        <v>-21.2791183055992</v>
      </c>
      <c r="E104" s="1472" t="n">
        <f aca="false">DEGREES(E103)</f>
        <v>24.2295523808993</v>
      </c>
      <c r="F104" s="1472" t="n">
        <f aca="false">DEGREES(F103)</f>
        <v>18.1185163576153</v>
      </c>
      <c r="G104" s="1328" t="n">
        <f aca="false">RADIANS(C104)</f>
        <v>0.784882765533426</v>
      </c>
      <c r="H104" s="1473" t="n">
        <f aca="false">DEGREES(H103)</f>
        <v>49.8216756971092</v>
      </c>
      <c r="I104" s="1473" t="n">
        <f aca="false">DEGREES(I103)</f>
        <v>-25.9748196114967</v>
      </c>
      <c r="J104" s="1473" t="n">
        <f aca="false">DEGREES(J103)</f>
        <v>28.8081880264459</v>
      </c>
      <c r="K104" s="1473" t="n">
        <f aca="false">DEGREES(K103)</f>
        <v>16.5728301897498</v>
      </c>
      <c r="M104" s="1473" t="n">
        <f aca="false">DEGREES(M103)</f>
        <v>50.0680254832261</v>
      </c>
      <c r="N104" s="1473" t="n">
        <f aca="false">DEGREES(N103)</f>
        <v>-19.7656542083076</v>
      </c>
      <c r="O104" s="1473" t="n">
        <f aca="false">DEGREES(O103)</f>
        <v>25.8755133284888</v>
      </c>
      <c r="P104" s="1473" t="n">
        <f aca="false">DEGREES(P103)</f>
        <v>17.0823010420123</v>
      </c>
      <c r="AE104" s="1460"/>
      <c r="AF104" s="1460"/>
    </row>
    <row r="105" customFormat="false" ht="14.1" hidden="false" customHeight="true" outlineLevel="0" collapsed="false">
      <c r="A105" s="1470"/>
      <c r="B105" s="1471"/>
      <c r="C105" s="1472"/>
      <c r="D105" s="1472"/>
      <c r="E105" s="1472"/>
      <c r="F105" s="1472" t="n">
        <v>81</v>
      </c>
      <c r="G105" s="1328"/>
      <c r="H105" s="1473"/>
      <c r="I105" s="1473"/>
      <c r="J105" s="1473"/>
      <c r="K105" s="1473"/>
      <c r="M105" s="1473"/>
      <c r="N105" s="1473"/>
      <c r="O105" s="1473"/>
      <c r="P105" s="1473"/>
      <c r="AE105" s="1460"/>
      <c r="AF105" s="1460"/>
    </row>
    <row r="106" customFormat="false" ht="14.1" hidden="false" customHeight="true" outlineLevel="0" collapsed="false">
      <c r="A106" s="1470"/>
      <c r="B106" s="1471"/>
      <c r="C106" s="1472"/>
      <c r="D106" s="1472"/>
      <c r="E106" s="1472"/>
      <c r="F106" s="1472" t="n">
        <f aca="false">RADIANS(F105)</f>
        <v>1.41371669411541</v>
      </c>
      <c r="G106" s="1328"/>
      <c r="H106" s="1473"/>
      <c r="I106" s="1473"/>
      <c r="J106" s="1473"/>
      <c r="K106" s="1473"/>
      <c r="M106" s="1473"/>
      <c r="N106" s="1473"/>
      <c r="O106" s="1473"/>
      <c r="P106" s="1473"/>
      <c r="AE106" s="1460"/>
      <c r="AF106" s="1460"/>
    </row>
    <row r="107" customFormat="false" ht="14.1" hidden="false" customHeight="true" outlineLevel="0" collapsed="false">
      <c r="A107" s="1313" t="s">
        <v>2855</v>
      </c>
      <c r="B107" s="1338"/>
      <c r="C107" s="1439" t="n">
        <f aca="false">C36-C37+C39-C38</f>
        <v>3.8</v>
      </c>
      <c r="D107" s="1439" t="n">
        <f aca="false">D36-D37+D39-D38</f>
        <v>-1.2</v>
      </c>
      <c r="E107" s="1439" t="n">
        <f aca="false">E36-E37+E39-E38</f>
        <v>2.9</v>
      </c>
      <c r="F107" s="1439" t="n">
        <f aca="false">F36-F37+F39-F38</f>
        <v>1</v>
      </c>
      <c r="G107" s="1328"/>
      <c r="H107" s="1439" t="n">
        <f aca="false">H36-H37+H39-H38</f>
        <v>3.8</v>
      </c>
      <c r="I107" s="1439" t="n">
        <f aca="false">I36-I37+I39-I38</f>
        <v>-1.2</v>
      </c>
      <c r="J107" s="1439" t="n">
        <f aca="false">J36-J37+J39-J38</f>
        <v>2.9</v>
      </c>
      <c r="K107" s="1439" t="n">
        <f aca="false">K36-K37+K39-K38</f>
        <v>1</v>
      </c>
      <c r="M107" s="1439" t="n">
        <f aca="false">M36-M37+M39-M38</f>
        <v>3.8</v>
      </c>
      <c r="N107" s="1439" t="n">
        <f aca="false">N36-N37+N39-N38</f>
        <v>-1.2</v>
      </c>
      <c r="O107" s="1439" t="n">
        <f aca="false">O36-O37+O39-O38</f>
        <v>2.9</v>
      </c>
      <c r="P107" s="1439" t="n">
        <f aca="false">P36-P37+P39-P38</f>
        <v>1</v>
      </c>
      <c r="Q107" s="1275" t="n">
        <v>3</v>
      </c>
      <c r="R107" s="1474" t="n">
        <f aca="false">SQRT(Q107*Q107+Q108*Q108)</f>
        <v>4.24264068711929</v>
      </c>
      <c r="AE107" s="1460"/>
      <c r="AF107" s="1460"/>
    </row>
    <row r="108" customFormat="false" ht="14.1" hidden="false" customHeight="true" outlineLevel="0" collapsed="false">
      <c r="A108" s="1313" t="s">
        <v>2856</v>
      </c>
      <c r="B108" s="1338"/>
      <c r="C108" s="1439" t="n">
        <f aca="false">C107/SIN(C103)*C6</f>
        <v>0</v>
      </c>
      <c r="D108" s="1439" t="n">
        <f aca="false">D107/SIN(D103)*D6</f>
        <v>0</v>
      </c>
      <c r="E108" s="1439" t="n">
        <f aca="false">E107/SIN(E103)*E6</f>
        <v>0</v>
      </c>
      <c r="F108" s="1439" t="n">
        <f aca="false">(F107/SIN(F103))*F6</f>
        <v>0</v>
      </c>
      <c r="G108" s="1328" t="n">
        <f aca="false">RADIANS(C108)</f>
        <v>0</v>
      </c>
      <c r="H108" s="1439" t="n">
        <f aca="false">H107/SIN(H103)</f>
        <v>4.97356056159318</v>
      </c>
      <c r="I108" s="1439" t="n">
        <f aca="false">I107/SIN(I103)</f>
        <v>2.73987552049009</v>
      </c>
      <c r="J108" s="1439" t="n">
        <f aca="false">J107/SIN(J103)</f>
        <v>6.0181095237442</v>
      </c>
      <c r="K108" s="1439" t="n">
        <f aca="false">K107/SIN(K103)</f>
        <v>3.50589468264868</v>
      </c>
      <c r="M108" s="1439" t="n">
        <f aca="false">M107/SIN(M103)</f>
        <v>4.95561422862679</v>
      </c>
      <c r="N108" s="1439" t="n">
        <f aca="false">N107/SIN(N103)</f>
        <v>3.548470693438</v>
      </c>
      <c r="O108" s="1439" t="n">
        <f aca="false">O107/SIN(O103)</f>
        <v>6.64501610820634</v>
      </c>
      <c r="P108" s="1439" t="n">
        <f aca="false">P107/SIN(P103)</f>
        <v>3.40431254776113</v>
      </c>
      <c r="Q108" s="1275" t="n">
        <v>3</v>
      </c>
      <c r="AE108" s="1460"/>
      <c r="AF108" s="1460"/>
    </row>
    <row r="109" customFormat="false" ht="14.1" hidden="false" customHeight="true" outlineLevel="0" collapsed="false">
      <c r="A109" s="1313"/>
      <c r="B109" s="1338"/>
      <c r="C109" s="1439"/>
      <c r="D109" s="1439"/>
      <c r="E109" s="1439"/>
      <c r="F109" s="1439" t="n">
        <f aca="false">1.3*TAN(F106)</f>
        <v>8.20787696907755</v>
      </c>
      <c r="G109" s="1328"/>
      <c r="H109" s="1439"/>
      <c r="I109" s="1439"/>
      <c r="J109" s="1439"/>
      <c r="K109" s="1439"/>
      <c r="M109" s="1439"/>
      <c r="N109" s="1439"/>
      <c r="O109" s="1439"/>
      <c r="P109" s="1439"/>
      <c r="AE109" s="1460"/>
      <c r="AF109" s="1460"/>
    </row>
    <row r="110" customFormat="false" ht="14.1" hidden="false" customHeight="true" outlineLevel="0" collapsed="false">
      <c r="A110" s="1313"/>
      <c r="B110" s="1338"/>
      <c r="C110" s="1439" t="n">
        <f aca="false">C108+C111</f>
        <v>0</v>
      </c>
      <c r="D110" s="1439" t="n">
        <f aca="false">D108+D111</f>
        <v>0</v>
      </c>
      <c r="E110" s="1439" t="n">
        <f aca="false">E108+E111</f>
        <v>0</v>
      </c>
      <c r="F110" s="1439" t="n">
        <f aca="false">F108+F111</f>
        <v>0</v>
      </c>
      <c r="G110" s="1328"/>
      <c r="H110" s="1439" t="n">
        <f aca="false">H108+H111</f>
        <v>3.66196668472011</v>
      </c>
      <c r="I110" s="1439" t="n">
        <f aca="false">I108+I111</f>
        <v>1.92093727122986</v>
      </c>
      <c r="J110" s="1439" t="n">
        <f aca="false">J108+J111</f>
        <v>2.05182845286832</v>
      </c>
      <c r="K110" s="1439" t="n">
        <f aca="false">K108+K111</f>
        <v>2.69258240356725</v>
      </c>
      <c r="M110" s="1439" t="n">
        <f aca="false">M108+M111</f>
        <v>0</v>
      </c>
      <c r="N110" s="1439" t="n">
        <f aca="false">N108+N111</f>
        <v>0</v>
      </c>
      <c r="O110" s="1439" t="n">
        <f aca="false">O108+O111</f>
        <v>0</v>
      </c>
      <c r="P110" s="1439" t="n">
        <f aca="false">P108+P111</f>
        <v>0</v>
      </c>
      <c r="Q110" s="1275" t="n">
        <v>1.2</v>
      </c>
      <c r="R110" s="0" t="n">
        <f aca="false">Q110/SIN(Q111)</f>
        <v>1.84718560139036</v>
      </c>
      <c r="AE110" s="1460"/>
      <c r="AF110" s="1460"/>
    </row>
    <row r="111" customFormat="false" ht="14.1" hidden="false" customHeight="true" outlineLevel="0" collapsed="false">
      <c r="A111" s="1313" t="s">
        <v>2857</v>
      </c>
      <c r="B111" s="1338"/>
      <c r="C111" s="1439" t="n">
        <f aca="false">C56*C6-C108*C6</f>
        <v>0</v>
      </c>
      <c r="D111" s="1439" t="n">
        <f aca="false">D56*D6-D108*D6</f>
        <v>0</v>
      </c>
      <c r="E111" s="1439" t="n">
        <f aca="false">E56*E6-E108*E6</f>
        <v>0</v>
      </c>
      <c r="F111" s="1439" t="n">
        <f aca="false">F56*F6-F108*F6</f>
        <v>0</v>
      </c>
      <c r="G111" s="1328" t="n">
        <f aca="false">C110</f>
        <v>0</v>
      </c>
      <c r="H111" s="1439" t="n">
        <f aca="false">H56-H108</f>
        <v>-1.31159387687307</v>
      </c>
      <c r="I111" s="1439" t="n">
        <f aca="false">I56-I108</f>
        <v>-0.81893824926024</v>
      </c>
      <c r="J111" s="1439" t="n">
        <f aca="false">J56-J108</f>
        <v>-3.96628107087588</v>
      </c>
      <c r="K111" s="1439" t="n">
        <f aca="false">K56-K108</f>
        <v>-0.813312279081424</v>
      </c>
      <c r="M111" s="1439" t="n">
        <f aca="false">M56-M108</f>
        <v>-4.95561422862679</v>
      </c>
      <c r="N111" s="1439" t="n">
        <f aca="false">N56-N108</f>
        <v>-3.548470693438</v>
      </c>
      <c r="O111" s="1439" t="n">
        <f aca="false">O56-O108</f>
        <v>-6.64501610820634</v>
      </c>
      <c r="P111" s="1439" t="n">
        <f aca="false">P56-P108</f>
        <v>-3.40431254776113</v>
      </c>
      <c r="Q111" s="1475" t="n">
        <f aca="false">Q108/R107</f>
        <v>0.707106781186548</v>
      </c>
      <c r="AE111" s="1460"/>
      <c r="AF111" s="1460"/>
    </row>
    <row r="112" customFormat="false" ht="14.1" hidden="false" customHeight="true" outlineLevel="0" collapsed="false">
      <c r="A112" s="1313" t="s">
        <v>2858</v>
      </c>
      <c r="B112" s="1338"/>
      <c r="C112" s="1439" t="n">
        <f aca="false">C111*C34*C6</f>
        <v>0</v>
      </c>
      <c r="D112" s="1439" t="n">
        <f aca="false">D111*D34*D6</f>
        <v>0</v>
      </c>
      <c r="E112" s="1439" t="n">
        <f aca="false">E111*E34*E6</f>
        <v>0</v>
      </c>
      <c r="F112" s="1439" t="n">
        <f aca="false">F111*F34*F6</f>
        <v>0</v>
      </c>
      <c r="G112" s="1476" t="n">
        <f aca="false">C112+D112+E112+F112</f>
        <v>0</v>
      </c>
      <c r="H112" s="1477" t="n">
        <f aca="false">H111*H33*2</f>
        <v>-7.86956326123842</v>
      </c>
      <c r="I112" s="1477" t="n">
        <f aca="false">I111*I33*2</f>
        <v>-4.91362949556144</v>
      </c>
      <c r="J112" s="1477" t="n">
        <f aca="false">J111*J33*2</f>
        <v>-23.7976864252553</v>
      </c>
      <c r="K112" s="1477" t="n">
        <f aca="false">K111*K33*2</f>
        <v>-4.87987367448854</v>
      </c>
      <c r="L112" s="1328" t="n">
        <f aca="false">H112+I112+J112+K112</f>
        <v>-41.4607528565437</v>
      </c>
      <c r="M112" s="1477" t="n">
        <f aca="false">M111*M33*2</f>
        <v>-29.7336853717607</v>
      </c>
      <c r="N112" s="1477" t="n">
        <f aca="false">N111*N33*2</f>
        <v>-21.290824160628</v>
      </c>
      <c r="O112" s="1477" t="n">
        <f aca="false">O111*O33*2</f>
        <v>-39.870096649238</v>
      </c>
      <c r="P112" s="1477" t="n">
        <f aca="false">P111*P33*2</f>
        <v>-20.4258752865668</v>
      </c>
      <c r="Q112" s="1328" t="n">
        <f aca="false">M112+N112+O112+P112</f>
        <v>-111.320481468194</v>
      </c>
      <c r="R112" s="1478" t="n">
        <f aca="false">G112+L112</f>
        <v>-41.4607528565437</v>
      </c>
      <c r="AE112" s="1460"/>
      <c r="AF112" s="1460"/>
    </row>
    <row r="113" customFormat="false" ht="14.1" hidden="false" customHeight="true" outlineLevel="0" collapsed="false">
      <c r="A113" s="1313" t="s">
        <v>2859</v>
      </c>
      <c r="B113" s="1338"/>
      <c r="C113" s="1439" t="n">
        <f aca="false">C111*COS(C103)*C34*C6</f>
        <v>0</v>
      </c>
      <c r="D113" s="1439" t="n">
        <f aca="false">D111*COS(D103)*D34*D6</f>
        <v>0</v>
      </c>
      <c r="E113" s="1439" t="n">
        <f aca="false">E111*COS(E103)*E34*E6</f>
        <v>0</v>
      </c>
      <c r="F113" s="1439" t="n">
        <f aca="false">F111*COS(F103)*F34*F6</f>
        <v>0</v>
      </c>
      <c r="G113" s="1328" t="n">
        <f aca="false">C113+D113+E113+F113</f>
        <v>0</v>
      </c>
      <c r="H113" s="1477" t="n">
        <f aca="false">H111*COS(H103)*H33*2</f>
        <v>-5.07719580535485</v>
      </c>
      <c r="I113" s="1477" t="n">
        <f aca="false">I111*COS(I103)*I33*2</f>
        <v>-4.41728714830324</v>
      </c>
      <c r="J113" s="1477" t="n">
        <f aca="false">J111*COS(J103)*J33*2</f>
        <v>-20.852432984535</v>
      </c>
      <c r="K113" s="1477" t="n">
        <f aca="false">K111*COS(K103)*K33*2</f>
        <v>-4.67715367386192</v>
      </c>
      <c r="L113" s="1328" t="n">
        <f aca="false">H113+I113+J113+K113</f>
        <v>-35.024069612055</v>
      </c>
      <c r="M113" s="1477" t="n">
        <f aca="false">M111*COS(M103)*M33*2</f>
        <v>-19.0853882796986</v>
      </c>
      <c r="N113" s="1477" t="n">
        <f aca="false">N111*COS(N103)*N33*2</f>
        <v>-20.036446627054</v>
      </c>
      <c r="O113" s="1477" t="n">
        <f aca="false">O111*COS(O103)*O33*2</f>
        <v>-35.8728951552503</v>
      </c>
      <c r="P113" s="1477" t="n">
        <f aca="false">P111*COS(P103)*P33*2</f>
        <v>-19.5247632821087</v>
      </c>
      <c r="Q113" s="1328" t="n">
        <f aca="false">M113+N113+O113+P113</f>
        <v>-94.5194933441116</v>
      </c>
      <c r="R113" s="1478" t="n">
        <f aca="false">G113+L113</f>
        <v>-35.024069612055</v>
      </c>
      <c r="AE113" s="1460"/>
      <c r="AF113" s="1460"/>
    </row>
    <row r="114" customFormat="false" ht="14.1" hidden="false" customHeight="true" outlineLevel="0" collapsed="false">
      <c r="A114" s="1479" t="s">
        <v>2860</v>
      </c>
      <c r="B114" s="1480"/>
      <c r="C114" s="1481" t="n">
        <f aca="false">(IF('Ввод данных'!A73=связи1!A94,0,0)+IF('Ввод данных'!A73=связи1!A95,0,0)+IF('Ввод данных'!A73=связи1!A96,пристройка!C65,0)+IF('Ввод данных'!A73=связи1!A98,0,0)+IF('Ввод данных'!A73=связи1!A97,C65,0))*C32</f>
        <v>0</v>
      </c>
      <c r="D114" s="1481" t="n">
        <f aca="false">(IF('Ввод данных'!A455=связи1!A96,пристройка!D65,0)+IF('Ввод данных'!A73=связи1!A94,0,0)+IF('Ввод данных'!A73=связи1!A95,0,0)+IF('Ввод данных'!A73=связи1!A98,0,0)+IF('Ввод данных'!A73=связи1!A97,D65,0))*D32</f>
        <v>0</v>
      </c>
      <c r="E114" s="1481" t="n">
        <f aca="false">(IF('Ввод данных'!A459=связи1!A96,пристройка!E65,0)+IF('Ввод данных'!A73=связи1!A94,0,0)+IF('Ввод данных'!A73=связи1!A95,0,0)+IF('Ввод данных'!A73=связи1!A98,0,0)+IF('Ввод данных'!A73=связи1!A97,E65,0))*E32</f>
        <v>0</v>
      </c>
      <c r="F114" s="1481" t="n">
        <f aca="false">IF('Ввод данных'!A463=связи1!A96,пристройка!F65,0)*F32</f>
        <v>0</v>
      </c>
      <c r="G114" s="1328" t="n">
        <f aca="false">C114+D114+E114+F114</f>
        <v>0</v>
      </c>
      <c r="H114" s="1482" t="n">
        <f aca="false">(IF('Ввод данных'!A73=связи1!A96,пристройка!H65,0)+IF('Ввод данных'!A73=связи1!A97,H65,0))*H32</f>
        <v>0</v>
      </c>
      <c r="I114" s="1482" t="n">
        <f aca="false">(IF('Ввод данных'!A455=связи1!A96,пристройка!I65,0)+IF('Ввод данных'!A73=связи1!A97,I65,0))*I32</f>
        <v>0</v>
      </c>
      <c r="J114" s="1482" t="n">
        <f aca="false">(IF('Ввод данных'!A459=связи1!A96,пристройка!J65,0)+IF('Ввод данных'!A73=связи1!A97,J65,0))*J32</f>
        <v>0</v>
      </c>
      <c r="K114" s="1482" t="n">
        <f aca="false">(IF('Ввод данных'!A463=связи1!A96,пристройка!K65,0)+IF('Ввод данных'!A73=связи1!A97,K65,0))*K32</f>
        <v>0</v>
      </c>
      <c r="L114" s="1328" t="n">
        <f aca="false">H114+I114+J114+K114</f>
        <v>0</v>
      </c>
      <c r="M114" s="1482"/>
      <c r="N114" s="1482"/>
      <c r="O114" s="1482"/>
      <c r="P114" s="1482"/>
      <c r="Q114" s="1328" t="n">
        <f aca="false">M114+N114+O114+P114</f>
        <v>0</v>
      </c>
      <c r="R114" s="1478" t="n">
        <f aca="false">G114+L114</f>
        <v>0</v>
      </c>
      <c r="AE114" s="1460"/>
      <c r="AF114" s="1460"/>
    </row>
    <row r="115" customFormat="false" ht="14.1" hidden="false" customHeight="true" outlineLevel="0" collapsed="false">
      <c r="A115" s="1479" t="s">
        <v>2861</v>
      </c>
      <c r="B115" s="1480"/>
      <c r="C115" s="1481" t="n">
        <f aca="false">IF('Ввод данных'!A73=связи1!A98,пристройка!C112,0)*C6</f>
        <v>0</v>
      </c>
      <c r="D115" s="1481" t="n">
        <f aca="false">IF('Ввод данных'!A455=связи1!A98,пристройка!D112,0)*D32</f>
        <v>0</v>
      </c>
      <c r="E115" s="1481" t="n">
        <f aca="false">IF('Ввод данных'!A459=связи1!A98,пристройка!E112,0)*E32</f>
        <v>0</v>
      </c>
      <c r="F115" s="1481" t="n">
        <f aca="false">(IF('Ввод данных'!D452=связи1!D95,0,0)+IF('Ввод данных'!D452=связи1!D96,0,0)+IF('Ввод данных'!D452=связи1!D97,пристройка!F66,0)+IF('Ввод данных'!D452=связи1!D99,0,0))*F32</f>
        <v>0</v>
      </c>
      <c r="G115" s="1328" t="n">
        <f aca="false">C115+D115+E115+F115</f>
        <v>0</v>
      </c>
      <c r="H115" s="1482" t="n">
        <f aca="false">IF('Ввод данных'!A73=связи1!A98,пристройка!H112,0)*H32</f>
        <v>0</v>
      </c>
      <c r="I115" s="1482" t="n">
        <f aca="false">IF('Ввод данных'!A455=связи1!A98,пристройка!I112,0)*I32</f>
        <v>0</v>
      </c>
      <c r="J115" s="1482" t="n">
        <f aca="false">IF('Ввод данных'!A459=связи1!A98,пристройка!J112,0)*J32</f>
        <v>0</v>
      </c>
      <c r="K115" s="1482" t="n">
        <f aca="false">IF('Ввод данных'!A463=связи1!A98,пристройка!K112,0)*K32</f>
        <v>0</v>
      </c>
      <c r="L115" s="1328" t="n">
        <f aca="false">H115+I115+J115+K115</f>
        <v>0</v>
      </c>
      <c r="M115" s="1482"/>
      <c r="N115" s="1482"/>
      <c r="O115" s="1482"/>
      <c r="P115" s="1482"/>
      <c r="Q115" s="1328" t="n">
        <f aca="false">M115+N115+O115+P115</f>
        <v>0</v>
      </c>
      <c r="R115" s="1478" t="n">
        <f aca="false">G115+L115</f>
        <v>0</v>
      </c>
      <c r="AE115" s="1460"/>
      <c r="AF115" s="1460"/>
    </row>
    <row r="116" customFormat="false" ht="14.1" hidden="false" customHeight="true" outlineLevel="0" collapsed="false">
      <c r="A116" s="1479" t="s">
        <v>2859</v>
      </c>
      <c r="B116" s="1480"/>
      <c r="C116" s="1481" t="n">
        <f aca="false">(IF('Ввод данных'!A73=связи1!A94,0,0)+IF('Ввод данных'!A73=связи1!A95,пристройка!C11,0)+IF('Ввод данных'!A73=связи1!A96,0,0)+IF('Ввод данных'!A73=связи1!A97,0,0)+IF('Ввод данных'!A73=связи1!A98,C111*COS(C103)*C34,0))*C32</f>
        <v>0</v>
      </c>
      <c r="D116" s="1481" t="n">
        <f aca="false">(IF('Ввод данных'!A455=связи1!A94,0,0)+IF('Ввод данных'!A455=связи1!A95,пристройка!D11,0)+IF('Ввод данных'!A455=связи1!A96,0,0)+IF('Ввод данных'!A455=связи1!A97,0,0)+IF('Ввод данных'!A455=связи1!A98,D111*COS(D103)*D34,0))*D32</f>
        <v>0</v>
      </c>
      <c r="E116" s="1481" t="n">
        <f aca="false">(IF('Ввод данных'!A459=связи1!A94,0,0)+IF('Ввод данных'!A459=связи1!A95,пристройка!E11,0)+IF('Ввод данных'!A459=связи1!A96,0,0)+IF('Ввод данных'!A459=связи1!A97,0,0)+IF('Ввод данных'!A459=связи1!A98,E111*COS(E103)*E34,0))*E32</f>
        <v>0</v>
      </c>
      <c r="F116" s="1481" t="n">
        <f aca="false">(IF('Ввод данных'!A463=связи1!A94,0,0)+IF('Ввод данных'!A463=связи1!A95,пристройка!F11,0)+IF('Ввод данных'!A463=связи1!A96,0,0)+IF('Ввод данных'!A463=связи1!A97,0,0)+IF('Ввод данных'!A463=связи1!A98,F111*COS(F103)*F34,0))*F32</f>
        <v>0</v>
      </c>
      <c r="G116" s="1328" t="n">
        <f aca="false">C116+D116+E116+F116</f>
        <v>0</v>
      </c>
      <c r="H116" s="1482" t="n">
        <f aca="false">(IF('Ввод данных'!A73=связи1!A94,0,0)+IF('Ввод данных'!A73=связи1!A95,пристройка!H11,0)+IF('Ввод данных'!A73=связи1!A96,0,0)+IF('Ввод данных'!A73=связи1!A97,0,0)+IF('Ввод данных'!A73=связи1!A98,H111*COS(H103)*H33,0))*H32</f>
        <v>0</v>
      </c>
      <c r="I116" s="1482" t="n">
        <f aca="false">(IF('Ввод данных'!A455=связи1!A94,0,0)+IF('Ввод данных'!A455=связи1!A95,пристройка!I11,0)+IF('Ввод данных'!A455=связи1!A96,0,0)+IF('Ввод данных'!A455=связи1!A97,0,0)+IF('Ввод данных'!A455=связи1!A98,I111*COS(I103)*I33,0))*I32</f>
        <v>0</v>
      </c>
      <c r="J116" s="1482" t="n">
        <f aca="false">(IF('Ввод данных'!A459=связи1!A94,0,0)+IF('Ввод данных'!A459=связи1!A95,пристройка!J11,0)+IF('Ввод данных'!A459=связи1!A96,0,0)+IF('Ввод данных'!A459=связи1!A97,0,0)+IF('Ввод данных'!A459=связи1!A98,J111*COS(J103)*J33,0))*J32</f>
        <v>0</v>
      </c>
      <c r="K116" s="1482" t="n">
        <f aca="false">(IF('Ввод данных'!A463=связи1!A94,0,0)+IF('Ввод данных'!A463=связи1!A95,пристройка!J11,0)+IF('Ввод данных'!A463=связи1!A96,0,0)+IF('Ввод данных'!A463=связи1!A97,0,0)+IF('Ввод данных'!A463=связи1!A98,K111*COS(K103)*K33,0))*K32</f>
        <v>0</v>
      </c>
      <c r="L116" s="1328" t="n">
        <f aca="false">H116+I116+J116+K116</f>
        <v>0</v>
      </c>
      <c r="M116" s="1482" t="n">
        <f aca="false">M11</f>
        <v>0</v>
      </c>
      <c r="N116" s="1482" t="n">
        <f aca="false">N11</f>
        <v>0</v>
      </c>
      <c r="O116" s="1482" t="n">
        <f aca="false">O11</f>
        <v>0</v>
      </c>
      <c r="P116" s="1482" t="n">
        <f aca="false">P11</f>
        <v>0</v>
      </c>
      <c r="Q116" s="1328" t="n">
        <f aca="false">M116+N116+O116+P116</f>
        <v>0</v>
      </c>
      <c r="R116" s="1478" t="n">
        <f aca="false">G116+L116+Q116</f>
        <v>0</v>
      </c>
      <c r="AE116" s="1460"/>
      <c r="AF116" s="1460"/>
    </row>
    <row r="117" s="1275" customFormat="true" ht="14.1" hidden="false" customHeight="true" outlineLevel="0" collapsed="false">
      <c r="A117" s="1313"/>
      <c r="B117" s="1338"/>
      <c r="C117" s="1469"/>
      <c r="D117" s="1469"/>
      <c r="E117" s="1469"/>
      <c r="F117" s="1469"/>
      <c r="G117" s="1328"/>
      <c r="H117" s="1463"/>
      <c r="I117" s="1463"/>
      <c r="J117" s="1463"/>
      <c r="K117" s="1463"/>
      <c r="M117" s="1463"/>
      <c r="N117" s="1463"/>
      <c r="O117" s="1463"/>
      <c r="P117" s="1463"/>
      <c r="AE117" s="1467"/>
      <c r="AF117" s="1467"/>
    </row>
    <row r="118" s="1275" customFormat="true" ht="14.1" hidden="false" customHeight="true" outlineLevel="0" collapsed="false">
      <c r="A118" s="1313" t="s">
        <v>2862</v>
      </c>
      <c r="B118" s="1338"/>
      <c r="C118" s="1469" t="n">
        <f aca="false">дома!B1115*дома!C1152+дома!I1115*дома!F1152+дома!L1115*дома!J1138</f>
        <v>0.5</v>
      </c>
      <c r="D118" s="1469" t="n">
        <f aca="false">C118</f>
        <v>0.5</v>
      </c>
      <c r="E118" s="1469" t="n">
        <f aca="false">C118</f>
        <v>0.5</v>
      </c>
      <c r="F118" s="1469" t="n">
        <f aca="false">C118</f>
        <v>0.5</v>
      </c>
      <c r="G118" s="1328"/>
      <c r="H118" s="1463" t="n">
        <f aca="false">C118</f>
        <v>0.5</v>
      </c>
      <c r="I118" s="1463" t="n">
        <f aca="false">H118</f>
        <v>0.5</v>
      </c>
      <c r="J118" s="1463" t="n">
        <f aca="false">H118</f>
        <v>0.5</v>
      </c>
      <c r="K118" s="1463" t="n">
        <f aca="false">H118</f>
        <v>0.5</v>
      </c>
      <c r="M118" s="1463" t="n">
        <f aca="false">C118</f>
        <v>0.5</v>
      </c>
      <c r="N118" s="1463" t="n">
        <f aca="false">M118</f>
        <v>0.5</v>
      </c>
      <c r="O118" s="1463" t="n">
        <f aca="false">M118</f>
        <v>0.5</v>
      </c>
      <c r="P118" s="1463" t="n">
        <f aca="false">M118</f>
        <v>0.5</v>
      </c>
      <c r="AE118" s="1467"/>
      <c r="AF118" s="1467"/>
    </row>
    <row r="119" s="1275" customFormat="true" ht="14.1" hidden="false" customHeight="true" outlineLevel="0" collapsed="false">
      <c r="A119" s="1313" t="s">
        <v>2863</v>
      </c>
      <c r="B119" s="1338"/>
      <c r="C119" s="1469" t="n">
        <f aca="false">дома!B1115*дома!C1155+дома!I1115*дома!F1152+дома!L1115*дома!J1152</f>
        <v>0.5</v>
      </c>
      <c r="D119" s="1469" t="n">
        <f aca="false">C119</f>
        <v>0.5</v>
      </c>
      <c r="E119" s="1469" t="n">
        <f aca="false">C119</f>
        <v>0.5</v>
      </c>
      <c r="F119" s="1469" t="n">
        <f aca="false">C119</f>
        <v>0.5</v>
      </c>
      <c r="G119" s="1328"/>
      <c r="H119" s="1463" t="n">
        <f aca="false">C119</f>
        <v>0.5</v>
      </c>
      <c r="I119" s="1463" t="n">
        <f aca="false">H119</f>
        <v>0.5</v>
      </c>
      <c r="J119" s="1463" t="n">
        <f aca="false">H119</f>
        <v>0.5</v>
      </c>
      <c r="K119" s="1463" t="n">
        <f aca="false">H119</f>
        <v>0.5</v>
      </c>
      <c r="M119" s="1463" t="n">
        <f aca="false">C119</f>
        <v>0.5</v>
      </c>
      <c r="N119" s="1463" t="n">
        <f aca="false">M119</f>
        <v>0.5</v>
      </c>
      <c r="O119" s="1463" t="n">
        <f aca="false">M119</f>
        <v>0.5</v>
      </c>
      <c r="P119" s="1463" t="n">
        <f aca="false">M119</f>
        <v>0.5</v>
      </c>
      <c r="AE119" s="1467"/>
      <c r="AF119" s="1467"/>
    </row>
    <row r="120" s="1275" customFormat="true" ht="14.1" hidden="false" customHeight="true" outlineLevel="0" collapsed="false">
      <c r="A120" s="1313" t="s">
        <v>2864</v>
      </c>
      <c r="B120" s="1338"/>
      <c r="C120" s="1469" t="n">
        <f aca="false">дома!B1115*дома!C1148+дома!I1115*дома!F1148+дома!L1115*дома!J1138</f>
        <v>0.5</v>
      </c>
      <c r="D120" s="1469" t="n">
        <f aca="false">C120</f>
        <v>0.5</v>
      </c>
      <c r="E120" s="1469" t="n">
        <f aca="false">C120</f>
        <v>0.5</v>
      </c>
      <c r="F120" s="1469" t="n">
        <f aca="false">C120</f>
        <v>0.5</v>
      </c>
      <c r="G120" s="1328"/>
      <c r="H120" s="1463" t="n">
        <f aca="false">C120</f>
        <v>0.5</v>
      </c>
      <c r="I120" s="1463" t="n">
        <f aca="false">H120</f>
        <v>0.5</v>
      </c>
      <c r="J120" s="1463" t="n">
        <f aca="false">H120</f>
        <v>0.5</v>
      </c>
      <c r="K120" s="1463" t="n">
        <f aca="false">H120</f>
        <v>0.5</v>
      </c>
      <c r="M120" s="1463" t="n">
        <f aca="false">C120</f>
        <v>0.5</v>
      </c>
      <c r="N120" s="1463" t="n">
        <f aca="false">M120</f>
        <v>0.5</v>
      </c>
      <c r="O120" s="1463" t="n">
        <f aca="false">M120</f>
        <v>0.5</v>
      </c>
      <c r="P120" s="1463" t="n">
        <f aca="false">M120</f>
        <v>0.5</v>
      </c>
      <c r="AE120" s="1467"/>
      <c r="AF120" s="1467"/>
    </row>
    <row r="121" s="1275" customFormat="true" ht="14.1" hidden="false" customHeight="true" outlineLevel="0" collapsed="false">
      <c r="A121" s="1313" t="s">
        <v>2865</v>
      </c>
      <c r="B121" s="1338"/>
      <c r="C121" s="1469" t="n">
        <f aca="false">дома!B1115*дома!C1150+дома!I1115*дома!F1148+дома!L1115*дома!J1138</f>
        <v>0.5</v>
      </c>
      <c r="D121" s="1469" t="n">
        <f aca="false">C121</f>
        <v>0.5</v>
      </c>
      <c r="E121" s="1469" t="n">
        <f aca="false">C121</f>
        <v>0.5</v>
      </c>
      <c r="F121" s="1469" t="n">
        <f aca="false">C121</f>
        <v>0.5</v>
      </c>
      <c r="G121" s="1328"/>
      <c r="H121" s="1463" t="n">
        <f aca="false">C121</f>
        <v>0.5</v>
      </c>
      <c r="I121" s="1463" t="n">
        <f aca="false">H121</f>
        <v>0.5</v>
      </c>
      <c r="J121" s="1463" t="n">
        <f aca="false">H121</f>
        <v>0.5</v>
      </c>
      <c r="K121" s="1463" t="n">
        <f aca="false">H121</f>
        <v>0.5</v>
      </c>
      <c r="M121" s="1463" t="n">
        <f aca="false">C121</f>
        <v>0.5</v>
      </c>
      <c r="N121" s="1463" t="n">
        <f aca="false">M121</f>
        <v>0.5</v>
      </c>
      <c r="O121" s="1463" t="n">
        <f aca="false">M121</f>
        <v>0.5</v>
      </c>
      <c r="P121" s="1463" t="n">
        <f aca="false">M121</f>
        <v>0.5</v>
      </c>
      <c r="AE121" s="1467"/>
      <c r="AF121" s="1467"/>
    </row>
    <row r="122" s="1275" customFormat="true" ht="14.1" hidden="false" customHeight="true" outlineLevel="0" collapsed="false">
      <c r="A122" s="1313" t="s">
        <v>2855</v>
      </c>
      <c r="B122" s="1338"/>
      <c r="C122" s="1469" t="n">
        <f aca="false">дома!B1115*дома!C1135+дома!I1115*дома!F1135+дома!L1115*дома!J1135</f>
        <v>3.4</v>
      </c>
      <c r="D122" s="1469" t="n">
        <f aca="false">C122</f>
        <v>3.4</v>
      </c>
      <c r="E122" s="1469" t="n">
        <f aca="false">C122</f>
        <v>3.4</v>
      </c>
      <c r="F122" s="1469" t="n">
        <f aca="false">C122</f>
        <v>3.4</v>
      </c>
      <c r="G122" s="1328"/>
      <c r="H122" s="1463" t="n">
        <f aca="false">C122</f>
        <v>3.4</v>
      </c>
      <c r="I122" s="1463" t="n">
        <f aca="false">H122</f>
        <v>3.4</v>
      </c>
      <c r="J122" s="1463" t="n">
        <f aca="false">H122</f>
        <v>3.4</v>
      </c>
      <c r="K122" s="1463" t="n">
        <f aca="false">H122</f>
        <v>3.4</v>
      </c>
      <c r="M122" s="1463" t="n">
        <f aca="false">C122</f>
        <v>3.4</v>
      </c>
      <c r="N122" s="1463" t="n">
        <f aca="false">M122</f>
        <v>3.4</v>
      </c>
      <c r="O122" s="1463" t="n">
        <f aca="false">M122</f>
        <v>3.4</v>
      </c>
      <c r="P122" s="1463" t="n">
        <f aca="false">M122</f>
        <v>3.4</v>
      </c>
      <c r="AE122" s="1467"/>
      <c r="AF122" s="1467"/>
    </row>
    <row r="123" s="1275" customFormat="true" ht="14.1" hidden="false" customHeight="true" outlineLevel="0" collapsed="false">
      <c r="A123" s="1313" t="s">
        <v>2866</v>
      </c>
      <c r="B123" s="1338"/>
      <c r="C123" s="1469" t="n">
        <f aca="false">дома!B1115*дома!C1140+дома!I1115*дома!F1167+дома!L1115*дома!J1167</f>
        <v>5.24976189936267</v>
      </c>
      <c r="D123" s="1469" t="n">
        <f aca="false">C123</f>
        <v>5.24976189936267</v>
      </c>
      <c r="E123" s="1469" t="n">
        <f aca="false">C123</f>
        <v>5.24976189936267</v>
      </c>
      <c r="F123" s="1469" t="n">
        <f aca="false">C123</f>
        <v>5.24976189936267</v>
      </c>
      <c r="G123" s="1328"/>
      <c r="H123" s="1463" t="n">
        <f aca="false">C123</f>
        <v>5.24976189936267</v>
      </c>
      <c r="I123" s="1463" t="n">
        <f aca="false">H123</f>
        <v>5.24976189936267</v>
      </c>
      <c r="J123" s="1463" t="n">
        <f aca="false">H123</f>
        <v>5.24976189936267</v>
      </c>
      <c r="K123" s="1463" t="n">
        <f aca="false">H123</f>
        <v>5.24976189936267</v>
      </c>
      <c r="M123" s="1463" t="n">
        <f aca="false">C123</f>
        <v>5.24976189936267</v>
      </c>
      <c r="N123" s="1463" t="n">
        <f aca="false">M123</f>
        <v>5.24976189936267</v>
      </c>
      <c r="O123" s="1463" t="n">
        <f aca="false">M123</f>
        <v>5.24976189936267</v>
      </c>
      <c r="P123" s="1463" t="n">
        <f aca="false">M123</f>
        <v>5.24976189936267</v>
      </c>
      <c r="AE123" s="1467"/>
      <c r="AF123" s="1467"/>
    </row>
    <row r="124" s="1275" customFormat="true" ht="14.1" hidden="false" customHeight="true" outlineLevel="0" collapsed="false">
      <c r="A124" s="1313" t="s">
        <v>2867</v>
      </c>
      <c r="B124" s="1338"/>
      <c r="C124" s="1469" t="n">
        <f aca="false">дома!L1115*дома!L1167</f>
        <v>0</v>
      </c>
      <c r="D124" s="1469" t="n">
        <f aca="false">C124</f>
        <v>0</v>
      </c>
      <c r="E124" s="1469" t="n">
        <f aca="false">C124</f>
        <v>0</v>
      </c>
      <c r="F124" s="1469" t="n">
        <f aca="false">C124</f>
        <v>0</v>
      </c>
      <c r="G124" s="1328"/>
      <c r="H124" s="1463" t="n">
        <f aca="false">C124</f>
        <v>0</v>
      </c>
      <c r="I124" s="1463" t="n">
        <f aca="false">H124</f>
        <v>0</v>
      </c>
      <c r="J124" s="1463" t="n">
        <f aca="false">H124</f>
        <v>0</v>
      </c>
      <c r="K124" s="1463" t="n">
        <f aca="false">H124</f>
        <v>0</v>
      </c>
      <c r="M124" s="1463" t="n">
        <f aca="false">C124</f>
        <v>0</v>
      </c>
      <c r="N124" s="1463" t="n">
        <f aca="false">M124</f>
        <v>0</v>
      </c>
      <c r="O124" s="1463" t="n">
        <f aca="false">M124</f>
        <v>0</v>
      </c>
      <c r="P124" s="1463" t="n">
        <f aca="false">M124</f>
        <v>0</v>
      </c>
      <c r="AE124" s="1467"/>
      <c r="AF124" s="1467"/>
    </row>
    <row r="125" s="1275" customFormat="true" ht="14.1" hidden="false" customHeight="true" outlineLevel="0" collapsed="false">
      <c r="A125" s="1313" t="s">
        <v>205</v>
      </c>
      <c r="B125" s="1338"/>
      <c r="C125" s="1469" t="n">
        <f aca="false">'Ввод данных'!C9</f>
        <v>8</v>
      </c>
      <c r="D125" s="1469" t="n">
        <f aca="false">C125</f>
        <v>8</v>
      </c>
      <c r="E125" s="1469" t="n">
        <f aca="false">C125</f>
        <v>8</v>
      </c>
      <c r="F125" s="1469" t="n">
        <f aca="false">C125</f>
        <v>8</v>
      </c>
      <c r="G125" s="1328"/>
      <c r="H125" s="1463" t="n">
        <f aca="false">C125</f>
        <v>8</v>
      </c>
      <c r="I125" s="1463" t="n">
        <f aca="false">H125</f>
        <v>8</v>
      </c>
      <c r="J125" s="1463" t="n">
        <f aca="false">H125</f>
        <v>8</v>
      </c>
      <c r="K125" s="1463" t="n">
        <f aca="false">H125</f>
        <v>8</v>
      </c>
      <c r="M125" s="1463" t="n">
        <f aca="false">C125</f>
        <v>8</v>
      </c>
      <c r="N125" s="1463" t="n">
        <f aca="false">M125</f>
        <v>8</v>
      </c>
      <c r="O125" s="1463" t="n">
        <f aca="false">M125</f>
        <v>8</v>
      </c>
      <c r="P125" s="1463" t="n">
        <f aca="false">M125</f>
        <v>8</v>
      </c>
      <c r="AE125" s="1467"/>
      <c r="AF125" s="1467"/>
    </row>
    <row r="126" s="1275" customFormat="true" ht="14.1" hidden="false" customHeight="true" outlineLevel="0" collapsed="false">
      <c r="A126" s="1313" t="s">
        <v>208</v>
      </c>
      <c r="B126" s="1338"/>
      <c r="C126" s="1469" t="n">
        <f aca="false">'Ввод данных'!C10</f>
        <v>8</v>
      </c>
      <c r="D126" s="1469" t="n">
        <f aca="false">C126</f>
        <v>8</v>
      </c>
      <c r="E126" s="1469" t="n">
        <f aca="false">C126</f>
        <v>8</v>
      </c>
      <c r="F126" s="1469" t="n">
        <f aca="false">C126</f>
        <v>8</v>
      </c>
      <c r="G126" s="1328"/>
      <c r="H126" s="1463" t="n">
        <f aca="false">C126</f>
        <v>8</v>
      </c>
      <c r="I126" s="1463" t="n">
        <f aca="false">H126</f>
        <v>8</v>
      </c>
      <c r="J126" s="1463" t="n">
        <f aca="false">H126</f>
        <v>8</v>
      </c>
      <c r="K126" s="1463" t="n">
        <f aca="false">H126</f>
        <v>8</v>
      </c>
      <c r="M126" s="1463" t="n">
        <f aca="false">C126</f>
        <v>8</v>
      </c>
      <c r="N126" s="1463" t="n">
        <f aca="false">M126</f>
        <v>8</v>
      </c>
      <c r="O126" s="1463" t="n">
        <f aca="false">M126</f>
        <v>8</v>
      </c>
      <c r="P126" s="1463" t="n">
        <f aca="false">M126</f>
        <v>8</v>
      </c>
      <c r="AE126" s="1467"/>
      <c r="AF126" s="1467"/>
    </row>
    <row r="127" s="1275" customFormat="true" ht="14.1" hidden="false" customHeight="true" outlineLevel="0" collapsed="false">
      <c r="A127" s="1313" t="str">
        <f aca="false">'Ввод данных'!A11</f>
        <v>Высота 1-го этажа</v>
      </c>
      <c r="B127" s="1338"/>
      <c r="C127" s="1469" t="n">
        <f aca="false">'Ввод данных'!C11</f>
        <v>2.8</v>
      </c>
      <c r="D127" s="1469" t="n">
        <f aca="false">C127</f>
        <v>2.8</v>
      </c>
      <c r="E127" s="1469" t="n">
        <f aca="false">C127</f>
        <v>2.8</v>
      </c>
      <c r="F127" s="1469" t="n">
        <f aca="false">C127</f>
        <v>2.8</v>
      </c>
      <c r="G127" s="1328"/>
      <c r="H127" s="1463" t="n">
        <f aca="false">C127</f>
        <v>2.8</v>
      </c>
      <c r="I127" s="1463" t="n">
        <f aca="false">H127</f>
        <v>2.8</v>
      </c>
      <c r="J127" s="1463" t="n">
        <f aca="false">H127</f>
        <v>2.8</v>
      </c>
      <c r="K127" s="1463" t="n">
        <f aca="false">H127</f>
        <v>2.8</v>
      </c>
      <c r="M127" s="1463" t="n">
        <f aca="false">C127</f>
        <v>2.8</v>
      </c>
      <c r="N127" s="1463" t="n">
        <f aca="false">M127</f>
        <v>2.8</v>
      </c>
      <c r="O127" s="1463" t="n">
        <f aca="false">M127</f>
        <v>2.8</v>
      </c>
      <c r="P127" s="1463" t="n">
        <f aca="false">M127</f>
        <v>2.8</v>
      </c>
      <c r="AE127" s="1467"/>
      <c r="AF127" s="1467"/>
    </row>
    <row r="128" s="1275" customFormat="true" ht="14.1" hidden="false" customHeight="true" outlineLevel="0" collapsed="false">
      <c r="A128" s="1281" t="s">
        <v>19</v>
      </c>
      <c r="B128" s="1338"/>
      <c r="C128" s="1469" t="n">
        <f aca="false">дома!C19</f>
        <v>2.8</v>
      </c>
      <c r="D128" s="1469" t="n">
        <f aca="false">C128</f>
        <v>2.8</v>
      </c>
      <c r="E128" s="1469" t="n">
        <f aca="false">C128</f>
        <v>2.8</v>
      </c>
      <c r="F128" s="1469" t="n">
        <f aca="false">C128</f>
        <v>2.8</v>
      </c>
      <c r="G128" s="1328"/>
      <c r="H128" s="1463" t="n">
        <f aca="false">C128</f>
        <v>2.8</v>
      </c>
      <c r="I128" s="1463" t="n">
        <f aca="false">H128</f>
        <v>2.8</v>
      </c>
      <c r="J128" s="1463" t="n">
        <f aca="false">H128</f>
        <v>2.8</v>
      </c>
      <c r="K128" s="1463" t="n">
        <f aca="false">H128</f>
        <v>2.8</v>
      </c>
      <c r="M128" s="1463" t="n">
        <f aca="false">C128</f>
        <v>2.8</v>
      </c>
      <c r="N128" s="1463" t="n">
        <f aca="false">M128</f>
        <v>2.8</v>
      </c>
      <c r="O128" s="1463" t="n">
        <f aca="false">M128</f>
        <v>2.8</v>
      </c>
      <c r="P128" s="1463" t="n">
        <f aca="false">M128</f>
        <v>2.8</v>
      </c>
      <c r="AE128" s="1467"/>
      <c r="AF128" s="1467"/>
    </row>
    <row r="129" s="1275" customFormat="true" ht="14.1" hidden="false" customHeight="true" outlineLevel="0" collapsed="false">
      <c r="A129" s="1194" t="s">
        <v>2868</v>
      </c>
      <c r="B129" s="1338"/>
      <c r="C129" s="1469" t="n">
        <f aca="false">дома!C20</f>
        <v>2.8</v>
      </c>
      <c r="D129" s="1469" t="n">
        <f aca="false">C129</f>
        <v>2.8</v>
      </c>
      <c r="E129" s="1469" t="n">
        <f aca="false">C129</f>
        <v>2.8</v>
      </c>
      <c r="F129" s="1469" t="n">
        <f aca="false">C129</f>
        <v>2.8</v>
      </c>
      <c r="G129" s="1328"/>
      <c r="H129" s="1463" t="n">
        <f aca="false">C129</f>
        <v>2.8</v>
      </c>
      <c r="I129" s="1463" t="n">
        <f aca="false">H129</f>
        <v>2.8</v>
      </c>
      <c r="J129" s="1463" t="n">
        <f aca="false">H129</f>
        <v>2.8</v>
      </c>
      <c r="K129" s="1463" t="n">
        <f aca="false">H129</f>
        <v>2.8</v>
      </c>
      <c r="M129" s="1463" t="n">
        <f aca="false">C129</f>
        <v>2.8</v>
      </c>
      <c r="N129" s="1463" t="n">
        <f aca="false">M129</f>
        <v>2.8</v>
      </c>
      <c r="O129" s="1463" t="n">
        <f aca="false">M129</f>
        <v>2.8</v>
      </c>
      <c r="P129" s="1463" t="n">
        <f aca="false">M129</f>
        <v>2.8</v>
      </c>
      <c r="AE129" s="1467"/>
      <c r="AF129" s="1467"/>
    </row>
    <row r="130" s="1275" customFormat="true" ht="14.1" hidden="false" customHeight="true" outlineLevel="0" collapsed="false">
      <c r="A130" s="1313" t="str">
        <f aca="false">'Ввод данных'!A12</f>
        <v>Высота 2-го этажа</v>
      </c>
      <c r="B130" s="1338"/>
      <c r="C130" s="1469" t="n">
        <f aca="false">дома!C21</f>
        <v>2.6</v>
      </c>
      <c r="D130" s="1469" t="n">
        <f aca="false">C130</f>
        <v>2.6</v>
      </c>
      <c r="E130" s="1469" t="n">
        <f aca="false">C130</f>
        <v>2.6</v>
      </c>
      <c r="F130" s="1469" t="n">
        <f aca="false">C130</f>
        <v>2.6</v>
      </c>
      <c r="G130" s="1328"/>
      <c r="H130" s="1463" t="n">
        <f aca="false">C130</f>
        <v>2.6</v>
      </c>
      <c r="I130" s="1463" t="n">
        <f aca="false">H130</f>
        <v>2.6</v>
      </c>
      <c r="J130" s="1463" t="n">
        <f aca="false">H130</f>
        <v>2.6</v>
      </c>
      <c r="K130" s="1463" t="n">
        <f aca="false">H130</f>
        <v>2.6</v>
      </c>
      <c r="M130" s="1463" t="n">
        <f aca="false">C130</f>
        <v>2.6</v>
      </c>
      <c r="N130" s="1463" t="n">
        <f aca="false">M130</f>
        <v>2.6</v>
      </c>
      <c r="O130" s="1463" t="n">
        <f aca="false">M130</f>
        <v>2.6</v>
      </c>
      <c r="P130" s="1463" t="n">
        <f aca="false">M130</f>
        <v>2.6</v>
      </c>
      <c r="AE130" s="1467"/>
      <c r="AF130" s="1467"/>
    </row>
    <row r="131" s="1275" customFormat="true" ht="14.1" hidden="false" customHeight="true" outlineLevel="0" collapsed="false">
      <c r="A131" s="1313" t="str">
        <f aca="false">связи1!F235</f>
        <v>Высота от перекрытя 1-го эт. до конька</v>
      </c>
      <c r="B131" s="1338"/>
      <c r="C131" s="1469" t="n">
        <f aca="false">дома!C22</f>
        <v>5</v>
      </c>
      <c r="D131" s="1469" t="n">
        <f aca="false">C131</f>
        <v>5</v>
      </c>
      <c r="E131" s="1469" t="n">
        <f aca="false">C131</f>
        <v>5</v>
      </c>
      <c r="F131" s="1469" t="n">
        <f aca="false">C131</f>
        <v>5</v>
      </c>
      <c r="G131" s="1328"/>
      <c r="H131" s="1463" t="n">
        <f aca="false">C131</f>
        <v>5</v>
      </c>
      <c r="I131" s="1463" t="n">
        <f aca="false">H131</f>
        <v>5</v>
      </c>
      <c r="J131" s="1463" t="n">
        <f aca="false">H131</f>
        <v>5</v>
      </c>
      <c r="K131" s="1463" t="n">
        <f aca="false">H131</f>
        <v>5</v>
      </c>
      <c r="M131" s="1463" t="n">
        <f aca="false">C131</f>
        <v>5</v>
      </c>
      <c r="N131" s="1463" t="n">
        <f aca="false">M131</f>
        <v>5</v>
      </c>
      <c r="O131" s="1463" t="n">
        <f aca="false">M131</f>
        <v>5</v>
      </c>
      <c r="P131" s="1463" t="n">
        <f aca="false">M131</f>
        <v>5</v>
      </c>
      <c r="AE131" s="1467"/>
      <c r="AF131" s="1467"/>
    </row>
    <row r="132" s="1275" customFormat="true" ht="14.1" hidden="false" customHeight="true" outlineLevel="0" collapsed="false">
      <c r="A132" s="1313" t="str">
        <f aca="false">связи1!F236</f>
        <v>Аттиковая стена, мансардный 2 этаж</v>
      </c>
      <c r="B132" s="1338"/>
      <c r="C132" s="1469" t="n">
        <f aca="false">дома!C23</f>
        <v>1.6</v>
      </c>
      <c r="D132" s="1469" t="n">
        <f aca="false">C132</f>
        <v>1.6</v>
      </c>
      <c r="E132" s="1469" t="n">
        <f aca="false">C132</f>
        <v>1.6</v>
      </c>
      <c r="F132" s="1469" t="n">
        <f aca="false">C132</f>
        <v>1.6</v>
      </c>
      <c r="G132" s="1328"/>
      <c r="H132" s="1463" t="n">
        <f aca="false">C132</f>
        <v>1.6</v>
      </c>
      <c r="I132" s="1463" t="n">
        <f aca="false">H132</f>
        <v>1.6</v>
      </c>
      <c r="J132" s="1463" t="n">
        <f aca="false">H132</f>
        <v>1.6</v>
      </c>
      <c r="K132" s="1463" t="n">
        <f aca="false">H132</f>
        <v>1.6</v>
      </c>
      <c r="M132" s="1463" t="n">
        <f aca="false">C132</f>
        <v>1.6</v>
      </c>
      <c r="N132" s="1463" t="n">
        <f aca="false">M132</f>
        <v>1.6</v>
      </c>
      <c r="O132" s="1463" t="n">
        <f aca="false">M132</f>
        <v>1.6</v>
      </c>
      <c r="P132" s="1463" t="n">
        <f aca="false">M132</f>
        <v>1.6</v>
      </c>
      <c r="AE132" s="1467"/>
      <c r="AF132" s="1467"/>
    </row>
    <row r="133" s="1275" customFormat="true" ht="14.1" hidden="false" customHeight="true" outlineLevel="0" collapsed="false">
      <c r="A133" s="1483" t="s">
        <v>2869</v>
      </c>
      <c r="B133" s="1370"/>
      <c r="C133" s="1371" t="n">
        <f aca="false">дома!C1124</f>
        <v>0.64764842009554</v>
      </c>
      <c r="D133" s="1371" t="n">
        <f aca="false">дома!C1124</f>
        <v>0.64764842009554</v>
      </c>
      <c r="E133" s="1371" t="n">
        <f aca="false">дома!C1124</f>
        <v>0.64764842009554</v>
      </c>
      <c r="F133" s="1371" t="n">
        <f aca="false">дома!C1124</f>
        <v>0.64764842009554</v>
      </c>
      <c r="G133" s="1328"/>
      <c r="H133" s="1484" t="n">
        <f aca="false">C133</f>
        <v>0.64764842009554</v>
      </c>
      <c r="I133" s="1484" t="n">
        <f aca="false">H133</f>
        <v>0.64764842009554</v>
      </c>
      <c r="J133" s="1484" t="n">
        <f aca="false">H133</f>
        <v>0.64764842009554</v>
      </c>
      <c r="K133" s="1484" t="n">
        <f aca="false">H133</f>
        <v>0.64764842009554</v>
      </c>
      <c r="M133" s="1484" t="n">
        <f aca="false">C133</f>
        <v>0.64764842009554</v>
      </c>
      <c r="N133" s="1484" t="n">
        <f aca="false">M133</f>
        <v>0.64764842009554</v>
      </c>
      <c r="O133" s="1484" t="n">
        <f aca="false">M133</f>
        <v>0.64764842009554</v>
      </c>
      <c r="P133" s="1484" t="n">
        <f aca="false">M133</f>
        <v>0.64764842009554</v>
      </c>
      <c r="AE133" s="1467"/>
      <c r="AF133" s="1467"/>
    </row>
    <row r="134" s="1275" customFormat="true" ht="14.1" hidden="false" customHeight="true" outlineLevel="0" collapsed="false">
      <c r="A134" s="1313" t="s">
        <v>2870</v>
      </c>
      <c r="B134" s="1338"/>
      <c r="C134" s="1469" t="n">
        <f aca="false">дома!B1115*дома!C1124</f>
        <v>0.64764842009554</v>
      </c>
      <c r="D134" s="1469" t="n">
        <f aca="false">C134</f>
        <v>0.64764842009554</v>
      </c>
      <c r="E134" s="1469" t="n">
        <f aca="false">C134</f>
        <v>0.64764842009554</v>
      </c>
      <c r="F134" s="1469" t="n">
        <f aca="false">C134</f>
        <v>0.64764842009554</v>
      </c>
      <c r="G134" s="1328"/>
      <c r="H134" s="1463" t="n">
        <f aca="false">C134</f>
        <v>0.64764842009554</v>
      </c>
      <c r="I134" s="1463" t="n">
        <f aca="false">H134</f>
        <v>0.64764842009554</v>
      </c>
      <c r="J134" s="1463" t="n">
        <f aca="false">H134</f>
        <v>0.64764842009554</v>
      </c>
      <c r="K134" s="1463" t="n">
        <f aca="false">H134</f>
        <v>0.64764842009554</v>
      </c>
      <c r="M134" s="1463" t="n">
        <f aca="false">C134</f>
        <v>0.64764842009554</v>
      </c>
      <c r="N134" s="1463" t="n">
        <f aca="false">M134</f>
        <v>0.64764842009554</v>
      </c>
      <c r="O134" s="1463" t="n">
        <f aca="false">M134</f>
        <v>0.64764842009554</v>
      </c>
      <c r="P134" s="1463" t="n">
        <f aca="false">M134</f>
        <v>0.64764842009554</v>
      </c>
      <c r="AE134" s="1467"/>
      <c r="AF134" s="1467"/>
    </row>
    <row r="135" s="1275" customFormat="true" ht="14.1" hidden="false" customHeight="true" outlineLevel="0" collapsed="false">
      <c r="A135" s="1313" t="s">
        <v>2871</v>
      </c>
      <c r="B135" s="1338"/>
      <c r="C135" s="1469" t="n">
        <f aca="false">дома!I1115*дома!F1124*дома!F1124</f>
        <v>0</v>
      </c>
      <c r="D135" s="1469" t="n">
        <f aca="false">C135</f>
        <v>0</v>
      </c>
      <c r="E135" s="1469" t="n">
        <f aca="false">C135</f>
        <v>0</v>
      </c>
      <c r="F135" s="1469" t="n">
        <f aca="false">C135</f>
        <v>0</v>
      </c>
      <c r="G135" s="1328"/>
      <c r="H135" s="1463" t="n">
        <f aca="false">C135</f>
        <v>0</v>
      </c>
      <c r="I135" s="1463" t="n">
        <f aca="false">H135</f>
        <v>0</v>
      </c>
      <c r="J135" s="1463" t="n">
        <f aca="false">H135</f>
        <v>0</v>
      </c>
      <c r="K135" s="1463" t="n">
        <f aca="false">H135</f>
        <v>0</v>
      </c>
      <c r="M135" s="1463" t="n">
        <f aca="false">C135</f>
        <v>0</v>
      </c>
      <c r="N135" s="1463" t="n">
        <f aca="false">M135</f>
        <v>0</v>
      </c>
      <c r="O135" s="1463" t="n">
        <f aca="false">M135</f>
        <v>0</v>
      </c>
      <c r="P135" s="1463" t="n">
        <f aca="false">M135</f>
        <v>0</v>
      </c>
      <c r="AE135" s="1467"/>
      <c r="AF135" s="1467"/>
    </row>
    <row r="136" s="1275" customFormat="true" ht="14.1" hidden="false" customHeight="true" outlineLevel="0" collapsed="false">
      <c r="A136" s="1313" t="s">
        <v>2872</v>
      </c>
      <c r="B136" s="1338"/>
      <c r="C136" s="1469" t="n">
        <f aca="false">дома!I1115*дома!F1126*дома!F1126</f>
        <v>0</v>
      </c>
      <c r="D136" s="1469" t="n">
        <f aca="false">C136</f>
        <v>0</v>
      </c>
      <c r="E136" s="1469" t="n">
        <f aca="false">C136</f>
        <v>0</v>
      </c>
      <c r="F136" s="1469" t="n">
        <f aca="false">C136</f>
        <v>0</v>
      </c>
      <c r="G136" s="1328"/>
      <c r="H136" s="1463" t="n">
        <f aca="false">C136</f>
        <v>0</v>
      </c>
      <c r="I136" s="1463" t="n">
        <f aca="false">H136</f>
        <v>0</v>
      </c>
      <c r="J136" s="1463" t="n">
        <f aca="false">H136</f>
        <v>0</v>
      </c>
      <c r="K136" s="1463" t="n">
        <f aca="false">H136</f>
        <v>0</v>
      </c>
      <c r="M136" s="1463" t="n">
        <f aca="false">C136</f>
        <v>0</v>
      </c>
      <c r="N136" s="1463" t="n">
        <f aca="false">M136</f>
        <v>0</v>
      </c>
      <c r="O136" s="1463" t="n">
        <f aca="false">M136</f>
        <v>0</v>
      </c>
      <c r="P136" s="1463" t="n">
        <f aca="false">M136</f>
        <v>0</v>
      </c>
      <c r="AE136" s="1467"/>
      <c r="AF136" s="1467"/>
    </row>
    <row r="137" s="1275" customFormat="true" ht="14.1" hidden="false" customHeight="true" outlineLevel="0" collapsed="false">
      <c r="A137" s="1313" t="s">
        <v>2873</v>
      </c>
      <c r="B137" s="1338"/>
      <c r="C137" s="1469" t="n">
        <f aca="false">дома!L1115*дома!J1124</f>
        <v>0</v>
      </c>
      <c r="D137" s="1469" t="n">
        <f aca="false">C137</f>
        <v>0</v>
      </c>
      <c r="E137" s="1469" t="n">
        <f aca="false">C137</f>
        <v>0</v>
      </c>
      <c r="F137" s="1469" t="n">
        <f aca="false">C137</f>
        <v>0</v>
      </c>
      <c r="G137" s="1328"/>
      <c r="H137" s="1463" t="n">
        <f aca="false">C137</f>
        <v>0</v>
      </c>
      <c r="I137" s="1463" t="n">
        <f aca="false">H137</f>
        <v>0</v>
      </c>
      <c r="J137" s="1463" t="n">
        <f aca="false">H137</f>
        <v>0</v>
      </c>
      <c r="K137" s="1463" t="n">
        <f aca="false">H137</f>
        <v>0</v>
      </c>
      <c r="M137" s="1463" t="n">
        <f aca="false">C137</f>
        <v>0</v>
      </c>
      <c r="N137" s="1463" t="n">
        <f aca="false">M137</f>
        <v>0</v>
      </c>
      <c r="O137" s="1463" t="n">
        <f aca="false">M137</f>
        <v>0</v>
      </c>
      <c r="P137" s="1463" t="n">
        <f aca="false">M137</f>
        <v>0</v>
      </c>
      <c r="AE137" s="1467"/>
      <c r="AF137" s="1467"/>
    </row>
    <row r="138" s="1275" customFormat="true" ht="14.1" hidden="false" customHeight="true" outlineLevel="0" collapsed="false">
      <c r="A138" s="1313" t="s">
        <v>2874</v>
      </c>
      <c r="B138" s="1338"/>
      <c r="C138" s="1469" t="n">
        <f aca="false">дома!L1115*дома!J1126</f>
        <v>0</v>
      </c>
      <c r="D138" s="1469" t="n">
        <f aca="false">C138</f>
        <v>0</v>
      </c>
      <c r="E138" s="1469" t="n">
        <f aca="false">C138</f>
        <v>0</v>
      </c>
      <c r="F138" s="1469" t="n">
        <f aca="false">C138</f>
        <v>0</v>
      </c>
      <c r="G138" s="1328"/>
      <c r="H138" s="1463" t="n">
        <f aca="false">C138</f>
        <v>0</v>
      </c>
      <c r="I138" s="1463" t="n">
        <f aca="false">H138</f>
        <v>0</v>
      </c>
      <c r="J138" s="1463" t="n">
        <f aca="false">H138</f>
        <v>0</v>
      </c>
      <c r="K138" s="1463" t="n">
        <f aca="false">H138</f>
        <v>0</v>
      </c>
      <c r="M138" s="1463" t="n">
        <f aca="false">C138</f>
        <v>0</v>
      </c>
      <c r="N138" s="1463" t="n">
        <f aca="false">M138</f>
        <v>0</v>
      </c>
      <c r="O138" s="1463" t="n">
        <f aca="false">M138</f>
        <v>0</v>
      </c>
      <c r="P138" s="1463" t="n">
        <f aca="false">M138</f>
        <v>0</v>
      </c>
      <c r="AE138" s="1467"/>
      <c r="AF138" s="1467"/>
    </row>
    <row r="139" s="1275" customFormat="true" ht="14.1" hidden="false" customHeight="true" outlineLevel="0" collapsed="false">
      <c r="A139" s="1313" t="s">
        <v>2875</v>
      </c>
      <c r="B139" s="1338"/>
      <c r="C139" s="1469" t="n">
        <f aca="false">дома!L1115*дома!J1128</f>
        <v>0</v>
      </c>
      <c r="D139" s="1469" t="n">
        <f aca="false">C139</f>
        <v>0</v>
      </c>
      <c r="E139" s="1469" t="n">
        <f aca="false">C139</f>
        <v>0</v>
      </c>
      <c r="F139" s="1469" t="n">
        <f aca="false">C139</f>
        <v>0</v>
      </c>
      <c r="G139" s="1328"/>
      <c r="H139" s="1463" t="n">
        <f aca="false">C139</f>
        <v>0</v>
      </c>
      <c r="I139" s="1463" t="n">
        <f aca="false">H139</f>
        <v>0</v>
      </c>
      <c r="J139" s="1463" t="n">
        <f aca="false">H139</f>
        <v>0</v>
      </c>
      <c r="K139" s="1463" t="n">
        <f aca="false">H139</f>
        <v>0</v>
      </c>
      <c r="M139" s="1463" t="n">
        <f aca="false">C139</f>
        <v>0</v>
      </c>
      <c r="N139" s="1463" t="n">
        <f aca="false">M139</f>
        <v>0</v>
      </c>
      <c r="O139" s="1463" t="n">
        <f aca="false">M139</f>
        <v>0</v>
      </c>
      <c r="P139" s="1463" t="n">
        <f aca="false">M139</f>
        <v>0</v>
      </c>
      <c r="AE139" s="1467"/>
      <c r="AF139" s="1467"/>
    </row>
    <row r="140" s="1275" customFormat="true" ht="14.1" hidden="false" customHeight="true" outlineLevel="0" collapsed="false">
      <c r="A140" s="1452" t="s">
        <v>2876</v>
      </c>
      <c r="B140" s="1485"/>
      <c r="C140" s="1486" t="n">
        <f aca="false">IF((C39-C132)&lt;=0,C36-C129,(C39-C132))</f>
        <v>2.2</v>
      </c>
      <c r="D140" s="1486" t="n">
        <f aca="false">IF((D39-D132)&lt;=0,D36-D129,(D39-D132))</f>
        <v>0.1</v>
      </c>
      <c r="E140" s="1486" t="n">
        <f aca="false">IF((E39-E132)&lt;=0,E36-E129,(E39-E132))</f>
        <v>1.3</v>
      </c>
      <c r="F140" s="1486" t="n">
        <f aca="false">IF((F39-F132)&lt;=0,F36-F129,(F39-F132))</f>
        <v>1.2</v>
      </c>
      <c r="G140" s="1328"/>
      <c r="H140" s="1486" t="n">
        <f aca="false">IF((H39-H132)&lt;=0,H36-H129,(H39-H132))</f>
        <v>2.2</v>
      </c>
      <c r="I140" s="1486" t="n">
        <f aca="false">IF((I39-I132)&lt;=0,I36-I129,(I39-I132))</f>
        <v>0.1</v>
      </c>
      <c r="J140" s="1486" t="n">
        <f aca="false">IF((J39-J132)&lt;=0,J36-J129,(J39-J132))</f>
        <v>1.3</v>
      </c>
      <c r="K140" s="1486" t="n">
        <f aca="false">IF((K39-K132)&lt;=0,K36-K129,(K39-K132))</f>
        <v>1.2</v>
      </c>
      <c r="M140" s="1486" t="n">
        <f aca="false">IF((M39-M132)&lt;=0,M36-M129,(M39-M132))</f>
        <v>2.2</v>
      </c>
      <c r="N140" s="1486" t="n">
        <f aca="false">IF((N39-N132)&lt;=0,N36-N129,(N39-N132))</f>
        <v>0.1</v>
      </c>
      <c r="O140" s="1486" t="n">
        <f aca="false">IF((O39-O132)&lt;=0,O36-O129,(O39-O132))</f>
        <v>1.3</v>
      </c>
      <c r="P140" s="1486" t="n">
        <f aca="false">IF((P39-P132)&lt;=0,P36-P129,(P39-P132))</f>
        <v>1.2</v>
      </c>
      <c r="AE140" s="1467"/>
      <c r="AF140" s="1467"/>
    </row>
    <row r="141" s="1275" customFormat="true" ht="14.1" hidden="false" customHeight="true" outlineLevel="0" collapsed="false">
      <c r="A141" s="1487" t="s">
        <v>2877</v>
      </c>
      <c r="B141" s="1488"/>
      <c r="C141" s="1489" t="n">
        <f aca="false">'Ввод данных'!D452*C6</f>
        <v>0</v>
      </c>
      <c r="D141" s="1489" t="n">
        <f aca="false">'Ввод данных'!D456*D6</f>
        <v>0</v>
      </c>
      <c r="E141" s="1489" t="n">
        <f aca="false">'Ввод данных'!D460*E6</f>
        <v>0</v>
      </c>
      <c r="F141" s="1489" t="n">
        <f aca="false">'Ввод данных'!D464*F6</f>
        <v>0</v>
      </c>
      <c r="G141" s="1469" t="n">
        <f aca="false">C141+D141+E141+F141</f>
        <v>0</v>
      </c>
      <c r="H141" s="1489" t="n">
        <f aca="false">'Ввод данных'!D452*H6</f>
        <v>0</v>
      </c>
      <c r="I141" s="1489" t="n">
        <f aca="false">'Ввод данных'!D456*I6</f>
        <v>0</v>
      </c>
      <c r="J141" s="1489" t="n">
        <f aca="false">'Ввод данных'!D460*J6</f>
        <v>0</v>
      </c>
      <c r="K141" s="1489" t="n">
        <f aca="false">'Ввод данных'!D464*K6</f>
        <v>0</v>
      </c>
      <c r="M141" s="1489" t="n">
        <f aca="false">'Ввод данных'!D452*M6</f>
        <v>0</v>
      </c>
      <c r="N141" s="1489" t="n">
        <f aca="false">'Ввод данных'!D456*N6</f>
        <v>0</v>
      </c>
      <c r="O141" s="1489" t="n">
        <f aca="false">'Ввод данных'!D460*O6</f>
        <v>0</v>
      </c>
      <c r="P141" s="1489" t="n">
        <f aca="false">'Ввод данных'!D464*P6</f>
        <v>0</v>
      </c>
      <c r="AE141" s="1467"/>
      <c r="AF141" s="1467"/>
    </row>
    <row r="142" s="1275" customFormat="true" ht="14.1" hidden="false" customHeight="true" outlineLevel="0" collapsed="false">
      <c r="A142" s="1490" t="s">
        <v>301</v>
      </c>
      <c r="B142" s="1290"/>
      <c r="C142" s="1491" t="n">
        <f aca="false">IF('Ввод данных'!A452=связи1!A120,пристройка!C66,0)*C6</f>
        <v>0</v>
      </c>
      <c r="D142" s="1491" t="n">
        <f aca="false">IF('Ввод данных'!A456=связи1!A120,пристройка!D66,0)*D6</f>
        <v>0</v>
      </c>
      <c r="E142" s="1491" t="n">
        <f aca="false">IF('Ввод данных'!A460=связи1!A120,пристройка!E66,0)*E6</f>
        <v>0</v>
      </c>
      <c r="F142" s="1491" t="n">
        <f aca="false">IF('Ввод данных'!A464=связи1!A120,пристройка!F66,0)*F6</f>
        <v>0</v>
      </c>
      <c r="G142" s="1469" t="n">
        <f aca="false">C142+D142+E142+F142</f>
        <v>0</v>
      </c>
      <c r="H142" s="1491"/>
      <c r="I142" s="1491"/>
      <c r="J142" s="1491"/>
      <c r="K142" s="1491"/>
      <c r="M142" s="1491"/>
      <c r="N142" s="1491"/>
      <c r="O142" s="1491"/>
      <c r="P142" s="1491"/>
      <c r="AE142" s="1467"/>
      <c r="AF142" s="1467"/>
    </row>
    <row r="143" s="1275" customFormat="true" ht="14.1" hidden="false" customHeight="true" outlineLevel="0" collapsed="false">
      <c r="A143" s="1490" t="s">
        <v>313</v>
      </c>
      <c r="B143" s="1290"/>
      <c r="C143" s="1491" t="n">
        <f aca="false">IF('Ввод данных'!A452=связи1!A121,пристройка!C66,0)*C6</f>
        <v>0</v>
      </c>
      <c r="D143" s="1491" t="n">
        <f aca="false">IF('Ввод данных'!A456=связи1!A121,пристройка!D66,0)*D6</f>
        <v>0</v>
      </c>
      <c r="E143" s="1491" t="n">
        <f aca="false">IF('Ввод данных'!A460=связи1!A121,пристройка!E66,0)*E6</f>
        <v>0</v>
      </c>
      <c r="F143" s="1491" t="n">
        <f aca="false">IF('Ввод данных'!A464=связи1!A121,пристройка!F66,0)*F6</f>
        <v>0</v>
      </c>
      <c r="G143" s="1469" t="n">
        <f aca="false">C143+D143+E143+F143</f>
        <v>0</v>
      </c>
      <c r="H143" s="1491"/>
      <c r="I143" s="1491"/>
      <c r="J143" s="1491"/>
      <c r="K143" s="1491"/>
      <c r="M143" s="1491"/>
      <c r="N143" s="1491"/>
      <c r="O143" s="1491"/>
      <c r="P143" s="1491"/>
      <c r="AE143" s="1467"/>
      <c r="AF143" s="1467"/>
    </row>
    <row r="144" s="1275" customFormat="true" ht="14.1" hidden="false" customHeight="true" outlineLevel="0" collapsed="false">
      <c r="A144" s="1492" t="s">
        <v>2878</v>
      </c>
      <c r="B144" s="1290"/>
      <c r="C144" s="1491" t="n">
        <f aca="false">IF('Ввод данных'!A452=связи1!A123,пристройка!C66,0)*C6</f>
        <v>0</v>
      </c>
      <c r="D144" s="1491" t="n">
        <f aca="false">IF('Ввод данных'!A456=связи1!A123,пристройка!D66,0)*D6</f>
        <v>0</v>
      </c>
      <c r="E144" s="1491" t="n">
        <f aca="false">IF('Ввод данных'!A460=связи1!A123,пристройка!E66,0)*E6</f>
        <v>0</v>
      </c>
      <c r="F144" s="1491" t="n">
        <f aca="false">IF('Ввод данных'!A464=связи1!A123,пристройка!F66,0)*F6</f>
        <v>0</v>
      </c>
      <c r="G144" s="1469" t="n">
        <f aca="false">C144+D144+E144+F144</f>
        <v>0</v>
      </c>
      <c r="H144" s="1491"/>
      <c r="I144" s="1491"/>
      <c r="J144" s="1491"/>
      <c r="K144" s="1491"/>
      <c r="M144" s="1491"/>
      <c r="N144" s="1491"/>
      <c r="O144" s="1491"/>
      <c r="P144" s="1491"/>
      <c r="AE144" s="1467"/>
      <c r="AF144" s="1467"/>
    </row>
    <row r="145" s="1275" customFormat="true" ht="14.1" hidden="false" customHeight="true" outlineLevel="0" collapsed="false">
      <c r="A145" s="1492" t="s">
        <v>2879</v>
      </c>
      <c r="B145" s="1290"/>
      <c r="C145" s="1491" t="n">
        <f aca="false">IF('Ввод данных'!A452=связи1!A122,пристройка!C66,0)*C6</f>
        <v>0</v>
      </c>
      <c r="D145" s="1491" t="n">
        <f aca="false">IF('Ввод данных'!A456=связи1!A122,пристройка!D66,0)*D6</f>
        <v>0</v>
      </c>
      <c r="E145" s="1491" t="n">
        <f aca="false">IF('Ввод данных'!A460=связи1!A122,пристройка!E66,0)*E6</f>
        <v>0</v>
      </c>
      <c r="F145" s="1491" t="n">
        <f aca="false">IF('Ввод данных'!A464=связи1!A122,пристройка!F66,0)*F6</f>
        <v>0</v>
      </c>
      <c r="G145" s="1469" t="n">
        <f aca="false">C145+D145+E145+F145</f>
        <v>0</v>
      </c>
      <c r="H145" s="1491"/>
      <c r="I145" s="1491"/>
      <c r="J145" s="1491"/>
      <c r="K145" s="1491"/>
      <c r="M145" s="1493"/>
      <c r="N145" s="1493"/>
      <c r="O145" s="1493"/>
      <c r="P145" s="1493"/>
      <c r="AE145" s="1467"/>
      <c r="AF145" s="1467"/>
    </row>
    <row r="146" s="1275" customFormat="true" ht="14.1" hidden="false" customHeight="true" outlineLevel="0" collapsed="false">
      <c r="A146" s="1492" t="s">
        <v>2420</v>
      </c>
      <c r="B146" s="1290"/>
      <c r="C146" s="1491" t="n">
        <f aca="false">IF('Ввод данных'!A452=связи1!A124,пристройка!C66,0)*C6</f>
        <v>0</v>
      </c>
      <c r="D146" s="1491" t="n">
        <f aca="false">IF('Ввод данных'!A456=связи1!A124,пристройка!D66,0)*D6</f>
        <v>0</v>
      </c>
      <c r="E146" s="1491" t="n">
        <f aca="false">IF('Ввод данных'!A460=связи1!A124,пристройка!E66,0)*E6</f>
        <v>0</v>
      </c>
      <c r="F146" s="1491" t="n">
        <f aca="false">IF('Ввод данных'!A464=связи1!A124,пристройка!F66,0)*F6</f>
        <v>0</v>
      </c>
      <c r="G146" s="1469" t="n">
        <f aca="false">C146+D146+E146+F146</f>
        <v>0</v>
      </c>
      <c r="H146" s="1491"/>
      <c r="I146" s="1491"/>
      <c r="J146" s="1491"/>
      <c r="K146" s="1491"/>
      <c r="M146" s="1493"/>
      <c r="N146" s="1493"/>
      <c r="O146" s="1493"/>
      <c r="P146" s="1493"/>
      <c r="AE146" s="1467"/>
      <c r="AF146" s="1467"/>
    </row>
    <row r="147" s="1275" customFormat="true" ht="14.1" hidden="false" customHeight="true" outlineLevel="0" collapsed="false">
      <c r="A147" s="1494" t="s">
        <v>294</v>
      </c>
      <c r="B147" s="1488"/>
      <c r="C147" s="1489" t="n">
        <f aca="false">IF('Ввод данных'!A452=связи1!A125,пристройка!C66,0)*C6</f>
        <v>0</v>
      </c>
      <c r="D147" s="1489" t="n">
        <f aca="false">IF('Ввод данных'!A456=связи1!A125,пристройка!D66,0)*D6</f>
        <v>0</v>
      </c>
      <c r="E147" s="1489" t="n">
        <f aca="false">IF('Ввод данных'!A460=связи1!A125,пристройка!E66,0)*E6</f>
        <v>0</v>
      </c>
      <c r="F147" s="1489" t="n">
        <f aca="false">IF('Ввод данных'!B464=связи1!B125,пристройка!F66,0)*F6</f>
        <v>0</v>
      </c>
      <c r="G147" s="1469" t="n">
        <f aca="false">C147+D147+E147+F147</f>
        <v>0</v>
      </c>
      <c r="H147" s="1489"/>
      <c r="I147" s="1489"/>
      <c r="J147" s="1489"/>
      <c r="K147" s="1489"/>
      <c r="M147" s="1495"/>
      <c r="N147" s="1495"/>
      <c r="O147" s="1495"/>
      <c r="P147" s="1495"/>
      <c r="AE147" s="1467"/>
      <c r="AF147" s="1467"/>
    </row>
    <row r="148" s="1499" customFormat="true" ht="14.1" hidden="false" customHeight="true" outlineLevel="0" collapsed="false">
      <c r="A148" s="1496" t="s">
        <v>2880</v>
      </c>
      <c r="B148" s="1497"/>
      <c r="C148" s="1498"/>
      <c r="D148" s="1498"/>
      <c r="E148" s="1498"/>
      <c r="F148" s="1498"/>
      <c r="G148" s="1498" t="n">
        <f aca="false">SUM(G142:G147)</f>
        <v>0</v>
      </c>
      <c r="H148" s="1498"/>
      <c r="I148" s="1498"/>
      <c r="J148" s="1498"/>
      <c r="K148" s="1498"/>
      <c r="M148" s="1500"/>
      <c r="N148" s="1500"/>
      <c r="O148" s="1500"/>
      <c r="P148" s="1500"/>
      <c r="AE148" s="1501"/>
      <c r="AF148" s="1501"/>
    </row>
    <row r="149" s="1275" customFormat="true" ht="14.1" hidden="false" customHeight="true" outlineLevel="0" collapsed="false">
      <c r="A149" s="1502" t="s">
        <v>2881</v>
      </c>
      <c r="B149" s="1485"/>
      <c r="C149" s="1486" t="n">
        <f aca="false">IF('Ввод данных'!A452=связи1!A125,IF(C39=0,пристройка!C141*пристройка!C36,пристройка!C141*пристройка!C39),0)*C6+IF('Ввод данных'!A452=связи1!A121,IF(C39=0,пристройка!C141*пристройка!C36,пристройка!C141*пристройка!C39),0)*C6</f>
        <v>0</v>
      </c>
      <c r="D149" s="1486" t="n">
        <f aca="false">IF('Ввод данных'!A456=связи1!A125,IF(D39=0,пристройка!D141*пристройка!D36,пристройка!D141*пристройка!D39),0)*D6+IF('Ввод данных'!A456=связи1!A121,IF(D39=0,пристройка!D141*пристройка!D36,пристройка!D141*пристройка!D39),0)*D6</f>
        <v>0</v>
      </c>
      <c r="E149" s="1486" t="n">
        <f aca="false">IF('Ввод данных'!A460=связи1!A125,IF(E39=0,пристройка!E141*пристройка!E36,пристройка!E141*пристройка!E39),0)*E6+IF('Ввод данных'!A460=связи1!A121,IF(E39=0,пристройка!E141*пристройка!E36,пристройка!E141*пристройка!E39),0)*E6</f>
        <v>0</v>
      </c>
      <c r="F149" s="1486" t="n">
        <f aca="false">IF('Ввод данных'!A464=связи1!A125,IF(F39=0,пристройка!F141*пристройка!F36,пристройка!F141*пристройка!F39),0)*F6+IF('Ввод данных'!A464=связи1!A121,IF(F39=0,пристройка!F141*пристройка!F36,пристройка!F141*пристройка!F39),0)*F6</f>
        <v>0</v>
      </c>
      <c r="G149" s="1469" t="n">
        <f aca="false">C149+D149+E149+F149</f>
        <v>0</v>
      </c>
      <c r="H149" s="1486" t="n">
        <f aca="false">IF('Ввод данных'!A452=связи1!A125,IF(H39=0,пристройка!H141*пристройка!H37,пристройка!H141*(пристройка!H37+пристройка!H40)),0)*H6+IF('Ввод данных'!A452=связи1!A121,IF(H39=0,пристройка!H141*пристройка!H37,пристройка!H141*(пристройка!H37+пристройка!H40)),0)*H6</f>
        <v>0</v>
      </c>
      <c r="I149" s="1486" t="n">
        <f aca="false">IF('Ввод данных'!A456=связи1!A125,IF(I39=0,пристройка!I141*пристройка!I37,пристройка!I141*(пристройка!I37+пристройка!I40)),0)*I6+IF('Ввод данных'!A456=связи1!A121,IF(I39=0,пристройка!I141*пристройка!I37,пристройка!I141*(пристройка!I37+пристройка!I40)),0)*I6</f>
        <v>0</v>
      </c>
      <c r="J149" s="1486" t="n">
        <f aca="false">IF('Ввод данных'!A460=связи1!A125,IF(J39=0,пристройка!J141*пристройка!J37,пристройка!J141*(пристройка!J37+пристройка!J40)),0)*J6+IF('Ввод данных'!A460=связи1!A121,IF(J39=0,пристройка!J141*пристройка!J37,пристройка!J141*(пристройка!J37+пристройка!J40)),0)*J6</f>
        <v>0</v>
      </c>
      <c r="K149" s="1486" t="n">
        <f aca="false">IF('Ввод данных'!A464=связи1!A125,IF(K39=0,пристройка!K141*пристройка!K37,пристройка!K141*(пристройка!K37+пристройка!K40)),0)*K6+IF('Ввод данных'!A464=связи1!A121,IF(K39=0,пристройка!K141*пристройка!K37,пристройка!K141*(пристройка!K37+пристройка!K40)),0)*K6</f>
        <v>0</v>
      </c>
      <c r="L149" s="1469" t="n">
        <f aca="false">H149+I149+J149+K149</f>
        <v>0</v>
      </c>
      <c r="M149" s="1486" t="n">
        <f aca="false">IF('Ввод данных'!A452=связи1!A125,IF(M39=0,пристройка!M141*пристройка!M36,пристройка!M141*пристройка!M39),0)*M6+IF('Ввод данных'!A452=связи1!A121,IF(M39=0,пристройка!M141*пристройка!M36,пристройка!M141*пристройка!M39),0)*M6</f>
        <v>0</v>
      </c>
      <c r="N149" s="1486" t="n">
        <f aca="false">IF('Ввод данных'!A456=связи1!A125,IF(N39=0,пристройка!N141*пристройка!N36,пристройка!N141*пристройка!N39),0)*N6+IF('Ввод данных'!A456=связи1!A121,IF(N39=0,пристройка!N141*пристройка!N36,пристройка!N141*пристройка!N39),0)*N6</f>
        <v>0</v>
      </c>
      <c r="O149" s="1486" t="n">
        <f aca="false">IF('Ввод данных'!A460=связи1!A125,IF(O39=0,пристройка!O141*пристройка!O36,пристройка!O141*пристройка!O39),0)*O6+IF('Ввод данных'!A460=связи1!A121,IF(O39=0,пристройка!O141*пристройка!O36,пристройка!O141*пристройка!O39),0)*O6</f>
        <v>0</v>
      </c>
      <c r="P149" s="1486" t="n">
        <f aca="false">IF('Ввод данных'!A464=связи1!A125,IF(P39=0,пристройка!P141*пристройка!P36,пристройка!P141*пристройка!P39),0)*P6+IF('Ввод данных'!A464=связи1!A121,IF(P39=0,пристройка!P141*пристройка!P36,пристройка!P141*пристройка!P39),0)*P6</f>
        <v>0</v>
      </c>
      <c r="Q149" s="1328" t="n">
        <f aca="false">M149+N149+O149+P149</f>
        <v>0</v>
      </c>
      <c r="R149" s="1328" t="n">
        <f aca="false">G149+L149+Q149</f>
        <v>0</v>
      </c>
      <c r="AE149" s="1467"/>
      <c r="AF149" s="1467"/>
    </row>
    <row r="150" s="1275" customFormat="true" ht="14.1" hidden="false" customHeight="true" outlineLevel="0" collapsed="false">
      <c r="A150" s="1494" t="s">
        <v>2882</v>
      </c>
      <c r="B150" s="1488"/>
      <c r="C150" s="1489" t="n">
        <f aca="false">H150</f>
        <v>2</v>
      </c>
      <c r="D150" s="1489" t="n">
        <f aca="false">I150</f>
        <v>2</v>
      </c>
      <c r="E150" s="1489" t="n">
        <f aca="false">J150</f>
        <v>2</v>
      </c>
      <c r="F150" s="1489" t="n">
        <f aca="false">K150</f>
        <v>2</v>
      </c>
      <c r="G150" s="1466"/>
      <c r="H150" s="1489" t="n">
        <f aca="false">VLOOKUP('Ввод данных'!A17,связи1!A94:B98,2,0)</f>
        <v>2</v>
      </c>
      <c r="I150" s="1489" t="n">
        <f aca="false">VLOOKUP('Ввод данных'!A17,связи1!A94:B98,2,0)</f>
        <v>2</v>
      </c>
      <c r="J150" s="1489" t="n">
        <f aca="false">VLOOKUP('Ввод данных'!A17,связи1!A94:B98,2,0)</f>
        <v>2</v>
      </c>
      <c r="K150" s="1489" t="n">
        <f aca="false">VLOOKUP('Ввод данных'!A17,связи1!A94:B98,2,0)</f>
        <v>2</v>
      </c>
      <c r="L150" s="1469"/>
      <c r="M150" s="1495" t="n">
        <f aca="false">H150</f>
        <v>2</v>
      </c>
      <c r="N150" s="1495" t="n">
        <f aca="false">I150</f>
        <v>2</v>
      </c>
      <c r="O150" s="1495" t="n">
        <f aca="false">J150</f>
        <v>2</v>
      </c>
      <c r="P150" s="1495" t="n">
        <f aca="false">K150</f>
        <v>2</v>
      </c>
      <c r="AE150" s="1467"/>
      <c r="AF150" s="1467"/>
    </row>
    <row r="151" s="1275" customFormat="true" ht="14.1" hidden="false" customHeight="true" outlineLevel="0" collapsed="false">
      <c r="A151" s="1494" t="s">
        <v>2883</v>
      </c>
      <c r="B151" s="1488"/>
      <c r="C151" s="1489" t="n">
        <f aca="false">H151</f>
        <v>1</v>
      </c>
      <c r="D151" s="1489" t="n">
        <f aca="false">I151</f>
        <v>2</v>
      </c>
      <c r="E151" s="1489" t="n">
        <f aca="false">J151</f>
        <v>2</v>
      </c>
      <c r="F151" s="1489" t="n">
        <f aca="false">K151</f>
        <v>1</v>
      </c>
      <c r="G151" s="1466"/>
      <c r="H151" s="1489" t="n">
        <f aca="false">VLOOKUP('Ввод данных'!A73,связи1!A94:B98,2,0)</f>
        <v>1</v>
      </c>
      <c r="I151" s="1489" t="n">
        <f aca="false">VLOOKUP('Ввод данных'!A455,связи1!A94:B98,2,0)</f>
        <v>2</v>
      </c>
      <c r="J151" s="1489" t="n">
        <f aca="false">VLOOKUP('Ввод данных'!A459,связи1!A94:B98,2,0)</f>
        <v>2</v>
      </c>
      <c r="K151" s="1489" t="n">
        <f aca="false">VLOOKUP('Ввод данных'!A463,связи1!A94:B98,2,0)</f>
        <v>1</v>
      </c>
      <c r="L151" s="1469"/>
      <c r="M151" s="1495" t="n">
        <f aca="false">H151</f>
        <v>1</v>
      </c>
      <c r="N151" s="1495" t="n">
        <f aca="false">I151</f>
        <v>2</v>
      </c>
      <c r="O151" s="1495" t="n">
        <f aca="false">J151</f>
        <v>2</v>
      </c>
      <c r="P151" s="1495" t="n">
        <f aca="false">K151</f>
        <v>1</v>
      </c>
      <c r="AE151" s="1467"/>
      <c r="AF151" s="1467"/>
    </row>
    <row r="152" s="1275" customFormat="true" ht="14.1" hidden="false" customHeight="true" outlineLevel="0" collapsed="false">
      <c r="A152" s="1494" t="s">
        <v>2884</v>
      </c>
      <c r="B152" s="1488"/>
      <c r="C152" s="1489" t="n">
        <f aca="false">C32</f>
        <v>0</v>
      </c>
      <c r="D152" s="1489" t="n">
        <f aca="false">D32</f>
        <v>0</v>
      </c>
      <c r="E152" s="1489" t="n">
        <f aca="false">E32</f>
        <v>0</v>
      </c>
      <c r="F152" s="1489" t="n">
        <f aca="false">F32</f>
        <v>0</v>
      </c>
      <c r="G152" s="1466"/>
      <c r="H152" s="1489" t="n">
        <f aca="false">H32</f>
        <v>0</v>
      </c>
      <c r="I152" s="1489" t="n">
        <f aca="false">I32</f>
        <v>0</v>
      </c>
      <c r="J152" s="1489" t="n">
        <f aca="false">J32</f>
        <v>0</v>
      </c>
      <c r="K152" s="1489" t="n">
        <f aca="false">K32</f>
        <v>0</v>
      </c>
      <c r="L152" s="1469"/>
      <c r="M152" s="1489" t="n">
        <f aca="false">M32</f>
        <v>0</v>
      </c>
      <c r="N152" s="1489" t="n">
        <f aca="false">N32</f>
        <v>0</v>
      </c>
      <c r="O152" s="1489" t="n">
        <f aca="false">O32</f>
        <v>0</v>
      </c>
      <c r="P152" s="1489" t="n">
        <f aca="false">P32</f>
        <v>0</v>
      </c>
      <c r="AE152" s="1467"/>
      <c r="AF152" s="1467"/>
    </row>
    <row r="153" s="1275" customFormat="true" ht="14.1" hidden="false" customHeight="true" outlineLevel="0" collapsed="false">
      <c r="A153" s="1502" t="s">
        <v>2885</v>
      </c>
      <c r="B153" s="1485"/>
      <c r="C153" s="1486" t="n">
        <f aca="false">IF(C152=0,0,0)+IF(C152&gt;0,1,0)</f>
        <v>0</v>
      </c>
      <c r="D153" s="1486" t="n">
        <f aca="false">IF(D152=0,0,0)+IF(D152&gt;0,1,0)</f>
        <v>0</v>
      </c>
      <c r="E153" s="1486" t="n">
        <f aca="false">IF(E152=0,0,0)+IF(E152&gt;0,1,0)</f>
        <v>0</v>
      </c>
      <c r="F153" s="1486" t="n">
        <f aca="false">IF(F152=0,0,0)+IF(F152&gt;0,1,0)</f>
        <v>0</v>
      </c>
      <c r="G153" s="1466"/>
      <c r="H153" s="1486" t="n">
        <f aca="false">IF(H152=0,0,0)+IF(H152&gt;0,1,0)</f>
        <v>0</v>
      </c>
      <c r="I153" s="1486" t="n">
        <f aca="false">IF(I152=0,0,0)+IF(I152&gt;0,1,0)</f>
        <v>0</v>
      </c>
      <c r="J153" s="1486" t="n">
        <f aca="false">IF(J152=0,0,0)+IF(J152&gt;0,1,0)</f>
        <v>0</v>
      </c>
      <c r="K153" s="1486" t="n">
        <f aca="false">IF(K152=0,0,0)+IF(K152&gt;0,1,0)</f>
        <v>0</v>
      </c>
      <c r="L153" s="1469"/>
      <c r="M153" s="1486" t="n">
        <f aca="false">IF(M152=0,0,0)+IF(M152&gt;0,1,0)</f>
        <v>0</v>
      </c>
      <c r="N153" s="1486" t="n">
        <f aca="false">IF(N152=0,0,0)+IF(N152&gt;0,1,0)</f>
        <v>0</v>
      </c>
      <c r="O153" s="1486" t="n">
        <f aca="false">IF(O152=0,0,0)+IF(O152&gt;0,1,0)</f>
        <v>0</v>
      </c>
      <c r="P153" s="1486" t="n">
        <f aca="false">IF(P152=0,0,0)+IF(P152&gt;0,1,0)</f>
        <v>0</v>
      </c>
      <c r="AE153" s="1467"/>
      <c r="AF153" s="1467"/>
    </row>
    <row r="154" s="1275" customFormat="true" ht="14.1" hidden="false" customHeight="true" outlineLevel="0" collapsed="false">
      <c r="A154" s="1502" t="s">
        <v>2886</v>
      </c>
      <c r="B154" s="1485"/>
      <c r="C154" s="1486" t="n">
        <f aca="false">(IF(C150-C151&lt;0,0,0)+IF(C150-C151=1,0,0)+IF(C150-C151=2,0,0)+IF(C150-C151=0,1,0))*C153</f>
        <v>0</v>
      </c>
      <c r="D154" s="1486" t="n">
        <f aca="false">(IF(D150-D151&lt;0,0,0)+IF(D150-D151=1,0,0)+IF(D150-D151=2,0,0)+IF(D150-D151=0,1,0))*D153</f>
        <v>0</v>
      </c>
      <c r="E154" s="1486" t="n">
        <f aca="false">(IF(E150-E151&lt;0,0,0)+IF(E150-E151=1,0,0)+IF(E150-E151=2,0,0)+IF(E150-E151=0,1,0))*E153</f>
        <v>0</v>
      </c>
      <c r="F154" s="1486" t="n">
        <f aca="false">(IF(F150-F151&lt;0,0,0)+IF(F150-F151=1,0,0)+IF(F150-F151=2,0,0)+IF(F150-F151=0,1,0))*F153</f>
        <v>0</v>
      </c>
      <c r="G154" s="1466"/>
      <c r="H154" s="1486" t="n">
        <f aca="false">(IF(H150-H151&lt;0,0,0)+IF(H150-H151=1,0,0)+IF(H150-H151=2,0,0)+IF(H150-H151=0,1,0))*H153</f>
        <v>0</v>
      </c>
      <c r="I154" s="1486" t="n">
        <f aca="false">(IF(I150-I151&lt;0,0,0)+IF(I150-I151=1,0,0)+IF(I150-I151=2,0,0)+IF(I150-I151=0,1,0))*I153</f>
        <v>0</v>
      </c>
      <c r="J154" s="1486" t="n">
        <f aca="false">(IF(J150-J151&lt;0,0,0)+IF(J150-J151=1,0,0)+IF(J150-J151=2,0,0)+IF(J150-J151=0,1,0))*J153</f>
        <v>0</v>
      </c>
      <c r="K154" s="1486" t="n">
        <f aca="false">(IF(K150-K151&lt;0,0,0)+IF(K150-K151=1,0,0)+IF(K150-K151=2,0,0)+IF(K150-K151=0,1,0))*K153</f>
        <v>0</v>
      </c>
      <c r="L154" s="1469"/>
      <c r="M154" s="1486" t="n">
        <f aca="false">(IF(M150-M151&lt;0,0,0)+IF(M150-M151=1,0,0)+IF(M150-M151=2,0,0)+IF(M150-M151=0,1,0))*M153</f>
        <v>0</v>
      </c>
      <c r="N154" s="1486" t="n">
        <f aca="false">(IF(N150-N151&lt;0,0,0)+IF(N150-N151=1,0,0)+IF(N150-N151=2,0,0)+IF(N150-N151=0,1,0))*N153</f>
        <v>0</v>
      </c>
      <c r="O154" s="1486" t="n">
        <f aca="false">(IF(O150-O151&lt;0,0,0)+IF(O150-O151=1,0,0)+IF(O150-O151=2,0,0)+IF(O150-O151=0,1,0))*O153</f>
        <v>0</v>
      </c>
      <c r="P154" s="1486" t="n">
        <f aca="false">(IF(P150-P151&lt;0,0,0)+IF(P150-P151=1,0,0)+IF(P150-P151=2,0,0)+IF(P150-P151=0,1,0))*P153</f>
        <v>0</v>
      </c>
      <c r="AE154" s="1467"/>
      <c r="AF154" s="1467"/>
    </row>
    <row r="155" s="1275" customFormat="true" ht="14.1" hidden="false" customHeight="true" outlineLevel="0" collapsed="false">
      <c r="A155" s="1494" t="s">
        <v>2887</v>
      </c>
      <c r="B155" s="1488"/>
      <c r="C155" s="1489" t="n">
        <f aca="false">(IF(C151=1,C36,0)+IF(C151=2,C35+C39,0))*C154*C153</f>
        <v>0</v>
      </c>
      <c r="D155" s="1489" t="n">
        <f aca="false">(IF(D151=1,D36,0)+IF(D151=2,D35+D39,0))*D154*D153</f>
        <v>0</v>
      </c>
      <c r="E155" s="1489" t="n">
        <f aca="false">(IF(E151=1,E36,0)+IF(E151=2,E35+E39,0))*E154*E153</f>
        <v>0</v>
      </c>
      <c r="F155" s="1489" t="n">
        <f aca="false">(IF(F151=1,F36,0)+IF(F151=2,F35+F39,0))*F154*F153</f>
        <v>0</v>
      </c>
      <c r="G155" s="1466"/>
      <c r="H155" s="1489" t="n">
        <f aca="false">(IF(H151=1,H36,0)+IF(H151=2,H35+H39,0))*H154*H153</f>
        <v>0</v>
      </c>
      <c r="I155" s="1489" t="n">
        <f aca="false">(IF(I151=1,I36,0)+IF(I151=2,I35+I39,0))*I154*I153</f>
        <v>0</v>
      </c>
      <c r="J155" s="1489" t="n">
        <f aca="false">(IF(J151=1,J36,0)+IF(J151=2,J35+J39,0))*J154*J153</f>
        <v>0</v>
      </c>
      <c r="K155" s="1489" t="n">
        <f aca="false">(IF(K151=1,K36,0)+IF(K151=2,K35+K39,0))*K154*K153</f>
        <v>0</v>
      </c>
      <c r="L155" s="1469"/>
      <c r="M155" s="1489" t="n">
        <f aca="false">(IF(M151=1,M36,0)+IF(M151=2,M35+M39,0))*M154*M153</f>
        <v>0</v>
      </c>
      <c r="N155" s="1489" t="n">
        <f aca="false">(IF(N151=1,N36,0)+IF(N151=2,N35+N39,0))*N154*N153</f>
        <v>0</v>
      </c>
      <c r="O155" s="1489" t="n">
        <f aca="false">(IF(O151=1,O36,0)+IF(O151=2,O35+O39,0))*O154*O153</f>
        <v>0</v>
      </c>
      <c r="P155" s="1489" t="n">
        <f aca="false">(IF(P151=1,P36,0)+IF(P151=2,P35+P39,0))*P154*P153</f>
        <v>0</v>
      </c>
      <c r="AE155" s="1467"/>
      <c r="AF155" s="1467"/>
    </row>
    <row r="156" s="1275" customFormat="true" ht="14.1" hidden="false" customHeight="true" outlineLevel="0" collapsed="false">
      <c r="A156" s="1494" t="s">
        <v>2888</v>
      </c>
      <c r="B156" s="1488"/>
      <c r="C156" s="1489" t="n">
        <f aca="false">IF(C150=2,C127+C132,0)+IF(C150=1,C129,0)</f>
        <v>4.4</v>
      </c>
      <c r="D156" s="1489" t="n">
        <f aca="false">IF(D150=2,D127+D132,0)+IF(D150=1,D129,0)</f>
        <v>4.4</v>
      </c>
      <c r="E156" s="1489" t="n">
        <f aca="false">IF(E150=2,E127+E132,0)+IF(E150=1,E129,0)</f>
        <v>4.4</v>
      </c>
      <c r="F156" s="1489" t="n">
        <f aca="false">IF(F150=2,F127+F132,0)+IF(F150=1,F129,0)</f>
        <v>4.4</v>
      </c>
      <c r="G156" s="1466"/>
      <c r="H156" s="1489" t="n">
        <f aca="false">IF(H150=2,H127+H132,0)+IF(H150=1,H129,0)</f>
        <v>4.4</v>
      </c>
      <c r="I156" s="1489" t="n">
        <f aca="false">IF(I150=2,I127+I132,0)+IF(I150=1,I129,0)</f>
        <v>4.4</v>
      </c>
      <c r="J156" s="1489" t="n">
        <f aca="false">IF(J150=2,J127+J132,0)+IF(J150=1,J129,0)</f>
        <v>4.4</v>
      </c>
      <c r="K156" s="1489" t="n">
        <f aca="false">IF(K150=2,K127+K132,0)+IF(K150=1,K129,0)</f>
        <v>4.4</v>
      </c>
      <c r="L156" s="1469"/>
      <c r="M156" s="1489" t="n">
        <f aca="false">IF(M150=2,M127+M132,0)+IF(M150=1,M129,0)</f>
        <v>4.4</v>
      </c>
      <c r="N156" s="1489" t="n">
        <f aca="false">IF(N150=2,N127+N132,0)+IF(N150=1,N129,0)</f>
        <v>4.4</v>
      </c>
      <c r="O156" s="1489" t="n">
        <f aca="false">IF(O150=2,O127+O132,0)+IF(O150=1,O129,0)</f>
        <v>4.4</v>
      </c>
      <c r="P156" s="1489" t="n">
        <f aca="false">IF(P150=2,P127+P132,0)+IF(P150=1,P129,0)</f>
        <v>4.4</v>
      </c>
      <c r="AE156" s="1467"/>
      <c r="AF156" s="1467"/>
    </row>
    <row r="157" s="1275" customFormat="true" ht="14.1" hidden="false" customHeight="true" outlineLevel="0" collapsed="false">
      <c r="A157" s="1502" t="s">
        <v>2889</v>
      </c>
      <c r="B157" s="1485"/>
      <c r="C157" s="1503" t="n">
        <f aca="false">IF(C155-C156&lt;0,0,0)+IF(C155-C156&gt;0,C155-C156,0)</f>
        <v>0</v>
      </c>
      <c r="D157" s="1503" t="n">
        <f aca="false">IF(D155-D156&lt;0,0,0)+IF(D155-D156&gt;0,D155-D156,0)</f>
        <v>0</v>
      </c>
      <c r="E157" s="1503" t="n">
        <f aca="false">IF(E155-E156&lt;0,0,0)+IF(E155-E156&gt;0,E155-E156,0)</f>
        <v>0</v>
      </c>
      <c r="F157" s="1503" t="n">
        <f aca="false">IF(F155-F156&lt;0,0,0)+IF(F155-F156&gt;0,F155-F156,0)</f>
        <v>0</v>
      </c>
      <c r="G157" s="1466"/>
      <c r="H157" s="1503" t="n">
        <f aca="false">IF(H155-H156&lt;0,0,0)+IF(H155-H156&gt;0,H155-H156,0)</f>
        <v>0</v>
      </c>
      <c r="I157" s="1503" t="n">
        <f aca="false">IF(I155-I156&lt;0,0,0)+IF(I155-I156&gt;0,I155-I156,0)</f>
        <v>0</v>
      </c>
      <c r="J157" s="1503" t="n">
        <f aca="false">IF(J155-J156&lt;0,0,0)+IF(J155-J156&gt;0,J155-J156,0)</f>
        <v>0</v>
      </c>
      <c r="K157" s="1503" t="n">
        <f aca="false">IF(K155-K156&lt;0,0,0)+IF(K155-K156&gt;0,K155-K156,0)</f>
        <v>0</v>
      </c>
      <c r="L157" s="1469"/>
      <c r="M157" s="1503" t="n">
        <f aca="false">IF(M155-M156&lt;0,0,0)+IF(M155-M156&gt;0,M155-M156,0)</f>
        <v>0</v>
      </c>
      <c r="N157" s="1503" t="n">
        <f aca="false">IF(N155-N156&lt;0,0,0)+IF(N155-N156&gt;0,N155-N156,0)</f>
        <v>0</v>
      </c>
      <c r="O157" s="1503" t="n">
        <f aca="false">IF(O155-O156&lt;0,0,0)+IF(O155-O156&gt;0,O155-O156,0)</f>
        <v>0</v>
      </c>
      <c r="P157" s="1503" t="n">
        <f aca="false">IF(P155-P156&lt;0,0,0)+IF(P155-P156&gt;0,P155-P156,0)</f>
        <v>0</v>
      </c>
      <c r="AE157" s="1467"/>
      <c r="AF157" s="1467"/>
    </row>
    <row r="158" s="1275" customFormat="true" ht="14.1" hidden="false" customHeight="true" outlineLevel="0" collapsed="false">
      <c r="A158" s="1411" t="s">
        <v>2890</v>
      </c>
      <c r="B158" s="1504"/>
      <c r="C158" s="1358"/>
      <c r="D158" s="1358"/>
      <c r="E158" s="1358"/>
      <c r="F158" s="1358"/>
      <c r="G158" s="1328"/>
      <c r="H158" s="1503" t="n">
        <f aca="false">IF('Ввод данных'!A452=связи1!A120,1,0)</f>
        <v>0</v>
      </c>
      <c r="I158" s="1503" t="n">
        <f aca="false">IF('Ввод данных'!A456=связи1!A120,1,0)</f>
        <v>1</v>
      </c>
      <c r="J158" s="1503" t="n">
        <f aca="false">IF('Ввод данных'!A460=связи1!A120,1,0)</f>
        <v>0</v>
      </c>
      <c r="K158" s="1503" t="n">
        <f aca="false">IF('Ввод данных'!A464=связи1!A120,1,0)</f>
        <v>0</v>
      </c>
      <c r="L158" s="1469" t="n">
        <f aca="false">H158+I158+J158+K158</f>
        <v>1</v>
      </c>
      <c r="M158" s="1505" t="n">
        <f aca="false">H158</f>
        <v>0</v>
      </c>
      <c r="N158" s="1505" t="n">
        <f aca="false">I158</f>
        <v>1</v>
      </c>
      <c r="O158" s="1505" t="n">
        <f aca="false">J158</f>
        <v>0</v>
      </c>
      <c r="P158" s="1505" t="n">
        <f aca="false">K158</f>
        <v>0</v>
      </c>
      <c r="AE158" s="1467"/>
      <c r="AF158" s="1467"/>
    </row>
    <row r="159" s="1275" customFormat="true" ht="14.1" hidden="false" customHeight="true" outlineLevel="0" collapsed="false">
      <c r="A159" s="1506" t="s">
        <v>2891</v>
      </c>
      <c r="B159" s="1504"/>
      <c r="C159" s="1411"/>
      <c r="D159" s="1358"/>
      <c r="E159" s="1358"/>
      <c r="F159" s="1358"/>
      <c r="G159" s="1328"/>
      <c r="H159" s="1503" t="n">
        <f aca="false">H157/SIN(H103)</f>
        <v>0</v>
      </c>
      <c r="I159" s="1503" t="n">
        <f aca="false">I157/SIN(I103)</f>
        <v>0</v>
      </c>
      <c r="J159" s="1503" t="n">
        <f aca="false">J157/SIN(J103)</f>
        <v>0</v>
      </c>
      <c r="K159" s="1503" t="n">
        <f aca="false">K157/SIN(K103)</f>
        <v>0</v>
      </c>
      <c r="L159" s="1469" t="n">
        <f aca="false">H159+I159+J159+K159</f>
        <v>0</v>
      </c>
      <c r="M159" s="1503" t="n">
        <f aca="false">M157/SIN(M103)</f>
        <v>0</v>
      </c>
      <c r="N159" s="1503" t="n">
        <f aca="false">N157/SIN(N103)</f>
        <v>0</v>
      </c>
      <c r="O159" s="1503" t="n">
        <f aca="false">O157/SIN(O103)</f>
        <v>0</v>
      </c>
      <c r="P159" s="1503" t="n">
        <f aca="false">P157/SIN(P103)</f>
        <v>0</v>
      </c>
      <c r="AE159" s="1467"/>
      <c r="AF159" s="1467"/>
    </row>
    <row r="160" s="1275" customFormat="true" ht="14.1" hidden="false" customHeight="true" outlineLevel="0" collapsed="false">
      <c r="A160" s="1506" t="s">
        <v>2892</v>
      </c>
      <c r="B160" s="1504"/>
      <c r="C160" s="1358"/>
      <c r="D160" s="1358"/>
      <c r="E160" s="1358"/>
      <c r="F160" s="1358"/>
      <c r="G160" s="1328"/>
      <c r="H160" s="1507" t="n">
        <f aca="false">IF(H71&gt;=H159,H159,H71)</f>
        <v>0</v>
      </c>
      <c r="I160" s="1507" t="n">
        <f aca="false">IF(I71&gt;=I159,I159,I71)</f>
        <v>0</v>
      </c>
      <c r="J160" s="1507" t="n">
        <f aca="false">IF(J71&gt;=J159,J159,J71)</f>
        <v>0</v>
      </c>
      <c r="K160" s="1507" t="n">
        <f aca="false">IF(K71&gt;=K159,K159,K71)</f>
        <v>0</v>
      </c>
      <c r="L160" s="1469" t="n">
        <f aca="false">H160+I160+J160+K160</f>
        <v>0</v>
      </c>
      <c r="M160" s="1507" t="n">
        <f aca="false">IF(M73&gt;=M159,M159,M73)</f>
        <v>0</v>
      </c>
      <c r="N160" s="1507" t="n">
        <f aca="false">IF(N73&gt;=N159,N159,N73)</f>
        <v>0</v>
      </c>
      <c r="O160" s="1507" t="n">
        <f aca="false">IF(O73&gt;=O159,O159,O73)</f>
        <v>0</v>
      </c>
      <c r="P160" s="1507" t="n">
        <f aca="false">IF(P73&gt;=P159,P159,P73)</f>
        <v>0</v>
      </c>
      <c r="AE160" s="1467"/>
      <c r="AF160" s="1467"/>
    </row>
    <row r="161" s="1275" customFormat="true" ht="14.1" hidden="false" customHeight="true" outlineLevel="0" collapsed="false">
      <c r="A161" s="1506" t="s">
        <v>2893</v>
      </c>
      <c r="B161" s="1504"/>
      <c r="C161" s="1358"/>
      <c r="D161" s="1358"/>
      <c r="E161" s="1358"/>
      <c r="F161" s="1358"/>
      <c r="G161" s="1328"/>
      <c r="H161" s="1507" t="n">
        <f aca="false">IF(H72&gt;=H159,H159,H72)</f>
        <v>0</v>
      </c>
      <c r="I161" s="1507" t="n">
        <f aca="false">IF(I72&gt;=I159,I159,I72)</f>
        <v>0</v>
      </c>
      <c r="J161" s="1507" t="n">
        <f aca="false">IF(J72&gt;=J159,J159,J72)</f>
        <v>0</v>
      </c>
      <c r="K161" s="1507" t="n">
        <f aca="false">IF(K72&gt;=K159,K159,K72)</f>
        <v>0</v>
      </c>
      <c r="L161" s="1469"/>
      <c r="M161" s="1507" t="n">
        <f aca="false">IF(M74&gt;=M159,M159,M74)</f>
        <v>0</v>
      </c>
      <c r="N161" s="1507" t="n">
        <f aca="false">IF(N74&gt;=N159,N159,N74)</f>
        <v>0</v>
      </c>
      <c r="O161" s="1507" t="n">
        <f aca="false">IF(O74&gt;=O159,O159,O74)</f>
        <v>0</v>
      </c>
      <c r="P161" s="1507" t="n">
        <f aca="false">IF(P74&gt;=P159,P159,P74)</f>
        <v>0</v>
      </c>
      <c r="AE161" s="1467"/>
      <c r="AF161" s="1467"/>
    </row>
    <row r="162" s="1275" customFormat="true" ht="14.1" hidden="false" customHeight="true" outlineLevel="0" collapsed="false">
      <c r="A162" s="1506" t="s">
        <v>2894</v>
      </c>
      <c r="B162" s="1504"/>
      <c r="C162" s="1358"/>
      <c r="D162" s="1358"/>
      <c r="E162" s="1358"/>
      <c r="F162" s="1358"/>
      <c r="G162" s="1328"/>
      <c r="H162" s="1507" t="n">
        <f aca="false">(H160)*COS(H103)</f>
        <v>0</v>
      </c>
      <c r="I162" s="1507" t="n">
        <f aca="false">(I160)*COS(I103)</f>
        <v>0</v>
      </c>
      <c r="J162" s="1507" t="n">
        <f aca="false">(J160)*COS(J103)</f>
        <v>0</v>
      </c>
      <c r="K162" s="1507" t="n">
        <f aca="false">(K160)*COS(K103)</f>
        <v>0</v>
      </c>
      <c r="L162" s="1469" t="n">
        <f aca="false">H162+I162+J162+K162</f>
        <v>0</v>
      </c>
      <c r="M162" s="1507" t="n">
        <f aca="false">(M160)*COS(M103)</f>
        <v>0</v>
      </c>
      <c r="N162" s="1507" t="n">
        <f aca="false">(N160)*COS(N103)</f>
        <v>0</v>
      </c>
      <c r="O162" s="1507" t="n">
        <f aca="false">(O160)*COS(O103)</f>
        <v>0</v>
      </c>
      <c r="P162" s="1507" t="n">
        <f aca="false">(P160)*COS(P103)</f>
        <v>0</v>
      </c>
      <c r="AE162" s="1467"/>
      <c r="AF162" s="1467"/>
    </row>
    <row r="163" s="1275" customFormat="true" ht="14.1" hidden="false" customHeight="true" outlineLevel="0" collapsed="false">
      <c r="A163" s="1506" t="s">
        <v>2895</v>
      </c>
      <c r="B163" s="1504"/>
      <c r="C163" s="1358"/>
      <c r="D163" s="1358"/>
      <c r="E163" s="1358"/>
      <c r="F163" s="1358"/>
      <c r="G163" s="1328"/>
      <c r="H163" s="1507" t="n">
        <f aca="false">H157/SIN(H133+H135)</f>
        <v>0</v>
      </c>
      <c r="I163" s="1507" t="n">
        <f aca="false">I157/SIN(I133+I135)</f>
        <v>0</v>
      </c>
      <c r="J163" s="1507" t="n">
        <f aca="false">J157/SIN(J133+J135)</f>
        <v>0</v>
      </c>
      <c r="K163" s="1507" t="n">
        <f aca="false">K157/SIN(K133+K135)</f>
        <v>0</v>
      </c>
      <c r="L163" s="1469" t="n">
        <f aca="false">H163+I163+J163+K163</f>
        <v>0</v>
      </c>
      <c r="M163" s="1507" t="n">
        <f aca="false">M157/SIN(M133+M135)</f>
        <v>0</v>
      </c>
      <c r="N163" s="1507" t="n">
        <f aca="false">N157/SIN(N133+N135)</f>
        <v>0</v>
      </c>
      <c r="O163" s="1507" t="n">
        <f aca="false">O157/SIN(O133+O135)</f>
        <v>0</v>
      </c>
      <c r="P163" s="1507" t="n">
        <f aca="false">P157/SIN(P133+P135)</f>
        <v>0</v>
      </c>
      <c r="AE163" s="1467"/>
      <c r="AF163" s="1467"/>
    </row>
    <row r="164" s="1275" customFormat="true" ht="14.1" hidden="false" customHeight="true" outlineLevel="0" collapsed="false">
      <c r="A164" s="1506" t="s">
        <v>2896</v>
      </c>
      <c r="B164" s="1504"/>
      <c r="C164" s="1358"/>
      <c r="D164" s="1358"/>
      <c r="E164" s="1358"/>
      <c r="F164" s="1358"/>
      <c r="G164" s="1328"/>
      <c r="H164" s="1507" t="n">
        <f aca="false">SQRT(H163*H163+H162*H162)</f>
        <v>0</v>
      </c>
      <c r="I164" s="1507" t="n">
        <f aca="false">SQRT(I163*I163+I162*I162)</f>
        <v>0</v>
      </c>
      <c r="J164" s="1507" t="n">
        <f aca="false">SQRT(J163*J163+J162*J162)</f>
        <v>0</v>
      </c>
      <c r="K164" s="1507" t="n">
        <f aca="false">SQRT(K163*K163+K162*K162)</f>
        <v>0</v>
      </c>
      <c r="L164" s="1469" t="n">
        <f aca="false">H164+I164+J164+K164</f>
        <v>0</v>
      </c>
      <c r="M164" s="1507" t="n">
        <f aca="false">SQRT(M163*M163+M162*M162)</f>
        <v>0</v>
      </c>
      <c r="N164" s="1507" t="n">
        <f aca="false">SQRT(N163*N163+N162*N162)</f>
        <v>0</v>
      </c>
      <c r="O164" s="1507" t="n">
        <f aca="false">SQRT(O163*O163+O162*O162)</f>
        <v>0</v>
      </c>
      <c r="P164" s="1507" t="n">
        <f aca="false">SQRT(P163*P163+P162*P162)</f>
        <v>0</v>
      </c>
      <c r="AE164" s="1467"/>
      <c r="AF164" s="1467"/>
    </row>
    <row r="165" s="1510" customFormat="true" ht="14.1" hidden="false" customHeight="true" outlineLevel="0" collapsed="false">
      <c r="A165" s="1452" t="s">
        <v>2897</v>
      </c>
      <c r="B165" s="1485"/>
      <c r="C165" s="1486"/>
      <c r="D165" s="1486"/>
      <c r="E165" s="1486"/>
      <c r="F165" s="1486"/>
      <c r="G165" s="1508"/>
      <c r="H165" s="1509" t="n">
        <f aca="false">H162*H163</f>
        <v>0</v>
      </c>
      <c r="I165" s="1509" t="n">
        <f aca="false">I162*I163</f>
        <v>0</v>
      </c>
      <c r="J165" s="1509" t="n">
        <f aca="false">J162*J163</f>
        <v>0</v>
      </c>
      <c r="K165" s="1509" t="n">
        <f aca="false">K162*K163</f>
        <v>0</v>
      </c>
      <c r="L165" s="1486" t="n">
        <f aca="false">H165+I165+J165+K165</f>
        <v>0</v>
      </c>
      <c r="M165" s="1509" t="n">
        <f aca="false">M162*M163</f>
        <v>0</v>
      </c>
      <c r="N165" s="1509" t="n">
        <f aca="false">N162*N163</f>
        <v>0</v>
      </c>
      <c r="O165" s="1509" t="n">
        <f aca="false">O162*O163</f>
        <v>0</v>
      </c>
      <c r="P165" s="1509" t="n">
        <f aca="false">P162*P163</f>
        <v>0</v>
      </c>
      <c r="AE165" s="1511"/>
      <c r="AF165" s="1511"/>
    </row>
    <row r="166" s="1275" customFormat="true" ht="14.1" hidden="false" customHeight="true" outlineLevel="0" collapsed="false">
      <c r="A166" s="1506" t="s">
        <v>2898</v>
      </c>
      <c r="B166" s="1504"/>
      <c r="C166" s="1358"/>
      <c r="D166" s="1358"/>
      <c r="E166" s="1358"/>
      <c r="F166" s="1358"/>
      <c r="G166" s="1328"/>
      <c r="H166" s="1507" t="n">
        <f aca="false">SQRT(H163*H163-H157*H157)</f>
        <v>0</v>
      </c>
      <c r="I166" s="1507" t="n">
        <f aca="false">SQRT(I163*I163-I157*I157)</f>
        <v>0</v>
      </c>
      <c r="J166" s="1507" t="n">
        <f aca="false">SQRT(J163*J163-J157*J157)</f>
        <v>0</v>
      </c>
      <c r="K166" s="1507" t="n">
        <f aca="false">SQRT(K163*K163-K157*K157)</f>
        <v>0</v>
      </c>
      <c r="L166" s="1469" t="n">
        <f aca="false">H166+I166+J166+K166</f>
        <v>0</v>
      </c>
      <c r="M166" s="1507" t="n">
        <f aca="false">SQRT(M163*M163-M157*M157)</f>
        <v>0</v>
      </c>
      <c r="N166" s="1507" t="n">
        <f aca="false">SQRT(N163*N163-N157*N157)</f>
        <v>0</v>
      </c>
      <c r="O166" s="1507" t="n">
        <f aca="false">SQRT(O163*O163-O157*O157)</f>
        <v>0</v>
      </c>
      <c r="P166" s="1507" t="n">
        <f aca="false">SQRT(P163*P163-P157*P157)</f>
        <v>0</v>
      </c>
      <c r="AE166" s="1467"/>
      <c r="AF166" s="1467"/>
    </row>
    <row r="167" s="1275" customFormat="true" ht="14.1" hidden="false" customHeight="true" outlineLevel="0" collapsed="false">
      <c r="A167" s="1506" t="s">
        <v>2899</v>
      </c>
      <c r="B167" s="1504"/>
      <c r="C167" s="1358"/>
      <c r="D167" s="1358"/>
      <c r="E167" s="1358"/>
      <c r="F167" s="1358"/>
      <c r="G167" s="1328"/>
      <c r="H167" s="1507" t="n">
        <f aca="false">H160*H166</f>
        <v>0</v>
      </c>
      <c r="I167" s="1507" t="n">
        <f aca="false">I160*I166</f>
        <v>0</v>
      </c>
      <c r="J167" s="1507" t="n">
        <f aca="false">J160*J166</f>
        <v>0</v>
      </c>
      <c r="K167" s="1507" t="n">
        <f aca="false">K160*K166</f>
        <v>0</v>
      </c>
      <c r="L167" s="1469" t="n">
        <f aca="false">H167+I167+J167+K167</f>
        <v>0</v>
      </c>
      <c r="M167" s="1507" t="n">
        <f aca="false">M160*M166</f>
        <v>0</v>
      </c>
      <c r="N167" s="1507" t="n">
        <f aca="false">N160*N166</f>
        <v>0</v>
      </c>
      <c r="O167" s="1507" t="n">
        <f aca="false">O160*O166</f>
        <v>0</v>
      </c>
      <c r="P167" s="1507" t="n">
        <f aca="false">P160*P166</f>
        <v>0</v>
      </c>
      <c r="AE167" s="1467"/>
      <c r="AF167" s="1467"/>
    </row>
    <row r="168" s="1275" customFormat="true" ht="14.1" hidden="false" customHeight="true" outlineLevel="0" collapsed="false">
      <c r="A168" s="1512" t="s">
        <v>313</v>
      </c>
      <c r="B168" s="1370"/>
      <c r="C168" s="1371"/>
      <c r="D168" s="1371"/>
      <c r="E168" s="1371"/>
      <c r="F168" s="1371"/>
      <c r="G168" s="1328"/>
      <c r="H168" s="1484"/>
      <c r="I168" s="1484"/>
      <c r="J168" s="1484"/>
      <c r="K168" s="1484"/>
      <c r="L168" s="1469"/>
      <c r="M168" s="1513"/>
      <c r="N168" s="1513"/>
      <c r="O168" s="1513"/>
      <c r="P168" s="1513"/>
      <c r="AE168" s="1467"/>
      <c r="AF168" s="1467"/>
    </row>
    <row r="169" s="1275" customFormat="true" ht="14.1" hidden="false" customHeight="true" outlineLevel="0" collapsed="false">
      <c r="A169" s="1483"/>
      <c r="B169" s="1370"/>
      <c r="C169" s="1371"/>
      <c r="D169" s="1371"/>
      <c r="E169" s="1371"/>
      <c r="F169" s="1371"/>
      <c r="G169" s="1328"/>
      <c r="H169" s="1484"/>
      <c r="I169" s="1484"/>
      <c r="J169" s="1484"/>
      <c r="K169" s="1484"/>
      <c r="L169" s="1469"/>
      <c r="M169" s="1513"/>
      <c r="N169" s="1513"/>
      <c r="O169" s="1513"/>
      <c r="P169" s="1513"/>
      <c r="AE169" s="1467"/>
      <c r="AF169" s="1467"/>
    </row>
    <row r="170" s="1275" customFormat="true" ht="14.1" hidden="false" customHeight="true" outlineLevel="0" collapsed="false">
      <c r="A170" s="1483"/>
      <c r="B170" s="1370"/>
      <c r="C170" s="1371"/>
      <c r="D170" s="1371"/>
      <c r="E170" s="1371"/>
      <c r="F170" s="1371"/>
      <c r="G170" s="1328"/>
      <c r="H170" s="1484"/>
      <c r="I170" s="1484"/>
      <c r="J170" s="1484"/>
      <c r="K170" s="1484"/>
      <c r="L170" s="1469"/>
      <c r="M170" s="1513"/>
      <c r="N170" s="1513"/>
      <c r="O170" s="1513"/>
      <c r="P170" s="1513"/>
      <c r="AE170" s="1467"/>
      <c r="AF170" s="1467"/>
    </row>
    <row r="171" s="1275" customFormat="true" ht="14.1" hidden="false" customHeight="true" outlineLevel="0" collapsed="false">
      <c r="A171" s="1483"/>
      <c r="B171" s="1370"/>
      <c r="C171" s="1371"/>
      <c r="D171" s="1371"/>
      <c r="E171" s="1371"/>
      <c r="F171" s="1371"/>
      <c r="G171" s="1328"/>
      <c r="H171" s="1484"/>
      <c r="I171" s="1484"/>
      <c r="J171" s="1484"/>
      <c r="K171" s="1484"/>
      <c r="L171" s="1469"/>
      <c r="M171" s="1513"/>
      <c r="N171" s="1513"/>
      <c r="O171" s="1513"/>
      <c r="P171" s="1513"/>
      <c r="AE171" s="1467"/>
      <c r="AF171" s="1467"/>
    </row>
    <row r="172" s="1275" customFormat="true" ht="14.1" hidden="false" customHeight="true" outlineLevel="0" collapsed="false">
      <c r="A172" s="1483"/>
      <c r="B172" s="1370"/>
      <c r="C172" s="1371"/>
      <c r="D172" s="1371"/>
      <c r="E172" s="1371"/>
      <c r="F172" s="1371"/>
      <c r="G172" s="1328"/>
      <c r="H172" s="1484"/>
      <c r="I172" s="1484"/>
      <c r="J172" s="1484"/>
      <c r="K172" s="1484"/>
      <c r="L172" s="1469"/>
      <c r="M172" s="1513"/>
      <c r="N172" s="1513"/>
      <c r="O172" s="1513"/>
      <c r="P172" s="1513"/>
      <c r="AE172" s="1467"/>
      <c r="AF172" s="1467"/>
    </row>
    <row r="173" s="1275" customFormat="true" ht="14.1" hidden="false" customHeight="true" outlineLevel="0" collapsed="false">
      <c r="A173" s="1514"/>
      <c r="B173" s="1515"/>
      <c r="C173" s="1516"/>
      <c r="D173" s="1516"/>
      <c r="E173" s="1516"/>
      <c r="F173" s="1516"/>
      <c r="G173" s="1328"/>
      <c r="H173" s="1513"/>
      <c r="I173" s="1513"/>
      <c r="J173" s="1513"/>
      <c r="K173" s="1513"/>
      <c r="L173" s="1469"/>
      <c r="M173" s="1513"/>
      <c r="N173" s="1513"/>
      <c r="O173" s="1513"/>
      <c r="P173" s="1513"/>
      <c r="AE173" s="1467"/>
      <c r="AF173" s="1467"/>
    </row>
    <row r="174" s="1275" customFormat="true" ht="14.1" hidden="false" customHeight="true" outlineLevel="0" collapsed="false">
      <c r="A174" s="1514"/>
      <c r="B174" s="1515"/>
      <c r="C174" s="1516"/>
      <c r="D174" s="1516"/>
      <c r="E174" s="1516"/>
      <c r="F174" s="1516"/>
      <c r="G174" s="1328"/>
      <c r="H174" s="1513"/>
      <c r="I174" s="1513"/>
      <c r="J174" s="1513"/>
      <c r="K174" s="1513"/>
      <c r="L174" s="1469"/>
      <c r="M174" s="1513"/>
      <c r="N174" s="1513"/>
      <c r="O174" s="1513"/>
      <c r="P174" s="1513"/>
      <c r="AE174" s="1467"/>
      <c r="AF174" s="1467"/>
    </row>
    <row r="175" s="1275" customFormat="true" ht="14.1" hidden="false" customHeight="true" outlineLevel="0" collapsed="false">
      <c r="A175" s="1514"/>
      <c r="B175" s="1515"/>
      <c r="C175" s="1516"/>
      <c r="D175" s="1516"/>
      <c r="E175" s="1516"/>
      <c r="F175" s="1516"/>
      <c r="G175" s="1328"/>
      <c r="H175" s="1513"/>
      <c r="I175" s="1513"/>
      <c r="J175" s="1513"/>
      <c r="K175" s="1513"/>
      <c r="L175" s="1469"/>
      <c r="M175" s="1513"/>
      <c r="N175" s="1513"/>
      <c r="O175" s="1513"/>
      <c r="P175" s="1513"/>
      <c r="AE175" s="1467"/>
      <c r="AF175" s="1467"/>
    </row>
    <row r="176" s="1275" customFormat="true" ht="14.1" hidden="false" customHeight="true" outlineLevel="0" collapsed="false">
      <c r="A176" s="1514"/>
      <c r="B176" s="1515"/>
      <c r="C176" s="1516"/>
      <c r="D176" s="1516"/>
      <c r="E176" s="1516"/>
      <c r="F176" s="1516"/>
      <c r="G176" s="1328"/>
      <c r="H176" s="1513"/>
      <c r="I176" s="1513"/>
      <c r="J176" s="1513"/>
      <c r="K176" s="1513"/>
      <c r="L176" s="1469"/>
      <c r="M176" s="1513"/>
      <c r="N176" s="1513"/>
      <c r="O176" s="1513"/>
      <c r="P176" s="1513"/>
      <c r="AE176" s="1467"/>
      <c r="AF176" s="1467"/>
    </row>
    <row r="177" s="1275" customFormat="true" ht="14.1" hidden="false" customHeight="true" outlineLevel="0" collapsed="false">
      <c r="A177" s="1514"/>
      <c r="B177" s="1515"/>
      <c r="C177" s="1516"/>
      <c r="D177" s="1516"/>
      <c r="E177" s="1516"/>
      <c r="F177" s="1516"/>
      <c r="G177" s="1328"/>
      <c r="H177" s="1513"/>
      <c r="I177" s="1513"/>
      <c r="J177" s="1513"/>
      <c r="K177" s="1513"/>
      <c r="L177" s="1469"/>
      <c r="M177" s="1513"/>
      <c r="N177" s="1513"/>
      <c r="O177" s="1513"/>
      <c r="P177" s="1513"/>
      <c r="AE177" s="1467"/>
      <c r="AF177" s="1467"/>
    </row>
    <row r="178" s="1275" customFormat="true" ht="14.1" hidden="false" customHeight="true" outlineLevel="0" collapsed="false">
      <c r="A178" s="1514"/>
      <c r="B178" s="1515"/>
      <c r="C178" s="1516"/>
      <c r="D178" s="1516"/>
      <c r="E178" s="1516"/>
      <c r="F178" s="1516"/>
      <c r="G178" s="1328"/>
      <c r="H178" s="1513"/>
      <c r="I178" s="1513"/>
      <c r="J178" s="1513"/>
      <c r="K178" s="1513"/>
      <c r="L178" s="1469"/>
      <c r="M178" s="1513"/>
      <c r="N178" s="1513"/>
      <c r="O178" s="1513"/>
      <c r="P178" s="1513"/>
      <c r="AE178" s="1467"/>
      <c r="AF178" s="1467"/>
    </row>
    <row r="179" s="1275" customFormat="true" ht="14.1" hidden="false" customHeight="true" outlineLevel="0" collapsed="false">
      <c r="A179" s="1492" t="s">
        <v>2879</v>
      </c>
      <c r="B179" s="1290"/>
      <c r="C179" s="1491"/>
      <c r="D179" s="1491"/>
      <c r="E179" s="1491"/>
      <c r="F179" s="1491"/>
      <c r="G179" s="1328"/>
      <c r="H179" s="1493" t="n">
        <f aca="false">IF('Ввод данных'!A452=связи1!A122,пристройка!H66-пристройка!H51*пристройка!H118,0)</f>
        <v>0</v>
      </c>
      <c r="I179" s="1493" t="n">
        <f aca="false">IF('Ввод данных'!A456=связи1!A122,пристройка!I66-пристройка!I51*пристройка!I118,0)</f>
        <v>0</v>
      </c>
      <c r="J179" s="1493" t="n">
        <f aca="false">IF('Ввод данных'!A460=связи1!A122,пристройка!J66-пристройка!J51*пристройка!J118,0)</f>
        <v>0</v>
      </c>
      <c r="K179" s="1493" t="n">
        <f aca="false">IF('Ввод данных'!A464=связи1!A122,пристройка!K66-пристройка!K51*пристройка!K118,0)</f>
        <v>0</v>
      </c>
      <c r="L179" s="1469" t="n">
        <f aca="false">H179+I179+J179+K179</f>
        <v>0</v>
      </c>
      <c r="M179" s="1493" t="n">
        <f aca="false">IF('Ввод данных'!A452=связи1!A122,пристройка!M66-пристройка!M51*пристройка!M118,0)</f>
        <v>0</v>
      </c>
      <c r="N179" s="1493" t="n">
        <f aca="false">IF('Ввод данных'!A456=связи1!A122,пристройка!N66-пристройка!N51*пристройка!N118,0)</f>
        <v>0</v>
      </c>
      <c r="O179" s="1493" t="n">
        <f aca="false">IF('Ввод данных'!A460=связи1!A122,пристройка!O66-пристройка!O51*пристройка!O118,0)</f>
        <v>0</v>
      </c>
      <c r="P179" s="1493" t="n">
        <f aca="false">IF('Ввод данных'!A464=связи1!A122,пристройка!P66-пристройка!P51*пристройка!P118,0)</f>
        <v>0</v>
      </c>
      <c r="AE179" s="1467"/>
      <c r="AF179" s="1467"/>
    </row>
    <row r="180" s="1275" customFormat="true" ht="14.1" hidden="false" customHeight="true" outlineLevel="0" collapsed="false">
      <c r="A180" s="1492" t="s">
        <v>2878</v>
      </c>
      <c r="B180" s="1290"/>
      <c r="C180" s="1491"/>
      <c r="D180" s="1491"/>
      <c r="E180" s="1491"/>
      <c r="F180" s="1491"/>
      <c r="G180" s="1328"/>
      <c r="H180" s="1493" t="n">
        <f aca="false">IF('Ввод данных'!A452=связи1!A123,пристройка!H66,0)</f>
        <v>0</v>
      </c>
      <c r="I180" s="1493" t="n">
        <f aca="false">IF('Ввод данных'!A456=связи1!A123,пристройка!I66,0)</f>
        <v>0</v>
      </c>
      <c r="J180" s="1493" t="n">
        <f aca="false">IF('Ввод данных'!A460=связи1!A123,пристройка!J66,0)</f>
        <v>20.5569741666352</v>
      </c>
      <c r="K180" s="1493" t="n">
        <f aca="false">IF('Ввод данных'!A464=связи1!A123,пристройка!K66,0)</f>
        <v>0</v>
      </c>
      <c r="L180" s="1469" t="n">
        <f aca="false">H180+I180+J180+K180</f>
        <v>20.5569741666352</v>
      </c>
      <c r="M180" s="1493" t="n">
        <f aca="false">IF('Ввод данных'!A452=связи1!A123,пристройка!M66,0)</f>
        <v>0</v>
      </c>
      <c r="N180" s="1493" t="n">
        <f aca="false">IF('Ввод данных'!A456=связи1!A123,пристройка!N66,0)</f>
        <v>0</v>
      </c>
      <c r="O180" s="1493" t="n">
        <f aca="false">IF('Ввод данных'!A460=связи1!A123,пристройка!O66,0)</f>
        <v>23.0787367854164</v>
      </c>
      <c r="P180" s="1493" t="n">
        <f aca="false">IF('Ввод данных'!A464=связи1!A123,пристройка!P66,0)</f>
        <v>0</v>
      </c>
      <c r="AE180" s="1467"/>
      <c r="AF180" s="1467"/>
    </row>
    <row r="181" customFormat="false" ht="12.75" hidden="false" customHeight="true" outlineLevel="0" collapsed="false">
      <c r="A181" s="1517"/>
      <c r="B181" s="1518" t="s">
        <v>2900</v>
      </c>
      <c r="C181" s="1518"/>
      <c r="D181" s="1518"/>
      <c r="E181" s="1518"/>
      <c r="F181" s="1518"/>
      <c r="G181" s="1518"/>
      <c r="H181" s="1519" t="s">
        <v>2901</v>
      </c>
      <c r="I181" s="1519"/>
      <c r="J181" s="1519"/>
      <c r="K181" s="1519"/>
      <c r="L181" s="1519"/>
      <c r="M181" s="1519" t="s">
        <v>2901</v>
      </c>
      <c r="N181" s="1519"/>
      <c r="O181" s="1519"/>
      <c r="P181" s="1519"/>
      <c r="Q181" s="1519"/>
      <c r="AE181" s="1460" t="n">
        <f aca="false">C35</f>
        <v>2.9</v>
      </c>
      <c r="AF181" s="1460"/>
    </row>
    <row r="182" customFormat="false" ht="14.1" hidden="false" customHeight="true" outlineLevel="0" collapsed="false">
      <c r="A182" s="1517"/>
      <c r="B182" s="1518"/>
      <c r="C182" s="1518"/>
      <c r="D182" s="1518"/>
      <c r="E182" s="1518"/>
      <c r="F182" s="1518"/>
      <c r="G182" s="1518"/>
      <c r="H182" s="1519"/>
      <c r="I182" s="1519"/>
      <c r="J182" s="1519"/>
      <c r="K182" s="1519"/>
      <c r="L182" s="1519"/>
      <c r="M182" s="1519"/>
      <c r="N182" s="1519"/>
      <c r="O182" s="1519"/>
      <c r="P182" s="1519"/>
      <c r="Q182" s="1519"/>
      <c r="AE182" s="1460"/>
      <c r="AF182" s="1460"/>
    </row>
    <row r="183" customFormat="false" ht="14.1" hidden="false" customHeight="true" outlineLevel="0" collapsed="false">
      <c r="A183" s="1520" t="s">
        <v>461</v>
      </c>
      <c r="B183" s="1520"/>
      <c r="C183" s="1520"/>
      <c r="D183" s="1520"/>
      <c r="E183" s="1520"/>
      <c r="F183" s="1520"/>
      <c r="G183" s="842" t="n">
        <f aca="false">'Ввод данных'!E447</f>
        <v>1</v>
      </c>
      <c r="H183" s="1521"/>
      <c r="I183" s="1521"/>
      <c r="J183" s="1521"/>
      <c r="K183" s="1521"/>
      <c r="L183" s="1522"/>
      <c r="M183" s="1521"/>
      <c r="N183" s="1521"/>
      <c r="O183" s="1521"/>
      <c r="P183" s="1521"/>
      <c r="Q183" s="1522"/>
      <c r="AE183" s="1460"/>
      <c r="AF183" s="1460"/>
    </row>
    <row r="184" customFormat="false" ht="14.1" hidden="false" customHeight="true" outlineLevel="0" collapsed="false">
      <c r="A184" s="1520"/>
      <c r="B184" s="1520"/>
      <c r="C184" s="1520"/>
      <c r="D184" s="1520"/>
      <c r="E184" s="1520"/>
      <c r="F184" s="1523"/>
      <c r="G184" s="1522" t="n">
        <f aca="false">'Ввод данных'!E448</f>
        <v>1</v>
      </c>
      <c r="I184" s="1521"/>
      <c r="J184" s="1521"/>
      <c r="K184" s="1521"/>
      <c r="L184" s="1522"/>
      <c r="N184" s="1521"/>
      <c r="O184" s="1521"/>
      <c r="P184" s="1521"/>
      <c r="Q184" s="1522"/>
      <c r="AE184" s="1460" t="n">
        <f aca="false">C38</f>
        <v>0</v>
      </c>
      <c r="AF184" s="1460"/>
    </row>
    <row r="185" customFormat="false" ht="14.1" hidden="false" customHeight="true" outlineLevel="0" collapsed="false">
      <c r="A185" s="1524"/>
      <c r="B185" s="1525"/>
      <c r="C185" s="1526" t="s">
        <v>2838</v>
      </c>
      <c r="D185" s="1526" t="s">
        <v>2839</v>
      </c>
      <c r="E185" s="1527" t="s">
        <v>2770</v>
      </c>
      <c r="F185" s="1527" t="s">
        <v>2771</v>
      </c>
      <c r="G185" s="1523"/>
      <c r="H185" s="1319" t="str">
        <f aca="false">C185</f>
        <v>вар1</v>
      </c>
      <c r="I185" s="1319" t="str">
        <f aca="false">D185</f>
        <v>вар2</v>
      </c>
      <c r="J185" s="1319" t="str">
        <f aca="false">E185</f>
        <v>вар3</v>
      </c>
      <c r="K185" s="1319" t="s">
        <v>2771</v>
      </c>
      <c r="L185" s="1344" t="n">
        <f aca="false">G185</f>
        <v>0</v>
      </c>
      <c r="M185" s="1319" t="str">
        <f aca="false">H185</f>
        <v>вар1</v>
      </c>
      <c r="N185" s="1319" t="str">
        <f aca="false">I185</f>
        <v>вар2</v>
      </c>
      <c r="O185" s="1319" t="str">
        <f aca="false">J185</f>
        <v>вар3</v>
      </c>
      <c r="P185" s="1319" t="s">
        <v>2771</v>
      </c>
      <c r="Q185" s="1344" t="n">
        <f aca="false">L185</f>
        <v>0</v>
      </c>
      <c r="AE185" s="1528" t="n">
        <f aca="false">C23+пристройка!AF52+пристройка!AF55</f>
        <v>4.6</v>
      </c>
      <c r="AF185" s="1460"/>
    </row>
    <row r="186" s="1534" customFormat="true" ht="14.1" hidden="false" customHeight="true" outlineLevel="0" collapsed="false">
      <c r="A186" s="1529" t="s">
        <v>2902</v>
      </c>
      <c r="B186" s="1530" t="s">
        <v>15</v>
      </c>
      <c r="C186" s="1531" t="n">
        <f aca="false">пристройка!C85*C32</f>
        <v>0</v>
      </c>
      <c r="D186" s="1532" t="n">
        <f aca="false">D85*D32</f>
        <v>0</v>
      </c>
      <c r="E186" s="1532" t="n">
        <f aca="false">E85*E32</f>
        <v>0</v>
      </c>
      <c r="F186" s="1531" t="n">
        <f aca="false">пристройка!F85*F32</f>
        <v>0</v>
      </c>
      <c r="G186" s="1533" t="n">
        <f aca="false">E186+D186+C186+F186</f>
        <v>0</v>
      </c>
      <c r="H186" s="1531" t="n">
        <f aca="false">пристройка!H85*H32</f>
        <v>0</v>
      </c>
      <c r="I186" s="1531" t="n">
        <f aca="false">пристройка!I85*I32</f>
        <v>0</v>
      </c>
      <c r="J186" s="1531" t="n">
        <f aca="false">пристройка!J85*J32</f>
        <v>0</v>
      </c>
      <c r="K186" s="1531" t="n">
        <f aca="false">пристройка!K85*K32</f>
        <v>0</v>
      </c>
      <c r="L186" s="872" t="n">
        <f aca="false">H186+I186+J186+K186</f>
        <v>0</v>
      </c>
      <c r="M186" s="1531" t="n">
        <f aca="false">пристройка!M85*M32</f>
        <v>0</v>
      </c>
      <c r="N186" s="1531" t="n">
        <f aca="false">пристройка!N85*N32</f>
        <v>0</v>
      </c>
      <c r="O186" s="1531" t="n">
        <f aca="false">пристройка!O85*O32</f>
        <v>0</v>
      </c>
      <c r="P186" s="1531" t="n">
        <f aca="false">пристройка!P85*P32</f>
        <v>0</v>
      </c>
      <c r="Q186" s="872" t="n">
        <f aca="false">M186+N186+O186+P186</f>
        <v>0</v>
      </c>
    </row>
    <row r="187" s="1534" customFormat="true" ht="14.1" hidden="false" customHeight="true" outlineLevel="0" collapsed="false">
      <c r="A187" s="1529"/>
      <c r="B187" s="1530" t="s">
        <v>1043</v>
      </c>
      <c r="C187" s="1531" t="n">
        <f aca="false">C186*VLOOKUP(A210,связи1!F201:H211,3,0)*C32</f>
        <v>0</v>
      </c>
      <c r="D187" s="1531" t="n">
        <f aca="false">D186*VLOOKUP(A210,связи1!F201:H211,3,0)*D32</f>
        <v>0</v>
      </c>
      <c r="E187" s="1531" t="n">
        <f aca="false">E186*VLOOKUP(A210,связи1!F201:H211,3,0)*E32</f>
        <v>0</v>
      </c>
      <c r="F187" s="1531" t="n">
        <f aca="false">F186*VLOOKUP(A210,связи1!F201:H211,3,0)*F32</f>
        <v>0</v>
      </c>
      <c r="G187" s="1533" t="n">
        <f aca="false">C187+E187+D187+F187</f>
        <v>0</v>
      </c>
      <c r="H187" s="1535" t="n">
        <f aca="false">VLOOKUP(A210,связи1!F201:H211,3,0)*H186*H32</f>
        <v>0</v>
      </c>
      <c r="I187" s="1535" t="n">
        <f aca="false">VLOOKUP(A210,связи1!F201:H211,3,0)*I186*I32</f>
        <v>0</v>
      </c>
      <c r="J187" s="1535" t="n">
        <f aca="false">VLOOKUP(A210,связи1!F201:H211,3,0)*J186*J32</f>
        <v>0</v>
      </c>
      <c r="K187" s="1535" t="n">
        <f aca="false">VLOOKUP(A210,связи1!F201:H211,3,0)*K186*K32</f>
        <v>0</v>
      </c>
      <c r="L187" s="872" t="n">
        <f aca="false">H187+I187+J187+K187</f>
        <v>0</v>
      </c>
      <c r="M187" s="1535" t="n">
        <f aca="false">VLOOKUP(A210,связи1!F201:H211,3,0)*M186*M32</f>
        <v>0</v>
      </c>
      <c r="N187" s="1535" t="n">
        <f aca="false">VLOOKUP(A210,связи1!F201:H211,3,0)*N186*N32</f>
        <v>0</v>
      </c>
      <c r="O187" s="1535" t="n">
        <f aca="false">VLOOKUP(A210,связи1!F201:H211,3,0)*O186*O32</f>
        <v>0</v>
      </c>
      <c r="P187" s="1535" t="n">
        <f aca="false">VLOOKUP(A210,связи1!F201:H211,3,0)*P186*P32</f>
        <v>0</v>
      </c>
      <c r="Q187" s="872" t="n">
        <f aca="false">M187+N187+O187+P187</f>
        <v>0</v>
      </c>
      <c r="AE187" s="1536" t="e">
        <f aca="false">#REF!*#REF!</f>
        <v>#REF!</v>
      </c>
      <c r="AF187" s="1537" t="e">
        <f aca="false">C77*I2+AE187*I1</f>
        <v>#REF!</v>
      </c>
    </row>
    <row r="188" customFormat="false" ht="14.1" hidden="false" customHeight="true" outlineLevel="0" collapsed="false">
      <c r="A188" s="1538" t="s">
        <v>2412</v>
      </c>
      <c r="B188" s="1539" t="s">
        <v>48</v>
      </c>
      <c r="C188" s="1540"/>
      <c r="D188" s="1540"/>
      <c r="E188" s="1540"/>
      <c r="F188" s="1540"/>
      <c r="G188" s="1541"/>
      <c r="H188" s="1542"/>
      <c r="I188" s="1542"/>
      <c r="J188" s="1542"/>
      <c r="K188" s="1542"/>
      <c r="L188" s="1417"/>
      <c r="M188" s="1542"/>
      <c r="N188" s="1542"/>
      <c r="O188" s="1542"/>
      <c r="P188" s="1542"/>
      <c r="Q188" s="1417"/>
      <c r="AE188" s="1294" t="e">
        <f aca="false">#REF!*C55+#REF!*C54+C52*C34</f>
        <v>#REF!</v>
      </c>
      <c r="AF188" s="1543" t="e">
        <f aca="false">C78*I2+AE188*I1</f>
        <v>#REF!</v>
      </c>
    </row>
    <row r="189" customFormat="false" ht="14.1" hidden="false" customHeight="true" outlineLevel="0" collapsed="false">
      <c r="A189" s="1538" t="s">
        <v>76</v>
      </c>
      <c r="B189" s="1544" t="s">
        <v>48</v>
      </c>
      <c r="C189" s="1540" t="n">
        <f aca="false">IF('Ввод данных'!A75=связи1!A106,1,0)</f>
        <v>0</v>
      </c>
      <c r="D189" s="1540" t="n">
        <f aca="false">IF('Ввод данных'!A454=связи1!A106,1,0)</f>
        <v>0</v>
      </c>
      <c r="E189" s="1540" t="n">
        <f aca="false">IF('Ввод данных'!A458=связи1!A106,1,0)</f>
        <v>0</v>
      </c>
      <c r="F189" s="1540" t="n">
        <f aca="false">IF('Ввод данных'!A462=связи1!A106,1,0)</f>
        <v>0</v>
      </c>
      <c r="G189" s="1541"/>
      <c r="H189" s="1542"/>
      <c r="I189" s="1542"/>
      <c r="J189" s="1542"/>
      <c r="K189" s="1542"/>
      <c r="L189" s="1417"/>
      <c r="M189" s="1542"/>
      <c r="N189" s="1542"/>
      <c r="O189" s="1542"/>
      <c r="P189" s="1542"/>
      <c r="Q189" s="1417"/>
      <c r="AE189" s="1294" t="e">
        <f aca="false">AE187*1.2</f>
        <v>#REF!</v>
      </c>
      <c r="AF189" s="1543" t="e">
        <f aca="false">C79*I2+AE189*I1</f>
        <v>#REF!</v>
      </c>
    </row>
    <row r="190" customFormat="false" ht="14.1" hidden="false" customHeight="true" outlineLevel="0" collapsed="false">
      <c r="A190" s="1538" t="s">
        <v>66</v>
      </c>
      <c r="B190" s="1544" t="s">
        <v>48</v>
      </c>
      <c r="C190" s="1540"/>
      <c r="D190" s="1540"/>
      <c r="E190" s="1540"/>
      <c r="F190" s="1540"/>
      <c r="G190" s="1541"/>
      <c r="H190" s="1542" t="n">
        <f aca="false">IF('Ввод данных'!A75=связи1!A107,1,0)</f>
        <v>1</v>
      </c>
      <c r="I190" s="1542" t="n">
        <f aca="false">IF('Ввод данных'!A454=связи1!A107,1,0)</f>
        <v>1</v>
      </c>
      <c r="J190" s="1542" t="n">
        <f aca="false">IF('Ввод данных'!A458=связи1!A107,1,0)</f>
        <v>1</v>
      </c>
      <c r="K190" s="1542" t="n">
        <f aca="false">IF('Ввод данных'!A462=связи1!A107,1,0)</f>
        <v>1</v>
      </c>
      <c r="L190" s="1417"/>
      <c r="M190" s="1542"/>
      <c r="N190" s="1542"/>
      <c r="O190" s="1542"/>
      <c r="P190" s="1542"/>
      <c r="Q190" s="1417"/>
      <c r="AF190" s="1545" t="n">
        <f aca="false">пристройка!I1</f>
        <v>0</v>
      </c>
    </row>
    <row r="191" customFormat="false" ht="14.1" hidden="false" customHeight="true" outlineLevel="0" collapsed="false">
      <c r="A191" s="1538" t="s">
        <v>2413</v>
      </c>
      <c r="B191" s="1544" t="s">
        <v>48</v>
      </c>
      <c r="C191" s="1540"/>
      <c r="D191" s="1540"/>
      <c r="E191" s="1540"/>
      <c r="F191" s="1540"/>
      <c r="G191" s="1541"/>
      <c r="H191" s="1542"/>
      <c r="I191" s="1542"/>
      <c r="J191" s="1542"/>
      <c r="K191" s="1542"/>
      <c r="L191" s="1417"/>
      <c r="M191" s="1542" t="n">
        <f aca="false">IF('Ввод данных'!A75=связи1!A108,1,0)</f>
        <v>0</v>
      </c>
      <c r="N191" s="1542" t="n">
        <f aca="false">IF('Ввод данных'!A454=связи1!A108,1,0)</f>
        <v>0</v>
      </c>
      <c r="O191" s="1542" t="n">
        <f aca="false">IF('Ввод данных'!A458=связи1!A108,1,0)</f>
        <v>0</v>
      </c>
      <c r="P191" s="1542" t="n">
        <f aca="false">IF('Ввод данных'!A462=связи1!A108,1,0)</f>
        <v>0</v>
      </c>
      <c r="Q191" s="1417"/>
      <c r="AF191" s="1545" t="n">
        <f aca="false">пристройка!I2</f>
        <v>1</v>
      </c>
    </row>
    <row r="192" customFormat="false" ht="14.1" hidden="false" customHeight="true" outlineLevel="0" collapsed="false">
      <c r="A192" s="1375" t="s">
        <v>2903</v>
      </c>
      <c r="B192" s="1546" t="s">
        <v>486</v>
      </c>
      <c r="C192" s="1547" t="n">
        <f aca="false">IF('Ввод данных'!A452=связи1!A120,1,0)</f>
        <v>0</v>
      </c>
      <c r="D192" s="1547" t="n">
        <f aca="false">IF('Ввод данных'!A456=связи1!A120,1,0)</f>
        <v>1</v>
      </c>
      <c r="E192" s="1547" t="n">
        <f aca="false">IF('Ввод данных'!A460=связи1!A120,1,0)</f>
        <v>0</v>
      </c>
      <c r="F192" s="1547" t="n">
        <f aca="false">IF('Ввод данных'!A464=связи1!A120,1,0)</f>
        <v>0</v>
      </c>
      <c r="G192" s="1541"/>
      <c r="H192" s="1548" t="n">
        <f aca="false">C192</f>
        <v>0</v>
      </c>
      <c r="I192" s="1548" t="n">
        <f aca="false">D192</f>
        <v>1</v>
      </c>
      <c r="J192" s="1548" t="n">
        <f aca="false">E192</f>
        <v>0</v>
      </c>
      <c r="K192" s="1548" t="n">
        <f aca="false">F192</f>
        <v>0</v>
      </c>
      <c r="L192" s="1417"/>
      <c r="M192" s="1548" t="n">
        <f aca="false">H192</f>
        <v>0</v>
      </c>
      <c r="N192" s="1548" t="n">
        <f aca="false">I192</f>
        <v>1</v>
      </c>
      <c r="O192" s="1548" t="n">
        <f aca="false">J192</f>
        <v>0</v>
      </c>
      <c r="P192" s="1548" t="n">
        <f aca="false">K192</f>
        <v>0</v>
      </c>
      <c r="Q192" s="1417"/>
    </row>
    <row r="193" customFormat="false" ht="14.1" hidden="false" customHeight="true" outlineLevel="0" collapsed="false">
      <c r="A193" s="1375" t="s">
        <v>2904</v>
      </c>
      <c r="B193" s="1546" t="s">
        <v>15</v>
      </c>
      <c r="C193" s="1547" t="n">
        <f aca="false">IF('Ввод данных'!A452=связи1!A121,1,0)</f>
        <v>0</v>
      </c>
      <c r="D193" s="1547" t="n">
        <f aca="false">IF('Ввод данных'!A456=связи1!A121,1,0)</f>
        <v>0</v>
      </c>
      <c r="E193" s="1547" t="n">
        <f aca="false">IF('Ввод данных'!A460=связи1!A121,1,0)</f>
        <v>0</v>
      </c>
      <c r="F193" s="1547" t="n">
        <f aca="false">IF('Ввод данных'!A464=связи1!A121,1,0)</f>
        <v>1</v>
      </c>
      <c r="G193" s="1541"/>
      <c r="H193" s="1548" t="n">
        <f aca="false">C193</f>
        <v>0</v>
      </c>
      <c r="I193" s="1548" t="n">
        <f aca="false">D193</f>
        <v>0</v>
      </c>
      <c r="J193" s="1548" t="n">
        <f aca="false">E193</f>
        <v>0</v>
      </c>
      <c r="K193" s="1548" t="n">
        <f aca="false">F193</f>
        <v>1</v>
      </c>
      <c r="L193" s="1417"/>
      <c r="M193" s="1548" t="n">
        <f aca="false">H193</f>
        <v>0</v>
      </c>
      <c r="N193" s="1548" t="n">
        <f aca="false">I193</f>
        <v>0</v>
      </c>
      <c r="O193" s="1548" t="n">
        <f aca="false">J193</f>
        <v>0</v>
      </c>
      <c r="P193" s="1548" t="n">
        <f aca="false">K193</f>
        <v>1</v>
      </c>
      <c r="Q193" s="1417"/>
    </row>
    <row r="194" customFormat="false" ht="14.1" hidden="false" customHeight="true" outlineLevel="0" collapsed="false">
      <c r="A194" s="1375" t="s">
        <v>2905</v>
      </c>
      <c r="B194" s="1546" t="s">
        <v>486</v>
      </c>
      <c r="C194" s="1547" t="n">
        <f aca="false">IF('Ввод данных'!A452=связи1!A122,1,0)</f>
        <v>0</v>
      </c>
      <c r="D194" s="1547" t="n">
        <f aca="false">IF('Ввод данных'!A456=связи1!A122,1,0)</f>
        <v>0</v>
      </c>
      <c r="E194" s="1547" t="n">
        <f aca="false">IF('Ввод данных'!A460=связи1!A122,1,0)</f>
        <v>0</v>
      </c>
      <c r="F194" s="1547" t="n">
        <f aca="false">IF('Ввод данных'!A464=связи1!A122,1,0)</f>
        <v>0</v>
      </c>
      <c r="G194" s="1541"/>
      <c r="H194" s="1548" t="n">
        <f aca="false">C194</f>
        <v>0</v>
      </c>
      <c r="I194" s="1548" t="n">
        <f aca="false">D194</f>
        <v>0</v>
      </c>
      <c r="J194" s="1548" t="n">
        <f aca="false">E194</f>
        <v>0</v>
      </c>
      <c r="K194" s="1548" t="n">
        <f aca="false">F194</f>
        <v>0</v>
      </c>
      <c r="L194" s="1417"/>
      <c r="M194" s="1548" t="n">
        <f aca="false">H194</f>
        <v>0</v>
      </c>
      <c r="N194" s="1548" t="n">
        <f aca="false">I194</f>
        <v>0</v>
      </c>
      <c r="O194" s="1548" t="n">
        <f aca="false">J194</f>
        <v>0</v>
      </c>
      <c r="P194" s="1548" t="n">
        <f aca="false">K194</f>
        <v>0</v>
      </c>
      <c r="Q194" s="1417"/>
    </row>
    <row r="195" customFormat="false" ht="14.1" hidden="false" customHeight="true" outlineLevel="0" collapsed="false">
      <c r="A195" s="1375" t="s">
        <v>2906</v>
      </c>
      <c r="B195" s="1546"/>
      <c r="C195" s="1547" t="n">
        <f aca="false">IF('Ввод данных'!A452=связи1!A123,1,0)</f>
        <v>0</v>
      </c>
      <c r="D195" s="1547" t="n">
        <f aca="false">IF('Ввод данных'!A456=связи1!A123,1,0)</f>
        <v>0</v>
      </c>
      <c r="E195" s="1547" t="n">
        <f aca="false">IF('Ввод данных'!A460=связи1!A123,1,0)</f>
        <v>1</v>
      </c>
      <c r="F195" s="1547" t="n">
        <f aca="false">IF('Ввод данных'!A464=связи1!A123,1,0)</f>
        <v>0</v>
      </c>
      <c r="G195" s="1541"/>
      <c r="H195" s="1548" t="n">
        <f aca="false">C195</f>
        <v>0</v>
      </c>
      <c r="I195" s="1548" t="n">
        <f aca="false">D195</f>
        <v>0</v>
      </c>
      <c r="J195" s="1548" t="n">
        <f aca="false">E195</f>
        <v>1</v>
      </c>
      <c r="K195" s="1548" t="n">
        <f aca="false">F195</f>
        <v>0</v>
      </c>
      <c r="L195" s="1417"/>
      <c r="M195" s="1548" t="n">
        <f aca="false">H195</f>
        <v>0</v>
      </c>
      <c r="N195" s="1548" t="n">
        <f aca="false">I195</f>
        <v>0</v>
      </c>
      <c r="O195" s="1548" t="n">
        <f aca="false">J195</f>
        <v>1</v>
      </c>
      <c r="P195" s="1548" t="n">
        <f aca="false">K195</f>
        <v>0</v>
      </c>
      <c r="Q195" s="1417"/>
    </row>
    <row r="196" customFormat="false" ht="14.1" hidden="false" customHeight="true" outlineLevel="0" collapsed="false">
      <c r="A196" s="837" t="s">
        <v>2821</v>
      </c>
      <c r="B196" s="739" t="s">
        <v>820</v>
      </c>
      <c r="C196" s="1549" t="n">
        <f aca="false">(C142+C143+C144+C145+C146+C147)*C32</f>
        <v>0</v>
      </c>
      <c r="D196" s="1549" t="n">
        <f aca="false">(D142+D143+D144+D145+D146+D147)*D32</f>
        <v>0</v>
      </c>
      <c r="E196" s="1549" t="n">
        <f aca="false">(E142+E143+E144+E145+E146+E147)*E32</f>
        <v>0</v>
      </c>
      <c r="F196" s="1549" t="n">
        <f aca="false">(F142+F143+F144+F145+F146+F147)*F32</f>
        <v>0</v>
      </c>
      <c r="G196" s="739" t="n">
        <f aca="false">C196+D196+E196+F196</f>
        <v>0</v>
      </c>
      <c r="H196" s="1549" t="n">
        <f aca="false">H77*H32</f>
        <v>0</v>
      </c>
      <c r="I196" s="1549" t="n">
        <f aca="false">I77*I32</f>
        <v>0</v>
      </c>
      <c r="J196" s="1549" t="n">
        <f aca="false">J77*J32</f>
        <v>0</v>
      </c>
      <c r="K196" s="1549" t="n">
        <f aca="false">K77*K32</f>
        <v>0</v>
      </c>
      <c r="L196" s="1550" t="n">
        <f aca="false">H196+I196+J196+K196</f>
        <v>0</v>
      </c>
      <c r="M196" s="1549" t="n">
        <f aca="false">M77*M32</f>
        <v>0</v>
      </c>
      <c r="N196" s="1549" t="n">
        <f aca="false">N77*N32</f>
        <v>0</v>
      </c>
      <c r="O196" s="1549" t="n">
        <f aca="false">O77*O32</f>
        <v>0</v>
      </c>
      <c r="P196" s="1549" t="n">
        <f aca="false">P77*P32</f>
        <v>0</v>
      </c>
      <c r="Q196" s="1550" t="n">
        <f aca="false">M196+N196+O196+P196</f>
        <v>0</v>
      </c>
      <c r="R196" s="1551" t="n">
        <f aca="false">G196+L196+Q196</f>
        <v>0</v>
      </c>
    </row>
    <row r="197" customFormat="false" ht="14.1" hidden="false" customHeight="true" outlineLevel="0" collapsed="false">
      <c r="A197" s="837" t="s">
        <v>2907</v>
      </c>
      <c r="B197" s="739"/>
      <c r="C197" s="1549"/>
      <c r="D197" s="1549"/>
      <c r="E197" s="1549"/>
      <c r="F197" s="1549"/>
      <c r="G197" s="739"/>
      <c r="H197" s="1549" t="n">
        <f aca="false">H167</f>
        <v>0</v>
      </c>
      <c r="I197" s="1549" t="n">
        <f aca="false">I167</f>
        <v>0</v>
      </c>
      <c r="J197" s="1549" t="n">
        <f aca="false">J167</f>
        <v>0</v>
      </c>
      <c r="K197" s="1549" t="n">
        <f aca="false">K167</f>
        <v>0</v>
      </c>
      <c r="L197" s="1549" t="n">
        <f aca="false">L167</f>
        <v>0</v>
      </c>
      <c r="M197" s="1549" t="n">
        <f aca="false">M167</f>
        <v>0</v>
      </c>
      <c r="N197" s="1549" t="n">
        <f aca="false">N167</f>
        <v>0</v>
      </c>
      <c r="O197" s="1549" t="n">
        <f aca="false">O167</f>
        <v>0</v>
      </c>
      <c r="P197" s="1549" t="n">
        <f aca="false">P167</f>
        <v>0</v>
      </c>
      <c r="Q197" s="1549" t="n">
        <f aca="false">Q167</f>
        <v>0</v>
      </c>
      <c r="R197" s="1551" t="n">
        <f aca="false">G197+L197+Q197</f>
        <v>0</v>
      </c>
    </row>
    <row r="198" customFormat="false" ht="14.1" hidden="false" customHeight="true" outlineLevel="0" collapsed="false">
      <c r="A198" s="1552" t="s">
        <v>2908</v>
      </c>
      <c r="B198" s="1553"/>
      <c r="C198" s="1554"/>
      <c r="D198" s="1554"/>
      <c r="E198" s="1554"/>
      <c r="F198" s="1554"/>
      <c r="G198" s="1553"/>
      <c r="H198" s="1554" t="n">
        <f aca="false">H165</f>
        <v>0</v>
      </c>
      <c r="I198" s="1554" t="n">
        <f aca="false">I165</f>
        <v>0</v>
      </c>
      <c r="J198" s="1554" t="n">
        <f aca="false">J165</f>
        <v>0</v>
      </c>
      <c r="K198" s="1554" t="n">
        <f aca="false">K165</f>
        <v>0</v>
      </c>
      <c r="L198" s="1554" t="n">
        <f aca="false">L165</f>
        <v>0</v>
      </c>
      <c r="M198" s="1554" t="n">
        <f aca="false">M165</f>
        <v>0</v>
      </c>
      <c r="N198" s="1554" t="n">
        <f aca="false">N165</f>
        <v>0</v>
      </c>
      <c r="O198" s="1554" t="n">
        <f aca="false">O165</f>
        <v>0</v>
      </c>
      <c r="P198" s="1554" t="n">
        <f aca="false">P165</f>
        <v>0</v>
      </c>
      <c r="Q198" s="1554" t="n">
        <f aca="false">Q165</f>
        <v>0</v>
      </c>
      <c r="R198" s="1551" t="n">
        <f aca="false">G198+L198+Q198</f>
        <v>0</v>
      </c>
    </row>
    <row r="199" customFormat="false" ht="14.1" hidden="false" customHeight="true" outlineLevel="0" collapsed="false">
      <c r="A199" s="837" t="s">
        <v>2909</v>
      </c>
      <c r="B199" s="739" t="s">
        <v>1043</v>
      </c>
      <c r="C199" s="837" t="n">
        <f aca="false">((C76/C81+1)*C68+C68)*VLOOKUP(A212,связи1!A406:E415,5,0)*C32</f>
        <v>0</v>
      </c>
      <c r="D199" s="837" t="n">
        <f aca="false">((D76/D81+1)*D68+D68)*VLOOKUP(A212,связи1!A406:E415,5,0)*D32</f>
        <v>0</v>
      </c>
      <c r="E199" s="837" t="n">
        <f aca="false">((E76/E81+1)*E68+E68)*VLOOKUP(A212,связи1!A406:E415,5,0)*E32</f>
        <v>0</v>
      </c>
      <c r="F199" s="837" t="n">
        <f aca="false">((F76/F81+1)*F68+F68)*VLOOKUP(A212,связи1!A406:E415,5,0)*F32</f>
        <v>0</v>
      </c>
      <c r="G199" s="739" t="n">
        <f aca="false">C199+D199+E199+F199</f>
        <v>0</v>
      </c>
      <c r="H199" s="837" t="n">
        <f aca="false">((H76/H81+1)*H71+(H76/H81+1)*H72)*VLOOKUP(A212,связи1!A406:E415,5,0)*H32</f>
        <v>0</v>
      </c>
      <c r="I199" s="837" t="n">
        <f aca="false">((I76/I81+1)*I71+(I76/I81+1)*I72)*VLOOKUP(A212,связи1!A406:E415,5,0)*I32</f>
        <v>0</v>
      </c>
      <c r="J199" s="837" t="n">
        <f aca="false">((J76/J81+1)*J71+(J76/J81+1)*J72)*VLOOKUP(A212,связи1!A406:E415,5,0)*J32</f>
        <v>0</v>
      </c>
      <c r="K199" s="837" t="n">
        <f aca="false">((K76/K81+1)*K71+(K76/K81+1)*K72)*VLOOKUP(A212,связи1!A406:E415,5,0)*K32</f>
        <v>0</v>
      </c>
      <c r="L199" s="1550" t="n">
        <f aca="false">H199+I199+J199+K199</f>
        <v>0</v>
      </c>
      <c r="M199" s="837" t="n">
        <f aca="false">((M76/M81+1)*M73+(M76/M81+1)*M75+M59+M60+M76*3+M34+M52+M53+(M76/1.5*M41))*VLOOKUP(A212,связи1!A406:E415,5,0)*M32</f>
        <v>0</v>
      </c>
      <c r="N199" s="837" t="n">
        <f aca="false">((N76/N81+1)*N73+(N76/N81+1)*N75+N59+N60+N76*3+N34+N52+N53+(N76/1.5*N41))*VLOOKUP(A212,связи1!A406:E415,5,0)*N32</f>
        <v>0</v>
      </c>
      <c r="O199" s="837" t="n">
        <f aca="false">((O76/O81+1)*O73+(O76/O81+1)*O75+O59+O60+O76*3+O34+O52+O53+(O76/1.5*O41))*VLOOKUP(A212,связи1!A406:E415,5,0)*O32</f>
        <v>0</v>
      </c>
      <c r="P199" s="837" t="n">
        <f aca="false">((P76/P81+1)*P73+(P76/P81+1)*P75+P59+P60+P76*3+P34+P52+P53+(P76/1.5*P41))*VLOOKUP(A212,связи1!A406:E415,5,0)*P32</f>
        <v>0</v>
      </c>
      <c r="Q199" s="1550" t="n">
        <f aca="false">M199+N199+O199+P199</f>
        <v>0</v>
      </c>
      <c r="R199" s="1551" t="n">
        <f aca="false">G199+L199+Q199</f>
        <v>0</v>
      </c>
    </row>
    <row r="200" customFormat="false" ht="14.1" hidden="false" customHeight="true" outlineLevel="0" collapsed="false">
      <c r="A200" s="837" t="s">
        <v>2910</v>
      </c>
      <c r="B200" s="739" t="s">
        <v>15</v>
      </c>
      <c r="C200" s="837" t="n">
        <f aca="false">C76*VLOOKUP(A212,связи1!A406:E415,5,0)*C32</f>
        <v>0</v>
      </c>
      <c r="D200" s="837" t="n">
        <f aca="false">D76*VLOOKUP(A212,связи1!A406:E415,5,0)*D32</f>
        <v>0</v>
      </c>
      <c r="E200" s="837" t="n">
        <f aca="false">E76*VLOOKUP(A212,связи1!A406:E415,5,0)*E32</f>
        <v>0</v>
      </c>
      <c r="F200" s="837" t="n">
        <f aca="false">F76*VLOOKUP(A212,связи1!A406:E415,5,0)*F32</f>
        <v>0</v>
      </c>
      <c r="G200" s="739" t="n">
        <f aca="false">C200+D200+E200+F200</f>
        <v>0</v>
      </c>
      <c r="H200" s="837" t="n">
        <f aca="false">((H76/H81+1)*H56+(H72-H53)*(H76/H81))*VLOOKUP(A212,связи1!A406:E415,5,0)*H32</f>
        <v>0</v>
      </c>
      <c r="I200" s="837" t="n">
        <f aca="false">((I76/I81+1)*I56+(I72-I53)*(I76/I81))*VLOOKUP(A212,связи1!A406:E415,5,0)*I32</f>
        <v>0</v>
      </c>
      <c r="J200" s="837" t="n">
        <f aca="false">((J76/J81+1)*J56+(J72-J53)*(J76/J81))*VLOOKUP(A212,связи1!A406:E415,5,0)*J32</f>
        <v>0</v>
      </c>
      <c r="K200" s="837" t="n">
        <f aca="false">((K76/K81+1)*K56+(K72-K53)*(K76/K81))*VLOOKUP(A212,связи1!A406:E415,5,0)*K32</f>
        <v>0</v>
      </c>
      <c r="L200" s="1550" t="n">
        <f aca="false">H200+I200+J200+K200</f>
        <v>0</v>
      </c>
      <c r="M200" s="837" t="n">
        <f aca="false">((M76/M81+1)*M56+(M75-M53)*(M76/M81))*VLOOKUP(A212,связи1!A406:E415,5,0)*M32</f>
        <v>0</v>
      </c>
      <c r="N200" s="837" t="n">
        <f aca="false">((N76/N81+1)*N56+(N75-N53)*(N76/N81))*VLOOKUP(A212,связи1!A406:E415,5,0)*N32</f>
        <v>0</v>
      </c>
      <c r="O200" s="837" t="n">
        <f aca="false">((O76/O81+1)*O56+(O75-O53)*(O76/O81))*VLOOKUP(A212,связи1!A406:E415,5,0)*O32</f>
        <v>0</v>
      </c>
      <c r="P200" s="837" t="n">
        <f aca="false">((P76/P81+1)*P56+(P75-P53)*(P76/P81))*VLOOKUP(A212,связи1!A406:E415,5,0)*P32</f>
        <v>0</v>
      </c>
      <c r="Q200" s="1550" t="n">
        <f aca="false">M200+N200+O200+P200</f>
        <v>0</v>
      </c>
      <c r="R200" s="1551" t="n">
        <f aca="false">G200+L200+Q200</f>
        <v>0</v>
      </c>
    </row>
    <row r="201" customFormat="false" ht="14.1" hidden="false" customHeight="true" outlineLevel="0" collapsed="false">
      <c r="A201" s="837" t="s">
        <v>249</v>
      </c>
      <c r="B201" s="739"/>
      <c r="C201" s="837"/>
      <c r="D201" s="837"/>
      <c r="E201" s="837"/>
      <c r="F201" s="837"/>
      <c r="G201" s="739" t="n">
        <v>0</v>
      </c>
      <c r="H201" s="837" t="n">
        <f aca="false">H76</f>
        <v>0</v>
      </c>
      <c r="I201" s="837" t="n">
        <f aca="false">I76</f>
        <v>0</v>
      </c>
      <c r="J201" s="837" t="n">
        <f aca="false">J76</f>
        <v>0</v>
      </c>
      <c r="K201" s="837" t="n">
        <f aca="false">K76</f>
        <v>0</v>
      </c>
      <c r="L201" s="1550" t="n">
        <f aca="false">H201+I201+J201+K201</f>
        <v>0</v>
      </c>
      <c r="M201" s="837" t="n">
        <f aca="false">(M76+M166+M59+M60)*M32</f>
        <v>0</v>
      </c>
      <c r="N201" s="837" t="n">
        <f aca="false">(N76+N166+N59+N60)*N32</f>
        <v>0</v>
      </c>
      <c r="O201" s="837" t="n">
        <f aca="false">(O76+O166+O59+O60)*O32</f>
        <v>0</v>
      </c>
      <c r="P201" s="837" t="n">
        <f aca="false">(P76+P166+P59+P60)*P32</f>
        <v>0</v>
      </c>
      <c r="Q201" s="1550" t="n">
        <f aca="false">M201+N201+O201+P201</f>
        <v>0</v>
      </c>
      <c r="R201" s="1551" t="n">
        <f aca="false">G201+L201+Q201</f>
        <v>0</v>
      </c>
    </row>
    <row r="202" customFormat="false" ht="14.1" hidden="false" customHeight="true" outlineLevel="0" collapsed="false">
      <c r="A202" s="837" t="s">
        <v>2911</v>
      </c>
      <c r="B202" s="739" t="s">
        <v>15</v>
      </c>
      <c r="C202" s="837" t="n">
        <f aca="false">C76*1.1*2*C32</f>
        <v>0</v>
      </c>
      <c r="D202" s="837" t="n">
        <f aca="false">D76*1.1*2*D32</f>
        <v>0</v>
      </c>
      <c r="E202" s="837" t="n">
        <f aca="false">E76*1.1*2*E32</f>
        <v>0</v>
      </c>
      <c r="F202" s="837" t="n">
        <f aca="false">F76*1.1*2*F32</f>
        <v>0</v>
      </c>
      <c r="G202" s="739" t="n">
        <f aca="false">C202+D202+E202+F202</f>
        <v>0</v>
      </c>
      <c r="H202" s="837" t="n">
        <f aca="false">H76*1.1*4*H32</f>
        <v>0</v>
      </c>
      <c r="I202" s="837" t="n">
        <f aca="false">I76*1.1*4*I32</f>
        <v>0</v>
      </c>
      <c r="J202" s="837" t="n">
        <f aca="false">J76*1.1*4*J32</f>
        <v>0</v>
      </c>
      <c r="K202" s="837" t="n">
        <f aca="false">K76*1.1*4*K32</f>
        <v>0</v>
      </c>
      <c r="L202" s="1550" t="n">
        <f aca="false">H202+I202+J202+K202</f>
        <v>0</v>
      </c>
      <c r="M202" s="837" t="n">
        <f aca="false">M76*1.1*4*M32</f>
        <v>0</v>
      </c>
      <c r="N202" s="837" t="n">
        <f aca="false">N76*1.1*4*N32</f>
        <v>0</v>
      </c>
      <c r="O202" s="837" t="n">
        <f aca="false">O76*1.1*4*O32</f>
        <v>0</v>
      </c>
      <c r="P202" s="837" t="n">
        <f aca="false">P76*1.1*4*P32</f>
        <v>0</v>
      </c>
      <c r="Q202" s="1550" t="n">
        <f aca="false">M202+N202+O202+P202</f>
        <v>0</v>
      </c>
      <c r="R202" s="1551" t="n">
        <f aca="false">G202+L202+Q202</f>
        <v>0</v>
      </c>
    </row>
    <row r="203" customFormat="false" ht="14.1" hidden="false" customHeight="true" outlineLevel="0" collapsed="false">
      <c r="A203" s="1555" t="s">
        <v>1728</v>
      </c>
      <c r="B203" s="1556" t="s">
        <v>15</v>
      </c>
      <c r="C203" s="837" t="n">
        <f aca="false">(C35+C40)*C32</f>
        <v>0</v>
      </c>
      <c r="D203" s="837" t="n">
        <f aca="false">(D35+D40)*D32</f>
        <v>0</v>
      </c>
      <c r="E203" s="837" t="n">
        <f aca="false">(E35+E40)*E32</f>
        <v>0</v>
      </c>
      <c r="F203" s="837" t="n">
        <f aca="false">(F35+F40)*F32</f>
        <v>0</v>
      </c>
      <c r="G203" s="739" t="n">
        <f aca="false">C203+D203+E203+F203</f>
        <v>0</v>
      </c>
      <c r="H203" s="837" t="n">
        <f aca="false">(H35+H40)*H32</f>
        <v>0</v>
      </c>
      <c r="I203" s="837" t="n">
        <f aca="false">(I35+I40)*I32</f>
        <v>0</v>
      </c>
      <c r="J203" s="837" t="n">
        <f aca="false">(J35+J40)*J32</f>
        <v>0</v>
      </c>
      <c r="K203" s="837" t="n">
        <f aca="false">(K35+K40)*K32</f>
        <v>0</v>
      </c>
      <c r="L203" s="1550" t="n">
        <f aca="false">H203+I203+J203+K203</f>
        <v>0</v>
      </c>
      <c r="M203" s="837" t="n">
        <f aca="false">(M35+M40)*M32*1.1</f>
        <v>0</v>
      </c>
      <c r="N203" s="837" t="n">
        <f aca="false">(N35+N40)*N32*1.1</f>
        <v>0</v>
      </c>
      <c r="O203" s="837" t="n">
        <f aca="false">(O35+O40)*O32*1.1</f>
        <v>0</v>
      </c>
      <c r="P203" s="837" t="n">
        <f aca="false">(P35+P40)*P32*1.1</f>
        <v>0</v>
      </c>
      <c r="Q203" s="1550" t="n">
        <f aca="false">M203+N203+O203+P203</f>
        <v>0</v>
      </c>
      <c r="R203" s="1551" t="n">
        <f aca="false">G203+L203+Q203</f>
        <v>0</v>
      </c>
    </row>
    <row r="204" customFormat="false" ht="14.1" hidden="false" customHeight="true" outlineLevel="0" collapsed="false">
      <c r="A204" s="1555" t="s">
        <v>2137</v>
      </c>
      <c r="B204" s="1556" t="s">
        <v>15</v>
      </c>
      <c r="C204" s="837" t="n">
        <f aca="false">C32*(C34)</f>
        <v>0</v>
      </c>
      <c r="D204" s="837" t="n">
        <f aca="false">D32*(D34)</f>
        <v>0</v>
      </c>
      <c r="E204" s="837" t="n">
        <f aca="false">E32*(E34)</f>
        <v>0</v>
      </c>
      <c r="F204" s="837" t="n">
        <f aca="false">F32*(F34)</f>
        <v>0</v>
      </c>
      <c r="G204" s="739" t="n">
        <f aca="false">C204+D204+E204+F204</f>
        <v>0</v>
      </c>
      <c r="H204" s="837" t="n">
        <f aca="false">H32*(H33*2)</f>
        <v>0</v>
      </c>
      <c r="I204" s="837" t="n">
        <f aca="false">I32*(I33*2)</f>
        <v>0</v>
      </c>
      <c r="J204" s="837" t="n">
        <f aca="false">J32*(J33*2)</f>
        <v>0</v>
      </c>
      <c r="K204" s="837" t="n">
        <f aca="false">K32*(K33*2)</f>
        <v>0</v>
      </c>
      <c r="L204" s="1550" t="n">
        <f aca="false">H204+I204+J204+K204</f>
        <v>0</v>
      </c>
      <c r="M204" s="837" t="n">
        <f aca="false">M32*(M33+M33+M34)</f>
        <v>0</v>
      </c>
      <c r="N204" s="837" t="n">
        <f aca="false">N32*(N33+N33+N34)</f>
        <v>0</v>
      </c>
      <c r="O204" s="837" t="n">
        <f aca="false">O32*(O33+O33+O34)</f>
        <v>0</v>
      </c>
      <c r="P204" s="837" t="n">
        <f aca="false">P32*(P33+P33+P34)</f>
        <v>0</v>
      </c>
      <c r="Q204" s="1550" t="n">
        <f aca="false">M204+N204+O204+P204</f>
        <v>0</v>
      </c>
      <c r="R204" s="1551" t="n">
        <f aca="false">G204+L204+Q204</f>
        <v>0</v>
      </c>
    </row>
    <row r="205" customFormat="false" ht="14.1" hidden="false" customHeight="true" outlineLevel="0" collapsed="false">
      <c r="A205" s="1555" t="s">
        <v>2912</v>
      </c>
      <c r="B205" s="1556" t="s">
        <v>15</v>
      </c>
      <c r="C205" s="1557" t="n">
        <f aca="false">C76*1.1*C32</f>
        <v>0</v>
      </c>
      <c r="D205" s="1557" t="n">
        <f aca="false">D76*1.1*D32</f>
        <v>0</v>
      </c>
      <c r="E205" s="1557" t="n">
        <f aca="false">E76*1.1*E32</f>
        <v>0</v>
      </c>
      <c r="F205" s="1557" t="n">
        <f aca="false">F76*1.1*F32</f>
        <v>0</v>
      </c>
      <c r="G205" s="739" t="n">
        <f aca="false">C205+D205+E205+F205</f>
        <v>0</v>
      </c>
      <c r="H205" s="1557" t="n">
        <f aca="false">IF(H164&gt;0,H164*2,(H71+H72)*1.1*H32)</f>
        <v>0</v>
      </c>
      <c r="I205" s="1557" t="n">
        <f aca="false">IF(I164&gt;0,I164*2,(I71+I72)*1.1*I32)</f>
        <v>0</v>
      </c>
      <c r="J205" s="1557" t="n">
        <f aca="false">IF(J164&gt;0,J164*2,(J71+J72)*1.1*J32)</f>
        <v>0</v>
      </c>
      <c r="K205" s="1557" t="n">
        <f aca="false">IF(K164&gt;0,K164*2,(K71+K72)*1.1*K32)</f>
        <v>0</v>
      </c>
      <c r="L205" s="1550" t="n">
        <f aca="false">H205+I205+J205+K205</f>
        <v>0</v>
      </c>
      <c r="M205" s="1557" t="n">
        <f aca="false">IF(M164&gt;0,M164*2,(M71+M72)*1.1*M32)</f>
        <v>0</v>
      </c>
      <c r="N205" s="1557" t="n">
        <f aca="false">IF(N164&gt;0,N164*2,(N71+N72)*1.1*N32)</f>
        <v>0</v>
      </c>
      <c r="O205" s="1557" t="n">
        <f aca="false">IF(O164&gt;0,O164*2,(O71+O72)*1.1*O32)</f>
        <v>0</v>
      </c>
      <c r="P205" s="1557" t="n">
        <f aca="false">IF(P164&gt;0,P164*2,(P71+P72)*1.1*P32)</f>
        <v>0</v>
      </c>
      <c r="Q205" s="1550" t="n">
        <f aca="false">M205+N205+O205+P205</f>
        <v>0</v>
      </c>
      <c r="R205" s="1551" t="n">
        <f aca="false">G205+L205+Q205</f>
        <v>0</v>
      </c>
    </row>
    <row r="206" customFormat="false" ht="14.1" hidden="false" customHeight="true" outlineLevel="0" collapsed="false">
      <c r="A206" s="1555" t="s">
        <v>2913</v>
      </c>
      <c r="B206" s="1556"/>
      <c r="C206" s="1557"/>
      <c r="D206" s="1557"/>
      <c r="E206" s="1557"/>
      <c r="F206" s="1557"/>
      <c r="G206" s="739"/>
      <c r="H206" s="1557" t="n">
        <f aca="false">H205</f>
        <v>0</v>
      </c>
      <c r="I206" s="1557" t="n">
        <f aca="false">I205</f>
        <v>0</v>
      </c>
      <c r="J206" s="1557" t="n">
        <f aca="false">J205</f>
        <v>0</v>
      </c>
      <c r="K206" s="1557" t="n">
        <f aca="false">K205</f>
        <v>0</v>
      </c>
      <c r="L206" s="1550" t="n">
        <f aca="false">H206+I206+J206+K206</f>
        <v>0</v>
      </c>
      <c r="M206" s="1557" t="n">
        <f aca="false">M205</f>
        <v>0</v>
      </c>
      <c r="N206" s="1557" t="n">
        <f aca="false">N205</f>
        <v>0</v>
      </c>
      <c r="O206" s="1557" t="n">
        <f aca="false">O205</f>
        <v>0</v>
      </c>
      <c r="P206" s="1557" t="n">
        <f aca="false">P205</f>
        <v>0</v>
      </c>
      <c r="Q206" s="1550" t="n">
        <f aca="false">M206+N206+O206+P206</f>
        <v>0</v>
      </c>
      <c r="R206" s="1551" t="n">
        <f aca="false">G206+L206+Q206</f>
        <v>0</v>
      </c>
    </row>
    <row r="207" customFormat="false" ht="14.1" hidden="false" customHeight="true" outlineLevel="0" collapsed="false">
      <c r="A207" s="1555" t="s">
        <v>2914</v>
      </c>
      <c r="B207" s="1556" t="s">
        <v>15</v>
      </c>
      <c r="C207" s="1557" t="n">
        <f aca="false">C76*1.1*C32+C68*2*1.1*C32</f>
        <v>0</v>
      </c>
      <c r="D207" s="1557" t="n">
        <f aca="false">D76*1.1*D32+D68*2*1.1*D32</f>
        <v>0</v>
      </c>
      <c r="E207" s="1557" t="n">
        <f aca="false">E76*1.1*E32+E68*2*1.1*E32</f>
        <v>0</v>
      </c>
      <c r="F207" s="1557" t="n">
        <f aca="false">F76*1.1*F32+F68*2*1.1*F32</f>
        <v>0</v>
      </c>
      <c r="G207" s="739" t="n">
        <f aca="false">C207+D207+E207+F207</f>
        <v>0</v>
      </c>
      <c r="H207" s="1557" t="n">
        <f aca="false">(H71+H72)*1.1*H32</f>
        <v>0</v>
      </c>
      <c r="I207" s="1557" t="n">
        <f aca="false">(I71+I72)*1.1*I32</f>
        <v>0</v>
      </c>
      <c r="J207" s="1557" t="n">
        <f aca="false">(J71+J72)*1.1*J32</f>
        <v>0</v>
      </c>
      <c r="K207" s="1557" t="n">
        <f aca="false">(K71+K72)*1.1*K32</f>
        <v>0</v>
      </c>
      <c r="L207" s="1550" t="n">
        <f aca="false">H207+I207+J207+K207</f>
        <v>0</v>
      </c>
      <c r="M207" s="1557"/>
      <c r="N207" s="1557"/>
      <c r="O207" s="1557"/>
      <c r="P207" s="1557"/>
      <c r="Q207" s="1550" t="n">
        <f aca="false">M207+N207+O207+P207</f>
        <v>0</v>
      </c>
      <c r="R207" s="1551" t="n">
        <f aca="false">G207+L207+Q207</f>
        <v>0</v>
      </c>
    </row>
    <row r="208" customFormat="false" ht="14.1" hidden="false" customHeight="true" outlineLevel="0" collapsed="false">
      <c r="A208" s="1558" t="s">
        <v>2830</v>
      </c>
      <c r="B208" s="1556" t="s">
        <v>15</v>
      </c>
      <c r="C208" s="837" t="n">
        <f aca="false">C65*C82*C32</f>
        <v>0</v>
      </c>
      <c r="D208" s="837" t="n">
        <f aca="false">D65*D82*D32</f>
        <v>0</v>
      </c>
      <c r="E208" s="837" t="n">
        <f aca="false">E65*E82*E32</f>
        <v>0</v>
      </c>
      <c r="F208" s="837" t="n">
        <f aca="false">F65*F82*F32</f>
        <v>0</v>
      </c>
      <c r="G208" s="739" t="n">
        <f aca="false">C208+D208+E208+F208</f>
        <v>0</v>
      </c>
      <c r="H208" s="837" t="n">
        <f aca="false">H65*H82*H32</f>
        <v>0</v>
      </c>
      <c r="I208" s="837" t="n">
        <f aca="false">I65*I82*I32</f>
        <v>0</v>
      </c>
      <c r="J208" s="837" t="n">
        <f aca="false">J65*J82*J32</f>
        <v>0</v>
      </c>
      <c r="K208" s="837" t="n">
        <f aca="false">K65*K82*K32</f>
        <v>0</v>
      </c>
      <c r="L208" s="1550" t="n">
        <f aca="false">H208+I208+J208+K208</f>
        <v>0</v>
      </c>
      <c r="M208" s="837" t="n">
        <f aca="false">M65*M82*M32</f>
        <v>0</v>
      </c>
      <c r="N208" s="837" t="n">
        <f aca="false">N65*N82*N32</f>
        <v>0</v>
      </c>
      <c r="O208" s="837" t="n">
        <f aca="false">O65*O82*O32</f>
        <v>0</v>
      </c>
      <c r="P208" s="837" t="n">
        <f aca="false">P65*P82*P32</f>
        <v>0</v>
      </c>
      <c r="Q208" s="1550" t="n">
        <f aca="false">M208+N208+O208+P208</f>
        <v>0</v>
      </c>
      <c r="R208" s="1551" t="n">
        <f aca="false">G208+L208+Q208</f>
        <v>0</v>
      </c>
    </row>
    <row r="209" customFormat="false" ht="14.1" hidden="false" customHeight="true" outlineLevel="0" collapsed="false">
      <c r="A209" s="1559" t="s">
        <v>2246</v>
      </c>
      <c r="B209" s="1560" t="s">
        <v>1738</v>
      </c>
      <c r="C209" s="1559" t="s">
        <v>118</v>
      </c>
      <c r="D209" s="1559" t="s">
        <v>2915</v>
      </c>
      <c r="E209" s="1559" t="s">
        <v>2916</v>
      </c>
      <c r="F209" s="1559"/>
      <c r="G209" s="1561"/>
      <c r="H209" s="1562" t="s">
        <v>2007</v>
      </c>
      <c r="I209" s="1559" t="s">
        <v>1738</v>
      </c>
      <c r="J209" s="1559" t="s">
        <v>118</v>
      </c>
      <c r="K209" s="1559" t="s">
        <v>2190</v>
      </c>
      <c r="L209" s="1563" t="s">
        <v>2916</v>
      </c>
    </row>
    <row r="210" customFormat="false" ht="14.1" hidden="false" customHeight="true" outlineLevel="0" collapsed="false">
      <c r="A210" s="1563" t="str">
        <f aca="false">'Ввод данных'!A484</f>
        <v>Доска сухая калиброванная, 190*45мм</v>
      </c>
      <c r="B210" s="1564" t="s">
        <v>1043</v>
      </c>
      <c r="C210" s="1565" t="n">
        <f aca="false">(G187+L187+Q187)*G183</f>
        <v>0</v>
      </c>
      <c r="D210" s="1563" t="n">
        <f aca="false">VLOOKUP(A210,связи1!F201:H211,2,0)</f>
        <v>12500</v>
      </c>
      <c r="E210" s="1566" t="n">
        <f aca="false">C210*D210</f>
        <v>0</v>
      </c>
      <c r="F210" s="1567"/>
      <c r="G210" s="1568"/>
      <c r="H210" s="1569" t="str">
        <f aca="false">'Прайс лист'!B1560</f>
        <v>монтаж мауэрлат</v>
      </c>
      <c r="I210" s="1563" t="s">
        <v>15</v>
      </c>
      <c r="J210" s="1563" t="n">
        <f aca="false">(G186+L186+Q186)*G184</f>
        <v>0</v>
      </c>
      <c r="K210" s="1563" t="n">
        <f aca="false">'Прайс лист'!G1560</f>
        <v>250</v>
      </c>
      <c r="L210" s="1563" t="n">
        <f aca="false">J210*K210</f>
        <v>0</v>
      </c>
    </row>
    <row r="211" customFormat="false" ht="14.1" hidden="false" customHeight="true" outlineLevel="0" collapsed="false">
      <c r="A211" s="1563" t="str">
        <f aca="false">'Прайс лист'!B714</f>
        <v>Болты анкерные с гайкой 12,0 х 280          </v>
      </c>
      <c r="B211" s="1564" t="s">
        <v>48</v>
      </c>
      <c r="C211" s="1565" t="n">
        <f aca="false">(G186+L186+Q186)*G183*2</f>
        <v>0</v>
      </c>
      <c r="D211" s="1563" t="n">
        <f aca="false">'Прайс лист'!G714</f>
        <v>27.1</v>
      </c>
      <c r="E211" s="1563" t="n">
        <f aca="false">C211*D211</f>
        <v>0</v>
      </c>
      <c r="F211" s="1567"/>
      <c r="G211" s="1570"/>
      <c r="H211" s="1569" t="str">
        <f aca="false">'Прайс лист'!B1561</f>
        <v>монтаж стропил</v>
      </c>
      <c r="I211" s="1563" t="s">
        <v>820</v>
      </c>
      <c r="J211" s="1563" t="n">
        <f aca="false">(G196+L196+Q196)*G184*IF(A212=связи1!A406,0,1)</f>
        <v>0</v>
      </c>
      <c r="K211" s="1563" t="n">
        <f aca="false">'Прайс лист'!G1561</f>
        <v>450</v>
      </c>
      <c r="L211" s="1563" t="n">
        <f aca="false">J211*K211</f>
        <v>0</v>
      </c>
    </row>
    <row r="212" customFormat="false" ht="14.1" hidden="false" customHeight="true" outlineLevel="0" collapsed="false">
      <c r="A212" s="1563" t="str">
        <f aca="false">'Ввод данных'!A486</f>
        <v>Доска сухая, 200*50мм</v>
      </c>
      <c r="B212" s="1564" t="s">
        <v>1043</v>
      </c>
      <c r="C212" s="1565" t="n">
        <f aca="false">(G199+L199+Q199)*G183</f>
        <v>0</v>
      </c>
      <c r="D212" s="1563" t="n">
        <f aca="false">VLOOKUP(A212,связи1!A406:E415,2,0)</f>
        <v>9000</v>
      </c>
      <c r="E212" s="1563" t="n">
        <f aca="false">C212*D212</f>
        <v>0</v>
      </c>
      <c r="F212" s="1567"/>
      <c r="G212" s="1570"/>
      <c r="H212" s="1569" t="str">
        <f aca="false">'Прайс лист'!B1562</f>
        <v>обрешетка</v>
      </c>
      <c r="I212" s="1563" t="s">
        <v>820</v>
      </c>
      <c r="J212" s="1563" t="n">
        <f aca="false">(G196+L196+Q196)*G184*IF(A214=связи1!A431,0,1)</f>
        <v>0</v>
      </c>
      <c r="K212" s="1563" t="n">
        <f aca="false">'Прайс лист'!G1562</f>
        <v>100</v>
      </c>
      <c r="L212" s="1563" t="n">
        <f aca="false">J212*K212</f>
        <v>0</v>
      </c>
    </row>
    <row r="213" customFormat="false" ht="14.1" hidden="false" customHeight="true" outlineLevel="0" collapsed="false">
      <c r="A213" s="1563" t="s">
        <v>2917</v>
      </c>
      <c r="B213" s="1564" t="s">
        <v>1043</v>
      </c>
      <c r="C213" s="1565" t="n">
        <f aca="false">(G200+L200+Q200)*G183</f>
        <v>0</v>
      </c>
      <c r="D213" s="1563" t="n">
        <f aca="false">VLOOKUP(A212,связи1!A406:E415,2,0)</f>
        <v>9000</v>
      </c>
      <c r="E213" s="1563" t="n">
        <f aca="false">C213*D213</f>
        <v>0</v>
      </c>
      <c r="F213" s="1567" t="n">
        <f aca="false">IF('Ввод данных'!A77=связи1!A6,1,0)</f>
        <v>1</v>
      </c>
      <c r="G213" s="1570"/>
      <c r="H213" s="1569" t="str">
        <f aca="false">'Прайс лист'!B1563</f>
        <v>контробеш</v>
      </c>
      <c r="I213" s="1563" t="s">
        <v>820</v>
      </c>
      <c r="J213" s="1563" t="n">
        <f aca="false">(G196+L196+Q196)*G184*IF(A215=связи1!A417,0,1)</f>
        <v>0</v>
      </c>
      <c r="K213" s="1563" t="n">
        <f aca="false">'Прайс лист'!G1563</f>
        <v>100</v>
      </c>
      <c r="L213" s="1563" t="n">
        <f aca="false">J213*K213</f>
        <v>0</v>
      </c>
    </row>
    <row r="214" customFormat="false" ht="14.1" hidden="false" customHeight="true" outlineLevel="0" collapsed="false">
      <c r="A214" s="1563" t="str">
        <f aca="false">'Ввод данных'!A488</f>
        <v>Сосна влаж,100*25мм</v>
      </c>
      <c r="B214" s="1564" t="s">
        <v>1043</v>
      </c>
      <c r="C214" s="1565" t="n">
        <f aca="false">(G196+L196+Q196)*4*VLOOKUP(A214,связи1!A431:F439,5,0)*G183</f>
        <v>0</v>
      </c>
      <c r="D214" s="1563" t="n">
        <f aca="false">VLOOKUP(A214,связи1!A431:F439,6,0)</f>
        <v>6500</v>
      </c>
      <c r="E214" s="1563" t="n">
        <f aca="false">C214*D214</f>
        <v>0</v>
      </c>
      <c r="F214" s="1567" t="n">
        <f aca="false">IF('Ввод данных'!A77=связи1!A7,1,0)</f>
        <v>0</v>
      </c>
      <c r="G214" s="1570"/>
      <c r="H214" s="1569" t="str">
        <f aca="false">'Прайс лист'!B1564</f>
        <v>мембрана</v>
      </c>
      <c r="I214" s="1563" t="s">
        <v>820</v>
      </c>
      <c r="J214" s="1563" t="n">
        <f aca="false">(G196+L196+Q196)*G184*IF(A216='Прайс лист'!B649,0,1)</f>
        <v>0</v>
      </c>
      <c r="K214" s="1563" t="n">
        <f aca="false">'Прайс лист'!G1564</f>
        <v>100</v>
      </c>
      <c r="L214" s="1563" t="n">
        <f aca="false">J214*K214</f>
        <v>0</v>
      </c>
    </row>
    <row r="215" customFormat="false" ht="14.1" hidden="false" customHeight="true" outlineLevel="0" collapsed="false">
      <c r="A215" s="1563" t="str">
        <f aca="false">'Ввод данных'!A490</f>
        <v>Доска сухая, калибр., 35*45мм</v>
      </c>
      <c r="B215" s="1564" t="s">
        <v>48</v>
      </c>
      <c r="C215" s="1565" t="n">
        <f aca="false">(G196+L196+Q196)*1.7*VLOOKUP(A215,связи1!A417:E420,5,0)*G183</f>
        <v>0</v>
      </c>
      <c r="D215" s="1563" t="n">
        <f aca="false">VLOOKUP(A215,связи1!A417:D420,2,0)</f>
        <v>12500</v>
      </c>
      <c r="E215" s="1563" t="n">
        <f aca="false">C215*D215</f>
        <v>0</v>
      </c>
      <c r="F215" s="1567" t="n">
        <f aca="false">IF('Ввод данных'!A77=связи1!A8,1,0)</f>
        <v>0</v>
      </c>
      <c r="G215" s="1570"/>
      <c r="H215" s="1569" t="str">
        <f aca="false">'Прайс лист'!B1565</f>
        <v>пароизоляц</v>
      </c>
      <c r="I215" s="1563" t="s">
        <v>820</v>
      </c>
      <c r="J215" s="1563" t="n">
        <f aca="false">J211*G184*IF(A217='Прайс лист'!B676,0,1)</f>
        <v>0</v>
      </c>
      <c r="K215" s="1563" t="n">
        <f aca="false">'Прайс лист'!G1565</f>
        <v>100</v>
      </c>
      <c r="L215" s="1563" t="n">
        <f aca="false">J215*K215</f>
        <v>0</v>
      </c>
    </row>
    <row r="216" customFormat="false" ht="14.1" hidden="false" customHeight="true" outlineLevel="0" collapsed="false">
      <c r="A216" s="1563" t="str">
        <f aca="false">'Ввод данных'!A496</f>
        <v>Мембраны Tyvek Soft</v>
      </c>
      <c r="B216" s="1564" t="s">
        <v>820</v>
      </c>
      <c r="C216" s="1565" t="n">
        <f aca="false">(G196+L196+Q196)*1.3*G183</f>
        <v>0</v>
      </c>
      <c r="D216" s="1563" t="n">
        <f aca="false">VLOOKUP(A216,'Прайс лист'!B649:G675,6,0)</f>
        <v>86</v>
      </c>
      <c r="E216" s="1563" t="n">
        <f aca="false">C216*D216</f>
        <v>0</v>
      </c>
      <c r="F216" s="1567"/>
      <c r="G216" s="1570"/>
      <c r="H216" s="1569" t="str">
        <f aca="false">'Прайс лист'!B1566</f>
        <v>утеплитель</v>
      </c>
      <c r="I216" s="1563" t="s">
        <v>820</v>
      </c>
      <c r="J216" s="1563" t="n">
        <f aca="false">J211*G184*IF(A218='Прайс лист'!B600,0,1)</f>
        <v>0</v>
      </c>
      <c r="K216" s="1563" t="n">
        <f aca="false">'Прайс лист'!G1566</f>
        <v>200</v>
      </c>
      <c r="L216" s="1563" t="n">
        <f aca="false">J216*K216</f>
        <v>0</v>
      </c>
    </row>
    <row r="217" customFormat="false" ht="14.1" hidden="false" customHeight="true" outlineLevel="0" collapsed="false">
      <c r="A217" s="1563" t="str">
        <f aca="false">'Ввод данных'!A498</f>
        <v>Пленка Delta-Reflex</v>
      </c>
      <c r="B217" s="1564" t="s">
        <v>820</v>
      </c>
      <c r="C217" s="1565" t="n">
        <f aca="false">(G65+L65+Q65)*1.3*G183</f>
        <v>0</v>
      </c>
      <c r="D217" s="1563" t="n">
        <f aca="false">VLOOKUP(A217,'Прайс лист'!B676:G687,6,0)</f>
        <v>156</v>
      </c>
      <c r="E217" s="1563" t="n">
        <f aca="false">C217*D217</f>
        <v>0</v>
      </c>
      <c r="F217" s="1567"/>
      <c r="G217" s="1570"/>
      <c r="H217" s="1569" t="str">
        <f aca="false">'Прайс лист'!B1567</f>
        <v>Монтаж металлочерепицы</v>
      </c>
      <c r="I217" s="1563" t="s">
        <v>820</v>
      </c>
      <c r="J217" s="1563" t="n">
        <f aca="false">(G196+L196+Q196)*G184*F213</f>
        <v>0</v>
      </c>
      <c r="K217" s="1563" t="n">
        <f aca="false">'Прайс лист'!G1567</f>
        <v>300</v>
      </c>
      <c r="L217" s="1563" t="n">
        <f aca="false">J217*K217</f>
        <v>0</v>
      </c>
    </row>
    <row r="218" customFormat="false" ht="14.1" hidden="false" customHeight="true" outlineLevel="0" collapsed="false">
      <c r="A218" s="1563" t="str">
        <f aca="false">'Ввод данных'!A494</f>
        <v>Плитный,28кг/м3, технониколь, 200мм</v>
      </c>
      <c r="B218" s="1564" t="s">
        <v>1043</v>
      </c>
      <c r="C218" s="1565" t="n">
        <f aca="false">(G208+L208+Q208)*G183</f>
        <v>0</v>
      </c>
      <c r="D218" s="1563" t="n">
        <f aca="false">VLOOKUP(A218,'Прайс лист'!B600:G638,6,0)</f>
        <v>1700</v>
      </c>
      <c r="E218" s="1563" t="n">
        <f aca="false">C218*D218</f>
        <v>0</v>
      </c>
      <c r="F218" s="1567"/>
      <c r="G218" s="1570"/>
      <c r="H218" s="1569" t="str">
        <f aca="false">'Прайс лист'!B1569</f>
        <v>карнизная планка</v>
      </c>
      <c r="I218" s="1563" t="s">
        <v>820</v>
      </c>
      <c r="J218" s="1571" t="n">
        <f aca="false">(G202+L202+Q202)*G184*(F213+F215)</f>
        <v>0</v>
      </c>
      <c r="K218" s="1563" t="n">
        <f aca="false">'Прайс лист'!G1569</f>
        <v>100</v>
      </c>
      <c r="L218" s="1563" t="n">
        <f aca="false">J218*K218</f>
        <v>0</v>
      </c>
    </row>
    <row r="219" customFormat="false" ht="14.1" hidden="false" customHeight="true" outlineLevel="0" collapsed="false">
      <c r="A219" s="1563" t="s">
        <v>2918</v>
      </c>
      <c r="B219" s="1564" t="s">
        <v>820</v>
      </c>
      <c r="C219" s="1565" t="n">
        <f aca="false">(G196*1.2+L196*1.2+Q196*1.5)*G183*F213</f>
        <v>0</v>
      </c>
      <c r="D219" s="1563" t="n">
        <f aca="false">'Прайс лист'!G956</f>
        <v>250</v>
      </c>
      <c r="E219" s="1563" t="n">
        <f aca="false">C219*D219</f>
        <v>0</v>
      </c>
      <c r="F219" s="1567"/>
      <c r="G219" s="1570"/>
      <c r="H219" s="1569" t="str">
        <f aca="false">'Прайс лист'!B1570</f>
        <v>торцевая планка</v>
      </c>
      <c r="I219" s="1563" t="s">
        <v>820</v>
      </c>
      <c r="J219" s="1571" t="n">
        <f aca="false">(G207+L207+Q207)*G184*(F213+F215)</f>
        <v>0</v>
      </c>
      <c r="K219" s="1563" t="n">
        <f aca="false">'Прайс лист'!G1570</f>
        <v>100</v>
      </c>
      <c r="L219" s="1563" t="n">
        <f aca="false">J219*K219</f>
        <v>0</v>
      </c>
    </row>
    <row r="220" customFormat="false" ht="14.1" hidden="false" customHeight="true" outlineLevel="0" collapsed="false">
      <c r="A220" s="1563" t="str">
        <f aca="false">'Прайс лист'!B957</f>
        <v>Карнизная планка</v>
      </c>
      <c r="B220" s="1564" t="s">
        <v>15</v>
      </c>
      <c r="C220" s="1565" t="n">
        <f aca="false">(G202+L202+Q202)*G183*(F213+F215)</f>
        <v>0</v>
      </c>
      <c r="D220" s="1563" t="n">
        <f aca="false">'Прайс лист'!G957</f>
        <v>200</v>
      </c>
      <c r="E220" s="1563" t="n">
        <f aca="false">C220*D220</f>
        <v>0</v>
      </c>
      <c r="F220" s="1567"/>
      <c r="G220" s="1570"/>
      <c r="H220" s="1569" t="str">
        <f aca="false">'Прайс лист'!B1572</f>
        <v>желоб водосточный</v>
      </c>
      <c r="I220" s="1563" t="s">
        <v>15</v>
      </c>
      <c r="J220" s="1571" t="n">
        <f aca="false">C245*G184</f>
        <v>0</v>
      </c>
      <c r="K220" s="1563" t="n">
        <f aca="false">'Прайс лист'!G1572</f>
        <v>300</v>
      </c>
      <c r="L220" s="1563" t="n">
        <f aca="false">J220*K220</f>
        <v>0</v>
      </c>
    </row>
    <row r="221" customFormat="false" ht="14.1" hidden="false" customHeight="true" outlineLevel="0" collapsed="false">
      <c r="A221" s="1563" t="str">
        <f aca="false">'Прайс лист'!B958</f>
        <v>Торцевая планка</v>
      </c>
      <c r="B221" s="1564" t="s">
        <v>15</v>
      </c>
      <c r="C221" s="1565" t="n">
        <f aca="false">(G207+L207+Q207)*G183*(F213+F215)</f>
        <v>0</v>
      </c>
      <c r="D221" s="1563" t="n">
        <f aca="false">'Прайс лист'!G958</f>
        <v>200</v>
      </c>
      <c r="E221" s="1563" t="n">
        <f aca="false">C221*D221</f>
        <v>0</v>
      </c>
      <c r="F221" s="1567"/>
      <c r="G221" s="1570"/>
      <c r="H221" s="1569" t="str">
        <f aca="false">'Прайс лист'!B1573</f>
        <v>труба водосточная</v>
      </c>
      <c r="I221" s="1563" t="s">
        <v>15</v>
      </c>
      <c r="J221" s="1571" t="n">
        <f aca="false">C247*G184</f>
        <v>0</v>
      </c>
      <c r="K221" s="1563" t="n">
        <f aca="false">'Прайс лист'!G1573</f>
        <v>300</v>
      </c>
      <c r="L221" s="1563" t="n">
        <f aca="false">J221*K221</f>
        <v>0</v>
      </c>
    </row>
    <row r="222" customFormat="false" ht="14.1" hidden="false" customHeight="true" outlineLevel="0" collapsed="false">
      <c r="A222" s="1563" t="str">
        <f aca="false">'Прайс лист'!B959</f>
        <v>Конек</v>
      </c>
      <c r="B222" s="1564" t="s">
        <v>15</v>
      </c>
      <c r="C222" s="1565" t="n">
        <f aca="false">R201*F213*1.1</f>
        <v>0</v>
      </c>
      <c r="D222" s="1563" t="n">
        <f aca="false">'Прайс лист'!G959</f>
        <v>230</v>
      </c>
      <c r="E222" s="1563" t="n">
        <f aca="false">C222*D222</f>
        <v>0</v>
      </c>
      <c r="F222" s="1567"/>
      <c r="G222" s="1570"/>
      <c r="H222" s="1569" t="str">
        <f aca="false">'Прайс лист'!B1574</f>
        <v>ендова внутр/наружн</v>
      </c>
      <c r="I222" s="1572" t="s">
        <v>15</v>
      </c>
      <c r="J222" s="1571" t="n">
        <f aca="false">(G205+L205+Q205)*G184</f>
        <v>0</v>
      </c>
      <c r="K222" s="1563" t="n">
        <f aca="false">'Прайс лист'!G1574</f>
        <v>300</v>
      </c>
      <c r="L222" s="1563" t="n">
        <f aca="false">J222*K222</f>
        <v>0</v>
      </c>
    </row>
    <row r="223" customFormat="false" ht="14.1" hidden="false" customHeight="true" outlineLevel="0" collapsed="false">
      <c r="A223" s="1563" t="str">
        <f aca="false">'Прайс лист'!B960</f>
        <v>Ендова нижняя</v>
      </c>
      <c r="B223" s="1564" t="s">
        <v>2013</v>
      </c>
      <c r="C223" s="1565" t="n">
        <f aca="false">(G205+L205+Q205)*G183*F213</f>
        <v>0</v>
      </c>
      <c r="D223" s="1563" t="n">
        <f aca="false">'Прайс лист'!G960</f>
        <v>160</v>
      </c>
      <c r="E223" s="1563" t="n">
        <f aca="false">C223*D223</f>
        <v>0</v>
      </c>
      <c r="F223" s="1567"/>
      <c r="G223" s="1570"/>
      <c r="H223" s="1569" t="str">
        <f aca="false">'Прайс лист'!B1568</f>
        <v>Монтаж ондулина</v>
      </c>
      <c r="I223" s="1563" t="s">
        <v>820</v>
      </c>
      <c r="J223" s="1571" t="n">
        <f aca="false">(G196+L196+Q196)*G184*F214</f>
        <v>0</v>
      </c>
      <c r="K223" s="1563" t="n">
        <f aca="false">'Прайс лист'!G1568</f>
        <v>300</v>
      </c>
      <c r="L223" s="1563" t="n">
        <f aca="false">J223*K223</f>
        <v>0</v>
      </c>
    </row>
    <row r="224" customFormat="false" ht="14.1" hidden="false" customHeight="true" outlineLevel="0" collapsed="false">
      <c r="A224" s="1563" t="s">
        <v>1709</v>
      </c>
      <c r="B224" s="1564" t="s">
        <v>15</v>
      </c>
      <c r="C224" s="1565" t="n">
        <f aca="false">C223</f>
        <v>0</v>
      </c>
      <c r="D224" s="1563" t="n">
        <f aca="false">D223</f>
        <v>160</v>
      </c>
      <c r="E224" s="1563" t="n">
        <f aca="false">C224*D224</f>
        <v>0</v>
      </c>
      <c r="F224" s="1567"/>
      <c r="G224" s="1570"/>
      <c r="H224" s="1569"/>
      <c r="I224" s="1563"/>
      <c r="J224" s="1571"/>
      <c r="K224" s="1563"/>
      <c r="L224" s="1563"/>
    </row>
    <row r="225" customFormat="false" ht="14.1" hidden="false" customHeight="true" outlineLevel="0" collapsed="false">
      <c r="A225" s="1563" t="str">
        <f aca="false">'Прайс лист'!B962</f>
        <v>Планка примыкания</v>
      </c>
      <c r="B225" s="1564" t="s">
        <v>15</v>
      </c>
      <c r="C225" s="1565" t="n">
        <f aca="false">C223*F213</f>
        <v>0</v>
      </c>
      <c r="D225" s="1563" t="n">
        <f aca="false">'Прайс лист'!G962</f>
        <v>190</v>
      </c>
      <c r="E225" s="1563" t="n">
        <f aca="false">C225*D225</f>
        <v>0</v>
      </c>
      <c r="F225" s="1567"/>
      <c r="G225" s="1570"/>
      <c r="H225" s="1569" t="str">
        <f aca="false">'Прайс лист'!B1576</f>
        <v>Монтаж фанеры/osb</v>
      </c>
      <c r="I225" s="1563" t="s">
        <v>820</v>
      </c>
      <c r="J225" s="1571" t="n">
        <f aca="false">(G196+L196+Q196)*G184*IF(A234='Прайс лист'!B863,0,1)</f>
        <v>0</v>
      </c>
      <c r="K225" s="1563" t="n">
        <f aca="false">'Прайс лист'!G1576</f>
        <v>200</v>
      </c>
      <c r="L225" s="1563" t="n">
        <f aca="false">J225*K225</f>
        <v>0</v>
      </c>
    </row>
    <row r="226" customFormat="false" ht="14.1" hidden="false" customHeight="true" outlineLevel="0" collapsed="false">
      <c r="A226" s="1563" t="s">
        <v>2919</v>
      </c>
      <c r="B226" s="1564" t="s">
        <v>820</v>
      </c>
      <c r="C226" s="1565" t="n">
        <f aca="false">(G196+L196+Q196)*1.2*G183*F214</f>
        <v>0</v>
      </c>
      <c r="D226" s="1563" t="n">
        <f aca="false">'Прайс лист'!G968</f>
        <v>180</v>
      </c>
      <c r="E226" s="1563" t="n">
        <f aca="false">C226*D226</f>
        <v>0</v>
      </c>
      <c r="F226" s="1567"/>
      <c r="G226" s="1570"/>
      <c r="H226" s="1569" t="str">
        <f aca="false">'Прайс лист'!B1577</f>
        <v>монтаж подкладочного ковра</v>
      </c>
      <c r="I226" s="1563" t="s">
        <v>820</v>
      </c>
      <c r="J226" s="1571" t="n">
        <f aca="false">(G196+L196+Q196)*G184*F215</f>
        <v>0</v>
      </c>
      <c r="K226" s="1563" t="n">
        <f aca="false">'Прайс лист'!G1577</f>
        <v>150</v>
      </c>
      <c r="L226" s="1563" t="n">
        <f aca="false">J226*K226</f>
        <v>0</v>
      </c>
    </row>
    <row r="227" customFormat="false" ht="14.1" hidden="false" customHeight="true" outlineLevel="0" collapsed="false">
      <c r="A227" s="1563" t="str">
        <f aca="false">'Прайс лист'!B969</f>
        <v>Карнизная планка</v>
      </c>
      <c r="B227" s="1564" t="str">
        <f aca="false">'Прайс лист'!C969</f>
        <v>м.п.</v>
      </c>
      <c r="C227" s="1565" t="n">
        <f aca="false">(G202+L202+Q202)*G183*F214</f>
        <v>0</v>
      </c>
      <c r="D227" s="1563" t="n">
        <f aca="false">'Прайс лист'!G969</f>
        <v>190</v>
      </c>
      <c r="E227" s="1563" t="n">
        <f aca="false">C227*D227</f>
        <v>0</v>
      </c>
      <c r="F227" s="1567"/>
      <c r="G227" s="1570"/>
      <c r="H227" s="1569" t="str">
        <f aca="false">'Прайс лист'!B1578</f>
        <v>Монтаж мягкой кровли</v>
      </c>
      <c r="I227" s="1563" t="s">
        <v>820</v>
      </c>
      <c r="J227" s="1571" t="n">
        <f aca="false">(G196+L196+Q196)*G184*F215</f>
        <v>0</v>
      </c>
      <c r="K227" s="1563" t="n">
        <f aca="false">'Прайс лист'!G1578</f>
        <v>350</v>
      </c>
      <c r="L227" s="1563" t="n">
        <f aca="false">J227*K227</f>
        <v>0</v>
      </c>
    </row>
    <row r="228" customFormat="false" ht="14.1" hidden="false" customHeight="true" outlineLevel="0" collapsed="false">
      <c r="A228" s="1563" t="str">
        <f aca="false">'Прайс лист'!B970</f>
        <v>Торцевая планка</v>
      </c>
      <c r="B228" s="1564" t="str">
        <f aca="false">'Прайс лист'!C970</f>
        <v>м.п.</v>
      </c>
      <c r="C228" s="1565" t="n">
        <f aca="false">(G207+L207+Q207)*G183*F214</f>
        <v>0</v>
      </c>
      <c r="D228" s="1563" t="n">
        <f aca="false">'Прайс лист'!G970</f>
        <v>190</v>
      </c>
      <c r="E228" s="1563" t="n">
        <f aca="false">C228*D228</f>
        <v>0</v>
      </c>
      <c r="F228" s="1567"/>
      <c r="G228" s="1570"/>
      <c r="H228" s="1569"/>
      <c r="I228" s="1563"/>
      <c r="J228" s="1571"/>
      <c r="K228" s="1563"/>
      <c r="L228" s="1563" t="n">
        <f aca="false">J228*K228</f>
        <v>0</v>
      </c>
    </row>
    <row r="229" customFormat="false" ht="14.1" hidden="false" customHeight="true" outlineLevel="0" collapsed="false">
      <c r="A229" s="1563" t="str">
        <f aca="false">'Прайс лист'!B971</f>
        <v>Конек</v>
      </c>
      <c r="B229" s="1564" t="str">
        <f aca="false">'Прайс лист'!C971</f>
        <v>м.п.</v>
      </c>
      <c r="C229" s="1424" t="n">
        <f aca="false">R201*F214*1.1</f>
        <v>0</v>
      </c>
      <c r="D229" s="1563" t="n">
        <f aca="false">'Прайс лист'!G971</f>
        <v>200</v>
      </c>
      <c r="E229" s="1563" t="n">
        <f aca="false">C229*D229</f>
        <v>0</v>
      </c>
      <c r="F229" s="1567"/>
      <c r="G229" s="1570"/>
      <c r="H229" s="1569"/>
      <c r="I229" s="1563"/>
      <c r="J229" s="1571"/>
      <c r="K229" s="1563"/>
      <c r="L229" s="1563"/>
    </row>
    <row r="230" customFormat="false" ht="14.1" hidden="false" customHeight="true" outlineLevel="0" collapsed="false">
      <c r="A230" s="1563" t="str">
        <f aca="false">'Прайс лист'!B972</f>
        <v>Ендова нижняя</v>
      </c>
      <c r="B230" s="1564" t="str">
        <f aca="false">'Прайс лист'!C972</f>
        <v>м.п.</v>
      </c>
      <c r="C230" s="1424" t="n">
        <f aca="false">(G205+L205+Q205)*G183*F214*1.1</f>
        <v>0</v>
      </c>
      <c r="D230" s="1563" t="n">
        <f aca="false">'Прайс лист'!G972</f>
        <v>160</v>
      </c>
      <c r="E230" s="1563" t="n">
        <f aca="false">C230*D230</f>
        <v>0</v>
      </c>
      <c r="F230" s="1567"/>
      <c r="G230" s="1570"/>
      <c r="H230" s="1424"/>
      <c r="I230" s="1424"/>
      <c r="J230" s="1424"/>
      <c r="K230" s="1424"/>
      <c r="L230" s="1563"/>
    </row>
    <row r="231" customFormat="false" ht="14.1" hidden="false" customHeight="true" outlineLevel="0" collapsed="false">
      <c r="A231" s="1563" t="str">
        <f aca="false">'Прайс лист'!B973</f>
        <v>Ендова верхняя</v>
      </c>
      <c r="B231" s="1564" t="str">
        <f aca="false">'Прайс лист'!C973</f>
        <v>м.п.</v>
      </c>
      <c r="C231" s="1424" t="n">
        <f aca="false">C230</f>
        <v>0</v>
      </c>
      <c r="D231" s="1563" t="n">
        <f aca="false">'Прайс лист'!G973</f>
        <v>190</v>
      </c>
      <c r="E231" s="1563" t="n">
        <f aca="false">C231*D231</f>
        <v>0</v>
      </c>
      <c r="F231" s="1567"/>
      <c r="G231" s="1570"/>
      <c r="H231" s="1424"/>
      <c r="I231" s="1424"/>
      <c r="J231" s="1424"/>
      <c r="K231" s="1424"/>
      <c r="L231" s="1563"/>
    </row>
    <row r="232" customFormat="false" ht="14.1" hidden="false" customHeight="true" outlineLevel="0" collapsed="false">
      <c r="A232" s="1563" t="str">
        <f aca="false">'Прайс лист'!B974</f>
        <v>Планка примыкания</v>
      </c>
      <c r="B232" s="1564" t="str">
        <f aca="false">'Прайс лист'!C974</f>
        <v>м.п.</v>
      </c>
      <c r="C232" s="1565" t="n">
        <f aca="false">C230</f>
        <v>0</v>
      </c>
      <c r="D232" s="1563" t="n">
        <f aca="false">'Прайс лист'!G974</f>
        <v>190</v>
      </c>
      <c r="E232" s="1563" t="n">
        <f aca="false">C232*D232</f>
        <v>0</v>
      </c>
      <c r="F232" s="1567"/>
      <c r="G232" s="1570"/>
      <c r="H232" s="1424"/>
      <c r="I232" s="1424"/>
      <c r="J232" s="1424"/>
      <c r="K232" s="1424"/>
      <c r="L232" s="1563"/>
    </row>
    <row r="233" customFormat="false" ht="14.1" hidden="false" customHeight="true" outlineLevel="0" collapsed="false">
      <c r="A233" s="1563" t="str">
        <f aca="false">'Прайс лист'!B975</f>
        <v>Крепеж для ондулина</v>
      </c>
      <c r="B233" s="1564" t="str">
        <f aca="false">'Прайс лист'!C975</f>
        <v>шт</v>
      </c>
      <c r="C233" s="1424" t="n">
        <f aca="false">(G196+L196+Q196)*15*G183*F214</f>
        <v>0</v>
      </c>
      <c r="D233" s="1563" t="n">
        <f aca="false">'Прайс лист'!G975</f>
        <v>4.5</v>
      </c>
      <c r="E233" s="1563" t="n">
        <f aca="false">C233*D233</f>
        <v>0</v>
      </c>
      <c r="F233" s="1567"/>
      <c r="G233" s="1570"/>
      <c r="H233" s="1573"/>
      <c r="I233" s="1572"/>
      <c r="J233" s="1571"/>
      <c r="K233" s="1563"/>
      <c r="L233" s="1563"/>
    </row>
    <row r="234" customFormat="false" ht="14.1" hidden="false" customHeight="true" outlineLevel="0" collapsed="false">
      <c r="A234" s="1563" t="str">
        <f aca="false">'Ввод данных'!A492</f>
        <v>нет</v>
      </c>
      <c r="B234" s="1564" t="s">
        <v>820</v>
      </c>
      <c r="C234" s="1439" t="n">
        <f aca="false">(G196+L196+Q196)*1.1</f>
        <v>0</v>
      </c>
      <c r="D234" s="1563" t="n">
        <f aca="false">VLOOKUP(A234,'Прайс лист'!B863:G907,6,0)</f>
        <v>0</v>
      </c>
      <c r="E234" s="1563" t="n">
        <f aca="false">C234*D234</f>
        <v>0</v>
      </c>
      <c r="F234" s="1567"/>
      <c r="G234" s="1570"/>
      <c r="H234" s="1573"/>
      <c r="I234" s="1572"/>
      <c r="J234" s="1571"/>
      <c r="K234" s="1563"/>
      <c r="L234" s="1563"/>
    </row>
    <row r="235" customFormat="false" ht="14.1" hidden="false" customHeight="true" outlineLevel="0" collapsed="false">
      <c r="A235" s="1563" t="str">
        <f aca="false">'Прайс лист'!B980</f>
        <v>Рядовая черепица</v>
      </c>
      <c r="B235" s="1564" t="str">
        <f aca="false">'Прайс лист'!C980</f>
        <v>м2</v>
      </c>
      <c r="C235" s="1424" t="n">
        <f aca="false">(G196+L196+Q196)*1.2*G183*F215-(G202+L202+Q202)*G183*F215*0.2</f>
        <v>0</v>
      </c>
      <c r="D235" s="1563" t="n">
        <f aca="false">'Прайс лист'!G980</f>
        <v>360</v>
      </c>
      <c r="E235" s="1563" t="n">
        <f aca="false">C235*D235</f>
        <v>0</v>
      </c>
      <c r="F235" s="1567"/>
      <c r="G235" s="1570"/>
      <c r="H235" s="1573"/>
      <c r="I235" s="1572"/>
      <c r="J235" s="1571"/>
      <c r="K235" s="1563"/>
      <c r="L235" s="1563"/>
    </row>
    <row r="236" customFormat="false" ht="14.1" hidden="false" customHeight="true" outlineLevel="0" collapsed="false">
      <c r="A236" s="1563" t="str">
        <f aca="false">'Прайс лист'!B981</f>
        <v>Металл оцинк защита (карниз)</v>
      </c>
      <c r="B236" s="1564" t="str">
        <f aca="false">'Прайс лист'!C981</f>
        <v>м.п.</v>
      </c>
      <c r="C236" s="1424" t="n">
        <f aca="false">(G202+L202+Q202)*G183*F215</f>
        <v>0</v>
      </c>
      <c r="D236" s="1563" t="n">
        <f aca="false">'Прайс лист'!G981</f>
        <v>200</v>
      </c>
      <c r="E236" s="1563" t="n">
        <f aca="false">C236*D236</f>
        <v>0</v>
      </c>
      <c r="F236" s="1567"/>
      <c r="G236" s="1570"/>
      <c r="H236" s="1573"/>
      <c r="I236" s="1572"/>
      <c r="J236" s="1571"/>
      <c r="K236" s="1563"/>
      <c r="L236" s="1563"/>
    </row>
    <row r="237" customFormat="false" ht="14.1" hidden="false" customHeight="true" outlineLevel="0" collapsed="false">
      <c r="A237" s="1563" t="str">
        <f aca="false">'Прайс лист'!B982</f>
        <v>Подкладочный ковер</v>
      </c>
      <c r="B237" s="1564" t="str">
        <f aca="false">'Прайс лист'!C982</f>
        <v>м.п.</v>
      </c>
      <c r="C237" s="1424" t="n">
        <f aca="false">(G196+L196+Q196)*1.2*G183*F215</f>
        <v>0</v>
      </c>
      <c r="D237" s="1563" t="n">
        <f aca="false">'Прайс лист'!G982</f>
        <v>220</v>
      </c>
      <c r="E237" s="1563" t="n">
        <f aca="false">C237*D237</f>
        <v>0</v>
      </c>
      <c r="F237" s="1567"/>
      <c r="G237" s="1570"/>
      <c r="H237" s="1573"/>
      <c r="I237" s="1572"/>
      <c r="J237" s="1571"/>
      <c r="K237" s="1563"/>
      <c r="L237" s="1563"/>
    </row>
    <row r="238" customFormat="false" ht="14.1" hidden="false" customHeight="true" outlineLevel="0" collapsed="false">
      <c r="A238" s="1563" t="str">
        <f aca="false">'Прайс лист'!B983</f>
        <v>Карнизная самоклеющаяся черепица</v>
      </c>
      <c r="B238" s="1564" t="str">
        <f aca="false">'Прайс лист'!C983</f>
        <v>м.п.</v>
      </c>
      <c r="C238" s="1424" t="n">
        <f aca="false">(G202+L202+Q202)*G183*F215*0.2</f>
        <v>0</v>
      </c>
      <c r="D238" s="1563" t="n">
        <f aca="false">'Прайс лист'!G983</f>
        <v>220</v>
      </c>
      <c r="E238" s="1563" t="n">
        <f aca="false">C238*D238</f>
        <v>0</v>
      </c>
      <c r="F238" s="1567"/>
      <c r="G238" s="1570"/>
      <c r="H238" s="1573"/>
      <c r="I238" s="1572"/>
      <c r="J238" s="1571"/>
      <c r="K238" s="1563"/>
      <c r="L238" s="1563"/>
    </row>
    <row r="239" customFormat="false" ht="14.1" hidden="false" customHeight="true" outlineLevel="0" collapsed="false">
      <c r="A239" s="1563" t="str">
        <f aca="false">'Прайс лист'!B984</f>
        <v>Спец ковер ендова нижняя</v>
      </c>
      <c r="B239" s="1564" t="str">
        <f aca="false">'Прайс лист'!C984</f>
        <v>м.п.</v>
      </c>
      <c r="C239" s="1424" t="n">
        <f aca="false">(G205+L205+Q205)*G183*F215*1.1</f>
        <v>0</v>
      </c>
      <c r="D239" s="1563" t="n">
        <f aca="false">'Прайс лист'!G984</f>
        <v>200</v>
      </c>
      <c r="E239" s="1563" t="n">
        <f aca="false">C239*D239</f>
        <v>0</v>
      </c>
      <c r="F239" s="1567"/>
      <c r="G239" s="1570"/>
      <c r="H239" s="1573"/>
      <c r="I239" s="1572"/>
      <c r="J239" s="1571"/>
      <c r="K239" s="1563"/>
      <c r="L239" s="1563"/>
    </row>
    <row r="240" customFormat="false" ht="14.1" hidden="false" customHeight="true" outlineLevel="0" collapsed="false">
      <c r="A240" s="1563" t="str">
        <f aca="false">'Прайс лист'!B985</f>
        <v>Коньковой элемент</v>
      </c>
      <c r="B240" s="1564" t="str">
        <f aca="false">'Прайс лист'!C985</f>
        <v>м.п.</v>
      </c>
      <c r="C240" s="1424" t="n">
        <f aca="false">R201*F215*1.1</f>
        <v>0</v>
      </c>
      <c r="D240" s="1563" t="n">
        <f aca="false">'Прайс лист'!G985</f>
        <v>250</v>
      </c>
      <c r="E240" s="1563" t="n">
        <f aca="false">C240*D240</f>
        <v>0</v>
      </c>
      <c r="F240" s="1567"/>
      <c r="G240" s="1570"/>
      <c r="H240" s="1573"/>
      <c r="I240" s="1572"/>
      <c r="J240" s="1571"/>
      <c r="K240" s="1563"/>
      <c r="L240" s="1563"/>
    </row>
    <row r="241" customFormat="false" ht="14.1" hidden="false" customHeight="true" outlineLevel="0" collapsed="false">
      <c r="A241" s="1563" t="str">
        <f aca="false">'Прайс лист'!B986</f>
        <v>Планка премыкания</v>
      </c>
      <c r="B241" s="1564" t="str">
        <f aca="false">'Прайс лист'!C986</f>
        <v>м.п.</v>
      </c>
      <c r="C241" s="1424" t="n">
        <f aca="false">(G205+L205+Q205)*G183*F215*1.1</f>
        <v>0</v>
      </c>
      <c r="D241" s="1563" t="n">
        <f aca="false">'Прайс лист'!G986</f>
        <v>200</v>
      </c>
      <c r="E241" s="1563" t="n">
        <f aca="false">C241*D241</f>
        <v>0</v>
      </c>
      <c r="F241" s="1567"/>
      <c r="G241" s="1570"/>
      <c r="H241" s="1573"/>
      <c r="I241" s="1572"/>
      <c r="J241" s="1571"/>
      <c r="K241" s="1563"/>
      <c r="L241" s="1563"/>
    </row>
    <row r="242" customFormat="false" ht="14.1" hidden="false" customHeight="true" outlineLevel="0" collapsed="false">
      <c r="A242" s="1563" t="str">
        <f aca="false">'Прайс лист'!B987</f>
        <v>Гвозди для крепления подкладочного ковра</v>
      </c>
      <c r="B242" s="1564" t="str">
        <f aca="false">'Прайс лист'!C987</f>
        <v>шт</v>
      </c>
      <c r="C242" s="1424" t="n">
        <f aca="false">C237*12</f>
        <v>0</v>
      </c>
      <c r="D242" s="1563" t="n">
        <f aca="false">'Прайс лист'!G987</f>
        <v>0.012</v>
      </c>
      <c r="E242" s="1563" t="n">
        <f aca="false">C242*D242</f>
        <v>0</v>
      </c>
      <c r="F242" s="1567"/>
      <c r="G242" s="1570"/>
      <c r="H242" s="1573"/>
      <c r="I242" s="1572"/>
      <c r="J242" s="1571"/>
      <c r="K242" s="1563"/>
      <c r="L242" s="1563"/>
    </row>
    <row r="243" customFormat="false" ht="14.1" hidden="false" customHeight="true" outlineLevel="0" collapsed="false">
      <c r="A243" s="1563" t="str">
        <f aca="false">'Прайс лист'!B988</f>
        <v>Гвозди для крепления черепицы</v>
      </c>
      <c r="B243" s="1564" t="str">
        <f aca="false">'Прайс лист'!C988</f>
        <v>шт</v>
      </c>
      <c r="C243" s="1424" t="n">
        <f aca="false">(G196+L196+Q196)*22*G183*F215</f>
        <v>0</v>
      </c>
      <c r="D243" s="1563" t="n">
        <f aca="false">'Прайс лист'!G988</f>
        <v>0.25</v>
      </c>
      <c r="E243" s="1563" t="n">
        <f aca="false">C243*D243</f>
        <v>0</v>
      </c>
      <c r="F243" s="1567"/>
      <c r="G243" s="1570"/>
      <c r="H243" s="1573"/>
      <c r="I243" s="1572"/>
      <c r="J243" s="1571"/>
      <c r="K243" s="1563"/>
      <c r="L243" s="1563"/>
    </row>
    <row r="244" customFormat="false" ht="14.1" hidden="false" customHeight="true" outlineLevel="0" collapsed="false">
      <c r="A244" s="1563" t="str">
        <f aca="false">'Прайс лист'!B989</f>
        <v>Клей для монтажа черепицы</v>
      </c>
      <c r="B244" s="1564" t="str">
        <f aca="false">'Прайс лист'!C989</f>
        <v>кг</v>
      </c>
      <c r="C244" s="1424" t="n">
        <f aca="false">(G196+L196+Q196)*1.2*G183*F215</f>
        <v>0</v>
      </c>
      <c r="D244" s="1563" t="n">
        <f aca="false">'Прайс лист'!G989</f>
        <v>250</v>
      </c>
      <c r="E244" s="1563" t="n">
        <f aca="false">C244*D244</f>
        <v>0</v>
      </c>
      <c r="F244" s="1567"/>
      <c r="G244" s="1570"/>
      <c r="H244" s="1573"/>
      <c r="I244" s="1572"/>
      <c r="J244" s="1571"/>
      <c r="K244" s="1563"/>
      <c r="L244" s="1563"/>
    </row>
    <row r="245" customFormat="false" ht="14.1" hidden="false" customHeight="true" outlineLevel="0" collapsed="false">
      <c r="A245" s="1563" t="str">
        <f aca="false">'Прайс лист'!B994</f>
        <v>желоб</v>
      </c>
      <c r="B245" s="1564" t="s">
        <v>2013</v>
      </c>
      <c r="C245" s="1565" t="n">
        <f aca="false">(G76+L76)*G183</f>
        <v>0</v>
      </c>
      <c r="D245" s="1563" t="n">
        <f aca="false">'Прайс лист'!G994</f>
        <v>300</v>
      </c>
      <c r="E245" s="1563" t="n">
        <f aca="false">C245*D245</f>
        <v>0</v>
      </c>
      <c r="F245" s="1567"/>
      <c r="G245" s="1570"/>
      <c r="H245" s="1574"/>
      <c r="I245" s="1563"/>
      <c r="J245" s="1571"/>
      <c r="K245" s="1563"/>
      <c r="L245" s="1563"/>
    </row>
    <row r="246" customFormat="false" ht="14.1" hidden="false" customHeight="true" outlineLevel="0" collapsed="false">
      <c r="A246" s="1563" t="str">
        <f aca="false">'Прайс лист'!B995</f>
        <v>отвод</v>
      </c>
      <c r="B246" s="1564" t="s">
        <v>48</v>
      </c>
      <c r="C246" s="1565" t="n">
        <f aca="false">(2*C32+2*D32+2*E32+2*F32+2*H32+2*I32+2*J32+2*K32)*D2</f>
        <v>0</v>
      </c>
      <c r="D246" s="1563" t="n">
        <f aca="false">'Прайс лист'!G995</f>
        <v>250</v>
      </c>
      <c r="E246" s="1563" t="n">
        <f aca="false">C246*D246</f>
        <v>0</v>
      </c>
      <c r="F246" s="1567"/>
      <c r="G246" s="1570"/>
      <c r="H246" s="1574"/>
      <c r="I246" s="1563"/>
      <c r="J246" s="1571"/>
      <c r="K246" s="1563"/>
      <c r="L246" s="1563"/>
    </row>
    <row r="247" customFormat="false" ht="14.1" hidden="false" customHeight="true" outlineLevel="0" collapsed="false">
      <c r="A247" s="1563" t="str">
        <f aca="false">'Прайс лист'!B996</f>
        <v>труба водосточная</v>
      </c>
      <c r="B247" s="1564" t="s">
        <v>15</v>
      </c>
      <c r="C247" s="1565" t="n">
        <f aca="false">(G203+L203)*G183</f>
        <v>0</v>
      </c>
      <c r="D247" s="1563" t="n">
        <f aca="false">'Прайс лист'!G996</f>
        <v>300</v>
      </c>
      <c r="E247" s="1563" t="n">
        <f aca="false">C247*D247</f>
        <v>0</v>
      </c>
      <c r="F247" s="1567"/>
      <c r="G247" s="1570"/>
      <c r="H247" s="1574"/>
      <c r="I247" s="1563"/>
      <c r="J247" s="1571"/>
      <c r="K247" s="1563"/>
      <c r="L247" s="1563"/>
    </row>
    <row r="248" customFormat="false" ht="14.1" hidden="false" customHeight="true" outlineLevel="0" collapsed="false">
      <c r="A248" s="1563" t="str">
        <f aca="false">'Прайс лист'!B997</f>
        <v>заглушка для желоба</v>
      </c>
      <c r="B248" s="1564" t="s">
        <v>48</v>
      </c>
      <c r="C248" s="1565" t="n">
        <f aca="false">C246</f>
        <v>0</v>
      </c>
      <c r="D248" s="1563" t="n">
        <f aca="false">'Прайс лист'!G997</f>
        <v>190</v>
      </c>
      <c r="E248" s="1563" t="n">
        <f aca="false">C248*D248</f>
        <v>0</v>
      </c>
      <c r="F248" s="1567"/>
      <c r="G248" s="1570"/>
      <c r="H248" s="1574"/>
      <c r="I248" s="1571"/>
      <c r="J248" s="1571"/>
      <c r="K248" s="1563"/>
      <c r="L248" s="1563"/>
    </row>
    <row r="249" customFormat="false" ht="14.1" hidden="false" customHeight="true" outlineLevel="0" collapsed="false">
      <c r="A249" s="1563" t="str">
        <f aca="false">'Прайс лист'!B998</f>
        <v>соеденитель для желоба</v>
      </c>
      <c r="B249" s="1564" t="s">
        <v>48</v>
      </c>
      <c r="C249" s="1565" t="n">
        <f aca="false">(G76/3+1+L76/3+1)*G183</f>
        <v>2</v>
      </c>
      <c r="D249" s="1563" t="n">
        <f aca="false">'Прайс лист'!G998</f>
        <v>180</v>
      </c>
      <c r="E249" s="1563" t="n">
        <f aca="false">C249*D249</f>
        <v>360</v>
      </c>
      <c r="F249" s="1567"/>
      <c r="G249" s="1570"/>
      <c r="H249" s="1574"/>
      <c r="I249" s="1572"/>
      <c r="J249" s="1572"/>
      <c r="K249" s="1563"/>
      <c r="L249" s="1563"/>
    </row>
    <row r="250" customFormat="false" ht="14.1" hidden="false" customHeight="true" outlineLevel="0" collapsed="false">
      <c r="A250" s="1563" t="str">
        <f aca="false">'Прайс лист'!B999</f>
        <v>кронштейн для желоба</v>
      </c>
      <c r="B250" s="1564" t="s">
        <v>48</v>
      </c>
      <c r="C250" s="1565" t="n">
        <f aca="false">(G76+L76)/0.3*G183</f>
        <v>0</v>
      </c>
      <c r="D250" s="1563" t="n">
        <f aca="false">'Прайс лист'!G999</f>
        <v>130</v>
      </c>
      <c r="E250" s="1563" t="n">
        <f aca="false">C250*D250</f>
        <v>0</v>
      </c>
      <c r="F250" s="1567"/>
      <c r="G250" s="1570"/>
      <c r="H250" s="1574"/>
      <c r="I250" s="1572"/>
      <c r="J250" s="1572"/>
      <c r="K250" s="1563"/>
      <c r="L250" s="1563"/>
    </row>
    <row r="251" customFormat="false" ht="14.1" hidden="false" customHeight="true" outlineLevel="0" collapsed="false">
      <c r="A251" s="1563" t="str">
        <f aca="false">'Прайс лист'!B1000</f>
        <v>переход из желоба в трубу</v>
      </c>
      <c r="B251" s="1564" t="s">
        <v>48</v>
      </c>
      <c r="C251" s="1565" t="n">
        <f aca="false">C246</f>
        <v>0</v>
      </c>
      <c r="D251" s="1563" t="n">
        <f aca="false">'Прайс лист'!G1000</f>
        <v>350</v>
      </c>
      <c r="E251" s="1563" t="n">
        <f aca="false">C251*D251</f>
        <v>0</v>
      </c>
      <c r="F251" s="1567"/>
      <c r="G251" s="1570"/>
      <c r="H251" s="1574"/>
      <c r="I251" s="1572"/>
      <c r="J251" s="1572"/>
      <c r="K251" s="1563"/>
      <c r="L251" s="1563"/>
    </row>
    <row r="252" customFormat="false" ht="14.1" hidden="false" customHeight="true" outlineLevel="0" collapsed="false">
      <c r="A252" s="1563" t="str">
        <f aca="false">'Прайс лист'!B1001</f>
        <v>лента дельта мульти бэнд</v>
      </c>
      <c r="B252" s="1564" t="s">
        <v>48</v>
      </c>
      <c r="C252" s="1565" t="n">
        <f aca="false">(G196+L196)/17*G183</f>
        <v>0</v>
      </c>
      <c r="D252" s="1563" t="n">
        <f aca="false">'Прайс лист'!G1001</f>
        <v>1200</v>
      </c>
      <c r="E252" s="1563" t="n">
        <f aca="false">C252*D252</f>
        <v>0</v>
      </c>
      <c r="F252" s="1567"/>
      <c r="G252" s="1570"/>
      <c r="H252" s="1574"/>
      <c r="I252" s="1572"/>
      <c r="J252" s="1572"/>
      <c r="K252" s="1563"/>
      <c r="L252" s="1563"/>
    </row>
    <row r="253" customFormat="false" ht="14.1" hidden="false" customHeight="true" outlineLevel="0" collapsed="false">
      <c r="A253" s="1563" t="str">
        <f aca="false">'Прайс лист'!B1002</f>
        <v>лента дельта sb-60</v>
      </c>
      <c r="B253" s="1564" t="s">
        <v>48</v>
      </c>
      <c r="C253" s="1565" t="n">
        <f aca="false">(G196+L196)/25*G183</f>
        <v>0</v>
      </c>
      <c r="D253" s="1563" t="n">
        <f aca="false">'Прайс лист'!G1002</f>
        <v>1100</v>
      </c>
      <c r="E253" s="1563" t="n">
        <f aca="false">C253*D253</f>
        <v>0</v>
      </c>
      <c r="F253" s="1567"/>
      <c r="G253" s="1570"/>
      <c r="H253" s="1574"/>
      <c r="I253" s="1572"/>
      <c r="J253" s="1572"/>
      <c r="K253" s="1563"/>
      <c r="L253" s="1563"/>
    </row>
    <row r="254" customFormat="false" ht="14.1" hidden="false" customHeight="true" outlineLevel="0" collapsed="false">
      <c r="A254" s="1563" t="str">
        <f aca="false">'Прайс лист'!B963</f>
        <v>Кровельный саморез</v>
      </c>
      <c r="B254" s="1564" t="s">
        <v>48</v>
      </c>
      <c r="C254" s="1565" t="n">
        <f aca="false">(G196+L196)*15*G183*F213</f>
        <v>0</v>
      </c>
      <c r="D254" s="1563" t="n">
        <f aca="false">'Прайс лист'!G963</f>
        <v>2</v>
      </c>
      <c r="E254" s="1563" t="n">
        <f aca="false">C254*D254</f>
        <v>0</v>
      </c>
      <c r="F254" s="1567"/>
      <c r="G254" s="1570"/>
      <c r="H254" s="1574"/>
      <c r="I254" s="1572"/>
      <c r="J254" s="1572"/>
      <c r="K254" s="1563"/>
      <c r="L254" s="1563"/>
    </row>
    <row r="255" customFormat="false" ht="14.1" hidden="false" customHeight="true" outlineLevel="0" collapsed="false">
      <c r="A255" s="1563" t="str">
        <f aca="false">'Прайс лист'!B742</f>
        <v>Гвозди ершоные 3,4 x 60            </v>
      </c>
      <c r="B255" s="1564" t="s">
        <v>434</v>
      </c>
      <c r="C255" s="1565" t="n">
        <f aca="false">(G196+L196)/7*G183</f>
        <v>0</v>
      </c>
      <c r="D255" s="1563" t="n">
        <f aca="false">'Прайс лист'!G742</f>
        <v>75.51</v>
      </c>
      <c r="E255" s="1563" t="n">
        <f aca="false">C255*D255</f>
        <v>0</v>
      </c>
      <c r="F255" s="1567"/>
      <c r="G255" s="1570"/>
      <c r="H255" s="1574"/>
      <c r="I255" s="1572"/>
      <c r="J255" s="1572"/>
      <c r="K255" s="1563"/>
      <c r="L255" s="1563"/>
    </row>
    <row r="256" customFormat="false" ht="14.1" hidden="false" customHeight="true" outlineLevel="0" collapsed="false">
      <c r="A256" s="1563" t="str">
        <f aca="false">'Прайс лист'!B743</f>
        <v>Гвозди ершоные 2,8 х 90            </v>
      </c>
      <c r="B256" s="1564" t="s">
        <v>434</v>
      </c>
      <c r="C256" s="1565" t="n">
        <f aca="false">(C212+C213+C215)*6*G183</f>
        <v>0</v>
      </c>
      <c r="D256" s="1563" t="n">
        <f aca="false">'Прайс лист'!G743</f>
        <v>76.49</v>
      </c>
      <c r="E256" s="1563" t="n">
        <f aca="false">C256*D256</f>
        <v>0</v>
      </c>
      <c r="F256" s="1567"/>
      <c r="G256" s="1570"/>
      <c r="H256" s="1574"/>
      <c r="I256" s="1572"/>
      <c r="J256" s="1572"/>
      <c r="K256" s="1563"/>
      <c r="L256" s="1563"/>
    </row>
    <row r="257" customFormat="false" ht="14.1" hidden="false" customHeight="true" outlineLevel="0" collapsed="false">
      <c r="A257" s="1563" t="str">
        <f aca="false">'Прайс лист'!B693</f>
        <v>Уголок усиленный 90х70х55х2,5        </v>
      </c>
      <c r="B257" s="1564" t="s">
        <v>48</v>
      </c>
      <c r="C257" s="1565" t="n">
        <f aca="false">(C76/C81*C32+D76/D81*D32+E76/E81*E32+F76/F81*F32+H32*H76/H81+I32*I76/I81+J32*J76/J81+K32*K76/K81)*2.2*G183</f>
        <v>0</v>
      </c>
      <c r="D257" s="1563" t="n">
        <f aca="false">'Прайс лист'!G693</f>
        <v>30</v>
      </c>
      <c r="E257" s="1563" t="n">
        <f aca="false">C257*D257</f>
        <v>0</v>
      </c>
      <c r="F257" s="1567"/>
      <c r="G257" s="1570"/>
      <c r="H257" s="1574"/>
      <c r="I257" s="1572"/>
      <c r="J257" s="1572"/>
      <c r="K257" s="1563"/>
      <c r="L257" s="1563"/>
    </row>
    <row r="258" customFormat="false" ht="14.1" hidden="false" customHeight="true" outlineLevel="0" collapsed="false">
      <c r="A258" s="1563" t="str">
        <f aca="false">'Ввод данных'!A500</f>
        <v>Нет техники</v>
      </c>
      <c r="B258" s="1564" t="str">
        <f aca="false">'Ввод данных'!B500</f>
        <v>ед.</v>
      </c>
      <c r="C258" s="1563" t="n">
        <f aca="false">'Ввод данных'!C500</f>
        <v>0</v>
      </c>
      <c r="D258" s="1563" t="n">
        <f aca="false">VLOOKUP(A258,'Прайс лист'!B192:G206,6,0)</f>
        <v>0</v>
      </c>
      <c r="E258" s="1563" t="n">
        <f aca="false">C258*D258</f>
        <v>0</v>
      </c>
      <c r="F258" s="1567"/>
      <c r="G258" s="1570"/>
      <c r="H258" s="1574"/>
      <c r="I258" s="1572"/>
      <c r="J258" s="1572"/>
      <c r="K258" s="1563"/>
      <c r="L258" s="1563"/>
    </row>
    <row r="259" customFormat="false" ht="14.1" hidden="false" customHeight="true" outlineLevel="0" collapsed="false">
      <c r="A259" s="1563" t="str">
        <f aca="false">'Ввод данных'!A501</f>
        <v>Нет техники</v>
      </c>
      <c r="B259" s="1564" t="str">
        <f aca="false">'Ввод данных'!B501</f>
        <v>ед.</v>
      </c>
      <c r="C259" s="1563" t="n">
        <f aca="false">'Ввод данных'!C501</f>
        <v>0</v>
      </c>
      <c r="D259" s="1563" t="n">
        <f aca="false">VLOOKUP(A259,'Прайс лист'!B192:G206,6,0)</f>
        <v>0</v>
      </c>
      <c r="E259" s="1563" t="n">
        <f aca="false">C259*D259</f>
        <v>0</v>
      </c>
      <c r="F259" s="1567"/>
      <c r="G259" s="1570"/>
      <c r="H259" s="1574"/>
      <c r="I259" s="1572"/>
      <c r="J259" s="1572"/>
      <c r="K259" s="1563"/>
      <c r="L259" s="1563"/>
    </row>
    <row r="260" customFormat="false" ht="14.1" hidden="false" customHeight="true" outlineLevel="0" collapsed="false">
      <c r="A260" s="1563" t="str">
        <f aca="false">'Ввод данных'!A503</f>
        <v>расходные материалы пристройки</v>
      </c>
      <c r="B260" s="1564" t="str">
        <f aca="false">'Ввод данных'!B503</f>
        <v>рублей</v>
      </c>
      <c r="C260" s="1565" t="n">
        <f aca="false">1</f>
        <v>1</v>
      </c>
      <c r="D260" s="1563" t="n">
        <f aca="false">'Ввод данных'!C503</f>
        <v>3000</v>
      </c>
      <c r="E260" s="1563" t="n">
        <f aca="false">C260*D260</f>
        <v>3000</v>
      </c>
      <c r="F260" s="1567"/>
      <c r="G260" s="1570"/>
      <c r="H260" s="1574"/>
      <c r="I260" s="1572"/>
      <c r="J260" s="1572"/>
      <c r="K260" s="1563"/>
      <c r="L260" s="1563"/>
    </row>
    <row r="261" customFormat="false" ht="14.1" hidden="false" customHeight="true" outlineLevel="0" collapsed="false">
      <c r="A261" s="1570"/>
      <c r="B261" s="1575"/>
      <c r="C261" s="1570"/>
      <c r="D261" s="1570"/>
      <c r="E261" s="1563" t="n">
        <f aca="false">SUM(E212:E260)</f>
        <v>3360</v>
      </c>
      <c r="F261" s="1567"/>
      <c r="G261" s="1570"/>
      <c r="H261" s="1570"/>
      <c r="I261" s="1576"/>
      <c r="J261" s="1576"/>
      <c r="K261" s="1576"/>
      <c r="L261" s="1563" t="n">
        <f aca="false">SUM(L211:L260)</f>
        <v>0</v>
      </c>
    </row>
    <row r="262" customFormat="false" ht="14.1" hidden="false" customHeight="true" outlineLevel="0" collapsed="false">
      <c r="A262" s="1563" t="s">
        <v>2920</v>
      </c>
      <c r="B262" s="1577" t="n">
        <f aca="false">E261</f>
        <v>3360</v>
      </c>
      <c r="C262" s="1570"/>
      <c r="D262" s="1570"/>
      <c r="E262" s="1570"/>
      <c r="F262" s="1570"/>
      <c r="G262" s="1570"/>
      <c r="H262" s="1578"/>
      <c r="I262" s="1578"/>
      <c r="J262" s="1578"/>
      <c r="K262" s="1578"/>
      <c r="L262" s="1561"/>
      <c r="M262" s="1578"/>
    </row>
    <row r="263" customFormat="false" ht="14.1" hidden="false" customHeight="true" outlineLevel="0" collapsed="false">
      <c r="A263" s="1563" t="s">
        <v>2921</v>
      </c>
      <c r="B263" s="1577" t="n">
        <f aca="false">L261</f>
        <v>0</v>
      </c>
      <c r="C263" s="1570"/>
      <c r="D263" s="1570"/>
      <c r="E263" s="1570"/>
      <c r="F263" s="1570"/>
      <c r="G263" s="1570"/>
      <c r="H263" s="1570"/>
      <c r="I263" s="1576"/>
      <c r="J263" s="1576"/>
      <c r="K263" s="1576"/>
      <c r="L263" s="1570"/>
      <c r="M263" s="1576"/>
    </row>
    <row r="264" customFormat="false" ht="14.1" hidden="false" customHeight="true" outlineLevel="0" collapsed="false">
      <c r="A264" s="1563" t="s">
        <v>2922</v>
      </c>
      <c r="B264" s="1577" t="n">
        <f aca="false">SUM(B262:B263)</f>
        <v>3360</v>
      </c>
      <c r="C264" s="1570"/>
      <c r="D264" s="1570"/>
      <c r="E264" s="1570"/>
      <c r="F264" s="1570"/>
      <c r="G264" s="1570"/>
      <c r="H264" s="1570"/>
      <c r="I264" s="1576"/>
      <c r="J264" s="1576"/>
      <c r="K264" s="1576"/>
      <c r="L264" s="1570"/>
      <c r="M264" s="1576"/>
    </row>
    <row r="265" customFormat="false" ht="14.1" hidden="false" customHeight="true" outlineLevel="0" collapsed="false">
      <c r="G265" s="1579"/>
      <c r="H265" s="1579"/>
      <c r="I265" s="1580"/>
      <c r="J265" s="1580"/>
      <c r="K265" s="1580"/>
      <c r="L265" s="1581"/>
      <c r="M265" s="1580"/>
    </row>
    <row r="270" customFormat="false" ht="14.1" hidden="false" customHeight="true" outlineLevel="0" collapsed="false">
      <c r="A270" s="0" t="s">
        <v>117</v>
      </c>
      <c r="B270" s="1291" t="n">
        <v>1</v>
      </c>
    </row>
    <row r="271" customFormat="false" ht="14.1" hidden="false" customHeight="true" outlineLevel="0" collapsed="false">
      <c r="A271" s="0" t="s">
        <v>116</v>
      </c>
      <c r="B271" s="1291" t="n">
        <v>2</v>
      </c>
    </row>
    <row r="272" customFormat="false" ht="14.1" hidden="false" customHeight="true" outlineLevel="0" collapsed="false">
      <c r="A272" s="0" t="s">
        <v>2923</v>
      </c>
      <c r="B272" s="1291" t="n">
        <v>1</v>
      </c>
    </row>
    <row r="273" customFormat="false" ht="14.1" hidden="false" customHeight="true" outlineLevel="0" collapsed="false">
      <c r="A273" s="0" t="s">
        <v>2924</v>
      </c>
      <c r="B273" s="1291" t="n">
        <f aca="false">SQRT(B270*B270+B271/2*B271/2)</f>
        <v>1.4142135623731</v>
      </c>
    </row>
    <row r="274" customFormat="false" ht="14.1" hidden="false" customHeight="true" outlineLevel="0" collapsed="false">
      <c r="A274" s="0" t="s">
        <v>2925</v>
      </c>
      <c r="B274" s="1291" t="n">
        <f aca="false">B273*B272</f>
        <v>1.4142135623731</v>
      </c>
    </row>
    <row r="275" customFormat="false" ht="14.1" hidden="false" customHeight="true" outlineLevel="0" collapsed="false">
      <c r="A275" s="0" t="s">
        <v>2926</v>
      </c>
    </row>
    <row r="276" customFormat="false" ht="14.1" hidden="false" customHeight="true" outlineLevel="0" collapsed="false">
      <c r="A276" s="0" t="s">
        <v>2927</v>
      </c>
      <c r="B276" s="1291" t="n">
        <f aca="false">SQRT(B270*B270+B272*B272)</f>
        <v>1.4142135623731</v>
      </c>
    </row>
  </sheetData>
  <mergeCells count="24">
    <mergeCell ref="AH3:AI3"/>
    <mergeCell ref="AH5:AI8"/>
    <mergeCell ref="C8:F8"/>
    <mergeCell ref="H8:K8"/>
    <mergeCell ref="M8:P8"/>
    <mergeCell ref="AH9:AI10"/>
    <mergeCell ref="AH11:AI31"/>
    <mergeCell ref="C20:F20"/>
    <mergeCell ref="H20:K20"/>
    <mergeCell ref="M20:P20"/>
    <mergeCell ref="C24:F24"/>
    <mergeCell ref="H24:K24"/>
    <mergeCell ref="M24:P24"/>
    <mergeCell ref="AH34:AI34"/>
    <mergeCell ref="AH38:AL38"/>
    <mergeCell ref="AH40:AI42"/>
    <mergeCell ref="AH50:AI51"/>
    <mergeCell ref="AH52:AI52"/>
    <mergeCell ref="AH54:AI54"/>
    <mergeCell ref="A181:A182"/>
    <mergeCell ref="B181:G182"/>
    <mergeCell ref="H181:L182"/>
    <mergeCell ref="M181:Q182"/>
    <mergeCell ref="A183:E184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F2338"/>
  <sheetViews>
    <sheetView showFormulas="false" showGridLines="true" showRowColHeaders="true" showZeros="true" rightToLeft="false" tabSelected="false" showOutlineSymbols="true" defaultGridColor="true" view="normal" topLeftCell="A1111" colorId="64" zoomScale="100" zoomScaleNormal="100" zoomScalePageLayoutView="100" workbookViewId="0">
      <pane xSplit="1" ySplit="0" topLeftCell="B1111" activePane="topRight" state="frozen"/>
      <selection pane="topLeft" activeCell="A1111" activeCellId="0" sqref="A1111"/>
      <selection pane="topRight" activeCell="G1202" activeCellId="0" sqref="G1202"/>
    </sheetView>
  </sheetViews>
  <sheetFormatPr defaultColWidth="9.15625" defaultRowHeight="15.75" zeroHeight="false" outlineLevelRow="1" outlineLevelCol="0"/>
  <cols>
    <col collapsed="false" customWidth="true" hidden="false" outlineLevel="0" max="1" min="1" style="1582" width="56.14"/>
    <col collapsed="false" customWidth="true" hidden="false" outlineLevel="0" max="2" min="2" style="1583" width="9"/>
    <col collapsed="false" customWidth="true" hidden="false" outlineLevel="0" max="3" min="3" style="1583" width="7.86"/>
    <col collapsed="false" customWidth="true" hidden="false" outlineLevel="0" max="4" min="4" style="1582" width="8.42"/>
    <col collapsed="false" customWidth="true" hidden="false" outlineLevel="0" max="5" min="5" style="1582" width="10.29"/>
    <col collapsed="false" customWidth="true" hidden="false" outlineLevel="0" max="6" min="6" style="1582" width="7.57"/>
    <col collapsed="false" customWidth="true" hidden="false" outlineLevel="0" max="7" min="7" style="1582" width="32.71"/>
    <col collapsed="false" customWidth="true" hidden="false" outlineLevel="0" max="8" min="8" style="1582" width="6.57"/>
    <col collapsed="false" customWidth="true" hidden="false" outlineLevel="0" max="9" min="9" style="1584" width="11.29"/>
    <col collapsed="false" customWidth="true" hidden="false" outlineLevel="0" max="10" min="10" style="1582" width="10"/>
    <col collapsed="false" customWidth="true" hidden="false" outlineLevel="0" max="14" min="11" style="1582" width="9.29"/>
    <col collapsed="false" customWidth="true" hidden="false" outlineLevel="0" max="15" min="15" style="1582" width="9.85"/>
    <col collapsed="false" customWidth="true" hidden="false" outlineLevel="0" max="16" min="16" style="1582" width="10.71"/>
    <col collapsed="false" customWidth="true" hidden="false" outlineLevel="0" max="17" min="17" style="1582" width="10"/>
    <col collapsed="false" customWidth="true" hidden="false" outlineLevel="0" max="18" min="18" style="1582" width="9.29"/>
    <col collapsed="false" customWidth="true" hidden="false" outlineLevel="0" max="19" min="19" style="1582" width="11.71"/>
    <col collapsed="false" customWidth="true" hidden="false" outlineLevel="0" max="20" min="20" style="1582" width="7.29"/>
    <col collapsed="false" customWidth="true" hidden="false" outlineLevel="0" max="21" min="21" style="1582" width="10"/>
    <col collapsed="false" customWidth="false" hidden="false" outlineLevel="0" max="22" min="22" style="1582" width="9.14"/>
    <col collapsed="false" customWidth="true" hidden="false" outlineLevel="0" max="24" min="23" style="1582" width="8.14"/>
    <col collapsed="false" customWidth="false" hidden="false" outlineLevel="0" max="1024" min="25" style="1582" width="9.14"/>
  </cols>
  <sheetData>
    <row r="1" customFormat="false" ht="15.75" hidden="false" customHeight="true" outlineLevel="0" collapsed="false">
      <c r="A1" s="1585" t="s">
        <v>2928</v>
      </c>
      <c r="B1" s="1586" t="n">
        <v>0</v>
      </c>
      <c r="C1" s="1587"/>
      <c r="D1" s="1588"/>
      <c r="E1" s="1589"/>
      <c r="I1" s="1590"/>
      <c r="J1" s="1591"/>
      <c r="K1" s="1591"/>
      <c r="L1" s="1591"/>
      <c r="M1" s="1591"/>
      <c r="N1" s="1591"/>
      <c r="O1" s="1591"/>
      <c r="P1" s="1591"/>
      <c r="Q1" s="1591"/>
      <c r="R1" s="1591"/>
      <c r="S1" s="1591"/>
      <c r="T1" s="1591"/>
      <c r="U1" s="1591"/>
      <c r="V1" s="1591"/>
      <c r="W1" s="1591"/>
      <c r="X1" s="1591"/>
      <c r="Y1" s="1591"/>
    </row>
    <row r="2" customFormat="false" ht="15.75" hidden="false" customHeight="true" outlineLevel="0" collapsed="false">
      <c r="A2" s="1585" t="s">
        <v>2928</v>
      </c>
      <c r="B2" s="1586" t="n">
        <v>1</v>
      </c>
      <c r="C2" s="1587" t="n">
        <f aca="false">VLOOKUP(связи1!E77,связи1!F2:G3,2,0)</f>
        <v>1</v>
      </c>
      <c r="D2" s="1588"/>
      <c r="E2" s="1589"/>
      <c r="I2" s="1592"/>
      <c r="J2" s="1593"/>
      <c r="K2" s="1593"/>
      <c r="L2" s="1593"/>
      <c r="M2" s="1593"/>
      <c r="N2" s="1593"/>
      <c r="O2" s="1593"/>
      <c r="P2" s="1593"/>
      <c r="Q2" s="1593"/>
      <c r="R2" s="1593"/>
      <c r="S2" s="1593"/>
      <c r="T2" s="1593"/>
      <c r="U2" s="1593"/>
      <c r="V2" s="1593"/>
      <c r="W2" s="1593"/>
      <c r="X2" s="1593"/>
      <c r="Y2" s="1593"/>
    </row>
    <row r="3" customFormat="false" ht="15.75" hidden="false" customHeight="true" outlineLevel="0" collapsed="false">
      <c r="A3" s="1594" t="s">
        <v>2929</v>
      </c>
      <c r="B3" s="1595" t="s">
        <v>15</v>
      </c>
      <c r="C3" s="1596" t="n">
        <f aca="false">'Ввод данных'!BD22</f>
        <v>0</v>
      </c>
      <c r="F3" s="1175"/>
      <c r="G3" s="1597"/>
      <c r="H3" s="1597"/>
      <c r="I3" s="1598"/>
      <c r="J3" s="1597"/>
      <c r="K3" s="1597"/>
      <c r="L3" s="1597"/>
      <c r="M3" s="1597"/>
      <c r="N3" s="1597"/>
      <c r="O3" s="1597"/>
      <c r="P3" s="1597"/>
      <c r="Q3" s="1597"/>
      <c r="R3" s="1597"/>
      <c r="S3" s="1597"/>
      <c r="T3" s="1597"/>
      <c r="U3" s="1597"/>
      <c r="V3" s="1597"/>
      <c r="W3" s="1597"/>
      <c r="X3" s="1597"/>
      <c r="Y3" s="1597"/>
    </row>
    <row r="4" customFormat="false" ht="15.75" hidden="false" customHeight="true" outlineLevel="0" collapsed="false">
      <c r="A4" s="1594" t="s">
        <v>2930</v>
      </c>
      <c r="B4" s="1595" t="s">
        <v>15</v>
      </c>
      <c r="C4" s="1596" t="n">
        <f aca="false">'Ввод данных'!BD124</f>
        <v>0.2</v>
      </c>
      <c r="F4" s="1175" t="s">
        <v>2931</v>
      </c>
      <c r="G4" s="1599" t="n">
        <f aca="false">(C3+C9)*('Ввод данных'!C9+'Ввод данных'!C10)*2+(SQRT(дома!D16/2*дома!D16/2+(C11-C10)*(C11-C10)))*4</f>
        <v>169.930488985174</v>
      </c>
      <c r="H4" s="1599"/>
      <c r="I4" s="1421"/>
      <c r="J4" s="1599" t="n">
        <f aca="false">'Ввод данных'!BC22</f>
        <v>1</v>
      </c>
      <c r="K4" s="1599" t="n">
        <f aca="false">'Ввод данных'!BD22</f>
        <v>0</v>
      </c>
      <c r="L4" s="1599"/>
      <c r="M4" s="1599"/>
      <c r="N4" s="1599"/>
      <c r="O4" s="1599"/>
      <c r="P4" s="1599"/>
      <c r="Q4" s="1599"/>
      <c r="R4" s="1599"/>
      <c r="S4" s="1599"/>
      <c r="T4" s="1599"/>
      <c r="U4" s="1599"/>
      <c r="V4" s="1599"/>
      <c r="W4" s="1599"/>
      <c r="X4" s="1599"/>
      <c r="Y4" s="1599"/>
    </row>
    <row r="5" customFormat="false" ht="15.75" hidden="false" customHeight="true" outlineLevel="0" collapsed="false">
      <c r="A5" s="1594" t="s">
        <v>2932</v>
      </c>
      <c r="B5" s="1595" t="s">
        <v>15</v>
      </c>
      <c r="C5" s="1596" t="n">
        <f aca="false">'Ввод данных'!BD125</f>
        <v>3</v>
      </c>
      <c r="F5" s="1600"/>
      <c r="G5" s="1600"/>
      <c r="H5" s="1600"/>
      <c r="I5" s="1598"/>
      <c r="J5" s="1599" t="n">
        <f aca="false">'Ввод данных'!BC124</f>
        <v>2</v>
      </c>
      <c r="K5" s="1599" t="n">
        <f aca="false">'Ввод данных'!BD124</f>
        <v>0.2</v>
      </c>
      <c r="L5" s="1599"/>
      <c r="M5" s="1599"/>
      <c r="N5" s="1599"/>
      <c r="O5" s="1600"/>
      <c r="P5" s="1600"/>
      <c r="Q5" s="1600"/>
      <c r="R5" s="1600"/>
      <c r="S5" s="1600"/>
      <c r="T5" s="1600"/>
      <c r="U5" s="1600"/>
      <c r="V5" s="1600"/>
      <c r="W5" s="1600"/>
      <c r="X5" s="1600"/>
      <c r="Y5" s="1600"/>
    </row>
    <row r="6" customFormat="false" ht="15.75" hidden="false" customHeight="true" outlineLevel="0" collapsed="false">
      <c r="A6" s="1594" t="s">
        <v>2933</v>
      </c>
      <c r="B6" s="1595" t="s">
        <v>15</v>
      </c>
      <c r="C6" s="1596" t="n">
        <f aca="false">'Ввод данных'!BD130</f>
        <v>3.2</v>
      </c>
      <c r="F6" s="1600"/>
      <c r="G6" s="1600"/>
      <c r="H6" s="1600"/>
      <c r="I6" s="1598"/>
      <c r="J6" s="1599" t="n">
        <f aca="false">'Ввод данных'!BC125</f>
        <v>3</v>
      </c>
      <c r="K6" s="1599" t="n">
        <f aca="false">'Ввод данных'!BD125</f>
        <v>3</v>
      </c>
      <c r="L6" s="1599"/>
      <c r="M6" s="1599"/>
      <c r="N6" s="1599"/>
      <c r="O6" s="1601"/>
      <c r="P6" s="1601"/>
      <c r="Q6" s="1601"/>
      <c r="R6" s="1601"/>
      <c r="S6" s="1601"/>
      <c r="T6" s="1601"/>
      <c r="U6" s="1601"/>
      <c r="V6" s="1601"/>
      <c r="W6" s="1601"/>
      <c r="X6" s="1601"/>
      <c r="Y6" s="1601"/>
    </row>
    <row r="7" customFormat="false" ht="15.75" hidden="false" customHeight="true" outlineLevel="0" collapsed="false">
      <c r="A7" s="1602" t="s">
        <v>2934</v>
      </c>
      <c r="B7" s="1603" t="s">
        <v>15</v>
      </c>
      <c r="C7" s="1596" t="e">
        <f aca="false">'ввод данных'!#ref!</f>
        <v>#VALUE!</v>
      </c>
      <c r="F7" s="1600"/>
      <c r="G7" s="1600"/>
      <c r="H7" s="1600"/>
      <c r="I7" s="1598"/>
      <c r="J7" s="1599" t="n">
        <f aca="false">'Ввод данных'!BC130</f>
        <v>4</v>
      </c>
      <c r="K7" s="1599" t="n">
        <f aca="false">'Ввод данных'!BD130</f>
        <v>3.2</v>
      </c>
      <c r="L7" s="1599"/>
      <c r="M7" s="1599"/>
      <c r="N7" s="1599"/>
      <c r="O7" s="1601"/>
      <c r="P7" s="1601"/>
      <c r="Q7" s="1601"/>
      <c r="R7" s="1601"/>
      <c r="S7" s="1601"/>
      <c r="T7" s="1601"/>
      <c r="U7" s="1601"/>
      <c r="V7" s="1601"/>
      <c r="W7" s="1601"/>
      <c r="X7" s="1601"/>
      <c r="Y7" s="1601"/>
    </row>
    <row r="8" customFormat="false" ht="15.75" hidden="false" customHeight="true" outlineLevel="0" collapsed="false">
      <c r="A8" s="1594" t="s">
        <v>2935</v>
      </c>
      <c r="B8" s="1595" t="s">
        <v>15</v>
      </c>
      <c r="C8" s="1596" t="n">
        <f aca="false">'Ввод данных'!BD134</f>
        <v>5.3</v>
      </c>
      <c r="F8" s="1600"/>
      <c r="G8" s="1600"/>
      <c r="H8" s="1600"/>
      <c r="I8" s="1598"/>
      <c r="J8" s="1599" t="e">
        <f aca="false">'ввод данных'!#ref!</f>
        <v>#VALUE!</v>
      </c>
      <c r="K8" s="1599" t="e">
        <f aca="false">'ввод данных'!#ref!</f>
        <v>#VALUE!</v>
      </c>
      <c r="L8" s="1599"/>
      <c r="M8" s="1599"/>
      <c r="N8" s="1599"/>
      <c r="O8" s="1601"/>
      <c r="P8" s="1601"/>
      <c r="Q8" s="1601"/>
      <c r="R8" s="1601"/>
      <c r="S8" s="1601"/>
      <c r="T8" s="1601"/>
      <c r="U8" s="1601"/>
      <c r="V8" s="1601"/>
      <c r="W8" s="1601"/>
      <c r="X8" s="1601"/>
      <c r="Y8" s="1601"/>
    </row>
    <row r="9" customFormat="false" ht="15.75" hidden="false" customHeight="true" outlineLevel="0" collapsed="false">
      <c r="A9" s="1594" t="s">
        <v>307</v>
      </c>
      <c r="B9" s="1595" t="s">
        <v>15</v>
      </c>
      <c r="C9" s="1596" t="n">
        <f aca="false">'Ввод данных'!BD299</f>
        <v>4.7</v>
      </c>
      <c r="F9" s="1604"/>
      <c r="G9" s="1600"/>
      <c r="H9" s="1600"/>
      <c r="I9" s="1598"/>
      <c r="J9" s="1599" t="n">
        <f aca="false">'Ввод данных'!BC134</f>
        <v>6</v>
      </c>
      <c r="K9" s="1599" t="n">
        <f aca="false">'Ввод данных'!BD134</f>
        <v>5.3</v>
      </c>
      <c r="L9" s="1599"/>
      <c r="M9" s="1599"/>
      <c r="N9" s="1599"/>
      <c r="O9" s="1601"/>
      <c r="P9" s="1601"/>
      <c r="Q9" s="1601"/>
      <c r="R9" s="1601"/>
      <c r="S9" s="1601"/>
      <c r="T9" s="1601"/>
      <c r="U9" s="1601"/>
      <c r="V9" s="1601"/>
      <c r="W9" s="1601"/>
      <c r="X9" s="1601"/>
      <c r="Y9" s="1601"/>
    </row>
    <row r="10" customFormat="false" ht="15.75" hidden="false" customHeight="true" outlineLevel="0" collapsed="false">
      <c r="A10" s="1594" t="s">
        <v>2936</v>
      </c>
      <c r="B10" s="1595" t="s">
        <v>15</v>
      </c>
      <c r="C10" s="1596" t="n">
        <f aca="false">'Ввод данных'!BD302</f>
        <v>5</v>
      </c>
      <c r="F10" s="1604"/>
      <c r="G10" s="1600"/>
      <c r="H10" s="1600"/>
      <c r="I10" s="1598"/>
      <c r="J10" s="1599"/>
      <c r="K10" s="1599"/>
      <c r="L10" s="1599"/>
      <c r="M10" s="1599"/>
      <c r="N10" s="1599"/>
      <c r="O10" s="1601"/>
      <c r="P10" s="1601"/>
      <c r="Q10" s="1601"/>
      <c r="R10" s="1601"/>
      <c r="S10" s="1601"/>
      <c r="T10" s="1601"/>
      <c r="U10" s="1601"/>
      <c r="V10" s="1601"/>
      <c r="W10" s="1601"/>
      <c r="X10" s="1601"/>
      <c r="Y10" s="1601"/>
    </row>
    <row r="11" customFormat="false" ht="15.75" hidden="false" customHeight="true" outlineLevel="0" collapsed="false">
      <c r="A11" s="1602" t="s">
        <v>247</v>
      </c>
      <c r="B11" s="1605" t="s">
        <v>15</v>
      </c>
      <c r="C11" s="1605" t="n">
        <f aca="false">'Ввод данных'!BD303</f>
        <v>7.8</v>
      </c>
      <c r="F11" s="1604"/>
      <c r="G11" s="1600"/>
      <c r="H11" s="1600"/>
      <c r="I11" s="1598"/>
      <c r="J11" s="1599"/>
      <c r="K11" s="1599"/>
      <c r="L11" s="1599"/>
      <c r="M11" s="1599"/>
      <c r="N11" s="1599"/>
      <c r="O11" s="1601"/>
      <c r="P11" s="1601"/>
      <c r="Q11" s="1601"/>
      <c r="R11" s="1601"/>
      <c r="S11" s="1601"/>
      <c r="T11" s="1601"/>
      <c r="U11" s="1601"/>
      <c r="V11" s="1601"/>
      <c r="W11" s="1601"/>
      <c r="X11" s="1601"/>
      <c r="Y11" s="1601"/>
    </row>
    <row r="12" customFormat="false" ht="15.75" hidden="false" customHeight="true" outlineLevel="0" collapsed="false">
      <c r="A12" s="1606" t="s">
        <v>2937</v>
      </c>
      <c r="B12" s="1607"/>
      <c r="C12" s="1607" t="n">
        <f aca="false">'Ввод данных'!BD304</f>
        <v>8.1</v>
      </c>
      <c r="F12" s="1608"/>
      <c r="G12" s="1600"/>
      <c r="H12" s="1600"/>
      <c r="I12" s="1609" t="s">
        <v>2938</v>
      </c>
      <c r="J12" s="1610" t="n">
        <v>1</v>
      </c>
      <c r="K12" s="1599"/>
      <c r="L12" s="1599"/>
      <c r="M12" s="1599"/>
      <c r="N12" s="1599"/>
      <c r="O12" s="1601"/>
      <c r="P12" s="1601"/>
      <c r="Q12" s="1601"/>
      <c r="R12" s="1601"/>
      <c r="S12" s="1601"/>
      <c r="T12" s="1601"/>
      <c r="U12" s="1601"/>
      <c r="V12" s="1601"/>
      <c r="W12" s="1601"/>
      <c r="X12" s="1601"/>
      <c r="Y12" s="1601"/>
    </row>
    <row r="13" customFormat="false" ht="15.75" hidden="false" customHeight="true" outlineLevel="0" collapsed="false">
      <c r="A13" s="1594" t="s">
        <v>2939</v>
      </c>
      <c r="B13" s="1595" t="s">
        <v>241</v>
      </c>
      <c r="C13" s="1611" t="n">
        <v>25</v>
      </c>
      <c r="F13" s="1600"/>
      <c r="G13" s="1600"/>
      <c r="H13" s="1600"/>
      <c r="I13" s="1598"/>
      <c r="J13" s="1599"/>
      <c r="K13" s="1599"/>
      <c r="L13" s="1599"/>
      <c r="M13" s="1599"/>
      <c r="N13" s="1599"/>
      <c r="O13" s="1601"/>
      <c r="P13" s="1601"/>
      <c r="Q13" s="1601"/>
      <c r="R13" s="1601"/>
      <c r="S13" s="1601"/>
      <c r="T13" s="1601"/>
      <c r="U13" s="1601"/>
      <c r="V13" s="1601"/>
      <c r="W13" s="1601"/>
      <c r="X13" s="1601"/>
      <c r="Y13" s="1601"/>
    </row>
    <row r="14" customFormat="false" ht="15.75" hidden="false" customHeight="true" outlineLevel="0" collapsed="false">
      <c r="A14" s="1612" t="s">
        <v>46</v>
      </c>
      <c r="B14" s="1613" t="s">
        <v>12</v>
      </c>
      <c r="C14" s="1613" t="s">
        <v>13</v>
      </c>
      <c r="D14" s="1417" t="s">
        <v>2940</v>
      </c>
      <c r="F14" s="1582" t="s">
        <v>2941</v>
      </c>
      <c r="G14" s="1614" t="s">
        <v>2942</v>
      </c>
      <c r="H14" s="1614"/>
      <c r="Y14" s="1615"/>
      <c r="Z14" s="1344" t="s">
        <v>2943</v>
      </c>
      <c r="AA14" s="1604" t="s">
        <v>2944</v>
      </c>
      <c r="AB14" s="1616" t="s">
        <v>2945</v>
      </c>
      <c r="AC14" s="1604" t="s">
        <v>2946</v>
      </c>
      <c r="AD14" s="1617"/>
      <c r="AE14" s="1617"/>
    </row>
    <row r="15" customFormat="false" ht="15.75" hidden="false" customHeight="true" outlineLevel="0" collapsed="false">
      <c r="A15" s="1422" t="s">
        <v>2947</v>
      </c>
      <c r="B15" s="1605"/>
      <c r="C15" s="1618" t="n">
        <f aca="false">IF('Ввод данных'!A17=связи1!A94,связи1!B94,0)+IF('Ввод данных'!A17=связи1!A95,связи1!B95,0)+IF('Ввод данных'!A17=связи1!A96,связи1!B96,0)+IF('Ввод данных'!A17=связи1!A98,связи1!B98,0)+IF('Ввод данных'!A17=связи1!A97,связи1!B97,0)</f>
        <v>2</v>
      </c>
      <c r="D15" s="1604" t="e">
        <f aca="false">'ввод данных'!#ref!</f>
        <v>#VALUE!</v>
      </c>
      <c r="F15" s="1436" t="n">
        <f aca="false">C15</f>
        <v>2</v>
      </c>
      <c r="G15" s="1436"/>
      <c r="H15" s="1619"/>
      <c r="Y15" s="1584"/>
      <c r="Z15" s="1344" t="n">
        <f aca="false">C16</f>
        <v>8</v>
      </c>
      <c r="AA15" s="1344" t="n">
        <f aca="false">C16</f>
        <v>8</v>
      </c>
      <c r="AB15" s="1344" t="n">
        <f aca="false">C16</f>
        <v>8</v>
      </c>
      <c r="AC15" s="1344" t="n">
        <f aca="false">C16</f>
        <v>8</v>
      </c>
    </row>
    <row r="16" customFormat="false" ht="15.75" hidden="false" customHeight="true" outlineLevel="0" collapsed="false">
      <c r="A16" s="1604" t="s">
        <v>2948</v>
      </c>
      <c r="B16" s="1605" t="s">
        <v>15</v>
      </c>
      <c r="C16" s="1618" t="n">
        <f aca="false">'Ввод данных'!C9</f>
        <v>8</v>
      </c>
      <c r="D16" s="1604" t="n">
        <f aca="false">'Ввод данных'!C9</f>
        <v>8</v>
      </c>
      <c r="F16" s="1319" t="n">
        <f aca="false">IF('Ввод данных'!A114=связи1!A133,'Ввод данных'!C117,0)</f>
        <v>0</v>
      </c>
      <c r="G16" s="1319" t="n">
        <f aca="false">IF('Ввод данных'!A114=связи1!A133,'Ввод данных'!C118,0)</f>
        <v>0</v>
      </c>
      <c r="H16" s="1620"/>
      <c r="Y16" s="1584"/>
      <c r="Z16" s="1344" t="n">
        <f aca="false">C17</f>
        <v>8</v>
      </c>
      <c r="AA16" s="1604" t="n">
        <f aca="false">C17</f>
        <v>8</v>
      </c>
      <c r="AB16" s="1344" t="n">
        <f aca="false">C17</f>
        <v>8</v>
      </c>
      <c r="AC16" s="1436" t="n">
        <f aca="false">C17</f>
        <v>8</v>
      </c>
    </row>
    <row r="17" customFormat="false" ht="15.75" hidden="false" customHeight="true" outlineLevel="0" collapsed="false">
      <c r="A17" s="1604" t="s">
        <v>2949</v>
      </c>
      <c r="B17" s="1605" t="s">
        <v>15</v>
      </c>
      <c r="C17" s="1618" t="n">
        <f aca="false">'Ввод данных'!C10</f>
        <v>8</v>
      </c>
      <c r="D17" s="1604" t="n">
        <f aca="false">'Ввод данных'!C10</f>
        <v>8</v>
      </c>
      <c r="F17" s="1319" t="n">
        <f aca="false">дома!C17</f>
        <v>8</v>
      </c>
      <c r="G17" s="1436"/>
      <c r="H17" s="1619"/>
      <c r="Y17" s="1584"/>
      <c r="Z17" s="1372" t="n">
        <f aca="false">F16</f>
        <v>0</v>
      </c>
      <c r="AA17" s="1372" t="n">
        <f aca="false">G16</f>
        <v>0</v>
      </c>
      <c r="AB17" s="1372"/>
      <c r="AC17" s="1372"/>
    </row>
    <row r="18" customFormat="false" ht="15.75" hidden="false" customHeight="true" outlineLevel="0" collapsed="false">
      <c r="A18" s="1621" t="s">
        <v>2950</v>
      </c>
      <c r="B18" s="1622" t="s">
        <v>15</v>
      </c>
      <c r="C18" s="1623" t="n">
        <f aca="false">'Ввод данных'!C11</f>
        <v>2.8</v>
      </c>
      <c r="D18" s="1621" t="n">
        <f aca="false">C5-C4</f>
        <v>2.8</v>
      </c>
      <c r="F18" s="1344" t="n">
        <f aca="false">C18</f>
        <v>2.8</v>
      </c>
      <c r="G18" s="1344"/>
      <c r="H18" s="1417"/>
      <c r="Y18" s="1584" t="s">
        <v>2951</v>
      </c>
      <c r="Z18" s="1624" t="n">
        <f aca="false">(F20)*Z16</f>
        <v>0</v>
      </c>
      <c r="AA18" s="1624" t="n">
        <f aca="false">(G20)*AA16</f>
        <v>0</v>
      </c>
      <c r="AB18" s="1372"/>
      <c r="AC18" s="1624"/>
    </row>
    <row r="19" customFormat="false" ht="15.75" hidden="false" customHeight="true" outlineLevel="0" collapsed="false">
      <c r="A19" s="1625" t="s">
        <v>19</v>
      </c>
      <c r="B19" s="1622"/>
      <c r="C19" s="1623" t="n">
        <f aca="false">IF('Ввод данных'!A17=связи1!A94,'Ввод данных'!C13,0)+IF('Ввод данных'!A17=связи1!A97,'Ввод данных'!C13,0)+IF('Ввод данных'!A17=связи1!A95,'Ввод данных'!C11,0)+IF('Ввод данных'!A17=связи1!A96,'Ввод данных'!C11,0)+IF('Ввод данных'!A17=связи1!A98,'Ввод данных'!C11,0)</f>
        <v>2.8</v>
      </c>
      <c r="D19" s="1621"/>
      <c r="F19" s="1344" t="n">
        <f aca="false">C19</f>
        <v>2.8</v>
      </c>
      <c r="G19" s="1344"/>
      <c r="H19" s="1417"/>
      <c r="Y19" s="1584" t="s">
        <v>2952</v>
      </c>
      <c r="Z19" s="1624" t="n">
        <f aca="false">F23*Z16</f>
        <v>0</v>
      </c>
      <c r="AA19" s="1624" t="n">
        <f aca="false">G23*AA16</f>
        <v>12</v>
      </c>
      <c r="AB19" s="1372"/>
      <c r="AC19" s="1624"/>
    </row>
    <row r="20" customFormat="false" ht="15.75" hidden="false" customHeight="true" outlineLevel="0" collapsed="false">
      <c r="A20" s="1621" t="s">
        <v>2868</v>
      </c>
      <c r="B20" s="1622"/>
      <c r="C20" s="1623" t="n">
        <f aca="false">IF('Ввод данных'!A17=связи1!A94,C18,0)+IF('Ввод данных'!A17=связи1!A97,'Ввод данных'!C14,0)+IF('Ввод данных'!A17=связи1!A95,C18,0)+IF('Ввод данных'!A17=связи1!A96,C18,0)+IF('Ввод данных'!A17=связи1!A98,C18,0)</f>
        <v>2.8</v>
      </c>
      <c r="D20" s="1621"/>
      <c r="F20" s="1443" t="n">
        <f aca="false">IF('Ввод данных'!A101=связи1!A129,'Ввод данных'!C104,0)</f>
        <v>0</v>
      </c>
      <c r="G20" s="1443" t="n">
        <f aca="false">IF('Ввод данных'!A101=связи1!A129,'Ввод данных'!C105,0)</f>
        <v>0</v>
      </c>
      <c r="H20" s="1431"/>
      <c r="Y20" s="1584" t="s">
        <v>2953</v>
      </c>
      <c r="Z20" s="1624" t="n">
        <f aca="false">IF(AND(0&lt;F23,F23&lt;G23),G23-F23,0)+IF(AND(0&lt;G23,G23&lt;F23),F23-G23,0)+IF(AND(G23=0,G20=0),F23+F20+0.2,0)+IF(AND(F23=0,F20=0),G23+G20+0.2,0)+IF(AND(G23=0,G20&gt;0),F23+F20+0.2-G20,0)+IF(AND(F23=0,F20&gt;0),G23+G20+0.2-F20,0)</f>
        <v>1.7</v>
      </c>
      <c r="AA20" s="1372" t="n">
        <f aca="false">Z20</f>
        <v>1.7</v>
      </c>
      <c r="AB20" s="1372"/>
      <c r="AC20" s="1624"/>
    </row>
    <row r="21" customFormat="false" ht="15.75" hidden="false" customHeight="true" outlineLevel="0" collapsed="false">
      <c r="A21" s="1624" t="s">
        <v>2954</v>
      </c>
      <c r="B21" s="1626" t="s">
        <v>15</v>
      </c>
      <c r="C21" s="1627" t="n">
        <f aca="false">IF('Ввод данных'!A17=связи1!A95,'Ввод данных'!C12,0)+IF('Ввод данных'!A17=связи1!A96,'Ввод данных'!C12,0)+IF('Ввод данных'!A17=связи1!A94,0)+IF('Ввод данных'!A17=связи1!A98,'Ввод данных'!C12,0)</f>
        <v>2.6</v>
      </c>
      <c r="D21" s="1624" t="e">
        <f aca="false">C7-C6</f>
        <v>#VALUE!</v>
      </c>
      <c r="F21" s="1344" t="n">
        <f aca="false">C21</f>
        <v>2.6</v>
      </c>
      <c r="G21" s="1344"/>
      <c r="H21" s="1417"/>
      <c r="Y21" s="1584" t="s">
        <v>2955</v>
      </c>
      <c r="Z21" s="1372" t="n">
        <f aca="false">F23+F20+0.2</f>
        <v>0.2</v>
      </c>
      <c r="AA21" s="1624" t="n">
        <f aca="false">G23+G20+0.2</f>
        <v>1.7</v>
      </c>
      <c r="AB21" s="1628"/>
      <c r="AC21" s="1624"/>
    </row>
    <row r="22" customFormat="false" ht="15.75" hidden="false" customHeight="true" outlineLevel="0" collapsed="false">
      <c r="A22" s="1624" t="s">
        <v>2503</v>
      </c>
      <c r="B22" s="1626" t="s">
        <v>15</v>
      </c>
      <c r="C22" s="1627" t="n">
        <f aca="false">IF('Ввод данных'!A17=связи1!A95,связи1!H235,0)+IF('Ввод данных'!A17=связи1!A96,связи1!H235,0)+IF('Ввод данных'!A17=связи1!A98,связи1!H235,0)</f>
        <v>5</v>
      </c>
      <c r="D22" s="1624" t="n">
        <f aca="false">C11-C8</f>
        <v>2.5</v>
      </c>
      <c r="F22" s="1344" t="n">
        <f aca="false">C22</f>
        <v>5</v>
      </c>
      <c r="G22" s="1344"/>
      <c r="H22" s="1417"/>
      <c r="Y22" s="1584" t="s">
        <v>2956</v>
      </c>
      <c r="Z22" s="1372" t="n">
        <f aca="false">IF(Z21&gt;AA21,Z21-AA21,0)</f>
        <v>0</v>
      </c>
      <c r="AA22" s="1372" t="n">
        <f aca="false">IF(AA21&gt;Z21,AA21-Z21,0)</f>
        <v>1.5</v>
      </c>
      <c r="AB22" s="1372"/>
      <c r="AC22" s="1372"/>
    </row>
    <row r="23" customFormat="false" ht="15.75" hidden="false" customHeight="true" outlineLevel="0" collapsed="false">
      <c r="A23" s="1624" t="s">
        <v>2957</v>
      </c>
      <c r="B23" s="1626" t="s">
        <v>15</v>
      </c>
      <c r="C23" s="1627" t="n">
        <f aca="false">IF('Ввод данных'!A17=связи1!A94,0,0)+IF('Ввод данных'!A17=связи1!A95,'Ввод данных'!C12,0)+IF('Ввод данных'!A17=связи1!A96,связи1!H236,0)+IF('Ввод данных'!A17=связи1!A98,связи1!H236,0)</f>
        <v>1.6</v>
      </c>
      <c r="D23" s="1624" t="n">
        <f aca="false">C8-C6</f>
        <v>2.1</v>
      </c>
      <c r="F23" s="1443" t="n">
        <f aca="false">IF('Ввод данных'!A17=связи1!A94,0,0)+IF('Ввод данных'!A17=связи1!A95,'Ввод данных'!C106,0)+IF('Ввод данных'!A17=связи1!A96,'Ввод данных'!C106,0)+IF('Ввод данных'!A17=связи1!A98,'Ввод данных'!C106,0)</f>
        <v>0</v>
      </c>
      <c r="G23" s="1443" t="n">
        <f aca="false">IF('Ввод данных'!A17=связи1!A94,0,0)+IF('Ввод данных'!A17=связи1!A95,'Ввод данных'!C107,0)+IF('Ввод данных'!A17=связи1!A96,'Ввод данных'!C107,0)+IF('Ввод данных'!A17=связи1!A98,'Ввод данных'!C107,0)</f>
        <v>1.5</v>
      </c>
      <c r="H23" s="1431"/>
      <c r="Y23" s="1584" t="s">
        <v>2958</v>
      </c>
      <c r="Z23" s="1372" t="n">
        <f aca="false">C19</f>
        <v>2.8</v>
      </c>
      <c r="AA23" s="1372" t="n">
        <f aca="false">C19</f>
        <v>2.8</v>
      </c>
      <c r="AB23" s="1372"/>
      <c r="AC23" s="1372"/>
    </row>
    <row r="24" customFormat="false" ht="15.75" hidden="false" customHeight="true" outlineLevel="0" collapsed="false">
      <c r="A24" s="1629" t="s">
        <v>2959</v>
      </c>
      <c r="B24" s="1605"/>
      <c r="C24" s="1618" t="n">
        <f aca="false">C21-C23</f>
        <v>1</v>
      </c>
      <c r="D24" s="1604" t="e">
        <f aca="false">C8-C7</f>
        <v>#VALUE!</v>
      </c>
      <c r="F24" s="1344" t="n">
        <f aca="false">F21-F23</f>
        <v>2.6</v>
      </c>
      <c r="G24" s="1344"/>
      <c r="H24" s="1417"/>
      <c r="Y24" s="1584" t="s">
        <v>2960</v>
      </c>
      <c r="Z24" s="1624" t="n">
        <f aca="false">C22</f>
        <v>5</v>
      </c>
      <c r="AA24" s="1372" t="n">
        <f aca="false">C22</f>
        <v>5</v>
      </c>
      <c r="AB24" s="1372"/>
      <c r="AC24" s="1372"/>
    </row>
    <row r="25" customFormat="false" ht="15.75" hidden="false" customHeight="true" outlineLevel="0" collapsed="false">
      <c r="A25" s="1629" t="s">
        <v>2961</v>
      </c>
      <c r="B25" s="1605"/>
      <c r="C25" s="1618" t="n">
        <f aca="false">C22-C21</f>
        <v>2.4</v>
      </c>
      <c r="D25" s="1608"/>
      <c r="G25" s="1601"/>
      <c r="H25" s="1601"/>
      <c r="I25" s="1584" t="s">
        <v>2962</v>
      </c>
      <c r="J25" s="1584"/>
      <c r="O25" s="1436" t="s">
        <v>2659</v>
      </c>
      <c r="S25" s="1630" t="s">
        <v>2963</v>
      </c>
      <c r="Y25" s="1631" t="s">
        <v>2964</v>
      </c>
      <c r="Z25" s="1372" t="n">
        <f aca="false">IF('Ввод данных'!A17=связи1!A94,'Ввод данных'!C13,0)+IF('Ввод данных'!A17=связи1!A95,'Ввод данных'!C11+связи1!H235+0.2,0)+IF('Ввод данных'!A17=связи1!A96,'Ввод данных'!C11+0.2+связи1!H235,0)+IF('Ввод данных'!A17=связи1!A97,'Ввод данных'!C13,0)+IF('Ввод данных'!A17=связи1!A98,'Ввод данных'!C11+0.2+связи1!H235,0)</f>
        <v>8</v>
      </c>
      <c r="AA25" s="1372" t="n">
        <f aca="false">IF('Ввод данных'!A17=связи1!A94,'Ввод данных'!C13,0)+IF('Ввод данных'!A17=связи1!A95,'Ввод данных'!C11+связи1!H235+0.2,0)+IF('Ввод данных'!A17=связи1!A96,'Ввод данных'!C11+0.2+связи1!H235,0)+IF('Ввод данных'!A17=связи1!A97,'Ввод данных'!C13,0)+IF('Ввод данных'!A17=связи1!A98,'Ввод данных'!C11+0.2+связи1!H235,0)</f>
        <v>8</v>
      </c>
      <c r="AB25" s="1632"/>
      <c r="AC25" s="1632"/>
      <c r="AD25" s="1617"/>
      <c r="AE25" s="1617"/>
    </row>
    <row r="26" customFormat="false" ht="15.75" hidden="false" customHeight="true" outlineLevel="0" collapsed="false">
      <c r="A26" s="1629"/>
      <c r="B26" s="1605"/>
      <c r="C26" s="1618"/>
      <c r="D26" s="1436" t="s">
        <v>2965</v>
      </c>
      <c r="E26" s="1436" t="s">
        <v>2966</v>
      </c>
      <c r="F26" s="1436" t="s">
        <v>2967</v>
      </c>
      <c r="G26" s="1582" t="s">
        <v>2968</v>
      </c>
      <c r="I26" s="1584" t="s">
        <v>2969</v>
      </c>
      <c r="J26" s="1604" t="s">
        <v>137</v>
      </c>
      <c r="K26" s="1633" t="s">
        <v>2970</v>
      </c>
      <c r="L26" s="1436" t="s">
        <v>2971</v>
      </c>
      <c r="M26" s="1634"/>
      <c r="N26" s="1634"/>
      <c r="O26" s="1634" t="s">
        <v>2773</v>
      </c>
      <c r="P26" s="1436" t="s">
        <v>2972</v>
      </c>
      <c r="Q26" s="1436" t="s">
        <v>249</v>
      </c>
      <c r="R26" s="1436" t="s">
        <v>2973</v>
      </c>
      <c r="S26" s="1635" t="s">
        <v>2974</v>
      </c>
      <c r="T26" s="1635" t="s">
        <v>2975</v>
      </c>
      <c r="U26" s="1436" t="s">
        <v>2976</v>
      </c>
      <c r="V26" s="1436"/>
      <c r="W26" s="1436" t="s">
        <v>2977</v>
      </c>
      <c r="Y26" s="1631" t="s">
        <v>2978</v>
      </c>
      <c r="Z26" s="1372" t="n">
        <f aca="false">Z25-Z21</f>
        <v>7.8</v>
      </c>
      <c r="AA26" s="1372" t="n">
        <f aca="false">AA25-AA21</f>
        <v>6.3</v>
      </c>
      <c r="AB26" s="1632"/>
      <c r="AC26" s="1632"/>
      <c r="AE26" s="1617"/>
    </row>
    <row r="27" customFormat="false" ht="15.75" hidden="false" customHeight="true" outlineLevel="0" collapsed="false">
      <c r="A27" s="1636" t="s">
        <v>2979</v>
      </c>
      <c r="B27" s="1637"/>
      <c r="C27" s="1638" t="n">
        <f aca="false">C20</f>
        <v>2.8</v>
      </c>
      <c r="D27" s="1436" t="n">
        <f aca="false">C27/(D1531/1000)</f>
        <v>14</v>
      </c>
      <c r="E27" s="1436" t="n">
        <f aca="false">FLOOR(D27,1)</f>
        <v>14</v>
      </c>
      <c r="F27" s="1436" t="n">
        <v>4</v>
      </c>
      <c r="G27" s="1582" t="n">
        <f aca="false">D27*F27</f>
        <v>56</v>
      </c>
      <c r="I27" s="1584" t="n">
        <f aca="false">C27*F27+0.4</f>
        <v>11.6</v>
      </c>
      <c r="J27" s="1604" t="n">
        <f aca="false">E27*$D$1531/1000</f>
        <v>2.8</v>
      </c>
      <c r="K27" s="1633" t="n">
        <f aca="false">C27-J27</f>
        <v>0</v>
      </c>
      <c r="L27" s="1436" t="n">
        <f aca="false">IF(AND(K27&gt;0.1,K27&lt;=0.2),K27,0)+IF(AND(K27&gt;0,K27&lt;=0.1),0.1,0)</f>
        <v>0</v>
      </c>
      <c r="M27" s="1436"/>
      <c r="N27" s="1436"/>
      <c r="O27" s="1436" t="n">
        <f aca="false">C16+C16+C17+C17-F1531/1000*2</f>
        <v>31.4</v>
      </c>
      <c r="P27" s="1436" t="n">
        <f aca="false">L27*O27*$F$1531/1000</f>
        <v>0</v>
      </c>
      <c r="Q27" s="1436" t="n">
        <f aca="false">B1115*C1140*4+L1115*J1140*4</f>
        <v>20.9990475974507</v>
      </c>
      <c r="R27" s="1436" t="n">
        <f aca="false">S27</f>
        <v>32</v>
      </c>
      <c r="S27" s="1635" t="n">
        <f aca="false">C16+C16+C17+C17</f>
        <v>32</v>
      </c>
      <c r="T27" s="1436" t="n">
        <f aca="false">$D$1531/1000</f>
        <v>0.2</v>
      </c>
      <c r="U27" s="1436" t="n">
        <f aca="false">C27/T27</f>
        <v>14</v>
      </c>
      <c r="V27" s="1436" t="n">
        <f aca="false">IF(U27=0,0,U27/3+1)</f>
        <v>5.66666666666667</v>
      </c>
      <c r="W27" s="1436" t="n">
        <f aca="false">S27*V27*2</f>
        <v>362.666666666667</v>
      </c>
      <c r="Y27" s="1639" t="s">
        <v>2980</v>
      </c>
      <c r="Z27" s="1372" t="n">
        <f aca="false">SQRT(Z17*Z17+Z26*Z26)</f>
        <v>7.8</v>
      </c>
      <c r="AA27" s="1372" t="n">
        <f aca="false">SQRT(AA17*AA17+AA26*AA26)</f>
        <v>6.3</v>
      </c>
      <c r="AB27" s="1632"/>
      <c r="AC27" s="1632"/>
      <c r="AD27" s="1617"/>
      <c r="AE27" s="1617"/>
    </row>
    <row r="28" customFormat="false" ht="15.75" hidden="false" customHeight="true" outlineLevel="0" collapsed="false">
      <c r="A28" s="1636" t="s">
        <v>2981</v>
      </c>
      <c r="B28" s="1640"/>
      <c r="C28" s="1638" t="n">
        <f aca="false">C23</f>
        <v>1.6</v>
      </c>
      <c r="D28" s="1436" t="n">
        <f aca="false">C28/(D1531/1000)</f>
        <v>8</v>
      </c>
      <c r="E28" s="1436" t="n">
        <f aca="false">FLOOR(D28,1)</f>
        <v>8</v>
      </c>
      <c r="F28" s="1436" t="n">
        <v>4</v>
      </c>
      <c r="G28" s="1582" t="n">
        <f aca="false">D28*F28</f>
        <v>32</v>
      </c>
      <c r="I28" s="1584" t="n">
        <f aca="false">C28*F28+0.4</f>
        <v>6.8</v>
      </c>
      <c r="J28" s="1604" t="n">
        <f aca="false">E28*$D$1531/1000</f>
        <v>1.6</v>
      </c>
      <c r="K28" s="1633" t="n">
        <f aca="false">C28-J28</f>
        <v>0</v>
      </c>
      <c r="L28" s="1436" t="n">
        <f aca="false">IF(AND(K28&gt;0.1,K28&lt;=0.2),K28,0)+IF(AND(K28&gt;0,K28&lt;=0.1),0.1,0)</f>
        <v>0</v>
      </c>
      <c r="M28" s="1436"/>
      <c r="N28" s="1436"/>
      <c r="O28" s="1436" t="n">
        <f aca="false">IF('Ввод данных'!A17=связи1!A94,0,0)+IF('Ввод данных'!A17=связи1!A95,O27,0)+IF('Ввод данных'!A17=связи1!A96,дома!C17+дома!C17,0)+IF('Ввод данных'!A17=связи1!A97,0,0)+IF('Ввод данных'!A17=связи1!A98,дома!C17+дома!C17,0)</f>
        <v>16</v>
      </c>
      <c r="P28" s="1436" t="n">
        <f aca="false">L28*O28*$F$1531/1000</f>
        <v>0</v>
      </c>
      <c r="Q28" s="1436" t="n">
        <f aca="false">Q27/L1531</f>
        <v>47.9110750119166</v>
      </c>
      <c r="R28" s="1436" t="n">
        <f aca="false">S28</f>
        <v>32</v>
      </c>
      <c r="S28" s="1635" t="n">
        <f aca="false">C16+C16+C17+C17</f>
        <v>32</v>
      </c>
      <c r="T28" s="1436" t="n">
        <f aca="false">$D$1531/1000</f>
        <v>0.2</v>
      </c>
      <c r="U28" s="1436" t="n">
        <f aca="false">C28/T28</f>
        <v>8</v>
      </c>
      <c r="V28" s="1436" t="n">
        <f aca="false">IF(U28=0,0,U28/3+1)</f>
        <v>3.66666666666667</v>
      </c>
      <c r="W28" s="1436" t="n">
        <f aca="false">S28*V28*2</f>
        <v>234.666666666667</v>
      </c>
      <c r="Y28" s="1639"/>
      <c r="Z28" s="1372"/>
      <c r="AA28" s="1372"/>
      <c r="AB28" s="1632"/>
      <c r="AC28" s="1632"/>
      <c r="AD28" s="1617"/>
      <c r="AE28" s="1617"/>
    </row>
    <row r="29" customFormat="false" ht="15.75" hidden="false" customHeight="true" outlineLevel="0" collapsed="false">
      <c r="A29" s="1636" t="s">
        <v>2982</v>
      </c>
      <c r="B29" s="1640"/>
      <c r="C29" s="1638" t="n">
        <v>0</v>
      </c>
      <c r="D29" s="1436" t="n">
        <f aca="false">C29/(D1531/1000)</f>
        <v>0</v>
      </c>
      <c r="E29" s="1436" t="n">
        <f aca="false">FLOOR(D29,1)</f>
        <v>0</v>
      </c>
      <c r="F29" s="1436"/>
      <c r="G29" s="1582" t="n">
        <f aca="false">D29*F29</f>
        <v>0</v>
      </c>
      <c r="J29" s="1604" t="n">
        <f aca="false">E29*$D$1531/1000</f>
        <v>0</v>
      </c>
      <c r="K29" s="1633" t="n">
        <f aca="false">C29-J29</f>
        <v>0</v>
      </c>
      <c r="L29" s="1436" t="n">
        <f aca="false">IF(AND(K29&gt;0.1,K29&lt;=0.2),K29,0)+IF(AND(K29&gt;0,K29&lt;=0.1),0.1,0)</f>
        <v>0</v>
      </c>
      <c r="M29" s="1436"/>
      <c r="N29" s="1436"/>
      <c r="O29" s="1436"/>
      <c r="P29" s="1436" t="n">
        <f aca="false">L29*O29*$F$1531/1000</f>
        <v>0</v>
      </c>
      <c r="Q29" s="1436" t="n">
        <f aca="false">Q28/2</f>
        <v>23.9555375059583</v>
      </c>
      <c r="R29" s="1436" t="n">
        <f aca="false">S29</f>
        <v>0</v>
      </c>
      <c r="S29" s="1635"/>
      <c r="T29" s="1436" t="n">
        <f aca="false">$D$1531/1000</f>
        <v>0.2</v>
      </c>
      <c r="U29" s="1436" t="n">
        <f aca="false">C29/T29</f>
        <v>0</v>
      </c>
      <c r="V29" s="1436"/>
      <c r="W29" s="1436" t="n">
        <f aca="false">S29*V29*2</f>
        <v>0</v>
      </c>
      <c r="Y29" s="1641" t="s">
        <v>2983</v>
      </c>
      <c r="Z29" s="1372" t="n">
        <f aca="false">Z26/Z27</f>
        <v>1</v>
      </c>
      <c r="AA29" s="1372" t="n">
        <f aca="false">AA26/AA27</f>
        <v>1</v>
      </c>
      <c r="AB29" s="1632"/>
      <c r="AC29" s="1632"/>
      <c r="AD29" s="1617"/>
      <c r="AE29" s="1617"/>
    </row>
    <row r="30" customFormat="false" ht="15.75" hidden="false" customHeight="true" outlineLevel="0" collapsed="false">
      <c r="A30" s="1642" t="s">
        <v>2984</v>
      </c>
      <c r="B30" s="1640"/>
      <c r="C30" s="1638" t="n">
        <f aca="false">пристройка!R43</f>
        <v>0</v>
      </c>
      <c r="D30" s="1436" t="n">
        <f aca="false">C30/(D1531/1000)</f>
        <v>0</v>
      </c>
      <c r="E30" s="1436" t="n">
        <f aca="false">FLOOR(D30,1)</f>
        <v>0</v>
      </c>
      <c r="F30" s="1436" t="n">
        <v>2</v>
      </c>
      <c r="G30" s="1582" t="n">
        <f aca="false">D30*F30</f>
        <v>0</v>
      </c>
      <c r="I30" s="1584" t="n">
        <f aca="false">C30*F30+0.4</f>
        <v>0.4</v>
      </c>
      <c r="J30" s="1604" t="n">
        <f aca="false">E30*$D$1531/1000</f>
        <v>0</v>
      </c>
      <c r="K30" s="1633" t="n">
        <f aca="false">C30-J30</f>
        <v>0</v>
      </c>
      <c r="L30" s="1436" t="n">
        <f aca="false">IF(AND(K30&gt;0.1,K30&lt;=0.2),K30,0)+IF(AND(K30&gt;0,K30&lt;=0.1),0.1,0)</f>
        <v>0</v>
      </c>
      <c r="M30" s="1436"/>
      <c r="N30" s="1436"/>
      <c r="O30" s="1436" t="n">
        <f aca="false">пристройка!C33*пристройка!C32*пристройка!C3+пристройка!H33*пристройка!H32*пристройка!H3</f>
        <v>0</v>
      </c>
      <c r="P30" s="1436" t="n">
        <f aca="false">L30*O30*$F$1531/1000</f>
        <v>0</v>
      </c>
      <c r="Q30" s="1436"/>
      <c r="R30" s="1436" t="n">
        <f aca="false">S30</f>
        <v>0</v>
      </c>
      <c r="S30" s="1635" t="n">
        <f aca="false">пристройка!R33</f>
        <v>0</v>
      </c>
      <c r="T30" s="1436" t="n">
        <f aca="false">$D$1531/1000</f>
        <v>0.2</v>
      </c>
      <c r="U30" s="1436" t="n">
        <f aca="false">C30/T30</f>
        <v>0</v>
      </c>
      <c r="V30" s="1436" t="n">
        <f aca="false">IF(U30=0,0,U30/3+1)</f>
        <v>0</v>
      </c>
      <c r="W30" s="1436" t="n">
        <f aca="false">S30*V30*2</f>
        <v>0</v>
      </c>
      <c r="Y30" s="1641" t="s">
        <v>2985</v>
      </c>
      <c r="Z30" s="1372" t="n">
        <f aca="false">DEGREES(Z29)</f>
        <v>57.2957795130823</v>
      </c>
      <c r="AA30" s="1372" t="n">
        <f aca="false">DEGREES(AA29)</f>
        <v>57.2957795130823</v>
      </c>
      <c r="AB30" s="1632"/>
      <c r="AC30" s="1632"/>
      <c r="AD30" s="1617"/>
      <c r="AE30" s="1617"/>
    </row>
    <row r="31" customFormat="false" ht="15.75" hidden="false" customHeight="true" outlineLevel="0" collapsed="false">
      <c r="A31" s="1642" t="s">
        <v>2986</v>
      </c>
      <c r="B31" s="1640"/>
      <c r="C31" s="1638" t="n">
        <f aca="false">пристройка!R44</f>
        <v>0</v>
      </c>
      <c r="D31" s="1436" t="n">
        <f aca="false">C31/(D1531/1000)</f>
        <v>0</v>
      </c>
      <c r="E31" s="1436" t="n">
        <f aca="false">FLOOR(D31,1)</f>
        <v>0</v>
      </c>
      <c r="F31" s="1436" t="n">
        <v>2</v>
      </c>
      <c r="G31" s="1582" t="n">
        <f aca="false">D31*F31</f>
        <v>0</v>
      </c>
      <c r="I31" s="1584" t="n">
        <f aca="false">C31*F31+0.4</f>
        <v>0.4</v>
      </c>
      <c r="J31" s="1604" t="n">
        <f aca="false">E31*$D$1531/1000</f>
        <v>0</v>
      </c>
      <c r="K31" s="1633" t="n">
        <f aca="false">C31-J31</f>
        <v>0</v>
      </c>
      <c r="L31" s="1436" t="n">
        <f aca="false">IF(AND(K31&gt;0.1,K31&lt;=0.2),K31,0)+IF(AND(K31&gt;0,K31&lt;=0.1),0.1,0)</f>
        <v>0</v>
      </c>
      <c r="M31" s="1436"/>
      <c r="N31" s="1436"/>
      <c r="O31" s="1436" t="n">
        <f aca="false">пристройка!C33*пристройка!C32*пристройка!C5+пристройка!H33*пристройка!H32*пристройка!H5</f>
        <v>0</v>
      </c>
      <c r="P31" s="1436" t="n">
        <f aca="false">L31*O31*$F$1531/1000</f>
        <v>0</v>
      </c>
      <c r="Q31" s="1436"/>
      <c r="R31" s="1436" t="n">
        <f aca="false">S31</f>
        <v>0</v>
      </c>
      <c r="S31" s="1635" t="n">
        <f aca="false">пристройка!R35</f>
        <v>0</v>
      </c>
      <c r="T31" s="1436" t="n">
        <f aca="false">$D$1531/1000</f>
        <v>0.2</v>
      </c>
      <c r="U31" s="1436" t="n">
        <f aca="false">C31/T31</f>
        <v>0</v>
      </c>
      <c r="V31" s="1436" t="n">
        <f aca="false">IF(U31=0,0,U31/3+1)</f>
        <v>0</v>
      </c>
      <c r="W31" s="1436" t="n">
        <f aca="false">S31*V31*2</f>
        <v>0</v>
      </c>
      <c r="Y31" s="1641"/>
      <c r="Z31" s="1372"/>
      <c r="AA31" s="1372"/>
      <c r="AB31" s="1643"/>
      <c r="AC31" s="1632"/>
      <c r="AD31" s="1617"/>
      <c r="AE31" s="1617"/>
    </row>
    <row r="32" customFormat="false" ht="15.75" hidden="false" customHeight="true" outlineLevel="0" collapsed="false">
      <c r="A32" s="1642" t="s">
        <v>2987</v>
      </c>
      <c r="B32" s="1640"/>
      <c r="C32" s="1638" t="n">
        <f aca="false">пристройка!R45</f>
        <v>0</v>
      </c>
      <c r="D32" s="1436" t="n">
        <f aca="false">C32/(D1531/1000)</f>
        <v>0</v>
      </c>
      <c r="E32" s="1436" t="n">
        <f aca="false">FLOOR(D32,1)</f>
        <v>0</v>
      </c>
      <c r="F32" s="1436" t="n">
        <v>2</v>
      </c>
      <c r="G32" s="1582" t="n">
        <f aca="false">D32*F32</f>
        <v>0</v>
      </c>
      <c r="J32" s="1604" t="n">
        <f aca="false">E32*$D$1531/1000</f>
        <v>0</v>
      </c>
      <c r="K32" s="1633" t="n">
        <f aca="false">C32-J32</f>
        <v>0</v>
      </c>
      <c r="L32" s="1436" t="n">
        <f aca="false">IF(AND(K32&gt;0.1,K32&lt;=0.2),K32,0)+IF(AND(K32&gt;0,K32&lt;=0.1),0.1,0)</f>
        <v>0</v>
      </c>
      <c r="M32" s="1436"/>
      <c r="N32" s="1436"/>
      <c r="O32" s="1436" t="n">
        <f aca="false">пристройка!C33*пристройка!C32*пристройка!C3+пристройка!H33*пристройка!H32*пристройка!H3</f>
        <v>0</v>
      </c>
      <c r="P32" s="1436" t="n">
        <f aca="false">L32*O32*$F$1531/1000</f>
        <v>0</v>
      </c>
      <c r="Q32" s="1436"/>
      <c r="R32" s="1436" t="n">
        <f aca="false">S32</f>
        <v>0</v>
      </c>
      <c r="S32" s="1635"/>
      <c r="T32" s="1436" t="n">
        <f aca="false">$D$1531/1000</f>
        <v>0.2</v>
      </c>
      <c r="U32" s="1436" t="n">
        <f aca="false">C32/T32</f>
        <v>0</v>
      </c>
      <c r="V32" s="1436"/>
      <c r="W32" s="1436" t="n">
        <f aca="false">S32*V32*2</f>
        <v>0</v>
      </c>
      <c r="Y32" s="1641" t="s">
        <v>2988</v>
      </c>
      <c r="Z32" s="1372" t="n">
        <f aca="false">IF(G20&gt;F20,G20-F20,0)</f>
        <v>0</v>
      </c>
      <c r="AA32" s="1372" t="n">
        <f aca="false">IF(F20&gt;G20,F20-G20,0)</f>
        <v>0</v>
      </c>
      <c r="AB32" s="1644"/>
      <c r="AC32" s="1632"/>
      <c r="AD32" s="1617"/>
      <c r="AE32" s="1617"/>
    </row>
    <row r="33" customFormat="false" ht="15.75" hidden="false" customHeight="true" outlineLevel="0" collapsed="false">
      <c r="A33" s="1642" t="s">
        <v>2989</v>
      </c>
      <c r="B33" s="1640"/>
      <c r="C33" s="1638" t="n">
        <f aca="false">пристройка!R46</f>
        <v>0</v>
      </c>
      <c r="D33" s="1436" t="n">
        <f aca="false">C33/(D1531/1000)</f>
        <v>0</v>
      </c>
      <c r="E33" s="1436" t="n">
        <f aca="false">FLOOR(D33,1)</f>
        <v>0</v>
      </c>
      <c r="F33" s="1436" t="n">
        <v>2</v>
      </c>
      <c r="G33" s="1582" t="n">
        <f aca="false">D33*F33</f>
        <v>0</v>
      </c>
      <c r="J33" s="1604" t="n">
        <f aca="false">E33*$D$1531/1000</f>
        <v>0</v>
      </c>
      <c r="K33" s="1633" t="n">
        <f aca="false">C33-J33</f>
        <v>0</v>
      </c>
      <c r="L33" s="1436" t="n">
        <f aca="false">IF(AND(K33&gt;0.1,K33&lt;=0.2),K33,0)+IF(AND(K33&gt;0,K33&lt;=0.1),0.1,0)</f>
        <v>0</v>
      </c>
      <c r="M33" s="1436"/>
      <c r="N33" s="1436"/>
      <c r="O33" s="1436" t="n">
        <f aca="false">пристройка!C33*пристройка!C32*пристройка!C5+пристройка!H33*пристройка!H32*пристройка!H5</f>
        <v>0</v>
      </c>
      <c r="P33" s="1436" t="n">
        <f aca="false">L33*O33*$F$1531/1000</f>
        <v>0</v>
      </c>
      <c r="Q33" s="1436"/>
      <c r="R33" s="1436" t="n">
        <f aca="false">S33</f>
        <v>0</v>
      </c>
      <c r="S33" s="1635"/>
      <c r="T33" s="1436" t="n">
        <f aca="false">$D$1531/1000</f>
        <v>0.2</v>
      </c>
      <c r="U33" s="1436" t="n">
        <f aca="false">C33/T33</f>
        <v>0</v>
      </c>
      <c r="V33" s="1436"/>
      <c r="W33" s="1436" t="n">
        <f aca="false">S33*V33*2</f>
        <v>0</v>
      </c>
      <c r="Y33" s="1641"/>
      <c r="Z33" s="1372"/>
      <c r="AA33" s="1372"/>
      <c r="AB33" s="1644"/>
      <c r="AC33" s="1632"/>
      <c r="AD33" s="1617"/>
      <c r="AE33" s="1617"/>
    </row>
    <row r="34" customFormat="false" ht="15.75" hidden="false" customHeight="true" outlineLevel="0" collapsed="false">
      <c r="A34" s="1642" t="s">
        <v>2990</v>
      </c>
      <c r="B34" s="1640"/>
      <c r="C34" s="1638" t="n">
        <f aca="false">C1247</f>
        <v>0</v>
      </c>
      <c r="D34" s="1436" t="n">
        <f aca="false">C34/(D1531/1000)</f>
        <v>0</v>
      </c>
      <c r="E34" s="1436" t="n">
        <f aca="false">FLOOR(D34,1)</f>
        <v>0</v>
      </c>
      <c r="F34" s="1436" t="n">
        <v>4</v>
      </c>
      <c r="G34" s="1582" t="n">
        <f aca="false">D34*F34</f>
        <v>0</v>
      </c>
      <c r="I34" s="1584" t="n">
        <f aca="false">C34*F34+0.4</f>
        <v>0.4</v>
      </c>
      <c r="J34" s="1604" t="n">
        <f aca="false">E34*$D$1531/1000</f>
        <v>0</v>
      </c>
      <c r="K34" s="1633" t="n">
        <f aca="false">C34-J34</f>
        <v>0</v>
      </c>
      <c r="L34" s="1436" t="n">
        <f aca="false">IF(AND(K34&gt;0.1,K34&lt;=0.2),K34,0)+IF(AND(K34&gt;0,K34&lt;=0.1),0.1,0)</f>
        <v>0</v>
      </c>
      <c r="M34" s="1436"/>
      <c r="N34" s="1436"/>
      <c r="O34" s="1436" t="n">
        <f aca="false">C1275*C1232</f>
        <v>10.8309518948453</v>
      </c>
      <c r="P34" s="1436" t="n">
        <f aca="false">L34*O34*$F$1531/1000</f>
        <v>0</v>
      </c>
      <c r="Q34" s="1436"/>
      <c r="R34" s="1436" t="n">
        <f aca="false">S34</f>
        <v>10.8309518948453</v>
      </c>
      <c r="S34" s="1635" t="n">
        <f aca="false">C1275</f>
        <v>10.8309518948453</v>
      </c>
      <c r="T34" s="1436" t="n">
        <f aca="false">$D$1531/1000</f>
        <v>0.2</v>
      </c>
      <c r="U34" s="1436" t="n">
        <f aca="false">C34/T34</f>
        <v>0</v>
      </c>
      <c r="V34" s="1436" t="n">
        <f aca="false">IF(U34=0,0,U34/3+1)</f>
        <v>0</v>
      </c>
      <c r="W34" s="1436" t="n">
        <f aca="false">S34*V34*2</f>
        <v>0</v>
      </c>
      <c r="Y34" s="1641" t="s">
        <v>2991</v>
      </c>
      <c r="Z34" s="1372" t="n">
        <f aca="false">IF(F23&gt;G23,F23-G23,0)</f>
        <v>0</v>
      </c>
      <c r="AA34" s="1372" t="n">
        <f aca="false">IF(G23&gt;F23,G23-F23,0)</f>
        <v>1.5</v>
      </c>
      <c r="AB34" s="1632"/>
      <c r="AC34" s="1632"/>
      <c r="AD34" s="1617"/>
      <c r="AE34" s="1617"/>
    </row>
    <row r="35" customFormat="false" ht="15.75" hidden="false" customHeight="true" outlineLevel="0" collapsed="false">
      <c r="A35" s="1642" t="s">
        <v>2992</v>
      </c>
      <c r="B35" s="1640"/>
      <c r="C35" s="1638" t="n">
        <f aca="false">C1248</f>
        <v>0</v>
      </c>
      <c r="D35" s="1436" t="n">
        <f aca="false">C35/(D1531/1000)</f>
        <v>0</v>
      </c>
      <c r="E35" s="1436" t="n">
        <f aca="false">FLOOR(D35,1)</f>
        <v>0</v>
      </c>
      <c r="F35" s="1436" t="n">
        <v>4</v>
      </c>
      <c r="G35" s="1582" t="n">
        <f aca="false">D35*F35</f>
        <v>0</v>
      </c>
      <c r="I35" s="1584" t="n">
        <f aca="false">C35*F35+0.4</f>
        <v>0.4</v>
      </c>
      <c r="J35" s="1604" t="n">
        <f aca="false">E35*$D$1531/1000</f>
        <v>0</v>
      </c>
      <c r="K35" s="1633" t="n">
        <f aca="false">C35-J35</f>
        <v>0</v>
      </c>
      <c r="L35" s="1436" t="n">
        <f aca="false">IF(AND(K35&gt;0.1,K35&lt;=0.2),K35,0)+IF(AND(K35&gt;0,K35&lt;=0.1),0.1,0)</f>
        <v>0</v>
      </c>
      <c r="M35" s="1436"/>
      <c r="N35" s="1436"/>
      <c r="O35" s="1436" t="n">
        <f aca="false">C1275*C1233</f>
        <v>10.8309518948453</v>
      </c>
      <c r="P35" s="1436" t="n">
        <f aca="false">L35*O35*$F$1531/1000</f>
        <v>0</v>
      </c>
      <c r="Q35" s="1436"/>
      <c r="R35" s="1436" t="n">
        <f aca="false">S35</f>
        <v>10.8309518948453</v>
      </c>
      <c r="S35" s="1635" t="n">
        <f aca="false">C1275</f>
        <v>10.8309518948453</v>
      </c>
      <c r="T35" s="1436" t="n">
        <f aca="false">$D$1531/1000</f>
        <v>0.2</v>
      </c>
      <c r="U35" s="1436" t="n">
        <f aca="false">C35/T35</f>
        <v>0</v>
      </c>
      <c r="V35" s="1436" t="n">
        <f aca="false">IF(U35=0,0,U35/3+1)</f>
        <v>0</v>
      </c>
      <c r="W35" s="1436" t="n">
        <f aca="false">S35*V35*2</f>
        <v>0</v>
      </c>
      <c r="Y35" s="1641"/>
      <c r="Z35" s="1372"/>
      <c r="AA35" s="1372"/>
      <c r="AB35" s="1632"/>
      <c r="AC35" s="1632"/>
      <c r="AD35" s="1617"/>
      <c r="AE35" s="1617"/>
    </row>
    <row r="36" customFormat="false" ht="15.75" hidden="false" customHeight="true" outlineLevel="0" collapsed="false">
      <c r="A36" s="1642" t="s">
        <v>2993</v>
      </c>
      <c r="B36" s="1640"/>
      <c r="C36" s="1638" t="n">
        <f aca="false">C1249</f>
        <v>0</v>
      </c>
      <c r="D36" s="1436" t="n">
        <f aca="false">C36/(D1531/1000)</f>
        <v>0</v>
      </c>
      <c r="E36" s="1436" t="n">
        <f aca="false">FLOOR(D36,1)</f>
        <v>0</v>
      </c>
      <c r="F36" s="1436" t="n">
        <v>2</v>
      </c>
      <c r="G36" s="1582" t="n">
        <f aca="false">D36*F36</f>
        <v>0</v>
      </c>
      <c r="J36" s="1604" t="n">
        <f aca="false">E36*$D$1531/1000</f>
        <v>0</v>
      </c>
      <c r="K36" s="1633" t="n">
        <f aca="false">C36-J36</f>
        <v>0</v>
      </c>
      <c r="L36" s="1436" t="n">
        <f aca="false">IF(AND(K36&gt;0.1,K36&lt;=0.2),K36,0)+IF(AND(K36&gt;0,K36&lt;=0.1),0.1,0)</f>
        <v>0</v>
      </c>
      <c r="M36" s="1436"/>
      <c r="N36" s="1436"/>
      <c r="O36" s="1436" t="n">
        <f aca="false">C1275*C1232</f>
        <v>10.8309518948453</v>
      </c>
      <c r="P36" s="1436" t="n">
        <f aca="false">L36*O36*$F$1531/1000</f>
        <v>0</v>
      </c>
      <c r="Q36" s="1436"/>
      <c r="R36" s="1436" t="n">
        <f aca="false">S36</f>
        <v>0</v>
      </c>
      <c r="S36" s="1635"/>
      <c r="T36" s="1436" t="n">
        <f aca="false">$D$1531/1000</f>
        <v>0.2</v>
      </c>
      <c r="U36" s="1436" t="n">
        <f aca="false">C36/T36</f>
        <v>0</v>
      </c>
      <c r="V36" s="1436"/>
      <c r="W36" s="1436" t="n">
        <f aca="false">S36*V36*2</f>
        <v>0</v>
      </c>
      <c r="Y36" s="1641" t="s">
        <v>2756</v>
      </c>
      <c r="Z36" s="1372" t="n">
        <f aca="false">IF(F20&gt;=G20,F20,G20)</f>
        <v>0</v>
      </c>
      <c r="AA36" s="1372" t="n">
        <f aca="false">IF(G20&gt;=F20,G20,F20)</f>
        <v>0</v>
      </c>
      <c r="AB36" s="1632"/>
      <c r="AC36" s="1632"/>
      <c r="AD36" s="1617"/>
      <c r="AE36" s="1617"/>
    </row>
    <row r="37" customFormat="false" ht="15.75" hidden="false" customHeight="true" outlineLevel="0" collapsed="false">
      <c r="A37" s="1642" t="s">
        <v>2994</v>
      </c>
      <c r="B37" s="1640"/>
      <c r="C37" s="1638" t="n">
        <f aca="false">C1250</f>
        <v>0</v>
      </c>
      <c r="D37" s="1436" t="n">
        <f aca="false">C37/(D1531/1000)</f>
        <v>0</v>
      </c>
      <c r="E37" s="1436" t="n">
        <f aca="false">FLOOR(D37,1)</f>
        <v>0</v>
      </c>
      <c r="F37" s="1436" t="n">
        <v>2</v>
      </c>
      <c r="G37" s="1582" t="n">
        <f aca="false">D37*F37</f>
        <v>0</v>
      </c>
      <c r="J37" s="1604" t="n">
        <f aca="false">E37*$D$1531/1000</f>
        <v>0</v>
      </c>
      <c r="K37" s="1633" t="n">
        <f aca="false">C37-J37</f>
        <v>0</v>
      </c>
      <c r="L37" s="1436" t="n">
        <f aca="false">IF(AND(K37&gt;0.1,K37&lt;=0.2),K37,0)+IF(AND(K37&gt;0,K37&lt;=0.1),0.1,0)</f>
        <v>0</v>
      </c>
      <c r="M37" s="1436"/>
      <c r="N37" s="1436"/>
      <c r="O37" s="1436" t="n">
        <f aca="false">C1275*C1233</f>
        <v>10.8309518948453</v>
      </c>
      <c r="P37" s="1436" t="n">
        <f aca="false">L37*O37*$F$1531/1000</f>
        <v>0</v>
      </c>
      <c r="Q37" s="1436"/>
      <c r="R37" s="1436" t="n">
        <f aca="false">S37</f>
        <v>0</v>
      </c>
      <c r="S37" s="1635"/>
      <c r="T37" s="1436" t="n">
        <f aca="false">$D$1531/1000</f>
        <v>0.2</v>
      </c>
      <c r="U37" s="1436" t="n">
        <f aca="false">C37/T37</f>
        <v>0</v>
      </c>
      <c r="V37" s="1436"/>
      <c r="W37" s="1436" t="n">
        <f aca="false">S37*V37*2</f>
        <v>0</v>
      </c>
      <c r="Y37" s="1645" t="s">
        <v>2995</v>
      </c>
      <c r="Z37" s="1628" t="n">
        <f aca="false">Z32/SIN(Z29)</f>
        <v>0</v>
      </c>
      <c r="AA37" s="1628" t="n">
        <f aca="false">AA32/SIN(AA29)</f>
        <v>0</v>
      </c>
      <c r="AB37" s="1372"/>
      <c r="AC37" s="1632"/>
      <c r="AD37" s="1617"/>
      <c r="AE37" s="1617"/>
    </row>
    <row r="38" customFormat="false" ht="15.75" hidden="false" customHeight="true" outlineLevel="0" collapsed="false">
      <c r="A38" s="1642"/>
      <c r="B38" s="1646"/>
      <c r="C38" s="1638"/>
      <c r="D38" s="1647" t="s">
        <v>2996</v>
      </c>
      <c r="E38" s="1635"/>
      <c r="F38" s="1635"/>
      <c r="G38" s="1582" t="n">
        <f aca="false">G32+G33+G36+G37</f>
        <v>0</v>
      </c>
      <c r="I38" s="1584" t="n">
        <f aca="false">SUM(I27:I37)</f>
        <v>20</v>
      </c>
      <c r="J38" s="1601"/>
      <c r="K38" s="1584"/>
      <c r="O38" s="1436" t="s">
        <v>2477</v>
      </c>
      <c r="P38" s="1436" t="n">
        <f aca="false">SUM(P27:P37)</f>
        <v>0</v>
      </c>
      <c r="Q38" s="1436"/>
      <c r="R38" s="1436"/>
      <c r="S38" s="1635"/>
      <c r="T38" s="1436"/>
      <c r="U38" s="1436"/>
      <c r="V38" s="1436"/>
      <c r="W38" s="1436" t="n">
        <f aca="false">SUM(W27:W37)</f>
        <v>597.333333333333</v>
      </c>
      <c r="Y38" s="1645" t="s">
        <v>2997</v>
      </c>
      <c r="Z38" s="1624" t="n">
        <f aca="false">Z27</f>
        <v>7.8</v>
      </c>
      <c r="AA38" s="1624" t="n">
        <f aca="false">AA27</f>
        <v>6.3</v>
      </c>
      <c r="AB38" s="1624"/>
      <c r="AC38" s="1632"/>
      <c r="AD38" s="1617"/>
      <c r="AE38" s="1617"/>
    </row>
    <row r="39" customFormat="false" ht="15.75" hidden="false" customHeight="true" outlineLevel="0" collapsed="false">
      <c r="A39" s="1642" t="s">
        <v>2998</v>
      </c>
      <c r="B39" s="1646"/>
      <c r="C39" s="1638"/>
      <c r="D39" s="1647" t="s">
        <v>2999</v>
      </c>
      <c r="E39" s="1635"/>
      <c r="F39" s="1635"/>
      <c r="G39" s="1601" t="n">
        <f aca="false">G27+G28+G30+G31+G34+G35</f>
        <v>88</v>
      </c>
      <c r="H39" s="1601"/>
      <c r="K39" s="1619"/>
      <c r="L39" s="1619"/>
      <c r="M39" s="1619"/>
      <c r="N39" s="1619"/>
      <c r="O39" s="1619"/>
      <c r="P39" s="1619"/>
      <c r="Q39" s="1619"/>
      <c r="Y39" s="1645"/>
      <c r="Z39" s="1624"/>
      <c r="AA39" s="1624"/>
      <c r="AB39" s="1624"/>
      <c r="AC39" s="1632"/>
      <c r="AD39" s="1617"/>
      <c r="AE39" s="1617"/>
    </row>
    <row r="40" customFormat="false" ht="15.75" hidden="false" customHeight="true" outlineLevel="0" collapsed="false">
      <c r="A40" s="1642" t="s">
        <v>3000</v>
      </c>
      <c r="B40" s="1640"/>
      <c r="C40" s="1638"/>
      <c r="D40" s="1648"/>
      <c r="E40" s="1635"/>
      <c r="F40" s="1635"/>
      <c r="G40" s="1601"/>
      <c r="H40" s="1601"/>
      <c r="K40" s="1619"/>
      <c r="L40" s="1619"/>
      <c r="M40" s="1619"/>
      <c r="N40" s="1619"/>
      <c r="O40" s="1619"/>
      <c r="P40" s="1619"/>
      <c r="Q40" s="1619"/>
      <c r="Y40" s="1645"/>
      <c r="Z40" s="1624"/>
      <c r="AA40" s="1624"/>
      <c r="AB40" s="1624"/>
      <c r="AC40" s="1632"/>
      <c r="AD40" s="1617"/>
      <c r="AE40" s="1617"/>
    </row>
    <row r="41" customFormat="false" ht="15.75" hidden="false" customHeight="true" outlineLevel="0" collapsed="false">
      <c r="A41" s="1642" t="s">
        <v>3001</v>
      </c>
      <c r="B41" s="1640"/>
      <c r="C41" s="1638"/>
      <c r="D41" s="1648"/>
      <c r="E41" s="1635"/>
      <c r="F41" s="1635"/>
      <c r="G41" s="1601"/>
      <c r="H41" s="1601"/>
      <c r="K41" s="1436" t="s">
        <v>3002</v>
      </c>
      <c r="L41" s="1633" t="s">
        <v>3003</v>
      </c>
      <c r="M41" s="1633"/>
      <c r="N41" s="1633"/>
      <c r="O41" s="1436" t="s">
        <v>3004</v>
      </c>
      <c r="P41" s="1436" t="s">
        <v>3002</v>
      </c>
      <c r="Q41" s="1633" t="s">
        <v>3003</v>
      </c>
      <c r="R41" s="1436" t="s">
        <v>3004</v>
      </c>
      <c r="Y41" s="1645"/>
      <c r="Z41" s="1624"/>
      <c r="AA41" s="1624"/>
      <c r="AB41" s="1624"/>
      <c r="AC41" s="1632"/>
      <c r="AD41" s="1617"/>
      <c r="AE41" s="1617"/>
    </row>
    <row r="42" customFormat="false" ht="15.75" hidden="false" customHeight="true" outlineLevel="0" collapsed="false">
      <c r="A42" s="1649" t="s">
        <v>3005</v>
      </c>
      <c r="B42" s="1650" t="s">
        <v>12</v>
      </c>
      <c r="C42" s="1651" t="s">
        <v>116</v>
      </c>
      <c r="D42" s="1652" t="s">
        <v>137</v>
      </c>
      <c r="E42" s="1653" t="s">
        <v>486</v>
      </c>
      <c r="F42" s="1653" t="s">
        <v>3006</v>
      </c>
      <c r="G42" s="1436" t="s">
        <v>3002</v>
      </c>
      <c r="H42" s="1436"/>
      <c r="I42" s="1633" t="s">
        <v>3003</v>
      </c>
      <c r="J42" s="1436" t="s">
        <v>3004</v>
      </c>
      <c r="K42" s="1436" t="s">
        <v>3007</v>
      </c>
      <c r="L42" s="1633" t="s">
        <v>3007</v>
      </c>
      <c r="M42" s="1633"/>
      <c r="N42" s="1633"/>
      <c r="O42" s="1436" t="s">
        <v>3007</v>
      </c>
      <c r="P42" s="1436" t="s">
        <v>3008</v>
      </c>
      <c r="Q42" s="1436" t="s">
        <v>3008</v>
      </c>
      <c r="R42" s="1436" t="s">
        <v>3008</v>
      </c>
      <c r="Y42" s="1641" t="s">
        <v>3009</v>
      </c>
      <c r="Z42" s="1624" t="n">
        <f aca="false">Z38-Z37</f>
        <v>7.8</v>
      </c>
      <c r="AA42" s="1624" t="n">
        <f aca="false">AA38-AA37</f>
        <v>6.3</v>
      </c>
      <c r="AB42" s="1624" t="s">
        <v>3010</v>
      </c>
      <c r="AC42" s="1632" t="s">
        <v>240</v>
      </c>
      <c r="AD42" s="1617"/>
      <c r="AE42" s="1617"/>
    </row>
    <row r="43" customFormat="false" ht="15.75" hidden="false" customHeight="true" outlineLevel="0" collapsed="false">
      <c r="A43" s="1654" t="s">
        <v>302</v>
      </c>
      <c r="B43" s="1655" t="s">
        <v>15</v>
      </c>
      <c r="C43" s="1656" t="n">
        <v>0.1</v>
      </c>
      <c r="D43" s="1653" t="n">
        <v>0.2</v>
      </c>
      <c r="E43" s="1657" t="n">
        <f aca="false">IF('Ввод данных'!A30=связи1!A198,0,1)</f>
        <v>1</v>
      </c>
      <c r="F43" s="1653" t="n">
        <f aca="false">F1086</f>
        <v>64</v>
      </c>
      <c r="G43" s="1436" t="n">
        <f aca="false">S27*E43</f>
        <v>32</v>
      </c>
      <c r="H43" s="1436"/>
      <c r="I43" s="1633" t="n">
        <f aca="false">пристройка!R28</f>
        <v>0</v>
      </c>
      <c r="J43" s="1436" t="n">
        <f aca="false">D1229*E1235*C1275</f>
        <v>0</v>
      </c>
      <c r="K43" s="1436" t="n">
        <f aca="false">IF(E43=1,4,0)</f>
        <v>4</v>
      </c>
      <c r="L43" s="1633" t="n">
        <f aca="false">IF(I43&gt;0,2,0)</f>
        <v>0</v>
      </c>
      <c r="M43" s="1633"/>
      <c r="N43" s="1633"/>
      <c r="O43" s="1436" t="n">
        <f aca="false">IF(J43&gt;0,4,0)</f>
        <v>0</v>
      </c>
      <c r="P43" s="1436"/>
      <c r="Q43" s="1436" t="n">
        <f aca="false">IF(I43&gt;0,2,0)</f>
        <v>0</v>
      </c>
      <c r="R43" s="1436" t="n">
        <f aca="false">IF(J43&gt;0,2,0)</f>
        <v>0</v>
      </c>
      <c r="Y43" s="1658" t="s">
        <v>3011</v>
      </c>
      <c r="Z43" s="1293" t="n">
        <f aca="false">COS(AC43)/AB43</f>
        <v>0.557519405297007</v>
      </c>
      <c r="AA43" s="1293" t="n">
        <f aca="false">COS(AE43)/AD43</f>
        <v>0.557519405297007</v>
      </c>
      <c r="AB43" s="1293" t="n">
        <f aca="false">C1148</f>
        <v>0.5</v>
      </c>
      <c r="AC43" s="1293" t="n">
        <f aca="false">90-Z30</f>
        <v>32.7042204869177</v>
      </c>
      <c r="AD43" s="1293" t="n">
        <f aca="false">C1150</f>
        <v>0.5</v>
      </c>
      <c r="AE43" s="1293" t="n">
        <f aca="false">90-AA30</f>
        <v>32.7042204869177</v>
      </c>
    </row>
    <row r="44" customFormat="false" ht="15.75" hidden="false" customHeight="true" outlineLevel="0" collapsed="false">
      <c r="A44" s="1654" t="s">
        <v>2758</v>
      </c>
      <c r="B44" s="1655" t="s">
        <v>15</v>
      </c>
      <c r="C44" s="1656" t="n">
        <v>0.1</v>
      </c>
      <c r="D44" s="1653" t="n">
        <v>0.2</v>
      </c>
      <c r="E44" s="1657" t="n">
        <f aca="false">IF('Ввод данных'!A17=связи1!A94,1,0)+IF('Ввод данных'!A17=связи1!A95,1,0)+IF('Ввод данных'!A17=связи1!A96,1,0)+IF('Ввод данных'!A17=связи1!A97,0,0)+IF('Ввод данных'!A17=связи1!A98,1,0)</f>
        <v>1</v>
      </c>
      <c r="F44" s="1653" t="n">
        <f aca="false">F1087</f>
        <v>64</v>
      </c>
      <c r="G44" s="1436" t="n">
        <f aca="false">S27*E44</f>
        <v>32</v>
      </c>
      <c r="H44" s="1436"/>
      <c r="I44" s="1633" t="n">
        <f aca="false">пристройка!R29</f>
        <v>0</v>
      </c>
      <c r="J44" s="1436" t="n">
        <f aca="false">D1229*E1236*C1275</f>
        <v>0</v>
      </c>
      <c r="K44" s="1436" t="n">
        <f aca="false">IF(E44=1,4,0)</f>
        <v>4</v>
      </c>
      <c r="L44" s="1633" t="n">
        <f aca="false">IF(I44&gt;0,2,0)</f>
        <v>0</v>
      </c>
      <c r="M44" s="1633"/>
      <c r="N44" s="1633"/>
      <c r="O44" s="1436" t="n">
        <f aca="false">IF(J44&gt;0,4,0)</f>
        <v>0</v>
      </c>
      <c r="P44" s="1436"/>
      <c r="Q44" s="1436" t="n">
        <f aca="false">IF(I44&gt;0,2,0)</f>
        <v>0</v>
      </c>
      <c r="R44" s="1436" t="n">
        <f aca="false">IF(J44&gt;0,2,0)</f>
        <v>0</v>
      </c>
      <c r="Y44" s="1658" t="s">
        <v>3012</v>
      </c>
      <c r="Z44" s="1635" t="n">
        <f aca="false">C1152</f>
        <v>0.5</v>
      </c>
      <c r="AA44" s="1635" t="n">
        <f aca="false">Z44</f>
        <v>0.5</v>
      </c>
      <c r="AB44" s="1635"/>
      <c r="AC44" s="1635"/>
      <c r="AE44" s="1617"/>
    </row>
    <row r="45" customFormat="false" ht="15.75" hidden="false" customHeight="true" outlineLevel="0" collapsed="false">
      <c r="A45" s="1654" t="s">
        <v>2759</v>
      </c>
      <c r="B45" s="1655" t="s">
        <v>15</v>
      </c>
      <c r="C45" s="1656" t="n">
        <v>0.1</v>
      </c>
      <c r="D45" s="1653" t="n">
        <v>0.2</v>
      </c>
      <c r="E45" s="1657" t="n">
        <f aca="false">IF('Ввод данных'!A17=связи1!A95,1,0)+IF('Ввод данных'!A17=связи1!A98,1,0)</f>
        <v>0</v>
      </c>
      <c r="F45" s="1653" t="n">
        <f aca="false">F1090</f>
        <v>0</v>
      </c>
      <c r="G45" s="1630" t="n">
        <f aca="false">S27*E45</f>
        <v>0</v>
      </c>
      <c r="H45" s="1630"/>
      <c r="I45" s="1659" t="n">
        <f aca="false">пристройка!R30</f>
        <v>0</v>
      </c>
      <c r="J45" s="1630" t="n">
        <f aca="false">D1229*E1237*C1275</f>
        <v>0</v>
      </c>
      <c r="K45" s="1436" t="n">
        <f aca="false">IF(E45=1,4,0)</f>
        <v>0</v>
      </c>
      <c r="L45" s="1633" t="n">
        <f aca="false">IF(I45&gt;0,2,0)</f>
        <v>0</v>
      </c>
      <c r="M45" s="1633"/>
      <c r="N45" s="1633"/>
      <c r="O45" s="1436" t="n">
        <f aca="false">IF(J45&gt;0,4,0)</f>
        <v>0</v>
      </c>
      <c r="P45" s="1436"/>
      <c r="Q45" s="1436" t="n">
        <f aca="false">IF(I45&gt;0,2,0)</f>
        <v>0</v>
      </c>
      <c r="R45" s="1436" t="n">
        <f aca="false">IF(J45&gt;0,2,0)</f>
        <v>0</v>
      </c>
      <c r="Y45" s="1658" t="s">
        <v>3013</v>
      </c>
      <c r="Z45" s="1635" t="n">
        <f aca="false">C1155</f>
        <v>0.5</v>
      </c>
      <c r="AA45" s="1635" t="n">
        <f aca="false">Z45</f>
        <v>0.5</v>
      </c>
      <c r="AB45" s="1635"/>
      <c r="AC45" s="1635"/>
      <c r="AE45" s="1617"/>
    </row>
    <row r="46" customFormat="false" ht="15.75" hidden="false" customHeight="true" outlineLevel="0" collapsed="false">
      <c r="A46" s="1660" t="s">
        <v>2108</v>
      </c>
      <c r="B46" s="1661" t="s">
        <v>116</v>
      </c>
      <c r="C46" s="1661" t="s">
        <v>137</v>
      </c>
      <c r="D46" s="1662" t="s">
        <v>118</v>
      </c>
      <c r="E46" s="1662" t="s">
        <v>3014</v>
      </c>
      <c r="G46" s="1635" t="n">
        <f aca="false">SUM(G43:G45)</f>
        <v>64</v>
      </c>
      <c r="H46" s="1635"/>
      <c r="I46" s="1663" t="n">
        <f aca="false">SUM(I43:I45)</f>
        <v>0</v>
      </c>
      <c r="J46" s="1635" t="n">
        <f aca="false">SUM(J43:J45)</f>
        <v>0</v>
      </c>
      <c r="K46" s="1436" t="n">
        <f aca="false">SUM(K43:K45)</f>
        <v>8</v>
      </c>
      <c r="L46" s="1436" t="n">
        <f aca="false">SUM(L43:L45)</f>
        <v>0</v>
      </c>
      <c r="M46" s="1436"/>
      <c r="N46" s="1436"/>
      <c r="O46" s="1436" t="n">
        <f aca="false">SUM(O43:O45)</f>
        <v>0</v>
      </c>
      <c r="P46" s="1436"/>
      <c r="Q46" s="1436" t="n">
        <f aca="false">SUM(Q43:Q45)</f>
        <v>0</v>
      </c>
      <c r="R46" s="1436" t="n">
        <f aca="false">SUM(R43:R45)</f>
        <v>0</v>
      </c>
      <c r="S46" s="1436"/>
      <c r="Y46" s="1658" t="s">
        <v>3015</v>
      </c>
      <c r="Z46" s="1635" t="n">
        <f aca="false">(Z38+Z43)*(Z16+Z44+Z45)</f>
        <v>75.2176746476731</v>
      </c>
      <c r="AA46" s="1635" t="n">
        <f aca="false">(AA38+AA43)*(AA16+AA44+AA45)</f>
        <v>61.7176746476731</v>
      </c>
      <c r="AB46" s="1658" t="s">
        <v>2821</v>
      </c>
      <c r="AC46" s="1635" t="n">
        <f aca="false">Z46+AA46</f>
        <v>136.935349295346</v>
      </c>
      <c r="AE46" s="1617"/>
    </row>
    <row r="47" customFormat="false" ht="15.75" hidden="false" customHeight="true" outlineLevel="0" collapsed="false">
      <c r="A47" s="1344" t="s">
        <v>3016</v>
      </c>
      <c r="B47" s="1414" t="n">
        <f aca="false">'Ввод данных'!C158</f>
        <v>1</v>
      </c>
      <c r="C47" s="1618" t="n">
        <f aca="false">'Ввод данных'!D158</f>
        <v>1.2</v>
      </c>
      <c r="D47" s="1350" t="n">
        <f aca="false">'Ввод данных'!E158</f>
        <v>1</v>
      </c>
      <c r="E47" s="1444" t="n">
        <f aca="false">B47*C47*D47</f>
        <v>1.2</v>
      </c>
      <c r="J47" s="1664" t="n">
        <f aca="false">SUM(G46:J46)</f>
        <v>64</v>
      </c>
      <c r="Y47" s="1641" t="s">
        <v>3017</v>
      </c>
      <c r="Z47" s="1624" t="n">
        <f aca="false">SQRT(Z37*Z37-Z32*Z32)</f>
        <v>0</v>
      </c>
      <c r="AA47" s="1624" t="n">
        <f aca="false">SQRT(AA37*AA37-AA32*AA32)</f>
        <v>0</v>
      </c>
      <c r="AB47" s="1658" t="s">
        <v>3018</v>
      </c>
      <c r="AC47" s="1632" t="n">
        <f aca="false">AC46*1.2</f>
        <v>164.322419154415</v>
      </c>
      <c r="AD47" s="1617"/>
      <c r="AE47" s="1617"/>
    </row>
    <row r="48" customFormat="false" ht="15.75" hidden="false" customHeight="true" outlineLevel="0" collapsed="false">
      <c r="A48" s="1344" t="s">
        <v>3019</v>
      </c>
      <c r="B48" s="1414" t="n">
        <f aca="false">'Ввод данных'!C159</f>
        <v>0.6</v>
      </c>
      <c r="C48" s="1618" t="n">
        <f aca="false">'Ввод данных'!D159</f>
        <v>0.6</v>
      </c>
      <c r="D48" s="1350" t="n">
        <f aca="false">'Ввод данных'!E159</f>
        <v>0</v>
      </c>
      <c r="E48" s="1444" t="n">
        <f aca="false">B48*C48*D48</f>
        <v>0</v>
      </c>
      <c r="J48" s="1665" t="s">
        <v>3020</v>
      </c>
      <c r="K48" s="1665"/>
      <c r="L48" s="1665" t="n">
        <f aca="false">K46+L46+O46</f>
        <v>8</v>
      </c>
      <c r="M48" s="1666"/>
      <c r="N48" s="1666"/>
      <c r="Y48" s="1641" t="s">
        <v>3021</v>
      </c>
      <c r="Z48" s="1624" t="n">
        <f aca="false">Z17-Z47</f>
        <v>0</v>
      </c>
      <c r="AA48" s="1624" t="n">
        <f aca="false">AA17-AA47</f>
        <v>0</v>
      </c>
      <c r="AB48" s="1624"/>
      <c r="AC48" s="1632"/>
      <c r="AD48" s="1617"/>
      <c r="AE48" s="1617"/>
    </row>
    <row r="49" customFormat="false" ht="15.75" hidden="false" customHeight="true" outlineLevel="0" collapsed="false">
      <c r="A49" s="1344" t="s">
        <v>3022</v>
      </c>
      <c r="B49" s="1414" t="n">
        <f aca="false">'Ввод данных'!C160</f>
        <v>1</v>
      </c>
      <c r="C49" s="1618" t="n">
        <f aca="false">'Ввод данных'!D160</f>
        <v>2</v>
      </c>
      <c r="D49" s="1350" t="n">
        <f aca="false">'Ввод данных'!E160</f>
        <v>0</v>
      </c>
      <c r="E49" s="1444" t="n">
        <f aca="false">B49*C49*D49</f>
        <v>0</v>
      </c>
      <c r="J49" s="1665" t="s">
        <v>3023</v>
      </c>
      <c r="K49" s="1665"/>
      <c r="L49" s="1665" t="n">
        <f aca="false">P46+Q46+R46</f>
        <v>0</v>
      </c>
      <c r="M49" s="1666"/>
      <c r="N49" s="1666"/>
      <c r="Y49" s="1641" t="s">
        <v>3024</v>
      </c>
      <c r="Z49" s="1667" t="n">
        <f aca="false">F20*Z17+Z32*Z17-Z47*Z32</f>
        <v>0</v>
      </c>
      <c r="AA49" s="1667" t="n">
        <f aca="false">AA21*AA17+AA32*AA17-AA47*AA32</f>
        <v>0</v>
      </c>
      <c r="AB49" s="1633" t="s">
        <v>2477</v>
      </c>
      <c r="AC49" s="1668" t="n">
        <f aca="false">Z49+AA49</f>
        <v>0</v>
      </c>
      <c r="AD49" s="1617" t="s">
        <v>820</v>
      </c>
      <c r="AE49" s="1617"/>
    </row>
    <row r="50" customFormat="false" ht="15.75" hidden="false" customHeight="true" outlineLevel="0" collapsed="false">
      <c r="A50" s="1343" t="s">
        <v>3025</v>
      </c>
      <c r="B50" s="1414" t="n">
        <f aca="false">'Ввод данных'!C161</f>
        <v>0.6</v>
      </c>
      <c r="C50" s="1618" t="n">
        <f aca="false">'Ввод данных'!D161</f>
        <v>1.5</v>
      </c>
      <c r="D50" s="1350" t="n">
        <f aca="false">'Ввод данных'!E161</f>
        <v>0</v>
      </c>
      <c r="E50" s="1444" t="n">
        <f aca="false">B50*C50*D50</f>
        <v>0</v>
      </c>
      <c r="I50" s="1584" t="s">
        <v>3026</v>
      </c>
      <c r="J50" s="1436" t="n">
        <f aca="false">P379+P389</f>
        <v>0</v>
      </c>
      <c r="K50" s="1268" t="s">
        <v>2811</v>
      </c>
      <c r="Y50" s="1641"/>
      <c r="Z50" s="1667"/>
      <c r="AA50" s="1667"/>
      <c r="AB50" s="1633"/>
      <c r="AC50" s="1668"/>
      <c r="AD50" s="1617"/>
      <c r="AE50" s="1617"/>
    </row>
    <row r="51" customFormat="false" ht="15.75" hidden="false" customHeight="true" outlineLevel="0" collapsed="false">
      <c r="A51" s="1343" t="s">
        <v>3027</v>
      </c>
      <c r="B51" s="1414" t="n">
        <f aca="false">'Ввод данных'!C162</f>
        <v>0.5</v>
      </c>
      <c r="C51" s="1618" t="n">
        <f aca="false">'Ввод данных'!D162</f>
        <v>1.5</v>
      </c>
      <c r="D51" s="1350" t="n">
        <f aca="false">'Ввод данных'!E162</f>
        <v>0</v>
      </c>
      <c r="E51" s="1444" t="n">
        <f aca="false">B51*C51*D51</f>
        <v>0</v>
      </c>
      <c r="J51" s="1582" t="n">
        <f aca="false">(P840+P850)*E834</f>
        <v>12.5</v>
      </c>
      <c r="K51" s="1268" t="s">
        <v>2820</v>
      </c>
      <c r="Y51" s="1641" t="s">
        <v>3028</v>
      </c>
      <c r="Z51" s="1667" t="n">
        <f aca="false">F23*Z17</f>
        <v>0</v>
      </c>
      <c r="AA51" s="1667" t="n">
        <f aca="false">G23*AA17</f>
        <v>0</v>
      </c>
      <c r="AB51" s="1633" t="s">
        <v>2477</v>
      </c>
      <c r="AC51" s="1668" t="n">
        <f aca="false">Z51+AA51</f>
        <v>0</v>
      </c>
      <c r="AD51" s="1617" t="s">
        <v>820</v>
      </c>
      <c r="AE51" s="1617"/>
    </row>
    <row r="52" customFormat="false" ht="15.75" hidden="false" customHeight="true" outlineLevel="0" collapsed="false">
      <c r="A52" s="1343" t="s">
        <v>3029</v>
      </c>
      <c r="B52" s="1414" t="n">
        <f aca="false">'Ввод данных'!C167</f>
        <v>0.6</v>
      </c>
      <c r="C52" s="1618" t="n">
        <f aca="false">'Ввод данных'!D167</f>
        <v>0.6</v>
      </c>
      <c r="D52" s="1350" t="n">
        <f aca="false">'Ввод данных'!E167</f>
        <v>0</v>
      </c>
      <c r="E52" s="1444" t="n">
        <f aca="false">B52*C52*D52</f>
        <v>0</v>
      </c>
      <c r="Y52" s="1641" t="s">
        <v>3030</v>
      </c>
      <c r="Z52" s="1624" t="n">
        <f aca="false">IF(F23&gt;0,(Z24-F23)*Z17/2,(Z25-Z36)*Z48)</f>
        <v>0</v>
      </c>
      <c r="AA52" s="1624" t="n">
        <f aca="false">IF(G23&gt;0,(AA24-G23)*AA17/2,(AA25-AA36)*AA48)</f>
        <v>0</v>
      </c>
      <c r="AB52" s="1633" t="s">
        <v>2477</v>
      </c>
      <c r="AC52" s="1372" t="n">
        <f aca="false">Z52+AA52</f>
        <v>0</v>
      </c>
      <c r="AD52" s="1582" t="s">
        <v>820</v>
      </c>
      <c r="AE52" s="1617"/>
    </row>
    <row r="53" customFormat="false" ht="15.75" hidden="false" customHeight="true" outlineLevel="0" collapsed="false">
      <c r="A53" s="1343" t="s">
        <v>3031</v>
      </c>
      <c r="B53" s="1414" t="n">
        <f aca="false">'Ввод данных'!C168</f>
        <v>0.8</v>
      </c>
      <c r="C53" s="1618" t="n">
        <f aca="false">'Ввод данных'!D168</f>
        <v>0.8</v>
      </c>
      <c r="D53" s="1350" t="n">
        <f aca="false">'Ввод данных'!E168</f>
        <v>0</v>
      </c>
      <c r="E53" s="1444" t="n">
        <f aca="false">B53*C53*D53</f>
        <v>0</v>
      </c>
      <c r="Y53" s="1641" t="s">
        <v>3032</v>
      </c>
      <c r="Z53" s="1669" t="n">
        <f aca="false">Z49+Z51+Z52</f>
        <v>0</v>
      </c>
      <c r="AA53" s="1669" t="n">
        <f aca="false">AA49+AA51+AA52</f>
        <v>0</v>
      </c>
      <c r="AB53" s="1633" t="s">
        <v>2477</v>
      </c>
      <c r="AC53" s="1668" t="n">
        <f aca="false">Z53+AA53</f>
        <v>0</v>
      </c>
      <c r="AD53" s="1617" t="s">
        <v>820</v>
      </c>
      <c r="AE53" s="1617"/>
    </row>
    <row r="54" customFormat="false" ht="15.75" hidden="false" customHeight="true" outlineLevel="0" collapsed="false">
      <c r="A54" s="1343" t="s">
        <v>3033</v>
      </c>
      <c r="B54" s="1414" t="n">
        <f aca="false">'Ввод данных'!C169</f>
        <v>1</v>
      </c>
      <c r="C54" s="1618" t="n">
        <f aca="false">'Ввод данных'!D169</f>
        <v>0.7</v>
      </c>
      <c r="D54" s="1350" t="n">
        <f aca="false">'Ввод данных'!E169</f>
        <v>0</v>
      </c>
      <c r="E54" s="1444" t="n">
        <f aca="false">B54*C54*D54</f>
        <v>0</v>
      </c>
      <c r="Y54" s="1641" t="s">
        <v>3034</v>
      </c>
      <c r="Z54" s="1669" t="n">
        <f aca="false">Z49+Z51+Z52</f>
        <v>0</v>
      </c>
      <c r="AA54" s="1669" t="n">
        <f aca="false">AA49+AA51+AA52</f>
        <v>0</v>
      </c>
      <c r="AB54" s="1633" t="s">
        <v>2477</v>
      </c>
      <c r="AC54" s="1668" t="n">
        <f aca="false">Z54+AA54</f>
        <v>0</v>
      </c>
      <c r="AD54" s="1617" t="s">
        <v>820</v>
      </c>
      <c r="AE54" s="1617"/>
    </row>
    <row r="55" customFormat="false" ht="15.75" hidden="false" customHeight="true" outlineLevel="0" collapsed="false">
      <c r="A55" s="1343" t="s">
        <v>3035</v>
      </c>
      <c r="B55" s="1414" t="n">
        <f aca="false">'Ввод данных'!C170</f>
        <v>5</v>
      </c>
      <c r="C55" s="1618" t="n">
        <f aca="false">'Ввод данных'!D170</f>
        <v>3</v>
      </c>
      <c r="D55" s="1350" t="n">
        <f aca="false">'Ввод данных'!E170</f>
        <v>0</v>
      </c>
      <c r="E55" s="1444" t="n">
        <f aca="false">B55*C55*D55</f>
        <v>0</v>
      </c>
      <c r="Y55" s="1641" t="s">
        <v>3036</v>
      </c>
      <c r="Z55" s="1372" t="n">
        <f aca="false">Z18</f>
        <v>0</v>
      </c>
      <c r="AA55" s="1372" t="n">
        <f aca="false">AA18</f>
        <v>0</v>
      </c>
      <c r="AB55" s="1633" t="s">
        <v>2477</v>
      </c>
      <c r="AC55" s="1632" t="n">
        <f aca="false">Z55+AA55</f>
        <v>0</v>
      </c>
      <c r="AD55" s="1617" t="s">
        <v>820</v>
      </c>
      <c r="AE55" s="1617"/>
    </row>
    <row r="56" customFormat="false" ht="15.75" hidden="false" customHeight="true" outlineLevel="0" collapsed="false">
      <c r="A56" s="1343" t="s">
        <v>3037</v>
      </c>
      <c r="B56" s="1414" t="n">
        <f aca="false">'Ввод данных'!C171</f>
        <v>6</v>
      </c>
      <c r="C56" s="1618" t="n">
        <f aca="false">'Ввод данных'!D171</f>
        <v>2</v>
      </c>
      <c r="D56" s="1350" t="n">
        <f aca="false">'Ввод данных'!E171</f>
        <v>0</v>
      </c>
      <c r="E56" s="1444" t="n">
        <f aca="false">B56*C56*D56</f>
        <v>0</v>
      </c>
      <c r="Y56" s="1641" t="s">
        <v>3038</v>
      </c>
      <c r="Z56" s="1670" t="n">
        <f aca="false">Z19</f>
        <v>0</v>
      </c>
      <c r="AA56" s="1670" t="n">
        <f aca="false">AA19</f>
        <v>12</v>
      </c>
      <c r="AB56" s="1659" t="s">
        <v>2477</v>
      </c>
      <c r="AC56" s="1671" t="n">
        <f aca="false">Z56+AA56</f>
        <v>12</v>
      </c>
      <c r="AD56" s="1617" t="s">
        <v>820</v>
      </c>
      <c r="AE56" s="1617"/>
    </row>
    <row r="57" customFormat="false" ht="15.75" hidden="false" customHeight="true" outlineLevel="0" collapsed="false">
      <c r="A57" s="1343" t="s">
        <v>3039</v>
      </c>
      <c r="B57" s="1414" t="n">
        <f aca="false">'Ввод данных'!C163</f>
        <v>0.8</v>
      </c>
      <c r="C57" s="1618" t="n">
        <f aca="false">'Ввод данных'!D163</f>
        <v>2.1</v>
      </c>
      <c r="D57" s="1350" t="n">
        <f aca="false">'Ввод данных'!E163</f>
        <v>0</v>
      </c>
      <c r="E57" s="1444" t="n">
        <f aca="false">B57*C57*D57</f>
        <v>0</v>
      </c>
      <c r="Y57" s="1641" t="s">
        <v>2951</v>
      </c>
      <c r="Z57" s="1669" t="n">
        <f aca="false">Z53+Z54+Z55*2</f>
        <v>0</v>
      </c>
      <c r="AA57" s="1669" t="n">
        <f aca="false">AA52+AA53+AA54+AA55</f>
        <v>0</v>
      </c>
      <c r="AB57" s="1672" t="s">
        <v>2477</v>
      </c>
      <c r="AC57" s="1668" t="n">
        <f aca="false">Z57+AA57</f>
        <v>0</v>
      </c>
      <c r="AD57" s="1617" t="s">
        <v>820</v>
      </c>
      <c r="AE57" s="1617"/>
    </row>
    <row r="58" customFormat="false" ht="15.75" hidden="false" customHeight="true" outlineLevel="0" collapsed="false">
      <c r="A58" s="1343" t="s">
        <v>3040</v>
      </c>
      <c r="B58" s="1414" t="n">
        <f aca="false">'Ввод данных'!C172</f>
        <v>0.8</v>
      </c>
      <c r="C58" s="1618" t="n">
        <f aca="false">'Ввод данных'!D172</f>
        <v>2.1</v>
      </c>
      <c r="D58" s="1350" t="n">
        <f aca="false">'Ввод данных'!E172</f>
        <v>0</v>
      </c>
      <c r="E58" s="1444" t="n">
        <f aca="false">B58*C58*D58</f>
        <v>0</v>
      </c>
      <c r="Y58" s="1641" t="s">
        <v>2952</v>
      </c>
      <c r="Z58" s="1669" t="n">
        <f aca="false">Z51*2+Z56*2</f>
        <v>0</v>
      </c>
      <c r="AA58" s="1669" t="n">
        <f aca="false">AA51+AA56</f>
        <v>12</v>
      </c>
      <c r="AB58" s="1672" t="s">
        <v>2477</v>
      </c>
      <c r="AC58" s="1668" t="n">
        <f aca="false">Z58+AA58</f>
        <v>12</v>
      </c>
      <c r="AD58" s="1617" t="s">
        <v>820</v>
      </c>
      <c r="AE58" s="1617"/>
    </row>
    <row r="59" customFormat="false" ht="15.75" hidden="false" customHeight="true" outlineLevel="0" collapsed="false">
      <c r="A59" s="1673" t="s">
        <v>3041</v>
      </c>
      <c r="B59" s="1414" t="n">
        <f aca="false">'Ввод данных'!C164</f>
        <v>2</v>
      </c>
      <c r="C59" s="1618" t="n">
        <f aca="false">'Ввод данных'!D164</f>
        <v>2</v>
      </c>
      <c r="D59" s="1350" t="n">
        <f aca="false">'Ввод данных'!E164</f>
        <v>0</v>
      </c>
      <c r="E59" s="1444" t="n">
        <f aca="false">B59*C59*D59</f>
        <v>0</v>
      </c>
      <c r="Y59" s="1641"/>
      <c r="Z59" s="1674"/>
      <c r="AA59" s="1674"/>
      <c r="AB59" s="1675"/>
      <c r="AC59" s="1676"/>
      <c r="AD59" s="1617"/>
      <c r="AE59" s="1617"/>
    </row>
    <row r="60" customFormat="false" ht="15.75" hidden="false" customHeight="true" outlineLevel="0" collapsed="false">
      <c r="A60" s="1673" t="s">
        <v>3042</v>
      </c>
      <c r="B60" s="1414" t="n">
        <f aca="false">'Ввод данных'!C165</f>
        <v>0</v>
      </c>
      <c r="C60" s="1618" t="n">
        <f aca="false">'Ввод данных'!D165</f>
        <v>3</v>
      </c>
      <c r="D60" s="1350" t="n">
        <f aca="false">'Ввод данных'!E165</f>
        <v>0</v>
      </c>
      <c r="E60" s="1444" t="n">
        <f aca="false">B60*C60*D60</f>
        <v>0</v>
      </c>
      <c r="Y60" s="1641"/>
      <c r="Z60" s="1674"/>
      <c r="AA60" s="1674"/>
      <c r="AB60" s="1675"/>
      <c r="AC60" s="1676"/>
      <c r="AD60" s="1617"/>
      <c r="AE60" s="1617"/>
    </row>
    <row r="61" customFormat="false" ht="15.75" hidden="false" customHeight="true" outlineLevel="0" collapsed="false">
      <c r="A61" s="1602" t="s">
        <v>3043</v>
      </c>
      <c r="B61" s="1677"/>
      <c r="C61" s="1677"/>
      <c r="D61" s="1678"/>
      <c r="E61" s="1444" t="n">
        <f aca="false">SUM(E47:E58)</f>
        <v>1.2</v>
      </c>
      <c r="Y61" s="1584" t="s">
        <v>3044</v>
      </c>
      <c r="Z61" s="1679" t="n">
        <f aca="false">IF('Ввод данных'!A17=связи1!A94,дома!Z52,0)+IF('Ввод данных'!A17=связи1!A97,дома!Z52,0)</f>
        <v>0</v>
      </c>
      <c r="AA61" s="1679" t="n">
        <f aca="false">IF('Ввод данных'!A17=связи1!A94,дома!AA52,0)+IF('Ввод данных'!A17=связи1!A97,дома!AA52,0)</f>
        <v>0</v>
      </c>
      <c r="AB61" s="1680" t="s">
        <v>2477</v>
      </c>
      <c r="AC61" s="1679" t="n">
        <f aca="false">Z61+AA61</f>
        <v>0</v>
      </c>
      <c r="AD61" s="1617" t="s">
        <v>820</v>
      </c>
      <c r="AE61" s="1617"/>
    </row>
    <row r="62" customFormat="false" ht="15.75" hidden="false" customHeight="true" outlineLevel="0" collapsed="false">
      <c r="A62" s="1660" t="s">
        <v>2791</v>
      </c>
      <c r="B62" s="1661" t="s">
        <v>116</v>
      </c>
      <c r="C62" s="1661" t="s">
        <v>137</v>
      </c>
      <c r="D62" s="1662" t="s">
        <v>118</v>
      </c>
      <c r="E62" s="1662" t="s">
        <v>3045</v>
      </c>
      <c r="Y62" s="1584" t="s">
        <v>3046</v>
      </c>
      <c r="Z62" s="1372" t="n">
        <f aca="false">IF('Ввод данных'!A17=связи1!A95,дома!Z52,0)+IF('Ввод данных'!A17=связи1!A96,дома!Z52*2,0)+IF('Ввод данных'!A17=связи1!A98,дома!Z52*2,0)</f>
        <v>0</v>
      </c>
      <c r="AA62" s="1372" t="n">
        <f aca="false">IF('Ввод данных'!A17=связи1!A95,дома!AA52,0)+IF('Ввод данных'!A17=связи1!A96,дома!AA52,0)+IF('Ввод данных'!A17=связи1!A98,дома!AA52,0)</f>
        <v>0</v>
      </c>
      <c r="AB62" s="1633" t="s">
        <v>2477</v>
      </c>
      <c r="AC62" s="1632" t="n">
        <f aca="false">Z62+AA62</f>
        <v>0</v>
      </c>
      <c r="AD62" s="1617" t="s">
        <v>820</v>
      </c>
      <c r="AE62" s="1617"/>
    </row>
    <row r="63" customFormat="false" ht="15.75" hidden="false" customHeight="true" outlineLevel="0" collapsed="false">
      <c r="A63" s="1343" t="s">
        <v>3047</v>
      </c>
      <c r="B63" s="1414" t="n">
        <f aca="false">'Ввод данных'!C181</f>
        <v>0.8</v>
      </c>
      <c r="C63" s="1618" t="n">
        <f aca="false">'Ввод данных'!D181</f>
        <v>2.1</v>
      </c>
      <c r="D63" s="1350" t="n">
        <f aca="false">'Ввод данных'!E181</f>
        <v>3</v>
      </c>
      <c r="E63" s="1604" t="n">
        <f aca="false">B63*C63*D63</f>
        <v>5.04</v>
      </c>
      <c r="Y63" s="1617"/>
      <c r="Z63" s="1617"/>
      <c r="AA63" s="1617"/>
    </row>
    <row r="64" customFormat="false" ht="15.75" hidden="false" customHeight="true" outlineLevel="0" collapsed="false">
      <c r="A64" s="1343" t="s">
        <v>3048</v>
      </c>
      <c r="B64" s="1414" t="n">
        <f aca="false">'Ввод данных'!C182</f>
        <v>0.6</v>
      </c>
      <c r="C64" s="1618" t="n">
        <f aca="false">'Ввод данных'!D182</f>
        <v>2</v>
      </c>
      <c r="D64" s="1350" t="n">
        <f aca="false">'Ввод данных'!E182</f>
        <v>0</v>
      </c>
      <c r="E64" s="1604" t="n">
        <f aca="false">B64*C64*D64</f>
        <v>0</v>
      </c>
      <c r="W64" s="1617"/>
      <c r="X64" s="1617"/>
      <c r="Y64" s="1617"/>
    </row>
    <row r="65" customFormat="false" ht="15.75" hidden="false" customHeight="true" outlineLevel="0" collapsed="false">
      <c r="A65" s="1343" t="s">
        <v>3049</v>
      </c>
      <c r="B65" s="1414" t="n">
        <f aca="false">'Ввод данных'!C185</f>
        <v>0.9</v>
      </c>
      <c r="C65" s="1618" t="n">
        <f aca="false">'Ввод данных'!D185</f>
        <v>2.1</v>
      </c>
      <c r="D65" s="1350" t="n">
        <f aca="false">'Ввод данных'!E185</f>
        <v>0</v>
      </c>
      <c r="E65" s="1604" t="n">
        <f aca="false">B65*C65*D65</f>
        <v>0</v>
      </c>
      <c r="W65" s="1617"/>
      <c r="X65" s="1617"/>
      <c r="Y65" s="1617"/>
    </row>
    <row r="66" customFormat="false" ht="15.75" hidden="false" customHeight="true" outlineLevel="0" collapsed="false">
      <c r="A66" s="1343" t="s">
        <v>3050</v>
      </c>
      <c r="B66" s="1414" t="n">
        <f aca="false">'Ввод данных'!C189</f>
        <v>0.8</v>
      </c>
      <c r="C66" s="1618" t="n">
        <f aca="false">'Ввод данных'!D189</f>
        <v>2.1</v>
      </c>
      <c r="D66" s="1350" t="n">
        <f aca="false">'Ввод данных'!E189</f>
        <v>0</v>
      </c>
      <c r="E66" s="1604" t="n">
        <f aca="false">B66*C66*D66</f>
        <v>0</v>
      </c>
      <c r="W66" s="1617"/>
      <c r="X66" s="1617"/>
      <c r="Y66" s="1617"/>
    </row>
    <row r="67" customFormat="false" ht="15.75" hidden="false" customHeight="true" outlineLevel="0" collapsed="false">
      <c r="A67" s="1681" t="s">
        <v>3051</v>
      </c>
      <c r="B67" s="1414" t="n">
        <f aca="false">'Ввод данных'!C190</f>
        <v>1</v>
      </c>
      <c r="C67" s="1618" t="n">
        <f aca="false">'Ввод данных'!D190</f>
        <v>2</v>
      </c>
      <c r="D67" s="1350" t="n">
        <f aca="false">'Ввод данных'!E190</f>
        <v>0</v>
      </c>
      <c r="E67" s="1604" t="n">
        <f aca="false">B67*C67*D67</f>
        <v>0</v>
      </c>
      <c r="W67" s="1617"/>
      <c r="X67" s="1617"/>
      <c r="Y67" s="1617"/>
    </row>
    <row r="68" customFormat="false" ht="15.75" hidden="false" customHeight="true" outlineLevel="0" collapsed="false">
      <c r="A68" s="1681" t="s">
        <v>3052</v>
      </c>
      <c r="B68" s="1414" t="n">
        <f aca="false">'Ввод данных'!C193</f>
        <v>1</v>
      </c>
      <c r="C68" s="1618" t="n">
        <f aca="false">'Ввод данных'!D193</f>
        <v>2</v>
      </c>
      <c r="D68" s="1350" t="n">
        <f aca="false">'Ввод данных'!E193</f>
        <v>0</v>
      </c>
      <c r="E68" s="1604" t="n">
        <f aca="false">B68*C68*D68</f>
        <v>0</v>
      </c>
      <c r="W68" s="1617"/>
      <c r="X68" s="1617"/>
      <c r="Y68" s="1617"/>
    </row>
    <row r="69" customFormat="false" ht="15.75" hidden="false" customHeight="true" outlineLevel="0" collapsed="false">
      <c r="A69" s="1682" t="s">
        <v>145</v>
      </c>
      <c r="B69" s="1414" t="n">
        <f aca="false">'Ввод данных'!C183</f>
        <v>2</v>
      </c>
      <c r="C69" s="1618" t="n">
        <f aca="false">'Ввод данных'!D183</f>
        <v>2.3</v>
      </c>
      <c r="D69" s="1350" t="n">
        <f aca="false">'Ввод данных'!E183</f>
        <v>0</v>
      </c>
      <c r="E69" s="1444" t="n">
        <f aca="false">B69*C69*D69</f>
        <v>0</v>
      </c>
      <c r="I69" s="1641"/>
      <c r="W69" s="1617"/>
      <c r="X69" s="1617"/>
      <c r="Y69" s="1617"/>
    </row>
    <row r="70" customFormat="false" ht="15.75" hidden="false" customHeight="true" outlineLevel="0" collapsed="false">
      <c r="A70" s="1682" t="s">
        <v>149</v>
      </c>
      <c r="B70" s="1414" t="n">
        <f aca="false">'Ввод данных'!C187</f>
        <v>1.4</v>
      </c>
      <c r="C70" s="1618" t="n">
        <f aca="false">'Ввод данных'!D187</f>
        <v>3</v>
      </c>
      <c r="D70" s="1350" t="n">
        <f aca="false">'Ввод данных'!E187</f>
        <v>0</v>
      </c>
      <c r="E70" s="1444" t="n">
        <f aca="false">B70*C70*D70</f>
        <v>0</v>
      </c>
      <c r="I70" s="1641"/>
      <c r="W70" s="1617"/>
      <c r="X70" s="1617"/>
      <c r="Y70" s="1617"/>
    </row>
    <row r="71" customFormat="false" ht="15.75" hidden="false" customHeight="true" outlineLevel="0" collapsed="false">
      <c r="A71" s="1682" t="s">
        <v>153</v>
      </c>
      <c r="B71" s="1414" t="n">
        <f aca="false">'Ввод данных'!C191</f>
        <v>2</v>
      </c>
      <c r="C71" s="1618" t="n">
        <f aca="false">'Ввод данных'!D191</f>
        <v>2.2</v>
      </c>
      <c r="D71" s="1350" t="n">
        <f aca="false">'Ввод данных'!E191</f>
        <v>0</v>
      </c>
      <c r="E71" s="1444" t="n">
        <f aca="false">B71*C71*D71</f>
        <v>0</v>
      </c>
      <c r="I71" s="1641"/>
      <c r="J71" s="1295"/>
      <c r="K71" s="1295"/>
      <c r="L71" s="1295"/>
      <c r="M71" s="1295"/>
      <c r="N71" s="1295"/>
      <c r="O71" s="1617"/>
      <c r="P71" s="1617"/>
      <c r="Q71" s="1617"/>
      <c r="R71" s="1617"/>
      <c r="S71" s="1617"/>
      <c r="T71" s="1617"/>
      <c r="U71" s="1617"/>
      <c r="V71" s="1617"/>
      <c r="W71" s="1617"/>
      <c r="X71" s="1617"/>
      <c r="Y71" s="1617"/>
    </row>
    <row r="72" customFormat="false" ht="15.75" hidden="false" customHeight="true" outlineLevel="0" collapsed="false">
      <c r="A72" s="1682" t="s">
        <v>153</v>
      </c>
      <c r="B72" s="1414" t="n">
        <f aca="false">'Ввод данных'!C195</f>
        <v>2</v>
      </c>
      <c r="C72" s="1618" t="n">
        <f aca="false">'Ввод данных'!D195</f>
        <v>2</v>
      </c>
      <c r="D72" s="1350" t="n">
        <f aca="false">'Ввод данных'!E195</f>
        <v>0</v>
      </c>
      <c r="E72" s="1444" t="n">
        <f aca="false">B72*C72*D72</f>
        <v>0</v>
      </c>
      <c r="I72" s="1641"/>
      <c r="J72" s="1295"/>
      <c r="K72" s="1295"/>
      <c r="L72" s="1295"/>
      <c r="M72" s="1295"/>
      <c r="N72" s="1295"/>
      <c r="O72" s="1617"/>
      <c r="P72" s="1617"/>
      <c r="Q72" s="1617"/>
      <c r="R72" s="1617"/>
      <c r="S72" s="1617"/>
      <c r="T72" s="1617"/>
      <c r="U72" s="1617"/>
      <c r="V72" s="1617"/>
      <c r="W72" s="1617"/>
      <c r="X72" s="1617"/>
      <c r="Y72" s="1617"/>
    </row>
    <row r="73" customFormat="false" ht="15.75" hidden="false" customHeight="true" outlineLevel="0" collapsed="false">
      <c r="A73" s="1660" t="s">
        <v>1839</v>
      </c>
      <c r="B73" s="1661" t="s">
        <v>116</v>
      </c>
      <c r="C73" s="1661" t="s">
        <v>137</v>
      </c>
      <c r="D73" s="1662" t="s">
        <v>118</v>
      </c>
      <c r="E73" s="1662" t="s">
        <v>3045</v>
      </c>
      <c r="I73" s="1641"/>
      <c r="J73" s="1295"/>
      <c r="K73" s="1295"/>
      <c r="L73" s="1295"/>
      <c r="M73" s="1295"/>
      <c r="N73" s="1295"/>
      <c r="O73" s="1617"/>
      <c r="P73" s="1617"/>
      <c r="Q73" s="1617"/>
      <c r="R73" s="1617"/>
      <c r="S73" s="1617"/>
      <c r="T73" s="1617"/>
      <c r="U73" s="1617"/>
      <c r="V73" s="1617"/>
      <c r="W73" s="1617"/>
      <c r="X73" s="1617"/>
      <c r="Y73" s="1617"/>
    </row>
    <row r="74" customFormat="false" ht="15.75" hidden="false" customHeight="true" outlineLevel="0" collapsed="false">
      <c r="A74" s="1343" t="s">
        <v>3047</v>
      </c>
      <c r="B74" s="1414" t="n">
        <f aca="false">'Ввод данных'!C175</f>
        <v>0.8</v>
      </c>
      <c r="C74" s="1618" t="n">
        <f aca="false">'Ввод данных'!D175</f>
        <v>2</v>
      </c>
      <c r="D74" s="1350" t="n">
        <f aca="false">'Ввод данных'!E175</f>
        <v>0</v>
      </c>
      <c r="E74" s="1604" t="n">
        <f aca="false">B74*C74*D74</f>
        <v>0</v>
      </c>
      <c r="I74" s="1641"/>
      <c r="J74" s="1295"/>
      <c r="K74" s="1295"/>
      <c r="L74" s="1295"/>
      <c r="M74" s="1295"/>
      <c r="N74" s="1295"/>
      <c r="O74" s="1617"/>
      <c r="P74" s="1617"/>
      <c r="Q74" s="1617"/>
      <c r="R74" s="1617"/>
      <c r="S74" s="1617"/>
      <c r="T74" s="1617"/>
      <c r="U74" s="1617"/>
      <c r="V74" s="1617"/>
      <c r="W74" s="1617"/>
      <c r="X74" s="1617"/>
      <c r="Y74" s="1617"/>
    </row>
    <row r="75" customFormat="false" ht="15.75" hidden="false" customHeight="true" outlineLevel="0" collapsed="false">
      <c r="A75" s="1343" t="s">
        <v>3048</v>
      </c>
      <c r="B75" s="1414" t="n">
        <f aca="false">'Ввод данных'!C176</f>
        <v>0.9</v>
      </c>
      <c r="C75" s="1618" t="n">
        <f aca="false">'Ввод данных'!D176</f>
        <v>2.1</v>
      </c>
      <c r="D75" s="1350" t="n">
        <f aca="false">'Ввод данных'!E176</f>
        <v>1</v>
      </c>
      <c r="E75" s="1604" t="n">
        <f aca="false">B75*C75*D75</f>
        <v>1.89</v>
      </c>
      <c r="I75" s="1641"/>
      <c r="J75" s="1602" t="s">
        <v>3053</v>
      </c>
      <c r="K75" s="1683" t="s">
        <v>820</v>
      </c>
      <c r="L75" s="1683"/>
      <c r="M75" s="1683"/>
      <c r="N75" s="1683"/>
      <c r="O75" s="1444" t="e">
        <f aca="false">#REF!*F1113+#REF!*F1112</f>
        <v>#REF!</v>
      </c>
      <c r="P75" s="1604"/>
      <c r="Q75" s="1604"/>
      <c r="R75" s="1617"/>
      <c r="S75" s="1617"/>
      <c r="T75" s="1617"/>
      <c r="U75" s="1617"/>
      <c r="V75" s="1617"/>
      <c r="W75" s="1617"/>
      <c r="X75" s="1617"/>
      <c r="Y75" s="1617"/>
    </row>
    <row r="76" customFormat="false" ht="15.75" hidden="false" customHeight="true" outlineLevel="0" collapsed="false">
      <c r="A76" s="1343" t="s">
        <v>3049</v>
      </c>
      <c r="B76" s="1414" t="n">
        <f aca="false">'Ввод данных'!C177</f>
        <v>1</v>
      </c>
      <c r="C76" s="1618" t="n">
        <f aca="false">'Ввод данных'!D177</f>
        <v>2</v>
      </c>
      <c r="D76" s="1350" t="n">
        <f aca="false">'Ввод данных'!E177</f>
        <v>0</v>
      </c>
      <c r="E76" s="1604" t="n">
        <f aca="false">B76*C76*D76</f>
        <v>0</v>
      </c>
      <c r="I76" s="1641"/>
      <c r="J76" s="1602" t="s">
        <v>3054</v>
      </c>
      <c r="K76" s="1683" t="s">
        <v>820</v>
      </c>
      <c r="L76" s="1683"/>
      <c r="M76" s="1683"/>
      <c r="N76" s="1683"/>
      <c r="O76" s="1444" t="e">
        <f aca="false">#REF!*F1113+#REF!*F1112</f>
        <v>#REF!</v>
      </c>
      <c r="P76" s="1604"/>
      <c r="Q76" s="1604"/>
      <c r="R76" s="1617"/>
      <c r="S76" s="1617"/>
      <c r="T76" s="1617"/>
      <c r="U76" s="1617"/>
      <c r="V76" s="1617"/>
      <c r="W76" s="1617"/>
      <c r="X76" s="1617"/>
      <c r="Y76" s="1617"/>
    </row>
    <row r="77" customFormat="false" ht="15.75" hidden="false" customHeight="true" outlineLevel="0" collapsed="false">
      <c r="A77" s="1684" t="s">
        <v>3043</v>
      </c>
      <c r="B77" s="1683"/>
      <c r="C77" s="1683"/>
      <c r="D77" s="1684"/>
      <c r="E77" s="1684" t="n">
        <f aca="false">SUM(E74:E76)</f>
        <v>1.89</v>
      </c>
      <c r="I77" s="1641"/>
      <c r="J77" s="1602" t="s">
        <v>3055</v>
      </c>
      <c r="K77" s="1683" t="s">
        <v>820</v>
      </c>
      <c r="L77" s="1683"/>
      <c r="M77" s="1683"/>
      <c r="N77" s="1683"/>
      <c r="O77" s="1444" t="e">
        <f aca="false">(O76+O75)</f>
        <v>#REF!</v>
      </c>
      <c r="P77" s="1604"/>
      <c r="Q77" s="1604"/>
      <c r="R77" s="1617"/>
      <c r="S77" s="1617"/>
      <c r="T77" s="1617"/>
      <c r="U77" s="1617"/>
      <c r="V77" s="1617"/>
      <c r="W77" s="1617"/>
      <c r="X77" s="1617"/>
      <c r="Y77" s="1617"/>
    </row>
    <row r="78" customFormat="false" ht="15.75" hidden="false" customHeight="true" outlineLevel="0" collapsed="false">
      <c r="A78" s="1685" t="s">
        <v>3056</v>
      </c>
      <c r="B78" s="1686" t="s">
        <v>820</v>
      </c>
      <c r="C78" s="1687" t="n">
        <f aca="false">IF('Ввод данных'!A17=связи1!A94,дома!C20*(дома!C17+дома!C16)*2,0)+IF('Ввод данных'!A17=связи1!A95,дома!C20*(дома!C17+дома!C16)*2,0)+IF('Ввод данных'!A17=связи1!A96,дома!C20*(дома!C17+дома!C16)*2,0)+IF('Ввод данных'!A17=связи1!A97,дома!C20*(дома!C17+дома!C16)*2,0)+IF('Ввод данных'!A17=связи1!A98,дома!C20*(дома!C17+дома!C16)*2,0)</f>
        <v>89.6</v>
      </c>
      <c r="D78" s="1604" t="n">
        <f aca="false">E47+E48+E49+E50+E51+E57+E59+E60+E74+E75+E76</f>
        <v>3.09</v>
      </c>
      <c r="E78" s="1604"/>
      <c r="I78" s="1641"/>
      <c r="J78" s="1604" t="s">
        <v>3057</v>
      </c>
      <c r="K78" s="1688" t="s">
        <v>820</v>
      </c>
      <c r="L78" s="1688"/>
      <c r="M78" s="1688"/>
      <c r="N78" s="1688"/>
      <c r="O78" s="1186" t="e">
        <f aca="false">#REF!</f>
        <v>#REF!</v>
      </c>
      <c r="P78" s="1604"/>
      <c r="Q78" s="1604"/>
      <c r="R78" s="1617"/>
      <c r="S78" s="1617"/>
      <c r="T78" s="1617"/>
      <c r="U78" s="1617"/>
      <c r="V78" s="1617"/>
      <c r="W78" s="1617"/>
      <c r="X78" s="1617"/>
      <c r="Y78" s="1617"/>
    </row>
    <row r="79" customFormat="false" ht="15.75" hidden="false" customHeight="true" outlineLevel="0" collapsed="false">
      <c r="A79" s="1685" t="s">
        <v>3058</v>
      </c>
      <c r="B79" s="1686" t="s">
        <v>820</v>
      </c>
      <c r="C79" s="1687" t="n">
        <f aca="false">IF('Ввод данных'!A17=связи1!A95,(дома!C21)*(дома!C16+дома!C16+дома!C17+дома!C17),0)+IF('Ввод данных'!A17=связи1!A96,дома!C23*(дома!C16+дома!C16+дома!C17+дома!C17),0)+IF('Ввод данных'!A17=связи1!A98,дома!C23*(дома!C16+дома!C16+дома!C17+дома!C17),0)+IF('Ввод данных'!A17=связи1!A94,0,0)+IF('Ввод данных'!A17=связи1!A97,0,0)</f>
        <v>51.2</v>
      </c>
      <c r="D79" s="1604" t="n">
        <f aca="false">E52+E53+E54+E55+E56+E58</f>
        <v>0</v>
      </c>
      <c r="E79" s="1689" t="n">
        <f aca="false">C87+C88</f>
        <v>13.6</v>
      </c>
      <c r="I79" s="1641"/>
      <c r="J79" s="1295"/>
      <c r="K79" s="1295"/>
      <c r="L79" s="1295"/>
      <c r="M79" s="1295"/>
      <c r="N79" s="1295"/>
      <c r="O79" s="1617"/>
      <c r="P79" s="1617"/>
      <c r="Q79" s="1617"/>
      <c r="R79" s="1617"/>
      <c r="S79" s="1617"/>
      <c r="T79" s="1617"/>
      <c r="U79" s="1617"/>
      <c r="V79" s="1617"/>
      <c r="W79" s="1617"/>
      <c r="X79" s="1617"/>
      <c r="Y79" s="1617"/>
    </row>
    <row r="80" customFormat="false" ht="15.75" hidden="false" customHeight="true" outlineLevel="0" collapsed="false">
      <c r="A80" s="1685" t="s">
        <v>3059</v>
      </c>
      <c r="B80" s="1686" t="s">
        <v>820</v>
      </c>
      <c r="C80" s="1687" t="n">
        <f aca="false">F599+F600+F605+F606+F614+F615</f>
        <v>0</v>
      </c>
      <c r="D80" s="1690"/>
      <c r="E80" s="1689"/>
      <c r="I80" s="1641"/>
      <c r="J80" s="1295"/>
      <c r="K80" s="1295"/>
      <c r="L80" s="1295"/>
      <c r="M80" s="1295"/>
      <c r="N80" s="1295"/>
      <c r="O80" s="1617"/>
      <c r="P80" s="1617"/>
      <c r="Q80" s="1617"/>
      <c r="R80" s="1617"/>
      <c r="S80" s="1617"/>
      <c r="T80" s="1617"/>
      <c r="U80" s="1617"/>
      <c r="V80" s="1617"/>
      <c r="W80" s="1617"/>
      <c r="X80" s="1617"/>
      <c r="Y80" s="1617"/>
    </row>
    <row r="81" customFormat="false" ht="15.75" hidden="false" customHeight="true" outlineLevel="0" collapsed="false">
      <c r="A81" s="1685"/>
      <c r="B81" s="1686"/>
      <c r="C81" s="1687" t="n">
        <f aca="false">F1053+F1058+F1067</f>
        <v>0</v>
      </c>
      <c r="D81" s="1690"/>
      <c r="E81" s="1689"/>
      <c r="I81" s="1641"/>
      <c r="J81" s="1295"/>
      <c r="K81" s="1295"/>
      <c r="L81" s="1295"/>
      <c r="M81" s="1295"/>
      <c r="N81" s="1295"/>
      <c r="O81" s="1617"/>
      <c r="P81" s="1617"/>
      <c r="Q81" s="1617"/>
      <c r="R81" s="1617"/>
      <c r="S81" s="1617"/>
      <c r="T81" s="1617"/>
      <c r="U81" s="1617"/>
      <c r="V81" s="1617"/>
      <c r="W81" s="1617"/>
      <c r="X81" s="1617"/>
      <c r="Y81" s="1617"/>
    </row>
    <row r="82" customFormat="false" ht="15.75" hidden="false" customHeight="true" outlineLevel="0" collapsed="false">
      <c r="A82" s="1685" t="s">
        <v>3060</v>
      </c>
      <c r="B82" s="1686" t="s">
        <v>820</v>
      </c>
      <c r="C82" s="1687" t="n">
        <f aca="false">F598-I602+пристройка!R149</f>
        <v>0</v>
      </c>
      <c r="D82" s="1690"/>
      <c r="E82" s="1689"/>
      <c r="I82" s="1641"/>
      <c r="J82" s="1295"/>
      <c r="K82" s="1295"/>
      <c r="L82" s="1295"/>
      <c r="M82" s="1295"/>
      <c r="N82" s="1295"/>
      <c r="O82" s="1617"/>
      <c r="P82" s="1617"/>
      <c r="Q82" s="1617"/>
      <c r="R82" s="1617"/>
      <c r="S82" s="1617"/>
      <c r="T82" s="1617"/>
      <c r="U82" s="1617"/>
      <c r="V82" s="1617"/>
      <c r="W82" s="1617"/>
      <c r="X82" s="1617"/>
      <c r="Y82" s="1617"/>
    </row>
    <row r="83" customFormat="false" ht="15.75" hidden="false" customHeight="true" outlineLevel="0" collapsed="false">
      <c r="A83" s="1685"/>
      <c r="B83" s="1686"/>
      <c r="C83" s="1687" t="n">
        <f aca="false">F1052-I1054</f>
        <v>0</v>
      </c>
      <c r="D83" s="1690"/>
      <c r="E83" s="1689"/>
      <c r="I83" s="1641"/>
      <c r="J83" s="1295"/>
      <c r="K83" s="1295"/>
      <c r="L83" s="1295"/>
      <c r="M83" s="1295"/>
      <c r="N83" s="1295"/>
      <c r="O83" s="1617"/>
      <c r="P83" s="1617"/>
      <c r="Q83" s="1617"/>
      <c r="R83" s="1617"/>
      <c r="S83" s="1617"/>
      <c r="T83" s="1617"/>
      <c r="U83" s="1617"/>
      <c r="V83" s="1617"/>
      <c r="W83" s="1617"/>
      <c r="X83" s="1617"/>
      <c r="Y83" s="1617"/>
    </row>
    <row r="84" customFormat="false" ht="15.75" hidden="false" customHeight="true" outlineLevel="0" collapsed="false">
      <c r="A84" s="1685" t="s">
        <v>3061</v>
      </c>
      <c r="B84" s="1686" t="s">
        <v>820</v>
      </c>
      <c r="C84" s="1687" t="n">
        <f aca="false">F604-I607</f>
        <v>0</v>
      </c>
      <c r="D84" s="1690"/>
      <c r="E84" s="1689"/>
      <c r="I84" s="1641"/>
      <c r="J84" s="1295"/>
      <c r="K84" s="1295"/>
      <c r="L84" s="1295"/>
      <c r="M84" s="1295"/>
      <c r="N84" s="1295"/>
      <c r="O84" s="1617"/>
      <c r="P84" s="1617"/>
      <c r="Q84" s="1617"/>
      <c r="R84" s="1617"/>
      <c r="S84" s="1617"/>
      <c r="T84" s="1617"/>
      <c r="U84" s="1617"/>
      <c r="V84" s="1617"/>
      <c r="W84" s="1617"/>
      <c r="X84" s="1617"/>
      <c r="Y84" s="1617"/>
    </row>
    <row r="85" customFormat="false" ht="15.75" hidden="false" customHeight="true" outlineLevel="0" collapsed="false">
      <c r="A85" s="1685"/>
      <c r="B85" s="1686"/>
      <c r="C85" s="1687" t="n">
        <f aca="false">F1057-I1059</f>
        <v>0</v>
      </c>
      <c r="D85" s="1690"/>
      <c r="E85" s="1689"/>
      <c r="I85" s="1641"/>
      <c r="J85" s="1295"/>
      <c r="K85" s="1295"/>
      <c r="L85" s="1295"/>
      <c r="M85" s="1295"/>
      <c r="N85" s="1295"/>
      <c r="O85" s="1617"/>
      <c r="P85" s="1617"/>
      <c r="Q85" s="1617"/>
      <c r="R85" s="1617"/>
      <c r="S85" s="1617"/>
      <c r="T85" s="1617"/>
      <c r="U85" s="1617"/>
      <c r="V85" s="1617"/>
      <c r="W85" s="1617"/>
      <c r="X85" s="1617"/>
      <c r="Y85" s="1617"/>
    </row>
    <row r="86" customFormat="false" ht="15.75" hidden="false" customHeight="true" outlineLevel="0" collapsed="false">
      <c r="A86" s="1685" t="s">
        <v>3030</v>
      </c>
      <c r="B86" s="1686"/>
      <c r="C86" s="1687" t="n">
        <f aca="false">F601+F1054+E96</f>
        <v>27.2</v>
      </c>
      <c r="D86" s="1690"/>
      <c r="E86" s="1689"/>
      <c r="I86" s="1641"/>
      <c r="J86" s="1295"/>
      <c r="K86" s="1295"/>
      <c r="L86" s="1295"/>
      <c r="M86" s="1295"/>
      <c r="N86" s="1295"/>
      <c r="O86" s="1617"/>
      <c r="P86" s="1617"/>
      <c r="Q86" s="1617"/>
      <c r="R86" s="1617"/>
      <c r="S86" s="1617"/>
      <c r="T86" s="1617"/>
      <c r="U86" s="1617"/>
      <c r="V86" s="1617"/>
      <c r="W86" s="1617"/>
      <c r="X86" s="1617"/>
      <c r="Y86" s="1617"/>
    </row>
    <row r="87" customFormat="false" ht="15.75" hidden="false" customHeight="true" outlineLevel="0" collapsed="false">
      <c r="A87" s="1691" t="s">
        <v>3062</v>
      </c>
      <c r="B87" s="1607" t="s">
        <v>820</v>
      </c>
      <c r="C87" s="1692" t="n">
        <f aca="false">IF('Ввод данных'!A17=связи1!A94,дома!E87,0)+IF('Ввод данных'!A17=связи1!A97,дома!G87,0)</f>
        <v>0</v>
      </c>
      <c r="D87" s="1690" t="s">
        <v>3063</v>
      </c>
      <c r="E87" s="1604" t="n">
        <f aca="false">(C19-(C18+D44))*C16/2</f>
        <v>-0.800000000000001</v>
      </c>
      <c r="F87" s="1604" t="s">
        <v>3064</v>
      </c>
      <c r="G87" s="1604" t="n">
        <f aca="false">(C19-C20)*C16/2</f>
        <v>0</v>
      </c>
      <c r="H87" s="1608"/>
      <c r="I87" s="1641"/>
      <c r="J87" s="1295"/>
      <c r="K87" s="1295"/>
      <c r="L87" s="1295"/>
      <c r="M87" s="1295"/>
      <c r="N87" s="1295"/>
      <c r="O87" s="1617"/>
      <c r="P87" s="1617"/>
      <c r="Q87" s="1617"/>
      <c r="R87" s="1617"/>
      <c r="S87" s="1617"/>
      <c r="T87" s="1617"/>
      <c r="U87" s="1617"/>
      <c r="V87" s="1617"/>
      <c r="W87" s="1617"/>
      <c r="X87" s="1617"/>
      <c r="Y87" s="1617"/>
    </row>
    <row r="88" customFormat="false" ht="15.75" hidden="false" customHeight="true" outlineLevel="0" collapsed="false">
      <c r="A88" s="1691" t="s">
        <v>3065</v>
      </c>
      <c r="B88" s="1607" t="s">
        <v>820</v>
      </c>
      <c r="C88" s="1692" t="n">
        <f aca="false">IF('Ввод данных'!A17=связи1!A95,дома!E88,0)+IF('Ввод данных'!A17=связи1!A96,дома!G88,0)+IF('Ввод данных'!A17=связи1!A98,дома!G88,0)</f>
        <v>13.6</v>
      </c>
      <c r="D88" s="1690" t="s">
        <v>3066</v>
      </c>
      <c r="E88" s="1604" t="n">
        <f aca="false">(C22-(C18+D45))*(C16/2)</f>
        <v>8</v>
      </c>
      <c r="F88" s="1604" t="s">
        <v>3067</v>
      </c>
      <c r="G88" s="1604" t="n">
        <f aca="false">(C22-C23)*C16/2</f>
        <v>13.6</v>
      </c>
      <c r="H88" s="1608"/>
      <c r="I88" s="1641"/>
      <c r="J88" s="1295"/>
      <c r="K88" s="1295"/>
      <c r="L88" s="1295"/>
      <c r="M88" s="1295"/>
      <c r="N88" s="1295"/>
      <c r="O88" s="1617"/>
      <c r="P88" s="1617"/>
      <c r="Q88" s="1617"/>
      <c r="R88" s="1617"/>
      <c r="S88" s="1617"/>
      <c r="T88" s="1617"/>
      <c r="U88" s="1617"/>
      <c r="V88" s="1617"/>
      <c r="W88" s="1617"/>
      <c r="X88" s="1617"/>
      <c r="Y88" s="1617"/>
    </row>
    <row r="89" customFormat="false" ht="15.75" hidden="false" customHeight="true" outlineLevel="0" collapsed="false">
      <c r="A89" s="1691"/>
      <c r="B89" s="1607"/>
      <c r="C89" s="1692"/>
      <c r="D89" s="1604"/>
      <c r="E89" s="1604"/>
      <c r="F89" s="1608"/>
      <c r="G89" s="1608"/>
      <c r="H89" s="1608"/>
      <c r="I89" s="1693" t="s">
        <v>3068</v>
      </c>
      <c r="J89" s="1693"/>
      <c r="K89" s="1693"/>
      <c r="L89" s="1693"/>
      <c r="M89" s="1694"/>
      <c r="N89" s="1694"/>
      <c r="O89" s="1617"/>
      <c r="P89" s="1617"/>
      <c r="Q89" s="1617"/>
      <c r="R89" s="1617"/>
      <c r="S89" s="1617"/>
      <c r="T89" s="1617"/>
      <c r="U89" s="1617"/>
      <c r="V89" s="1617"/>
      <c r="W89" s="1617"/>
      <c r="X89" s="1617"/>
      <c r="Y89" s="1617"/>
    </row>
    <row r="90" customFormat="false" ht="15.75" hidden="false" customHeight="true" outlineLevel="0" collapsed="false">
      <c r="A90" s="1695" t="s">
        <v>161</v>
      </c>
      <c r="B90" s="1696" t="s">
        <v>12</v>
      </c>
      <c r="C90" s="1396" t="s">
        <v>3069</v>
      </c>
      <c r="D90" s="1684" t="s">
        <v>3070</v>
      </c>
      <c r="E90" s="1396" t="s">
        <v>3069</v>
      </c>
      <c r="F90" s="1683" t="s">
        <v>3071</v>
      </c>
      <c r="G90" s="1683"/>
      <c r="H90" s="1697"/>
      <c r="I90" s="1683" t="s">
        <v>3072</v>
      </c>
      <c r="J90" s="1683"/>
      <c r="K90" s="1698" t="s">
        <v>3073</v>
      </c>
      <c r="L90" s="1699" t="s">
        <v>3074</v>
      </c>
      <c r="M90" s="1699"/>
      <c r="N90" s="1699"/>
      <c r="O90" s="1416"/>
      <c r="P90" s="1700" t="s">
        <v>3075</v>
      </c>
      <c r="Q90" s="1700" t="s">
        <v>3076</v>
      </c>
      <c r="R90" s="1635" t="s">
        <v>3077</v>
      </c>
      <c r="S90" s="1700" t="s">
        <v>3078</v>
      </c>
      <c r="T90" s="1617"/>
      <c r="U90" s="1617"/>
      <c r="V90" s="1617"/>
      <c r="W90" s="1617"/>
      <c r="X90" s="1617"/>
      <c r="Y90" s="1617"/>
    </row>
    <row r="91" s="1709" customFormat="true" ht="15.75" hidden="false" customHeight="true" outlineLevel="0" collapsed="false">
      <c r="A91" s="1691"/>
      <c r="B91" s="1701"/>
      <c r="C91" s="1294"/>
      <c r="D91" s="1444"/>
      <c r="E91" s="1294"/>
      <c r="F91" s="1702"/>
      <c r="G91" s="1703"/>
      <c r="H91" s="1703"/>
      <c r="I91" s="1704" t="s">
        <v>3079</v>
      </c>
      <c r="J91" s="1704" t="n">
        <f aca="false">IF('Ввод данных'!A17=связи1!A94,дома!C16*дома!C17,0)+IF('Ввод данных'!A17=связи1!A95,дома!C16*дома!C17,0)+IF('Ввод данных'!A17=связи1!A96,дома!C16*дома!C17,0)+IF('Ввод данных'!A17=связи1!A97,0,0)+IF('Ввод данных'!A17=связи1!A98,дома!C16*дома!C17,0)</f>
        <v>64</v>
      </c>
      <c r="K91" s="1705" t="n">
        <f aca="false">IF('Ввод данных'!A17=связи1!A94,дома!C16*дома!C17-V617,0)+IF('Ввод данных'!A17=связи1!A95,дома!C16*дома!C17-V617,0)+IF('Ввод данных'!A17=связи1!A96,дома!C16*дома!C17-V617,0)+IF('Ввод данных'!A17=связи1!A97,дома!C16*дома!C17-V617,0)+IF('Ввод данных'!A17=связи1!A98,дома!C16*дома!C17-V617,0)-C2072</f>
        <v>65.08</v>
      </c>
      <c r="L91" s="1706"/>
      <c r="M91" s="1706"/>
      <c r="N91" s="1706"/>
      <c r="O91" s="1344"/>
      <c r="P91" s="1707"/>
      <c r="Q91" s="1707"/>
      <c r="R91" s="1344"/>
      <c r="S91" s="1707"/>
      <c r="T91" s="1708"/>
      <c r="U91" s="1708"/>
      <c r="V91" s="1708"/>
      <c r="W91" s="1708"/>
      <c r="X91" s="1708"/>
      <c r="Y91" s="1708"/>
    </row>
    <row r="92" customFormat="false" ht="15.75" hidden="false" customHeight="true" outlineLevel="0" collapsed="false">
      <c r="A92" s="1710" t="s">
        <v>3080</v>
      </c>
      <c r="B92" s="1711" t="s">
        <v>820</v>
      </c>
      <c r="C92" s="1712" t="n">
        <f aca="false">C1185</f>
        <v>27.2</v>
      </c>
      <c r="D92" s="1713" t="n">
        <f aca="false">B1115</f>
        <v>1</v>
      </c>
      <c r="E92" s="1713" t="n">
        <f aca="false">C92*D92</f>
        <v>27.2</v>
      </c>
      <c r="F92" s="1436" t="n">
        <f aca="false">D92*C1190</f>
        <v>26.5202448815993</v>
      </c>
      <c r="G92" s="1436"/>
      <c r="H92" s="1436"/>
      <c r="I92" s="1704" t="s">
        <v>2811</v>
      </c>
      <c r="J92" s="1706" t="n">
        <f aca="false">IF('Ввод данных'!A17=связи1!A94,дома!C16*дома!C17,0)+IF('Ввод данных'!A17=связи1!A95,дома!C16*дома!C17,0)+IF('Ввод данных'!A17=связи1!A96,дома!C16*дома!C17,0)+IF('Ввод данных'!A17=связи1!A97,0,0)+IF('Ввод данных'!A17=связи1!A98,дома!C16*дома!C17,0)</f>
        <v>64</v>
      </c>
      <c r="K92" s="1705" t="n">
        <f aca="false">IF('Ввод данных'!A17=связи1!A94,0,0)+IF('Ввод данных'!A17=связи1!A95,дома!C16*дома!C17-V1057,0)+IF('Ввод данных'!A17=связи1!A96,E1178-V1057,0)+IF('Ввод данных'!A17=связи1!A97,0,0)+IF('Ввод данных'!A17=связи1!A98,дома!C16*дома!C17-V1057,0)-'Ввод данных'!C570*'Ввод данных'!C571*VLOOKUP('Ввод данных'!D566,связи1!A2:B3,2,0)*VLOOKUP('Ввод данных'!F597,связи1!A2:B3,2,0)</f>
        <v>29.6521893085902</v>
      </c>
      <c r="L92" s="1706" t="n">
        <f aca="false">IF('Ввод данных'!A17=связи1!A94,дома!C16*дома!C17-V617,0)+IF('Ввод данных'!A17=связи1!A95,дома!C16*дома!C17-V617,0)+IF('Ввод данных'!A17=связи1!A96,дома!C16*дома!C17-V617,0)+IF('Ввод данных'!A17=связи1!A97,E1178,0)+IF('Ввод данных'!A17=связи1!A98,дома!C16*дома!C17-V617,0)-C2072</f>
        <v>65.08</v>
      </c>
      <c r="M92" s="1706"/>
      <c r="N92" s="1706"/>
      <c r="O92" s="1707"/>
      <c r="P92" s="1714"/>
      <c r="Q92" s="1714"/>
      <c r="R92" s="1436"/>
      <c r="S92" s="1714"/>
      <c r="T92" s="1617"/>
      <c r="U92" s="1617"/>
      <c r="V92" s="1617"/>
      <c r="W92" s="1617"/>
      <c r="X92" s="1617"/>
      <c r="Y92" s="1617"/>
    </row>
    <row r="93" customFormat="false" ht="15.75" hidden="false" customHeight="true" outlineLevel="0" collapsed="false">
      <c r="A93" s="1710" t="s">
        <v>3081</v>
      </c>
      <c r="B93" s="1711" t="s">
        <v>820</v>
      </c>
      <c r="C93" s="1715" t="n">
        <f aca="false">L1185</f>
        <v>15</v>
      </c>
      <c r="D93" s="1713" t="n">
        <f aca="false">L1115</f>
        <v>0</v>
      </c>
      <c r="E93" s="1713" t="n">
        <f aca="false">C93*D93</f>
        <v>0</v>
      </c>
      <c r="F93" s="1436" t="n">
        <f aca="false">D93*J1190</f>
        <v>0</v>
      </c>
      <c r="G93" s="1436"/>
      <c r="H93" s="1436"/>
      <c r="I93" s="1704" t="s">
        <v>2820</v>
      </c>
      <c r="J93" s="1706" t="n">
        <f aca="false">IF('Ввод данных'!A17=связи1!A94,0,0)+IF('Ввод данных'!A17=связи1!A95,дома!C16*дома!C17,0)+IF('Ввод данных'!A17=связи1!A96,0,0)+IF('Ввод данных'!A17=связи1!A97,0,0)+IF('Ввод данных'!A17=связи1!A98,E101,0)</f>
        <v>0</v>
      </c>
      <c r="K93" s="1706"/>
      <c r="L93" s="1706" t="n">
        <f aca="false">IF('Ввод данных'!A17=связи1!A94,0,0)+IF('Ввод данных'!A17=связи1!A95,дома!C16*дома!C17-V1057,0)+IF('Ввод данных'!A17=связи1!A96,E1178-V1057,0)+IF('Ввод данных'!A17=связи1!A97,0,0)+IF('Ввод данных'!A17=связи1!A98,E1187-V1057,0)-'Ввод данных'!C570*'Ввод данных'!C571*VLOOKUP('Ввод данных'!D566,связи1!A2:B3,2,0)*VLOOKUP('Ввод данных'!F597,связи1!A2:B3,2,0)</f>
        <v>29.6521893085902</v>
      </c>
      <c r="M93" s="1706"/>
      <c r="N93" s="1706"/>
      <c r="O93" s="1707"/>
      <c r="P93" s="1716" t="n">
        <f aca="false">IF('Ввод данных'!A101=связи1!A128,дома!P102,дома!P100)</f>
        <v>86.51</v>
      </c>
      <c r="Q93" s="1716" t="n">
        <f aca="false">IF('Ввод данных'!A101=связи1!A128,дома!Q102,дома!Q100)+L2237</f>
        <v>60.72</v>
      </c>
      <c r="R93" s="1717" t="n">
        <f aca="false">IF('Ввод данных'!A101=связи1!A128,дома!R102,дома!R100)</f>
        <v>27.2</v>
      </c>
      <c r="S93" s="1716" t="n">
        <f aca="false">P93+Q93+R93+L1217</f>
        <v>174.43</v>
      </c>
      <c r="T93" s="1617"/>
      <c r="U93" s="1617"/>
      <c r="V93" s="1617"/>
      <c r="W93" s="1617"/>
      <c r="X93" s="1617"/>
      <c r="Y93" s="1617"/>
    </row>
    <row r="94" customFormat="false" ht="15.75" hidden="false" customHeight="true" outlineLevel="0" collapsed="false">
      <c r="A94" s="1710" t="s">
        <v>3082</v>
      </c>
      <c r="B94" s="1711" t="s">
        <v>820</v>
      </c>
      <c r="C94" s="1715" t="n">
        <f aca="false">P1185+Q1186</f>
        <v>0</v>
      </c>
      <c r="D94" s="1718" t="n">
        <f aca="false">Q1115</f>
        <v>0</v>
      </c>
      <c r="E94" s="1713" t="n">
        <f aca="false">C94*D94</f>
        <v>0</v>
      </c>
      <c r="F94" s="1180" t="n">
        <f aca="false">(IF('Ввод данных'!A17=связи1!A98,IF('Ввод данных'!B245=связи1!A2,дома!O1190,0),0)+IF('Ввод данных'!A17=связи1!A98,IF('Ввод данных'!C245=связи1!A2,дома!P1190,0),0)+IF('Ввод данных'!A17=связи1!A96,IF('Ввод данных'!B245=связи1!A2,дома!O1190,0),0)+IF('Ввод данных'!A17=связи1!A96,IF('Ввод данных'!C245=связи1!A2,дома!P1190,0),0))*D94</f>
        <v>0</v>
      </c>
      <c r="G94" s="1436"/>
      <c r="H94" s="1436"/>
      <c r="I94" s="1704"/>
      <c r="J94" s="1706" t="n">
        <f aca="false">SUM(J91:J93)</f>
        <v>128</v>
      </c>
      <c r="K94" s="1705" t="n">
        <f aca="false">SUM(K91:K93)</f>
        <v>94.7321893085902</v>
      </c>
      <c r="L94" s="1706" t="n">
        <f aca="false">SUM(L91:L93)</f>
        <v>94.7321893085902</v>
      </c>
      <c r="M94" s="1706"/>
      <c r="N94" s="1706"/>
      <c r="O94" s="1707"/>
      <c r="P94" s="1714"/>
      <c r="Q94" s="1716" t="n">
        <f aca="false">Q93</f>
        <v>60.72</v>
      </c>
      <c r="R94" s="1717" t="n">
        <f aca="false">R93</f>
        <v>27.2</v>
      </c>
      <c r="S94" s="1716" t="n">
        <f aca="false">Q94+R94</f>
        <v>87.92</v>
      </c>
      <c r="T94" s="1719" t="s">
        <v>3083</v>
      </c>
      <c r="U94" s="1719"/>
      <c r="V94" s="1617"/>
      <c r="W94" s="1617"/>
      <c r="X94" s="1617"/>
      <c r="Y94" s="1617"/>
    </row>
    <row r="95" customFormat="false" ht="15.75" hidden="false" customHeight="true" outlineLevel="0" collapsed="false">
      <c r="A95" s="1710" t="s">
        <v>3084</v>
      </c>
      <c r="B95" s="1711" t="s">
        <v>820</v>
      </c>
      <c r="C95" s="1715"/>
      <c r="D95" s="1718"/>
      <c r="E95" s="1713" t="n">
        <f aca="false">C95*D95</f>
        <v>0</v>
      </c>
      <c r="F95" s="1436"/>
      <c r="G95" s="1436"/>
      <c r="H95" s="1436"/>
      <c r="I95" s="1720" t="s">
        <v>3085</v>
      </c>
      <c r="J95" s="1720"/>
      <c r="K95" s="1720"/>
      <c r="L95" s="1720"/>
      <c r="M95" s="1720"/>
      <c r="N95" s="1720"/>
      <c r="O95" s="1714"/>
      <c r="P95" s="1716" t="n">
        <f aca="false">P93</f>
        <v>86.51</v>
      </c>
      <c r="Q95" s="1714"/>
      <c r="R95" s="1436"/>
      <c r="S95" s="1716" t="n">
        <f aca="false">P95</f>
        <v>86.51</v>
      </c>
      <c r="T95" s="1617"/>
      <c r="U95" s="1617"/>
      <c r="V95" s="1617"/>
      <c r="W95" s="1617"/>
      <c r="X95" s="1617"/>
      <c r="Y95" s="1617"/>
    </row>
    <row r="96" customFormat="false" ht="15.75" hidden="false" customHeight="true" outlineLevel="0" collapsed="false">
      <c r="A96" s="1710"/>
      <c r="B96" s="1711"/>
      <c r="C96" s="1715"/>
      <c r="D96" s="1718"/>
      <c r="E96" s="1713" t="n">
        <f aca="false">SUM(E92:E95)</f>
        <v>27.2</v>
      </c>
      <c r="F96" s="1436" t="n">
        <f aca="false">SUM(F92:F95)</f>
        <v>26.5202448815993</v>
      </c>
      <c r="G96" s="1436"/>
      <c r="H96" s="1436"/>
      <c r="I96" s="1721" t="s">
        <v>3079</v>
      </c>
      <c r="J96" s="1722" t="n">
        <f aca="false">пристройка!R9</f>
        <v>0</v>
      </c>
      <c r="K96" s="1722" t="n">
        <f aca="false">пристройка!R12-D399*D402-D403*D406-D407*D410-D411*D414</f>
        <v>0</v>
      </c>
      <c r="L96" s="1722"/>
      <c r="M96" s="1722"/>
      <c r="N96" s="1722"/>
      <c r="O96" s="1714"/>
      <c r="P96" s="1716"/>
      <c r="Q96" s="1714"/>
      <c r="R96" s="1436"/>
      <c r="S96" s="1716"/>
      <c r="T96" s="1617"/>
      <c r="U96" s="1617"/>
      <c r="V96" s="1617"/>
      <c r="W96" s="1617"/>
      <c r="X96" s="1617"/>
      <c r="Y96" s="1617"/>
    </row>
    <row r="97" customFormat="false" ht="15.75" hidden="false" customHeight="true" outlineLevel="0" collapsed="false">
      <c r="A97" s="1710" t="s">
        <v>3086</v>
      </c>
      <c r="B97" s="1711" t="s">
        <v>820</v>
      </c>
      <c r="C97" s="1715" t="n">
        <f aca="false">IF('Ввод данных'!A17=связи1!A98,дома!C1189,0)</f>
        <v>0</v>
      </c>
      <c r="D97" s="1718" t="n">
        <f aca="false">B1115</f>
        <v>1</v>
      </c>
      <c r="E97" s="1713" t="n">
        <f aca="false">C97*D97</f>
        <v>0</v>
      </c>
      <c r="F97" s="1436" t="n">
        <f aca="false">(C1189+C1190)*D97</f>
        <v>77.2802952974604</v>
      </c>
      <c r="G97" s="1436" t="n">
        <f aca="false">IF('Ввод данных'!A17=связи1!A98,дома!F97,0)+IF('Ввод данных'!A17=связи1!A97,дома!C1140*2*дома!C1132,0)+IF('Ввод данных'!A17=связи1!A96,дома!C1140*2*дома!C1132,0)</f>
        <v>83.9961903898028</v>
      </c>
      <c r="H97" s="1436"/>
      <c r="I97" s="1721" t="s">
        <v>2811</v>
      </c>
      <c r="J97" s="1722" t="n">
        <f aca="false">пристройка!R10</f>
        <v>0</v>
      </c>
      <c r="K97" s="1722" t="n">
        <f aca="false">пристройка!R13-D861*D863-D865*D867-D869*D871-D873*D875</f>
        <v>0</v>
      </c>
      <c r="L97" s="1722" t="n">
        <f aca="false">пристройка!R14-D400*D402-D404*D406-D408*D410-D412*D414</f>
        <v>0</v>
      </c>
      <c r="M97" s="1722"/>
      <c r="N97" s="1722"/>
      <c r="O97" s="1436"/>
      <c r="P97" s="1714"/>
      <c r="Q97" s="1714"/>
      <c r="R97" s="1436"/>
      <c r="S97" s="1714"/>
      <c r="T97" s="1617"/>
      <c r="U97" s="1617"/>
      <c r="V97" s="1617"/>
      <c r="W97" s="1617"/>
      <c r="X97" s="1617"/>
      <c r="Y97" s="1617"/>
    </row>
    <row r="98" customFormat="false" ht="15.75" hidden="false" customHeight="true" outlineLevel="0" collapsed="false">
      <c r="A98" s="1710" t="s">
        <v>3087</v>
      </c>
      <c r="B98" s="1711" t="s">
        <v>820</v>
      </c>
      <c r="C98" s="1715" t="n">
        <f aca="false">IF('Ввод данных'!A17=связи1!A94,дома!F1189,0)+IF('Ввод данных'!A17=связи1!A95,дома!F1189,0)</f>
        <v>0</v>
      </c>
      <c r="D98" s="1718" t="n">
        <f aca="false">I1115</f>
        <v>0</v>
      </c>
      <c r="E98" s="1713" t="n">
        <f aca="false">C98*D98</f>
        <v>0</v>
      </c>
      <c r="F98" s="1436" t="n">
        <f aca="false">F1189*D98</f>
        <v>0</v>
      </c>
      <c r="G98" s="1436" t="n">
        <f aca="false">IF('Ввод данных'!A17=связи1!A94,дома!F98,0)+IF('Ввод данных'!A17=связи1!A95,дома!F98,0)</f>
        <v>0</v>
      </c>
      <c r="H98" s="1436"/>
      <c r="I98" s="1721" t="s">
        <v>2820</v>
      </c>
      <c r="J98" s="1722" t="n">
        <f aca="false">пристройка!R11</f>
        <v>0</v>
      </c>
      <c r="K98" s="1722"/>
      <c r="L98" s="1722" t="n">
        <f aca="false">пристройка!R15-D862*D863-D866*D867-D870*D871-D874*D875</f>
        <v>0</v>
      </c>
      <c r="M98" s="1722"/>
      <c r="N98" s="1722"/>
      <c r="O98" s="1436"/>
      <c r="P98" s="1723" t="s">
        <v>3088</v>
      </c>
      <c r="Q98" s="1723"/>
      <c r="R98" s="1723"/>
      <c r="S98" s="1723"/>
      <c r="T98" s="1617"/>
      <c r="U98" s="1617"/>
      <c r="V98" s="1617"/>
      <c r="W98" s="1617"/>
      <c r="X98" s="1617"/>
      <c r="Y98" s="1617"/>
    </row>
    <row r="99" customFormat="false" ht="15.75" hidden="false" customHeight="true" outlineLevel="0" collapsed="false">
      <c r="A99" s="1710" t="s">
        <v>3089</v>
      </c>
      <c r="B99" s="1711" t="s">
        <v>820</v>
      </c>
      <c r="C99" s="1715" t="n">
        <f aca="false">IF('Ввод данных'!A17=связи1!A98,IF(связи1!H89=связи1!A2,1,0)*IF('Ввод данных'!B245=связи1!A2,1,0)*дома!O1189,0)+IF('Ввод данных'!A17=связи1!A98,IF(связи1!H89=связи1!A2,1,0)*IF('Ввод данных'!C245=связи1!A2,1,0)*дома!P1189,0)</f>
        <v>0</v>
      </c>
      <c r="D99" s="1718" t="n">
        <f aca="false">IF(связи1!H89=связи1!A2,1,0)</f>
        <v>1</v>
      </c>
      <c r="E99" s="1713" t="n">
        <f aca="false">C99*D99</f>
        <v>0</v>
      </c>
      <c r="F99" s="1436" t="n">
        <f aca="false">F94+E99</f>
        <v>0</v>
      </c>
      <c r="G99" s="1436" t="n">
        <v>0</v>
      </c>
      <c r="H99" s="1436"/>
      <c r="I99" s="1721"/>
      <c r="J99" s="1722" t="n">
        <f aca="false">SUM(J96:J98)</f>
        <v>0</v>
      </c>
      <c r="K99" s="1722" t="n">
        <f aca="false">SUM(K96:K98)</f>
        <v>0</v>
      </c>
      <c r="L99" s="1722" t="n">
        <f aca="false">SUM(L96:L98)</f>
        <v>0</v>
      </c>
      <c r="M99" s="1722"/>
      <c r="N99" s="1722"/>
      <c r="O99" s="1436"/>
      <c r="P99" s="1723"/>
      <c r="Q99" s="1723"/>
      <c r="R99" s="1723"/>
      <c r="S99" s="1723"/>
      <c r="T99" s="1617"/>
      <c r="U99" s="1617"/>
      <c r="V99" s="1617"/>
      <c r="W99" s="1617"/>
      <c r="X99" s="1617"/>
      <c r="Y99" s="1617"/>
    </row>
    <row r="100" customFormat="false" ht="15.75" hidden="false" customHeight="true" outlineLevel="0" collapsed="false">
      <c r="A100" s="1710" t="s">
        <v>3090</v>
      </c>
      <c r="B100" s="1711" t="s">
        <v>820</v>
      </c>
      <c r="C100" s="1715" t="n">
        <f aca="false">IF('Ввод данных'!A17=связи1!A98,дома!J1189,0)</f>
        <v>0</v>
      </c>
      <c r="D100" s="1718" t="n">
        <f aca="false">L1115</f>
        <v>0</v>
      </c>
      <c r="E100" s="1713" t="n">
        <f aca="false">C100*D100</f>
        <v>0</v>
      </c>
      <c r="F100" s="1436" t="n">
        <f aca="false">(J1189+J1190)*D100</f>
        <v>0</v>
      </c>
      <c r="G100" s="1436" t="n">
        <f aca="false">IF('Ввод данных'!A17=связи1!A98,дома!F100,0)</f>
        <v>0</v>
      </c>
      <c r="H100" s="1436"/>
      <c r="I100" s="1724" t="s">
        <v>344</v>
      </c>
      <c r="J100" s="1724"/>
      <c r="K100" s="1724"/>
      <c r="L100" s="1724"/>
      <c r="M100" s="1724"/>
      <c r="N100" s="1724"/>
      <c r="O100" s="1436"/>
      <c r="P100" s="1700" t="n">
        <f aca="false">AC57-E47-E48-E49-E50-E51-E57-E59-E60-E74-E75-E76</f>
        <v>-3.09</v>
      </c>
      <c r="Q100" s="1700" t="n">
        <f aca="false">AC58-E52-E53-E54-E55-E56-E58</f>
        <v>12</v>
      </c>
      <c r="R100" s="1635" t="n">
        <f aca="false">AC61+AC62</f>
        <v>0</v>
      </c>
      <c r="S100" s="1700" t="n">
        <f aca="false">P100+Q100</f>
        <v>8.91</v>
      </c>
      <c r="T100" s="1617"/>
      <c r="U100" s="1617"/>
      <c r="V100" s="1617"/>
      <c r="W100" s="1617"/>
      <c r="X100" s="1617"/>
      <c r="Y100" s="1617"/>
    </row>
    <row r="101" customFormat="false" ht="15.75" hidden="false" customHeight="true" outlineLevel="0" collapsed="false">
      <c r="A101" s="1340" t="s">
        <v>2477</v>
      </c>
      <c r="B101" s="1711"/>
      <c r="C101" s="1715"/>
      <c r="D101" s="1718"/>
      <c r="E101" s="1713" t="n">
        <f aca="false">SUM(E97:E100)</f>
        <v>0</v>
      </c>
      <c r="F101" s="1436" t="n">
        <f aca="false">SUM(F97:F100)</f>
        <v>77.2802952974604</v>
      </c>
      <c r="G101" s="1436" t="n">
        <f aca="false">SUM(G97:G100)</f>
        <v>83.9961903898028</v>
      </c>
      <c r="H101" s="1436"/>
      <c r="I101" s="1725" t="s">
        <v>3079</v>
      </c>
      <c r="J101" s="1726" t="n">
        <f aca="false">C1235*D1229*E1235</f>
        <v>0</v>
      </c>
      <c r="K101" s="1727" t="n">
        <f aca="false">C1235*C1232*D1229-D398*C1232*D1229+C1245*D1229*B398</f>
        <v>0</v>
      </c>
      <c r="L101" s="1726"/>
      <c r="M101" s="1726"/>
      <c r="N101" s="1726"/>
      <c r="O101" s="1436"/>
      <c r="P101" s="1723" t="s">
        <v>3091</v>
      </c>
      <c r="Q101" s="1723"/>
      <c r="R101" s="1723"/>
      <c r="S101" s="1723"/>
      <c r="T101" s="1617"/>
      <c r="U101" s="1617"/>
      <c r="V101" s="1617"/>
      <c r="W101" s="1617"/>
      <c r="X101" s="1617"/>
      <c r="Y101" s="1617"/>
    </row>
    <row r="102" customFormat="false" ht="15.75" hidden="false" customHeight="true" outlineLevel="0" collapsed="false">
      <c r="B102" s="1692"/>
      <c r="C102" s="1692"/>
      <c r="D102" s="1436"/>
      <c r="E102" s="1436"/>
      <c r="F102" s="1436"/>
      <c r="G102" s="1436"/>
      <c r="H102" s="1436"/>
      <c r="I102" s="1725" t="s">
        <v>2811</v>
      </c>
      <c r="J102" s="1726" t="n">
        <f aca="false">C1236*E1236*D1229</f>
        <v>0</v>
      </c>
      <c r="K102" s="1726" t="n">
        <f aca="false">(J102-D859+C1245*D1229*B859)*C1233</f>
        <v>0</v>
      </c>
      <c r="L102" s="1726" t="n">
        <f aca="false">C1236*C1232*D1229-D398*C1232*D1229+C1245*D1229*B398</f>
        <v>0</v>
      </c>
      <c r="M102" s="1726"/>
      <c r="N102" s="1726"/>
      <c r="O102" s="1436"/>
      <c r="P102" s="1700" t="n">
        <f aca="false">C78-D78+C80+C82+C84</f>
        <v>86.51</v>
      </c>
      <c r="Q102" s="1700" t="n">
        <f aca="false">C79+C81+C83+C85-D79</f>
        <v>51.2</v>
      </c>
      <c r="R102" s="1635" t="n">
        <f aca="false">C86</f>
        <v>27.2</v>
      </c>
      <c r="S102" s="1700" t="n">
        <f aca="false">P102+Q102+R102</f>
        <v>164.91</v>
      </c>
      <c r="T102" s="1617"/>
      <c r="U102" s="1617"/>
      <c r="V102" s="1617"/>
      <c r="W102" s="1617"/>
      <c r="X102" s="1617"/>
      <c r="Y102" s="1617"/>
    </row>
    <row r="103" customFormat="false" ht="15.75" hidden="false" customHeight="true" outlineLevel="0" collapsed="false">
      <c r="A103" s="1339"/>
      <c r="B103" s="1728"/>
      <c r="C103" s="1715"/>
      <c r="D103" s="1718"/>
      <c r="E103" s="1713"/>
      <c r="F103" s="1436"/>
      <c r="G103" s="1436"/>
      <c r="H103" s="1436"/>
      <c r="I103" s="1725" t="s">
        <v>2820</v>
      </c>
      <c r="J103" s="1726" t="n">
        <f aca="false">C1237*D1229*E1237</f>
        <v>0</v>
      </c>
      <c r="K103" s="1726"/>
      <c r="L103" s="1726" t="n">
        <f aca="false">J103-D859+C1245*D1229*B859*C1233</f>
        <v>0</v>
      </c>
      <c r="M103" s="1726"/>
      <c r="N103" s="1726"/>
      <c r="O103" s="1436"/>
      <c r="P103" s="1729"/>
      <c r="Q103" s="1729"/>
      <c r="R103" s="1730"/>
      <c r="S103" s="1729"/>
      <c r="T103" s="1617"/>
      <c r="U103" s="1617"/>
      <c r="V103" s="1617"/>
      <c r="W103" s="1617"/>
      <c r="X103" s="1617"/>
      <c r="Y103" s="1617"/>
    </row>
    <row r="104" customFormat="false" ht="15.75" hidden="false" customHeight="true" outlineLevel="0" collapsed="false">
      <c r="A104" s="1339"/>
      <c r="B104" s="1728"/>
      <c r="C104" s="1715"/>
      <c r="D104" s="1718"/>
      <c r="E104" s="1713"/>
      <c r="F104" s="1436"/>
      <c r="G104" s="1436"/>
      <c r="H104" s="1436"/>
      <c r="I104" s="1725"/>
      <c r="J104" s="1726" t="n">
        <f aca="false">SUM(J101:J103)</f>
        <v>0</v>
      </c>
      <c r="K104" s="1726" t="n">
        <f aca="false">SUM(K101:K103)</f>
        <v>0</v>
      </c>
      <c r="L104" s="1726" t="n">
        <f aca="false">SUM(L101:L103)</f>
        <v>0</v>
      </c>
      <c r="M104" s="1726"/>
      <c r="N104" s="1726"/>
      <c r="O104" s="1436"/>
      <c r="P104" s="1729"/>
      <c r="Q104" s="1729"/>
      <c r="R104" s="1730"/>
      <c r="S104" s="1729"/>
      <c r="T104" s="1617"/>
      <c r="U104" s="1617"/>
      <c r="V104" s="1617"/>
      <c r="W104" s="1617"/>
      <c r="X104" s="1617"/>
      <c r="Y104" s="1617"/>
    </row>
    <row r="105" s="1709" customFormat="true" ht="15.75" hidden="false" customHeight="true" outlineLevel="0" collapsed="false">
      <c r="A105" s="1340"/>
      <c r="B105" s="1731"/>
      <c r="C105" s="1732"/>
      <c r="D105" s="1341"/>
      <c r="E105" s="1733"/>
      <c r="F105" s="1344"/>
      <c r="G105" s="1344"/>
      <c r="H105" s="1417"/>
      <c r="I105" s="1641" t="s">
        <v>3092</v>
      </c>
      <c r="J105" s="1631" t="n">
        <f aca="false">J94+J99+J104</f>
        <v>128</v>
      </c>
      <c r="K105" s="1631" t="n">
        <v>0</v>
      </c>
      <c r="L105" s="1631" t="n">
        <f aca="false">J91+J96+J101</f>
        <v>64</v>
      </c>
      <c r="M105" s="1631"/>
      <c r="N105" s="1631"/>
      <c r="O105" s="1417"/>
      <c r="P105" s="1734"/>
      <c r="Q105" s="1734"/>
      <c r="R105" s="1417"/>
      <c r="S105" s="1734"/>
      <c r="T105" s="1708"/>
      <c r="U105" s="1708"/>
      <c r="V105" s="1708"/>
      <c r="W105" s="1708"/>
      <c r="X105" s="1708"/>
      <c r="Y105" s="1708"/>
    </row>
    <row r="106" s="1709" customFormat="true" ht="15.75" hidden="false" customHeight="true" outlineLevel="0" collapsed="false">
      <c r="A106" s="1340"/>
      <c r="B106" s="1731"/>
      <c r="C106" s="1732"/>
      <c r="D106" s="1341"/>
      <c r="E106" s="1733"/>
      <c r="F106" s="1344"/>
      <c r="G106" s="1344"/>
      <c r="H106" s="1417"/>
      <c r="I106" s="1641" t="s">
        <v>848</v>
      </c>
      <c r="J106" s="1631" t="n">
        <f aca="false">K94+K99+K104</f>
        <v>94.7321893085902</v>
      </c>
      <c r="K106" s="1631" t="n">
        <v>1</v>
      </c>
      <c r="L106" s="1631" t="n">
        <f aca="false">J92+J97+J102</f>
        <v>64</v>
      </c>
      <c r="M106" s="1631"/>
      <c r="N106" s="1631"/>
      <c r="O106" s="1417"/>
      <c r="P106" s="1734"/>
      <c r="Q106" s="1734"/>
      <c r="R106" s="1417"/>
      <c r="S106" s="1734"/>
      <c r="T106" s="1708"/>
      <c r="U106" s="1708"/>
      <c r="V106" s="1708"/>
      <c r="W106" s="1708"/>
      <c r="X106" s="1708"/>
      <c r="Y106" s="1708"/>
    </row>
    <row r="107" s="1709" customFormat="true" ht="15.75" hidden="false" customHeight="true" outlineLevel="0" collapsed="false">
      <c r="A107" s="1340"/>
      <c r="B107" s="1731"/>
      <c r="C107" s="1732"/>
      <c r="D107" s="1341"/>
      <c r="E107" s="1733"/>
      <c r="F107" s="1344"/>
      <c r="G107" s="1344"/>
      <c r="H107" s="1417"/>
      <c r="I107" s="1641" t="s">
        <v>844</v>
      </c>
      <c r="J107" s="1631" t="n">
        <f aca="false">L94+L99+L104</f>
        <v>94.7321893085902</v>
      </c>
      <c r="K107" s="1631" t="n">
        <v>2</v>
      </c>
      <c r="L107" s="1631" t="n">
        <f aca="false">J93+J98+J103</f>
        <v>0</v>
      </c>
      <c r="M107" s="1631"/>
      <c r="N107" s="1631"/>
      <c r="O107" s="1417"/>
      <c r="P107" s="1734"/>
      <c r="Q107" s="1734"/>
      <c r="R107" s="1417"/>
      <c r="S107" s="1734"/>
      <c r="T107" s="1708"/>
      <c r="U107" s="1708"/>
      <c r="V107" s="1708"/>
      <c r="W107" s="1708"/>
      <c r="X107" s="1708"/>
      <c r="Y107" s="1708"/>
    </row>
    <row r="108" s="1709" customFormat="true" ht="15.75" hidden="false" customHeight="true" outlineLevel="0" collapsed="false">
      <c r="A108" s="1340"/>
      <c r="B108" s="1731"/>
      <c r="C108" s="1732"/>
      <c r="D108" s="1341"/>
      <c r="E108" s="1733"/>
      <c r="F108" s="1344"/>
      <c r="G108" s="1344"/>
      <c r="H108" s="1417"/>
      <c r="I108" s="1641" t="s">
        <v>3093</v>
      </c>
      <c r="J108" s="1631" t="n">
        <f aca="false">IF(K91&gt;0,J91,0)+IF(K92&gt;0,J92,0)+IF(K96&gt;0,J96,0)+IF(K97&gt;0,J97,0)+IF(K101&gt;0,J101,0)+IF(K102&gt;0,J102,0)</f>
        <v>128</v>
      </c>
      <c r="K108" s="1631" t="n">
        <f aca="false">K91+K92+K96+K97+K101+K102</f>
        <v>94.7321893085902</v>
      </c>
      <c r="L108" s="1631"/>
      <c r="M108" s="1631"/>
      <c r="N108" s="1631"/>
      <c r="O108" s="1417"/>
      <c r="P108" s="1734"/>
      <c r="Q108" s="1734"/>
      <c r="R108" s="1417"/>
      <c r="S108" s="1734"/>
      <c r="T108" s="1708"/>
      <c r="U108" s="1708"/>
      <c r="V108" s="1708"/>
      <c r="W108" s="1708"/>
      <c r="X108" s="1708"/>
      <c r="Y108" s="1708"/>
    </row>
    <row r="109" s="1709" customFormat="true" ht="15.75" hidden="false" customHeight="true" outlineLevel="0" collapsed="false">
      <c r="A109" s="1340"/>
      <c r="B109" s="1731"/>
      <c r="C109" s="1732"/>
      <c r="D109" s="1341"/>
      <c r="E109" s="1344" t="s">
        <v>3094</v>
      </c>
      <c r="F109" s="1735" t="s">
        <v>3095</v>
      </c>
      <c r="G109" s="1735"/>
      <c r="H109" s="1736"/>
      <c r="I109" s="1709" t="s">
        <v>3096</v>
      </c>
      <c r="K109" s="1709" t="n">
        <f aca="false">E96+F601+F1054</f>
        <v>27.2</v>
      </c>
      <c r="O109" s="1734"/>
      <c r="P109" s="1734"/>
      <c r="Q109" s="1734"/>
      <c r="R109" s="1417"/>
      <c r="S109" s="1734"/>
      <c r="T109" s="1708"/>
      <c r="U109" s="1708"/>
      <c r="V109" s="1708"/>
      <c r="W109" s="1708"/>
      <c r="X109" s="1708"/>
      <c r="Y109" s="1708"/>
    </row>
    <row r="110" s="1709" customFormat="true" ht="15.75" hidden="false" customHeight="true" outlineLevel="0" collapsed="false">
      <c r="A110" s="1340"/>
      <c r="B110" s="1731"/>
      <c r="C110" s="1732"/>
      <c r="D110" s="1341"/>
      <c r="E110" s="1344"/>
      <c r="F110" s="1735"/>
      <c r="G110" s="1735"/>
      <c r="H110" s="1736"/>
      <c r="I110" s="1709" t="s">
        <v>3097</v>
      </c>
      <c r="K110" s="1709" t="n">
        <f aca="false">F613</f>
        <v>-3.09</v>
      </c>
      <c r="L110" s="1709" t="s">
        <v>2477</v>
      </c>
      <c r="O110" s="1737" t="n">
        <f aca="false">SUM(K109:K111)+L2237</f>
        <v>84.83</v>
      </c>
      <c r="P110" s="1737" t="s">
        <v>3098</v>
      </c>
      <c r="Q110" s="1734"/>
      <c r="R110" s="1417"/>
      <c r="S110" s="1734"/>
      <c r="T110" s="1708"/>
      <c r="U110" s="1708"/>
      <c r="V110" s="1708"/>
      <c r="W110" s="1708"/>
      <c r="X110" s="1708"/>
      <c r="Y110" s="1708"/>
    </row>
    <row r="111" s="1709" customFormat="true" ht="15.75" hidden="false" customHeight="true" outlineLevel="0" collapsed="false">
      <c r="A111" s="1340"/>
      <c r="B111" s="1731"/>
      <c r="C111" s="1732"/>
      <c r="D111" s="1341"/>
      <c r="E111" s="1344"/>
      <c r="F111" s="1735"/>
      <c r="G111" s="1735"/>
      <c r="H111" s="1736"/>
      <c r="I111" s="1709" t="s">
        <v>3099</v>
      </c>
      <c r="K111" s="1709" t="n">
        <f aca="false">F1066</f>
        <v>51.2</v>
      </c>
      <c r="O111" s="1734"/>
      <c r="P111" s="1734"/>
      <c r="Q111" s="1734"/>
      <c r="R111" s="1417"/>
      <c r="S111" s="1734"/>
      <c r="T111" s="1708"/>
      <c r="U111" s="1708"/>
      <c r="V111" s="1708"/>
      <c r="W111" s="1708"/>
      <c r="X111" s="1708"/>
      <c r="Y111" s="1708"/>
    </row>
    <row r="112" customFormat="false" ht="15.75" hidden="false" customHeight="true" outlineLevel="0" collapsed="false">
      <c r="A112" s="1738" t="s">
        <v>3100</v>
      </c>
      <c r="B112" s="1739" t="s">
        <v>820</v>
      </c>
      <c r="C112" s="1740" t="n">
        <f aca="false">I1303</f>
        <v>5.04</v>
      </c>
      <c r="D112" s="1733" t="s">
        <v>3101</v>
      </c>
      <c r="E112" s="1713" t="n">
        <f aca="false">F1337</f>
        <v>44.8</v>
      </c>
      <c r="F112" s="1741" t="s">
        <v>3101</v>
      </c>
      <c r="G112" s="1717" t="n">
        <f aca="false">E112-C112-C113</f>
        <v>39.76</v>
      </c>
      <c r="H112" s="1717"/>
      <c r="I112" s="1742" t="s">
        <v>3102</v>
      </c>
      <c r="J112" s="1742"/>
      <c r="K112" s="1743" t="n">
        <f aca="false">G112+G114</f>
        <v>65.335</v>
      </c>
      <c r="L112" s="1744"/>
      <c r="M112" s="1744"/>
      <c r="N112" s="1744"/>
      <c r="S112" s="1734"/>
      <c r="T112" s="1617"/>
      <c r="U112" s="1617"/>
      <c r="V112" s="1617"/>
      <c r="W112" s="1617"/>
      <c r="X112" s="1617"/>
      <c r="Y112" s="1617"/>
    </row>
    <row r="113" customFormat="false" ht="15.75" hidden="false" customHeight="true" outlineLevel="0" collapsed="false">
      <c r="A113" s="1738" t="s">
        <v>3103</v>
      </c>
      <c r="B113" s="1739"/>
      <c r="C113" s="1740" t="n">
        <f aca="false">M1292</f>
        <v>0</v>
      </c>
      <c r="D113" s="1733"/>
      <c r="E113" s="1713"/>
      <c r="F113" s="1741"/>
      <c r="G113" s="1717"/>
      <c r="H113" s="1717"/>
      <c r="I113" s="1742"/>
      <c r="J113" s="1742"/>
      <c r="K113" s="1743"/>
      <c r="L113" s="1744"/>
      <c r="M113" s="1744"/>
      <c r="N113" s="1744"/>
      <c r="S113" s="1734"/>
      <c r="T113" s="1617"/>
      <c r="U113" s="1617"/>
      <c r="V113" s="1617"/>
      <c r="W113" s="1617"/>
      <c r="X113" s="1617"/>
      <c r="Y113" s="1617"/>
    </row>
    <row r="114" customFormat="false" ht="15.75" hidden="false" customHeight="true" outlineLevel="0" collapsed="false">
      <c r="A114" s="1738" t="s">
        <v>3104</v>
      </c>
      <c r="B114" s="1739" t="s">
        <v>820</v>
      </c>
      <c r="C114" s="1740" t="n">
        <f aca="false">I1305</f>
        <v>0</v>
      </c>
      <c r="D114" s="1344" t="s">
        <v>3105</v>
      </c>
      <c r="E114" s="1713" t="n">
        <f aca="false">дома!R1337</f>
        <v>25.575</v>
      </c>
      <c r="F114" s="1735" t="s">
        <v>3105</v>
      </c>
      <c r="G114" s="1717" t="n">
        <f aca="false">E114-C114-C115</f>
        <v>25.575</v>
      </c>
      <c r="H114" s="1717"/>
      <c r="I114" s="1742" t="s">
        <v>3106</v>
      </c>
      <c r="J114" s="1742"/>
      <c r="K114" s="1743" t="n">
        <f aca="false">G116+G117</f>
        <v>21.84</v>
      </c>
      <c r="L114" s="1744"/>
      <c r="M114" s="1744"/>
      <c r="N114" s="1744"/>
      <c r="S114" s="1734"/>
      <c r="T114" s="1617"/>
      <c r="U114" s="1617"/>
      <c r="V114" s="1617"/>
      <c r="W114" s="1617"/>
      <c r="X114" s="1617"/>
      <c r="Y114" s="1617"/>
    </row>
    <row r="115" customFormat="false" ht="15.75" hidden="false" customHeight="true" outlineLevel="0" collapsed="false">
      <c r="A115" s="1738" t="s">
        <v>3107</v>
      </c>
      <c r="B115" s="1739"/>
      <c r="C115" s="1740" t="n">
        <f aca="false">M1298</f>
        <v>0</v>
      </c>
      <c r="D115" s="1344"/>
      <c r="E115" s="1713"/>
      <c r="F115" s="1735"/>
      <c r="G115" s="1717"/>
      <c r="H115" s="1717"/>
      <c r="I115" s="1742"/>
      <c r="J115" s="1742"/>
      <c r="K115" s="1743"/>
      <c r="L115" s="1744"/>
      <c r="M115" s="1744"/>
      <c r="N115" s="1744"/>
      <c r="S115" s="1734"/>
      <c r="T115" s="1617"/>
      <c r="U115" s="1617"/>
      <c r="V115" s="1617"/>
      <c r="W115" s="1617"/>
      <c r="X115" s="1617"/>
      <c r="Y115" s="1617"/>
    </row>
    <row r="116" customFormat="false" ht="15.75" hidden="false" customHeight="true" outlineLevel="0" collapsed="false">
      <c r="A116" s="1738" t="s">
        <v>3108</v>
      </c>
      <c r="B116" s="1739" t="s">
        <v>820</v>
      </c>
      <c r="C116" s="1740" t="n">
        <f aca="false">I1304</f>
        <v>0</v>
      </c>
      <c r="D116" s="1344" t="s">
        <v>3109</v>
      </c>
      <c r="E116" s="1713" t="n">
        <f aca="false">F1338</f>
        <v>21.84</v>
      </c>
      <c r="F116" s="1735" t="s">
        <v>3109</v>
      </c>
      <c r="G116" s="1717" t="n">
        <f aca="false">E116-C116-C117</f>
        <v>21.84</v>
      </c>
      <c r="H116" s="1717"/>
      <c r="I116" s="1745" t="s">
        <v>3110</v>
      </c>
      <c r="J116" s="1745"/>
      <c r="K116" s="1738" t="n">
        <f aca="false">G112+G116</f>
        <v>61.6</v>
      </c>
      <c r="L116" s="1746"/>
      <c r="M116" s="1746"/>
      <c r="N116" s="1746"/>
      <c r="O116" s="1747"/>
      <c r="S116" s="1734"/>
      <c r="T116" s="1617"/>
      <c r="U116" s="1617"/>
      <c r="V116" s="1617"/>
      <c r="W116" s="1617"/>
      <c r="X116" s="1617"/>
      <c r="Y116" s="1617"/>
    </row>
    <row r="117" customFormat="false" ht="15.75" hidden="false" customHeight="true" outlineLevel="0" collapsed="false">
      <c r="A117" s="1738" t="s">
        <v>3111</v>
      </c>
      <c r="B117" s="1739" t="s">
        <v>820</v>
      </c>
      <c r="C117" s="1740" t="n">
        <f aca="false">M1295</f>
        <v>0</v>
      </c>
      <c r="D117" s="1340" t="s">
        <v>3112</v>
      </c>
      <c r="E117" s="1713" t="n">
        <f aca="false">R1338</f>
        <v>0</v>
      </c>
      <c r="F117" s="1748" t="s">
        <v>3112</v>
      </c>
      <c r="G117" s="1717" t="n">
        <f aca="false">E117-C118-C119</f>
        <v>0</v>
      </c>
      <c r="H117" s="1717"/>
      <c r="I117" s="1745" t="s">
        <v>3113</v>
      </c>
      <c r="J117" s="1745"/>
      <c r="K117" s="1663" t="n">
        <f aca="false">G114+G117</f>
        <v>25.575</v>
      </c>
      <c r="L117" s="1749"/>
      <c r="M117" s="1749"/>
      <c r="N117" s="1749"/>
      <c r="O117" s="1747"/>
      <c r="S117" s="1734"/>
      <c r="T117" s="1617"/>
      <c r="U117" s="1617"/>
      <c r="V117" s="1617"/>
      <c r="W117" s="1617"/>
      <c r="X117" s="1617"/>
      <c r="Y117" s="1617"/>
    </row>
    <row r="118" customFormat="false" ht="15.75" hidden="false" customHeight="true" outlineLevel="0" collapsed="false">
      <c r="A118" s="1738" t="s">
        <v>3114</v>
      </c>
      <c r="B118" s="1739" t="s">
        <v>820</v>
      </c>
      <c r="C118" s="1740" t="n">
        <f aca="false">I1306</f>
        <v>0</v>
      </c>
      <c r="D118" s="1718"/>
      <c r="E118" s="1713"/>
      <c r="F118" s="1436"/>
      <c r="G118" s="1436"/>
      <c r="H118" s="1436"/>
      <c r="I118" s="1742" t="s">
        <v>3115</v>
      </c>
      <c r="J118" s="1742"/>
      <c r="K118" s="1663" t="n">
        <f aca="false">K116+K117</f>
        <v>87.175</v>
      </c>
      <c r="L118" s="1749"/>
      <c r="M118" s="1749"/>
      <c r="N118" s="1749"/>
      <c r="O118" s="1747"/>
      <c r="S118" s="1734"/>
      <c r="T118" s="1617"/>
      <c r="U118" s="1617"/>
      <c r="V118" s="1617"/>
      <c r="W118" s="1617"/>
      <c r="X118" s="1617"/>
      <c r="Y118" s="1617"/>
    </row>
    <row r="119" customFormat="false" ht="15.75" hidden="false" customHeight="true" outlineLevel="0" collapsed="false">
      <c r="A119" s="1738" t="s">
        <v>3116</v>
      </c>
      <c r="B119" s="1739"/>
      <c r="C119" s="1740" t="n">
        <f aca="false">M1301</f>
        <v>0</v>
      </c>
      <c r="D119" s="1718"/>
      <c r="E119" s="1713"/>
      <c r="F119" s="1436"/>
      <c r="G119" s="1436"/>
      <c r="H119" s="1619"/>
      <c r="I119" s="1750"/>
      <c r="J119" s="1750"/>
      <c r="K119" s="1749"/>
      <c r="L119" s="1749"/>
      <c r="M119" s="1749"/>
      <c r="N119" s="1749"/>
      <c r="O119" s="1747"/>
      <c r="S119" s="1734"/>
      <c r="T119" s="1617"/>
      <c r="U119" s="1617"/>
      <c r="V119" s="1617"/>
      <c r="W119" s="1617"/>
      <c r="X119" s="1617"/>
      <c r="Y119" s="1617"/>
    </row>
    <row r="120" customFormat="false" ht="15.75" hidden="false" customHeight="true" outlineLevel="0" collapsed="false">
      <c r="A120" s="1738"/>
      <c r="B120" s="1739"/>
      <c r="C120" s="1740"/>
      <c r="D120" s="1718"/>
      <c r="E120" s="1713"/>
      <c r="F120" s="1436"/>
      <c r="G120" s="1436"/>
      <c r="H120" s="1619"/>
      <c r="I120" s="1750"/>
      <c r="J120" s="1750"/>
      <c r="K120" s="1749"/>
      <c r="L120" s="1749"/>
      <c r="M120" s="1749"/>
      <c r="N120" s="1749"/>
      <c r="O120" s="1747"/>
      <c r="S120" s="1734"/>
      <c r="T120" s="1617"/>
      <c r="U120" s="1617"/>
      <c r="V120" s="1617"/>
      <c r="W120" s="1617"/>
      <c r="X120" s="1617"/>
      <c r="Y120" s="1617"/>
    </row>
    <row r="121" customFormat="false" ht="15.75" hidden="false" customHeight="true" outlineLevel="0" collapsed="false">
      <c r="A121" s="1738"/>
      <c r="B121" s="1739"/>
      <c r="C121" s="1740"/>
      <c r="D121" s="1718"/>
      <c r="E121" s="1713"/>
      <c r="F121" s="1436"/>
      <c r="G121" s="1436"/>
      <c r="H121" s="1619"/>
      <c r="I121" s="1750"/>
      <c r="J121" s="1750"/>
      <c r="K121" s="1749"/>
      <c r="L121" s="1749"/>
      <c r="M121" s="1749"/>
      <c r="N121" s="1749"/>
      <c r="O121" s="1747"/>
      <c r="S121" s="1734"/>
      <c r="T121" s="1617"/>
      <c r="U121" s="1617"/>
      <c r="V121" s="1617"/>
      <c r="W121" s="1617"/>
      <c r="X121" s="1617"/>
      <c r="Y121" s="1617"/>
    </row>
    <row r="122" s="1582" customFormat="true" ht="15.75" hidden="false" customHeight="true" outlineLevel="0" collapsed="false">
      <c r="A122" s="1738" t="s">
        <v>3117</v>
      </c>
      <c r="B122" s="1739" t="s">
        <v>820</v>
      </c>
      <c r="C122" s="1740" t="n">
        <f aca="false">C117+C118</f>
        <v>0</v>
      </c>
      <c r="D122" s="1718"/>
      <c r="E122" s="1713"/>
      <c r="F122" s="1436"/>
      <c r="G122" s="1436"/>
      <c r="H122" s="1619"/>
      <c r="K122" s="1295"/>
      <c r="L122" s="1295"/>
      <c r="M122" s="1295"/>
      <c r="N122" s="1295"/>
      <c r="O122" s="1747"/>
      <c r="P122" s="1734"/>
      <c r="Q122" s="1734"/>
      <c r="R122" s="1417"/>
      <c r="S122" s="1734"/>
      <c r="T122" s="1617"/>
      <c r="U122" s="1617"/>
      <c r="V122" s="1617"/>
      <c r="W122" s="1617"/>
      <c r="X122" s="1617"/>
      <c r="Y122" s="1617"/>
    </row>
    <row r="123" customFormat="false" ht="15.75" hidden="true" customHeight="true" outlineLevel="1" collapsed="false">
      <c r="A123" s="1751" t="s">
        <v>3118</v>
      </c>
      <c r="B123" s="1696" t="s">
        <v>12</v>
      </c>
      <c r="C123" s="1728" t="s">
        <v>200</v>
      </c>
      <c r="D123" s="1396" t="s">
        <v>118</v>
      </c>
      <c r="E123" s="1683" t="s">
        <v>137</v>
      </c>
      <c r="F123" s="1683" t="s">
        <v>3119</v>
      </c>
      <c r="G123" s="1396" t="s">
        <v>482</v>
      </c>
      <c r="H123" s="1396"/>
      <c r="I123" s="1396" t="s">
        <v>2968</v>
      </c>
      <c r="J123" s="1396" t="s">
        <v>2491</v>
      </c>
      <c r="K123" s="1396" t="s">
        <v>116</v>
      </c>
      <c r="L123" s="1396"/>
      <c r="M123" s="1396"/>
      <c r="N123" s="1396"/>
      <c r="O123" s="1635" t="s">
        <v>3120</v>
      </c>
      <c r="P123" s="1752" t="s">
        <v>3121</v>
      </c>
      <c r="Q123" s="1752" t="s">
        <v>3122</v>
      </c>
      <c r="R123" s="1752" t="s">
        <v>3123</v>
      </c>
      <c r="S123" s="1436" t="s">
        <v>2773</v>
      </c>
      <c r="T123" s="1635" t="s">
        <v>3124</v>
      </c>
      <c r="U123" s="1699" t="s">
        <v>3125</v>
      </c>
      <c r="V123" s="1635" t="s">
        <v>3126</v>
      </c>
      <c r="W123" s="1356" t="s">
        <v>3127</v>
      </c>
      <c r="X123" s="1356" t="s">
        <v>118</v>
      </c>
      <c r="Y123" s="1637" t="s">
        <v>3126</v>
      </c>
      <c r="Z123" s="1356" t="s">
        <v>3128</v>
      </c>
      <c r="AA123" s="1635" t="s">
        <v>3126</v>
      </c>
      <c r="AB123" s="1356" t="s">
        <v>3129</v>
      </c>
      <c r="AC123" s="1356" t="s">
        <v>118</v>
      </c>
      <c r="AD123" s="1637" t="s">
        <v>2659</v>
      </c>
    </row>
    <row r="124" customFormat="false" ht="15.75" hidden="true" customHeight="true" outlineLevel="1" collapsed="false">
      <c r="A124" s="1691" t="s">
        <v>3130</v>
      </c>
      <c r="B124" s="1696" t="s">
        <v>15</v>
      </c>
      <c r="C124" s="1605" t="n">
        <f aca="false">IF('Ввод данных'!A114=связи1!A132,C16,F16+G16)*(IF('Ввод данных'!A19=связи1!A150,1,0))</f>
        <v>0</v>
      </c>
      <c r="D124" s="1436" t="n">
        <f aca="false">'Ввод данных'!C104</f>
        <v>3</v>
      </c>
      <c r="E124" s="1604" t="n">
        <f aca="false">(IF('Ввод данных'!A17=связи1!A94,'Ввод данных'!C11,0)+IF('Ввод данных'!A17=связи1!A95,'Ввод данных'!C11,0)+IF('Ввод данных'!A17=связи1!A96,'Ввод данных'!C11,0)+IF('Ввод данных'!A17=связи1!A97,'Ввод данных'!C14,0)+IF('Ввод данных'!A17=связи1!A98,'Ввод данных'!C11,0))*C130+IF('Ввод данных'!A101=связи1!A129,'Ввод данных'!C11,0)</f>
        <v>2.8</v>
      </c>
      <c r="F124" s="1604" t="n">
        <f aca="false">C124*E124</f>
        <v>0</v>
      </c>
      <c r="G124" s="1436" t="n">
        <f aca="false">'Ввод данных'!C1111</f>
        <v>0.6</v>
      </c>
      <c r="H124" s="1436"/>
      <c r="I124" s="1436" t="n">
        <f aca="false">IF(C124=0,0,C124/G124+1)</f>
        <v>0</v>
      </c>
      <c r="J124" s="1436" t="n">
        <f aca="false">VLOOKUP('Ввод данных'!A1115,связи1!A406:G415,7,0)</f>
        <v>0.045</v>
      </c>
      <c r="K124" s="1436" t="n">
        <f aca="false">VLOOKUP('Ввод данных'!A1115,связи1!A406:G415,6,0)</f>
        <v>0.145</v>
      </c>
      <c r="L124" s="1436"/>
      <c r="M124" s="1436"/>
      <c r="N124" s="1436"/>
      <c r="O124" s="1635" t="n">
        <f aca="false">E124*I124*J124*K124</f>
        <v>0</v>
      </c>
      <c r="P124" s="1714" t="n">
        <f aca="false">C124*C130</f>
        <v>0</v>
      </c>
      <c r="Q124" s="1714" t="n">
        <f aca="false">C124*C130</f>
        <v>0</v>
      </c>
      <c r="R124" s="1714" t="n">
        <f aca="false">C124*C130</f>
        <v>0</v>
      </c>
      <c r="S124" s="1436" t="n">
        <f aca="false">C124</f>
        <v>0</v>
      </c>
      <c r="T124" s="1635" t="n">
        <f aca="false">(P124+Q124+R124)*J124*K124</f>
        <v>0</v>
      </c>
      <c r="U124" s="1753" t="n">
        <f aca="false">'Ввод данных'!E158*2</f>
        <v>2</v>
      </c>
      <c r="V124" s="1635" t="n">
        <f aca="false">U124*($E$124+$E$125)*J124*$K$124</f>
        <v>0.03654</v>
      </c>
      <c r="W124" s="1436" t="n">
        <f aca="false">'Ввод данных'!C158</f>
        <v>1</v>
      </c>
      <c r="X124" s="1436" t="n">
        <v>2</v>
      </c>
      <c r="Y124" s="1700" t="n">
        <f aca="false">W124*$K$124*J124*X124</f>
        <v>0.01305</v>
      </c>
      <c r="Z124" s="1436" t="n">
        <f aca="false">'Ввод данных'!E175</f>
        <v>0</v>
      </c>
      <c r="AA124" s="1635" t="n">
        <f aca="false">Z124*($E$124+$E$125)*J124*K124</f>
        <v>0</v>
      </c>
      <c r="AB124" s="1714" t="n">
        <f aca="false">'Ввод данных'!C175</f>
        <v>0.8</v>
      </c>
      <c r="AC124" s="1714" t="n">
        <v>1</v>
      </c>
      <c r="AD124" s="1700" t="n">
        <f aca="false">AB124*K124*J124*AC124</f>
        <v>0.00522</v>
      </c>
    </row>
    <row r="125" customFormat="false" ht="15.75" hidden="true" customHeight="true" outlineLevel="1" collapsed="false">
      <c r="A125" s="1691" t="s">
        <v>3131</v>
      </c>
      <c r="B125" s="1696" t="s">
        <v>15</v>
      </c>
      <c r="C125" s="1605" t="n">
        <f aca="false">IF('Ввод данных'!A101=связи1!A128,дома!E124,дома!F20)*(IF('Ввод данных'!A19=связи1!A150,1,0))</f>
        <v>0</v>
      </c>
      <c r="D125" s="1436" t="n">
        <f aca="false">IF('Ввод данных'!A101=связи1!A129,1,0)</f>
        <v>0</v>
      </c>
      <c r="E125" s="1604" t="n">
        <f aca="false">((IF('Ввод данных'!A17=связи1!A94,'Ввод данных'!C11,0)+IF('Ввод данных'!A17=связи1!A95,'Ввод данных'!C11,0)+IF('Ввод данных'!A17=связи1!A96,'Ввод данных'!C11,0)+IF('Ввод данных'!A17=связи1!A97,'Ввод данных'!C14,0)+IF('Ввод данных'!A17=связи1!A98,'Ввод данных'!C11,0))*C130+IF('Ввод данных'!A101=связи1!A129,дома!C125,0))*C131</f>
        <v>0</v>
      </c>
      <c r="F125" s="1604" t="n">
        <f aca="false">E125*C128</f>
        <v>0</v>
      </c>
      <c r="G125" s="1436" t="n">
        <f aca="false">'Ввод данных'!C1111</f>
        <v>0.6</v>
      </c>
      <c r="H125" s="1436"/>
      <c r="I125" s="1436" t="n">
        <f aca="false">IF(E125=0,0,C128/G125+1)</f>
        <v>0</v>
      </c>
      <c r="J125" s="1436" t="n">
        <f aca="false">VLOOKUP('Ввод данных'!A1115,связи1!A406:G415,7,0)</f>
        <v>0.045</v>
      </c>
      <c r="K125" s="1436" t="n">
        <f aca="false">VLOOKUP('Ввод данных'!A1115,связи1!A406:G415,6,0)</f>
        <v>0.145</v>
      </c>
      <c r="L125" s="1436"/>
      <c r="M125" s="1436"/>
      <c r="N125" s="1436"/>
      <c r="O125" s="1635" t="n">
        <f aca="false">E125*I125*J125*K125</f>
        <v>0</v>
      </c>
      <c r="P125" s="1714" t="n">
        <f aca="false">C133*C131</f>
        <v>0</v>
      </c>
      <c r="Q125" s="1714" t="n">
        <f aca="false">C133*C131</f>
        <v>0</v>
      </c>
      <c r="R125" s="1714" t="n">
        <f aca="false">C133*C131</f>
        <v>0</v>
      </c>
      <c r="S125" s="1436" t="n">
        <f aca="false">P125</f>
        <v>0</v>
      </c>
      <c r="T125" s="1635" t="n">
        <f aca="false">(P125+Q125+R125)*J125*K125</f>
        <v>0</v>
      </c>
      <c r="U125" s="1753" t="n">
        <f aca="false">'Ввод данных'!E159*2</f>
        <v>0</v>
      </c>
      <c r="V125" s="1635" t="n">
        <f aca="false">U125*($E$124+$E$125)*J125*$K$124</f>
        <v>0</v>
      </c>
      <c r="W125" s="1436"/>
      <c r="X125" s="1436" t="n">
        <v>2</v>
      </c>
      <c r="Y125" s="1700" t="n">
        <f aca="false">W125*$K$124*J125*X125</f>
        <v>0</v>
      </c>
      <c r="Z125" s="1436"/>
      <c r="AA125" s="1635" t="n">
        <f aca="false">Z125*($E$124+$E$125)*J125*K125</f>
        <v>0</v>
      </c>
      <c r="AB125" s="1714"/>
      <c r="AC125" s="1714" t="n">
        <v>1</v>
      </c>
      <c r="AD125" s="1700" t="n">
        <f aca="false">AB125*K125*J125*AC125</f>
        <v>0</v>
      </c>
    </row>
    <row r="126" customFormat="false" ht="15.75" hidden="true" customHeight="true" outlineLevel="1" collapsed="false">
      <c r="A126" s="1691" t="s">
        <v>3132</v>
      </c>
      <c r="B126" s="1696" t="s">
        <v>15</v>
      </c>
      <c r="C126" s="1605" t="n">
        <f aca="false">IF('Ввод данных'!A101=связи1!A128,дома!E124,дома!G20)*(IF('Ввод данных'!A19=связи1!A150,1,0))</f>
        <v>0</v>
      </c>
      <c r="D126" s="1436"/>
      <c r="E126" s="1604" t="n">
        <f aca="false">((IF('Ввод данных'!A17=связи1!A94,'Ввод данных'!C11,0)+IF('Ввод данных'!A17=связи1!A95,'Ввод данных'!C11,0)+IF('Ввод данных'!A17=связи1!A96,'Ввод данных'!C11,0)+IF('Ввод данных'!A17=связи1!A97,'Ввод данных'!C14,0)+IF('Ввод данных'!A17=связи1!A98,'Ввод данных'!C11,0))*C130+IF('Ввод данных'!A101=связи1!A129,дома!C126,0))*C131</f>
        <v>0</v>
      </c>
      <c r="F126" s="1604" t="n">
        <f aca="false">E126*C129</f>
        <v>0</v>
      </c>
      <c r="G126" s="1436" t="n">
        <f aca="false">'Ввод данных'!C1111</f>
        <v>0.6</v>
      </c>
      <c r="H126" s="1436"/>
      <c r="I126" s="1436" t="n">
        <f aca="false">IF(E126=0,0,C129/G126+1)</f>
        <v>0</v>
      </c>
      <c r="J126" s="1436" t="n">
        <f aca="false">VLOOKUP('Ввод данных'!A1115,связи1!A406:G415,7,0)</f>
        <v>0.045</v>
      </c>
      <c r="K126" s="1436" t="n">
        <f aca="false">VLOOKUP('Ввод данных'!A1115,связи1!A406:G415,6,0)</f>
        <v>0.145</v>
      </c>
      <c r="L126" s="1436"/>
      <c r="M126" s="1436"/>
      <c r="N126" s="1436"/>
      <c r="O126" s="1635" t="n">
        <f aca="false">E126*I126*J126*K126</f>
        <v>0</v>
      </c>
      <c r="P126" s="1714" t="n">
        <f aca="false">C137*C131</f>
        <v>0</v>
      </c>
      <c r="Q126" s="1714" t="n">
        <f aca="false">C137*C131</f>
        <v>0</v>
      </c>
      <c r="R126" s="1714" t="n">
        <f aca="false">C137*C131</f>
        <v>0</v>
      </c>
      <c r="S126" s="1436" t="n">
        <f aca="false">P126</f>
        <v>0</v>
      </c>
      <c r="T126" s="1635" t="n">
        <f aca="false">(P126+Q126+R126)*J126*K126</f>
        <v>0</v>
      </c>
      <c r="U126" s="1753" t="n">
        <f aca="false">'Ввод данных'!E160*2</f>
        <v>0</v>
      </c>
      <c r="V126" s="1635" t="n">
        <f aca="false">U126*($E$124+$E$125)*J126*$K$124</f>
        <v>0</v>
      </c>
      <c r="W126" s="1436"/>
      <c r="X126" s="1436" t="n">
        <v>2</v>
      </c>
      <c r="Y126" s="1700" t="n">
        <f aca="false">W126*$K$124*J126*X126</f>
        <v>0</v>
      </c>
      <c r="Z126" s="1436"/>
      <c r="AA126" s="1635" t="n">
        <f aca="false">Z126*($E$124+$E$125)*J126*K126</f>
        <v>0</v>
      </c>
      <c r="AB126" s="1714"/>
      <c r="AC126" s="1714" t="n">
        <v>1</v>
      </c>
      <c r="AD126" s="1700" t="n">
        <f aca="false">AB126*K126*J126*AC126</f>
        <v>0</v>
      </c>
    </row>
    <row r="127" customFormat="false" ht="15.75" hidden="true" customHeight="true" outlineLevel="1" collapsed="false">
      <c r="A127" s="1691" t="s">
        <v>3133</v>
      </c>
      <c r="B127" s="1696" t="s">
        <v>15</v>
      </c>
      <c r="C127" s="1605" t="n">
        <f aca="false">IF('Ввод данных'!A114=связи1!A132,C16,F16+G16)*(IF('Ввод данных'!A19=связи1!A150,1,0))</f>
        <v>0</v>
      </c>
      <c r="D127" s="1436" t="n">
        <f aca="false">'Ввод данных'!C105</f>
        <v>4</v>
      </c>
      <c r="E127" s="1604" t="n">
        <f aca="false">(IF('Ввод данных'!A17=связи1!A94,'Ввод данных'!C11,0)+IF('Ввод данных'!A17=связи1!A95,'Ввод данных'!C11,0)+IF('Ввод данных'!A17=связи1!A96,'Ввод данных'!C11,0)+IF('Ввод данных'!A17=связи1!A97,'Ввод данных'!C14,0)+IF('Ввод данных'!A17=связи1!A98,'Ввод данных'!C11,0))*C130+IF('Ввод данных'!A101=связи1!A129,'Ввод данных'!C11,0)</f>
        <v>2.8</v>
      </c>
      <c r="F127" s="1604" t="n">
        <f aca="false">C127*E127</f>
        <v>0</v>
      </c>
      <c r="G127" s="1436" t="n">
        <f aca="false">'Ввод данных'!C1111</f>
        <v>0.6</v>
      </c>
      <c r="H127" s="1436"/>
      <c r="I127" s="1436" t="n">
        <f aca="false">IF(C127=0,0,C127/G127+1)</f>
        <v>0</v>
      </c>
      <c r="J127" s="1436" t="n">
        <f aca="false">VLOOKUP('Ввод данных'!A1115,связи1!A406:G415,7,0)</f>
        <v>0.045</v>
      </c>
      <c r="K127" s="1436" t="n">
        <f aca="false">VLOOKUP('Ввод данных'!A1115,связи1!A406:G415,6,0)</f>
        <v>0.145</v>
      </c>
      <c r="L127" s="1436"/>
      <c r="M127" s="1436"/>
      <c r="N127" s="1436"/>
      <c r="O127" s="1635" t="n">
        <f aca="false">E127*I127*J127*K127</f>
        <v>0</v>
      </c>
      <c r="P127" s="1714" t="n">
        <f aca="false">C127*C130</f>
        <v>0</v>
      </c>
      <c r="Q127" s="1714" t="n">
        <f aca="false">C127*C130</f>
        <v>0</v>
      </c>
      <c r="R127" s="1714" t="n">
        <f aca="false">C127*C130</f>
        <v>0</v>
      </c>
      <c r="S127" s="1436" t="n">
        <f aca="false">C127</f>
        <v>0</v>
      </c>
      <c r="T127" s="1635" t="n">
        <f aca="false">(P127+Q127+R127)*J127*K127</f>
        <v>0</v>
      </c>
      <c r="U127" s="1753" t="n">
        <f aca="false">'Ввод данных'!E161*2</f>
        <v>0</v>
      </c>
      <c r="V127" s="1635" t="n">
        <f aca="false">U127*($E$124+$E$125)*J127*$K$124</f>
        <v>0</v>
      </c>
      <c r="W127" s="1436" t="n">
        <f aca="false">'Ввод данных'!C159</f>
        <v>0.6</v>
      </c>
      <c r="X127" s="1436" t="n">
        <v>2</v>
      </c>
      <c r="Y127" s="1700" t="n">
        <f aca="false">W127*$K$124*J127*X127</f>
        <v>0.00783</v>
      </c>
      <c r="Z127" s="1436" t="n">
        <f aca="false">'Ввод данных'!E176</f>
        <v>1</v>
      </c>
      <c r="AA127" s="1635" t="n">
        <f aca="false">Z127*($E$124+$E$125)*J127*K127</f>
        <v>0.01827</v>
      </c>
      <c r="AB127" s="1714" t="n">
        <f aca="false">'Ввод данных'!C176</f>
        <v>0.9</v>
      </c>
      <c r="AC127" s="1714" t="n">
        <v>1</v>
      </c>
      <c r="AD127" s="1700" t="n">
        <f aca="false">AB127*K127*J127*AC127</f>
        <v>0.0058725</v>
      </c>
    </row>
    <row r="128" customFormat="false" ht="15.75" hidden="true" customHeight="true" outlineLevel="1" collapsed="false">
      <c r="A128" s="1691" t="s">
        <v>3134</v>
      </c>
      <c r="B128" s="1696" t="s">
        <v>15</v>
      </c>
      <c r="C128" s="1605" t="n">
        <f aca="false">C17*(IF('Ввод данных'!A19=связи1!A150,1,0))</f>
        <v>0</v>
      </c>
      <c r="D128" s="1436"/>
      <c r="E128" s="1604" t="n">
        <f aca="false">(IF('Ввод данных'!A17=связи1!A94,'Ввод данных'!C11,0)+IF('Ввод данных'!A17=связи1!A95,'Ввод данных'!C11,0)+IF('Ввод данных'!A17=связи1!A96,'Ввод данных'!C11,0)+IF('Ввод данных'!A17=связи1!A97,'Ввод данных'!C14,0)+IF('Ввод данных'!A17=связи1!A98,'Ввод данных'!C11,0))*C130</f>
        <v>2.8</v>
      </c>
      <c r="F128" s="1604" t="n">
        <f aca="false">C128*E128</f>
        <v>0</v>
      </c>
      <c r="G128" s="1436" t="n">
        <f aca="false">'Ввод данных'!C1111</f>
        <v>0.6</v>
      </c>
      <c r="H128" s="1436"/>
      <c r="I128" s="1436" t="n">
        <f aca="false">IF(E128=0,0,C128/G128+1)</f>
        <v>1</v>
      </c>
      <c r="J128" s="1436" t="n">
        <f aca="false">VLOOKUP('Ввод данных'!A1115,связи1!A406:G415,7,0)</f>
        <v>0.045</v>
      </c>
      <c r="K128" s="1436" t="n">
        <f aca="false">VLOOKUP('Ввод данных'!A1115,связи1!A406:G415,6,0)</f>
        <v>0.145</v>
      </c>
      <c r="L128" s="1436"/>
      <c r="M128" s="1436"/>
      <c r="N128" s="1436"/>
      <c r="O128" s="1635" t="n">
        <f aca="false">E128*I128*J128*K128</f>
        <v>0.01827</v>
      </c>
      <c r="P128" s="1714" t="n">
        <f aca="false">C128</f>
        <v>0</v>
      </c>
      <c r="Q128" s="1714" t="n">
        <f aca="false">C128</f>
        <v>0</v>
      </c>
      <c r="R128" s="1714" t="n">
        <f aca="false">C128</f>
        <v>0</v>
      </c>
      <c r="S128" s="1436" t="n">
        <f aca="false">C128</f>
        <v>0</v>
      </c>
      <c r="T128" s="1635" t="n">
        <f aca="false">(P128+Q128+R128)*J128*K128</f>
        <v>0</v>
      </c>
      <c r="U128" s="1753" t="n">
        <f aca="false">'Ввод данных'!E162*2</f>
        <v>0</v>
      </c>
      <c r="V128" s="1635" t="n">
        <f aca="false">U128*($E$124+$E$125)*J128*$K$124</f>
        <v>0</v>
      </c>
      <c r="W128" s="1436" t="n">
        <f aca="false">'Ввод данных'!C160</f>
        <v>1</v>
      </c>
      <c r="X128" s="1436" t="n">
        <v>2</v>
      </c>
      <c r="Y128" s="1700" t="n">
        <f aca="false">W128*$K$124*J128*X128</f>
        <v>0.01305</v>
      </c>
      <c r="Z128" s="1436" t="n">
        <f aca="false">'Ввод данных'!E177</f>
        <v>0</v>
      </c>
      <c r="AA128" s="1635" t="n">
        <f aca="false">Z128*($E$124+$E$125)*J128*K128</f>
        <v>0</v>
      </c>
      <c r="AB128" s="1714" t="n">
        <f aca="false">'Ввод данных'!C177</f>
        <v>1</v>
      </c>
      <c r="AC128" s="1714" t="n">
        <v>1</v>
      </c>
      <c r="AD128" s="1700" t="n">
        <f aca="false">AB128*K128*J128*AC128</f>
        <v>0.006525</v>
      </c>
    </row>
    <row r="129" customFormat="false" ht="15.75" hidden="true" customHeight="true" outlineLevel="1" collapsed="false">
      <c r="A129" s="1691" t="s">
        <v>3135</v>
      </c>
      <c r="B129" s="1696" t="s">
        <v>15</v>
      </c>
      <c r="C129" s="1605" t="n">
        <f aca="false">C128*(IF('Ввод данных'!A19=связи1!A150,1,0))</f>
        <v>0</v>
      </c>
      <c r="D129" s="1436"/>
      <c r="E129" s="1604" t="n">
        <f aca="false">(IF('Ввод данных'!A17=связи1!A94,'Ввод данных'!C11,0)+IF('Ввод данных'!A17=связи1!A95,'Ввод данных'!C11,0)+IF('Ввод данных'!A17=связи1!A96,'Ввод данных'!C11,0)+IF('Ввод данных'!A17=связи1!A97,'Ввод данных'!C14,0)+IF('Ввод данных'!A17=связи1!A98,'Ввод данных'!C11,0))*C130</f>
        <v>2.8</v>
      </c>
      <c r="F129" s="1604" t="n">
        <f aca="false">C129*E129</f>
        <v>0</v>
      </c>
      <c r="G129" s="1436" t="n">
        <f aca="false">'Ввод данных'!C1111</f>
        <v>0.6</v>
      </c>
      <c r="H129" s="1436"/>
      <c r="I129" s="1436" t="n">
        <f aca="false">IF(E129=0,0,C129/G129+1)</f>
        <v>1</v>
      </c>
      <c r="J129" s="1436" t="n">
        <f aca="false">VLOOKUP('Ввод данных'!A1115,связи1!A406:G415,7,0)</f>
        <v>0.045</v>
      </c>
      <c r="K129" s="1436" t="n">
        <f aca="false">VLOOKUP('Ввод данных'!A1115,связи1!A406:G415,6,0)</f>
        <v>0.145</v>
      </c>
      <c r="L129" s="1436"/>
      <c r="M129" s="1436"/>
      <c r="N129" s="1436"/>
      <c r="O129" s="1635" t="n">
        <f aca="false">E129*I129*J129*K129</f>
        <v>0.01827</v>
      </c>
      <c r="P129" s="1714" t="n">
        <f aca="false">C129</f>
        <v>0</v>
      </c>
      <c r="Q129" s="1714" t="n">
        <f aca="false">C129</f>
        <v>0</v>
      </c>
      <c r="R129" s="1714" t="n">
        <f aca="false">C129</f>
        <v>0</v>
      </c>
      <c r="S129" s="1436" t="n">
        <f aca="false">C129</f>
        <v>0</v>
      </c>
      <c r="T129" s="1635" t="n">
        <f aca="false">(P129+Q129+R129)*J129*K129</f>
        <v>0</v>
      </c>
      <c r="U129" s="1753"/>
      <c r="V129" s="1635" t="n">
        <f aca="false">U129*($E$124+$E$125)*J129*$K$124</f>
        <v>0</v>
      </c>
      <c r="W129" s="1436" t="n">
        <f aca="false">'Ввод данных'!C161</f>
        <v>0.6</v>
      </c>
      <c r="X129" s="1436" t="n">
        <v>2</v>
      </c>
      <c r="Y129" s="1700" t="n">
        <f aca="false">W129*$K$124*J129*X129</f>
        <v>0.00783</v>
      </c>
      <c r="Z129" s="1436"/>
      <c r="AA129" s="1635" t="n">
        <f aca="false">Z129*($E$124+$E$125)*J129*K129</f>
        <v>0</v>
      </c>
      <c r="AD129" s="1700"/>
    </row>
    <row r="130" customFormat="false" ht="15.75" hidden="true" customHeight="true" outlineLevel="1" collapsed="false">
      <c r="A130" s="1754" t="s">
        <v>3136</v>
      </c>
      <c r="B130" s="1696" t="s">
        <v>486</v>
      </c>
      <c r="C130" s="1605" t="n">
        <f aca="false">IF('Ввод данных'!A101=связи1!A128,1,0)</f>
        <v>1</v>
      </c>
      <c r="D130" s="1436"/>
      <c r="E130" s="1604"/>
      <c r="F130" s="1604"/>
      <c r="G130" s="1436"/>
      <c r="H130" s="1436"/>
      <c r="I130" s="1436"/>
      <c r="J130" s="1436"/>
      <c r="K130" s="1436"/>
      <c r="L130" s="1436"/>
      <c r="M130" s="1436"/>
      <c r="N130" s="1436"/>
      <c r="O130" s="1635"/>
      <c r="P130" s="1582" t="n">
        <f aca="false">SUM(P124:P129)</f>
        <v>0</v>
      </c>
      <c r="Q130" s="1582" t="n">
        <f aca="false">SUM(Q124:Q129)</f>
        <v>0</v>
      </c>
      <c r="R130" s="1582" t="n">
        <f aca="false">SUM(R124:R129)</f>
        <v>0</v>
      </c>
      <c r="T130" s="1755" t="n">
        <f aca="false">R131*S131</f>
        <v>0</v>
      </c>
      <c r="U130" s="1753" t="n">
        <f aca="false">SUM(U124:U129)</f>
        <v>2</v>
      </c>
      <c r="V130" s="1635"/>
      <c r="W130" s="1436"/>
      <c r="X130" s="1436"/>
      <c r="Y130" s="1700"/>
      <c r="Z130" s="1436" t="n">
        <f aca="false">SUM(Z124:Z129)</f>
        <v>1</v>
      </c>
      <c r="AA130" s="1635"/>
      <c r="AD130" s="1700"/>
    </row>
    <row r="131" customFormat="false" ht="15.75" hidden="true" customHeight="true" outlineLevel="1" collapsed="false">
      <c r="A131" s="1754" t="s">
        <v>3137</v>
      </c>
      <c r="B131" s="1696"/>
      <c r="C131" s="1605" t="n">
        <f aca="false">IF('Ввод данных'!A101=связи1!A129,1,0)</f>
        <v>0</v>
      </c>
      <c r="D131" s="1436"/>
      <c r="E131" s="1604"/>
      <c r="F131" s="1604"/>
      <c r="G131" s="1436"/>
      <c r="H131" s="1436"/>
      <c r="I131" s="1436"/>
      <c r="J131" s="1436"/>
      <c r="K131" s="1436"/>
      <c r="L131" s="1436"/>
      <c r="M131" s="1436"/>
      <c r="N131" s="1436"/>
      <c r="O131" s="1635"/>
      <c r="P131" s="1714" t="s">
        <v>3138</v>
      </c>
      <c r="Q131" s="1714"/>
      <c r="R131" s="1756" t="n">
        <f aca="false">связи1!F185</f>
        <v>0.4</v>
      </c>
      <c r="S131" s="1755" t="n">
        <f aca="false">S124+S128+S129+S127</f>
        <v>0</v>
      </c>
      <c r="T131" s="1635"/>
      <c r="U131" s="1753"/>
      <c r="V131" s="1635"/>
      <c r="W131" s="1436"/>
      <c r="X131" s="1436"/>
      <c r="Y131" s="1700"/>
      <c r="Z131" s="1436"/>
      <c r="AA131" s="1635"/>
      <c r="AD131" s="1700"/>
    </row>
    <row r="132" customFormat="false" ht="15.75" hidden="true" customHeight="true" outlineLevel="1" collapsed="false">
      <c r="A132" s="1757" t="s">
        <v>3139</v>
      </c>
      <c r="B132" s="1758"/>
      <c r="C132" s="1759"/>
      <c r="D132" s="1760"/>
      <c r="E132" s="1761"/>
      <c r="F132" s="1761" t="n">
        <f aca="false">F124+F127+F128+F129+(F125+F126)</f>
        <v>0</v>
      </c>
      <c r="G132" s="1436"/>
      <c r="H132" s="1436"/>
      <c r="I132" s="1436"/>
      <c r="J132" s="1436"/>
      <c r="K132" s="1436"/>
      <c r="L132" s="1436"/>
      <c r="M132" s="1436"/>
      <c r="N132" s="1436"/>
      <c r="O132" s="1635"/>
      <c r="P132" s="1714"/>
      <c r="Q132" s="1714"/>
      <c r="R132" s="1756"/>
      <c r="S132" s="1755"/>
      <c r="T132" s="1635"/>
      <c r="U132" s="1753"/>
      <c r="V132" s="1635"/>
      <c r="W132" s="1436"/>
      <c r="X132" s="1436"/>
      <c r="Y132" s="1700"/>
      <c r="Z132" s="1436"/>
      <c r="AA132" s="1635"/>
      <c r="AD132" s="1700"/>
    </row>
    <row r="133" customFormat="false" ht="15.75" hidden="true" customHeight="true" outlineLevel="1" collapsed="false">
      <c r="A133" s="1762" t="s">
        <v>3140</v>
      </c>
      <c r="B133" s="1763" t="s">
        <v>15</v>
      </c>
      <c r="C133" s="1637" t="n">
        <f aca="false">IF('Ввод данных'!A114=связи1!A132,C16/2,'Ввод данных'!C117)</f>
        <v>4</v>
      </c>
      <c r="D133" s="1635"/>
      <c r="E133" s="1648" t="n">
        <f aca="false">IF('Ввод данных'!A17=связи1!A94,'Ввод данных'!C13,0)+IF('Ввод данных'!A17=связи1!A97,'Ввод данных'!C13,0)</f>
        <v>0</v>
      </c>
      <c r="F133" s="1648"/>
      <c r="G133" s="1635" t="n">
        <f aca="false">'Ввод данных'!C1111</f>
        <v>0.6</v>
      </c>
      <c r="H133" s="1635"/>
      <c r="I133" s="1436"/>
      <c r="J133" s="1436" t="str">
        <f aca="false">I627</f>
        <v>односкатная кровля</v>
      </c>
      <c r="K133" s="1436"/>
      <c r="L133" s="1436"/>
      <c r="M133" s="1436"/>
      <c r="N133" s="1436"/>
      <c r="O133" s="1436" t="str">
        <f aca="false">L627</f>
        <v>размер дома</v>
      </c>
      <c r="P133" s="1707"/>
      <c r="Q133" s="1707"/>
      <c r="R133" s="1707"/>
      <c r="S133" s="1344"/>
      <c r="T133" s="1344"/>
      <c r="U133" s="1753"/>
      <c r="V133" s="1344"/>
      <c r="W133" s="1344"/>
      <c r="X133" s="1344"/>
      <c r="Y133" s="1707"/>
      <c r="Z133" s="1344"/>
      <c r="AA133" s="1344"/>
      <c r="AB133" s="1709"/>
      <c r="AC133" s="1709"/>
      <c r="AD133" s="1707"/>
    </row>
    <row r="134" customFormat="false" ht="15.75" hidden="true" customHeight="true" outlineLevel="1" collapsed="false">
      <c r="A134" s="1754" t="s">
        <v>3141</v>
      </c>
      <c r="B134" s="1696" t="s">
        <v>15</v>
      </c>
      <c r="C134" s="1605" t="n">
        <f aca="false">SQRT((E133-E124)*(E133-E124)+C133*C133)</f>
        <v>4.88262224629348</v>
      </c>
      <c r="D134" s="1436" t="s">
        <v>240</v>
      </c>
      <c r="E134" s="1604" t="s">
        <v>2447</v>
      </c>
      <c r="F134" s="1604" t="n">
        <f aca="false">(E133-E124)/C134</f>
        <v>-0.573462344363328</v>
      </c>
      <c r="G134" s="1436"/>
      <c r="H134" s="1436"/>
      <c r="I134" s="1436"/>
      <c r="J134" s="1436" t="str">
        <f aca="false">I628</f>
        <v>длина фронтона 2</v>
      </c>
      <c r="K134" s="1436"/>
      <c r="L134" s="1436" t="n">
        <f aca="false">K628</f>
        <v>8.69252552484029</v>
      </c>
      <c r="M134" s="1436"/>
      <c r="N134" s="1436"/>
      <c r="O134" s="1436" t="n">
        <f aca="false">L628</f>
        <v>8</v>
      </c>
      <c r="P134" s="1707"/>
      <c r="Q134" s="1707"/>
      <c r="R134" s="1707"/>
      <c r="S134" s="1344"/>
      <c r="T134" s="1344"/>
      <c r="U134" s="1753"/>
      <c r="V134" s="1344"/>
      <c r="W134" s="1344"/>
      <c r="X134" s="1344"/>
      <c r="Y134" s="1707"/>
      <c r="Z134" s="1344"/>
      <c r="AA134" s="1344"/>
      <c r="AB134" s="1709"/>
      <c r="AC134" s="1709"/>
      <c r="AD134" s="1707"/>
    </row>
    <row r="135" customFormat="false" ht="15.75" hidden="true" customHeight="true" outlineLevel="1" collapsed="false">
      <c r="A135" s="1754" t="s">
        <v>3142</v>
      </c>
      <c r="B135" s="1696" t="s">
        <v>48</v>
      </c>
      <c r="C135" s="1605" t="n">
        <f aca="false">CEILING(C133/G124,1)</f>
        <v>7</v>
      </c>
      <c r="D135" s="1436" t="n">
        <f aca="false">CEILING(C135,1)</f>
        <v>7</v>
      </c>
      <c r="E135" s="1604"/>
      <c r="F135" s="1604"/>
      <c r="G135" s="1436"/>
      <c r="H135" s="1436"/>
      <c r="I135" s="1436"/>
      <c r="J135" s="1436" t="str">
        <f aca="false">I629</f>
        <v>длина фронтона1 </v>
      </c>
      <c r="K135" s="1436"/>
      <c r="L135" s="1436" t="n">
        <f aca="false">K629</f>
        <v>8.69252552484029</v>
      </c>
      <c r="M135" s="1436"/>
      <c r="N135" s="1436"/>
      <c r="O135" s="1436" t="n">
        <f aca="false">L629</f>
        <v>8</v>
      </c>
      <c r="P135" s="1707"/>
      <c r="Q135" s="1707"/>
      <c r="R135" s="1707"/>
      <c r="S135" s="1344"/>
      <c r="T135" s="1344"/>
      <c r="U135" s="1753"/>
      <c r="V135" s="1344"/>
      <c r="W135" s="1344"/>
      <c r="X135" s="1344"/>
      <c r="Y135" s="1707"/>
      <c r="Z135" s="1344"/>
      <c r="AA135" s="1344"/>
      <c r="AB135" s="1709"/>
      <c r="AC135" s="1709"/>
      <c r="AD135" s="1707"/>
    </row>
    <row r="136" customFormat="false" ht="15.75" hidden="true" customHeight="true" outlineLevel="1" collapsed="false">
      <c r="A136" s="1754" t="s">
        <v>3143</v>
      </c>
      <c r="B136" s="1696" t="s">
        <v>15</v>
      </c>
      <c r="C136" s="1605" t="n">
        <f aca="false">(E133-C125)/D135</f>
        <v>0</v>
      </c>
      <c r="D136" s="1436"/>
      <c r="E136" s="1604"/>
      <c r="F136" s="1604"/>
      <c r="G136" s="1436"/>
      <c r="H136" s="1436"/>
      <c r="I136" s="1436"/>
      <c r="J136" s="1436" t="str">
        <f aca="false">I630</f>
        <v>кол во стоек 1</v>
      </c>
      <c r="K136" s="1436"/>
      <c r="L136" s="1436" t="n">
        <f aca="false">K630</f>
        <v>15</v>
      </c>
      <c r="M136" s="1436"/>
      <c r="N136" s="1436"/>
      <c r="O136" s="1436"/>
      <c r="P136" s="1707"/>
      <c r="Q136" s="1707"/>
      <c r="R136" s="1707"/>
      <c r="S136" s="1344"/>
      <c r="T136" s="1344"/>
      <c r="U136" s="1753"/>
      <c r="V136" s="1344"/>
      <c r="W136" s="1344"/>
      <c r="X136" s="1344"/>
      <c r="Y136" s="1707"/>
      <c r="Z136" s="1344"/>
      <c r="AA136" s="1344"/>
      <c r="AB136" s="1709"/>
      <c r="AC136" s="1709"/>
      <c r="AD136" s="1707"/>
    </row>
    <row r="137" customFormat="false" ht="15.75" hidden="true" customHeight="true" outlineLevel="1" collapsed="false">
      <c r="A137" s="1762" t="s">
        <v>3144</v>
      </c>
      <c r="B137" s="1763" t="s">
        <v>15</v>
      </c>
      <c r="C137" s="1637" t="n">
        <f aca="false">IF('Ввод данных'!A114=связи1!A132,C16/2,'Ввод данных'!C118)</f>
        <v>4</v>
      </c>
      <c r="D137" s="1635"/>
      <c r="E137" s="1648" t="n">
        <f aca="false">IF('Ввод данных'!A17=связи1!A94,'Ввод данных'!C13,0)+IF('Ввод данных'!A17=связи1!A97,'Ввод данных'!C13,0)</f>
        <v>0</v>
      </c>
      <c r="F137" s="1648"/>
      <c r="G137" s="1635" t="n">
        <f aca="false">'Ввод данных'!C1111</f>
        <v>0.6</v>
      </c>
      <c r="H137" s="1635"/>
      <c r="I137" s="1436"/>
      <c r="J137" s="1436" t="str">
        <f aca="false">I631</f>
        <v>кол во стоек 2</v>
      </c>
      <c r="K137" s="1436"/>
      <c r="L137" s="1436" t="n">
        <f aca="false">K631</f>
        <v>15</v>
      </c>
      <c r="M137" s="1436"/>
      <c r="N137" s="1436"/>
      <c r="O137" s="1436"/>
      <c r="P137" s="1707"/>
      <c r="Q137" s="1707"/>
      <c r="R137" s="1707"/>
      <c r="S137" s="1344"/>
      <c r="T137" s="1344"/>
      <c r="U137" s="1753"/>
      <c r="V137" s="1344"/>
      <c r="W137" s="1344"/>
      <c r="X137" s="1344"/>
      <c r="Y137" s="1707"/>
      <c r="Z137" s="1344"/>
      <c r="AA137" s="1344"/>
      <c r="AB137" s="1709"/>
      <c r="AC137" s="1709"/>
      <c r="AD137" s="1707"/>
    </row>
    <row r="138" customFormat="false" ht="15.75" hidden="true" customHeight="true" outlineLevel="1" collapsed="false">
      <c r="A138" s="1754" t="s">
        <v>3145</v>
      </c>
      <c r="B138" s="1696"/>
      <c r="C138" s="1605"/>
      <c r="D138" s="1436"/>
      <c r="E138" s="1604"/>
      <c r="F138" s="1604" t="n">
        <f aca="false">SQRT(C137*C137+(E137-E124)*(E137-E124))</f>
        <v>4.88262224629348</v>
      </c>
      <c r="G138" s="1436"/>
      <c r="H138" s="1436"/>
      <c r="I138" s="1436"/>
      <c r="J138" s="1436" t="str">
        <f aca="false">I632</f>
        <v>разница 1</v>
      </c>
      <c r="K138" s="1436"/>
      <c r="L138" s="1436" t="n">
        <f aca="false">K632</f>
        <v>0.226666666666667</v>
      </c>
      <c r="M138" s="1436"/>
      <c r="N138" s="1436"/>
      <c r="O138" s="1436"/>
      <c r="P138" s="1707"/>
      <c r="Q138" s="1707"/>
      <c r="R138" s="1707"/>
      <c r="S138" s="1344"/>
      <c r="T138" s="1344"/>
      <c r="U138" s="1753"/>
      <c r="V138" s="1344"/>
      <c r="W138" s="1344"/>
      <c r="X138" s="1344"/>
      <c r="Y138" s="1707"/>
      <c r="Z138" s="1344"/>
      <c r="AA138" s="1344"/>
      <c r="AB138" s="1709"/>
      <c r="AC138" s="1709"/>
      <c r="AD138" s="1707"/>
    </row>
    <row r="139" customFormat="false" ht="15.75" hidden="true" customHeight="true" outlineLevel="1" collapsed="false">
      <c r="A139" s="1754" t="s">
        <v>3146</v>
      </c>
      <c r="B139" s="1764"/>
      <c r="C139" s="1765"/>
      <c r="D139" s="1630"/>
      <c r="E139" s="1766"/>
      <c r="F139" s="1766" t="n">
        <f aca="false">C137/G124</f>
        <v>6.66666666666667</v>
      </c>
      <c r="G139" s="1630" t="n">
        <f aca="false">CEILING(F139,1)</f>
        <v>7</v>
      </c>
      <c r="H139" s="1630"/>
      <c r="I139" s="1436"/>
      <c r="J139" s="1436" t="str">
        <f aca="false">I633</f>
        <v>разница 2</v>
      </c>
      <c r="K139" s="1436"/>
      <c r="L139" s="1436" t="n">
        <f aca="false">K633</f>
        <v>0.226666666666667</v>
      </c>
      <c r="M139" s="1436"/>
      <c r="N139" s="1436"/>
      <c r="O139" s="1436"/>
      <c r="P139" s="1707"/>
      <c r="Q139" s="1707"/>
      <c r="R139" s="1707"/>
      <c r="S139" s="1344"/>
      <c r="T139" s="1344"/>
      <c r="U139" s="1753"/>
      <c r="V139" s="1344"/>
      <c r="W139" s="1344"/>
      <c r="X139" s="1344"/>
      <c r="Y139" s="1707"/>
      <c r="Z139" s="1344"/>
      <c r="AA139" s="1344"/>
      <c r="AB139" s="1709"/>
      <c r="AC139" s="1709"/>
      <c r="AD139" s="1707"/>
    </row>
    <row r="140" customFormat="false" ht="15.75" hidden="true" customHeight="true" outlineLevel="1" collapsed="false">
      <c r="A140" s="1754" t="s">
        <v>3147</v>
      </c>
      <c r="B140" s="1692"/>
      <c r="C140" s="1692"/>
      <c r="D140" s="1436"/>
      <c r="E140" s="1604"/>
      <c r="F140" s="1604" t="n">
        <f aca="false">(E133-C126)/G139</f>
        <v>0</v>
      </c>
      <c r="G140" s="1436"/>
      <c r="H140" s="1436"/>
      <c r="I140" s="1436"/>
      <c r="J140" s="1436"/>
      <c r="K140" s="1436"/>
      <c r="L140" s="1436"/>
      <c r="M140" s="1436"/>
      <c r="N140" s="1436"/>
      <c r="O140" s="1436"/>
      <c r="P140" s="1707"/>
      <c r="Q140" s="1707"/>
      <c r="R140" s="1707"/>
      <c r="S140" s="1344"/>
      <c r="T140" s="1344"/>
      <c r="U140" s="1753"/>
      <c r="V140" s="1344"/>
      <c r="W140" s="1344"/>
      <c r="X140" s="1344"/>
      <c r="Y140" s="1707"/>
      <c r="Z140" s="1344"/>
      <c r="AA140" s="1344"/>
      <c r="AB140" s="1709"/>
      <c r="AC140" s="1709"/>
      <c r="AD140" s="1707"/>
    </row>
    <row r="141" customFormat="false" ht="15.75" hidden="true" customHeight="true" outlineLevel="1" collapsed="false">
      <c r="A141" s="1691" t="s">
        <v>3148</v>
      </c>
      <c r="B141" s="1692"/>
      <c r="C141" s="1692"/>
      <c r="D141" s="1436" t="n">
        <f aca="false">IF('Ввод данных'!A17=связи1!A94,1,0)+IF('Ввод данных'!A17=связи1!A97,1,0)</f>
        <v>0</v>
      </c>
      <c r="E141" s="1604"/>
      <c r="F141" s="1604"/>
      <c r="G141" s="1436"/>
      <c r="H141" s="1436"/>
      <c r="I141" s="1436"/>
      <c r="J141" s="1436"/>
      <c r="K141" s="1344"/>
      <c r="L141" s="1344"/>
      <c r="M141" s="1344"/>
      <c r="N141" s="1344"/>
      <c r="O141" s="1344"/>
      <c r="P141" s="1707"/>
      <c r="Q141" s="1707"/>
      <c r="R141" s="1707"/>
      <c r="S141" s="1344"/>
      <c r="T141" s="1344"/>
      <c r="U141" s="1753"/>
      <c r="V141" s="1344"/>
      <c r="W141" s="1344"/>
      <c r="X141" s="1344"/>
      <c r="Y141" s="1707"/>
      <c r="Z141" s="1344"/>
      <c r="AA141" s="1344"/>
      <c r="AB141" s="1709"/>
      <c r="AC141" s="1709"/>
      <c r="AD141" s="1707"/>
    </row>
    <row r="142" customFormat="false" ht="15.75" hidden="true" customHeight="true" outlineLevel="1" collapsed="false">
      <c r="A142" s="1767" t="s">
        <v>3149</v>
      </c>
      <c r="B142" s="1768" t="s">
        <v>12</v>
      </c>
      <c r="C142" s="1396" t="s">
        <v>116</v>
      </c>
      <c r="D142" s="1396" t="s">
        <v>2491</v>
      </c>
      <c r="E142" s="1683" t="s">
        <v>3150</v>
      </c>
      <c r="F142" s="1683" t="s">
        <v>118</v>
      </c>
      <c r="G142" s="1396" t="s">
        <v>3151</v>
      </c>
      <c r="H142" s="1396"/>
      <c r="I142" s="1436"/>
      <c r="J142" s="1436"/>
      <c r="K142" s="1344"/>
      <c r="L142" s="1344"/>
      <c r="M142" s="1344"/>
      <c r="N142" s="1344"/>
      <c r="O142" s="1344"/>
      <c r="P142" s="1707"/>
      <c r="Q142" s="1707"/>
      <c r="R142" s="1707"/>
      <c r="S142" s="1344"/>
      <c r="T142" s="1344"/>
      <c r="U142" s="1753"/>
      <c r="V142" s="1344"/>
      <c r="W142" s="1344"/>
      <c r="X142" s="1344"/>
      <c r="Y142" s="1707"/>
      <c r="Z142" s="1344"/>
      <c r="AA142" s="1344"/>
      <c r="AB142" s="1709"/>
      <c r="AC142" s="1709"/>
      <c r="AD142" s="1707"/>
    </row>
    <row r="143" customFormat="false" ht="15.75" hidden="true" customHeight="true" outlineLevel="1" collapsed="false">
      <c r="A143" s="1769" t="s">
        <v>3152</v>
      </c>
      <c r="B143" s="1683" t="s">
        <v>15</v>
      </c>
      <c r="C143" s="1692" t="n">
        <f aca="false">VLOOKUP('Ввод данных'!A1115,связи1!A406:G415,6,0)</f>
        <v>0.145</v>
      </c>
      <c r="D143" s="1436" t="n">
        <f aca="false">VLOOKUP('Ввод данных'!A1115,связи1!A406:G415,7,0)</f>
        <v>0.045</v>
      </c>
      <c r="E143" s="1604" t="n">
        <f aca="false">E124*(IF('Ввод данных'!A17=связи1!A94,1,0)+IF('Ввод данных'!A17=связи1!A97,0,0)+IF('Ввод данных'!A17=связи1!A95,1,0)+IF('Ввод данных'!A17=связи1!A96,1,0)+IF('Ввод данных'!A17=связи1!A98,1,0))*IF(связи1!H89=связи1!A2,0,1)*(IF('Ввод данных'!A19=связи1!A150,1,0))</f>
        <v>0</v>
      </c>
      <c r="F143" s="1604" t="n">
        <f aca="false">CEILING(I124+I127,1)*IF(связи1!$H$91=связи1!$A$2,1,0)</f>
        <v>0</v>
      </c>
      <c r="G143" s="1436" t="n">
        <f aca="false">C143*D143*E143*F143</f>
        <v>0</v>
      </c>
      <c r="H143" s="1436"/>
      <c r="I143" s="1436"/>
      <c r="J143" s="1436"/>
      <c r="K143" s="1344"/>
      <c r="L143" s="1344"/>
      <c r="M143" s="1344"/>
      <c r="N143" s="1344"/>
      <c r="O143" s="1344"/>
      <c r="P143" s="1707"/>
      <c r="Q143" s="1707"/>
      <c r="R143" s="1707"/>
      <c r="S143" s="1344"/>
      <c r="T143" s="1344"/>
      <c r="U143" s="1753"/>
      <c r="V143" s="1344"/>
      <c r="W143" s="1344"/>
      <c r="X143" s="1344"/>
      <c r="Y143" s="1707"/>
      <c r="Z143" s="1344"/>
      <c r="AA143" s="1344"/>
      <c r="AB143" s="1709"/>
      <c r="AC143" s="1709"/>
      <c r="AD143" s="1707"/>
    </row>
    <row r="144" customFormat="false" ht="15.75" hidden="true" customHeight="true" outlineLevel="1" collapsed="false">
      <c r="A144" s="1769" t="s">
        <v>3153</v>
      </c>
      <c r="B144" s="1683" t="s">
        <v>15</v>
      </c>
      <c r="C144" s="1692" t="n">
        <f aca="false">$C$143</f>
        <v>0.145</v>
      </c>
      <c r="D144" s="1436" t="n">
        <f aca="false">D143</f>
        <v>0.045</v>
      </c>
      <c r="E144" s="1604" t="n">
        <f aca="false">E125*(IF('Ввод данных'!A17=связи1!A94,1,0)+IF('Ввод данных'!A17=связи1!A97,0,0)+IF('Ввод данных'!A17=связи1!A95,1,0)+IF('Ввод данных'!A17=связи1!A96,1,0)+IF('Ввод данных'!A17=связи1!A98,1,0))*IF(связи1!H89=связи1!A2,0,1)</f>
        <v>0</v>
      </c>
      <c r="F144" s="1604" t="n">
        <f aca="false">CEILING(I125,1)*IF(связи1!$H$91=связи1!$A$2,1,0)</f>
        <v>0</v>
      </c>
      <c r="G144" s="1436" t="n">
        <f aca="false">C144*D144*E144*F144</f>
        <v>0</v>
      </c>
      <c r="H144" s="1436"/>
      <c r="I144" s="1436"/>
      <c r="J144" s="1436"/>
      <c r="K144" s="1344"/>
      <c r="L144" s="1344"/>
      <c r="M144" s="1344"/>
      <c r="N144" s="1344"/>
      <c r="O144" s="1344"/>
      <c r="P144" s="1707"/>
      <c r="Q144" s="1707"/>
      <c r="R144" s="1707"/>
      <c r="S144" s="1344"/>
      <c r="T144" s="1344"/>
      <c r="U144" s="1753"/>
      <c r="V144" s="1344"/>
      <c r="W144" s="1344"/>
      <c r="X144" s="1344"/>
      <c r="Y144" s="1707"/>
      <c r="Z144" s="1344"/>
      <c r="AA144" s="1344"/>
      <c r="AB144" s="1709"/>
      <c r="AC144" s="1709"/>
      <c r="AD144" s="1707"/>
    </row>
    <row r="145" customFormat="false" ht="15.75" hidden="true" customHeight="true" outlineLevel="1" collapsed="false">
      <c r="A145" s="1769" t="s">
        <v>3154</v>
      </c>
      <c r="B145" s="1683" t="s">
        <v>15</v>
      </c>
      <c r="C145" s="1692" t="n">
        <f aca="false">$C$143</f>
        <v>0.145</v>
      </c>
      <c r="D145" s="1436" t="n">
        <f aca="false">D143</f>
        <v>0.045</v>
      </c>
      <c r="E145" s="1604" t="n">
        <f aca="false">E126*(IF('Ввод данных'!A17=связи1!A94,1,0)+IF('Ввод данных'!A17=связи1!A97,0,0)+IF('Ввод данных'!A17=связи1!A95,1,0)+IF('Ввод данных'!A17=связи1!A96,1,0)+IF('Ввод данных'!A17=связи1!A98,1,0))*IF(связи1!H89=связи1!A2,0,1)</f>
        <v>0</v>
      </c>
      <c r="F145" s="1604" t="n">
        <f aca="false">CEILING(I126,1)*IF(связи1!$H$91=связи1!$A$2,1,0)</f>
        <v>0</v>
      </c>
      <c r="G145" s="1436" t="n">
        <f aca="false">C145*D145*E145*F145</f>
        <v>0</v>
      </c>
      <c r="H145" s="1436"/>
      <c r="I145" s="1436"/>
      <c r="J145" s="1436"/>
      <c r="K145" s="1344"/>
      <c r="L145" s="1344"/>
      <c r="M145" s="1344"/>
      <c r="N145" s="1344"/>
      <c r="O145" s="1344"/>
      <c r="P145" s="1707"/>
      <c r="Q145" s="1707"/>
      <c r="R145" s="1707"/>
      <c r="S145" s="1344"/>
      <c r="T145" s="1344"/>
      <c r="U145" s="1753"/>
      <c r="V145" s="1344"/>
      <c r="W145" s="1344"/>
      <c r="X145" s="1344"/>
      <c r="Y145" s="1707"/>
      <c r="Z145" s="1344"/>
      <c r="AA145" s="1344"/>
      <c r="AB145" s="1709"/>
      <c r="AC145" s="1709"/>
      <c r="AD145" s="1707"/>
    </row>
    <row r="146" customFormat="false" ht="15.75" hidden="true" customHeight="true" outlineLevel="1" collapsed="false">
      <c r="A146" s="1769" t="s">
        <v>3155</v>
      </c>
      <c r="B146" s="1683" t="s">
        <v>15</v>
      </c>
      <c r="C146" s="1692" t="n">
        <f aca="false">$C$143</f>
        <v>0.145</v>
      </c>
      <c r="D146" s="1436" t="n">
        <f aca="false">D143</f>
        <v>0.045</v>
      </c>
      <c r="E146" s="1604" t="n">
        <f aca="false">E128*(IF('Ввод данных'!A17=связи1!A94,1,0)+IF('Ввод данных'!A17=связи1!A97,0,0)+IF('Ввод данных'!A17=связи1!A95,1,0)+IF('Ввод данных'!A17=связи1!A96,1,0)+IF('Ввод данных'!A17=связи1!A98,1,0))*IF(связи1!H89=связи1!A2,0,1)*(IF('Ввод данных'!A19=связи1!A150,1,0))</f>
        <v>0</v>
      </c>
      <c r="F146" s="1604" t="n">
        <f aca="false">CEILING(I128,1)*IF(связи1!$H$91=связи1!$A$2,1,0)</f>
        <v>1</v>
      </c>
      <c r="G146" s="1436" t="n">
        <f aca="false">C146*D146*E146*F146</f>
        <v>0</v>
      </c>
      <c r="H146" s="1436"/>
      <c r="I146" s="1436"/>
      <c r="J146" s="1436"/>
      <c r="K146" s="1344"/>
      <c r="L146" s="1344"/>
      <c r="M146" s="1344"/>
      <c r="N146" s="1344"/>
      <c r="O146" s="1344"/>
      <c r="P146" s="1707"/>
      <c r="Q146" s="1707"/>
      <c r="R146" s="1707"/>
      <c r="S146" s="1344"/>
      <c r="T146" s="1344"/>
      <c r="U146" s="1753"/>
      <c r="V146" s="1344"/>
      <c r="W146" s="1344"/>
      <c r="X146" s="1344"/>
      <c r="Y146" s="1707"/>
      <c r="Z146" s="1344"/>
      <c r="AA146" s="1344"/>
      <c r="AB146" s="1709"/>
      <c r="AC146" s="1709"/>
      <c r="AD146" s="1707"/>
    </row>
    <row r="147" customFormat="false" ht="15.75" hidden="true" customHeight="true" outlineLevel="1" collapsed="false">
      <c r="A147" s="1769" t="s">
        <v>3156</v>
      </c>
      <c r="B147" s="1683" t="s">
        <v>15</v>
      </c>
      <c r="C147" s="1692" t="n">
        <f aca="false">$C$143</f>
        <v>0.145</v>
      </c>
      <c r="D147" s="1436" t="n">
        <f aca="false">D143</f>
        <v>0.045</v>
      </c>
      <c r="E147" s="1604" t="n">
        <f aca="false">E129*(IF('Ввод данных'!A17=связи1!A94,1,0)+IF('Ввод данных'!A17=связи1!A97,0,0)+IF('Ввод данных'!A17=связи1!A95,1,0)+IF('Ввод данных'!A17=связи1!A96,1,0)+IF('Ввод данных'!A17=связи1!A98,1,0))*IF(связи1!H89=связи1!A2,0,1)*(IF('Ввод данных'!A19=связи1!A150,1,0))</f>
        <v>0</v>
      </c>
      <c r="F147" s="1604" t="n">
        <f aca="false">CEILING(I129,1)*IF(связи1!$H$91=связи1!$A$2,1,0)</f>
        <v>1</v>
      </c>
      <c r="G147" s="1436" t="n">
        <f aca="false">C147*D147*E147*F147</f>
        <v>0</v>
      </c>
      <c r="H147" s="1436"/>
      <c r="I147" s="1436"/>
      <c r="J147" s="1436"/>
      <c r="K147" s="1344"/>
      <c r="L147" s="1344"/>
      <c r="M147" s="1344"/>
      <c r="N147" s="1344"/>
      <c r="O147" s="1344"/>
      <c r="P147" s="1707"/>
      <c r="Q147" s="1707"/>
      <c r="R147" s="1707"/>
      <c r="S147" s="1344"/>
      <c r="T147" s="1344"/>
      <c r="U147" s="1753"/>
      <c r="V147" s="1344"/>
      <c r="W147" s="1344"/>
      <c r="X147" s="1344"/>
      <c r="Y147" s="1707"/>
      <c r="Z147" s="1344"/>
      <c r="AA147" s="1344"/>
      <c r="AB147" s="1709"/>
      <c r="AC147" s="1709"/>
      <c r="AD147" s="1707"/>
    </row>
    <row r="148" customFormat="false" ht="15.75" hidden="true" customHeight="true" outlineLevel="1" collapsed="false">
      <c r="A148" s="1769"/>
      <c r="B148" s="1683"/>
      <c r="C148" s="1692"/>
      <c r="D148" s="1436"/>
      <c r="E148" s="1604"/>
      <c r="F148" s="1604"/>
      <c r="G148" s="1436"/>
      <c r="H148" s="1436"/>
      <c r="I148" s="1436"/>
      <c r="J148" s="1436"/>
      <c r="K148" s="1344"/>
      <c r="L148" s="1344"/>
      <c r="M148" s="1344"/>
      <c r="N148" s="1344"/>
      <c r="O148" s="1344"/>
      <c r="P148" s="1707"/>
      <c r="Q148" s="1707"/>
      <c r="R148" s="1707"/>
      <c r="S148" s="1344"/>
      <c r="T148" s="1344"/>
      <c r="U148" s="1753"/>
      <c r="V148" s="1344"/>
      <c r="W148" s="1344"/>
      <c r="X148" s="1344"/>
      <c r="Y148" s="1707"/>
      <c r="Z148" s="1344"/>
      <c r="AA148" s="1344"/>
      <c r="AB148" s="1709"/>
      <c r="AC148" s="1709"/>
      <c r="AD148" s="1707"/>
    </row>
    <row r="149" customFormat="false" ht="15.75" hidden="true" customHeight="true" outlineLevel="1" collapsed="false">
      <c r="A149" s="1180" t="s">
        <v>3157</v>
      </c>
      <c r="B149" s="1683" t="s">
        <v>15</v>
      </c>
      <c r="C149" s="1692" t="n">
        <f aca="false">$C$143</f>
        <v>0.145</v>
      </c>
      <c r="D149" s="1436" t="n">
        <f aca="false">D143</f>
        <v>0.045</v>
      </c>
      <c r="E149" s="1604" t="n">
        <f aca="false">(P130+Q130)*IF(связи1!$H$91=связи1!$A$2,1,0)</f>
        <v>0</v>
      </c>
      <c r="F149" s="1436" t="n">
        <f aca="false">1</f>
        <v>1</v>
      </c>
      <c r="G149" s="1436" t="n">
        <f aca="false">C149*D149*E149</f>
        <v>0</v>
      </c>
      <c r="H149" s="1436"/>
      <c r="I149" s="1436"/>
      <c r="J149" s="1436"/>
      <c r="K149" s="1344"/>
      <c r="L149" s="1344"/>
      <c r="M149" s="1344"/>
      <c r="N149" s="1344"/>
      <c r="O149" s="1344"/>
      <c r="P149" s="1707"/>
      <c r="Q149" s="1707"/>
      <c r="R149" s="1707"/>
      <c r="S149" s="1344"/>
      <c r="T149" s="1344"/>
      <c r="U149" s="1753"/>
      <c r="V149" s="1344"/>
      <c r="W149" s="1344"/>
      <c r="X149" s="1344"/>
      <c r="Y149" s="1707"/>
      <c r="Z149" s="1344"/>
      <c r="AA149" s="1344"/>
      <c r="AB149" s="1709"/>
      <c r="AC149" s="1709"/>
      <c r="AD149" s="1707"/>
    </row>
    <row r="150" customFormat="false" ht="15.75" hidden="true" customHeight="true" outlineLevel="1" collapsed="false">
      <c r="A150" s="1180" t="s">
        <v>3158</v>
      </c>
      <c r="B150" s="1683" t="s">
        <v>15</v>
      </c>
      <c r="C150" s="1692" t="n">
        <f aca="false">$C$143</f>
        <v>0.145</v>
      </c>
      <c r="D150" s="1436" t="n">
        <f aca="false">D143</f>
        <v>0.045</v>
      </c>
      <c r="E150" s="1604" t="n">
        <f aca="false">R130*IF(связи1!$H$91=связи1!$A$2,1,0)</f>
        <v>0</v>
      </c>
      <c r="F150" s="1436" t="n">
        <f aca="false">1</f>
        <v>1</v>
      </c>
      <c r="G150" s="1436" t="n">
        <f aca="false">C150*D150*E150</f>
        <v>0</v>
      </c>
      <c r="H150" s="1436"/>
      <c r="I150" s="1436"/>
      <c r="J150" s="1436"/>
      <c r="K150" s="1344"/>
      <c r="L150" s="1344"/>
      <c r="M150" s="1344"/>
      <c r="N150" s="1344"/>
      <c r="O150" s="1344"/>
      <c r="P150" s="1707"/>
      <c r="Q150" s="1707"/>
      <c r="R150" s="1707"/>
      <c r="S150" s="1344"/>
      <c r="T150" s="1344"/>
      <c r="U150" s="1753"/>
      <c r="V150" s="1344"/>
      <c r="W150" s="1344"/>
      <c r="X150" s="1344"/>
      <c r="Y150" s="1707"/>
      <c r="Z150" s="1344"/>
      <c r="AA150" s="1344"/>
      <c r="AB150" s="1709"/>
      <c r="AC150" s="1709"/>
      <c r="AD150" s="1707"/>
    </row>
    <row r="151" customFormat="false" ht="15.75" hidden="true" customHeight="true" outlineLevel="1" collapsed="false">
      <c r="A151" s="1634" t="s">
        <v>3159</v>
      </c>
      <c r="B151" s="1768" t="s">
        <v>15</v>
      </c>
      <c r="C151" s="1692" t="n">
        <f aca="false">VLOOKUP('Ввод данных'!A1117,связи1!A406:G415,6,0)</f>
        <v>0.145</v>
      </c>
      <c r="D151" s="1436" t="n">
        <f aca="false">VLOOKUP('Ввод данных'!A1117,связи1!A406:G415,7,0)</f>
        <v>0.045</v>
      </c>
      <c r="E151" s="1604" t="n">
        <f aca="false">E375*(IF('Ввод данных'!A19=связи1!A150,1,0))</f>
        <v>0</v>
      </c>
      <c r="F151" s="1436" t="n">
        <f aca="false">I379+I389</f>
        <v>0</v>
      </c>
      <c r="G151" s="1436" t="n">
        <f aca="false">C151*D151*E151*F151</f>
        <v>0</v>
      </c>
      <c r="H151" s="1436"/>
      <c r="I151" s="1436"/>
      <c r="J151" s="1436"/>
      <c r="K151" s="1344"/>
      <c r="L151" s="1344"/>
      <c r="M151" s="1344"/>
      <c r="N151" s="1344"/>
      <c r="O151" s="1344"/>
      <c r="P151" s="1707"/>
      <c r="Q151" s="1707"/>
      <c r="R151" s="1707"/>
      <c r="S151" s="1344"/>
      <c r="T151" s="1344"/>
      <c r="U151" s="1753"/>
      <c r="V151" s="1344"/>
      <c r="W151" s="1344"/>
      <c r="X151" s="1344"/>
      <c r="Y151" s="1707"/>
      <c r="Z151" s="1344"/>
      <c r="AA151" s="1344"/>
      <c r="AB151" s="1709"/>
      <c r="AC151" s="1709"/>
      <c r="AD151" s="1707"/>
    </row>
    <row r="152" customFormat="false" ht="15.75" hidden="true" customHeight="true" outlineLevel="1" collapsed="false">
      <c r="A152" s="1634"/>
      <c r="B152" s="1768"/>
      <c r="C152" s="1692"/>
      <c r="D152" s="1436"/>
      <c r="E152" s="1604"/>
      <c r="F152" s="1436"/>
      <c r="G152" s="1436"/>
      <c r="H152" s="1436"/>
      <c r="I152" s="1436"/>
      <c r="J152" s="1436"/>
      <c r="K152" s="1344"/>
      <c r="L152" s="1344"/>
      <c r="M152" s="1344"/>
      <c r="N152" s="1344"/>
      <c r="O152" s="1344"/>
      <c r="P152" s="1707"/>
      <c r="Q152" s="1707"/>
      <c r="R152" s="1707"/>
      <c r="S152" s="1344"/>
      <c r="T152" s="1344"/>
      <c r="U152" s="1753"/>
      <c r="V152" s="1344"/>
      <c r="W152" s="1344"/>
      <c r="X152" s="1344"/>
      <c r="Y152" s="1707"/>
      <c r="Z152" s="1344"/>
      <c r="AA152" s="1344"/>
      <c r="AB152" s="1709"/>
      <c r="AC152" s="1709"/>
      <c r="AD152" s="1707"/>
    </row>
    <row r="153" customFormat="false" ht="15.75" hidden="true" customHeight="true" outlineLevel="1" collapsed="false">
      <c r="A153" s="1634"/>
      <c r="B153" s="1768"/>
      <c r="C153" s="1692"/>
      <c r="D153" s="1436"/>
      <c r="E153" s="1604"/>
      <c r="F153" s="1436"/>
      <c r="G153" s="1436"/>
      <c r="H153" s="1436"/>
      <c r="I153" s="1436"/>
      <c r="J153" s="1436"/>
      <c r="K153" s="1344"/>
      <c r="L153" s="1344"/>
      <c r="M153" s="1344"/>
      <c r="N153" s="1344"/>
      <c r="O153" s="1344"/>
      <c r="P153" s="1707"/>
      <c r="Q153" s="1707"/>
      <c r="R153" s="1707"/>
      <c r="S153" s="1344"/>
      <c r="T153" s="1344"/>
      <c r="U153" s="1753"/>
      <c r="V153" s="1344"/>
      <c r="W153" s="1344"/>
      <c r="X153" s="1344"/>
      <c r="Y153" s="1707"/>
      <c r="Z153" s="1344"/>
      <c r="AA153" s="1344"/>
      <c r="AB153" s="1709"/>
      <c r="AC153" s="1709"/>
      <c r="AD153" s="1707"/>
    </row>
    <row r="154" customFormat="false" ht="15.75" hidden="true" customHeight="true" outlineLevel="1" collapsed="false">
      <c r="A154" s="1634"/>
      <c r="B154" s="1768"/>
      <c r="C154" s="1692"/>
      <c r="D154" s="1436"/>
      <c r="E154" s="1604"/>
      <c r="F154" s="1436"/>
      <c r="G154" s="1436"/>
      <c r="H154" s="1436"/>
      <c r="I154" s="1436"/>
      <c r="J154" s="1436"/>
      <c r="K154" s="1344"/>
      <c r="L154" s="1344"/>
      <c r="M154" s="1344"/>
      <c r="N154" s="1344"/>
      <c r="O154" s="1344"/>
      <c r="P154" s="1707"/>
      <c r="Q154" s="1707"/>
      <c r="R154" s="1707"/>
      <c r="S154" s="1344"/>
      <c r="T154" s="1344"/>
      <c r="U154" s="1753"/>
      <c r="V154" s="1344"/>
      <c r="W154" s="1344"/>
      <c r="X154" s="1344"/>
      <c r="Y154" s="1707"/>
      <c r="Z154" s="1344"/>
      <c r="AA154" s="1344"/>
      <c r="AB154" s="1709"/>
      <c r="AC154" s="1709"/>
      <c r="AD154" s="1707"/>
    </row>
    <row r="155" customFormat="false" ht="15.75" hidden="true" customHeight="true" outlineLevel="1" collapsed="false">
      <c r="A155" s="1634"/>
      <c r="B155" s="1768"/>
      <c r="C155" s="1692"/>
      <c r="D155" s="1436"/>
      <c r="E155" s="1604"/>
      <c r="F155" s="1436"/>
      <c r="G155" s="1436"/>
      <c r="H155" s="1436"/>
      <c r="I155" s="1436"/>
      <c r="J155" s="1436"/>
      <c r="K155" s="1344"/>
      <c r="L155" s="1344"/>
      <c r="M155" s="1344"/>
      <c r="N155" s="1344"/>
      <c r="O155" s="1344"/>
      <c r="P155" s="1707"/>
      <c r="Q155" s="1707"/>
      <c r="R155" s="1707"/>
      <c r="S155" s="1344"/>
      <c r="T155" s="1344"/>
      <c r="U155" s="1753"/>
      <c r="V155" s="1344"/>
      <c r="W155" s="1344"/>
      <c r="X155" s="1344"/>
      <c r="Y155" s="1707"/>
      <c r="Z155" s="1344"/>
      <c r="AA155" s="1344"/>
      <c r="AB155" s="1709"/>
      <c r="AC155" s="1709"/>
      <c r="AD155" s="1707"/>
    </row>
    <row r="156" customFormat="false" ht="15.75" hidden="true" customHeight="true" outlineLevel="1" collapsed="false">
      <c r="A156" s="1634"/>
      <c r="B156" s="1768"/>
      <c r="C156" s="1692"/>
      <c r="D156" s="1436"/>
      <c r="E156" s="1604"/>
      <c r="F156" s="1436"/>
      <c r="G156" s="1436"/>
      <c r="H156" s="1436"/>
      <c r="I156" s="1436"/>
      <c r="J156" s="1436"/>
      <c r="K156" s="1344"/>
      <c r="L156" s="1344"/>
      <c r="M156" s="1344"/>
      <c r="N156" s="1344"/>
      <c r="O156" s="1344"/>
      <c r="P156" s="1707"/>
      <c r="Q156" s="1707"/>
      <c r="R156" s="1707"/>
      <c r="S156" s="1344"/>
      <c r="T156" s="1344"/>
      <c r="U156" s="1753"/>
      <c r="V156" s="1344"/>
      <c r="W156" s="1344"/>
      <c r="X156" s="1344"/>
      <c r="Y156" s="1707"/>
      <c r="Z156" s="1344"/>
      <c r="AA156" s="1344"/>
      <c r="AB156" s="1709"/>
      <c r="AC156" s="1709"/>
      <c r="AD156" s="1707"/>
    </row>
    <row r="157" customFormat="false" ht="15.75" hidden="true" customHeight="true" outlineLevel="1" collapsed="false">
      <c r="A157" s="1634"/>
      <c r="B157" s="1768"/>
      <c r="C157" s="1692"/>
      <c r="D157" s="1436"/>
      <c r="E157" s="1604"/>
      <c r="F157" s="1436"/>
      <c r="G157" s="1436"/>
      <c r="H157" s="1436"/>
      <c r="I157" s="1436"/>
      <c r="J157" s="1436"/>
      <c r="K157" s="1344"/>
      <c r="L157" s="1344"/>
      <c r="M157" s="1344"/>
      <c r="N157" s="1344"/>
      <c r="O157" s="1344"/>
      <c r="P157" s="1707"/>
      <c r="Q157" s="1707"/>
      <c r="R157" s="1707"/>
      <c r="S157" s="1344"/>
      <c r="T157" s="1344"/>
      <c r="U157" s="1753"/>
      <c r="V157" s="1344"/>
      <c r="W157" s="1344"/>
      <c r="X157" s="1344"/>
      <c r="Y157" s="1707"/>
      <c r="Z157" s="1344"/>
      <c r="AA157" s="1344"/>
      <c r="AB157" s="1709"/>
      <c r="AC157" s="1709"/>
      <c r="AD157" s="1707"/>
    </row>
    <row r="158" customFormat="false" ht="15.75" hidden="true" customHeight="true" outlineLevel="1" collapsed="false">
      <c r="A158" s="1634"/>
      <c r="B158" s="1768"/>
      <c r="C158" s="1692"/>
      <c r="D158" s="1436"/>
      <c r="E158" s="1604"/>
      <c r="F158" s="1436"/>
      <c r="G158" s="1436"/>
      <c r="H158" s="1436"/>
      <c r="I158" s="1436"/>
      <c r="J158" s="1436"/>
      <c r="K158" s="1344"/>
      <c r="L158" s="1344"/>
      <c r="M158" s="1344"/>
      <c r="N158" s="1344"/>
      <c r="O158" s="1344"/>
      <c r="P158" s="1707"/>
      <c r="Q158" s="1707"/>
      <c r="R158" s="1707"/>
      <c r="S158" s="1344"/>
      <c r="T158" s="1344"/>
      <c r="U158" s="1753"/>
      <c r="V158" s="1344"/>
      <c r="W158" s="1344"/>
      <c r="X158" s="1344"/>
      <c r="Y158" s="1707"/>
      <c r="Z158" s="1344"/>
      <c r="AA158" s="1344"/>
      <c r="AB158" s="1709"/>
      <c r="AC158" s="1709"/>
      <c r="AD158" s="1707"/>
    </row>
    <row r="159" customFormat="false" ht="15.75" hidden="true" customHeight="true" outlineLevel="1" collapsed="false">
      <c r="A159" s="1634"/>
      <c r="B159" s="1768"/>
      <c r="C159" s="1692"/>
      <c r="D159" s="1436"/>
      <c r="E159" s="1604"/>
      <c r="F159" s="1436"/>
      <c r="G159" s="1436"/>
      <c r="H159" s="1436"/>
      <c r="I159" s="1436"/>
      <c r="J159" s="1436"/>
      <c r="K159" s="1344"/>
      <c r="L159" s="1344"/>
      <c r="M159" s="1344"/>
      <c r="N159" s="1344"/>
      <c r="O159" s="1344"/>
      <c r="P159" s="1707"/>
      <c r="Q159" s="1707"/>
      <c r="R159" s="1707"/>
      <c r="S159" s="1344"/>
      <c r="T159" s="1344"/>
      <c r="U159" s="1753"/>
      <c r="V159" s="1344"/>
      <c r="W159" s="1344"/>
      <c r="X159" s="1344"/>
      <c r="Y159" s="1707"/>
      <c r="Z159" s="1344"/>
      <c r="AA159" s="1344"/>
      <c r="AB159" s="1709"/>
      <c r="AC159" s="1709"/>
      <c r="AD159" s="1707"/>
    </row>
    <row r="160" customFormat="false" ht="15.75" hidden="true" customHeight="true" outlineLevel="1" collapsed="false">
      <c r="A160" s="1634"/>
      <c r="B160" s="1768"/>
      <c r="C160" s="1692"/>
      <c r="D160" s="1436"/>
      <c r="E160" s="1604"/>
      <c r="F160" s="1436"/>
      <c r="G160" s="1436"/>
      <c r="H160" s="1436"/>
      <c r="I160" s="1436"/>
      <c r="J160" s="1436"/>
      <c r="K160" s="1344"/>
      <c r="L160" s="1344"/>
      <c r="M160" s="1344"/>
      <c r="N160" s="1344"/>
      <c r="O160" s="1344"/>
      <c r="P160" s="1707"/>
      <c r="Q160" s="1707"/>
      <c r="R160" s="1707"/>
      <c r="S160" s="1344"/>
      <c r="T160" s="1344"/>
      <c r="U160" s="1753"/>
      <c r="V160" s="1344"/>
      <c r="W160" s="1344"/>
      <c r="X160" s="1344"/>
      <c r="Y160" s="1707"/>
      <c r="Z160" s="1344"/>
      <c r="AA160" s="1344"/>
      <c r="AB160" s="1709"/>
      <c r="AC160" s="1709"/>
      <c r="AD160" s="1707"/>
    </row>
    <row r="161" customFormat="false" ht="15.75" hidden="true" customHeight="true" outlineLevel="1" collapsed="false">
      <c r="A161" s="1634"/>
      <c r="B161" s="1768"/>
      <c r="C161" s="1692"/>
      <c r="D161" s="1436"/>
      <c r="E161" s="1604"/>
      <c r="F161" s="1436"/>
      <c r="G161" s="1436"/>
      <c r="H161" s="1436"/>
      <c r="I161" s="1436"/>
      <c r="J161" s="1436"/>
      <c r="K161" s="1344"/>
      <c r="L161" s="1344"/>
      <c r="M161" s="1344"/>
      <c r="N161" s="1344"/>
      <c r="O161" s="1344"/>
      <c r="P161" s="1707"/>
      <c r="Q161" s="1707"/>
      <c r="R161" s="1707"/>
      <c r="S161" s="1344"/>
      <c r="T161" s="1344"/>
      <c r="U161" s="1753"/>
      <c r="V161" s="1344"/>
      <c r="W161" s="1344"/>
      <c r="X161" s="1344"/>
      <c r="Y161" s="1707"/>
      <c r="Z161" s="1344"/>
      <c r="AA161" s="1344"/>
      <c r="AB161" s="1709"/>
      <c r="AC161" s="1709"/>
      <c r="AD161" s="1707"/>
    </row>
    <row r="162" customFormat="false" ht="15.75" hidden="true" customHeight="true" outlineLevel="1" collapsed="false">
      <c r="A162" s="1634"/>
      <c r="B162" s="1768"/>
      <c r="C162" s="1692"/>
      <c r="D162" s="1436"/>
      <c r="E162" s="1604"/>
      <c r="F162" s="1436"/>
      <c r="G162" s="1436"/>
      <c r="H162" s="1436"/>
      <c r="I162" s="1436"/>
      <c r="J162" s="1436"/>
      <c r="K162" s="1344"/>
      <c r="L162" s="1344"/>
      <c r="M162" s="1344"/>
      <c r="N162" s="1344"/>
      <c r="O162" s="1344"/>
      <c r="P162" s="1707"/>
      <c r="Q162" s="1707"/>
      <c r="R162" s="1707"/>
      <c r="S162" s="1344"/>
      <c r="T162" s="1344"/>
      <c r="U162" s="1753"/>
      <c r="V162" s="1344"/>
      <c r="W162" s="1344"/>
      <c r="X162" s="1344"/>
      <c r="Y162" s="1707"/>
      <c r="Z162" s="1344"/>
      <c r="AA162" s="1344"/>
      <c r="AB162" s="1709"/>
      <c r="AC162" s="1709"/>
      <c r="AD162" s="1707"/>
    </row>
    <row r="163" customFormat="false" ht="15.75" hidden="true" customHeight="true" outlineLevel="1" collapsed="false">
      <c r="A163" s="1634"/>
      <c r="B163" s="1768"/>
      <c r="C163" s="1692"/>
      <c r="D163" s="1436"/>
      <c r="E163" s="1604"/>
      <c r="F163" s="1436"/>
      <c r="G163" s="1436"/>
      <c r="H163" s="1436"/>
      <c r="I163" s="1436"/>
      <c r="J163" s="1436"/>
      <c r="K163" s="1344"/>
      <c r="L163" s="1344"/>
      <c r="M163" s="1344"/>
      <c r="N163" s="1344"/>
      <c r="O163" s="1344"/>
      <c r="P163" s="1707"/>
      <c r="Q163" s="1707"/>
      <c r="R163" s="1707"/>
      <c r="S163" s="1344"/>
      <c r="T163" s="1344"/>
      <c r="U163" s="1753"/>
      <c r="V163" s="1344"/>
      <c r="W163" s="1344"/>
      <c r="X163" s="1344"/>
      <c r="Y163" s="1707"/>
      <c r="Z163" s="1344"/>
      <c r="AA163" s="1344"/>
      <c r="AB163" s="1709"/>
      <c r="AC163" s="1709"/>
      <c r="AD163" s="1707"/>
    </row>
    <row r="164" customFormat="false" ht="15.75" hidden="true" customHeight="true" outlineLevel="1" collapsed="false">
      <c r="A164" s="1634"/>
      <c r="B164" s="1768"/>
      <c r="C164" s="1692"/>
      <c r="D164" s="1436"/>
      <c r="E164" s="1604"/>
      <c r="F164" s="1436"/>
      <c r="G164" s="1436"/>
      <c r="H164" s="1436"/>
      <c r="I164" s="1436"/>
      <c r="J164" s="1436"/>
      <c r="K164" s="1344"/>
      <c r="L164" s="1344"/>
      <c r="M164" s="1344"/>
      <c r="N164" s="1344"/>
      <c r="O164" s="1344"/>
      <c r="P164" s="1707"/>
      <c r="Q164" s="1707"/>
      <c r="R164" s="1707"/>
      <c r="S164" s="1344"/>
      <c r="T164" s="1344"/>
      <c r="U164" s="1753"/>
      <c r="V164" s="1344"/>
      <c r="W164" s="1344"/>
      <c r="X164" s="1344"/>
      <c r="Y164" s="1707"/>
      <c r="Z164" s="1344"/>
      <c r="AA164" s="1344"/>
      <c r="AB164" s="1709"/>
      <c r="AC164" s="1709"/>
      <c r="AD164" s="1707"/>
    </row>
    <row r="165" customFormat="false" ht="15.75" hidden="true" customHeight="true" outlineLevel="1" collapsed="false">
      <c r="A165" s="1634"/>
      <c r="B165" s="1768"/>
      <c r="C165" s="1692"/>
      <c r="D165" s="1436"/>
      <c r="E165" s="1604"/>
      <c r="F165" s="1436"/>
      <c r="G165" s="1436"/>
      <c r="H165" s="1436"/>
      <c r="I165" s="1436"/>
      <c r="J165" s="1436"/>
      <c r="K165" s="1344"/>
      <c r="L165" s="1344"/>
      <c r="M165" s="1344"/>
      <c r="N165" s="1344"/>
      <c r="O165" s="1344"/>
      <c r="P165" s="1707"/>
      <c r="Q165" s="1707"/>
      <c r="R165" s="1707"/>
      <c r="S165" s="1344"/>
      <c r="T165" s="1344"/>
      <c r="U165" s="1753"/>
      <c r="V165" s="1344"/>
      <c r="W165" s="1344"/>
      <c r="X165" s="1344"/>
      <c r="Y165" s="1707"/>
      <c r="Z165" s="1344"/>
      <c r="AA165" s="1344"/>
      <c r="AB165" s="1709"/>
      <c r="AC165" s="1709"/>
      <c r="AD165" s="1707"/>
    </row>
    <row r="166" customFormat="false" ht="15.75" hidden="true" customHeight="true" outlineLevel="1" collapsed="false">
      <c r="A166" s="1634"/>
      <c r="B166" s="1768"/>
      <c r="C166" s="1692"/>
      <c r="D166" s="1436"/>
      <c r="E166" s="1604"/>
      <c r="F166" s="1436"/>
      <c r="G166" s="1436"/>
      <c r="H166" s="1436"/>
      <c r="I166" s="1436"/>
      <c r="J166" s="1436"/>
      <c r="K166" s="1344"/>
      <c r="L166" s="1344"/>
      <c r="M166" s="1344"/>
      <c r="N166" s="1344"/>
      <c r="O166" s="1344"/>
      <c r="P166" s="1707"/>
      <c r="Q166" s="1707"/>
      <c r="R166" s="1707"/>
      <c r="S166" s="1344"/>
      <c r="T166" s="1344"/>
      <c r="U166" s="1753"/>
      <c r="V166" s="1344"/>
      <c r="W166" s="1344"/>
      <c r="X166" s="1344"/>
      <c r="Y166" s="1707"/>
      <c r="Z166" s="1344"/>
      <c r="AA166" s="1344"/>
      <c r="AB166" s="1709"/>
      <c r="AC166" s="1709"/>
      <c r="AD166" s="1707"/>
    </row>
    <row r="167" customFormat="false" ht="15.75" hidden="true" customHeight="true" outlineLevel="1" collapsed="false">
      <c r="A167" s="1634"/>
      <c r="B167" s="1768"/>
      <c r="C167" s="1692"/>
      <c r="D167" s="1436"/>
      <c r="E167" s="1604"/>
      <c r="F167" s="1436"/>
      <c r="G167" s="1436"/>
      <c r="H167" s="1436"/>
      <c r="I167" s="1436"/>
      <c r="J167" s="1436"/>
      <c r="K167" s="1344"/>
      <c r="L167" s="1344"/>
      <c r="M167" s="1344"/>
      <c r="N167" s="1344"/>
      <c r="O167" s="1344"/>
      <c r="P167" s="1707"/>
      <c r="Q167" s="1707"/>
      <c r="R167" s="1707"/>
      <c r="S167" s="1344"/>
      <c r="T167" s="1344"/>
      <c r="U167" s="1753"/>
      <c r="V167" s="1344"/>
      <c r="W167" s="1344"/>
      <c r="X167" s="1344"/>
      <c r="Y167" s="1707"/>
      <c r="Z167" s="1344"/>
      <c r="AA167" s="1344"/>
      <c r="AB167" s="1709"/>
      <c r="AC167" s="1709"/>
      <c r="AD167" s="1707"/>
    </row>
    <row r="168" customFormat="false" ht="15.75" hidden="true" customHeight="true" outlineLevel="1" collapsed="false">
      <c r="A168" s="1634"/>
      <c r="B168" s="1768"/>
      <c r="C168" s="1692"/>
      <c r="D168" s="1436"/>
      <c r="E168" s="1604"/>
      <c r="F168" s="1436"/>
      <c r="G168" s="1436"/>
      <c r="H168" s="1436"/>
      <c r="I168" s="1436"/>
      <c r="J168" s="1436"/>
      <c r="K168" s="1344"/>
      <c r="L168" s="1344"/>
      <c r="M168" s="1344"/>
      <c r="N168" s="1344"/>
      <c r="O168" s="1344"/>
      <c r="P168" s="1707"/>
      <c r="Q168" s="1707"/>
      <c r="R168" s="1707"/>
      <c r="S168" s="1344"/>
      <c r="T168" s="1344"/>
      <c r="U168" s="1753"/>
      <c r="V168" s="1344"/>
      <c r="W168" s="1344"/>
      <c r="X168" s="1344"/>
      <c r="Y168" s="1707"/>
      <c r="Z168" s="1344"/>
      <c r="AA168" s="1344"/>
      <c r="AB168" s="1709"/>
      <c r="AC168" s="1709"/>
      <c r="AD168" s="1707"/>
    </row>
    <row r="169" customFormat="false" ht="15.75" hidden="true" customHeight="true" outlineLevel="1" collapsed="false">
      <c r="A169" s="1634"/>
      <c r="B169" s="1768"/>
      <c r="C169" s="1692"/>
      <c r="D169" s="1436"/>
      <c r="E169" s="1604"/>
      <c r="F169" s="1436"/>
      <c r="G169" s="1436"/>
      <c r="H169" s="1436"/>
      <c r="I169" s="1436"/>
      <c r="J169" s="1436"/>
      <c r="K169" s="1344"/>
      <c r="L169" s="1344"/>
      <c r="M169" s="1344"/>
      <c r="N169" s="1344"/>
      <c r="O169" s="1344"/>
      <c r="P169" s="1707"/>
      <c r="Q169" s="1707"/>
      <c r="R169" s="1707"/>
      <c r="S169" s="1344"/>
      <c r="T169" s="1344"/>
      <c r="U169" s="1753"/>
      <c r="V169" s="1344"/>
      <c r="W169" s="1344"/>
      <c r="X169" s="1344"/>
      <c r="Y169" s="1707"/>
      <c r="Z169" s="1344"/>
      <c r="AA169" s="1344"/>
      <c r="AB169" s="1709"/>
      <c r="AC169" s="1709"/>
      <c r="AD169" s="1707"/>
    </row>
    <row r="170" customFormat="false" ht="15.75" hidden="true" customHeight="true" outlineLevel="1" collapsed="false">
      <c r="A170" s="1634"/>
      <c r="B170" s="1768"/>
      <c r="C170" s="1692"/>
      <c r="D170" s="1436"/>
      <c r="E170" s="1604"/>
      <c r="F170" s="1436"/>
      <c r="G170" s="1436"/>
      <c r="H170" s="1436"/>
      <c r="I170" s="1436"/>
      <c r="J170" s="1436"/>
      <c r="K170" s="1344"/>
      <c r="L170" s="1344"/>
      <c r="M170" s="1344"/>
      <c r="N170" s="1344"/>
      <c r="O170" s="1344"/>
      <c r="P170" s="1707"/>
      <c r="Q170" s="1707"/>
      <c r="R170" s="1707"/>
      <c r="S170" s="1344"/>
      <c r="T170" s="1344"/>
      <c r="U170" s="1753"/>
      <c r="V170" s="1344"/>
      <c r="W170" s="1344"/>
      <c r="X170" s="1344"/>
      <c r="Y170" s="1707"/>
      <c r="Z170" s="1344"/>
      <c r="AA170" s="1344"/>
      <c r="AB170" s="1709"/>
      <c r="AC170" s="1709"/>
      <c r="AD170" s="1707"/>
    </row>
    <row r="171" customFormat="false" ht="15.75" hidden="true" customHeight="true" outlineLevel="1" collapsed="false">
      <c r="A171" s="1634"/>
      <c r="B171" s="1768"/>
      <c r="C171" s="1692"/>
      <c r="D171" s="1436"/>
      <c r="E171" s="1604"/>
      <c r="F171" s="1436"/>
      <c r="G171" s="1436"/>
      <c r="H171" s="1436"/>
      <c r="I171" s="1436"/>
      <c r="J171" s="1436"/>
      <c r="K171" s="1344"/>
      <c r="L171" s="1344"/>
      <c r="M171" s="1344"/>
      <c r="N171" s="1344"/>
      <c r="O171" s="1344"/>
      <c r="P171" s="1707"/>
      <c r="Q171" s="1707"/>
      <c r="R171" s="1707"/>
      <c r="S171" s="1344"/>
      <c r="T171" s="1344"/>
      <c r="U171" s="1753"/>
      <c r="V171" s="1344"/>
      <c r="W171" s="1344"/>
      <c r="X171" s="1344"/>
      <c r="Y171" s="1707"/>
      <c r="Z171" s="1344"/>
      <c r="AA171" s="1344"/>
      <c r="AB171" s="1709"/>
      <c r="AC171" s="1709"/>
      <c r="AD171" s="1707"/>
    </row>
    <row r="172" customFormat="false" ht="15.75" hidden="true" customHeight="true" outlineLevel="1" collapsed="false">
      <c r="A172" s="1634"/>
      <c r="B172" s="1768"/>
      <c r="C172" s="1692"/>
      <c r="D172" s="1436"/>
      <c r="E172" s="1604"/>
      <c r="F172" s="1436"/>
      <c r="G172" s="1436"/>
      <c r="H172" s="1436"/>
      <c r="I172" s="1436"/>
      <c r="J172" s="1436"/>
      <c r="K172" s="1344"/>
      <c r="L172" s="1344"/>
      <c r="M172" s="1344"/>
      <c r="N172" s="1344"/>
      <c r="O172" s="1344"/>
      <c r="P172" s="1707"/>
      <c r="Q172" s="1707"/>
      <c r="R172" s="1707"/>
      <c r="S172" s="1344"/>
      <c r="T172" s="1344"/>
      <c r="U172" s="1753"/>
      <c r="V172" s="1344"/>
      <c r="W172" s="1344"/>
      <c r="X172" s="1344"/>
      <c r="Y172" s="1707"/>
      <c r="Z172" s="1344"/>
      <c r="AA172" s="1344"/>
      <c r="AB172" s="1709"/>
      <c r="AC172" s="1709"/>
      <c r="AD172" s="1707"/>
    </row>
    <row r="173" customFormat="false" ht="15.75" hidden="true" customHeight="true" outlineLevel="1" collapsed="false">
      <c r="A173" s="1634"/>
      <c r="B173" s="1768"/>
      <c r="C173" s="1692"/>
      <c r="D173" s="1436"/>
      <c r="E173" s="1604"/>
      <c r="F173" s="1436"/>
      <c r="G173" s="1436"/>
      <c r="H173" s="1436"/>
      <c r="I173" s="1436"/>
      <c r="J173" s="1436"/>
      <c r="K173" s="1344"/>
      <c r="L173" s="1344"/>
      <c r="M173" s="1344"/>
      <c r="N173" s="1344"/>
      <c r="O173" s="1344"/>
      <c r="P173" s="1707"/>
      <c r="Q173" s="1707"/>
      <c r="R173" s="1707"/>
      <c r="S173" s="1344"/>
      <c r="T173" s="1344"/>
      <c r="U173" s="1753"/>
      <c r="V173" s="1344"/>
      <c r="W173" s="1344"/>
      <c r="X173" s="1344"/>
      <c r="Y173" s="1707"/>
      <c r="Z173" s="1344"/>
      <c r="AA173" s="1344"/>
      <c r="AB173" s="1709"/>
      <c r="AC173" s="1709"/>
      <c r="AD173" s="1707"/>
    </row>
    <row r="174" customFormat="false" ht="15.75" hidden="true" customHeight="true" outlineLevel="1" collapsed="false">
      <c r="A174" s="1634"/>
      <c r="B174" s="1768"/>
      <c r="C174" s="1692"/>
      <c r="D174" s="1436"/>
      <c r="E174" s="1604"/>
      <c r="F174" s="1436"/>
      <c r="G174" s="1436"/>
      <c r="H174" s="1436"/>
      <c r="I174" s="1436"/>
      <c r="J174" s="1436"/>
      <c r="K174" s="1344"/>
      <c r="L174" s="1344"/>
      <c r="M174" s="1344"/>
      <c r="N174" s="1344"/>
      <c r="O174" s="1344"/>
      <c r="P174" s="1707"/>
      <c r="Q174" s="1707"/>
      <c r="R174" s="1707"/>
      <c r="S174" s="1344"/>
      <c r="T174" s="1344"/>
      <c r="U174" s="1753"/>
      <c r="V174" s="1344"/>
      <c r="W174" s="1344"/>
      <c r="X174" s="1344"/>
      <c r="Y174" s="1707"/>
      <c r="Z174" s="1344"/>
      <c r="AA174" s="1344"/>
      <c r="AB174" s="1709"/>
      <c r="AC174" s="1709"/>
      <c r="AD174" s="1707"/>
    </row>
    <row r="175" customFormat="false" ht="15.75" hidden="true" customHeight="true" outlineLevel="1" collapsed="false">
      <c r="A175" s="1634"/>
      <c r="B175" s="1768"/>
      <c r="C175" s="1692"/>
      <c r="D175" s="1436"/>
      <c r="E175" s="1604"/>
      <c r="F175" s="1436"/>
      <c r="G175" s="1436"/>
      <c r="H175" s="1436"/>
      <c r="I175" s="1436"/>
      <c r="J175" s="1436"/>
      <c r="K175" s="1344"/>
      <c r="L175" s="1344"/>
      <c r="M175" s="1344"/>
      <c r="N175" s="1344"/>
      <c r="O175" s="1344"/>
      <c r="P175" s="1707"/>
      <c r="Q175" s="1707"/>
      <c r="R175" s="1707"/>
      <c r="S175" s="1344"/>
      <c r="T175" s="1344"/>
      <c r="U175" s="1753"/>
      <c r="V175" s="1344"/>
      <c r="W175" s="1344"/>
      <c r="X175" s="1344"/>
      <c r="Y175" s="1707"/>
      <c r="Z175" s="1344"/>
      <c r="AA175" s="1344"/>
      <c r="AB175" s="1709"/>
      <c r="AC175" s="1709"/>
      <c r="AD175" s="1707"/>
    </row>
    <row r="176" customFormat="false" ht="15.75" hidden="true" customHeight="true" outlineLevel="1" collapsed="false">
      <c r="A176" s="1634"/>
      <c r="B176" s="1768"/>
      <c r="C176" s="1692"/>
      <c r="D176" s="1436"/>
      <c r="E176" s="1604"/>
      <c r="F176" s="1436"/>
      <c r="G176" s="1436"/>
      <c r="H176" s="1436"/>
      <c r="I176" s="1436"/>
      <c r="J176" s="1436"/>
      <c r="K176" s="1344"/>
      <c r="L176" s="1344"/>
      <c r="M176" s="1344"/>
      <c r="N176" s="1344"/>
      <c r="O176" s="1344"/>
      <c r="P176" s="1707"/>
      <c r="Q176" s="1707"/>
      <c r="R176" s="1707"/>
      <c r="S176" s="1344"/>
      <c r="T176" s="1344"/>
      <c r="U176" s="1753"/>
      <c r="V176" s="1344"/>
      <c r="W176" s="1344"/>
      <c r="X176" s="1344"/>
      <c r="Y176" s="1707"/>
      <c r="Z176" s="1344"/>
      <c r="AA176" s="1344"/>
      <c r="AB176" s="1709"/>
      <c r="AC176" s="1709"/>
      <c r="AD176" s="1707"/>
    </row>
    <row r="177" customFormat="false" ht="15.75" hidden="true" customHeight="true" outlineLevel="1" collapsed="false">
      <c r="A177" s="1634"/>
      <c r="B177" s="1768"/>
      <c r="C177" s="1692"/>
      <c r="D177" s="1436"/>
      <c r="E177" s="1604"/>
      <c r="F177" s="1436"/>
      <c r="G177" s="1436"/>
      <c r="H177" s="1436"/>
      <c r="I177" s="1436"/>
      <c r="J177" s="1436"/>
      <c r="K177" s="1344"/>
      <c r="L177" s="1344"/>
      <c r="M177" s="1344"/>
      <c r="N177" s="1344"/>
      <c r="O177" s="1344"/>
      <c r="P177" s="1707"/>
      <c r="Q177" s="1707"/>
      <c r="R177" s="1707"/>
      <c r="S177" s="1344"/>
      <c r="T177" s="1344"/>
      <c r="U177" s="1753"/>
      <c r="V177" s="1344"/>
      <c r="W177" s="1344"/>
      <c r="X177" s="1344"/>
      <c r="Y177" s="1707"/>
      <c r="Z177" s="1344"/>
      <c r="AA177" s="1344"/>
      <c r="AB177" s="1709"/>
      <c r="AC177" s="1709"/>
      <c r="AD177" s="1707"/>
    </row>
    <row r="178" customFormat="false" ht="15.75" hidden="true" customHeight="true" outlineLevel="1" collapsed="false">
      <c r="A178" s="1634" t="s">
        <v>3160</v>
      </c>
      <c r="B178" s="1768" t="s">
        <v>15</v>
      </c>
      <c r="C178" s="1692" t="n">
        <f aca="false">$C$151</f>
        <v>0.145</v>
      </c>
      <c r="D178" s="1436" t="n">
        <f aca="false">VLOOKUP('Ввод данных'!A1117,связи1!A406:G415,7,0)</f>
        <v>0.045</v>
      </c>
      <c r="E178" s="1604" t="n">
        <f aca="false">P379+Q379+P389+Q389</f>
        <v>0</v>
      </c>
      <c r="F178" s="1436" t="n">
        <f aca="false">1</f>
        <v>1</v>
      </c>
      <c r="G178" s="1436" t="n">
        <f aca="false">C178*D178*E178*(IF('Ввод данных'!A19=связи1!A150,1,0))</f>
        <v>0</v>
      </c>
      <c r="H178" s="1436"/>
      <c r="I178" s="1436"/>
      <c r="J178" s="1436"/>
      <c r="K178" s="1344"/>
      <c r="L178" s="1344"/>
      <c r="M178" s="1344"/>
      <c r="N178" s="1344"/>
      <c r="O178" s="1344"/>
      <c r="P178" s="1707"/>
      <c r="Q178" s="1707"/>
      <c r="R178" s="1707"/>
      <c r="S178" s="1344"/>
      <c r="T178" s="1344"/>
      <c r="U178" s="1753"/>
      <c r="V178" s="1344"/>
      <c r="W178" s="1344"/>
      <c r="X178" s="1344"/>
      <c r="Y178" s="1707"/>
      <c r="Z178" s="1344"/>
      <c r="AA178" s="1344"/>
      <c r="AB178" s="1709"/>
      <c r="AC178" s="1709"/>
      <c r="AD178" s="1707"/>
    </row>
    <row r="179" customFormat="false" ht="15.75" hidden="true" customHeight="true" outlineLevel="1" collapsed="false">
      <c r="A179" s="1634" t="s">
        <v>3161</v>
      </c>
      <c r="B179" s="1768" t="s">
        <v>15</v>
      </c>
      <c r="C179" s="1692" t="n">
        <f aca="false">$C$151</f>
        <v>0.145</v>
      </c>
      <c r="D179" s="1436" t="n">
        <f aca="false">VLOOKUP('Ввод данных'!A1117,связи1!A406:G415,7,0)</f>
        <v>0.045</v>
      </c>
      <c r="E179" s="1604" t="n">
        <f aca="false">R379+R389</f>
        <v>0</v>
      </c>
      <c r="F179" s="1436" t="n">
        <f aca="false">1</f>
        <v>1</v>
      </c>
      <c r="G179" s="1436" t="n">
        <f aca="false">C179*D179*E179*(IF('Ввод данных'!A19=связи1!A150,1,0))</f>
        <v>0</v>
      </c>
      <c r="H179" s="1436"/>
      <c r="I179" s="1436"/>
      <c r="J179" s="1436"/>
      <c r="K179" s="1344"/>
      <c r="L179" s="1344"/>
      <c r="M179" s="1344"/>
      <c r="N179" s="1344"/>
      <c r="O179" s="1344"/>
      <c r="P179" s="1707"/>
      <c r="Q179" s="1707"/>
      <c r="R179" s="1707"/>
      <c r="S179" s="1344"/>
      <c r="T179" s="1344"/>
      <c r="U179" s="1753"/>
      <c r="V179" s="1344"/>
      <c r="W179" s="1344"/>
      <c r="X179" s="1344"/>
      <c r="Y179" s="1707"/>
      <c r="Z179" s="1344"/>
      <c r="AA179" s="1344"/>
      <c r="AB179" s="1709"/>
      <c r="AC179" s="1709"/>
      <c r="AD179" s="1707"/>
    </row>
    <row r="180" customFormat="false" ht="15.75" hidden="true" customHeight="true" outlineLevel="1" collapsed="false">
      <c r="A180" s="1634" t="s">
        <v>3162</v>
      </c>
      <c r="B180" s="1768" t="s">
        <v>15</v>
      </c>
      <c r="C180" s="1692" t="n">
        <f aca="false">VLOOKUP('Ввод данных'!A1119,связи1!A406:G415,6,0)</f>
        <v>0.1</v>
      </c>
      <c r="D180" s="1436" t="n">
        <f aca="false">VLOOKUP('Ввод данных'!A1119,связи1!A406:G415,7,0)</f>
        <v>0.045</v>
      </c>
      <c r="E180" s="1604" t="n">
        <f aca="false">E380</f>
        <v>2.8</v>
      </c>
      <c r="F180" s="1436" t="n">
        <f aca="false">I384+I394</f>
        <v>0</v>
      </c>
      <c r="G180" s="1436" t="n">
        <f aca="false">C180*D180*E180*F180*(IF('Ввод данных'!A19=связи1!A150,1,0))</f>
        <v>0</v>
      </c>
      <c r="H180" s="1436"/>
      <c r="I180" s="1436"/>
      <c r="J180" s="1436"/>
      <c r="K180" s="1344"/>
      <c r="L180" s="1344"/>
      <c r="M180" s="1344"/>
      <c r="N180" s="1344"/>
      <c r="O180" s="1344"/>
      <c r="P180" s="1707"/>
      <c r="Q180" s="1707"/>
      <c r="R180" s="1707"/>
      <c r="S180" s="1344"/>
      <c r="T180" s="1344"/>
      <c r="U180" s="1753"/>
      <c r="V180" s="1344"/>
      <c r="W180" s="1344"/>
      <c r="X180" s="1344"/>
      <c r="Y180" s="1707"/>
      <c r="Z180" s="1344"/>
      <c r="AA180" s="1344"/>
      <c r="AB180" s="1709"/>
      <c r="AC180" s="1709"/>
      <c r="AD180" s="1707"/>
    </row>
    <row r="181" customFormat="false" ht="15.75" hidden="true" customHeight="true" outlineLevel="1" collapsed="false">
      <c r="A181" s="1634" t="s">
        <v>3163</v>
      </c>
      <c r="B181" s="1768" t="s">
        <v>15</v>
      </c>
      <c r="C181" s="1692" t="n">
        <f aca="false">$C$180</f>
        <v>0.1</v>
      </c>
      <c r="D181" s="1436" t="n">
        <f aca="false">$D$180</f>
        <v>0.045</v>
      </c>
      <c r="E181" s="1604" t="n">
        <f aca="false">P384+Q384+P394+Q394</f>
        <v>0</v>
      </c>
      <c r="F181" s="1436" t="n">
        <f aca="false">1</f>
        <v>1</v>
      </c>
      <c r="G181" s="1436" t="n">
        <f aca="false">C181*D181*E181*(IF('Ввод данных'!A19=связи1!A150,1,0))</f>
        <v>0</v>
      </c>
      <c r="H181" s="1436"/>
      <c r="I181" s="1436"/>
      <c r="J181" s="1436"/>
      <c r="K181" s="1344"/>
      <c r="L181" s="1344"/>
      <c r="M181" s="1344"/>
      <c r="N181" s="1344"/>
      <c r="O181" s="1344"/>
      <c r="P181" s="1707"/>
      <c r="Q181" s="1707"/>
      <c r="R181" s="1707"/>
      <c r="S181" s="1344"/>
      <c r="T181" s="1344"/>
      <c r="U181" s="1753"/>
      <c r="V181" s="1344"/>
      <c r="W181" s="1344"/>
      <c r="X181" s="1344"/>
      <c r="Y181" s="1707"/>
      <c r="Z181" s="1344"/>
      <c r="AA181" s="1344"/>
      <c r="AB181" s="1709"/>
      <c r="AC181" s="1709"/>
      <c r="AD181" s="1707"/>
    </row>
    <row r="182" customFormat="false" ht="15.75" hidden="true" customHeight="true" outlineLevel="1" collapsed="false">
      <c r="A182" s="1769" t="s">
        <v>3164</v>
      </c>
      <c r="B182" s="1768" t="s">
        <v>15</v>
      </c>
      <c r="C182" s="1692" t="n">
        <f aca="false">$C$143</f>
        <v>0.145</v>
      </c>
      <c r="D182" s="1436" t="n">
        <f aca="false">$D$143</f>
        <v>0.045</v>
      </c>
      <c r="E182" s="1604" t="n">
        <f aca="false">2</f>
        <v>2</v>
      </c>
      <c r="F182" s="1604" t="n">
        <f aca="false">16+12*D141</f>
        <v>16</v>
      </c>
      <c r="G182" s="1436" t="n">
        <f aca="false">C182*D182*E182*F182*(IF('Ввод данных'!A19=связи1!A150,1,0))</f>
        <v>0</v>
      </c>
      <c r="H182" s="1436"/>
      <c r="I182" s="1436"/>
      <c r="J182" s="1436"/>
      <c r="K182" s="1344"/>
      <c r="L182" s="1344"/>
      <c r="M182" s="1344"/>
      <c r="N182" s="1344"/>
      <c r="O182" s="1344"/>
      <c r="P182" s="1707"/>
      <c r="Q182" s="1707"/>
      <c r="R182" s="1707"/>
      <c r="S182" s="1344"/>
      <c r="T182" s="1344"/>
      <c r="U182" s="1753"/>
      <c r="V182" s="1344"/>
      <c r="W182" s="1344"/>
      <c r="X182" s="1344"/>
      <c r="Y182" s="1707"/>
      <c r="Z182" s="1344"/>
      <c r="AA182" s="1344"/>
      <c r="AB182" s="1709"/>
      <c r="AC182" s="1709"/>
      <c r="AD182" s="1707"/>
    </row>
    <row r="183" customFormat="false" ht="15.75" hidden="true" customHeight="true" outlineLevel="1" collapsed="false">
      <c r="A183" s="1436" t="s">
        <v>3165</v>
      </c>
      <c r="B183" s="1768" t="s">
        <v>15</v>
      </c>
      <c r="C183" s="1692" t="n">
        <f aca="false">$C$143</f>
        <v>0.145</v>
      </c>
      <c r="D183" s="1436" t="n">
        <f aca="false">$D$143</f>
        <v>0.045</v>
      </c>
      <c r="E183" s="1186" t="n">
        <f aca="false">IF('Ввод данных'!A17=связи1!A94,E133-C125+0.1,0)+IF('Ввод данных'!A17=связи1!A97,C125,0)</f>
        <v>0</v>
      </c>
      <c r="F183" s="1186" t="n">
        <f aca="false">IF(E183&lt;($E$133+0.5),1,0)*$D$141*IF('Ввод данных'!$A$101=связи1!$A$128,2,2)*IF(связи1!$H$91=связи1!$A$2,1,0)</f>
        <v>0</v>
      </c>
      <c r="G183" s="1436" t="n">
        <f aca="false">C183*D183*E183*F183*(IF('Ввод данных'!A19=связи1!A150,1,0))</f>
        <v>0</v>
      </c>
      <c r="H183" s="1436"/>
      <c r="I183" s="1436"/>
      <c r="J183" s="1436"/>
      <c r="K183" s="1344"/>
      <c r="L183" s="1344"/>
      <c r="M183" s="1344"/>
      <c r="N183" s="1344"/>
      <c r="O183" s="1344"/>
      <c r="P183" s="1707"/>
      <c r="Q183" s="1707"/>
      <c r="R183" s="1707"/>
      <c r="S183" s="1344"/>
      <c r="T183" s="1344"/>
      <c r="U183" s="1753"/>
      <c r="V183" s="1344"/>
      <c r="W183" s="1344"/>
      <c r="X183" s="1344"/>
      <c r="Y183" s="1707"/>
      <c r="Z183" s="1344"/>
      <c r="AA183" s="1344"/>
      <c r="AB183" s="1709"/>
      <c r="AC183" s="1709"/>
      <c r="AD183" s="1707"/>
    </row>
    <row r="184" customFormat="false" ht="15.75" hidden="true" customHeight="true" outlineLevel="1" collapsed="false">
      <c r="A184" s="1436" t="s">
        <v>3166</v>
      </c>
      <c r="B184" s="1683" t="s">
        <v>15</v>
      </c>
      <c r="C184" s="1692" t="n">
        <f aca="false">$C$143</f>
        <v>0.145</v>
      </c>
      <c r="D184" s="1436" t="n">
        <f aca="false">$D$143</f>
        <v>0.045</v>
      </c>
      <c r="E184" s="1436" t="n">
        <f aca="false">IF('Ввод данных'!$A$17=связи1!$A$94,IF(дома!E183+0.05-дома!$C$136&lt;0,0,дома!E183+0.05-дома!$C$136),0)+IF(E183=0,0,IF('Ввод данных'!$A$17=связи1!$A$97,IF(дома!E183+0.05+дома!$C$136&gt;дома!$E$137+0.5,0,дома!E183+0.05+дома!$C$136),0))</f>
        <v>0</v>
      </c>
      <c r="F184" s="1186" t="n">
        <f aca="false">IF(E184&lt;($E$133+0.5),1,0)*$D$141*IF('Ввод данных'!$A$101=связи1!$A$128,2,2)*IF(связи1!$H$91=связи1!$A$2,1,0)</f>
        <v>0</v>
      </c>
      <c r="G184" s="1436" t="n">
        <f aca="false">C184*D184*E184*F184</f>
        <v>0</v>
      </c>
      <c r="H184" s="1436"/>
      <c r="I184" s="1436"/>
      <c r="J184" s="1436"/>
      <c r="K184" s="1344"/>
      <c r="L184" s="1344"/>
      <c r="M184" s="1344"/>
      <c r="N184" s="1344"/>
      <c r="O184" s="1344"/>
      <c r="P184" s="1707"/>
      <c r="Q184" s="1707"/>
      <c r="R184" s="1707"/>
      <c r="S184" s="1344"/>
      <c r="T184" s="1344"/>
      <c r="U184" s="1753"/>
      <c r="V184" s="1344"/>
      <c r="W184" s="1344"/>
      <c r="X184" s="1344"/>
      <c r="Y184" s="1707"/>
      <c r="Z184" s="1344"/>
      <c r="AA184" s="1344"/>
      <c r="AB184" s="1709"/>
      <c r="AC184" s="1709"/>
      <c r="AD184" s="1707"/>
    </row>
    <row r="185" customFormat="false" ht="15.75" hidden="true" customHeight="true" outlineLevel="1" collapsed="false">
      <c r="A185" s="1436" t="s">
        <v>3167</v>
      </c>
      <c r="B185" s="1683" t="s">
        <v>15</v>
      </c>
      <c r="C185" s="1692" t="n">
        <f aca="false">$C$143</f>
        <v>0.145</v>
      </c>
      <c r="D185" s="1436" t="n">
        <f aca="false">$D$143</f>
        <v>0.045</v>
      </c>
      <c r="E185" s="1436" t="n">
        <f aca="false">IF('Ввод данных'!$A$17=связи1!$A$94,IF(дома!E184+0.05-дома!$C$136&lt;0,0,дома!E184+0.05-дома!$C$136),0)+IF(E184=0,0,IF('Ввод данных'!$A$17=связи1!$A$97,IF(дома!E184+0.05+дома!$C$136&gt;дома!$E$137+0.5,0,дома!E184+0.05+дома!$C$136),0))</f>
        <v>0</v>
      </c>
      <c r="F185" s="1186" t="n">
        <f aca="false">IF(E185&lt;($E$133+0.5),1,0)*$D$141*IF('Ввод данных'!$A$101=связи1!$A$128,2,2)*IF(связи1!$H$91=связи1!$A$2,1,0)</f>
        <v>0</v>
      </c>
      <c r="G185" s="1436" t="n">
        <f aca="false">C185*D185*E185*F185</f>
        <v>0</v>
      </c>
      <c r="H185" s="1436"/>
      <c r="I185" s="1436"/>
      <c r="J185" s="1436"/>
      <c r="K185" s="1344"/>
      <c r="L185" s="1344"/>
      <c r="M185" s="1344"/>
      <c r="N185" s="1344"/>
      <c r="O185" s="1344"/>
      <c r="P185" s="1707"/>
      <c r="Q185" s="1707"/>
      <c r="R185" s="1707"/>
      <c r="S185" s="1344"/>
      <c r="T185" s="1344"/>
      <c r="U185" s="1753"/>
      <c r="V185" s="1344"/>
      <c r="W185" s="1344"/>
      <c r="X185" s="1344"/>
      <c r="Y185" s="1707"/>
      <c r="Z185" s="1344"/>
      <c r="AA185" s="1344"/>
      <c r="AB185" s="1709"/>
      <c r="AC185" s="1709"/>
      <c r="AD185" s="1707"/>
    </row>
    <row r="186" customFormat="false" ht="15.75" hidden="true" customHeight="true" outlineLevel="1" collapsed="false">
      <c r="A186" s="1436" t="s">
        <v>3168</v>
      </c>
      <c r="B186" s="1683" t="s">
        <v>15</v>
      </c>
      <c r="C186" s="1692" t="n">
        <f aca="false">$C$143</f>
        <v>0.145</v>
      </c>
      <c r="D186" s="1436" t="n">
        <f aca="false">$D$143</f>
        <v>0.045</v>
      </c>
      <c r="E186" s="1436" t="n">
        <f aca="false">IF('Ввод данных'!$A$17=связи1!$A$94,IF(дома!E185+0.05-дома!$C$136&lt;0,0,дома!E185+0.05-дома!$C$136),0)+IF(E185=0,0,IF('Ввод данных'!$A$17=связи1!$A$97,IF(дома!E185+0.05+дома!$C$136&gt;дома!$E$137+0.5,0,дома!E185+0.05+дома!$C$136),0))</f>
        <v>0</v>
      </c>
      <c r="F186" s="1186" t="n">
        <f aca="false">IF(E186&lt;($E$133+0.5),1,0)*$D$141*IF('Ввод данных'!$A$101=связи1!$A$128,2,2)*IF(связи1!$H$91=связи1!$A$2,1,0)</f>
        <v>0</v>
      </c>
      <c r="G186" s="1436" t="n">
        <f aca="false">C186*D186*E186*F186</f>
        <v>0</v>
      </c>
      <c r="H186" s="1436"/>
      <c r="I186" s="1436"/>
      <c r="J186" s="1436"/>
      <c r="K186" s="1344"/>
      <c r="L186" s="1344"/>
      <c r="M186" s="1344"/>
      <c r="N186" s="1344"/>
      <c r="O186" s="1344"/>
      <c r="P186" s="1707"/>
      <c r="Q186" s="1707"/>
      <c r="R186" s="1707"/>
      <c r="S186" s="1344"/>
      <c r="T186" s="1344"/>
      <c r="U186" s="1753"/>
      <c r="V186" s="1344"/>
      <c r="W186" s="1344"/>
      <c r="X186" s="1344"/>
      <c r="Y186" s="1707"/>
      <c r="Z186" s="1344"/>
      <c r="AA186" s="1344"/>
      <c r="AB186" s="1709"/>
      <c r="AC186" s="1709"/>
      <c r="AD186" s="1707"/>
    </row>
    <row r="187" customFormat="false" ht="15.75" hidden="true" customHeight="true" outlineLevel="1" collapsed="false">
      <c r="A187" s="1436" t="s">
        <v>3169</v>
      </c>
      <c r="B187" s="1683" t="s">
        <v>15</v>
      </c>
      <c r="C187" s="1692" t="n">
        <f aca="false">$C$143</f>
        <v>0.145</v>
      </c>
      <c r="D187" s="1436" t="n">
        <f aca="false">$D$143</f>
        <v>0.045</v>
      </c>
      <c r="E187" s="1436" t="n">
        <f aca="false">IF('Ввод данных'!$A$17=связи1!$A$94,IF(дома!E186+0.05-дома!$C$136&lt;0,0,дома!E186+0.05-дома!$C$136),0)+IF(E186=0,0,IF('Ввод данных'!$A$17=связи1!$A$97,IF(дома!E186+0.05+дома!$C$136&gt;дома!$E$137+0.5,0,дома!E186+0.05+дома!$C$136),0))</f>
        <v>0</v>
      </c>
      <c r="F187" s="1186" t="n">
        <f aca="false">IF(E187&lt;($E$133+0.5),1,0)*$D$141*IF('Ввод данных'!$A$101=связи1!$A$128,2,2)*IF(связи1!$H$91=связи1!$A$2,1,0)</f>
        <v>0</v>
      </c>
      <c r="G187" s="1436" t="n">
        <f aca="false">C187*D187*E187*F187</f>
        <v>0</v>
      </c>
      <c r="H187" s="1436"/>
      <c r="I187" s="1436"/>
      <c r="J187" s="1436"/>
      <c r="K187" s="1344"/>
      <c r="L187" s="1344"/>
      <c r="M187" s="1344"/>
      <c r="N187" s="1344"/>
      <c r="O187" s="1344"/>
      <c r="P187" s="1707"/>
      <c r="Q187" s="1707"/>
      <c r="R187" s="1707"/>
      <c r="S187" s="1344"/>
      <c r="T187" s="1344"/>
      <c r="U187" s="1753"/>
      <c r="V187" s="1344"/>
      <c r="W187" s="1344"/>
      <c r="X187" s="1344"/>
      <c r="Y187" s="1707"/>
      <c r="Z187" s="1344"/>
      <c r="AA187" s="1344"/>
      <c r="AB187" s="1709"/>
      <c r="AC187" s="1709"/>
      <c r="AD187" s="1707"/>
    </row>
    <row r="188" customFormat="false" ht="15.75" hidden="true" customHeight="true" outlineLevel="1" collapsed="false">
      <c r="A188" s="1436" t="s">
        <v>3170</v>
      </c>
      <c r="B188" s="1683" t="s">
        <v>15</v>
      </c>
      <c r="C188" s="1692" t="n">
        <f aca="false">$C$143</f>
        <v>0.145</v>
      </c>
      <c r="D188" s="1436" t="n">
        <f aca="false">$D$143</f>
        <v>0.045</v>
      </c>
      <c r="E188" s="1436" t="n">
        <f aca="false">IF('Ввод данных'!$A$17=связи1!$A$94,IF(дома!E187+0.05-дома!$C$136&lt;0,0,дома!E187+0.05-дома!$C$136),0)+IF(E187=0,0,IF('Ввод данных'!$A$17=связи1!$A$97,IF(дома!E187+0.05+дома!$C$136&gt;дома!$E$137+0.5,0,дома!E187+0.05+дома!$C$136),0))</f>
        <v>0</v>
      </c>
      <c r="F188" s="1186" t="n">
        <f aca="false">IF(E188&lt;($E$133+0.5),1,0)*$D$141*IF('Ввод данных'!$A$101=связи1!$A$128,2,2)*IF(связи1!$H$91=связи1!$A$2,1,0)</f>
        <v>0</v>
      </c>
      <c r="G188" s="1436" t="n">
        <f aca="false">C188*D188*E188*F188</f>
        <v>0</v>
      </c>
      <c r="H188" s="1436"/>
      <c r="I188" s="1436"/>
      <c r="J188" s="1436"/>
      <c r="K188" s="1344"/>
      <c r="L188" s="1344"/>
      <c r="M188" s="1344"/>
      <c r="N188" s="1344"/>
      <c r="O188" s="1344"/>
      <c r="P188" s="1707"/>
      <c r="Q188" s="1707"/>
      <c r="R188" s="1707"/>
      <c r="S188" s="1344"/>
      <c r="T188" s="1344"/>
      <c r="U188" s="1753"/>
      <c r="V188" s="1344"/>
      <c r="W188" s="1344"/>
      <c r="X188" s="1344"/>
      <c r="Y188" s="1707"/>
      <c r="Z188" s="1344"/>
      <c r="AA188" s="1344"/>
      <c r="AB188" s="1709"/>
      <c r="AC188" s="1709"/>
      <c r="AD188" s="1707"/>
    </row>
    <row r="189" customFormat="false" ht="15.75" hidden="true" customHeight="true" outlineLevel="1" collapsed="false">
      <c r="A189" s="1436" t="s">
        <v>3171</v>
      </c>
      <c r="B189" s="1683" t="s">
        <v>15</v>
      </c>
      <c r="C189" s="1692" t="n">
        <f aca="false">$C$143</f>
        <v>0.145</v>
      </c>
      <c r="D189" s="1436" t="n">
        <f aca="false">$D$143</f>
        <v>0.045</v>
      </c>
      <c r="E189" s="1436" t="n">
        <f aca="false">IF('Ввод данных'!$A$17=связи1!$A$94,IF(дома!E188+0.05-дома!$C$136&lt;0,0,дома!E188+0.05-дома!$C$136),0)+IF(E188=0,0,IF('Ввод данных'!$A$17=связи1!$A$97,IF(дома!E188+0.05+дома!$C$136&gt;дома!$E$137+0.5,0,дома!E188+0.05+дома!$C$136),0))</f>
        <v>0</v>
      </c>
      <c r="F189" s="1186" t="n">
        <f aca="false">IF(E189&lt;($E$133+0.5),1,0)*$D$141*IF('Ввод данных'!$A$101=связи1!$A$128,2,2)*IF(связи1!$H$91=связи1!$A$2,1,0)</f>
        <v>0</v>
      </c>
      <c r="G189" s="1436" t="n">
        <f aca="false">C189*D189*E189*F189</f>
        <v>0</v>
      </c>
      <c r="H189" s="1436"/>
      <c r="I189" s="1436"/>
      <c r="J189" s="1436"/>
      <c r="K189" s="1344"/>
      <c r="L189" s="1344"/>
      <c r="M189" s="1344"/>
      <c r="N189" s="1344"/>
      <c r="O189" s="1344"/>
      <c r="P189" s="1707"/>
      <c r="Q189" s="1707"/>
      <c r="R189" s="1707"/>
      <c r="S189" s="1344"/>
      <c r="T189" s="1344"/>
      <c r="U189" s="1753"/>
      <c r="V189" s="1344"/>
      <c r="W189" s="1344"/>
      <c r="X189" s="1344"/>
      <c r="Y189" s="1707"/>
      <c r="Z189" s="1344"/>
      <c r="AA189" s="1344"/>
      <c r="AB189" s="1709"/>
      <c r="AC189" s="1709"/>
      <c r="AD189" s="1707"/>
    </row>
    <row r="190" customFormat="false" ht="15.75" hidden="true" customHeight="true" outlineLevel="1" collapsed="false">
      <c r="A190" s="1436" t="s">
        <v>3172</v>
      </c>
      <c r="B190" s="1683" t="s">
        <v>15</v>
      </c>
      <c r="C190" s="1692" t="n">
        <f aca="false">$C$143</f>
        <v>0.145</v>
      </c>
      <c r="D190" s="1436" t="n">
        <f aca="false">$D$143</f>
        <v>0.045</v>
      </c>
      <c r="E190" s="1436" t="n">
        <f aca="false">IF('Ввод данных'!$A$17=связи1!$A$94,IF(дома!E189+0.05-дома!$C$136&lt;0,0,дома!E189+0.05-дома!$C$136),0)+IF(E189=0,0,IF('Ввод данных'!$A$17=связи1!$A$97,IF(дома!E189+0.05+дома!$C$136&gt;дома!$E$137+0.5,0,дома!E189+0.05+дома!$C$136),0))</f>
        <v>0</v>
      </c>
      <c r="F190" s="1186" t="n">
        <f aca="false">IF(E190&lt;($E$133+0.5),1,0)*$D$141*IF('Ввод данных'!$A$101=связи1!$A$128,2,2)*IF(связи1!$H$91=связи1!$A$2,1,0)</f>
        <v>0</v>
      </c>
      <c r="G190" s="1436" t="n">
        <f aca="false">C190*D190*E190*F190</f>
        <v>0</v>
      </c>
      <c r="H190" s="1436"/>
      <c r="I190" s="1436"/>
      <c r="J190" s="1436"/>
      <c r="K190" s="1344"/>
      <c r="L190" s="1344"/>
      <c r="M190" s="1344"/>
      <c r="N190" s="1344"/>
      <c r="O190" s="1344"/>
      <c r="P190" s="1707"/>
      <c r="Q190" s="1707"/>
      <c r="R190" s="1707"/>
      <c r="S190" s="1344"/>
      <c r="T190" s="1344"/>
      <c r="U190" s="1753"/>
      <c r="V190" s="1344"/>
      <c r="W190" s="1344"/>
      <c r="X190" s="1344"/>
      <c r="Y190" s="1707"/>
      <c r="Z190" s="1344"/>
      <c r="AA190" s="1344"/>
      <c r="AB190" s="1709"/>
      <c r="AC190" s="1709"/>
      <c r="AD190" s="1707"/>
    </row>
    <row r="191" customFormat="false" ht="15.75" hidden="true" customHeight="true" outlineLevel="1" collapsed="false">
      <c r="A191" s="1436" t="s">
        <v>3173</v>
      </c>
      <c r="B191" s="1683" t="s">
        <v>15</v>
      </c>
      <c r="C191" s="1692" t="n">
        <f aca="false">$C$143</f>
        <v>0.145</v>
      </c>
      <c r="D191" s="1436" t="n">
        <f aca="false">$D$143</f>
        <v>0.045</v>
      </c>
      <c r="E191" s="1436" t="n">
        <f aca="false">IF('Ввод данных'!$A$17=связи1!$A$94,IF(дома!E190+0.05-дома!$C$136&lt;0,0,дома!E190+0.05-дома!$C$136),0)+IF(E190=0,0,IF('Ввод данных'!$A$17=связи1!$A$97,IF(дома!E190+0.05+дома!$C$136&gt;дома!$E$137+0.5,0,дома!E190+0.05+дома!$C$136),0))</f>
        <v>0</v>
      </c>
      <c r="F191" s="1186" t="n">
        <f aca="false">IF(E191&lt;($E$133+0.5),1,0)*$D$141*IF('Ввод данных'!$A$101=связи1!$A$128,2,2)*IF(связи1!$H$91=связи1!$A$2,1,0)</f>
        <v>0</v>
      </c>
      <c r="G191" s="1436" t="n">
        <f aca="false">C191*D191*E191*F191</f>
        <v>0</v>
      </c>
      <c r="H191" s="1436"/>
      <c r="I191" s="1436"/>
      <c r="J191" s="1436"/>
      <c r="K191" s="1344"/>
      <c r="L191" s="1344"/>
      <c r="M191" s="1344"/>
      <c r="N191" s="1344"/>
      <c r="O191" s="1344"/>
      <c r="P191" s="1707"/>
      <c r="Q191" s="1707"/>
      <c r="R191" s="1707"/>
      <c r="S191" s="1344"/>
      <c r="T191" s="1344"/>
      <c r="U191" s="1753"/>
      <c r="V191" s="1344"/>
      <c r="W191" s="1344"/>
      <c r="X191" s="1344"/>
      <c r="Y191" s="1707"/>
      <c r="Z191" s="1344"/>
      <c r="AA191" s="1344"/>
      <c r="AB191" s="1709"/>
      <c r="AC191" s="1709"/>
      <c r="AD191" s="1707"/>
    </row>
    <row r="192" customFormat="false" ht="15.75" hidden="true" customHeight="true" outlineLevel="1" collapsed="false">
      <c r="A192" s="1436" t="s">
        <v>3174</v>
      </c>
      <c r="B192" s="1683" t="s">
        <v>15</v>
      </c>
      <c r="C192" s="1692" t="n">
        <f aca="false">$C$143</f>
        <v>0.145</v>
      </c>
      <c r="D192" s="1436" t="n">
        <f aca="false">$D$143</f>
        <v>0.045</v>
      </c>
      <c r="E192" s="1436" t="n">
        <f aca="false">IF('Ввод данных'!$A$17=связи1!$A$94,IF(дома!E191+0.05-дома!$C$136&lt;0,0,дома!E191+0.05-дома!$C$136),0)+IF(E191=0,0,IF('Ввод данных'!$A$17=связи1!$A$97,IF(дома!E191+0.05+дома!$C$136&gt;дома!$E$137+0.5,0,дома!E191+0.05+дома!$C$136),0))</f>
        <v>0</v>
      </c>
      <c r="F192" s="1186" t="n">
        <f aca="false">IF(E192&lt;($E$133+0.5),1,0)*$D$141*IF('Ввод данных'!$A$101=связи1!$A$128,2,2)*IF(связи1!$H$91=связи1!$A$2,1,0)</f>
        <v>0</v>
      </c>
      <c r="G192" s="1436" t="n">
        <f aca="false">C192*D192*E192*F192</f>
        <v>0</v>
      </c>
      <c r="H192" s="1436"/>
      <c r="I192" s="1436"/>
      <c r="J192" s="1436"/>
      <c r="K192" s="1344"/>
      <c r="L192" s="1344"/>
      <c r="M192" s="1344"/>
      <c r="N192" s="1344"/>
      <c r="O192" s="1344"/>
      <c r="P192" s="1707"/>
      <c r="Q192" s="1707"/>
      <c r="R192" s="1707"/>
      <c r="S192" s="1344"/>
      <c r="T192" s="1344"/>
      <c r="U192" s="1753"/>
      <c r="V192" s="1344"/>
      <c r="W192" s="1344"/>
      <c r="X192" s="1344"/>
      <c r="Y192" s="1707"/>
      <c r="Z192" s="1344"/>
      <c r="AA192" s="1344"/>
      <c r="AB192" s="1709"/>
      <c r="AC192" s="1709"/>
      <c r="AD192" s="1707"/>
    </row>
    <row r="193" customFormat="false" ht="15.75" hidden="true" customHeight="true" outlineLevel="1" collapsed="false">
      <c r="A193" s="1436" t="s">
        <v>3175</v>
      </c>
      <c r="B193" s="1683" t="s">
        <v>15</v>
      </c>
      <c r="C193" s="1692" t="n">
        <f aca="false">$C$143</f>
        <v>0.145</v>
      </c>
      <c r="D193" s="1436" t="n">
        <f aca="false">$D$143</f>
        <v>0.045</v>
      </c>
      <c r="E193" s="1436" t="n">
        <f aca="false">IF('Ввод данных'!$A$17=связи1!$A$94,IF(дома!E192+0.05-дома!$C$136&lt;0,0,дома!E192+0.05-дома!$C$136),0)+IF(E192=0,0,IF('Ввод данных'!$A$17=связи1!$A$97,IF(дома!E192+0.05+дома!$C$136&gt;дома!$E$137+0.5,0,дома!E192+0.05+дома!$C$136),0))</f>
        <v>0</v>
      </c>
      <c r="F193" s="1186" t="n">
        <f aca="false">IF(E193&lt;($E$133+0.5),1,0)*$D$141*IF('Ввод данных'!$A$101=связи1!$A$128,2,2)*IF(связи1!$H$91=связи1!$A$2,1,0)</f>
        <v>0</v>
      </c>
      <c r="G193" s="1436" t="n">
        <f aca="false">C193*D193*E193*F193</f>
        <v>0</v>
      </c>
      <c r="H193" s="1436"/>
      <c r="I193" s="1436"/>
      <c r="J193" s="1436"/>
      <c r="K193" s="1344"/>
      <c r="L193" s="1344"/>
      <c r="M193" s="1344"/>
      <c r="N193" s="1344"/>
      <c r="O193" s="1344"/>
      <c r="P193" s="1707"/>
      <c r="Q193" s="1707"/>
      <c r="R193" s="1707"/>
      <c r="S193" s="1344"/>
      <c r="T193" s="1344"/>
      <c r="U193" s="1753"/>
      <c r="V193" s="1344"/>
      <c r="W193" s="1344"/>
      <c r="X193" s="1344"/>
      <c r="Y193" s="1707"/>
      <c r="Z193" s="1344"/>
      <c r="AA193" s="1344"/>
      <c r="AB193" s="1709"/>
      <c r="AC193" s="1709"/>
      <c r="AD193" s="1707"/>
    </row>
    <row r="194" customFormat="false" ht="15.75" hidden="true" customHeight="true" outlineLevel="1" collapsed="false">
      <c r="A194" s="1436" t="s">
        <v>3176</v>
      </c>
      <c r="B194" s="1683" t="s">
        <v>15</v>
      </c>
      <c r="C194" s="1692" t="n">
        <f aca="false">$C$143</f>
        <v>0.145</v>
      </c>
      <c r="D194" s="1436" t="n">
        <f aca="false">$D$143</f>
        <v>0.045</v>
      </c>
      <c r="E194" s="1436" t="n">
        <f aca="false">IF('Ввод данных'!$A$17=связи1!$A$94,IF(дома!E193+0.05-дома!$C$136&lt;0,0,дома!E193+0.05-дома!$C$136),0)+IF(E193=0,0,IF('Ввод данных'!$A$17=связи1!$A$97,IF(дома!E193+0.05+дома!$C$136&gt;дома!$E$137+0.5,0,дома!E193+0.05+дома!$C$136),0))</f>
        <v>0</v>
      </c>
      <c r="F194" s="1186" t="n">
        <f aca="false">IF(E194&lt;($E$133+0.5),1,0)*$D$141*IF('Ввод данных'!$A$101=связи1!$A$128,2,2)*IF(связи1!$H$91=связи1!$A$2,1,0)</f>
        <v>0</v>
      </c>
      <c r="G194" s="1436" t="n">
        <f aca="false">C194*D194*E194*F194</f>
        <v>0</v>
      </c>
      <c r="H194" s="1436"/>
      <c r="I194" s="1436"/>
      <c r="J194" s="1436"/>
      <c r="K194" s="1344"/>
      <c r="L194" s="1344"/>
      <c r="M194" s="1344"/>
      <c r="N194" s="1344"/>
      <c r="O194" s="1344"/>
      <c r="P194" s="1707"/>
      <c r="Q194" s="1707"/>
      <c r="R194" s="1707"/>
      <c r="S194" s="1344"/>
      <c r="T194" s="1344"/>
      <c r="U194" s="1753"/>
      <c r="V194" s="1344"/>
      <c r="W194" s="1344"/>
      <c r="X194" s="1344"/>
      <c r="Y194" s="1707"/>
      <c r="Z194" s="1344"/>
      <c r="AA194" s="1344"/>
      <c r="AB194" s="1709"/>
      <c r="AC194" s="1709"/>
      <c r="AD194" s="1707"/>
    </row>
    <row r="195" customFormat="false" ht="15.75" hidden="true" customHeight="true" outlineLevel="1" collapsed="false">
      <c r="A195" s="1436" t="s">
        <v>3177</v>
      </c>
      <c r="B195" s="1683" t="s">
        <v>15</v>
      </c>
      <c r="C195" s="1692" t="n">
        <f aca="false">$C$143</f>
        <v>0.145</v>
      </c>
      <c r="D195" s="1436" t="n">
        <f aca="false">$D$143</f>
        <v>0.045</v>
      </c>
      <c r="E195" s="1436" t="n">
        <f aca="false">IF('Ввод данных'!$A$17=связи1!$A$94,IF(дома!E194+0.05-дома!$C$136&lt;0,0,дома!E194+0.05-дома!$C$136),0)+IF(E194=0,0,IF('Ввод данных'!$A$17=связи1!$A$97,IF(дома!E194+0.05+дома!$C$136&gt;дома!$E$137+0.5,0,дома!E194+0.05+дома!$C$136),0))</f>
        <v>0</v>
      </c>
      <c r="F195" s="1186" t="n">
        <f aca="false">IF(E195&lt;($E$133+0.5),1,0)*$D$141*IF('Ввод данных'!$A$101=связи1!$A$128,2,2)*IF(связи1!$H$91=связи1!$A$2,1,0)</f>
        <v>0</v>
      </c>
      <c r="G195" s="1436" t="n">
        <f aca="false">C195*D195*E195*F195</f>
        <v>0</v>
      </c>
      <c r="H195" s="1436"/>
      <c r="I195" s="1436"/>
      <c r="J195" s="1436"/>
      <c r="K195" s="1344"/>
      <c r="L195" s="1344"/>
      <c r="M195" s="1344"/>
      <c r="N195" s="1344"/>
      <c r="O195" s="1344"/>
      <c r="P195" s="1707"/>
      <c r="Q195" s="1707"/>
      <c r="R195" s="1707"/>
      <c r="S195" s="1344"/>
      <c r="T195" s="1344"/>
      <c r="U195" s="1753"/>
      <c r="V195" s="1344"/>
      <c r="W195" s="1344"/>
      <c r="X195" s="1344"/>
      <c r="Y195" s="1707"/>
      <c r="Z195" s="1344"/>
      <c r="AA195" s="1344"/>
      <c r="AB195" s="1709"/>
      <c r="AC195" s="1709"/>
      <c r="AD195" s="1707"/>
    </row>
    <row r="196" customFormat="false" ht="15.75" hidden="true" customHeight="true" outlineLevel="1" collapsed="false">
      <c r="A196" s="1436" t="s">
        <v>3178</v>
      </c>
      <c r="B196" s="1683" t="s">
        <v>15</v>
      </c>
      <c r="C196" s="1692" t="n">
        <f aca="false">$C$143</f>
        <v>0.145</v>
      </c>
      <c r="D196" s="1436" t="n">
        <f aca="false">$D$143</f>
        <v>0.045</v>
      </c>
      <c r="E196" s="1436" t="n">
        <f aca="false">IF('Ввод данных'!$A$17=связи1!$A$94,IF(дома!E195+0.05-дома!$C$136&lt;0,0,дома!E195+0.05-дома!$C$136),0)+IF(E195=0,0,IF('Ввод данных'!$A$17=связи1!$A$97,IF(дома!E195+0.05+дома!$C$136&gt;дома!$E$137+0.5,0,дома!E195+0.05+дома!$C$136),0))</f>
        <v>0</v>
      </c>
      <c r="F196" s="1186" t="n">
        <f aca="false">IF(E196&lt;($E$133+0.5),1,0)*$D$141*IF('Ввод данных'!$A$101=связи1!$A$128,2,2)*IF(связи1!$H$91=связи1!$A$2,1,0)</f>
        <v>0</v>
      </c>
      <c r="G196" s="1436" t="n">
        <f aca="false">C196*D196*E196*F196</f>
        <v>0</v>
      </c>
      <c r="H196" s="1436"/>
      <c r="I196" s="1436"/>
      <c r="J196" s="1436"/>
      <c r="K196" s="1344"/>
      <c r="L196" s="1344"/>
      <c r="M196" s="1344"/>
      <c r="N196" s="1344"/>
      <c r="O196" s="1344"/>
      <c r="P196" s="1707"/>
      <c r="Q196" s="1707"/>
      <c r="R196" s="1707"/>
      <c r="S196" s="1344"/>
      <c r="T196" s="1344"/>
      <c r="U196" s="1753"/>
      <c r="V196" s="1344"/>
      <c r="W196" s="1344"/>
      <c r="X196" s="1344"/>
      <c r="Y196" s="1707"/>
      <c r="Z196" s="1344"/>
      <c r="AA196" s="1344"/>
      <c r="AB196" s="1709"/>
      <c r="AC196" s="1709"/>
      <c r="AD196" s="1707"/>
    </row>
    <row r="197" customFormat="false" ht="15.75" hidden="true" customHeight="true" outlineLevel="1" collapsed="false">
      <c r="A197" s="1436" t="s">
        <v>3179</v>
      </c>
      <c r="B197" s="1683" t="s">
        <v>15</v>
      </c>
      <c r="C197" s="1692" t="n">
        <f aca="false">$C$143</f>
        <v>0.145</v>
      </c>
      <c r="D197" s="1436" t="n">
        <f aca="false">$D$143</f>
        <v>0.045</v>
      </c>
      <c r="E197" s="1436" t="n">
        <f aca="false">IF('Ввод данных'!$A$17=связи1!$A$94,IF(дома!E196+0.05-дома!$C$136&lt;0,0,дома!E196+0.05-дома!$C$136),0)+IF(E196=0,0,IF('Ввод данных'!$A$17=связи1!$A$97,IF(дома!E196+0.05+дома!$C$136&gt;дома!$E$137+0.5,0,дома!E196+0.05+дома!$C$136),0))</f>
        <v>0</v>
      </c>
      <c r="F197" s="1186" t="n">
        <f aca="false">IF(E197&lt;($E$133+0.5),1,0)*$D$141*IF('Ввод данных'!$A$101=связи1!$A$128,2,2)*IF(связи1!$H$91=связи1!$A$2,1,0)</f>
        <v>0</v>
      </c>
      <c r="G197" s="1436" t="n">
        <f aca="false">C197*D197*E197*F197</f>
        <v>0</v>
      </c>
      <c r="H197" s="1436"/>
      <c r="I197" s="1436"/>
      <c r="J197" s="1436"/>
      <c r="K197" s="1344"/>
      <c r="L197" s="1344"/>
      <c r="M197" s="1344"/>
      <c r="N197" s="1344"/>
      <c r="O197" s="1344"/>
      <c r="P197" s="1707"/>
      <c r="Q197" s="1707"/>
      <c r="R197" s="1707"/>
      <c r="S197" s="1344"/>
      <c r="T197" s="1344"/>
      <c r="U197" s="1753"/>
      <c r="V197" s="1344"/>
      <c r="W197" s="1344"/>
      <c r="X197" s="1344"/>
      <c r="Y197" s="1707"/>
      <c r="Z197" s="1344"/>
      <c r="AA197" s="1344"/>
      <c r="AB197" s="1709"/>
      <c r="AC197" s="1709"/>
      <c r="AD197" s="1707"/>
    </row>
    <row r="198" customFormat="false" ht="15.75" hidden="true" customHeight="true" outlineLevel="1" collapsed="false">
      <c r="A198" s="1436" t="s">
        <v>3180</v>
      </c>
      <c r="B198" s="1683" t="s">
        <v>15</v>
      </c>
      <c r="C198" s="1692" t="n">
        <f aca="false">$C$143</f>
        <v>0.145</v>
      </c>
      <c r="D198" s="1436" t="n">
        <f aca="false">$D$143</f>
        <v>0.045</v>
      </c>
      <c r="E198" s="1436" t="n">
        <f aca="false">IF('Ввод данных'!$A$17=связи1!$A$94,IF(дома!E197+0.05-дома!$C$136&lt;0,0,дома!E197+0.05-дома!$C$136),0)+IF(E197=0,0,IF('Ввод данных'!$A$17=связи1!$A$97,IF(дома!E197+0.05+дома!$C$136&gt;дома!$E$137+0.5,0,дома!E197+0.05+дома!$C$136),0))</f>
        <v>0</v>
      </c>
      <c r="F198" s="1186" t="n">
        <f aca="false">IF(E198&lt;($E$133+0.5),1,0)*$D$141*IF('Ввод данных'!$A$101=связи1!$A$128,2,2)*IF(связи1!$H$91=связи1!$A$2,1,0)</f>
        <v>0</v>
      </c>
      <c r="G198" s="1436" t="n">
        <f aca="false">C198*D198*E198*F198</f>
        <v>0</v>
      </c>
      <c r="H198" s="1436"/>
      <c r="I198" s="1436"/>
      <c r="J198" s="1436"/>
      <c r="K198" s="1344"/>
      <c r="L198" s="1344"/>
      <c r="M198" s="1344"/>
      <c r="N198" s="1344"/>
      <c r="O198" s="1344"/>
      <c r="P198" s="1707"/>
      <c r="Q198" s="1707"/>
      <c r="R198" s="1707"/>
      <c r="S198" s="1344"/>
      <c r="T198" s="1344"/>
      <c r="U198" s="1753"/>
      <c r="V198" s="1344"/>
      <c r="W198" s="1344"/>
      <c r="X198" s="1344"/>
      <c r="Y198" s="1707"/>
      <c r="Z198" s="1344"/>
      <c r="AA198" s="1344"/>
      <c r="AB198" s="1709"/>
      <c r="AC198" s="1709"/>
      <c r="AD198" s="1707"/>
    </row>
    <row r="199" customFormat="false" ht="15.75" hidden="true" customHeight="true" outlineLevel="1" collapsed="false">
      <c r="A199" s="1436" t="s">
        <v>3181</v>
      </c>
      <c r="B199" s="1683" t="s">
        <v>15</v>
      </c>
      <c r="C199" s="1692" t="n">
        <f aca="false">$C$143</f>
        <v>0.145</v>
      </c>
      <c r="D199" s="1436" t="n">
        <f aca="false">$D$143</f>
        <v>0.045</v>
      </c>
      <c r="E199" s="1436" t="n">
        <f aca="false">IF('Ввод данных'!$A$17=связи1!$A$94,IF(дома!E198+0.05-дома!$C$136&lt;0,0,дома!E198+0.05-дома!$C$136),0)+IF(E198=0,0,IF('Ввод данных'!$A$17=связи1!$A$97,IF(дома!E198+0.05+дома!$C$136&gt;дома!$E$137+0.5,0,дома!E198+0.05+дома!$C$136),0))</f>
        <v>0</v>
      </c>
      <c r="F199" s="1186" t="n">
        <f aca="false">IF(E199&lt;($E$133+0.5),1,0)*$D$141*IF('Ввод данных'!$A$101=связи1!$A$128,2,2)*IF(связи1!$H$91=связи1!$A$2,1,0)</f>
        <v>0</v>
      </c>
      <c r="G199" s="1436" t="n">
        <f aca="false">C199*D199*E199*F199</f>
        <v>0</v>
      </c>
      <c r="H199" s="1436"/>
      <c r="I199" s="1436"/>
      <c r="J199" s="1436"/>
      <c r="K199" s="1344"/>
      <c r="L199" s="1344"/>
      <c r="M199" s="1344"/>
      <c r="N199" s="1344"/>
      <c r="O199" s="1344"/>
      <c r="P199" s="1707"/>
      <c r="Q199" s="1707"/>
      <c r="R199" s="1707"/>
      <c r="S199" s="1344"/>
      <c r="T199" s="1344"/>
      <c r="U199" s="1753"/>
      <c r="V199" s="1344"/>
      <c r="W199" s="1344"/>
      <c r="X199" s="1344"/>
      <c r="Y199" s="1707"/>
      <c r="Z199" s="1344"/>
      <c r="AA199" s="1344"/>
      <c r="AB199" s="1709"/>
      <c r="AC199" s="1709"/>
      <c r="AD199" s="1707"/>
    </row>
    <row r="200" customFormat="false" ht="15.75" hidden="true" customHeight="true" outlineLevel="1" collapsed="false">
      <c r="A200" s="1436" t="s">
        <v>3182</v>
      </c>
      <c r="B200" s="1683" t="s">
        <v>15</v>
      </c>
      <c r="C200" s="1692" t="n">
        <f aca="false">$C$143</f>
        <v>0.145</v>
      </c>
      <c r="D200" s="1436" t="n">
        <f aca="false">$D$143</f>
        <v>0.045</v>
      </c>
      <c r="E200" s="1436" t="n">
        <f aca="false">IF('Ввод данных'!$A$17=связи1!$A$94,IF(дома!E199+0.05-дома!$C$136&lt;0,0,дома!E199+0.05-дома!$C$136),0)+IF(E199=0,0,IF('Ввод данных'!$A$17=связи1!$A$97,IF(дома!E199+0.05+дома!$C$136&gt;дома!$E$137+0.5,0,дома!E199+0.05+дома!$C$136),0))</f>
        <v>0</v>
      </c>
      <c r="F200" s="1186" t="n">
        <f aca="false">IF(E200&lt;($E$133+0.5),1,0)*$D$141*IF('Ввод данных'!$A$101=связи1!$A$128,2,2)*IF(связи1!$H$91=связи1!$A$2,1,0)</f>
        <v>0</v>
      </c>
      <c r="G200" s="1436" t="n">
        <f aca="false">C200*D200*E200*F200</f>
        <v>0</v>
      </c>
      <c r="H200" s="1436"/>
      <c r="I200" s="1436"/>
      <c r="J200" s="1436"/>
      <c r="K200" s="1344"/>
      <c r="L200" s="1344"/>
      <c r="M200" s="1344"/>
      <c r="N200" s="1344"/>
      <c r="O200" s="1344"/>
      <c r="P200" s="1707"/>
      <c r="Q200" s="1707"/>
      <c r="R200" s="1707"/>
      <c r="S200" s="1344"/>
      <c r="T200" s="1344"/>
      <c r="U200" s="1753"/>
      <c r="V200" s="1344"/>
      <c r="W200" s="1344"/>
      <c r="X200" s="1344"/>
      <c r="Y200" s="1707"/>
      <c r="Z200" s="1344"/>
      <c r="AA200" s="1344"/>
      <c r="AB200" s="1709"/>
      <c r="AC200" s="1709"/>
      <c r="AD200" s="1707"/>
    </row>
    <row r="201" customFormat="false" ht="15.75" hidden="true" customHeight="true" outlineLevel="1" collapsed="false">
      <c r="A201" s="1436" t="s">
        <v>3183</v>
      </c>
      <c r="B201" s="1683" t="s">
        <v>15</v>
      </c>
      <c r="C201" s="1692" t="n">
        <f aca="false">$C$143</f>
        <v>0.145</v>
      </c>
      <c r="D201" s="1436" t="n">
        <f aca="false">$D$143</f>
        <v>0.045</v>
      </c>
      <c r="E201" s="1436" t="n">
        <f aca="false">IF('Ввод данных'!$A$17=связи1!$A$94,IF(дома!E200+0.05-дома!$C$136&lt;0,0,дома!E200+0.05-дома!$C$136),0)+IF(E200=0,0,IF('Ввод данных'!$A$17=связи1!$A$97,IF(дома!E200+0.05+дома!$C$136&gt;дома!$E$137+0.5,0,дома!E200+0.05+дома!$C$136),0))</f>
        <v>0</v>
      </c>
      <c r="F201" s="1186" t="n">
        <f aca="false">IF(E201&lt;($E$133+0.5),1,0)*$D$141*IF('Ввод данных'!$A$101=связи1!$A$128,2,2)*IF(связи1!$H$91=связи1!$A$2,1,0)</f>
        <v>0</v>
      </c>
      <c r="G201" s="1436" t="n">
        <f aca="false">C201*D201*E201*F201</f>
        <v>0</v>
      </c>
      <c r="H201" s="1436"/>
      <c r="I201" s="1436"/>
      <c r="J201" s="1436"/>
      <c r="K201" s="1344"/>
      <c r="L201" s="1344"/>
      <c r="M201" s="1344"/>
      <c r="N201" s="1344"/>
      <c r="O201" s="1344"/>
      <c r="P201" s="1707"/>
      <c r="Q201" s="1707"/>
      <c r="R201" s="1707"/>
      <c r="S201" s="1344"/>
      <c r="T201" s="1344"/>
      <c r="U201" s="1753"/>
      <c r="V201" s="1344"/>
      <c r="W201" s="1344"/>
      <c r="X201" s="1344"/>
      <c r="Y201" s="1707"/>
      <c r="Z201" s="1344"/>
      <c r="AA201" s="1344"/>
      <c r="AB201" s="1709"/>
      <c r="AC201" s="1709"/>
      <c r="AD201" s="1707"/>
    </row>
    <row r="202" customFormat="false" ht="15.75" hidden="true" customHeight="true" outlineLevel="1" collapsed="false">
      <c r="A202" s="1436" t="s">
        <v>3184</v>
      </c>
      <c r="B202" s="1683" t="s">
        <v>15</v>
      </c>
      <c r="C202" s="1692" t="n">
        <f aca="false">$C$143</f>
        <v>0.145</v>
      </c>
      <c r="D202" s="1436" t="n">
        <f aca="false">$D$143</f>
        <v>0.045</v>
      </c>
      <c r="E202" s="1436" t="n">
        <f aca="false">IF('Ввод данных'!$A$17=связи1!$A$94,IF(дома!E201+0.05-дома!$C$136&lt;0,0,дома!E201+0.05-дома!$C$136),0)+IF(E201=0,0,IF('Ввод данных'!$A$17=связи1!$A$97,IF(дома!E201+0.05+дома!$C$136&gt;дома!$E$137+0.5,0,дома!E201+0.05+дома!$C$136),0))</f>
        <v>0</v>
      </c>
      <c r="F202" s="1186" t="n">
        <f aca="false">IF(E202&lt;($E$133+0.5),1,0)*$D$141*IF('Ввод данных'!$A$101=связи1!$A$128,2,2)*IF(связи1!$H$91=связи1!$A$2,1,0)</f>
        <v>0</v>
      </c>
      <c r="G202" s="1436" t="n">
        <f aca="false">C202*D202*E202*F202</f>
        <v>0</v>
      </c>
      <c r="H202" s="1436"/>
      <c r="I202" s="1436"/>
      <c r="J202" s="1436"/>
      <c r="K202" s="1344"/>
      <c r="L202" s="1344"/>
      <c r="M202" s="1344"/>
      <c r="N202" s="1344"/>
      <c r="O202" s="1344"/>
      <c r="P202" s="1707"/>
      <c r="Q202" s="1707"/>
      <c r="R202" s="1707"/>
      <c r="S202" s="1344"/>
      <c r="T202" s="1344"/>
      <c r="U202" s="1753"/>
      <c r="V202" s="1344"/>
      <c r="W202" s="1344"/>
      <c r="X202" s="1344"/>
      <c r="Y202" s="1707"/>
      <c r="Z202" s="1344"/>
      <c r="AA202" s="1344"/>
      <c r="AB202" s="1709"/>
      <c r="AC202" s="1709"/>
      <c r="AD202" s="1707"/>
    </row>
    <row r="203" customFormat="false" ht="15.75" hidden="true" customHeight="true" outlineLevel="1" collapsed="false">
      <c r="A203" s="1436" t="s">
        <v>3185</v>
      </c>
      <c r="B203" s="1683" t="s">
        <v>15</v>
      </c>
      <c r="C203" s="1692" t="n">
        <f aca="false">$C$143</f>
        <v>0.145</v>
      </c>
      <c r="D203" s="1436" t="n">
        <f aca="false">$D$143</f>
        <v>0.045</v>
      </c>
      <c r="E203" s="1436" t="n">
        <f aca="false">IF('Ввод данных'!$A$17=связи1!$A$94,IF(дома!E202+0.05-дома!$C$136&lt;0,0,дома!E202+0.05-дома!$C$136),0)+IF(E202=0,0,IF('Ввод данных'!$A$17=связи1!$A$97,IF(дома!E202+0.05+дома!$C$136&gt;дома!$E$137+0.5,0,дома!E202+0.05+дома!$C$136),0))</f>
        <v>0</v>
      </c>
      <c r="F203" s="1186" t="n">
        <f aca="false">IF(E203&lt;($E$133+0.5),1,0)*$D$141*IF('Ввод данных'!$A$101=связи1!$A$128,2,2)*IF(связи1!$H$91=связи1!$A$2,1,0)</f>
        <v>0</v>
      </c>
      <c r="G203" s="1436" t="n">
        <f aca="false">C203*D203*E203*F203</f>
        <v>0</v>
      </c>
      <c r="H203" s="1436"/>
      <c r="I203" s="1436"/>
      <c r="J203" s="1436"/>
      <c r="K203" s="1344"/>
      <c r="L203" s="1344"/>
      <c r="M203" s="1344"/>
      <c r="N203" s="1344"/>
      <c r="O203" s="1344"/>
      <c r="P203" s="1707"/>
      <c r="Q203" s="1707"/>
      <c r="R203" s="1707"/>
      <c r="S203" s="1344"/>
      <c r="T203" s="1344"/>
      <c r="U203" s="1753"/>
      <c r="V203" s="1344"/>
      <c r="W203" s="1344"/>
      <c r="X203" s="1344"/>
      <c r="Y203" s="1707"/>
      <c r="Z203" s="1344"/>
      <c r="AA203" s="1344"/>
      <c r="AB203" s="1709"/>
      <c r="AC203" s="1709"/>
      <c r="AD203" s="1707"/>
    </row>
    <row r="204" customFormat="false" ht="15.75" hidden="true" customHeight="true" outlineLevel="1" collapsed="false">
      <c r="A204" s="1436" t="s">
        <v>3186</v>
      </c>
      <c r="B204" s="1683" t="s">
        <v>15</v>
      </c>
      <c r="C204" s="1692" t="n">
        <f aca="false">$C$143</f>
        <v>0.145</v>
      </c>
      <c r="D204" s="1436" t="n">
        <f aca="false">$D$143</f>
        <v>0.045</v>
      </c>
      <c r="E204" s="1436" t="n">
        <f aca="false">IF('Ввод данных'!$A$17=связи1!$A$94,IF(дома!E203+0.05-дома!$C$136&lt;0,0,дома!E203+0.05-дома!$C$136),0)+IF(E203=0,0,IF('Ввод данных'!$A$17=связи1!$A$97,IF(дома!E203+0.05+дома!$C$136&gt;дома!$E$137+0.5,0,дома!E203+0.05+дома!$C$136),0))</f>
        <v>0</v>
      </c>
      <c r="F204" s="1186" t="n">
        <f aca="false">IF(E204&lt;($E$133+0.5),1,0)*$D$141*IF('Ввод данных'!$A$101=связи1!$A$128,2,2)*IF(связи1!$H$91=связи1!$A$2,1,0)</f>
        <v>0</v>
      </c>
      <c r="G204" s="1436" t="n">
        <f aca="false">C204*D204*E204*F204</f>
        <v>0</v>
      </c>
      <c r="H204" s="1436"/>
      <c r="I204" s="1436"/>
      <c r="J204" s="1436"/>
      <c r="K204" s="1344"/>
      <c r="L204" s="1344"/>
      <c r="M204" s="1344"/>
      <c r="N204" s="1344"/>
      <c r="O204" s="1344"/>
      <c r="P204" s="1707"/>
      <c r="Q204" s="1707"/>
      <c r="R204" s="1707"/>
      <c r="S204" s="1344"/>
      <c r="T204" s="1344"/>
      <c r="U204" s="1753"/>
      <c r="V204" s="1344"/>
      <c r="W204" s="1344"/>
      <c r="X204" s="1344"/>
      <c r="Y204" s="1707"/>
      <c r="Z204" s="1344"/>
      <c r="AA204" s="1344"/>
      <c r="AB204" s="1709"/>
      <c r="AC204" s="1709"/>
      <c r="AD204" s="1707"/>
    </row>
    <row r="205" customFormat="false" ht="15.75" hidden="true" customHeight="true" outlineLevel="1" collapsed="false">
      <c r="A205" s="1436" t="s">
        <v>3187</v>
      </c>
      <c r="B205" s="1683" t="s">
        <v>15</v>
      </c>
      <c r="C205" s="1692" t="n">
        <f aca="false">$C$143</f>
        <v>0.145</v>
      </c>
      <c r="D205" s="1436" t="n">
        <f aca="false">$D$143</f>
        <v>0.045</v>
      </c>
      <c r="E205" s="1436" t="n">
        <f aca="false">IF('Ввод данных'!$A$17=связи1!$A$94,IF(дома!E204+0.05-дома!$C$136&lt;0,0,дома!E204+0.05-дома!$C$136),0)+IF(E204=0,0,IF('Ввод данных'!$A$17=связи1!$A$97,IF(дома!E204+0.05+дома!$C$136&gt;дома!$E$137+0.5,0,дома!E204+0.05+дома!$C$136),0))</f>
        <v>0</v>
      </c>
      <c r="F205" s="1186" t="n">
        <f aca="false">IF(E205&lt;($E$133+0.5),1,0)*$D$141*IF('Ввод данных'!$A$101=связи1!$A$128,2,2)*IF(связи1!$H$91=связи1!$A$2,1,0)</f>
        <v>0</v>
      </c>
      <c r="G205" s="1436" t="n">
        <f aca="false">C205*D205*E205*F205</f>
        <v>0</v>
      </c>
      <c r="H205" s="1436"/>
      <c r="I205" s="1436"/>
      <c r="J205" s="1436"/>
      <c r="K205" s="1344"/>
      <c r="L205" s="1344"/>
      <c r="M205" s="1344"/>
      <c r="N205" s="1344"/>
      <c r="O205" s="1344"/>
      <c r="P205" s="1707"/>
      <c r="Q205" s="1707"/>
      <c r="R205" s="1707"/>
      <c r="S205" s="1344"/>
      <c r="T205" s="1344"/>
      <c r="U205" s="1753"/>
      <c r="V205" s="1344"/>
      <c r="W205" s="1344"/>
      <c r="X205" s="1344"/>
      <c r="Y205" s="1707"/>
      <c r="Z205" s="1344"/>
      <c r="AA205" s="1344"/>
      <c r="AB205" s="1709"/>
      <c r="AC205" s="1709"/>
      <c r="AD205" s="1707"/>
    </row>
    <row r="206" customFormat="false" ht="15.75" hidden="true" customHeight="true" outlineLevel="1" collapsed="false">
      <c r="A206" s="1436" t="s">
        <v>3188</v>
      </c>
      <c r="B206" s="1683" t="s">
        <v>15</v>
      </c>
      <c r="C206" s="1692" t="n">
        <f aca="false">$C$143</f>
        <v>0.145</v>
      </c>
      <c r="D206" s="1436" t="n">
        <f aca="false">$D$143</f>
        <v>0.045</v>
      </c>
      <c r="E206" s="1436" t="n">
        <f aca="false">IF('Ввод данных'!$A$17=связи1!$A$94,IF(дома!E205+0.05-дома!$C$136&lt;0,0,дома!E205+0.05-дома!$C$136),0)+IF(E205=0,0,IF('Ввод данных'!$A$17=связи1!$A$97,IF(дома!E205+0.05+дома!$C$136&gt;дома!$E$137+0.5,0,дома!E205+0.05+дома!$C$136),0))</f>
        <v>0</v>
      </c>
      <c r="F206" s="1186" t="n">
        <f aca="false">IF(E206&lt;($E$133+0.5),1,0)*$D$141*IF('Ввод данных'!$A$101=связи1!$A$128,2,2)*IF(связи1!$H$91=связи1!$A$2,1,0)</f>
        <v>0</v>
      </c>
      <c r="G206" s="1436" t="n">
        <f aca="false">C206*D206*E206*F206</f>
        <v>0</v>
      </c>
      <c r="H206" s="1436"/>
      <c r="I206" s="1436"/>
      <c r="J206" s="1436"/>
      <c r="K206" s="1344"/>
      <c r="L206" s="1344"/>
      <c r="M206" s="1344"/>
      <c r="N206" s="1344"/>
      <c r="O206" s="1344"/>
      <c r="P206" s="1707"/>
      <c r="Q206" s="1707"/>
      <c r="R206" s="1707"/>
      <c r="S206" s="1344"/>
      <c r="T206" s="1344"/>
      <c r="U206" s="1753"/>
      <c r="V206" s="1344"/>
      <c r="W206" s="1344"/>
      <c r="X206" s="1344"/>
      <c r="Y206" s="1707"/>
      <c r="Z206" s="1344"/>
      <c r="AA206" s="1344"/>
      <c r="AB206" s="1709"/>
      <c r="AC206" s="1709"/>
      <c r="AD206" s="1707"/>
    </row>
    <row r="207" customFormat="false" ht="15.75" hidden="true" customHeight="true" outlineLevel="1" collapsed="false">
      <c r="A207" s="1436" t="s">
        <v>3189</v>
      </c>
      <c r="B207" s="1683" t="s">
        <v>15</v>
      </c>
      <c r="C207" s="1692" t="n">
        <f aca="false">$C$143</f>
        <v>0.145</v>
      </c>
      <c r="D207" s="1436" t="n">
        <f aca="false">$D$143</f>
        <v>0.045</v>
      </c>
      <c r="E207" s="1436" t="n">
        <f aca="false">IF('Ввод данных'!$A$17=связи1!$A$94,IF(дома!E206+0.05-дома!$C$136&lt;0,0,дома!E206+0.05-дома!$C$136),0)+IF(E206=0,0,IF('Ввод данных'!$A$17=связи1!$A$97,IF(дома!E206+0.05+дома!$C$136&gt;дома!$E$137+0.5,0,дома!E206+0.05+дома!$C$136),0))</f>
        <v>0</v>
      </c>
      <c r="F207" s="1186" t="n">
        <f aca="false">IF(E207&lt;($E$133+0.5),1,0)*$D$141*IF('Ввод данных'!$A$101=связи1!$A$128,2,2)*IF(связи1!$H$91=связи1!$A$2,1,0)</f>
        <v>0</v>
      </c>
      <c r="G207" s="1436" t="n">
        <f aca="false">C207*D207*E207*F207</f>
        <v>0</v>
      </c>
      <c r="H207" s="1436"/>
      <c r="I207" s="1436"/>
      <c r="J207" s="1436"/>
      <c r="K207" s="1344"/>
      <c r="L207" s="1344"/>
      <c r="M207" s="1344"/>
      <c r="N207" s="1344"/>
      <c r="O207" s="1344"/>
      <c r="P207" s="1707"/>
      <c r="Q207" s="1707"/>
      <c r="R207" s="1707"/>
      <c r="S207" s="1344"/>
      <c r="T207" s="1344"/>
      <c r="U207" s="1753"/>
      <c r="V207" s="1344"/>
      <c r="W207" s="1344"/>
      <c r="X207" s="1344"/>
      <c r="Y207" s="1707"/>
      <c r="Z207" s="1344"/>
      <c r="AA207" s="1344"/>
      <c r="AB207" s="1709"/>
      <c r="AC207" s="1709"/>
      <c r="AD207" s="1707"/>
    </row>
    <row r="208" customFormat="false" ht="15.75" hidden="true" customHeight="true" outlineLevel="1" collapsed="false">
      <c r="A208" s="1436" t="s">
        <v>3190</v>
      </c>
      <c r="B208" s="1683" t="s">
        <v>15</v>
      </c>
      <c r="C208" s="1692" t="n">
        <f aca="false">$C$143</f>
        <v>0.145</v>
      </c>
      <c r="D208" s="1436" t="n">
        <f aca="false">$D$143</f>
        <v>0.045</v>
      </c>
      <c r="E208" s="1436" t="n">
        <f aca="false">IF('Ввод данных'!$A$17=связи1!$A$94,IF(дома!E207+0.05-дома!$C$136&lt;0,0,дома!E207+0.05-дома!$C$136),0)+IF(E207=0,0,IF('Ввод данных'!$A$17=связи1!$A$97,IF(дома!E207+0.05+дома!$C$136&gt;дома!$E$137+0.5,0,дома!E207+0.05+дома!$C$136),0))</f>
        <v>0</v>
      </c>
      <c r="F208" s="1186" t="n">
        <f aca="false">IF(E208&lt;($E$133+0.5),1,0)*$D$141*IF('Ввод данных'!$A$101=связи1!$A$128,2,2)*IF(связи1!$H$91=связи1!$A$2,1,0)</f>
        <v>0</v>
      </c>
      <c r="G208" s="1436" t="n">
        <f aca="false">C208*D208*E208*F208</f>
        <v>0</v>
      </c>
      <c r="H208" s="1436"/>
      <c r="I208" s="1436"/>
      <c r="J208" s="1436"/>
      <c r="K208" s="1344"/>
      <c r="L208" s="1344"/>
      <c r="M208" s="1344"/>
      <c r="N208" s="1344"/>
      <c r="O208" s="1344"/>
      <c r="P208" s="1707"/>
      <c r="Q208" s="1707"/>
      <c r="R208" s="1707"/>
      <c r="S208" s="1344"/>
      <c r="T208" s="1344"/>
      <c r="U208" s="1753"/>
      <c r="V208" s="1344"/>
      <c r="W208" s="1344"/>
      <c r="X208" s="1344"/>
      <c r="Y208" s="1707"/>
      <c r="Z208" s="1344"/>
      <c r="AA208" s="1344"/>
      <c r="AB208" s="1709"/>
      <c r="AC208" s="1709"/>
      <c r="AD208" s="1707"/>
    </row>
    <row r="209" customFormat="false" ht="15.75" hidden="true" customHeight="true" outlineLevel="1" collapsed="false">
      <c r="A209" s="1436" t="s">
        <v>3191</v>
      </c>
      <c r="B209" s="1683" t="s">
        <v>15</v>
      </c>
      <c r="C209" s="1692" t="n">
        <f aca="false">$C$143</f>
        <v>0.145</v>
      </c>
      <c r="D209" s="1436" t="n">
        <f aca="false">$D$143</f>
        <v>0.045</v>
      </c>
      <c r="E209" s="1436" t="n">
        <f aca="false">IF('Ввод данных'!$A$17=связи1!$A$94,IF(дома!E208+0.05-дома!$C$136&lt;0,0,дома!E208+0.05-дома!$C$136),0)+IF(E208=0,0,IF('Ввод данных'!$A$17=связи1!$A$97,IF(дома!E208+0.05+дома!$C$136&gt;дома!$E$137+0.5,0,дома!E208+0.05+дома!$C$136),0))</f>
        <v>0</v>
      </c>
      <c r="F209" s="1186" t="n">
        <f aca="false">IF(E209&lt;($E$133+0.5),1,0)*$D$141*IF('Ввод данных'!$A$101=связи1!$A$128,2,2)*IF(связи1!$H$91=связи1!$A$2,1,0)</f>
        <v>0</v>
      </c>
      <c r="G209" s="1436" t="n">
        <f aca="false">C209*D209*E209*F209</f>
        <v>0</v>
      </c>
      <c r="H209" s="1436"/>
      <c r="I209" s="1436"/>
      <c r="J209" s="1436"/>
      <c r="K209" s="1344"/>
      <c r="L209" s="1344"/>
      <c r="M209" s="1344"/>
      <c r="N209" s="1344"/>
      <c r="O209" s="1344"/>
      <c r="P209" s="1707"/>
      <c r="Q209" s="1707"/>
      <c r="R209" s="1707"/>
      <c r="S209" s="1344"/>
      <c r="T209" s="1344"/>
      <c r="U209" s="1753"/>
      <c r="V209" s="1344"/>
      <c r="W209" s="1344"/>
      <c r="X209" s="1344"/>
      <c r="Y209" s="1707"/>
      <c r="Z209" s="1344"/>
      <c r="AA209" s="1344"/>
      <c r="AB209" s="1709"/>
      <c r="AC209" s="1709"/>
      <c r="AD209" s="1707"/>
    </row>
    <row r="210" customFormat="false" ht="15.75" hidden="true" customHeight="true" outlineLevel="1" collapsed="false">
      <c r="A210" s="1436" t="s">
        <v>3192</v>
      </c>
      <c r="B210" s="1683" t="s">
        <v>15</v>
      </c>
      <c r="C210" s="1692" t="n">
        <f aca="false">$C$143</f>
        <v>0.145</v>
      </c>
      <c r="D210" s="1436" t="n">
        <f aca="false">$D$143</f>
        <v>0.045</v>
      </c>
      <c r="E210" s="1436" t="n">
        <f aca="false">IF('Ввод данных'!$A$17=связи1!$A$94,IF(дома!E209+0.05-дома!$C$136&lt;0,0,дома!E209+0.05-дома!$C$136),0)+IF(E209=0,0,IF('Ввод данных'!$A$17=связи1!$A$97,IF(дома!E209+0.05+дома!$C$136&gt;дома!$E$137+0.5,0,дома!E209+0.05+дома!$C$136),0))</f>
        <v>0</v>
      </c>
      <c r="F210" s="1186" t="n">
        <f aca="false">IF(E210&lt;($E$133+0.5),1,0)*$D$141*IF('Ввод данных'!$A$101=связи1!$A$128,2,2)*IF(связи1!$H$91=связи1!$A$2,1,0)</f>
        <v>0</v>
      </c>
      <c r="G210" s="1436" t="n">
        <f aca="false">C210*D210*E210*F210</f>
        <v>0</v>
      </c>
      <c r="H210" s="1436"/>
      <c r="I210" s="1436"/>
      <c r="J210" s="1436"/>
      <c r="K210" s="1344"/>
      <c r="L210" s="1344"/>
      <c r="M210" s="1344"/>
      <c r="N210" s="1344"/>
      <c r="O210" s="1344"/>
      <c r="P210" s="1707"/>
      <c r="Q210" s="1707"/>
      <c r="R210" s="1707"/>
      <c r="S210" s="1344"/>
      <c r="T210" s="1344"/>
      <c r="U210" s="1753"/>
      <c r="V210" s="1344"/>
      <c r="W210" s="1344"/>
      <c r="X210" s="1344"/>
      <c r="Y210" s="1707"/>
      <c r="Z210" s="1344"/>
      <c r="AA210" s="1344"/>
      <c r="AB210" s="1709"/>
      <c r="AC210" s="1709"/>
      <c r="AD210" s="1707"/>
    </row>
    <row r="211" customFormat="false" ht="15.75" hidden="true" customHeight="true" outlineLevel="1" collapsed="false">
      <c r="A211" s="1436" t="s">
        <v>3193</v>
      </c>
      <c r="B211" s="1683" t="s">
        <v>15</v>
      </c>
      <c r="C211" s="1692" t="n">
        <f aca="false">$C$143</f>
        <v>0.145</v>
      </c>
      <c r="D211" s="1436" t="n">
        <f aca="false">$D$143</f>
        <v>0.045</v>
      </c>
      <c r="E211" s="1436" t="n">
        <f aca="false">IF('Ввод данных'!$A$17=связи1!$A$94,IF(дома!E210+0.05-дома!$C$136&lt;0,0,дома!E210+0.05-дома!$C$136),0)+IF(E210=0,0,IF('Ввод данных'!$A$17=связи1!$A$97,IF(дома!E210+0.05+дома!$C$136&gt;дома!$E$137+0.5,0,дома!E210+0.05+дома!$C$136),0))</f>
        <v>0</v>
      </c>
      <c r="F211" s="1186" t="n">
        <f aca="false">IF(E211&lt;($E$133+0.5),1,0)*$D$141*IF('Ввод данных'!$A$101=связи1!$A$128,2,2)*IF(связи1!$H$91=связи1!$A$2,1,0)</f>
        <v>0</v>
      </c>
      <c r="G211" s="1436" t="n">
        <f aca="false">C211*D211*E211*F211</f>
        <v>0</v>
      </c>
      <c r="H211" s="1436"/>
      <c r="I211" s="1436"/>
      <c r="J211" s="1436"/>
      <c r="K211" s="1344"/>
      <c r="L211" s="1344"/>
      <c r="M211" s="1344"/>
      <c r="N211" s="1344"/>
      <c r="O211" s="1344"/>
      <c r="P211" s="1707"/>
      <c r="Q211" s="1707"/>
      <c r="R211" s="1707"/>
      <c r="S211" s="1344"/>
      <c r="T211" s="1344"/>
      <c r="U211" s="1753"/>
      <c r="V211" s="1344"/>
      <c r="W211" s="1344"/>
      <c r="X211" s="1344"/>
      <c r="Y211" s="1707"/>
      <c r="Z211" s="1344"/>
      <c r="AA211" s="1344"/>
      <c r="AB211" s="1709"/>
      <c r="AC211" s="1709"/>
      <c r="AD211" s="1707"/>
    </row>
    <row r="212" customFormat="false" ht="15.75" hidden="true" customHeight="true" outlineLevel="1" collapsed="false">
      <c r="A212" s="1436" t="s">
        <v>3194</v>
      </c>
      <c r="B212" s="1683" t="s">
        <v>15</v>
      </c>
      <c r="C212" s="1692" t="n">
        <f aca="false">$C$143</f>
        <v>0.145</v>
      </c>
      <c r="D212" s="1436" t="n">
        <f aca="false">$D$143</f>
        <v>0.045</v>
      </c>
      <c r="E212" s="1436" t="n">
        <f aca="false">IF('Ввод данных'!$A$17=связи1!$A$94,IF(дома!E211+0.05-дома!$C$136&lt;0,0,дома!E211+0.05-дома!$C$136),0)+IF(E211=0,0,IF('Ввод данных'!$A$17=связи1!$A$97,IF(дома!E211+0.05+дома!$C$136&gt;дома!$E$137+0.5,0,дома!E211+0.05+дома!$C$136),0))</f>
        <v>0</v>
      </c>
      <c r="F212" s="1186" t="n">
        <f aca="false">IF(E212&lt;($E$133+0.5),1,0)*$D$141*IF('Ввод данных'!$A$101=связи1!$A$128,2,2)*IF(связи1!$H$91=связи1!$A$2,1,0)</f>
        <v>0</v>
      </c>
      <c r="G212" s="1436" t="n">
        <f aca="false">C212*D212*E212*F212</f>
        <v>0</v>
      </c>
      <c r="H212" s="1436"/>
      <c r="I212" s="1436"/>
      <c r="J212" s="1436"/>
      <c r="K212" s="1344"/>
      <c r="L212" s="1344"/>
      <c r="M212" s="1344"/>
      <c r="N212" s="1344"/>
      <c r="O212" s="1344"/>
      <c r="P212" s="1707"/>
      <c r="Q212" s="1707"/>
      <c r="R212" s="1707"/>
      <c r="S212" s="1344"/>
      <c r="T212" s="1344"/>
      <c r="U212" s="1753"/>
      <c r="V212" s="1344"/>
      <c r="W212" s="1344"/>
      <c r="X212" s="1344"/>
      <c r="Y212" s="1707"/>
      <c r="Z212" s="1344"/>
      <c r="AA212" s="1344"/>
      <c r="AB212" s="1709"/>
      <c r="AC212" s="1709"/>
      <c r="AD212" s="1707"/>
    </row>
    <row r="213" customFormat="false" ht="15.75" hidden="true" customHeight="true" outlineLevel="1" collapsed="false">
      <c r="A213" s="1436" t="s">
        <v>3195</v>
      </c>
      <c r="B213" s="1683" t="s">
        <v>15</v>
      </c>
      <c r="C213" s="1692" t="n">
        <f aca="false">$C$143</f>
        <v>0.145</v>
      </c>
      <c r="D213" s="1436" t="n">
        <f aca="false">$D$143</f>
        <v>0.045</v>
      </c>
      <c r="E213" s="1436" t="n">
        <f aca="false">IF('Ввод данных'!$A$17=связи1!$A$94,IF(дома!E212+0.05-дома!$C$136&lt;0,0,дома!E212+0.05-дома!$C$136),0)+IF(E212=0,0,IF('Ввод данных'!$A$17=связи1!$A$97,IF(дома!E212+0.05+дома!$C$136&gt;дома!$E$137+0.5,0,дома!E212+0.05+дома!$C$136),0))</f>
        <v>0</v>
      </c>
      <c r="F213" s="1186" t="n">
        <f aca="false">IF(E213&lt;($E$133+0.5),1,0)*$D$141*IF('Ввод данных'!$A$101=связи1!$A$128,2,2)*IF(связи1!$H$91=связи1!$A$2,1,0)</f>
        <v>0</v>
      </c>
      <c r="G213" s="1436" t="n">
        <f aca="false">C213*D213*E213*F213</f>
        <v>0</v>
      </c>
      <c r="H213" s="1436"/>
      <c r="I213" s="1436"/>
      <c r="J213" s="1436"/>
      <c r="K213" s="1344"/>
      <c r="L213" s="1344"/>
      <c r="M213" s="1344"/>
      <c r="N213" s="1344"/>
      <c r="O213" s="1344"/>
      <c r="P213" s="1707"/>
      <c r="Q213" s="1707"/>
      <c r="R213" s="1707"/>
      <c r="S213" s="1344"/>
      <c r="T213" s="1344"/>
      <c r="U213" s="1753"/>
      <c r="V213" s="1344"/>
      <c r="W213" s="1344"/>
      <c r="X213" s="1344"/>
      <c r="Y213" s="1707"/>
      <c r="Z213" s="1344"/>
      <c r="AA213" s="1344"/>
      <c r="AB213" s="1709"/>
      <c r="AC213" s="1709"/>
      <c r="AD213" s="1707"/>
    </row>
    <row r="214" customFormat="false" ht="15.75" hidden="true" customHeight="true" outlineLevel="1" collapsed="false">
      <c r="A214" s="1436" t="s">
        <v>3196</v>
      </c>
      <c r="B214" s="1683" t="s">
        <v>15</v>
      </c>
      <c r="C214" s="1692" t="n">
        <f aca="false">$C$143</f>
        <v>0.145</v>
      </c>
      <c r="D214" s="1436" t="n">
        <f aca="false">$D$143</f>
        <v>0.045</v>
      </c>
      <c r="E214" s="1436" t="n">
        <f aca="false">C134*1.05*D141</f>
        <v>0</v>
      </c>
      <c r="F214" s="1186" t="n">
        <f aca="false">IF(E214&lt;($E$133+0.5),1,0)*$D$141*IF('Ввод данных'!$A$101=связи1!$A$128,2,2)*IF(связи1!$H$91=связи1!$A$2,1,0)</f>
        <v>0</v>
      </c>
      <c r="G214" s="1436" t="n">
        <f aca="false">C214*D214*E214*F214</f>
        <v>0</v>
      </c>
      <c r="H214" s="1436"/>
      <c r="I214" s="1436"/>
      <c r="J214" s="1436"/>
      <c r="K214" s="1344"/>
      <c r="L214" s="1344"/>
      <c r="M214" s="1344"/>
      <c r="N214" s="1344"/>
      <c r="O214" s="1344"/>
      <c r="P214" s="1707"/>
      <c r="Q214" s="1707"/>
      <c r="R214" s="1707"/>
      <c r="S214" s="1344"/>
      <c r="T214" s="1344"/>
      <c r="U214" s="1753"/>
      <c r="V214" s="1344"/>
      <c r="W214" s="1344"/>
      <c r="X214" s="1344"/>
      <c r="Y214" s="1707"/>
      <c r="Z214" s="1344"/>
      <c r="AA214" s="1344"/>
      <c r="AB214" s="1709"/>
      <c r="AC214" s="1709"/>
      <c r="AD214" s="1707"/>
    </row>
    <row r="215" customFormat="false" ht="15.75" hidden="true" customHeight="true" outlineLevel="1" collapsed="false">
      <c r="A215" s="1436" t="s">
        <v>3197</v>
      </c>
      <c r="B215" s="1683" t="s">
        <v>15</v>
      </c>
      <c r="C215" s="1692" t="n">
        <f aca="false">$C$143</f>
        <v>0.145</v>
      </c>
      <c r="D215" s="1436" t="n">
        <f aca="false">$D$143</f>
        <v>0.045</v>
      </c>
      <c r="E215" s="1436" t="n">
        <f aca="false">C133*D141</f>
        <v>0</v>
      </c>
      <c r="F215" s="1186" t="n">
        <f aca="false">IF(E215&lt;($E$133+0.5),1,0)*$D$141*IF('Ввод данных'!$A$101=связи1!$A$128,2,2)*IF(связи1!$H$91=связи1!$A$2,1,0)</f>
        <v>0</v>
      </c>
      <c r="G215" s="1436" t="n">
        <f aca="false">C215*D215*E215*F215</f>
        <v>0</v>
      </c>
      <c r="H215" s="1436"/>
      <c r="I215" s="1436"/>
      <c r="J215" s="1436"/>
      <c r="K215" s="1344"/>
      <c r="L215" s="1344"/>
      <c r="M215" s="1344"/>
      <c r="N215" s="1344"/>
      <c r="O215" s="1344"/>
      <c r="P215" s="1707"/>
      <c r="Q215" s="1707"/>
      <c r="R215" s="1707"/>
      <c r="S215" s="1344"/>
      <c r="T215" s="1344"/>
      <c r="U215" s="1753"/>
      <c r="V215" s="1344"/>
      <c r="W215" s="1344"/>
      <c r="X215" s="1344"/>
      <c r="Y215" s="1707"/>
      <c r="Z215" s="1344"/>
      <c r="AA215" s="1344"/>
      <c r="AB215" s="1709"/>
      <c r="AC215" s="1709"/>
      <c r="AD215" s="1707"/>
    </row>
    <row r="216" customFormat="false" ht="15.75" hidden="true" customHeight="true" outlineLevel="1" collapsed="false">
      <c r="A216" s="1436" t="s">
        <v>3198</v>
      </c>
      <c r="B216" s="1683" t="s">
        <v>15</v>
      </c>
      <c r="C216" s="1692" t="n">
        <f aca="false">$C$143</f>
        <v>0.145</v>
      </c>
      <c r="D216" s="1436" t="n">
        <f aca="false">$D$143</f>
        <v>0.045</v>
      </c>
      <c r="E216" s="1436" t="n">
        <f aca="false">E214*D141</f>
        <v>0</v>
      </c>
      <c r="F216" s="1186" t="n">
        <f aca="false">IF(E216&lt;($E$133+0.5),1,0)*$D$141*IF('Ввод данных'!$A$101=связи1!$A$128,2,2)*IF(связи1!$H$91=связи1!$A$2,1,0)</f>
        <v>0</v>
      </c>
      <c r="G216" s="1436" t="n">
        <f aca="false">C216*D216*E216*F216</f>
        <v>0</v>
      </c>
      <c r="H216" s="1436"/>
      <c r="I216" s="1436"/>
      <c r="J216" s="1436"/>
      <c r="K216" s="1344"/>
      <c r="L216" s="1344"/>
      <c r="M216" s="1344"/>
      <c r="N216" s="1344"/>
      <c r="O216" s="1344"/>
      <c r="P216" s="1707"/>
      <c r="Q216" s="1707"/>
      <c r="R216" s="1707"/>
      <c r="S216" s="1344"/>
      <c r="T216" s="1344"/>
      <c r="U216" s="1753"/>
      <c r="V216" s="1344"/>
      <c r="W216" s="1344"/>
      <c r="X216" s="1344"/>
      <c r="Y216" s="1707"/>
      <c r="Z216" s="1344"/>
      <c r="AA216" s="1344"/>
      <c r="AB216" s="1709"/>
      <c r="AC216" s="1709"/>
      <c r="AD216" s="1707"/>
    </row>
    <row r="217" customFormat="false" ht="15.75" hidden="true" customHeight="true" outlineLevel="1" collapsed="false">
      <c r="A217" s="1436" t="s">
        <v>3199</v>
      </c>
      <c r="B217" s="1683" t="s">
        <v>15</v>
      </c>
      <c r="C217" s="1692" t="n">
        <f aca="false">$C$143</f>
        <v>0.145</v>
      </c>
      <c r="D217" s="1436" t="n">
        <f aca="false">$D$143</f>
        <v>0.045</v>
      </c>
      <c r="E217" s="1604" t="n">
        <f aca="false">IF('Ввод данных'!A17=связи1!A94,E133-C125+0.1,0)+IF('Ввод данных'!A17=связи1!A97,C125,0)</f>
        <v>0</v>
      </c>
      <c r="F217" s="1186" t="n">
        <f aca="false">IF(E217&lt;($E$133+0.5),1,0)*$D$141*IF('Ввод данных'!$A$101=связи1!$A$128,2,2)*IF(связи1!$H$91=связи1!$A$2,1,0)</f>
        <v>0</v>
      </c>
      <c r="G217" s="1436" t="n">
        <f aca="false">C217*D217*E217*F217</f>
        <v>0</v>
      </c>
      <c r="H217" s="1436"/>
      <c r="I217" s="1436"/>
      <c r="J217" s="1436"/>
      <c r="K217" s="1344"/>
      <c r="L217" s="1344"/>
      <c r="M217" s="1344"/>
      <c r="N217" s="1344"/>
      <c r="O217" s="1344"/>
      <c r="P217" s="1707"/>
      <c r="Q217" s="1707"/>
      <c r="R217" s="1707"/>
      <c r="S217" s="1344"/>
      <c r="T217" s="1344"/>
      <c r="U217" s="1753"/>
      <c r="V217" s="1344"/>
      <c r="W217" s="1344"/>
      <c r="X217" s="1344"/>
      <c r="Y217" s="1707"/>
      <c r="Z217" s="1344"/>
      <c r="AA217" s="1344"/>
      <c r="AB217" s="1709"/>
      <c r="AC217" s="1709"/>
      <c r="AD217" s="1707"/>
    </row>
    <row r="218" customFormat="false" ht="15.75" hidden="true" customHeight="true" outlineLevel="1" collapsed="false">
      <c r="A218" s="1436" t="s">
        <v>3200</v>
      </c>
      <c r="B218" s="1683" t="s">
        <v>15</v>
      </c>
      <c r="C218" s="1692" t="n">
        <f aca="false">$C$143</f>
        <v>0.145</v>
      </c>
      <c r="D218" s="1436" t="n">
        <f aca="false">$D$143</f>
        <v>0.045</v>
      </c>
      <c r="E218" s="1604" t="n">
        <f aca="false">IF('Ввод данных'!$A$17=связи1!$A$94,IF(дома!E217+0.05-дома!$F$140&lt;0,0,дома!E217+0.05-дома!$F$140),0)+IF(E217=0,0,IF('Ввод данных'!$A$17=связи1!$A$97,IF(дома!E217+0.05+дома!$F$140&gt;дома!$E$137+0.2,0,дома!E217+0.05+дома!$F$140),0))</f>
        <v>0</v>
      </c>
      <c r="F218" s="1186" t="n">
        <f aca="false">IF(E218&lt;($E$133+0.5),1,0)*$D$141*IF('Ввод данных'!$A$101=связи1!$A$128,2,2)*IF(связи1!$H$91=связи1!$A$2,1,0)</f>
        <v>0</v>
      </c>
      <c r="G218" s="1436" t="n">
        <f aca="false">C218*D218*E218*F218</f>
        <v>0</v>
      </c>
      <c r="H218" s="1436"/>
      <c r="I218" s="1436"/>
      <c r="J218" s="1436"/>
      <c r="K218" s="1344"/>
      <c r="L218" s="1344"/>
      <c r="M218" s="1344"/>
      <c r="N218" s="1344"/>
      <c r="O218" s="1344"/>
      <c r="P218" s="1707"/>
      <c r="Q218" s="1707"/>
      <c r="R218" s="1707"/>
      <c r="S218" s="1344"/>
      <c r="T218" s="1344"/>
      <c r="U218" s="1753"/>
      <c r="V218" s="1344"/>
      <c r="W218" s="1344"/>
      <c r="X218" s="1344"/>
      <c r="Y218" s="1707"/>
      <c r="Z218" s="1344"/>
      <c r="AA218" s="1344"/>
      <c r="AB218" s="1709"/>
      <c r="AC218" s="1709"/>
      <c r="AD218" s="1707"/>
    </row>
    <row r="219" customFormat="false" ht="15.75" hidden="true" customHeight="true" outlineLevel="1" collapsed="false">
      <c r="A219" s="1436" t="s">
        <v>3201</v>
      </c>
      <c r="B219" s="1683" t="s">
        <v>15</v>
      </c>
      <c r="C219" s="1692" t="n">
        <f aca="false">$C$143</f>
        <v>0.145</v>
      </c>
      <c r="D219" s="1436" t="n">
        <f aca="false">$D$143</f>
        <v>0.045</v>
      </c>
      <c r="E219" s="1604" t="n">
        <f aca="false">IF('Ввод данных'!$A$17=связи1!$A$94,IF(дома!E218+0.05-дома!$F$140&lt;0,0,дома!E218+0.05-дома!$F$140),0)+IF(E218=0,0,IF('Ввод данных'!$A$17=связи1!$A$97,IF(дома!E218+0.05+дома!$F$140&gt;дома!$E$137+0.2,0,дома!E218+0.05+дома!$F$140),0))</f>
        <v>0</v>
      </c>
      <c r="F219" s="1186" t="n">
        <f aca="false">IF(E219&lt;($E$133+0.5),1,0)*$D$141*IF('Ввод данных'!$A$101=связи1!$A$128,2,2)*IF(связи1!$H$91=связи1!$A$2,1,0)</f>
        <v>0</v>
      </c>
      <c r="G219" s="1436" t="n">
        <f aca="false">C219*D219*E219*F219</f>
        <v>0</v>
      </c>
      <c r="H219" s="1436"/>
      <c r="I219" s="1436"/>
      <c r="J219" s="1436"/>
      <c r="K219" s="1344"/>
      <c r="L219" s="1344"/>
      <c r="M219" s="1344"/>
      <c r="N219" s="1344"/>
      <c r="O219" s="1344"/>
      <c r="P219" s="1707"/>
      <c r="Q219" s="1707"/>
      <c r="R219" s="1707"/>
      <c r="S219" s="1344"/>
      <c r="T219" s="1344"/>
      <c r="U219" s="1753"/>
      <c r="V219" s="1344"/>
      <c r="W219" s="1344"/>
      <c r="X219" s="1344"/>
      <c r="Y219" s="1707"/>
      <c r="Z219" s="1344"/>
      <c r="AA219" s="1344"/>
      <c r="AB219" s="1709"/>
      <c r="AC219" s="1709"/>
      <c r="AD219" s="1707"/>
    </row>
    <row r="220" customFormat="false" ht="15.75" hidden="true" customHeight="true" outlineLevel="1" collapsed="false">
      <c r="A220" s="1436" t="s">
        <v>3202</v>
      </c>
      <c r="B220" s="1683" t="s">
        <v>15</v>
      </c>
      <c r="C220" s="1692" t="n">
        <f aca="false">$C$143</f>
        <v>0.145</v>
      </c>
      <c r="D220" s="1436" t="n">
        <f aca="false">$D$143</f>
        <v>0.045</v>
      </c>
      <c r="E220" s="1604" t="n">
        <f aca="false">IF('Ввод данных'!$A$17=связи1!$A$94,IF(дома!E219+0.05-дома!$F$140&lt;0,0,дома!E219+0.05-дома!$F$140),0)+IF(E219=0,0,IF('Ввод данных'!$A$17=связи1!$A$97,IF(дома!E219+0.05+дома!$F$140&gt;дома!$E$137+0.2,0,дома!E219+0.05+дома!$F$140),0))</f>
        <v>0</v>
      </c>
      <c r="F220" s="1186" t="n">
        <f aca="false">IF(E220&lt;($E$133+0.5),1,0)*$D$141*IF('Ввод данных'!$A$101=связи1!$A$128,2,2)*IF(связи1!$H$91=связи1!$A$2,1,0)</f>
        <v>0</v>
      </c>
      <c r="G220" s="1436" t="n">
        <f aca="false">C220*D220*E220*F220</f>
        <v>0</v>
      </c>
      <c r="H220" s="1436"/>
      <c r="I220" s="1436"/>
      <c r="J220" s="1436"/>
      <c r="K220" s="1344"/>
      <c r="L220" s="1344"/>
      <c r="M220" s="1344"/>
      <c r="N220" s="1344"/>
      <c r="O220" s="1344"/>
      <c r="P220" s="1707"/>
      <c r="Q220" s="1707"/>
      <c r="R220" s="1707"/>
      <c r="S220" s="1344"/>
      <c r="T220" s="1344"/>
      <c r="U220" s="1753"/>
      <c r="V220" s="1344"/>
      <c r="W220" s="1344"/>
      <c r="X220" s="1344"/>
      <c r="Y220" s="1707"/>
      <c r="Z220" s="1344"/>
      <c r="AA220" s="1344"/>
      <c r="AB220" s="1709"/>
      <c r="AC220" s="1709"/>
      <c r="AD220" s="1707"/>
    </row>
    <row r="221" customFormat="false" ht="15.75" hidden="true" customHeight="true" outlineLevel="1" collapsed="false">
      <c r="A221" s="1436" t="s">
        <v>3203</v>
      </c>
      <c r="B221" s="1683" t="s">
        <v>15</v>
      </c>
      <c r="C221" s="1692" t="n">
        <f aca="false">$C$143</f>
        <v>0.145</v>
      </c>
      <c r="D221" s="1436" t="n">
        <f aca="false">$D$143</f>
        <v>0.045</v>
      </c>
      <c r="E221" s="1604" t="n">
        <f aca="false">IF('Ввод данных'!$A$17=связи1!$A$94,IF(дома!E220+0.05-дома!$F$140&lt;0,0,дома!E220+0.05-дома!$F$140),0)+IF(E220=0,0,IF('Ввод данных'!$A$17=связи1!$A$97,IF(дома!E220+0.05+дома!$F$140&gt;дома!$E$137+0.2,0,дома!E220+0.05+дома!$F$140),0))</f>
        <v>0</v>
      </c>
      <c r="F221" s="1186" t="n">
        <f aca="false">IF(E221&lt;($E$133+0.5),1,0)*$D$141*IF('Ввод данных'!$A$101=связи1!$A$128,2,2)*IF(связи1!$H$91=связи1!$A$2,1,0)</f>
        <v>0</v>
      </c>
      <c r="G221" s="1436" t="n">
        <f aca="false">C221*D221*E221*F221</f>
        <v>0</v>
      </c>
      <c r="H221" s="1436"/>
      <c r="I221" s="1436"/>
      <c r="J221" s="1436"/>
      <c r="K221" s="1344"/>
      <c r="L221" s="1344"/>
      <c r="M221" s="1344"/>
      <c r="N221" s="1344"/>
      <c r="O221" s="1344"/>
      <c r="P221" s="1707"/>
      <c r="Q221" s="1707"/>
      <c r="R221" s="1707"/>
      <c r="S221" s="1344"/>
      <c r="T221" s="1344"/>
      <c r="U221" s="1753"/>
      <c r="V221" s="1344"/>
      <c r="W221" s="1344"/>
      <c r="X221" s="1344"/>
      <c r="Y221" s="1707"/>
      <c r="Z221" s="1344"/>
      <c r="AA221" s="1344"/>
      <c r="AB221" s="1709"/>
      <c r="AC221" s="1709"/>
      <c r="AD221" s="1707"/>
    </row>
    <row r="222" customFormat="false" ht="15.75" hidden="true" customHeight="true" outlineLevel="1" collapsed="false">
      <c r="A222" s="1436" t="s">
        <v>3204</v>
      </c>
      <c r="B222" s="1683" t="s">
        <v>15</v>
      </c>
      <c r="C222" s="1692" t="n">
        <f aca="false">$C$143</f>
        <v>0.145</v>
      </c>
      <c r="D222" s="1436" t="n">
        <f aca="false">$D$143</f>
        <v>0.045</v>
      </c>
      <c r="E222" s="1604" t="n">
        <f aca="false">IF('Ввод данных'!$A$17=связи1!$A$94,IF(дома!E221+0.05-дома!$F$140&lt;0,0,дома!E221+0.05-дома!$F$140),0)+IF(E221=0,0,IF('Ввод данных'!$A$17=связи1!$A$97,IF(дома!E221+0.05+дома!$F$140&gt;дома!$E$137+0.2,0,дома!E221+0.05+дома!$F$140),0))</f>
        <v>0</v>
      </c>
      <c r="F222" s="1186" t="n">
        <f aca="false">IF(E222&lt;($E$133+0.5),1,0)*$D$141*IF('Ввод данных'!$A$101=связи1!$A$128,2,2)*IF(связи1!$H$91=связи1!$A$2,1,0)</f>
        <v>0</v>
      </c>
      <c r="G222" s="1436" t="n">
        <f aca="false">C222*D222*E222*F222</f>
        <v>0</v>
      </c>
      <c r="H222" s="1436"/>
      <c r="I222" s="1436"/>
      <c r="J222" s="1436"/>
      <c r="K222" s="1344"/>
      <c r="L222" s="1344"/>
      <c r="M222" s="1344"/>
      <c r="N222" s="1344"/>
      <c r="O222" s="1344"/>
      <c r="P222" s="1707"/>
      <c r="Q222" s="1707"/>
      <c r="R222" s="1707"/>
      <c r="S222" s="1344"/>
      <c r="T222" s="1344"/>
      <c r="U222" s="1753"/>
      <c r="V222" s="1344"/>
      <c r="W222" s="1344"/>
      <c r="X222" s="1344"/>
      <c r="Y222" s="1707"/>
      <c r="Z222" s="1344"/>
      <c r="AA222" s="1344"/>
      <c r="AB222" s="1709"/>
      <c r="AC222" s="1709"/>
      <c r="AD222" s="1707"/>
    </row>
    <row r="223" customFormat="false" ht="15.75" hidden="true" customHeight="true" outlineLevel="1" collapsed="false">
      <c r="A223" s="1436" t="s">
        <v>3205</v>
      </c>
      <c r="B223" s="1683" t="s">
        <v>15</v>
      </c>
      <c r="C223" s="1692" t="n">
        <f aca="false">$C$143</f>
        <v>0.145</v>
      </c>
      <c r="D223" s="1436" t="n">
        <f aca="false">$D$143</f>
        <v>0.045</v>
      </c>
      <c r="E223" s="1604" t="n">
        <f aca="false">IF('Ввод данных'!$A$17=связи1!$A$94,IF(дома!E222+0.05-дома!$F$140&lt;0,0,дома!E222+0.05-дома!$F$140),0)+IF(E222=0,0,IF('Ввод данных'!$A$17=связи1!$A$97,IF(дома!E222+0.05+дома!$F$140&gt;дома!$E$137+0.2,0,дома!E222+0.05+дома!$F$140),0))</f>
        <v>0</v>
      </c>
      <c r="F223" s="1186" t="n">
        <f aca="false">IF(E223&lt;($E$133+0.5),1,0)*$D$141*IF('Ввод данных'!$A$101=связи1!$A$128,2,2)*IF(связи1!$H$91=связи1!$A$2,1,0)</f>
        <v>0</v>
      </c>
      <c r="G223" s="1436" t="n">
        <f aca="false">C223*D223*E223*F223</f>
        <v>0</v>
      </c>
      <c r="H223" s="1436"/>
      <c r="I223" s="1436"/>
      <c r="J223" s="1436"/>
      <c r="K223" s="1344"/>
      <c r="L223" s="1344"/>
      <c r="M223" s="1344"/>
      <c r="N223" s="1344"/>
      <c r="O223" s="1344"/>
      <c r="P223" s="1707"/>
      <c r="Q223" s="1707"/>
      <c r="R223" s="1707"/>
      <c r="S223" s="1344"/>
      <c r="T223" s="1344"/>
      <c r="U223" s="1753"/>
      <c r="V223" s="1344"/>
      <c r="W223" s="1344"/>
      <c r="X223" s="1344"/>
      <c r="Y223" s="1707"/>
      <c r="Z223" s="1344"/>
      <c r="AA223" s="1344"/>
      <c r="AB223" s="1709"/>
      <c r="AC223" s="1709"/>
      <c r="AD223" s="1707"/>
    </row>
    <row r="224" customFormat="false" ht="15.75" hidden="true" customHeight="true" outlineLevel="1" collapsed="false">
      <c r="A224" s="1436" t="s">
        <v>3206</v>
      </c>
      <c r="B224" s="1683" t="s">
        <v>15</v>
      </c>
      <c r="C224" s="1692" t="n">
        <f aca="false">$C$143</f>
        <v>0.145</v>
      </c>
      <c r="D224" s="1436" t="n">
        <f aca="false">$D$143</f>
        <v>0.045</v>
      </c>
      <c r="E224" s="1604" t="n">
        <f aca="false">IF('Ввод данных'!$A$17=связи1!$A$94,IF(дома!E223+0.05-дома!$F$140&lt;0,0,дома!E223+0.05-дома!$F$140),0)+IF(E223=0,0,IF('Ввод данных'!$A$17=связи1!$A$97,IF(дома!E223+0.05+дома!$F$140&gt;дома!$E$137+0.2,0,дома!E223+0.05+дома!$F$140),0))</f>
        <v>0</v>
      </c>
      <c r="F224" s="1186" t="n">
        <f aca="false">IF(E224&lt;($E$133+0.5),1,0)*$D$141*IF('Ввод данных'!$A$101=связи1!$A$128,2,2)*IF(связи1!$H$91=связи1!$A$2,1,0)</f>
        <v>0</v>
      </c>
      <c r="G224" s="1436" t="n">
        <f aca="false">C224*D224*E224*F224</f>
        <v>0</v>
      </c>
      <c r="H224" s="1436"/>
      <c r="I224" s="1436"/>
      <c r="J224" s="1436"/>
      <c r="K224" s="1344"/>
      <c r="L224" s="1344"/>
      <c r="M224" s="1344"/>
      <c r="N224" s="1344"/>
      <c r="O224" s="1344"/>
      <c r="P224" s="1707"/>
      <c r="Q224" s="1707"/>
      <c r="R224" s="1707"/>
      <c r="S224" s="1344"/>
      <c r="T224" s="1344"/>
      <c r="U224" s="1753"/>
      <c r="V224" s="1344"/>
      <c r="W224" s="1344"/>
      <c r="X224" s="1344"/>
      <c r="Y224" s="1707"/>
      <c r="Z224" s="1344"/>
      <c r="AA224" s="1344"/>
      <c r="AB224" s="1709"/>
      <c r="AC224" s="1709"/>
      <c r="AD224" s="1707"/>
    </row>
    <row r="225" customFormat="false" ht="15.75" hidden="true" customHeight="true" outlineLevel="1" collapsed="false">
      <c r="A225" s="1436" t="s">
        <v>3207</v>
      </c>
      <c r="B225" s="1683" t="s">
        <v>15</v>
      </c>
      <c r="C225" s="1692" t="n">
        <f aca="false">$C$143</f>
        <v>0.145</v>
      </c>
      <c r="D225" s="1436" t="n">
        <f aca="false">$D$143</f>
        <v>0.045</v>
      </c>
      <c r="E225" s="1604" t="n">
        <f aca="false">IF('Ввод данных'!$A$17=связи1!$A$94,IF(дома!E224+0.05-дома!$F$140&lt;0,0,дома!E224+0.05-дома!$F$140),0)+IF(E224=0,0,IF('Ввод данных'!$A$17=связи1!$A$97,IF(дома!E224+0.05+дома!$F$140&gt;дома!$E$137+0.2,0,дома!E224+0.05+дома!$F$140),0))</f>
        <v>0</v>
      </c>
      <c r="F225" s="1186" t="n">
        <f aca="false">IF(E225&lt;($E$133+0.5),1,0)*$D$141*IF('Ввод данных'!$A$101=связи1!$A$128,2,2)*IF(связи1!$H$91=связи1!$A$2,1,0)</f>
        <v>0</v>
      </c>
      <c r="G225" s="1436" t="n">
        <f aca="false">C225*D225*E225*F225</f>
        <v>0</v>
      </c>
      <c r="H225" s="1436"/>
      <c r="I225" s="1436"/>
      <c r="J225" s="1436"/>
      <c r="K225" s="1344"/>
      <c r="L225" s="1344"/>
      <c r="M225" s="1344"/>
      <c r="N225" s="1344"/>
      <c r="O225" s="1344"/>
      <c r="P225" s="1707"/>
      <c r="Q225" s="1707"/>
      <c r="R225" s="1707"/>
      <c r="S225" s="1344"/>
      <c r="T225" s="1344"/>
      <c r="U225" s="1753"/>
      <c r="V225" s="1344"/>
      <c r="W225" s="1344"/>
      <c r="X225" s="1344"/>
      <c r="Y225" s="1707"/>
      <c r="Z225" s="1344"/>
      <c r="AA225" s="1344"/>
      <c r="AB225" s="1709"/>
      <c r="AC225" s="1709"/>
      <c r="AD225" s="1707"/>
    </row>
    <row r="226" customFormat="false" ht="15.75" hidden="true" customHeight="true" outlineLevel="1" collapsed="false">
      <c r="A226" s="1436" t="s">
        <v>3208</v>
      </c>
      <c r="B226" s="1683" t="s">
        <v>15</v>
      </c>
      <c r="C226" s="1692" t="n">
        <f aca="false">$C$143</f>
        <v>0.145</v>
      </c>
      <c r="D226" s="1436" t="n">
        <f aca="false">$D$143</f>
        <v>0.045</v>
      </c>
      <c r="E226" s="1604" t="n">
        <f aca="false">IF('Ввод данных'!$A$17=связи1!$A$94,IF(дома!E225+0.05-дома!$F$140&lt;0,0,дома!E225+0.05-дома!$F$140),0)+IF(E225=0,0,IF('Ввод данных'!$A$17=связи1!$A$97,IF(дома!E225+0.05+дома!$F$140&gt;дома!$E$137+0.2,0,дома!E225+0.05+дома!$F$140),0))</f>
        <v>0</v>
      </c>
      <c r="F226" s="1186" t="n">
        <f aca="false">IF(E226&lt;($E$133+0.5),1,0)*$D$141*IF('Ввод данных'!$A$101=связи1!$A$128,2,2)*IF(связи1!$H$91=связи1!$A$2,1,0)</f>
        <v>0</v>
      </c>
      <c r="G226" s="1436" t="n">
        <f aca="false">C226*D226*E226*F226</f>
        <v>0</v>
      </c>
      <c r="H226" s="1436"/>
      <c r="I226" s="1436"/>
      <c r="J226" s="1436"/>
      <c r="K226" s="1344"/>
      <c r="L226" s="1344"/>
      <c r="M226" s="1344"/>
      <c r="N226" s="1344"/>
      <c r="O226" s="1344"/>
      <c r="P226" s="1707"/>
      <c r="Q226" s="1707"/>
      <c r="R226" s="1707"/>
      <c r="S226" s="1344"/>
      <c r="T226" s="1344"/>
      <c r="U226" s="1753"/>
      <c r="V226" s="1344"/>
      <c r="W226" s="1344"/>
      <c r="X226" s="1344"/>
      <c r="Y226" s="1707"/>
      <c r="Z226" s="1344"/>
      <c r="AA226" s="1344"/>
      <c r="AB226" s="1709"/>
      <c r="AC226" s="1709"/>
      <c r="AD226" s="1707"/>
    </row>
    <row r="227" customFormat="false" ht="15.75" hidden="true" customHeight="true" outlineLevel="1" collapsed="false">
      <c r="A227" s="1436" t="s">
        <v>3209</v>
      </c>
      <c r="B227" s="1683" t="s">
        <v>15</v>
      </c>
      <c r="C227" s="1692" t="n">
        <f aca="false">$C$143</f>
        <v>0.145</v>
      </c>
      <c r="D227" s="1436" t="n">
        <f aca="false">$D$143</f>
        <v>0.045</v>
      </c>
      <c r="E227" s="1604" t="n">
        <f aca="false">IF('Ввод данных'!$A$17=связи1!$A$94,IF(дома!E226+0.05-дома!$F$140&lt;0,0,дома!E226+0.05-дома!$F$140),0)+IF(E226=0,0,IF('Ввод данных'!$A$17=связи1!$A$97,IF(дома!E226+0.05+дома!$F$140&gt;дома!$E$137+0.2,0,дома!E226+0.05+дома!$F$140),0))</f>
        <v>0</v>
      </c>
      <c r="F227" s="1186" t="n">
        <f aca="false">IF(E227&lt;($E$133+0.5),1,0)*$D$141*IF('Ввод данных'!$A$101=связи1!$A$128,2,2)*IF(связи1!$H$91=связи1!$A$2,1,0)</f>
        <v>0</v>
      </c>
      <c r="G227" s="1436" t="n">
        <f aca="false">C227*D227*E227*F227</f>
        <v>0</v>
      </c>
      <c r="H227" s="1436"/>
      <c r="I227" s="1436"/>
      <c r="J227" s="1436"/>
      <c r="K227" s="1344"/>
      <c r="L227" s="1344"/>
      <c r="M227" s="1344"/>
      <c r="N227" s="1344"/>
      <c r="O227" s="1344"/>
      <c r="P227" s="1707"/>
      <c r="Q227" s="1707"/>
      <c r="R227" s="1707"/>
      <c r="S227" s="1344"/>
      <c r="T227" s="1344"/>
      <c r="U227" s="1753"/>
      <c r="V227" s="1344"/>
      <c r="W227" s="1344"/>
      <c r="X227" s="1344"/>
      <c r="Y227" s="1707"/>
      <c r="Z227" s="1344"/>
      <c r="AA227" s="1344"/>
      <c r="AB227" s="1709"/>
      <c r="AC227" s="1709"/>
      <c r="AD227" s="1707"/>
    </row>
    <row r="228" customFormat="false" ht="15.75" hidden="true" customHeight="true" outlineLevel="1" collapsed="false">
      <c r="A228" s="1436" t="s">
        <v>3210</v>
      </c>
      <c r="B228" s="1683" t="s">
        <v>15</v>
      </c>
      <c r="C228" s="1692" t="n">
        <f aca="false">$C$143</f>
        <v>0.145</v>
      </c>
      <c r="D228" s="1436" t="n">
        <f aca="false">$D$143</f>
        <v>0.045</v>
      </c>
      <c r="E228" s="1604" t="n">
        <f aca="false">IF('Ввод данных'!$A$17=связи1!$A$94,IF(дома!E227+0.05-дома!$F$140&lt;0,0,дома!E227+0.05-дома!$F$140),0)+IF(E227=0,0,IF('Ввод данных'!$A$17=связи1!$A$97,IF(дома!E227+0.05+дома!$F$140&gt;дома!$E$137+0.2,0,дома!E227+0.05+дома!$F$140),0))</f>
        <v>0</v>
      </c>
      <c r="F228" s="1186" t="n">
        <f aca="false">IF(E228&lt;($E$133+0.5),1,0)*$D$141*IF('Ввод данных'!$A$101=связи1!$A$128,2,2)*IF(связи1!$H$91=связи1!$A$2,1,0)</f>
        <v>0</v>
      </c>
      <c r="G228" s="1436" t="n">
        <f aca="false">C228*D228*E228*F228</f>
        <v>0</v>
      </c>
      <c r="H228" s="1436"/>
      <c r="I228" s="1436"/>
      <c r="J228" s="1436"/>
      <c r="K228" s="1344"/>
      <c r="L228" s="1344"/>
      <c r="M228" s="1344"/>
      <c r="N228" s="1344"/>
      <c r="O228" s="1344"/>
      <c r="P228" s="1707"/>
      <c r="Q228" s="1707"/>
      <c r="R228" s="1707"/>
      <c r="S228" s="1344"/>
      <c r="T228" s="1344"/>
      <c r="U228" s="1753"/>
      <c r="V228" s="1344"/>
      <c r="W228" s="1344"/>
      <c r="X228" s="1344"/>
      <c r="Y228" s="1707"/>
      <c r="Z228" s="1344"/>
      <c r="AA228" s="1344"/>
      <c r="AB228" s="1709"/>
      <c r="AC228" s="1709"/>
      <c r="AD228" s="1707"/>
    </row>
    <row r="229" customFormat="false" ht="15.75" hidden="true" customHeight="true" outlineLevel="1" collapsed="false">
      <c r="A229" s="1436" t="s">
        <v>3211</v>
      </c>
      <c r="B229" s="1683" t="s">
        <v>15</v>
      </c>
      <c r="C229" s="1692" t="n">
        <f aca="false">$C$143</f>
        <v>0.145</v>
      </c>
      <c r="D229" s="1436" t="n">
        <f aca="false">$D$143</f>
        <v>0.045</v>
      </c>
      <c r="E229" s="1604" t="n">
        <f aca="false">IF('Ввод данных'!$A$17=связи1!$A$94,IF(дома!E228+0.05-дома!$F$140&lt;0,0,дома!E228+0.05-дома!$F$140),0)+IF(E228=0,0,IF('Ввод данных'!$A$17=связи1!$A$97,IF(дома!E228+0.05+дома!$F$140&gt;дома!$E$137+0.2,0,дома!E228+0.05+дома!$F$140),0))</f>
        <v>0</v>
      </c>
      <c r="F229" s="1186" t="n">
        <f aca="false">IF(E229&lt;($E$133+0.5),1,0)*$D$141*IF('Ввод данных'!$A$101=связи1!$A$128,2,2)*IF(связи1!$H$91=связи1!$A$2,1,0)</f>
        <v>0</v>
      </c>
      <c r="G229" s="1436" t="n">
        <f aca="false">C229*D229*E229*F229</f>
        <v>0</v>
      </c>
      <c r="H229" s="1436"/>
      <c r="I229" s="1436"/>
      <c r="J229" s="1436"/>
      <c r="K229" s="1344"/>
      <c r="L229" s="1344"/>
      <c r="M229" s="1344"/>
      <c r="N229" s="1344"/>
      <c r="O229" s="1344"/>
      <c r="P229" s="1707"/>
      <c r="Q229" s="1707"/>
      <c r="R229" s="1707"/>
      <c r="S229" s="1344"/>
      <c r="T229" s="1344"/>
      <c r="U229" s="1753"/>
      <c r="V229" s="1344"/>
      <c r="W229" s="1344"/>
      <c r="X229" s="1344"/>
      <c r="Y229" s="1707"/>
      <c r="Z229" s="1344"/>
      <c r="AA229" s="1344"/>
      <c r="AB229" s="1709"/>
      <c r="AC229" s="1709"/>
      <c r="AD229" s="1707"/>
    </row>
    <row r="230" customFormat="false" ht="15.75" hidden="true" customHeight="true" outlineLevel="1" collapsed="false">
      <c r="A230" s="1436" t="s">
        <v>3212</v>
      </c>
      <c r="B230" s="1683" t="s">
        <v>15</v>
      </c>
      <c r="C230" s="1692" t="n">
        <f aca="false">$C$143</f>
        <v>0.145</v>
      </c>
      <c r="D230" s="1436" t="n">
        <f aca="false">$D$143</f>
        <v>0.045</v>
      </c>
      <c r="E230" s="1604" t="n">
        <f aca="false">IF('Ввод данных'!$A$17=связи1!$A$94,IF(дома!E229+0.05-дома!$F$140&lt;0,0,дома!E229+0.05-дома!$F$140),0)+IF(E229=0,0,IF('Ввод данных'!$A$17=связи1!$A$97,IF(дома!E229+0.05+дома!$F$140&gt;дома!$E$137+0.2,0,дома!E229+0.05+дома!$F$140),0))</f>
        <v>0</v>
      </c>
      <c r="F230" s="1186" t="n">
        <f aca="false">IF(E230&lt;($E$133+0.5),1,0)*$D$141*IF('Ввод данных'!$A$101=связи1!$A$128,2,2)*IF(связи1!$H$91=связи1!$A$2,1,0)</f>
        <v>0</v>
      </c>
      <c r="G230" s="1436" t="n">
        <f aca="false">C230*D230*E230*F230</f>
        <v>0</v>
      </c>
      <c r="H230" s="1436"/>
      <c r="I230" s="1436"/>
      <c r="J230" s="1436"/>
      <c r="K230" s="1344"/>
      <c r="L230" s="1344"/>
      <c r="M230" s="1344"/>
      <c r="N230" s="1344"/>
      <c r="O230" s="1344"/>
      <c r="P230" s="1707"/>
      <c r="Q230" s="1707"/>
      <c r="R230" s="1707"/>
      <c r="S230" s="1344"/>
      <c r="T230" s="1344"/>
      <c r="U230" s="1753"/>
      <c r="V230" s="1344"/>
      <c r="W230" s="1344"/>
      <c r="X230" s="1344"/>
      <c r="Y230" s="1707"/>
      <c r="Z230" s="1344"/>
      <c r="AA230" s="1344"/>
      <c r="AB230" s="1709"/>
      <c r="AC230" s="1709"/>
      <c r="AD230" s="1707"/>
    </row>
    <row r="231" customFormat="false" ht="15.75" hidden="true" customHeight="true" outlineLevel="1" collapsed="false">
      <c r="A231" s="1436" t="s">
        <v>3213</v>
      </c>
      <c r="B231" s="1683" t="s">
        <v>15</v>
      </c>
      <c r="C231" s="1692" t="n">
        <f aca="false">$C$143</f>
        <v>0.145</v>
      </c>
      <c r="D231" s="1436" t="n">
        <f aca="false">$D$143</f>
        <v>0.045</v>
      </c>
      <c r="E231" s="1604" t="n">
        <f aca="false">IF('Ввод данных'!$A$17=связи1!$A$94,IF(дома!E230+0.05-дома!$F$140&lt;0,0,дома!E230+0.05-дома!$F$140),0)+IF(E230=0,0,IF('Ввод данных'!$A$17=связи1!$A$97,IF(дома!E230+0.05+дома!$F$140&gt;дома!$E$137+0.2,0,дома!E230+0.05+дома!$F$140),0))</f>
        <v>0</v>
      </c>
      <c r="F231" s="1186" t="n">
        <f aca="false">IF(E231&lt;($E$133+0.5),1,0)*$D$141*IF('Ввод данных'!$A$101=связи1!$A$128,2,2)*IF(связи1!$H$91=связи1!$A$2,1,0)</f>
        <v>0</v>
      </c>
      <c r="G231" s="1436" t="n">
        <f aca="false">C231*D231*E231*F231</f>
        <v>0</v>
      </c>
      <c r="H231" s="1436"/>
      <c r="I231" s="1436"/>
      <c r="J231" s="1436"/>
      <c r="K231" s="1344"/>
      <c r="L231" s="1344"/>
      <c r="M231" s="1344"/>
      <c r="N231" s="1344"/>
      <c r="O231" s="1344"/>
      <c r="P231" s="1707"/>
      <c r="Q231" s="1707"/>
      <c r="R231" s="1707"/>
      <c r="S231" s="1344"/>
      <c r="T231" s="1344"/>
      <c r="U231" s="1753"/>
      <c r="V231" s="1344"/>
      <c r="W231" s="1344"/>
      <c r="X231" s="1344"/>
      <c r="Y231" s="1707"/>
      <c r="Z231" s="1344"/>
      <c r="AA231" s="1344"/>
      <c r="AB231" s="1709"/>
      <c r="AC231" s="1709"/>
      <c r="AD231" s="1707"/>
    </row>
    <row r="232" customFormat="false" ht="15.75" hidden="true" customHeight="true" outlineLevel="1" collapsed="false">
      <c r="A232" s="1436" t="s">
        <v>3214</v>
      </c>
      <c r="B232" s="1683" t="s">
        <v>15</v>
      </c>
      <c r="C232" s="1692" t="n">
        <f aca="false">$C$143</f>
        <v>0.145</v>
      </c>
      <c r="D232" s="1436" t="n">
        <f aca="false">$D$143</f>
        <v>0.045</v>
      </c>
      <c r="E232" s="1604" t="n">
        <f aca="false">IF('Ввод данных'!$A$17=связи1!$A$94,IF(дома!E231+0.05-дома!$F$140&lt;0,0,дома!E231+0.05-дома!$F$140),0)+IF(E231=0,0,IF('Ввод данных'!$A$17=связи1!$A$97,IF(дома!E231+0.05+дома!$F$140&gt;дома!$E$137+0.2,0,дома!E231+0.05+дома!$F$140),0))</f>
        <v>0</v>
      </c>
      <c r="F232" s="1186" t="n">
        <f aca="false">IF(E232&lt;($E$133+0.5),1,0)*$D$141*IF('Ввод данных'!$A$101=связи1!$A$128,2,2)*IF(связи1!$H$91=связи1!$A$2,1,0)</f>
        <v>0</v>
      </c>
      <c r="G232" s="1436" t="n">
        <f aca="false">C232*D232*E232*F232</f>
        <v>0</v>
      </c>
      <c r="H232" s="1436"/>
      <c r="I232" s="1436"/>
      <c r="J232" s="1436"/>
      <c r="K232" s="1344"/>
      <c r="L232" s="1344"/>
      <c r="M232" s="1344"/>
      <c r="N232" s="1344"/>
      <c r="O232" s="1344"/>
      <c r="P232" s="1707"/>
      <c r="Q232" s="1707"/>
      <c r="R232" s="1707"/>
      <c r="S232" s="1344"/>
      <c r="T232" s="1344"/>
      <c r="U232" s="1753"/>
      <c r="V232" s="1344"/>
      <c r="W232" s="1344"/>
      <c r="X232" s="1344"/>
      <c r="Y232" s="1707"/>
      <c r="Z232" s="1344"/>
      <c r="AA232" s="1344"/>
      <c r="AB232" s="1709"/>
      <c r="AC232" s="1709"/>
      <c r="AD232" s="1707"/>
    </row>
    <row r="233" customFormat="false" ht="15.75" hidden="true" customHeight="true" outlineLevel="1" collapsed="false">
      <c r="A233" s="1436" t="s">
        <v>3215</v>
      </c>
      <c r="B233" s="1683" t="s">
        <v>15</v>
      </c>
      <c r="C233" s="1692" t="n">
        <f aca="false">$C$143</f>
        <v>0.145</v>
      </c>
      <c r="D233" s="1436" t="n">
        <f aca="false">$D$143</f>
        <v>0.045</v>
      </c>
      <c r="E233" s="1604" t="n">
        <f aca="false">IF('Ввод данных'!$A$17=связи1!$A$94,IF(дома!E232+0.05-дома!$F$140&lt;0,0,дома!E232+0.05-дома!$F$140),0)+IF(E232=0,0,IF('Ввод данных'!$A$17=связи1!$A$97,IF(дома!E232+0.05+дома!$F$140&gt;дома!$E$137+0.2,0,дома!E232+0.05+дома!$F$140),0))</f>
        <v>0</v>
      </c>
      <c r="F233" s="1186" t="n">
        <f aca="false">IF(E233&lt;($E$133+0.5),1,0)*$D$141*IF('Ввод данных'!$A$101=связи1!$A$128,2,2)*IF(связи1!$H$91=связи1!$A$2,1,0)</f>
        <v>0</v>
      </c>
      <c r="G233" s="1436" t="n">
        <f aca="false">C233*D233*E233*F233</f>
        <v>0</v>
      </c>
      <c r="H233" s="1436"/>
      <c r="I233" s="1436"/>
      <c r="J233" s="1436"/>
      <c r="K233" s="1344"/>
      <c r="L233" s="1344"/>
      <c r="M233" s="1344"/>
      <c r="N233" s="1344"/>
      <c r="O233" s="1344"/>
      <c r="P233" s="1707"/>
      <c r="Q233" s="1707"/>
      <c r="R233" s="1707"/>
      <c r="S233" s="1344"/>
      <c r="T233" s="1344"/>
      <c r="U233" s="1753"/>
      <c r="V233" s="1344"/>
      <c r="W233" s="1344"/>
      <c r="X233" s="1344"/>
      <c r="Y233" s="1707"/>
      <c r="Z233" s="1344"/>
      <c r="AA233" s="1344"/>
      <c r="AB233" s="1709"/>
      <c r="AC233" s="1709"/>
      <c r="AD233" s="1707"/>
    </row>
    <row r="234" customFormat="false" ht="15.75" hidden="true" customHeight="true" outlineLevel="1" collapsed="false">
      <c r="A234" s="1436" t="s">
        <v>3216</v>
      </c>
      <c r="B234" s="1683" t="s">
        <v>15</v>
      </c>
      <c r="C234" s="1692" t="n">
        <f aca="false">$C$143</f>
        <v>0.145</v>
      </c>
      <c r="D234" s="1436" t="n">
        <f aca="false">$D$143</f>
        <v>0.045</v>
      </c>
      <c r="E234" s="1604" t="n">
        <f aca="false">IF('Ввод данных'!$A$17=связи1!$A$94,IF(дома!E233+0.05-дома!$F$140&lt;0,0,дома!E233+0.05-дома!$F$140),0)+IF(E233=0,0,IF('Ввод данных'!$A$17=связи1!$A$97,IF(дома!E233+0.05+дома!$F$140&gt;дома!$E$137+0.2,0,дома!E233+0.05+дома!$F$140),0))</f>
        <v>0</v>
      </c>
      <c r="F234" s="1186" t="n">
        <f aca="false">IF(E234&lt;($E$133+0.5),1,0)*$D$141*IF('Ввод данных'!$A$101=связи1!$A$128,2,2)*IF(связи1!$H$91=связи1!$A$2,1,0)</f>
        <v>0</v>
      </c>
      <c r="G234" s="1436" t="n">
        <f aca="false">C234*D234*E234*F234</f>
        <v>0</v>
      </c>
      <c r="H234" s="1436"/>
      <c r="I234" s="1436"/>
      <c r="J234" s="1436"/>
      <c r="K234" s="1344"/>
      <c r="L234" s="1344"/>
      <c r="M234" s="1344"/>
      <c r="N234" s="1344"/>
      <c r="O234" s="1344"/>
      <c r="P234" s="1707"/>
      <c r="Q234" s="1707"/>
      <c r="R234" s="1707"/>
      <c r="S234" s="1344"/>
      <c r="T234" s="1344"/>
      <c r="U234" s="1753"/>
      <c r="V234" s="1344"/>
      <c r="W234" s="1344"/>
      <c r="X234" s="1344"/>
      <c r="Y234" s="1707"/>
      <c r="Z234" s="1344"/>
      <c r="AA234" s="1344"/>
      <c r="AB234" s="1709"/>
      <c r="AC234" s="1709"/>
      <c r="AD234" s="1707"/>
    </row>
    <row r="235" customFormat="false" ht="15.75" hidden="true" customHeight="true" outlineLevel="1" collapsed="false">
      <c r="A235" s="1436" t="s">
        <v>3217</v>
      </c>
      <c r="B235" s="1683" t="s">
        <v>15</v>
      </c>
      <c r="C235" s="1692" t="n">
        <f aca="false">$C$143</f>
        <v>0.145</v>
      </c>
      <c r="D235" s="1436" t="n">
        <f aca="false">$D$143</f>
        <v>0.045</v>
      </c>
      <c r="E235" s="1604" t="n">
        <f aca="false">IF('Ввод данных'!$A$17=связи1!$A$94,IF(дома!E234+0.05-дома!$F$140&lt;0,0,дома!E234+0.05-дома!$F$140),0)+IF(E234=0,0,IF('Ввод данных'!$A$17=связи1!$A$97,IF(дома!E234+0.05+дома!$F$140&gt;дома!$E$137+0.2,0,дома!E234+0.05+дома!$F$140),0))</f>
        <v>0</v>
      </c>
      <c r="F235" s="1186" t="n">
        <f aca="false">IF(E235&lt;($E$133+0.5),1,0)*$D$141*IF('Ввод данных'!$A$101=связи1!$A$128,2,2)*IF(связи1!$H$91=связи1!$A$2,1,0)</f>
        <v>0</v>
      </c>
      <c r="G235" s="1436" t="n">
        <f aca="false">C235*D235*E235*F235</f>
        <v>0</v>
      </c>
      <c r="H235" s="1436"/>
      <c r="I235" s="1436"/>
      <c r="J235" s="1436"/>
      <c r="K235" s="1344"/>
      <c r="L235" s="1344"/>
      <c r="M235" s="1344"/>
      <c r="N235" s="1344"/>
      <c r="O235" s="1344"/>
      <c r="P235" s="1707"/>
      <c r="Q235" s="1707"/>
      <c r="R235" s="1707"/>
      <c r="S235" s="1344"/>
      <c r="T235" s="1344"/>
      <c r="U235" s="1753"/>
      <c r="V235" s="1344"/>
      <c r="W235" s="1344"/>
      <c r="X235" s="1344"/>
      <c r="Y235" s="1707"/>
      <c r="Z235" s="1344"/>
      <c r="AA235" s="1344"/>
      <c r="AB235" s="1709"/>
      <c r="AC235" s="1709"/>
      <c r="AD235" s="1707"/>
    </row>
    <row r="236" customFormat="false" ht="15.75" hidden="true" customHeight="true" outlineLevel="1" collapsed="false">
      <c r="A236" s="1436" t="s">
        <v>3218</v>
      </c>
      <c r="B236" s="1683" t="s">
        <v>15</v>
      </c>
      <c r="C236" s="1692" t="n">
        <f aca="false">$C$143</f>
        <v>0.145</v>
      </c>
      <c r="D236" s="1436" t="n">
        <f aca="false">$D$143</f>
        <v>0.045</v>
      </c>
      <c r="E236" s="1604" t="n">
        <f aca="false">IF('Ввод данных'!$A$17=связи1!$A$94,IF(дома!E235+0.05-дома!$F$140&lt;0,0,дома!E235+0.05-дома!$F$140),0)+IF(E235=0,0,IF('Ввод данных'!$A$17=связи1!$A$97,IF(дома!E235+0.05+дома!$F$140&gt;дома!$E$137+0.2,0,дома!E235+0.05+дома!$F$140),0))</f>
        <v>0</v>
      </c>
      <c r="F236" s="1186" t="n">
        <f aca="false">IF(E236&lt;($E$133+0.5),1,0)*$D$141*IF('Ввод данных'!$A$101=связи1!$A$128,2,2)*IF(связи1!$H$91=связи1!$A$2,1,0)</f>
        <v>0</v>
      </c>
      <c r="G236" s="1436" t="n">
        <f aca="false">C236*D236*E236*F236</f>
        <v>0</v>
      </c>
      <c r="H236" s="1436"/>
      <c r="I236" s="1436"/>
      <c r="J236" s="1436"/>
      <c r="K236" s="1344"/>
      <c r="L236" s="1344"/>
      <c r="M236" s="1344"/>
      <c r="N236" s="1344"/>
      <c r="O236" s="1344"/>
      <c r="P236" s="1707"/>
      <c r="Q236" s="1707"/>
      <c r="R236" s="1707"/>
      <c r="S236" s="1344"/>
      <c r="T236" s="1344"/>
      <c r="U236" s="1753"/>
      <c r="V236" s="1344"/>
      <c r="W236" s="1344"/>
      <c r="X236" s="1344"/>
      <c r="Y236" s="1707"/>
      <c r="Z236" s="1344"/>
      <c r="AA236" s="1344"/>
      <c r="AB236" s="1709"/>
      <c r="AC236" s="1709"/>
      <c r="AD236" s="1707"/>
    </row>
    <row r="237" customFormat="false" ht="15.75" hidden="true" customHeight="true" outlineLevel="1" collapsed="false">
      <c r="A237" s="1436" t="s">
        <v>3219</v>
      </c>
      <c r="B237" s="1683" t="s">
        <v>15</v>
      </c>
      <c r="C237" s="1692" t="n">
        <f aca="false">$C$143</f>
        <v>0.145</v>
      </c>
      <c r="D237" s="1436" t="n">
        <f aca="false">$D$143</f>
        <v>0.045</v>
      </c>
      <c r="E237" s="1604" t="n">
        <f aca="false">IF('Ввод данных'!$A$17=связи1!$A$94,IF(дома!E236+0.05-дома!$F$140&lt;0,0,дома!E236+0.05-дома!$F$140),0)+IF(E236=0,0,IF('Ввод данных'!$A$17=связи1!$A$97,IF(дома!E236+0.05+дома!$F$140&gt;дома!$E$137+0.2,0,дома!E236+0.05+дома!$F$140),0))</f>
        <v>0</v>
      </c>
      <c r="F237" s="1186" t="n">
        <f aca="false">IF(E237&lt;($E$133+0.5),1,0)*$D$141*IF('Ввод данных'!$A$101=связи1!$A$128,2,2)*IF(связи1!$H$91=связи1!$A$2,1,0)</f>
        <v>0</v>
      </c>
      <c r="G237" s="1436" t="n">
        <f aca="false">C237*D237*E237*F237</f>
        <v>0</v>
      </c>
      <c r="H237" s="1436"/>
      <c r="I237" s="1436"/>
      <c r="J237" s="1436"/>
      <c r="K237" s="1344"/>
      <c r="L237" s="1344"/>
      <c r="M237" s="1344"/>
      <c r="N237" s="1344"/>
      <c r="O237" s="1344"/>
      <c r="P237" s="1707"/>
      <c r="Q237" s="1707"/>
      <c r="R237" s="1707"/>
      <c r="S237" s="1344"/>
      <c r="T237" s="1344"/>
      <c r="U237" s="1753"/>
      <c r="V237" s="1344"/>
      <c r="W237" s="1344"/>
      <c r="X237" s="1344"/>
      <c r="Y237" s="1707"/>
      <c r="Z237" s="1344"/>
      <c r="AA237" s="1344"/>
      <c r="AB237" s="1709"/>
      <c r="AC237" s="1709"/>
      <c r="AD237" s="1707"/>
    </row>
    <row r="238" customFormat="false" ht="15.75" hidden="true" customHeight="true" outlineLevel="1" collapsed="false">
      <c r="A238" s="1436" t="s">
        <v>3220</v>
      </c>
      <c r="B238" s="1683" t="s">
        <v>15</v>
      </c>
      <c r="C238" s="1692" t="n">
        <f aca="false">$C$143</f>
        <v>0.145</v>
      </c>
      <c r="D238" s="1436" t="n">
        <f aca="false">$D$143</f>
        <v>0.045</v>
      </c>
      <c r="E238" s="1604" t="n">
        <f aca="false">IF('Ввод данных'!$A$17=связи1!$A$94,IF(дома!E237+0.05-дома!$F$140&lt;0,0,дома!E237+0.05-дома!$F$140),0)+IF(E237=0,0,IF('Ввод данных'!$A$17=связи1!$A$97,IF(дома!E237+0.05+дома!$F$140&gt;дома!$E$137+0.2,0,дома!E237+0.05+дома!$F$140),0))</f>
        <v>0</v>
      </c>
      <c r="F238" s="1186" t="n">
        <f aca="false">IF(E238&lt;($E$133+0.5),1,0)*$D$141*IF('Ввод данных'!$A$101=связи1!$A$128,2,2)*IF(связи1!$H$91=связи1!$A$2,1,0)</f>
        <v>0</v>
      </c>
      <c r="G238" s="1436" t="n">
        <f aca="false">C238*D238*E238*F238</f>
        <v>0</v>
      </c>
      <c r="H238" s="1436"/>
      <c r="I238" s="1436"/>
      <c r="J238" s="1436"/>
      <c r="K238" s="1344"/>
      <c r="L238" s="1344"/>
      <c r="M238" s="1344"/>
      <c r="N238" s="1344"/>
      <c r="O238" s="1344"/>
      <c r="P238" s="1707"/>
      <c r="Q238" s="1707"/>
      <c r="R238" s="1707"/>
      <c r="S238" s="1344"/>
      <c r="T238" s="1344"/>
      <c r="U238" s="1753"/>
      <c r="V238" s="1344"/>
      <c r="W238" s="1344"/>
      <c r="X238" s="1344"/>
      <c r="Y238" s="1707"/>
      <c r="Z238" s="1344"/>
      <c r="AA238" s="1344"/>
      <c r="AB238" s="1709"/>
      <c r="AC238" s="1709"/>
      <c r="AD238" s="1707"/>
    </row>
    <row r="239" customFormat="false" ht="15.75" hidden="true" customHeight="true" outlineLevel="1" collapsed="false">
      <c r="A239" s="1436" t="s">
        <v>3221</v>
      </c>
      <c r="B239" s="1683" t="s">
        <v>15</v>
      </c>
      <c r="C239" s="1692" t="n">
        <f aca="false">$C$143</f>
        <v>0.145</v>
      </c>
      <c r="D239" s="1436" t="n">
        <f aca="false">$D$143</f>
        <v>0.045</v>
      </c>
      <c r="E239" s="1604" t="n">
        <f aca="false">IF('Ввод данных'!$A$17=связи1!$A$94,IF(дома!E238+0.05-дома!$F$140&lt;0,0,дома!E238+0.05-дома!$F$140),0)+IF(E238=0,0,IF('Ввод данных'!$A$17=связи1!$A$97,IF(дома!E238+0.05+дома!$F$140&gt;дома!$E$137+0.2,0,дома!E238+0.05+дома!$F$140),0))</f>
        <v>0</v>
      </c>
      <c r="F239" s="1186" t="n">
        <f aca="false">IF(E239&lt;($E$133+0.5),1,0)*$D$141*IF('Ввод данных'!$A$101=связи1!$A$128,2,2)*IF(связи1!$H$91=связи1!$A$2,1,0)</f>
        <v>0</v>
      </c>
      <c r="G239" s="1436" t="n">
        <f aca="false">C239*D239*E239*F239</f>
        <v>0</v>
      </c>
      <c r="H239" s="1436"/>
      <c r="I239" s="1436"/>
      <c r="J239" s="1436"/>
      <c r="K239" s="1344"/>
      <c r="L239" s="1344"/>
      <c r="M239" s="1344"/>
      <c r="N239" s="1344"/>
      <c r="O239" s="1344"/>
      <c r="P239" s="1707"/>
      <c r="Q239" s="1707"/>
      <c r="R239" s="1707"/>
      <c r="S239" s="1344"/>
      <c r="T239" s="1344"/>
      <c r="U239" s="1753"/>
      <c r="V239" s="1344"/>
      <c r="W239" s="1344"/>
      <c r="X239" s="1344"/>
      <c r="Y239" s="1707"/>
      <c r="Z239" s="1344"/>
      <c r="AA239" s="1344"/>
      <c r="AB239" s="1709"/>
      <c r="AC239" s="1709"/>
      <c r="AD239" s="1707"/>
    </row>
    <row r="240" customFormat="false" ht="15.75" hidden="true" customHeight="true" outlineLevel="1" collapsed="false">
      <c r="A240" s="1436" t="s">
        <v>3222</v>
      </c>
      <c r="B240" s="1683" t="s">
        <v>15</v>
      </c>
      <c r="C240" s="1692" t="n">
        <f aca="false">$C$143</f>
        <v>0.145</v>
      </c>
      <c r="D240" s="1436" t="n">
        <f aca="false">$D$143</f>
        <v>0.045</v>
      </c>
      <c r="E240" s="1604" t="n">
        <f aca="false">IF('Ввод данных'!$A$17=связи1!$A$94,IF(дома!E239+0.05-дома!$F$140&lt;0,0,дома!E239+0.05-дома!$F$140),0)+IF(E239=0,0,IF('Ввод данных'!$A$17=связи1!$A$97,IF(дома!E239+0.05+дома!$F$140&gt;дома!$E$137+0.2,0,дома!E239+0.05+дома!$F$140),0))</f>
        <v>0</v>
      </c>
      <c r="F240" s="1186" t="n">
        <f aca="false">IF(E240&lt;($E$133+0.5),1,0)*$D$141*IF('Ввод данных'!$A$101=связи1!$A$128,2,2)*IF(связи1!$H$91=связи1!$A$2,1,0)</f>
        <v>0</v>
      </c>
      <c r="G240" s="1436" t="n">
        <f aca="false">C240*D240*E240*F240</f>
        <v>0</v>
      </c>
      <c r="H240" s="1436"/>
      <c r="I240" s="1436"/>
      <c r="J240" s="1436"/>
      <c r="K240" s="1344"/>
      <c r="L240" s="1344"/>
      <c r="M240" s="1344"/>
      <c r="N240" s="1344"/>
      <c r="O240" s="1344"/>
      <c r="P240" s="1707"/>
      <c r="Q240" s="1707"/>
      <c r="R240" s="1707"/>
      <c r="S240" s="1344"/>
      <c r="T240" s="1344"/>
      <c r="U240" s="1753"/>
      <c r="V240" s="1344"/>
      <c r="W240" s="1344"/>
      <c r="X240" s="1344"/>
      <c r="Y240" s="1707"/>
      <c r="Z240" s="1344"/>
      <c r="AA240" s="1344"/>
      <c r="AB240" s="1709"/>
      <c r="AC240" s="1709"/>
      <c r="AD240" s="1707"/>
    </row>
    <row r="241" customFormat="false" ht="15.75" hidden="true" customHeight="true" outlineLevel="1" collapsed="false">
      <c r="A241" s="1436" t="s">
        <v>3223</v>
      </c>
      <c r="B241" s="1683" t="s">
        <v>15</v>
      </c>
      <c r="C241" s="1692" t="n">
        <f aca="false">$C$143</f>
        <v>0.145</v>
      </c>
      <c r="D241" s="1436" t="n">
        <f aca="false">$D$143</f>
        <v>0.045</v>
      </c>
      <c r="E241" s="1604" t="n">
        <f aca="false">IF('Ввод данных'!$A$17=связи1!$A$94,IF(дома!E240+0.05-дома!$F$140&lt;0,0,дома!E240+0.05-дома!$F$140),0)+IF(E240=0,0,IF('Ввод данных'!$A$17=связи1!$A$97,IF(дома!E240+0.05+дома!$F$140&gt;дома!$E$137+0.2,0,дома!E240+0.05+дома!$F$140),0))</f>
        <v>0</v>
      </c>
      <c r="F241" s="1186" t="n">
        <f aca="false">IF(E241&lt;($E$133+0.5),1,0)*$D$141*IF('Ввод данных'!$A$101=связи1!$A$128,2,2)*IF(связи1!$H$91=связи1!$A$2,1,0)</f>
        <v>0</v>
      </c>
      <c r="G241" s="1436" t="n">
        <f aca="false">C241*D241*E241*F241</f>
        <v>0</v>
      </c>
      <c r="H241" s="1436"/>
      <c r="I241" s="1436"/>
      <c r="J241" s="1436"/>
      <c r="K241" s="1344"/>
      <c r="L241" s="1344"/>
      <c r="M241" s="1344"/>
      <c r="N241" s="1344"/>
      <c r="O241" s="1344"/>
      <c r="P241" s="1707"/>
      <c r="Q241" s="1707"/>
      <c r="R241" s="1707"/>
      <c r="S241" s="1344"/>
      <c r="T241" s="1344"/>
      <c r="U241" s="1753"/>
      <c r="V241" s="1344"/>
      <c r="W241" s="1344"/>
      <c r="X241" s="1344"/>
      <c r="Y241" s="1707"/>
      <c r="Z241" s="1344"/>
      <c r="AA241" s="1344"/>
      <c r="AB241" s="1709"/>
      <c r="AC241" s="1709"/>
      <c r="AD241" s="1707"/>
    </row>
    <row r="242" customFormat="false" ht="15.75" hidden="true" customHeight="true" outlineLevel="1" collapsed="false">
      <c r="A242" s="1436" t="s">
        <v>3224</v>
      </c>
      <c r="B242" s="1683" t="s">
        <v>15</v>
      </c>
      <c r="C242" s="1692" t="n">
        <f aca="false">$C$143</f>
        <v>0.145</v>
      </c>
      <c r="D242" s="1436" t="n">
        <f aca="false">$D$143</f>
        <v>0.045</v>
      </c>
      <c r="E242" s="1604" t="n">
        <f aca="false">IF('Ввод данных'!$A$17=связи1!$A$94,IF(дома!E241+0.05-дома!$F$140&lt;0,0,дома!E241+0.05-дома!$F$140),0)+IF(E241=0,0,IF('Ввод данных'!$A$17=связи1!$A$97,IF(дома!E241+0.05+дома!$F$140&gt;дома!$E$137+0.2,0,дома!E241+0.05+дома!$F$140),0))</f>
        <v>0</v>
      </c>
      <c r="F242" s="1186" t="n">
        <f aca="false">IF(E242&lt;($E$133+0.5),1,0)*$D$141*IF('Ввод данных'!$A$101=связи1!$A$128,2,2)*IF(связи1!$H$91=связи1!$A$2,1,0)</f>
        <v>0</v>
      </c>
      <c r="G242" s="1436" t="n">
        <f aca="false">C242*D242*E242*F242</f>
        <v>0</v>
      </c>
      <c r="H242" s="1436"/>
      <c r="I242" s="1436"/>
      <c r="J242" s="1436"/>
      <c r="K242" s="1344"/>
      <c r="L242" s="1344"/>
      <c r="M242" s="1344"/>
      <c r="N242" s="1344"/>
      <c r="O242" s="1344"/>
      <c r="P242" s="1707"/>
      <c r="Q242" s="1707"/>
      <c r="R242" s="1707"/>
      <c r="S242" s="1344"/>
      <c r="T242" s="1344"/>
      <c r="U242" s="1753"/>
      <c r="V242" s="1344"/>
      <c r="W242" s="1344"/>
      <c r="X242" s="1344"/>
      <c r="Y242" s="1707"/>
      <c r="Z242" s="1344"/>
      <c r="AA242" s="1344"/>
      <c r="AB242" s="1709"/>
      <c r="AC242" s="1709"/>
      <c r="AD242" s="1707"/>
    </row>
    <row r="243" customFormat="false" ht="15.75" hidden="true" customHeight="true" outlineLevel="1" collapsed="false">
      <c r="A243" s="1436" t="s">
        <v>3225</v>
      </c>
      <c r="B243" s="1683" t="s">
        <v>15</v>
      </c>
      <c r="C243" s="1692" t="n">
        <f aca="false">$C$143</f>
        <v>0.145</v>
      </c>
      <c r="D243" s="1436" t="n">
        <f aca="false">$D$143</f>
        <v>0.045</v>
      </c>
      <c r="E243" s="1604" t="n">
        <f aca="false">IF('Ввод данных'!$A$17=связи1!$A$94,IF(дома!E242+0.05-дома!$F$140&lt;0,0,дома!E242+0.05-дома!$F$140),0)+IF(E242=0,0,IF('Ввод данных'!$A$17=связи1!$A$97,IF(дома!E242+0.05+дома!$F$140&gt;дома!$E$137+0.2,0,дома!E242+0.05+дома!$F$140),0))</f>
        <v>0</v>
      </c>
      <c r="F243" s="1186" t="n">
        <f aca="false">IF(E243&lt;($E$133+0.5),1,0)*$D$141*IF('Ввод данных'!$A$101=связи1!$A$128,2,2)*IF(связи1!$H$91=связи1!$A$2,1,0)</f>
        <v>0</v>
      </c>
      <c r="G243" s="1436" t="n">
        <f aca="false">C243*D243*E243*F243</f>
        <v>0</v>
      </c>
      <c r="H243" s="1436"/>
      <c r="I243" s="1436"/>
      <c r="J243" s="1436"/>
      <c r="K243" s="1344"/>
      <c r="L243" s="1344"/>
      <c r="M243" s="1344"/>
      <c r="N243" s="1344"/>
      <c r="O243" s="1344"/>
      <c r="P243" s="1707"/>
      <c r="Q243" s="1707"/>
      <c r="R243" s="1707"/>
      <c r="S243" s="1344"/>
      <c r="T243" s="1344"/>
      <c r="U243" s="1753"/>
      <c r="V243" s="1344"/>
      <c r="W243" s="1344"/>
      <c r="X243" s="1344"/>
      <c r="Y243" s="1707"/>
      <c r="Z243" s="1344"/>
      <c r="AA243" s="1344"/>
      <c r="AB243" s="1709"/>
      <c r="AC243" s="1709"/>
      <c r="AD243" s="1707"/>
    </row>
    <row r="244" customFormat="false" ht="15.75" hidden="true" customHeight="true" outlineLevel="1" collapsed="false">
      <c r="A244" s="1436" t="s">
        <v>3226</v>
      </c>
      <c r="B244" s="1683" t="s">
        <v>15</v>
      </c>
      <c r="C244" s="1692" t="n">
        <f aca="false">$C$143</f>
        <v>0.145</v>
      </c>
      <c r="D244" s="1436" t="n">
        <f aca="false">$D$143</f>
        <v>0.045</v>
      </c>
      <c r="E244" s="1604" t="n">
        <f aca="false">IF('Ввод данных'!$A$17=связи1!$A$94,IF(дома!E243+0.05-дома!$F$140&lt;0,0,дома!E243+0.05-дома!$F$140),0)+IF(E243=0,0,IF('Ввод данных'!$A$17=связи1!$A$97,IF(дома!E243+0.05+дома!$F$140&gt;дома!$E$137+0.2,0,дома!E243+0.05+дома!$F$140),0))</f>
        <v>0</v>
      </c>
      <c r="F244" s="1186" t="n">
        <f aca="false">IF(E244&lt;($E$133+0.5),1,0)*$D$141*IF('Ввод данных'!$A$101=связи1!$A$128,2,2)*IF(связи1!$H$91=связи1!$A$2,1,0)</f>
        <v>0</v>
      </c>
      <c r="G244" s="1436" t="n">
        <f aca="false">C244*D244*E244*F244</f>
        <v>0</v>
      </c>
      <c r="H244" s="1436"/>
      <c r="I244" s="1436"/>
      <c r="J244" s="1436"/>
      <c r="K244" s="1344"/>
      <c r="L244" s="1344"/>
      <c r="M244" s="1344"/>
      <c r="N244" s="1344"/>
      <c r="O244" s="1344"/>
      <c r="P244" s="1707"/>
      <c r="Q244" s="1707"/>
      <c r="R244" s="1707"/>
      <c r="S244" s="1344"/>
      <c r="T244" s="1344"/>
      <c r="U244" s="1753"/>
      <c r="V244" s="1344"/>
      <c r="W244" s="1344"/>
      <c r="X244" s="1344"/>
      <c r="Y244" s="1707"/>
      <c r="Z244" s="1344"/>
      <c r="AA244" s="1344"/>
      <c r="AB244" s="1709"/>
      <c r="AC244" s="1709"/>
      <c r="AD244" s="1707"/>
    </row>
    <row r="245" customFormat="false" ht="15.75" hidden="true" customHeight="true" outlineLevel="1" collapsed="false">
      <c r="A245" s="1436" t="s">
        <v>3227</v>
      </c>
      <c r="B245" s="1683" t="s">
        <v>15</v>
      </c>
      <c r="C245" s="1692" t="n">
        <f aca="false">$C$143</f>
        <v>0.145</v>
      </c>
      <c r="D245" s="1436" t="n">
        <f aca="false">$D$143</f>
        <v>0.045</v>
      </c>
      <c r="E245" s="1604" t="n">
        <f aca="false">IF('Ввод данных'!$A$17=связи1!$A$94,IF(дома!E244+0.05-дома!$F$140&lt;0,0,дома!E244+0.05-дома!$F$140),0)+IF(E244=0,0,IF('Ввод данных'!$A$17=связи1!$A$97,IF(дома!E244+0.05+дома!$F$140&gt;дома!$E$137+0.2,0,дома!E244+0.05+дома!$F$140),0))</f>
        <v>0</v>
      </c>
      <c r="F245" s="1186" t="n">
        <f aca="false">IF(E245&lt;($E$133+0.5),1,0)*$D$141*IF('Ввод данных'!$A$101=связи1!$A$128,2,2)*IF(связи1!$H$91=связи1!$A$2,1,0)</f>
        <v>0</v>
      </c>
      <c r="G245" s="1436" t="n">
        <f aca="false">C245*D245*E245*F245</f>
        <v>0</v>
      </c>
      <c r="H245" s="1436"/>
      <c r="I245" s="1436"/>
      <c r="J245" s="1436"/>
      <c r="K245" s="1344"/>
      <c r="L245" s="1344"/>
      <c r="M245" s="1344"/>
      <c r="N245" s="1344"/>
      <c r="O245" s="1344"/>
      <c r="P245" s="1707"/>
      <c r="Q245" s="1707"/>
      <c r="R245" s="1707"/>
      <c r="S245" s="1344"/>
      <c r="T245" s="1344"/>
      <c r="U245" s="1753"/>
      <c r="V245" s="1344"/>
      <c r="W245" s="1344"/>
      <c r="X245" s="1344"/>
      <c r="Y245" s="1707"/>
      <c r="Z245" s="1344"/>
      <c r="AA245" s="1344"/>
      <c r="AB245" s="1709"/>
      <c r="AC245" s="1709"/>
      <c r="AD245" s="1707"/>
    </row>
    <row r="246" customFormat="false" ht="15.75" hidden="true" customHeight="true" outlineLevel="1" collapsed="false">
      <c r="A246" s="1436" t="s">
        <v>3228</v>
      </c>
      <c r="B246" s="1683" t="s">
        <v>15</v>
      </c>
      <c r="C246" s="1692" t="n">
        <f aca="false">$C$143</f>
        <v>0.145</v>
      </c>
      <c r="D246" s="1436" t="n">
        <f aca="false">$D$143</f>
        <v>0.045</v>
      </c>
      <c r="E246" s="1604" t="n">
        <f aca="false">IF('Ввод данных'!$A$17=связи1!$A$94,IF(дома!E245+0.05-дома!$F$140&lt;0,0,дома!E245+0.05-дома!$F$140),0)+IF(E245=0,0,IF('Ввод данных'!$A$17=связи1!$A$97,IF(дома!E245+0.05+дома!$F$140&gt;дома!$E$137+0.2,0,дома!E245+0.05+дома!$F$140),0))</f>
        <v>0</v>
      </c>
      <c r="F246" s="1186" t="n">
        <f aca="false">IF(E246&lt;($E$133+0.5),1,0)*$D$141*IF('Ввод данных'!$A$101=связи1!$A$128,2,2)*IF(связи1!$H$91=связи1!$A$2,1,0)</f>
        <v>0</v>
      </c>
      <c r="G246" s="1436" t="n">
        <f aca="false">C246*D246*E246*F246</f>
        <v>0</v>
      </c>
      <c r="H246" s="1436"/>
      <c r="I246" s="1436"/>
      <c r="J246" s="1436"/>
      <c r="K246" s="1344"/>
      <c r="L246" s="1344"/>
      <c r="M246" s="1344"/>
      <c r="N246" s="1344"/>
      <c r="O246" s="1344"/>
      <c r="P246" s="1707"/>
      <c r="Q246" s="1707"/>
      <c r="R246" s="1707"/>
      <c r="S246" s="1344"/>
      <c r="T246" s="1344"/>
      <c r="U246" s="1753"/>
      <c r="V246" s="1344"/>
      <c r="W246" s="1344"/>
      <c r="X246" s="1344"/>
      <c r="Y246" s="1707"/>
      <c r="Z246" s="1344"/>
      <c r="AA246" s="1344"/>
      <c r="AB246" s="1709"/>
      <c r="AC246" s="1709"/>
      <c r="AD246" s="1707"/>
    </row>
    <row r="247" customFormat="false" ht="15.75" hidden="true" customHeight="true" outlineLevel="1" collapsed="false">
      <c r="A247" s="1436" t="s">
        <v>3229</v>
      </c>
      <c r="B247" s="1683" t="s">
        <v>15</v>
      </c>
      <c r="C247" s="1692" t="n">
        <f aca="false">$C$143</f>
        <v>0.145</v>
      </c>
      <c r="D247" s="1436" t="n">
        <f aca="false">$D$143</f>
        <v>0.045</v>
      </c>
      <c r="E247" s="1604" t="n">
        <f aca="false">IF('Ввод данных'!$A$17=связи1!$A$94,IF(дома!E246+0.05-дома!$F$140&lt;0,0,дома!E246+0.05-дома!$F$140),0)+IF(E246=0,0,IF('Ввод данных'!$A$17=связи1!$A$97,IF(дома!E246+0.05+дома!$F$140&gt;дома!$E$137+0.2,0,дома!E246+0.05+дома!$F$140),0))</f>
        <v>0</v>
      </c>
      <c r="F247" s="1186" t="n">
        <f aca="false">IF(E247&lt;($E$133+0.5),1,0)*$D$141*IF('Ввод данных'!$A$101=связи1!$A$128,2,2)*IF(связи1!$H$91=связи1!$A$2,1,0)</f>
        <v>0</v>
      </c>
      <c r="G247" s="1436" t="n">
        <f aca="false">C247*D247*E247*F247</f>
        <v>0</v>
      </c>
      <c r="H247" s="1436"/>
      <c r="I247" s="1436"/>
      <c r="J247" s="1436"/>
      <c r="K247" s="1344"/>
      <c r="L247" s="1344"/>
      <c r="M247" s="1344"/>
      <c r="N247" s="1344"/>
      <c r="O247" s="1344"/>
      <c r="P247" s="1707"/>
      <c r="Q247" s="1707"/>
      <c r="R247" s="1707"/>
      <c r="S247" s="1344"/>
      <c r="T247" s="1344"/>
      <c r="U247" s="1753"/>
      <c r="V247" s="1344"/>
      <c r="W247" s="1344"/>
      <c r="X247" s="1344"/>
      <c r="Y247" s="1707"/>
      <c r="Z247" s="1344"/>
      <c r="AA247" s="1344"/>
      <c r="AB247" s="1709"/>
      <c r="AC247" s="1709"/>
      <c r="AD247" s="1707"/>
    </row>
    <row r="248" customFormat="false" ht="15.75" hidden="true" customHeight="true" outlineLevel="1" collapsed="false">
      <c r="A248" s="1436" t="s">
        <v>3196</v>
      </c>
      <c r="B248" s="1683" t="s">
        <v>15</v>
      </c>
      <c r="C248" s="1692" t="n">
        <f aca="false">$C$143</f>
        <v>0.145</v>
      </c>
      <c r="D248" s="1436" t="n">
        <f aca="false">$D$143</f>
        <v>0.045</v>
      </c>
      <c r="E248" s="1604" t="n">
        <f aca="false">F138*1.05*D141</f>
        <v>0</v>
      </c>
      <c r="F248" s="1186" t="n">
        <f aca="false">IF(E248&lt;($E$133+0.5),1,0)*$D$141*IF('Ввод данных'!$A$101=связи1!$A$128,2,2)*IF(связи1!$H$91=связи1!$A$2,1,0)</f>
        <v>0</v>
      </c>
      <c r="G248" s="1436" t="n">
        <f aca="false">C248*D248*E248*F248</f>
        <v>0</v>
      </c>
      <c r="H248" s="1436"/>
      <c r="I248" s="1436"/>
      <c r="J248" s="1436"/>
      <c r="K248" s="1344"/>
      <c r="L248" s="1344"/>
      <c r="M248" s="1344"/>
      <c r="N248" s="1344"/>
      <c r="O248" s="1344"/>
      <c r="P248" s="1707"/>
      <c r="Q248" s="1707"/>
      <c r="R248" s="1707"/>
      <c r="S248" s="1344"/>
      <c r="T248" s="1344"/>
      <c r="U248" s="1753"/>
      <c r="V248" s="1344"/>
      <c r="W248" s="1344"/>
      <c r="X248" s="1344"/>
      <c r="Y248" s="1707"/>
      <c r="Z248" s="1344"/>
      <c r="AA248" s="1344"/>
      <c r="AB248" s="1709"/>
      <c r="AC248" s="1709"/>
      <c r="AD248" s="1707"/>
    </row>
    <row r="249" customFormat="false" ht="15.75" hidden="true" customHeight="true" outlineLevel="1" collapsed="false">
      <c r="A249" s="1436" t="s">
        <v>3197</v>
      </c>
      <c r="B249" s="1683" t="s">
        <v>15</v>
      </c>
      <c r="C249" s="1692" t="n">
        <f aca="false">$C$143</f>
        <v>0.145</v>
      </c>
      <c r="D249" s="1436" t="n">
        <f aca="false">$D$143</f>
        <v>0.045</v>
      </c>
      <c r="E249" s="1604" t="n">
        <f aca="false">C137*D141</f>
        <v>0</v>
      </c>
      <c r="F249" s="1186" t="n">
        <f aca="false">IF(E249&lt;($E$133+0.5),1,0)*$D$141*IF('Ввод данных'!$A$101=связи1!$A$128,2,2)*IF(связи1!$H$91=связи1!$A$2,1,0)</f>
        <v>0</v>
      </c>
      <c r="G249" s="1436" t="n">
        <f aca="false">C249*D249*E249*F249</f>
        <v>0</v>
      </c>
      <c r="H249" s="1436"/>
      <c r="I249" s="1436"/>
      <c r="J249" s="1436"/>
      <c r="K249" s="1344"/>
      <c r="L249" s="1344"/>
      <c r="M249" s="1344"/>
      <c r="N249" s="1344"/>
      <c r="O249" s="1344"/>
      <c r="P249" s="1707"/>
      <c r="Q249" s="1707"/>
      <c r="R249" s="1707"/>
      <c r="S249" s="1344"/>
      <c r="T249" s="1344"/>
      <c r="U249" s="1753"/>
      <c r="V249" s="1344"/>
      <c r="W249" s="1344"/>
      <c r="X249" s="1344"/>
      <c r="Y249" s="1707"/>
      <c r="Z249" s="1344"/>
      <c r="AA249" s="1344"/>
      <c r="AB249" s="1709"/>
      <c r="AC249" s="1709"/>
      <c r="AD249" s="1707"/>
    </row>
    <row r="250" customFormat="false" ht="15.75" hidden="true" customHeight="true" outlineLevel="1" collapsed="false">
      <c r="A250" s="1436" t="s">
        <v>3198</v>
      </c>
      <c r="B250" s="1683" t="s">
        <v>15</v>
      </c>
      <c r="C250" s="1692" t="n">
        <f aca="false">$C$143</f>
        <v>0.145</v>
      </c>
      <c r="D250" s="1436" t="n">
        <f aca="false">$D$143</f>
        <v>0.045</v>
      </c>
      <c r="E250" s="1604" t="n">
        <f aca="false">E248*D141</f>
        <v>0</v>
      </c>
      <c r="F250" s="1186" t="n">
        <f aca="false">IF(E250&lt;($E$133+0.5),1,0)*$D$141*IF('Ввод данных'!$A$101=связи1!$A$128,2,2)*IF(связи1!$H$91=связи1!$A$2,1,0)</f>
        <v>0</v>
      </c>
      <c r="G250" s="1436" t="n">
        <f aca="false">C250*D250*E250*F250</f>
        <v>0</v>
      </c>
      <c r="H250" s="1436"/>
      <c r="I250" s="1436"/>
      <c r="J250" s="1436"/>
      <c r="K250" s="1344"/>
      <c r="L250" s="1344"/>
      <c r="M250" s="1344"/>
      <c r="N250" s="1344"/>
      <c r="O250" s="1344"/>
      <c r="P250" s="1707"/>
      <c r="Q250" s="1707"/>
      <c r="R250" s="1707"/>
      <c r="S250" s="1344"/>
      <c r="T250" s="1344"/>
      <c r="U250" s="1753"/>
      <c r="V250" s="1344"/>
      <c r="W250" s="1344"/>
      <c r="X250" s="1344"/>
      <c r="Y250" s="1707"/>
      <c r="Z250" s="1344"/>
      <c r="AA250" s="1344"/>
      <c r="AB250" s="1709"/>
      <c r="AC250" s="1709"/>
      <c r="AD250" s="1707"/>
    </row>
    <row r="251" customFormat="false" ht="15.75" hidden="true" customHeight="true" outlineLevel="1" collapsed="false">
      <c r="A251" s="1770" t="s">
        <v>3230</v>
      </c>
      <c r="B251" s="1720" t="s">
        <v>15</v>
      </c>
      <c r="C251" s="1771" t="n">
        <f aca="false">$C$143</f>
        <v>0.145</v>
      </c>
      <c r="D251" s="1772" t="n">
        <f aca="false">$D$143</f>
        <v>0.045</v>
      </c>
      <c r="E251" s="1773" t="n">
        <f aca="false">IF('Ввод данных'!A17=связи1!A94,'Ввод данных'!C11,0)+IF('Ввод данных'!A17=связи1!A95,'Ввод данных'!C11,0)+IF('Ввод данных'!A17=связи1!A96,'Ввод данных'!C11,0)+IF('Ввод данных'!A17=связи1!A98,'Ввод данных'!C11,0)+IF('Ввод данных'!A17=связи1!A97,'Ввод данных'!C14,0)</f>
        <v>2.8</v>
      </c>
      <c r="F251" s="1772" t="n">
        <f aca="false">CEILING(C128/G124+1,1)*IF(связи1!H95=связи1!A2,1,0)</f>
        <v>1</v>
      </c>
      <c r="G251" s="1772" t="n">
        <f aca="false">C251*D251*E251*F251</f>
        <v>0.01827</v>
      </c>
      <c r="H251" s="1772"/>
      <c r="I251" s="1436"/>
      <c r="J251" s="1436"/>
      <c r="K251" s="1344"/>
      <c r="L251" s="1344"/>
      <c r="M251" s="1344"/>
      <c r="N251" s="1344"/>
      <c r="O251" s="1344"/>
      <c r="P251" s="1707"/>
      <c r="Q251" s="1707"/>
      <c r="R251" s="1707"/>
      <c r="S251" s="1344"/>
      <c r="T251" s="1344"/>
      <c r="U251" s="1753"/>
      <c r="V251" s="1344"/>
      <c r="W251" s="1344"/>
      <c r="X251" s="1344"/>
      <c r="Y251" s="1707"/>
      <c r="Z251" s="1344"/>
      <c r="AA251" s="1344"/>
      <c r="AB251" s="1709"/>
      <c r="AC251" s="1709"/>
      <c r="AD251" s="1707"/>
    </row>
    <row r="252" customFormat="false" ht="15.75" hidden="true" customHeight="true" outlineLevel="1" collapsed="false">
      <c r="A252" s="1770" t="s">
        <v>3231</v>
      </c>
      <c r="B252" s="1720" t="s">
        <v>15</v>
      </c>
      <c r="C252" s="1771" t="n">
        <f aca="false">$C$143</f>
        <v>0.145</v>
      </c>
      <c r="D252" s="1772" t="n">
        <f aca="false">$D$143</f>
        <v>0.045</v>
      </c>
      <c r="E252" s="1773" t="n">
        <f aca="false">IF('Ввод данных'!A17=связи1!A94,'Ввод данных'!C11,0)+IF('Ввод данных'!A17=связи1!A95,'Ввод данных'!C11,0)+IF('Ввод данных'!A17=связи1!A96,'Ввод данных'!C11,0)+IF('Ввод данных'!A17=связи1!A98,'Ввод данных'!C11,0)+IF('Ввод данных'!A17=связи1!A97,'Ввод данных'!C14,0)</f>
        <v>2.8</v>
      </c>
      <c r="F252" s="1772" t="n">
        <f aca="false">CEILING(C129/G129+1,1)*IF(связи1!H95=связи1!A2,1,0)</f>
        <v>1</v>
      </c>
      <c r="G252" s="1772" t="n">
        <f aca="false">C252*D252*E252*F252</f>
        <v>0.01827</v>
      </c>
      <c r="H252" s="1772"/>
      <c r="I252" s="1436"/>
      <c r="J252" s="1436"/>
      <c r="K252" s="1344"/>
      <c r="L252" s="1344"/>
      <c r="M252" s="1344"/>
      <c r="N252" s="1344"/>
      <c r="O252" s="1344"/>
      <c r="P252" s="1707"/>
      <c r="Q252" s="1707"/>
      <c r="R252" s="1707"/>
      <c r="S252" s="1344"/>
      <c r="T252" s="1344"/>
      <c r="U252" s="1753"/>
      <c r="V252" s="1344"/>
      <c r="W252" s="1344"/>
      <c r="X252" s="1344"/>
      <c r="Y252" s="1707"/>
      <c r="Z252" s="1344"/>
      <c r="AA252" s="1344"/>
      <c r="AB252" s="1709"/>
      <c r="AC252" s="1709"/>
      <c r="AD252" s="1707"/>
    </row>
    <row r="253" customFormat="false" ht="15.75" hidden="true" customHeight="true" outlineLevel="1" collapsed="false">
      <c r="A253" s="1774" t="s">
        <v>3232</v>
      </c>
      <c r="B253" s="1720" t="s">
        <v>15</v>
      </c>
      <c r="C253" s="1771" t="n">
        <f aca="false">$C$143</f>
        <v>0.145</v>
      </c>
      <c r="D253" s="1772" t="n">
        <f aca="false">$D$143</f>
        <v>0.045</v>
      </c>
      <c r="E253" s="1773" t="n">
        <f aca="false">IF('Ввод данных'!A17=связи1!A94,'Ввод данных'!C11,0)+IF('Ввод данных'!A17=связи1!A95,'Ввод данных'!C11,0)+IF('Ввод данных'!A17=связи1!A96,'Ввод данных'!C11,0)+IF('Ввод данных'!A17=связи1!A98,'Ввод данных'!C11,0)+IF('Ввод данных'!A17=связи1!A97,'Ввод данных'!C14,0)</f>
        <v>2.8</v>
      </c>
      <c r="F253" s="1772" t="n">
        <f aca="false">4*IF(связи1!H95=связи1!A2,1,0)</f>
        <v>4</v>
      </c>
      <c r="G253" s="1772" t="n">
        <f aca="false">C253*D253*E253*F253</f>
        <v>0.07308</v>
      </c>
      <c r="H253" s="1772"/>
      <c r="I253" s="1436"/>
      <c r="J253" s="1436"/>
      <c r="K253" s="1344"/>
      <c r="L253" s="1344"/>
      <c r="M253" s="1344"/>
      <c r="N253" s="1344"/>
      <c r="O253" s="1344"/>
      <c r="P253" s="1707"/>
      <c r="Q253" s="1707"/>
      <c r="R253" s="1707"/>
      <c r="S253" s="1344"/>
      <c r="T253" s="1344"/>
      <c r="U253" s="1753"/>
      <c r="V253" s="1344"/>
      <c r="W253" s="1344"/>
      <c r="X253" s="1344"/>
      <c r="Y253" s="1707"/>
      <c r="Z253" s="1344"/>
      <c r="AA253" s="1344"/>
      <c r="AB253" s="1709"/>
      <c r="AC253" s="1709"/>
      <c r="AD253" s="1707"/>
    </row>
    <row r="254" customFormat="false" ht="15.75" hidden="true" customHeight="true" outlineLevel="1" collapsed="false">
      <c r="A254" s="1774" t="s">
        <v>3233</v>
      </c>
      <c r="B254" s="1720" t="s">
        <v>15</v>
      </c>
      <c r="C254" s="1771" t="n">
        <f aca="false">$C$143</f>
        <v>0.145</v>
      </c>
      <c r="D254" s="1772" t="n">
        <f aca="false">$D$143</f>
        <v>0.045</v>
      </c>
      <c r="E254" s="1773" t="n">
        <f aca="false">IF('Ввод данных'!A17=связи1!A94,'Ввод данных'!C11,0)+IF('Ввод данных'!A17=связи1!A95,'Ввод данных'!C11,0)+IF('Ввод данных'!A17=связи1!A96,'Ввод данных'!C11,0)+IF('Ввод данных'!A17=связи1!A98,'Ввод данных'!C11,0)+IF('Ввод данных'!A17=связи1!A97,'Ввод данных'!C11,0)</f>
        <v>2.8</v>
      </c>
      <c r="F254" s="1772" t="n">
        <f aca="false">CEILING(C124/G124,1)*IF(связи1!H95=связи1!A2,1,0)</f>
        <v>0</v>
      </c>
      <c r="G254" s="1772" t="n">
        <f aca="false">C254*D254*E254*F254</f>
        <v>0</v>
      </c>
      <c r="H254" s="1772"/>
      <c r="I254" s="1436"/>
      <c r="J254" s="1436"/>
      <c r="K254" s="1344"/>
      <c r="L254" s="1344"/>
      <c r="M254" s="1344"/>
      <c r="N254" s="1344"/>
      <c r="O254" s="1344"/>
      <c r="P254" s="1707"/>
      <c r="Q254" s="1707"/>
      <c r="R254" s="1707"/>
      <c r="S254" s="1344"/>
      <c r="T254" s="1344"/>
      <c r="U254" s="1753"/>
      <c r="V254" s="1344"/>
      <c r="W254" s="1344"/>
      <c r="X254" s="1344"/>
      <c r="Y254" s="1707"/>
      <c r="Z254" s="1344"/>
      <c r="AA254" s="1344"/>
      <c r="AB254" s="1709"/>
      <c r="AC254" s="1709"/>
      <c r="AD254" s="1707"/>
    </row>
    <row r="255" customFormat="false" ht="15.75" hidden="true" customHeight="true" outlineLevel="1" collapsed="false">
      <c r="A255" s="1774" t="s">
        <v>3234</v>
      </c>
      <c r="B255" s="1720" t="s">
        <v>15</v>
      </c>
      <c r="C255" s="1771" t="n">
        <f aca="false">$C$143</f>
        <v>0.145</v>
      </c>
      <c r="D255" s="1772" t="n">
        <f aca="false">$D$143</f>
        <v>0.045</v>
      </c>
      <c r="E255" s="1773" t="n">
        <f aca="false">C124+C127+C128+C129</f>
        <v>0</v>
      </c>
      <c r="F255" s="1772" t="n">
        <f aca="false">1*IF(связи1!H95=связи1!A2,1,0)</f>
        <v>1</v>
      </c>
      <c r="G255" s="1772" t="n">
        <f aca="false">C255*D255*E255*F255</f>
        <v>0</v>
      </c>
      <c r="H255" s="1772"/>
      <c r="I255" s="1436"/>
      <c r="J255" s="1436"/>
      <c r="K255" s="1344"/>
      <c r="L255" s="1344"/>
      <c r="M255" s="1344"/>
      <c r="N255" s="1344"/>
      <c r="O255" s="1344"/>
      <c r="P255" s="1707"/>
      <c r="Q255" s="1707"/>
      <c r="R255" s="1707"/>
      <c r="S255" s="1344"/>
      <c r="T255" s="1344"/>
      <c r="U255" s="1753"/>
      <c r="V255" s="1344"/>
      <c r="W255" s="1344"/>
      <c r="X255" s="1344"/>
      <c r="Y255" s="1707"/>
      <c r="Z255" s="1344"/>
      <c r="AA255" s="1344"/>
      <c r="AB255" s="1709"/>
      <c r="AC255" s="1709"/>
      <c r="AD255" s="1707"/>
    </row>
    <row r="256" customFormat="false" ht="15.75" hidden="true" customHeight="true" outlineLevel="1" collapsed="false">
      <c r="A256" s="1774" t="s">
        <v>3235</v>
      </c>
      <c r="B256" s="1720" t="s">
        <v>15</v>
      </c>
      <c r="C256" s="1771" t="n">
        <f aca="false">$C$143</f>
        <v>0.145</v>
      </c>
      <c r="D256" s="1772" t="n">
        <f aca="false">$D$143</f>
        <v>0.045</v>
      </c>
      <c r="E256" s="1773" t="n">
        <f aca="false">(J1158+J1167*2+C128+C129)*1.1</f>
        <v>15.2604497220734</v>
      </c>
      <c r="F256" s="1772" t="n">
        <f aca="false">1*IF(связи1!H95=связи1!A2,1,0)</f>
        <v>1</v>
      </c>
      <c r="G256" s="1772" t="n">
        <f aca="false">C256*D256*E256*F256</f>
        <v>0.099574434436529</v>
      </c>
      <c r="H256" s="1772"/>
      <c r="I256" s="1436"/>
      <c r="J256" s="1436"/>
      <c r="K256" s="1344"/>
      <c r="L256" s="1344"/>
      <c r="M256" s="1344"/>
      <c r="N256" s="1344"/>
      <c r="O256" s="1344"/>
      <c r="P256" s="1707"/>
      <c r="Q256" s="1707"/>
      <c r="R256" s="1707"/>
      <c r="S256" s="1344"/>
      <c r="T256" s="1344"/>
      <c r="U256" s="1753"/>
      <c r="V256" s="1344"/>
      <c r="W256" s="1344"/>
      <c r="X256" s="1344"/>
      <c r="Y256" s="1707"/>
      <c r="Z256" s="1344"/>
      <c r="AA256" s="1344"/>
      <c r="AB256" s="1709"/>
      <c r="AC256" s="1709"/>
      <c r="AD256" s="1707"/>
    </row>
    <row r="257" customFormat="false" ht="15.75" hidden="true" customHeight="true" outlineLevel="1" collapsed="false">
      <c r="A257" s="1774" t="s">
        <v>3236</v>
      </c>
      <c r="B257" s="1720" t="s">
        <v>15</v>
      </c>
      <c r="C257" s="1771" t="n">
        <f aca="false">$C$143</f>
        <v>0.145</v>
      </c>
      <c r="D257" s="1772" t="n">
        <f aca="false">$D$143</f>
        <v>0.045</v>
      </c>
      <c r="E257" s="1773" t="n">
        <f aca="false">(J1158+J1167*2+C128+C129)*1.1</f>
        <v>15.2604497220734</v>
      </c>
      <c r="F257" s="1772" t="n">
        <f aca="false">1*IF(связи1!H95=связи1!A2,1,0)</f>
        <v>1</v>
      </c>
      <c r="G257" s="1772" t="n">
        <f aca="false">C257*D257*E257*F257</f>
        <v>0.099574434436529</v>
      </c>
      <c r="H257" s="1772"/>
      <c r="I257" s="1436"/>
      <c r="J257" s="1436"/>
      <c r="K257" s="1344"/>
      <c r="L257" s="1344"/>
      <c r="M257" s="1344"/>
      <c r="N257" s="1344"/>
      <c r="O257" s="1344"/>
      <c r="P257" s="1707"/>
      <c r="Q257" s="1707"/>
      <c r="R257" s="1707"/>
      <c r="S257" s="1344"/>
      <c r="T257" s="1344"/>
      <c r="U257" s="1753"/>
      <c r="V257" s="1344"/>
      <c r="W257" s="1344"/>
      <c r="X257" s="1344"/>
      <c r="Y257" s="1707"/>
      <c r="Z257" s="1344"/>
      <c r="AA257" s="1344"/>
      <c r="AB257" s="1709"/>
      <c r="AC257" s="1709"/>
      <c r="AD257" s="1707"/>
    </row>
    <row r="258" customFormat="false" ht="15.75" hidden="true" customHeight="true" outlineLevel="1" collapsed="false">
      <c r="A258" s="1775" t="s">
        <v>3237</v>
      </c>
      <c r="B258" s="1683" t="s">
        <v>15</v>
      </c>
      <c r="C258" s="1692" t="n">
        <f aca="false">$C$143</f>
        <v>0.145</v>
      </c>
      <c r="D258" s="1436" t="n">
        <f aca="false">$D$143</f>
        <v>0.045</v>
      </c>
      <c r="E258" s="1604" t="n">
        <f aca="false">IF('Ввод данных'!A17=связи1!A97,(C124+C127+C128+C129)*1.1,0)+IF('Ввод данных'!A17=связи1!A94,(C124+C127+C128+C129+C128+C129+C124)*1.1,0)</f>
        <v>0</v>
      </c>
      <c r="F258" s="1436" t="n">
        <f aca="false">1*IF(связи1!$H$89=связи1!$A$2,1,0)*IF('Ввод данных'!$B$245=связи1!$A$2,1,0)</f>
        <v>1</v>
      </c>
      <c r="G258" s="1436" t="n">
        <f aca="false">C258*D258*E258*F258</f>
        <v>0</v>
      </c>
      <c r="H258" s="1436"/>
      <c r="I258" s="1436"/>
      <c r="J258" s="1436"/>
      <c r="K258" s="1344"/>
      <c r="L258" s="1344"/>
      <c r="M258" s="1344"/>
      <c r="N258" s="1344"/>
      <c r="O258" s="1344"/>
      <c r="P258" s="1707"/>
      <c r="Q258" s="1707"/>
      <c r="R258" s="1707"/>
      <c r="S258" s="1344"/>
      <c r="T258" s="1344"/>
      <c r="U258" s="1753"/>
      <c r="V258" s="1344"/>
      <c r="W258" s="1344"/>
      <c r="X258" s="1344"/>
      <c r="Y258" s="1707"/>
      <c r="Z258" s="1344"/>
      <c r="AA258" s="1344"/>
      <c r="AB258" s="1709"/>
      <c r="AC258" s="1709"/>
      <c r="AD258" s="1707"/>
    </row>
    <row r="259" customFormat="false" ht="15.75" hidden="true" customHeight="true" outlineLevel="1" collapsed="false">
      <c r="A259" s="1775" t="s">
        <v>3238</v>
      </c>
      <c r="B259" s="1683" t="s">
        <v>15</v>
      </c>
      <c r="C259" s="1692" t="n">
        <f aca="false">$C$143</f>
        <v>0.145</v>
      </c>
      <c r="D259" s="1436" t="n">
        <f aca="false">$D$143</f>
        <v>0.045</v>
      </c>
      <c r="E259" s="1604" t="n">
        <f aca="false">IF('Ввод данных'!A17=связи1!A97,(C124+C127+L135*2)*1.1,0)+IF('Ввод данных'!A17=связи1!A94,(C124+C127+дома!C124+дома!C128+дома!C129+дома!L135*2)*1.1,0)</f>
        <v>0</v>
      </c>
      <c r="F259" s="1436" t="n">
        <f aca="false">1*IF(связи1!$H$89=связи1!$A$2,1,0)*IF('Ввод данных'!$B$245=связи1!$A$2,1,0)</f>
        <v>1</v>
      </c>
      <c r="G259" s="1436" t="n">
        <f aca="false">C259*D259*E259*F259</f>
        <v>0</v>
      </c>
      <c r="H259" s="1436"/>
      <c r="I259" s="1436"/>
      <c r="J259" s="1436"/>
      <c r="K259" s="1344"/>
      <c r="L259" s="1344"/>
      <c r="M259" s="1344"/>
      <c r="N259" s="1344"/>
      <c r="O259" s="1344"/>
      <c r="P259" s="1707"/>
      <c r="Q259" s="1707"/>
      <c r="R259" s="1707"/>
      <c r="S259" s="1344"/>
      <c r="T259" s="1344"/>
      <c r="U259" s="1753"/>
      <c r="V259" s="1344"/>
      <c r="W259" s="1344"/>
      <c r="X259" s="1344"/>
      <c r="Y259" s="1707"/>
      <c r="Z259" s="1344"/>
      <c r="AA259" s="1344"/>
      <c r="AB259" s="1709"/>
      <c r="AC259" s="1709"/>
      <c r="AD259" s="1707"/>
    </row>
    <row r="260" customFormat="false" ht="15.75" hidden="true" customHeight="true" outlineLevel="1" collapsed="false">
      <c r="A260" s="1775" t="s">
        <v>3239</v>
      </c>
      <c r="B260" s="1683" t="s">
        <v>15</v>
      </c>
      <c r="C260" s="1692" t="n">
        <f aca="false">$C$143</f>
        <v>0.145</v>
      </c>
      <c r="D260" s="1436" t="n">
        <f aca="false">$D$143</f>
        <v>0.045</v>
      </c>
      <c r="E260" s="1604" t="n">
        <f aca="false">IF('Ввод данных'!A17=связи1!A97,(C124+C127+L135*2)*1.1,0)+IF('Ввод данных'!A17=связи1!A94,(C124+C127+дома!C124+дома!C128+дома!C129+дома!L135*2)*1.1,0)</f>
        <v>0</v>
      </c>
      <c r="F260" s="1436" t="n">
        <f aca="false">1*IF(связи1!$H$89=связи1!$A$2,1,0)*IF('Ввод данных'!$B$245=связи1!$A$2,1,0)</f>
        <v>1</v>
      </c>
      <c r="G260" s="1436" t="n">
        <f aca="false">C260*D260*E260*F260</f>
        <v>0</v>
      </c>
      <c r="H260" s="1436"/>
      <c r="I260" s="1436"/>
      <c r="J260" s="1436"/>
      <c r="K260" s="1344"/>
      <c r="L260" s="1344"/>
      <c r="M260" s="1344"/>
      <c r="N260" s="1344"/>
      <c r="O260" s="1344"/>
      <c r="P260" s="1707"/>
      <c r="Q260" s="1707"/>
      <c r="R260" s="1707"/>
      <c r="S260" s="1344"/>
      <c r="T260" s="1344"/>
      <c r="U260" s="1753"/>
      <c r="V260" s="1344"/>
      <c r="W260" s="1344"/>
      <c r="X260" s="1344"/>
      <c r="Y260" s="1707"/>
      <c r="Z260" s="1344"/>
      <c r="AA260" s="1344"/>
      <c r="AB260" s="1709"/>
      <c r="AC260" s="1709"/>
      <c r="AD260" s="1707"/>
    </row>
    <row r="261" customFormat="false" ht="15.75" hidden="true" customHeight="true" outlineLevel="1" collapsed="false">
      <c r="A261" s="1776" t="s">
        <v>3240</v>
      </c>
      <c r="B261" s="1683" t="s">
        <v>15</v>
      </c>
      <c r="C261" s="1692" t="n">
        <f aca="false">$C$143</f>
        <v>0.145</v>
      </c>
      <c r="D261" s="1436" t="n">
        <f aca="false">$D$143</f>
        <v>0.045</v>
      </c>
      <c r="E261" s="1604" t="n">
        <f aca="false">IF('Ввод данных'!A17=связи1!A97,'Ввод данных'!C14,0)+IF('Ввод данных'!A17=связи1!A94,'Ввод данных'!C11,0)</f>
        <v>0</v>
      </c>
      <c r="F261" s="1436" t="n">
        <f aca="false">CEILING(C124/G124+1,1)*IF(связи1!$H$89=связи1!$A$2,1,0)*IF('Ввод данных'!$B$245=связи1!$A$2,1,0)</f>
        <v>1</v>
      </c>
      <c r="G261" s="1436" t="n">
        <f aca="false">C261*D261*E261*F261</f>
        <v>0</v>
      </c>
      <c r="H261" s="1436"/>
      <c r="I261" s="1436"/>
      <c r="J261" s="1436"/>
      <c r="K261" s="1344"/>
      <c r="L261" s="1344"/>
      <c r="M261" s="1344"/>
      <c r="N261" s="1344"/>
      <c r="O261" s="1344"/>
      <c r="P261" s="1707"/>
      <c r="Q261" s="1707"/>
      <c r="R261" s="1707"/>
      <c r="S261" s="1344"/>
      <c r="T261" s="1344"/>
      <c r="U261" s="1753"/>
      <c r="V261" s="1344"/>
      <c r="W261" s="1344"/>
      <c r="X261" s="1344"/>
      <c r="Y261" s="1707"/>
      <c r="Z261" s="1344"/>
      <c r="AA261" s="1344"/>
      <c r="AB261" s="1709"/>
      <c r="AC261" s="1709"/>
      <c r="AD261" s="1707"/>
    </row>
    <row r="262" customFormat="false" ht="15.75" hidden="true" customHeight="true" outlineLevel="1" collapsed="false">
      <c r="A262" s="1776" t="s">
        <v>3241</v>
      </c>
      <c r="B262" s="1683" t="s">
        <v>15</v>
      </c>
      <c r="C262" s="1692" t="n">
        <f aca="false">$C$143</f>
        <v>0.145</v>
      </c>
      <c r="D262" s="1436" t="n">
        <f aca="false">$D$143</f>
        <v>0.045</v>
      </c>
      <c r="E262" s="1604" t="n">
        <f aca="false">IF('Ввод данных'!A17=связи1!A97,'Ввод данных'!C13,0)+IF('Ввод данных'!A17=связи1!A94,'Ввод данных'!C11,0)</f>
        <v>0</v>
      </c>
      <c r="F262" s="1436" t="n">
        <f aca="false">CEILING(C124/G124+1,1)*IF(связи1!$H$89=связи1!$A$2,1,0)*IF('Ввод данных'!$B$245=связи1!$A$2,1,0)</f>
        <v>1</v>
      </c>
      <c r="G262" s="1436" t="n">
        <f aca="false">C262*D262*E262*F262</f>
        <v>0</v>
      </c>
      <c r="H262" s="1436"/>
      <c r="I262" s="1436"/>
      <c r="J262" s="1436"/>
      <c r="K262" s="1344"/>
      <c r="L262" s="1344"/>
      <c r="M262" s="1344"/>
      <c r="N262" s="1344"/>
      <c r="O262" s="1344"/>
      <c r="P262" s="1707"/>
      <c r="Q262" s="1707"/>
      <c r="R262" s="1707"/>
      <c r="S262" s="1344"/>
      <c r="T262" s="1344"/>
      <c r="U262" s="1753"/>
      <c r="V262" s="1344"/>
      <c r="W262" s="1344"/>
      <c r="X262" s="1344"/>
      <c r="Y262" s="1707"/>
      <c r="Z262" s="1344"/>
      <c r="AA262" s="1344"/>
      <c r="AB262" s="1709"/>
      <c r="AC262" s="1709"/>
      <c r="AD262" s="1707"/>
    </row>
    <row r="263" customFormat="false" ht="15.75" hidden="true" customHeight="true" outlineLevel="1" collapsed="false">
      <c r="A263" s="1776" t="s">
        <v>3242</v>
      </c>
      <c r="B263" s="1683" t="s">
        <v>15</v>
      </c>
      <c r="C263" s="1692" t="n">
        <f aca="false">$C$143</f>
        <v>0.145</v>
      </c>
      <c r="D263" s="1436" t="n">
        <f aca="false">$D$143</f>
        <v>0.045</v>
      </c>
      <c r="E263" s="1604" t="n">
        <f aca="false">IF('Ввод данных'!A17=связи1!A97,'Ввод данных'!C13,0)+IF('Ввод данных'!A17=связи1!A94,'Ввод данных'!C11,0)</f>
        <v>0</v>
      </c>
      <c r="F263" s="1436" t="n">
        <f aca="false">IF('Ввод данных'!A17=связи1!A94,CEILING(дома!C128/дома!G128+1,1),0)*IF(связи1!$H$89=связи1!$A$2,1,0)*IF('Ввод данных'!$B$245=связи1!$A$2,1,0)</f>
        <v>0</v>
      </c>
      <c r="G263" s="1436" t="n">
        <f aca="false">C263*D263*E263*F263</f>
        <v>0</v>
      </c>
      <c r="H263" s="1436"/>
      <c r="I263" s="1436"/>
      <c r="J263" s="1436"/>
      <c r="K263" s="1344"/>
      <c r="L263" s="1344"/>
      <c r="M263" s="1344"/>
      <c r="N263" s="1344"/>
      <c r="O263" s="1344"/>
      <c r="P263" s="1707"/>
      <c r="Q263" s="1707"/>
      <c r="R263" s="1707"/>
      <c r="S263" s="1344"/>
      <c r="T263" s="1344"/>
      <c r="U263" s="1753"/>
      <c r="V263" s="1344"/>
      <c r="W263" s="1344"/>
      <c r="X263" s="1344"/>
      <c r="Y263" s="1707"/>
      <c r="Z263" s="1344"/>
      <c r="AA263" s="1344"/>
      <c r="AB263" s="1709"/>
      <c r="AC263" s="1709"/>
      <c r="AD263" s="1707"/>
    </row>
    <row r="264" customFormat="false" ht="15.75" hidden="true" customHeight="true" outlineLevel="1" collapsed="false">
      <c r="A264" s="1775" t="s">
        <v>3243</v>
      </c>
      <c r="B264" s="1683" t="s">
        <v>15</v>
      </c>
      <c r="C264" s="1692" t="n">
        <f aca="false">$C$143</f>
        <v>0.145</v>
      </c>
      <c r="D264" s="1436" t="n">
        <f aca="false">$D$143</f>
        <v>0.045</v>
      </c>
      <c r="E264" s="1582" t="n">
        <f aca="false">IF('Ввод данных'!A17=связи1!A97,'Ввод данных'!C13,0)+IF('Ввод данных'!A17=связи1!A94,'Ввод данных'!C13-'Ввод данных'!C11,0)</f>
        <v>0</v>
      </c>
      <c r="F264" s="1436" t="n">
        <f aca="false">2*IF(связи1!$H$89=связи1!$A$2,1,0)*IF('Ввод данных'!$B$245=связи1!$A$2,1,0)</f>
        <v>2</v>
      </c>
      <c r="G264" s="1436" t="n">
        <f aca="false">C264*D264*E265*F264</f>
        <v>0</v>
      </c>
      <c r="H264" s="1436"/>
      <c r="I264" s="1436"/>
      <c r="J264" s="1436"/>
      <c r="K264" s="1344"/>
      <c r="L264" s="1344"/>
      <c r="M264" s="1344"/>
      <c r="N264" s="1344"/>
      <c r="O264" s="1344"/>
      <c r="P264" s="1707"/>
      <c r="Q264" s="1707"/>
      <c r="R264" s="1707"/>
      <c r="S264" s="1344"/>
      <c r="T264" s="1344"/>
      <c r="U264" s="1753"/>
      <c r="V264" s="1344"/>
      <c r="W264" s="1344"/>
      <c r="X264" s="1344"/>
      <c r="Y264" s="1707"/>
      <c r="Z264" s="1344"/>
      <c r="AA264" s="1344"/>
      <c r="AB264" s="1709"/>
      <c r="AC264" s="1709"/>
      <c r="AD264" s="1707"/>
    </row>
    <row r="265" customFormat="false" ht="15.75" hidden="true" customHeight="true" outlineLevel="1" collapsed="false">
      <c r="A265" s="1775" t="s">
        <v>3244</v>
      </c>
      <c r="B265" s="1683" t="s">
        <v>15</v>
      </c>
      <c r="C265" s="1692" t="n">
        <f aca="false">$C$143</f>
        <v>0.145</v>
      </c>
      <c r="D265" s="1436" t="n">
        <f aca="false">$D$143</f>
        <v>0.045</v>
      </c>
      <c r="E265" s="1604" t="n">
        <f aca="false">IF('Ввод данных'!$A$17=связи1!$A$97,IF(дома!E264&lt;'Ввод данных'!$C$14,0,дома!E264-дома!$L$138),0)+IF(E264=0,0,IF('Ввод данных'!$A$17=связи1!$A$94,IF(дома!E264&lt;0,0,дома!E264-дома!$L$138),0))</f>
        <v>0</v>
      </c>
      <c r="F265" s="1436" t="n">
        <f aca="false">2*IF(связи1!$H$89=связи1!$A$2,1,0)*IF('Ввод данных'!$B$245=связи1!$A$2,1,0)</f>
        <v>2</v>
      </c>
      <c r="G265" s="1436" t="n">
        <f aca="false">C265*D265*E266*F265</f>
        <v>0</v>
      </c>
      <c r="H265" s="1436"/>
      <c r="I265" s="1436"/>
      <c r="J265" s="1436"/>
      <c r="K265" s="1344"/>
      <c r="L265" s="1344"/>
      <c r="M265" s="1344"/>
      <c r="N265" s="1344"/>
      <c r="O265" s="1344"/>
      <c r="P265" s="1707"/>
      <c r="Q265" s="1707"/>
      <c r="R265" s="1707"/>
      <c r="S265" s="1344"/>
      <c r="T265" s="1344"/>
      <c r="U265" s="1753"/>
      <c r="V265" s="1344"/>
      <c r="W265" s="1344"/>
      <c r="X265" s="1344"/>
      <c r="Y265" s="1707"/>
      <c r="Z265" s="1344"/>
      <c r="AA265" s="1344"/>
      <c r="AB265" s="1709"/>
      <c r="AC265" s="1709"/>
      <c r="AD265" s="1707"/>
    </row>
    <row r="266" customFormat="false" ht="15.75" hidden="true" customHeight="true" outlineLevel="1" collapsed="false">
      <c r="A266" s="1775" t="s">
        <v>3245</v>
      </c>
      <c r="B266" s="1683" t="s">
        <v>15</v>
      </c>
      <c r="C266" s="1692" t="n">
        <f aca="false">$C$143</f>
        <v>0.145</v>
      </c>
      <c r="D266" s="1436" t="n">
        <f aca="false">$D$143</f>
        <v>0.045</v>
      </c>
      <c r="E266" s="1604" t="n">
        <f aca="false">IF('Ввод данных'!$A$17=связи1!$A$97,IF(дома!E265&lt;'Ввод данных'!$C$14,0,дома!E265-дома!$L$138),0)+IF(E265=0,0,IF('Ввод данных'!$A$17=связи1!$A$94,IF(дома!E265&lt;0,0,дома!E265-дома!$L$138),0))</f>
        <v>0</v>
      </c>
      <c r="F266" s="1436" t="n">
        <f aca="false">2*IF(связи1!$H$89=связи1!$A$2,1,0)*IF('Ввод данных'!$B$245=связи1!$A$2,1,0)</f>
        <v>2</v>
      </c>
      <c r="G266" s="1436" t="n">
        <f aca="false">C266*D266*E266*F266</f>
        <v>0</v>
      </c>
      <c r="H266" s="1436"/>
      <c r="I266" s="1436"/>
      <c r="J266" s="1436"/>
      <c r="K266" s="1344"/>
      <c r="L266" s="1344"/>
      <c r="M266" s="1344"/>
      <c r="N266" s="1344"/>
      <c r="O266" s="1344"/>
      <c r="P266" s="1707"/>
      <c r="Q266" s="1707"/>
      <c r="R266" s="1707"/>
      <c r="S266" s="1344"/>
      <c r="T266" s="1344"/>
      <c r="U266" s="1753"/>
      <c r="V266" s="1344"/>
      <c r="W266" s="1344"/>
      <c r="X266" s="1344"/>
      <c r="Y266" s="1707"/>
      <c r="Z266" s="1344"/>
      <c r="AA266" s="1344"/>
      <c r="AB266" s="1709"/>
      <c r="AC266" s="1709"/>
      <c r="AD266" s="1707"/>
    </row>
    <row r="267" customFormat="false" ht="15.75" hidden="true" customHeight="true" outlineLevel="1" collapsed="false">
      <c r="A267" s="1775" t="s">
        <v>3246</v>
      </c>
      <c r="B267" s="1683" t="s">
        <v>15</v>
      </c>
      <c r="C267" s="1692" t="n">
        <f aca="false">$C$143</f>
        <v>0.145</v>
      </c>
      <c r="D267" s="1436" t="n">
        <f aca="false">$D$143</f>
        <v>0.045</v>
      </c>
      <c r="E267" s="1604" t="n">
        <f aca="false">IF('Ввод данных'!$A$17=связи1!$A$97,IF(дома!E266&lt;'Ввод данных'!$C$14,0,дома!E266-дома!$L$138),0)+IF(E266=0,0,IF('Ввод данных'!$A$17=связи1!$A$94,IF(дома!E266&lt;0,0,дома!E266-дома!$L$138),0))</f>
        <v>0</v>
      </c>
      <c r="F267" s="1436" t="n">
        <f aca="false">2*IF(связи1!$H$89=связи1!$A$2,1,0)*IF('Ввод данных'!$B$245=связи1!$A$2,1,0)</f>
        <v>2</v>
      </c>
      <c r="G267" s="1436" t="n">
        <f aca="false">C267*D267*E267*F267</f>
        <v>0</v>
      </c>
      <c r="H267" s="1436"/>
      <c r="I267" s="1436"/>
      <c r="J267" s="1436"/>
      <c r="K267" s="1344"/>
      <c r="L267" s="1344"/>
      <c r="M267" s="1344"/>
      <c r="N267" s="1344"/>
      <c r="O267" s="1344"/>
      <c r="P267" s="1707"/>
      <c r="Q267" s="1707"/>
      <c r="R267" s="1707"/>
      <c r="S267" s="1344"/>
      <c r="T267" s="1344"/>
      <c r="U267" s="1753"/>
      <c r="V267" s="1344"/>
      <c r="W267" s="1344"/>
      <c r="X267" s="1344"/>
      <c r="Y267" s="1707"/>
      <c r="Z267" s="1344"/>
      <c r="AA267" s="1344"/>
      <c r="AB267" s="1709"/>
      <c r="AC267" s="1709"/>
      <c r="AD267" s="1707"/>
    </row>
    <row r="268" customFormat="false" ht="15.75" hidden="true" customHeight="true" outlineLevel="1" collapsed="false">
      <c r="A268" s="1775" t="s">
        <v>3247</v>
      </c>
      <c r="B268" s="1683" t="s">
        <v>15</v>
      </c>
      <c r="C268" s="1692" t="n">
        <f aca="false">$C$143</f>
        <v>0.145</v>
      </c>
      <c r="D268" s="1436" t="n">
        <f aca="false">$D$143</f>
        <v>0.045</v>
      </c>
      <c r="E268" s="1604" t="n">
        <f aca="false">IF('Ввод данных'!$A$17=связи1!$A$97,IF(дома!E267&lt;'Ввод данных'!$C$14,0,дома!E267-дома!$L$138),0)+IF(E267=0,0,IF('Ввод данных'!$A$17=связи1!$A$94,IF(дома!E267&lt;0,0,дома!E267-дома!$L$138),0))</f>
        <v>0</v>
      </c>
      <c r="F268" s="1436" t="n">
        <f aca="false">2*IF(связи1!$H$89=связи1!$A$2,1,0)*IF('Ввод данных'!$B$245=связи1!$A$2,1,0)</f>
        <v>2</v>
      </c>
      <c r="G268" s="1436" t="n">
        <f aca="false">C268*D268*E268*F268</f>
        <v>0</v>
      </c>
      <c r="H268" s="1436"/>
      <c r="I268" s="1436"/>
      <c r="J268" s="1436"/>
      <c r="K268" s="1344"/>
      <c r="L268" s="1344"/>
      <c r="M268" s="1344"/>
      <c r="N268" s="1344"/>
      <c r="O268" s="1344"/>
      <c r="P268" s="1707"/>
      <c r="Q268" s="1707"/>
      <c r="R268" s="1707"/>
      <c r="S268" s="1344"/>
      <c r="T268" s="1344"/>
      <c r="U268" s="1753"/>
      <c r="V268" s="1344"/>
      <c r="W268" s="1344"/>
      <c r="X268" s="1344"/>
      <c r="Y268" s="1707"/>
      <c r="Z268" s="1344"/>
      <c r="AA268" s="1344"/>
      <c r="AB268" s="1709"/>
      <c r="AC268" s="1709"/>
      <c r="AD268" s="1707"/>
    </row>
    <row r="269" customFormat="false" ht="15.75" hidden="true" customHeight="true" outlineLevel="1" collapsed="false">
      <c r="A269" s="1775" t="s">
        <v>3248</v>
      </c>
      <c r="B269" s="1683" t="s">
        <v>15</v>
      </c>
      <c r="C269" s="1692" t="n">
        <f aca="false">$C$143</f>
        <v>0.145</v>
      </c>
      <c r="D269" s="1436" t="n">
        <f aca="false">$D$143</f>
        <v>0.045</v>
      </c>
      <c r="E269" s="1604" t="n">
        <f aca="false">IF('Ввод данных'!$A$17=связи1!$A$97,IF(дома!E268&lt;'Ввод данных'!$C$14,0,дома!E268-дома!$L$138),0)+IF(E268=0,0,IF('Ввод данных'!$A$17=связи1!$A$94,IF(дома!E268&lt;0,0,дома!E268-дома!$L$138),0))</f>
        <v>0</v>
      </c>
      <c r="F269" s="1436" t="n">
        <f aca="false">2*IF(связи1!$H$89=связи1!$A$2,1,0)*IF('Ввод данных'!$B$245=связи1!$A$2,1,0)</f>
        <v>2</v>
      </c>
      <c r="G269" s="1436" t="n">
        <f aca="false">C269*D269*E269*F269</f>
        <v>0</v>
      </c>
      <c r="H269" s="1436"/>
      <c r="I269" s="1436"/>
      <c r="J269" s="1436"/>
      <c r="K269" s="1344"/>
      <c r="L269" s="1344"/>
      <c r="M269" s="1344"/>
      <c r="N269" s="1344"/>
      <c r="O269" s="1344"/>
      <c r="P269" s="1707"/>
      <c r="Q269" s="1707"/>
      <c r="R269" s="1707"/>
      <c r="S269" s="1344"/>
      <c r="T269" s="1344"/>
      <c r="U269" s="1753"/>
      <c r="V269" s="1344"/>
      <c r="W269" s="1344"/>
      <c r="X269" s="1344"/>
      <c r="Y269" s="1707"/>
      <c r="Z269" s="1344"/>
      <c r="AA269" s="1344"/>
      <c r="AB269" s="1709"/>
      <c r="AC269" s="1709"/>
      <c r="AD269" s="1707"/>
    </row>
    <row r="270" customFormat="false" ht="15.75" hidden="true" customHeight="true" outlineLevel="1" collapsed="false">
      <c r="A270" s="1775" t="s">
        <v>3249</v>
      </c>
      <c r="B270" s="1683" t="s">
        <v>15</v>
      </c>
      <c r="C270" s="1692" t="n">
        <f aca="false">$C$143</f>
        <v>0.145</v>
      </c>
      <c r="D270" s="1436" t="n">
        <f aca="false">$D$143</f>
        <v>0.045</v>
      </c>
      <c r="E270" s="1604" t="n">
        <f aca="false">IF('Ввод данных'!$A$17=связи1!$A$97,IF(дома!E269&lt;'Ввод данных'!$C$14,0,дома!E269-дома!$L$138),0)+IF(E269=0,0,IF('Ввод данных'!$A$17=связи1!$A$94,IF(дома!E269&lt;0,0,дома!E269-дома!$L$138),0))</f>
        <v>0</v>
      </c>
      <c r="F270" s="1436" t="n">
        <f aca="false">2*IF(связи1!$H$89=связи1!$A$2,1,0)*IF('Ввод данных'!$B$245=связи1!$A$2,1,0)</f>
        <v>2</v>
      </c>
      <c r="G270" s="1436" t="n">
        <f aca="false">C270*D270*E270*F270</f>
        <v>0</v>
      </c>
      <c r="H270" s="1436"/>
      <c r="I270" s="1436"/>
      <c r="J270" s="1436"/>
      <c r="K270" s="1344"/>
      <c r="L270" s="1344"/>
      <c r="M270" s="1344"/>
      <c r="N270" s="1344"/>
      <c r="O270" s="1344"/>
      <c r="P270" s="1707"/>
      <c r="Q270" s="1707"/>
      <c r="R270" s="1707"/>
      <c r="S270" s="1344"/>
      <c r="T270" s="1344"/>
      <c r="U270" s="1753"/>
      <c r="V270" s="1344"/>
      <c r="W270" s="1344"/>
      <c r="X270" s="1344"/>
      <c r="Y270" s="1707"/>
      <c r="Z270" s="1344"/>
      <c r="AA270" s="1344"/>
      <c r="AB270" s="1709"/>
      <c r="AC270" s="1709"/>
      <c r="AD270" s="1707"/>
    </row>
    <row r="271" customFormat="false" ht="15.75" hidden="true" customHeight="true" outlineLevel="1" collapsed="false">
      <c r="A271" s="1775" t="s">
        <v>3250</v>
      </c>
      <c r="B271" s="1683" t="s">
        <v>15</v>
      </c>
      <c r="C271" s="1692" t="n">
        <f aca="false">$C$143</f>
        <v>0.145</v>
      </c>
      <c r="D271" s="1436" t="n">
        <f aca="false">$D$143</f>
        <v>0.045</v>
      </c>
      <c r="E271" s="1604" t="n">
        <f aca="false">IF('Ввод данных'!$A$17=связи1!$A$97,IF(дома!E270&lt;'Ввод данных'!$C$14,0,дома!E270-дома!$L$138),0)+IF(E270=0,0,IF('Ввод данных'!$A$17=связи1!$A$94,IF(дома!E270&lt;0,0,дома!E270-дома!$L$138),0))</f>
        <v>0</v>
      </c>
      <c r="F271" s="1436" t="n">
        <f aca="false">2*IF(связи1!$H$89=связи1!$A$2,1,0)*IF('Ввод данных'!$B$245=связи1!$A$2,1,0)</f>
        <v>2</v>
      </c>
      <c r="G271" s="1436" t="n">
        <f aca="false">C271*D271*E271*F271</f>
        <v>0</v>
      </c>
      <c r="H271" s="1436"/>
      <c r="I271" s="1436"/>
      <c r="J271" s="1436"/>
      <c r="K271" s="1344"/>
      <c r="L271" s="1344"/>
      <c r="M271" s="1344"/>
      <c r="N271" s="1344"/>
      <c r="O271" s="1344"/>
      <c r="P271" s="1707"/>
      <c r="Q271" s="1707"/>
      <c r="R271" s="1707"/>
      <c r="S271" s="1344"/>
      <c r="T271" s="1344"/>
      <c r="U271" s="1753"/>
      <c r="V271" s="1344"/>
      <c r="W271" s="1344"/>
      <c r="X271" s="1344"/>
      <c r="Y271" s="1707"/>
      <c r="Z271" s="1344"/>
      <c r="AA271" s="1344"/>
      <c r="AB271" s="1709"/>
      <c r="AC271" s="1709"/>
      <c r="AD271" s="1707"/>
    </row>
    <row r="272" customFormat="false" ht="15.75" hidden="true" customHeight="true" outlineLevel="1" collapsed="false">
      <c r="A272" s="1775" t="s">
        <v>3251</v>
      </c>
      <c r="B272" s="1683" t="s">
        <v>15</v>
      </c>
      <c r="C272" s="1692" t="n">
        <f aca="false">$C$143</f>
        <v>0.145</v>
      </c>
      <c r="D272" s="1436" t="n">
        <f aca="false">$D$143</f>
        <v>0.045</v>
      </c>
      <c r="E272" s="1604" t="n">
        <f aca="false">IF('Ввод данных'!$A$17=связи1!$A$97,IF(дома!E271&lt;'Ввод данных'!$C$14,0,дома!E271-дома!$L$138),0)+IF(E271=0,0,IF('Ввод данных'!$A$17=связи1!$A$94,IF(дома!E271&lt;0,0,дома!E271-дома!$L$138),0))</f>
        <v>0</v>
      </c>
      <c r="F272" s="1436" t="n">
        <f aca="false">2*IF(связи1!$H$89=связи1!$A$2,1,0)*IF('Ввод данных'!$B$245=связи1!$A$2,1,0)</f>
        <v>2</v>
      </c>
      <c r="G272" s="1436" t="n">
        <f aca="false">C272*D272*E272*F272</f>
        <v>0</v>
      </c>
      <c r="H272" s="1436"/>
      <c r="I272" s="1436"/>
      <c r="J272" s="1436"/>
      <c r="K272" s="1344"/>
      <c r="L272" s="1344"/>
      <c r="M272" s="1344"/>
      <c r="N272" s="1344"/>
      <c r="O272" s="1344"/>
      <c r="P272" s="1707"/>
      <c r="Q272" s="1707"/>
      <c r="R272" s="1707"/>
      <c r="S272" s="1344"/>
      <c r="T272" s="1344"/>
      <c r="U272" s="1753"/>
      <c r="V272" s="1344"/>
      <c r="W272" s="1344"/>
      <c r="X272" s="1344"/>
      <c r="Y272" s="1707"/>
      <c r="Z272" s="1344"/>
      <c r="AA272" s="1344"/>
      <c r="AB272" s="1709"/>
      <c r="AC272" s="1709"/>
      <c r="AD272" s="1707"/>
    </row>
    <row r="273" customFormat="false" ht="15.75" hidden="true" customHeight="true" outlineLevel="1" collapsed="false">
      <c r="A273" s="1775" t="s">
        <v>3252</v>
      </c>
      <c r="B273" s="1683" t="s">
        <v>15</v>
      </c>
      <c r="C273" s="1692" t="n">
        <f aca="false">$C$143</f>
        <v>0.145</v>
      </c>
      <c r="D273" s="1436" t="n">
        <f aca="false">$D$143</f>
        <v>0.045</v>
      </c>
      <c r="E273" s="1604" t="n">
        <f aca="false">IF('Ввод данных'!$A$17=связи1!$A$97,IF(дома!E272&lt;'Ввод данных'!$C$14,0,дома!E272-дома!$L$138),0)+IF(E272=0,0,IF('Ввод данных'!$A$17=связи1!$A$94,IF(дома!E272&lt;0,0,дома!E272-дома!$L$138),0))</f>
        <v>0</v>
      </c>
      <c r="F273" s="1436" t="n">
        <f aca="false">2*IF(связи1!$H$89=связи1!$A$2,1,0)*IF('Ввод данных'!$B$245=связи1!$A$2,1,0)</f>
        <v>2</v>
      </c>
      <c r="G273" s="1436" t="n">
        <f aca="false">C273*D273*E273*F273</f>
        <v>0</v>
      </c>
      <c r="H273" s="1436"/>
      <c r="I273" s="1436"/>
      <c r="J273" s="1436"/>
      <c r="K273" s="1344"/>
      <c r="L273" s="1344"/>
      <c r="M273" s="1344"/>
      <c r="N273" s="1344"/>
      <c r="O273" s="1344"/>
      <c r="P273" s="1707"/>
      <c r="Q273" s="1707"/>
      <c r="R273" s="1707"/>
      <c r="S273" s="1344"/>
      <c r="T273" s="1344"/>
      <c r="U273" s="1753"/>
      <c r="V273" s="1344"/>
      <c r="W273" s="1344"/>
      <c r="X273" s="1344"/>
      <c r="Y273" s="1707"/>
      <c r="Z273" s="1344"/>
      <c r="AA273" s="1344"/>
      <c r="AB273" s="1709"/>
      <c r="AC273" s="1709"/>
      <c r="AD273" s="1707"/>
    </row>
    <row r="274" customFormat="false" ht="15.75" hidden="true" customHeight="true" outlineLevel="1" collapsed="false">
      <c r="A274" s="1775" t="s">
        <v>3253</v>
      </c>
      <c r="B274" s="1683" t="s">
        <v>15</v>
      </c>
      <c r="C274" s="1692" t="n">
        <f aca="false">$C$143</f>
        <v>0.145</v>
      </c>
      <c r="D274" s="1436" t="n">
        <f aca="false">$D$143</f>
        <v>0.045</v>
      </c>
      <c r="E274" s="1604" t="n">
        <f aca="false">IF('Ввод данных'!$A$17=связи1!$A$97,IF(дома!E273&lt;'Ввод данных'!$C$14,0,дома!E273-дома!$L$138),0)+IF(E273=0,0,IF('Ввод данных'!$A$17=связи1!$A$94,IF(дома!E273&lt;0,0,дома!E273-дома!$L$138),0))</f>
        <v>0</v>
      </c>
      <c r="F274" s="1436" t="n">
        <f aca="false">2*IF(связи1!$H$89=связи1!$A$2,1,0)*IF('Ввод данных'!$B$245=связи1!$A$2,1,0)</f>
        <v>2</v>
      </c>
      <c r="G274" s="1436" t="n">
        <f aca="false">C274*D274*E274*F274</f>
        <v>0</v>
      </c>
      <c r="H274" s="1436"/>
      <c r="I274" s="1436"/>
      <c r="J274" s="1436"/>
      <c r="K274" s="1344"/>
      <c r="L274" s="1344"/>
      <c r="M274" s="1344"/>
      <c r="N274" s="1344"/>
      <c r="O274" s="1344"/>
      <c r="P274" s="1707"/>
      <c r="Q274" s="1707"/>
      <c r="R274" s="1707"/>
      <c r="S274" s="1344"/>
      <c r="T274" s="1344"/>
      <c r="U274" s="1753"/>
      <c r="V274" s="1344"/>
      <c r="W274" s="1344"/>
      <c r="X274" s="1344"/>
      <c r="Y274" s="1707"/>
      <c r="Z274" s="1344"/>
      <c r="AA274" s="1344"/>
      <c r="AB274" s="1709"/>
      <c r="AC274" s="1709"/>
      <c r="AD274" s="1707"/>
    </row>
    <row r="275" customFormat="false" ht="15.75" hidden="true" customHeight="true" outlineLevel="1" collapsed="false">
      <c r="A275" s="1775" t="s">
        <v>3254</v>
      </c>
      <c r="B275" s="1683" t="s">
        <v>15</v>
      </c>
      <c r="C275" s="1692" t="n">
        <f aca="false">$C$143</f>
        <v>0.145</v>
      </c>
      <c r="D275" s="1436" t="n">
        <f aca="false">$D$143</f>
        <v>0.045</v>
      </c>
      <c r="E275" s="1604" t="n">
        <f aca="false">IF('Ввод данных'!$A$17=связи1!$A$97,IF(дома!E274&lt;'Ввод данных'!$C$14,0,дома!E274-дома!$L$138),0)+IF(E274=0,0,IF('Ввод данных'!$A$17=связи1!$A$94,IF(дома!E274&lt;0,0,дома!E274-дома!$L$138),0))</f>
        <v>0</v>
      </c>
      <c r="F275" s="1436" t="n">
        <f aca="false">2*IF(связи1!$H$89=связи1!$A$2,1,0)*IF('Ввод данных'!$B$245=связи1!$A$2,1,0)</f>
        <v>2</v>
      </c>
      <c r="G275" s="1436" t="n">
        <f aca="false">C275*D275*E275*F275</f>
        <v>0</v>
      </c>
      <c r="H275" s="1436"/>
      <c r="I275" s="1436"/>
      <c r="J275" s="1436"/>
      <c r="K275" s="1344"/>
      <c r="L275" s="1344"/>
      <c r="M275" s="1344"/>
      <c r="N275" s="1344"/>
      <c r="O275" s="1344"/>
      <c r="P275" s="1707"/>
      <c r="Q275" s="1707"/>
      <c r="R275" s="1707"/>
      <c r="S275" s="1344"/>
      <c r="T275" s="1344"/>
      <c r="U275" s="1753"/>
      <c r="V275" s="1344"/>
      <c r="W275" s="1344"/>
      <c r="X275" s="1344"/>
      <c r="Y275" s="1707"/>
      <c r="Z275" s="1344"/>
      <c r="AA275" s="1344"/>
      <c r="AB275" s="1709"/>
      <c r="AC275" s="1709"/>
      <c r="AD275" s="1707"/>
    </row>
    <row r="276" customFormat="false" ht="15.75" hidden="true" customHeight="true" outlineLevel="1" collapsed="false">
      <c r="A276" s="1775" t="s">
        <v>3255</v>
      </c>
      <c r="B276" s="1683" t="s">
        <v>15</v>
      </c>
      <c r="C276" s="1692" t="n">
        <f aca="false">$C$143</f>
        <v>0.145</v>
      </c>
      <c r="D276" s="1436" t="n">
        <f aca="false">$D$143</f>
        <v>0.045</v>
      </c>
      <c r="E276" s="1604" t="n">
        <f aca="false">IF('Ввод данных'!$A$17=связи1!$A$97,IF(дома!E275&lt;'Ввод данных'!$C$14,0,дома!E275-дома!$L$138),0)+IF(E275=0,0,IF('Ввод данных'!$A$17=связи1!$A$94,IF(дома!E275&lt;0,0,дома!E275-дома!$L$138),0))</f>
        <v>0</v>
      </c>
      <c r="F276" s="1436" t="n">
        <f aca="false">2*IF(связи1!$H$89=связи1!$A$2,1,0)*IF('Ввод данных'!$B$245=связи1!$A$2,1,0)</f>
        <v>2</v>
      </c>
      <c r="G276" s="1436" t="n">
        <f aca="false">C276*D276*E276*F276</f>
        <v>0</v>
      </c>
      <c r="H276" s="1436"/>
      <c r="I276" s="1436"/>
      <c r="J276" s="1436"/>
      <c r="K276" s="1344"/>
      <c r="L276" s="1344"/>
      <c r="M276" s="1344"/>
      <c r="N276" s="1344"/>
      <c r="O276" s="1344"/>
      <c r="P276" s="1707"/>
      <c r="Q276" s="1707"/>
      <c r="R276" s="1707"/>
      <c r="S276" s="1344"/>
      <c r="T276" s="1344"/>
      <c r="U276" s="1753"/>
      <c r="V276" s="1344"/>
      <c r="W276" s="1344"/>
      <c r="X276" s="1344"/>
      <c r="Y276" s="1707"/>
      <c r="Z276" s="1344"/>
      <c r="AA276" s="1344"/>
      <c r="AB276" s="1709"/>
      <c r="AC276" s="1709"/>
      <c r="AD276" s="1707"/>
    </row>
    <row r="277" customFormat="false" ht="15.75" hidden="true" customHeight="true" outlineLevel="1" collapsed="false">
      <c r="A277" s="1775" t="s">
        <v>3256</v>
      </c>
      <c r="B277" s="1683" t="s">
        <v>15</v>
      </c>
      <c r="C277" s="1692" t="n">
        <f aca="false">$C$143</f>
        <v>0.145</v>
      </c>
      <c r="D277" s="1436" t="n">
        <f aca="false">$D$143</f>
        <v>0.045</v>
      </c>
      <c r="E277" s="1604" t="n">
        <f aca="false">IF('Ввод данных'!$A$17=связи1!$A$97,IF(дома!E276&lt;'Ввод данных'!$C$14,0,дома!E276-дома!$L$138),0)+IF(E276=0,0,IF('Ввод данных'!$A$17=связи1!$A$94,IF(дома!E276&lt;0,0,дома!E276-дома!$L$138),0))</f>
        <v>0</v>
      </c>
      <c r="F277" s="1436" t="n">
        <f aca="false">2*IF(связи1!$H$89=связи1!$A$2,1,0)*IF('Ввод данных'!$B$245=связи1!$A$2,1,0)</f>
        <v>2</v>
      </c>
      <c r="G277" s="1436" t="n">
        <f aca="false">C277*D277*E277*F277</f>
        <v>0</v>
      </c>
      <c r="H277" s="1436"/>
      <c r="I277" s="1436"/>
      <c r="J277" s="1436"/>
      <c r="K277" s="1344"/>
      <c r="L277" s="1344"/>
      <c r="M277" s="1344"/>
      <c r="N277" s="1344"/>
      <c r="O277" s="1344"/>
      <c r="P277" s="1707"/>
      <c r="Q277" s="1707"/>
      <c r="R277" s="1707"/>
      <c r="S277" s="1344"/>
      <c r="T277" s="1344"/>
      <c r="U277" s="1753"/>
      <c r="V277" s="1344"/>
      <c r="W277" s="1344"/>
      <c r="X277" s="1344"/>
      <c r="Y277" s="1707"/>
      <c r="Z277" s="1344"/>
      <c r="AA277" s="1344"/>
      <c r="AB277" s="1709"/>
      <c r="AC277" s="1709"/>
      <c r="AD277" s="1707"/>
    </row>
    <row r="278" customFormat="false" ht="15.75" hidden="true" customHeight="true" outlineLevel="1" collapsed="false">
      <c r="A278" s="1775" t="s">
        <v>3257</v>
      </c>
      <c r="B278" s="1683" t="s">
        <v>15</v>
      </c>
      <c r="C278" s="1692" t="n">
        <f aca="false">$C$143</f>
        <v>0.145</v>
      </c>
      <c r="D278" s="1436" t="n">
        <f aca="false">$D$143</f>
        <v>0.045</v>
      </c>
      <c r="E278" s="1604" t="n">
        <f aca="false">IF('Ввод данных'!$A$17=связи1!$A$97,IF(дома!E277&lt;'Ввод данных'!$C$14,0,дома!E277-дома!$L$138),0)+IF(E277=0,0,IF('Ввод данных'!$A$17=связи1!$A$94,IF(дома!E277&lt;0,0,дома!E277-дома!$L$138),0))</f>
        <v>0</v>
      </c>
      <c r="F278" s="1436" t="n">
        <f aca="false">2*IF(связи1!$H$89=связи1!$A$2,1,0)*IF('Ввод данных'!$B$245=связи1!$A$2,1,0)</f>
        <v>2</v>
      </c>
      <c r="G278" s="1436" t="n">
        <f aca="false">C278*D278*E278*F278</f>
        <v>0</v>
      </c>
      <c r="H278" s="1436"/>
      <c r="I278" s="1436"/>
      <c r="J278" s="1436"/>
      <c r="K278" s="1344"/>
      <c r="L278" s="1344"/>
      <c r="M278" s="1344"/>
      <c r="N278" s="1344"/>
      <c r="O278" s="1344"/>
      <c r="P278" s="1707"/>
      <c r="Q278" s="1707"/>
      <c r="R278" s="1707"/>
      <c r="S278" s="1344"/>
      <c r="T278" s="1344"/>
      <c r="U278" s="1753"/>
      <c r="V278" s="1344"/>
      <c r="W278" s="1344"/>
      <c r="X278" s="1344"/>
      <c r="Y278" s="1707"/>
      <c r="Z278" s="1344"/>
      <c r="AA278" s="1344"/>
      <c r="AB278" s="1709"/>
      <c r="AC278" s="1709"/>
      <c r="AD278" s="1707"/>
    </row>
    <row r="279" customFormat="false" ht="15.75" hidden="true" customHeight="true" outlineLevel="1" collapsed="false">
      <c r="A279" s="1775" t="s">
        <v>3258</v>
      </c>
      <c r="B279" s="1683" t="s">
        <v>15</v>
      </c>
      <c r="C279" s="1692" t="n">
        <f aca="false">$C$143</f>
        <v>0.145</v>
      </c>
      <c r="D279" s="1436" t="n">
        <f aca="false">$D$143</f>
        <v>0.045</v>
      </c>
      <c r="E279" s="1604" t="n">
        <f aca="false">IF('Ввод данных'!$A$17=связи1!$A$97,IF(дома!E278&lt;'Ввод данных'!$C$14,0,дома!E278-дома!$L$138),0)+IF(E278=0,0,IF('Ввод данных'!$A$17=связи1!$A$94,IF(дома!E278&lt;0,0,дома!E278-дома!$L$138),0))</f>
        <v>0</v>
      </c>
      <c r="F279" s="1436" t="n">
        <f aca="false">2*IF(связи1!$H$89=связи1!$A$2,1,0)*IF('Ввод данных'!$B$245=связи1!$A$2,1,0)</f>
        <v>2</v>
      </c>
      <c r="G279" s="1436" t="n">
        <f aca="false">C279*D279*E279*F279</f>
        <v>0</v>
      </c>
      <c r="H279" s="1436"/>
      <c r="I279" s="1436"/>
      <c r="J279" s="1436"/>
      <c r="K279" s="1344"/>
      <c r="L279" s="1344"/>
      <c r="M279" s="1344"/>
      <c r="N279" s="1344"/>
      <c r="O279" s="1344"/>
      <c r="P279" s="1707"/>
      <c r="Q279" s="1707"/>
      <c r="R279" s="1707"/>
      <c r="S279" s="1344"/>
      <c r="T279" s="1344"/>
      <c r="U279" s="1753"/>
      <c r="V279" s="1344"/>
      <c r="W279" s="1344"/>
      <c r="X279" s="1344"/>
      <c r="Y279" s="1707"/>
      <c r="Z279" s="1344"/>
      <c r="AA279" s="1344"/>
      <c r="AB279" s="1709"/>
      <c r="AC279" s="1709"/>
      <c r="AD279" s="1707"/>
    </row>
    <row r="280" customFormat="false" ht="15.75" hidden="true" customHeight="true" outlineLevel="1" collapsed="false">
      <c r="A280" s="1775" t="s">
        <v>3259</v>
      </c>
      <c r="B280" s="1683" t="s">
        <v>15</v>
      </c>
      <c r="C280" s="1692" t="n">
        <f aca="false">$C$143</f>
        <v>0.145</v>
      </c>
      <c r="D280" s="1436" t="n">
        <f aca="false">$D$143</f>
        <v>0.045</v>
      </c>
      <c r="E280" s="1604" t="n">
        <f aca="false">IF('Ввод данных'!$A$17=связи1!$A$97,IF(дома!E279&lt;'Ввод данных'!$C$14,0,дома!E279-дома!$L$138),0)+IF(E279=0,0,IF('Ввод данных'!$A$17=связи1!$A$94,IF(дома!E279&lt;0,0,дома!E279-дома!$L$138),0))</f>
        <v>0</v>
      </c>
      <c r="F280" s="1436" t="n">
        <f aca="false">2*IF(связи1!$H$89=связи1!$A$2,1,0)*IF('Ввод данных'!$B$245=связи1!$A$2,1,0)</f>
        <v>2</v>
      </c>
      <c r="G280" s="1436" t="n">
        <f aca="false">C280*D280*E280*F280</f>
        <v>0</v>
      </c>
      <c r="H280" s="1436"/>
      <c r="I280" s="1436"/>
      <c r="J280" s="1436"/>
      <c r="K280" s="1344"/>
      <c r="L280" s="1344"/>
      <c r="M280" s="1344"/>
      <c r="N280" s="1344"/>
      <c r="O280" s="1344"/>
      <c r="P280" s="1707"/>
      <c r="Q280" s="1707"/>
      <c r="R280" s="1707"/>
      <c r="S280" s="1344"/>
      <c r="T280" s="1344"/>
      <c r="U280" s="1753"/>
      <c r="V280" s="1344"/>
      <c r="W280" s="1344"/>
      <c r="X280" s="1344"/>
      <c r="Y280" s="1707"/>
      <c r="Z280" s="1344"/>
      <c r="AA280" s="1344"/>
      <c r="AB280" s="1709"/>
      <c r="AC280" s="1709"/>
      <c r="AD280" s="1707"/>
    </row>
    <row r="281" customFormat="false" ht="15.75" hidden="true" customHeight="true" outlineLevel="1" collapsed="false">
      <c r="A281" s="1775" t="s">
        <v>3260</v>
      </c>
      <c r="B281" s="1683" t="s">
        <v>15</v>
      </c>
      <c r="C281" s="1692" t="n">
        <f aca="false">$C$143</f>
        <v>0.145</v>
      </c>
      <c r="D281" s="1436" t="n">
        <f aca="false">$D$143</f>
        <v>0.045</v>
      </c>
      <c r="E281" s="1604" t="n">
        <f aca="false">IF('Ввод данных'!$A$17=связи1!$A$97,IF(дома!E280&lt;'Ввод данных'!$C$14,0,дома!E280-дома!$L$138),0)+IF(E280=0,0,IF('Ввод данных'!$A$17=связи1!$A$94,IF(дома!E280&lt;0,0,дома!E280-дома!$L$138),0))</f>
        <v>0</v>
      </c>
      <c r="F281" s="1436" t="n">
        <f aca="false">2*IF(связи1!$H$89=связи1!$A$2,1,0)*IF('Ввод данных'!$B$245=связи1!$A$2,1,0)</f>
        <v>2</v>
      </c>
      <c r="G281" s="1436" t="n">
        <f aca="false">C281*D281*E281*F281</f>
        <v>0</v>
      </c>
      <c r="H281" s="1436"/>
      <c r="I281" s="1436"/>
      <c r="J281" s="1436"/>
      <c r="K281" s="1344"/>
      <c r="L281" s="1344"/>
      <c r="M281" s="1344"/>
      <c r="N281" s="1344"/>
      <c r="O281" s="1344"/>
      <c r="P281" s="1707"/>
      <c r="Q281" s="1707"/>
      <c r="R281" s="1707"/>
      <c r="S281" s="1344"/>
      <c r="T281" s="1344"/>
      <c r="U281" s="1753"/>
      <c r="V281" s="1344"/>
      <c r="W281" s="1344"/>
      <c r="X281" s="1344"/>
      <c r="Y281" s="1707"/>
      <c r="Z281" s="1344"/>
      <c r="AA281" s="1344"/>
      <c r="AB281" s="1709"/>
      <c r="AC281" s="1709"/>
      <c r="AD281" s="1707"/>
    </row>
    <row r="282" customFormat="false" ht="15.75" hidden="true" customHeight="true" outlineLevel="1" collapsed="false">
      <c r="A282" s="1775" t="s">
        <v>3261</v>
      </c>
      <c r="B282" s="1683" t="s">
        <v>15</v>
      </c>
      <c r="C282" s="1692" t="n">
        <f aca="false">$C$143</f>
        <v>0.145</v>
      </c>
      <c r="D282" s="1436" t="n">
        <f aca="false">$D$143</f>
        <v>0.045</v>
      </c>
      <c r="E282" s="1604" t="n">
        <f aca="false">IF('Ввод данных'!$A$17=связи1!$A$97,IF(дома!E281&lt;'Ввод данных'!$C$14,0,дома!E281-дома!$L$138),0)+IF(E281=0,0,IF('Ввод данных'!$A$17=связи1!$A$94,IF(дома!E281&lt;0,0,дома!E281-дома!$L$138),0))</f>
        <v>0</v>
      </c>
      <c r="F282" s="1436" t="n">
        <f aca="false">2*IF(связи1!$H$89=связи1!$A$2,1,0)*IF('Ввод данных'!$B$245=связи1!$A$2,1,0)</f>
        <v>2</v>
      </c>
      <c r="G282" s="1436" t="n">
        <f aca="false">C282*D282*E282*F282</f>
        <v>0</v>
      </c>
      <c r="H282" s="1436"/>
      <c r="I282" s="1436"/>
      <c r="J282" s="1436"/>
      <c r="K282" s="1344"/>
      <c r="L282" s="1344"/>
      <c r="M282" s="1344"/>
      <c r="N282" s="1344"/>
      <c r="O282" s="1344"/>
      <c r="P282" s="1707"/>
      <c r="Q282" s="1707"/>
      <c r="R282" s="1707"/>
      <c r="S282" s="1344"/>
      <c r="T282" s="1344"/>
      <c r="U282" s="1753"/>
      <c r="V282" s="1344"/>
      <c r="W282" s="1344"/>
      <c r="X282" s="1344"/>
      <c r="Y282" s="1707"/>
      <c r="Z282" s="1344"/>
      <c r="AA282" s="1344"/>
      <c r="AB282" s="1709"/>
      <c r="AC282" s="1709"/>
      <c r="AD282" s="1707"/>
    </row>
    <row r="283" customFormat="false" ht="15.75" hidden="true" customHeight="true" outlineLevel="1" collapsed="false">
      <c r="A283" s="1775" t="s">
        <v>3262</v>
      </c>
      <c r="B283" s="1683" t="s">
        <v>15</v>
      </c>
      <c r="C283" s="1692" t="n">
        <f aca="false">$C$143</f>
        <v>0.145</v>
      </c>
      <c r="D283" s="1436" t="n">
        <f aca="false">$D$143</f>
        <v>0.045</v>
      </c>
      <c r="E283" s="1604" t="n">
        <f aca="false">IF('Ввод данных'!$A$17=связи1!$A$97,IF(дома!E282&lt;'Ввод данных'!$C$14,0,дома!E282-дома!$L$138),0)+IF(E282=0,0,IF('Ввод данных'!$A$17=связи1!$A$94,IF(дома!E282&lt;0,0,дома!E282-дома!$L$138),0))</f>
        <v>0</v>
      </c>
      <c r="F283" s="1436" t="n">
        <f aca="false">2*IF(связи1!$H$89=связи1!$A$2,1,0)*IF('Ввод данных'!$B$245=связи1!$A$2,1,0)</f>
        <v>2</v>
      </c>
      <c r="G283" s="1436" t="n">
        <f aca="false">C283*D283*E283*F283</f>
        <v>0</v>
      </c>
      <c r="H283" s="1436"/>
      <c r="I283" s="1436"/>
      <c r="J283" s="1436"/>
      <c r="K283" s="1344"/>
      <c r="L283" s="1344"/>
      <c r="M283" s="1344"/>
      <c r="N283" s="1344"/>
      <c r="O283" s="1344"/>
      <c r="P283" s="1707"/>
      <c r="Q283" s="1707"/>
      <c r="R283" s="1707"/>
      <c r="S283" s="1344"/>
      <c r="T283" s="1344"/>
      <c r="U283" s="1753"/>
      <c r="V283" s="1344"/>
      <c r="W283" s="1344"/>
      <c r="X283" s="1344"/>
      <c r="Y283" s="1707"/>
      <c r="Z283" s="1344"/>
      <c r="AA283" s="1344"/>
      <c r="AB283" s="1709"/>
      <c r="AC283" s="1709"/>
      <c r="AD283" s="1707"/>
    </row>
    <row r="284" customFormat="false" ht="15.75" hidden="true" customHeight="true" outlineLevel="1" collapsed="false">
      <c r="A284" s="1775" t="s">
        <v>3263</v>
      </c>
      <c r="B284" s="1683" t="s">
        <v>15</v>
      </c>
      <c r="C284" s="1692" t="n">
        <f aca="false">$C$143</f>
        <v>0.145</v>
      </c>
      <c r="D284" s="1436" t="n">
        <f aca="false">$D$143</f>
        <v>0.045</v>
      </c>
      <c r="E284" s="1604" t="n">
        <f aca="false">IF('Ввод данных'!$A$17=связи1!$A$97,IF(дома!E283&lt;'Ввод данных'!$C$14,0,дома!E283-дома!$L$138),0)+IF(E283=0,0,IF('Ввод данных'!$A$17=связи1!$A$94,IF(дома!E283&lt;0,0,дома!E283-дома!$L$138),0))</f>
        <v>0</v>
      </c>
      <c r="F284" s="1436" t="n">
        <f aca="false">2*IF(связи1!$H$89=связи1!$A$2,1,0)*IF('Ввод данных'!$B$245=связи1!$A$2,1,0)</f>
        <v>2</v>
      </c>
      <c r="G284" s="1436" t="n">
        <f aca="false">C284*D284*E284*F284</f>
        <v>0</v>
      </c>
      <c r="H284" s="1436"/>
      <c r="I284" s="1436"/>
      <c r="J284" s="1436"/>
      <c r="K284" s="1344"/>
      <c r="L284" s="1344"/>
      <c r="M284" s="1344"/>
      <c r="N284" s="1344"/>
      <c r="O284" s="1344"/>
      <c r="P284" s="1707"/>
      <c r="Q284" s="1707"/>
      <c r="R284" s="1707"/>
      <c r="S284" s="1344"/>
      <c r="T284" s="1344"/>
      <c r="U284" s="1753"/>
      <c r="V284" s="1344"/>
      <c r="W284" s="1344"/>
      <c r="X284" s="1344"/>
      <c r="Y284" s="1707"/>
      <c r="Z284" s="1344"/>
      <c r="AA284" s="1344"/>
      <c r="AB284" s="1709"/>
      <c r="AC284" s="1709"/>
      <c r="AD284" s="1707"/>
    </row>
    <row r="285" customFormat="false" ht="15.75" hidden="true" customHeight="true" outlineLevel="1" collapsed="false">
      <c r="A285" s="1775" t="s">
        <v>3264</v>
      </c>
      <c r="B285" s="1683" t="s">
        <v>15</v>
      </c>
      <c r="C285" s="1692" t="n">
        <f aca="false">$C$143</f>
        <v>0.145</v>
      </c>
      <c r="D285" s="1436" t="n">
        <f aca="false">$D$143</f>
        <v>0.045</v>
      </c>
      <c r="E285" s="1604" t="n">
        <f aca="false">IF('Ввод данных'!$A$17=связи1!$A$97,IF(дома!E284&lt;'Ввод данных'!$C$14,0,дома!E284-дома!$L$138),0)+IF(E284=0,0,IF('Ввод данных'!$A$17=связи1!$A$94,IF(дома!E284&lt;0,0,дома!E284-дома!$L$138),0))</f>
        <v>0</v>
      </c>
      <c r="F285" s="1436" t="n">
        <f aca="false">2*IF(связи1!$H$89=связи1!$A$2,1,0)*IF('Ввод данных'!$B$245=связи1!$A$2,1,0)</f>
        <v>2</v>
      </c>
      <c r="G285" s="1436" t="n">
        <f aca="false">C285*D285*E285*F285</f>
        <v>0</v>
      </c>
      <c r="H285" s="1436"/>
      <c r="I285" s="1436"/>
      <c r="J285" s="1436"/>
      <c r="K285" s="1344"/>
      <c r="L285" s="1344"/>
      <c r="M285" s="1344"/>
      <c r="N285" s="1344"/>
      <c r="O285" s="1344"/>
      <c r="P285" s="1707"/>
      <c r="Q285" s="1707"/>
      <c r="R285" s="1707"/>
      <c r="S285" s="1344"/>
      <c r="T285" s="1344"/>
      <c r="U285" s="1753"/>
      <c r="V285" s="1344"/>
      <c r="W285" s="1344"/>
      <c r="X285" s="1344"/>
      <c r="Y285" s="1707"/>
      <c r="Z285" s="1344"/>
      <c r="AA285" s="1344"/>
      <c r="AB285" s="1709"/>
      <c r="AC285" s="1709"/>
      <c r="AD285" s="1707"/>
    </row>
    <row r="286" customFormat="false" ht="15.75" hidden="true" customHeight="true" outlineLevel="1" collapsed="false">
      <c r="A286" s="1775" t="s">
        <v>3265</v>
      </c>
      <c r="B286" s="1683" t="s">
        <v>15</v>
      </c>
      <c r="C286" s="1692" t="n">
        <f aca="false">$C$143</f>
        <v>0.145</v>
      </c>
      <c r="D286" s="1436" t="n">
        <f aca="false">$D$143</f>
        <v>0.045</v>
      </c>
      <c r="E286" s="1604" t="n">
        <f aca="false">IF('Ввод данных'!$A$17=связи1!$A$97,IF(дома!E285&lt;'Ввод данных'!$C$14,0,дома!E285-дома!$L$138),0)+IF(E285=0,0,IF('Ввод данных'!$A$17=связи1!$A$94,IF(дома!E285&lt;0,0,дома!E285-дома!$L$138),0))</f>
        <v>0</v>
      </c>
      <c r="F286" s="1436" t="n">
        <f aca="false">2*IF(связи1!$H$89=связи1!$A$2,1,0)*IF('Ввод данных'!$B$245=связи1!$A$2,1,0)</f>
        <v>2</v>
      </c>
      <c r="G286" s="1436" t="n">
        <f aca="false">C286*D286*E286*F286</f>
        <v>0</v>
      </c>
      <c r="H286" s="1436"/>
      <c r="I286" s="1436"/>
      <c r="J286" s="1436"/>
      <c r="K286" s="1344"/>
      <c r="L286" s="1344"/>
      <c r="M286" s="1344"/>
      <c r="N286" s="1344"/>
      <c r="O286" s="1344"/>
      <c r="P286" s="1707"/>
      <c r="Q286" s="1707"/>
      <c r="R286" s="1707"/>
      <c r="S286" s="1344"/>
      <c r="T286" s="1344"/>
      <c r="U286" s="1753"/>
      <c r="V286" s="1344"/>
      <c r="W286" s="1344"/>
      <c r="X286" s="1344"/>
      <c r="Y286" s="1707"/>
      <c r="Z286" s="1344"/>
      <c r="AA286" s="1344"/>
      <c r="AB286" s="1709"/>
      <c r="AC286" s="1709"/>
      <c r="AD286" s="1707"/>
    </row>
    <row r="287" customFormat="false" ht="15.75" hidden="true" customHeight="true" outlineLevel="1" collapsed="false">
      <c r="A287" s="1775" t="s">
        <v>3266</v>
      </c>
      <c r="B287" s="1683" t="s">
        <v>15</v>
      </c>
      <c r="C287" s="1692" t="n">
        <f aca="false">$C$143</f>
        <v>0.145</v>
      </c>
      <c r="D287" s="1436" t="n">
        <f aca="false">$D$143</f>
        <v>0.045</v>
      </c>
      <c r="E287" s="1604" t="n">
        <f aca="false">IF('Ввод данных'!$A$17=связи1!$A$97,IF(дома!E286&lt;'Ввод данных'!$C$14,0,дома!E286-дома!$L$138),0)+IF(E286=0,0,IF('Ввод данных'!$A$17=связи1!$A$94,IF(дома!E286&lt;0,0,дома!E286-дома!$L$138),0))</f>
        <v>0</v>
      </c>
      <c r="F287" s="1436" t="n">
        <f aca="false">2*IF(связи1!$H$89=связи1!$A$2,1,0)*IF('Ввод данных'!$B$245=связи1!$A$2,1,0)</f>
        <v>2</v>
      </c>
      <c r="G287" s="1436" t="n">
        <f aca="false">C287*D287*E287*F287</f>
        <v>0</v>
      </c>
      <c r="H287" s="1436"/>
      <c r="I287" s="1436"/>
      <c r="J287" s="1436"/>
      <c r="K287" s="1344"/>
      <c r="L287" s="1344"/>
      <c r="M287" s="1344"/>
      <c r="N287" s="1344"/>
      <c r="O287" s="1344"/>
      <c r="P287" s="1707"/>
      <c r="Q287" s="1707"/>
      <c r="R287" s="1707"/>
      <c r="S287" s="1344"/>
      <c r="T287" s="1344"/>
      <c r="U287" s="1753"/>
      <c r="V287" s="1344"/>
      <c r="W287" s="1344"/>
      <c r="X287" s="1344"/>
      <c r="Y287" s="1707"/>
      <c r="Z287" s="1344"/>
      <c r="AA287" s="1344"/>
      <c r="AB287" s="1709"/>
      <c r="AC287" s="1709"/>
      <c r="AD287" s="1707"/>
    </row>
    <row r="288" customFormat="false" ht="15.75" hidden="true" customHeight="true" outlineLevel="1" collapsed="false">
      <c r="A288" s="1775" t="s">
        <v>3267</v>
      </c>
      <c r="B288" s="1683" t="s">
        <v>15</v>
      </c>
      <c r="C288" s="1692" t="n">
        <f aca="false">$C$143</f>
        <v>0.145</v>
      </c>
      <c r="D288" s="1436" t="n">
        <f aca="false">$D$143</f>
        <v>0.045</v>
      </c>
      <c r="E288" s="1604" t="n">
        <f aca="false">IF('Ввод данных'!$A$17=связи1!$A$97,IF(дома!E287&lt;'Ввод данных'!$C$14,0,дома!E287-дома!$L$138),0)+IF(E287=0,0,IF('Ввод данных'!$A$17=связи1!$A$94,IF(дома!E287&lt;0,0,дома!E287-дома!$L$138),0))</f>
        <v>0</v>
      </c>
      <c r="F288" s="1436" t="n">
        <f aca="false">2*IF(связи1!$H$89=связи1!$A$2,1,0)*IF('Ввод данных'!$B$245=связи1!$A$2,1,0)</f>
        <v>2</v>
      </c>
      <c r="G288" s="1436" t="n">
        <f aca="false">C288*D288*E288*F288</f>
        <v>0</v>
      </c>
      <c r="H288" s="1436"/>
      <c r="I288" s="1436"/>
      <c r="J288" s="1436"/>
      <c r="K288" s="1344"/>
      <c r="L288" s="1344"/>
      <c r="M288" s="1344"/>
      <c r="N288" s="1344"/>
      <c r="O288" s="1344"/>
      <c r="P288" s="1707"/>
      <c r="Q288" s="1707"/>
      <c r="R288" s="1707"/>
      <c r="S288" s="1344"/>
      <c r="T288" s="1344"/>
      <c r="U288" s="1753"/>
      <c r="V288" s="1344"/>
      <c r="W288" s="1344"/>
      <c r="X288" s="1344"/>
      <c r="Y288" s="1707"/>
      <c r="Z288" s="1344"/>
      <c r="AA288" s="1344"/>
      <c r="AB288" s="1709"/>
      <c r="AC288" s="1709"/>
      <c r="AD288" s="1707"/>
    </row>
    <row r="289" customFormat="false" ht="15.75" hidden="true" customHeight="true" outlineLevel="1" collapsed="false">
      <c r="A289" s="1775" t="s">
        <v>3268</v>
      </c>
      <c r="B289" s="1683" t="s">
        <v>15</v>
      </c>
      <c r="C289" s="1692" t="n">
        <f aca="false">$C$143</f>
        <v>0.145</v>
      </c>
      <c r="D289" s="1436" t="n">
        <f aca="false">$D$143</f>
        <v>0.045</v>
      </c>
      <c r="E289" s="1604" t="n">
        <f aca="false">IF('Ввод данных'!$A$17=связи1!$A$97,IF(дома!E288&lt;'Ввод данных'!$C$14,0,дома!E288-дома!$L$138),0)+IF(E288=0,0,IF('Ввод данных'!$A$17=связи1!$A$94,IF(дома!E288&lt;0,0,дома!E288-дома!$L$138),0))</f>
        <v>0</v>
      </c>
      <c r="F289" s="1436" t="n">
        <f aca="false">2*IF(связи1!$H$89=связи1!$A$2,1,0)*IF('Ввод данных'!$B$245=связи1!$A$2,1,0)</f>
        <v>2</v>
      </c>
      <c r="G289" s="1436" t="n">
        <f aca="false">C289*D289*E289*F289</f>
        <v>0</v>
      </c>
      <c r="H289" s="1436"/>
      <c r="I289" s="1436"/>
      <c r="J289" s="1436"/>
      <c r="K289" s="1344"/>
      <c r="L289" s="1344"/>
      <c r="M289" s="1344"/>
      <c r="N289" s="1344"/>
      <c r="O289" s="1344"/>
      <c r="P289" s="1707"/>
      <c r="Q289" s="1707"/>
      <c r="R289" s="1707"/>
      <c r="S289" s="1344"/>
      <c r="T289" s="1344"/>
      <c r="U289" s="1753"/>
      <c r="V289" s="1344"/>
      <c r="W289" s="1344"/>
      <c r="X289" s="1344"/>
      <c r="Y289" s="1707"/>
      <c r="Z289" s="1344"/>
      <c r="AA289" s="1344"/>
      <c r="AB289" s="1709"/>
      <c r="AC289" s="1709"/>
      <c r="AD289" s="1707"/>
    </row>
    <row r="290" customFormat="false" ht="15.75" hidden="true" customHeight="true" outlineLevel="1" collapsed="false">
      <c r="A290" s="1775" t="s">
        <v>3269</v>
      </c>
      <c r="B290" s="1683" t="s">
        <v>15</v>
      </c>
      <c r="C290" s="1692" t="n">
        <f aca="false">$C$143</f>
        <v>0.145</v>
      </c>
      <c r="D290" s="1436" t="n">
        <f aca="false">$D$143</f>
        <v>0.045</v>
      </c>
      <c r="E290" s="1604" t="n">
        <f aca="false">IF('Ввод данных'!$A$17=связи1!$A$97,IF(дома!E289&lt;'Ввод данных'!$C$14,0,дома!E289-дома!$L$138),0)+IF(E289=0,0,IF('Ввод данных'!$A$17=связи1!$A$94,IF(дома!E289&lt;0,0,дома!E289-дома!$L$138),0))</f>
        <v>0</v>
      </c>
      <c r="F290" s="1436" t="n">
        <f aca="false">2*IF(связи1!$H$89=связи1!$A$2,1,0)*IF('Ввод данных'!$B$245=связи1!$A$2,1,0)</f>
        <v>2</v>
      </c>
      <c r="G290" s="1436" t="n">
        <f aca="false">C290*D290*E290*F290</f>
        <v>0</v>
      </c>
      <c r="H290" s="1436"/>
      <c r="I290" s="1436"/>
      <c r="J290" s="1436"/>
      <c r="K290" s="1344"/>
      <c r="L290" s="1344"/>
      <c r="M290" s="1344"/>
      <c r="N290" s="1344"/>
      <c r="O290" s="1344"/>
      <c r="P290" s="1707"/>
      <c r="Q290" s="1707"/>
      <c r="R290" s="1707"/>
      <c r="S290" s="1344"/>
      <c r="T290" s="1344"/>
      <c r="U290" s="1753"/>
      <c r="V290" s="1344"/>
      <c r="W290" s="1344"/>
      <c r="X290" s="1344"/>
      <c r="Y290" s="1707"/>
      <c r="Z290" s="1344"/>
      <c r="AA290" s="1344"/>
      <c r="AB290" s="1709"/>
      <c r="AC290" s="1709"/>
      <c r="AD290" s="1707"/>
    </row>
    <row r="291" customFormat="false" ht="15.75" hidden="true" customHeight="true" outlineLevel="1" collapsed="false">
      <c r="A291" s="1775" t="s">
        <v>3270</v>
      </c>
      <c r="B291" s="1683" t="s">
        <v>15</v>
      </c>
      <c r="C291" s="1692" t="n">
        <f aca="false">$C$143</f>
        <v>0.145</v>
      </c>
      <c r="D291" s="1436" t="n">
        <f aca="false">$D$143</f>
        <v>0.045</v>
      </c>
      <c r="E291" s="1604" t="n">
        <f aca="false">IF('Ввод данных'!$A$17=связи1!$A$97,IF(дома!E290&lt;'Ввод данных'!$C$14,0,дома!E290-дома!$L$138),0)+IF(E290=0,0,IF('Ввод данных'!$A$17=связи1!$A$94,IF(дома!E290&lt;0,0,дома!E290-дома!$L$138),0))</f>
        <v>0</v>
      </c>
      <c r="F291" s="1436" t="n">
        <f aca="false">2*IF(связи1!$H$89=связи1!$A$2,1,0)*IF('Ввод данных'!$B$245=связи1!$A$2,1,0)</f>
        <v>2</v>
      </c>
      <c r="G291" s="1436" t="n">
        <f aca="false">C291*D291*E291*F291</f>
        <v>0</v>
      </c>
      <c r="H291" s="1436"/>
      <c r="I291" s="1436"/>
      <c r="J291" s="1436"/>
      <c r="K291" s="1344"/>
      <c r="L291" s="1344"/>
      <c r="M291" s="1344"/>
      <c r="N291" s="1344"/>
      <c r="O291" s="1344"/>
      <c r="P291" s="1707"/>
      <c r="Q291" s="1707"/>
      <c r="R291" s="1707"/>
      <c r="S291" s="1344"/>
      <c r="T291" s="1344"/>
      <c r="U291" s="1753"/>
      <c r="V291" s="1344"/>
      <c r="W291" s="1344"/>
      <c r="X291" s="1344"/>
      <c r="Y291" s="1707"/>
      <c r="Z291" s="1344"/>
      <c r="AA291" s="1344"/>
      <c r="AB291" s="1709"/>
      <c r="AC291" s="1709"/>
      <c r="AD291" s="1707"/>
    </row>
    <row r="292" customFormat="false" ht="15.75" hidden="true" customHeight="true" outlineLevel="1" collapsed="false">
      <c r="A292" s="1775" t="s">
        <v>3271</v>
      </c>
      <c r="B292" s="1683" t="s">
        <v>15</v>
      </c>
      <c r="C292" s="1692" t="n">
        <f aca="false">$C$143</f>
        <v>0.145</v>
      </c>
      <c r="D292" s="1436" t="n">
        <f aca="false">$D$143</f>
        <v>0.045</v>
      </c>
      <c r="E292" s="1604" t="n">
        <f aca="false">IF('Ввод данных'!$A$17=связи1!$A$97,IF(дома!E291&lt;'Ввод данных'!$C$14,0,дома!E291-дома!$L$138),0)+IF(E291=0,0,IF('Ввод данных'!$A$17=связи1!$A$94,IF(дома!E291&lt;0,0,дома!E291-дома!$L$138),0))</f>
        <v>0</v>
      </c>
      <c r="F292" s="1436" t="n">
        <f aca="false">2*IF(связи1!$H$89=связи1!$A$2,1,0)*IF('Ввод данных'!$B$245=связи1!$A$2,1,0)</f>
        <v>2</v>
      </c>
      <c r="G292" s="1436" t="n">
        <f aca="false">C292*D292*E292*F292</f>
        <v>0</v>
      </c>
      <c r="H292" s="1436"/>
      <c r="I292" s="1436"/>
      <c r="J292" s="1436"/>
      <c r="K292" s="1344"/>
      <c r="L292" s="1344"/>
      <c r="M292" s="1344"/>
      <c r="N292" s="1344"/>
      <c r="O292" s="1344"/>
      <c r="P292" s="1707"/>
      <c r="Q292" s="1707"/>
      <c r="R292" s="1707"/>
      <c r="S292" s="1344"/>
      <c r="T292" s="1344"/>
      <c r="U292" s="1753"/>
      <c r="V292" s="1344"/>
      <c r="W292" s="1344"/>
      <c r="X292" s="1344"/>
      <c r="Y292" s="1707"/>
      <c r="Z292" s="1344"/>
      <c r="AA292" s="1344"/>
      <c r="AB292" s="1709"/>
      <c r="AC292" s="1709"/>
      <c r="AD292" s="1707"/>
    </row>
    <row r="293" customFormat="false" ht="15.75" hidden="true" customHeight="true" outlineLevel="1" collapsed="false">
      <c r="A293" s="1775" t="s">
        <v>3272</v>
      </c>
      <c r="B293" s="1683" t="s">
        <v>15</v>
      </c>
      <c r="C293" s="1692" t="n">
        <f aca="false">$C$143</f>
        <v>0.145</v>
      </c>
      <c r="D293" s="1436" t="n">
        <f aca="false">$D$143</f>
        <v>0.045</v>
      </c>
      <c r="E293" s="1604" t="n">
        <f aca="false">IF('Ввод данных'!$A$17=связи1!$A$97,IF(дома!E292&lt;'Ввод данных'!$C$14,0,дома!E292-дома!$L$138),0)+IF(E292=0,0,IF('Ввод данных'!$A$17=связи1!$A$94,IF(дома!E292&lt;0,0,дома!E292-дома!$L$138),0))</f>
        <v>0</v>
      </c>
      <c r="F293" s="1436" t="n">
        <f aca="false">2*IF(связи1!$H$89=связи1!$A$2,1,0)*IF('Ввод данных'!$B$245=связи1!$A$2,1,0)</f>
        <v>2</v>
      </c>
      <c r="G293" s="1436" t="n">
        <f aca="false">C293*D293*E293*F293</f>
        <v>0</v>
      </c>
      <c r="H293" s="1436"/>
      <c r="I293" s="1436"/>
      <c r="J293" s="1436"/>
      <c r="K293" s="1344"/>
      <c r="L293" s="1344"/>
      <c r="M293" s="1344"/>
      <c r="N293" s="1344"/>
      <c r="O293" s="1344"/>
      <c r="P293" s="1707"/>
      <c r="Q293" s="1707"/>
      <c r="R293" s="1707"/>
      <c r="S293" s="1344"/>
      <c r="T293" s="1344"/>
      <c r="U293" s="1753"/>
      <c r="V293" s="1344"/>
      <c r="W293" s="1344"/>
      <c r="X293" s="1344"/>
      <c r="Y293" s="1707"/>
      <c r="Z293" s="1344"/>
      <c r="AA293" s="1344"/>
      <c r="AB293" s="1709"/>
      <c r="AC293" s="1709"/>
      <c r="AD293" s="1707"/>
    </row>
    <row r="294" customFormat="false" ht="15.75" hidden="true" customHeight="true" outlineLevel="1" collapsed="false">
      <c r="A294" s="1775" t="s">
        <v>3273</v>
      </c>
      <c r="B294" s="1683" t="s">
        <v>15</v>
      </c>
      <c r="C294" s="1692" t="n">
        <f aca="false">$C$143</f>
        <v>0.145</v>
      </c>
      <c r="D294" s="1436" t="n">
        <f aca="false">$D$143</f>
        <v>0.045</v>
      </c>
      <c r="E294" s="1604" t="n">
        <f aca="false">IF('Ввод данных'!$A$17=связи1!$A$97,IF(дома!E293&lt;'Ввод данных'!$C$14,0,дома!E293-дома!$L$138),0)+IF(E293=0,0,IF('Ввод данных'!$A$17=связи1!$A$94,IF(дома!E293&lt;0,0,дома!E293-дома!$L$138),0))</f>
        <v>0</v>
      </c>
      <c r="F294" s="1436" t="n">
        <f aca="false">2*IF(связи1!$H$89=связи1!$A$2,1,0)*IF('Ввод данных'!$B$245=связи1!$A$2,1,0)</f>
        <v>2</v>
      </c>
      <c r="G294" s="1436" t="n">
        <f aca="false">C294*D294*E294*F294</f>
        <v>0</v>
      </c>
      <c r="H294" s="1436"/>
      <c r="I294" s="1436"/>
      <c r="J294" s="1436"/>
      <c r="K294" s="1344"/>
      <c r="L294" s="1344"/>
      <c r="M294" s="1344"/>
      <c r="N294" s="1344"/>
      <c r="O294" s="1344"/>
      <c r="P294" s="1707"/>
      <c r="Q294" s="1707"/>
      <c r="R294" s="1707"/>
      <c r="S294" s="1344"/>
      <c r="T294" s="1344"/>
      <c r="U294" s="1753"/>
      <c r="V294" s="1344"/>
      <c r="W294" s="1344"/>
      <c r="X294" s="1344"/>
      <c r="Y294" s="1707"/>
      <c r="Z294" s="1344"/>
      <c r="AA294" s="1344"/>
      <c r="AB294" s="1709"/>
      <c r="AC294" s="1709"/>
      <c r="AD294" s="1707"/>
    </row>
    <row r="295" customFormat="false" ht="15.75" hidden="true" customHeight="true" outlineLevel="1" collapsed="false">
      <c r="A295" s="1775" t="s">
        <v>3274</v>
      </c>
      <c r="B295" s="1683" t="s">
        <v>15</v>
      </c>
      <c r="C295" s="1692" t="n">
        <f aca="false">$C$143</f>
        <v>0.145</v>
      </c>
      <c r="D295" s="1436" t="n">
        <f aca="false">$D$143</f>
        <v>0.045</v>
      </c>
      <c r="E295" s="1604" t="n">
        <f aca="false">IF('Ввод данных'!$A$17=связи1!$A$97,IF(дома!E294&lt;'Ввод данных'!$C$14,0,дома!E294-дома!$L$138),0)+IF(E294=0,0,IF('Ввод данных'!$A$17=связи1!$A$94,IF(дома!E294&lt;0,0,дома!E294-дома!$L$138),0))</f>
        <v>0</v>
      </c>
      <c r="F295" s="1436" t="n">
        <f aca="false">2*IF(связи1!$H$89=связи1!$A$2,1,0)*IF('Ввод данных'!$B$245=связи1!$A$2,1,0)</f>
        <v>2</v>
      </c>
      <c r="G295" s="1436" t="n">
        <f aca="false">C295*D295*E295*F295</f>
        <v>0</v>
      </c>
      <c r="H295" s="1436"/>
      <c r="I295" s="1436"/>
      <c r="J295" s="1436"/>
      <c r="K295" s="1344"/>
      <c r="L295" s="1344"/>
      <c r="M295" s="1344"/>
      <c r="N295" s="1344"/>
      <c r="O295" s="1344"/>
      <c r="P295" s="1707"/>
      <c r="Q295" s="1707"/>
      <c r="R295" s="1707"/>
      <c r="S295" s="1344"/>
      <c r="T295" s="1344"/>
      <c r="U295" s="1753"/>
      <c r="V295" s="1344"/>
      <c r="W295" s="1344"/>
      <c r="X295" s="1344"/>
      <c r="Y295" s="1707"/>
      <c r="Z295" s="1344"/>
      <c r="AA295" s="1344"/>
      <c r="AB295" s="1709"/>
      <c r="AC295" s="1709"/>
      <c r="AD295" s="1707"/>
    </row>
    <row r="296" customFormat="false" ht="15.75" hidden="true" customHeight="true" outlineLevel="1" collapsed="false">
      <c r="A296" s="1775" t="s">
        <v>3275</v>
      </c>
      <c r="B296" s="1683" t="s">
        <v>15</v>
      </c>
      <c r="C296" s="1692" t="n">
        <f aca="false">$C$143</f>
        <v>0.145</v>
      </c>
      <c r="D296" s="1436" t="n">
        <f aca="false">$D$143</f>
        <v>0.045</v>
      </c>
      <c r="E296" s="1604" t="n">
        <f aca="false">IF('Ввод данных'!$A$17=связи1!$A$97,IF(дома!E295&lt;'Ввод данных'!$C$14,0,дома!E295-дома!$L$138),0)+IF(E295=0,0,IF('Ввод данных'!$A$17=связи1!$A$94,IF(дома!E295&lt;0,0,дома!E295-дома!$L$138),0))</f>
        <v>0</v>
      </c>
      <c r="F296" s="1436" t="n">
        <f aca="false">2*IF(связи1!$H$89=связи1!$A$2,1,0)*IF('Ввод данных'!$B$245=связи1!$A$2,1,0)</f>
        <v>2</v>
      </c>
      <c r="G296" s="1436" t="n">
        <f aca="false">C296*D296*E296*F296</f>
        <v>0</v>
      </c>
      <c r="H296" s="1436"/>
      <c r="I296" s="1436"/>
      <c r="J296" s="1436"/>
      <c r="K296" s="1344"/>
      <c r="L296" s="1344"/>
      <c r="M296" s="1344"/>
      <c r="N296" s="1344"/>
      <c r="O296" s="1344"/>
      <c r="P296" s="1707"/>
      <c r="Q296" s="1707"/>
      <c r="R296" s="1707"/>
      <c r="S296" s="1344"/>
      <c r="T296" s="1344"/>
      <c r="U296" s="1753"/>
      <c r="V296" s="1344"/>
      <c r="W296" s="1344"/>
      <c r="X296" s="1344"/>
      <c r="Y296" s="1707"/>
      <c r="Z296" s="1344"/>
      <c r="AA296" s="1344"/>
      <c r="AB296" s="1709"/>
      <c r="AC296" s="1709"/>
      <c r="AD296" s="1707"/>
    </row>
    <row r="297" customFormat="false" ht="15.75" hidden="true" customHeight="true" outlineLevel="1" collapsed="false">
      <c r="A297" s="1775" t="s">
        <v>3276</v>
      </c>
      <c r="B297" s="1683" t="s">
        <v>15</v>
      </c>
      <c r="C297" s="1692" t="n">
        <f aca="false">$C$143</f>
        <v>0.145</v>
      </c>
      <c r="D297" s="1436" t="n">
        <f aca="false">$D$143</f>
        <v>0.045</v>
      </c>
      <c r="E297" s="1604" t="n">
        <f aca="false">IF('Ввод данных'!$A$17=связи1!$A$97,IF(дома!E296&lt;'Ввод данных'!$C$14,0,дома!E296-дома!$L$138),0)+IF(E296=0,0,IF('Ввод данных'!$A$17=связи1!$A$94,IF(дома!E296&lt;0,0,дома!E296-дома!$L$138),0))</f>
        <v>0</v>
      </c>
      <c r="F297" s="1436" t="n">
        <f aca="false">2*IF(связи1!$H$89=связи1!$A$2,1,0)*IF('Ввод данных'!$B$245=связи1!$A$2,1,0)</f>
        <v>2</v>
      </c>
      <c r="G297" s="1436" t="n">
        <f aca="false">C297*D297*E297*F297</f>
        <v>0</v>
      </c>
      <c r="H297" s="1436"/>
      <c r="I297" s="1436"/>
      <c r="J297" s="1436"/>
      <c r="K297" s="1344"/>
      <c r="L297" s="1344"/>
      <c r="M297" s="1344"/>
      <c r="N297" s="1344"/>
      <c r="O297" s="1344"/>
      <c r="P297" s="1707"/>
      <c r="Q297" s="1707"/>
      <c r="R297" s="1707"/>
      <c r="S297" s="1344"/>
      <c r="T297" s="1344"/>
      <c r="U297" s="1753"/>
      <c r="V297" s="1344"/>
      <c r="W297" s="1344"/>
      <c r="X297" s="1344"/>
      <c r="Y297" s="1707"/>
      <c r="Z297" s="1344"/>
      <c r="AA297" s="1344"/>
      <c r="AB297" s="1709"/>
      <c r="AC297" s="1709"/>
      <c r="AD297" s="1707"/>
    </row>
    <row r="298" customFormat="false" ht="15.75" hidden="true" customHeight="true" outlineLevel="1" collapsed="false">
      <c r="A298" s="1775" t="s">
        <v>3277</v>
      </c>
      <c r="B298" s="1683" t="s">
        <v>15</v>
      </c>
      <c r="C298" s="1692" t="n">
        <f aca="false">$C$143</f>
        <v>0.145</v>
      </c>
      <c r="D298" s="1436" t="n">
        <f aca="false">$D$143</f>
        <v>0.045</v>
      </c>
      <c r="E298" s="1604" t="n">
        <f aca="false">IF('Ввод данных'!$A$17=связи1!$A$97,IF(дома!E297&lt;'Ввод данных'!$C$14,0,дома!E297-дома!$L$138),0)+IF(E297=0,0,IF('Ввод данных'!$A$17=связи1!$A$94,IF(дома!E297&lt;0,0,дома!E297-дома!$L$138),0))</f>
        <v>0</v>
      </c>
      <c r="F298" s="1436" t="n">
        <f aca="false">2*IF(связи1!$H$89=связи1!$A$2,1,0)*IF('Ввод данных'!$B$245=связи1!$A$2,1,0)</f>
        <v>2</v>
      </c>
      <c r="G298" s="1436" t="n">
        <f aca="false">C298*D298*E298*F298</f>
        <v>0</v>
      </c>
      <c r="H298" s="1436"/>
      <c r="I298" s="1436"/>
      <c r="J298" s="1436"/>
      <c r="K298" s="1344"/>
      <c r="L298" s="1344"/>
      <c r="M298" s="1344"/>
      <c r="N298" s="1344"/>
      <c r="O298" s="1344"/>
      <c r="P298" s="1707"/>
      <c r="Q298" s="1707"/>
      <c r="R298" s="1707"/>
      <c r="S298" s="1344"/>
      <c r="T298" s="1344"/>
      <c r="U298" s="1753"/>
      <c r="V298" s="1344"/>
      <c r="W298" s="1344"/>
      <c r="X298" s="1344"/>
      <c r="Y298" s="1707"/>
      <c r="Z298" s="1344"/>
      <c r="AA298" s="1344"/>
      <c r="AB298" s="1709"/>
      <c r="AC298" s="1709"/>
      <c r="AD298" s="1707"/>
    </row>
    <row r="299" customFormat="false" ht="15.75" hidden="true" customHeight="true" outlineLevel="1" collapsed="false">
      <c r="A299" s="1775" t="s">
        <v>3278</v>
      </c>
      <c r="B299" s="1683" t="s">
        <v>15</v>
      </c>
      <c r="C299" s="1692" t="n">
        <f aca="false">$C$143</f>
        <v>0.145</v>
      </c>
      <c r="D299" s="1436" t="n">
        <f aca="false">$D$143</f>
        <v>0.045</v>
      </c>
      <c r="E299" s="1604" t="n">
        <f aca="false">IF('Ввод данных'!$A$17=связи1!$A$97,IF(дома!E298&lt;'Ввод данных'!$C$14,0,дома!E298-дома!$L$138),0)+IF(E298=0,0,IF('Ввод данных'!$A$17=связи1!$A$94,IF(дома!E298&lt;0,0,дома!E298-дома!$L$138),0))</f>
        <v>0</v>
      </c>
      <c r="F299" s="1436" t="n">
        <f aca="false">2*IF(связи1!$H$89=связи1!$A$2,1,0)*IF('Ввод данных'!$B$245=связи1!$A$2,1,0)</f>
        <v>2</v>
      </c>
      <c r="G299" s="1436" t="n">
        <f aca="false">C299*D299*E299*F299</f>
        <v>0</v>
      </c>
      <c r="H299" s="1436"/>
      <c r="I299" s="1436"/>
      <c r="J299" s="1436"/>
      <c r="K299" s="1344"/>
      <c r="L299" s="1344"/>
      <c r="M299" s="1344"/>
      <c r="N299" s="1344"/>
      <c r="O299" s="1344"/>
      <c r="P299" s="1707"/>
      <c r="Q299" s="1707"/>
      <c r="R299" s="1707"/>
      <c r="S299" s="1344"/>
      <c r="T299" s="1344"/>
      <c r="U299" s="1753"/>
      <c r="V299" s="1344"/>
      <c r="W299" s="1344"/>
      <c r="X299" s="1344"/>
      <c r="Y299" s="1707"/>
      <c r="Z299" s="1344"/>
      <c r="AA299" s="1344"/>
      <c r="AB299" s="1709"/>
      <c r="AC299" s="1709"/>
      <c r="AD299" s="1707"/>
    </row>
    <row r="300" customFormat="false" ht="15.75" hidden="true" customHeight="true" outlineLevel="1" collapsed="false">
      <c r="A300" s="1775" t="s">
        <v>3279</v>
      </c>
      <c r="B300" s="1683" t="s">
        <v>15</v>
      </c>
      <c r="C300" s="1692" t="n">
        <f aca="false">$C$143</f>
        <v>0.145</v>
      </c>
      <c r="D300" s="1436" t="n">
        <f aca="false">$D$143</f>
        <v>0.045</v>
      </c>
      <c r="E300" s="1604" t="n">
        <f aca="false">IF('Ввод данных'!$A$17=связи1!$A$97,IF(дома!E299&lt;'Ввод данных'!$C$14,0,дома!E299-дома!$L$138),0)+IF(E299=0,0,IF('Ввод данных'!$A$17=связи1!$A$94,IF(дома!E299&lt;0,0,дома!E299-дома!$L$138),0))</f>
        <v>0</v>
      </c>
      <c r="F300" s="1436" t="n">
        <f aca="false">2*IF(связи1!$H$89=связи1!$A$2,1,0)*IF('Ввод данных'!$B$245=связи1!$A$2,1,0)</f>
        <v>2</v>
      </c>
      <c r="G300" s="1436" t="n">
        <f aca="false">C300*D300*E300*F300</f>
        <v>0</v>
      </c>
      <c r="H300" s="1436"/>
      <c r="I300" s="1436"/>
      <c r="J300" s="1436"/>
      <c r="K300" s="1344"/>
      <c r="L300" s="1344"/>
      <c r="M300" s="1344"/>
      <c r="N300" s="1344"/>
      <c r="O300" s="1344"/>
      <c r="P300" s="1707"/>
      <c r="Q300" s="1707"/>
      <c r="R300" s="1707"/>
      <c r="S300" s="1344"/>
      <c r="T300" s="1344"/>
      <c r="U300" s="1753"/>
      <c r="V300" s="1344"/>
      <c r="W300" s="1344"/>
      <c r="X300" s="1344"/>
      <c r="Y300" s="1707"/>
      <c r="Z300" s="1344"/>
      <c r="AA300" s="1344"/>
      <c r="AB300" s="1709"/>
      <c r="AC300" s="1709"/>
      <c r="AD300" s="1707"/>
    </row>
    <row r="301" customFormat="false" ht="15.75" hidden="true" customHeight="true" outlineLevel="1" collapsed="false">
      <c r="A301" s="1775" t="s">
        <v>3280</v>
      </c>
      <c r="B301" s="1683" t="s">
        <v>15</v>
      </c>
      <c r="C301" s="1692" t="n">
        <f aca="false">$C$143</f>
        <v>0.145</v>
      </c>
      <c r="D301" s="1436" t="n">
        <f aca="false">$D$143</f>
        <v>0.045</v>
      </c>
      <c r="E301" s="1604" t="n">
        <f aca="false">IF('Ввод данных'!$A$17=связи1!$A$97,IF(дома!E300&lt;'Ввод данных'!$C$14,0,дома!E300-дома!$L$138),0)+IF(E300=0,0,IF('Ввод данных'!$A$17=связи1!$A$94,IF(дома!E300&lt;0,0,дома!E300-дома!$L$138),0))</f>
        <v>0</v>
      </c>
      <c r="F301" s="1436" t="n">
        <f aca="false">2*IF(связи1!$H$89=связи1!$A$2,1,0)*IF('Ввод данных'!$B$245=связи1!$A$2,1,0)</f>
        <v>2</v>
      </c>
      <c r="G301" s="1436" t="n">
        <f aca="false">C301*D301*E301*F301</f>
        <v>0</v>
      </c>
      <c r="H301" s="1436"/>
      <c r="I301" s="1436"/>
      <c r="J301" s="1436"/>
      <c r="K301" s="1344"/>
      <c r="L301" s="1344"/>
      <c r="M301" s="1344"/>
      <c r="N301" s="1344"/>
      <c r="O301" s="1344"/>
      <c r="P301" s="1707"/>
      <c r="Q301" s="1707"/>
      <c r="R301" s="1707"/>
      <c r="S301" s="1344"/>
      <c r="T301" s="1344"/>
      <c r="U301" s="1753"/>
      <c r="V301" s="1344"/>
      <c r="W301" s="1344"/>
      <c r="X301" s="1344"/>
      <c r="Y301" s="1707"/>
      <c r="Z301" s="1344"/>
      <c r="AA301" s="1344"/>
      <c r="AB301" s="1709"/>
      <c r="AC301" s="1709"/>
      <c r="AD301" s="1707"/>
    </row>
    <row r="302" customFormat="false" ht="15.75" hidden="true" customHeight="true" outlineLevel="1" collapsed="false">
      <c r="A302" s="1775" t="s">
        <v>3281</v>
      </c>
      <c r="B302" s="1683" t="s">
        <v>15</v>
      </c>
      <c r="C302" s="1692" t="n">
        <f aca="false">$C$143</f>
        <v>0.145</v>
      </c>
      <c r="D302" s="1436" t="n">
        <f aca="false">$D$143</f>
        <v>0.045</v>
      </c>
      <c r="E302" s="1604" t="n">
        <f aca="false">IF('Ввод данных'!$A$17=связи1!$A$97,IF(дома!E301&lt;'Ввод данных'!$C$14,0,дома!E301-дома!$L$138),0)+IF(E301=0,0,IF('Ввод данных'!$A$17=связи1!$A$94,IF(дома!E301&lt;0,0,дома!E301-дома!$L$138),0))</f>
        <v>0</v>
      </c>
      <c r="F302" s="1436" t="n">
        <f aca="false">2*IF(связи1!$H$89=связи1!$A$2,1,0)*IF('Ввод данных'!$B$245=связи1!$A$2,1,0)</f>
        <v>2</v>
      </c>
      <c r="G302" s="1436" t="n">
        <f aca="false">C302*D302*E302*F302</f>
        <v>0</v>
      </c>
      <c r="H302" s="1436"/>
      <c r="I302" s="1436"/>
      <c r="J302" s="1436"/>
      <c r="K302" s="1344"/>
      <c r="L302" s="1344"/>
      <c r="M302" s="1344"/>
      <c r="N302" s="1344"/>
      <c r="O302" s="1344"/>
      <c r="P302" s="1707"/>
      <c r="Q302" s="1707"/>
      <c r="R302" s="1707"/>
      <c r="S302" s="1344"/>
      <c r="T302" s="1344"/>
      <c r="U302" s="1753"/>
      <c r="V302" s="1344"/>
      <c r="W302" s="1344"/>
      <c r="X302" s="1344"/>
      <c r="Y302" s="1707"/>
      <c r="Z302" s="1344"/>
      <c r="AA302" s="1344"/>
      <c r="AB302" s="1709"/>
      <c r="AC302" s="1709"/>
      <c r="AD302" s="1707"/>
    </row>
    <row r="303" customFormat="false" ht="15.75" hidden="true" customHeight="true" outlineLevel="1" collapsed="false">
      <c r="A303" s="1775" t="s">
        <v>3282</v>
      </c>
      <c r="B303" s="1683" t="s">
        <v>15</v>
      </c>
      <c r="C303" s="1692" t="n">
        <f aca="false">$C$143</f>
        <v>0.145</v>
      </c>
      <c r="D303" s="1436" t="n">
        <f aca="false">$D$143</f>
        <v>0.045</v>
      </c>
      <c r="E303" s="1604" t="n">
        <f aca="false">IF('Ввод данных'!$A$17=связи1!$A$97,IF(дома!E302&lt;'Ввод данных'!$C$14,0,дома!E302-дома!$L$138),0)+IF(E302=0,0,IF('Ввод данных'!$A$17=связи1!$A$94,IF(дома!E302&lt;0,0,дома!E302-дома!$L$138),0))</f>
        <v>0</v>
      </c>
      <c r="F303" s="1436" t="n">
        <f aca="false">2*IF(связи1!$H$89=связи1!$A$2,1,0)*IF('Ввод данных'!$B$245=связи1!$A$2,1,0)</f>
        <v>2</v>
      </c>
      <c r="G303" s="1436" t="n">
        <f aca="false">C303*D303*E303*F303</f>
        <v>0</v>
      </c>
      <c r="H303" s="1436"/>
      <c r="I303" s="1436"/>
      <c r="J303" s="1436"/>
      <c r="K303" s="1344"/>
      <c r="L303" s="1344"/>
      <c r="M303" s="1344"/>
      <c r="N303" s="1344"/>
      <c r="O303" s="1344"/>
      <c r="P303" s="1707"/>
      <c r="Q303" s="1707"/>
      <c r="R303" s="1707"/>
      <c r="S303" s="1344"/>
      <c r="T303" s="1344"/>
      <c r="U303" s="1753"/>
      <c r="V303" s="1344"/>
      <c r="W303" s="1344"/>
      <c r="X303" s="1344"/>
      <c r="Y303" s="1707"/>
      <c r="Z303" s="1344"/>
      <c r="AA303" s="1344"/>
      <c r="AB303" s="1709"/>
      <c r="AC303" s="1709"/>
      <c r="AD303" s="1707"/>
    </row>
    <row r="304" customFormat="false" ht="15.75" hidden="true" customHeight="true" outlineLevel="1" collapsed="false">
      <c r="A304" s="1775" t="s">
        <v>3283</v>
      </c>
      <c r="B304" s="1683" t="s">
        <v>15</v>
      </c>
      <c r="C304" s="1692" t="n">
        <f aca="false">$C$143</f>
        <v>0.145</v>
      </c>
      <c r="D304" s="1436" t="n">
        <f aca="false">$D$143</f>
        <v>0.045</v>
      </c>
      <c r="E304" s="1604" t="n">
        <f aca="false">IF('Ввод данных'!$A$17=связи1!$A$97,IF(дома!E303&lt;'Ввод данных'!$C$14,0,дома!E303-дома!$L$138),0)+IF(E303=0,0,IF('Ввод данных'!$A$17=связи1!$A$94,IF(дома!E303&lt;0,0,дома!E303-дома!$L$138),0))</f>
        <v>0</v>
      </c>
      <c r="F304" s="1436" t="n">
        <f aca="false">2*IF(связи1!$H$89=связи1!$A$2,1,0)*IF('Ввод данных'!$B$245=связи1!$A$2,1,0)</f>
        <v>2</v>
      </c>
      <c r="G304" s="1436" t="n">
        <f aca="false">C304*D304*E304*F304</f>
        <v>0</v>
      </c>
      <c r="H304" s="1436"/>
      <c r="I304" s="1436"/>
      <c r="J304" s="1436"/>
      <c r="K304" s="1344"/>
      <c r="L304" s="1344"/>
      <c r="M304" s="1344"/>
      <c r="N304" s="1344"/>
      <c r="O304" s="1344"/>
      <c r="P304" s="1707"/>
      <c r="Q304" s="1707"/>
      <c r="R304" s="1707"/>
      <c r="S304" s="1344"/>
      <c r="T304" s="1344"/>
      <c r="U304" s="1753"/>
      <c r="V304" s="1344"/>
      <c r="W304" s="1344"/>
      <c r="X304" s="1344"/>
      <c r="Y304" s="1707"/>
      <c r="Z304" s="1344"/>
      <c r="AA304" s="1344"/>
      <c r="AB304" s="1709"/>
      <c r="AC304" s="1709"/>
      <c r="AD304" s="1707"/>
    </row>
    <row r="305" customFormat="false" ht="15.75" hidden="true" customHeight="true" outlineLevel="1" collapsed="false">
      <c r="A305" s="1775" t="s">
        <v>3284</v>
      </c>
      <c r="B305" s="1683" t="s">
        <v>15</v>
      </c>
      <c r="C305" s="1692" t="n">
        <f aca="false">$C$143</f>
        <v>0.145</v>
      </c>
      <c r="D305" s="1436" t="n">
        <f aca="false">$D$143</f>
        <v>0.045</v>
      </c>
      <c r="E305" s="1604" t="n">
        <f aca="false">IF('Ввод данных'!$A$17=связи1!$A$97,IF(дома!E304&lt;'Ввод данных'!$C$14,0,дома!E304-дома!$L$138),0)+IF(E304=0,0,IF('Ввод данных'!$A$17=связи1!$A$94,IF(дома!E304&lt;0,0,дома!E304-дома!$L$138),0))</f>
        <v>0</v>
      </c>
      <c r="F305" s="1436" t="n">
        <f aca="false">2*IF(связи1!$H$89=связи1!$A$2,1,0)*IF('Ввод данных'!$B$245=связи1!$A$2,1,0)</f>
        <v>2</v>
      </c>
      <c r="G305" s="1436" t="n">
        <f aca="false">C305*D305*E305*F305</f>
        <v>0</v>
      </c>
      <c r="H305" s="1436"/>
      <c r="I305" s="1436"/>
      <c r="J305" s="1436"/>
      <c r="K305" s="1344"/>
      <c r="L305" s="1344"/>
      <c r="M305" s="1344"/>
      <c r="N305" s="1344"/>
      <c r="O305" s="1344"/>
      <c r="P305" s="1707"/>
      <c r="Q305" s="1707"/>
      <c r="R305" s="1707"/>
      <c r="S305" s="1344"/>
      <c r="T305" s="1344"/>
      <c r="U305" s="1753"/>
      <c r="V305" s="1344"/>
      <c r="W305" s="1344"/>
      <c r="X305" s="1344"/>
      <c r="Y305" s="1707"/>
      <c r="Z305" s="1344"/>
      <c r="AA305" s="1344"/>
      <c r="AB305" s="1709"/>
      <c r="AC305" s="1709"/>
      <c r="AD305" s="1707"/>
    </row>
    <row r="306" customFormat="false" ht="15.75" hidden="true" customHeight="true" outlineLevel="1" collapsed="false">
      <c r="A306" s="1774" t="s">
        <v>3237</v>
      </c>
      <c r="B306" s="1683" t="s">
        <v>15</v>
      </c>
      <c r="C306" s="1692" t="n">
        <f aca="false">$C$143</f>
        <v>0.145</v>
      </c>
      <c r="D306" s="1436" t="n">
        <f aca="false">$D$143</f>
        <v>0.045</v>
      </c>
      <c r="E306" s="1604" t="n">
        <f aca="false">IF('Ввод данных'!A17=связи1!A97,(C124+C127+C128+C129)*1.1,0)+IF('Ввод данных'!A17=связи1!A94,(дома!C124+дома!C127+дома!C128+дома!C129+дома!C128+дома!C129)*1.1,0)</f>
        <v>0</v>
      </c>
      <c r="F306" s="1436" t="n">
        <f aca="false">1*IF(связи1!$H$89=связи1!$A$2,1,0)*IF('Ввод данных'!$C$245=связи1!$A$2,1,0)</f>
        <v>0</v>
      </c>
      <c r="G306" s="1436" t="n">
        <f aca="false">C306*D306*E306*F306</f>
        <v>0</v>
      </c>
      <c r="H306" s="1436"/>
      <c r="I306" s="1436"/>
      <c r="J306" s="1436"/>
      <c r="K306" s="1344"/>
      <c r="L306" s="1344"/>
      <c r="M306" s="1344"/>
      <c r="N306" s="1344"/>
      <c r="O306" s="1344"/>
      <c r="P306" s="1707"/>
      <c r="Q306" s="1707"/>
      <c r="R306" s="1707"/>
      <c r="S306" s="1344"/>
      <c r="T306" s="1344"/>
      <c r="U306" s="1753"/>
      <c r="V306" s="1344"/>
      <c r="W306" s="1344"/>
      <c r="X306" s="1344"/>
      <c r="Y306" s="1707"/>
      <c r="Z306" s="1344"/>
      <c r="AA306" s="1344"/>
      <c r="AB306" s="1709"/>
      <c r="AC306" s="1709"/>
      <c r="AD306" s="1707"/>
    </row>
    <row r="307" customFormat="false" ht="15.75" hidden="true" customHeight="true" outlineLevel="1" collapsed="false">
      <c r="A307" s="1774" t="s">
        <v>3238</v>
      </c>
      <c r="B307" s="1683" t="s">
        <v>15</v>
      </c>
      <c r="C307" s="1692" t="n">
        <f aca="false">$C$143</f>
        <v>0.145</v>
      </c>
      <c r="D307" s="1436" t="n">
        <f aca="false">$D$143</f>
        <v>0.045</v>
      </c>
      <c r="E307" s="1604" t="n">
        <f aca="false">IF('Ввод данных'!A17=связи1!A97,(C128+C129+L134*2)*1.1,0)+IF('Ввод данных'!A17=связи1!A94,(C124+C127+C128+C129+C128+L134*2)*1.1,0)</f>
        <v>0</v>
      </c>
      <c r="F307" s="1436" t="n">
        <f aca="false">1*IF(связи1!$H$89=связи1!$A$2,1,0)*IF('Ввод данных'!$C$245=связи1!$A$2,1,0)</f>
        <v>0</v>
      </c>
      <c r="G307" s="1436" t="n">
        <f aca="false">C307*D307*E307*F307</f>
        <v>0</v>
      </c>
      <c r="H307" s="1436"/>
      <c r="I307" s="1436"/>
      <c r="J307" s="1436"/>
      <c r="K307" s="1344"/>
      <c r="L307" s="1344"/>
      <c r="M307" s="1344"/>
      <c r="N307" s="1344"/>
      <c r="O307" s="1344"/>
      <c r="P307" s="1707"/>
      <c r="Q307" s="1707"/>
      <c r="R307" s="1707"/>
      <c r="S307" s="1344"/>
      <c r="T307" s="1344"/>
      <c r="U307" s="1753"/>
      <c r="V307" s="1344"/>
      <c r="W307" s="1344"/>
      <c r="X307" s="1344"/>
      <c r="Y307" s="1707"/>
      <c r="Z307" s="1344"/>
      <c r="AA307" s="1344"/>
      <c r="AB307" s="1709"/>
      <c r="AC307" s="1709"/>
      <c r="AD307" s="1707"/>
    </row>
    <row r="308" customFormat="false" ht="15.75" hidden="true" customHeight="true" outlineLevel="1" collapsed="false">
      <c r="A308" s="1774" t="s">
        <v>3239</v>
      </c>
      <c r="B308" s="1683" t="s">
        <v>15</v>
      </c>
      <c r="C308" s="1692" t="n">
        <f aca="false">$C$143</f>
        <v>0.145</v>
      </c>
      <c r="D308" s="1436" t="n">
        <f aca="false">$D$143</f>
        <v>0.045</v>
      </c>
      <c r="E308" s="1604" t="n">
        <f aca="false">IF('Ввод данных'!A17=связи1!A97,(C128+C129+L134*2)*1.1,0)+IF('Ввод данных'!A17=связи1!A94,(C124+C127+C128+C129+C128+L134*2)*1.1,0)</f>
        <v>0</v>
      </c>
      <c r="F308" s="1436" t="n">
        <f aca="false">1*IF(связи1!$H$89=связи1!$A$2,1,0)*IF('Ввод данных'!$C$245=связи1!$A$2,1,0)</f>
        <v>0</v>
      </c>
      <c r="G308" s="1436" t="n">
        <f aca="false">C308*D308*E308*F308</f>
        <v>0</v>
      </c>
      <c r="H308" s="1436"/>
      <c r="I308" s="1436"/>
      <c r="J308" s="1436"/>
      <c r="K308" s="1344"/>
      <c r="L308" s="1344"/>
      <c r="M308" s="1344"/>
      <c r="N308" s="1344"/>
      <c r="O308" s="1344"/>
      <c r="P308" s="1707"/>
      <c r="Q308" s="1707"/>
      <c r="R308" s="1707"/>
      <c r="S308" s="1344"/>
      <c r="T308" s="1344"/>
      <c r="U308" s="1753"/>
      <c r="V308" s="1344"/>
      <c r="W308" s="1344"/>
      <c r="X308" s="1344"/>
      <c r="Y308" s="1707"/>
      <c r="Z308" s="1344"/>
      <c r="AA308" s="1344"/>
      <c r="AB308" s="1709"/>
      <c r="AC308" s="1709"/>
      <c r="AD308" s="1707"/>
    </row>
    <row r="309" customFormat="false" ht="15.75" hidden="true" customHeight="true" outlineLevel="1" collapsed="false">
      <c r="A309" s="1770" t="s">
        <v>3285</v>
      </c>
      <c r="B309" s="1683" t="s">
        <v>15</v>
      </c>
      <c r="C309" s="1692" t="n">
        <f aca="false">$C$143</f>
        <v>0.145</v>
      </c>
      <c r="D309" s="1436" t="n">
        <f aca="false">$D$143</f>
        <v>0.045</v>
      </c>
      <c r="E309" s="1604" t="n">
        <f aca="false">IF('Ввод данных'!A17=связи1!A97,'Ввод данных'!C14,0)+IF('Ввод данных'!A17=связи1!A94,'Ввод данных'!C11,0)</f>
        <v>0</v>
      </c>
      <c r="F309" s="1436" t="n">
        <f aca="false">CEILING(C128/G128+1,1)*IF(связи1!$H$89=связи1!$A$2,1,0)*IF('Ввод данных'!$C$245=связи1!$A$2,1,0)</f>
        <v>0</v>
      </c>
      <c r="G309" s="1436" t="n">
        <f aca="false">C309*D309*E309*F309</f>
        <v>0</v>
      </c>
      <c r="H309" s="1436"/>
      <c r="I309" s="1436"/>
      <c r="J309" s="1436"/>
      <c r="K309" s="1344"/>
      <c r="L309" s="1344"/>
      <c r="M309" s="1344"/>
      <c r="N309" s="1344"/>
      <c r="O309" s="1344"/>
      <c r="P309" s="1707"/>
      <c r="Q309" s="1707"/>
      <c r="R309" s="1707"/>
      <c r="S309" s="1344"/>
      <c r="T309" s="1344"/>
      <c r="U309" s="1753"/>
      <c r="V309" s="1344"/>
      <c r="W309" s="1344"/>
      <c r="X309" s="1344"/>
      <c r="Y309" s="1707"/>
      <c r="Z309" s="1344"/>
      <c r="AA309" s="1344"/>
      <c r="AB309" s="1709"/>
      <c r="AC309" s="1709"/>
      <c r="AD309" s="1707"/>
    </row>
    <row r="310" customFormat="false" ht="15.75" hidden="true" customHeight="true" outlineLevel="1" collapsed="false">
      <c r="A310" s="1770" t="s">
        <v>3286</v>
      </c>
      <c r="B310" s="1683" t="s">
        <v>15</v>
      </c>
      <c r="C310" s="1692" t="n">
        <f aca="false">$C$143</f>
        <v>0.145</v>
      </c>
      <c r="D310" s="1436" t="n">
        <f aca="false">$D$143</f>
        <v>0.045</v>
      </c>
      <c r="E310" s="1604" t="n">
        <f aca="false">IF('Ввод данных'!A17=связи1!A94,'Ввод данных'!C11,0)+IF('Ввод данных'!A17=связи1!A95,'Ввод данных'!C11,0)+IF('Ввод данных'!A17=связи1!A96,'Ввод данных'!C11,0)+IF('Ввод данных'!A17=связи1!A98,'Ввод данных'!C11,0)+IF('Ввод данных'!A17=связи1!A97,'Ввод данных'!C14,0)</f>
        <v>2.8</v>
      </c>
      <c r="F310" s="1436" t="n">
        <f aca="false">CEILING(C128/G128+1,1)*IF(связи1!$H$89=связи1!$A$2,1,0)*IF('Ввод данных'!$C$245=связи1!$A$2,1,0)</f>
        <v>0</v>
      </c>
      <c r="G310" s="1436" t="n">
        <f aca="false">C310*D310*E310*F310</f>
        <v>0</v>
      </c>
      <c r="H310" s="1436"/>
      <c r="I310" s="1436"/>
      <c r="J310" s="1436"/>
      <c r="K310" s="1344"/>
      <c r="L310" s="1344"/>
      <c r="M310" s="1344"/>
      <c r="N310" s="1344"/>
      <c r="O310" s="1344"/>
      <c r="P310" s="1707"/>
      <c r="Q310" s="1707"/>
      <c r="R310" s="1707"/>
      <c r="S310" s="1344"/>
      <c r="T310" s="1344"/>
      <c r="U310" s="1753"/>
      <c r="V310" s="1344"/>
      <c r="W310" s="1344"/>
      <c r="X310" s="1344"/>
      <c r="Y310" s="1707"/>
      <c r="Z310" s="1344"/>
      <c r="AA310" s="1344"/>
      <c r="AB310" s="1709"/>
      <c r="AC310" s="1709"/>
      <c r="AD310" s="1707"/>
    </row>
    <row r="311" customFormat="false" ht="15.75" hidden="true" customHeight="true" outlineLevel="1" collapsed="false">
      <c r="A311" s="1770" t="s">
        <v>3287</v>
      </c>
      <c r="B311" s="1683" t="s">
        <v>15</v>
      </c>
      <c r="C311" s="1692" t="n">
        <f aca="false">$C$143</f>
        <v>0.145</v>
      </c>
      <c r="D311" s="1436" t="n">
        <f aca="false">$D$143</f>
        <v>0.045</v>
      </c>
      <c r="E311" s="1604" t="n">
        <f aca="false">IF('Ввод данных'!A17=связи1!A97,'Ввод данных'!C13,0)+IF('Ввод данных'!A17=связи1!A94,'Ввод данных'!C11,0)</f>
        <v>0</v>
      </c>
      <c r="F311" s="1436" t="n">
        <f aca="false">IF('Ввод данных'!A17=связи1!A94,CEILING(дома!C124/дома!G124+1,1),0)*IF(связи1!$H$89=связи1!$A$2,1,0)*IF('Ввод данных'!$C$245=связи1!$A$2,1,0)</f>
        <v>0</v>
      </c>
      <c r="G311" s="1436" t="n">
        <f aca="false">C311*D311*E311*F311</f>
        <v>0</v>
      </c>
      <c r="H311" s="1436"/>
      <c r="I311" s="1436"/>
      <c r="J311" s="1436"/>
      <c r="K311" s="1344"/>
      <c r="L311" s="1344"/>
      <c r="M311" s="1344"/>
      <c r="N311" s="1344"/>
      <c r="O311" s="1344"/>
      <c r="P311" s="1707"/>
      <c r="Q311" s="1707"/>
      <c r="R311" s="1707"/>
      <c r="S311" s="1344"/>
      <c r="T311" s="1344"/>
      <c r="U311" s="1753"/>
      <c r="V311" s="1344"/>
      <c r="W311" s="1344"/>
      <c r="X311" s="1344"/>
      <c r="Y311" s="1707"/>
      <c r="Z311" s="1344"/>
      <c r="AA311" s="1344"/>
      <c r="AB311" s="1709"/>
      <c r="AC311" s="1709"/>
      <c r="AD311" s="1707"/>
    </row>
    <row r="312" customFormat="false" ht="15.75" hidden="true" customHeight="true" outlineLevel="1" collapsed="false">
      <c r="A312" s="1774" t="s">
        <v>3243</v>
      </c>
      <c r="B312" s="1683" t="s">
        <v>15</v>
      </c>
      <c r="C312" s="1692" t="n">
        <f aca="false">$C$143</f>
        <v>0.145</v>
      </c>
      <c r="D312" s="1436" t="n">
        <f aca="false">$D$143</f>
        <v>0.045</v>
      </c>
      <c r="E312" s="1604" t="n">
        <f aca="false">IF('Ввод данных'!A17=связи1!A97,'Ввод данных'!C13,0)+IF('Ввод данных'!A17=связи1!A94,'Ввод данных'!C13-'Ввод данных'!C11,0)</f>
        <v>0</v>
      </c>
      <c r="F312" s="1436" t="n">
        <f aca="false">2*IF(связи1!$H$89=связи1!$A$2,1,0)*IF('Ввод данных'!$C$245=связи1!$A$2,1,0)</f>
        <v>0</v>
      </c>
      <c r="G312" s="1436" t="n">
        <f aca="false">C312*D312*E312*F312</f>
        <v>0</v>
      </c>
      <c r="H312" s="1436"/>
      <c r="I312" s="1436"/>
      <c r="J312" s="1436"/>
      <c r="K312" s="1344"/>
      <c r="L312" s="1344"/>
      <c r="M312" s="1344"/>
      <c r="N312" s="1344"/>
      <c r="O312" s="1344"/>
      <c r="P312" s="1707"/>
      <c r="Q312" s="1707"/>
      <c r="R312" s="1707"/>
      <c r="S312" s="1344"/>
      <c r="T312" s="1344"/>
      <c r="U312" s="1753"/>
      <c r="V312" s="1344"/>
      <c r="W312" s="1344"/>
      <c r="X312" s="1344"/>
      <c r="Y312" s="1707"/>
      <c r="Z312" s="1344"/>
      <c r="AA312" s="1344"/>
      <c r="AB312" s="1709"/>
      <c r="AC312" s="1709"/>
      <c r="AD312" s="1707"/>
    </row>
    <row r="313" customFormat="false" ht="15.75" hidden="true" customHeight="true" outlineLevel="1" collapsed="false">
      <c r="A313" s="1774" t="s">
        <v>3244</v>
      </c>
      <c r="B313" s="1683" t="s">
        <v>15</v>
      </c>
      <c r="C313" s="1692" t="n">
        <f aca="false">$C$143</f>
        <v>0.145</v>
      </c>
      <c r="D313" s="1436" t="n">
        <f aca="false">$D$143</f>
        <v>0.045</v>
      </c>
      <c r="E313" s="1604" t="n">
        <f aca="false">IF('Ввод данных'!$A$17=связи1!$A$97,IF(дома!E312&lt;'Ввод данных'!$C$14,0,дома!E312-дома!$L$139),0)+IF(дома!E312=0,0,IF('Ввод данных'!$A$17=связи1!$A$94,IF(дома!E312&lt;0,0,дома!E312-дома!$L$139),0))</f>
        <v>0</v>
      </c>
      <c r="F313" s="1436" t="n">
        <f aca="false">2*IF(связи1!$H$89=связи1!$A$2,1,0)*IF('Ввод данных'!$C$245=связи1!$A$2,1,0)</f>
        <v>0</v>
      </c>
      <c r="G313" s="1436" t="n">
        <f aca="false">C313*D313*E313*F313</f>
        <v>0</v>
      </c>
      <c r="H313" s="1436"/>
      <c r="I313" s="1436"/>
      <c r="J313" s="1436"/>
      <c r="K313" s="1344"/>
      <c r="L313" s="1344"/>
      <c r="M313" s="1344"/>
      <c r="N313" s="1344"/>
      <c r="O313" s="1344"/>
      <c r="P313" s="1707"/>
      <c r="Q313" s="1707"/>
      <c r="R313" s="1707"/>
      <c r="S313" s="1344"/>
      <c r="T313" s="1344"/>
      <c r="U313" s="1753"/>
      <c r="V313" s="1344"/>
      <c r="W313" s="1344"/>
      <c r="X313" s="1344"/>
      <c r="Y313" s="1707"/>
      <c r="Z313" s="1344"/>
      <c r="AA313" s="1344"/>
      <c r="AB313" s="1709"/>
      <c r="AC313" s="1709"/>
      <c r="AD313" s="1707"/>
    </row>
    <row r="314" customFormat="false" ht="15.75" hidden="true" customHeight="true" outlineLevel="1" collapsed="false">
      <c r="A314" s="1774" t="s">
        <v>3245</v>
      </c>
      <c r="B314" s="1683" t="s">
        <v>15</v>
      </c>
      <c r="C314" s="1692" t="n">
        <f aca="false">$C$143</f>
        <v>0.145</v>
      </c>
      <c r="D314" s="1436" t="n">
        <f aca="false">$D$143</f>
        <v>0.045</v>
      </c>
      <c r="E314" s="1604" t="n">
        <f aca="false">IF('Ввод данных'!$A$17=связи1!$A$97,IF(дома!E313&lt;'Ввод данных'!$C$14,0,дома!E313-дома!$L$139),0)+IF(дома!E313=0,0,IF('Ввод данных'!$A$17=связи1!$A$94,IF(дома!E313&lt;0,0,дома!E313-дома!$L$139),0))</f>
        <v>0</v>
      </c>
      <c r="F314" s="1436" t="n">
        <f aca="false">2*IF(связи1!$H$89=связи1!$A$2,1,0)*IF('Ввод данных'!$C$245=связи1!$A$2,1,0)</f>
        <v>0</v>
      </c>
      <c r="G314" s="1436" t="n">
        <f aca="false">C314*D314*E314*F314</f>
        <v>0</v>
      </c>
      <c r="H314" s="1436"/>
      <c r="I314" s="1436"/>
      <c r="J314" s="1436"/>
      <c r="K314" s="1344"/>
      <c r="L314" s="1344"/>
      <c r="M314" s="1344"/>
      <c r="N314" s="1344"/>
      <c r="O314" s="1344"/>
      <c r="P314" s="1707"/>
      <c r="Q314" s="1707"/>
      <c r="R314" s="1707"/>
      <c r="S314" s="1344"/>
      <c r="T314" s="1344"/>
      <c r="U314" s="1753"/>
      <c r="V314" s="1344"/>
      <c r="W314" s="1344"/>
      <c r="X314" s="1344"/>
      <c r="Y314" s="1707"/>
      <c r="Z314" s="1344"/>
      <c r="AA314" s="1344"/>
      <c r="AB314" s="1709"/>
      <c r="AC314" s="1709"/>
      <c r="AD314" s="1707"/>
    </row>
    <row r="315" customFormat="false" ht="15.75" hidden="true" customHeight="true" outlineLevel="1" collapsed="false">
      <c r="A315" s="1774" t="s">
        <v>3246</v>
      </c>
      <c r="B315" s="1683" t="s">
        <v>15</v>
      </c>
      <c r="C315" s="1692" t="n">
        <f aca="false">$C$143</f>
        <v>0.145</v>
      </c>
      <c r="D315" s="1436" t="n">
        <f aca="false">$D$143</f>
        <v>0.045</v>
      </c>
      <c r="E315" s="1604" t="n">
        <f aca="false">IF('Ввод данных'!$A$17=связи1!$A$97,IF(дома!E314&lt;'Ввод данных'!$C$14,0,дома!E314-дома!$L$139),0)+IF(дома!E314=0,0,IF('Ввод данных'!$A$17=связи1!$A$94,IF(дома!E314&lt;0,0,дома!E314-дома!$L$139),0))</f>
        <v>0</v>
      </c>
      <c r="F315" s="1436" t="n">
        <f aca="false">2*IF(связи1!$H$89=связи1!$A$2,1,0)*IF('Ввод данных'!$C$245=связи1!$A$2,1,0)</f>
        <v>0</v>
      </c>
      <c r="G315" s="1436" t="n">
        <f aca="false">C315*D315*E315*F315</f>
        <v>0</v>
      </c>
      <c r="H315" s="1436"/>
      <c r="I315" s="1436"/>
      <c r="J315" s="1436"/>
      <c r="K315" s="1344"/>
      <c r="L315" s="1344"/>
      <c r="M315" s="1344"/>
      <c r="N315" s="1344"/>
      <c r="O315" s="1344"/>
      <c r="P315" s="1707"/>
      <c r="Q315" s="1707"/>
      <c r="R315" s="1707"/>
      <c r="S315" s="1344"/>
      <c r="T315" s="1344"/>
      <c r="U315" s="1753"/>
      <c r="V315" s="1344"/>
      <c r="W315" s="1344"/>
      <c r="X315" s="1344"/>
      <c r="Y315" s="1707"/>
      <c r="Z315" s="1344"/>
      <c r="AA315" s="1344"/>
      <c r="AB315" s="1709"/>
      <c r="AC315" s="1709"/>
      <c r="AD315" s="1707"/>
    </row>
    <row r="316" customFormat="false" ht="15.75" hidden="true" customHeight="true" outlineLevel="1" collapsed="false">
      <c r="A316" s="1774" t="s">
        <v>3247</v>
      </c>
      <c r="B316" s="1683" t="s">
        <v>15</v>
      </c>
      <c r="C316" s="1692" t="n">
        <f aca="false">$C$143</f>
        <v>0.145</v>
      </c>
      <c r="D316" s="1436" t="n">
        <f aca="false">$D$143</f>
        <v>0.045</v>
      </c>
      <c r="E316" s="1604" t="n">
        <f aca="false">IF('Ввод данных'!$A$17=связи1!$A$97,IF(дома!E315&lt;'Ввод данных'!$C$14,0,дома!E315-дома!$L$139),0)+IF(дома!E315=0,0,IF('Ввод данных'!$A$17=связи1!$A$94,IF(дома!E315&lt;0,0,дома!E315-дома!$L$139),0))</f>
        <v>0</v>
      </c>
      <c r="F316" s="1436" t="n">
        <f aca="false">2*IF(связи1!$H$89=связи1!$A$2,1,0)*IF('Ввод данных'!$C$245=связи1!$A$2,1,0)</f>
        <v>0</v>
      </c>
      <c r="G316" s="1436" t="n">
        <f aca="false">C316*D316*E316*F316</f>
        <v>0</v>
      </c>
      <c r="H316" s="1436"/>
      <c r="I316" s="1436"/>
      <c r="J316" s="1436"/>
      <c r="K316" s="1344"/>
      <c r="L316" s="1344"/>
      <c r="M316" s="1344"/>
      <c r="N316" s="1344"/>
      <c r="O316" s="1344"/>
      <c r="P316" s="1707"/>
      <c r="Q316" s="1707"/>
      <c r="R316" s="1707"/>
      <c r="S316" s="1344"/>
      <c r="T316" s="1344"/>
      <c r="U316" s="1753"/>
      <c r="V316" s="1344"/>
      <c r="W316" s="1344"/>
      <c r="X316" s="1344"/>
      <c r="Y316" s="1707"/>
      <c r="Z316" s="1344"/>
      <c r="AA316" s="1344"/>
      <c r="AB316" s="1709"/>
      <c r="AC316" s="1709"/>
      <c r="AD316" s="1707"/>
    </row>
    <row r="317" customFormat="false" ht="15.75" hidden="true" customHeight="true" outlineLevel="1" collapsed="false">
      <c r="A317" s="1774" t="s">
        <v>3248</v>
      </c>
      <c r="B317" s="1683" t="s">
        <v>15</v>
      </c>
      <c r="C317" s="1692" t="n">
        <f aca="false">$C$143</f>
        <v>0.145</v>
      </c>
      <c r="D317" s="1436" t="n">
        <f aca="false">$D$143</f>
        <v>0.045</v>
      </c>
      <c r="E317" s="1604" t="n">
        <f aca="false">IF('Ввод данных'!$A$17=связи1!$A$97,IF(дома!E316&lt;'Ввод данных'!$C$14,0,дома!E316-дома!$L$139),0)+IF(дома!E316=0,0,IF('Ввод данных'!$A$17=связи1!$A$94,IF(дома!E316&lt;0,0,дома!E316-дома!$L$139),0))</f>
        <v>0</v>
      </c>
      <c r="F317" s="1436" t="n">
        <f aca="false">2*IF(связи1!$H$89=связи1!$A$2,1,0)*IF('Ввод данных'!$C$245=связи1!$A$2,1,0)</f>
        <v>0</v>
      </c>
      <c r="G317" s="1436" t="n">
        <f aca="false">C317*D317*E317*F317</f>
        <v>0</v>
      </c>
      <c r="H317" s="1436"/>
      <c r="I317" s="1436"/>
      <c r="J317" s="1436"/>
      <c r="K317" s="1344"/>
      <c r="L317" s="1344"/>
      <c r="M317" s="1344"/>
      <c r="N317" s="1344"/>
      <c r="O317" s="1344"/>
      <c r="P317" s="1707"/>
      <c r="Q317" s="1707"/>
      <c r="R317" s="1707"/>
      <c r="S317" s="1344"/>
      <c r="T317" s="1344"/>
      <c r="U317" s="1753"/>
      <c r="V317" s="1344"/>
      <c r="W317" s="1344"/>
      <c r="X317" s="1344"/>
      <c r="Y317" s="1707"/>
      <c r="Z317" s="1344"/>
      <c r="AA317" s="1344"/>
      <c r="AB317" s="1709"/>
      <c r="AC317" s="1709"/>
      <c r="AD317" s="1707"/>
    </row>
    <row r="318" customFormat="false" ht="15.75" hidden="true" customHeight="true" outlineLevel="1" collapsed="false">
      <c r="A318" s="1774" t="s">
        <v>3249</v>
      </c>
      <c r="B318" s="1683" t="s">
        <v>15</v>
      </c>
      <c r="C318" s="1692" t="n">
        <f aca="false">$C$143</f>
        <v>0.145</v>
      </c>
      <c r="D318" s="1436" t="n">
        <f aca="false">$D$143</f>
        <v>0.045</v>
      </c>
      <c r="E318" s="1604" t="n">
        <f aca="false">IF('Ввод данных'!$A$17=связи1!$A$97,IF(дома!E317&lt;'Ввод данных'!$C$14,0,дома!E317-дома!$L$139),0)+IF(дома!E317=0,0,IF('Ввод данных'!$A$17=связи1!$A$94,IF(дома!E317&lt;0,0,дома!E317-дома!$L$139),0))</f>
        <v>0</v>
      </c>
      <c r="F318" s="1436" t="n">
        <f aca="false">2*IF(связи1!$H$89=связи1!$A$2,1,0)*IF('Ввод данных'!$C$245=связи1!$A$2,1,0)</f>
        <v>0</v>
      </c>
      <c r="G318" s="1436" t="n">
        <f aca="false">C318*D318*E318*F318</f>
        <v>0</v>
      </c>
      <c r="H318" s="1436"/>
      <c r="I318" s="1436"/>
      <c r="J318" s="1436"/>
      <c r="K318" s="1344"/>
      <c r="L318" s="1344"/>
      <c r="M318" s="1344"/>
      <c r="N318" s="1344"/>
      <c r="O318" s="1344"/>
      <c r="P318" s="1707"/>
      <c r="Q318" s="1707"/>
      <c r="R318" s="1707"/>
      <c r="S318" s="1344"/>
      <c r="T318" s="1344"/>
      <c r="U318" s="1753"/>
      <c r="V318" s="1344"/>
      <c r="W318" s="1344"/>
      <c r="X318" s="1344"/>
      <c r="Y318" s="1707"/>
      <c r="Z318" s="1344"/>
      <c r="AA318" s="1344"/>
      <c r="AB318" s="1709"/>
      <c r="AC318" s="1709"/>
      <c r="AD318" s="1707"/>
    </row>
    <row r="319" customFormat="false" ht="15.75" hidden="true" customHeight="true" outlineLevel="1" collapsed="false">
      <c r="A319" s="1774" t="s">
        <v>3250</v>
      </c>
      <c r="B319" s="1683" t="s">
        <v>15</v>
      </c>
      <c r="C319" s="1692" t="n">
        <f aca="false">$C$143</f>
        <v>0.145</v>
      </c>
      <c r="D319" s="1436" t="n">
        <f aca="false">$D$143</f>
        <v>0.045</v>
      </c>
      <c r="E319" s="1604" t="n">
        <f aca="false">IF('Ввод данных'!$A$17=связи1!$A$97,IF(дома!E318&lt;'Ввод данных'!$C$14,0,дома!E318-дома!$L$139),0)+IF(дома!E318=0,0,IF('Ввод данных'!$A$17=связи1!$A$94,IF(дома!E318&lt;0,0,дома!E318-дома!$L$139),0))</f>
        <v>0</v>
      </c>
      <c r="F319" s="1436" t="n">
        <f aca="false">2*IF(связи1!$H$89=связи1!$A$2,1,0)*IF('Ввод данных'!$C$245=связи1!$A$2,1,0)</f>
        <v>0</v>
      </c>
      <c r="G319" s="1436" t="n">
        <f aca="false">C319*D319*E319*F319</f>
        <v>0</v>
      </c>
      <c r="H319" s="1436"/>
      <c r="I319" s="1436"/>
      <c r="J319" s="1436"/>
      <c r="K319" s="1344"/>
      <c r="L319" s="1344"/>
      <c r="M319" s="1344"/>
      <c r="N319" s="1344"/>
      <c r="O319" s="1344"/>
      <c r="P319" s="1707"/>
      <c r="Q319" s="1707"/>
      <c r="R319" s="1707"/>
      <c r="S319" s="1344"/>
      <c r="T319" s="1344"/>
      <c r="U319" s="1753"/>
      <c r="V319" s="1344"/>
      <c r="W319" s="1344"/>
      <c r="X319" s="1344"/>
      <c r="Y319" s="1707"/>
      <c r="Z319" s="1344"/>
      <c r="AA319" s="1344"/>
      <c r="AB319" s="1709"/>
      <c r="AC319" s="1709"/>
      <c r="AD319" s="1707"/>
    </row>
    <row r="320" customFormat="false" ht="15.75" hidden="true" customHeight="true" outlineLevel="1" collapsed="false">
      <c r="A320" s="1774" t="s">
        <v>3251</v>
      </c>
      <c r="B320" s="1683" t="s">
        <v>15</v>
      </c>
      <c r="C320" s="1692" t="n">
        <f aca="false">$C$143</f>
        <v>0.145</v>
      </c>
      <c r="D320" s="1436" t="n">
        <f aca="false">$D$143</f>
        <v>0.045</v>
      </c>
      <c r="E320" s="1604" t="n">
        <f aca="false">IF('Ввод данных'!$A$17=связи1!$A$97,IF(дома!E319&lt;'Ввод данных'!$C$14,0,дома!E319-дома!$L$139),0)+IF(дома!E319=0,0,IF('Ввод данных'!$A$17=связи1!$A$94,IF(дома!E319&lt;0,0,дома!E319-дома!$L$139),0))</f>
        <v>0</v>
      </c>
      <c r="F320" s="1436" t="n">
        <f aca="false">2*IF(связи1!$H$89=связи1!$A$2,1,0)*IF('Ввод данных'!$C$245=связи1!$A$2,1,0)</f>
        <v>0</v>
      </c>
      <c r="G320" s="1436" t="n">
        <f aca="false">C320*D320*E320*F320</f>
        <v>0</v>
      </c>
      <c r="H320" s="1436"/>
      <c r="I320" s="1436"/>
      <c r="J320" s="1436"/>
      <c r="K320" s="1344"/>
      <c r="L320" s="1344"/>
      <c r="M320" s="1344"/>
      <c r="N320" s="1344"/>
      <c r="O320" s="1344"/>
      <c r="P320" s="1707"/>
      <c r="Q320" s="1707"/>
      <c r="R320" s="1707"/>
      <c r="S320" s="1344"/>
      <c r="T320" s="1344"/>
      <c r="U320" s="1753"/>
      <c r="V320" s="1344"/>
      <c r="W320" s="1344"/>
      <c r="X320" s="1344"/>
      <c r="Y320" s="1707"/>
      <c r="Z320" s="1344"/>
      <c r="AA320" s="1344"/>
      <c r="AB320" s="1709"/>
      <c r="AC320" s="1709"/>
      <c r="AD320" s="1707"/>
    </row>
    <row r="321" customFormat="false" ht="15.75" hidden="true" customHeight="true" outlineLevel="1" collapsed="false">
      <c r="A321" s="1774" t="s">
        <v>3252</v>
      </c>
      <c r="B321" s="1683" t="s">
        <v>15</v>
      </c>
      <c r="C321" s="1692" t="n">
        <f aca="false">$C$143</f>
        <v>0.145</v>
      </c>
      <c r="D321" s="1436" t="n">
        <f aca="false">$D$143</f>
        <v>0.045</v>
      </c>
      <c r="E321" s="1604" t="n">
        <f aca="false">IF('Ввод данных'!$A$17=связи1!$A$97,IF(дома!E320&lt;'Ввод данных'!$C$14,0,дома!E320-дома!$L$139),0)+IF(дома!E320=0,0,IF('Ввод данных'!$A$17=связи1!$A$94,IF(дома!E320&lt;0,0,дома!E320-дома!$L$139),0))</f>
        <v>0</v>
      </c>
      <c r="F321" s="1436" t="n">
        <f aca="false">2*IF(связи1!$H$89=связи1!$A$2,1,0)*IF('Ввод данных'!$C$245=связи1!$A$2,1,0)</f>
        <v>0</v>
      </c>
      <c r="G321" s="1436" t="n">
        <f aca="false">C321*D321*E321*F321</f>
        <v>0</v>
      </c>
      <c r="H321" s="1436"/>
      <c r="I321" s="1436"/>
      <c r="J321" s="1436"/>
      <c r="K321" s="1344"/>
      <c r="L321" s="1344"/>
      <c r="M321" s="1344"/>
      <c r="N321" s="1344"/>
      <c r="O321" s="1344"/>
      <c r="P321" s="1707"/>
      <c r="Q321" s="1707"/>
      <c r="R321" s="1707"/>
      <c r="S321" s="1344"/>
      <c r="T321" s="1344"/>
      <c r="U321" s="1753"/>
      <c r="V321" s="1344"/>
      <c r="W321" s="1344"/>
      <c r="X321" s="1344"/>
      <c r="Y321" s="1707"/>
      <c r="Z321" s="1344"/>
      <c r="AA321" s="1344"/>
      <c r="AB321" s="1709"/>
      <c r="AC321" s="1709"/>
      <c r="AD321" s="1707"/>
    </row>
    <row r="322" customFormat="false" ht="15.75" hidden="true" customHeight="true" outlineLevel="1" collapsed="false">
      <c r="A322" s="1774" t="s">
        <v>3253</v>
      </c>
      <c r="B322" s="1683" t="s">
        <v>15</v>
      </c>
      <c r="C322" s="1692" t="n">
        <f aca="false">$C$143</f>
        <v>0.145</v>
      </c>
      <c r="D322" s="1436" t="n">
        <f aca="false">$D$143</f>
        <v>0.045</v>
      </c>
      <c r="E322" s="1604" t="n">
        <f aca="false">IF('Ввод данных'!$A$17=связи1!$A$97,IF(дома!E321&lt;'Ввод данных'!$C$14,0,дома!E321-дома!$L$139),0)+IF(дома!E321=0,0,IF('Ввод данных'!$A$17=связи1!$A$94,IF(дома!E321&lt;0,0,дома!E321-дома!$L$139),0))</f>
        <v>0</v>
      </c>
      <c r="F322" s="1436" t="n">
        <f aca="false">2*IF(связи1!$H$89=связи1!$A$2,1,0)*IF('Ввод данных'!$C$245=связи1!$A$2,1,0)</f>
        <v>0</v>
      </c>
      <c r="G322" s="1436" t="n">
        <f aca="false">C322*D322*E322*F322</f>
        <v>0</v>
      </c>
      <c r="H322" s="1436"/>
      <c r="I322" s="1436"/>
      <c r="J322" s="1436"/>
      <c r="K322" s="1344"/>
      <c r="L322" s="1344"/>
      <c r="M322" s="1344"/>
      <c r="N322" s="1344"/>
      <c r="O322" s="1344"/>
      <c r="P322" s="1707"/>
      <c r="Q322" s="1707"/>
      <c r="R322" s="1707"/>
      <c r="S322" s="1344"/>
      <c r="T322" s="1344"/>
      <c r="U322" s="1753"/>
      <c r="V322" s="1344"/>
      <c r="W322" s="1344"/>
      <c r="X322" s="1344"/>
      <c r="Y322" s="1707"/>
      <c r="Z322" s="1344"/>
      <c r="AA322" s="1344"/>
      <c r="AB322" s="1709"/>
      <c r="AC322" s="1709"/>
      <c r="AD322" s="1707"/>
    </row>
    <row r="323" customFormat="false" ht="15.75" hidden="true" customHeight="true" outlineLevel="1" collapsed="false">
      <c r="A323" s="1774" t="s">
        <v>3254</v>
      </c>
      <c r="B323" s="1683" t="s">
        <v>15</v>
      </c>
      <c r="C323" s="1692" t="n">
        <f aca="false">$C$143</f>
        <v>0.145</v>
      </c>
      <c r="D323" s="1436" t="n">
        <f aca="false">$D$143</f>
        <v>0.045</v>
      </c>
      <c r="E323" s="1604" t="n">
        <f aca="false">IF('Ввод данных'!$A$17=связи1!$A$97,IF(дома!E322&lt;'Ввод данных'!$C$14,0,дома!E322-дома!$L$139),0)+IF(дома!E322=0,0,IF('Ввод данных'!$A$17=связи1!$A$94,IF(дома!E322&lt;0,0,дома!E322-дома!$L$139),0))</f>
        <v>0</v>
      </c>
      <c r="F323" s="1436" t="n">
        <f aca="false">2*IF(связи1!$H$89=связи1!$A$2,1,0)*IF('Ввод данных'!$C$245=связи1!$A$2,1,0)</f>
        <v>0</v>
      </c>
      <c r="G323" s="1436" t="n">
        <f aca="false">C323*D323*E323*F323</f>
        <v>0</v>
      </c>
      <c r="H323" s="1436"/>
      <c r="I323" s="1436"/>
      <c r="J323" s="1436"/>
      <c r="K323" s="1344"/>
      <c r="L323" s="1344"/>
      <c r="M323" s="1344"/>
      <c r="N323" s="1344"/>
      <c r="O323" s="1344"/>
      <c r="P323" s="1707"/>
      <c r="Q323" s="1707"/>
      <c r="R323" s="1707"/>
      <c r="S323" s="1344"/>
      <c r="T323" s="1344"/>
      <c r="U323" s="1753"/>
      <c r="V323" s="1344"/>
      <c r="W323" s="1344"/>
      <c r="X323" s="1344"/>
      <c r="Y323" s="1707"/>
      <c r="Z323" s="1344"/>
      <c r="AA323" s="1344"/>
      <c r="AB323" s="1709"/>
      <c r="AC323" s="1709"/>
      <c r="AD323" s="1707"/>
    </row>
    <row r="324" customFormat="false" ht="15.75" hidden="true" customHeight="true" outlineLevel="1" collapsed="false">
      <c r="A324" s="1774" t="s">
        <v>3255</v>
      </c>
      <c r="B324" s="1683" t="s">
        <v>15</v>
      </c>
      <c r="C324" s="1692" t="n">
        <f aca="false">$C$143</f>
        <v>0.145</v>
      </c>
      <c r="D324" s="1436" t="n">
        <f aca="false">$D$143</f>
        <v>0.045</v>
      </c>
      <c r="E324" s="1604" t="n">
        <f aca="false">IF('Ввод данных'!$A$17=связи1!$A$97,IF(дома!E323&lt;'Ввод данных'!$C$14,0,дома!E323-дома!$L$139),0)+IF(дома!E323=0,0,IF('Ввод данных'!$A$17=связи1!$A$94,IF(дома!E323&lt;0,0,дома!E323-дома!$L$139),0))</f>
        <v>0</v>
      </c>
      <c r="F324" s="1436" t="n">
        <f aca="false">2*IF(связи1!$H$89=связи1!$A$2,1,0)*IF('Ввод данных'!$C$245=связи1!$A$2,1,0)</f>
        <v>0</v>
      </c>
      <c r="G324" s="1436" t="n">
        <f aca="false">C324*D324*E324*F324</f>
        <v>0</v>
      </c>
      <c r="H324" s="1436"/>
      <c r="I324" s="1436"/>
      <c r="J324" s="1436"/>
      <c r="K324" s="1344"/>
      <c r="L324" s="1344"/>
      <c r="M324" s="1344"/>
      <c r="N324" s="1344"/>
      <c r="O324" s="1344"/>
      <c r="P324" s="1707"/>
      <c r="Q324" s="1707"/>
      <c r="R324" s="1707"/>
      <c r="S324" s="1344"/>
      <c r="T324" s="1344"/>
      <c r="U324" s="1753"/>
      <c r="V324" s="1344"/>
      <c r="W324" s="1344"/>
      <c r="X324" s="1344"/>
      <c r="Y324" s="1707"/>
      <c r="Z324" s="1344"/>
      <c r="AA324" s="1344"/>
      <c r="AB324" s="1709"/>
      <c r="AC324" s="1709"/>
      <c r="AD324" s="1707"/>
    </row>
    <row r="325" customFormat="false" ht="15.75" hidden="true" customHeight="true" outlineLevel="1" collapsed="false">
      <c r="A325" s="1774" t="s">
        <v>3256</v>
      </c>
      <c r="B325" s="1683" t="s">
        <v>15</v>
      </c>
      <c r="C325" s="1692" t="n">
        <f aca="false">$C$143</f>
        <v>0.145</v>
      </c>
      <c r="D325" s="1436" t="n">
        <f aca="false">$D$143</f>
        <v>0.045</v>
      </c>
      <c r="E325" s="1604" t="n">
        <f aca="false">IF('Ввод данных'!$A$17=связи1!$A$97,IF(дома!E324&lt;'Ввод данных'!$C$14,0,дома!E324-дома!$L$139),0)+IF(дома!E324=0,0,IF('Ввод данных'!$A$17=связи1!$A$94,IF(дома!E324&lt;0,0,дома!E324-дома!$L$139),0))</f>
        <v>0</v>
      </c>
      <c r="F325" s="1436" t="n">
        <f aca="false">2*IF(связи1!$H$89=связи1!$A$2,1,0)*IF('Ввод данных'!$C$245=связи1!$A$2,1,0)</f>
        <v>0</v>
      </c>
      <c r="G325" s="1436" t="n">
        <f aca="false">C325*D325*E325*F325</f>
        <v>0</v>
      </c>
      <c r="H325" s="1436"/>
      <c r="I325" s="1436"/>
      <c r="J325" s="1436"/>
      <c r="K325" s="1344"/>
      <c r="L325" s="1344"/>
      <c r="M325" s="1344"/>
      <c r="N325" s="1344"/>
      <c r="O325" s="1344"/>
      <c r="P325" s="1707"/>
      <c r="Q325" s="1707"/>
      <c r="R325" s="1707"/>
      <c r="S325" s="1344"/>
      <c r="T325" s="1344"/>
      <c r="U325" s="1753"/>
      <c r="V325" s="1344"/>
      <c r="W325" s="1344"/>
      <c r="X325" s="1344"/>
      <c r="Y325" s="1707"/>
      <c r="Z325" s="1344"/>
      <c r="AA325" s="1344"/>
      <c r="AB325" s="1709"/>
      <c r="AC325" s="1709"/>
      <c r="AD325" s="1707"/>
    </row>
    <row r="326" customFormat="false" ht="15.75" hidden="true" customHeight="true" outlineLevel="1" collapsed="false">
      <c r="A326" s="1774" t="s">
        <v>3257</v>
      </c>
      <c r="B326" s="1683" t="s">
        <v>15</v>
      </c>
      <c r="C326" s="1692" t="n">
        <f aca="false">$C$143</f>
        <v>0.145</v>
      </c>
      <c r="D326" s="1436" t="n">
        <f aca="false">$D$143</f>
        <v>0.045</v>
      </c>
      <c r="E326" s="1604" t="n">
        <f aca="false">IF('Ввод данных'!$A$17=связи1!$A$97,IF(дома!E325&lt;'Ввод данных'!$C$14,0,дома!E325-дома!$L$139),0)+IF(дома!E325=0,0,IF('Ввод данных'!$A$17=связи1!$A$94,IF(дома!E325&lt;0,0,дома!E325-дома!$L$139),0))</f>
        <v>0</v>
      </c>
      <c r="F326" s="1436" t="n">
        <f aca="false">2*IF(связи1!$H$89=связи1!$A$2,1,0)*IF('Ввод данных'!$C$245=связи1!$A$2,1,0)</f>
        <v>0</v>
      </c>
      <c r="G326" s="1436" t="n">
        <f aca="false">C326*D326*E326*F326</f>
        <v>0</v>
      </c>
      <c r="H326" s="1436"/>
      <c r="I326" s="1436"/>
      <c r="J326" s="1436"/>
      <c r="K326" s="1344"/>
      <c r="L326" s="1344"/>
      <c r="M326" s="1344"/>
      <c r="N326" s="1344"/>
      <c r="O326" s="1344"/>
      <c r="P326" s="1707"/>
      <c r="Q326" s="1707"/>
      <c r="R326" s="1707"/>
      <c r="S326" s="1344"/>
      <c r="T326" s="1344"/>
      <c r="U326" s="1753"/>
      <c r="V326" s="1344"/>
      <c r="W326" s="1344"/>
      <c r="X326" s="1344"/>
      <c r="Y326" s="1707"/>
      <c r="Z326" s="1344"/>
      <c r="AA326" s="1344"/>
      <c r="AB326" s="1709"/>
      <c r="AC326" s="1709"/>
      <c r="AD326" s="1707"/>
    </row>
    <row r="327" customFormat="false" ht="15.75" hidden="true" customHeight="true" outlineLevel="1" collapsed="false">
      <c r="A327" s="1774" t="s">
        <v>3258</v>
      </c>
      <c r="B327" s="1683" t="s">
        <v>15</v>
      </c>
      <c r="C327" s="1692" t="n">
        <f aca="false">$C$143</f>
        <v>0.145</v>
      </c>
      <c r="D327" s="1436" t="n">
        <f aca="false">$D$143</f>
        <v>0.045</v>
      </c>
      <c r="E327" s="1604" t="n">
        <f aca="false">IF('Ввод данных'!$A$17=связи1!$A$97,IF(дома!E326&lt;'Ввод данных'!$C$14,0,дома!E326-дома!$L$139),0)+IF(дома!E326=0,0,IF('Ввод данных'!$A$17=связи1!$A$94,IF(дома!E326&lt;0,0,дома!E326-дома!$L$139),0))</f>
        <v>0</v>
      </c>
      <c r="F327" s="1436" t="n">
        <f aca="false">2*IF(связи1!$H$89=связи1!$A$2,1,0)*IF('Ввод данных'!$C$245=связи1!$A$2,1,0)</f>
        <v>0</v>
      </c>
      <c r="G327" s="1436" t="n">
        <f aca="false">C327*D327*E327*F327</f>
        <v>0</v>
      </c>
      <c r="H327" s="1436"/>
      <c r="I327" s="1436"/>
      <c r="J327" s="1436"/>
      <c r="K327" s="1344"/>
      <c r="L327" s="1344"/>
      <c r="M327" s="1344"/>
      <c r="N327" s="1344"/>
      <c r="O327" s="1344"/>
      <c r="P327" s="1707"/>
      <c r="Q327" s="1707"/>
      <c r="R327" s="1707"/>
      <c r="S327" s="1344"/>
      <c r="T327" s="1344"/>
      <c r="U327" s="1753"/>
      <c r="V327" s="1344"/>
      <c r="W327" s="1344"/>
      <c r="X327" s="1344"/>
      <c r="Y327" s="1707"/>
      <c r="Z327" s="1344"/>
      <c r="AA327" s="1344"/>
      <c r="AB327" s="1709"/>
      <c r="AC327" s="1709"/>
      <c r="AD327" s="1707"/>
    </row>
    <row r="328" customFormat="false" ht="15.75" hidden="true" customHeight="true" outlineLevel="1" collapsed="false">
      <c r="A328" s="1774" t="s">
        <v>3259</v>
      </c>
      <c r="B328" s="1683" t="s">
        <v>15</v>
      </c>
      <c r="C328" s="1692" t="n">
        <f aca="false">$C$143</f>
        <v>0.145</v>
      </c>
      <c r="D328" s="1436" t="n">
        <f aca="false">$D$143</f>
        <v>0.045</v>
      </c>
      <c r="E328" s="1604" t="n">
        <f aca="false">IF('Ввод данных'!$A$17=связи1!$A$97,IF(дома!E327&lt;'Ввод данных'!$C$14,0,дома!E327-дома!$L$139),0)+IF(дома!E327=0,0,IF('Ввод данных'!$A$17=связи1!$A$94,IF(дома!E327&lt;0,0,дома!E327-дома!$L$139),0))</f>
        <v>0</v>
      </c>
      <c r="F328" s="1436" t="n">
        <f aca="false">2*IF(связи1!$H$89=связи1!$A$2,1,0)*IF('Ввод данных'!$C$245=связи1!$A$2,1,0)</f>
        <v>0</v>
      </c>
      <c r="G328" s="1436" t="n">
        <f aca="false">C328*D328*E328*F328</f>
        <v>0</v>
      </c>
      <c r="H328" s="1436"/>
      <c r="I328" s="1436"/>
      <c r="J328" s="1436"/>
      <c r="K328" s="1344"/>
      <c r="L328" s="1344"/>
      <c r="M328" s="1344"/>
      <c r="N328" s="1344"/>
      <c r="O328" s="1344"/>
      <c r="P328" s="1707"/>
      <c r="Q328" s="1707"/>
      <c r="R328" s="1707"/>
      <c r="S328" s="1344"/>
      <c r="T328" s="1344"/>
      <c r="U328" s="1753"/>
      <c r="V328" s="1344"/>
      <c r="W328" s="1344"/>
      <c r="X328" s="1344"/>
      <c r="Y328" s="1707"/>
      <c r="Z328" s="1344"/>
      <c r="AA328" s="1344"/>
      <c r="AB328" s="1709"/>
      <c r="AC328" s="1709"/>
      <c r="AD328" s="1707"/>
    </row>
    <row r="329" customFormat="false" ht="15.75" hidden="true" customHeight="true" outlineLevel="1" collapsed="false">
      <c r="A329" s="1774" t="s">
        <v>3260</v>
      </c>
      <c r="B329" s="1683" t="s">
        <v>15</v>
      </c>
      <c r="C329" s="1692" t="n">
        <f aca="false">$C$143</f>
        <v>0.145</v>
      </c>
      <c r="D329" s="1436" t="n">
        <f aca="false">$D$143</f>
        <v>0.045</v>
      </c>
      <c r="E329" s="1604" t="n">
        <f aca="false">IF('Ввод данных'!$A$17=связи1!$A$97,IF(дома!E328&lt;'Ввод данных'!$C$14,0,дома!E328-дома!$L$139),0)+IF(дома!E328=0,0,IF('Ввод данных'!$A$17=связи1!$A$94,IF(дома!E328&lt;0,0,дома!E328-дома!$L$139),0))</f>
        <v>0</v>
      </c>
      <c r="F329" s="1436" t="n">
        <f aca="false">2*IF(связи1!$H$89=связи1!$A$2,1,0)*IF('Ввод данных'!$C$245=связи1!$A$2,1,0)</f>
        <v>0</v>
      </c>
      <c r="G329" s="1436" t="n">
        <f aca="false">C329*D329*E329*F329</f>
        <v>0</v>
      </c>
      <c r="H329" s="1436"/>
      <c r="I329" s="1436"/>
      <c r="J329" s="1436"/>
      <c r="K329" s="1344"/>
      <c r="L329" s="1344"/>
      <c r="M329" s="1344"/>
      <c r="N329" s="1344"/>
      <c r="O329" s="1344"/>
      <c r="P329" s="1707"/>
      <c r="Q329" s="1707"/>
      <c r="R329" s="1707"/>
      <c r="S329" s="1344"/>
      <c r="T329" s="1344"/>
      <c r="U329" s="1753"/>
      <c r="V329" s="1344"/>
      <c r="W329" s="1344"/>
      <c r="X329" s="1344"/>
      <c r="Y329" s="1707"/>
      <c r="Z329" s="1344"/>
      <c r="AA329" s="1344"/>
      <c r="AB329" s="1709"/>
      <c r="AC329" s="1709"/>
      <c r="AD329" s="1707"/>
    </row>
    <row r="330" customFormat="false" ht="15.75" hidden="true" customHeight="true" outlineLevel="1" collapsed="false">
      <c r="A330" s="1774" t="s">
        <v>3261</v>
      </c>
      <c r="B330" s="1683" t="s">
        <v>15</v>
      </c>
      <c r="C330" s="1692" t="n">
        <f aca="false">$C$143</f>
        <v>0.145</v>
      </c>
      <c r="D330" s="1436" t="n">
        <f aca="false">$D$143</f>
        <v>0.045</v>
      </c>
      <c r="E330" s="1604" t="n">
        <f aca="false">IF('Ввод данных'!$A$17=связи1!$A$97,IF(дома!E329&lt;'Ввод данных'!$C$14,0,дома!E329-дома!$L$139),0)+IF(дома!E329=0,0,IF('Ввод данных'!$A$17=связи1!$A$94,IF(дома!E329&lt;0,0,дома!E329-дома!$L$139),0))</f>
        <v>0</v>
      </c>
      <c r="F330" s="1436" t="n">
        <f aca="false">2*IF(связи1!$H$89=связи1!$A$2,1,0)*IF('Ввод данных'!$C$245=связи1!$A$2,1,0)</f>
        <v>0</v>
      </c>
      <c r="G330" s="1436" t="n">
        <f aca="false">C330*D330*E330*F330</f>
        <v>0</v>
      </c>
      <c r="H330" s="1436"/>
      <c r="I330" s="1436"/>
      <c r="J330" s="1436"/>
      <c r="K330" s="1344"/>
      <c r="L330" s="1344"/>
      <c r="M330" s="1344"/>
      <c r="N330" s="1344"/>
      <c r="O330" s="1344"/>
      <c r="P330" s="1707"/>
      <c r="Q330" s="1707"/>
      <c r="R330" s="1707"/>
      <c r="S330" s="1344"/>
      <c r="T330" s="1344"/>
      <c r="U330" s="1753"/>
      <c r="V330" s="1344"/>
      <c r="W330" s="1344"/>
      <c r="X330" s="1344"/>
      <c r="Y330" s="1707"/>
      <c r="Z330" s="1344"/>
      <c r="AA330" s="1344"/>
      <c r="AB330" s="1709"/>
      <c r="AC330" s="1709"/>
      <c r="AD330" s="1707"/>
    </row>
    <row r="331" customFormat="false" ht="15.75" hidden="true" customHeight="true" outlineLevel="1" collapsed="false">
      <c r="A331" s="1774" t="s">
        <v>3262</v>
      </c>
      <c r="B331" s="1683" t="s">
        <v>15</v>
      </c>
      <c r="C331" s="1692" t="n">
        <f aca="false">$C$143</f>
        <v>0.145</v>
      </c>
      <c r="D331" s="1436" t="n">
        <f aca="false">$D$143</f>
        <v>0.045</v>
      </c>
      <c r="E331" s="1604" t="n">
        <f aca="false">IF('Ввод данных'!$A$17=связи1!$A$97,IF(дома!E330&lt;'Ввод данных'!$C$14,0,дома!E330-дома!$L$139),0)+IF(дома!E330=0,0,IF('Ввод данных'!$A$17=связи1!$A$94,IF(дома!E330&lt;0,0,дома!E330-дома!$L$139),0))</f>
        <v>0</v>
      </c>
      <c r="F331" s="1436" t="n">
        <f aca="false">2*IF(связи1!$H$89=связи1!$A$2,1,0)*IF('Ввод данных'!$C$245=связи1!$A$2,1,0)</f>
        <v>0</v>
      </c>
      <c r="G331" s="1436" t="n">
        <f aca="false">C331*D331*E331*F331</f>
        <v>0</v>
      </c>
      <c r="H331" s="1436"/>
      <c r="I331" s="1436"/>
      <c r="J331" s="1436"/>
      <c r="K331" s="1344"/>
      <c r="L331" s="1344"/>
      <c r="M331" s="1344"/>
      <c r="N331" s="1344"/>
      <c r="O331" s="1344"/>
      <c r="P331" s="1707"/>
      <c r="Q331" s="1707"/>
      <c r="R331" s="1707"/>
      <c r="S331" s="1344"/>
      <c r="T331" s="1344"/>
      <c r="U331" s="1753"/>
      <c r="V331" s="1344"/>
      <c r="W331" s="1344"/>
      <c r="X331" s="1344"/>
      <c r="Y331" s="1707"/>
      <c r="Z331" s="1344"/>
      <c r="AA331" s="1344"/>
      <c r="AB331" s="1709"/>
      <c r="AC331" s="1709"/>
      <c r="AD331" s="1707"/>
    </row>
    <row r="332" customFormat="false" ht="15.75" hidden="true" customHeight="true" outlineLevel="1" collapsed="false">
      <c r="A332" s="1774" t="s">
        <v>3263</v>
      </c>
      <c r="B332" s="1683" t="s">
        <v>15</v>
      </c>
      <c r="C332" s="1692" t="n">
        <f aca="false">$C$143</f>
        <v>0.145</v>
      </c>
      <c r="D332" s="1436" t="n">
        <f aca="false">$D$143</f>
        <v>0.045</v>
      </c>
      <c r="E332" s="1604" t="n">
        <f aca="false">IF('Ввод данных'!$A$17=связи1!$A$97,IF(дома!E331&lt;'Ввод данных'!$C$14,0,дома!E331-дома!$L$139),0)+IF(дома!E331=0,0,IF('Ввод данных'!$A$17=связи1!$A$94,IF(дома!E331&lt;0,0,дома!E331-дома!$L$139),0))</f>
        <v>0</v>
      </c>
      <c r="F332" s="1436" t="n">
        <f aca="false">2*IF(связи1!$H$89=связи1!$A$2,1,0)*IF('Ввод данных'!$C$245=связи1!$A$2,1,0)</f>
        <v>0</v>
      </c>
      <c r="G332" s="1436" t="n">
        <f aca="false">C332*D332*E332*F332</f>
        <v>0</v>
      </c>
      <c r="H332" s="1436"/>
      <c r="I332" s="1436"/>
      <c r="J332" s="1436"/>
      <c r="K332" s="1344"/>
      <c r="L332" s="1344"/>
      <c r="M332" s="1344"/>
      <c r="N332" s="1344"/>
      <c r="O332" s="1344"/>
      <c r="P332" s="1707"/>
      <c r="Q332" s="1707"/>
      <c r="R332" s="1707"/>
      <c r="S332" s="1344"/>
      <c r="T332" s="1344"/>
      <c r="U332" s="1753"/>
      <c r="V332" s="1344"/>
      <c r="W332" s="1344"/>
      <c r="X332" s="1344"/>
      <c r="Y332" s="1707"/>
      <c r="Z332" s="1344"/>
      <c r="AA332" s="1344"/>
      <c r="AB332" s="1709"/>
      <c r="AC332" s="1709"/>
      <c r="AD332" s="1707"/>
    </row>
    <row r="333" customFormat="false" ht="15.75" hidden="true" customHeight="true" outlineLevel="1" collapsed="false">
      <c r="A333" s="1774" t="s">
        <v>3264</v>
      </c>
      <c r="B333" s="1683" t="s">
        <v>15</v>
      </c>
      <c r="C333" s="1692" t="n">
        <f aca="false">$C$143</f>
        <v>0.145</v>
      </c>
      <c r="D333" s="1436" t="n">
        <f aca="false">$D$143</f>
        <v>0.045</v>
      </c>
      <c r="E333" s="1604" t="n">
        <f aca="false">IF('Ввод данных'!$A$17=связи1!$A$97,IF(дома!E332&lt;'Ввод данных'!$C$14,0,дома!E332-дома!$L$139),0)+IF(дома!E332=0,0,IF('Ввод данных'!$A$17=связи1!$A$94,IF(дома!E332&lt;0,0,дома!E332-дома!$L$139),0))</f>
        <v>0</v>
      </c>
      <c r="F333" s="1436" t="n">
        <f aca="false">2*IF(связи1!$H$89=связи1!$A$2,1,0)*IF('Ввод данных'!$C$245=связи1!$A$2,1,0)</f>
        <v>0</v>
      </c>
      <c r="G333" s="1436" t="n">
        <f aca="false">C333*D333*E333*F333</f>
        <v>0</v>
      </c>
      <c r="H333" s="1436"/>
      <c r="I333" s="1436"/>
      <c r="J333" s="1436"/>
      <c r="K333" s="1344"/>
      <c r="L333" s="1344"/>
      <c r="M333" s="1344"/>
      <c r="N333" s="1344"/>
      <c r="O333" s="1344"/>
      <c r="P333" s="1707"/>
      <c r="Q333" s="1707"/>
      <c r="R333" s="1707"/>
      <c r="S333" s="1344"/>
      <c r="T333" s="1344"/>
      <c r="U333" s="1753"/>
      <c r="V333" s="1344"/>
      <c r="W333" s="1344"/>
      <c r="X333" s="1344"/>
      <c r="Y333" s="1707"/>
      <c r="Z333" s="1344"/>
      <c r="AA333" s="1344"/>
      <c r="AB333" s="1709"/>
      <c r="AC333" s="1709"/>
      <c r="AD333" s="1707"/>
    </row>
    <row r="334" customFormat="false" ht="15.75" hidden="true" customHeight="true" outlineLevel="1" collapsed="false">
      <c r="A334" s="1774" t="s">
        <v>3265</v>
      </c>
      <c r="B334" s="1683" t="s">
        <v>15</v>
      </c>
      <c r="C334" s="1692" t="n">
        <f aca="false">$C$143</f>
        <v>0.145</v>
      </c>
      <c r="D334" s="1436" t="n">
        <f aca="false">$D$143</f>
        <v>0.045</v>
      </c>
      <c r="E334" s="1604" t="n">
        <f aca="false">IF('Ввод данных'!$A$17=связи1!$A$97,IF(дома!E333&lt;'Ввод данных'!$C$14,0,дома!E333-дома!$L$139),0)+IF(дома!E333=0,0,IF('Ввод данных'!$A$17=связи1!$A$94,IF(дома!E333&lt;0,0,дома!E333-дома!$L$139),0))</f>
        <v>0</v>
      </c>
      <c r="F334" s="1436" t="n">
        <f aca="false">2*IF(связи1!$H$89=связи1!$A$2,1,0)*IF('Ввод данных'!$C$245=связи1!$A$2,1,0)</f>
        <v>0</v>
      </c>
      <c r="G334" s="1436" t="n">
        <f aca="false">C334*D334*E334*F334</f>
        <v>0</v>
      </c>
      <c r="H334" s="1436"/>
      <c r="I334" s="1436"/>
      <c r="J334" s="1436"/>
      <c r="K334" s="1344"/>
      <c r="L334" s="1344"/>
      <c r="M334" s="1344"/>
      <c r="N334" s="1344"/>
      <c r="O334" s="1344"/>
      <c r="P334" s="1707"/>
      <c r="Q334" s="1707"/>
      <c r="R334" s="1707"/>
      <c r="S334" s="1344"/>
      <c r="T334" s="1344"/>
      <c r="U334" s="1753"/>
      <c r="V334" s="1344"/>
      <c r="W334" s="1344"/>
      <c r="X334" s="1344"/>
      <c r="Y334" s="1707"/>
      <c r="Z334" s="1344"/>
      <c r="AA334" s="1344"/>
      <c r="AB334" s="1709"/>
      <c r="AC334" s="1709"/>
      <c r="AD334" s="1707"/>
    </row>
    <row r="335" customFormat="false" ht="15.75" hidden="true" customHeight="true" outlineLevel="1" collapsed="false">
      <c r="A335" s="1774" t="s">
        <v>3266</v>
      </c>
      <c r="B335" s="1683" t="s">
        <v>15</v>
      </c>
      <c r="C335" s="1692" t="n">
        <f aca="false">$C$143</f>
        <v>0.145</v>
      </c>
      <c r="D335" s="1436" t="n">
        <f aca="false">$D$143</f>
        <v>0.045</v>
      </c>
      <c r="E335" s="1604" t="n">
        <f aca="false">IF('Ввод данных'!$A$17=связи1!$A$97,IF(дома!E334&lt;'Ввод данных'!$C$14,0,дома!E334-дома!$L$139),0)+IF(дома!E334=0,0,IF('Ввод данных'!$A$17=связи1!$A$94,IF(дома!E334&lt;0,0,дома!E334-дома!$L$139),0))</f>
        <v>0</v>
      </c>
      <c r="F335" s="1436" t="n">
        <f aca="false">2*IF(связи1!$H$89=связи1!$A$2,1,0)*IF('Ввод данных'!$C$245=связи1!$A$2,1,0)</f>
        <v>0</v>
      </c>
      <c r="G335" s="1436" t="n">
        <f aca="false">C335*D335*E335*F335</f>
        <v>0</v>
      </c>
      <c r="H335" s="1436"/>
      <c r="I335" s="1436"/>
      <c r="J335" s="1436"/>
      <c r="K335" s="1344"/>
      <c r="L335" s="1344"/>
      <c r="M335" s="1344"/>
      <c r="N335" s="1344"/>
      <c r="O335" s="1344"/>
      <c r="P335" s="1707"/>
      <c r="Q335" s="1707"/>
      <c r="R335" s="1707"/>
      <c r="S335" s="1344"/>
      <c r="T335" s="1344"/>
      <c r="U335" s="1753"/>
      <c r="V335" s="1344"/>
      <c r="W335" s="1344"/>
      <c r="X335" s="1344"/>
      <c r="Y335" s="1707"/>
      <c r="Z335" s="1344"/>
      <c r="AA335" s="1344"/>
      <c r="AB335" s="1709"/>
      <c r="AC335" s="1709"/>
      <c r="AD335" s="1707"/>
    </row>
    <row r="336" customFormat="false" ht="15.75" hidden="true" customHeight="true" outlineLevel="1" collapsed="false">
      <c r="A336" s="1774" t="s">
        <v>3267</v>
      </c>
      <c r="B336" s="1683" t="s">
        <v>15</v>
      </c>
      <c r="C336" s="1692" t="n">
        <f aca="false">$C$143</f>
        <v>0.145</v>
      </c>
      <c r="D336" s="1436" t="n">
        <f aca="false">$D$143</f>
        <v>0.045</v>
      </c>
      <c r="E336" s="1604" t="n">
        <f aca="false">IF('Ввод данных'!$A$17=связи1!$A$97,IF(дома!E335&lt;'Ввод данных'!$C$14,0,дома!E335-дома!$L$139),0)+IF(дома!E335=0,0,IF('Ввод данных'!$A$17=связи1!$A$94,IF(дома!E335&lt;0,0,дома!E335-дома!$L$139),0))</f>
        <v>0</v>
      </c>
      <c r="F336" s="1436" t="n">
        <f aca="false">2*IF(связи1!$H$89=связи1!$A$2,1,0)*IF('Ввод данных'!$C$245=связи1!$A$2,1,0)</f>
        <v>0</v>
      </c>
      <c r="G336" s="1436" t="n">
        <f aca="false">C336*D336*E336*F336</f>
        <v>0</v>
      </c>
      <c r="H336" s="1436"/>
      <c r="I336" s="1436"/>
      <c r="J336" s="1436"/>
      <c r="K336" s="1344"/>
      <c r="L336" s="1344"/>
      <c r="M336" s="1344"/>
      <c r="N336" s="1344"/>
      <c r="O336" s="1344"/>
      <c r="P336" s="1707"/>
      <c r="Q336" s="1707"/>
      <c r="R336" s="1707"/>
      <c r="S336" s="1344"/>
      <c r="T336" s="1344"/>
      <c r="U336" s="1753"/>
      <c r="V336" s="1344"/>
      <c r="W336" s="1344"/>
      <c r="X336" s="1344"/>
      <c r="Y336" s="1707"/>
      <c r="Z336" s="1344"/>
      <c r="AA336" s="1344"/>
      <c r="AB336" s="1709"/>
      <c r="AC336" s="1709"/>
      <c r="AD336" s="1707"/>
    </row>
    <row r="337" customFormat="false" ht="15.75" hidden="true" customHeight="true" outlineLevel="1" collapsed="false">
      <c r="A337" s="1774" t="s">
        <v>3268</v>
      </c>
      <c r="B337" s="1683" t="s">
        <v>15</v>
      </c>
      <c r="C337" s="1692" t="n">
        <f aca="false">$C$143</f>
        <v>0.145</v>
      </c>
      <c r="D337" s="1436" t="n">
        <f aca="false">$D$143</f>
        <v>0.045</v>
      </c>
      <c r="E337" s="1604" t="n">
        <f aca="false">IF('Ввод данных'!$A$17=связи1!$A$97,IF(дома!E336&lt;'Ввод данных'!$C$14,0,дома!E336-дома!$L$139),0)+IF(дома!E336=0,0,IF('Ввод данных'!$A$17=связи1!$A$94,IF(дома!E336&lt;0,0,дома!E336-дома!$L$139),0))</f>
        <v>0</v>
      </c>
      <c r="F337" s="1436" t="n">
        <f aca="false">2*IF(связи1!$H$89=связи1!$A$2,1,0)*IF('Ввод данных'!$C$245=связи1!$A$2,1,0)</f>
        <v>0</v>
      </c>
      <c r="G337" s="1436" t="n">
        <f aca="false">C337*D337*E337*F337</f>
        <v>0</v>
      </c>
      <c r="H337" s="1436"/>
      <c r="I337" s="1436"/>
      <c r="J337" s="1436"/>
      <c r="K337" s="1344"/>
      <c r="L337" s="1344"/>
      <c r="M337" s="1344"/>
      <c r="N337" s="1344"/>
      <c r="O337" s="1344"/>
      <c r="P337" s="1707"/>
      <c r="Q337" s="1707"/>
      <c r="R337" s="1707"/>
      <c r="S337" s="1344"/>
      <c r="T337" s="1344"/>
      <c r="U337" s="1753"/>
      <c r="V337" s="1344"/>
      <c r="W337" s="1344"/>
      <c r="X337" s="1344"/>
      <c r="Y337" s="1707"/>
      <c r="Z337" s="1344"/>
      <c r="AA337" s="1344"/>
      <c r="AB337" s="1709"/>
      <c r="AC337" s="1709"/>
      <c r="AD337" s="1707"/>
    </row>
    <row r="338" customFormat="false" ht="15.75" hidden="true" customHeight="true" outlineLevel="1" collapsed="false">
      <c r="A338" s="1774" t="s">
        <v>3269</v>
      </c>
      <c r="B338" s="1683" t="s">
        <v>15</v>
      </c>
      <c r="C338" s="1692" t="n">
        <f aca="false">$C$143</f>
        <v>0.145</v>
      </c>
      <c r="D338" s="1436" t="n">
        <f aca="false">$D$143</f>
        <v>0.045</v>
      </c>
      <c r="E338" s="1604" t="n">
        <f aca="false">IF('Ввод данных'!$A$17=связи1!$A$97,IF(дома!E337&lt;'Ввод данных'!$C$14,0,дома!E337-дома!$L$139),0)+IF(дома!E337=0,0,IF('Ввод данных'!$A$17=связи1!$A$94,IF(дома!E337&lt;0,0,дома!E337-дома!$L$139),0))</f>
        <v>0</v>
      </c>
      <c r="F338" s="1436" t="n">
        <f aca="false">2*IF(связи1!$H$89=связи1!$A$2,1,0)*IF('Ввод данных'!$C$245=связи1!$A$2,1,0)</f>
        <v>0</v>
      </c>
      <c r="G338" s="1436" t="n">
        <f aca="false">C338*D338*E338*F338</f>
        <v>0</v>
      </c>
      <c r="H338" s="1436"/>
      <c r="I338" s="1436"/>
      <c r="J338" s="1436"/>
      <c r="K338" s="1344"/>
      <c r="L338" s="1344"/>
      <c r="M338" s="1344"/>
      <c r="N338" s="1344"/>
      <c r="O338" s="1344"/>
      <c r="P338" s="1707"/>
      <c r="Q338" s="1707"/>
      <c r="R338" s="1707"/>
      <c r="S338" s="1344"/>
      <c r="T338" s="1344"/>
      <c r="U338" s="1753"/>
      <c r="V338" s="1344"/>
      <c r="W338" s="1344"/>
      <c r="X338" s="1344"/>
      <c r="Y338" s="1707"/>
      <c r="Z338" s="1344"/>
      <c r="AA338" s="1344"/>
      <c r="AB338" s="1709"/>
      <c r="AC338" s="1709"/>
      <c r="AD338" s="1707"/>
    </row>
    <row r="339" customFormat="false" ht="15.75" hidden="true" customHeight="true" outlineLevel="1" collapsed="false">
      <c r="A339" s="1774" t="s">
        <v>3270</v>
      </c>
      <c r="B339" s="1683" t="s">
        <v>15</v>
      </c>
      <c r="C339" s="1692" t="n">
        <f aca="false">$C$143</f>
        <v>0.145</v>
      </c>
      <c r="D339" s="1436" t="n">
        <f aca="false">$D$143</f>
        <v>0.045</v>
      </c>
      <c r="E339" s="1604" t="n">
        <f aca="false">IF('Ввод данных'!$A$17=связи1!$A$97,IF(дома!E338&lt;'Ввод данных'!$C$14,0,дома!E338-дома!$L$139),0)+IF(дома!E338=0,0,IF('Ввод данных'!$A$17=связи1!$A$94,IF(дома!E338&lt;0,0,дома!E338-дома!$L$139),0))</f>
        <v>0</v>
      </c>
      <c r="F339" s="1436" t="n">
        <f aca="false">2*IF(связи1!$H$89=связи1!$A$2,1,0)*IF('Ввод данных'!$C$245=связи1!$A$2,1,0)</f>
        <v>0</v>
      </c>
      <c r="G339" s="1436" t="n">
        <f aca="false">C339*D339*E339*F339</f>
        <v>0</v>
      </c>
      <c r="H339" s="1436"/>
      <c r="I339" s="1436"/>
      <c r="J339" s="1436"/>
      <c r="K339" s="1344"/>
      <c r="L339" s="1344"/>
      <c r="M339" s="1344"/>
      <c r="N339" s="1344"/>
      <c r="O339" s="1344"/>
      <c r="P339" s="1707"/>
      <c r="Q339" s="1707"/>
      <c r="R339" s="1707"/>
      <c r="S339" s="1344"/>
      <c r="T339" s="1344"/>
      <c r="U339" s="1753"/>
      <c r="V339" s="1344"/>
      <c r="W339" s="1344"/>
      <c r="X339" s="1344"/>
      <c r="Y339" s="1707"/>
      <c r="Z339" s="1344"/>
      <c r="AA339" s="1344"/>
      <c r="AB339" s="1709"/>
      <c r="AC339" s="1709"/>
      <c r="AD339" s="1707"/>
    </row>
    <row r="340" customFormat="false" ht="15.75" hidden="true" customHeight="true" outlineLevel="1" collapsed="false">
      <c r="A340" s="1774" t="s">
        <v>3271</v>
      </c>
      <c r="B340" s="1683" t="s">
        <v>15</v>
      </c>
      <c r="C340" s="1692" t="n">
        <f aca="false">$C$143</f>
        <v>0.145</v>
      </c>
      <c r="D340" s="1436" t="n">
        <f aca="false">$D$143</f>
        <v>0.045</v>
      </c>
      <c r="E340" s="1604" t="n">
        <f aca="false">IF('Ввод данных'!$A$17=связи1!$A$97,IF(дома!E339&lt;'Ввод данных'!$C$14,0,дома!E339-дома!$L$139),0)+IF(дома!E339=0,0,IF('Ввод данных'!$A$17=связи1!$A$94,IF(дома!E339&lt;0,0,дома!E339-дома!$L$139),0))</f>
        <v>0</v>
      </c>
      <c r="F340" s="1436" t="n">
        <f aca="false">2*IF(связи1!$H$89=связи1!$A$2,1,0)*IF('Ввод данных'!$C$245=связи1!$A$2,1,0)</f>
        <v>0</v>
      </c>
      <c r="G340" s="1436" t="n">
        <f aca="false">C340*D340*E340*F340</f>
        <v>0</v>
      </c>
      <c r="H340" s="1436"/>
      <c r="I340" s="1436"/>
      <c r="J340" s="1436"/>
      <c r="K340" s="1344"/>
      <c r="L340" s="1344"/>
      <c r="M340" s="1344"/>
      <c r="N340" s="1344"/>
      <c r="O340" s="1344"/>
      <c r="P340" s="1707"/>
      <c r="Q340" s="1707"/>
      <c r="R340" s="1707"/>
      <c r="S340" s="1344"/>
      <c r="T340" s="1344"/>
      <c r="U340" s="1753"/>
      <c r="V340" s="1344"/>
      <c r="W340" s="1344"/>
      <c r="X340" s="1344"/>
      <c r="Y340" s="1707"/>
      <c r="Z340" s="1344"/>
      <c r="AA340" s="1344"/>
      <c r="AB340" s="1709"/>
      <c r="AC340" s="1709"/>
      <c r="AD340" s="1707"/>
    </row>
    <row r="341" customFormat="false" ht="15.75" hidden="true" customHeight="true" outlineLevel="1" collapsed="false">
      <c r="A341" s="1774" t="s">
        <v>3272</v>
      </c>
      <c r="B341" s="1683" t="s">
        <v>15</v>
      </c>
      <c r="C341" s="1692" t="n">
        <f aca="false">$C$143</f>
        <v>0.145</v>
      </c>
      <c r="D341" s="1436" t="n">
        <f aca="false">$D$143</f>
        <v>0.045</v>
      </c>
      <c r="E341" s="1604" t="n">
        <f aca="false">IF('Ввод данных'!$A$17=связи1!$A$97,IF(дома!E340&lt;'Ввод данных'!$C$14,0,дома!E340-дома!$L$139),0)+IF(дома!E340=0,0,IF('Ввод данных'!$A$17=связи1!$A$94,IF(дома!E340&lt;0,0,дома!E340-дома!$L$139),0))</f>
        <v>0</v>
      </c>
      <c r="F341" s="1436" t="n">
        <f aca="false">2*IF(связи1!$H$89=связи1!$A$2,1,0)*IF('Ввод данных'!$C$245=связи1!$A$2,1,0)</f>
        <v>0</v>
      </c>
      <c r="G341" s="1436" t="n">
        <f aca="false">C341*D341*E341*F341</f>
        <v>0</v>
      </c>
      <c r="H341" s="1436"/>
      <c r="I341" s="1436"/>
      <c r="J341" s="1436"/>
      <c r="K341" s="1344"/>
      <c r="L341" s="1344"/>
      <c r="M341" s="1344"/>
      <c r="N341" s="1344"/>
      <c r="O341" s="1344"/>
      <c r="P341" s="1707"/>
      <c r="Q341" s="1707"/>
      <c r="R341" s="1707"/>
      <c r="S341" s="1344"/>
      <c r="T341" s="1344"/>
      <c r="U341" s="1753"/>
      <c r="V341" s="1344"/>
      <c r="W341" s="1344"/>
      <c r="X341" s="1344"/>
      <c r="Y341" s="1707"/>
      <c r="Z341" s="1344"/>
      <c r="AA341" s="1344"/>
      <c r="AB341" s="1709"/>
      <c r="AC341" s="1709"/>
      <c r="AD341" s="1707"/>
    </row>
    <row r="342" customFormat="false" ht="15.75" hidden="true" customHeight="true" outlineLevel="1" collapsed="false">
      <c r="A342" s="1774" t="s">
        <v>3273</v>
      </c>
      <c r="B342" s="1683" t="s">
        <v>15</v>
      </c>
      <c r="C342" s="1692" t="n">
        <f aca="false">$C$143</f>
        <v>0.145</v>
      </c>
      <c r="D342" s="1436" t="n">
        <f aca="false">$D$143</f>
        <v>0.045</v>
      </c>
      <c r="E342" s="1604" t="n">
        <f aca="false">IF('Ввод данных'!$A$17=связи1!$A$97,IF(дома!E341&lt;'Ввод данных'!$C$14,0,дома!E341-дома!$L$139),0)+IF(дома!E341=0,0,IF('Ввод данных'!$A$17=связи1!$A$94,IF(дома!E341&lt;0,0,дома!E341-дома!$L$139),0))</f>
        <v>0</v>
      </c>
      <c r="F342" s="1436" t="n">
        <f aca="false">2*IF(связи1!$H$89=связи1!$A$2,1,0)*IF('Ввод данных'!$C$245=связи1!$A$2,1,0)</f>
        <v>0</v>
      </c>
      <c r="G342" s="1436" t="n">
        <f aca="false">C342*D342*E342*F342</f>
        <v>0</v>
      </c>
      <c r="H342" s="1436"/>
      <c r="I342" s="1436"/>
      <c r="J342" s="1436"/>
      <c r="K342" s="1344"/>
      <c r="L342" s="1344"/>
      <c r="M342" s="1344"/>
      <c r="N342" s="1344"/>
      <c r="O342" s="1344"/>
      <c r="P342" s="1707"/>
      <c r="Q342" s="1707"/>
      <c r="R342" s="1707"/>
      <c r="S342" s="1344"/>
      <c r="T342" s="1344"/>
      <c r="U342" s="1753"/>
      <c r="V342" s="1344"/>
      <c r="W342" s="1344"/>
      <c r="X342" s="1344"/>
      <c r="Y342" s="1707"/>
      <c r="Z342" s="1344"/>
      <c r="AA342" s="1344"/>
      <c r="AB342" s="1709"/>
      <c r="AC342" s="1709"/>
      <c r="AD342" s="1707"/>
    </row>
    <row r="343" customFormat="false" ht="15.75" hidden="true" customHeight="true" outlineLevel="1" collapsed="false">
      <c r="A343" s="1774" t="s">
        <v>3274</v>
      </c>
      <c r="B343" s="1683" t="s">
        <v>15</v>
      </c>
      <c r="C343" s="1692" t="n">
        <f aca="false">$C$143</f>
        <v>0.145</v>
      </c>
      <c r="D343" s="1436" t="n">
        <f aca="false">$D$143</f>
        <v>0.045</v>
      </c>
      <c r="E343" s="1604" t="n">
        <f aca="false">IF('Ввод данных'!$A$17=связи1!$A$97,IF(дома!E342&lt;'Ввод данных'!$C$14,0,дома!E342-дома!$L$139),0)+IF(дома!E342=0,0,IF('Ввод данных'!$A$17=связи1!$A$94,IF(дома!E342&lt;0,0,дома!E342-дома!$L$139),0))</f>
        <v>0</v>
      </c>
      <c r="F343" s="1436" t="n">
        <f aca="false">2*IF(связи1!$H$89=связи1!$A$2,1,0)*IF('Ввод данных'!$C$245=связи1!$A$2,1,0)</f>
        <v>0</v>
      </c>
      <c r="G343" s="1436" t="n">
        <f aca="false">C343*D343*E343*F343</f>
        <v>0</v>
      </c>
      <c r="H343" s="1436"/>
      <c r="I343" s="1436"/>
      <c r="J343" s="1436"/>
      <c r="K343" s="1344"/>
      <c r="L343" s="1344"/>
      <c r="M343" s="1344"/>
      <c r="N343" s="1344"/>
      <c r="O343" s="1344"/>
      <c r="P343" s="1707"/>
      <c r="Q343" s="1707"/>
      <c r="R343" s="1707"/>
      <c r="S343" s="1344"/>
      <c r="T343" s="1344"/>
      <c r="U343" s="1753"/>
      <c r="V343" s="1344"/>
      <c r="W343" s="1344"/>
      <c r="X343" s="1344"/>
      <c r="Y343" s="1707"/>
      <c r="Z343" s="1344"/>
      <c r="AA343" s="1344"/>
      <c r="AB343" s="1709"/>
      <c r="AC343" s="1709"/>
      <c r="AD343" s="1707"/>
    </row>
    <row r="344" customFormat="false" ht="15.75" hidden="true" customHeight="true" outlineLevel="1" collapsed="false">
      <c r="A344" s="1774" t="s">
        <v>3275</v>
      </c>
      <c r="B344" s="1683" t="s">
        <v>15</v>
      </c>
      <c r="C344" s="1692" t="n">
        <f aca="false">$C$143</f>
        <v>0.145</v>
      </c>
      <c r="D344" s="1436" t="n">
        <f aca="false">$D$143</f>
        <v>0.045</v>
      </c>
      <c r="E344" s="1604" t="n">
        <f aca="false">IF('Ввод данных'!$A$17=связи1!$A$97,IF(дома!E343&lt;'Ввод данных'!$C$14,0,дома!E343-дома!$L$139),0)+IF(дома!E343=0,0,IF('Ввод данных'!$A$17=связи1!$A$94,IF(дома!E343&lt;0,0,дома!E343-дома!$L$139),0))</f>
        <v>0</v>
      </c>
      <c r="F344" s="1436" t="n">
        <f aca="false">2*IF(связи1!$H$89=связи1!$A$2,1,0)*IF('Ввод данных'!$C$245=связи1!$A$2,1,0)</f>
        <v>0</v>
      </c>
      <c r="G344" s="1436" t="n">
        <f aca="false">C344*D344*E344*F344</f>
        <v>0</v>
      </c>
      <c r="H344" s="1436"/>
      <c r="I344" s="1436"/>
      <c r="J344" s="1436"/>
      <c r="K344" s="1344"/>
      <c r="L344" s="1344"/>
      <c r="M344" s="1344"/>
      <c r="N344" s="1344"/>
      <c r="O344" s="1344"/>
      <c r="P344" s="1707"/>
      <c r="Q344" s="1707"/>
      <c r="R344" s="1707"/>
      <c r="S344" s="1344"/>
      <c r="T344" s="1344"/>
      <c r="U344" s="1753"/>
      <c r="V344" s="1344"/>
      <c r="W344" s="1344"/>
      <c r="X344" s="1344"/>
      <c r="Y344" s="1707"/>
      <c r="Z344" s="1344"/>
      <c r="AA344" s="1344"/>
      <c r="AB344" s="1709"/>
      <c r="AC344" s="1709"/>
      <c r="AD344" s="1707"/>
    </row>
    <row r="345" customFormat="false" ht="15.75" hidden="true" customHeight="true" outlineLevel="1" collapsed="false">
      <c r="A345" s="1774" t="s">
        <v>3276</v>
      </c>
      <c r="B345" s="1683" t="s">
        <v>15</v>
      </c>
      <c r="C345" s="1692" t="n">
        <f aca="false">$C$143</f>
        <v>0.145</v>
      </c>
      <c r="D345" s="1436" t="n">
        <f aca="false">$D$143</f>
        <v>0.045</v>
      </c>
      <c r="E345" s="1604" t="n">
        <f aca="false">IF('Ввод данных'!$A$17=связи1!$A$97,IF(дома!E344&lt;'Ввод данных'!$C$14,0,дома!E344-дома!$L$139),0)+IF(дома!E344=0,0,IF('Ввод данных'!$A$17=связи1!$A$94,IF(дома!E344&lt;0,0,дома!E344-дома!$L$139),0))</f>
        <v>0</v>
      </c>
      <c r="F345" s="1436" t="n">
        <f aca="false">2*IF(связи1!$H$89=связи1!$A$2,1,0)*IF('Ввод данных'!$C$245=связи1!$A$2,1,0)</f>
        <v>0</v>
      </c>
      <c r="G345" s="1436" t="n">
        <f aca="false">C345*D345*E345*F345</f>
        <v>0</v>
      </c>
      <c r="H345" s="1436"/>
      <c r="I345" s="1436"/>
      <c r="J345" s="1436"/>
      <c r="K345" s="1344"/>
      <c r="L345" s="1344"/>
      <c r="M345" s="1344"/>
      <c r="N345" s="1344"/>
      <c r="O345" s="1344"/>
      <c r="P345" s="1707"/>
      <c r="Q345" s="1707"/>
      <c r="R345" s="1707"/>
      <c r="S345" s="1344"/>
      <c r="T345" s="1344"/>
      <c r="U345" s="1753"/>
      <c r="V345" s="1344"/>
      <c r="W345" s="1344"/>
      <c r="X345" s="1344"/>
      <c r="Y345" s="1707"/>
      <c r="Z345" s="1344"/>
      <c r="AA345" s="1344"/>
      <c r="AB345" s="1709"/>
      <c r="AC345" s="1709"/>
      <c r="AD345" s="1707"/>
    </row>
    <row r="346" customFormat="false" ht="15.75" hidden="true" customHeight="true" outlineLevel="1" collapsed="false">
      <c r="A346" s="1774" t="s">
        <v>3277</v>
      </c>
      <c r="B346" s="1683" t="s">
        <v>15</v>
      </c>
      <c r="C346" s="1692" t="n">
        <f aca="false">$C$143</f>
        <v>0.145</v>
      </c>
      <c r="D346" s="1436" t="n">
        <f aca="false">$D$143</f>
        <v>0.045</v>
      </c>
      <c r="E346" s="1604" t="n">
        <f aca="false">IF('Ввод данных'!$A$17=связи1!$A$97,IF(дома!E345&lt;'Ввод данных'!$C$14,0,дома!E345-дома!$L$139),0)+IF(дома!E345=0,0,IF('Ввод данных'!$A$17=связи1!$A$94,IF(дома!E345&lt;0,0,дома!E345-дома!$L$139),0))</f>
        <v>0</v>
      </c>
      <c r="F346" s="1436" t="n">
        <f aca="false">2*IF(связи1!$H$89=связи1!$A$2,1,0)*IF('Ввод данных'!$C$245=связи1!$A$2,1,0)</f>
        <v>0</v>
      </c>
      <c r="G346" s="1436" t="n">
        <f aca="false">C346*D346*E346*F346</f>
        <v>0</v>
      </c>
      <c r="H346" s="1436"/>
      <c r="I346" s="1436"/>
      <c r="J346" s="1436"/>
      <c r="K346" s="1344"/>
      <c r="L346" s="1344"/>
      <c r="M346" s="1344"/>
      <c r="N346" s="1344"/>
      <c r="O346" s="1344"/>
      <c r="P346" s="1707"/>
      <c r="Q346" s="1707"/>
      <c r="R346" s="1707"/>
      <c r="S346" s="1344"/>
      <c r="T346" s="1344"/>
      <c r="U346" s="1753"/>
      <c r="V346" s="1344"/>
      <c r="W346" s="1344"/>
      <c r="X346" s="1344"/>
      <c r="Y346" s="1707"/>
      <c r="Z346" s="1344"/>
      <c r="AA346" s="1344"/>
      <c r="AB346" s="1709"/>
      <c r="AC346" s="1709"/>
      <c r="AD346" s="1707"/>
    </row>
    <row r="347" customFormat="false" ht="15.75" hidden="true" customHeight="true" outlineLevel="1" collapsed="false">
      <c r="A347" s="1774" t="s">
        <v>3278</v>
      </c>
      <c r="B347" s="1683" t="s">
        <v>15</v>
      </c>
      <c r="C347" s="1692" t="n">
        <f aca="false">$C$143</f>
        <v>0.145</v>
      </c>
      <c r="D347" s="1436" t="n">
        <f aca="false">$D$143</f>
        <v>0.045</v>
      </c>
      <c r="E347" s="1604" t="n">
        <f aca="false">IF('Ввод данных'!$A$17=связи1!$A$97,IF(дома!E346&lt;'Ввод данных'!$C$14,0,дома!E346-дома!$L$139),0)+IF(дома!E346=0,0,IF('Ввод данных'!$A$17=связи1!$A$94,IF(дома!E346&lt;0,0,дома!E346-дома!$L$139),0))</f>
        <v>0</v>
      </c>
      <c r="F347" s="1436" t="n">
        <f aca="false">2*IF(связи1!$H$89=связи1!$A$2,1,0)*IF('Ввод данных'!$C$245=связи1!$A$2,1,0)</f>
        <v>0</v>
      </c>
      <c r="G347" s="1436" t="n">
        <f aca="false">C347*D347*E347*F347</f>
        <v>0</v>
      </c>
      <c r="H347" s="1436"/>
      <c r="I347" s="1436"/>
      <c r="J347" s="1436"/>
      <c r="K347" s="1344"/>
      <c r="L347" s="1344"/>
      <c r="M347" s="1344"/>
      <c r="N347" s="1344"/>
      <c r="O347" s="1344"/>
      <c r="P347" s="1707"/>
      <c r="Q347" s="1707"/>
      <c r="R347" s="1707"/>
      <c r="S347" s="1344"/>
      <c r="T347" s="1344"/>
      <c r="U347" s="1753"/>
      <c r="V347" s="1344"/>
      <c r="W347" s="1344"/>
      <c r="X347" s="1344"/>
      <c r="Y347" s="1707"/>
      <c r="Z347" s="1344"/>
      <c r="AA347" s="1344"/>
      <c r="AB347" s="1709"/>
      <c r="AC347" s="1709"/>
      <c r="AD347" s="1707"/>
    </row>
    <row r="348" customFormat="false" ht="15.75" hidden="true" customHeight="true" outlineLevel="1" collapsed="false">
      <c r="A348" s="1774" t="s">
        <v>3279</v>
      </c>
      <c r="B348" s="1683" t="s">
        <v>15</v>
      </c>
      <c r="C348" s="1692" t="n">
        <f aca="false">$C$143</f>
        <v>0.145</v>
      </c>
      <c r="D348" s="1436" t="n">
        <f aca="false">$D$143</f>
        <v>0.045</v>
      </c>
      <c r="E348" s="1604" t="n">
        <f aca="false">IF('Ввод данных'!$A$17=связи1!$A$97,IF(дома!E347&lt;'Ввод данных'!$C$14,0,дома!E347-дома!$L$139),0)+IF(дома!E347=0,0,IF('Ввод данных'!$A$17=связи1!$A$94,IF(дома!E347&lt;0,0,дома!E347-дома!$L$139),0))</f>
        <v>0</v>
      </c>
      <c r="F348" s="1436" t="n">
        <f aca="false">2*IF(связи1!$H$89=связи1!$A$2,1,0)*IF('Ввод данных'!$C$245=связи1!$A$2,1,0)</f>
        <v>0</v>
      </c>
      <c r="G348" s="1436" t="n">
        <f aca="false">C348*D348*E348*F348</f>
        <v>0</v>
      </c>
      <c r="H348" s="1436"/>
      <c r="I348" s="1436"/>
      <c r="J348" s="1436"/>
      <c r="K348" s="1344"/>
      <c r="L348" s="1344"/>
      <c r="M348" s="1344"/>
      <c r="N348" s="1344"/>
      <c r="O348" s="1344"/>
      <c r="P348" s="1707"/>
      <c r="Q348" s="1707"/>
      <c r="R348" s="1707"/>
      <c r="S348" s="1344"/>
      <c r="T348" s="1344"/>
      <c r="U348" s="1753"/>
      <c r="V348" s="1344"/>
      <c r="W348" s="1344"/>
      <c r="X348" s="1344"/>
      <c r="Y348" s="1707"/>
      <c r="Z348" s="1344"/>
      <c r="AA348" s="1344"/>
      <c r="AB348" s="1709"/>
      <c r="AC348" s="1709"/>
      <c r="AD348" s="1707"/>
    </row>
    <row r="349" customFormat="false" ht="15.75" hidden="true" customHeight="true" outlineLevel="1" collapsed="false">
      <c r="A349" s="1774" t="s">
        <v>3280</v>
      </c>
      <c r="B349" s="1683" t="s">
        <v>15</v>
      </c>
      <c r="C349" s="1692" t="n">
        <f aca="false">$C$143</f>
        <v>0.145</v>
      </c>
      <c r="D349" s="1436" t="n">
        <f aca="false">$D$143</f>
        <v>0.045</v>
      </c>
      <c r="E349" s="1604" t="n">
        <f aca="false">IF('Ввод данных'!$A$17=связи1!$A$97,IF(дома!E348&lt;'Ввод данных'!$C$14,0,дома!E348-дома!$L$139),0)+IF(дома!E348=0,0,IF('Ввод данных'!$A$17=связи1!$A$94,IF(дома!E348&lt;0,0,дома!E348-дома!$L$139),0))</f>
        <v>0</v>
      </c>
      <c r="F349" s="1436" t="n">
        <f aca="false">2*IF(связи1!$H$89=связи1!$A$2,1,0)*IF('Ввод данных'!$C$245=связи1!$A$2,1,0)</f>
        <v>0</v>
      </c>
      <c r="G349" s="1436" t="n">
        <f aca="false">C349*D349*E349*F349</f>
        <v>0</v>
      </c>
      <c r="H349" s="1436"/>
      <c r="I349" s="1436"/>
      <c r="J349" s="1436"/>
      <c r="K349" s="1344"/>
      <c r="L349" s="1344"/>
      <c r="M349" s="1344"/>
      <c r="N349" s="1344"/>
      <c r="O349" s="1344"/>
      <c r="P349" s="1707"/>
      <c r="Q349" s="1707"/>
      <c r="R349" s="1707"/>
      <c r="S349" s="1344"/>
      <c r="T349" s="1344"/>
      <c r="U349" s="1753"/>
      <c r="V349" s="1344"/>
      <c r="W349" s="1344"/>
      <c r="X349" s="1344"/>
      <c r="Y349" s="1707"/>
      <c r="Z349" s="1344"/>
      <c r="AA349" s="1344"/>
      <c r="AB349" s="1709"/>
      <c r="AC349" s="1709"/>
      <c r="AD349" s="1707"/>
    </row>
    <row r="350" customFormat="false" ht="15.75" hidden="true" customHeight="true" outlineLevel="1" collapsed="false">
      <c r="A350" s="1774" t="s">
        <v>3281</v>
      </c>
      <c r="B350" s="1683" t="s">
        <v>15</v>
      </c>
      <c r="C350" s="1692" t="n">
        <f aca="false">$C$143</f>
        <v>0.145</v>
      </c>
      <c r="D350" s="1436" t="n">
        <f aca="false">$D$143</f>
        <v>0.045</v>
      </c>
      <c r="E350" s="1604" t="n">
        <f aca="false">IF('Ввод данных'!$A$17=связи1!$A$97,IF(дома!E349&lt;'Ввод данных'!$C$14,0,дома!E349-дома!$L$139),0)+IF(дома!E349=0,0,IF('Ввод данных'!$A$17=связи1!$A$94,IF(дома!E349&lt;0,0,дома!E349-дома!$L$139),0))</f>
        <v>0</v>
      </c>
      <c r="F350" s="1436" t="n">
        <f aca="false">2*IF(связи1!$H$89=связи1!$A$2,1,0)*IF('Ввод данных'!$C$245=связи1!$A$2,1,0)</f>
        <v>0</v>
      </c>
      <c r="G350" s="1436" t="n">
        <f aca="false">C350*D350*E350*F350</f>
        <v>0</v>
      </c>
      <c r="H350" s="1436"/>
      <c r="I350" s="1436"/>
      <c r="J350" s="1436"/>
      <c r="K350" s="1344"/>
      <c r="L350" s="1344"/>
      <c r="M350" s="1344"/>
      <c r="N350" s="1344"/>
      <c r="O350" s="1344"/>
      <c r="P350" s="1707"/>
      <c r="Q350" s="1707"/>
      <c r="R350" s="1707"/>
      <c r="S350" s="1344"/>
      <c r="T350" s="1344"/>
      <c r="U350" s="1753"/>
      <c r="V350" s="1344"/>
      <c r="W350" s="1344"/>
      <c r="X350" s="1344"/>
      <c r="Y350" s="1707"/>
      <c r="Z350" s="1344"/>
      <c r="AA350" s="1344"/>
      <c r="AB350" s="1709"/>
      <c r="AC350" s="1709"/>
      <c r="AD350" s="1707"/>
    </row>
    <row r="351" customFormat="false" ht="15.75" hidden="true" customHeight="true" outlineLevel="1" collapsed="false">
      <c r="A351" s="1774" t="s">
        <v>3282</v>
      </c>
      <c r="B351" s="1683" t="s">
        <v>15</v>
      </c>
      <c r="C351" s="1692" t="n">
        <f aca="false">$C$143</f>
        <v>0.145</v>
      </c>
      <c r="D351" s="1436" t="n">
        <f aca="false">$D$143</f>
        <v>0.045</v>
      </c>
      <c r="E351" s="1604" t="n">
        <f aca="false">IF('Ввод данных'!$A$17=связи1!$A$97,IF(дома!E350&lt;'Ввод данных'!$C$14,0,дома!E350-дома!$L$139),0)+IF(дома!E350=0,0,IF('Ввод данных'!$A$17=связи1!$A$94,IF(дома!E350&lt;0,0,дома!E350-дома!$L$139),0))</f>
        <v>0</v>
      </c>
      <c r="F351" s="1436" t="n">
        <f aca="false">2*IF(связи1!$H$89=связи1!$A$2,1,0)*IF('Ввод данных'!$C$245=связи1!$A$2,1,0)</f>
        <v>0</v>
      </c>
      <c r="G351" s="1436" t="n">
        <f aca="false">C351*D351*E351*F351</f>
        <v>0</v>
      </c>
      <c r="H351" s="1436"/>
      <c r="I351" s="1436"/>
      <c r="J351" s="1436"/>
      <c r="K351" s="1344"/>
      <c r="L351" s="1344"/>
      <c r="M351" s="1344"/>
      <c r="N351" s="1344"/>
      <c r="O351" s="1344"/>
      <c r="P351" s="1707"/>
      <c r="Q351" s="1707"/>
      <c r="R351" s="1707"/>
      <c r="S351" s="1344"/>
      <c r="T351" s="1344"/>
      <c r="U351" s="1753"/>
      <c r="V351" s="1344"/>
      <c r="W351" s="1344"/>
      <c r="X351" s="1344"/>
      <c r="Y351" s="1707"/>
      <c r="Z351" s="1344"/>
      <c r="AA351" s="1344"/>
      <c r="AB351" s="1709"/>
      <c r="AC351" s="1709"/>
      <c r="AD351" s="1707"/>
    </row>
    <row r="352" customFormat="false" ht="15.75" hidden="true" customHeight="true" outlineLevel="1" collapsed="false">
      <c r="A352" s="1774" t="s">
        <v>3283</v>
      </c>
      <c r="B352" s="1683" t="s">
        <v>15</v>
      </c>
      <c r="C352" s="1692" t="n">
        <f aca="false">$C$143</f>
        <v>0.145</v>
      </c>
      <c r="D352" s="1436" t="n">
        <f aca="false">$D$143</f>
        <v>0.045</v>
      </c>
      <c r="E352" s="1604" t="n">
        <f aca="false">IF('Ввод данных'!$A$17=связи1!$A$97,IF(дома!E351&lt;'Ввод данных'!$C$14,0,дома!E351-дома!$L$139),0)+IF(дома!E351=0,0,IF('Ввод данных'!$A$17=связи1!$A$94,IF(дома!E351&lt;0,0,дома!E351-дома!$L$139),0))</f>
        <v>0</v>
      </c>
      <c r="F352" s="1436" t="n">
        <f aca="false">2*IF(связи1!$H$89=связи1!$A$2,1,0)*IF('Ввод данных'!$C$245=связи1!$A$2,1,0)</f>
        <v>0</v>
      </c>
      <c r="G352" s="1436" t="n">
        <f aca="false">C352*D352*E352*F352</f>
        <v>0</v>
      </c>
      <c r="H352" s="1436"/>
      <c r="I352" s="1436"/>
      <c r="J352" s="1436"/>
      <c r="K352" s="1344"/>
      <c r="L352" s="1344"/>
      <c r="M352" s="1344"/>
      <c r="N352" s="1344"/>
      <c r="O352" s="1344"/>
      <c r="P352" s="1707"/>
      <c r="Q352" s="1707"/>
      <c r="R352" s="1707"/>
      <c r="S352" s="1344"/>
      <c r="T352" s="1344"/>
      <c r="U352" s="1753"/>
      <c r="V352" s="1344"/>
      <c r="W352" s="1344"/>
      <c r="X352" s="1344"/>
      <c r="Y352" s="1707"/>
      <c r="Z352" s="1344"/>
      <c r="AA352" s="1344"/>
      <c r="AB352" s="1709"/>
      <c r="AC352" s="1709"/>
      <c r="AD352" s="1707"/>
    </row>
    <row r="353" customFormat="false" ht="15.75" hidden="true" customHeight="true" outlineLevel="1" collapsed="false">
      <c r="A353" s="1774" t="s">
        <v>3284</v>
      </c>
      <c r="B353" s="1683" t="s">
        <v>15</v>
      </c>
      <c r="C353" s="1692" t="n">
        <f aca="false">$C$143</f>
        <v>0.145</v>
      </c>
      <c r="D353" s="1436" t="n">
        <f aca="false">$D$143</f>
        <v>0.045</v>
      </c>
      <c r="E353" s="1604" t="n">
        <f aca="false">IF('Ввод данных'!$A$17=связи1!$A$97,IF(дома!E352&lt;'Ввод данных'!$C$14,0,дома!E352-дома!$L$139),0)+IF(дома!E352=0,0,IF('Ввод данных'!$A$17=связи1!$A$94,IF(дома!E352&lt;0,0,дома!E352-дома!$L$139),0))</f>
        <v>0</v>
      </c>
      <c r="F353" s="1436" t="n">
        <f aca="false">2*IF(связи1!$H$89=связи1!$A$2,1,0)*IF('Ввод данных'!$C$245=связи1!$A$2,1,0)</f>
        <v>0</v>
      </c>
      <c r="G353" s="1436" t="n">
        <f aca="false">C353*D353*E353*F353</f>
        <v>0</v>
      </c>
      <c r="H353" s="1436"/>
      <c r="I353" s="1436"/>
      <c r="J353" s="1436"/>
      <c r="K353" s="1344"/>
      <c r="L353" s="1344"/>
      <c r="M353" s="1344"/>
      <c r="N353" s="1344"/>
      <c r="O353" s="1344"/>
      <c r="P353" s="1707"/>
      <c r="Q353" s="1707"/>
      <c r="R353" s="1707"/>
      <c r="S353" s="1344"/>
      <c r="T353" s="1344"/>
      <c r="U353" s="1753"/>
      <c r="V353" s="1344"/>
      <c r="W353" s="1344"/>
      <c r="X353" s="1344"/>
      <c r="Y353" s="1707"/>
      <c r="Z353" s="1344"/>
      <c r="AA353" s="1344"/>
      <c r="AB353" s="1709"/>
      <c r="AC353" s="1709"/>
      <c r="AD353" s="1707"/>
    </row>
    <row r="354" customFormat="false" ht="15.75" hidden="true" customHeight="true" outlineLevel="1" collapsed="false">
      <c r="A354" s="1777" t="s">
        <v>3288</v>
      </c>
      <c r="B354" s="1683" t="s">
        <v>15</v>
      </c>
      <c r="C354" s="1692" t="n">
        <f aca="false">$C$143</f>
        <v>0.145</v>
      </c>
      <c r="D354" s="1436" t="n">
        <f aca="false">$D$143</f>
        <v>0.045</v>
      </c>
      <c r="E354" s="1340" t="n">
        <f aca="false">E124+E125</f>
        <v>2.8</v>
      </c>
      <c r="F354" s="1340" t="n">
        <f aca="false">U130*(IF('Ввод данных'!A19=связи1!A150,1,0))</f>
        <v>0</v>
      </c>
      <c r="G354" s="1672" t="n">
        <f aca="false">C354*D354*E354*F354</f>
        <v>0</v>
      </c>
      <c r="H354" s="1672"/>
      <c r="I354" s="1436"/>
      <c r="J354" s="1436"/>
      <c r="K354" s="1344"/>
      <c r="L354" s="1344"/>
      <c r="M354" s="1344"/>
      <c r="N354" s="1344"/>
      <c r="O354" s="1344"/>
      <c r="P354" s="1707"/>
      <c r="Q354" s="1707"/>
      <c r="R354" s="1707"/>
      <c r="S354" s="1344"/>
      <c r="T354" s="1344"/>
      <c r="U354" s="1753"/>
      <c r="V354" s="1344"/>
      <c r="W354" s="1344"/>
      <c r="X354" s="1344"/>
      <c r="Y354" s="1707"/>
      <c r="Z354" s="1344"/>
      <c r="AA354" s="1344"/>
      <c r="AB354" s="1709"/>
      <c r="AC354" s="1709"/>
      <c r="AD354" s="1707"/>
    </row>
    <row r="355" customFormat="false" ht="15.75" hidden="true" customHeight="true" outlineLevel="1" collapsed="false">
      <c r="A355" s="1777" t="s">
        <v>3289</v>
      </c>
      <c r="B355" s="1683" t="s">
        <v>15</v>
      </c>
      <c r="C355" s="1692" t="n">
        <f aca="false">$C$143</f>
        <v>0.145</v>
      </c>
      <c r="D355" s="1436" t="n">
        <f aca="false">$D$143</f>
        <v>0.045</v>
      </c>
      <c r="E355" s="1340" t="n">
        <f aca="false">W124</f>
        <v>1</v>
      </c>
      <c r="F355" s="1340" t="n">
        <f aca="false">2*(IF('Ввод данных'!A19=связи1!A150,1,0))</f>
        <v>0</v>
      </c>
      <c r="G355" s="1672" t="n">
        <f aca="false">C355*D355*E355*F355</f>
        <v>0</v>
      </c>
      <c r="H355" s="1672"/>
      <c r="I355" s="1436"/>
      <c r="J355" s="1436"/>
      <c r="K355" s="1344"/>
      <c r="L355" s="1344"/>
      <c r="M355" s="1344"/>
      <c r="N355" s="1344"/>
      <c r="O355" s="1344"/>
      <c r="P355" s="1707"/>
      <c r="Q355" s="1707"/>
      <c r="R355" s="1707"/>
      <c r="S355" s="1344"/>
      <c r="T355" s="1344"/>
      <c r="U355" s="1753"/>
      <c r="V355" s="1344"/>
      <c r="W355" s="1344"/>
      <c r="X355" s="1344"/>
      <c r="Y355" s="1707"/>
      <c r="Z355" s="1344"/>
      <c r="AA355" s="1344"/>
      <c r="AB355" s="1709"/>
      <c r="AC355" s="1709"/>
      <c r="AD355" s="1707"/>
    </row>
    <row r="356" customFormat="false" ht="15.75" hidden="true" customHeight="true" outlineLevel="1" collapsed="false">
      <c r="A356" s="1777" t="s">
        <v>3290</v>
      </c>
      <c r="B356" s="1683" t="s">
        <v>15</v>
      </c>
      <c r="C356" s="1692" t="n">
        <f aca="false">$C$143</f>
        <v>0.145</v>
      </c>
      <c r="D356" s="1436" t="n">
        <f aca="false">$D$143</f>
        <v>0.045</v>
      </c>
      <c r="E356" s="1340" t="n">
        <f aca="false">W125</f>
        <v>0</v>
      </c>
      <c r="F356" s="1340" t="n">
        <f aca="false">2*(IF('Ввод данных'!A19=связи1!A150,1,0))</f>
        <v>0</v>
      </c>
      <c r="G356" s="1672" t="n">
        <f aca="false">C356*D356*E356*F356</f>
        <v>0</v>
      </c>
      <c r="H356" s="1672"/>
      <c r="I356" s="1436"/>
      <c r="J356" s="1436"/>
      <c r="K356" s="1344"/>
      <c r="L356" s="1344"/>
      <c r="M356" s="1344"/>
      <c r="N356" s="1344"/>
      <c r="O356" s="1344"/>
      <c r="P356" s="1707"/>
      <c r="Q356" s="1707"/>
      <c r="R356" s="1707"/>
      <c r="S356" s="1344"/>
      <c r="T356" s="1344"/>
      <c r="U356" s="1753"/>
      <c r="V356" s="1344"/>
      <c r="W356" s="1344"/>
      <c r="X356" s="1344"/>
      <c r="Y356" s="1707"/>
      <c r="Z356" s="1344"/>
      <c r="AA356" s="1344"/>
      <c r="AB356" s="1709"/>
      <c r="AC356" s="1709"/>
      <c r="AD356" s="1707"/>
    </row>
    <row r="357" customFormat="false" ht="15.75" hidden="true" customHeight="true" outlineLevel="1" collapsed="false">
      <c r="A357" s="1777" t="s">
        <v>3291</v>
      </c>
      <c r="B357" s="1683" t="s">
        <v>15</v>
      </c>
      <c r="C357" s="1692" t="n">
        <f aca="false">$C$143</f>
        <v>0.145</v>
      </c>
      <c r="D357" s="1436" t="n">
        <f aca="false">$D$143</f>
        <v>0.045</v>
      </c>
      <c r="E357" s="1340" t="n">
        <f aca="false">W126</f>
        <v>0</v>
      </c>
      <c r="F357" s="1340" t="n">
        <f aca="false">2*(IF('Ввод данных'!A19=связи1!A150,1,0))</f>
        <v>0</v>
      </c>
      <c r="G357" s="1672" t="n">
        <f aca="false">C357*D357*E357*F357</f>
        <v>0</v>
      </c>
      <c r="H357" s="1672"/>
      <c r="I357" s="1436"/>
      <c r="J357" s="1436"/>
      <c r="K357" s="1344"/>
      <c r="L357" s="1344"/>
      <c r="M357" s="1344"/>
      <c r="N357" s="1344"/>
      <c r="O357" s="1344"/>
      <c r="P357" s="1707"/>
      <c r="Q357" s="1707"/>
      <c r="R357" s="1707"/>
      <c r="S357" s="1344"/>
      <c r="T357" s="1344"/>
      <c r="U357" s="1753"/>
      <c r="V357" s="1344"/>
      <c r="W357" s="1344"/>
      <c r="X357" s="1344"/>
      <c r="Y357" s="1707"/>
      <c r="Z357" s="1344"/>
      <c r="AA357" s="1344"/>
      <c r="AB357" s="1709"/>
      <c r="AC357" s="1709"/>
      <c r="AD357" s="1707"/>
    </row>
    <row r="358" customFormat="false" ht="15.75" hidden="true" customHeight="true" outlineLevel="1" collapsed="false">
      <c r="A358" s="1777" t="s">
        <v>3292</v>
      </c>
      <c r="B358" s="1683" t="s">
        <v>15</v>
      </c>
      <c r="C358" s="1692" t="n">
        <f aca="false">$C$143</f>
        <v>0.145</v>
      </c>
      <c r="D358" s="1436" t="n">
        <f aca="false">$D$143</f>
        <v>0.045</v>
      </c>
      <c r="E358" s="1340" t="n">
        <f aca="false">W127</f>
        <v>0.6</v>
      </c>
      <c r="F358" s="1340" t="n">
        <f aca="false">2*(IF('Ввод данных'!A19=связи1!A150,1,0))</f>
        <v>0</v>
      </c>
      <c r="G358" s="1672" t="n">
        <f aca="false">C358*D358*E358*F358</f>
        <v>0</v>
      </c>
      <c r="H358" s="1672"/>
      <c r="I358" s="1436"/>
      <c r="J358" s="1436"/>
      <c r="K358" s="1344"/>
      <c r="L358" s="1344"/>
      <c r="M358" s="1344"/>
      <c r="N358" s="1344"/>
      <c r="O358" s="1344"/>
      <c r="P358" s="1707"/>
      <c r="Q358" s="1707"/>
      <c r="R358" s="1707"/>
      <c r="S358" s="1344"/>
      <c r="T358" s="1344"/>
      <c r="U358" s="1753"/>
      <c r="V358" s="1344"/>
      <c r="W358" s="1344"/>
      <c r="X358" s="1344"/>
      <c r="Y358" s="1707"/>
      <c r="Z358" s="1344"/>
      <c r="AA358" s="1344"/>
      <c r="AB358" s="1709"/>
      <c r="AC358" s="1709"/>
      <c r="AD358" s="1707"/>
    </row>
    <row r="359" customFormat="false" ht="15.75" hidden="true" customHeight="true" outlineLevel="1" collapsed="false">
      <c r="A359" s="1777" t="s">
        <v>3293</v>
      </c>
      <c r="B359" s="1683" t="s">
        <v>15</v>
      </c>
      <c r="C359" s="1692" t="n">
        <f aca="false">$C$143</f>
        <v>0.145</v>
      </c>
      <c r="D359" s="1436" t="n">
        <f aca="false">$D$143</f>
        <v>0.045</v>
      </c>
      <c r="E359" s="1340" t="n">
        <f aca="false">W128</f>
        <v>1</v>
      </c>
      <c r="F359" s="1340" t="n">
        <f aca="false">2*(IF('Ввод данных'!A19=связи1!A150,1,0))</f>
        <v>0</v>
      </c>
      <c r="G359" s="1672" t="n">
        <f aca="false">C359*D359*E359*F359</f>
        <v>0</v>
      </c>
      <c r="H359" s="1672"/>
      <c r="I359" s="1436"/>
      <c r="J359" s="1436"/>
      <c r="K359" s="1344"/>
      <c r="L359" s="1344"/>
      <c r="M359" s="1344"/>
      <c r="N359" s="1344"/>
      <c r="O359" s="1344"/>
      <c r="P359" s="1707"/>
      <c r="Q359" s="1707"/>
      <c r="R359" s="1707"/>
      <c r="S359" s="1344"/>
      <c r="T359" s="1344"/>
      <c r="U359" s="1753"/>
      <c r="V359" s="1344"/>
      <c r="W359" s="1344"/>
      <c r="X359" s="1344"/>
      <c r="Y359" s="1707"/>
      <c r="Z359" s="1344"/>
      <c r="AA359" s="1344"/>
      <c r="AB359" s="1709"/>
      <c r="AC359" s="1709"/>
      <c r="AD359" s="1707"/>
    </row>
    <row r="360" customFormat="false" ht="15.75" hidden="true" customHeight="true" outlineLevel="1" collapsed="false">
      <c r="A360" s="1777" t="s">
        <v>3294</v>
      </c>
      <c r="B360" s="1683" t="s">
        <v>15</v>
      </c>
      <c r="C360" s="1692" t="n">
        <f aca="false">$C$143</f>
        <v>0.145</v>
      </c>
      <c r="D360" s="1436" t="n">
        <f aca="false">$D$143</f>
        <v>0.045</v>
      </c>
      <c r="E360" s="1340" t="n">
        <f aca="false">E124+E125</f>
        <v>2.8</v>
      </c>
      <c r="F360" s="1340" t="n">
        <f aca="false">Z130*(IF('Ввод данных'!A19=связи1!A150,1,0))</f>
        <v>0</v>
      </c>
      <c r="G360" s="1672" t="n">
        <f aca="false">C360*D360*E360*F360</f>
        <v>0</v>
      </c>
      <c r="H360" s="1672"/>
      <c r="I360" s="1436"/>
      <c r="J360" s="1436"/>
      <c r="K360" s="1344"/>
      <c r="L360" s="1344"/>
      <c r="M360" s="1344"/>
      <c r="N360" s="1344"/>
      <c r="O360" s="1344"/>
      <c r="P360" s="1707"/>
      <c r="Q360" s="1707"/>
      <c r="R360" s="1707"/>
      <c r="S360" s="1344"/>
      <c r="T360" s="1344"/>
      <c r="U360" s="1753"/>
      <c r="V360" s="1344"/>
      <c r="W360" s="1344"/>
      <c r="X360" s="1344"/>
      <c r="Y360" s="1707"/>
      <c r="Z360" s="1344"/>
      <c r="AA360" s="1344"/>
      <c r="AB360" s="1709"/>
      <c r="AC360" s="1709"/>
      <c r="AD360" s="1707"/>
    </row>
    <row r="361" customFormat="false" ht="15.75" hidden="true" customHeight="true" outlineLevel="1" collapsed="false">
      <c r="A361" s="1777" t="s">
        <v>3295</v>
      </c>
      <c r="B361" s="1683" t="s">
        <v>15</v>
      </c>
      <c r="C361" s="1692" t="n">
        <f aca="false">$C$143</f>
        <v>0.145</v>
      </c>
      <c r="D361" s="1436" t="n">
        <f aca="false">$D$143</f>
        <v>0.045</v>
      </c>
      <c r="E361" s="1340" t="n">
        <f aca="false">AB124</f>
        <v>0.8</v>
      </c>
      <c r="F361" s="1340" t="n">
        <f aca="false">1*(IF('Ввод данных'!A19=связи1!A150,1,0))</f>
        <v>0</v>
      </c>
      <c r="G361" s="1672" t="n">
        <f aca="false">C361*D361*E361*F361</f>
        <v>0</v>
      </c>
      <c r="H361" s="1672"/>
      <c r="I361" s="1436"/>
      <c r="J361" s="1436"/>
      <c r="K361" s="1344"/>
      <c r="L361" s="1344"/>
      <c r="M361" s="1344"/>
      <c r="N361" s="1344"/>
      <c r="O361" s="1344"/>
      <c r="P361" s="1707"/>
      <c r="Q361" s="1707"/>
      <c r="R361" s="1707"/>
      <c r="S361" s="1344"/>
      <c r="T361" s="1344"/>
      <c r="U361" s="1753"/>
      <c r="V361" s="1344"/>
      <c r="W361" s="1344"/>
      <c r="X361" s="1344"/>
      <c r="Y361" s="1707"/>
      <c r="Z361" s="1344"/>
      <c r="AA361" s="1344"/>
      <c r="AB361" s="1709"/>
      <c r="AC361" s="1709"/>
      <c r="AD361" s="1707"/>
    </row>
    <row r="362" customFormat="false" ht="15.75" hidden="true" customHeight="true" outlineLevel="1" collapsed="false">
      <c r="A362" s="1777" t="s">
        <v>3296</v>
      </c>
      <c r="B362" s="1683" t="s">
        <v>15</v>
      </c>
      <c r="C362" s="1692" t="n">
        <f aca="false">$C$143</f>
        <v>0.145</v>
      </c>
      <c r="D362" s="1436" t="n">
        <f aca="false">$D$143</f>
        <v>0.045</v>
      </c>
      <c r="E362" s="1340" t="n">
        <f aca="false">AB125</f>
        <v>0</v>
      </c>
      <c r="F362" s="1340" t="n">
        <f aca="false">1*(IF('Ввод данных'!A19=связи1!A150,1,0))</f>
        <v>0</v>
      </c>
      <c r="G362" s="1672" t="n">
        <f aca="false">C362*D362*E362*F362</f>
        <v>0</v>
      </c>
      <c r="H362" s="1672"/>
      <c r="I362" s="1436"/>
      <c r="J362" s="1436"/>
      <c r="K362" s="1344"/>
      <c r="L362" s="1344"/>
      <c r="M362" s="1344"/>
      <c r="N362" s="1344"/>
      <c r="O362" s="1344"/>
      <c r="P362" s="1707"/>
      <c r="Q362" s="1707"/>
      <c r="R362" s="1707"/>
      <c r="S362" s="1344"/>
      <c r="T362" s="1344"/>
      <c r="U362" s="1753"/>
      <c r="V362" s="1344"/>
      <c r="W362" s="1344"/>
      <c r="X362" s="1344"/>
      <c r="Y362" s="1707"/>
      <c r="Z362" s="1344"/>
      <c r="AA362" s="1344"/>
      <c r="AB362" s="1709"/>
      <c r="AC362" s="1709"/>
      <c r="AD362" s="1707"/>
    </row>
    <row r="363" customFormat="false" ht="15.75" hidden="true" customHeight="true" outlineLevel="1" collapsed="false">
      <c r="A363" s="1777" t="s">
        <v>3297</v>
      </c>
      <c r="B363" s="1683" t="s">
        <v>15</v>
      </c>
      <c r="C363" s="1692" t="n">
        <f aca="false">$C$143</f>
        <v>0.145</v>
      </c>
      <c r="D363" s="1436" t="n">
        <f aca="false">$D$143</f>
        <v>0.045</v>
      </c>
      <c r="E363" s="1340" t="n">
        <f aca="false">AB126</f>
        <v>0</v>
      </c>
      <c r="F363" s="1340" t="n">
        <f aca="false">1*(IF('Ввод данных'!A19=связи1!A150,1,0))</f>
        <v>0</v>
      </c>
      <c r="G363" s="1672" t="n">
        <f aca="false">C363*D363*E363*F363</f>
        <v>0</v>
      </c>
      <c r="H363" s="1672"/>
      <c r="I363" s="1436"/>
      <c r="J363" s="1436"/>
      <c r="K363" s="1344"/>
      <c r="L363" s="1344"/>
      <c r="M363" s="1344"/>
      <c r="N363" s="1344"/>
      <c r="O363" s="1344"/>
      <c r="P363" s="1707"/>
      <c r="Q363" s="1707"/>
      <c r="R363" s="1707"/>
      <c r="S363" s="1344"/>
      <c r="T363" s="1344"/>
      <c r="U363" s="1753"/>
      <c r="V363" s="1344"/>
      <c r="W363" s="1344"/>
      <c r="X363" s="1344"/>
      <c r="Y363" s="1707"/>
      <c r="Z363" s="1344"/>
      <c r="AA363" s="1344"/>
      <c r="AB363" s="1709"/>
      <c r="AC363" s="1709"/>
      <c r="AD363" s="1707"/>
    </row>
    <row r="364" customFormat="false" ht="15.75" hidden="true" customHeight="true" outlineLevel="1" collapsed="false">
      <c r="A364" s="1777" t="s">
        <v>3298</v>
      </c>
      <c r="B364" s="1683" t="s">
        <v>15</v>
      </c>
      <c r="C364" s="1692" t="n">
        <f aca="false">$C$143</f>
        <v>0.145</v>
      </c>
      <c r="D364" s="1436" t="n">
        <f aca="false">$D$143</f>
        <v>0.045</v>
      </c>
      <c r="E364" s="1340" t="n">
        <f aca="false">AB127</f>
        <v>0.9</v>
      </c>
      <c r="F364" s="1340" t="n">
        <f aca="false">1*(IF('Ввод данных'!A19=связи1!A150,1,0))</f>
        <v>0</v>
      </c>
      <c r="G364" s="1672" t="n">
        <f aca="false">C364*D364*E364*F364</f>
        <v>0</v>
      </c>
      <c r="H364" s="1672"/>
      <c r="I364" s="1436"/>
      <c r="J364" s="1436"/>
      <c r="K364" s="1344"/>
      <c r="L364" s="1344"/>
      <c r="M364" s="1344"/>
      <c r="N364" s="1344"/>
      <c r="O364" s="1344"/>
      <c r="P364" s="1707"/>
      <c r="Q364" s="1707"/>
      <c r="R364" s="1707"/>
      <c r="S364" s="1344"/>
      <c r="T364" s="1344"/>
      <c r="U364" s="1753"/>
      <c r="V364" s="1344"/>
      <c r="W364" s="1344"/>
      <c r="X364" s="1344"/>
      <c r="Y364" s="1707"/>
      <c r="Z364" s="1344"/>
      <c r="AA364" s="1344"/>
      <c r="AB364" s="1709"/>
      <c r="AC364" s="1709"/>
      <c r="AD364" s="1707"/>
    </row>
    <row r="365" customFormat="false" ht="15.75" hidden="true" customHeight="true" outlineLevel="1" collapsed="false">
      <c r="A365" s="1777" t="s">
        <v>3299</v>
      </c>
      <c r="B365" s="1683" t="s">
        <v>15</v>
      </c>
      <c r="C365" s="1692" t="n">
        <f aca="false">$C$143</f>
        <v>0.145</v>
      </c>
      <c r="D365" s="1436" t="n">
        <f aca="false">$D$143</f>
        <v>0.045</v>
      </c>
      <c r="E365" s="1340" t="n">
        <f aca="false">AB128</f>
        <v>1</v>
      </c>
      <c r="F365" s="1340" t="n">
        <f aca="false">1*(IF('Ввод данных'!A19=связи1!A150,1,0))</f>
        <v>0</v>
      </c>
      <c r="G365" s="1672" t="n">
        <f aca="false">C365*D365*E365*F365</f>
        <v>0</v>
      </c>
      <c r="H365" s="1672"/>
      <c r="I365" s="1436"/>
      <c r="J365" s="1436"/>
      <c r="K365" s="1344"/>
      <c r="L365" s="1344"/>
      <c r="M365" s="1344"/>
      <c r="N365" s="1344"/>
      <c r="O365" s="1344"/>
      <c r="P365" s="1707"/>
      <c r="Q365" s="1707"/>
      <c r="R365" s="1707"/>
      <c r="S365" s="1344"/>
      <c r="T365" s="1344"/>
      <c r="U365" s="1753"/>
      <c r="V365" s="1344"/>
      <c r="W365" s="1344"/>
      <c r="X365" s="1344"/>
      <c r="Y365" s="1707"/>
      <c r="Z365" s="1344"/>
      <c r="AA365" s="1344"/>
      <c r="AB365" s="1709"/>
      <c r="AC365" s="1709"/>
      <c r="AD365" s="1707"/>
    </row>
    <row r="366" customFormat="false" ht="15.75" hidden="true" customHeight="true" outlineLevel="1" collapsed="false">
      <c r="A366" s="1777" t="s">
        <v>3300</v>
      </c>
      <c r="B366" s="1683" t="s">
        <v>15</v>
      </c>
      <c r="C366" s="1692" t="n">
        <f aca="false">$C$143</f>
        <v>0.145</v>
      </c>
      <c r="D366" s="1436" t="n">
        <f aca="false">$D$143</f>
        <v>0.045</v>
      </c>
      <c r="E366" s="1340" t="n">
        <f aca="false">$E$375</f>
        <v>2.8</v>
      </c>
      <c r="F366" s="1340" t="n">
        <f aca="false">2*(IF('Ввод данных'!A19=связи1!A150,1,0))</f>
        <v>0</v>
      </c>
      <c r="G366" s="1672" t="n">
        <f aca="false">C366*D366*E366*F366</f>
        <v>0</v>
      </c>
      <c r="H366" s="1672"/>
      <c r="I366" s="1436"/>
      <c r="J366" s="1436"/>
      <c r="K366" s="1344"/>
      <c r="L366" s="1344"/>
      <c r="M366" s="1344"/>
      <c r="N366" s="1344"/>
      <c r="O366" s="1344"/>
      <c r="P366" s="1707"/>
      <c r="Q366" s="1707"/>
      <c r="R366" s="1707"/>
      <c r="S366" s="1344"/>
      <c r="T366" s="1344"/>
      <c r="U366" s="1753"/>
      <c r="V366" s="1344"/>
      <c r="W366" s="1344"/>
      <c r="X366" s="1344"/>
      <c r="Y366" s="1707"/>
      <c r="Z366" s="1344"/>
      <c r="AA366" s="1344"/>
      <c r="AB366" s="1709"/>
      <c r="AC366" s="1709"/>
      <c r="AD366" s="1707"/>
    </row>
    <row r="367" customFormat="false" ht="15.75" hidden="true" customHeight="true" outlineLevel="1" collapsed="false">
      <c r="A367" s="1777" t="s">
        <v>3301</v>
      </c>
      <c r="B367" s="1683" t="s">
        <v>15</v>
      </c>
      <c r="C367" s="1294" t="n">
        <f aca="false">$K$375</f>
        <v>0.145</v>
      </c>
      <c r="D367" s="1672" t="n">
        <f aca="false">$J$375</f>
        <v>0.045</v>
      </c>
      <c r="E367" s="1340" t="n">
        <f aca="false">AB375</f>
        <v>0.8</v>
      </c>
      <c r="F367" s="1340" t="n">
        <f aca="false">1*(IF('Ввод данных'!A19=связи1!A150,1,0))</f>
        <v>0</v>
      </c>
      <c r="G367" s="1672" t="n">
        <f aca="false">C367*D367*E367*F367</f>
        <v>0</v>
      </c>
      <c r="H367" s="1672"/>
      <c r="I367" s="1436"/>
      <c r="J367" s="1436"/>
      <c r="K367" s="1344"/>
      <c r="L367" s="1344"/>
      <c r="M367" s="1344"/>
      <c r="N367" s="1344"/>
      <c r="O367" s="1344"/>
      <c r="P367" s="1707"/>
      <c r="Q367" s="1707"/>
      <c r="R367" s="1707"/>
      <c r="S367" s="1344"/>
      <c r="T367" s="1344"/>
      <c r="U367" s="1753"/>
      <c r="V367" s="1344"/>
      <c r="W367" s="1344"/>
      <c r="X367" s="1344"/>
      <c r="Y367" s="1707"/>
      <c r="Z367" s="1344"/>
      <c r="AA367" s="1344"/>
      <c r="AB367" s="1709"/>
      <c r="AC367" s="1709"/>
      <c r="AD367" s="1707"/>
    </row>
    <row r="368" customFormat="false" ht="15.75" hidden="true" customHeight="true" outlineLevel="1" collapsed="false">
      <c r="A368" s="1777" t="s">
        <v>3302</v>
      </c>
      <c r="B368" s="1683" t="s">
        <v>15</v>
      </c>
      <c r="C368" s="1294" t="n">
        <f aca="false">$K$375</f>
        <v>0.145</v>
      </c>
      <c r="D368" s="1672" t="n">
        <f aca="false">$J$375</f>
        <v>0.045</v>
      </c>
      <c r="E368" s="1340" t="n">
        <f aca="false">AB376</f>
        <v>0.6</v>
      </c>
      <c r="F368" s="1340" t="n">
        <f aca="false">1*(IF('Ввод данных'!A19=связи1!A150,1,0))</f>
        <v>0</v>
      </c>
      <c r="G368" s="1672" t="n">
        <f aca="false">C368*D368*E368*F368</f>
        <v>0</v>
      </c>
      <c r="H368" s="1672"/>
      <c r="I368" s="1436"/>
      <c r="J368" s="1436"/>
      <c r="K368" s="1344"/>
      <c r="L368" s="1344"/>
      <c r="M368" s="1344"/>
      <c r="N368" s="1344"/>
      <c r="O368" s="1344"/>
      <c r="P368" s="1707"/>
      <c r="Q368" s="1707"/>
      <c r="R368" s="1707"/>
      <c r="S368" s="1344"/>
      <c r="T368" s="1344"/>
      <c r="U368" s="1753"/>
      <c r="V368" s="1344"/>
      <c r="W368" s="1344"/>
      <c r="X368" s="1344"/>
      <c r="Y368" s="1707"/>
      <c r="Z368" s="1344"/>
      <c r="AA368" s="1344"/>
      <c r="AB368" s="1709"/>
      <c r="AC368" s="1709"/>
      <c r="AD368" s="1707"/>
    </row>
    <row r="369" customFormat="false" ht="15.75" hidden="true" customHeight="true" outlineLevel="1" collapsed="false">
      <c r="A369" s="1777" t="s">
        <v>3303</v>
      </c>
      <c r="B369" s="1683" t="s">
        <v>15</v>
      </c>
      <c r="C369" s="1294" t="n">
        <f aca="false">$K$375</f>
        <v>0.145</v>
      </c>
      <c r="D369" s="1672" t="n">
        <f aca="false">$J$375</f>
        <v>0.045</v>
      </c>
      <c r="E369" s="1340" t="n">
        <f aca="false">AB377</f>
        <v>0.9</v>
      </c>
      <c r="F369" s="1340" t="n">
        <f aca="false">1*(IF('Ввод данных'!A19=связи1!A150,1,0))</f>
        <v>0</v>
      </c>
      <c r="G369" s="1672" t="n">
        <f aca="false">C369*D369*E369*F369</f>
        <v>0</v>
      </c>
      <c r="H369" s="1672"/>
      <c r="I369" s="1436"/>
      <c r="J369" s="1436"/>
      <c r="K369" s="1344"/>
      <c r="L369" s="1344"/>
      <c r="M369" s="1344"/>
      <c r="N369" s="1344"/>
      <c r="O369" s="1344"/>
      <c r="P369" s="1707"/>
      <c r="Q369" s="1707"/>
      <c r="R369" s="1707"/>
      <c r="S369" s="1344"/>
      <c r="T369" s="1344"/>
      <c r="U369" s="1753"/>
      <c r="V369" s="1344"/>
      <c r="W369" s="1344"/>
      <c r="X369" s="1344"/>
      <c r="Y369" s="1707"/>
      <c r="Z369" s="1344"/>
      <c r="AA369" s="1344"/>
      <c r="AB369" s="1709"/>
      <c r="AC369" s="1709"/>
      <c r="AD369" s="1707"/>
    </row>
    <row r="370" customFormat="false" ht="15.75" hidden="true" customHeight="true" outlineLevel="1" collapsed="false">
      <c r="A370" s="1777" t="s">
        <v>3304</v>
      </c>
      <c r="B370" s="1683" t="s">
        <v>15</v>
      </c>
      <c r="C370" s="1294" t="n">
        <f aca="false">$K$375</f>
        <v>0.145</v>
      </c>
      <c r="D370" s="1672" t="n">
        <f aca="false">$J$375</f>
        <v>0.045</v>
      </c>
      <c r="E370" s="1340" t="n">
        <f aca="false">AB378</f>
        <v>0</v>
      </c>
      <c r="F370" s="1340" t="n">
        <f aca="false">1*(IF('Ввод данных'!A19=связи1!A150,1,0))</f>
        <v>0</v>
      </c>
      <c r="G370" s="1672" t="n">
        <f aca="false">C370*D370*E370*F370</f>
        <v>0</v>
      </c>
      <c r="H370" s="1672"/>
      <c r="I370" s="1436"/>
      <c r="J370" s="1436"/>
      <c r="K370" s="1344"/>
      <c r="L370" s="1344"/>
      <c r="M370" s="1344"/>
      <c r="N370" s="1344"/>
      <c r="O370" s="1344"/>
      <c r="P370" s="1707"/>
      <c r="Q370" s="1707"/>
      <c r="R370" s="1707"/>
      <c r="S370" s="1344"/>
      <c r="T370" s="1344"/>
      <c r="U370" s="1753"/>
      <c r="V370" s="1344"/>
      <c r="W370" s="1344"/>
      <c r="X370" s="1344"/>
      <c r="Y370" s="1707"/>
      <c r="Z370" s="1344"/>
      <c r="AA370" s="1344"/>
      <c r="AB370" s="1709"/>
      <c r="AC370" s="1709"/>
      <c r="AD370" s="1707"/>
    </row>
    <row r="371" customFormat="false" ht="15.75" hidden="true" customHeight="true" outlineLevel="1" collapsed="false">
      <c r="A371" s="1777" t="s">
        <v>3305</v>
      </c>
      <c r="B371" s="1683" t="s">
        <v>15</v>
      </c>
      <c r="C371" s="1294" t="n">
        <f aca="false">$K$375</f>
        <v>0.145</v>
      </c>
      <c r="D371" s="1672" t="n">
        <f aca="false">$J$375</f>
        <v>0.045</v>
      </c>
      <c r="E371" s="1340" t="n">
        <f aca="false">U387</f>
        <v>0</v>
      </c>
      <c r="F371" s="1340" t="n">
        <f aca="false">2*(IF('Ввод данных'!A19=связи1!A150,1,0))</f>
        <v>0</v>
      </c>
      <c r="G371" s="1672" t="n">
        <f aca="false">C371*D371*E371*F371</f>
        <v>0</v>
      </c>
      <c r="H371" s="1672"/>
      <c r="I371" s="1436"/>
      <c r="J371" s="1436"/>
      <c r="K371" s="1344"/>
      <c r="L371" s="1344"/>
      <c r="M371" s="1344"/>
      <c r="N371" s="1344"/>
      <c r="O371" s="1344"/>
      <c r="P371" s="1707"/>
      <c r="Q371" s="1707"/>
      <c r="R371" s="1707"/>
      <c r="S371" s="1344"/>
      <c r="T371" s="1344"/>
      <c r="U371" s="1753"/>
      <c r="V371" s="1344"/>
      <c r="W371" s="1344"/>
      <c r="X371" s="1344"/>
      <c r="Y371" s="1707"/>
      <c r="Z371" s="1344"/>
      <c r="AA371" s="1344"/>
      <c r="AB371" s="1709"/>
      <c r="AC371" s="1709"/>
      <c r="AD371" s="1707"/>
    </row>
    <row r="372" customFormat="false" ht="15.75" hidden="true" customHeight="true" outlineLevel="1" collapsed="false">
      <c r="A372" s="1777" t="s">
        <v>3306</v>
      </c>
      <c r="B372" s="1683" t="s">
        <v>15</v>
      </c>
      <c r="C372" s="1294" t="n">
        <f aca="false">$K$375</f>
        <v>0.145</v>
      </c>
      <c r="D372" s="1672" t="n">
        <f aca="false">$J$375</f>
        <v>0.045</v>
      </c>
      <c r="E372" s="1340" t="n">
        <f aca="false">W385</f>
        <v>2</v>
      </c>
      <c r="F372" s="1340" t="n">
        <f aca="false">1*(IF('Ввод данных'!A19=связи1!A150,1,0))</f>
        <v>0</v>
      </c>
      <c r="G372" s="1672" t="n">
        <f aca="false">C372*D372*E372*F372</f>
        <v>0</v>
      </c>
      <c r="H372" s="1672"/>
      <c r="I372" s="1436"/>
      <c r="J372" s="1436"/>
      <c r="K372" s="1344"/>
      <c r="L372" s="1344"/>
      <c r="M372" s="1344"/>
      <c r="N372" s="1344"/>
      <c r="O372" s="1344"/>
      <c r="P372" s="1707"/>
      <c r="Q372" s="1707"/>
      <c r="R372" s="1707"/>
      <c r="S372" s="1344"/>
      <c r="T372" s="1344"/>
      <c r="U372" s="1753"/>
      <c r="V372" s="1344"/>
      <c r="W372" s="1344"/>
      <c r="X372" s="1344"/>
      <c r="Y372" s="1707"/>
      <c r="Z372" s="1344"/>
      <c r="AA372" s="1344"/>
      <c r="AB372" s="1709"/>
      <c r="AC372" s="1709"/>
      <c r="AD372" s="1707"/>
    </row>
    <row r="373" customFormat="false" ht="15.75" hidden="true" customHeight="true" outlineLevel="1" collapsed="false">
      <c r="A373" s="1777" t="s">
        <v>3307</v>
      </c>
      <c r="B373" s="1683" t="s">
        <v>15</v>
      </c>
      <c r="C373" s="1294" t="n">
        <f aca="false">$K$375</f>
        <v>0.145</v>
      </c>
      <c r="D373" s="1672" t="n">
        <f aca="false">$J$375</f>
        <v>0.045</v>
      </c>
      <c r="E373" s="1340" t="n">
        <f aca="false">W386</f>
        <v>0</v>
      </c>
      <c r="F373" s="1340" t="n">
        <f aca="false">1*(IF('Ввод данных'!A19=связи1!A150,1,0))</f>
        <v>0</v>
      </c>
      <c r="G373" s="1672" t="n">
        <f aca="false">C373*D373*E373*F373</f>
        <v>0</v>
      </c>
      <c r="H373" s="1672"/>
      <c r="I373" s="1436"/>
      <c r="J373" s="1436"/>
      <c r="K373" s="1344"/>
      <c r="L373" s="1344"/>
      <c r="M373" s="1344"/>
      <c r="N373" s="1344"/>
      <c r="O373" s="1344"/>
      <c r="P373" s="1707"/>
      <c r="Q373" s="1707"/>
      <c r="R373" s="1707"/>
      <c r="S373" s="1344"/>
      <c r="T373" s="1344"/>
      <c r="U373" s="1753"/>
      <c r="V373" s="1344"/>
      <c r="W373" s="1344"/>
      <c r="X373" s="1344"/>
      <c r="Y373" s="1707"/>
      <c r="Z373" s="1344"/>
      <c r="AA373" s="1344"/>
      <c r="AB373" s="1709"/>
      <c r="AC373" s="1709"/>
      <c r="AD373" s="1707"/>
    </row>
    <row r="374" customFormat="false" ht="15.75" hidden="true" customHeight="true" outlineLevel="1" collapsed="false">
      <c r="A374" s="1754"/>
      <c r="B374" s="1696" t="s">
        <v>12</v>
      </c>
      <c r="C374" s="1728" t="s">
        <v>200</v>
      </c>
      <c r="D374" s="1396" t="s">
        <v>118</v>
      </c>
      <c r="E374" s="1683" t="s">
        <v>137</v>
      </c>
      <c r="F374" s="1683" t="s">
        <v>3119</v>
      </c>
      <c r="G374" s="1396" t="n">
        <f aca="false">SUM(G143:G373)</f>
        <v>0.308768868873058</v>
      </c>
      <c r="H374" s="1396"/>
      <c r="I374" s="1396" t="s">
        <v>2968</v>
      </c>
      <c r="J374" s="1396" t="s">
        <v>2491</v>
      </c>
      <c r="K374" s="1396" t="s">
        <v>116</v>
      </c>
      <c r="L374" s="1396"/>
      <c r="M374" s="1396"/>
      <c r="N374" s="1396"/>
      <c r="O374" s="1635" t="s">
        <v>3120</v>
      </c>
      <c r="P374" s="1752" t="s">
        <v>3121</v>
      </c>
      <c r="Q374" s="1752" t="s">
        <v>3122</v>
      </c>
      <c r="R374" s="1752" t="s">
        <v>3123</v>
      </c>
      <c r="S374" s="1436" t="s">
        <v>2773</v>
      </c>
      <c r="T374" s="1635" t="s">
        <v>3124</v>
      </c>
      <c r="U374" s="1753" t="n">
        <f aca="false">'Ввод данных'!E167</f>
        <v>0</v>
      </c>
      <c r="V374" s="1635"/>
      <c r="W374" s="1436" t="n">
        <f aca="false">'Ввод данных'!C167</f>
        <v>0.6</v>
      </c>
      <c r="X374" s="1436" t="n">
        <v>2</v>
      </c>
      <c r="Y374" s="1700"/>
      <c r="Z374" s="1436" t="s">
        <v>3308</v>
      </c>
      <c r="AA374" s="1635"/>
      <c r="AD374" s="1756" t="n">
        <f aca="false">(AB124*Z124+AB127*Z127+AB128*Z128)*R131</f>
        <v>0.36</v>
      </c>
    </row>
    <row r="375" s="1783" customFormat="true" ht="15.75" hidden="true" customHeight="true" outlineLevel="1" collapsed="false">
      <c r="A375" s="1778" t="s">
        <v>3309</v>
      </c>
      <c r="B375" s="1779" t="s">
        <v>15</v>
      </c>
      <c r="C375" s="1622" t="n">
        <f aca="false">'Ввод данных'!C202*(IF('Ввод данных'!A19=связи1!A150,1,0))</f>
        <v>0</v>
      </c>
      <c r="D375" s="1625" t="n">
        <f aca="false">'Ввод данных'!D202</f>
        <v>2</v>
      </c>
      <c r="E375" s="1621" t="n">
        <f aca="false">($E$124+$E$125)</f>
        <v>2.8</v>
      </c>
      <c r="F375" s="1621" t="n">
        <f aca="false">C375*D375*E375</f>
        <v>0</v>
      </c>
      <c r="G375" s="1625" t="n">
        <f aca="false">'Ввод данных'!C1112</f>
        <v>0.6</v>
      </c>
      <c r="H375" s="1625"/>
      <c r="I375" s="1625" t="n">
        <f aca="false">IF(C375=0,0,C375/G375+1)</f>
        <v>0</v>
      </c>
      <c r="J375" s="1625" t="n">
        <f aca="false">VLOOKUP('Ввод данных'!A1117,связи1!A406:G415,7,0)</f>
        <v>0.045</v>
      </c>
      <c r="K375" s="1625" t="n">
        <f aca="false">$C$151</f>
        <v>0.145</v>
      </c>
      <c r="L375" s="1625" t="n">
        <f aca="false">CEILING(C375/G375+1,1)</f>
        <v>1</v>
      </c>
      <c r="M375" s="1625"/>
      <c r="N375" s="1625"/>
      <c r="O375" s="1635" t="n">
        <f aca="false">E375*I375*J375*K375</f>
        <v>0</v>
      </c>
      <c r="P375" s="1780" t="n">
        <f aca="false">C375</f>
        <v>0</v>
      </c>
      <c r="Q375" s="1780" t="n">
        <f aca="false">C375</f>
        <v>0</v>
      </c>
      <c r="R375" s="1780" t="n">
        <f aca="false">C375</f>
        <v>0</v>
      </c>
      <c r="S375" s="1781" t="n">
        <f aca="false">C375*D375</f>
        <v>0</v>
      </c>
      <c r="T375" s="1635" t="n">
        <f aca="false">(P375+Q375+R375)*J375*K375</f>
        <v>0</v>
      </c>
      <c r="U375" s="1753" t="n">
        <f aca="false">'Ввод данных'!E168</f>
        <v>0</v>
      </c>
      <c r="V375" s="1635" t="n">
        <f aca="false">U375*E375*J375*$K$124</f>
        <v>0</v>
      </c>
      <c r="W375" s="1436" t="n">
        <f aca="false">'Ввод данных'!C168</f>
        <v>0.8</v>
      </c>
      <c r="X375" s="1625" t="n">
        <v>2</v>
      </c>
      <c r="Y375" s="1700" t="n">
        <f aca="false">W375*$K$124*J375*X375</f>
        <v>0.01044</v>
      </c>
      <c r="Z375" s="1781" t="n">
        <f aca="false">'Ввод данных'!E181</f>
        <v>3</v>
      </c>
      <c r="AA375" s="1635" t="n">
        <f aca="false">Z375*E375*J375*K375*2</f>
        <v>0.10962</v>
      </c>
      <c r="AB375" s="1782" t="n">
        <f aca="false">'Ввод данных'!C181</f>
        <v>0.8</v>
      </c>
      <c r="AC375" s="1782"/>
      <c r="AD375" s="1700" t="n">
        <f aca="false">AB375*K375*J375</f>
        <v>0.00522</v>
      </c>
    </row>
    <row r="376" s="1783" customFormat="true" ht="15.75" hidden="true" customHeight="true" outlineLevel="1" collapsed="false">
      <c r="A376" s="1778"/>
      <c r="B376" s="1779" t="s">
        <v>15</v>
      </c>
      <c r="C376" s="1622" t="n">
        <f aca="false">'Ввод данных'!C203*(IF('Ввод данных'!A19=связи1!A150,1,0))</f>
        <v>0</v>
      </c>
      <c r="D376" s="1625" t="n">
        <f aca="false">'Ввод данных'!D203</f>
        <v>1</v>
      </c>
      <c r="E376" s="1621" t="n">
        <f aca="false">$E$124+$E$125</f>
        <v>2.8</v>
      </c>
      <c r="F376" s="1621" t="n">
        <f aca="false">C376*D376*E376</f>
        <v>0</v>
      </c>
      <c r="G376" s="1625" t="n">
        <f aca="false">'Ввод данных'!C1112</f>
        <v>0.6</v>
      </c>
      <c r="H376" s="1625"/>
      <c r="I376" s="1625" t="n">
        <f aca="false">IF(C376=0,0,C376/G376+1)</f>
        <v>0</v>
      </c>
      <c r="J376" s="1625" t="n">
        <f aca="false">VLOOKUP('Ввод данных'!A1117,связи1!A406:G415,7,0)</f>
        <v>0.045</v>
      </c>
      <c r="K376" s="1625" t="n">
        <f aca="false">$C$151</f>
        <v>0.145</v>
      </c>
      <c r="L376" s="1625" t="n">
        <f aca="false">CEILING(C376/G376+1,1)</f>
        <v>1</v>
      </c>
      <c r="M376" s="1625"/>
      <c r="N376" s="1625"/>
      <c r="O376" s="1635" t="n">
        <f aca="false">E376*I376*J376*K376</f>
        <v>0</v>
      </c>
      <c r="P376" s="1780" t="n">
        <f aca="false">C376</f>
        <v>0</v>
      </c>
      <c r="Q376" s="1780" t="n">
        <f aca="false">C376</f>
        <v>0</v>
      </c>
      <c r="R376" s="1780" t="n">
        <f aca="false">C376</f>
        <v>0</v>
      </c>
      <c r="S376" s="1781" t="n">
        <f aca="false">C376*D376</f>
        <v>0</v>
      </c>
      <c r="T376" s="1635" t="n">
        <f aca="false">(P376+Q376+R376)*J376*K376</f>
        <v>0</v>
      </c>
      <c r="U376" s="1753" t="n">
        <f aca="false">'Ввод данных'!E169</f>
        <v>0</v>
      </c>
      <c r="V376" s="1635" t="n">
        <f aca="false">U376*E376*J376*$K$124</f>
        <v>0</v>
      </c>
      <c r="W376" s="1436" t="n">
        <f aca="false">'Ввод данных'!C169</f>
        <v>1</v>
      </c>
      <c r="X376" s="1625" t="n">
        <v>2</v>
      </c>
      <c r="Y376" s="1700" t="n">
        <f aca="false">W376*$K$124*J376*X376</f>
        <v>0.01305</v>
      </c>
      <c r="Z376" s="1781" t="n">
        <f aca="false">'Ввод данных'!E182</f>
        <v>0</v>
      </c>
      <c r="AA376" s="1635" t="n">
        <f aca="false">Z376*E376*J376*K376</f>
        <v>0</v>
      </c>
      <c r="AB376" s="1782" t="n">
        <f aca="false">'Ввод данных'!C182</f>
        <v>0.6</v>
      </c>
      <c r="AC376" s="1782"/>
      <c r="AD376" s="1700" t="n">
        <f aca="false">AB376*K376*J376</f>
        <v>0.003915</v>
      </c>
    </row>
    <row r="377" s="1783" customFormat="true" ht="15.75" hidden="true" customHeight="true" outlineLevel="1" collapsed="false">
      <c r="A377" s="1778"/>
      <c r="B377" s="1779" t="s">
        <v>15</v>
      </c>
      <c r="C377" s="1622" t="n">
        <f aca="false">'Ввод данных'!C204*(IF('Ввод данных'!A19=связи1!A150,1,0))</f>
        <v>0</v>
      </c>
      <c r="D377" s="1625" t="n">
        <f aca="false">'Ввод данных'!D204</f>
        <v>0</v>
      </c>
      <c r="E377" s="1621" t="n">
        <f aca="false">$E$124+$E$125</f>
        <v>2.8</v>
      </c>
      <c r="F377" s="1621" t="n">
        <f aca="false">C377*D377*E377</f>
        <v>0</v>
      </c>
      <c r="G377" s="1625" t="n">
        <f aca="false">'Ввод данных'!C1112</f>
        <v>0.6</v>
      </c>
      <c r="H377" s="1625"/>
      <c r="I377" s="1625" t="n">
        <f aca="false">IF(C377=0,0,C377/G377+1)</f>
        <v>0</v>
      </c>
      <c r="J377" s="1625" t="n">
        <f aca="false">VLOOKUP('Ввод данных'!A1117,связи1!A406:G415,7,0)</f>
        <v>0.045</v>
      </c>
      <c r="K377" s="1625" t="n">
        <f aca="false">$C$151</f>
        <v>0.145</v>
      </c>
      <c r="L377" s="1625" t="n">
        <f aca="false">CEILING(C377/G377+1,1)</f>
        <v>1</v>
      </c>
      <c r="M377" s="1625"/>
      <c r="N377" s="1625"/>
      <c r="O377" s="1635" t="n">
        <f aca="false">E377*I377*J377*K377</f>
        <v>0</v>
      </c>
      <c r="P377" s="1780" t="n">
        <f aca="false">C377</f>
        <v>0</v>
      </c>
      <c r="Q377" s="1780" t="n">
        <f aca="false">C377</f>
        <v>0</v>
      </c>
      <c r="R377" s="1780" t="n">
        <f aca="false">C377</f>
        <v>0</v>
      </c>
      <c r="S377" s="1781" t="n">
        <f aca="false">C377*D377</f>
        <v>0</v>
      </c>
      <c r="T377" s="1635" t="n">
        <f aca="false">(P377+Q377+R377)*J377*K377</f>
        <v>0</v>
      </c>
      <c r="U377" s="1753" t="n">
        <f aca="false">'Ввод данных'!E170</f>
        <v>0</v>
      </c>
      <c r="V377" s="1635" t="n">
        <f aca="false">U377*E377*J377*$K$124</f>
        <v>0</v>
      </c>
      <c r="W377" s="1436" t="n">
        <f aca="false">'Ввод данных'!C170</f>
        <v>5</v>
      </c>
      <c r="X377" s="1625" t="n">
        <v>2</v>
      </c>
      <c r="Y377" s="1700" t="n">
        <f aca="false">W377*$K$124*J377*X377</f>
        <v>0.06525</v>
      </c>
      <c r="Z377" s="1781" t="n">
        <f aca="false">'Ввод данных'!E185</f>
        <v>0</v>
      </c>
      <c r="AA377" s="1635" t="n">
        <f aca="false">Z377*E377*J377*K377</f>
        <v>0</v>
      </c>
      <c r="AB377" s="1782" t="n">
        <f aca="false">'Ввод данных'!C185</f>
        <v>0.9</v>
      </c>
      <c r="AC377" s="1782"/>
      <c r="AD377" s="1700" t="n">
        <f aca="false">AB377*K377*J377</f>
        <v>0.0058725</v>
      </c>
    </row>
    <row r="378" s="1783" customFormat="true" ht="15.75" hidden="true" customHeight="true" outlineLevel="1" collapsed="false">
      <c r="A378" s="1778"/>
      <c r="B378" s="1779" t="s">
        <v>15</v>
      </c>
      <c r="C378" s="1622" t="n">
        <f aca="false">'Ввод данных'!C205*(IF('Ввод данных'!A19=связи1!A150,1,0))</f>
        <v>0</v>
      </c>
      <c r="D378" s="1625" t="n">
        <f aca="false">'Ввод данных'!D205</f>
        <v>0</v>
      </c>
      <c r="E378" s="1621" t="n">
        <f aca="false">$E$124+$E$125</f>
        <v>2.8</v>
      </c>
      <c r="F378" s="1621" t="n">
        <f aca="false">C378*D378*E378</f>
        <v>0</v>
      </c>
      <c r="G378" s="1625" t="n">
        <f aca="false">'Ввод данных'!C1112</f>
        <v>0.6</v>
      </c>
      <c r="H378" s="1625"/>
      <c r="I378" s="1625" t="n">
        <f aca="false">IF(C378=0,0,C378/G378+1)</f>
        <v>0</v>
      </c>
      <c r="J378" s="1625" t="n">
        <f aca="false">VLOOKUP('Ввод данных'!A1117,связи1!A406:G415,7,0)</f>
        <v>0.045</v>
      </c>
      <c r="K378" s="1625" t="n">
        <f aca="false">$C$151</f>
        <v>0.145</v>
      </c>
      <c r="L378" s="1625" t="n">
        <f aca="false">CEILING(C378/G378+1,1)</f>
        <v>1</v>
      </c>
      <c r="M378" s="1625"/>
      <c r="N378" s="1625"/>
      <c r="O378" s="1635" t="n">
        <f aca="false">E378*I378*J378*K378</f>
        <v>0</v>
      </c>
      <c r="P378" s="1780" t="n">
        <f aca="false">C378</f>
        <v>0</v>
      </c>
      <c r="Q378" s="1780" t="n">
        <f aca="false">C378</f>
        <v>0</v>
      </c>
      <c r="R378" s="1780" t="n">
        <f aca="false">C378</f>
        <v>0</v>
      </c>
      <c r="S378" s="1781" t="n">
        <f aca="false">C378*D378</f>
        <v>0</v>
      </c>
      <c r="T378" s="1635" t="n">
        <f aca="false">(P378+Q378+R378)*J378*K378</f>
        <v>0</v>
      </c>
      <c r="U378" s="1753" t="n">
        <f aca="false">'Ввод данных'!E171</f>
        <v>0</v>
      </c>
      <c r="V378" s="1635" t="n">
        <f aca="false">U378*E378*J378*$K$124</f>
        <v>0</v>
      </c>
      <c r="W378" s="1436" t="n">
        <f aca="false">'Ввод данных'!C171</f>
        <v>6</v>
      </c>
      <c r="X378" s="1625" t="n">
        <v>2</v>
      </c>
      <c r="Y378" s="1700" t="n">
        <f aca="false">W378*$K$124*J378*X378</f>
        <v>0.0783</v>
      </c>
      <c r="Z378" s="1625"/>
      <c r="AA378" s="1635"/>
      <c r="AB378" s="1625"/>
      <c r="AC378" s="1625"/>
      <c r="AD378" s="1635"/>
    </row>
    <row r="379" s="1783" customFormat="true" ht="15.75" hidden="true" customHeight="true" outlineLevel="1" collapsed="false">
      <c r="A379" s="1784"/>
      <c r="B379" s="1779"/>
      <c r="C379" s="1622"/>
      <c r="D379" s="1625"/>
      <c r="E379" s="1621" t="n">
        <f aca="false">$E$124+$E$125</f>
        <v>2.8</v>
      </c>
      <c r="F379" s="1621"/>
      <c r="G379" s="1625"/>
      <c r="H379" s="1625"/>
      <c r="I379" s="1625" t="n">
        <f aca="false">CEILING(SUM(I375:I378),1)</f>
        <v>0</v>
      </c>
      <c r="J379" s="1625"/>
      <c r="K379" s="1625"/>
      <c r="L379" s="1625"/>
      <c r="M379" s="1625"/>
      <c r="N379" s="1625"/>
      <c r="O379" s="1756" t="n">
        <f aca="false">связи1!F186</f>
        <v>0.3</v>
      </c>
      <c r="P379" s="1780" t="n">
        <f aca="false">SUM(P375:P378)</f>
        <v>0</v>
      </c>
      <c r="Q379" s="1780" t="n">
        <f aca="false">SUM(Q375:Q378)</f>
        <v>0</v>
      </c>
      <c r="R379" s="1783" t="n">
        <f aca="false">SUM(R375:R378)</f>
        <v>0</v>
      </c>
      <c r="S379" s="1755" t="n">
        <f aca="false">SUM(S375:S378)</f>
        <v>0</v>
      </c>
      <c r="T379" s="1755" t="n">
        <f aca="false">O379*S379</f>
        <v>0</v>
      </c>
      <c r="U379" s="1785" t="n">
        <f aca="false">SUM(U374:U378)</f>
        <v>0</v>
      </c>
      <c r="V379" s="1635"/>
      <c r="W379" s="1625"/>
      <c r="X379" s="1625"/>
      <c r="Y379" s="1700"/>
      <c r="Z379" s="1625"/>
      <c r="AA379" s="1635" t="n">
        <f aca="false">O379</f>
        <v>0.3</v>
      </c>
      <c r="AB379" s="1625"/>
      <c r="AC379" s="1625"/>
      <c r="AD379" s="1755" t="n">
        <f aca="false">(Z375*AB375+Z376*AB376+Z377*AB377)*AA379</f>
        <v>0.72</v>
      </c>
    </row>
    <row r="380" customFormat="false" ht="15.75" hidden="true" customHeight="true" outlineLevel="1" collapsed="false">
      <c r="A380" s="1786" t="s">
        <v>3310</v>
      </c>
      <c r="B380" s="1696" t="s">
        <v>15</v>
      </c>
      <c r="C380" s="1605" t="n">
        <f aca="false">'Ввод данных'!C206*(IF('Ввод данных'!A19=связи1!A150,1,0))</f>
        <v>0</v>
      </c>
      <c r="D380" s="1436" t="n">
        <f aca="false">'Ввод данных'!D206</f>
        <v>1</v>
      </c>
      <c r="E380" s="1621" t="n">
        <f aca="false">$E$124+$E$125</f>
        <v>2.8</v>
      </c>
      <c r="F380" s="1604" t="n">
        <f aca="false">C380*D380*E380</f>
        <v>0</v>
      </c>
      <c r="G380" s="1436" t="n">
        <f aca="false">'Ввод данных'!C1113</f>
        <v>0.6</v>
      </c>
      <c r="H380" s="1436"/>
      <c r="I380" s="1436" t="n">
        <f aca="false">IF(C380=0,0,C380/G380+1)</f>
        <v>0</v>
      </c>
      <c r="J380" s="1436" t="n">
        <f aca="false">$D$180</f>
        <v>0.045</v>
      </c>
      <c r="K380" s="1436" t="n">
        <f aca="false">$C$180</f>
        <v>0.1</v>
      </c>
      <c r="L380" s="1625" t="n">
        <f aca="false">CEILING(C380/G380+1,1)</f>
        <v>1</v>
      </c>
      <c r="M380" s="1625"/>
      <c r="N380" s="1625"/>
      <c r="O380" s="1635" t="n">
        <f aca="false">E380*I380*J380*K380</f>
        <v>0</v>
      </c>
      <c r="P380" s="1714" t="n">
        <f aca="false">C380</f>
        <v>0</v>
      </c>
      <c r="Q380" s="1714" t="n">
        <f aca="false">C380</f>
        <v>0</v>
      </c>
      <c r="R380" s="1714" t="n">
        <f aca="false">SUM(P380:Q380)</f>
        <v>0</v>
      </c>
      <c r="S380" s="1436" t="n">
        <f aca="false">C380*D380</f>
        <v>0</v>
      </c>
      <c r="T380" s="1635" t="n">
        <f aca="false">(P380+Q380+R380)*J380*K380</f>
        <v>0</v>
      </c>
      <c r="U380" s="1753" t="n">
        <f aca="false">'Ввод данных'!E170*2</f>
        <v>0</v>
      </c>
      <c r="V380" s="1635" t="n">
        <f aca="false">U380*E380*J380*$K$124</f>
        <v>0</v>
      </c>
      <c r="W380" s="1436" t="n">
        <f aca="false">'Ввод данных'!C170</f>
        <v>5</v>
      </c>
      <c r="X380" s="1436" t="n">
        <v>2</v>
      </c>
      <c r="Y380" s="1700" t="n">
        <f aca="false">W380*$K$124*J380*X380</f>
        <v>0.06525</v>
      </c>
      <c r="Z380" s="1436"/>
      <c r="AA380" s="1635"/>
      <c r="AB380" s="1436"/>
      <c r="AC380" s="1436"/>
      <c r="AD380" s="1635"/>
    </row>
    <row r="381" customFormat="false" ht="15.75" hidden="true" customHeight="true" outlineLevel="1" collapsed="false">
      <c r="A381" s="1786"/>
      <c r="B381" s="1696" t="s">
        <v>15</v>
      </c>
      <c r="C381" s="1605" t="n">
        <f aca="false">'Ввод данных'!C207*(IF('Ввод данных'!A19=связи1!A150,1,0))</f>
        <v>0</v>
      </c>
      <c r="D381" s="1436" t="n">
        <f aca="false">'Ввод данных'!D207</f>
        <v>0</v>
      </c>
      <c r="E381" s="1621" t="n">
        <f aca="false">$E$124+$E$125</f>
        <v>2.8</v>
      </c>
      <c r="F381" s="1604" t="n">
        <f aca="false">C381*D381*E381</f>
        <v>0</v>
      </c>
      <c r="G381" s="1436" t="n">
        <f aca="false">'Ввод данных'!C1113</f>
        <v>0.6</v>
      </c>
      <c r="H381" s="1436"/>
      <c r="I381" s="1436" t="n">
        <f aca="false">IF(C381=0,0,C381/G381+1)</f>
        <v>0</v>
      </c>
      <c r="J381" s="1436" t="n">
        <f aca="false">$D$180</f>
        <v>0.045</v>
      </c>
      <c r="K381" s="1436" t="n">
        <f aca="false">$C$180</f>
        <v>0.1</v>
      </c>
      <c r="L381" s="1625" t="n">
        <f aca="false">CEILING(C381/G381+1,1)</f>
        <v>1</v>
      </c>
      <c r="M381" s="1625"/>
      <c r="N381" s="1625"/>
      <c r="O381" s="1635" t="n">
        <f aca="false">E381*I381*J381*K381</f>
        <v>0</v>
      </c>
      <c r="P381" s="1714" t="n">
        <f aca="false">C381</f>
        <v>0</v>
      </c>
      <c r="Q381" s="1714" t="n">
        <f aca="false">C381</f>
        <v>0</v>
      </c>
      <c r="R381" s="1714" t="n">
        <f aca="false">SUM(P381:Q381)</f>
        <v>0</v>
      </c>
      <c r="S381" s="1436" t="n">
        <f aca="false">C381*D381</f>
        <v>0</v>
      </c>
      <c r="T381" s="1635" t="n">
        <f aca="false">(P381+Q381+R381)*J381*K381</f>
        <v>0</v>
      </c>
      <c r="U381" s="1753" t="n">
        <f aca="false">'Ввод данных'!E171*2</f>
        <v>0</v>
      </c>
      <c r="V381" s="1635" t="n">
        <f aca="false">U381*E381*J381*$K$124</f>
        <v>0</v>
      </c>
      <c r="W381" s="1436" t="n">
        <f aca="false">'Ввод данных'!C171</f>
        <v>6</v>
      </c>
      <c r="X381" s="1436" t="n">
        <v>2</v>
      </c>
      <c r="Y381" s="1700" t="n">
        <f aca="false">W381*$K$124*J381</f>
        <v>0.03915</v>
      </c>
      <c r="Z381" s="1436"/>
      <c r="AA381" s="1635"/>
      <c r="AB381" s="1436"/>
      <c r="AC381" s="1436"/>
      <c r="AD381" s="1635"/>
    </row>
    <row r="382" customFormat="false" ht="15.75" hidden="true" customHeight="true" outlineLevel="1" collapsed="false">
      <c r="A382" s="1786"/>
      <c r="B382" s="1696" t="s">
        <v>15</v>
      </c>
      <c r="C382" s="1605" t="n">
        <f aca="false">'Ввод данных'!C208*(IF('Ввод данных'!A19=связи1!A150,1,0))</f>
        <v>0</v>
      </c>
      <c r="D382" s="1436" t="n">
        <f aca="false">'Ввод данных'!D208</f>
        <v>0</v>
      </c>
      <c r="E382" s="1621" t="n">
        <f aca="false">$E$124+$E$125</f>
        <v>2.8</v>
      </c>
      <c r="F382" s="1604" t="n">
        <f aca="false">C382*D382*E382</f>
        <v>0</v>
      </c>
      <c r="G382" s="1436" t="n">
        <f aca="false">'Ввод данных'!C1113</f>
        <v>0.6</v>
      </c>
      <c r="H382" s="1436"/>
      <c r="I382" s="1436" t="n">
        <f aca="false">IF(C382=0,0,C382/G382+1)</f>
        <v>0</v>
      </c>
      <c r="J382" s="1436" t="n">
        <f aca="false">$D$180</f>
        <v>0.045</v>
      </c>
      <c r="K382" s="1436" t="n">
        <f aca="false">$C$180</f>
        <v>0.1</v>
      </c>
      <c r="L382" s="1625" t="n">
        <f aca="false">CEILING(C382/G382+1,1)</f>
        <v>1</v>
      </c>
      <c r="M382" s="1625"/>
      <c r="N382" s="1625"/>
      <c r="O382" s="1635" t="n">
        <f aca="false">E382*I382*J382*K382</f>
        <v>0</v>
      </c>
      <c r="P382" s="1714" t="n">
        <f aca="false">C382</f>
        <v>0</v>
      </c>
      <c r="Q382" s="1714" t="n">
        <f aca="false">C382</f>
        <v>0</v>
      </c>
      <c r="R382" s="1714" t="n">
        <f aca="false">SUM(P382:Q382)</f>
        <v>0</v>
      </c>
      <c r="S382" s="1436" t="n">
        <f aca="false">C382*D382</f>
        <v>0</v>
      </c>
      <c r="T382" s="1635" t="n">
        <f aca="false">(P382+Q382+R382)*J382*K382</f>
        <v>0</v>
      </c>
      <c r="U382" s="1753" t="n">
        <f aca="false">'Ввод данных'!E163*2</f>
        <v>0</v>
      </c>
      <c r="V382" s="1635" t="n">
        <f aca="false">U382*E382*J382*$K$124</f>
        <v>0</v>
      </c>
      <c r="W382" s="1436" t="n">
        <f aca="false">'Ввод данных'!C163</f>
        <v>0.8</v>
      </c>
      <c r="X382" s="1436" t="n">
        <v>2</v>
      </c>
      <c r="Y382" s="1700" t="n">
        <f aca="false">W382*$K$124*J382</f>
        <v>0.00522</v>
      </c>
      <c r="Z382" s="1436"/>
      <c r="AA382" s="1635"/>
      <c r="AB382" s="1436"/>
      <c r="AC382" s="1436"/>
      <c r="AD382" s="1635"/>
    </row>
    <row r="383" customFormat="false" ht="15.75" hidden="true" customHeight="true" outlineLevel="1" collapsed="false">
      <c r="A383" s="1786"/>
      <c r="B383" s="1696" t="s">
        <v>15</v>
      </c>
      <c r="C383" s="1605" t="n">
        <f aca="false">'Ввод данных'!C209*(IF('Ввод данных'!A19=связи1!A150,1,0))</f>
        <v>0</v>
      </c>
      <c r="D383" s="1436" t="n">
        <f aca="false">'Ввод данных'!D209</f>
        <v>0</v>
      </c>
      <c r="E383" s="1621" t="n">
        <f aca="false">$E$124+$E$125</f>
        <v>2.8</v>
      </c>
      <c r="F383" s="1604" t="n">
        <f aca="false">C383*D383*E383</f>
        <v>0</v>
      </c>
      <c r="G383" s="1436" t="n">
        <f aca="false">'Ввод данных'!C1113</f>
        <v>0.6</v>
      </c>
      <c r="H383" s="1436"/>
      <c r="I383" s="1436" t="n">
        <f aca="false">IF(C383=0,0,C383/G383+1)</f>
        <v>0</v>
      </c>
      <c r="J383" s="1436" t="n">
        <f aca="false">$D$180</f>
        <v>0.045</v>
      </c>
      <c r="K383" s="1436" t="n">
        <f aca="false">$C$180</f>
        <v>0.1</v>
      </c>
      <c r="L383" s="1625" t="n">
        <f aca="false">CEILING(C383/G383+1,1)</f>
        <v>1</v>
      </c>
      <c r="M383" s="1625"/>
      <c r="N383" s="1625"/>
      <c r="O383" s="1635" t="n">
        <f aca="false">E383*I383*J383*K383</f>
        <v>0</v>
      </c>
      <c r="P383" s="1714" t="n">
        <f aca="false">C383</f>
        <v>0</v>
      </c>
      <c r="Q383" s="1714" t="n">
        <f aca="false">C383</f>
        <v>0</v>
      </c>
      <c r="R383" s="1714" t="n">
        <f aca="false">SUM(P383:Q383)</f>
        <v>0</v>
      </c>
      <c r="S383" s="1436" t="n">
        <f aca="false">C383*D383</f>
        <v>0</v>
      </c>
      <c r="T383" s="1635" t="n">
        <f aca="false">(P383+Q383+R383)*J383*K383</f>
        <v>0</v>
      </c>
      <c r="U383" s="1753" t="n">
        <f aca="false">'Ввод данных'!E172*2</f>
        <v>0</v>
      </c>
      <c r="V383" s="1635" t="n">
        <f aca="false">U383*E383*J383*$K$124</f>
        <v>0</v>
      </c>
      <c r="W383" s="1436" t="n">
        <f aca="false">'Ввод данных'!C172</f>
        <v>0.8</v>
      </c>
      <c r="X383" s="1436" t="n">
        <v>2</v>
      </c>
      <c r="Y383" s="1700" t="n">
        <f aca="false">W383*$K$124*J383</f>
        <v>0.00522</v>
      </c>
      <c r="Z383" s="1436"/>
      <c r="AA383" s="1635"/>
      <c r="AB383" s="1436"/>
      <c r="AC383" s="1436"/>
      <c r="AD383" s="1635"/>
    </row>
    <row r="384" customFormat="false" ht="15.75" hidden="true" customHeight="true" outlineLevel="1" collapsed="false">
      <c r="A384" s="1787"/>
      <c r="B384" s="1696"/>
      <c r="C384" s="1605"/>
      <c r="D384" s="1436"/>
      <c r="E384" s="1621" t="n">
        <f aca="false">$E$124+$E$125</f>
        <v>2.8</v>
      </c>
      <c r="F384" s="1604"/>
      <c r="G384" s="1436"/>
      <c r="H384" s="1436"/>
      <c r="I384" s="1436" t="n">
        <f aca="false">CEILING(SUM(I380:I383),1)</f>
        <v>0</v>
      </c>
      <c r="J384" s="1436"/>
      <c r="K384" s="1436"/>
      <c r="L384" s="1436"/>
      <c r="M384" s="1436"/>
      <c r="N384" s="1436"/>
      <c r="O384" s="1756" t="n">
        <f aca="false">связи1!F187</f>
        <v>0.2</v>
      </c>
      <c r="P384" s="1714" t="n">
        <f aca="false">SUM(P380:P383)</f>
        <v>0</v>
      </c>
      <c r="Q384" s="1714" t="n">
        <f aca="false">SUM(Q380:Q383)</f>
        <v>0</v>
      </c>
      <c r="R384" s="1582" t="n">
        <f aca="false">SUM(P384:Q384)</f>
        <v>0</v>
      </c>
      <c r="S384" s="1755" t="n">
        <f aca="false">SUM(S380:S383)</f>
        <v>0</v>
      </c>
      <c r="T384" s="1755" t="n">
        <f aca="false">O384*S384</f>
        <v>0</v>
      </c>
      <c r="U384" s="1753"/>
      <c r="V384" s="1635"/>
      <c r="W384" s="1436"/>
      <c r="X384" s="1436"/>
      <c r="Y384" s="1700"/>
      <c r="Z384" s="1436"/>
      <c r="AA384" s="1635"/>
      <c r="AB384" s="1436"/>
      <c r="AC384" s="1436"/>
      <c r="AD384" s="1635"/>
    </row>
    <row r="385" s="1783" customFormat="true" ht="15.75" hidden="true" customHeight="true" outlineLevel="1" collapsed="false">
      <c r="A385" s="1778" t="s">
        <v>3311</v>
      </c>
      <c r="B385" s="1779"/>
      <c r="C385" s="1622" t="n">
        <f aca="false">'Ввод данных'!C210*(IF('Ввод данных'!A19=связи1!A150,1,0))</f>
        <v>0</v>
      </c>
      <c r="D385" s="1625" t="n">
        <f aca="false">'Ввод данных'!D210</f>
        <v>0</v>
      </c>
      <c r="E385" s="1621"/>
      <c r="F385" s="1621" t="n">
        <f aca="false">C385*D385*E385</f>
        <v>0</v>
      </c>
      <c r="G385" s="1625" t="n">
        <f aca="false">'Ввод данных'!C1112</f>
        <v>0.6</v>
      </c>
      <c r="H385" s="1625"/>
      <c r="I385" s="1625" t="n">
        <f aca="false">IF(C385=0,0,C385/G385+1)</f>
        <v>0</v>
      </c>
      <c r="J385" s="1625" t="n">
        <f aca="false">$J$375</f>
        <v>0.045</v>
      </c>
      <c r="K385" s="1625" t="n">
        <f aca="false">$C$151</f>
        <v>0.145</v>
      </c>
      <c r="L385" s="1625"/>
      <c r="M385" s="1625"/>
      <c r="N385" s="1625"/>
      <c r="O385" s="1635" t="n">
        <f aca="false">E385*I385*J385*K385</f>
        <v>0</v>
      </c>
      <c r="P385" s="1780" t="n">
        <f aca="false">C385</f>
        <v>0</v>
      </c>
      <c r="Q385" s="1780" t="n">
        <f aca="false">C385</f>
        <v>0</v>
      </c>
      <c r="R385" s="1780" t="n">
        <f aca="false">C385</f>
        <v>0</v>
      </c>
      <c r="S385" s="1781" t="n">
        <f aca="false">C385*D385</f>
        <v>0</v>
      </c>
      <c r="T385" s="1635" t="n">
        <f aca="false">(P385+Q385+R385)*J385*K385</f>
        <v>0</v>
      </c>
      <c r="U385" s="1785" t="n">
        <f aca="false">'Ввод данных'!E164*2</f>
        <v>0</v>
      </c>
      <c r="V385" s="1635" t="n">
        <f aca="false">U385*E385*J385*$K$124</f>
        <v>0</v>
      </c>
      <c r="W385" s="1625" t="n">
        <f aca="false">'Ввод данных'!C164</f>
        <v>2</v>
      </c>
      <c r="X385" s="1625" t="n">
        <v>2</v>
      </c>
      <c r="Y385" s="1700" t="n">
        <f aca="false">W385*$K$124*J385*X385</f>
        <v>0.0261</v>
      </c>
      <c r="Z385" s="1781" t="n">
        <f aca="false">'Ввод данных'!E183</f>
        <v>0</v>
      </c>
      <c r="AA385" s="1635" t="n">
        <f aca="false">Z385*E385*J385*K385</f>
        <v>0</v>
      </c>
      <c r="AB385" s="1782" t="n">
        <f aca="false">'Ввод данных'!C183</f>
        <v>2</v>
      </c>
      <c r="AC385" s="1782"/>
      <c r="AD385" s="1700"/>
    </row>
    <row r="386" s="1783" customFormat="true" ht="15.75" hidden="true" customHeight="true" outlineLevel="1" collapsed="false">
      <c r="A386" s="1778"/>
      <c r="B386" s="1779"/>
      <c r="C386" s="1622" t="n">
        <f aca="false">'Ввод данных'!C211*(IF('Ввод данных'!A19=связи1!A150,1,0))</f>
        <v>0</v>
      </c>
      <c r="D386" s="1625" t="n">
        <f aca="false">'Ввод данных'!D211</f>
        <v>0</v>
      </c>
      <c r="E386" s="1621" t="n">
        <f aca="false">$E$124+$E$125</f>
        <v>2.8</v>
      </c>
      <c r="F386" s="1621" t="n">
        <f aca="false">C386*D386*E386</f>
        <v>0</v>
      </c>
      <c r="G386" s="1625" t="n">
        <f aca="false">'Ввод данных'!C1112</f>
        <v>0.6</v>
      </c>
      <c r="H386" s="1625"/>
      <c r="I386" s="1625" t="n">
        <f aca="false">IF(C386=0,0,C386/G386+1)</f>
        <v>0</v>
      </c>
      <c r="J386" s="1625" t="n">
        <f aca="false">$J$375</f>
        <v>0.045</v>
      </c>
      <c r="K386" s="1625" t="n">
        <f aca="false">$C$151</f>
        <v>0.145</v>
      </c>
      <c r="L386" s="1625"/>
      <c r="M386" s="1625"/>
      <c r="N386" s="1625"/>
      <c r="O386" s="1635" t="n">
        <f aca="false">E386*I386*J386*K386</f>
        <v>0</v>
      </c>
      <c r="P386" s="1780" t="n">
        <f aca="false">C386</f>
        <v>0</v>
      </c>
      <c r="Q386" s="1780" t="n">
        <f aca="false">C386</f>
        <v>0</v>
      </c>
      <c r="R386" s="1780" t="n">
        <f aca="false">C386</f>
        <v>0</v>
      </c>
      <c r="S386" s="1781" t="n">
        <f aca="false">C386*D386</f>
        <v>0</v>
      </c>
      <c r="T386" s="1635" t="n">
        <f aca="false">(P386+Q386+R386)*J386*K386</f>
        <v>0</v>
      </c>
      <c r="U386" s="1785" t="n">
        <f aca="false">'Ввод данных'!E165*2</f>
        <v>0</v>
      </c>
      <c r="V386" s="1635" t="n">
        <f aca="false">U386*E386*J386*$K$124</f>
        <v>0</v>
      </c>
      <c r="W386" s="1625" t="n">
        <f aca="false">'Ввод данных'!C165</f>
        <v>0</v>
      </c>
      <c r="X386" s="1625" t="n">
        <v>2</v>
      </c>
      <c r="Y386" s="1700" t="n">
        <f aca="false">W386*$K$124*J386*X386</f>
        <v>0</v>
      </c>
      <c r="Z386" s="1781" t="n">
        <f aca="false">'Ввод данных'!E187</f>
        <v>0</v>
      </c>
      <c r="AA386" s="1635" t="n">
        <f aca="false">Z386*E386*J386*K386</f>
        <v>0</v>
      </c>
      <c r="AB386" s="1782" t="n">
        <f aca="false">'Ввод данных'!C187</f>
        <v>1.4</v>
      </c>
      <c r="AC386" s="1782"/>
      <c r="AD386" s="1700"/>
    </row>
    <row r="387" s="1783" customFormat="true" ht="15.75" hidden="true" customHeight="true" outlineLevel="1" collapsed="false">
      <c r="A387" s="1778"/>
      <c r="B387" s="1779"/>
      <c r="C387" s="1622" t="n">
        <f aca="false">'Ввод данных'!C212*(IF('Ввод данных'!A19=связи1!A150,1,0))</f>
        <v>0</v>
      </c>
      <c r="D387" s="1625" t="n">
        <f aca="false">'Ввод данных'!D212</f>
        <v>0</v>
      </c>
      <c r="E387" s="1621" t="n">
        <f aca="false">$E$124+$E$125</f>
        <v>2.8</v>
      </c>
      <c r="F387" s="1621" t="n">
        <f aca="false">C387*D387*E387</f>
        <v>0</v>
      </c>
      <c r="G387" s="1625" t="n">
        <f aca="false">'Ввод данных'!C1112</f>
        <v>0.6</v>
      </c>
      <c r="H387" s="1625"/>
      <c r="I387" s="1625" t="n">
        <f aca="false">IF(C387=0,0,C387/G387+1)</f>
        <v>0</v>
      </c>
      <c r="J387" s="1625" t="n">
        <f aca="false">$J$375</f>
        <v>0.045</v>
      </c>
      <c r="K387" s="1625" t="n">
        <f aca="false">$C$151</f>
        <v>0.145</v>
      </c>
      <c r="L387" s="1625"/>
      <c r="M387" s="1625"/>
      <c r="N387" s="1625"/>
      <c r="O387" s="1635" t="n">
        <f aca="false">E387*I387*J387*K387</f>
        <v>0</v>
      </c>
      <c r="P387" s="1780" t="n">
        <f aca="false">C387</f>
        <v>0</v>
      </c>
      <c r="Q387" s="1780" t="n">
        <f aca="false">C387</f>
        <v>0</v>
      </c>
      <c r="R387" s="1780" t="n">
        <f aca="false">C387</f>
        <v>0</v>
      </c>
      <c r="S387" s="1781" t="n">
        <f aca="false">C387*D387</f>
        <v>0</v>
      </c>
      <c r="T387" s="1635" t="n">
        <f aca="false">(P387+Q387+R387)*J387*K387</f>
        <v>0</v>
      </c>
      <c r="U387" s="1785" t="n">
        <f aca="false">SUM(U385:U386)</f>
        <v>0</v>
      </c>
      <c r="V387" s="1635"/>
      <c r="W387" s="1625"/>
      <c r="X387" s="1625"/>
      <c r="Y387" s="1700"/>
      <c r="Z387" s="1625"/>
      <c r="AA387" s="1635"/>
      <c r="AB387" s="1625"/>
      <c r="AC387" s="1625"/>
      <c r="AD387" s="1635"/>
    </row>
    <row r="388" s="1783" customFormat="true" ht="15.75" hidden="true" customHeight="true" outlineLevel="1" collapsed="false">
      <c r="A388" s="1778"/>
      <c r="B388" s="1779"/>
      <c r="C388" s="1622" t="n">
        <f aca="false">'Ввод данных'!C213*(IF('Ввод данных'!A19=связи1!A150,1,0))</f>
        <v>0</v>
      </c>
      <c r="D388" s="1625" t="n">
        <f aca="false">'Ввод данных'!D213</f>
        <v>0</v>
      </c>
      <c r="E388" s="1621" t="n">
        <f aca="false">$E$124+$E$125</f>
        <v>2.8</v>
      </c>
      <c r="F388" s="1621" t="n">
        <f aca="false">C388*D388*E388</f>
        <v>0</v>
      </c>
      <c r="G388" s="1625" t="n">
        <f aca="false">'Ввод данных'!C1112</f>
        <v>0.6</v>
      </c>
      <c r="H388" s="1625"/>
      <c r="I388" s="1625" t="n">
        <f aca="false">IF(C388=0,0,C388/G388+1)</f>
        <v>0</v>
      </c>
      <c r="J388" s="1625" t="n">
        <f aca="false">$J$375</f>
        <v>0.045</v>
      </c>
      <c r="K388" s="1625" t="n">
        <f aca="false">$C$151</f>
        <v>0.145</v>
      </c>
      <c r="L388" s="1625"/>
      <c r="M388" s="1625"/>
      <c r="N388" s="1625"/>
      <c r="O388" s="1635" t="n">
        <f aca="false">E388*I388*J388*K388</f>
        <v>0</v>
      </c>
      <c r="P388" s="1780" t="n">
        <f aca="false">C388</f>
        <v>0</v>
      </c>
      <c r="Q388" s="1780" t="n">
        <f aca="false">C388</f>
        <v>0</v>
      </c>
      <c r="R388" s="1780" t="n">
        <f aca="false">C388</f>
        <v>0</v>
      </c>
      <c r="S388" s="1781" t="n">
        <f aca="false">C388*D388</f>
        <v>0</v>
      </c>
      <c r="T388" s="1635" t="n">
        <f aca="false">(P388+Q388+R388)*J388*K388</f>
        <v>0</v>
      </c>
      <c r="U388" s="1785"/>
      <c r="V388" s="1635"/>
      <c r="W388" s="1625"/>
      <c r="X388" s="1625"/>
      <c r="Y388" s="1700"/>
      <c r="Z388" s="1625"/>
      <c r="AA388" s="1635"/>
      <c r="AB388" s="1625"/>
      <c r="AC388" s="1625"/>
      <c r="AD388" s="1635"/>
    </row>
    <row r="389" s="1783" customFormat="true" ht="15.75" hidden="true" customHeight="true" outlineLevel="1" collapsed="false">
      <c r="A389" s="1784"/>
      <c r="B389" s="1779"/>
      <c r="C389" s="1622"/>
      <c r="D389" s="1625"/>
      <c r="E389" s="1621" t="n">
        <f aca="false">$E$124+$E$125</f>
        <v>2.8</v>
      </c>
      <c r="F389" s="1621"/>
      <c r="G389" s="1625"/>
      <c r="H389" s="1625"/>
      <c r="I389" s="1625" t="n">
        <f aca="false">CEILING(SUM(I385:I388),1)</f>
        <v>0</v>
      </c>
      <c r="J389" s="1625"/>
      <c r="K389" s="1625"/>
      <c r="L389" s="1625"/>
      <c r="M389" s="1625"/>
      <c r="N389" s="1625"/>
      <c r="O389" s="1756" t="n">
        <f aca="false">связи1!F186</f>
        <v>0.3</v>
      </c>
      <c r="P389" s="1780" t="n">
        <f aca="false">SUM(P385:P388)</f>
        <v>0</v>
      </c>
      <c r="Q389" s="1780" t="n">
        <f aca="false">SUM(Q385:Q388)</f>
        <v>0</v>
      </c>
      <c r="R389" s="1783" t="n">
        <f aca="false">SUM(R385:R388)</f>
        <v>0</v>
      </c>
      <c r="S389" s="1755" t="n">
        <f aca="false">SUM(S385:S388)</f>
        <v>0</v>
      </c>
      <c r="T389" s="1755" t="n">
        <f aca="false">O389*S389</f>
        <v>0</v>
      </c>
      <c r="U389" s="1785"/>
      <c r="V389" s="1635"/>
      <c r="W389" s="1625"/>
      <c r="X389" s="1625"/>
      <c r="Y389" s="1700"/>
      <c r="Z389" s="1625"/>
      <c r="AA389" s="1635"/>
      <c r="AB389" s="1625"/>
      <c r="AC389" s="1625"/>
      <c r="AD389" s="1755" t="n">
        <f aca="false">(Z385*AB385+Z386*AB386)*AA379</f>
        <v>0</v>
      </c>
    </row>
    <row r="390" customFormat="false" ht="15.75" hidden="true" customHeight="true" outlineLevel="1" collapsed="false">
      <c r="A390" s="1786" t="s">
        <v>3312</v>
      </c>
      <c r="B390" s="1696"/>
      <c r="C390" s="1605" t="n">
        <f aca="false">'Ввод данных'!C214*(IF('Ввод данных'!A19=связи1!A150,1,0))</f>
        <v>0</v>
      </c>
      <c r="D390" s="1436" t="n">
        <f aca="false">'Ввод данных'!D214</f>
        <v>2</v>
      </c>
      <c r="E390" s="1621" t="n">
        <f aca="false">$E$124+$E$125</f>
        <v>2.8</v>
      </c>
      <c r="F390" s="1604" t="n">
        <f aca="false">C390*D390*E390</f>
        <v>0</v>
      </c>
      <c r="G390" s="1436" t="n">
        <f aca="false">'Ввод данных'!C1113</f>
        <v>0.6</v>
      </c>
      <c r="H390" s="1436"/>
      <c r="I390" s="1436" t="n">
        <f aca="false">IF(C390=0,0,C390/G390+1)</f>
        <v>0</v>
      </c>
      <c r="J390" s="1436" t="n">
        <f aca="false">$D$180</f>
        <v>0.045</v>
      </c>
      <c r="K390" s="1436" t="n">
        <f aca="false">$C$180</f>
        <v>0.1</v>
      </c>
      <c r="L390" s="1436"/>
      <c r="M390" s="1436"/>
      <c r="N390" s="1436"/>
      <c r="O390" s="1635" t="n">
        <f aca="false">E390*I390*J390*K390</f>
        <v>0</v>
      </c>
      <c r="P390" s="1714" t="n">
        <f aca="false">C390</f>
        <v>0</v>
      </c>
      <c r="Q390" s="1714" t="n">
        <f aca="false">C390</f>
        <v>0</v>
      </c>
      <c r="R390" s="1714"/>
      <c r="S390" s="1436" t="n">
        <f aca="false">C390*D390</f>
        <v>0</v>
      </c>
      <c r="T390" s="1635" t="n">
        <f aca="false">(P390+Q390+R390)*J390*K390</f>
        <v>0</v>
      </c>
      <c r="U390" s="1753"/>
      <c r="V390" s="1635"/>
      <c r="W390" s="1436"/>
      <c r="X390" s="1436"/>
      <c r="Y390" s="1700"/>
      <c r="Z390" s="1436"/>
      <c r="AA390" s="1635"/>
      <c r="AB390" s="1436"/>
      <c r="AC390" s="1436"/>
      <c r="AD390" s="1635"/>
    </row>
    <row r="391" customFormat="false" ht="15.75" hidden="true" customHeight="true" outlineLevel="1" collapsed="false">
      <c r="A391" s="1786"/>
      <c r="B391" s="1696"/>
      <c r="C391" s="1605" t="n">
        <f aca="false">'Ввод данных'!C215*(IF('Ввод данных'!A19=связи1!A150,1,0))</f>
        <v>0</v>
      </c>
      <c r="D391" s="1436" t="n">
        <f aca="false">'Ввод данных'!D215</f>
        <v>0</v>
      </c>
      <c r="E391" s="1621" t="n">
        <f aca="false">$E$124+$E$125</f>
        <v>2.8</v>
      </c>
      <c r="F391" s="1604" t="n">
        <f aca="false">C391*D391*E391</f>
        <v>0</v>
      </c>
      <c r="G391" s="1436" t="n">
        <f aca="false">'Ввод данных'!C1113</f>
        <v>0.6</v>
      </c>
      <c r="H391" s="1436"/>
      <c r="I391" s="1436" t="n">
        <f aca="false">IF(C391=0,0,C391/G391+1)</f>
        <v>0</v>
      </c>
      <c r="J391" s="1436" t="n">
        <f aca="false">$D$180</f>
        <v>0.045</v>
      </c>
      <c r="K391" s="1436" t="n">
        <f aca="false">$C$180</f>
        <v>0.1</v>
      </c>
      <c r="L391" s="1436"/>
      <c r="M391" s="1436"/>
      <c r="N391" s="1436"/>
      <c r="O391" s="1635" t="n">
        <f aca="false">E391*I391*J391*K391</f>
        <v>0</v>
      </c>
      <c r="P391" s="1714" t="n">
        <f aca="false">C391</f>
        <v>0</v>
      </c>
      <c r="Q391" s="1714" t="n">
        <f aca="false">C391</f>
        <v>0</v>
      </c>
      <c r="R391" s="1714"/>
      <c r="S391" s="1436" t="n">
        <f aca="false">C391*D391</f>
        <v>0</v>
      </c>
      <c r="T391" s="1635" t="n">
        <f aca="false">(P391+Q391+R391)*J391*K391</f>
        <v>0</v>
      </c>
      <c r="U391" s="1753"/>
      <c r="V391" s="1635"/>
      <c r="W391" s="1436"/>
      <c r="X391" s="1436"/>
      <c r="Y391" s="1700"/>
      <c r="Z391" s="1436"/>
      <c r="AA391" s="1635"/>
      <c r="AB391" s="1436"/>
      <c r="AC391" s="1436"/>
      <c r="AD391" s="1635"/>
    </row>
    <row r="392" customFormat="false" ht="15.75" hidden="true" customHeight="true" outlineLevel="1" collapsed="false">
      <c r="A392" s="1786"/>
      <c r="B392" s="1696"/>
      <c r="C392" s="1605" t="n">
        <f aca="false">'Ввод данных'!C216*(IF('Ввод данных'!A19=связи1!A150,1,0))</f>
        <v>0</v>
      </c>
      <c r="D392" s="1436" t="n">
        <f aca="false">'Ввод данных'!D216</f>
        <v>0</v>
      </c>
      <c r="E392" s="1621" t="n">
        <f aca="false">$E$124+$E$125</f>
        <v>2.8</v>
      </c>
      <c r="F392" s="1604" t="n">
        <f aca="false">C392*D392*E392</f>
        <v>0</v>
      </c>
      <c r="G392" s="1436" t="n">
        <f aca="false">'Ввод данных'!C1113</f>
        <v>0.6</v>
      </c>
      <c r="H392" s="1436"/>
      <c r="I392" s="1436" t="n">
        <f aca="false">IF(C392=0,0,C392/G392+1)</f>
        <v>0</v>
      </c>
      <c r="J392" s="1436" t="n">
        <f aca="false">$D$180</f>
        <v>0.045</v>
      </c>
      <c r="K392" s="1436" t="n">
        <f aca="false">$C$180</f>
        <v>0.1</v>
      </c>
      <c r="L392" s="1436"/>
      <c r="M392" s="1436"/>
      <c r="N392" s="1436"/>
      <c r="O392" s="1635" t="n">
        <f aca="false">E392*I392*J392*K392</f>
        <v>0</v>
      </c>
      <c r="P392" s="1714" t="n">
        <f aca="false">C392</f>
        <v>0</v>
      </c>
      <c r="Q392" s="1714" t="n">
        <f aca="false">C392</f>
        <v>0</v>
      </c>
      <c r="R392" s="1714"/>
      <c r="S392" s="1436" t="n">
        <f aca="false">C392*D392</f>
        <v>0</v>
      </c>
      <c r="T392" s="1635" t="n">
        <f aca="false">(P392+Q392+R392)*J392*K392</f>
        <v>0</v>
      </c>
      <c r="U392" s="1753"/>
      <c r="V392" s="1635"/>
      <c r="W392" s="1436"/>
      <c r="X392" s="1436"/>
      <c r="Y392" s="1700"/>
      <c r="Z392" s="1436"/>
      <c r="AA392" s="1635"/>
      <c r="AB392" s="1436"/>
      <c r="AC392" s="1436"/>
      <c r="AD392" s="1635"/>
    </row>
    <row r="393" customFormat="false" ht="15.75" hidden="true" customHeight="true" outlineLevel="1" collapsed="false">
      <c r="A393" s="1786"/>
      <c r="B393" s="1696"/>
      <c r="C393" s="1605" t="n">
        <f aca="false">'Ввод данных'!C217*(IF('Ввод данных'!A19=связи1!A150,1,0))</f>
        <v>0</v>
      </c>
      <c r="D393" s="1436" t="n">
        <f aca="false">'Ввод данных'!D217</f>
        <v>0</v>
      </c>
      <c r="E393" s="1621" t="n">
        <f aca="false">$E$124+$E$125</f>
        <v>2.8</v>
      </c>
      <c r="F393" s="1604" t="n">
        <f aca="false">C393*D393*E393</f>
        <v>0</v>
      </c>
      <c r="G393" s="1436" t="n">
        <f aca="false">'Ввод данных'!C1113</f>
        <v>0.6</v>
      </c>
      <c r="H393" s="1436"/>
      <c r="I393" s="1436" t="n">
        <f aca="false">IF(C393=0,0,C393/G393+1)</f>
        <v>0</v>
      </c>
      <c r="J393" s="1436" t="n">
        <f aca="false">$D$180</f>
        <v>0.045</v>
      </c>
      <c r="K393" s="1436" t="n">
        <f aca="false">$C$180</f>
        <v>0.1</v>
      </c>
      <c r="L393" s="1436"/>
      <c r="M393" s="1436"/>
      <c r="N393" s="1436"/>
      <c r="O393" s="1635" t="n">
        <f aca="false">E393*I393*J393*K393</f>
        <v>0</v>
      </c>
      <c r="P393" s="1714" t="n">
        <f aca="false">C393</f>
        <v>0</v>
      </c>
      <c r="Q393" s="1714" t="n">
        <f aca="false">C393</f>
        <v>0</v>
      </c>
      <c r="R393" s="1714"/>
      <c r="S393" s="1436" t="n">
        <f aca="false">C393*D393</f>
        <v>0</v>
      </c>
      <c r="T393" s="1635" t="n">
        <f aca="false">(P393+Q393+R393)*J393*K393</f>
        <v>0</v>
      </c>
      <c r="U393" s="1753"/>
      <c r="V393" s="1635"/>
      <c r="W393" s="1436"/>
      <c r="X393" s="1436"/>
      <c r="Y393" s="1700"/>
      <c r="Z393" s="1436"/>
      <c r="AA393" s="1635"/>
      <c r="AB393" s="1436"/>
      <c r="AC393" s="1436"/>
      <c r="AD393" s="1635"/>
    </row>
    <row r="394" customFormat="false" ht="15.75" hidden="true" customHeight="true" outlineLevel="1" collapsed="false">
      <c r="A394" s="1788"/>
      <c r="B394" s="1696"/>
      <c r="C394" s="1605"/>
      <c r="D394" s="1436"/>
      <c r="E394" s="1604"/>
      <c r="F394" s="1604"/>
      <c r="G394" s="1436"/>
      <c r="H394" s="1436"/>
      <c r="I394" s="1436" t="n">
        <f aca="false">CEILING(SUM(I390:I393),1)</f>
        <v>0</v>
      </c>
      <c r="J394" s="1436"/>
      <c r="K394" s="1436"/>
      <c r="L394" s="1436"/>
      <c r="M394" s="1436"/>
      <c r="N394" s="1436"/>
      <c r="O394" s="1756" t="n">
        <f aca="false">связи1!F187</f>
        <v>0.2</v>
      </c>
      <c r="P394" s="1714" t="n">
        <f aca="false">SUM(P390:P393)</f>
        <v>0</v>
      </c>
      <c r="Q394" s="1714" t="n">
        <f aca="false">SUM(Q390:Q393)</f>
        <v>0</v>
      </c>
      <c r="S394" s="1755" t="n">
        <f aca="false">SUM(S390:S393)</f>
        <v>0</v>
      </c>
      <c r="T394" s="1755" t="n">
        <f aca="false">O394*S394</f>
        <v>0</v>
      </c>
      <c r="U394" s="1753"/>
      <c r="V394" s="1635"/>
      <c r="W394" s="1436"/>
      <c r="X394" s="1436"/>
      <c r="Y394" s="1700"/>
      <c r="Z394" s="1436"/>
      <c r="AA394" s="1635"/>
      <c r="AB394" s="1436"/>
      <c r="AC394" s="1436"/>
      <c r="AD394" s="1635"/>
    </row>
    <row r="395" s="1783" customFormat="true" ht="15.75" hidden="true" customHeight="true" outlineLevel="1" collapsed="false">
      <c r="A395" s="1789" t="s">
        <v>3313</v>
      </c>
      <c r="B395" s="1779"/>
      <c r="C395" s="1622" t="n">
        <f aca="false">'Ввод данных'!C51*VLOOKUP('Ввод данных'!C60,связи1!A2:B3,2,0)</f>
        <v>0</v>
      </c>
      <c r="D395" s="1625"/>
      <c r="E395" s="1621" t="n">
        <f aca="false">C1241</f>
        <v>3.2</v>
      </c>
      <c r="F395" s="1621" t="n">
        <f aca="false">C395*E395</f>
        <v>0</v>
      </c>
      <c r="G395" s="1625" t="n">
        <f aca="false">G124</f>
        <v>0.6</v>
      </c>
      <c r="H395" s="1625"/>
      <c r="I395" s="1625" t="n">
        <f aca="false">IF(C395=0,0,C395/G395+1)</f>
        <v>0</v>
      </c>
      <c r="J395" s="1625" t="n">
        <f aca="false">$D$143</f>
        <v>0.045</v>
      </c>
      <c r="K395" s="1625" t="n">
        <f aca="false">$C$143</f>
        <v>0.145</v>
      </c>
      <c r="L395" s="1625"/>
      <c r="M395" s="1625"/>
      <c r="N395" s="1625"/>
      <c r="O395" s="1635" t="n">
        <f aca="false">E395*I395*J395*K395</f>
        <v>0</v>
      </c>
      <c r="P395" s="1780" t="n">
        <f aca="false">C395</f>
        <v>0</v>
      </c>
      <c r="Q395" s="1780" t="n">
        <f aca="false">C395</f>
        <v>0</v>
      </c>
      <c r="R395" s="1780" t="n">
        <f aca="false">C395</f>
        <v>0</v>
      </c>
      <c r="S395" s="1781" t="n">
        <f aca="false">C395</f>
        <v>0</v>
      </c>
      <c r="T395" s="1635" t="n">
        <f aca="false">(P395+Q395+R395)*J395*K395</f>
        <v>0</v>
      </c>
      <c r="U395" s="1785"/>
      <c r="V395" s="1635"/>
      <c r="W395" s="1625"/>
      <c r="X395" s="1625"/>
      <c r="Y395" s="1700"/>
      <c r="Z395" s="1625"/>
      <c r="AA395" s="1635"/>
      <c r="AB395" s="1625"/>
      <c r="AC395" s="1625"/>
      <c r="AD395" s="1635"/>
    </row>
    <row r="396" s="1783" customFormat="true" ht="15.75" hidden="true" customHeight="true" outlineLevel="1" collapsed="false">
      <c r="A396" s="1789" t="s">
        <v>3314</v>
      </c>
      <c r="B396" s="1779"/>
      <c r="C396" s="1622" t="n">
        <f aca="false">'Ввод данных'!C52*VLOOKUP('Ввод данных'!C60,связи1!A2:B3,2,0)</f>
        <v>0</v>
      </c>
      <c r="D396" s="1625"/>
      <c r="E396" s="1621" t="n">
        <f aca="false">C1241</f>
        <v>3.2</v>
      </c>
      <c r="F396" s="1621" t="n">
        <f aca="false">C396*E396</f>
        <v>0</v>
      </c>
      <c r="G396" s="1625" t="n">
        <f aca="false">G124</f>
        <v>0.6</v>
      </c>
      <c r="H396" s="1625"/>
      <c r="I396" s="1625" t="n">
        <f aca="false">IF(C396=0,0,C396/G396+1)</f>
        <v>0</v>
      </c>
      <c r="J396" s="1625" t="n">
        <f aca="false">$D$143</f>
        <v>0.045</v>
      </c>
      <c r="K396" s="1625" t="n">
        <f aca="false">$C$143</f>
        <v>0.145</v>
      </c>
      <c r="L396" s="1625"/>
      <c r="M396" s="1625"/>
      <c r="N396" s="1625"/>
      <c r="O396" s="1635" t="n">
        <f aca="false">E396*I396*J396*K396</f>
        <v>0</v>
      </c>
      <c r="P396" s="1780" t="n">
        <f aca="false">C396</f>
        <v>0</v>
      </c>
      <c r="Q396" s="1780" t="n">
        <f aca="false">C396</f>
        <v>0</v>
      </c>
      <c r="R396" s="1780" t="n">
        <f aca="false">C396</f>
        <v>0</v>
      </c>
      <c r="S396" s="1781" t="n">
        <f aca="false">C396</f>
        <v>0</v>
      </c>
      <c r="T396" s="1635" t="n">
        <f aca="false">(P396+Q396+R396)*J396*K396</f>
        <v>0</v>
      </c>
      <c r="U396" s="1785"/>
      <c r="V396" s="1635"/>
      <c r="W396" s="1625"/>
      <c r="X396" s="1625"/>
      <c r="Y396" s="1700"/>
      <c r="Z396" s="1625"/>
      <c r="AA396" s="1635"/>
      <c r="AB396" s="1625"/>
      <c r="AC396" s="1625"/>
      <c r="AD396" s="1635"/>
    </row>
    <row r="397" s="1783" customFormat="true" ht="15.75" hidden="true" customHeight="true" outlineLevel="1" collapsed="false">
      <c r="A397" s="1789" t="s">
        <v>3315</v>
      </c>
      <c r="B397" s="1779"/>
      <c r="C397" s="1622" t="n">
        <f aca="false">C1239*VLOOKUP('Ввод данных'!C60,связи1!A2:B3,2,0)</f>
        <v>0</v>
      </c>
      <c r="D397" s="1625"/>
      <c r="E397" s="1621" t="n">
        <f aca="false">C1241</f>
        <v>3.2</v>
      </c>
      <c r="F397" s="1621" t="n">
        <f aca="false">C397*E397</f>
        <v>0</v>
      </c>
      <c r="G397" s="1625" t="n">
        <f aca="false">G124</f>
        <v>0.6</v>
      </c>
      <c r="H397" s="1625"/>
      <c r="I397" s="1625" t="n">
        <f aca="false">IF(C397=0,0,C397/G397+1)</f>
        <v>0</v>
      </c>
      <c r="J397" s="1625" t="n">
        <f aca="false">$D$143</f>
        <v>0.045</v>
      </c>
      <c r="K397" s="1625" t="n">
        <f aca="false">$C$143</f>
        <v>0.145</v>
      </c>
      <c r="L397" s="1625"/>
      <c r="M397" s="1625"/>
      <c r="N397" s="1625"/>
      <c r="O397" s="1635" t="n">
        <f aca="false">E397*I397*J397*K397</f>
        <v>0</v>
      </c>
      <c r="P397" s="1780" t="n">
        <f aca="false">C397</f>
        <v>0</v>
      </c>
      <c r="Q397" s="1780" t="n">
        <f aca="false">C397</f>
        <v>0</v>
      </c>
      <c r="R397" s="1780" t="n">
        <f aca="false">C397</f>
        <v>0</v>
      </c>
      <c r="S397" s="1781" t="n">
        <f aca="false">C397</f>
        <v>0</v>
      </c>
      <c r="T397" s="1635" t="n">
        <f aca="false">(P397+Q397+R397)*J397*K397</f>
        <v>0</v>
      </c>
      <c r="U397" s="1785"/>
      <c r="V397" s="1635"/>
      <c r="W397" s="1625"/>
      <c r="X397" s="1625"/>
      <c r="Y397" s="1700"/>
      <c r="Z397" s="1625"/>
      <c r="AA397" s="1635"/>
      <c r="AB397" s="1625"/>
      <c r="AC397" s="1625"/>
      <c r="AD397" s="1635"/>
    </row>
    <row r="398" s="1783" customFormat="true" ht="15.75" hidden="true" customHeight="true" outlineLevel="1" collapsed="false">
      <c r="A398" s="1789"/>
      <c r="B398" s="1790" t="n">
        <f aca="false">связи1!F185</f>
        <v>0.4</v>
      </c>
      <c r="C398" s="1791" t="n">
        <f aca="false">SUM(C395:C397)</f>
        <v>0</v>
      </c>
      <c r="D398" s="1755" t="n">
        <f aca="false">B398*C398</f>
        <v>0</v>
      </c>
      <c r="E398" s="1621"/>
      <c r="F398" s="1621"/>
      <c r="G398" s="1625"/>
      <c r="H398" s="1625"/>
      <c r="I398" s="1625"/>
      <c r="J398" s="1625" t="n">
        <f aca="false">$D$143</f>
        <v>0.045</v>
      </c>
      <c r="K398" s="1625" t="n">
        <f aca="false">$C$143</f>
        <v>0.145</v>
      </c>
      <c r="L398" s="1625"/>
      <c r="M398" s="1625"/>
      <c r="N398" s="1625"/>
      <c r="O398" s="1755" t="n">
        <f aca="false">O379</f>
        <v>0.3</v>
      </c>
      <c r="P398" s="1780" t="n">
        <f aca="false">SUM(P395:P397)</f>
        <v>0</v>
      </c>
      <c r="Q398" s="1780" t="n">
        <f aca="false">SUM(Q395:Q397)</f>
        <v>0</v>
      </c>
      <c r="R398" s="1780" t="n">
        <f aca="false">SUM(R395:R397)</f>
        <v>0</v>
      </c>
      <c r="S398" s="1781" t="n">
        <f aca="false">SUM(S395:S397)</f>
        <v>0</v>
      </c>
      <c r="T398" s="1755" t="n">
        <f aca="false">O398*S398</f>
        <v>0</v>
      </c>
      <c r="U398" s="1785"/>
      <c r="V398" s="1635"/>
      <c r="W398" s="1625"/>
      <c r="X398" s="1625"/>
      <c r="Y398" s="1700"/>
      <c r="Z398" s="1625"/>
      <c r="AA398" s="1635"/>
      <c r="AB398" s="1625"/>
      <c r="AC398" s="1625"/>
      <c r="AD398" s="1635"/>
    </row>
    <row r="399" s="1798" customFormat="true" ht="15.75" hidden="true" customHeight="true" outlineLevel="1" collapsed="false">
      <c r="A399" s="1792" t="s">
        <v>3316</v>
      </c>
      <c r="B399" s="1793" t="s">
        <v>848</v>
      </c>
      <c r="C399" s="1794" t="n">
        <f aca="false">пристройка!C34*VLOOKUP('Ввод данных'!C79,связи1!A2:B3,2,0)*связи1!C568</f>
        <v>0</v>
      </c>
      <c r="D399" s="1795" t="n">
        <f aca="false">пристройка!C16+пристройка!H16+пристройка!M16</f>
        <v>0</v>
      </c>
      <c r="E399" s="1795" t="n">
        <f aca="false">IF('Ввод данных'!A75=связи1!A107,IF('Ввод данных'!A73=связи1!A94,связи1!C571,0)+IF('Ввод данных'!A73=связи1!A95,связи1!C571,0)+IF('Ввод данных'!A73=связи1!A96,связи1!C571,0)+IF('Ввод данных'!A73=связи1!A97,связи1!C572,0)+IF('Ввод данных'!A73=связи1!A98,связи1!C571,0),0)+IF('Ввод данных'!A75=связи1!A106,IF('Ввод данных'!A73=связи1!A94,связи1!C571,0)+IF('Ввод данных'!A73=связи1!A95,связи1!C571,0)+IF('Ввод данных'!A73=связи1!A96,связи1!C571,0)+IF('Ввод данных'!A73=связи1!A97,связи1!C573,0)+IF('Ввод данных'!A73=связи1!A98,связи1!C571,0),0)+IF('Ввод данных'!A75=связи1!A108,IF('Ввод данных'!A73=связи1!A94,связи1!C571,0)+IF('Ввод данных'!A73=связи1!A95,связи1!C571,0)+IF('Ввод данных'!A73=связи1!A96,связи1!C571,0)+IF('Ввод данных'!A73=связи1!A97,связи1!C573,0)+IF('Ввод данных'!A73=связи1!A98,связи1!C571,0),0)</f>
        <v>5</v>
      </c>
      <c r="F399" s="1796" t="n">
        <f aca="false">C399*E399</f>
        <v>0</v>
      </c>
      <c r="G399" s="1795" t="n">
        <f aca="false">G124</f>
        <v>0.6</v>
      </c>
      <c r="H399" s="1795"/>
      <c r="I399" s="1795" t="n">
        <f aca="false">IF(C399=0,0,C399/G399+1)</f>
        <v>0</v>
      </c>
      <c r="J399" s="1795" t="n">
        <f aca="false">$D$143</f>
        <v>0.045</v>
      </c>
      <c r="K399" s="1795" t="n">
        <f aca="false">$C$143</f>
        <v>0.145</v>
      </c>
      <c r="L399" s="1795" t="n">
        <f aca="false">CEILING(C399/G399+1,1)*VLOOKUP('Ввод данных'!C79,связи1!A2:B3,2,0)*связи1!C568</f>
        <v>0</v>
      </c>
      <c r="M399" s="1795"/>
      <c r="N399" s="1795"/>
      <c r="O399" s="1795" t="n">
        <f aca="false">E399*I399*J399*K399</f>
        <v>0</v>
      </c>
      <c r="P399" s="1737" t="n">
        <f aca="false">C399</f>
        <v>0</v>
      </c>
      <c r="Q399" s="1737" t="n">
        <f aca="false">C399</f>
        <v>0</v>
      </c>
      <c r="R399" s="1737" t="n">
        <f aca="false">C399</f>
        <v>0</v>
      </c>
      <c r="S399" s="1795" t="n">
        <f aca="false">C399</f>
        <v>0</v>
      </c>
      <c r="T399" s="1795" t="n">
        <f aca="false">(P399+Q399+R399)*J399*K399</f>
        <v>0</v>
      </c>
      <c r="U399" s="1797"/>
      <c r="V399" s="1795"/>
      <c r="W399" s="1795"/>
      <c r="X399" s="1795"/>
      <c r="Y399" s="1737"/>
      <c r="Z399" s="1795"/>
      <c r="AA399" s="1795"/>
      <c r="AB399" s="1795"/>
      <c r="AC399" s="1795"/>
      <c r="AD399" s="1795"/>
    </row>
    <row r="400" s="1798" customFormat="true" ht="15.75" hidden="true" customHeight="true" outlineLevel="1" collapsed="false">
      <c r="A400" s="1792" t="s">
        <v>3317</v>
      </c>
      <c r="B400" s="1793" t="s">
        <v>844</v>
      </c>
      <c r="C400" s="1794" t="n">
        <f aca="false">пристройка!C33*VLOOKUP('Ввод данных'!C79,связи1!A2:B3,2,0)*связи1!C568</f>
        <v>0</v>
      </c>
      <c r="D400" s="1795" t="n">
        <f aca="false">пристройка!C17+пристройка!H17+пристройка!M17</f>
        <v>0</v>
      </c>
      <c r="E400" s="1795" t="n">
        <f aca="false">IF('Ввод данных'!A75=связи1!A107,IF('Ввод данных'!A73=связи1!A94,связи1!C571,0)+IF('Ввод данных'!A73=связи1!A95,связи1!C571,0)+IF('Ввод данных'!A73=связи1!A96,связи1!C571,0)+IF('Ввод данных'!A73=связи1!A97,связи1!C573,0)+IF('Ввод данных'!A73=связи1!A98,связи1!C571,0),0)+IF('Ввод данных'!A75=связи1!A106,IF('Ввод данных'!A73=связи1!A94,связи1!C571,0)+IF('Ввод данных'!A73=связи1!A95,связи1!C571,0)+IF('Ввод данных'!A73=связи1!A96,связи1!C571,0)+IF('Ввод данных'!A73=связи1!A97,связи1!C572,0)+IF('Ввод данных'!A73=связи1!A98,связи1!C571,0),0)+IF('Ввод данных'!A75=связи1!A108,IF('Ввод данных'!A73=связи1!A94,связи1!C571,0)+IF('Ввод данных'!A73=связи1!A95,связи1!C571,0)+IF('Ввод данных'!A73=связи1!A96,связи1!C571,0)+IF('Ввод данных'!A73=связи1!A97,связи1!C573,0)+IF('Ввод данных'!A73=связи1!A98,связи1!C571,0),0)</f>
        <v>1.2</v>
      </c>
      <c r="F400" s="1796" t="n">
        <f aca="false">C400*E400</f>
        <v>0</v>
      </c>
      <c r="G400" s="1795" t="n">
        <f aca="false">G124</f>
        <v>0.6</v>
      </c>
      <c r="H400" s="1795"/>
      <c r="I400" s="1795" t="n">
        <f aca="false">IF(C400=0,0,C400/G400+1)</f>
        <v>0</v>
      </c>
      <c r="J400" s="1795" t="n">
        <f aca="false">$D$143</f>
        <v>0.045</v>
      </c>
      <c r="K400" s="1795" t="n">
        <f aca="false">$C$143</f>
        <v>0.145</v>
      </c>
      <c r="L400" s="1795" t="n">
        <f aca="false">CEILING(C400/G400+1,1)*VLOOKUP('Ввод данных'!C79,связи1!A2:B3,2,0)*связи1!C568</f>
        <v>0</v>
      </c>
      <c r="M400" s="1795"/>
      <c r="N400" s="1795"/>
      <c r="O400" s="1795" t="n">
        <f aca="false">E400*I400*J400*K400</f>
        <v>0</v>
      </c>
      <c r="P400" s="1737" t="n">
        <f aca="false">C400</f>
        <v>0</v>
      </c>
      <c r="Q400" s="1737" t="n">
        <f aca="false">C400</f>
        <v>0</v>
      </c>
      <c r="R400" s="1737" t="n">
        <f aca="false">C400</f>
        <v>0</v>
      </c>
      <c r="S400" s="1795" t="n">
        <f aca="false">C400</f>
        <v>0</v>
      </c>
      <c r="T400" s="1795" t="n">
        <f aca="false">(P400+Q400+R400)*J400*K400</f>
        <v>0</v>
      </c>
      <c r="U400" s="1797"/>
      <c r="V400" s="1795"/>
      <c r="W400" s="1795"/>
      <c r="X400" s="1795"/>
      <c r="Y400" s="1737"/>
      <c r="Z400" s="1795"/>
      <c r="AA400" s="1795"/>
      <c r="AB400" s="1795"/>
      <c r="AC400" s="1795"/>
      <c r="AD400" s="1795"/>
    </row>
    <row r="401" s="1798" customFormat="true" ht="15.75" hidden="true" customHeight="true" outlineLevel="1" collapsed="false">
      <c r="A401" s="1792" t="s">
        <v>3318</v>
      </c>
      <c r="B401" s="1793"/>
      <c r="C401" s="1794" t="n">
        <f aca="false">пристройка!C33*VLOOKUP('Ввод данных'!C79,связи1!A2:B3,2,0)*связи1!C568</f>
        <v>0</v>
      </c>
      <c r="D401" s="1795"/>
      <c r="E401" s="1795" t="n">
        <f aca="false">IF('Ввод данных'!A75=связи1!A107,IF('Ввод данных'!A73=связи1!A94,связи1!C571,0)+IF('Ввод данных'!A73=связи1!A95,связи1!C571,0)+IF('Ввод данных'!A73=связи1!A96,связи1!C571,0)+IF('Ввод данных'!A73=связи1!A97,связи1!C573,0)+IF('Ввод данных'!A73=связи1!A98,связи1!C571,0),0)+IF('Ввод данных'!A75=связи1!A106,IF('Ввод данных'!A73=связи1!A94,связи1!C571,0)+IF('Ввод данных'!A73=связи1!A95,связи1!C571,0)+IF('Ввод данных'!A73=связи1!A96,связи1!C571,0)+IF('Ввод данных'!A73=связи1!A97,связи1!C572,0)+IF('Ввод данных'!A73=связи1!A98,связи1!C571,0),0)+IF('Ввод данных'!A75=связи1!A108,IF('Ввод данных'!A73=связи1!A94,связи1!C571,0)+IF('Ввод данных'!A73=связи1!A95,связи1!C571,0)+IF('Ввод данных'!A73=связи1!A96,связи1!C571,0)+IF('Ввод данных'!A73=связи1!A97,связи1!C573,0)+IF('Ввод данных'!A73=связи1!A98,связи1!C571,0),0)</f>
        <v>1.2</v>
      </c>
      <c r="F401" s="1796" t="n">
        <f aca="false">C401*E401</f>
        <v>0</v>
      </c>
      <c r="G401" s="1795" t="n">
        <f aca="false">G124</f>
        <v>0.6</v>
      </c>
      <c r="H401" s="1795"/>
      <c r="I401" s="1795" t="n">
        <f aca="false">IF(C401=0,0,C401/G401+1)</f>
        <v>0</v>
      </c>
      <c r="J401" s="1795" t="n">
        <f aca="false">$D$143</f>
        <v>0.045</v>
      </c>
      <c r="K401" s="1795" t="n">
        <f aca="false">$C$143</f>
        <v>0.145</v>
      </c>
      <c r="L401" s="1795" t="n">
        <f aca="false">CEILING(C401/G401+1,1)*VLOOKUP('Ввод данных'!C79,связи1!A2:B3,2,0)*связи1!C568</f>
        <v>0</v>
      </c>
      <c r="M401" s="1795"/>
      <c r="N401" s="1795"/>
      <c r="O401" s="1795" t="n">
        <f aca="false">E401*I401*J401*K401</f>
        <v>0</v>
      </c>
      <c r="P401" s="1737" t="n">
        <f aca="false">C401</f>
        <v>0</v>
      </c>
      <c r="Q401" s="1737" t="n">
        <f aca="false">C401</f>
        <v>0</v>
      </c>
      <c r="R401" s="1737" t="n">
        <f aca="false">C401</f>
        <v>0</v>
      </c>
      <c r="S401" s="1795" t="n">
        <f aca="false">C401</f>
        <v>0</v>
      </c>
      <c r="T401" s="1795" t="n">
        <f aca="false">(P401+Q401+R401)*J401*K401</f>
        <v>0</v>
      </c>
      <c r="U401" s="1797"/>
      <c r="V401" s="1795"/>
      <c r="W401" s="1795"/>
      <c r="X401" s="1795"/>
      <c r="Y401" s="1737"/>
      <c r="Z401" s="1737"/>
      <c r="AA401" s="1795"/>
      <c r="AB401" s="1795"/>
      <c r="AC401" s="1795"/>
      <c r="AD401" s="1795"/>
    </row>
    <row r="402" customFormat="false" ht="15.75" hidden="true" customHeight="true" outlineLevel="1" collapsed="false">
      <c r="A402" s="1799"/>
      <c r="B402" s="1800" t="n">
        <f aca="false">связи1!F185</f>
        <v>0.4</v>
      </c>
      <c r="C402" s="1801" t="n">
        <f aca="false">SUM(C399:C401)</f>
        <v>0</v>
      </c>
      <c r="D402" s="1755" t="n">
        <f aca="false">B402*C402*(пристройка!C32+пристройка!H32+пристройка!M32)</f>
        <v>0</v>
      </c>
      <c r="E402" s="1344"/>
      <c r="F402" s="1604"/>
      <c r="G402" s="1344"/>
      <c r="H402" s="1344"/>
      <c r="I402" s="1436"/>
      <c r="J402" s="1625" t="n">
        <f aca="false">$D$143</f>
        <v>0.045</v>
      </c>
      <c r="K402" s="1625" t="n">
        <f aca="false">$C$143</f>
        <v>0.145</v>
      </c>
      <c r="L402" s="1436"/>
      <c r="M402" s="1436"/>
      <c r="N402" s="1436"/>
      <c r="O402" s="1755" t="n">
        <f aca="false">O398</f>
        <v>0.3</v>
      </c>
      <c r="P402" s="1714" t="n">
        <f aca="false">SUM(P399:P401)</f>
        <v>0</v>
      </c>
      <c r="Q402" s="1714" t="n">
        <f aca="false">SUM(Q399:Q401)</f>
        <v>0</v>
      </c>
      <c r="R402" s="1714" t="n">
        <f aca="false">SUM(R399:R401)</f>
        <v>0</v>
      </c>
      <c r="S402" s="1436" t="n">
        <f aca="false">SUM(S399:S401)</f>
        <v>0</v>
      </c>
      <c r="T402" s="1755" t="n">
        <f aca="false">O402*S402</f>
        <v>0</v>
      </c>
      <c r="U402" s="1753"/>
      <c r="V402" s="1635"/>
      <c r="W402" s="1436"/>
      <c r="X402" s="1436"/>
      <c r="Y402" s="1700"/>
      <c r="Z402" s="1714"/>
      <c r="AA402" s="1635"/>
      <c r="AB402" s="1436"/>
      <c r="AC402" s="1436"/>
      <c r="AD402" s="1635"/>
    </row>
    <row r="403" s="1709" customFormat="true" ht="15.75" hidden="true" customHeight="true" outlineLevel="1" collapsed="false">
      <c r="A403" s="1799" t="s">
        <v>3316</v>
      </c>
      <c r="B403" s="1802" t="s">
        <v>848</v>
      </c>
      <c r="C403" s="1294" t="n">
        <f aca="false">пристройка!D34*VLOOKUP('Ввод данных'!C79,связи1!A2:B3,2,0)*связи1!D568</f>
        <v>0</v>
      </c>
      <c r="D403" s="1344" t="n">
        <f aca="false">пристройка!D16+пристройка!I16+пристройка!N16</f>
        <v>0</v>
      </c>
      <c r="E403" s="1344" t="n">
        <f aca="false">IF('Ввод данных'!A454=связи1!A107,IF('Ввод данных'!A455=связи1!A94,связи1!D571,0)+IF('Ввод данных'!A455=связи1!A95,связи1!D571,0)+IF('Ввод данных'!A455=связи1!A96,связи1!D571,0)+IF('Ввод данных'!A455=связи1!A97,связи1!D572,0)+IF('Ввод данных'!A455=связи1!A98,связи1!D571,0),0)+IF('Ввод данных'!A454=связи1!A106,IF('Ввод данных'!A455=связи1!A94,связи1!D571,0)+IF('Ввод данных'!A455=связи1!A95,связи1!D571,0)+IF('Ввод данных'!A455=связи1!A96,связи1!D571,0)+IF('Ввод данных'!A455=связи1!A97,связи1!D573,0)+IF('Ввод данных'!A455=связи1!A98,связи1!D571,0),0)+IF('Ввод данных'!A454=связи1!A108,IF('Ввод данных'!A455=связи1!A94,связи1!D571,0)+IF('Ввод данных'!A455=связи1!A95,связи1!D571,0)+IF('Ввод данных'!A455=связи1!A96,связи1!D571,0)+IF('Ввод данных'!A455=связи1!A97,связи1!D573,0)+IF('Ввод данных'!A455=связи1!A98,связи1!D571,0),0)</f>
        <v>2.9</v>
      </c>
      <c r="F403" s="1604" t="n">
        <f aca="false">C403*E403</f>
        <v>0</v>
      </c>
      <c r="G403" s="1344" t="n">
        <f aca="false">G399</f>
        <v>0.6</v>
      </c>
      <c r="H403" s="1344"/>
      <c r="I403" s="1436" t="n">
        <f aca="false">IF(C403=0,0,C403/G403+1)</f>
        <v>0</v>
      </c>
      <c r="J403" s="1625" t="n">
        <f aca="false">$D$143</f>
        <v>0.045</v>
      </c>
      <c r="K403" s="1625" t="n">
        <f aca="false">$C$143</f>
        <v>0.145</v>
      </c>
      <c r="L403" s="1795" t="n">
        <f aca="false">CEILING(C403/G403+1,1)*VLOOKUP('Ввод данных'!C79,связи1!A2:B3,2,0)*связи1!D568</f>
        <v>0</v>
      </c>
      <c r="M403" s="1795"/>
      <c r="N403" s="1795"/>
      <c r="O403" s="1635" t="n">
        <f aca="false">E403*I403*J403*K403</f>
        <v>0</v>
      </c>
      <c r="P403" s="1714" t="n">
        <f aca="false">C403</f>
        <v>0</v>
      </c>
      <c r="Q403" s="1714" t="n">
        <f aca="false">C403</f>
        <v>0</v>
      </c>
      <c r="R403" s="1714" t="n">
        <f aca="false">C403</f>
        <v>0</v>
      </c>
      <c r="S403" s="1436" t="n">
        <f aca="false">C403</f>
        <v>0</v>
      </c>
      <c r="T403" s="1635" t="n">
        <f aca="false">(P403+Q403+R403)*J403*K403</f>
        <v>0</v>
      </c>
      <c r="U403" s="1753"/>
      <c r="V403" s="1344"/>
      <c r="W403" s="1344"/>
      <c r="X403" s="1344"/>
      <c r="Y403" s="1707"/>
      <c r="Z403" s="1707"/>
      <c r="AA403" s="1344"/>
      <c r="AB403" s="1344"/>
      <c r="AC403" s="1344"/>
      <c r="AD403" s="1344"/>
    </row>
    <row r="404" s="1709" customFormat="true" ht="15.75" hidden="true" customHeight="true" outlineLevel="1" collapsed="false">
      <c r="A404" s="1799" t="s">
        <v>3317</v>
      </c>
      <c r="B404" s="1802" t="s">
        <v>844</v>
      </c>
      <c r="C404" s="1294" t="n">
        <f aca="false">пристройка!D33*VLOOKUP('Ввод данных'!C79,связи1!A2:B3,2,0)*связи1!D568</f>
        <v>0</v>
      </c>
      <c r="D404" s="1344" t="n">
        <f aca="false">пристройка!D17+пристройка!I17+пристройка!N17</f>
        <v>0</v>
      </c>
      <c r="E404" s="1344" t="n">
        <f aca="false">IF('Ввод данных'!A454=связи1!A107,IF('Ввод данных'!A455=связи1!A94,связи1!D571,0)+IF('Ввод данных'!A455=связи1!A95,связи1!D571,0)+IF('Ввод данных'!A455=связи1!A96,связи1!D571,0)+IF('Ввод данных'!A455=связи1!A97,связи1!D573,0)+IF('Ввод данных'!A455=связи1!A98,связи1!D571,0),0)+IF('Ввод данных'!A454=связи1!A106,IF('Ввод данных'!A455=связи1!A94,связи1!D571,0)+IF('Ввод данных'!A455=связи1!A95,связи1!D571,0)+IF('Ввод данных'!A455=связи1!A96,связи1!D571,0)+IF('Ввод данных'!A455=связи1!A97,связи1!D572,0)+IF('Ввод данных'!A455=связи1!A98,связи1!D571,0),0)+IF('Ввод данных'!A454=связи1!A108,IF('Ввод данных'!A455=связи1!A94,связи1!D571,0)+IF('Ввод данных'!A455=связи1!A95,связи1!D571,0)+IF('Ввод данных'!A455=связи1!A96,связи1!D571,0)+IF('Ввод данных'!A455=связи1!A97,связи1!D573,0)+IF('Ввод данных'!A455=связи1!A98,связи1!D571,0),0)</f>
        <v>2.9</v>
      </c>
      <c r="F404" s="1604" t="n">
        <f aca="false">C404*E404</f>
        <v>0</v>
      </c>
      <c r="G404" s="1344" t="n">
        <f aca="false">G399</f>
        <v>0.6</v>
      </c>
      <c r="H404" s="1344"/>
      <c r="I404" s="1436" t="n">
        <f aca="false">IF(C404=0,0,C404/G404+1)</f>
        <v>0</v>
      </c>
      <c r="J404" s="1625" t="n">
        <f aca="false">$D$143</f>
        <v>0.045</v>
      </c>
      <c r="K404" s="1625" t="n">
        <f aca="false">$C$143</f>
        <v>0.145</v>
      </c>
      <c r="L404" s="1795" t="n">
        <f aca="false">CEILING(C404/G404+1,1)*VLOOKUP('Ввод данных'!C79,связи1!A2:B3,2,0)*связи1!D568</f>
        <v>0</v>
      </c>
      <c r="M404" s="1795"/>
      <c r="N404" s="1795"/>
      <c r="O404" s="1635" t="n">
        <f aca="false">E404*I404*J404*K404</f>
        <v>0</v>
      </c>
      <c r="P404" s="1714" t="n">
        <f aca="false">C404</f>
        <v>0</v>
      </c>
      <c r="Q404" s="1714" t="n">
        <f aca="false">C404</f>
        <v>0</v>
      </c>
      <c r="R404" s="1714" t="n">
        <f aca="false">C404</f>
        <v>0</v>
      </c>
      <c r="S404" s="1436" t="n">
        <f aca="false">C404</f>
        <v>0</v>
      </c>
      <c r="T404" s="1635" t="n">
        <f aca="false">(P404+Q404+R404)*J404*K404</f>
        <v>0</v>
      </c>
      <c r="U404" s="1753"/>
      <c r="V404" s="1344"/>
      <c r="W404" s="1344"/>
      <c r="X404" s="1344"/>
      <c r="Y404" s="1707"/>
      <c r="Z404" s="1707"/>
      <c r="AA404" s="1344"/>
      <c r="AB404" s="1344"/>
      <c r="AC404" s="1344"/>
      <c r="AD404" s="1344"/>
    </row>
    <row r="405" s="1709" customFormat="true" ht="15.75" hidden="true" customHeight="true" outlineLevel="1" collapsed="false">
      <c r="A405" s="1799" t="s">
        <v>3318</v>
      </c>
      <c r="B405" s="1802"/>
      <c r="C405" s="1294" t="n">
        <f aca="false">пристройка!D33*VLOOKUP('Ввод данных'!C79,связи1!A2:B3,2,0)*связи1!D568</f>
        <v>0</v>
      </c>
      <c r="D405" s="1344"/>
      <c r="E405" s="1344" t="n">
        <f aca="false">IF('Ввод данных'!A454=связи1!A107,IF('Ввод данных'!A455=связи1!A94,связи1!D571,0)+IF('Ввод данных'!A455=связи1!A95,связи1!D571,0)+IF('Ввод данных'!A455=связи1!A96,связи1!D571,0)+IF('Ввод данных'!A455=связи1!A97,связи1!D573,0)+IF('Ввод данных'!A455=связи1!A98,связи1!D571,0),0)+IF('Ввод данных'!A454=связи1!A106,IF('Ввод данных'!A455=связи1!A94,связи1!D571,0)+IF('Ввод данных'!A455=связи1!A95,связи1!D571,0)+IF('Ввод данных'!A455=связи1!A96,связи1!D571,0)+IF('Ввод данных'!A455=связи1!A97,связи1!D572,0)+IF('Ввод данных'!A455=связи1!A98,связи1!D571,0),0)+IF('Ввод данных'!A454=связи1!A108,IF('Ввод данных'!A455=связи1!A94,связи1!D571,0)+IF('Ввод данных'!A455=связи1!A95,связи1!D571,0)+IF('Ввод данных'!A455=связи1!A96,связи1!D571,0)+IF('Ввод данных'!A455=связи1!A97,связи1!D573,0)+IF('Ввод данных'!A455=связи1!A98,связи1!D571,0),0)</f>
        <v>2.9</v>
      </c>
      <c r="F405" s="1604" t="n">
        <f aca="false">C405*E405</f>
        <v>0</v>
      </c>
      <c r="G405" s="1344" t="n">
        <f aca="false">G399</f>
        <v>0.6</v>
      </c>
      <c r="H405" s="1344"/>
      <c r="I405" s="1436" t="n">
        <f aca="false">IF(C405=0,0,C405/G405+1)</f>
        <v>0</v>
      </c>
      <c r="J405" s="1625" t="n">
        <f aca="false">$D$143</f>
        <v>0.045</v>
      </c>
      <c r="K405" s="1625" t="n">
        <f aca="false">$C$143</f>
        <v>0.145</v>
      </c>
      <c r="L405" s="1795" t="n">
        <f aca="false">CEILING(C405/G405+1,1)*VLOOKUP('Ввод данных'!C79,связи1!A2:B3,2,0)*связи1!D568</f>
        <v>0</v>
      </c>
      <c r="M405" s="1795"/>
      <c r="N405" s="1795"/>
      <c r="O405" s="1635" t="n">
        <f aca="false">E405*I405*J405*K405</f>
        <v>0</v>
      </c>
      <c r="P405" s="1714" t="n">
        <f aca="false">C405</f>
        <v>0</v>
      </c>
      <c r="Q405" s="1714" t="n">
        <f aca="false">C405</f>
        <v>0</v>
      </c>
      <c r="R405" s="1714" t="n">
        <f aca="false">C405</f>
        <v>0</v>
      </c>
      <c r="S405" s="1436" t="n">
        <f aca="false">C405</f>
        <v>0</v>
      </c>
      <c r="T405" s="1635" t="n">
        <f aca="false">(P405+Q405+R405)*J405*K405</f>
        <v>0</v>
      </c>
      <c r="U405" s="1753"/>
      <c r="V405" s="1344"/>
      <c r="W405" s="1344"/>
      <c r="X405" s="1344"/>
      <c r="Y405" s="1707"/>
      <c r="Z405" s="1707"/>
      <c r="AA405" s="1344"/>
      <c r="AB405" s="1344"/>
      <c r="AC405" s="1344"/>
      <c r="AD405" s="1344"/>
    </row>
    <row r="406" s="1709" customFormat="true" ht="15.75" hidden="true" customHeight="true" outlineLevel="1" collapsed="false">
      <c r="A406" s="1799"/>
      <c r="B406" s="1800" t="n">
        <f aca="false">B402</f>
        <v>0.4</v>
      </c>
      <c r="C406" s="1801" t="n">
        <f aca="false">SUM(C403:C405)</f>
        <v>0</v>
      </c>
      <c r="D406" s="1755" t="n">
        <f aca="false">B406*C406*(пристройка!I32+пристройка!D32+пристройка!N32)</f>
        <v>0</v>
      </c>
      <c r="E406" s="1344"/>
      <c r="F406" s="1444"/>
      <c r="G406" s="1344"/>
      <c r="H406" s="1344"/>
      <c r="I406" s="1344"/>
      <c r="J406" s="1625" t="n">
        <f aca="false">$D$143</f>
        <v>0.045</v>
      </c>
      <c r="K406" s="1625" t="n">
        <f aca="false">$C$143</f>
        <v>0.145</v>
      </c>
      <c r="L406" s="1344"/>
      <c r="M406" s="1344"/>
      <c r="N406" s="1344"/>
      <c r="O406" s="1755" t="n">
        <f aca="false">O398</f>
        <v>0.3</v>
      </c>
      <c r="P406" s="1707" t="n">
        <f aca="false">SUM(P403:P405)</f>
        <v>0</v>
      </c>
      <c r="Q406" s="1707" t="n">
        <f aca="false">SUM(Q403:Q405)</f>
        <v>0</v>
      </c>
      <c r="R406" s="1707" t="n">
        <f aca="false">SUM(R403:R405)</f>
        <v>0</v>
      </c>
      <c r="S406" s="1344" t="n">
        <f aca="false">SUM(S403:S405)</f>
        <v>0</v>
      </c>
      <c r="T406" s="1755" t="n">
        <f aca="false">(P406+Q406+R406)*J406*K406</f>
        <v>0</v>
      </c>
      <c r="U406" s="1753"/>
      <c r="V406" s="1344"/>
      <c r="W406" s="1344"/>
      <c r="X406" s="1344"/>
      <c r="Y406" s="1707"/>
      <c r="Z406" s="1707"/>
      <c r="AA406" s="1344"/>
      <c r="AB406" s="1344"/>
      <c r="AC406" s="1344"/>
      <c r="AD406" s="1344"/>
    </row>
    <row r="407" s="1709" customFormat="true" ht="15.75" hidden="true" customHeight="true" outlineLevel="1" collapsed="false">
      <c r="A407" s="1799" t="s">
        <v>3316</v>
      </c>
      <c r="B407" s="1802" t="s">
        <v>848</v>
      </c>
      <c r="C407" s="1294" t="n">
        <f aca="false">пристройка!E34*VLOOKUP('Ввод данных'!C79,связи1!A2:B3,2,0)*связи1!E568</f>
        <v>0</v>
      </c>
      <c r="D407" s="1344" t="n">
        <f aca="false">пристройка!E16+пристройка!J16+пристройка!O16</f>
        <v>0</v>
      </c>
      <c r="E407" s="1344" t="n">
        <f aca="false">IF('Ввод данных'!A458=связи1!A107,IF('Ввод данных'!A459=связи1!A94,связи1!E571,0)+IF('Ввод данных'!A459=связи1!A95,связи1!E571,0)+IF('Ввод данных'!A459=связи1!A96,связи1!E571,0)+IF('Ввод данных'!A459=связи1!A97,связи1!E572,0)+IF('Ввод данных'!A459=связи1!A98,связи1!E571,0),0)+IF('Ввод данных'!A458=связи1!A106,IF('Ввод данных'!A459=связи1!A94,связи1!E571,0)+IF('Ввод данных'!A459=связи1!A95,связи1!E571,0)+IF('Ввод данных'!A459=связи1!A96,связи1!E571,0)+IF('Ввод данных'!A459=связи1!A97,связи1!E573,0)+IF('Ввод данных'!A459=связи1!A98,связи1!E571,0),0)+IF('Ввод данных'!A458=связи1!A108,IF('Ввод данных'!A459=связи1!A94,связи1!E571,0)+IF('Ввод данных'!A459=связи1!A95,связи1!E571,0)+IF('Ввод данных'!A459=связи1!A96,связи1!E571,0)+IF('Ввод данных'!A459=связи1!A97,связи1!E573,0)+IF('Ввод данных'!A459=связи1!A98,связи1!E571,0),0)</f>
        <v>2.9</v>
      </c>
      <c r="F407" s="1604" t="n">
        <f aca="false">C407*E407</f>
        <v>0</v>
      </c>
      <c r="G407" s="1344" t="n">
        <f aca="false">G399</f>
        <v>0.6</v>
      </c>
      <c r="H407" s="1344"/>
      <c r="I407" s="1436" t="n">
        <f aca="false">IF(C407=0,0,C407/G407+1)</f>
        <v>0</v>
      </c>
      <c r="J407" s="1625" t="n">
        <f aca="false">$D$143</f>
        <v>0.045</v>
      </c>
      <c r="K407" s="1625" t="n">
        <f aca="false">$C$143</f>
        <v>0.145</v>
      </c>
      <c r="L407" s="1795" t="n">
        <f aca="false">CEILING(C407/G407+1,1)*VLOOKUP('Ввод данных'!C79,связи1!A2:B3,2,0)*связи1!E568</f>
        <v>0</v>
      </c>
      <c r="M407" s="1795"/>
      <c r="N407" s="1795"/>
      <c r="O407" s="1635" t="n">
        <f aca="false">E407*I407*J407*K407</f>
        <v>0</v>
      </c>
      <c r="P407" s="1714" t="n">
        <f aca="false">C407</f>
        <v>0</v>
      </c>
      <c r="Q407" s="1714" t="n">
        <f aca="false">C407</f>
        <v>0</v>
      </c>
      <c r="R407" s="1714" t="n">
        <f aca="false">C407</f>
        <v>0</v>
      </c>
      <c r="S407" s="1436" t="n">
        <f aca="false">C407</f>
        <v>0</v>
      </c>
      <c r="T407" s="1635" t="n">
        <f aca="false">(P407+Q407+R407)*J407*K407</f>
        <v>0</v>
      </c>
      <c r="U407" s="1753"/>
      <c r="V407" s="1344"/>
      <c r="W407" s="1344"/>
      <c r="X407" s="1344"/>
      <c r="Y407" s="1707"/>
      <c r="Z407" s="1707"/>
      <c r="AA407" s="1344"/>
      <c r="AB407" s="1344"/>
      <c r="AC407" s="1344"/>
      <c r="AD407" s="1344"/>
    </row>
    <row r="408" s="1709" customFormat="true" ht="15.75" hidden="true" customHeight="true" outlineLevel="1" collapsed="false">
      <c r="A408" s="1799" t="s">
        <v>3317</v>
      </c>
      <c r="B408" s="1802" t="s">
        <v>844</v>
      </c>
      <c r="C408" s="1294" t="n">
        <f aca="false">пристройка!E33*VLOOKUP('Ввод данных'!C79,связи1!A2:B3,2,0)*связи1!E568</f>
        <v>0</v>
      </c>
      <c r="D408" s="1344" t="n">
        <f aca="false">пристройка!E17+пристройка!J17+пристройка!O17</f>
        <v>0</v>
      </c>
      <c r="E408" s="1344" t="n">
        <f aca="false">IF('Ввод данных'!A458=связи1!A107,IF('Ввод данных'!A459=связи1!A94,связи1!E571,0)+IF('Ввод данных'!A459=связи1!A95,связи1!E571,0)+IF('Ввод данных'!A459=связи1!A96,связи1!E571,0)+IF('Ввод данных'!A459=связи1!A97,связи1!E573,0)+IF('Ввод данных'!A459=связи1!A98,связи1!E571,0),0)+IF('Ввод данных'!A458=связи1!A106,IF('Ввод данных'!A459=связи1!A94,связи1!E571,0)+IF('Ввод данных'!A459=связи1!A95,связи1!E571,0)+IF('Ввод данных'!A459=связи1!A96,связи1!E571,0)+IF('Ввод данных'!A459=связи1!A97,связи1!E572,0)+IF('Ввод данных'!A459=связи1!A98,связи1!E571,0),0)+IF('Ввод данных'!A458=связи1!A108,IF('Ввод данных'!A459=связи1!A94,связи1!E571,0)+IF('Ввод данных'!A459=связи1!A95,связи1!E571,0)+IF('Ввод данных'!A459=связи1!A96,связи1!E571,0)+IF('Ввод данных'!A459=связи1!A97,связи1!E573,0)+IF('Ввод данных'!A459=связи1!A98,связи1!E571,0),0)</f>
        <v>2.9</v>
      </c>
      <c r="F408" s="1604" t="n">
        <f aca="false">C408*E408</f>
        <v>0</v>
      </c>
      <c r="G408" s="1344" t="n">
        <f aca="false">G399</f>
        <v>0.6</v>
      </c>
      <c r="H408" s="1344"/>
      <c r="I408" s="1436" t="n">
        <f aca="false">IF(C408=0,0,C408/G408+1)</f>
        <v>0</v>
      </c>
      <c r="J408" s="1625" t="n">
        <f aca="false">$D$143</f>
        <v>0.045</v>
      </c>
      <c r="K408" s="1625" t="n">
        <f aca="false">$C$143</f>
        <v>0.145</v>
      </c>
      <c r="L408" s="1795" t="n">
        <f aca="false">CEILING(C408/G408+1,1)*VLOOKUP('Ввод данных'!C79,связи1!A2:B3,2,0)*связи1!E568</f>
        <v>0</v>
      </c>
      <c r="M408" s="1795"/>
      <c r="N408" s="1795"/>
      <c r="O408" s="1635" t="n">
        <f aca="false">E408*I408*J408*K408</f>
        <v>0</v>
      </c>
      <c r="P408" s="1714" t="n">
        <f aca="false">C408</f>
        <v>0</v>
      </c>
      <c r="Q408" s="1714" t="n">
        <f aca="false">C408</f>
        <v>0</v>
      </c>
      <c r="R408" s="1714" t="n">
        <f aca="false">C408</f>
        <v>0</v>
      </c>
      <c r="S408" s="1436" t="n">
        <f aca="false">C408</f>
        <v>0</v>
      </c>
      <c r="T408" s="1635" t="n">
        <f aca="false">(P408+Q408+R408)*J408*K408</f>
        <v>0</v>
      </c>
      <c r="U408" s="1753"/>
      <c r="V408" s="1344"/>
      <c r="W408" s="1344"/>
      <c r="X408" s="1344"/>
      <c r="Y408" s="1707"/>
      <c r="Z408" s="1707"/>
      <c r="AA408" s="1344"/>
      <c r="AB408" s="1344"/>
      <c r="AC408" s="1344"/>
      <c r="AD408" s="1344"/>
    </row>
    <row r="409" s="1709" customFormat="true" ht="15.75" hidden="true" customHeight="true" outlineLevel="1" collapsed="false">
      <c r="A409" s="1799" t="s">
        <v>3318</v>
      </c>
      <c r="B409" s="1802"/>
      <c r="C409" s="1294" t="n">
        <f aca="false">пристройка!E33*VLOOKUP('Ввод данных'!C79,связи1!A2:B3,2,0)*связи1!E568</f>
        <v>0</v>
      </c>
      <c r="D409" s="1344"/>
      <c r="E409" s="1344" t="n">
        <f aca="false">IF('Ввод данных'!A458=связи1!A107,IF('Ввод данных'!A459=связи1!A94,связи1!E571,0)+IF('Ввод данных'!A459=связи1!A95,связи1!E571,0)+IF('Ввод данных'!A459=связи1!A96,связи1!E571,0)+IF('Ввод данных'!A459=связи1!A97,связи1!E573,0)+IF('Ввод данных'!A459=связи1!A98,связи1!E571,0),0)+IF('Ввод данных'!A458=связи1!A106,IF('Ввод данных'!A459=связи1!A94,связи1!E571,0)+IF('Ввод данных'!A459=связи1!A95,связи1!E571,0)+IF('Ввод данных'!A459=связи1!A96,связи1!E571,0)+IF('Ввод данных'!A459=связи1!A97,связи1!E572,0)+IF('Ввод данных'!A459=связи1!A98,связи1!E571,0),0)+IF('Ввод данных'!A458=связи1!A108,IF('Ввод данных'!A459=связи1!A94,связи1!E571,0)+IF('Ввод данных'!A459=связи1!A95,связи1!E571,0)+IF('Ввод данных'!A459=связи1!A96,связи1!E571,0)+IF('Ввод данных'!A459=связи1!A97,связи1!E573,0)+IF('Ввод данных'!A459=связи1!A98,связи1!E571,0),0)</f>
        <v>2.9</v>
      </c>
      <c r="F409" s="1604" t="n">
        <f aca="false">C409*E409</f>
        <v>0</v>
      </c>
      <c r="G409" s="1344" t="n">
        <f aca="false">G399</f>
        <v>0.6</v>
      </c>
      <c r="H409" s="1344"/>
      <c r="I409" s="1436" t="n">
        <f aca="false">IF(C409=0,0,C409/G409+1)</f>
        <v>0</v>
      </c>
      <c r="J409" s="1625" t="n">
        <f aca="false">$D$143</f>
        <v>0.045</v>
      </c>
      <c r="K409" s="1625" t="n">
        <f aca="false">$C$143</f>
        <v>0.145</v>
      </c>
      <c r="L409" s="1795" t="n">
        <f aca="false">CEILING(C409/G409+1,1)*VLOOKUP('Ввод данных'!C79,связи1!A2:B3,2,0)*связи1!E568</f>
        <v>0</v>
      </c>
      <c r="M409" s="1795"/>
      <c r="N409" s="1795"/>
      <c r="O409" s="1635" t="n">
        <f aca="false">E409*I409*J409*K409</f>
        <v>0</v>
      </c>
      <c r="P409" s="1714" t="n">
        <f aca="false">C409</f>
        <v>0</v>
      </c>
      <c r="Q409" s="1714" t="n">
        <f aca="false">C409</f>
        <v>0</v>
      </c>
      <c r="R409" s="1714" t="n">
        <f aca="false">C409</f>
        <v>0</v>
      </c>
      <c r="S409" s="1436" t="n">
        <f aca="false">C409</f>
        <v>0</v>
      </c>
      <c r="T409" s="1635" t="n">
        <f aca="false">(P409+Q409+R409)*J409*K409</f>
        <v>0</v>
      </c>
      <c r="U409" s="1753"/>
      <c r="V409" s="1344"/>
      <c r="W409" s="1344"/>
      <c r="X409" s="1344"/>
      <c r="Y409" s="1707"/>
      <c r="Z409" s="1707"/>
      <c r="AA409" s="1344"/>
      <c r="AB409" s="1344"/>
      <c r="AC409" s="1344"/>
      <c r="AD409" s="1344"/>
    </row>
    <row r="410" s="1709" customFormat="true" ht="15.75" hidden="true" customHeight="true" outlineLevel="1" collapsed="false">
      <c r="A410" s="1799"/>
      <c r="B410" s="1800" t="n">
        <f aca="false">B402</f>
        <v>0.4</v>
      </c>
      <c r="C410" s="1801" t="n">
        <f aca="false">SUM(C407:C409)</f>
        <v>0</v>
      </c>
      <c r="D410" s="1755" t="n">
        <f aca="false">B410*C410*(пристройка!E32+пристройка!J32+пристройка!O32)</f>
        <v>0</v>
      </c>
      <c r="E410" s="1344"/>
      <c r="F410" s="1444"/>
      <c r="G410" s="1344"/>
      <c r="H410" s="1344"/>
      <c r="I410" s="1344"/>
      <c r="J410" s="1625" t="n">
        <f aca="false">$D$143</f>
        <v>0.045</v>
      </c>
      <c r="K410" s="1625" t="n">
        <f aca="false">$C$143</f>
        <v>0.145</v>
      </c>
      <c r="L410" s="1344"/>
      <c r="M410" s="1344"/>
      <c r="N410" s="1344"/>
      <c r="O410" s="1755" t="n">
        <f aca="false">O398</f>
        <v>0.3</v>
      </c>
      <c r="P410" s="1707" t="n">
        <f aca="false">SUM(P407:P409)</f>
        <v>0</v>
      </c>
      <c r="Q410" s="1707" t="n">
        <f aca="false">SUM(Q407:Q409)</f>
        <v>0</v>
      </c>
      <c r="R410" s="1707" t="n">
        <f aca="false">SUM(R407:R409)</f>
        <v>0</v>
      </c>
      <c r="S410" s="1707" t="n">
        <f aca="false">SUM(S407:S409)</f>
        <v>0</v>
      </c>
      <c r="T410" s="1755"/>
      <c r="U410" s="1753"/>
      <c r="V410" s="1344"/>
      <c r="W410" s="1344"/>
      <c r="X410" s="1344"/>
      <c r="Y410" s="1707"/>
      <c r="Z410" s="1707"/>
      <c r="AA410" s="1344"/>
      <c r="AB410" s="1344"/>
      <c r="AC410" s="1344"/>
      <c r="AD410" s="1344"/>
    </row>
    <row r="411" s="1709" customFormat="true" ht="15.75" hidden="true" customHeight="true" outlineLevel="1" collapsed="false">
      <c r="A411" s="1799" t="s">
        <v>3316</v>
      </c>
      <c r="B411" s="1802" t="s">
        <v>848</v>
      </c>
      <c r="C411" s="1294" t="n">
        <f aca="false">пристройка!F34*VLOOKUP('Ввод данных'!C79,связи1!A2:B3,2,0)*связи1!F568</f>
        <v>0</v>
      </c>
      <c r="D411" s="1344" t="n">
        <f aca="false">пристройка!F16+пристройка!K16+пристройка!P16</f>
        <v>0</v>
      </c>
      <c r="E411" s="1344" t="n">
        <f aca="false">IF('Ввод данных'!A462=связи1!A107,IF('Ввод данных'!A463=связи1!A94,связи1!F571,0)+IF('Ввод данных'!A463=связи1!A95,связи1!F571,0)+IF('Ввод данных'!A463=связи1!A96,связи1!F571,0)+IF('Ввод данных'!A463=связи1!A97,связи1!F572,0)+IF('Ввод данных'!A463=связи1!A98,связи1!F571,0),0)+IF('Ввод данных'!A462=связи1!A106,IF('Ввод данных'!A463=связи1!A94,связи1!F571,0)+IF('Ввод данных'!A463=связи1!A95,связи1!F571,0)+IF('Ввод данных'!A463=связи1!A96,связи1!F571,0)+IF('Ввод данных'!A463=связи1!A97,связи1!F573,0)+IF('Ввод данных'!A463=связи1!A98,связи1!F571,0),0)+IF('Ввод данных'!A462=связи1!A108,IF('Ввод данных'!A463=связи1!A94,связи1!F571,0)+IF('Ввод данных'!A463=связи1!A95,связи1!F571,0)+IF('Ввод данных'!A463=связи1!A96,связи1!F571,0)+IF('Ввод данных'!A463=связи1!A97,связи1!F573,0)+IF('Ввод данных'!A463=связи1!A98,связи1!F571,0),0)</f>
        <v>3</v>
      </c>
      <c r="F411" s="1604" t="n">
        <f aca="false">C411*E411</f>
        <v>0</v>
      </c>
      <c r="G411" s="1344" t="n">
        <f aca="false">G399</f>
        <v>0.6</v>
      </c>
      <c r="H411" s="1344"/>
      <c r="I411" s="1436" t="n">
        <f aca="false">IF(C411=0,0,C411/G411+1)</f>
        <v>0</v>
      </c>
      <c r="J411" s="1625" t="n">
        <f aca="false">$D$143</f>
        <v>0.045</v>
      </c>
      <c r="K411" s="1625" t="n">
        <f aca="false">$C$143</f>
        <v>0.145</v>
      </c>
      <c r="L411" s="1795" t="n">
        <f aca="false">CEILING(C411/G411+1,1)*VLOOKUP('Ввод данных'!C79,связи1!A2:B3,2,0)*связи1!F568</f>
        <v>0</v>
      </c>
      <c r="M411" s="1795"/>
      <c r="N411" s="1795"/>
      <c r="O411" s="1635" t="n">
        <f aca="false">E411*I411*J411*K411</f>
        <v>0</v>
      </c>
      <c r="P411" s="1714" t="n">
        <f aca="false">C411</f>
        <v>0</v>
      </c>
      <c r="Q411" s="1714" t="n">
        <f aca="false">C411</f>
        <v>0</v>
      </c>
      <c r="R411" s="1714" t="n">
        <f aca="false">C411</f>
        <v>0</v>
      </c>
      <c r="S411" s="1436" t="n">
        <f aca="false">C411</f>
        <v>0</v>
      </c>
      <c r="T411" s="1635" t="n">
        <f aca="false">(P411+Q411+R411)*J411*K411</f>
        <v>0</v>
      </c>
      <c r="U411" s="1753"/>
      <c r="V411" s="1344"/>
      <c r="W411" s="1344"/>
      <c r="X411" s="1344"/>
      <c r="Y411" s="1707"/>
      <c r="Z411" s="1707"/>
      <c r="AA411" s="1344"/>
      <c r="AB411" s="1344"/>
      <c r="AC411" s="1344"/>
      <c r="AD411" s="1344"/>
    </row>
    <row r="412" s="1709" customFormat="true" ht="15.75" hidden="true" customHeight="true" outlineLevel="1" collapsed="false">
      <c r="A412" s="1799" t="s">
        <v>3317</v>
      </c>
      <c r="B412" s="1802" t="s">
        <v>844</v>
      </c>
      <c r="C412" s="1294" t="n">
        <f aca="false">пристройка!F33*VLOOKUP('Ввод данных'!C79,связи1!A2:B3,2,0)*связи1!F568</f>
        <v>0</v>
      </c>
      <c r="D412" s="1344" t="n">
        <f aca="false">пристройка!F17+пристройка!K17+пристройка!P17</f>
        <v>0</v>
      </c>
      <c r="E412" s="1344" t="n">
        <f aca="false">IF('Ввод данных'!A462=связи1!A107,IF('Ввод данных'!A463=связи1!A94,связи1!F571,0)+IF('Ввод данных'!A463=связи1!A95,связи1!F571,0)+IF('Ввод данных'!A463=связи1!A96,связи1!F571,0)+IF('Ввод данных'!A463=связи1!A97,связи1!F573,0)+IF('Ввод данных'!A463=связи1!A98,связи1!F571,0),0)+IF('Ввод данных'!A462=связи1!A106,IF('Ввод данных'!A463=связи1!A94,связи1!F571,0)+IF('Ввод данных'!A463=связи1!A95,связи1!F571,0)+IF('Ввод данных'!A463=связи1!A96,связи1!F571,0)+IF('Ввод данных'!A463=связи1!A97,связи1!F572,0)+IF('Ввод данных'!A463=связи1!A98,связи1!F571,0),0)+IF('Ввод данных'!A462=связи1!A108,IF('Ввод данных'!A463=связи1!A94,связи1!F571,0)+IF('Ввод данных'!A463=связи1!A95,связи1!F571,0)+IF('Ввод данных'!A463=связи1!A96,связи1!F571,0)+IF('Ввод данных'!A463=связи1!A97,связи1!F573,0)+IF('Ввод данных'!A463=связи1!A98,связи1!F571,0),0)</f>
        <v>3</v>
      </c>
      <c r="F412" s="1604" t="n">
        <f aca="false">C412*E412</f>
        <v>0</v>
      </c>
      <c r="G412" s="1344" t="n">
        <f aca="false">G399</f>
        <v>0.6</v>
      </c>
      <c r="H412" s="1344"/>
      <c r="I412" s="1436" t="n">
        <f aca="false">IF(C412=0,0,C412/G412+1)</f>
        <v>0</v>
      </c>
      <c r="J412" s="1625" t="n">
        <f aca="false">$D$143</f>
        <v>0.045</v>
      </c>
      <c r="K412" s="1625" t="n">
        <f aca="false">$C$143</f>
        <v>0.145</v>
      </c>
      <c r="L412" s="1795" t="n">
        <f aca="false">CEILING(C412/G412+1,1)*VLOOKUP('Ввод данных'!C79,связи1!A2:B3,2,0)*связи1!F568</f>
        <v>0</v>
      </c>
      <c r="M412" s="1795"/>
      <c r="N412" s="1795"/>
      <c r="O412" s="1635" t="n">
        <f aca="false">E412*I412*J412*K412</f>
        <v>0</v>
      </c>
      <c r="P412" s="1714" t="n">
        <f aca="false">C412</f>
        <v>0</v>
      </c>
      <c r="Q412" s="1714" t="n">
        <f aca="false">C412</f>
        <v>0</v>
      </c>
      <c r="R412" s="1714" t="n">
        <f aca="false">C412</f>
        <v>0</v>
      </c>
      <c r="S412" s="1436" t="n">
        <f aca="false">C412</f>
        <v>0</v>
      </c>
      <c r="T412" s="1635" t="n">
        <f aca="false">(P412+Q412+R412)*J412*K412</f>
        <v>0</v>
      </c>
      <c r="U412" s="1753"/>
      <c r="V412" s="1344"/>
      <c r="W412" s="1344"/>
      <c r="X412" s="1344"/>
      <c r="Y412" s="1707"/>
      <c r="Z412" s="1707"/>
      <c r="AA412" s="1344"/>
      <c r="AB412" s="1344"/>
      <c r="AC412" s="1344"/>
      <c r="AD412" s="1344"/>
    </row>
    <row r="413" s="1709" customFormat="true" ht="15.75" hidden="true" customHeight="true" outlineLevel="1" collapsed="false">
      <c r="A413" s="1799" t="s">
        <v>3318</v>
      </c>
      <c r="B413" s="1802"/>
      <c r="C413" s="1294" t="n">
        <f aca="false">пристройка!F33*VLOOKUP('Ввод данных'!C79,связи1!A2:B3,2,0)*связи1!F568</f>
        <v>0</v>
      </c>
      <c r="D413" s="1344"/>
      <c r="E413" s="1344" t="n">
        <f aca="false">IF('Ввод данных'!A462=связи1!A107,IF('Ввод данных'!A463=связи1!A94,связи1!F571,0)+IF('Ввод данных'!A463=связи1!A95,связи1!F571,0)+IF('Ввод данных'!A463=связи1!A96,связи1!F571,0)+IF('Ввод данных'!A463=связи1!A97,связи1!F573,0)+IF('Ввод данных'!A463=связи1!A98,связи1!F571,0),0)+IF('Ввод данных'!A462=связи1!A106,IF('Ввод данных'!A463=связи1!A94,связи1!F571,0)+IF('Ввод данных'!A463=связи1!A95,связи1!F571,0)+IF('Ввод данных'!A463=связи1!A96,связи1!F571,0)+IF('Ввод данных'!A463=связи1!A97,связи1!F572,0)+IF('Ввод данных'!A463=связи1!A98,связи1!F571,0),0)+IF('Ввод данных'!A462=связи1!A108,IF('Ввод данных'!A463=связи1!A94,связи1!F571,0)+IF('Ввод данных'!A463=связи1!A95,связи1!F571,0)+IF('Ввод данных'!A463=связи1!A96,связи1!F571,0)+IF('Ввод данных'!A463=связи1!A97,связи1!F573,0)+IF('Ввод данных'!A463=связи1!A98,связи1!F571,0),0)</f>
        <v>3</v>
      </c>
      <c r="F413" s="1604" t="n">
        <f aca="false">C413*E413</f>
        <v>0</v>
      </c>
      <c r="G413" s="1344" t="n">
        <f aca="false">G399</f>
        <v>0.6</v>
      </c>
      <c r="H413" s="1344"/>
      <c r="I413" s="1436" t="n">
        <f aca="false">IF(C413=0,0,C413/G413+1)</f>
        <v>0</v>
      </c>
      <c r="J413" s="1625" t="n">
        <f aca="false">$D$143</f>
        <v>0.045</v>
      </c>
      <c r="K413" s="1625" t="n">
        <f aca="false">$C$143</f>
        <v>0.145</v>
      </c>
      <c r="L413" s="1795" t="n">
        <f aca="false">CEILING(C413/G413+1,1)*VLOOKUP('Ввод данных'!C79,связи1!A2:B3,2,0)*связи1!F568</f>
        <v>0</v>
      </c>
      <c r="M413" s="1795"/>
      <c r="N413" s="1795"/>
      <c r="O413" s="1635" t="n">
        <f aca="false">E413*I413*J413*K413</f>
        <v>0</v>
      </c>
      <c r="P413" s="1714" t="n">
        <f aca="false">C413</f>
        <v>0</v>
      </c>
      <c r="Q413" s="1714" t="n">
        <f aca="false">C413</f>
        <v>0</v>
      </c>
      <c r="R413" s="1714" t="n">
        <f aca="false">C413</f>
        <v>0</v>
      </c>
      <c r="S413" s="1436" t="n">
        <f aca="false">C413</f>
        <v>0</v>
      </c>
      <c r="T413" s="1635" t="n">
        <f aca="false">(P413+Q413+R413)*J413*K413</f>
        <v>0</v>
      </c>
      <c r="U413" s="1753"/>
      <c r="V413" s="1344"/>
      <c r="W413" s="1344"/>
      <c r="X413" s="1344"/>
      <c r="Y413" s="1707"/>
      <c r="Z413" s="1707"/>
      <c r="AA413" s="1344"/>
      <c r="AB413" s="1344"/>
      <c r="AC413" s="1344"/>
      <c r="AD413" s="1344"/>
    </row>
    <row r="414" s="1709" customFormat="true" ht="15.75" hidden="true" customHeight="true" outlineLevel="1" collapsed="false">
      <c r="A414" s="1799"/>
      <c r="B414" s="1800" t="n">
        <f aca="false">B402</f>
        <v>0.4</v>
      </c>
      <c r="C414" s="1801" t="n">
        <f aca="false">SUM(C411:C413)</f>
        <v>0</v>
      </c>
      <c r="D414" s="1755" t="n">
        <f aca="false">B414*C414*(пристройка!F32+пристройка!K32+пристройка!P32)</f>
        <v>0</v>
      </c>
      <c r="E414" s="1344"/>
      <c r="F414" s="1444"/>
      <c r="G414" s="1344"/>
      <c r="H414" s="1344"/>
      <c r="I414" s="1344"/>
      <c r="J414" s="1344"/>
      <c r="K414" s="1344"/>
      <c r="L414" s="1344"/>
      <c r="M414" s="1344"/>
      <c r="N414" s="1344"/>
      <c r="O414" s="1344" t="n">
        <f aca="false">O398</f>
        <v>0.3</v>
      </c>
      <c r="P414" s="1707" t="n">
        <f aca="false">SUM(P411:P413)</f>
        <v>0</v>
      </c>
      <c r="Q414" s="1707" t="n">
        <f aca="false">SUM(Q411:Q413)</f>
        <v>0</v>
      </c>
      <c r="R414" s="1707" t="n">
        <f aca="false">SUM(R411:R413)</f>
        <v>0</v>
      </c>
      <c r="S414" s="1707" t="n">
        <f aca="false">SUM(S411:S413)</f>
        <v>0</v>
      </c>
      <c r="T414" s="1344"/>
      <c r="U414" s="1753"/>
      <c r="V414" s="1344"/>
      <c r="W414" s="1344"/>
      <c r="X414" s="1344"/>
      <c r="Y414" s="1707"/>
      <c r="Z414" s="1707"/>
      <c r="AA414" s="1344"/>
      <c r="AB414" s="1344"/>
      <c r="AC414" s="1344"/>
      <c r="AD414" s="1344"/>
    </row>
    <row r="415" s="1709" customFormat="true" ht="15.75" hidden="true" customHeight="true" outlineLevel="1" collapsed="false">
      <c r="A415" s="1799" t="s">
        <v>3319</v>
      </c>
      <c r="B415" s="1294" t="s">
        <v>15</v>
      </c>
      <c r="C415" s="1803" t="n">
        <f aca="false">IF('Ввод данных'!A73=связи1!A94,связи1!C572-связи1!C571,0)+IF('Ввод данных'!A73=связи1!A97,связи1!C572,0)</f>
        <v>5</v>
      </c>
      <c r="D415" s="1344"/>
      <c r="E415" s="1344"/>
      <c r="F415" s="1444"/>
      <c r="G415" s="1344"/>
      <c r="H415" s="1344"/>
      <c r="I415" s="1344"/>
      <c r="J415" s="1344"/>
      <c r="K415" s="1344"/>
      <c r="L415" s="1344"/>
      <c r="M415" s="1344"/>
      <c r="N415" s="1344"/>
      <c r="O415" s="1344"/>
      <c r="P415" s="1707"/>
      <c r="Q415" s="1707"/>
      <c r="R415" s="1707"/>
      <c r="S415" s="1344"/>
      <c r="T415" s="1344"/>
      <c r="U415" s="1753"/>
      <c r="V415" s="1344"/>
      <c r="W415" s="1344"/>
      <c r="X415" s="1344"/>
      <c r="Y415" s="1707"/>
      <c r="Z415" s="1707"/>
      <c r="AA415" s="1344"/>
      <c r="AB415" s="1344"/>
      <c r="AC415" s="1344"/>
      <c r="AD415" s="1344"/>
    </row>
    <row r="416" s="1709" customFormat="true" ht="15.75" hidden="true" customHeight="true" outlineLevel="1" collapsed="false">
      <c r="A416" s="1799" t="s">
        <v>3320</v>
      </c>
      <c r="B416" s="1294"/>
      <c r="C416" s="1803" t="n">
        <f aca="false">IF('Ввод данных'!A73=связи1!A94,1,0)+IF('Ввод данных'!A73=связи1!A97,1,0)</f>
        <v>1</v>
      </c>
      <c r="D416" s="1344" t="n">
        <f aca="false">IF('Ввод данных'!A455=связи1!A94,1,0)+IF('Ввод данных'!A455=связи1!A97,1,0)</f>
        <v>0</v>
      </c>
      <c r="E416" s="1344" t="n">
        <f aca="false">IF('Ввод данных'!A459=связи1!A94,1,0)+IF('Ввод данных'!A459=связи1!A97,1,0)</f>
        <v>0</v>
      </c>
      <c r="F416" s="1444"/>
      <c r="G416" s="1344"/>
      <c r="H416" s="1344"/>
      <c r="I416" s="1344"/>
      <c r="J416" s="1344"/>
      <c r="K416" s="1344"/>
      <c r="L416" s="1344"/>
      <c r="M416" s="1344"/>
      <c r="N416" s="1344"/>
      <c r="O416" s="1344"/>
      <c r="P416" s="1707"/>
      <c r="Q416" s="1707"/>
      <c r="R416" s="1707"/>
      <c r="S416" s="1344"/>
      <c r="T416" s="1344"/>
      <c r="U416" s="1753"/>
      <c r="V416" s="1344"/>
      <c r="W416" s="1344"/>
      <c r="X416" s="1344"/>
      <c r="Y416" s="1707"/>
      <c r="Z416" s="1707"/>
      <c r="AA416" s="1344"/>
      <c r="AB416" s="1344"/>
      <c r="AC416" s="1344"/>
      <c r="AD416" s="1344"/>
    </row>
    <row r="417" s="1709" customFormat="true" ht="15.75" hidden="true" customHeight="true" outlineLevel="1" collapsed="false">
      <c r="A417" s="1799" t="s">
        <v>3321</v>
      </c>
      <c r="B417" s="1294" t="s">
        <v>15</v>
      </c>
      <c r="C417" s="1803" t="n">
        <f aca="false">C404</f>
        <v>0</v>
      </c>
      <c r="D417" s="1344"/>
      <c r="E417" s="1344"/>
      <c r="F417" s="1444"/>
      <c r="G417" s="1344"/>
      <c r="H417" s="1344"/>
      <c r="I417" s="1344"/>
      <c r="J417" s="1344"/>
      <c r="K417" s="1344"/>
      <c r="L417" s="1344"/>
      <c r="M417" s="1344"/>
      <c r="N417" s="1344"/>
      <c r="O417" s="1344"/>
      <c r="P417" s="1707"/>
      <c r="Q417" s="1707"/>
      <c r="R417" s="1707"/>
      <c r="S417" s="1344"/>
      <c r="T417" s="1344"/>
      <c r="U417" s="1753"/>
      <c r="V417" s="1344"/>
      <c r="W417" s="1344"/>
      <c r="X417" s="1344"/>
      <c r="Y417" s="1707"/>
      <c r="Z417" s="1707"/>
      <c r="AA417" s="1344"/>
      <c r="AB417" s="1344"/>
      <c r="AC417" s="1344"/>
      <c r="AD417" s="1344"/>
    </row>
    <row r="418" s="1709" customFormat="true" ht="15.75" hidden="true" customHeight="true" outlineLevel="1" collapsed="false">
      <c r="A418" s="1799" t="s">
        <v>3322</v>
      </c>
      <c r="B418" s="1294" t="s">
        <v>48</v>
      </c>
      <c r="C418" s="1803" t="n">
        <f aca="false">CEILING(IF('Ввод данных'!A75=связи1!A106,L400,0)+IF('Ввод данных'!A75=связи1!A107,дома!C399/2/дома!G399,0)+IF('Ввод данных'!A75=связи1!A108,дома!L400,0),1)</f>
        <v>0</v>
      </c>
      <c r="D418" s="1344" t="n">
        <f aca="false">CEILING(IF('Ввод данных'!A454=связи1!A106,L404,0)+IF('Ввод данных'!A454=связи1!A107,дома!C403/2/дома!G403,0)+IF('Ввод данных'!A454=связи1!A108,дома!L404,0),1)</f>
        <v>0</v>
      </c>
      <c r="E418" s="1344" t="n">
        <f aca="false">CEILING(IF('Ввод данных'!A458=связи1!A106,L408,0)+IF('Ввод данных'!A458=связи1!A107,дома!C407/2/дома!G407,0)+IF('Ввод данных'!A458=связи1!A108,дома!L408,0),1)</f>
        <v>0</v>
      </c>
      <c r="F418" s="1444" t="n">
        <f aca="false">CEILING(IF('Ввод данных'!A462=связи1!A106,L412,0)+IF('Ввод данных'!A462=связи1!A107,дома!C411/2/дома!G411,0)+IF('Ввод данных'!A462=связи1!A108,дома!L412,0),1)</f>
        <v>0</v>
      </c>
      <c r="G418" s="1344"/>
      <c r="H418" s="1344"/>
      <c r="I418" s="1344"/>
      <c r="J418" s="1344"/>
      <c r="K418" s="1344"/>
      <c r="L418" s="1344"/>
      <c r="M418" s="1344"/>
      <c r="N418" s="1344"/>
      <c r="O418" s="1344"/>
      <c r="P418" s="1707"/>
      <c r="Q418" s="1707"/>
      <c r="R418" s="1707"/>
      <c r="S418" s="1344"/>
      <c r="T418" s="1344"/>
      <c r="U418" s="1753"/>
      <c r="V418" s="1344"/>
      <c r="W418" s="1344"/>
      <c r="X418" s="1344"/>
      <c r="Y418" s="1707"/>
      <c r="Z418" s="1707"/>
      <c r="AA418" s="1344"/>
      <c r="AB418" s="1344"/>
      <c r="AC418" s="1344"/>
      <c r="AD418" s="1344"/>
    </row>
    <row r="419" s="1709" customFormat="true" ht="15.75" hidden="true" customHeight="true" outlineLevel="1" collapsed="false">
      <c r="A419" s="1799" t="s">
        <v>3323</v>
      </c>
      <c r="B419" s="1294" t="s">
        <v>15</v>
      </c>
      <c r="C419" s="1803" t="n">
        <f aca="false">(IF('Ввод данных'!A73=связи1!A94,(связи1!C572-связи1!C571)/IF(C418=0,1,C418),0)+IF('Ввод данных'!A73=связи1!A97,(связи1!C572-связи1!C571)/IF(C418=0,1,C418),0))*IF(C418=0,0,1)</f>
        <v>0</v>
      </c>
      <c r="D419" s="1803" t="n">
        <f aca="false">(IF('Ввод данных'!A455=связи1!A94,(связи1!D572-связи1!D571)/IF(D418=0,1,D418),0)+IF('Ввод данных'!A455=связи1!A97,(связи1!D572-связи1!D571)/IF(D418=0,1,D418),0))*IF(D418=0,0,1)</f>
        <v>0</v>
      </c>
      <c r="E419" s="1344" t="n">
        <f aca="false">((IF('Ввод данных'!A459=связи1!A94,(связи1!E572-связи1!E571)/IF(E418=0,1,E418),0)+IF('Ввод данных'!A459=связи1!A97,(связи1!E572-связи1!E571)/IF(E418=0,1,E418),0)))*IF(E418=0,0,1)</f>
        <v>0</v>
      </c>
      <c r="F419" s="1444" t="n">
        <f aca="false">(IF('Ввод данных'!A463=связи1!A94,(связи1!F572-связи1!F571)/IF(F418=0,1,F418),0)+IF('Ввод данных'!A463=связи1!A97,(связи1!F572-связи1!F571)/IF(F418=0,1,F418),0))*IF(F418=0,0,1)</f>
        <v>0</v>
      </c>
      <c r="G419" s="1344"/>
      <c r="H419" s="1344"/>
      <c r="I419" s="1344"/>
      <c r="J419" s="1344"/>
      <c r="K419" s="1344"/>
      <c r="L419" s="1344"/>
      <c r="M419" s="1344"/>
      <c r="N419" s="1344"/>
      <c r="O419" s="1344"/>
      <c r="P419" s="1707"/>
      <c r="Q419" s="1707"/>
      <c r="R419" s="1707"/>
      <c r="S419" s="1344"/>
      <c r="T419" s="1344"/>
      <c r="U419" s="1753"/>
      <c r="V419" s="1344"/>
      <c r="W419" s="1344"/>
      <c r="X419" s="1344"/>
      <c r="Y419" s="1707"/>
      <c r="Z419" s="1707"/>
      <c r="AA419" s="1344"/>
      <c r="AB419" s="1344"/>
      <c r="AC419" s="1344"/>
      <c r="AD419" s="1344"/>
    </row>
    <row r="420" s="1709" customFormat="true" ht="15.75" hidden="true" customHeight="true" outlineLevel="1" collapsed="false">
      <c r="A420" s="1799" t="s">
        <v>3324</v>
      </c>
      <c r="B420" s="1294"/>
      <c r="C420" s="1344"/>
      <c r="D420" s="1344"/>
      <c r="E420" s="1344"/>
      <c r="F420" s="1444"/>
      <c r="G420" s="1344"/>
      <c r="H420" s="1344"/>
      <c r="I420" s="1344"/>
      <c r="J420" s="1344"/>
      <c r="K420" s="1344"/>
      <c r="L420" s="1344"/>
      <c r="M420" s="1344"/>
      <c r="N420" s="1344"/>
      <c r="O420" s="1344"/>
      <c r="P420" s="1707"/>
      <c r="Q420" s="1707"/>
      <c r="R420" s="1707"/>
      <c r="S420" s="1344"/>
      <c r="T420" s="1344"/>
      <c r="U420" s="1753"/>
      <c r="V420" s="1344"/>
      <c r="W420" s="1344"/>
      <c r="X420" s="1344"/>
      <c r="Y420" s="1707"/>
      <c r="Z420" s="1707"/>
      <c r="AA420" s="1344"/>
      <c r="AB420" s="1344"/>
      <c r="AC420" s="1344"/>
      <c r="AD420" s="1344"/>
    </row>
    <row r="421" s="1709" customFormat="true" ht="15.75" hidden="true" customHeight="true" outlineLevel="1" collapsed="false">
      <c r="A421" s="1799" t="s">
        <v>3325</v>
      </c>
      <c r="B421" s="1294"/>
      <c r="C421" s="1344"/>
      <c r="D421" s="1344"/>
      <c r="E421" s="1344"/>
      <c r="F421" s="1444"/>
      <c r="G421" s="1344"/>
      <c r="H421" s="1344"/>
      <c r="I421" s="1344"/>
      <c r="J421" s="1344"/>
      <c r="K421" s="1344"/>
      <c r="L421" s="1344"/>
      <c r="M421" s="1344"/>
      <c r="N421" s="1344"/>
      <c r="O421" s="1344"/>
      <c r="P421" s="1707"/>
      <c r="Q421" s="1707"/>
      <c r="R421" s="1707"/>
      <c r="S421" s="1344"/>
      <c r="T421" s="1344"/>
      <c r="U421" s="1753"/>
      <c r="V421" s="1344"/>
      <c r="W421" s="1344"/>
      <c r="X421" s="1344"/>
      <c r="Y421" s="1707"/>
      <c r="Z421" s="1707"/>
      <c r="AA421" s="1344"/>
      <c r="AB421" s="1344"/>
      <c r="AC421" s="1344"/>
      <c r="AD421" s="1344"/>
    </row>
    <row r="422" s="1709" customFormat="true" ht="15.75" hidden="true" customHeight="true" outlineLevel="1" collapsed="false">
      <c r="A422" s="1799" t="s">
        <v>3326</v>
      </c>
      <c r="B422" s="1294"/>
      <c r="C422" s="1344"/>
      <c r="D422" s="1344"/>
      <c r="E422" s="1344"/>
      <c r="F422" s="1444"/>
      <c r="G422" s="1344"/>
      <c r="H422" s="1344"/>
      <c r="I422" s="1344"/>
      <c r="J422" s="1344"/>
      <c r="K422" s="1344"/>
      <c r="L422" s="1344"/>
      <c r="M422" s="1344"/>
      <c r="N422" s="1344"/>
      <c r="O422" s="1344"/>
      <c r="P422" s="1707"/>
      <c r="Q422" s="1707"/>
      <c r="R422" s="1707"/>
      <c r="S422" s="1344"/>
      <c r="T422" s="1344"/>
      <c r="U422" s="1753"/>
      <c r="V422" s="1344"/>
      <c r="W422" s="1344"/>
      <c r="X422" s="1344"/>
      <c r="Y422" s="1707"/>
      <c r="Z422" s="1707"/>
      <c r="AA422" s="1344"/>
      <c r="AB422" s="1344"/>
      <c r="AC422" s="1344"/>
      <c r="AD422" s="1344"/>
    </row>
    <row r="423" s="1709" customFormat="true" ht="15.75" hidden="true" customHeight="true" outlineLevel="1" collapsed="false">
      <c r="A423" s="1804" t="s">
        <v>3327</v>
      </c>
      <c r="B423" s="1805" t="s">
        <v>12</v>
      </c>
      <c r="C423" s="1806" t="s">
        <v>116</v>
      </c>
      <c r="D423" s="1807" t="s">
        <v>2491</v>
      </c>
      <c r="E423" s="1807" t="s">
        <v>137</v>
      </c>
      <c r="F423" s="1808" t="s">
        <v>118</v>
      </c>
      <c r="G423" s="1344"/>
      <c r="H423" s="1344"/>
      <c r="I423" s="1344"/>
      <c r="J423" s="1344"/>
      <c r="K423" s="1344"/>
      <c r="L423" s="1344"/>
      <c r="M423" s="1344"/>
      <c r="N423" s="1344"/>
      <c r="O423" s="1344"/>
      <c r="P423" s="1707"/>
      <c r="Q423" s="1707"/>
      <c r="R423" s="1707"/>
      <c r="S423" s="1344"/>
      <c r="T423" s="1344"/>
      <c r="U423" s="1753"/>
      <c r="V423" s="1344"/>
      <c r="W423" s="1344"/>
      <c r="X423" s="1344"/>
      <c r="Y423" s="1707"/>
      <c r="Z423" s="1707"/>
      <c r="AA423" s="1344"/>
      <c r="AB423" s="1344"/>
      <c r="AC423" s="1344"/>
      <c r="AD423" s="1344"/>
    </row>
    <row r="424" s="1709" customFormat="true" ht="15.75" hidden="true" customHeight="true" outlineLevel="1" collapsed="false">
      <c r="A424" s="1769" t="s">
        <v>3328</v>
      </c>
      <c r="B424" s="1683" t="s">
        <v>15</v>
      </c>
      <c r="C424" s="1294" t="n">
        <f aca="false">$B$402</f>
        <v>0.4</v>
      </c>
      <c r="D424" s="1344" t="n">
        <f aca="false">$J$399</f>
        <v>0.045</v>
      </c>
      <c r="E424" s="1344" t="n">
        <f aca="false">связи1!C571</f>
        <v>2.9</v>
      </c>
      <c r="F424" s="1444" t="n">
        <f aca="false">L399</f>
        <v>0</v>
      </c>
      <c r="G424" s="1344" t="n">
        <f aca="false">C424*D424*E424*F424</f>
        <v>0</v>
      </c>
      <c r="H424" s="1344"/>
      <c r="I424" s="1344"/>
      <c r="J424" s="1344"/>
      <c r="K424" s="1344"/>
      <c r="L424" s="1344"/>
      <c r="M424" s="1344"/>
      <c r="N424" s="1344"/>
      <c r="O424" s="1344"/>
      <c r="P424" s="1707"/>
      <c r="Q424" s="1707"/>
      <c r="R424" s="1707"/>
      <c r="S424" s="1344"/>
      <c r="T424" s="1344"/>
      <c r="U424" s="1753"/>
      <c r="V424" s="1344"/>
      <c r="W424" s="1344"/>
      <c r="X424" s="1344"/>
      <c r="Y424" s="1707"/>
      <c r="Z424" s="1707"/>
      <c r="AA424" s="1344"/>
      <c r="AB424" s="1344"/>
      <c r="AC424" s="1344"/>
      <c r="AD424" s="1344"/>
    </row>
    <row r="425" s="1709" customFormat="true" ht="15.75" hidden="true" customHeight="true" outlineLevel="1" collapsed="false">
      <c r="A425" s="1769" t="s">
        <v>3153</v>
      </c>
      <c r="B425" s="1683" t="s">
        <v>15</v>
      </c>
      <c r="C425" s="1294" t="n">
        <f aca="false">$B$402</f>
        <v>0.4</v>
      </c>
      <c r="D425" s="1344" t="n">
        <f aca="false">$J$399</f>
        <v>0.045</v>
      </c>
      <c r="E425" s="1344" t="n">
        <f aca="false">$E$400*IF('Ввод данных'!A73=связи1!A97,IF('Ввод данных'!A75=связи1!A106,0,1),1)</f>
        <v>1.2</v>
      </c>
      <c r="F425" s="1444" t="n">
        <f aca="false">L400</f>
        <v>0</v>
      </c>
      <c r="G425" s="1344" t="n">
        <f aca="false">C425*D425*E425*F425</f>
        <v>0</v>
      </c>
      <c r="H425" s="1344"/>
      <c r="I425" s="1344"/>
      <c r="J425" s="1344"/>
      <c r="K425" s="1344"/>
      <c r="L425" s="1344"/>
      <c r="M425" s="1344"/>
      <c r="N425" s="1344"/>
      <c r="O425" s="1344"/>
      <c r="P425" s="1707"/>
      <c r="Q425" s="1707"/>
      <c r="R425" s="1707"/>
      <c r="S425" s="1344"/>
      <c r="T425" s="1344"/>
      <c r="U425" s="1753"/>
      <c r="V425" s="1344"/>
      <c r="W425" s="1344"/>
      <c r="X425" s="1344"/>
      <c r="Y425" s="1707"/>
      <c r="Z425" s="1707"/>
      <c r="AA425" s="1344"/>
      <c r="AB425" s="1344"/>
      <c r="AC425" s="1344"/>
      <c r="AD425" s="1344"/>
    </row>
    <row r="426" s="1709" customFormat="true" ht="15.75" hidden="true" customHeight="true" outlineLevel="1" collapsed="false">
      <c r="A426" s="1769" t="s">
        <v>3154</v>
      </c>
      <c r="B426" s="1683" t="s">
        <v>15</v>
      </c>
      <c r="C426" s="1294" t="n">
        <f aca="false">$B$402</f>
        <v>0.4</v>
      </c>
      <c r="D426" s="1344" t="n">
        <f aca="false">$J$399</f>
        <v>0.045</v>
      </c>
      <c r="E426" s="1344" t="n">
        <f aca="false">$E$400*IF('Ввод данных'!A73=связи1!A97,IF('Ввод данных'!A75=связи1!A106,0,1),1)</f>
        <v>1.2</v>
      </c>
      <c r="F426" s="1444" t="n">
        <f aca="false">L401</f>
        <v>0</v>
      </c>
      <c r="G426" s="1344" t="n">
        <f aca="false">C426*D426*E426*F426</f>
        <v>0</v>
      </c>
      <c r="H426" s="1344"/>
      <c r="I426" s="1344"/>
      <c r="J426" s="1344"/>
      <c r="K426" s="1344"/>
      <c r="L426" s="1344"/>
      <c r="M426" s="1344"/>
      <c r="N426" s="1344"/>
      <c r="O426" s="1344"/>
      <c r="P426" s="1707"/>
      <c r="Q426" s="1707"/>
      <c r="R426" s="1707"/>
      <c r="S426" s="1344"/>
      <c r="T426" s="1344"/>
      <c r="U426" s="1753"/>
      <c r="V426" s="1344"/>
      <c r="W426" s="1344"/>
      <c r="X426" s="1344"/>
      <c r="Y426" s="1707"/>
      <c r="Z426" s="1707"/>
      <c r="AA426" s="1344"/>
      <c r="AB426" s="1344"/>
      <c r="AC426" s="1344"/>
      <c r="AD426" s="1344"/>
    </row>
    <row r="427" s="1709" customFormat="true" ht="15.75" hidden="true" customHeight="true" outlineLevel="1" collapsed="false">
      <c r="A427" s="1180" t="s">
        <v>3157</v>
      </c>
      <c r="B427" s="1683" t="s">
        <v>15</v>
      </c>
      <c r="C427" s="1294" t="n">
        <f aca="false">$B$402</f>
        <v>0.4</v>
      </c>
      <c r="D427" s="1344" t="n">
        <f aca="false">$J$399</f>
        <v>0.045</v>
      </c>
      <c r="E427" s="1344"/>
      <c r="F427" s="1444" t="n">
        <f aca="false">(P402+Q402)</f>
        <v>0</v>
      </c>
      <c r="G427" s="1344" t="n">
        <f aca="false">C427*D427*E427*F427</f>
        <v>0</v>
      </c>
      <c r="H427" s="1344"/>
      <c r="I427" s="1344"/>
      <c r="J427" s="1344"/>
      <c r="K427" s="1344"/>
      <c r="L427" s="1344"/>
      <c r="M427" s="1344"/>
      <c r="N427" s="1344"/>
      <c r="O427" s="1344"/>
      <c r="P427" s="1707"/>
      <c r="Q427" s="1707"/>
      <c r="R427" s="1707"/>
      <c r="S427" s="1344"/>
      <c r="T427" s="1344"/>
      <c r="U427" s="1753"/>
      <c r="V427" s="1344"/>
      <c r="W427" s="1344"/>
      <c r="X427" s="1344"/>
      <c r="Y427" s="1707"/>
      <c r="Z427" s="1707"/>
      <c r="AA427" s="1344"/>
      <c r="AB427" s="1344"/>
      <c r="AC427" s="1344"/>
      <c r="AD427" s="1344"/>
    </row>
    <row r="428" s="1709" customFormat="true" ht="15.75" hidden="true" customHeight="true" outlineLevel="1" collapsed="false">
      <c r="A428" s="1180" t="s">
        <v>3158</v>
      </c>
      <c r="B428" s="1683" t="s">
        <v>15</v>
      </c>
      <c r="C428" s="1294" t="n">
        <f aca="false">$B$402</f>
        <v>0.4</v>
      </c>
      <c r="D428" s="1344" t="n">
        <f aca="false">$J$399</f>
        <v>0.045</v>
      </c>
      <c r="E428" s="1344"/>
      <c r="F428" s="1444" t="n">
        <f aca="false">R402</f>
        <v>0</v>
      </c>
      <c r="G428" s="1344" t="n">
        <f aca="false">C428*D428*E428*F428</f>
        <v>0</v>
      </c>
      <c r="H428" s="1344"/>
      <c r="I428" s="1344"/>
      <c r="J428" s="1344"/>
      <c r="K428" s="1344"/>
      <c r="L428" s="1344"/>
      <c r="M428" s="1344"/>
      <c r="N428" s="1344"/>
      <c r="O428" s="1344"/>
      <c r="P428" s="1707"/>
      <c r="Q428" s="1707"/>
      <c r="R428" s="1707"/>
      <c r="S428" s="1344"/>
      <c r="T428" s="1344"/>
      <c r="U428" s="1753"/>
      <c r="V428" s="1344"/>
      <c r="W428" s="1344"/>
      <c r="X428" s="1344"/>
      <c r="Y428" s="1707"/>
      <c r="Z428" s="1707"/>
      <c r="AA428" s="1344"/>
      <c r="AB428" s="1344"/>
      <c r="AC428" s="1344"/>
      <c r="AD428" s="1344"/>
    </row>
    <row r="429" s="1709" customFormat="true" ht="15.75" hidden="true" customHeight="true" outlineLevel="1" collapsed="false">
      <c r="A429" s="1769" t="s">
        <v>3164</v>
      </c>
      <c r="B429" s="1683" t="s">
        <v>15</v>
      </c>
      <c r="C429" s="1294" t="n">
        <f aca="false">$B$402</f>
        <v>0.4</v>
      </c>
      <c r="D429" s="1344" t="n">
        <f aca="false">$J$399</f>
        <v>0.045</v>
      </c>
      <c r="E429" s="1344" t="n">
        <f aca="false">1.5*VLOOKUP('Ввод данных'!C79,связи1!A2:B3,2,0)*связи1!C568</f>
        <v>0</v>
      </c>
      <c r="F429" s="1444" t="n">
        <f aca="false">8</f>
        <v>8</v>
      </c>
      <c r="G429" s="1344" t="n">
        <f aca="false">C429*D429*E429*F429</f>
        <v>0</v>
      </c>
      <c r="H429" s="1344"/>
      <c r="I429" s="1344"/>
      <c r="J429" s="1344"/>
      <c r="K429" s="1344"/>
      <c r="L429" s="1344"/>
      <c r="M429" s="1344"/>
      <c r="N429" s="1344"/>
      <c r="O429" s="1344"/>
      <c r="P429" s="1707"/>
      <c r="Q429" s="1707"/>
      <c r="R429" s="1707"/>
      <c r="S429" s="1344"/>
      <c r="T429" s="1344"/>
      <c r="U429" s="1753"/>
      <c r="V429" s="1344"/>
      <c r="W429" s="1344"/>
      <c r="X429" s="1344"/>
      <c r="Y429" s="1707"/>
      <c r="Z429" s="1707"/>
      <c r="AA429" s="1344"/>
      <c r="AB429" s="1344"/>
      <c r="AC429" s="1344"/>
      <c r="AD429" s="1344"/>
    </row>
    <row r="430" s="1709" customFormat="true" ht="15.75" hidden="true" customHeight="true" outlineLevel="1" collapsed="false">
      <c r="A430" s="1809" t="s">
        <v>3329</v>
      </c>
      <c r="B430" s="1810" t="s">
        <v>15</v>
      </c>
      <c r="C430" s="1811" t="n">
        <f aca="false">$B$402</f>
        <v>0.4</v>
      </c>
      <c r="D430" s="1809" t="n">
        <f aca="false">$J$399</f>
        <v>0.045</v>
      </c>
      <c r="E430" s="1809" t="n">
        <f aca="false">IF('Ввод данных'!A75=связи1!A106,IF('Ввод данных'!A73=связи1!A94,связи1!C572-связи1!C571,0)+IF('Ввод данных'!A73=связи1!A95,0,0)+IF('Ввод данных'!A73=связи1!A96,0,0)+IF('Ввод данных'!A73=связи1!A97,связи1!C572,0)+IF('Ввод данных'!A73=связи1!A98,0,0),0)</f>
        <v>0</v>
      </c>
      <c r="F430" s="1812" t="n">
        <f aca="false">2</f>
        <v>2</v>
      </c>
      <c r="G430" s="1344" t="n">
        <f aca="false">C430*D430*E430*F430</f>
        <v>0</v>
      </c>
      <c r="H430" s="1344"/>
      <c r="I430" s="1344"/>
      <c r="J430" s="1344"/>
      <c r="K430" s="1344"/>
      <c r="L430" s="1344"/>
      <c r="M430" s="1344"/>
      <c r="N430" s="1344"/>
      <c r="O430" s="1344"/>
      <c r="P430" s="1707"/>
      <c r="Q430" s="1707"/>
      <c r="R430" s="1707"/>
      <c r="S430" s="1344"/>
      <c r="T430" s="1344"/>
      <c r="U430" s="1753"/>
      <c r="V430" s="1344"/>
      <c r="W430" s="1344"/>
      <c r="X430" s="1344"/>
      <c r="Y430" s="1707"/>
      <c r="Z430" s="1707"/>
      <c r="AA430" s="1344"/>
      <c r="AB430" s="1344"/>
      <c r="AC430" s="1344"/>
      <c r="AD430" s="1344"/>
    </row>
    <row r="431" s="1709" customFormat="true" ht="15.75" hidden="true" customHeight="true" outlineLevel="1" collapsed="false">
      <c r="A431" s="1809" t="s">
        <v>3330</v>
      </c>
      <c r="B431" s="1810" t="s">
        <v>15</v>
      </c>
      <c r="C431" s="1811" t="n">
        <f aca="false">$B$402</f>
        <v>0.4</v>
      </c>
      <c r="D431" s="1809" t="n">
        <f aca="false">$J$399</f>
        <v>0.045</v>
      </c>
      <c r="E431" s="1809" t="n">
        <f aca="false">IF('Ввод данных'!$A$73=связи1!$A$97,IF(дома!E430&lt;связи1!$C$571,0,дома!E430-$C$419),0)+IF(E430=0,0,IF('Ввод данных'!$A$73=связи1!$A$94,IF(дома!E430&lt;0,0,E430-$C$419),0))</f>
        <v>0</v>
      </c>
      <c r="F431" s="1812" t="n">
        <f aca="false">2</f>
        <v>2</v>
      </c>
      <c r="G431" s="1344" t="n">
        <f aca="false">C431*D431*E431*F431</f>
        <v>0</v>
      </c>
      <c r="H431" s="1344"/>
      <c r="I431" s="1344"/>
      <c r="J431" s="1344"/>
      <c r="K431" s="1344"/>
      <c r="L431" s="1344"/>
      <c r="M431" s="1344"/>
      <c r="N431" s="1344"/>
      <c r="O431" s="1344"/>
      <c r="P431" s="1707"/>
      <c r="Q431" s="1707"/>
      <c r="R431" s="1707"/>
      <c r="S431" s="1344"/>
      <c r="T431" s="1344"/>
      <c r="U431" s="1753"/>
      <c r="V431" s="1344"/>
      <c r="W431" s="1344"/>
      <c r="X431" s="1344"/>
      <c r="Y431" s="1707"/>
      <c r="Z431" s="1707"/>
      <c r="AA431" s="1344"/>
      <c r="AB431" s="1344"/>
      <c r="AC431" s="1344"/>
      <c r="AD431" s="1344"/>
    </row>
    <row r="432" s="1709" customFormat="true" ht="15.75" hidden="true" customHeight="true" outlineLevel="1" collapsed="false">
      <c r="A432" s="1809" t="s">
        <v>3331</v>
      </c>
      <c r="B432" s="1810" t="s">
        <v>15</v>
      </c>
      <c r="C432" s="1811" t="n">
        <f aca="false">$B$402</f>
        <v>0.4</v>
      </c>
      <c r="D432" s="1809" t="n">
        <f aca="false">$J$399</f>
        <v>0.045</v>
      </c>
      <c r="E432" s="1809" t="n">
        <f aca="false">IF('Ввод данных'!$A$73=связи1!$A$97,IF(дома!E431&lt;связи1!$C$571,0,дома!E431-$C$419),0)+IF(E431=0,0,IF('Ввод данных'!$A$73=связи1!$A$94,IF(дома!E431&lt;0,0,E431-$C$419),0))</f>
        <v>0</v>
      </c>
      <c r="F432" s="1812" t="n">
        <f aca="false">2</f>
        <v>2</v>
      </c>
      <c r="G432" s="1344" t="n">
        <f aca="false">C432*D432*E432*F432</f>
        <v>0</v>
      </c>
      <c r="H432" s="1344"/>
      <c r="I432" s="1344"/>
      <c r="J432" s="1344"/>
      <c r="K432" s="1344"/>
      <c r="L432" s="1344"/>
      <c r="M432" s="1344"/>
      <c r="N432" s="1344"/>
      <c r="O432" s="1344"/>
      <c r="P432" s="1707"/>
      <c r="Q432" s="1707"/>
      <c r="R432" s="1707"/>
      <c r="S432" s="1344"/>
      <c r="T432" s="1344"/>
      <c r="U432" s="1753"/>
      <c r="V432" s="1344"/>
      <c r="W432" s="1344"/>
      <c r="X432" s="1344"/>
      <c r="Y432" s="1707"/>
      <c r="Z432" s="1707"/>
      <c r="AA432" s="1344"/>
      <c r="AB432" s="1344"/>
      <c r="AC432" s="1344"/>
      <c r="AD432" s="1344"/>
    </row>
    <row r="433" s="1709" customFormat="true" ht="15.75" hidden="true" customHeight="true" outlineLevel="1" collapsed="false">
      <c r="A433" s="1809" t="s">
        <v>3332</v>
      </c>
      <c r="B433" s="1810" t="s">
        <v>15</v>
      </c>
      <c r="C433" s="1811" t="n">
        <f aca="false">$B$402</f>
        <v>0.4</v>
      </c>
      <c r="D433" s="1809" t="n">
        <f aca="false">$J$399</f>
        <v>0.045</v>
      </c>
      <c r="E433" s="1809" t="n">
        <f aca="false">IF('Ввод данных'!$A$73=связи1!$A$97,IF(дома!E432&lt;связи1!$C$571,0,дома!E432-$C$419),0)+IF(E432=0,0,IF('Ввод данных'!$A$73=связи1!$A$94,IF(дома!E432&lt;0,0,E432-$C$419),0))</f>
        <v>0</v>
      </c>
      <c r="F433" s="1812" t="n">
        <f aca="false">2</f>
        <v>2</v>
      </c>
      <c r="G433" s="1344" t="n">
        <f aca="false">C433*D433*E433*F433</f>
        <v>0</v>
      </c>
      <c r="H433" s="1344"/>
      <c r="I433" s="1344"/>
      <c r="J433" s="1344"/>
      <c r="K433" s="1344"/>
      <c r="L433" s="1344"/>
      <c r="M433" s="1344"/>
      <c r="N433" s="1344"/>
      <c r="O433" s="1344"/>
      <c r="P433" s="1707"/>
      <c r="Q433" s="1707"/>
      <c r="R433" s="1707"/>
      <c r="S433" s="1344"/>
      <c r="T433" s="1344"/>
      <c r="U433" s="1753"/>
      <c r="V433" s="1344"/>
      <c r="W433" s="1344"/>
      <c r="X433" s="1344"/>
      <c r="Y433" s="1707"/>
      <c r="Z433" s="1707"/>
      <c r="AA433" s="1344"/>
      <c r="AB433" s="1344"/>
      <c r="AC433" s="1344"/>
      <c r="AD433" s="1344"/>
    </row>
    <row r="434" s="1709" customFormat="true" ht="15.75" hidden="true" customHeight="true" outlineLevel="1" collapsed="false">
      <c r="A434" s="1809" t="s">
        <v>3333</v>
      </c>
      <c r="B434" s="1810" t="s">
        <v>15</v>
      </c>
      <c r="C434" s="1811" t="n">
        <f aca="false">$B$402</f>
        <v>0.4</v>
      </c>
      <c r="D434" s="1809" t="n">
        <f aca="false">$J$399</f>
        <v>0.045</v>
      </c>
      <c r="E434" s="1809" t="n">
        <f aca="false">IF('Ввод данных'!$A$73=связи1!$A$97,IF(дома!E433&lt;связи1!$C$571,0,дома!E433-$C$419),0)+IF(E433=0,0,IF('Ввод данных'!$A$73=связи1!$A$94,IF(дома!E433&lt;0,0,E433-$C$419),0))</f>
        <v>0</v>
      </c>
      <c r="F434" s="1812" t="n">
        <f aca="false">2</f>
        <v>2</v>
      </c>
      <c r="G434" s="1344" t="n">
        <f aca="false">C434*D434*E434*F434</f>
        <v>0</v>
      </c>
      <c r="H434" s="1344"/>
      <c r="I434" s="1344"/>
      <c r="J434" s="1344"/>
      <c r="K434" s="1344"/>
      <c r="L434" s="1344"/>
      <c r="M434" s="1344"/>
      <c r="N434" s="1344"/>
      <c r="O434" s="1344"/>
      <c r="P434" s="1707"/>
      <c r="Q434" s="1707"/>
      <c r="R434" s="1707"/>
      <c r="S434" s="1344"/>
      <c r="T434" s="1344"/>
      <c r="U434" s="1753"/>
      <c r="V434" s="1344"/>
      <c r="W434" s="1344"/>
      <c r="X434" s="1344"/>
      <c r="Y434" s="1707"/>
      <c r="Z434" s="1707"/>
      <c r="AA434" s="1344"/>
      <c r="AB434" s="1344"/>
      <c r="AC434" s="1344"/>
      <c r="AD434" s="1344"/>
    </row>
    <row r="435" s="1709" customFormat="true" ht="15.75" hidden="true" customHeight="true" outlineLevel="1" collapsed="false">
      <c r="A435" s="1809" t="s">
        <v>3334</v>
      </c>
      <c r="B435" s="1810" t="s">
        <v>15</v>
      </c>
      <c r="C435" s="1811" t="n">
        <f aca="false">$B$402</f>
        <v>0.4</v>
      </c>
      <c r="D435" s="1809" t="n">
        <f aca="false">$J$399</f>
        <v>0.045</v>
      </c>
      <c r="E435" s="1809" t="n">
        <f aca="false">IF('Ввод данных'!$A$73=связи1!$A$97,IF(дома!E434&lt;связи1!$C$571,0,дома!E434-$C$419),0)+IF(E434=0,0,IF('Ввод данных'!$A$73=связи1!$A$94,IF(дома!E434&lt;0,0,E434-$C$419),0))</f>
        <v>0</v>
      </c>
      <c r="F435" s="1812" t="n">
        <f aca="false">2</f>
        <v>2</v>
      </c>
      <c r="G435" s="1344" t="n">
        <f aca="false">C435*D435*E435*F435</f>
        <v>0</v>
      </c>
      <c r="H435" s="1344"/>
      <c r="I435" s="1344"/>
      <c r="J435" s="1344"/>
      <c r="K435" s="1344"/>
      <c r="L435" s="1344"/>
      <c r="M435" s="1344"/>
      <c r="N435" s="1344"/>
      <c r="O435" s="1344"/>
      <c r="P435" s="1707"/>
      <c r="Q435" s="1707"/>
      <c r="R435" s="1707"/>
      <c r="S435" s="1344"/>
      <c r="T435" s="1344"/>
      <c r="U435" s="1753"/>
      <c r="V435" s="1344"/>
      <c r="W435" s="1344"/>
      <c r="X435" s="1344"/>
      <c r="Y435" s="1707"/>
      <c r="Z435" s="1707"/>
      <c r="AA435" s="1344"/>
      <c r="AB435" s="1344"/>
      <c r="AC435" s="1344"/>
      <c r="AD435" s="1344"/>
    </row>
    <row r="436" s="1709" customFormat="true" ht="15.75" hidden="true" customHeight="true" outlineLevel="1" collapsed="false">
      <c r="A436" s="1809" t="s">
        <v>3335</v>
      </c>
      <c r="B436" s="1810" t="s">
        <v>15</v>
      </c>
      <c r="C436" s="1811" t="n">
        <f aca="false">$B$402</f>
        <v>0.4</v>
      </c>
      <c r="D436" s="1809" t="n">
        <f aca="false">$J$399</f>
        <v>0.045</v>
      </c>
      <c r="E436" s="1809" t="n">
        <f aca="false">IF('Ввод данных'!$A$73=связи1!$A$97,IF(дома!E435&lt;связи1!$C$571,0,дома!E435-$C$419),0)+IF(E435=0,0,IF('Ввод данных'!$A$73=связи1!$A$94,IF(дома!E435&lt;0,0,E435-$C$419),0))</f>
        <v>0</v>
      </c>
      <c r="F436" s="1812" t="n">
        <f aca="false">2</f>
        <v>2</v>
      </c>
      <c r="G436" s="1344" t="n">
        <f aca="false">C436*D436*E436*F436</f>
        <v>0</v>
      </c>
      <c r="H436" s="1344"/>
      <c r="I436" s="1344"/>
      <c r="J436" s="1344"/>
      <c r="K436" s="1344"/>
      <c r="L436" s="1344"/>
      <c r="M436" s="1344"/>
      <c r="N436" s="1344"/>
      <c r="O436" s="1344"/>
      <c r="P436" s="1707"/>
      <c r="Q436" s="1707"/>
      <c r="R436" s="1707"/>
      <c r="S436" s="1344"/>
      <c r="T436" s="1344"/>
      <c r="U436" s="1753"/>
      <c r="V436" s="1344"/>
      <c r="W436" s="1344"/>
      <c r="X436" s="1344"/>
      <c r="Y436" s="1707"/>
      <c r="Z436" s="1707"/>
      <c r="AA436" s="1344"/>
      <c r="AB436" s="1344"/>
      <c r="AC436" s="1344"/>
      <c r="AD436" s="1344"/>
    </row>
    <row r="437" s="1709" customFormat="true" ht="15.75" hidden="true" customHeight="true" outlineLevel="1" collapsed="false">
      <c r="A437" s="1809" t="s">
        <v>3336</v>
      </c>
      <c r="B437" s="1810" t="s">
        <v>15</v>
      </c>
      <c r="C437" s="1811" t="n">
        <f aca="false">$B$402</f>
        <v>0.4</v>
      </c>
      <c r="D437" s="1809" t="n">
        <f aca="false">$J$399</f>
        <v>0.045</v>
      </c>
      <c r="E437" s="1809" t="n">
        <f aca="false">IF('Ввод данных'!$A$73=связи1!$A$97,IF(дома!E436&lt;связи1!$C$571,0,дома!E436-$C$419),0)+IF(E436=0,0,IF('Ввод данных'!$A$73=связи1!$A$94,IF(дома!E436&lt;0,0,E436-$C$419),0))</f>
        <v>0</v>
      </c>
      <c r="F437" s="1812" t="n">
        <f aca="false">2</f>
        <v>2</v>
      </c>
      <c r="G437" s="1344" t="n">
        <f aca="false">C437*D437*E437*F437</f>
        <v>0</v>
      </c>
      <c r="H437" s="1344"/>
      <c r="I437" s="1344"/>
      <c r="J437" s="1344"/>
      <c r="K437" s="1344"/>
      <c r="L437" s="1344"/>
      <c r="M437" s="1344"/>
      <c r="N437" s="1344"/>
      <c r="O437" s="1344"/>
      <c r="P437" s="1707"/>
      <c r="Q437" s="1707"/>
      <c r="R437" s="1707"/>
      <c r="S437" s="1344"/>
      <c r="T437" s="1344"/>
      <c r="U437" s="1753"/>
      <c r="V437" s="1344"/>
      <c r="W437" s="1344"/>
      <c r="X437" s="1344"/>
      <c r="Y437" s="1707"/>
      <c r="Z437" s="1707"/>
      <c r="AA437" s="1344"/>
      <c r="AB437" s="1344"/>
      <c r="AC437" s="1344"/>
      <c r="AD437" s="1344"/>
    </row>
    <row r="438" s="1709" customFormat="true" ht="15.75" hidden="true" customHeight="true" outlineLevel="1" collapsed="false">
      <c r="A438" s="1809" t="s">
        <v>3337</v>
      </c>
      <c r="B438" s="1810" t="s">
        <v>15</v>
      </c>
      <c r="C438" s="1811" t="n">
        <f aca="false">$B$402</f>
        <v>0.4</v>
      </c>
      <c r="D438" s="1809" t="n">
        <f aca="false">$J$399</f>
        <v>0.045</v>
      </c>
      <c r="E438" s="1809" t="n">
        <f aca="false">IF('Ввод данных'!$A$73=связи1!$A$97,IF(дома!E437&lt;связи1!$C$571,0,дома!E437-$C$419),0)+IF(E437=0,0,IF('Ввод данных'!$A$73=связи1!$A$94,IF(дома!E437&lt;0,0,E437-$C$419),0))</f>
        <v>0</v>
      </c>
      <c r="F438" s="1812" t="n">
        <f aca="false">2</f>
        <v>2</v>
      </c>
      <c r="G438" s="1344" t="n">
        <f aca="false">C438*D438*E438*F438</f>
        <v>0</v>
      </c>
      <c r="H438" s="1344"/>
      <c r="I438" s="1344"/>
      <c r="J438" s="1344"/>
      <c r="K438" s="1344"/>
      <c r="L438" s="1344"/>
      <c r="M438" s="1344"/>
      <c r="N438" s="1344"/>
      <c r="O438" s="1344"/>
      <c r="P438" s="1707"/>
      <c r="Q438" s="1707"/>
      <c r="R438" s="1707"/>
      <c r="S438" s="1344"/>
      <c r="T438" s="1344"/>
      <c r="U438" s="1753"/>
      <c r="V438" s="1344"/>
      <c r="W438" s="1344"/>
      <c r="X438" s="1344"/>
      <c r="Y438" s="1707"/>
      <c r="Z438" s="1707"/>
      <c r="AA438" s="1344"/>
      <c r="AB438" s="1344"/>
      <c r="AC438" s="1344"/>
      <c r="AD438" s="1344"/>
    </row>
    <row r="439" s="1709" customFormat="true" ht="15.75" hidden="true" customHeight="true" outlineLevel="1" collapsed="false">
      <c r="A439" s="1809" t="s">
        <v>3338</v>
      </c>
      <c r="B439" s="1810" t="s">
        <v>15</v>
      </c>
      <c r="C439" s="1811" t="n">
        <f aca="false">$B$402</f>
        <v>0.4</v>
      </c>
      <c r="D439" s="1809" t="n">
        <f aca="false">$J$399</f>
        <v>0.045</v>
      </c>
      <c r="E439" s="1809" t="n">
        <f aca="false">IF('Ввод данных'!$A$73=связи1!$A$97,IF(дома!E438&lt;связи1!$C$571,0,дома!E438-$C$419),0)+IF(E438=0,0,IF('Ввод данных'!$A$73=связи1!$A$94,IF(дома!E438&lt;0,0,E438-$C$419),0))</f>
        <v>0</v>
      </c>
      <c r="F439" s="1812" t="n">
        <f aca="false">2</f>
        <v>2</v>
      </c>
      <c r="G439" s="1344" t="n">
        <f aca="false">C439*D439*E439*F439</f>
        <v>0</v>
      </c>
      <c r="H439" s="1344"/>
      <c r="I439" s="1344"/>
      <c r="J439" s="1344"/>
      <c r="K439" s="1344"/>
      <c r="L439" s="1344"/>
      <c r="M439" s="1344"/>
      <c r="N439" s="1344"/>
      <c r="O439" s="1344"/>
      <c r="P439" s="1707"/>
      <c r="Q439" s="1707"/>
      <c r="R439" s="1707"/>
      <c r="S439" s="1344"/>
      <c r="T439" s="1344"/>
      <c r="U439" s="1753"/>
      <c r="V439" s="1344"/>
      <c r="W439" s="1344"/>
      <c r="X439" s="1344"/>
      <c r="Y439" s="1707"/>
      <c r="Z439" s="1707"/>
      <c r="AA439" s="1344"/>
      <c r="AB439" s="1344"/>
      <c r="AC439" s="1344"/>
      <c r="AD439" s="1344"/>
    </row>
    <row r="440" s="1709" customFormat="true" ht="15.75" hidden="true" customHeight="true" outlineLevel="1" collapsed="false">
      <c r="A440" s="1809" t="s">
        <v>3339</v>
      </c>
      <c r="B440" s="1810" t="s">
        <v>15</v>
      </c>
      <c r="C440" s="1811" t="n">
        <f aca="false">$B$402</f>
        <v>0.4</v>
      </c>
      <c r="D440" s="1809" t="n">
        <f aca="false">$J$399</f>
        <v>0.045</v>
      </c>
      <c r="E440" s="1809" t="n">
        <f aca="false">IF('Ввод данных'!$A$73=связи1!$A$97,IF(дома!E439&lt;связи1!$C$571,0,дома!E439-$C$419),0)+IF(E439=0,0,IF('Ввод данных'!$A$73=связи1!$A$94,IF(дома!E439&lt;0,0,E439-$C$419),0))</f>
        <v>0</v>
      </c>
      <c r="F440" s="1812" t="n">
        <f aca="false">2</f>
        <v>2</v>
      </c>
      <c r="G440" s="1344" t="n">
        <f aca="false">C440*D440*E440*F440</f>
        <v>0</v>
      </c>
      <c r="H440" s="1344"/>
      <c r="I440" s="1344"/>
      <c r="J440" s="1344"/>
      <c r="K440" s="1344"/>
      <c r="L440" s="1344"/>
      <c r="M440" s="1344"/>
      <c r="N440" s="1344"/>
      <c r="O440" s="1344"/>
      <c r="P440" s="1707"/>
      <c r="Q440" s="1707"/>
      <c r="R440" s="1707"/>
      <c r="S440" s="1344"/>
      <c r="T440" s="1344"/>
      <c r="U440" s="1753"/>
      <c r="V440" s="1344"/>
      <c r="W440" s="1344"/>
      <c r="X440" s="1344"/>
      <c r="Y440" s="1707"/>
      <c r="Z440" s="1707"/>
      <c r="AA440" s="1344"/>
      <c r="AB440" s="1344"/>
      <c r="AC440" s="1344"/>
      <c r="AD440" s="1344"/>
    </row>
    <row r="441" s="1709" customFormat="true" ht="15.75" hidden="true" customHeight="true" outlineLevel="1" collapsed="false">
      <c r="A441" s="1809" t="s">
        <v>3340</v>
      </c>
      <c r="B441" s="1810" t="s">
        <v>15</v>
      </c>
      <c r="C441" s="1811" t="n">
        <f aca="false">$B$402</f>
        <v>0.4</v>
      </c>
      <c r="D441" s="1809" t="n">
        <f aca="false">$J$399</f>
        <v>0.045</v>
      </c>
      <c r="E441" s="1809" t="n">
        <f aca="false">IF('Ввод данных'!$A$73=связи1!$A$97,IF(дома!E440&lt;связи1!$C$571,0,дома!E440-$C$419),0)+IF(E440=0,0,IF('Ввод данных'!$A$73=связи1!$A$94,IF(дома!E440&lt;0,0,E440-$C$419),0))</f>
        <v>0</v>
      </c>
      <c r="F441" s="1812" t="n">
        <f aca="false">2</f>
        <v>2</v>
      </c>
      <c r="G441" s="1344" t="n">
        <f aca="false">C441*D441*E441*F441</f>
        <v>0</v>
      </c>
      <c r="H441" s="1344"/>
      <c r="I441" s="1344"/>
      <c r="J441" s="1344"/>
      <c r="K441" s="1344"/>
      <c r="L441" s="1344"/>
      <c r="M441" s="1344"/>
      <c r="N441" s="1344"/>
      <c r="O441" s="1344"/>
      <c r="P441" s="1707"/>
      <c r="Q441" s="1707"/>
      <c r="R441" s="1707"/>
      <c r="S441" s="1344"/>
      <c r="T441" s="1344"/>
      <c r="U441" s="1753"/>
      <c r="V441" s="1344"/>
      <c r="W441" s="1344"/>
      <c r="X441" s="1344"/>
      <c r="Y441" s="1707"/>
      <c r="Z441" s="1707"/>
      <c r="AA441" s="1344"/>
      <c r="AB441" s="1344"/>
      <c r="AC441" s="1344"/>
      <c r="AD441" s="1344"/>
    </row>
    <row r="442" s="1709" customFormat="true" ht="15.75" hidden="true" customHeight="true" outlineLevel="1" collapsed="false">
      <c r="A442" s="1809" t="s">
        <v>3341</v>
      </c>
      <c r="B442" s="1810" t="s">
        <v>15</v>
      </c>
      <c r="C442" s="1811" t="n">
        <f aca="false">$B$402</f>
        <v>0.4</v>
      </c>
      <c r="D442" s="1809" t="n">
        <f aca="false">$J$399</f>
        <v>0.045</v>
      </c>
      <c r="E442" s="1809" t="n">
        <f aca="false">IF('Ввод данных'!$A$73=связи1!$A$97,IF(дома!E441&lt;связи1!$C$571,0,дома!E441-$C$419),0)+IF(E441=0,0,IF('Ввод данных'!$A$73=связи1!$A$94,IF(дома!E441&lt;0,0,E441-$C$419),0))</f>
        <v>0</v>
      </c>
      <c r="F442" s="1812" t="n">
        <f aca="false">2</f>
        <v>2</v>
      </c>
      <c r="G442" s="1344" t="n">
        <f aca="false">C442*D442*E442*F442</f>
        <v>0</v>
      </c>
      <c r="H442" s="1344"/>
      <c r="I442" s="1344"/>
      <c r="J442" s="1344"/>
      <c r="K442" s="1344"/>
      <c r="L442" s="1344"/>
      <c r="M442" s="1344"/>
      <c r="N442" s="1344"/>
      <c r="O442" s="1344"/>
      <c r="P442" s="1707"/>
      <c r="Q442" s="1707"/>
      <c r="R442" s="1707"/>
      <c r="S442" s="1344"/>
      <c r="T442" s="1344"/>
      <c r="U442" s="1753"/>
      <c r="V442" s="1344"/>
      <c r="W442" s="1344"/>
      <c r="X442" s="1344"/>
      <c r="Y442" s="1707"/>
      <c r="Z442" s="1707"/>
      <c r="AA442" s="1344"/>
      <c r="AB442" s="1344"/>
      <c r="AC442" s="1344"/>
      <c r="AD442" s="1344"/>
    </row>
    <row r="443" s="1709" customFormat="true" ht="15.75" hidden="true" customHeight="true" outlineLevel="1" collapsed="false">
      <c r="A443" s="1809" t="s">
        <v>3342</v>
      </c>
      <c r="B443" s="1810" t="s">
        <v>15</v>
      </c>
      <c r="C443" s="1811" t="n">
        <f aca="false">$B$402</f>
        <v>0.4</v>
      </c>
      <c r="D443" s="1809" t="n">
        <f aca="false">$J$399</f>
        <v>0.045</v>
      </c>
      <c r="E443" s="1809" t="n">
        <f aca="false">IF('Ввод данных'!$A$73=связи1!$A$97,IF(дома!E442&lt;связи1!$C$571,0,дома!E442-$C$419),0)+IF(E442=0,0,IF('Ввод данных'!$A$73=связи1!$A$94,IF(дома!E442&lt;0,0,E442-$C$419),0))</f>
        <v>0</v>
      </c>
      <c r="F443" s="1812" t="n">
        <f aca="false">2</f>
        <v>2</v>
      </c>
      <c r="G443" s="1344" t="n">
        <f aca="false">C443*D443*E443*F443</f>
        <v>0</v>
      </c>
      <c r="H443" s="1344"/>
      <c r="I443" s="1344"/>
      <c r="J443" s="1344"/>
      <c r="K443" s="1344"/>
      <c r="L443" s="1344"/>
      <c r="M443" s="1344"/>
      <c r="N443" s="1344"/>
      <c r="O443" s="1344"/>
      <c r="P443" s="1707"/>
      <c r="Q443" s="1707"/>
      <c r="R443" s="1707"/>
      <c r="S443" s="1344"/>
      <c r="T443" s="1344"/>
      <c r="U443" s="1753"/>
      <c r="V443" s="1344"/>
      <c r="W443" s="1344"/>
      <c r="X443" s="1344"/>
      <c r="Y443" s="1707"/>
      <c r="Z443" s="1707"/>
      <c r="AA443" s="1344"/>
      <c r="AB443" s="1344"/>
      <c r="AC443" s="1344"/>
      <c r="AD443" s="1344"/>
    </row>
    <row r="444" s="1709" customFormat="true" ht="15.75" hidden="true" customHeight="true" outlineLevel="1" collapsed="false">
      <c r="A444" s="1809" t="s">
        <v>3343</v>
      </c>
      <c r="B444" s="1810" t="s">
        <v>15</v>
      </c>
      <c r="C444" s="1811" t="n">
        <f aca="false">$B$402</f>
        <v>0.4</v>
      </c>
      <c r="D444" s="1809" t="n">
        <f aca="false">$J$399</f>
        <v>0.045</v>
      </c>
      <c r="E444" s="1809" t="n">
        <f aca="false">IF('Ввод данных'!$A$73=связи1!$A$97,IF(дома!E443&lt;связи1!$C$571,0,дома!E443-$C$419),0)+IF(E443=0,0,IF('Ввод данных'!$A$73=связи1!$A$94,IF(дома!E443&lt;0,0,E443-$C$419),0))</f>
        <v>0</v>
      </c>
      <c r="F444" s="1812" t="n">
        <f aca="false">2</f>
        <v>2</v>
      </c>
      <c r="G444" s="1344" t="n">
        <f aca="false">C444*D444*E444*F444</f>
        <v>0</v>
      </c>
      <c r="H444" s="1344"/>
      <c r="I444" s="1344"/>
      <c r="J444" s="1344"/>
      <c r="K444" s="1344"/>
      <c r="L444" s="1344"/>
      <c r="M444" s="1344"/>
      <c r="N444" s="1344"/>
      <c r="O444" s="1344"/>
      <c r="P444" s="1707"/>
      <c r="Q444" s="1707"/>
      <c r="R444" s="1707"/>
      <c r="S444" s="1344"/>
      <c r="T444" s="1344"/>
      <c r="U444" s="1753"/>
      <c r="V444" s="1344"/>
      <c r="W444" s="1344"/>
      <c r="X444" s="1344"/>
      <c r="Y444" s="1707"/>
      <c r="Z444" s="1707"/>
      <c r="AA444" s="1344"/>
      <c r="AB444" s="1344"/>
      <c r="AC444" s="1344"/>
      <c r="AD444" s="1344"/>
    </row>
    <row r="445" s="1709" customFormat="true" ht="15.75" hidden="true" customHeight="true" outlineLevel="1" collapsed="false">
      <c r="A445" s="1809" t="s">
        <v>3344</v>
      </c>
      <c r="B445" s="1810" t="s">
        <v>15</v>
      </c>
      <c r="C445" s="1811" t="n">
        <f aca="false">$B$402</f>
        <v>0.4</v>
      </c>
      <c r="D445" s="1809" t="n">
        <f aca="false">$J$399</f>
        <v>0.045</v>
      </c>
      <c r="E445" s="1809" t="n">
        <f aca="false">IF('Ввод данных'!$A$75=связи1!$A$106,IF(дома!E444&lt;связи1!$C$571,0,дома!E444-$C$419),0)</f>
        <v>0</v>
      </c>
      <c r="F445" s="1812" t="n">
        <f aca="false">2</f>
        <v>2</v>
      </c>
      <c r="G445" s="1344" t="n">
        <f aca="false">C445*D445*E445*F445</f>
        <v>0</v>
      </c>
      <c r="H445" s="1344"/>
      <c r="I445" s="1344"/>
      <c r="J445" s="1344"/>
      <c r="K445" s="1344"/>
      <c r="L445" s="1344"/>
      <c r="M445" s="1344"/>
      <c r="N445" s="1344"/>
      <c r="O445" s="1344"/>
      <c r="P445" s="1707"/>
      <c r="Q445" s="1707"/>
      <c r="R445" s="1707"/>
      <c r="S445" s="1344"/>
      <c r="T445" s="1344"/>
      <c r="U445" s="1753"/>
      <c r="V445" s="1344"/>
      <c r="W445" s="1344"/>
      <c r="X445" s="1344"/>
      <c r="Y445" s="1707"/>
      <c r="Z445" s="1707"/>
      <c r="AA445" s="1344"/>
      <c r="AB445" s="1344"/>
      <c r="AC445" s="1344"/>
      <c r="AD445" s="1344"/>
    </row>
    <row r="446" s="1709" customFormat="true" ht="15.75" hidden="true" customHeight="true" outlineLevel="1" collapsed="false">
      <c r="A446" s="1809" t="s">
        <v>3345</v>
      </c>
      <c r="B446" s="1810" t="s">
        <v>15</v>
      </c>
      <c r="C446" s="1811" t="n">
        <f aca="false">$B$402</f>
        <v>0.4</v>
      </c>
      <c r="D446" s="1809" t="n">
        <f aca="false">$J$399</f>
        <v>0.045</v>
      </c>
      <c r="E446" s="1809" t="n">
        <f aca="false">IF('Ввод данных'!$A$75=связи1!$A$106,IF(дома!E445&lt;связи1!$C$571,0,дома!E445-$C$419),0)</f>
        <v>0</v>
      </c>
      <c r="F446" s="1812" t="n">
        <f aca="false">2</f>
        <v>2</v>
      </c>
      <c r="G446" s="1344" t="n">
        <f aca="false">C446*D446*E446*F446</f>
        <v>0</v>
      </c>
      <c r="H446" s="1344"/>
      <c r="I446" s="1344"/>
      <c r="J446" s="1344"/>
      <c r="K446" s="1344"/>
      <c r="L446" s="1344"/>
      <c r="M446" s="1344"/>
      <c r="N446" s="1344"/>
      <c r="O446" s="1344"/>
      <c r="P446" s="1707"/>
      <c r="Q446" s="1707"/>
      <c r="R446" s="1707"/>
      <c r="S446" s="1344"/>
      <c r="T446" s="1344"/>
      <c r="U446" s="1753"/>
      <c r="V446" s="1344"/>
      <c r="W446" s="1344"/>
      <c r="X446" s="1344"/>
      <c r="Y446" s="1707"/>
      <c r="Z446" s="1707"/>
      <c r="AA446" s="1344"/>
      <c r="AB446" s="1344"/>
      <c r="AC446" s="1344"/>
      <c r="AD446" s="1344"/>
    </row>
    <row r="447" s="1709" customFormat="true" ht="15.75" hidden="true" customHeight="true" outlineLevel="1" collapsed="false">
      <c r="A447" s="1372" t="s">
        <v>3346</v>
      </c>
      <c r="B447" s="1626" t="s">
        <v>15</v>
      </c>
      <c r="C447" s="1627" t="n">
        <f aca="false">$B$402</f>
        <v>0.4</v>
      </c>
      <c r="D447" s="1372" t="n">
        <f aca="false">$J$399</f>
        <v>0.045</v>
      </c>
      <c r="E447" s="1372" t="n">
        <f aca="false">IF('Ввод данных'!A75=связи1!A107,IF('Ввод данных'!A73=связи1!A94,связи1!C572-связи1!C571,0)+IF('Ввод данных'!A73=связи1!A95,0,0)+IF('Ввод данных'!A73=связи1!A96,0,0)+IF('Ввод данных'!A75=связи1!A107,IF('Ввод данных'!A73=связи1!A97,связи1!C572,0),0)+IF('Ввод данных'!A73=связи1!A98,0,0),0)</f>
        <v>5</v>
      </c>
      <c r="F447" s="1624" t="n">
        <f aca="false">2</f>
        <v>2</v>
      </c>
      <c r="G447" s="1344" t="n">
        <f aca="false">C447*D447*E447*F447</f>
        <v>0.18</v>
      </c>
      <c r="H447" s="1344"/>
      <c r="I447" s="1344"/>
      <c r="J447" s="1344"/>
      <c r="K447" s="1344"/>
      <c r="L447" s="1344"/>
      <c r="M447" s="1344"/>
      <c r="N447" s="1344"/>
      <c r="O447" s="1344"/>
      <c r="P447" s="1707"/>
      <c r="Q447" s="1707"/>
      <c r="R447" s="1707"/>
      <c r="S447" s="1344"/>
      <c r="T447" s="1344"/>
      <c r="U447" s="1753"/>
      <c r="V447" s="1344"/>
      <c r="W447" s="1344"/>
      <c r="X447" s="1344"/>
      <c r="Y447" s="1707"/>
      <c r="Z447" s="1707"/>
      <c r="AA447" s="1344"/>
      <c r="AB447" s="1344"/>
      <c r="AC447" s="1344"/>
      <c r="AD447" s="1344"/>
    </row>
    <row r="448" s="1709" customFormat="true" ht="15.75" hidden="true" customHeight="true" outlineLevel="1" collapsed="false">
      <c r="A448" s="1372" t="s">
        <v>3347</v>
      </c>
      <c r="B448" s="1626" t="s">
        <v>15</v>
      </c>
      <c r="C448" s="1627" t="n">
        <f aca="false">$B$402</f>
        <v>0.4</v>
      </c>
      <c r="D448" s="1372" t="n">
        <f aca="false">$J$399</f>
        <v>0.045</v>
      </c>
      <c r="E448" s="1372" t="n">
        <f aca="false">IF('Ввод данных'!$A$73=связи1!$A$97,IF(дома!E447&lt;связи1!$C$571,0,дома!E447-$C$419),0)+IF(дома!E447=0,0,IF('Ввод данных'!$A$73=связи1!$A$94,IF(дома!E447&lt;0,0,дома!E447-$C$419),0))</f>
        <v>5</v>
      </c>
      <c r="F448" s="1624" t="n">
        <f aca="false">2</f>
        <v>2</v>
      </c>
      <c r="G448" s="1344" t="n">
        <f aca="false">C448*D448*E448*F448</f>
        <v>0.18</v>
      </c>
      <c r="H448" s="1344"/>
      <c r="I448" s="1344"/>
      <c r="J448" s="1344"/>
      <c r="K448" s="1344"/>
      <c r="L448" s="1344"/>
      <c r="M448" s="1344"/>
      <c r="N448" s="1344"/>
      <c r="O448" s="1344"/>
      <c r="P448" s="1707"/>
      <c r="Q448" s="1707"/>
      <c r="R448" s="1707"/>
      <c r="S448" s="1344"/>
      <c r="T448" s="1344"/>
      <c r="U448" s="1753"/>
      <c r="V448" s="1344"/>
      <c r="W448" s="1344"/>
      <c r="X448" s="1344"/>
      <c r="Y448" s="1707"/>
      <c r="Z448" s="1707"/>
      <c r="AA448" s="1344"/>
      <c r="AB448" s="1344"/>
      <c r="AC448" s="1344"/>
      <c r="AD448" s="1344"/>
    </row>
    <row r="449" s="1709" customFormat="true" ht="15.75" hidden="true" customHeight="true" outlineLevel="1" collapsed="false">
      <c r="A449" s="1372" t="s">
        <v>3348</v>
      </c>
      <c r="B449" s="1626" t="s">
        <v>15</v>
      </c>
      <c r="C449" s="1627" t="n">
        <f aca="false">$B$402</f>
        <v>0.4</v>
      </c>
      <c r="D449" s="1372" t="n">
        <f aca="false">$J$399</f>
        <v>0.045</v>
      </c>
      <c r="E449" s="1372" t="n">
        <f aca="false">IF('Ввод данных'!$A$73=связи1!$A$97,IF(дома!E448&lt;связи1!$C$571,0,дома!E448-$C$419),0)+IF(дома!E448=0,0,IF('Ввод данных'!$A$73=связи1!$A$94,IF(дома!E448&lt;0,0,дома!E448-$C$419),0))</f>
        <v>5</v>
      </c>
      <c r="F449" s="1624" t="n">
        <f aca="false">2</f>
        <v>2</v>
      </c>
      <c r="G449" s="1344" t="n">
        <f aca="false">C449*D449*E449*F449</f>
        <v>0.18</v>
      </c>
      <c r="H449" s="1344"/>
      <c r="I449" s="1344"/>
      <c r="J449" s="1344"/>
      <c r="K449" s="1344"/>
      <c r="L449" s="1344"/>
      <c r="M449" s="1344"/>
      <c r="N449" s="1344"/>
      <c r="O449" s="1344"/>
      <c r="P449" s="1707"/>
      <c r="Q449" s="1707"/>
      <c r="R449" s="1707"/>
      <c r="S449" s="1344"/>
      <c r="T449" s="1344"/>
      <c r="U449" s="1753"/>
      <c r="V449" s="1344"/>
      <c r="W449" s="1344"/>
      <c r="X449" s="1344"/>
      <c r="Y449" s="1707"/>
      <c r="Z449" s="1707"/>
      <c r="AA449" s="1344"/>
      <c r="AB449" s="1344"/>
      <c r="AC449" s="1344"/>
      <c r="AD449" s="1344"/>
    </row>
    <row r="450" s="1709" customFormat="true" ht="15.75" hidden="true" customHeight="true" outlineLevel="1" collapsed="false">
      <c r="A450" s="1372" t="s">
        <v>3349</v>
      </c>
      <c r="B450" s="1626" t="s">
        <v>15</v>
      </c>
      <c r="C450" s="1627" t="n">
        <f aca="false">$B$402</f>
        <v>0.4</v>
      </c>
      <c r="D450" s="1372" t="n">
        <f aca="false">$J$399</f>
        <v>0.045</v>
      </c>
      <c r="E450" s="1372" t="n">
        <f aca="false">IF('Ввод данных'!$A$73=связи1!$A$97,IF(дома!E449&lt;связи1!$C$571,0,дома!E449-$C$419),0)+IF(дома!E449=0,0,IF('Ввод данных'!$A$73=связи1!$A$94,IF(дома!E449&lt;0,0,дома!E449-$C$419),0))</f>
        <v>5</v>
      </c>
      <c r="F450" s="1624" t="n">
        <f aca="false">2</f>
        <v>2</v>
      </c>
      <c r="G450" s="1344" t="n">
        <f aca="false">C450*D450*E450*F450</f>
        <v>0.18</v>
      </c>
      <c r="H450" s="1344"/>
      <c r="I450" s="1344"/>
      <c r="J450" s="1344"/>
      <c r="K450" s="1344"/>
      <c r="L450" s="1344"/>
      <c r="M450" s="1344"/>
      <c r="N450" s="1344"/>
      <c r="O450" s="1344"/>
      <c r="P450" s="1707"/>
      <c r="Q450" s="1707"/>
      <c r="R450" s="1707"/>
      <c r="S450" s="1344"/>
      <c r="T450" s="1344"/>
      <c r="U450" s="1753"/>
      <c r="V450" s="1344"/>
      <c r="W450" s="1344"/>
      <c r="X450" s="1344"/>
      <c r="Y450" s="1707"/>
      <c r="Z450" s="1707"/>
      <c r="AA450" s="1344"/>
      <c r="AB450" s="1344"/>
      <c r="AC450" s="1344"/>
      <c r="AD450" s="1344"/>
    </row>
    <row r="451" s="1709" customFormat="true" ht="15.75" hidden="true" customHeight="true" outlineLevel="1" collapsed="false">
      <c r="A451" s="1372" t="s">
        <v>3350</v>
      </c>
      <c r="B451" s="1626" t="s">
        <v>15</v>
      </c>
      <c r="C451" s="1627" t="n">
        <f aca="false">$B$402</f>
        <v>0.4</v>
      </c>
      <c r="D451" s="1372" t="n">
        <f aca="false">$J$399</f>
        <v>0.045</v>
      </c>
      <c r="E451" s="1372" t="n">
        <f aca="false">IF('Ввод данных'!$A$73=связи1!$A$97,IF(дома!E450&lt;связи1!$C$571,0,дома!E450-$C$419),0)+IF(дома!E450=0,0,IF('Ввод данных'!$A$73=связи1!$A$94,IF(дома!E450&lt;0,0,дома!E450-$C$419),0))</f>
        <v>5</v>
      </c>
      <c r="F451" s="1624" t="n">
        <f aca="false">2</f>
        <v>2</v>
      </c>
      <c r="G451" s="1344" t="n">
        <f aca="false">C451*D451*E451*F451</f>
        <v>0.18</v>
      </c>
      <c r="H451" s="1344"/>
      <c r="I451" s="1344"/>
      <c r="J451" s="1344"/>
      <c r="K451" s="1344"/>
      <c r="L451" s="1344"/>
      <c r="M451" s="1344"/>
      <c r="N451" s="1344"/>
      <c r="O451" s="1344"/>
      <c r="P451" s="1707"/>
      <c r="Q451" s="1707"/>
      <c r="R451" s="1707"/>
      <c r="S451" s="1344"/>
      <c r="T451" s="1344"/>
      <c r="U451" s="1753"/>
      <c r="V451" s="1344"/>
      <c r="W451" s="1344"/>
      <c r="X451" s="1344"/>
      <c r="Y451" s="1707"/>
      <c r="Z451" s="1707"/>
      <c r="AA451" s="1344"/>
      <c r="AB451" s="1344"/>
      <c r="AC451" s="1344"/>
      <c r="AD451" s="1344"/>
    </row>
    <row r="452" s="1709" customFormat="true" ht="15.75" hidden="true" customHeight="true" outlineLevel="1" collapsed="false">
      <c r="A452" s="1372" t="s">
        <v>3351</v>
      </c>
      <c r="B452" s="1626" t="s">
        <v>15</v>
      </c>
      <c r="C452" s="1627" t="n">
        <f aca="false">$B$402</f>
        <v>0.4</v>
      </c>
      <c r="D452" s="1372" t="n">
        <f aca="false">$J$399</f>
        <v>0.045</v>
      </c>
      <c r="E452" s="1372" t="n">
        <f aca="false">IF('Ввод данных'!$A$73=связи1!$A$97,IF(дома!E451&lt;связи1!$C$571,0,дома!E451-$C$419),0)+IF(дома!E451=0,0,IF('Ввод данных'!$A$73=связи1!$A$94,IF(дома!E451&lt;0,0,дома!E451-$C$419),0))</f>
        <v>5</v>
      </c>
      <c r="F452" s="1624" t="n">
        <f aca="false">2</f>
        <v>2</v>
      </c>
      <c r="G452" s="1344" t="n">
        <f aca="false">C452*D452*E452*F452</f>
        <v>0.18</v>
      </c>
      <c r="H452" s="1344"/>
      <c r="I452" s="1344"/>
      <c r="J452" s="1344"/>
      <c r="K452" s="1344"/>
      <c r="L452" s="1344"/>
      <c r="M452" s="1344"/>
      <c r="N452" s="1344"/>
      <c r="O452" s="1344"/>
      <c r="P452" s="1707"/>
      <c r="Q452" s="1707"/>
      <c r="R452" s="1707"/>
      <c r="S452" s="1344"/>
      <c r="T452" s="1344"/>
      <c r="U452" s="1753"/>
      <c r="V452" s="1344"/>
      <c r="W452" s="1344"/>
      <c r="X452" s="1344"/>
      <c r="Y452" s="1707"/>
      <c r="Z452" s="1707"/>
      <c r="AA452" s="1344"/>
      <c r="AB452" s="1344"/>
      <c r="AC452" s="1344"/>
      <c r="AD452" s="1344"/>
    </row>
    <row r="453" s="1709" customFormat="true" ht="15.75" hidden="true" customHeight="true" outlineLevel="1" collapsed="false">
      <c r="A453" s="1372" t="s">
        <v>3352</v>
      </c>
      <c r="B453" s="1626" t="s">
        <v>15</v>
      </c>
      <c r="C453" s="1627" t="n">
        <f aca="false">$B$402</f>
        <v>0.4</v>
      </c>
      <c r="D453" s="1372" t="n">
        <f aca="false">$J$399</f>
        <v>0.045</v>
      </c>
      <c r="E453" s="1372" t="n">
        <f aca="false">IF('Ввод данных'!$A$73=связи1!$A$97,IF(дома!E452&lt;связи1!$C$571,0,дома!E452-$C$419),0)+IF(дома!E452=0,0,IF('Ввод данных'!$A$73=связи1!$A$94,IF(дома!E452&lt;0,0,дома!E452-$C$419),0))</f>
        <v>5</v>
      </c>
      <c r="F453" s="1624" t="n">
        <f aca="false">2</f>
        <v>2</v>
      </c>
      <c r="G453" s="1344" t="n">
        <f aca="false">C453*D453*E453*F453</f>
        <v>0.18</v>
      </c>
      <c r="H453" s="1344"/>
      <c r="I453" s="1344"/>
      <c r="J453" s="1344"/>
      <c r="K453" s="1344"/>
      <c r="L453" s="1344"/>
      <c r="M453" s="1344"/>
      <c r="N453" s="1344"/>
      <c r="O453" s="1344"/>
      <c r="P453" s="1707"/>
      <c r="Q453" s="1707"/>
      <c r="R453" s="1707"/>
      <c r="S453" s="1344"/>
      <c r="T453" s="1344"/>
      <c r="U453" s="1753"/>
      <c r="V453" s="1344"/>
      <c r="W453" s="1344"/>
      <c r="X453" s="1344"/>
      <c r="Y453" s="1707"/>
      <c r="Z453" s="1707"/>
      <c r="AA453" s="1344"/>
      <c r="AB453" s="1344"/>
      <c r="AC453" s="1344"/>
      <c r="AD453" s="1344"/>
    </row>
    <row r="454" s="1709" customFormat="true" ht="15.75" hidden="true" customHeight="true" outlineLevel="1" collapsed="false">
      <c r="A454" s="1372" t="s">
        <v>3353</v>
      </c>
      <c r="B454" s="1626" t="s">
        <v>15</v>
      </c>
      <c r="C454" s="1627" t="n">
        <f aca="false">$B$402</f>
        <v>0.4</v>
      </c>
      <c r="D454" s="1372" t="n">
        <f aca="false">$J$399</f>
        <v>0.045</v>
      </c>
      <c r="E454" s="1372" t="n">
        <f aca="false">IF('Ввод данных'!$A$73=связи1!$A$97,IF(дома!E453&lt;связи1!$C$571,0,дома!E453-$C$419),0)+IF(дома!E453=0,0,IF('Ввод данных'!$A$73=связи1!$A$94,IF(дома!E453&lt;0,0,дома!E453-$C$419),0))</f>
        <v>5</v>
      </c>
      <c r="F454" s="1624" t="n">
        <f aca="false">2</f>
        <v>2</v>
      </c>
      <c r="G454" s="1344" t="n">
        <f aca="false">C454*D454*E454*F454</f>
        <v>0.18</v>
      </c>
      <c r="H454" s="1344"/>
      <c r="I454" s="1344"/>
      <c r="J454" s="1344"/>
      <c r="K454" s="1344"/>
      <c r="L454" s="1344"/>
      <c r="M454" s="1344"/>
      <c r="N454" s="1344"/>
      <c r="O454" s="1344"/>
      <c r="P454" s="1707"/>
      <c r="Q454" s="1707"/>
      <c r="R454" s="1707"/>
      <c r="S454" s="1344"/>
      <c r="T454" s="1344"/>
      <c r="U454" s="1753"/>
      <c r="V454" s="1344"/>
      <c r="W454" s="1344"/>
      <c r="X454" s="1344"/>
      <c r="Y454" s="1707"/>
      <c r="Z454" s="1707"/>
      <c r="AA454" s="1344"/>
      <c r="AB454" s="1344"/>
      <c r="AC454" s="1344"/>
      <c r="AD454" s="1344"/>
    </row>
    <row r="455" s="1709" customFormat="true" ht="15.75" hidden="true" customHeight="true" outlineLevel="1" collapsed="false">
      <c r="A455" s="1372" t="s">
        <v>3354</v>
      </c>
      <c r="B455" s="1626" t="s">
        <v>15</v>
      </c>
      <c r="C455" s="1627" t="n">
        <f aca="false">$B$402</f>
        <v>0.4</v>
      </c>
      <c r="D455" s="1372" t="n">
        <f aca="false">$J$399</f>
        <v>0.045</v>
      </c>
      <c r="E455" s="1372" t="n">
        <f aca="false">IF('Ввод данных'!$A$73=связи1!$A$97,IF(дома!E454&lt;связи1!$C$571,0,дома!E454-$C$419),0)+IF(дома!E454=0,0,IF('Ввод данных'!$A$73=связи1!$A$94,IF(дома!E454&lt;0,0,дома!E454-$C$419),0))</f>
        <v>5</v>
      </c>
      <c r="F455" s="1624" t="n">
        <f aca="false">2</f>
        <v>2</v>
      </c>
      <c r="G455" s="1344" t="n">
        <f aca="false">C455*D455*E455*F455</f>
        <v>0.18</v>
      </c>
      <c r="H455" s="1344"/>
      <c r="I455" s="1344"/>
      <c r="J455" s="1344"/>
      <c r="K455" s="1344"/>
      <c r="L455" s="1344"/>
      <c r="M455" s="1344"/>
      <c r="N455" s="1344"/>
      <c r="O455" s="1344"/>
      <c r="P455" s="1707"/>
      <c r="Q455" s="1707"/>
      <c r="R455" s="1707"/>
      <c r="S455" s="1344"/>
      <c r="T455" s="1344"/>
      <c r="U455" s="1753"/>
      <c r="V455" s="1344"/>
      <c r="W455" s="1344"/>
      <c r="X455" s="1344"/>
      <c r="Y455" s="1707"/>
      <c r="Z455" s="1707"/>
      <c r="AA455" s="1344"/>
      <c r="AB455" s="1344"/>
      <c r="AC455" s="1344"/>
      <c r="AD455" s="1344"/>
    </row>
    <row r="456" s="1709" customFormat="true" ht="15.75" hidden="true" customHeight="true" outlineLevel="1" collapsed="false">
      <c r="A456" s="1372" t="s">
        <v>3355</v>
      </c>
      <c r="B456" s="1626" t="s">
        <v>15</v>
      </c>
      <c r="C456" s="1627" t="n">
        <f aca="false">$B$402</f>
        <v>0.4</v>
      </c>
      <c r="D456" s="1372" t="n">
        <f aca="false">$J$399</f>
        <v>0.045</v>
      </c>
      <c r="E456" s="1372" t="n">
        <f aca="false">IF('Ввод данных'!$A$73=связи1!$A$97,IF(дома!E455&lt;связи1!$C$571,0,дома!E455-$C$419),0)+IF(дома!E455=0,0,IF('Ввод данных'!$A$73=связи1!$A$94,IF(дома!E455&lt;0,0,дома!E455-$C$419),0))</f>
        <v>5</v>
      </c>
      <c r="F456" s="1624" t="n">
        <f aca="false">2</f>
        <v>2</v>
      </c>
      <c r="G456" s="1344" t="n">
        <f aca="false">C456*D456*E456*F456</f>
        <v>0.18</v>
      </c>
      <c r="H456" s="1344"/>
      <c r="I456" s="1344"/>
      <c r="J456" s="1344"/>
      <c r="K456" s="1344"/>
      <c r="L456" s="1344"/>
      <c r="M456" s="1344"/>
      <c r="N456" s="1344"/>
      <c r="O456" s="1344"/>
      <c r="P456" s="1707"/>
      <c r="Q456" s="1707"/>
      <c r="R456" s="1707"/>
      <c r="S456" s="1344"/>
      <c r="T456" s="1344"/>
      <c r="U456" s="1753"/>
      <c r="V456" s="1344"/>
      <c r="W456" s="1344"/>
      <c r="X456" s="1344"/>
      <c r="Y456" s="1707"/>
      <c r="Z456" s="1707"/>
      <c r="AA456" s="1344"/>
      <c r="AB456" s="1344"/>
      <c r="AC456" s="1344"/>
      <c r="AD456" s="1344"/>
    </row>
    <row r="457" s="1709" customFormat="true" ht="15.75" hidden="true" customHeight="true" outlineLevel="1" collapsed="false">
      <c r="A457" s="1372" t="s">
        <v>3356</v>
      </c>
      <c r="B457" s="1626" t="s">
        <v>15</v>
      </c>
      <c r="C457" s="1627" t="n">
        <f aca="false">$B$402</f>
        <v>0.4</v>
      </c>
      <c r="D457" s="1372" t="n">
        <f aca="false">$J$399</f>
        <v>0.045</v>
      </c>
      <c r="E457" s="1372" t="n">
        <f aca="false">IF('Ввод данных'!$A$73=связи1!$A$97,IF(дома!E456&lt;связи1!$C$571,0,дома!E456-$C$419),0)+IF(дома!E456=0,0,IF('Ввод данных'!$A$73=связи1!$A$94,IF(дома!E456&lt;0,0,дома!E456-$C$419),0))</f>
        <v>5</v>
      </c>
      <c r="F457" s="1624" t="n">
        <f aca="false">2</f>
        <v>2</v>
      </c>
      <c r="G457" s="1344" t="n">
        <f aca="false">C457*D457*E457*F457</f>
        <v>0.18</v>
      </c>
      <c r="H457" s="1344"/>
      <c r="I457" s="1344"/>
      <c r="J457" s="1344"/>
      <c r="K457" s="1344"/>
      <c r="L457" s="1344"/>
      <c r="M457" s="1344"/>
      <c r="N457" s="1344"/>
      <c r="O457" s="1344"/>
      <c r="P457" s="1707"/>
      <c r="Q457" s="1707"/>
      <c r="R457" s="1707"/>
      <c r="S457" s="1344"/>
      <c r="T457" s="1344"/>
      <c r="U457" s="1753"/>
      <c r="V457" s="1344"/>
      <c r="W457" s="1344"/>
      <c r="X457" s="1344"/>
      <c r="Y457" s="1707"/>
      <c r="Z457" s="1707"/>
      <c r="AA457" s="1344"/>
      <c r="AB457" s="1344"/>
      <c r="AC457" s="1344"/>
      <c r="AD457" s="1344"/>
    </row>
    <row r="458" s="1709" customFormat="true" ht="15.75" hidden="true" customHeight="true" outlineLevel="1" collapsed="false">
      <c r="A458" s="1372" t="s">
        <v>3357</v>
      </c>
      <c r="B458" s="1626" t="s">
        <v>15</v>
      </c>
      <c r="C458" s="1627" t="n">
        <f aca="false">$B$402</f>
        <v>0.4</v>
      </c>
      <c r="D458" s="1372" t="n">
        <f aca="false">$J$399</f>
        <v>0.045</v>
      </c>
      <c r="E458" s="1372" t="n">
        <f aca="false">IF('Ввод данных'!$A$73=связи1!$A$97,IF(дома!E457&lt;связи1!$C$571,0,дома!E457-$C$419),0)+IF(дома!E457=0,0,IF('Ввод данных'!$A$73=связи1!$A$94,IF(дома!E457&lt;0,0,дома!E457-$C$419),0))</f>
        <v>5</v>
      </c>
      <c r="F458" s="1624" t="n">
        <f aca="false">2</f>
        <v>2</v>
      </c>
      <c r="G458" s="1344" t="n">
        <f aca="false">C458*D458*E458*F458</f>
        <v>0.18</v>
      </c>
      <c r="H458" s="1344"/>
      <c r="I458" s="1344"/>
      <c r="J458" s="1344"/>
      <c r="K458" s="1344"/>
      <c r="L458" s="1344"/>
      <c r="M458" s="1344"/>
      <c r="N458" s="1344"/>
      <c r="O458" s="1344"/>
      <c r="P458" s="1707"/>
      <c r="Q458" s="1707"/>
      <c r="R458" s="1707"/>
      <c r="S458" s="1344"/>
      <c r="T458" s="1344"/>
      <c r="U458" s="1753"/>
      <c r="V458" s="1344"/>
      <c r="W458" s="1344"/>
      <c r="X458" s="1344"/>
      <c r="Y458" s="1707"/>
      <c r="Z458" s="1707"/>
      <c r="AA458" s="1344"/>
      <c r="AB458" s="1344"/>
      <c r="AC458" s="1344"/>
      <c r="AD458" s="1344"/>
    </row>
    <row r="459" s="1709" customFormat="true" ht="15.75" hidden="true" customHeight="true" outlineLevel="1" collapsed="false">
      <c r="A459" s="1372" t="s">
        <v>3358</v>
      </c>
      <c r="B459" s="1626" t="s">
        <v>15</v>
      </c>
      <c r="C459" s="1627" t="n">
        <f aca="false">$B$402</f>
        <v>0.4</v>
      </c>
      <c r="D459" s="1372" t="n">
        <f aca="false">$J$399</f>
        <v>0.045</v>
      </c>
      <c r="E459" s="1372" t="n">
        <f aca="false">IF('Ввод данных'!$A$73=связи1!$A$97,IF(дома!E458&lt;связи1!$C$571,0,дома!E458-$C$419),0)+IF(дома!E458=0,0,IF('Ввод данных'!$A$73=связи1!$A$94,IF(дома!E458&lt;0,0,дома!E458-$C$419),0))</f>
        <v>5</v>
      </c>
      <c r="F459" s="1624" t="n">
        <f aca="false">2</f>
        <v>2</v>
      </c>
      <c r="G459" s="1344" t="n">
        <f aca="false">C459*D459*E459*F459</f>
        <v>0.18</v>
      </c>
      <c r="H459" s="1344"/>
      <c r="I459" s="1344"/>
      <c r="J459" s="1344"/>
      <c r="K459" s="1344"/>
      <c r="L459" s="1344"/>
      <c r="M459" s="1344"/>
      <c r="N459" s="1344"/>
      <c r="O459" s="1344"/>
      <c r="P459" s="1707"/>
      <c r="Q459" s="1707"/>
      <c r="R459" s="1707"/>
      <c r="S459" s="1344"/>
      <c r="T459" s="1344"/>
      <c r="U459" s="1753"/>
      <c r="V459" s="1344"/>
      <c r="W459" s="1344"/>
      <c r="X459" s="1344"/>
      <c r="Y459" s="1707"/>
      <c r="Z459" s="1707"/>
      <c r="AA459" s="1344"/>
      <c r="AB459" s="1344"/>
      <c r="AC459" s="1344"/>
      <c r="AD459" s="1344"/>
    </row>
    <row r="460" s="1709" customFormat="true" ht="15.75" hidden="true" customHeight="true" outlineLevel="1" collapsed="false">
      <c r="A460" s="1372" t="s">
        <v>3359</v>
      </c>
      <c r="B460" s="1626" t="s">
        <v>15</v>
      </c>
      <c r="C460" s="1627" t="n">
        <f aca="false">$B$402</f>
        <v>0.4</v>
      </c>
      <c r="D460" s="1372" t="n">
        <f aca="false">$J$399</f>
        <v>0.045</v>
      </c>
      <c r="E460" s="1372" t="n">
        <f aca="false">IF('Ввод данных'!$A$73=связи1!$A$97,IF(дома!E459&lt;связи1!$C$571,0,дома!E459-$C$419),0)+IF(дома!E459=0,0,IF('Ввод данных'!$A$73=связи1!$A$94,IF(дома!E459&lt;0,0,дома!E459-$C$419),0))</f>
        <v>5</v>
      </c>
      <c r="F460" s="1624" t="n">
        <f aca="false">2</f>
        <v>2</v>
      </c>
      <c r="G460" s="1344" t="n">
        <f aca="false">C460*D460*E460*F460</f>
        <v>0.18</v>
      </c>
      <c r="H460" s="1344"/>
      <c r="I460" s="1344"/>
      <c r="J460" s="1344"/>
      <c r="K460" s="1344"/>
      <c r="L460" s="1344"/>
      <c r="M460" s="1344"/>
      <c r="N460" s="1344"/>
      <c r="O460" s="1344"/>
      <c r="P460" s="1707"/>
      <c r="Q460" s="1707"/>
      <c r="R460" s="1707"/>
      <c r="S460" s="1344"/>
      <c r="T460" s="1344"/>
      <c r="U460" s="1753"/>
      <c r="V460" s="1344"/>
      <c r="W460" s="1344"/>
      <c r="X460" s="1344"/>
      <c r="Y460" s="1707"/>
      <c r="Z460" s="1707"/>
      <c r="AA460" s="1344"/>
      <c r="AB460" s="1344"/>
      <c r="AC460" s="1344"/>
      <c r="AD460" s="1344"/>
    </row>
    <row r="461" s="1709" customFormat="true" ht="15.75" hidden="true" customHeight="true" outlineLevel="1" collapsed="false">
      <c r="A461" s="1372" t="s">
        <v>3360</v>
      </c>
      <c r="B461" s="1626" t="s">
        <v>15</v>
      </c>
      <c r="C461" s="1627" t="n">
        <f aca="false">$B$402</f>
        <v>0.4</v>
      </c>
      <c r="D461" s="1372" t="n">
        <f aca="false">$J$399</f>
        <v>0.045</v>
      </c>
      <c r="E461" s="1372" t="n">
        <f aca="false">IF('Ввод данных'!$A$73=связи1!$A$97,IF(дома!E460&lt;связи1!$C$571,0,дома!E460-$C$419),0)+IF(дома!E460=0,0,IF('Ввод данных'!$A$73=связи1!$A$94,IF(дома!E460&lt;0,0,дома!E460-$C$419),0))</f>
        <v>5</v>
      </c>
      <c r="F461" s="1624" t="n">
        <f aca="false">2</f>
        <v>2</v>
      </c>
      <c r="G461" s="1344" t="n">
        <f aca="false">C461*D461*E461*F461</f>
        <v>0.18</v>
      </c>
      <c r="H461" s="1344"/>
      <c r="I461" s="1344"/>
      <c r="J461" s="1344"/>
      <c r="K461" s="1344"/>
      <c r="L461" s="1344"/>
      <c r="M461" s="1344"/>
      <c r="N461" s="1344"/>
      <c r="O461" s="1344"/>
      <c r="P461" s="1707"/>
      <c r="Q461" s="1707"/>
      <c r="R461" s="1707"/>
      <c r="S461" s="1344"/>
      <c r="T461" s="1344"/>
      <c r="U461" s="1753"/>
      <c r="V461" s="1344"/>
      <c r="W461" s="1344"/>
      <c r="X461" s="1344"/>
      <c r="Y461" s="1707"/>
      <c r="Z461" s="1707"/>
      <c r="AA461" s="1344"/>
      <c r="AB461" s="1344"/>
      <c r="AC461" s="1344"/>
      <c r="AD461" s="1344"/>
    </row>
    <row r="462" s="1709" customFormat="true" ht="15.75" hidden="true" customHeight="true" outlineLevel="1" collapsed="false">
      <c r="A462" s="1372" t="s">
        <v>3361</v>
      </c>
      <c r="B462" s="1626" t="s">
        <v>15</v>
      </c>
      <c r="C462" s="1627" t="n">
        <f aca="false">$B$402</f>
        <v>0.4</v>
      </c>
      <c r="D462" s="1372" t="n">
        <f aca="false">$J$399</f>
        <v>0.045</v>
      </c>
      <c r="E462" s="1372" t="n">
        <f aca="false">IF('Ввод данных'!$A$73=связи1!$A$97,IF(дома!E461&lt;связи1!$C$571,0,дома!E461-$C$419),0)+IF(дома!E461=0,0,IF('Ввод данных'!$A$73=связи1!$A$94,IF(дома!E461&lt;0,0,дома!E461-$C$419),0))</f>
        <v>5</v>
      </c>
      <c r="F462" s="1624" t="n">
        <f aca="false">2</f>
        <v>2</v>
      </c>
      <c r="G462" s="1344" t="n">
        <f aca="false">C462*D462*E462*F462</f>
        <v>0.18</v>
      </c>
      <c r="H462" s="1344"/>
      <c r="I462" s="1344"/>
      <c r="J462" s="1344"/>
      <c r="K462" s="1344"/>
      <c r="L462" s="1344"/>
      <c r="M462" s="1344"/>
      <c r="N462" s="1344"/>
      <c r="O462" s="1344"/>
      <c r="P462" s="1707"/>
      <c r="Q462" s="1707"/>
      <c r="R462" s="1707"/>
      <c r="S462" s="1344"/>
      <c r="T462" s="1344"/>
      <c r="U462" s="1753"/>
      <c r="V462" s="1344"/>
      <c r="W462" s="1344"/>
      <c r="X462" s="1344"/>
      <c r="Y462" s="1707"/>
      <c r="Z462" s="1707"/>
      <c r="AA462" s="1344"/>
      <c r="AB462" s="1344"/>
      <c r="AC462" s="1344"/>
      <c r="AD462" s="1344"/>
    </row>
    <row r="463" s="1709" customFormat="true" ht="15.75" hidden="true" customHeight="true" outlineLevel="1" collapsed="false">
      <c r="A463" s="1372" t="s">
        <v>3362</v>
      </c>
      <c r="B463" s="1626" t="s">
        <v>15</v>
      </c>
      <c r="C463" s="1627" t="n">
        <f aca="false">$B$402</f>
        <v>0.4</v>
      </c>
      <c r="D463" s="1372" t="n">
        <f aca="false">$J$399</f>
        <v>0.045</v>
      </c>
      <c r="E463" s="1372" t="n">
        <f aca="false">IF('Ввод данных'!$A$73=связи1!$A$97,IF(дома!E462&lt;связи1!$C$571,0,дома!E462-$C$419),0)+IF(дома!E462=0,0,IF('Ввод данных'!$A$73=связи1!$A$94,IF(дома!E462&lt;0,0,дома!E462-$C$419),0))</f>
        <v>5</v>
      </c>
      <c r="F463" s="1624" t="n">
        <f aca="false">2</f>
        <v>2</v>
      </c>
      <c r="G463" s="1344" t="n">
        <f aca="false">C463*D463*E463*F463</f>
        <v>0.18</v>
      </c>
      <c r="H463" s="1344"/>
      <c r="I463" s="1344"/>
      <c r="J463" s="1344"/>
      <c r="K463" s="1344"/>
      <c r="L463" s="1344"/>
      <c r="M463" s="1344"/>
      <c r="N463" s="1344"/>
      <c r="O463" s="1344"/>
      <c r="P463" s="1707"/>
      <c r="Q463" s="1707"/>
      <c r="R463" s="1707"/>
      <c r="S463" s="1344"/>
      <c r="T463" s="1344"/>
      <c r="U463" s="1753"/>
      <c r="V463" s="1344"/>
      <c r="W463" s="1344"/>
      <c r="X463" s="1344"/>
      <c r="Y463" s="1707"/>
      <c r="Z463" s="1707"/>
      <c r="AA463" s="1344"/>
      <c r="AB463" s="1344"/>
      <c r="AC463" s="1344"/>
      <c r="AD463" s="1344"/>
    </row>
    <row r="464" s="1709" customFormat="true" ht="15.75" hidden="true" customHeight="true" outlineLevel="1" collapsed="false">
      <c r="A464" s="1799"/>
      <c r="B464" s="1802"/>
      <c r="C464" s="1294"/>
      <c r="D464" s="1344"/>
      <c r="E464" s="1344"/>
      <c r="F464" s="1444"/>
      <c r="G464" s="1344" t="n">
        <f aca="false">C464*D464*E464*F464</f>
        <v>0</v>
      </c>
      <c r="H464" s="1344"/>
      <c r="I464" s="1344"/>
      <c r="J464" s="1344"/>
      <c r="K464" s="1344"/>
      <c r="L464" s="1344"/>
      <c r="M464" s="1344"/>
      <c r="N464" s="1344"/>
      <c r="O464" s="1344"/>
      <c r="P464" s="1707"/>
      <c r="Q464" s="1707"/>
      <c r="R464" s="1707"/>
      <c r="S464" s="1344"/>
      <c r="T464" s="1344"/>
      <c r="U464" s="1753"/>
      <c r="V464" s="1344"/>
      <c r="W464" s="1344"/>
      <c r="X464" s="1344"/>
      <c r="Y464" s="1707"/>
      <c r="Z464" s="1707"/>
      <c r="AA464" s="1344"/>
      <c r="AB464" s="1344"/>
      <c r="AC464" s="1344"/>
      <c r="AD464" s="1344"/>
    </row>
    <row r="465" s="1709" customFormat="true" ht="15.75" hidden="true" customHeight="true" outlineLevel="1" collapsed="false">
      <c r="A465" s="1804" t="s">
        <v>3363</v>
      </c>
      <c r="B465" s="1806" t="str">
        <f aca="false">B423</f>
        <v>ед.изм</v>
      </c>
      <c r="C465" s="1804" t="str">
        <f aca="false">C423</f>
        <v>ширина</v>
      </c>
      <c r="D465" s="1804" t="str">
        <f aca="false">D423</f>
        <v>толщина</v>
      </c>
      <c r="E465" s="1804" t="str">
        <f aca="false">E423</f>
        <v>высота</v>
      </c>
      <c r="F465" s="1804" t="str">
        <f aca="false">F423</f>
        <v>кол-во</v>
      </c>
      <c r="G465" s="1344"/>
      <c r="H465" s="1344"/>
      <c r="I465" s="1344"/>
      <c r="J465" s="1344"/>
      <c r="K465" s="1344"/>
      <c r="L465" s="1344"/>
      <c r="M465" s="1344"/>
      <c r="N465" s="1344"/>
      <c r="O465" s="1344"/>
      <c r="P465" s="1707"/>
      <c r="Q465" s="1707"/>
      <c r="R465" s="1707"/>
      <c r="S465" s="1344"/>
      <c r="T465" s="1344"/>
      <c r="U465" s="1753"/>
      <c r="V465" s="1344"/>
      <c r="W465" s="1344"/>
      <c r="X465" s="1344"/>
      <c r="Y465" s="1707"/>
      <c r="Z465" s="1707"/>
      <c r="AA465" s="1344"/>
      <c r="AB465" s="1344"/>
      <c r="AC465" s="1344"/>
      <c r="AD465" s="1344"/>
    </row>
    <row r="466" s="1709" customFormat="true" ht="15.75" hidden="true" customHeight="true" outlineLevel="1" collapsed="false">
      <c r="A466" s="1799" t="str">
        <f aca="false">A424</f>
        <v>Стойки каркаса передней стены 1 эт</v>
      </c>
      <c r="B466" s="1294" t="str">
        <f aca="false">B424</f>
        <v>м.п.</v>
      </c>
      <c r="C466" s="1799" t="n">
        <f aca="false">C424</f>
        <v>0.4</v>
      </c>
      <c r="D466" s="1799" t="n">
        <f aca="false">D424</f>
        <v>0.045</v>
      </c>
      <c r="E466" s="1672" t="n">
        <f aca="false">связи1!D571</f>
        <v>2.9</v>
      </c>
      <c r="F466" s="1672" t="n">
        <f aca="false">L403</f>
        <v>0</v>
      </c>
      <c r="G466" s="1344" t="n">
        <f aca="false">C466*D466*E466*F466</f>
        <v>0</v>
      </c>
      <c r="H466" s="1344"/>
      <c r="I466" s="1344"/>
      <c r="J466" s="1344"/>
      <c r="K466" s="1344"/>
      <c r="L466" s="1344"/>
      <c r="M466" s="1344"/>
      <c r="N466" s="1344"/>
      <c r="O466" s="1344"/>
      <c r="P466" s="1707"/>
      <c r="Q466" s="1707"/>
      <c r="R466" s="1707"/>
      <c r="S466" s="1344"/>
      <c r="T466" s="1344"/>
      <c r="U466" s="1753"/>
      <c r="V466" s="1344"/>
      <c r="W466" s="1344"/>
      <c r="X466" s="1344"/>
      <c r="Y466" s="1707"/>
      <c r="Z466" s="1707"/>
      <c r="AA466" s="1344"/>
      <c r="AB466" s="1344"/>
      <c r="AC466" s="1344"/>
      <c r="AD466" s="1344"/>
    </row>
    <row r="467" s="1709" customFormat="true" ht="15.75" hidden="true" customHeight="true" outlineLevel="1" collapsed="false">
      <c r="A467" s="1799" t="str">
        <f aca="false">A425</f>
        <v>Стойки каркаса, левая сторона 1 эт</v>
      </c>
      <c r="B467" s="1294" t="str">
        <f aca="false">B425</f>
        <v>м.п.</v>
      </c>
      <c r="C467" s="1799" t="n">
        <f aca="false">C425</f>
        <v>0.4</v>
      </c>
      <c r="D467" s="1799" t="n">
        <f aca="false">D425</f>
        <v>0.045</v>
      </c>
      <c r="E467" s="1672" t="n">
        <f aca="false">E404*IF('Ввод данных'!A455=связи1!A97,IF('Ввод данных'!A454=связи1!A106,0,1),1)</f>
        <v>2.9</v>
      </c>
      <c r="F467" s="1672" t="n">
        <f aca="false">L404</f>
        <v>0</v>
      </c>
      <c r="G467" s="1344" t="n">
        <f aca="false">C467*D467*E467*F467</f>
        <v>0</v>
      </c>
      <c r="H467" s="1344"/>
      <c r="I467" s="1344"/>
      <c r="J467" s="1344"/>
      <c r="K467" s="1344"/>
      <c r="L467" s="1344"/>
      <c r="M467" s="1344"/>
      <c r="N467" s="1344"/>
      <c r="O467" s="1344"/>
      <c r="P467" s="1707"/>
      <c r="Q467" s="1707"/>
      <c r="R467" s="1707"/>
      <c r="S467" s="1344"/>
      <c r="T467" s="1344"/>
      <c r="U467" s="1753"/>
      <c r="V467" s="1344"/>
      <c r="W467" s="1344"/>
      <c r="X467" s="1344"/>
      <c r="Y467" s="1707"/>
      <c r="Z467" s="1707"/>
      <c r="AA467" s="1344"/>
      <c r="AB467" s="1344"/>
      <c r="AC467" s="1344"/>
      <c r="AD467" s="1344"/>
    </row>
    <row r="468" s="1709" customFormat="true" ht="15.75" hidden="true" customHeight="true" outlineLevel="1" collapsed="false">
      <c r="A468" s="1799" t="str">
        <f aca="false">A426</f>
        <v>Стойки каркаса, правая сторона, 1 эт</v>
      </c>
      <c r="B468" s="1294" t="str">
        <f aca="false">B426</f>
        <v>м.п.</v>
      </c>
      <c r="C468" s="1799" t="n">
        <f aca="false">C426</f>
        <v>0.4</v>
      </c>
      <c r="D468" s="1799" t="n">
        <f aca="false">D426</f>
        <v>0.045</v>
      </c>
      <c r="E468" s="1672" t="n">
        <f aca="false">E405*IF('Ввод данных'!A455=связи1!A97,IF('Ввод данных'!A454=связи1!A106,0,1),1)</f>
        <v>2.9</v>
      </c>
      <c r="F468" s="1672" t="n">
        <f aca="false">L405</f>
        <v>0</v>
      </c>
      <c r="G468" s="1344" t="n">
        <f aca="false">C468*D468*E468*F468</f>
        <v>0</v>
      </c>
      <c r="H468" s="1344"/>
      <c r="I468" s="1344"/>
      <c r="J468" s="1344"/>
      <c r="K468" s="1344"/>
      <c r="L468" s="1344"/>
      <c r="M468" s="1344"/>
      <c r="N468" s="1344"/>
      <c r="O468" s="1344"/>
      <c r="P468" s="1707"/>
      <c r="Q468" s="1707"/>
      <c r="R468" s="1707"/>
      <c r="S468" s="1344"/>
      <c r="T468" s="1344"/>
      <c r="U468" s="1753"/>
      <c r="V468" s="1344"/>
      <c r="W468" s="1344"/>
      <c r="X468" s="1344"/>
      <c r="Y468" s="1707"/>
      <c r="Z468" s="1707"/>
      <c r="AA468" s="1344"/>
      <c r="AB468" s="1344"/>
      <c r="AC468" s="1344"/>
      <c r="AD468" s="1344"/>
    </row>
    <row r="469" s="1709" customFormat="true" ht="15.75" hidden="true" customHeight="true" outlineLevel="1" collapsed="false">
      <c r="A469" s="1799" t="str">
        <f aca="false">A427</f>
        <v>Обвязка каркаса верхняя/нижняя наружние стены 1 эт</v>
      </c>
      <c r="B469" s="1294" t="str">
        <f aca="false">B427</f>
        <v>м.п.</v>
      </c>
      <c r="C469" s="1799" t="n">
        <f aca="false">C427</f>
        <v>0.4</v>
      </c>
      <c r="D469" s="1799" t="n">
        <f aca="false">D427</f>
        <v>0.045</v>
      </c>
      <c r="E469" s="1672"/>
      <c r="F469" s="1672" t="n">
        <f aca="false">P406+Q406</f>
        <v>0</v>
      </c>
      <c r="G469" s="1344" t="n">
        <f aca="false">C469*D469*E469*F469</f>
        <v>0</v>
      </c>
      <c r="H469" s="1344"/>
      <c r="I469" s="1344"/>
      <c r="J469" s="1344"/>
      <c r="K469" s="1344"/>
      <c r="L469" s="1344"/>
      <c r="M469" s="1344"/>
      <c r="N469" s="1344"/>
      <c r="O469" s="1344"/>
      <c r="P469" s="1707"/>
      <c r="Q469" s="1707"/>
      <c r="R469" s="1707"/>
      <c r="S469" s="1344"/>
      <c r="T469" s="1344"/>
      <c r="U469" s="1753"/>
      <c r="V469" s="1344"/>
      <c r="W469" s="1344"/>
      <c r="X469" s="1344"/>
      <c r="Y469" s="1707"/>
      <c r="Z469" s="1707"/>
      <c r="AA469" s="1344"/>
      <c r="AB469" s="1344"/>
      <c r="AC469" s="1344"/>
      <c r="AD469" s="1344"/>
    </row>
    <row r="470" s="1709" customFormat="true" ht="15.75" hidden="true" customHeight="true" outlineLevel="1" collapsed="false">
      <c r="A470" s="1799" t="str">
        <f aca="false">A428</f>
        <v>Ригель каркаса наружние стены 1 эт</v>
      </c>
      <c r="B470" s="1294" t="str">
        <f aca="false">B428</f>
        <v>м.п.</v>
      </c>
      <c r="C470" s="1799" t="n">
        <f aca="false">C428</f>
        <v>0.4</v>
      </c>
      <c r="D470" s="1799" t="n">
        <f aca="false">D428</f>
        <v>0.045</v>
      </c>
      <c r="E470" s="1672"/>
      <c r="F470" s="1672" t="n">
        <f aca="false">F428</f>
        <v>0</v>
      </c>
      <c r="G470" s="1344" t="n">
        <f aca="false">C470*D470*E470*F470</f>
        <v>0</v>
      </c>
      <c r="H470" s="1344"/>
      <c r="I470" s="1344"/>
      <c r="J470" s="1344"/>
      <c r="K470" s="1344"/>
      <c r="L470" s="1344"/>
      <c r="M470" s="1344"/>
      <c r="N470" s="1344"/>
      <c r="O470" s="1344"/>
      <c r="P470" s="1707"/>
      <c r="Q470" s="1707"/>
      <c r="R470" s="1707"/>
      <c r="S470" s="1344"/>
      <c r="T470" s="1344"/>
      <c r="U470" s="1753"/>
      <c r="V470" s="1344"/>
      <c r="W470" s="1344"/>
      <c r="X470" s="1344"/>
      <c r="Y470" s="1707"/>
      <c r="Z470" s="1707"/>
      <c r="AA470" s="1344"/>
      <c r="AB470" s="1344"/>
      <c r="AC470" s="1344"/>
      <c r="AD470" s="1344"/>
    </row>
    <row r="471" s="1709" customFormat="true" ht="15.75" hidden="true" customHeight="true" outlineLevel="1" collapsed="false">
      <c r="A471" s="1799" t="str">
        <f aca="false">A429</f>
        <v>Укосина наружних стен, усиление 1 этаж</v>
      </c>
      <c r="B471" s="1294" t="str">
        <f aca="false">B429</f>
        <v>м.п.</v>
      </c>
      <c r="C471" s="1799" t="n">
        <f aca="false">C429</f>
        <v>0.4</v>
      </c>
      <c r="D471" s="1799" t="n">
        <f aca="false">D429</f>
        <v>0.045</v>
      </c>
      <c r="E471" s="1672" t="n">
        <f aca="false">1.5*VLOOKUP('Ввод данных'!C79,связи1!A2:B3,2,0)*связи1!D568</f>
        <v>0</v>
      </c>
      <c r="F471" s="1672" t="n">
        <v>8</v>
      </c>
      <c r="G471" s="1344" t="n">
        <f aca="false">C471*D471*E471*F471</f>
        <v>0</v>
      </c>
      <c r="H471" s="1344"/>
      <c r="I471" s="1344"/>
      <c r="J471" s="1344"/>
      <c r="K471" s="1344"/>
      <c r="L471" s="1344"/>
      <c r="M471" s="1344"/>
      <c r="N471" s="1344"/>
      <c r="O471" s="1344"/>
      <c r="P471" s="1707"/>
      <c r="Q471" s="1707"/>
      <c r="R471" s="1707"/>
      <c r="S471" s="1344"/>
      <c r="T471" s="1344"/>
      <c r="U471" s="1753"/>
      <c r="V471" s="1344"/>
      <c r="W471" s="1344"/>
      <c r="X471" s="1344"/>
      <c r="Y471" s="1707"/>
      <c r="Z471" s="1707"/>
      <c r="AA471" s="1344"/>
      <c r="AB471" s="1344"/>
      <c r="AC471" s="1344"/>
      <c r="AD471" s="1344"/>
    </row>
    <row r="472" s="1709" customFormat="true" ht="15.75" hidden="true" customHeight="true" outlineLevel="1" collapsed="false">
      <c r="A472" s="1813" t="str">
        <f aca="false">A430</f>
        <v>Стойка каркаса по фронтону, 1 этаж, односкатная кровля, №1</v>
      </c>
      <c r="B472" s="1814" t="str">
        <f aca="false">B430</f>
        <v>м.п.</v>
      </c>
      <c r="C472" s="1813" t="n">
        <f aca="false">C430</f>
        <v>0.4</v>
      </c>
      <c r="D472" s="1813" t="n">
        <f aca="false">D430</f>
        <v>0.045</v>
      </c>
      <c r="E472" s="1815" t="n">
        <f aca="false">IF('Ввод данных'!A454=связи1!A106,IF('Ввод данных'!A455=связи1!A94,связи1!D572-связи1!D571,0)+IF('Ввод данных'!A455=связи1!A95,0,0)+IF('Ввод данных'!A455=связи1!A96,0,0)+IF('Ввод данных'!A454=связи1!A106,IF('Ввод данных'!A455=связи1!A97,связи1!D572,0),0)+IF('Ввод данных'!A455=связи1!A98,0,0),0)</f>
        <v>0</v>
      </c>
      <c r="F472" s="1815" t="n">
        <f aca="false">F430</f>
        <v>2</v>
      </c>
      <c r="G472" s="1344" t="n">
        <f aca="false">C472*D472*E472*F472</f>
        <v>0</v>
      </c>
      <c r="H472" s="1344"/>
      <c r="I472" s="1344"/>
      <c r="J472" s="1344"/>
      <c r="K472" s="1344"/>
      <c r="L472" s="1344"/>
      <c r="M472" s="1344"/>
      <c r="N472" s="1344"/>
      <c r="O472" s="1344"/>
      <c r="P472" s="1707"/>
      <c r="Q472" s="1707"/>
      <c r="R472" s="1707"/>
      <c r="S472" s="1344"/>
      <c r="T472" s="1344"/>
      <c r="U472" s="1753"/>
      <c r="V472" s="1344"/>
      <c r="W472" s="1344"/>
      <c r="X472" s="1344"/>
      <c r="Y472" s="1707"/>
      <c r="Z472" s="1707"/>
      <c r="AA472" s="1344"/>
      <c r="AB472" s="1344"/>
      <c r="AC472" s="1344"/>
      <c r="AD472" s="1344"/>
    </row>
    <row r="473" s="1709" customFormat="true" ht="15.75" hidden="true" customHeight="true" outlineLevel="1" collapsed="false">
      <c r="A473" s="1813" t="str">
        <f aca="false">A431</f>
        <v>Стойка каркаса по фронтону, 1 этаж, односкатная кровля, №2</v>
      </c>
      <c r="B473" s="1814" t="str">
        <f aca="false">B431</f>
        <v>м.п.</v>
      </c>
      <c r="C473" s="1813" t="n">
        <f aca="false">C431</f>
        <v>0.4</v>
      </c>
      <c r="D473" s="1813" t="n">
        <f aca="false">D431</f>
        <v>0.045</v>
      </c>
      <c r="E473" s="1815" t="n">
        <f aca="false">IF('Ввод данных'!$A$455=связи1!$A$97,IF(дома!E472&lt;связи1!$D$571,0,дома!E472-$D$419),0)+IF(дома!E472=0,0,IF('Ввод данных'!$A$455=связи1!$A$94,IF(дома!E472&lt;0,0,дома!E472-$D$419),0))</f>
        <v>0</v>
      </c>
      <c r="F473" s="1815" t="n">
        <f aca="false">F431</f>
        <v>2</v>
      </c>
      <c r="G473" s="1344" t="n">
        <f aca="false">C473*D473*E473*F473</f>
        <v>0</v>
      </c>
      <c r="H473" s="1344"/>
      <c r="I473" s="1344"/>
      <c r="J473" s="1344"/>
      <c r="K473" s="1344"/>
      <c r="L473" s="1344"/>
      <c r="M473" s="1344"/>
      <c r="N473" s="1344"/>
      <c r="O473" s="1344"/>
      <c r="P473" s="1707"/>
      <c r="Q473" s="1707"/>
      <c r="R473" s="1707"/>
      <c r="S473" s="1344"/>
      <c r="T473" s="1344"/>
      <c r="U473" s="1753"/>
      <c r="V473" s="1344"/>
      <c r="W473" s="1344"/>
      <c r="X473" s="1344"/>
      <c r="Y473" s="1707"/>
      <c r="Z473" s="1707"/>
      <c r="AA473" s="1344"/>
      <c r="AB473" s="1344"/>
      <c r="AC473" s="1344"/>
      <c r="AD473" s="1344"/>
    </row>
    <row r="474" s="1709" customFormat="true" ht="15.75" hidden="true" customHeight="true" outlineLevel="1" collapsed="false">
      <c r="A474" s="1813" t="str">
        <f aca="false">A432</f>
        <v>Стойка каркаса по фронтону, 1 этаж, односкатная кровля, №3</v>
      </c>
      <c r="B474" s="1814" t="str">
        <f aca="false">B432</f>
        <v>м.п.</v>
      </c>
      <c r="C474" s="1813" t="n">
        <f aca="false">C432</f>
        <v>0.4</v>
      </c>
      <c r="D474" s="1813" t="n">
        <f aca="false">D432</f>
        <v>0.045</v>
      </c>
      <c r="E474" s="1815" t="n">
        <f aca="false">IF('Ввод данных'!$A$455=связи1!$A$97,IF(дома!E473&lt;связи1!$D$571,0,дома!E473-$D$419),0)+IF(дома!E473=0,0,IF('Ввод данных'!$A$455=связи1!$A$94,IF(дома!E473&lt;0,0,дома!E473-$D$419),0))</f>
        <v>0</v>
      </c>
      <c r="F474" s="1815" t="n">
        <f aca="false">F432</f>
        <v>2</v>
      </c>
      <c r="G474" s="1344" t="n">
        <f aca="false">C474*D474*E474*F474</f>
        <v>0</v>
      </c>
      <c r="H474" s="1344"/>
      <c r="I474" s="1344"/>
      <c r="J474" s="1344"/>
      <c r="K474" s="1344"/>
      <c r="L474" s="1344"/>
      <c r="M474" s="1344"/>
      <c r="N474" s="1344"/>
      <c r="O474" s="1344"/>
      <c r="P474" s="1707"/>
      <c r="Q474" s="1707"/>
      <c r="R474" s="1707"/>
      <c r="S474" s="1344"/>
      <c r="T474" s="1344"/>
      <c r="U474" s="1753"/>
      <c r="V474" s="1344"/>
      <c r="W474" s="1344"/>
      <c r="X474" s="1344"/>
      <c r="Y474" s="1707"/>
      <c r="Z474" s="1707"/>
      <c r="AA474" s="1344"/>
      <c r="AB474" s="1344"/>
      <c r="AC474" s="1344"/>
      <c r="AD474" s="1344"/>
    </row>
    <row r="475" s="1709" customFormat="true" ht="15.75" hidden="true" customHeight="true" outlineLevel="1" collapsed="false">
      <c r="A475" s="1813" t="str">
        <f aca="false">A433</f>
        <v>Стойка каркаса по фронтону, 1 этаж, односкатная кровля, №4</v>
      </c>
      <c r="B475" s="1814" t="str">
        <f aca="false">B433</f>
        <v>м.п.</v>
      </c>
      <c r="C475" s="1813" t="n">
        <f aca="false">C433</f>
        <v>0.4</v>
      </c>
      <c r="D475" s="1813" t="n">
        <f aca="false">D433</f>
        <v>0.045</v>
      </c>
      <c r="E475" s="1815" t="n">
        <f aca="false">IF('Ввод данных'!$A$455=связи1!$A$97,IF(дома!E474&lt;связи1!$D$571,0,дома!E474-$D$419),0)+IF(дома!E474=0,0,IF('Ввод данных'!$A$455=связи1!$A$94,IF(дома!E474&lt;0,0,дома!E474-$D$419),0))</f>
        <v>0</v>
      </c>
      <c r="F475" s="1815" t="n">
        <f aca="false">F433</f>
        <v>2</v>
      </c>
      <c r="G475" s="1344" t="n">
        <f aca="false">C475*D475*E475*F475</f>
        <v>0</v>
      </c>
      <c r="H475" s="1344"/>
      <c r="I475" s="1344"/>
      <c r="J475" s="1344"/>
      <c r="K475" s="1344"/>
      <c r="L475" s="1344"/>
      <c r="M475" s="1344"/>
      <c r="N475" s="1344"/>
      <c r="O475" s="1344"/>
      <c r="P475" s="1707"/>
      <c r="Q475" s="1707"/>
      <c r="R475" s="1707"/>
      <c r="S475" s="1344"/>
      <c r="T475" s="1344"/>
      <c r="U475" s="1753"/>
      <c r="V475" s="1344"/>
      <c r="W475" s="1344"/>
      <c r="X475" s="1344"/>
      <c r="Y475" s="1707"/>
      <c r="Z475" s="1707"/>
      <c r="AA475" s="1344"/>
      <c r="AB475" s="1344"/>
      <c r="AC475" s="1344"/>
      <c r="AD475" s="1344"/>
    </row>
    <row r="476" s="1709" customFormat="true" ht="15.75" hidden="true" customHeight="true" outlineLevel="1" collapsed="false">
      <c r="A476" s="1813" t="str">
        <f aca="false">A434</f>
        <v>Стойка каркаса по фронтону, 1 этаж, односкатная кровля, №5</v>
      </c>
      <c r="B476" s="1814" t="str">
        <f aca="false">B434</f>
        <v>м.п.</v>
      </c>
      <c r="C476" s="1813" t="n">
        <f aca="false">C434</f>
        <v>0.4</v>
      </c>
      <c r="D476" s="1813" t="n">
        <f aca="false">D434</f>
        <v>0.045</v>
      </c>
      <c r="E476" s="1815" t="n">
        <f aca="false">IF('Ввод данных'!$A$455=связи1!$A$97,IF(дома!E475&lt;связи1!$D$571,0,дома!E475-$D$419),0)+IF(дома!E475=0,0,IF('Ввод данных'!$A$455=связи1!$A$94,IF(дома!E475&lt;0,0,дома!E475-$D$419),0))</f>
        <v>0</v>
      </c>
      <c r="F476" s="1815" t="n">
        <f aca="false">F434</f>
        <v>2</v>
      </c>
      <c r="G476" s="1344" t="n">
        <f aca="false">C476*D476*E476*F476</f>
        <v>0</v>
      </c>
      <c r="H476" s="1344"/>
      <c r="I476" s="1344"/>
      <c r="J476" s="1344"/>
      <c r="K476" s="1344"/>
      <c r="L476" s="1344"/>
      <c r="M476" s="1344"/>
      <c r="N476" s="1344"/>
      <c r="O476" s="1344"/>
      <c r="P476" s="1707"/>
      <c r="Q476" s="1707"/>
      <c r="R476" s="1707"/>
      <c r="S476" s="1344"/>
      <c r="T476" s="1344"/>
      <c r="U476" s="1753"/>
      <c r="V476" s="1344"/>
      <c r="W476" s="1344"/>
      <c r="X476" s="1344"/>
      <c r="Y476" s="1707"/>
      <c r="Z476" s="1707"/>
      <c r="AA476" s="1344"/>
      <c r="AB476" s="1344"/>
      <c r="AC476" s="1344"/>
      <c r="AD476" s="1344"/>
    </row>
    <row r="477" s="1709" customFormat="true" ht="15.75" hidden="true" customHeight="true" outlineLevel="1" collapsed="false">
      <c r="A477" s="1813" t="str">
        <f aca="false">A435</f>
        <v>Стойка каркаса по фронтону, 1 этаж, односкатная кровля, №6</v>
      </c>
      <c r="B477" s="1814" t="str">
        <f aca="false">B435</f>
        <v>м.п.</v>
      </c>
      <c r="C477" s="1813" t="n">
        <f aca="false">C435</f>
        <v>0.4</v>
      </c>
      <c r="D477" s="1813" t="n">
        <f aca="false">D435</f>
        <v>0.045</v>
      </c>
      <c r="E477" s="1815" t="n">
        <f aca="false">IF('Ввод данных'!$A$455=связи1!$A$97,IF(дома!E476&lt;связи1!$D$571,0,дома!E476-$D$419),0)+IF(дома!E476=0,0,IF('Ввод данных'!$A$455=связи1!$A$94,IF(дома!E476&lt;0,0,дома!E476-$D$419),0))</f>
        <v>0</v>
      </c>
      <c r="F477" s="1815" t="n">
        <f aca="false">F435</f>
        <v>2</v>
      </c>
      <c r="G477" s="1344" t="n">
        <f aca="false">C477*D477*E477*F477</f>
        <v>0</v>
      </c>
      <c r="H477" s="1344"/>
      <c r="I477" s="1344"/>
      <c r="J477" s="1344"/>
      <c r="K477" s="1344"/>
      <c r="L477" s="1344"/>
      <c r="M477" s="1344"/>
      <c r="N477" s="1344"/>
      <c r="O477" s="1344"/>
      <c r="P477" s="1707"/>
      <c r="Q477" s="1707"/>
      <c r="R477" s="1707"/>
      <c r="S477" s="1344"/>
      <c r="T477" s="1344"/>
      <c r="U477" s="1753"/>
      <c r="V477" s="1344"/>
      <c r="W477" s="1344"/>
      <c r="X477" s="1344"/>
      <c r="Y477" s="1707"/>
      <c r="Z477" s="1707"/>
      <c r="AA477" s="1344"/>
      <c r="AB477" s="1344"/>
      <c r="AC477" s="1344"/>
      <c r="AD477" s="1344"/>
    </row>
    <row r="478" s="1709" customFormat="true" ht="15.75" hidden="true" customHeight="true" outlineLevel="1" collapsed="false">
      <c r="A478" s="1813" t="str">
        <f aca="false">A436</f>
        <v>Стойка каркаса по фронтону, 1 этаж, односкатная кровля, №7</v>
      </c>
      <c r="B478" s="1814" t="str">
        <f aca="false">B436</f>
        <v>м.п.</v>
      </c>
      <c r="C478" s="1813" t="n">
        <f aca="false">C436</f>
        <v>0.4</v>
      </c>
      <c r="D478" s="1813" t="n">
        <f aca="false">D436</f>
        <v>0.045</v>
      </c>
      <c r="E478" s="1815" t="n">
        <f aca="false">IF('Ввод данных'!$A$455=связи1!$A$97,IF(дома!E477&lt;связи1!$D$571,0,дома!E477-$D$419),0)+IF(дома!E477=0,0,IF('Ввод данных'!$A$455=связи1!$A$94,IF(дома!E477&lt;0,0,дома!E477-$D$419),0))</f>
        <v>0</v>
      </c>
      <c r="F478" s="1815" t="n">
        <f aca="false">F436</f>
        <v>2</v>
      </c>
      <c r="G478" s="1344" t="n">
        <f aca="false">C478*D478*E478*F478</f>
        <v>0</v>
      </c>
      <c r="H478" s="1344"/>
      <c r="I478" s="1344"/>
      <c r="J478" s="1344"/>
      <c r="K478" s="1344"/>
      <c r="L478" s="1344"/>
      <c r="M478" s="1344"/>
      <c r="N478" s="1344"/>
      <c r="O478" s="1344"/>
      <c r="P478" s="1707"/>
      <c r="Q478" s="1707"/>
      <c r="R478" s="1707"/>
      <c r="S478" s="1344"/>
      <c r="T478" s="1344"/>
      <c r="U478" s="1753"/>
      <c r="V478" s="1344"/>
      <c r="W478" s="1344"/>
      <c r="X478" s="1344"/>
      <c r="Y478" s="1707"/>
      <c r="Z478" s="1707"/>
      <c r="AA478" s="1344"/>
      <c r="AB478" s="1344"/>
      <c r="AC478" s="1344"/>
      <c r="AD478" s="1344"/>
    </row>
    <row r="479" s="1709" customFormat="true" ht="15.75" hidden="true" customHeight="true" outlineLevel="1" collapsed="false">
      <c r="A479" s="1813" t="str">
        <f aca="false">A437</f>
        <v>Стойка каркаса по фронтону, 1 этаж, односкатная кровля, №8</v>
      </c>
      <c r="B479" s="1814" t="str">
        <f aca="false">B437</f>
        <v>м.п.</v>
      </c>
      <c r="C479" s="1813" t="n">
        <f aca="false">C437</f>
        <v>0.4</v>
      </c>
      <c r="D479" s="1813" t="n">
        <f aca="false">D437</f>
        <v>0.045</v>
      </c>
      <c r="E479" s="1815" t="n">
        <f aca="false">IF('Ввод данных'!$A$455=связи1!$A$97,IF(дома!E478&lt;связи1!$D$571,0,дома!E478-$D$419),0)+IF(дома!E478=0,0,IF('Ввод данных'!$A$455=связи1!$A$94,IF(дома!E478&lt;0,0,дома!E478-$D$419),0))</f>
        <v>0</v>
      </c>
      <c r="F479" s="1815" t="n">
        <f aca="false">F437</f>
        <v>2</v>
      </c>
      <c r="G479" s="1344" t="n">
        <f aca="false">C479*D479*E479*F479</f>
        <v>0</v>
      </c>
      <c r="H479" s="1344"/>
      <c r="I479" s="1344"/>
      <c r="J479" s="1344"/>
      <c r="K479" s="1344"/>
      <c r="L479" s="1344"/>
      <c r="M479" s="1344"/>
      <c r="N479" s="1344"/>
      <c r="O479" s="1344"/>
      <c r="P479" s="1707"/>
      <c r="Q479" s="1707"/>
      <c r="R479" s="1707"/>
      <c r="S479" s="1344"/>
      <c r="T479" s="1344"/>
      <c r="U479" s="1753"/>
      <c r="V479" s="1344"/>
      <c r="W479" s="1344"/>
      <c r="X479" s="1344"/>
      <c r="Y479" s="1707"/>
      <c r="Z479" s="1707"/>
      <c r="AA479" s="1344"/>
      <c r="AB479" s="1344"/>
      <c r="AC479" s="1344"/>
      <c r="AD479" s="1344"/>
    </row>
    <row r="480" s="1709" customFormat="true" ht="15.75" hidden="true" customHeight="true" outlineLevel="1" collapsed="false">
      <c r="A480" s="1813" t="str">
        <f aca="false">A438</f>
        <v>Стойка каркаса по фронтону, 1 этаж, односкатная кровля, №9</v>
      </c>
      <c r="B480" s="1814" t="str">
        <f aca="false">B438</f>
        <v>м.п.</v>
      </c>
      <c r="C480" s="1813" t="n">
        <f aca="false">C438</f>
        <v>0.4</v>
      </c>
      <c r="D480" s="1813" t="n">
        <f aca="false">D438</f>
        <v>0.045</v>
      </c>
      <c r="E480" s="1815" t="n">
        <f aca="false">IF('Ввод данных'!$A$455=связи1!$A$97,IF(дома!E479&lt;связи1!$D$571,0,дома!E479-$D$419),0)+IF(дома!E479=0,0,IF('Ввод данных'!$A$455=связи1!$A$94,IF(дома!E479&lt;0,0,дома!E479-$D$419),0))</f>
        <v>0</v>
      </c>
      <c r="F480" s="1815" t="n">
        <f aca="false">F438</f>
        <v>2</v>
      </c>
      <c r="G480" s="1344" t="n">
        <f aca="false">C480*D480*E480*F480</f>
        <v>0</v>
      </c>
      <c r="H480" s="1344"/>
      <c r="I480" s="1344"/>
      <c r="J480" s="1344"/>
      <c r="K480" s="1344"/>
      <c r="L480" s="1344"/>
      <c r="M480" s="1344"/>
      <c r="N480" s="1344"/>
      <c r="O480" s="1344"/>
      <c r="P480" s="1707"/>
      <c r="Q480" s="1707"/>
      <c r="R480" s="1707"/>
      <c r="S480" s="1344"/>
      <c r="T480" s="1344"/>
      <c r="U480" s="1753"/>
      <c r="V480" s="1344"/>
      <c r="W480" s="1344"/>
      <c r="X480" s="1344"/>
      <c r="Y480" s="1707"/>
      <c r="Z480" s="1707"/>
      <c r="AA480" s="1344"/>
      <c r="AB480" s="1344"/>
      <c r="AC480" s="1344"/>
      <c r="AD480" s="1344"/>
    </row>
    <row r="481" s="1709" customFormat="true" ht="15.75" hidden="true" customHeight="true" outlineLevel="1" collapsed="false">
      <c r="A481" s="1813" t="str">
        <f aca="false">A439</f>
        <v>Стойка каркаса по фронтону, 1 этаж, односкатная кровля, №10</v>
      </c>
      <c r="B481" s="1814" t="str">
        <f aca="false">B439</f>
        <v>м.п.</v>
      </c>
      <c r="C481" s="1813" t="n">
        <f aca="false">C439</f>
        <v>0.4</v>
      </c>
      <c r="D481" s="1813" t="n">
        <f aca="false">D439</f>
        <v>0.045</v>
      </c>
      <c r="E481" s="1815" t="n">
        <f aca="false">IF('Ввод данных'!$A$455=связи1!$A$97,IF(дома!E480&lt;связи1!$D$571,0,дома!E480-$D$419),0)+IF(дома!E480=0,0,IF('Ввод данных'!$A$455=связи1!$A$94,IF(дома!E480&lt;0,0,дома!E480-$D$419),0))</f>
        <v>0</v>
      </c>
      <c r="F481" s="1815" t="n">
        <f aca="false">F439</f>
        <v>2</v>
      </c>
      <c r="G481" s="1344" t="n">
        <f aca="false">C481*D481*E481*F481</f>
        <v>0</v>
      </c>
      <c r="H481" s="1344"/>
      <c r="I481" s="1344"/>
      <c r="J481" s="1344"/>
      <c r="K481" s="1344"/>
      <c r="L481" s="1344"/>
      <c r="M481" s="1344"/>
      <c r="N481" s="1344"/>
      <c r="O481" s="1344"/>
      <c r="P481" s="1707"/>
      <c r="Q481" s="1707"/>
      <c r="R481" s="1707"/>
      <c r="S481" s="1344"/>
      <c r="T481" s="1344"/>
      <c r="U481" s="1753"/>
      <c r="V481" s="1344"/>
      <c r="W481" s="1344"/>
      <c r="X481" s="1344"/>
      <c r="Y481" s="1707"/>
      <c r="Z481" s="1707"/>
      <c r="AA481" s="1344"/>
      <c r="AB481" s="1344"/>
      <c r="AC481" s="1344"/>
      <c r="AD481" s="1344"/>
    </row>
    <row r="482" s="1709" customFormat="true" ht="15.75" hidden="true" customHeight="true" outlineLevel="1" collapsed="false">
      <c r="A482" s="1813" t="str">
        <f aca="false">A440</f>
        <v>Стойка каркаса по фронтону, 1 этаж, односкатная кровля, №11</v>
      </c>
      <c r="B482" s="1814" t="str">
        <f aca="false">B440</f>
        <v>м.п.</v>
      </c>
      <c r="C482" s="1813" t="n">
        <f aca="false">C440</f>
        <v>0.4</v>
      </c>
      <c r="D482" s="1813" t="n">
        <f aca="false">D440</f>
        <v>0.045</v>
      </c>
      <c r="E482" s="1815" t="n">
        <f aca="false">IF('Ввод данных'!$A$455=связи1!$A$97,IF(дома!E481&lt;связи1!$D$571,0,дома!E481-$D$419),0)+IF(дома!E481=0,0,IF('Ввод данных'!$A$455=связи1!$A$94,IF(дома!E481&lt;0,0,дома!E481-$D$419),0))</f>
        <v>0</v>
      </c>
      <c r="F482" s="1815" t="n">
        <f aca="false">F440</f>
        <v>2</v>
      </c>
      <c r="G482" s="1344" t="n">
        <f aca="false">C482*D482*E482*F482</f>
        <v>0</v>
      </c>
      <c r="H482" s="1344"/>
      <c r="I482" s="1344"/>
      <c r="J482" s="1344"/>
      <c r="K482" s="1344"/>
      <c r="L482" s="1344"/>
      <c r="M482" s="1344"/>
      <c r="N482" s="1344"/>
      <c r="O482" s="1344"/>
      <c r="P482" s="1707"/>
      <c r="Q482" s="1707"/>
      <c r="R482" s="1707"/>
      <c r="S482" s="1344"/>
      <c r="T482" s="1344"/>
      <c r="U482" s="1753"/>
      <c r="V482" s="1344"/>
      <c r="W482" s="1344"/>
      <c r="X482" s="1344"/>
      <c r="Y482" s="1707"/>
      <c r="Z482" s="1707"/>
      <c r="AA482" s="1344"/>
      <c r="AB482" s="1344"/>
      <c r="AC482" s="1344"/>
      <c r="AD482" s="1344"/>
    </row>
    <row r="483" s="1709" customFormat="true" ht="15.75" hidden="true" customHeight="true" outlineLevel="1" collapsed="false">
      <c r="A483" s="1813" t="str">
        <f aca="false">A441</f>
        <v>Стойка каркаса по фронтону, 1 этаж, односкатная кровля, №12</v>
      </c>
      <c r="B483" s="1814" t="str">
        <f aca="false">B441</f>
        <v>м.п.</v>
      </c>
      <c r="C483" s="1813" t="n">
        <f aca="false">C441</f>
        <v>0.4</v>
      </c>
      <c r="D483" s="1813" t="n">
        <f aca="false">D441</f>
        <v>0.045</v>
      </c>
      <c r="E483" s="1815" t="n">
        <f aca="false">IF('Ввод данных'!$A$455=связи1!$A$97,IF(дома!E482&lt;связи1!$D$571,0,дома!E482-$D$419),0)+IF(дома!E482=0,0,IF('Ввод данных'!$A$455=связи1!$A$94,IF(дома!E482&lt;0,0,дома!E482-$D$419),0))</f>
        <v>0</v>
      </c>
      <c r="F483" s="1815" t="n">
        <f aca="false">F441</f>
        <v>2</v>
      </c>
      <c r="G483" s="1344" t="n">
        <f aca="false">C483*D483*E483*F483</f>
        <v>0</v>
      </c>
      <c r="H483" s="1344"/>
      <c r="I483" s="1344"/>
      <c r="J483" s="1344"/>
      <c r="K483" s="1344"/>
      <c r="L483" s="1344"/>
      <c r="M483" s="1344"/>
      <c r="N483" s="1344"/>
      <c r="O483" s="1344"/>
      <c r="P483" s="1707"/>
      <c r="Q483" s="1707"/>
      <c r="R483" s="1707"/>
      <c r="S483" s="1344"/>
      <c r="T483" s="1344"/>
      <c r="U483" s="1753"/>
      <c r="V483" s="1344"/>
      <c r="W483" s="1344"/>
      <c r="X483" s="1344"/>
      <c r="Y483" s="1707"/>
      <c r="Z483" s="1707"/>
      <c r="AA483" s="1344"/>
      <c r="AB483" s="1344"/>
      <c r="AC483" s="1344"/>
      <c r="AD483" s="1344"/>
    </row>
    <row r="484" s="1709" customFormat="true" ht="15.75" hidden="true" customHeight="true" outlineLevel="1" collapsed="false">
      <c r="A484" s="1813" t="str">
        <f aca="false">A442</f>
        <v>Стойка каркаса по фронтону, 1 этаж, односкатная кровля, №13</v>
      </c>
      <c r="B484" s="1814" t="str">
        <f aca="false">B442</f>
        <v>м.п.</v>
      </c>
      <c r="C484" s="1813" t="n">
        <f aca="false">C442</f>
        <v>0.4</v>
      </c>
      <c r="D484" s="1813" t="n">
        <f aca="false">D442</f>
        <v>0.045</v>
      </c>
      <c r="E484" s="1815" t="n">
        <f aca="false">IF('Ввод данных'!$A$455=связи1!$A$97,IF(дома!E483&lt;связи1!$D$571,0,дома!E483-$D$419),0)+IF(дома!E483=0,0,IF('Ввод данных'!$A$455=связи1!$A$94,IF(дома!E483&lt;0,0,дома!E483-$D$419),0))</f>
        <v>0</v>
      </c>
      <c r="F484" s="1815" t="n">
        <f aca="false">F442</f>
        <v>2</v>
      </c>
      <c r="G484" s="1344" t="n">
        <f aca="false">C484*D484*E484*F484</f>
        <v>0</v>
      </c>
      <c r="H484" s="1344"/>
      <c r="I484" s="1344"/>
      <c r="J484" s="1344"/>
      <c r="K484" s="1344"/>
      <c r="L484" s="1344"/>
      <c r="M484" s="1344"/>
      <c r="N484" s="1344"/>
      <c r="O484" s="1344"/>
      <c r="P484" s="1707"/>
      <c r="Q484" s="1707"/>
      <c r="R484" s="1707"/>
      <c r="S484" s="1344"/>
      <c r="T484" s="1344"/>
      <c r="U484" s="1753"/>
      <c r="V484" s="1344"/>
      <c r="W484" s="1344"/>
      <c r="X484" s="1344"/>
      <c r="Y484" s="1707"/>
      <c r="Z484" s="1707"/>
      <c r="AA484" s="1344"/>
      <c r="AB484" s="1344"/>
      <c r="AC484" s="1344"/>
      <c r="AD484" s="1344"/>
    </row>
    <row r="485" s="1709" customFormat="true" ht="15.75" hidden="true" customHeight="true" outlineLevel="1" collapsed="false">
      <c r="A485" s="1813" t="str">
        <f aca="false">A443</f>
        <v>Стойка каркаса по фронтону, 1 этаж, односкатная кровля, №14</v>
      </c>
      <c r="B485" s="1814" t="str">
        <f aca="false">B443</f>
        <v>м.п.</v>
      </c>
      <c r="C485" s="1813" t="n">
        <f aca="false">C443</f>
        <v>0.4</v>
      </c>
      <c r="D485" s="1813" t="n">
        <f aca="false">D443</f>
        <v>0.045</v>
      </c>
      <c r="E485" s="1815" t="n">
        <f aca="false">IF('Ввод данных'!$A$455=связи1!$A$97,IF(дома!E484&lt;связи1!$D$571,0,дома!E484-$D$419),0)+IF(дома!E484=0,0,IF('Ввод данных'!$A$455=связи1!$A$94,IF(дома!E484&lt;0,0,дома!E484-$D$419),0))</f>
        <v>0</v>
      </c>
      <c r="F485" s="1815" t="n">
        <f aca="false">F443</f>
        <v>2</v>
      </c>
      <c r="G485" s="1344" t="n">
        <f aca="false">C485*D485*E485*F485</f>
        <v>0</v>
      </c>
      <c r="H485" s="1344"/>
      <c r="I485" s="1344"/>
      <c r="J485" s="1344"/>
      <c r="K485" s="1344"/>
      <c r="L485" s="1344"/>
      <c r="M485" s="1344"/>
      <c r="N485" s="1344"/>
      <c r="O485" s="1344"/>
      <c r="P485" s="1707"/>
      <c r="Q485" s="1707"/>
      <c r="R485" s="1707"/>
      <c r="S485" s="1344"/>
      <c r="T485" s="1344"/>
      <c r="U485" s="1753"/>
      <c r="V485" s="1344"/>
      <c r="W485" s="1344"/>
      <c r="X485" s="1344"/>
      <c r="Y485" s="1707"/>
      <c r="Z485" s="1707"/>
      <c r="AA485" s="1344"/>
      <c r="AB485" s="1344"/>
      <c r="AC485" s="1344"/>
      <c r="AD485" s="1344"/>
    </row>
    <row r="486" s="1709" customFormat="true" ht="15.75" hidden="true" customHeight="true" outlineLevel="1" collapsed="false">
      <c r="A486" s="1813" t="str">
        <f aca="false">A444</f>
        <v>Стойка каркаса по фронтону, 1 этаж, односкатная кровля, №15</v>
      </c>
      <c r="B486" s="1814" t="str">
        <f aca="false">B444</f>
        <v>м.п.</v>
      </c>
      <c r="C486" s="1813" t="n">
        <f aca="false">C444</f>
        <v>0.4</v>
      </c>
      <c r="D486" s="1813" t="n">
        <f aca="false">D444</f>
        <v>0.045</v>
      </c>
      <c r="E486" s="1815" t="n">
        <f aca="false">IF('Ввод данных'!$A$455=связи1!$A$97,IF(дома!E485&lt;связи1!$D$571,0,дома!E485-$D$419),0)+IF(дома!E485=0,0,IF('Ввод данных'!$A$455=связи1!$A$94,IF(дома!E485&lt;0,0,дома!E485-$D$419),0))</f>
        <v>0</v>
      </c>
      <c r="F486" s="1815" t="n">
        <f aca="false">F444</f>
        <v>2</v>
      </c>
      <c r="G486" s="1344" t="n">
        <f aca="false">C486*D486*E486*F486</f>
        <v>0</v>
      </c>
      <c r="H486" s="1344"/>
      <c r="I486" s="1344"/>
      <c r="J486" s="1344"/>
      <c r="K486" s="1344"/>
      <c r="L486" s="1344"/>
      <c r="M486" s="1344"/>
      <c r="N486" s="1344"/>
      <c r="O486" s="1344"/>
      <c r="P486" s="1707"/>
      <c r="Q486" s="1707"/>
      <c r="R486" s="1707"/>
      <c r="S486" s="1344"/>
      <c r="T486" s="1344"/>
      <c r="U486" s="1753"/>
      <c r="V486" s="1344"/>
      <c r="W486" s="1344"/>
      <c r="X486" s="1344"/>
      <c r="Y486" s="1707"/>
      <c r="Z486" s="1707"/>
      <c r="AA486" s="1344"/>
      <c r="AB486" s="1344"/>
      <c r="AC486" s="1344"/>
      <c r="AD486" s="1344"/>
    </row>
    <row r="487" s="1709" customFormat="true" ht="15.75" hidden="true" customHeight="true" outlineLevel="1" collapsed="false">
      <c r="A487" s="1813" t="str">
        <f aca="false">A445</f>
        <v>Стойка каркаса по фронтону, 1 этаж, односкатная кровля, №16</v>
      </c>
      <c r="B487" s="1814" t="str">
        <f aca="false">B445</f>
        <v>м.п.</v>
      </c>
      <c r="C487" s="1813" t="n">
        <f aca="false">C445</f>
        <v>0.4</v>
      </c>
      <c r="D487" s="1813" t="n">
        <f aca="false">D445</f>
        <v>0.045</v>
      </c>
      <c r="E487" s="1815" t="n">
        <f aca="false">IF('Ввод данных'!$A$455=связи1!$A$97,IF(дома!E486&lt;связи1!$D$571,0,дома!E486-$D$419),0)+IF(дома!E486=0,0,IF('Ввод данных'!$A$455=связи1!$A$94,IF(дома!E486&lt;0,0,дома!E486-$D$419),0))</f>
        <v>0</v>
      </c>
      <c r="F487" s="1815" t="n">
        <f aca="false">F445</f>
        <v>2</v>
      </c>
      <c r="G487" s="1344" t="n">
        <f aca="false">C487*D487*E487*F487</f>
        <v>0</v>
      </c>
      <c r="H487" s="1344"/>
      <c r="I487" s="1344"/>
      <c r="J487" s="1344"/>
      <c r="K487" s="1344"/>
      <c r="L487" s="1344"/>
      <c r="M487" s="1344"/>
      <c r="N487" s="1344"/>
      <c r="O487" s="1344"/>
      <c r="P487" s="1707"/>
      <c r="Q487" s="1707"/>
      <c r="R487" s="1707"/>
      <c r="S487" s="1344"/>
      <c r="T487" s="1344"/>
      <c r="U487" s="1753"/>
      <c r="V487" s="1344"/>
      <c r="W487" s="1344"/>
      <c r="X487" s="1344"/>
      <c r="Y487" s="1707"/>
      <c r="Z487" s="1707"/>
      <c r="AA487" s="1344"/>
      <c r="AB487" s="1344"/>
      <c r="AC487" s="1344"/>
      <c r="AD487" s="1344"/>
    </row>
    <row r="488" s="1709" customFormat="true" ht="15.75" hidden="true" customHeight="true" outlineLevel="1" collapsed="false">
      <c r="A488" s="1813" t="str">
        <f aca="false">A446</f>
        <v>Стойка каркаса по фронтону, 1 этаж, односкатная кровля, №17</v>
      </c>
      <c r="B488" s="1814" t="str">
        <f aca="false">B446</f>
        <v>м.п.</v>
      </c>
      <c r="C488" s="1813" t="n">
        <f aca="false">C446</f>
        <v>0.4</v>
      </c>
      <c r="D488" s="1813" t="n">
        <f aca="false">D446</f>
        <v>0.045</v>
      </c>
      <c r="E488" s="1815" t="n">
        <f aca="false">IF('Ввод данных'!$A$455=связи1!$A$97,IF(дома!E487&lt;связи1!$D$571,0,дома!E487-$D$419),0)+IF(дома!E487=0,0,IF('Ввод данных'!$A$455=связи1!$A$94,IF(дома!E487&lt;0,0,дома!E487-$D$419),0))</f>
        <v>0</v>
      </c>
      <c r="F488" s="1815" t="n">
        <f aca="false">F446</f>
        <v>2</v>
      </c>
      <c r="G488" s="1344" t="n">
        <f aca="false">C488*D488*E488*F488</f>
        <v>0</v>
      </c>
      <c r="H488" s="1344"/>
      <c r="I488" s="1344"/>
      <c r="J488" s="1344"/>
      <c r="K488" s="1344"/>
      <c r="L488" s="1344"/>
      <c r="M488" s="1344"/>
      <c r="N488" s="1344"/>
      <c r="O488" s="1344"/>
      <c r="P488" s="1707"/>
      <c r="Q488" s="1707"/>
      <c r="R488" s="1707"/>
      <c r="S488" s="1344"/>
      <c r="T488" s="1344"/>
      <c r="U488" s="1753"/>
      <c r="V488" s="1344"/>
      <c r="W488" s="1344"/>
      <c r="X488" s="1344"/>
      <c r="Y488" s="1707"/>
      <c r="Z488" s="1707"/>
      <c r="AA488" s="1344"/>
      <c r="AB488" s="1344"/>
      <c r="AC488" s="1344"/>
      <c r="AD488" s="1344"/>
    </row>
    <row r="489" s="1709" customFormat="true" ht="15.75" hidden="true" customHeight="true" outlineLevel="1" collapsed="false">
      <c r="A489" s="1816" t="str">
        <f aca="false">A447</f>
        <v>Стойка каркаса по фронтону, 1 этаж, двускатная кровля, №1</v>
      </c>
      <c r="B489" s="1817" t="str">
        <f aca="false">B447</f>
        <v>м.п.</v>
      </c>
      <c r="C489" s="1816" t="n">
        <f aca="false">C447</f>
        <v>0.4</v>
      </c>
      <c r="D489" s="1816" t="n">
        <f aca="false">D447</f>
        <v>0.045</v>
      </c>
      <c r="E489" s="1818" t="n">
        <f aca="false">IF('Ввод данных'!A454=связи1!A107,IF('Ввод данных'!A455=связи1!A94,связи1!D572-связи1!D571,0)+IF('Ввод данных'!A455=связи1!A95,0,0)+IF('Ввод данных'!A455=связи1!A96,0,0)+IF('Ввод данных'!A454=связи1!A107,IF('Ввод данных'!A455=связи1!A97,связи1!D572,0),0)+IF('Ввод данных'!A455=связи1!A98,0,0),0)</f>
        <v>0</v>
      </c>
      <c r="F489" s="1818" t="n">
        <f aca="false">F447</f>
        <v>2</v>
      </c>
      <c r="G489" s="1344" t="n">
        <f aca="false">C489*D489*E489*F489</f>
        <v>0</v>
      </c>
      <c r="H489" s="1344"/>
      <c r="I489" s="1344"/>
      <c r="J489" s="1344"/>
      <c r="K489" s="1344"/>
      <c r="L489" s="1344"/>
      <c r="M489" s="1344"/>
      <c r="N489" s="1344"/>
      <c r="O489" s="1344"/>
      <c r="P489" s="1707"/>
      <c r="Q489" s="1707"/>
      <c r="R489" s="1707"/>
      <c r="S489" s="1344"/>
      <c r="T489" s="1344"/>
      <c r="U489" s="1753"/>
      <c r="V489" s="1344"/>
      <c r="W489" s="1344"/>
      <c r="X489" s="1344"/>
      <c r="Y489" s="1707"/>
      <c r="Z489" s="1707"/>
      <c r="AA489" s="1344"/>
      <c r="AB489" s="1344"/>
      <c r="AC489" s="1344"/>
      <c r="AD489" s="1344"/>
    </row>
    <row r="490" s="1709" customFormat="true" ht="15.75" hidden="true" customHeight="true" outlineLevel="1" collapsed="false">
      <c r="A490" s="1816" t="str">
        <f aca="false">A448</f>
        <v>Стойка каркаса по фронтону, 1 этаж, двускатная кровля, №2</v>
      </c>
      <c r="B490" s="1817" t="str">
        <f aca="false">B448</f>
        <v>м.п.</v>
      </c>
      <c r="C490" s="1816" t="n">
        <f aca="false">C448</f>
        <v>0.4</v>
      </c>
      <c r="D490" s="1816" t="n">
        <f aca="false">D448</f>
        <v>0.045</v>
      </c>
      <c r="E490" s="1818" t="n">
        <f aca="false">IF('Ввод данных'!$A$455=связи1!$A$97,IF(дома!E489&lt;связи1!$D$571,0,дома!E489-$D$419),0)+IF(дома!E489&lt;=0,0,IF('Ввод данных'!$A$455=связи1!$A$94,IF(дома!E489&lt;0,0,дома!E489-$D$419),0))</f>
        <v>0</v>
      </c>
      <c r="F490" s="1818" t="n">
        <f aca="false">F448</f>
        <v>2</v>
      </c>
      <c r="G490" s="1344" t="n">
        <f aca="false">C490*D490*E490*F490</f>
        <v>0</v>
      </c>
      <c r="H490" s="1344"/>
      <c r="I490" s="1344"/>
      <c r="J490" s="1344"/>
      <c r="K490" s="1344"/>
      <c r="L490" s="1344"/>
      <c r="M490" s="1344"/>
      <c r="N490" s="1344"/>
      <c r="O490" s="1344"/>
      <c r="P490" s="1707"/>
      <c r="Q490" s="1707"/>
      <c r="R490" s="1707"/>
      <c r="S490" s="1344"/>
      <c r="T490" s="1344"/>
      <c r="U490" s="1753"/>
      <c r="V490" s="1344"/>
      <c r="W490" s="1344"/>
      <c r="X490" s="1344"/>
      <c r="Y490" s="1707"/>
      <c r="Z490" s="1707"/>
      <c r="AA490" s="1344"/>
      <c r="AB490" s="1344"/>
      <c r="AC490" s="1344"/>
      <c r="AD490" s="1344"/>
    </row>
    <row r="491" s="1709" customFormat="true" ht="15.75" hidden="true" customHeight="true" outlineLevel="1" collapsed="false">
      <c r="A491" s="1816" t="str">
        <f aca="false">A449</f>
        <v>Стойка каркаса по фронтону, 1 этаж, двускатная кровля, №3</v>
      </c>
      <c r="B491" s="1817" t="str">
        <f aca="false">B449</f>
        <v>м.п.</v>
      </c>
      <c r="C491" s="1816" t="n">
        <f aca="false">C449</f>
        <v>0.4</v>
      </c>
      <c r="D491" s="1816" t="n">
        <f aca="false">D449</f>
        <v>0.045</v>
      </c>
      <c r="E491" s="1818" t="n">
        <f aca="false">IF('Ввод данных'!$A$455=связи1!$A$97,IF(дома!E490&lt;связи1!$D$571,0,дома!E490-$D$419),0)+IF(дома!E490&lt;=0,0,IF('Ввод данных'!$A$455=связи1!$A$94,IF(дома!E490&lt;0,0,дома!E490-$D$419),0))</f>
        <v>0</v>
      </c>
      <c r="F491" s="1818" t="n">
        <f aca="false">F449</f>
        <v>2</v>
      </c>
      <c r="G491" s="1344" t="n">
        <f aca="false">C491*D491*E491*F491</f>
        <v>0</v>
      </c>
      <c r="H491" s="1344"/>
      <c r="I491" s="1344"/>
      <c r="J491" s="1344"/>
      <c r="K491" s="1344"/>
      <c r="L491" s="1344"/>
      <c r="M491" s="1344"/>
      <c r="N491" s="1344"/>
      <c r="O491" s="1344"/>
      <c r="P491" s="1707"/>
      <c r="Q491" s="1707"/>
      <c r="R491" s="1707"/>
      <c r="S491" s="1344"/>
      <c r="T491" s="1344"/>
      <c r="U491" s="1753"/>
      <c r="V491" s="1344"/>
      <c r="W491" s="1344"/>
      <c r="X491" s="1344"/>
      <c r="Y491" s="1707"/>
      <c r="Z491" s="1707"/>
      <c r="AA491" s="1344"/>
      <c r="AB491" s="1344"/>
      <c r="AC491" s="1344"/>
      <c r="AD491" s="1344"/>
    </row>
    <row r="492" s="1709" customFormat="true" ht="15.75" hidden="true" customHeight="true" outlineLevel="1" collapsed="false">
      <c r="A492" s="1816" t="str">
        <f aca="false">A450</f>
        <v>Стойка каркаса по фронтону, 1 этаж, двускатная кровля, №4</v>
      </c>
      <c r="B492" s="1817" t="str">
        <f aca="false">B450</f>
        <v>м.п.</v>
      </c>
      <c r="C492" s="1816" t="n">
        <f aca="false">C450</f>
        <v>0.4</v>
      </c>
      <c r="D492" s="1816" t="n">
        <f aca="false">D450</f>
        <v>0.045</v>
      </c>
      <c r="E492" s="1818" t="n">
        <f aca="false">IF('Ввод данных'!$A$455=связи1!$A$97,IF(дома!E491&lt;связи1!$D$571,0,дома!E491-$D$419),0)+IF(дома!E491&lt;=0,0,IF('Ввод данных'!$A$455=связи1!$A$94,IF(дома!E491&lt;0,0,дома!E491-$D$419),0))</f>
        <v>0</v>
      </c>
      <c r="F492" s="1818" t="n">
        <f aca="false">F450</f>
        <v>2</v>
      </c>
      <c r="G492" s="1344" t="n">
        <f aca="false">C492*D492*E492*F492</f>
        <v>0</v>
      </c>
      <c r="H492" s="1344"/>
      <c r="I492" s="1344"/>
      <c r="J492" s="1344"/>
      <c r="K492" s="1344"/>
      <c r="L492" s="1344"/>
      <c r="M492" s="1344"/>
      <c r="N492" s="1344"/>
      <c r="O492" s="1344"/>
      <c r="P492" s="1707"/>
      <c r="Q492" s="1707"/>
      <c r="R492" s="1707"/>
      <c r="S492" s="1344"/>
      <c r="T492" s="1344"/>
      <c r="U492" s="1753"/>
      <c r="V492" s="1344"/>
      <c r="W492" s="1344"/>
      <c r="X492" s="1344"/>
      <c r="Y492" s="1707"/>
      <c r="Z492" s="1707"/>
      <c r="AA492" s="1344"/>
      <c r="AB492" s="1344"/>
      <c r="AC492" s="1344"/>
      <c r="AD492" s="1344"/>
    </row>
    <row r="493" s="1709" customFormat="true" ht="15.75" hidden="true" customHeight="true" outlineLevel="1" collapsed="false">
      <c r="A493" s="1816" t="str">
        <f aca="false">A451</f>
        <v>Стойка каркаса по фронтону, 1 этаж, двускатная кровля, №5</v>
      </c>
      <c r="B493" s="1817" t="str">
        <f aca="false">B451</f>
        <v>м.п.</v>
      </c>
      <c r="C493" s="1816" t="n">
        <f aca="false">C451</f>
        <v>0.4</v>
      </c>
      <c r="D493" s="1816" t="n">
        <f aca="false">D451</f>
        <v>0.045</v>
      </c>
      <c r="E493" s="1818" t="n">
        <f aca="false">IF('Ввод данных'!$A$455=связи1!$A$97,IF(дома!E492&lt;связи1!$D$571,0,дома!E492-$D$419),0)+IF(дома!E492&lt;=0,0,IF('Ввод данных'!$A$455=связи1!$A$94,IF(дома!E492&lt;0,0,дома!E492-$D$419),0))</f>
        <v>0</v>
      </c>
      <c r="F493" s="1818" t="n">
        <f aca="false">F451</f>
        <v>2</v>
      </c>
      <c r="G493" s="1344" t="n">
        <f aca="false">C493*D493*E493*F493</f>
        <v>0</v>
      </c>
      <c r="H493" s="1344"/>
      <c r="I493" s="1344"/>
      <c r="J493" s="1344"/>
      <c r="K493" s="1344"/>
      <c r="L493" s="1344"/>
      <c r="M493" s="1344"/>
      <c r="N493" s="1344"/>
      <c r="O493" s="1344"/>
      <c r="P493" s="1707"/>
      <c r="Q493" s="1707"/>
      <c r="R493" s="1707"/>
      <c r="S493" s="1344"/>
      <c r="T493" s="1344"/>
      <c r="U493" s="1753"/>
      <c r="V493" s="1344"/>
      <c r="W493" s="1344"/>
      <c r="X493" s="1344"/>
      <c r="Y493" s="1707"/>
      <c r="Z493" s="1707"/>
      <c r="AA493" s="1344"/>
      <c r="AB493" s="1344"/>
      <c r="AC493" s="1344"/>
      <c r="AD493" s="1344"/>
    </row>
    <row r="494" s="1709" customFormat="true" ht="15.75" hidden="true" customHeight="true" outlineLevel="1" collapsed="false">
      <c r="A494" s="1816" t="str">
        <f aca="false">A452</f>
        <v>Стойка каркаса по фронтону, 1 этаж, двускатная кровля, №6</v>
      </c>
      <c r="B494" s="1817" t="str">
        <f aca="false">B452</f>
        <v>м.п.</v>
      </c>
      <c r="C494" s="1816" t="n">
        <f aca="false">C452</f>
        <v>0.4</v>
      </c>
      <c r="D494" s="1816" t="n">
        <f aca="false">D452</f>
        <v>0.045</v>
      </c>
      <c r="E494" s="1818" t="n">
        <f aca="false">IF('Ввод данных'!$A$455=связи1!$A$97,IF(дома!E493&lt;связи1!$D$571,0,дома!E493-$D$419),0)+IF(дома!E493&lt;=0,0,IF('Ввод данных'!$A$455=связи1!$A$94,IF(дома!E493&lt;0,0,дома!E493-$D$419),0))</f>
        <v>0</v>
      </c>
      <c r="F494" s="1818" t="n">
        <f aca="false">F452</f>
        <v>2</v>
      </c>
      <c r="G494" s="1344" t="n">
        <f aca="false">C494*D494*E494*F494</f>
        <v>0</v>
      </c>
      <c r="H494" s="1344"/>
      <c r="I494" s="1344"/>
      <c r="J494" s="1344"/>
      <c r="K494" s="1344"/>
      <c r="L494" s="1344"/>
      <c r="M494" s="1344"/>
      <c r="N494" s="1344"/>
      <c r="O494" s="1344"/>
      <c r="P494" s="1707"/>
      <c r="Q494" s="1707"/>
      <c r="R494" s="1707"/>
      <c r="S494" s="1344"/>
      <c r="T494" s="1344"/>
      <c r="U494" s="1753"/>
      <c r="V494" s="1344"/>
      <c r="W494" s="1344"/>
      <c r="X494" s="1344"/>
      <c r="Y494" s="1707"/>
      <c r="Z494" s="1707"/>
      <c r="AA494" s="1344"/>
      <c r="AB494" s="1344"/>
      <c r="AC494" s="1344"/>
      <c r="AD494" s="1344"/>
    </row>
    <row r="495" s="1709" customFormat="true" ht="15.75" hidden="true" customHeight="true" outlineLevel="1" collapsed="false">
      <c r="A495" s="1816" t="str">
        <f aca="false">A453</f>
        <v>Стойка каркаса по фронтону, 1 этаж, двускатная кровля, №7</v>
      </c>
      <c r="B495" s="1817" t="str">
        <f aca="false">B453</f>
        <v>м.п.</v>
      </c>
      <c r="C495" s="1816" t="n">
        <f aca="false">C453</f>
        <v>0.4</v>
      </c>
      <c r="D495" s="1816" t="n">
        <f aca="false">D453</f>
        <v>0.045</v>
      </c>
      <c r="E495" s="1818" t="n">
        <f aca="false">IF('Ввод данных'!$A$455=связи1!$A$97,IF(дома!E494&lt;связи1!$D$571,0,дома!E494-$D$419),0)+IF(дома!E494&lt;=0,0,IF('Ввод данных'!$A$455=связи1!$A$94,IF(дома!E494&lt;0,0,дома!E494-$D$419),0))</f>
        <v>0</v>
      </c>
      <c r="F495" s="1818" t="n">
        <f aca="false">F453</f>
        <v>2</v>
      </c>
      <c r="G495" s="1344" t="n">
        <f aca="false">C495*D495*E495*F495</f>
        <v>0</v>
      </c>
      <c r="H495" s="1344"/>
      <c r="I495" s="1344"/>
      <c r="J495" s="1344"/>
      <c r="K495" s="1344"/>
      <c r="L495" s="1344"/>
      <c r="M495" s="1344"/>
      <c r="N495" s="1344"/>
      <c r="O495" s="1344"/>
      <c r="P495" s="1707"/>
      <c r="Q495" s="1707"/>
      <c r="R495" s="1707"/>
      <c r="S495" s="1344"/>
      <c r="T495" s="1344"/>
      <c r="U495" s="1753"/>
      <c r="V495" s="1344"/>
      <c r="W495" s="1344"/>
      <c r="X495" s="1344"/>
      <c r="Y495" s="1707"/>
      <c r="Z495" s="1707"/>
      <c r="AA495" s="1344"/>
      <c r="AB495" s="1344"/>
      <c r="AC495" s="1344"/>
      <c r="AD495" s="1344"/>
    </row>
    <row r="496" s="1709" customFormat="true" ht="15.75" hidden="true" customHeight="true" outlineLevel="1" collapsed="false">
      <c r="A496" s="1816" t="str">
        <f aca="false">A454</f>
        <v>Стойка каркаса по фронтону, 1 этаж, двускатная кровля, №8</v>
      </c>
      <c r="B496" s="1817" t="str">
        <f aca="false">B454</f>
        <v>м.п.</v>
      </c>
      <c r="C496" s="1816" t="n">
        <f aca="false">C454</f>
        <v>0.4</v>
      </c>
      <c r="D496" s="1816" t="n">
        <f aca="false">D454</f>
        <v>0.045</v>
      </c>
      <c r="E496" s="1818" t="n">
        <f aca="false">IF('Ввод данных'!$A$455=связи1!$A$97,IF(дома!E495&lt;связи1!$D$571,0,дома!E495-$D$419),0)+IF(дома!E495&lt;=0,0,IF('Ввод данных'!$A$455=связи1!$A$94,IF(дома!E495&lt;0,0,дома!E495-$D$419),0))</f>
        <v>0</v>
      </c>
      <c r="F496" s="1818" t="n">
        <f aca="false">F454</f>
        <v>2</v>
      </c>
      <c r="G496" s="1344" t="n">
        <f aca="false">C496*D496*E496*F496</f>
        <v>0</v>
      </c>
      <c r="H496" s="1344"/>
      <c r="I496" s="1344"/>
      <c r="J496" s="1344"/>
      <c r="K496" s="1344"/>
      <c r="L496" s="1344"/>
      <c r="M496" s="1344"/>
      <c r="N496" s="1344"/>
      <c r="O496" s="1344"/>
      <c r="P496" s="1707"/>
      <c r="Q496" s="1707"/>
      <c r="R496" s="1707"/>
      <c r="S496" s="1344"/>
      <c r="T496" s="1344"/>
      <c r="U496" s="1753"/>
      <c r="V496" s="1344"/>
      <c r="W496" s="1344"/>
      <c r="X496" s="1344"/>
      <c r="Y496" s="1707"/>
      <c r="Z496" s="1707"/>
      <c r="AA496" s="1344"/>
      <c r="AB496" s="1344"/>
      <c r="AC496" s="1344"/>
      <c r="AD496" s="1344"/>
    </row>
    <row r="497" s="1709" customFormat="true" ht="15.75" hidden="true" customHeight="true" outlineLevel="1" collapsed="false">
      <c r="A497" s="1816" t="str">
        <f aca="false">A455</f>
        <v>Стойка каркаса по фронтону, 1 этаж, двускатная кровля, №9</v>
      </c>
      <c r="B497" s="1817" t="str">
        <f aca="false">B455</f>
        <v>м.п.</v>
      </c>
      <c r="C497" s="1816" t="n">
        <f aca="false">C455</f>
        <v>0.4</v>
      </c>
      <c r="D497" s="1816" t="n">
        <f aca="false">D455</f>
        <v>0.045</v>
      </c>
      <c r="E497" s="1818" t="n">
        <f aca="false">IF('Ввод данных'!$A$455=связи1!$A$97,IF(дома!E496&lt;связи1!$D$571,0,дома!E496-$D$419),0)+IF(дома!E496&lt;=0,0,IF('Ввод данных'!$A$455=связи1!$A$94,IF(дома!E496&lt;0,0,дома!E496-$D$419),0))</f>
        <v>0</v>
      </c>
      <c r="F497" s="1818" t="n">
        <f aca="false">F455</f>
        <v>2</v>
      </c>
      <c r="G497" s="1344" t="n">
        <f aca="false">C497*D497*E497*F497</f>
        <v>0</v>
      </c>
      <c r="H497" s="1344"/>
      <c r="I497" s="1344"/>
      <c r="J497" s="1344"/>
      <c r="K497" s="1344"/>
      <c r="L497" s="1344"/>
      <c r="M497" s="1344"/>
      <c r="N497" s="1344"/>
      <c r="O497" s="1344"/>
      <c r="P497" s="1707"/>
      <c r="Q497" s="1707"/>
      <c r="R497" s="1707"/>
      <c r="S497" s="1344"/>
      <c r="T497" s="1344"/>
      <c r="U497" s="1753"/>
      <c r="V497" s="1344"/>
      <c r="W497" s="1344"/>
      <c r="X497" s="1344"/>
      <c r="Y497" s="1707"/>
      <c r="Z497" s="1707"/>
      <c r="AA497" s="1344"/>
      <c r="AB497" s="1344"/>
      <c r="AC497" s="1344"/>
      <c r="AD497" s="1344"/>
    </row>
    <row r="498" s="1709" customFormat="true" ht="15.75" hidden="true" customHeight="true" outlineLevel="1" collapsed="false">
      <c r="A498" s="1816" t="str">
        <f aca="false">A456</f>
        <v>Стойка каркаса по фронтону, 1 этаж, двускатная кровля, №10</v>
      </c>
      <c r="B498" s="1817" t="str">
        <f aca="false">B456</f>
        <v>м.п.</v>
      </c>
      <c r="C498" s="1816" t="n">
        <f aca="false">C456</f>
        <v>0.4</v>
      </c>
      <c r="D498" s="1816" t="n">
        <f aca="false">D456</f>
        <v>0.045</v>
      </c>
      <c r="E498" s="1818" t="n">
        <f aca="false">IF('Ввод данных'!$A$455=связи1!$A$97,IF(дома!E497&lt;связи1!$D$571,0,дома!E497-$D$419),0)+IF(дома!E497&lt;=0,0,IF('Ввод данных'!$A$455=связи1!$A$94,IF(дома!E497&lt;0,0,дома!E497-$D$419),0))</f>
        <v>0</v>
      </c>
      <c r="F498" s="1818" t="n">
        <f aca="false">F456</f>
        <v>2</v>
      </c>
      <c r="G498" s="1344" t="n">
        <f aca="false">C498*D498*E498*F498</f>
        <v>0</v>
      </c>
      <c r="H498" s="1344"/>
      <c r="I498" s="1344"/>
      <c r="J498" s="1344"/>
      <c r="K498" s="1344"/>
      <c r="L498" s="1344"/>
      <c r="M498" s="1344"/>
      <c r="N498" s="1344"/>
      <c r="O498" s="1344"/>
      <c r="P498" s="1707"/>
      <c r="Q498" s="1707"/>
      <c r="R498" s="1707"/>
      <c r="S498" s="1344"/>
      <c r="T498" s="1344"/>
      <c r="U498" s="1753"/>
      <c r="V498" s="1344"/>
      <c r="W498" s="1344"/>
      <c r="X498" s="1344"/>
      <c r="Y498" s="1707"/>
      <c r="Z498" s="1707"/>
      <c r="AA498" s="1344"/>
      <c r="AB498" s="1344"/>
      <c r="AC498" s="1344"/>
      <c r="AD498" s="1344"/>
    </row>
    <row r="499" s="1709" customFormat="true" ht="15.75" hidden="true" customHeight="true" outlineLevel="1" collapsed="false">
      <c r="A499" s="1816" t="str">
        <f aca="false">A457</f>
        <v>Стойка каркаса по фронтону, 1 этаж, двускатная кровля, №11</v>
      </c>
      <c r="B499" s="1817" t="str">
        <f aca="false">B457</f>
        <v>м.п.</v>
      </c>
      <c r="C499" s="1816" t="n">
        <f aca="false">C457</f>
        <v>0.4</v>
      </c>
      <c r="D499" s="1816" t="n">
        <f aca="false">D457</f>
        <v>0.045</v>
      </c>
      <c r="E499" s="1818" t="n">
        <f aca="false">IF('Ввод данных'!$A$455=связи1!$A$97,IF(дома!E498&lt;связи1!$D$571,0,дома!E498-$D$419),0)+IF(дома!E498&lt;=0,0,IF('Ввод данных'!$A$455=связи1!$A$94,IF(дома!E498&lt;0,0,дома!E498-$D$419),0))</f>
        <v>0</v>
      </c>
      <c r="F499" s="1818" t="n">
        <f aca="false">F457</f>
        <v>2</v>
      </c>
      <c r="G499" s="1344" t="n">
        <f aca="false">C499*D499*E499*F499</f>
        <v>0</v>
      </c>
      <c r="H499" s="1344"/>
      <c r="I499" s="1344"/>
      <c r="J499" s="1344"/>
      <c r="K499" s="1344"/>
      <c r="L499" s="1344"/>
      <c r="M499" s="1344"/>
      <c r="N499" s="1344"/>
      <c r="O499" s="1344"/>
      <c r="P499" s="1707"/>
      <c r="Q499" s="1707"/>
      <c r="R499" s="1707"/>
      <c r="S499" s="1344"/>
      <c r="T499" s="1344"/>
      <c r="U499" s="1753"/>
      <c r="V499" s="1344"/>
      <c r="W499" s="1344"/>
      <c r="X499" s="1344"/>
      <c r="Y499" s="1707"/>
      <c r="Z499" s="1707"/>
      <c r="AA499" s="1344"/>
      <c r="AB499" s="1344"/>
      <c r="AC499" s="1344"/>
      <c r="AD499" s="1344"/>
    </row>
    <row r="500" s="1709" customFormat="true" ht="15.75" hidden="true" customHeight="true" outlineLevel="1" collapsed="false">
      <c r="A500" s="1816" t="str">
        <f aca="false">A458</f>
        <v>Стойка каркаса по фронтону, 1 этаж, двускатная кровля, №12</v>
      </c>
      <c r="B500" s="1817" t="str">
        <f aca="false">B458</f>
        <v>м.п.</v>
      </c>
      <c r="C500" s="1816" t="n">
        <f aca="false">C458</f>
        <v>0.4</v>
      </c>
      <c r="D500" s="1816" t="n">
        <f aca="false">D458</f>
        <v>0.045</v>
      </c>
      <c r="E500" s="1818" t="n">
        <f aca="false">IF('Ввод данных'!$A$455=связи1!$A$97,IF(дома!E499&lt;связи1!$D$571,0,дома!E499-$D$419),0)+IF(дома!E499&lt;=0,0,IF('Ввод данных'!$A$455=связи1!$A$94,IF(дома!E499&lt;0,0,дома!E499-$D$419),0))</f>
        <v>0</v>
      </c>
      <c r="F500" s="1818" t="n">
        <f aca="false">F458</f>
        <v>2</v>
      </c>
      <c r="G500" s="1344" t="n">
        <f aca="false">C500*D500*E500*F500</f>
        <v>0</v>
      </c>
      <c r="H500" s="1344"/>
      <c r="I500" s="1344"/>
      <c r="J500" s="1344"/>
      <c r="K500" s="1344"/>
      <c r="L500" s="1344"/>
      <c r="M500" s="1344"/>
      <c r="N500" s="1344"/>
      <c r="O500" s="1344"/>
      <c r="P500" s="1707"/>
      <c r="Q500" s="1707"/>
      <c r="R500" s="1707"/>
      <c r="S500" s="1344"/>
      <c r="T500" s="1344"/>
      <c r="U500" s="1753"/>
      <c r="V500" s="1344"/>
      <c r="W500" s="1344"/>
      <c r="X500" s="1344"/>
      <c r="Y500" s="1707"/>
      <c r="Z500" s="1707"/>
      <c r="AA500" s="1344"/>
      <c r="AB500" s="1344"/>
      <c r="AC500" s="1344"/>
      <c r="AD500" s="1344"/>
    </row>
    <row r="501" s="1709" customFormat="true" ht="15.75" hidden="true" customHeight="true" outlineLevel="1" collapsed="false">
      <c r="A501" s="1816" t="str">
        <f aca="false">A459</f>
        <v>Стойка каркаса по фронтону, 1 этаж, двускатная кровля, №13</v>
      </c>
      <c r="B501" s="1817" t="str">
        <f aca="false">B459</f>
        <v>м.п.</v>
      </c>
      <c r="C501" s="1816" t="n">
        <f aca="false">C459</f>
        <v>0.4</v>
      </c>
      <c r="D501" s="1816" t="n">
        <f aca="false">D459</f>
        <v>0.045</v>
      </c>
      <c r="E501" s="1818" t="n">
        <f aca="false">IF('Ввод данных'!$A$455=связи1!$A$97,IF(дома!E500&lt;связи1!$D$571,0,дома!E500-$D$419),0)+IF(дома!E500&lt;=0,0,IF('Ввод данных'!$A$455=связи1!$A$94,IF(дома!E500&lt;0,0,дома!E500-$D$419),0))</f>
        <v>0</v>
      </c>
      <c r="F501" s="1818" t="n">
        <f aca="false">F459</f>
        <v>2</v>
      </c>
      <c r="G501" s="1344" t="n">
        <f aca="false">C501*D501*E501*F501</f>
        <v>0</v>
      </c>
      <c r="H501" s="1344"/>
      <c r="I501" s="1344"/>
      <c r="J501" s="1344"/>
      <c r="K501" s="1344"/>
      <c r="L501" s="1344"/>
      <c r="M501" s="1344"/>
      <c r="N501" s="1344"/>
      <c r="O501" s="1344"/>
      <c r="P501" s="1707"/>
      <c r="Q501" s="1707"/>
      <c r="R501" s="1707"/>
      <c r="S501" s="1344"/>
      <c r="T501" s="1344"/>
      <c r="U501" s="1753"/>
      <c r="V501" s="1344"/>
      <c r="W501" s="1344"/>
      <c r="X501" s="1344"/>
      <c r="Y501" s="1707"/>
      <c r="Z501" s="1707"/>
      <c r="AA501" s="1344"/>
      <c r="AB501" s="1344"/>
      <c r="AC501" s="1344"/>
      <c r="AD501" s="1344"/>
    </row>
    <row r="502" s="1709" customFormat="true" ht="15.75" hidden="true" customHeight="true" outlineLevel="1" collapsed="false">
      <c r="A502" s="1816" t="str">
        <f aca="false">A460</f>
        <v>Стойка каркаса по фронтону, 1 этаж, двускатная кровля, №14</v>
      </c>
      <c r="B502" s="1817" t="str">
        <f aca="false">B460</f>
        <v>м.п.</v>
      </c>
      <c r="C502" s="1816" t="n">
        <f aca="false">C460</f>
        <v>0.4</v>
      </c>
      <c r="D502" s="1816" t="n">
        <f aca="false">D460</f>
        <v>0.045</v>
      </c>
      <c r="E502" s="1818" t="n">
        <f aca="false">IF('Ввод данных'!$A$455=связи1!$A$97,IF(дома!E501&lt;связи1!$D$571,0,дома!E501-$D$419),0)+IF(дома!E501&lt;=0,0,IF('Ввод данных'!$A$455=связи1!$A$94,IF(дома!E501&lt;0,0,дома!E501-$D$419),0))</f>
        <v>0</v>
      </c>
      <c r="F502" s="1818" t="n">
        <f aca="false">F460</f>
        <v>2</v>
      </c>
      <c r="G502" s="1344" t="n">
        <f aca="false">C502*D502*E502*F502</f>
        <v>0</v>
      </c>
      <c r="H502" s="1344"/>
      <c r="I502" s="1344"/>
      <c r="J502" s="1344"/>
      <c r="K502" s="1344"/>
      <c r="L502" s="1344"/>
      <c r="M502" s="1344"/>
      <c r="N502" s="1344"/>
      <c r="O502" s="1344"/>
      <c r="P502" s="1707"/>
      <c r="Q502" s="1707"/>
      <c r="R502" s="1707"/>
      <c r="S502" s="1344"/>
      <c r="T502" s="1344"/>
      <c r="U502" s="1753"/>
      <c r="V502" s="1344"/>
      <c r="W502" s="1344"/>
      <c r="X502" s="1344"/>
      <c r="Y502" s="1707"/>
      <c r="Z502" s="1707"/>
      <c r="AA502" s="1344"/>
      <c r="AB502" s="1344"/>
      <c r="AC502" s="1344"/>
      <c r="AD502" s="1344"/>
    </row>
    <row r="503" s="1709" customFormat="true" ht="15.75" hidden="true" customHeight="true" outlineLevel="1" collapsed="false">
      <c r="A503" s="1816" t="str">
        <f aca="false">A461</f>
        <v>Стойка каркаса по фронтону, 1 этаж, двускатная кровля, №15</v>
      </c>
      <c r="B503" s="1817" t="str">
        <f aca="false">B461</f>
        <v>м.п.</v>
      </c>
      <c r="C503" s="1816" t="n">
        <f aca="false">C461</f>
        <v>0.4</v>
      </c>
      <c r="D503" s="1816" t="n">
        <f aca="false">D461</f>
        <v>0.045</v>
      </c>
      <c r="E503" s="1818" t="n">
        <f aca="false">IF('Ввод данных'!$A$455=связи1!$A$97,IF(дома!E502&lt;связи1!$D$571,0,дома!E502-$D$419),0)+IF(дома!E502&lt;=0,0,IF('Ввод данных'!$A$455=связи1!$A$94,IF(дома!E502&lt;0,0,дома!E502-$D$419),0))</f>
        <v>0</v>
      </c>
      <c r="F503" s="1818" t="n">
        <f aca="false">F461</f>
        <v>2</v>
      </c>
      <c r="G503" s="1344" t="n">
        <f aca="false">C503*D503*E503*F503</f>
        <v>0</v>
      </c>
      <c r="H503" s="1344"/>
      <c r="I503" s="1344"/>
      <c r="J503" s="1344"/>
      <c r="K503" s="1344"/>
      <c r="L503" s="1344"/>
      <c r="M503" s="1344"/>
      <c r="N503" s="1344"/>
      <c r="O503" s="1344"/>
      <c r="P503" s="1707"/>
      <c r="Q503" s="1707"/>
      <c r="R503" s="1707"/>
      <c r="S503" s="1344"/>
      <c r="T503" s="1344"/>
      <c r="U503" s="1753"/>
      <c r="V503" s="1344"/>
      <c r="W503" s="1344"/>
      <c r="X503" s="1344"/>
      <c r="Y503" s="1707"/>
      <c r="Z503" s="1707"/>
      <c r="AA503" s="1344"/>
      <c r="AB503" s="1344"/>
      <c r="AC503" s="1344"/>
      <c r="AD503" s="1344"/>
    </row>
    <row r="504" s="1709" customFormat="true" ht="15.75" hidden="true" customHeight="true" outlineLevel="1" collapsed="false">
      <c r="A504" s="1816" t="str">
        <f aca="false">A462</f>
        <v>Стойка каркаса по фронтону, 1 этаж, двускатная кровля, №16</v>
      </c>
      <c r="B504" s="1817" t="str">
        <f aca="false">B462</f>
        <v>м.п.</v>
      </c>
      <c r="C504" s="1816" t="n">
        <f aca="false">C462</f>
        <v>0.4</v>
      </c>
      <c r="D504" s="1816" t="n">
        <f aca="false">D462</f>
        <v>0.045</v>
      </c>
      <c r="E504" s="1818" t="n">
        <f aca="false">IF('Ввод данных'!$A$455=связи1!$A$97,IF(дома!E503&lt;связи1!$D$571,0,дома!E503-$D$419),0)+IF(дома!E503&lt;=0,0,IF('Ввод данных'!$A$455=связи1!$A$94,IF(дома!E503&lt;0,0,дома!E503-$D$419),0))</f>
        <v>0</v>
      </c>
      <c r="F504" s="1818" t="n">
        <f aca="false">F462</f>
        <v>2</v>
      </c>
      <c r="G504" s="1344" t="n">
        <f aca="false">C504*D504*E504*F504</f>
        <v>0</v>
      </c>
      <c r="H504" s="1344"/>
      <c r="I504" s="1344"/>
      <c r="J504" s="1344"/>
      <c r="K504" s="1344"/>
      <c r="L504" s="1344"/>
      <c r="M504" s="1344"/>
      <c r="N504" s="1344"/>
      <c r="O504" s="1344"/>
      <c r="P504" s="1707"/>
      <c r="Q504" s="1707"/>
      <c r="R504" s="1707"/>
      <c r="S504" s="1344"/>
      <c r="T504" s="1344"/>
      <c r="U504" s="1753"/>
      <c r="V504" s="1344"/>
      <c r="W504" s="1344"/>
      <c r="X504" s="1344"/>
      <c r="Y504" s="1707"/>
      <c r="Z504" s="1707"/>
      <c r="AA504" s="1344"/>
      <c r="AB504" s="1344"/>
      <c r="AC504" s="1344"/>
      <c r="AD504" s="1344"/>
    </row>
    <row r="505" s="1709" customFormat="true" ht="15.75" hidden="true" customHeight="true" outlineLevel="1" collapsed="false">
      <c r="A505" s="1816" t="str">
        <f aca="false">A463</f>
        <v>Стойка каркаса по фронтону, 1 этаж, двускатная кровля, №17</v>
      </c>
      <c r="B505" s="1817" t="str">
        <f aca="false">B463</f>
        <v>м.п.</v>
      </c>
      <c r="C505" s="1816" t="n">
        <f aca="false">C463</f>
        <v>0.4</v>
      </c>
      <c r="D505" s="1816" t="n">
        <f aca="false">D463</f>
        <v>0.045</v>
      </c>
      <c r="E505" s="1818" t="n">
        <f aca="false">IF('Ввод данных'!$A$455=связи1!$A$97,IF(дома!E504&lt;связи1!$D$571,0,дома!E504-$D$419),0)+IF(дома!E504&lt;=0,0,IF('Ввод данных'!$A$455=связи1!$A$94,IF(дома!E504&lt;0,0,дома!E504-$D$419),0))</f>
        <v>0</v>
      </c>
      <c r="F505" s="1818" t="n">
        <f aca="false">F463</f>
        <v>2</v>
      </c>
      <c r="G505" s="1344" t="n">
        <f aca="false">C505*D505*E505*F505</f>
        <v>0</v>
      </c>
      <c r="H505" s="1344"/>
      <c r="I505" s="1344"/>
      <c r="J505" s="1344"/>
      <c r="K505" s="1344"/>
      <c r="L505" s="1344"/>
      <c r="M505" s="1344"/>
      <c r="N505" s="1344"/>
      <c r="O505" s="1344"/>
      <c r="P505" s="1707"/>
      <c r="Q505" s="1707"/>
      <c r="R505" s="1707"/>
      <c r="S505" s="1344"/>
      <c r="T505" s="1344"/>
      <c r="U505" s="1753"/>
      <c r="V505" s="1344"/>
      <c r="W505" s="1344"/>
      <c r="X505" s="1344"/>
      <c r="Y505" s="1707"/>
      <c r="Z505" s="1707"/>
      <c r="AA505" s="1344"/>
      <c r="AB505" s="1344"/>
      <c r="AC505" s="1344"/>
      <c r="AD505" s="1344"/>
    </row>
    <row r="506" s="1709" customFormat="true" ht="15.75" hidden="true" customHeight="true" outlineLevel="1" collapsed="false">
      <c r="A506" s="1799"/>
      <c r="B506" s="1294"/>
      <c r="C506" s="1799"/>
      <c r="D506" s="1799"/>
      <c r="E506" s="1799"/>
      <c r="F506" s="1799"/>
      <c r="G506" s="1344" t="n">
        <f aca="false">C506*D506*E506*F506</f>
        <v>0</v>
      </c>
      <c r="H506" s="1344"/>
      <c r="I506" s="1344"/>
      <c r="J506" s="1344"/>
      <c r="K506" s="1344"/>
      <c r="L506" s="1344"/>
      <c r="M506" s="1344"/>
      <c r="N506" s="1344"/>
      <c r="O506" s="1344"/>
      <c r="P506" s="1707"/>
      <c r="Q506" s="1707"/>
      <c r="R506" s="1707"/>
      <c r="S506" s="1344"/>
      <c r="T506" s="1344"/>
      <c r="U506" s="1753"/>
      <c r="V506" s="1344"/>
      <c r="W506" s="1344"/>
      <c r="X506" s="1344"/>
      <c r="Y506" s="1707"/>
      <c r="Z506" s="1707"/>
      <c r="AA506" s="1344"/>
      <c r="AB506" s="1344"/>
      <c r="AC506" s="1344"/>
      <c r="AD506" s="1344"/>
    </row>
    <row r="507" s="1709" customFormat="true" ht="15.75" hidden="true" customHeight="true" outlineLevel="1" collapsed="false">
      <c r="A507" s="1804" t="s">
        <v>3364</v>
      </c>
      <c r="B507" s="1806" t="str">
        <f aca="false">B465</f>
        <v>ед.изм</v>
      </c>
      <c r="C507" s="1804" t="str">
        <f aca="false">C465</f>
        <v>ширина</v>
      </c>
      <c r="D507" s="1804" t="str">
        <f aca="false">D465</f>
        <v>толщина</v>
      </c>
      <c r="E507" s="1804" t="str">
        <f aca="false">E465</f>
        <v>высота</v>
      </c>
      <c r="F507" s="1804" t="str">
        <f aca="false">F465</f>
        <v>кол-во</v>
      </c>
      <c r="G507" s="1344"/>
      <c r="H507" s="1344"/>
      <c r="I507" s="1344"/>
      <c r="J507" s="1344"/>
      <c r="K507" s="1344"/>
      <c r="L507" s="1344"/>
      <c r="M507" s="1344"/>
      <c r="N507" s="1344"/>
      <c r="O507" s="1344"/>
      <c r="P507" s="1707"/>
      <c r="Q507" s="1707"/>
      <c r="R507" s="1707"/>
      <c r="S507" s="1344"/>
      <c r="T507" s="1344"/>
      <c r="U507" s="1753"/>
      <c r="V507" s="1344"/>
      <c r="W507" s="1344"/>
      <c r="X507" s="1344"/>
      <c r="Y507" s="1707"/>
      <c r="Z507" s="1707"/>
      <c r="AA507" s="1344"/>
      <c r="AB507" s="1344"/>
      <c r="AC507" s="1344"/>
      <c r="AD507" s="1344"/>
    </row>
    <row r="508" s="1709" customFormat="true" ht="15.75" hidden="true" customHeight="true" outlineLevel="1" collapsed="false">
      <c r="A508" s="1799" t="str">
        <f aca="false">A466</f>
        <v>Стойки каркаса передней стены 1 эт</v>
      </c>
      <c r="B508" s="1294" t="str">
        <f aca="false">B466</f>
        <v>м.п.</v>
      </c>
      <c r="C508" s="1799" t="n">
        <f aca="false">C466</f>
        <v>0.4</v>
      </c>
      <c r="D508" s="1799" t="n">
        <f aca="false">D466</f>
        <v>0.045</v>
      </c>
      <c r="E508" s="1799" t="n">
        <f aca="false">связи1!E571</f>
        <v>2.9</v>
      </c>
      <c r="F508" s="1799" t="n">
        <f aca="false">L407</f>
        <v>0</v>
      </c>
      <c r="G508" s="1344" t="n">
        <f aca="false">C508*D508*E508*F508</f>
        <v>0</v>
      </c>
      <c r="H508" s="1344"/>
      <c r="I508" s="1344"/>
      <c r="J508" s="1344"/>
      <c r="K508" s="1344"/>
      <c r="L508" s="1344"/>
      <c r="M508" s="1344"/>
      <c r="N508" s="1344"/>
      <c r="O508" s="1344"/>
      <c r="P508" s="1707"/>
      <c r="Q508" s="1707"/>
      <c r="R508" s="1707"/>
      <c r="S508" s="1344"/>
      <c r="T508" s="1344"/>
      <c r="U508" s="1753"/>
      <c r="V508" s="1344"/>
      <c r="W508" s="1344"/>
      <c r="X508" s="1344"/>
      <c r="Y508" s="1707"/>
      <c r="Z508" s="1707"/>
      <c r="AA508" s="1344"/>
      <c r="AB508" s="1344"/>
      <c r="AC508" s="1344"/>
      <c r="AD508" s="1344"/>
    </row>
    <row r="509" s="1709" customFormat="true" ht="15.75" hidden="true" customHeight="true" outlineLevel="1" collapsed="false">
      <c r="A509" s="1799" t="str">
        <f aca="false">A467</f>
        <v>Стойки каркаса, левая сторона 1 эт</v>
      </c>
      <c r="B509" s="1294" t="str">
        <f aca="false">B467</f>
        <v>м.п.</v>
      </c>
      <c r="C509" s="1799" t="n">
        <f aca="false">C467</f>
        <v>0.4</v>
      </c>
      <c r="D509" s="1799" t="n">
        <f aca="false">D467</f>
        <v>0.045</v>
      </c>
      <c r="E509" s="1799" t="n">
        <f aca="false">$E$408*IF('Ввод данных'!A73=связи1!A97,IF('Ввод данных'!A75=связи1!A106,0,1),1)</f>
        <v>2.9</v>
      </c>
      <c r="F509" s="1799" t="n">
        <f aca="false">L408</f>
        <v>0</v>
      </c>
      <c r="G509" s="1344" t="n">
        <f aca="false">C509*D509*E509*F509</f>
        <v>0</v>
      </c>
      <c r="H509" s="1344"/>
      <c r="I509" s="1344"/>
      <c r="J509" s="1344"/>
      <c r="K509" s="1344"/>
      <c r="L509" s="1344"/>
      <c r="M509" s="1344"/>
      <c r="N509" s="1344"/>
      <c r="O509" s="1344"/>
      <c r="P509" s="1707"/>
      <c r="Q509" s="1707"/>
      <c r="R509" s="1707"/>
      <c r="S509" s="1344"/>
      <c r="T509" s="1344"/>
      <c r="U509" s="1753"/>
      <c r="V509" s="1344"/>
      <c r="W509" s="1344"/>
      <c r="X509" s="1344"/>
      <c r="Y509" s="1707"/>
      <c r="Z509" s="1707"/>
      <c r="AA509" s="1344"/>
      <c r="AB509" s="1344"/>
      <c r="AC509" s="1344"/>
      <c r="AD509" s="1344"/>
    </row>
    <row r="510" s="1709" customFormat="true" ht="15.75" hidden="true" customHeight="true" outlineLevel="1" collapsed="false">
      <c r="A510" s="1799" t="str">
        <f aca="false">A468</f>
        <v>Стойки каркаса, правая сторона, 1 эт</v>
      </c>
      <c r="B510" s="1294" t="str">
        <f aca="false">B468</f>
        <v>м.п.</v>
      </c>
      <c r="C510" s="1799" t="n">
        <f aca="false">C468</f>
        <v>0.4</v>
      </c>
      <c r="D510" s="1799" t="n">
        <f aca="false">D468</f>
        <v>0.045</v>
      </c>
      <c r="E510" s="1799" t="n">
        <f aca="false">$E$408*IF('Ввод данных'!A73=связи1!A97,IF('Ввод данных'!A75=связи1!A106,0,1),1)</f>
        <v>2.9</v>
      </c>
      <c r="F510" s="1799" t="n">
        <f aca="false">L409</f>
        <v>0</v>
      </c>
      <c r="G510" s="1344" t="n">
        <f aca="false">C510*D510*E510*F510</f>
        <v>0</v>
      </c>
      <c r="H510" s="1344"/>
      <c r="I510" s="1344"/>
      <c r="J510" s="1344"/>
      <c r="K510" s="1344"/>
      <c r="L510" s="1344"/>
      <c r="M510" s="1344"/>
      <c r="N510" s="1344"/>
      <c r="O510" s="1344"/>
      <c r="P510" s="1707"/>
      <c r="Q510" s="1707"/>
      <c r="R510" s="1707"/>
      <c r="S510" s="1344"/>
      <c r="T510" s="1344"/>
      <c r="U510" s="1753"/>
      <c r="V510" s="1344"/>
      <c r="W510" s="1344"/>
      <c r="X510" s="1344"/>
      <c r="Y510" s="1707"/>
      <c r="Z510" s="1707"/>
      <c r="AA510" s="1344"/>
      <c r="AB510" s="1344"/>
      <c r="AC510" s="1344"/>
      <c r="AD510" s="1344"/>
    </row>
    <row r="511" s="1709" customFormat="true" ht="15.75" hidden="true" customHeight="true" outlineLevel="1" collapsed="false">
      <c r="A511" s="1799" t="str">
        <f aca="false">A469</f>
        <v>Обвязка каркаса верхняя/нижняя наружние стены 1 эт</v>
      </c>
      <c r="B511" s="1294" t="str">
        <f aca="false">B469</f>
        <v>м.п.</v>
      </c>
      <c r="C511" s="1799" t="n">
        <f aca="false">C469</f>
        <v>0.4</v>
      </c>
      <c r="D511" s="1799" t="n">
        <f aca="false">D469</f>
        <v>0.045</v>
      </c>
      <c r="E511" s="1799" t="n">
        <f aca="false">E469</f>
        <v>0</v>
      </c>
      <c r="F511" s="1799" t="n">
        <f aca="false">P410+Q410</f>
        <v>0</v>
      </c>
      <c r="G511" s="1344" t="n">
        <f aca="false">C511*D511*E511*F511</f>
        <v>0</v>
      </c>
      <c r="H511" s="1344"/>
      <c r="I511" s="1344"/>
      <c r="J511" s="1344"/>
      <c r="K511" s="1344"/>
      <c r="L511" s="1344"/>
      <c r="M511" s="1344"/>
      <c r="N511" s="1344"/>
      <c r="O511" s="1344"/>
      <c r="P511" s="1707"/>
      <c r="Q511" s="1707"/>
      <c r="R511" s="1707"/>
      <c r="S511" s="1344"/>
      <c r="T511" s="1344"/>
      <c r="U511" s="1753"/>
      <c r="V511" s="1344"/>
      <c r="W511" s="1344"/>
      <c r="X511" s="1344"/>
      <c r="Y511" s="1707"/>
      <c r="Z511" s="1707"/>
      <c r="AA511" s="1344"/>
      <c r="AB511" s="1344"/>
      <c r="AC511" s="1344"/>
      <c r="AD511" s="1344"/>
    </row>
    <row r="512" s="1709" customFormat="true" ht="15.75" hidden="true" customHeight="true" outlineLevel="1" collapsed="false">
      <c r="A512" s="1799" t="str">
        <f aca="false">A470</f>
        <v>Ригель каркаса наружние стены 1 эт</v>
      </c>
      <c r="B512" s="1294" t="str">
        <f aca="false">B470</f>
        <v>м.п.</v>
      </c>
      <c r="C512" s="1799" t="n">
        <f aca="false">C470</f>
        <v>0.4</v>
      </c>
      <c r="D512" s="1799" t="n">
        <f aca="false">D470</f>
        <v>0.045</v>
      </c>
      <c r="E512" s="1799" t="n">
        <f aca="false">E470</f>
        <v>0</v>
      </c>
      <c r="F512" s="1799" t="n">
        <f aca="false">R410</f>
        <v>0</v>
      </c>
      <c r="G512" s="1344" t="n">
        <f aca="false">C512*D512*E512*F512</f>
        <v>0</v>
      </c>
      <c r="H512" s="1344"/>
      <c r="I512" s="1344"/>
      <c r="J512" s="1344"/>
      <c r="K512" s="1344"/>
      <c r="L512" s="1344"/>
      <c r="M512" s="1344"/>
      <c r="N512" s="1344"/>
      <c r="O512" s="1344"/>
      <c r="P512" s="1707"/>
      <c r="Q512" s="1707"/>
      <c r="R512" s="1707"/>
      <c r="S512" s="1344"/>
      <c r="T512" s="1344"/>
      <c r="U512" s="1753"/>
      <c r="V512" s="1344"/>
      <c r="W512" s="1344"/>
      <c r="X512" s="1344"/>
      <c r="Y512" s="1707"/>
      <c r="Z512" s="1707"/>
      <c r="AA512" s="1344"/>
      <c r="AB512" s="1344"/>
      <c r="AC512" s="1344"/>
      <c r="AD512" s="1344"/>
    </row>
    <row r="513" s="1709" customFormat="true" ht="15.75" hidden="true" customHeight="true" outlineLevel="1" collapsed="false">
      <c r="A513" s="1799" t="str">
        <f aca="false">A471</f>
        <v>Укосина наружних стен, усиление 1 этаж</v>
      </c>
      <c r="B513" s="1294" t="str">
        <f aca="false">B471</f>
        <v>м.п.</v>
      </c>
      <c r="C513" s="1799" t="n">
        <f aca="false">C471</f>
        <v>0.4</v>
      </c>
      <c r="D513" s="1799" t="n">
        <f aca="false">D471</f>
        <v>0.045</v>
      </c>
      <c r="E513" s="1799" t="n">
        <f aca="false">E471*VLOOKUP('Ввод данных'!C79,связи1!A2:B3,2,0)*связи1!E568</f>
        <v>0</v>
      </c>
      <c r="F513" s="1799" t="n">
        <f aca="false">F471</f>
        <v>8</v>
      </c>
      <c r="G513" s="1344" t="n">
        <f aca="false">C513*D513*E513*F513</f>
        <v>0</v>
      </c>
      <c r="H513" s="1344"/>
      <c r="I513" s="1344"/>
      <c r="J513" s="1344"/>
      <c r="K513" s="1344"/>
      <c r="L513" s="1344"/>
      <c r="M513" s="1344"/>
      <c r="N513" s="1344"/>
      <c r="O513" s="1344"/>
      <c r="P513" s="1707"/>
      <c r="Q513" s="1707"/>
      <c r="R513" s="1707"/>
      <c r="S513" s="1344"/>
      <c r="T513" s="1344"/>
      <c r="U513" s="1753"/>
      <c r="V513" s="1344"/>
      <c r="W513" s="1344"/>
      <c r="X513" s="1344"/>
      <c r="Y513" s="1707"/>
      <c r="Z513" s="1707"/>
      <c r="AA513" s="1344"/>
      <c r="AB513" s="1344"/>
      <c r="AC513" s="1344"/>
      <c r="AD513" s="1344"/>
    </row>
    <row r="514" s="1709" customFormat="true" ht="15.75" hidden="true" customHeight="true" outlineLevel="1" collapsed="false">
      <c r="A514" s="1799" t="str">
        <f aca="false">A472</f>
        <v>Стойка каркаса по фронтону, 1 этаж, односкатная кровля, №1</v>
      </c>
      <c r="B514" s="1294" t="str">
        <f aca="false">B472</f>
        <v>м.п.</v>
      </c>
      <c r="C514" s="1799" t="n">
        <f aca="false">C472</f>
        <v>0.4</v>
      </c>
      <c r="D514" s="1799" t="n">
        <f aca="false">D472</f>
        <v>0.045</v>
      </c>
      <c r="E514" s="1799" t="n">
        <f aca="false">IF('Ввод данных'!A458=связи1!A106,IF('Ввод данных'!A459=связи1!A94,связи1!E572-связи1!E571,0)+IF('Ввод данных'!A459=связи1!A95,0,0)+IF('Ввод данных'!A459=связи1!A96,0,0)+IF('Ввод данных'!A459=связи1!A97,связи1!E572,0)+IF('Ввод данных'!A459=связи1!A98,0,0),0)</f>
        <v>0</v>
      </c>
      <c r="F514" s="1799" t="n">
        <f aca="false">F472</f>
        <v>2</v>
      </c>
      <c r="G514" s="1344" t="n">
        <f aca="false">C514*D514*E514*F514</f>
        <v>0</v>
      </c>
      <c r="H514" s="1344"/>
      <c r="I514" s="1344"/>
      <c r="J514" s="1344"/>
      <c r="K514" s="1344"/>
      <c r="L514" s="1344"/>
      <c r="M514" s="1344"/>
      <c r="N514" s="1344"/>
      <c r="O514" s="1344"/>
      <c r="P514" s="1707"/>
      <c r="Q514" s="1707"/>
      <c r="R514" s="1707"/>
      <c r="S514" s="1344"/>
      <c r="T514" s="1344"/>
      <c r="U514" s="1753"/>
      <c r="V514" s="1344"/>
      <c r="W514" s="1344"/>
      <c r="X514" s="1344"/>
      <c r="Y514" s="1707"/>
      <c r="Z514" s="1707"/>
      <c r="AA514" s="1344"/>
      <c r="AB514" s="1344"/>
      <c r="AC514" s="1344"/>
      <c r="AD514" s="1344"/>
    </row>
    <row r="515" s="1709" customFormat="true" ht="15.75" hidden="true" customHeight="true" outlineLevel="1" collapsed="false">
      <c r="A515" s="1799" t="str">
        <f aca="false">A473</f>
        <v>Стойка каркаса по фронтону, 1 этаж, односкатная кровля, №2</v>
      </c>
      <c r="B515" s="1294" t="str">
        <f aca="false">B473</f>
        <v>м.п.</v>
      </c>
      <c r="C515" s="1799" t="n">
        <f aca="false">C473</f>
        <v>0.4</v>
      </c>
      <c r="D515" s="1799" t="n">
        <f aca="false">D473</f>
        <v>0.045</v>
      </c>
      <c r="E515" s="1799" t="n">
        <f aca="false">IF('Ввод данных'!$A$459=связи1!$A$97,IF(дома!E514&lt;связи1!$E$571,0,дома!E514-$E$419),0)+IF(дома!E514=0,0,IF('Ввод данных'!$A$459=связи1!$A$94,IF(дома!E514&lt;0,0,дома!E514-$E$419),0))</f>
        <v>0</v>
      </c>
      <c r="F515" s="1799" t="n">
        <f aca="false">F473</f>
        <v>2</v>
      </c>
      <c r="G515" s="1344" t="n">
        <f aca="false">C515*D515*E515*F515</f>
        <v>0</v>
      </c>
      <c r="H515" s="1344"/>
      <c r="I515" s="1344"/>
      <c r="J515" s="1344"/>
      <c r="K515" s="1344"/>
      <c r="L515" s="1344"/>
      <c r="M515" s="1344"/>
      <c r="N515" s="1344"/>
      <c r="O515" s="1344"/>
      <c r="P515" s="1707"/>
      <c r="Q515" s="1707"/>
      <c r="R515" s="1707"/>
      <c r="S515" s="1344"/>
      <c r="T515" s="1344"/>
      <c r="U515" s="1753"/>
      <c r="V515" s="1344"/>
      <c r="W515" s="1344"/>
      <c r="X515" s="1344"/>
      <c r="Y515" s="1707"/>
      <c r="Z515" s="1707"/>
      <c r="AA515" s="1344"/>
      <c r="AB515" s="1344"/>
      <c r="AC515" s="1344"/>
      <c r="AD515" s="1344"/>
    </row>
    <row r="516" s="1709" customFormat="true" ht="15.75" hidden="true" customHeight="true" outlineLevel="1" collapsed="false">
      <c r="A516" s="1799" t="str">
        <f aca="false">A474</f>
        <v>Стойка каркаса по фронтону, 1 этаж, односкатная кровля, №3</v>
      </c>
      <c r="B516" s="1294" t="str">
        <f aca="false">B474</f>
        <v>м.п.</v>
      </c>
      <c r="C516" s="1799" t="n">
        <f aca="false">C474</f>
        <v>0.4</v>
      </c>
      <c r="D516" s="1799" t="n">
        <f aca="false">D474</f>
        <v>0.045</v>
      </c>
      <c r="E516" s="1799" t="n">
        <f aca="false">IF('Ввод данных'!$A$459=связи1!$A$97,IF(дома!E515&lt;связи1!$E$571,0,дома!E515-$E$419),0)+IF(дома!E515=0,0,IF('Ввод данных'!$A$459=связи1!$A$94,IF(дома!E515&lt;0,0,дома!E515-$E$419),0))</f>
        <v>0</v>
      </c>
      <c r="F516" s="1799" t="n">
        <f aca="false">F474</f>
        <v>2</v>
      </c>
      <c r="G516" s="1344" t="n">
        <f aca="false">C516*D516*E516*F516</f>
        <v>0</v>
      </c>
      <c r="H516" s="1344"/>
      <c r="I516" s="1344"/>
      <c r="J516" s="1344"/>
      <c r="K516" s="1344"/>
      <c r="L516" s="1344"/>
      <c r="M516" s="1344"/>
      <c r="N516" s="1344"/>
      <c r="O516" s="1344"/>
      <c r="P516" s="1707"/>
      <c r="Q516" s="1707"/>
      <c r="R516" s="1707"/>
      <c r="S516" s="1344"/>
      <c r="T516" s="1344"/>
      <c r="U516" s="1753"/>
      <c r="V516" s="1344"/>
      <c r="W516" s="1344"/>
      <c r="X516" s="1344"/>
      <c r="Y516" s="1707"/>
      <c r="Z516" s="1707"/>
      <c r="AA516" s="1344"/>
      <c r="AB516" s="1344"/>
      <c r="AC516" s="1344"/>
      <c r="AD516" s="1344"/>
    </row>
    <row r="517" s="1709" customFormat="true" ht="15.75" hidden="true" customHeight="true" outlineLevel="1" collapsed="false">
      <c r="A517" s="1799" t="str">
        <f aca="false">A475</f>
        <v>Стойка каркаса по фронтону, 1 этаж, односкатная кровля, №4</v>
      </c>
      <c r="B517" s="1294" t="str">
        <f aca="false">B475</f>
        <v>м.п.</v>
      </c>
      <c r="C517" s="1799" t="n">
        <f aca="false">C475</f>
        <v>0.4</v>
      </c>
      <c r="D517" s="1799" t="n">
        <f aca="false">D475</f>
        <v>0.045</v>
      </c>
      <c r="E517" s="1799" t="n">
        <f aca="false">IF('Ввод данных'!$A$459=связи1!$A$97,IF(дома!E516&lt;связи1!$E$571,0,дома!E516-$E$419),0)+IF(дома!E516=0,0,IF('Ввод данных'!$A$459=связи1!$A$94,IF(дома!E516&lt;0,0,дома!E516-$E$419),0))</f>
        <v>0</v>
      </c>
      <c r="F517" s="1799" t="n">
        <f aca="false">F475</f>
        <v>2</v>
      </c>
      <c r="G517" s="1344" t="n">
        <f aca="false">C517*D517*E517*F517</f>
        <v>0</v>
      </c>
      <c r="H517" s="1344"/>
      <c r="I517" s="1344"/>
      <c r="J517" s="1344"/>
      <c r="K517" s="1344"/>
      <c r="L517" s="1344"/>
      <c r="M517" s="1344"/>
      <c r="N517" s="1344"/>
      <c r="O517" s="1344"/>
      <c r="P517" s="1707"/>
      <c r="Q517" s="1707"/>
      <c r="R517" s="1707"/>
      <c r="S517" s="1344"/>
      <c r="T517" s="1344"/>
      <c r="U517" s="1753"/>
      <c r="V517" s="1344"/>
      <c r="W517" s="1344"/>
      <c r="X517" s="1344"/>
      <c r="Y517" s="1707"/>
      <c r="Z517" s="1707"/>
      <c r="AA517" s="1344"/>
      <c r="AB517" s="1344"/>
      <c r="AC517" s="1344"/>
      <c r="AD517" s="1344"/>
    </row>
    <row r="518" s="1709" customFormat="true" ht="15.75" hidden="true" customHeight="true" outlineLevel="1" collapsed="false">
      <c r="A518" s="1799" t="str">
        <f aca="false">A476</f>
        <v>Стойка каркаса по фронтону, 1 этаж, односкатная кровля, №5</v>
      </c>
      <c r="B518" s="1294" t="str">
        <f aca="false">B476</f>
        <v>м.п.</v>
      </c>
      <c r="C518" s="1799" t="n">
        <f aca="false">C476</f>
        <v>0.4</v>
      </c>
      <c r="D518" s="1799" t="n">
        <f aca="false">D476</f>
        <v>0.045</v>
      </c>
      <c r="E518" s="1799" t="n">
        <f aca="false">IF('Ввод данных'!$A$459=связи1!$A$97,IF(дома!E517&lt;связи1!$E$571,0,дома!E517-$E$419),0)+IF(дома!E517=0,0,IF('Ввод данных'!$A$459=связи1!$A$94,IF(дома!E517&lt;0,0,дома!E517-$E$419),0))</f>
        <v>0</v>
      </c>
      <c r="F518" s="1799" t="n">
        <f aca="false">F476</f>
        <v>2</v>
      </c>
      <c r="G518" s="1344" t="n">
        <f aca="false">C518*D518*E518*F518</f>
        <v>0</v>
      </c>
      <c r="H518" s="1344"/>
      <c r="I518" s="1344"/>
      <c r="J518" s="1344"/>
      <c r="K518" s="1344"/>
      <c r="L518" s="1344"/>
      <c r="M518" s="1344"/>
      <c r="N518" s="1344"/>
      <c r="O518" s="1344"/>
      <c r="P518" s="1707"/>
      <c r="Q518" s="1707"/>
      <c r="R518" s="1707"/>
      <c r="S518" s="1344"/>
      <c r="T518" s="1344"/>
      <c r="U518" s="1753"/>
      <c r="V518" s="1344"/>
      <c r="W518" s="1344"/>
      <c r="X518" s="1344"/>
      <c r="Y518" s="1707"/>
      <c r="Z518" s="1707"/>
      <c r="AA518" s="1344"/>
      <c r="AB518" s="1344"/>
      <c r="AC518" s="1344"/>
      <c r="AD518" s="1344"/>
    </row>
    <row r="519" s="1709" customFormat="true" ht="15.75" hidden="true" customHeight="true" outlineLevel="1" collapsed="false">
      <c r="A519" s="1799" t="str">
        <f aca="false">A477</f>
        <v>Стойка каркаса по фронтону, 1 этаж, односкатная кровля, №6</v>
      </c>
      <c r="B519" s="1294" t="str">
        <f aca="false">B477</f>
        <v>м.п.</v>
      </c>
      <c r="C519" s="1799" t="n">
        <f aca="false">C477</f>
        <v>0.4</v>
      </c>
      <c r="D519" s="1799" t="n">
        <f aca="false">D477</f>
        <v>0.045</v>
      </c>
      <c r="E519" s="1799" t="n">
        <f aca="false">IF('Ввод данных'!$A$459=связи1!$A$97,IF(дома!E518&lt;связи1!$E$571,0,дома!E518-$E$419),0)+IF(дома!E518=0,0,IF('Ввод данных'!$A$459=связи1!$A$94,IF(дома!E518&lt;0,0,дома!E518-$E$419),0))</f>
        <v>0</v>
      </c>
      <c r="F519" s="1799" t="n">
        <f aca="false">F477</f>
        <v>2</v>
      </c>
      <c r="G519" s="1344" t="n">
        <f aca="false">C519*D519*E519*F519</f>
        <v>0</v>
      </c>
      <c r="H519" s="1344"/>
      <c r="I519" s="1344"/>
      <c r="J519" s="1344"/>
      <c r="K519" s="1344"/>
      <c r="L519" s="1344"/>
      <c r="M519" s="1344"/>
      <c r="N519" s="1344"/>
      <c r="O519" s="1344"/>
      <c r="P519" s="1707"/>
      <c r="Q519" s="1707"/>
      <c r="R519" s="1707"/>
      <c r="S519" s="1344"/>
      <c r="T519" s="1344"/>
      <c r="U519" s="1753"/>
      <c r="V519" s="1344"/>
      <c r="W519" s="1344"/>
      <c r="X519" s="1344"/>
      <c r="Y519" s="1707"/>
      <c r="Z519" s="1707"/>
      <c r="AA519" s="1344"/>
      <c r="AB519" s="1344"/>
      <c r="AC519" s="1344"/>
      <c r="AD519" s="1344"/>
    </row>
    <row r="520" s="1709" customFormat="true" ht="15.75" hidden="true" customHeight="true" outlineLevel="1" collapsed="false">
      <c r="A520" s="1799" t="str">
        <f aca="false">A478</f>
        <v>Стойка каркаса по фронтону, 1 этаж, односкатная кровля, №7</v>
      </c>
      <c r="B520" s="1294" t="str">
        <f aca="false">B478</f>
        <v>м.п.</v>
      </c>
      <c r="C520" s="1799" t="n">
        <f aca="false">C478</f>
        <v>0.4</v>
      </c>
      <c r="D520" s="1799" t="n">
        <f aca="false">D478</f>
        <v>0.045</v>
      </c>
      <c r="E520" s="1799" t="n">
        <f aca="false">IF('Ввод данных'!$A$459=связи1!$A$97,IF(дома!E519&lt;связи1!$E$571,0,дома!E519-$E$419),0)+IF(дома!E519=0,0,IF('Ввод данных'!$A$459=связи1!$A$94,IF(дома!E519&lt;0,0,дома!E519-$E$419),0))</f>
        <v>0</v>
      </c>
      <c r="F520" s="1799" t="n">
        <f aca="false">F478</f>
        <v>2</v>
      </c>
      <c r="G520" s="1344" t="n">
        <f aca="false">C520*D520*E520*F520</f>
        <v>0</v>
      </c>
      <c r="H520" s="1344"/>
      <c r="I520" s="1344"/>
      <c r="J520" s="1344"/>
      <c r="K520" s="1344"/>
      <c r="L520" s="1344"/>
      <c r="M520" s="1344"/>
      <c r="N520" s="1344"/>
      <c r="O520" s="1344"/>
      <c r="P520" s="1707"/>
      <c r="Q520" s="1707"/>
      <c r="R520" s="1707"/>
      <c r="S520" s="1344"/>
      <c r="T520" s="1344"/>
      <c r="U520" s="1753"/>
      <c r="V520" s="1344"/>
      <c r="W520" s="1344"/>
      <c r="X520" s="1344"/>
      <c r="Y520" s="1707"/>
      <c r="Z520" s="1707"/>
      <c r="AA520" s="1344"/>
      <c r="AB520" s="1344"/>
      <c r="AC520" s="1344"/>
      <c r="AD520" s="1344"/>
    </row>
    <row r="521" s="1709" customFormat="true" ht="15.75" hidden="true" customHeight="true" outlineLevel="1" collapsed="false">
      <c r="A521" s="1799" t="str">
        <f aca="false">A479</f>
        <v>Стойка каркаса по фронтону, 1 этаж, односкатная кровля, №8</v>
      </c>
      <c r="B521" s="1294" t="str">
        <f aca="false">B479</f>
        <v>м.п.</v>
      </c>
      <c r="C521" s="1799" t="n">
        <f aca="false">C479</f>
        <v>0.4</v>
      </c>
      <c r="D521" s="1799" t="n">
        <f aca="false">D479</f>
        <v>0.045</v>
      </c>
      <c r="E521" s="1799" t="n">
        <f aca="false">IF('Ввод данных'!$A$459=связи1!$A$97,IF(дома!E520&lt;связи1!$E$571,0,дома!E520-$E$419),0)+IF(дома!E520=0,0,IF('Ввод данных'!$A$459=связи1!$A$94,IF(дома!E520&lt;0,0,дома!E520-$E$419),0))</f>
        <v>0</v>
      </c>
      <c r="F521" s="1799" t="n">
        <f aca="false">F479</f>
        <v>2</v>
      </c>
      <c r="G521" s="1344" t="n">
        <f aca="false">C521*D521*E521*F521</f>
        <v>0</v>
      </c>
      <c r="H521" s="1344"/>
      <c r="I521" s="1344"/>
      <c r="J521" s="1344"/>
      <c r="K521" s="1344"/>
      <c r="L521" s="1344"/>
      <c r="M521" s="1344"/>
      <c r="N521" s="1344"/>
      <c r="O521" s="1344"/>
      <c r="P521" s="1707"/>
      <c r="Q521" s="1707"/>
      <c r="R521" s="1707"/>
      <c r="S521" s="1344"/>
      <c r="T521" s="1344"/>
      <c r="U521" s="1753"/>
      <c r="V521" s="1344"/>
      <c r="W521" s="1344"/>
      <c r="X521" s="1344"/>
      <c r="Y521" s="1707"/>
      <c r="Z521" s="1707"/>
      <c r="AA521" s="1344"/>
      <c r="AB521" s="1344"/>
      <c r="AC521" s="1344"/>
      <c r="AD521" s="1344"/>
    </row>
    <row r="522" s="1709" customFormat="true" ht="15.75" hidden="true" customHeight="true" outlineLevel="1" collapsed="false">
      <c r="A522" s="1799" t="str">
        <f aca="false">A480</f>
        <v>Стойка каркаса по фронтону, 1 этаж, односкатная кровля, №9</v>
      </c>
      <c r="B522" s="1294" t="str">
        <f aca="false">B480</f>
        <v>м.п.</v>
      </c>
      <c r="C522" s="1799" t="n">
        <f aca="false">C480</f>
        <v>0.4</v>
      </c>
      <c r="D522" s="1799" t="n">
        <f aca="false">D480</f>
        <v>0.045</v>
      </c>
      <c r="E522" s="1799" t="n">
        <f aca="false">IF('Ввод данных'!$A$459=связи1!$A$97,IF(дома!E521&lt;связи1!$E$571,0,дома!E521-$E$419),0)+IF(дома!E521=0,0,IF('Ввод данных'!$A$459=связи1!$A$94,IF(дома!E521&lt;0,0,дома!E521-$E$419),0))</f>
        <v>0</v>
      </c>
      <c r="F522" s="1799" t="n">
        <f aca="false">F480</f>
        <v>2</v>
      </c>
      <c r="G522" s="1344" t="n">
        <f aca="false">C522*D522*E522*F522</f>
        <v>0</v>
      </c>
      <c r="H522" s="1344"/>
      <c r="I522" s="1344"/>
      <c r="J522" s="1344"/>
      <c r="K522" s="1344"/>
      <c r="L522" s="1344"/>
      <c r="M522" s="1344"/>
      <c r="N522" s="1344"/>
      <c r="O522" s="1344"/>
      <c r="P522" s="1707"/>
      <c r="Q522" s="1707"/>
      <c r="R522" s="1707"/>
      <c r="S522" s="1344"/>
      <c r="T522" s="1344"/>
      <c r="U522" s="1753"/>
      <c r="V522" s="1344"/>
      <c r="W522" s="1344"/>
      <c r="X522" s="1344"/>
      <c r="Y522" s="1707"/>
      <c r="Z522" s="1707"/>
      <c r="AA522" s="1344"/>
      <c r="AB522" s="1344"/>
      <c r="AC522" s="1344"/>
      <c r="AD522" s="1344"/>
    </row>
    <row r="523" s="1709" customFormat="true" ht="15.75" hidden="true" customHeight="true" outlineLevel="1" collapsed="false">
      <c r="A523" s="1799" t="str">
        <f aca="false">A481</f>
        <v>Стойка каркаса по фронтону, 1 этаж, односкатная кровля, №10</v>
      </c>
      <c r="B523" s="1294" t="str">
        <f aca="false">B481</f>
        <v>м.п.</v>
      </c>
      <c r="C523" s="1799" t="n">
        <f aca="false">C481</f>
        <v>0.4</v>
      </c>
      <c r="D523" s="1799" t="n">
        <f aca="false">D481</f>
        <v>0.045</v>
      </c>
      <c r="E523" s="1799" t="n">
        <f aca="false">IF('Ввод данных'!$A$459=связи1!$A$97,IF(дома!E522&lt;связи1!$E$571,0,дома!E522-$E$419),0)+IF(дома!E522=0,0,IF('Ввод данных'!$A$459=связи1!$A$94,IF(дома!E522&lt;0,0,дома!E522-$E$419),0))</f>
        <v>0</v>
      </c>
      <c r="F523" s="1799" t="n">
        <f aca="false">F481</f>
        <v>2</v>
      </c>
      <c r="G523" s="1344" t="n">
        <f aca="false">C523*D523*E523*F523</f>
        <v>0</v>
      </c>
      <c r="H523" s="1344"/>
      <c r="I523" s="1344"/>
      <c r="J523" s="1344"/>
      <c r="K523" s="1344"/>
      <c r="L523" s="1344"/>
      <c r="M523" s="1344"/>
      <c r="N523" s="1344"/>
      <c r="O523" s="1344"/>
      <c r="P523" s="1707"/>
      <c r="Q523" s="1707"/>
      <c r="R523" s="1707"/>
      <c r="S523" s="1344"/>
      <c r="T523" s="1344"/>
      <c r="U523" s="1753"/>
      <c r="V523" s="1344"/>
      <c r="W523" s="1344"/>
      <c r="X523" s="1344"/>
      <c r="Y523" s="1707"/>
      <c r="Z523" s="1707"/>
      <c r="AA523" s="1344"/>
      <c r="AB523" s="1344"/>
      <c r="AC523" s="1344"/>
      <c r="AD523" s="1344"/>
    </row>
    <row r="524" s="1709" customFormat="true" ht="15.75" hidden="true" customHeight="true" outlineLevel="1" collapsed="false">
      <c r="A524" s="1799" t="str">
        <f aca="false">A482</f>
        <v>Стойка каркаса по фронтону, 1 этаж, односкатная кровля, №11</v>
      </c>
      <c r="B524" s="1294" t="str">
        <f aca="false">B482</f>
        <v>м.п.</v>
      </c>
      <c r="C524" s="1799" t="n">
        <f aca="false">C482</f>
        <v>0.4</v>
      </c>
      <c r="D524" s="1799" t="n">
        <f aca="false">D482</f>
        <v>0.045</v>
      </c>
      <c r="E524" s="1799" t="n">
        <f aca="false">IF('Ввод данных'!$A$459=связи1!$A$97,IF(дома!E523&lt;связи1!$E$571,0,дома!E523-$E$419),0)+IF(дома!E523=0,0,IF('Ввод данных'!$A$459=связи1!$A$94,IF(дома!E523&lt;0,0,дома!E523-$E$419),0))</f>
        <v>0</v>
      </c>
      <c r="F524" s="1799" t="n">
        <f aca="false">F482</f>
        <v>2</v>
      </c>
      <c r="G524" s="1344" t="n">
        <f aca="false">C524*D524*E524*F524</f>
        <v>0</v>
      </c>
      <c r="H524" s="1344"/>
      <c r="I524" s="1344"/>
      <c r="J524" s="1344"/>
      <c r="K524" s="1344"/>
      <c r="L524" s="1344"/>
      <c r="M524" s="1344"/>
      <c r="N524" s="1344"/>
      <c r="O524" s="1344"/>
      <c r="P524" s="1707"/>
      <c r="Q524" s="1707"/>
      <c r="R524" s="1707"/>
      <c r="S524" s="1344"/>
      <c r="T524" s="1344"/>
      <c r="U524" s="1753"/>
      <c r="V524" s="1344"/>
      <c r="W524" s="1344"/>
      <c r="X524" s="1344"/>
      <c r="Y524" s="1707"/>
      <c r="Z524" s="1707"/>
      <c r="AA524" s="1344"/>
      <c r="AB524" s="1344"/>
      <c r="AC524" s="1344"/>
      <c r="AD524" s="1344"/>
    </row>
    <row r="525" s="1709" customFormat="true" ht="15.75" hidden="true" customHeight="true" outlineLevel="1" collapsed="false">
      <c r="A525" s="1799" t="str">
        <f aca="false">A483</f>
        <v>Стойка каркаса по фронтону, 1 этаж, односкатная кровля, №12</v>
      </c>
      <c r="B525" s="1294" t="str">
        <f aca="false">B483</f>
        <v>м.п.</v>
      </c>
      <c r="C525" s="1799" t="n">
        <f aca="false">C483</f>
        <v>0.4</v>
      </c>
      <c r="D525" s="1799" t="n">
        <f aca="false">D483</f>
        <v>0.045</v>
      </c>
      <c r="E525" s="1799" t="n">
        <f aca="false">IF('Ввод данных'!$A$459=связи1!$A$97,IF(дома!E524&lt;связи1!$E$571,0,дома!E524-$E$419),0)+IF(дома!E524=0,0,IF('Ввод данных'!$A$459=связи1!$A$94,IF(дома!E524&lt;0,0,дома!E524-$E$419),0))</f>
        <v>0</v>
      </c>
      <c r="F525" s="1799" t="n">
        <f aca="false">F483</f>
        <v>2</v>
      </c>
      <c r="G525" s="1344" t="n">
        <f aca="false">C525*D525*E525*F525</f>
        <v>0</v>
      </c>
      <c r="H525" s="1344"/>
      <c r="I525" s="1344"/>
      <c r="J525" s="1344"/>
      <c r="K525" s="1344"/>
      <c r="L525" s="1344"/>
      <c r="M525" s="1344"/>
      <c r="N525" s="1344"/>
      <c r="O525" s="1344"/>
      <c r="P525" s="1707"/>
      <c r="Q525" s="1707"/>
      <c r="R525" s="1707"/>
      <c r="S525" s="1344"/>
      <c r="T525" s="1344"/>
      <c r="U525" s="1753"/>
      <c r="V525" s="1344"/>
      <c r="W525" s="1344"/>
      <c r="X525" s="1344"/>
      <c r="Y525" s="1707"/>
      <c r="Z525" s="1707"/>
      <c r="AA525" s="1344"/>
      <c r="AB525" s="1344"/>
      <c r="AC525" s="1344"/>
      <c r="AD525" s="1344"/>
    </row>
    <row r="526" s="1709" customFormat="true" ht="15.75" hidden="true" customHeight="true" outlineLevel="1" collapsed="false">
      <c r="A526" s="1799" t="str">
        <f aca="false">A484</f>
        <v>Стойка каркаса по фронтону, 1 этаж, односкатная кровля, №13</v>
      </c>
      <c r="B526" s="1294" t="str">
        <f aca="false">B484</f>
        <v>м.п.</v>
      </c>
      <c r="C526" s="1799" t="n">
        <f aca="false">C484</f>
        <v>0.4</v>
      </c>
      <c r="D526" s="1799" t="n">
        <f aca="false">D484</f>
        <v>0.045</v>
      </c>
      <c r="E526" s="1799" t="n">
        <f aca="false">IF('Ввод данных'!$A$459=связи1!$A$97,IF(дома!E525&lt;связи1!$E$571,0,дома!E525-$E$419),0)+IF(дома!E525=0,0,IF('Ввод данных'!$A$459=связи1!$A$94,IF(дома!E525&lt;0,0,дома!E525-$E$419),0))</f>
        <v>0</v>
      </c>
      <c r="F526" s="1799" t="n">
        <f aca="false">F484</f>
        <v>2</v>
      </c>
      <c r="G526" s="1344" t="n">
        <f aca="false">C526*D526*E526*F526</f>
        <v>0</v>
      </c>
      <c r="H526" s="1344"/>
      <c r="I526" s="1344"/>
      <c r="J526" s="1344"/>
      <c r="K526" s="1344"/>
      <c r="L526" s="1344"/>
      <c r="M526" s="1344"/>
      <c r="N526" s="1344"/>
      <c r="O526" s="1344"/>
      <c r="P526" s="1707"/>
      <c r="Q526" s="1707"/>
      <c r="R526" s="1707"/>
      <c r="S526" s="1344"/>
      <c r="T526" s="1344"/>
      <c r="U526" s="1753"/>
      <c r="V526" s="1344"/>
      <c r="W526" s="1344"/>
      <c r="X526" s="1344"/>
      <c r="Y526" s="1707"/>
      <c r="Z526" s="1707"/>
      <c r="AA526" s="1344"/>
      <c r="AB526" s="1344"/>
      <c r="AC526" s="1344"/>
      <c r="AD526" s="1344"/>
    </row>
    <row r="527" s="1709" customFormat="true" ht="15.75" hidden="true" customHeight="true" outlineLevel="1" collapsed="false">
      <c r="A527" s="1799" t="str">
        <f aca="false">A485</f>
        <v>Стойка каркаса по фронтону, 1 этаж, односкатная кровля, №14</v>
      </c>
      <c r="B527" s="1294" t="str">
        <f aca="false">B485</f>
        <v>м.п.</v>
      </c>
      <c r="C527" s="1799" t="n">
        <f aca="false">C485</f>
        <v>0.4</v>
      </c>
      <c r="D527" s="1799" t="n">
        <f aca="false">D485</f>
        <v>0.045</v>
      </c>
      <c r="E527" s="1799" t="n">
        <f aca="false">IF('Ввод данных'!$A$459=связи1!$A$97,IF(дома!E526&lt;связи1!$E$571,0,дома!E526-$E$419),0)+IF(дома!E526=0,0,IF('Ввод данных'!$A$459=связи1!$A$94,IF(дома!E526&lt;0,0,дома!E526-$E$419),0))</f>
        <v>0</v>
      </c>
      <c r="F527" s="1799" t="n">
        <f aca="false">F485</f>
        <v>2</v>
      </c>
      <c r="G527" s="1344" t="n">
        <f aca="false">C527*D527*E527*F527</f>
        <v>0</v>
      </c>
      <c r="H527" s="1344"/>
      <c r="I527" s="1344"/>
      <c r="J527" s="1344"/>
      <c r="K527" s="1344"/>
      <c r="L527" s="1344"/>
      <c r="M527" s="1344"/>
      <c r="N527" s="1344"/>
      <c r="O527" s="1344"/>
      <c r="P527" s="1707"/>
      <c r="Q527" s="1707"/>
      <c r="R527" s="1707"/>
      <c r="S527" s="1344"/>
      <c r="T527" s="1344"/>
      <c r="U527" s="1753"/>
      <c r="V527" s="1344"/>
      <c r="W527" s="1344"/>
      <c r="X527" s="1344"/>
      <c r="Y527" s="1707"/>
      <c r="Z527" s="1707"/>
      <c r="AA527" s="1344"/>
      <c r="AB527" s="1344"/>
      <c r="AC527" s="1344"/>
      <c r="AD527" s="1344"/>
    </row>
    <row r="528" s="1709" customFormat="true" ht="15.75" hidden="true" customHeight="true" outlineLevel="1" collapsed="false">
      <c r="A528" s="1799" t="str">
        <f aca="false">A486</f>
        <v>Стойка каркаса по фронтону, 1 этаж, односкатная кровля, №15</v>
      </c>
      <c r="B528" s="1294" t="str">
        <f aca="false">B486</f>
        <v>м.п.</v>
      </c>
      <c r="C528" s="1799" t="n">
        <f aca="false">C486</f>
        <v>0.4</v>
      </c>
      <c r="D528" s="1799" t="n">
        <f aca="false">D486</f>
        <v>0.045</v>
      </c>
      <c r="E528" s="1799" t="n">
        <f aca="false">IF('Ввод данных'!$A$459=связи1!$A$97,IF(дома!E527&lt;связи1!$E$571,0,дома!E527-$E$419),0)+IF(дома!E527=0,0,IF('Ввод данных'!$A$459=связи1!$A$94,IF(дома!E527&lt;0,0,дома!E527-$E$419),0))</f>
        <v>0</v>
      </c>
      <c r="F528" s="1799" t="n">
        <f aca="false">F486</f>
        <v>2</v>
      </c>
      <c r="G528" s="1344" t="n">
        <f aca="false">C528*D528*E528*F528</f>
        <v>0</v>
      </c>
      <c r="H528" s="1344"/>
      <c r="I528" s="1344"/>
      <c r="J528" s="1344"/>
      <c r="K528" s="1344"/>
      <c r="L528" s="1344"/>
      <c r="M528" s="1344"/>
      <c r="N528" s="1344"/>
      <c r="O528" s="1344"/>
      <c r="P528" s="1707"/>
      <c r="Q528" s="1707"/>
      <c r="R528" s="1707"/>
      <c r="S528" s="1344"/>
      <c r="T528" s="1344"/>
      <c r="U528" s="1753"/>
      <c r="V528" s="1344"/>
      <c r="W528" s="1344"/>
      <c r="X528" s="1344"/>
      <c r="Y528" s="1707"/>
      <c r="Z528" s="1707"/>
      <c r="AA528" s="1344"/>
      <c r="AB528" s="1344"/>
      <c r="AC528" s="1344"/>
      <c r="AD528" s="1344"/>
    </row>
    <row r="529" s="1709" customFormat="true" ht="15.75" hidden="true" customHeight="true" outlineLevel="1" collapsed="false">
      <c r="A529" s="1799" t="str">
        <f aca="false">A487</f>
        <v>Стойка каркаса по фронтону, 1 этаж, односкатная кровля, №16</v>
      </c>
      <c r="B529" s="1294" t="str">
        <f aca="false">B487</f>
        <v>м.п.</v>
      </c>
      <c r="C529" s="1799" t="n">
        <f aca="false">C487</f>
        <v>0.4</v>
      </c>
      <c r="D529" s="1799" t="n">
        <f aca="false">D487</f>
        <v>0.045</v>
      </c>
      <c r="E529" s="1799" t="n">
        <f aca="false">IF('Ввод данных'!$A$459=связи1!$A$97,IF(дома!E528&lt;связи1!$E$571,0,дома!E528-$E$419),0)+IF(дома!E528=0,0,IF('Ввод данных'!$A$459=связи1!$A$94,IF(дома!E528&lt;0,0,дома!E528-$E$419),0))</f>
        <v>0</v>
      </c>
      <c r="F529" s="1799" t="n">
        <f aca="false">F487</f>
        <v>2</v>
      </c>
      <c r="G529" s="1344" t="n">
        <f aca="false">C529*D529*E529*F529</f>
        <v>0</v>
      </c>
      <c r="H529" s="1344"/>
      <c r="I529" s="1344"/>
      <c r="J529" s="1344"/>
      <c r="K529" s="1344"/>
      <c r="L529" s="1344"/>
      <c r="M529" s="1344"/>
      <c r="N529" s="1344"/>
      <c r="O529" s="1344"/>
      <c r="P529" s="1707"/>
      <c r="Q529" s="1707"/>
      <c r="R529" s="1707"/>
      <c r="S529" s="1344"/>
      <c r="T529" s="1344"/>
      <c r="U529" s="1753"/>
      <c r="V529" s="1344"/>
      <c r="W529" s="1344"/>
      <c r="X529" s="1344"/>
      <c r="Y529" s="1707"/>
      <c r="Z529" s="1707"/>
      <c r="AA529" s="1344"/>
      <c r="AB529" s="1344"/>
      <c r="AC529" s="1344"/>
      <c r="AD529" s="1344"/>
    </row>
    <row r="530" s="1709" customFormat="true" ht="15.75" hidden="true" customHeight="true" outlineLevel="1" collapsed="false">
      <c r="A530" s="1799" t="str">
        <f aca="false">A488</f>
        <v>Стойка каркаса по фронтону, 1 этаж, односкатная кровля, №17</v>
      </c>
      <c r="B530" s="1294" t="str">
        <f aca="false">B488</f>
        <v>м.п.</v>
      </c>
      <c r="C530" s="1799" t="n">
        <f aca="false">C488</f>
        <v>0.4</v>
      </c>
      <c r="D530" s="1799" t="n">
        <f aca="false">D488</f>
        <v>0.045</v>
      </c>
      <c r="E530" s="1799" t="n">
        <f aca="false">IF('Ввод данных'!$A$459=связи1!$A$97,IF(дома!E529&lt;связи1!$E$571,0,дома!E529-$E$419),0)+IF(дома!E529=0,0,IF('Ввод данных'!$A$459=связи1!$A$94,IF(дома!E529&lt;0,0,дома!E529-$E$419),0))</f>
        <v>0</v>
      </c>
      <c r="F530" s="1799" t="n">
        <f aca="false">F488</f>
        <v>2</v>
      </c>
      <c r="G530" s="1344" t="n">
        <f aca="false">C530*D530*E530*F530</f>
        <v>0</v>
      </c>
      <c r="H530" s="1344"/>
      <c r="I530" s="1344"/>
      <c r="J530" s="1344"/>
      <c r="K530" s="1344"/>
      <c r="L530" s="1344"/>
      <c r="M530" s="1344"/>
      <c r="N530" s="1344"/>
      <c r="O530" s="1344"/>
      <c r="P530" s="1707"/>
      <c r="Q530" s="1707"/>
      <c r="R530" s="1707"/>
      <c r="S530" s="1344"/>
      <c r="T530" s="1344"/>
      <c r="U530" s="1753"/>
      <c r="V530" s="1344"/>
      <c r="W530" s="1344"/>
      <c r="X530" s="1344"/>
      <c r="Y530" s="1707"/>
      <c r="Z530" s="1707"/>
      <c r="AA530" s="1344"/>
      <c r="AB530" s="1344"/>
      <c r="AC530" s="1344"/>
      <c r="AD530" s="1344"/>
    </row>
    <row r="531" s="1709" customFormat="true" ht="15.75" hidden="true" customHeight="true" outlineLevel="1" collapsed="false">
      <c r="A531" s="1799" t="str">
        <f aca="false">A489</f>
        <v>Стойка каркаса по фронтону, 1 этаж, двускатная кровля, №1</v>
      </c>
      <c r="B531" s="1294" t="str">
        <f aca="false">B489</f>
        <v>м.п.</v>
      </c>
      <c r="C531" s="1799" t="n">
        <f aca="false">C489</f>
        <v>0.4</v>
      </c>
      <c r="D531" s="1799" t="n">
        <f aca="false">D489</f>
        <v>0.045</v>
      </c>
      <c r="E531" s="1799" t="n">
        <f aca="false">IF('Ввод данных'!A458=связи1!A107,IF('Ввод данных'!A459=связи1!A94,связи1!E572-связи1!E571,0)+IF('Ввод данных'!A459=связи1!A95,0,0)+IF('Ввод данных'!A459=связи1!A96,0,0)+IF('Ввод данных'!A458=связи1!A107,IF('Ввод данных'!A459=связи1!A97,связи1!E572,0),0)+IF('Ввод данных'!A459=связи1!A98,0,0),0)</f>
        <v>0</v>
      </c>
      <c r="F531" s="1799" t="n">
        <f aca="false">F489</f>
        <v>2</v>
      </c>
      <c r="G531" s="1344" t="n">
        <f aca="false">C531*D531*E531*F531</f>
        <v>0</v>
      </c>
      <c r="H531" s="1344"/>
      <c r="I531" s="1344"/>
      <c r="J531" s="1344"/>
      <c r="K531" s="1344"/>
      <c r="L531" s="1344"/>
      <c r="M531" s="1344"/>
      <c r="N531" s="1344"/>
      <c r="O531" s="1344"/>
      <c r="P531" s="1707"/>
      <c r="Q531" s="1707"/>
      <c r="R531" s="1707"/>
      <c r="S531" s="1344"/>
      <c r="T531" s="1344"/>
      <c r="U531" s="1753"/>
      <c r="V531" s="1344"/>
      <c r="W531" s="1344"/>
      <c r="X531" s="1344"/>
      <c r="Y531" s="1707"/>
      <c r="Z531" s="1707"/>
      <c r="AA531" s="1344"/>
      <c r="AB531" s="1344"/>
      <c r="AC531" s="1344"/>
      <c r="AD531" s="1344"/>
    </row>
    <row r="532" s="1709" customFormat="true" ht="15.75" hidden="true" customHeight="true" outlineLevel="1" collapsed="false">
      <c r="A532" s="1799" t="str">
        <f aca="false">A490</f>
        <v>Стойка каркаса по фронтону, 1 этаж, двускатная кровля, №2</v>
      </c>
      <c r="B532" s="1294" t="str">
        <f aca="false">B490</f>
        <v>м.п.</v>
      </c>
      <c r="C532" s="1799" t="n">
        <f aca="false">C490</f>
        <v>0.4</v>
      </c>
      <c r="D532" s="1799" t="n">
        <f aca="false">D490</f>
        <v>0.045</v>
      </c>
      <c r="E532" s="1799" t="n">
        <f aca="false">IF('Ввод данных'!$A$459=связи1!$A$97,IF(дома!E531&lt;связи1!$E$571,0,дома!E531-$E$419),0)+IF(дома!E531&lt;=0,0,IF('Ввод данных'!$A$459=связи1!$A$94,IF(дома!E531&lt;0,0,дома!E531-$E$419),0))</f>
        <v>0</v>
      </c>
      <c r="F532" s="1799" t="n">
        <f aca="false">F490</f>
        <v>2</v>
      </c>
      <c r="G532" s="1344" t="n">
        <f aca="false">C532*D532*E532*F532</f>
        <v>0</v>
      </c>
      <c r="H532" s="1344"/>
      <c r="I532" s="1344"/>
      <c r="J532" s="1344"/>
      <c r="K532" s="1344"/>
      <c r="L532" s="1344"/>
      <c r="M532" s="1344"/>
      <c r="N532" s="1344"/>
      <c r="O532" s="1344"/>
      <c r="P532" s="1707"/>
      <c r="Q532" s="1707"/>
      <c r="R532" s="1707"/>
      <c r="S532" s="1344"/>
      <c r="T532" s="1344"/>
      <c r="U532" s="1753"/>
      <c r="V532" s="1344"/>
      <c r="W532" s="1344"/>
      <c r="X532" s="1344"/>
      <c r="Y532" s="1707"/>
      <c r="Z532" s="1707"/>
      <c r="AA532" s="1344"/>
      <c r="AB532" s="1344"/>
      <c r="AC532" s="1344"/>
      <c r="AD532" s="1344"/>
    </row>
    <row r="533" s="1709" customFormat="true" ht="15.75" hidden="true" customHeight="true" outlineLevel="1" collapsed="false">
      <c r="A533" s="1799" t="str">
        <f aca="false">A491</f>
        <v>Стойка каркаса по фронтону, 1 этаж, двускатная кровля, №3</v>
      </c>
      <c r="B533" s="1294" t="str">
        <f aca="false">B491</f>
        <v>м.п.</v>
      </c>
      <c r="C533" s="1799" t="n">
        <f aca="false">C491</f>
        <v>0.4</v>
      </c>
      <c r="D533" s="1799" t="n">
        <f aca="false">D491</f>
        <v>0.045</v>
      </c>
      <c r="E533" s="1799" t="n">
        <f aca="false">IF('Ввод данных'!$A$459=связи1!$A$97,IF(дома!E532&lt;связи1!$E$571,0,дома!E532-$E$419),0)+IF(дома!E532&lt;=0,0,IF('Ввод данных'!$A$459=связи1!$A$94,IF(дома!E532&lt;0,0,дома!E532-$E$419),0))</f>
        <v>0</v>
      </c>
      <c r="F533" s="1799" t="n">
        <f aca="false">F491</f>
        <v>2</v>
      </c>
      <c r="G533" s="1344" t="n">
        <f aca="false">C533*D533*E533*F533</f>
        <v>0</v>
      </c>
      <c r="H533" s="1344"/>
      <c r="I533" s="1344"/>
      <c r="J533" s="1344"/>
      <c r="K533" s="1344"/>
      <c r="L533" s="1344"/>
      <c r="M533" s="1344"/>
      <c r="N533" s="1344"/>
      <c r="O533" s="1344"/>
      <c r="P533" s="1707"/>
      <c r="Q533" s="1707"/>
      <c r="R533" s="1707"/>
      <c r="S533" s="1344"/>
      <c r="T533" s="1344"/>
      <c r="U533" s="1753"/>
      <c r="V533" s="1344"/>
      <c r="W533" s="1344"/>
      <c r="X533" s="1344"/>
      <c r="Y533" s="1707"/>
      <c r="Z533" s="1707"/>
      <c r="AA533" s="1344"/>
      <c r="AB533" s="1344"/>
      <c r="AC533" s="1344"/>
      <c r="AD533" s="1344"/>
    </row>
    <row r="534" s="1709" customFormat="true" ht="15.75" hidden="true" customHeight="true" outlineLevel="1" collapsed="false">
      <c r="A534" s="1799" t="str">
        <f aca="false">A492</f>
        <v>Стойка каркаса по фронтону, 1 этаж, двускатная кровля, №4</v>
      </c>
      <c r="B534" s="1294" t="str">
        <f aca="false">B492</f>
        <v>м.п.</v>
      </c>
      <c r="C534" s="1799" t="n">
        <f aca="false">C492</f>
        <v>0.4</v>
      </c>
      <c r="D534" s="1799" t="n">
        <f aca="false">D492</f>
        <v>0.045</v>
      </c>
      <c r="E534" s="1799" t="n">
        <f aca="false">IF('Ввод данных'!$A$459=связи1!$A$97,IF(дома!E533&lt;связи1!$E$571,0,дома!E533-$E$419),0)+IF(дома!E533&lt;=0,0,IF('Ввод данных'!$A$459=связи1!$A$94,IF(дома!E533&lt;0,0,дома!E533-$E$419),0))</f>
        <v>0</v>
      </c>
      <c r="F534" s="1799" t="n">
        <f aca="false">F492</f>
        <v>2</v>
      </c>
      <c r="G534" s="1344" t="n">
        <f aca="false">C534*D534*E534*F534</f>
        <v>0</v>
      </c>
      <c r="H534" s="1344"/>
      <c r="I534" s="1344"/>
      <c r="J534" s="1344"/>
      <c r="K534" s="1344"/>
      <c r="L534" s="1344"/>
      <c r="M534" s="1344"/>
      <c r="N534" s="1344"/>
      <c r="O534" s="1344"/>
      <c r="P534" s="1707"/>
      <c r="Q534" s="1707"/>
      <c r="R534" s="1707"/>
      <c r="S534" s="1344"/>
      <c r="T534" s="1344"/>
      <c r="U534" s="1753"/>
      <c r="V534" s="1344"/>
      <c r="W534" s="1344"/>
      <c r="X534" s="1344"/>
      <c r="Y534" s="1707"/>
      <c r="Z534" s="1707"/>
      <c r="AA534" s="1344"/>
      <c r="AB534" s="1344"/>
      <c r="AC534" s="1344"/>
      <c r="AD534" s="1344"/>
    </row>
    <row r="535" s="1709" customFormat="true" ht="15.75" hidden="true" customHeight="true" outlineLevel="1" collapsed="false">
      <c r="A535" s="1799" t="str">
        <f aca="false">A493</f>
        <v>Стойка каркаса по фронтону, 1 этаж, двускатная кровля, №5</v>
      </c>
      <c r="B535" s="1294" t="str">
        <f aca="false">B493</f>
        <v>м.п.</v>
      </c>
      <c r="C535" s="1799" t="n">
        <f aca="false">C493</f>
        <v>0.4</v>
      </c>
      <c r="D535" s="1799" t="n">
        <f aca="false">D493</f>
        <v>0.045</v>
      </c>
      <c r="E535" s="1799" t="n">
        <f aca="false">IF('Ввод данных'!$A$459=связи1!$A$97,IF(дома!E534&lt;связи1!$E$571,0,дома!E534-$E$419),0)+IF(дома!E534&lt;=0,0,IF('Ввод данных'!$A$459=связи1!$A$94,IF(дома!E534&lt;0,0,дома!E534-$E$419),0))</f>
        <v>0</v>
      </c>
      <c r="F535" s="1799" t="n">
        <f aca="false">F493</f>
        <v>2</v>
      </c>
      <c r="G535" s="1344" t="n">
        <f aca="false">C535*D535*E535*F535</f>
        <v>0</v>
      </c>
      <c r="H535" s="1344"/>
      <c r="I535" s="1344"/>
      <c r="J535" s="1344"/>
      <c r="K535" s="1344"/>
      <c r="L535" s="1344"/>
      <c r="M535" s="1344"/>
      <c r="N535" s="1344"/>
      <c r="O535" s="1344"/>
      <c r="P535" s="1707"/>
      <c r="Q535" s="1707"/>
      <c r="R535" s="1707"/>
      <c r="S535" s="1344"/>
      <c r="T535" s="1344"/>
      <c r="U535" s="1753"/>
      <c r="V535" s="1344"/>
      <c r="W535" s="1344"/>
      <c r="X535" s="1344"/>
      <c r="Y535" s="1707"/>
      <c r="Z535" s="1707"/>
      <c r="AA535" s="1344"/>
      <c r="AB535" s="1344"/>
      <c r="AC535" s="1344"/>
      <c r="AD535" s="1344"/>
    </row>
    <row r="536" s="1709" customFormat="true" ht="15.75" hidden="true" customHeight="true" outlineLevel="1" collapsed="false">
      <c r="A536" s="1799" t="str">
        <f aca="false">A494</f>
        <v>Стойка каркаса по фронтону, 1 этаж, двускатная кровля, №6</v>
      </c>
      <c r="B536" s="1294" t="str">
        <f aca="false">B494</f>
        <v>м.п.</v>
      </c>
      <c r="C536" s="1799" t="n">
        <f aca="false">C494</f>
        <v>0.4</v>
      </c>
      <c r="D536" s="1799" t="n">
        <f aca="false">D494</f>
        <v>0.045</v>
      </c>
      <c r="E536" s="1799" t="n">
        <f aca="false">IF('Ввод данных'!$A$459=связи1!$A$97,IF(дома!E535&lt;связи1!$E$571,0,дома!E535-$E$419),0)+IF(дома!E535&lt;=0,0,IF('Ввод данных'!$A$459=связи1!$A$94,IF(дома!E535&lt;0,0,дома!E535-$E$419),0))</f>
        <v>0</v>
      </c>
      <c r="F536" s="1799" t="n">
        <f aca="false">F494</f>
        <v>2</v>
      </c>
      <c r="G536" s="1344" t="n">
        <f aca="false">C536*D536*E536*F536</f>
        <v>0</v>
      </c>
      <c r="H536" s="1344"/>
      <c r="I536" s="1344"/>
      <c r="J536" s="1344"/>
      <c r="K536" s="1344"/>
      <c r="L536" s="1344"/>
      <c r="M536" s="1344"/>
      <c r="N536" s="1344"/>
      <c r="O536" s="1344"/>
      <c r="P536" s="1707"/>
      <c r="Q536" s="1707"/>
      <c r="R536" s="1707"/>
      <c r="S536" s="1344"/>
      <c r="T536" s="1344"/>
      <c r="U536" s="1753"/>
      <c r="V536" s="1344"/>
      <c r="W536" s="1344"/>
      <c r="X536" s="1344"/>
      <c r="Y536" s="1707"/>
      <c r="Z536" s="1707"/>
      <c r="AA536" s="1344"/>
      <c r="AB536" s="1344"/>
      <c r="AC536" s="1344"/>
      <c r="AD536" s="1344"/>
    </row>
    <row r="537" s="1709" customFormat="true" ht="15.75" hidden="true" customHeight="true" outlineLevel="1" collapsed="false">
      <c r="A537" s="1799" t="str">
        <f aca="false">A495</f>
        <v>Стойка каркаса по фронтону, 1 этаж, двускатная кровля, №7</v>
      </c>
      <c r="B537" s="1294" t="str">
        <f aca="false">B495</f>
        <v>м.п.</v>
      </c>
      <c r="C537" s="1799" t="n">
        <f aca="false">C495</f>
        <v>0.4</v>
      </c>
      <c r="D537" s="1799" t="n">
        <f aca="false">D495</f>
        <v>0.045</v>
      </c>
      <c r="E537" s="1799" t="n">
        <f aca="false">IF('Ввод данных'!$A$459=связи1!$A$97,IF(дома!E536&lt;связи1!$E$571,0,дома!E536-$E$419),0)+IF(дома!E536&lt;=0,0,IF('Ввод данных'!$A$459=связи1!$A$94,IF(дома!E536&lt;0,0,дома!E536-$E$419),0))</f>
        <v>0</v>
      </c>
      <c r="F537" s="1799" t="n">
        <f aca="false">F495</f>
        <v>2</v>
      </c>
      <c r="G537" s="1344" t="n">
        <f aca="false">C537*D537*E537*F537</f>
        <v>0</v>
      </c>
      <c r="H537" s="1344"/>
      <c r="I537" s="1344"/>
      <c r="J537" s="1344"/>
      <c r="K537" s="1344"/>
      <c r="L537" s="1344"/>
      <c r="M537" s="1344"/>
      <c r="N537" s="1344"/>
      <c r="O537" s="1344"/>
      <c r="P537" s="1707"/>
      <c r="Q537" s="1707"/>
      <c r="R537" s="1707"/>
      <c r="S537" s="1344"/>
      <c r="T537" s="1344"/>
      <c r="U537" s="1753"/>
      <c r="V537" s="1344"/>
      <c r="W537" s="1344"/>
      <c r="X537" s="1344"/>
      <c r="Y537" s="1707"/>
      <c r="Z537" s="1707"/>
      <c r="AA537" s="1344"/>
      <c r="AB537" s="1344"/>
      <c r="AC537" s="1344"/>
      <c r="AD537" s="1344"/>
    </row>
    <row r="538" s="1709" customFormat="true" ht="15.75" hidden="true" customHeight="true" outlineLevel="1" collapsed="false">
      <c r="A538" s="1799" t="str">
        <f aca="false">A496</f>
        <v>Стойка каркаса по фронтону, 1 этаж, двускатная кровля, №8</v>
      </c>
      <c r="B538" s="1294" t="str">
        <f aca="false">B496</f>
        <v>м.п.</v>
      </c>
      <c r="C538" s="1799" t="n">
        <f aca="false">C496</f>
        <v>0.4</v>
      </c>
      <c r="D538" s="1799" t="n">
        <f aca="false">D496</f>
        <v>0.045</v>
      </c>
      <c r="E538" s="1799" t="n">
        <f aca="false">IF('Ввод данных'!$A$459=связи1!$A$97,IF(дома!E537&lt;связи1!$E$571,0,дома!E537-$E$419),0)+IF(дома!E537&lt;=0,0,IF('Ввод данных'!$A$459=связи1!$A$94,IF(дома!E537&lt;0,0,дома!E537-$E$419),0))</f>
        <v>0</v>
      </c>
      <c r="F538" s="1799" t="n">
        <f aca="false">F496</f>
        <v>2</v>
      </c>
      <c r="G538" s="1344" t="n">
        <f aca="false">C538*D538*E538*F538</f>
        <v>0</v>
      </c>
      <c r="H538" s="1344"/>
      <c r="I538" s="1344"/>
      <c r="J538" s="1344"/>
      <c r="K538" s="1344"/>
      <c r="L538" s="1344"/>
      <c r="M538" s="1344"/>
      <c r="N538" s="1344"/>
      <c r="O538" s="1344"/>
      <c r="P538" s="1707"/>
      <c r="Q538" s="1707"/>
      <c r="R538" s="1707"/>
      <c r="S538" s="1344"/>
      <c r="T538" s="1344"/>
      <c r="U538" s="1753"/>
      <c r="V538" s="1344"/>
      <c r="W538" s="1344"/>
      <c r="X538" s="1344"/>
      <c r="Y538" s="1707"/>
      <c r="Z538" s="1707"/>
      <c r="AA538" s="1344"/>
      <c r="AB538" s="1344"/>
      <c r="AC538" s="1344"/>
      <c r="AD538" s="1344"/>
    </row>
    <row r="539" s="1709" customFormat="true" ht="15.75" hidden="true" customHeight="true" outlineLevel="1" collapsed="false">
      <c r="A539" s="1799" t="str">
        <f aca="false">A497</f>
        <v>Стойка каркаса по фронтону, 1 этаж, двускатная кровля, №9</v>
      </c>
      <c r="B539" s="1294" t="str">
        <f aca="false">B497</f>
        <v>м.п.</v>
      </c>
      <c r="C539" s="1799" t="n">
        <f aca="false">C497</f>
        <v>0.4</v>
      </c>
      <c r="D539" s="1799" t="n">
        <f aca="false">D497</f>
        <v>0.045</v>
      </c>
      <c r="E539" s="1799" t="n">
        <f aca="false">IF('Ввод данных'!$A$459=связи1!$A$97,IF(дома!E538&lt;связи1!$E$571,0,дома!E538-$E$419),0)+IF(дома!E538&lt;=0,0,IF('Ввод данных'!$A$459=связи1!$A$94,IF(дома!E538&lt;0,0,дома!E538-$E$419),0))</f>
        <v>0</v>
      </c>
      <c r="F539" s="1799" t="n">
        <f aca="false">F497</f>
        <v>2</v>
      </c>
      <c r="G539" s="1344" t="n">
        <f aca="false">C539*D539*E539*F539</f>
        <v>0</v>
      </c>
      <c r="H539" s="1344"/>
      <c r="I539" s="1344"/>
      <c r="J539" s="1344"/>
      <c r="K539" s="1344"/>
      <c r="L539" s="1344"/>
      <c r="M539" s="1344"/>
      <c r="N539" s="1344"/>
      <c r="O539" s="1344"/>
      <c r="P539" s="1707"/>
      <c r="Q539" s="1707"/>
      <c r="R539" s="1707"/>
      <c r="S539" s="1344"/>
      <c r="T539" s="1344"/>
      <c r="U539" s="1753"/>
      <c r="V539" s="1344"/>
      <c r="W539" s="1344"/>
      <c r="X539" s="1344"/>
      <c r="Y539" s="1707"/>
      <c r="Z539" s="1707"/>
      <c r="AA539" s="1344"/>
      <c r="AB539" s="1344"/>
      <c r="AC539" s="1344"/>
      <c r="AD539" s="1344"/>
    </row>
    <row r="540" s="1709" customFormat="true" ht="15.75" hidden="true" customHeight="true" outlineLevel="1" collapsed="false">
      <c r="A540" s="1799" t="str">
        <f aca="false">A498</f>
        <v>Стойка каркаса по фронтону, 1 этаж, двускатная кровля, №10</v>
      </c>
      <c r="B540" s="1294" t="str">
        <f aca="false">B498</f>
        <v>м.п.</v>
      </c>
      <c r="C540" s="1799" t="n">
        <f aca="false">C498</f>
        <v>0.4</v>
      </c>
      <c r="D540" s="1799" t="n">
        <f aca="false">D498</f>
        <v>0.045</v>
      </c>
      <c r="E540" s="1799" t="n">
        <f aca="false">IF('Ввод данных'!$A$459=связи1!$A$97,IF(дома!E539&lt;связи1!$E$571,0,дома!E539-$E$419),0)+IF(дома!E539&lt;=0,0,IF('Ввод данных'!$A$459=связи1!$A$94,IF(дома!E539&lt;0,0,дома!E539-$E$419),0))</f>
        <v>0</v>
      </c>
      <c r="F540" s="1799" t="n">
        <f aca="false">F498</f>
        <v>2</v>
      </c>
      <c r="G540" s="1344" t="n">
        <f aca="false">C540*D540*E540*F540</f>
        <v>0</v>
      </c>
      <c r="H540" s="1344"/>
      <c r="I540" s="1344"/>
      <c r="J540" s="1344"/>
      <c r="K540" s="1344"/>
      <c r="L540" s="1344"/>
      <c r="M540" s="1344"/>
      <c r="N540" s="1344"/>
      <c r="O540" s="1344"/>
      <c r="P540" s="1707"/>
      <c r="Q540" s="1707"/>
      <c r="R540" s="1707"/>
      <c r="S540" s="1344"/>
      <c r="T540" s="1344"/>
      <c r="U540" s="1753"/>
      <c r="V540" s="1344"/>
      <c r="W540" s="1344"/>
      <c r="X540" s="1344"/>
      <c r="Y540" s="1707"/>
      <c r="Z540" s="1707"/>
      <c r="AA540" s="1344"/>
      <c r="AB540" s="1344"/>
      <c r="AC540" s="1344"/>
      <c r="AD540" s="1344"/>
    </row>
    <row r="541" s="1709" customFormat="true" ht="15.75" hidden="true" customHeight="true" outlineLevel="1" collapsed="false">
      <c r="A541" s="1799" t="str">
        <f aca="false">A499</f>
        <v>Стойка каркаса по фронтону, 1 этаж, двускатная кровля, №11</v>
      </c>
      <c r="B541" s="1294" t="str">
        <f aca="false">B499</f>
        <v>м.п.</v>
      </c>
      <c r="C541" s="1799" t="n">
        <f aca="false">C499</f>
        <v>0.4</v>
      </c>
      <c r="D541" s="1799" t="n">
        <f aca="false">D499</f>
        <v>0.045</v>
      </c>
      <c r="E541" s="1799" t="n">
        <f aca="false">IF('Ввод данных'!$A$459=связи1!$A$97,IF(дома!E540&lt;связи1!$E$571,0,дома!E540-$E$419),0)+IF(дома!E540&lt;=0,0,IF('Ввод данных'!$A$459=связи1!$A$94,IF(дома!E540&lt;0,0,дома!E540-$E$419),0))</f>
        <v>0</v>
      </c>
      <c r="F541" s="1799" t="n">
        <f aca="false">F499</f>
        <v>2</v>
      </c>
      <c r="G541" s="1344" t="n">
        <f aca="false">C541*D541*E541*F541</f>
        <v>0</v>
      </c>
      <c r="H541" s="1344"/>
      <c r="I541" s="1344"/>
      <c r="J541" s="1344"/>
      <c r="K541" s="1344"/>
      <c r="L541" s="1344"/>
      <c r="M541" s="1344"/>
      <c r="N541" s="1344"/>
      <c r="O541" s="1344"/>
      <c r="P541" s="1707"/>
      <c r="Q541" s="1707"/>
      <c r="R541" s="1707"/>
      <c r="S541" s="1344"/>
      <c r="T541" s="1344"/>
      <c r="U541" s="1753"/>
      <c r="V541" s="1344"/>
      <c r="W541" s="1344"/>
      <c r="X541" s="1344"/>
      <c r="Y541" s="1707"/>
      <c r="Z541" s="1707"/>
      <c r="AA541" s="1344"/>
      <c r="AB541" s="1344"/>
      <c r="AC541" s="1344"/>
      <c r="AD541" s="1344"/>
    </row>
    <row r="542" s="1709" customFormat="true" ht="15.75" hidden="true" customHeight="true" outlineLevel="1" collapsed="false">
      <c r="A542" s="1799" t="str">
        <f aca="false">A500</f>
        <v>Стойка каркаса по фронтону, 1 этаж, двускатная кровля, №12</v>
      </c>
      <c r="B542" s="1294" t="str">
        <f aca="false">B500</f>
        <v>м.п.</v>
      </c>
      <c r="C542" s="1799" t="n">
        <f aca="false">C500</f>
        <v>0.4</v>
      </c>
      <c r="D542" s="1799" t="n">
        <f aca="false">D500</f>
        <v>0.045</v>
      </c>
      <c r="E542" s="1799" t="n">
        <f aca="false">IF('Ввод данных'!$A$459=связи1!$A$97,IF(дома!E541&lt;связи1!$E$571,0,дома!E541-$E$419),0)+IF(дома!E541&lt;=0,0,IF('Ввод данных'!$A$459=связи1!$A$94,IF(дома!E541&lt;0,0,дома!E541-$E$419),0))</f>
        <v>0</v>
      </c>
      <c r="F542" s="1799" t="n">
        <f aca="false">F500</f>
        <v>2</v>
      </c>
      <c r="G542" s="1344" t="n">
        <f aca="false">C542*D542*E542*F542</f>
        <v>0</v>
      </c>
      <c r="H542" s="1344"/>
      <c r="I542" s="1344"/>
      <c r="J542" s="1344"/>
      <c r="K542" s="1344"/>
      <c r="L542" s="1344"/>
      <c r="M542" s="1344"/>
      <c r="N542" s="1344"/>
      <c r="O542" s="1344"/>
      <c r="P542" s="1707"/>
      <c r="Q542" s="1707"/>
      <c r="R542" s="1707"/>
      <c r="S542" s="1344"/>
      <c r="T542" s="1344"/>
      <c r="U542" s="1753"/>
      <c r="V542" s="1344"/>
      <c r="W542" s="1344"/>
      <c r="X542" s="1344"/>
      <c r="Y542" s="1707"/>
      <c r="Z542" s="1707"/>
      <c r="AA542" s="1344"/>
      <c r="AB542" s="1344"/>
      <c r="AC542" s="1344"/>
      <c r="AD542" s="1344"/>
    </row>
    <row r="543" s="1709" customFormat="true" ht="15.75" hidden="true" customHeight="true" outlineLevel="1" collapsed="false">
      <c r="A543" s="1799" t="str">
        <f aca="false">A501</f>
        <v>Стойка каркаса по фронтону, 1 этаж, двускатная кровля, №13</v>
      </c>
      <c r="B543" s="1294" t="str">
        <f aca="false">B501</f>
        <v>м.п.</v>
      </c>
      <c r="C543" s="1799" t="n">
        <f aca="false">C501</f>
        <v>0.4</v>
      </c>
      <c r="D543" s="1799" t="n">
        <f aca="false">D501</f>
        <v>0.045</v>
      </c>
      <c r="E543" s="1799" t="n">
        <f aca="false">IF('Ввод данных'!$A$459=связи1!$A$97,IF(дома!E542&lt;связи1!$E$571,0,дома!E542-$E$419),0)+IF(дома!E542&lt;=0,0,IF('Ввод данных'!$A$459=связи1!$A$94,IF(дома!E542&lt;0,0,дома!E542-$E$419),0))</f>
        <v>0</v>
      </c>
      <c r="F543" s="1799" t="n">
        <f aca="false">F501</f>
        <v>2</v>
      </c>
      <c r="G543" s="1344" t="n">
        <f aca="false">C543*D543*E543*F543</f>
        <v>0</v>
      </c>
      <c r="H543" s="1344"/>
      <c r="I543" s="1344"/>
      <c r="J543" s="1344"/>
      <c r="K543" s="1344"/>
      <c r="L543" s="1344"/>
      <c r="M543" s="1344"/>
      <c r="N543" s="1344"/>
      <c r="O543" s="1344"/>
      <c r="P543" s="1707"/>
      <c r="Q543" s="1707"/>
      <c r="R543" s="1707"/>
      <c r="S543" s="1344"/>
      <c r="T543" s="1344"/>
      <c r="U543" s="1753"/>
      <c r="V543" s="1344"/>
      <c r="W543" s="1344"/>
      <c r="X543" s="1344"/>
      <c r="Y543" s="1707"/>
      <c r="Z543" s="1707"/>
      <c r="AA543" s="1344"/>
      <c r="AB543" s="1344"/>
      <c r="AC543" s="1344"/>
      <c r="AD543" s="1344"/>
    </row>
    <row r="544" s="1709" customFormat="true" ht="15.75" hidden="true" customHeight="true" outlineLevel="1" collapsed="false">
      <c r="A544" s="1799" t="str">
        <f aca="false">A502</f>
        <v>Стойка каркаса по фронтону, 1 этаж, двускатная кровля, №14</v>
      </c>
      <c r="B544" s="1294" t="str">
        <f aca="false">B502</f>
        <v>м.п.</v>
      </c>
      <c r="C544" s="1799" t="n">
        <f aca="false">C502</f>
        <v>0.4</v>
      </c>
      <c r="D544" s="1799" t="n">
        <f aca="false">D502</f>
        <v>0.045</v>
      </c>
      <c r="E544" s="1799" t="n">
        <f aca="false">IF('Ввод данных'!$A$459=связи1!$A$97,IF(дома!E543&lt;связи1!$E$571,0,дома!E543-$E$419),0)+IF(дома!E543&lt;=0,0,IF('Ввод данных'!$A$459=связи1!$A$94,IF(дома!E543&lt;0,0,дома!E543-$E$419),0))</f>
        <v>0</v>
      </c>
      <c r="F544" s="1799" t="n">
        <f aca="false">F502</f>
        <v>2</v>
      </c>
      <c r="G544" s="1344" t="n">
        <f aca="false">C544*D544*E544*F544</f>
        <v>0</v>
      </c>
      <c r="H544" s="1344"/>
      <c r="I544" s="1344"/>
      <c r="J544" s="1344"/>
      <c r="K544" s="1344"/>
      <c r="L544" s="1344"/>
      <c r="M544" s="1344"/>
      <c r="N544" s="1344"/>
      <c r="O544" s="1344"/>
      <c r="P544" s="1707"/>
      <c r="Q544" s="1707"/>
      <c r="R544" s="1707"/>
      <c r="S544" s="1344"/>
      <c r="T544" s="1344"/>
      <c r="U544" s="1753"/>
      <c r="V544" s="1344"/>
      <c r="W544" s="1344"/>
      <c r="X544" s="1344"/>
      <c r="Y544" s="1707"/>
      <c r="Z544" s="1707"/>
      <c r="AA544" s="1344"/>
      <c r="AB544" s="1344"/>
      <c r="AC544" s="1344"/>
      <c r="AD544" s="1344"/>
    </row>
    <row r="545" s="1709" customFormat="true" ht="15.75" hidden="true" customHeight="true" outlineLevel="1" collapsed="false">
      <c r="A545" s="1799" t="str">
        <f aca="false">A503</f>
        <v>Стойка каркаса по фронтону, 1 этаж, двускатная кровля, №15</v>
      </c>
      <c r="B545" s="1294" t="str">
        <f aca="false">B503</f>
        <v>м.п.</v>
      </c>
      <c r="C545" s="1799" t="n">
        <f aca="false">C503</f>
        <v>0.4</v>
      </c>
      <c r="D545" s="1799" t="n">
        <f aca="false">D503</f>
        <v>0.045</v>
      </c>
      <c r="E545" s="1799" t="n">
        <f aca="false">IF('Ввод данных'!$A$459=связи1!$A$97,IF(дома!E544&lt;связи1!$E$571,0,дома!E544-$E$419),0)+IF(дома!E544&lt;=0,0,IF('Ввод данных'!$A$459=связи1!$A$94,IF(дома!E544&lt;0,0,дома!E544-$E$419),0))</f>
        <v>0</v>
      </c>
      <c r="F545" s="1799" t="n">
        <f aca="false">F503</f>
        <v>2</v>
      </c>
      <c r="G545" s="1344" t="n">
        <f aca="false">C545*D545*E545*F545</f>
        <v>0</v>
      </c>
      <c r="H545" s="1344"/>
      <c r="I545" s="1344"/>
      <c r="J545" s="1344"/>
      <c r="K545" s="1344"/>
      <c r="L545" s="1344"/>
      <c r="M545" s="1344"/>
      <c r="N545" s="1344"/>
      <c r="O545" s="1344"/>
      <c r="P545" s="1707"/>
      <c r="Q545" s="1707"/>
      <c r="R545" s="1707"/>
      <c r="S545" s="1344"/>
      <c r="T545" s="1344"/>
      <c r="U545" s="1753"/>
      <c r="V545" s="1344"/>
      <c r="W545" s="1344"/>
      <c r="X545" s="1344"/>
      <c r="Y545" s="1707"/>
      <c r="Z545" s="1707"/>
      <c r="AA545" s="1344"/>
      <c r="AB545" s="1344"/>
      <c r="AC545" s="1344"/>
      <c r="AD545" s="1344"/>
    </row>
    <row r="546" s="1709" customFormat="true" ht="15.75" hidden="true" customHeight="true" outlineLevel="1" collapsed="false">
      <c r="A546" s="1799" t="str">
        <f aca="false">A504</f>
        <v>Стойка каркаса по фронтону, 1 этаж, двускатная кровля, №16</v>
      </c>
      <c r="B546" s="1294" t="str">
        <f aca="false">B504</f>
        <v>м.п.</v>
      </c>
      <c r="C546" s="1799" t="n">
        <f aca="false">C504</f>
        <v>0.4</v>
      </c>
      <c r="D546" s="1799" t="n">
        <f aca="false">D504</f>
        <v>0.045</v>
      </c>
      <c r="E546" s="1799" t="n">
        <f aca="false">IF('Ввод данных'!$A$459=связи1!$A$97,IF(дома!E545&lt;связи1!$E$571,0,дома!E545-$E$419),0)+IF(дома!E545&lt;=0,0,IF('Ввод данных'!$A$459=связи1!$A$94,IF(дома!E545&lt;0,0,дома!E545-$E$419),0))</f>
        <v>0</v>
      </c>
      <c r="F546" s="1799" t="n">
        <f aca="false">F504</f>
        <v>2</v>
      </c>
      <c r="G546" s="1344" t="n">
        <f aca="false">C546*D546*E546*F546</f>
        <v>0</v>
      </c>
      <c r="H546" s="1344"/>
      <c r="I546" s="1344"/>
      <c r="J546" s="1344"/>
      <c r="K546" s="1344"/>
      <c r="L546" s="1344"/>
      <c r="M546" s="1344"/>
      <c r="N546" s="1344"/>
      <c r="O546" s="1344"/>
      <c r="P546" s="1707"/>
      <c r="Q546" s="1707"/>
      <c r="R546" s="1707"/>
      <c r="S546" s="1344"/>
      <c r="T546" s="1344"/>
      <c r="U546" s="1753"/>
      <c r="V546" s="1344"/>
      <c r="W546" s="1344"/>
      <c r="X546" s="1344"/>
      <c r="Y546" s="1707"/>
      <c r="Z546" s="1707"/>
      <c r="AA546" s="1344"/>
      <c r="AB546" s="1344"/>
      <c r="AC546" s="1344"/>
      <c r="AD546" s="1344"/>
    </row>
    <row r="547" s="1709" customFormat="true" ht="15.75" hidden="true" customHeight="true" outlineLevel="1" collapsed="false">
      <c r="A547" s="1799" t="str">
        <f aca="false">A505</f>
        <v>Стойка каркаса по фронтону, 1 этаж, двускатная кровля, №17</v>
      </c>
      <c r="B547" s="1294" t="str">
        <f aca="false">B505</f>
        <v>м.п.</v>
      </c>
      <c r="C547" s="1799" t="n">
        <f aca="false">C505</f>
        <v>0.4</v>
      </c>
      <c r="D547" s="1799" t="n">
        <f aca="false">D505</f>
        <v>0.045</v>
      </c>
      <c r="E547" s="1799" t="n">
        <f aca="false">IF('Ввод данных'!$A$459=связи1!$A$97,IF(дома!E546&lt;связи1!$E$571,0,дома!E546-$E$419),0)+IF(дома!E546&lt;=0,0,IF('Ввод данных'!$A$459=связи1!$A$94,IF(дома!E546&lt;0,0,дома!E546-$E$419),0))</f>
        <v>0</v>
      </c>
      <c r="F547" s="1799" t="n">
        <f aca="false">F505</f>
        <v>2</v>
      </c>
      <c r="G547" s="1344" t="n">
        <f aca="false">C547*D547*E547*F547</f>
        <v>0</v>
      </c>
      <c r="H547" s="1344"/>
      <c r="I547" s="1344"/>
      <c r="J547" s="1344"/>
      <c r="K547" s="1344"/>
      <c r="L547" s="1344"/>
      <c r="M547" s="1344"/>
      <c r="N547" s="1344"/>
      <c r="O547" s="1344"/>
      <c r="P547" s="1707"/>
      <c r="Q547" s="1707"/>
      <c r="R547" s="1707"/>
      <c r="S547" s="1344"/>
      <c r="T547" s="1344"/>
      <c r="U547" s="1753"/>
      <c r="V547" s="1344"/>
      <c r="W547" s="1344"/>
      <c r="X547" s="1344"/>
      <c r="Y547" s="1707"/>
      <c r="Z547" s="1707"/>
      <c r="AA547" s="1344"/>
      <c r="AB547" s="1344"/>
      <c r="AC547" s="1344"/>
      <c r="AD547" s="1344"/>
    </row>
    <row r="548" s="1709" customFormat="true" ht="15.75" hidden="true" customHeight="true" outlineLevel="1" collapsed="false">
      <c r="A548" s="1799"/>
      <c r="B548" s="1802"/>
      <c r="C548" s="1294"/>
      <c r="D548" s="1344"/>
      <c r="E548" s="1344"/>
      <c r="F548" s="1444"/>
      <c r="G548" s="1344" t="n">
        <f aca="false">C548*D548*E548*F548</f>
        <v>0</v>
      </c>
      <c r="H548" s="1344"/>
      <c r="I548" s="1344"/>
      <c r="J548" s="1344"/>
      <c r="K548" s="1344"/>
      <c r="L548" s="1344"/>
      <c r="M548" s="1344"/>
      <c r="N548" s="1344"/>
      <c r="O548" s="1344"/>
      <c r="P548" s="1707"/>
      <c r="Q548" s="1707"/>
      <c r="R548" s="1707"/>
      <c r="S548" s="1344"/>
      <c r="T548" s="1344"/>
      <c r="U548" s="1753"/>
      <c r="V548" s="1344"/>
      <c r="W548" s="1344"/>
      <c r="X548" s="1344"/>
      <c r="Y548" s="1707"/>
      <c r="Z548" s="1707"/>
      <c r="AA548" s="1344"/>
      <c r="AB548" s="1344"/>
      <c r="AC548" s="1344"/>
      <c r="AD548" s="1344"/>
    </row>
    <row r="549" s="1709" customFormat="true" ht="15.75" hidden="true" customHeight="true" outlineLevel="1" collapsed="false">
      <c r="A549" s="1804" t="s">
        <v>3365</v>
      </c>
      <c r="B549" s="1806" t="str">
        <f aca="false">B507</f>
        <v>ед.изм</v>
      </c>
      <c r="C549" s="1804" t="str">
        <f aca="false">C507</f>
        <v>ширина</v>
      </c>
      <c r="D549" s="1804" t="str">
        <f aca="false">D507</f>
        <v>толщина</v>
      </c>
      <c r="E549" s="1804" t="str">
        <f aca="false">E507</f>
        <v>высота</v>
      </c>
      <c r="F549" s="1804" t="str">
        <f aca="false">F507</f>
        <v>кол-во</v>
      </c>
      <c r="G549" s="1344"/>
      <c r="H549" s="1344"/>
      <c r="I549" s="1344"/>
      <c r="J549" s="1344"/>
      <c r="K549" s="1344"/>
      <c r="L549" s="1344"/>
      <c r="M549" s="1344"/>
      <c r="N549" s="1344"/>
      <c r="O549" s="1344"/>
      <c r="P549" s="1707"/>
      <c r="Q549" s="1707"/>
      <c r="R549" s="1707"/>
      <c r="S549" s="1344"/>
      <c r="T549" s="1344"/>
      <c r="U549" s="1753"/>
      <c r="V549" s="1344"/>
      <c r="W549" s="1344"/>
      <c r="X549" s="1344"/>
      <c r="Y549" s="1707"/>
      <c r="Z549" s="1707"/>
      <c r="AA549" s="1344"/>
      <c r="AB549" s="1344"/>
      <c r="AC549" s="1344"/>
      <c r="AD549" s="1344"/>
    </row>
    <row r="550" s="1709" customFormat="true" ht="15.75" hidden="true" customHeight="true" outlineLevel="1" collapsed="false">
      <c r="A550" s="1799" t="str">
        <f aca="false">A424</f>
        <v>Стойки каркаса передней стены 1 эт</v>
      </c>
      <c r="B550" s="1294" t="str">
        <f aca="false">B424</f>
        <v>м.п.</v>
      </c>
      <c r="C550" s="1799" t="n">
        <f aca="false">C424</f>
        <v>0.4</v>
      </c>
      <c r="D550" s="1799" t="n">
        <f aca="false">D424</f>
        <v>0.045</v>
      </c>
      <c r="E550" s="1799" t="n">
        <f aca="false">связи1!F571</f>
        <v>3</v>
      </c>
      <c r="F550" s="1799" t="n">
        <f aca="false">L411</f>
        <v>0</v>
      </c>
      <c r="G550" s="1344" t="n">
        <f aca="false">C550*D550*E550*F550</f>
        <v>0</v>
      </c>
      <c r="H550" s="1344"/>
      <c r="I550" s="1344"/>
      <c r="J550" s="1344"/>
      <c r="K550" s="1344"/>
      <c r="L550" s="1344"/>
      <c r="M550" s="1344"/>
      <c r="N550" s="1344"/>
      <c r="O550" s="1344"/>
      <c r="P550" s="1707"/>
      <c r="Q550" s="1707"/>
      <c r="R550" s="1707"/>
      <c r="S550" s="1344"/>
      <c r="T550" s="1344"/>
      <c r="U550" s="1753"/>
      <c r="V550" s="1344"/>
      <c r="W550" s="1344"/>
      <c r="X550" s="1344"/>
      <c r="Y550" s="1707"/>
      <c r="Z550" s="1707"/>
      <c r="AA550" s="1344"/>
      <c r="AB550" s="1344"/>
      <c r="AC550" s="1344"/>
      <c r="AD550" s="1344"/>
    </row>
    <row r="551" s="1709" customFormat="true" ht="15.75" hidden="true" customHeight="true" outlineLevel="1" collapsed="false">
      <c r="A551" s="1799" t="str">
        <f aca="false">A425</f>
        <v>Стойки каркаса, левая сторона 1 эт</v>
      </c>
      <c r="B551" s="1294" t="str">
        <f aca="false">B425</f>
        <v>м.п.</v>
      </c>
      <c r="C551" s="1799" t="n">
        <f aca="false">C425</f>
        <v>0.4</v>
      </c>
      <c r="D551" s="1799" t="n">
        <f aca="false">D425</f>
        <v>0.045</v>
      </c>
      <c r="E551" s="1799" t="n">
        <f aca="false">$E$412*IF('Ввод данных'!A463=связи1!A97,IF('Ввод данных'!A462=связи1!A106,0,1),1)</f>
        <v>3</v>
      </c>
      <c r="F551" s="1799" t="n">
        <f aca="false">L412</f>
        <v>0</v>
      </c>
      <c r="G551" s="1344" t="n">
        <f aca="false">C551*D551*E551*F551</f>
        <v>0</v>
      </c>
      <c r="H551" s="1344"/>
      <c r="I551" s="1344"/>
      <c r="J551" s="1344"/>
      <c r="K551" s="1344"/>
      <c r="L551" s="1344"/>
      <c r="M551" s="1344"/>
      <c r="N551" s="1344"/>
      <c r="O551" s="1344"/>
      <c r="P551" s="1707"/>
      <c r="Q551" s="1707"/>
      <c r="R551" s="1707"/>
      <c r="S551" s="1344"/>
      <c r="T551" s="1344"/>
      <c r="U551" s="1753"/>
      <c r="V551" s="1344"/>
      <c r="W551" s="1344"/>
      <c r="X551" s="1344"/>
      <c r="Y551" s="1707"/>
      <c r="Z551" s="1707"/>
      <c r="AA551" s="1344"/>
      <c r="AB551" s="1344"/>
      <c r="AC551" s="1344"/>
      <c r="AD551" s="1344"/>
    </row>
    <row r="552" s="1709" customFormat="true" ht="15.75" hidden="true" customHeight="true" outlineLevel="1" collapsed="false">
      <c r="A552" s="1799" t="str">
        <f aca="false">A426</f>
        <v>Стойки каркаса, правая сторона, 1 эт</v>
      </c>
      <c r="B552" s="1294" t="str">
        <f aca="false">B426</f>
        <v>м.п.</v>
      </c>
      <c r="C552" s="1799" t="n">
        <f aca="false">C426</f>
        <v>0.4</v>
      </c>
      <c r="D552" s="1799" t="n">
        <f aca="false">D426</f>
        <v>0.045</v>
      </c>
      <c r="E552" s="1799" t="n">
        <f aca="false">$E$413*IF('Ввод данных'!A463=связи1!A97,IF('Ввод данных'!A462=связи1!A106,0,1),1)</f>
        <v>3</v>
      </c>
      <c r="F552" s="1799" t="n">
        <f aca="false">L413</f>
        <v>0</v>
      </c>
      <c r="G552" s="1344" t="n">
        <f aca="false">C552*D552*E552*F552</f>
        <v>0</v>
      </c>
      <c r="H552" s="1344"/>
      <c r="I552" s="1344"/>
      <c r="J552" s="1344"/>
      <c r="K552" s="1344"/>
      <c r="L552" s="1344"/>
      <c r="M552" s="1344"/>
      <c r="N552" s="1344"/>
      <c r="O552" s="1344"/>
      <c r="P552" s="1707"/>
      <c r="Q552" s="1707"/>
      <c r="R552" s="1707"/>
      <c r="S552" s="1344"/>
      <c r="T552" s="1344"/>
      <c r="U552" s="1753"/>
      <c r="V552" s="1344"/>
      <c r="W552" s="1344"/>
      <c r="X552" s="1344"/>
      <c r="Y552" s="1707"/>
      <c r="Z552" s="1707"/>
      <c r="AA552" s="1344"/>
      <c r="AB552" s="1344"/>
      <c r="AC552" s="1344"/>
      <c r="AD552" s="1344"/>
    </row>
    <row r="553" s="1709" customFormat="true" ht="15.75" hidden="true" customHeight="true" outlineLevel="1" collapsed="false">
      <c r="A553" s="1799" t="str">
        <f aca="false">A427</f>
        <v>Обвязка каркаса верхняя/нижняя наружние стены 1 эт</v>
      </c>
      <c r="B553" s="1294" t="str">
        <f aca="false">B427</f>
        <v>м.п.</v>
      </c>
      <c r="C553" s="1799" t="n">
        <f aca="false">C427</f>
        <v>0.4</v>
      </c>
      <c r="D553" s="1799" t="n">
        <f aca="false">D427</f>
        <v>0.045</v>
      </c>
      <c r="E553" s="1799"/>
      <c r="F553" s="1799" t="n">
        <f aca="false">P414+Q414</f>
        <v>0</v>
      </c>
      <c r="G553" s="1344" t="n">
        <f aca="false">C553*D553*E553*F553</f>
        <v>0</v>
      </c>
      <c r="H553" s="1344"/>
      <c r="I553" s="1344"/>
      <c r="J553" s="1344"/>
      <c r="K553" s="1344"/>
      <c r="L553" s="1344"/>
      <c r="M553" s="1344"/>
      <c r="N553" s="1344"/>
      <c r="O553" s="1344"/>
      <c r="P553" s="1707"/>
      <c r="Q553" s="1707"/>
      <c r="R553" s="1707"/>
      <c r="S553" s="1344"/>
      <c r="T553" s="1344"/>
      <c r="U553" s="1753"/>
      <c r="V553" s="1344"/>
      <c r="W553" s="1344"/>
      <c r="X553" s="1344"/>
      <c r="Y553" s="1707"/>
      <c r="Z553" s="1707"/>
      <c r="AA553" s="1344"/>
      <c r="AB553" s="1344"/>
      <c r="AC553" s="1344"/>
      <c r="AD553" s="1344"/>
    </row>
    <row r="554" s="1709" customFormat="true" ht="15.75" hidden="true" customHeight="true" outlineLevel="1" collapsed="false">
      <c r="A554" s="1799" t="str">
        <f aca="false">A428</f>
        <v>Ригель каркаса наружние стены 1 эт</v>
      </c>
      <c r="B554" s="1294" t="str">
        <f aca="false">B428</f>
        <v>м.п.</v>
      </c>
      <c r="C554" s="1799" t="n">
        <f aca="false">C428</f>
        <v>0.4</v>
      </c>
      <c r="D554" s="1799" t="n">
        <f aca="false">D428</f>
        <v>0.045</v>
      </c>
      <c r="E554" s="1799"/>
      <c r="F554" s="1799" t="n">
        <f aca="false">R414</f>
        <v>0</v>
      </c>
      <c r="G554" s="1344" t="n">
        <f aca="false">C554*D554*E554*F554</f>
        <v>0</v>
      </c>
      <c r="H554" s="1344"/>
      <c r="I554" s="1344"/>
      <c r="J554" s="1344"/>
      <c r="K554" s="1344"/>
      <c r="L554" s="1344"/>
      <c r="M554" s="1344"/>
      <c r="N554" s="1344"/>
      <c r="O554" s="1344"/>
      <c r="P554" s="1707"/>
      <c r="Q554" s="1707"/>
      <c r="R554" s="1707"/>
      <c r="S554" s="1344"/>
      <c r="T554" s="1344"/>
      <c r="U554" s="1753"/>
      <c r="V554" s="1344"/>
      <c r="W554" s="1344"/>
      <c r="X554" s="1344"/>
      <c r="Y554" s="1707"/>
      <c r="Z554" s="1707"/>
      <c r="AA554" s="1344"/>
      <c r="AB554" s="1344"/>
      <c r="AC554" s="1344"/>
      <c r="AD554" s="1344"/>
    </row>
    <row r="555" s="1709" customFormat="true" ht="15.75" hidden="true" customHeight="true" outlineLevel="1" collapsed="false">
      <c r="A555" s="1799" t="str">
        <f aca="false">A429</f>
        <v>Укосина наружних стен, усиление 1 этаж</v>
      </c>
      <c r="B555" s="1294" t="str">
        <f aca="false">B429</f>
        <v>м.п.</v>
      </c>
      <c r="C555" s="1799" t="n">
        <f aca="false">C429</f>
        <v>0.4</v>
      </c>
      <c r="D555" s="1799" t="n">
        <f aca="false">D429</f>
        <v>0.045</v>
      </c>
      <c r="E555" s="1799" t="n">
        <f aca="false">1.5*VLOOKUP('Ввод данных'!C79,связи1!A2:B3,2,0)*связи1!F568</f>
        <v>0</v>
      </c>
      <c r="F555" s="1799" t="n">
        <v>8</v>
      </c>
      <c r="G555" s="1344" t="n">
        <f aca="false">C555*D555*E555*F555</f>
        <v>0</v>
      </c>
      <c r="H555" s="1344"/>
      <c r="I555" s="1344"/>
      <c r="J555" s="1344"/>
      <c r="K555" s="1344"/>
      <c r="L555" s="1344"/>
      <c r="M555" s="1344"/>
      <c r="N555" s="1344"/>
      <c r="O555" s="1344"/>
      <c r="P555" s="1707"/>
      <c r="Q555" s="1707"/>
      <c r="R555" s="1707"/>
      <c r="S555" s="1344"/>
      <c r="T555" s="1344"/>
      <c r="U555" s="1753"/>
      <c r="V555" s="1344"/>
      <c r="W555" s="1344"/>
      <c r="X555" s="1344"/>
      <c r="Y555" s="1707"/>
      <c r="Z555" s="1707"/>
      <c r="AA555" s="1344"/>
      <c r="AB555" s="1344"/>
      <c r="AC555" s="1344"/>
      <c r="AD555" s="1344"/>
    </row>
    <row r="556" s="1709" customFormat="true" ht="15.75" hidden="true" customHeight="true" outlineLevel="1" collapsed="false">
      <c r="A556" s="1799" t="str">
        <f aca="false">A430</f>
        <v>Стойка каркаса по фронтону, 1 этаж, односкатная кровля, №1</v>
      </c>
      <c r="B556" s="1294" t="str">
        <f aca="false">B430</f>
        <v>м.п.</v>
      </c>
      <c r="C556" s="1799" t="n">
        <f aca="false">C430</f>
        <v>0.4</v>
      </c>
      <c r="D556" s="1799" t="n">
        <f aca="false">D430</f>
        <v>0.045</v>
      </c>
      <c r="E556" s="1799" t="n">
        <f aca="false">IF('Ввод данных'!A462=связи1!A106,IF('Ввод данных'!A463=связи1!A94,связи1!F572-связи1!F571,0)+IF('Ввод данных'!A463=связи1!A95,0,0)+IF('Ввод данных'!A463=связи1!A96,0,0)+IF('Ввод данных'!A463=связи1!A97,связи1!F572,0)+IF('Ввод данных'!A463=связи1!A98,0,0),0)</f>
        <v>0</v>
      </c>
      <c r="F556" s="1799" t="n">
        <f aca="false">F430</f>
        <v>2</v>
      </c>
      <c r="G556" s="1344" t="n">
        <f aca="false">C556*D556*E556*F556</f>
        <v>0</v>
      </c>
      <c r="H556" s="1344"/>
      <c r="I556" s="1344"/>
      <c r="J556" s="1344"/>
      <c r="K556" s="1344"/>
      <c r="L556" s="1344"/>
      <c r="M556" s="1344"/>
      <c r="N556" s="1344"/>
      <c r="O556" s="1344"/>
      <c r="P556" s="1707"/>
      <c r="Q556" s="1707"/>
      <c r="R556" s="1707"/>
      <c r="S556" s="1344"/>
      <c r="T556" s="1344"/>
      <c r="U556" s="1753"/>
      <c r="V556" s="1344"/>
      <c r="W556" s="1344"/>
      <c r="X556" s="1344"/>
      <c r="Y556" s="1707"/>
      <c r="Z556" s="1707"/>
      <c r="AA556" s="1344"/>
      <c r="AB556" s="1344"/>
      <c r="AC556" s="1344"/>
      <c r="AD556" s="1344"/>
    </row>
    <row r="557" s="1709" customFormat="true" ht="15.75" hidden="true" customHeight="true" outlineLevel="1" collapsed="false">
      <c r="A557" s="1799" t="str">
        <f aca="false">A431</f>
        <v>Стойка каркаса по фронтону, 1 этаж, односкатная кровля, №2</v>
      </c>
      <c r="B557" s="1294" t="str">
        <f aca="false">B431</f>
        <v>м.п.</v>
      </c>
      <c r="C557" s="1799" t="n">
        <f aca="false">C431</f>
        <v>0.4</v>
      </c>
      <c r="D557" s="1799" t="n">
        <f aca="false">D431</f>
        <v>0.045</v>
      </c>
      <c r="E557" s="1799" t="n">
        <f aca="false">IF('Ввод данных'!$A$463=связи1!$A$97,IF(дома!E556&lt;связи1!$F$571,0,дома!E556-$F$419),0)+IF(дома!E556=0,0,IF('Ввод данных'!$A$463=связи1!$A$94,IF(дома!E556&lt;0,0,дома!E556-$F$419),0))</f>
        <v>0</v>
      </c>
      <c r="F557" s="1799" t="n">
        <f aca="false">F431</f>
        <v>2</v>
      </c>
      <c r="G557" s="1344" t="n">
        <f aca="false">C557*D557*E557*F557</f>
        <v>0</v>
      </c>
      <c r="H557" s="1344"/>
      <c r="I557" s="1344"/>
      <c r="J557" s="1344"/>
      <c r="K557" s="1344"/>
      <c r="L557" s="1344"/>
      <c r="M557" s="1344"/>
      <c r="N557" s="1344"/>
      <c r="O557" s="1344"/>
      <c r="P557" s="1707"/>
      <c r="Q557" s="1707"/>
      <c r="R557" s="1707"/>
      <c r="S557" s="1344"/>
      <c r="T557" s="1344"/>
      <c r="U557" s="1753"/>
      <c r="V557" s="1344"/>
      <c r="W557" s="1344"/>
      <c r="X557" s="1344"/>
      <c r="Y557" s="1707"/>
      <c r="Z557" s="1707"/>
      <c r="AA557" s="1344"/>
      <c r="AB557" s="1344"/>
      <c r="AC557" s="1344"/>
      <c r="AD557" s="1344"/>
    </row>
    <row r="558" s="1709" customFormat="true" ht="15.75" hidden="true" customHeight="true" outlineLevel="1" collapsed="false">
      <c r="A558" s="1799" t="str">
        <f aca="false">A432</f>
        <v>Стойка каркаса по фронтону, 1 этаж, односкатная кровля, №3</v>
      </c>
      <c r="B558" s="1294" t="str">
        <f aca="false">B432</f>
        <v>м.п.</v>
      </c>
      <c r="C558" s="1799" t="n">
        <f aca="false">C432</f>
        <v>0.4</v>
      </c>
      <c r="D558" s="1799" t="n">
        <f aca="false">D432</f>
        <v>0.045</v>
      </c>
      <c r="E558" s="1799" t="n">
        <f aca="false">IF('Ввод данных'!$A$463=связи1!$A$97,IF(дома!E557&lt;связи1!$F$571,0,дома!E557-$F$419),0)+IF(дома!E557=0,0,IF('Ввод данных'!$A$463=связи1!$A$94,IF(дома!E557&lt;0,0,дома!E557-$F$419),0))</f>
        <v>0</v>
      </c>
      <c r="F558" s="1799" t="n">
        <f aca="false">F432</f>
        <v>2</v>
      </c>
      <c r="G558" s="1344" t="n">
        <f aca="false">C558*D558*E558*F558</f>
        <v>0</v>
      </c>
      <c r="H558" s="1344"/>
      <c r="I558" s="1344"/>
      <c r="J558" s="1344"/>
      <c r="K558" s="1344"/>
      <c r="L558" s="1344"/>
      <c r="M558" s="1344"/>
      <c r="N558" s="1344"/>
      <c r="O558" s="1344"/>
      <c r="P558" s="1707"/>
      <c r="Q558" s="1707"/>
      <c r="R558" s="1707"/>
      <c r="S558" s="1344"/>
      <c r="T558" s="1344"/>
      <c r="U558" s="1753"/>
      <c r="V558" s="1344"/>
      <c r="W558" s="1344"/>
      <c r="X558" s="1344"/>
      <c r="Y558" s="1707"/>
      <c r="Z558" s="1707"/>
      <c r="AA558" s="1344"/>
      <c r="AB558" s="1344"/>
      <c r="AC558" s="1344"/>
      <c r="AD558" s="1344"/>
    </row>
    <row r="559" s="1709" customFormat="true" ht="15.75" hidden="true" customHeight="true" outlineLevel="1" collapsed="false">
      <c r="A559" s="1799" t="str">
        <f aca="false">A433</f>
        <v>Стойка каркаса по фронтону, 1 этаж, односкатная кровля, №4</v>
      </c>
      <c r="B559" s="1294" t="str">
        <f aca="false">B433</f>
        <v>м.п.</v>
      </c>
      <c r="C559" s="1799" t="n">
        <f aca="false">C433</f>
        <v>0.4</v>
      </c>
      <c r="D559" s="1799" t="n">
        <f aca="false">D433</f>
        <v>0.045</v>
      </c>
      <c r="E559" s="1799" t="n">
        <f aca="false">IF('Ввод данных'!$A$463=связи1!$A$97,IF(дома!E558&lt;связи1!$F$571,0,дома!E558-$F$419),0)+IF(дома!E558=0,0,IF('Ввод данных'!$A$463=связи1!$A$94,IF(дома!E558&lt;0,0,дома!E558-$F$419),0))</f>
        <v>0</v>
      </c>
      <c r="F559" s="1799" t="n">
        <f aca="false">F433</f>
        <v>2</v>
      </c>
      <c r="G559" s="1344" t="n">
        <f aca="false">C559*D559*E559*F559</f>
        <v>0</v>
      </c>
      <c r="H559" s="1344"/>
      <c r="I559" s="1344"/>
      <c r="J559" s="1344"/>
      <c r="K559" s="1344"/>
      <c r="L559" s="1344"/>
      <c r="M559" s="1344"/>
      <c r="N559" s="1344"/>
      <c r="O559" s="1344"/>
      <c r="P559" s="1707"/>
      <c r="Q559" s="1707"/>
      <c r="R559" s="1707"/>
      <c r="S559" s="1344"/>
      <c r="T559" s="1344"/>
      <c r="U559" s="1753"/>
      <c r="V559" s="1344"/>
      <c r="W559" s="1344"/>
      <c r="X559" s="1344"/>
      <c r="Y559" s="1707"/>
      <c r="Z559" s="1707"/>
      <c r="AA559" s="1344"/>
      <c r="AB559" s="1344"/>
      <c r="AC559" s="1344"/>
      <c r="AD559" s="1344"/>
    </row>
    <row r="560" s="1709" customFormat="true" ht="15.75" hidden="true" customHeight="true" outlineLevel="1" collapsed="false">
      <c r="A560" s="1799" t="str">
        <f aca="false">A434</f>
        <v>Стойка каркаса по фронтону, 1 этаж, односкатная кровля, №5</v>
      </c>
      <c r="B560" s="1294" t="str">
        <f aca="false">B434</f>
        <v>м.п.</v>
      </c>
      <c r="C560" s="1799" t="n">
        <f aca="false">C434</f>
        <v>0.4</v>
      </c>
      <c r="D560" s="1799" t="n">
        <f aca="false">D434</f>
        <v>0.045</v>
      </c>
      <c r="E560" s="1799" t="n">
        <f aca="false">IF('Ввод данных'!$A$463=связи1!$A$97,IF(дома!E559&lt;связи1!$F$571,0,дома!E559-$F$419),0)+IF(дома!E559=0,0,IF('Ввод данных'!$A$463=связи1!$A$94,IF(дома!E559&lt;0,0,дома!E559-$F$419),0))</f>
        <v>0</v>
      </c>
      <c r="F560" s="1799" t="n">
        <f aca="false">F434</f>
        <v>2</v>
      </c>
      <c r="G560" s="1344" t="n">
        <f aca="false">C560*D560*E560*F560</f>
        <v>0</v>
      </c>
      <c r="H560" s="1344"/>
      <c r="I560" s="1344"/>
      <c r="J560" s="1344"/>
      <c r="K560" s="1344"/>
      <c r="L560" s="1344"/>
      <c r="M560" s="1344"/>
      <c r="N560" s="1344"/>
      <c r="O560" s="1344"/>
      <c r="P560" s="1707"/>
      <c r="Q560" s="1707"/>
      <c r="R560" s="1707"/>
      <c r="S560" s="1344"/>
      <c r="T560" s="1344"/>
      <c r="U560" s="1753"/>
      <c r="V560" s="1344"/>
      <c r="W560" s="1344"/>
      <c r="X560" s="1344"/>
      <c r="Y560" s="1707"/>
      <c r="Z560" s="1707"/>
      <c r="AA560" s="1344"/>
      <c r="AB560" s="1344"/>
      <c r="AC560" s="1344"/>
      <c r="AD560" s="1344"/>
    </row>
    <row r="561" s="1709" customFormat="true" ht="15.75" hidden="true" customHeight="true" outlineLevel="1" collapsed="false">
      <c r="A561" s="1799" t="str">
        <f aca="false">A435</f>
        <v>Стойка каркаса по фронтону, 1 этаж, односкатная кровля, №6</v>
      </c>
      <c r="B561" s="1294" t="str">
        <f aca="false">B435</f>
        <v>м.п.</v>
      </c>
      <c r="C561" s="1799" t="n">
        <f aca="false">C435</f>
        <v>0.4</v>
      </c>
      <c r="D561" s="1799" t="n">
        <f aca="false">D435</f>
        <v>0.045</v>
      </c>
      <c r="E561" s="1799" t="n">
        <f aca="false">IF('Ввод данных'!$A$463=связи1!$A$97,IF(дома!E560&lt;связи1!$F$571,0,дома!E560-$F$419),0)+IF(дома!E560=0,0,IF('Ввод данных'!$A$463=связи1!$A$94,IF(дома!E560&lt;0,0,дома!E560-$F$419),0))</f>
        <v>0</v>
      </c>
      <c r="F561" s="1799" t="n">
        <f aca="false">F435</f>
        <v>2</v>
      </c>
      <c r="G561" s="1344" t="n">
        <f aca="false">C561*D561*E561*F561</f>
        <v>0</v>
      </c>
      <c r="H561" s="1344"/>
      <c r="I561" s="1344"/>
      <c r="J561" s="1344"/>
      <c r="K561" s="1344"/>
      <c r="L561" s="1344"/>
      <c r="M561" s="1344"/>
      <c r="N561" s="1344"/>
      <c r="O561" s="1344"/>
      <c r="P561" s="1707"/>
      <c r="Q561" s="1707"/>
      <c r="R561" s="1707"/>
      <c r="S561" s="1344"/>
      <c r="T561" s="1344"/>
      <c r="U561" s="1753"/>
      <c r="V561" s="1344"/>
      <c r="W561" s="1344"/>
      <c r="X561" s="1344"/>
      <c r="Y561" s="1707"/>
      <c r="Z561" s="1707"/>
      <c r="AA561" s="1344"/>
      <c r="AB561" s="1344"/>
      <c r="AC561" s="1344"/>
      <c r="AD561" s="1344"/>
    </row>
    <row r="562" s="1709" customFormat="true" ht="15.75" hidden="true" customHeight="true" outlineLevel="1" collapsed="false">
      <c r="A562" s="1799" t="str">
        <f aca="false">A436</f>
        <v>Стойка каркаса по фронтону, 1 этаж, односкатная кровля, №7</v>
      </c>
      <c r="B562" s="1294" t="str">
        <f aca="false">B436</f>
        <v>м.п.</v>
      </c>
      <c r="C562" s="1799" t="n">
        <f aca="false">C436</f>
        <v>0.4</v>
      </c>
      <c r="D562" s="1799" t="n">
        <f aca="false">D436</f>
        <v>0.045</v>
      </c>
      <c r="E562" s="1799" t="n">
        <f aca="false">IF('Ввод данных'!$A$463=связи1!$A$97,IF(дома!E561&lt;связи1!$F$571,0,дома!E561-$F$419),0)+IF(дома!E561=0,0,IF('Ввод данных'!$A$463=связи1!$A$94,IF(дома!E561&lt;0,0,дома!E561-$F$419),0))</f>
        <v>0</v>
      </c>
      <c r="F562" s="1799" t="n">
        <f aca="false">F436</f>
        <v>2</v>
      </c>
      <c r="G562" s="1344" t="n">
        <f aca="false">C562*D562*E562*F562</f>
        <v>0</v>
      </c>
      <c r="H562" s="1344"/>
      <c r="I562" s="1344"/>
      <c r="J562" s="1344"/>
      <c r="K562" s="1344"/>
      <c r="L562" s="1344"/>
      <c r="M562" s="1344"/>
      <c r="N562" s="1344"/>
      <c r="O562" s="1344"/>
      <c r="P562" s="1707"/>
      <c r="Q562" s="1707"/>
      <c r="R562" s="1707"/>
      <c r="S562" s="1344"/>
      <c r="T562" s="1344"/>
      <c r="U562" s="1753"/>
      <c r="V562" s="1344"/>
      <c r="W562" s="1344"/>
      <c r="X562" s="1344"/>
      <c r="Y562" s="1707"/>
      <c r="Z562" s="1707"/>
      <c r="AA562" s="1344"/>
      <c r="AB562" s="1344"/>
      <c r="AC562" s="1344"/>
      <c r="AD562" s="1344"/>
    </row>
    <row r="563" s="1709" customFormat="true" ht="15.75" hidden="true" customHeight="true" outlineLevel="1" collapsed="false">
      <c r="A563" s="1799" t="str">
        <f aca="false">A437</f>
        <v>Стойка каркаса по фронтону, 1 этаж, односкатная кровля, №8</v>
      </c>
      <c r="B563" s="1294" t="str">
        <f aca="false">B437</f>
        <v>м.п.</v>
      </c>
      <c r="C563" s="1799" t="n">
        <f aca="false">C437</f>
        <v>0.4</v>
      </c>
      <c r="D563" s="1799" t="n">
        <f aca="false">D437</f>
        <v>0.045</v>
      </c>
      <c r="E563" s="1799" t="n">
        <f aca="false">IF('Ввод данных'!$A$463=связи1!$A$97,IF(дома!E562&lt;связи1!$F$571,0,дома!E562-$F$419),0)+IF(дома!E562=0,0,IF('Ввод данных'!$A$463=связи1!$A$94,IF(дома!E562&lt;0,0,дома!E562-$F$419),0))</f>
        <v>0</v>
      </c>
      <c r="F563" s="1799" t="n">
        <f aca="false">F437</f>
        <v>2</v>
      </c>
      <c r="G563" s="1344" t="n">
        <f aca="false">C563*D563*E563*F563</f>
        <v>0</v>
      </c>
      <c r="H563" s="1344"/>
      <c r="I563" s="1344"/>
      <c r="J563" s="1344"/>
      <c r="K563" s="1344"/>
      <c r="L563" s="1344"/>
      <c r="M563" s="1344"/>
      <c r="N563" s="1344"/>
      <c r="O563" s="1344"/>
      <c r="P563" s="1707"/>
      <c r="Q563" s="1707"/>
      <c r="R563" s="1707"/>
      <c r="S563" s="1344"/>
      <c r="T563" s="1344"/>
      <c r="U563" s="1753"/>
      <c r="V563" s="1344"/>
      <c r="W563" s="1344"/>
      <c r="X563" s="1344"/>
      <c r="Y563" s="1707"/>
      <c r="Z563" s="1707"/>
      <c r="AA563" s="1344"/>
      <c r="AB563" s="1344"/>
      <c r="AC563" s="1344"/>
      <c r="AD563" s="1344"/>
    </row>
    <row r="564" s="1709" customFormat="true" ht="15.75" hidden="true" customHeight="true" outlineLevel="1" collapsed="false">
      <c r="A564" s="1799" t="str">
        <f aca="false">A438</f>
        <v>Стойка каркаса по фронтону, 1 этаж, односкатная кровля, №9</v>
      </c>
      <c r="B564" s="1294" t="str">
        <f aca="false">B438</f>
        <v>м.п.</v>
      </c>
      <c r="C564" s="1799" t="n">
        <f aca="false">C438</f>
        <v>0.4</v>
      </c>
      <c r="D564" s="1799" t="n">
        <f aca="false">D438</f>
        <v>0.045</v>
      </c>
      <c r="E564" s="1799" t="n">
        <f aca="false">IF('Ввод данных'!$A$463=связи1!$A$97,IF(дома!E563&lt;связи1!$F$571,0,дома!E563-$F$419),0)+IF(дома!E563=0,0,IF('Ввод данных'!$A$463=связи1!$A$94,IF(дома!E563&lt;0,0,дома!E563-$F$419),0))</f>
        <v>0</v>
      </c>
      <c r="F564" s="1799" t="n">
        <f aca="false">F438</f>
        <v>2</v>
      </c>
      <c r="G564" s="1344" t="n">
        <f aca="false">C564*D564*E564*F564</f>
        <v>0</v>
      </c>
      <c r="H564" s="1344"/>
      <c r="I564" s="1344"/>
      <c r="J564" s="1344"/>
      <c r="K564" s="1344"/>
      <c r="L564" s="1344"/>
      <c r="M564" s="1344"/>
      <c r="N564" s="1344"/>
      <c r="O564" s="1344"/>
      <c r="P564" s="1707"/>
      <c r="Q564" s="1707"/>
      <c r="R564" s="1707"/>
      <c r="S564" s="1344"/>
      <c r="T564" s="1344"/>
      <c r="U564" s="1753"/>
      <c r="V564" s="1344"/>
      <c r="W564" s="1344"/>
      <c r="X564" s="1344"/>
      <c r="Y564" s="1707"/>
      <c r="Z564" s="1707"/>
      <c r="AA564" s="1344"/>
      <c r="AB564" s="1344"/>
      <c r="AC564" s="1344"/>
      <c r="AD564" s="1344"/>
    </row>
    <row r="565" s="1709" customFormat="true" ht="15.75" hidden="true" customHeight="true" outlineLevel="1" collapsed="false">
      <c r="A565" s="1799" t="str">
        <f aca="false">A439</f>
        <v>Стойка каркаса по фронтону, 1 этаж, односкатная кровля, №10</v>
      </c>
      <c r="B565" s="1294" t="str">
        <f aca="false">B439</f>
        <v>м.п.</v>
      </c>
      <c r="C565" s="1799" t="n">
        <f aca="false">C439</f>
        <v>0.4</v>
      </c>
      <c r="D565" s="1799" t="n">
        <f aca="false">D439</f>
        <v>0.045</v>
      </c>
      <c r="E565" s="1799" t="n">
        <f aca="false">IF('Ввод данных'!$A$463=связи1!$A$97,IF(дома!E564&lt;связи1!$F$571,0,дома!E564-$F$419),0)+IF(дома!E564=0,0,IF('Ввод данных'!$A$463=связи1!$A$94,IF(дома!E564&lt;0,0,дома!E564-$F$419),0))</f>
        <v>0</v>
      </c>
      <c r="F565" s="1799" t="n">
        <f aca="false">F439</f>
        <v>2</v>
      </c>
      <c r="G565" s="1344" t="n">
        <f aca="false">C565*D565*E565*F565</f>
        <v>0</v>
      </c>
      <c r="H565" s="1344"/>
      <c r="I565" s="1344"/>
      <c r="J565" s="1344"/>
      <c r="K565" s="1344"/>
      <c r="L565" s="1344"/>
      <c r="M565" s="1344"/>
      <c r="N565" s="1344"/>
      <c r="O565" s="1344"/>
      <c r="P565" s="1707"/>
      <c r="Q565" s="1707"/>
      <c r="R565" s="1707"/>
      <c r="S565" s="1344"/>
      <c r="T565" s="1344"/>
      <c r="U565" s="1753"/>
      <c r="V565" s="1344"/>
      <c r="W565" s="1344"/>
      <c r="X565" s="1344"/>
      <c r="Y565" s="1707"/>
      <c r="Z565" s="1707"/>
      <c r="AA565" s="1344"/>
      <c r="AB565" s="1344"/>
      <c r="AC565" s="1344"/>
      <c r="AD565" s="1344"/>
    </row>
    <row r="566" s="1709" customFormat="true" ht="15.75" hidden="true" customHeight="true" outlineLevel="1" collapsed="false">
      <c r="A566" s="1799" t="str">
        <f aca="false">A440</f>
        <v>Стойка каркаса по фронтону, 1 этаж, односкатная кровля, №11</v>
      </c>
      <c r="B566" s="1294" t="str">
        <f aca="false">B440</f>
        <v>м.п.</v>
      </c>
      <c r="C566" s="1799" t="n">
        <f aca="false">C440</f>
        <v>0.4</v>
      </c>
      <c r="D566" s="1799" t="n">
        <f aca="false">D440</f>
        <v>0.045</v>
      </c>
      <c r="E566" s="1799" t="n">
        <f aca="false">IF('Ввод данных'!$A$463=связи1!$A$97,IF(дома!E565&lt;связи1!$F$571,0,дома!E565-$F$419),0)+IF(дома!E565=0,0,IF('Ввод данных'!$A$463=связи1!$A$94,IF(дома!E565&lt;0,0,дома!E565-$F$419),0))</f>
        <v>0</v>
      </c>
      <c r="F566" s="1799" t="n">
        <f aca="false">F440</f>
        <v>2</v>
      </c>
      <c r="G566" s="1344" t="n">
        <f aca="false">C566*D566*E566*F566</f>
        <v>0</v>
      </c>
      <c r="H566" s="1344"/>
      <c r="I566" s="1344"/>
      <c r="J566" s="1344"/>
      <c r="K566" s="1344"/>
      <c r="L566" s="1344"/>
      <c r="M566" s="1344"/>
      <c r="N566" s="1344"/>
      <c r="O566" s="1344"/>
      <c r="P566" s="1707"/>
      <c r="Q566" s="1707"/>
      <c r="R566" s="1707"/>
      <c r="S566" s="1344"/>
      <c r="T566" s="1344"/>
      <c r="U566" s="1753"/>
      <c r="V566" s="1344"/>
      <c r="W566" s="1344"/>
      <c r="X566" s="1344"/>
      <c r="Y566" s="1707"/>
      <c r="Z566" s="1707"/>
      <c r="AA566" s="1344"/>
      <c r="AB566" s="1344"/>
      <c r="AC566" s="1344"/>
      <c r="AD566" s="1344"/>
    </row>
    <row r="567" s="1709" customFormat="true" ht="15.75" hidden="true" customHeight="true" outlineLevel="1" collapsed="false">
      <c r="A567" s="1799" t="str">
        <f aca="false">A441</f>
        <v>Стойка каркаса по фронтону, 1 этаж, односкатная кровля, №12</v>
      </c>
      <c r="B567" s="1294" t="str">
        <f aca="false">B441</f>
        <v>м.п.</v>
      </c>
      <c r="C567" s="1799" t="n">
        <f aca="false">C441</f>
        <v>0.4</v>
      </c>
      <c r="D567" s="1799" t="n">
        <f aca="false">D441</f>
        <v>0.045</v>
      </c>
      <c r="E567" s="1799" t="n">
        <f aca="false">IF('Ввод данных'!$A$463=связи1!$A$97,IF(дома!E566&lt;связи1!$F$571,0,дома!E566-$F$419),0)+IF(дома!E566=0,0,IF('Ввод данных'!$A$463=связи1!$A$94,IF(дома!E566&lt;0,0,дома!E566-$F$419),0))</f>
        <v>0</v>
      </c>
      <c r="F567" s="1799" t="n">
        <f aca="false">F441</f>
        <v>2</v>
      </c>
      <c r="G567" s="1344" t="n">
        <f aca="false">C567*D567*E567*F567</f>
        <v>0</v>
      </c>
      <c r="H567" s="1344"/>
      <c r="I567" s="1344"/>
      <c r="J567" s="1344"/>
      <c r="K567" s="1344"/>
      <c r="L567" s="1344"/>
      <c r="M567" s="1344"/>
      <c r="N567" s="1344"/>
      <c r="O567" s="1344"/>
      <c r="P567" s="1707"/>
      <c r="Q567" s="1707"/>
      <c r="R567" s="1707"/>
      <c r="S567" s="1344"/>
      <c r="T567" s="1344"/>
      <c r="U567" s="1753"/>
      <c r="V567" s="1344"/>
      <c r="W567" s="1344"/>
      <c r="X567" s="1344"/>
      <c r="Y567" s="1707"/>
      <c r="Z567" s="1707"/>
      <c r="AA567" s="1344"/>
      <c r="AB567" s="1344"/>
      <c r="AC567" s="1344"/>
      <c r="AD567" s="1344"/>
    </row>
    <row r="568" s="1709" customFormat="true" ht="15.75" hidden="true" customHeight="true" outlineLevel="1" collapsed="false">
      <c r="A568" s="1799" t="str">
        <f aca="false">A442</f>
        <v>Стойка каркаса по фронтону, 1 этаж, односкатная кровля, №13</v>
      </c>
      <c r="B568" s="1294" t="str">
        <f aca="false">B442</f>
        <v>м.п.</v>
      </c>
      <c r="C568" s="1799" t="n">
        <f aca="false">C442</f>
        <v>0.4</v>
      </c>
      <c r="D568" s="1799" t="n">
        <f aca="false">D442</f>
        <v>0.045</v>
      </c>
      <c r="E568" s="1799" t="n">
        <f aca="false">IF('Ввод данных'!$A$463=связи1!$A$97,IF(дома!E567&lt;связи1!$F$571,0,дома!E567-$F$419),0)+IF(дома!E567=0,0,IF('Ввод данных'!$A$463=связи1!$A$94,IF(дома!E567&lt;0,0,дома!E567-$F$419),0))</f>
        <v>0</v>
      </c>
      <c r="F568" s="1799" t="n">
        <f aca="false">F442</f>
        <v>2</v>
      </c>
      <c r="G568" s="1344" t="n">
        <f aca="false">C568*D568*E568*F568</f>
        <v>0</v>
      </c>
      <c r="H568" s="1344"/>
      <c r="I568" s="1344"/>
      <c r="J568" s="1344"/>
      <c r="K568" s="1344"/>
      <c r="L568" s="1344"/>
      <c r="M568" s="1344"/>
      <c r="N568" s="1344"/>
      <c r="O568" s="1344"/>
      <c r="P568" s="1707"/>
      <c r="Q568" s="1707"/>
      <c r="R568" s="1707"/>
      <c r="S568" s="1344"/>
      <c r="T568" s="1344"/>
      <c r="U568" s="1753"/>
      <c r="V568" s="1344"/>
      <c r="W568" s="1344"/>
      <c r="X568" s="1344"/>
      <c r="Y568" s="1707"/>
      <c r="Z568" s="1707"/>
      <c r="AA568" s="1344"/>
      <c r="AB568" s="1344"/>
      <c r="AC568" s="1344"/>
      <c r="AD568" s="1344"/>
    </row>
    <row r="569" s="1709" customFormat="true" ht="15.75" hidden="true" customHeight="true" outlineLevel="1" collapsed="false">
      <c r="A569" s="1799" t="str">
        <f aca="false">A443</f>
        <v>Стойка каркаса по фронтону, 1 этаж, односкатная кровля, №14</v>
      </c>
      <c r="B569" s="1294" t="str">
        <f aca="false">B443</f>
        <v>м.п.</v>
      </c>
      <c r="C569" s="1799" t="n">
        <f aca="false">C443</f>
        <v>0.4</v>
      </c>
      <c r="D569" s="1799" t="n">
        <f aca="false">D443</f>
        <v>0.045</v>
      </c>
      <c r="E569" s="1799" t="n">
        <f aca="false">IF('Ввод данных'!$A$463=связи1!$A$97,IF(дома!E568&lt;связи1!$F$571,0,дома!E568-$F$419),0)+IF(дома!E568=0,0,IF('Ввод данных'!$A$463=связи1!$A$94,IF(дома!E568&lt;0,0,дома!E568-$F$419),0))</f>
        <v>0</v>
      </c>
      <c r="F569" s="1799" t="n">
        <f aca="false">F443</f>
        <v>2</v>
      </c>
      <c r="G569" s="1344" t="n">
        <f aca="false">C569*D569*E569*F569</f>
        <v>0</v>
      </c>
      <c r="H569" s="1344"/>
      <c r="I569" s="1344"/>
      <c r="J569" s="1344"/>
      <c r="K569" s="1344"/>
      <c r="L569" s="1344"/>
      <c r="M569" s="1344"/>
      <c r="N569" s="1344"/>
      <c r="O569" s="1344"/>
      <c r="P569" s="1707"/>
      <c r="Q569" s="1707"/>
      <c r="R569" s="1707"/>
      <c r="S569" s="1344"/>
      <c r="T569" s="1344"/>
      <c r="U569" s="1753"/>
      <c r="V569" s="1344"/>
      <c r="W569" s="1344"/>
      <c r="X569" s="1344"/>
      <c r="Y569" s="1707"/>
      <c r="Z569" s="1707"/>
      <c r="AA569" s="1344"/>
      <c r="AB569" s="1344"/>
      <c r="AC569" s="1344"/>
      <c r="AD569" s="1344"/>
    </row>
    <row r="570" s="1709" customFormat="true" ht="15.75" hidden="true" customHeight="true" outlineLevel="1" collapsed="false">
      <c r="A570" s="1799" t="str">
        <f aca="false">A444</f>
        <v>Стойка каркаса по фронтону, 1 этаж, односкатная кровля, №15</v>
      </c>
      <c r="B570" s="1294" t="str">
        <f aca="false">B444</f>
        <v>м.п.</v>
      </c>
      <c r="C570" s="1799" t="n">
        <f aca="false">C444</f>
        <v>0.4</v>
      </c>
      <c r="D570" s="1799" t="n">
        <f aca="false">D444</f>
        <v>0.045</v>
      </c>
      <c r="E570" s="1799" t="n">
        <f aca="false">IF('Ввод данных'!$A$463=связи1!$A$97,IF(дома!E569&lt;связи1!$F$571,0,дома!E569-$F$419),0)+IF(дома!E569=0,0,IF('Ввод данных'!$A$463=связи1!$A$94,IF(дома!E569&lt;0,0,дома!E569-$F$419),0))</f>
        <v>0</v>
      </c>
      <c r="F570" s="1799" t="n">
        <f aca="false">F444</f>
        <v>2</v>
      </c>
      <c r="G570" s="1344" t="n">
        <f aca="false">C570*D570*E570*F570</f>
        <v>0</v>
      </c>
      <c r="H570" s="1344"/>
      <c r="I570" s="1344"/>
      <c r="J570" s="1344"/>
      <c r="K570" s="1344"/>
      <c r="L570" s="1344"/>
      <c r="M570" s="1344"/>
      <c r="N570" s="1344"/>
      <c r="O570" s="1344"/>
      <c r="P570" s="1707"/>
      <c r="Q570" s="1707"/>
      <c r="R570" s="1707"/>
      <c r="S570" s="1344"/>
      <c r="T570" s="1344"/>
      <c r="U570" s="1753"/>
      <c r="V570" s="1344"/>
      <c r="W570" s="1344"/>
      <c r="X570" s="1344"/>
      <c r="Y570" s="1707"/>
      <c r="Z570" s="1707"/>
      <c r="AA570" s="1344"/>
      <c r="AB570" s="1344"/>
      <c r="AC570" s="1344"/>
      <c r="AD570" s="1344"/>
    </row>
    <row r="571" s="1709" customFormat="true" ht="15.75" hidden="true" customHeight="true" outlineLevel="1" collapsed="false">
      <c r="A571" s="1799" t="str">
        <f aca="false">A445</f>
        <v>Стойка каркаса по фронтону, 1 этаж, односкатная кровля, №16</v>
      </c>
      <c r="B571" s="1294" t="str">
        <f aca="false">B445</f>
        <v>м.п.</v>
      </c>
      <c r="C571" s="1799" t="n">
        <f aca="false">C445</f>
        <v>0.4</v>
      </c>
      <c r="D571" s="1799" t="n">
        <f aca="false">D445</f>
        <v>0.045</v>
      </c>
      <c r="E571" s="1799" t="n">
        <f aca="false">IF('Ввод данных'!$A$463=связи1!$A$97,IF(дома!E570&lt;связи1!$F$571,0,дома!E570-$F$419),0)+IF(дома!E570=0,0,IF('Ввод данных'!$A$463=связи1!$A$94,IF(дома!E570&lt;0,0,дома!E570-$F$419),0))</f>
        <v>0</v>
      </c>
      <c r="F571" s="1799" t="n">
        <f aca="false">F445</f>
        <v>2</v>
      </c>
      <c r="G571" s="1344" t="n">
        <f aca="false">C571*D571*E571*F571</f>
        <v>0</v>
      </c>
      <c r="H571" s="1344"/>
      <c r="I571" s="1344"/>
      <c r="J571" s="1344"/>
      <c r="K571" s="1344"/>
      <c r="L571" s="1344"/>
      <c r="M571" s="1344"/>
      <c r="N571" s="1344"/>
      <c r="O571" s="1344"/>
      <c r="P571" s="1707"/>
      <c r="Q571" s="1707"/>
      <c r="R571" s="1707"/>
      <c r="S571" s="1344"/>
      <c r="T571" s="1344"/>
      <c r="U571" s="1753"/>
      <c r="V571" s="1344"/>
      <c r="W571" s="1344"/>
      <c r="X571" s="1344"/>
      <c r="Y571" s="1707"/>
      <c r="Z571" s="1707"/>
      <c r="AA571" s="1344"/>
      <c r="AB571" s="1344"/>
      <c r="AC571" s="1344"/>
      <c r="AD571" s="1344"/>
    </row>
    <row r="572" s="1709" customFormat="true" ht="15.75" hidden="true" customHeight="true" outlineLevel="1" collapsed="false">
      <c r="A572" s="1799" t="str">
        <f aca="false">A446</f>
        <v>Стойка каркаса по фронтону, 1 этаж, односкатная кровля, №17</v>
      </c>
      <c r="B572" s="1294" t="str">
        <f aca="false">B446</f>
        <v>м.п.</v>
      </c>
      <c r="C572" s="1799" t="n">
        <f aca="false">C446</f>
        <v>0.4</v>
      </c>
      <c r="D572" s="1799" t="n">
        <f aca="false">D446</f>
        <v>0.045</v>
      </c>
      <c r="E572" s="1799" t="n">
        <f aca="false">IF('Ввод данных'!$A$463=связи1!$A$97,IF(дома!E571&lt;связи1!$F$571,0,дома!E571-$F$419),0)+IF(дома!E571=0,0,IF('Ввод данных'!$A$463=связи1!$A$94,IF(дома!E571&lt;0,0,дома!E571-$F$419),0))</f>
        <v>0</v>
      </c>
      <c r="F572" s="1799" t="n">
        <f aca="false">F446</f>
        <v>2</v>
      </c>
      <c r="G572" s="1344" t="n">
        <f aca="false">C572*D572*E572*F572</f>
        <v>0</v>
      </c>
      <c r="H572" s="1344"/>
      <c r="I572" s="1344"/>
      <c r="J572" s="1344"/>
      <c r="K572" s="1344"/>
      <c r="L572" s="1344"/>
      <c r="M572" s="1344"/>
      <c r="N572" s="1344"/>
      <c r="O572" s="1344"/>
      <c r="P572" s="1707"/>
      <c r="Q572" s="1707"/>
      <c r="R572" s="1707"/>
      <c r="S572" s="1344"/>
      <c r="T572" s="1344"/>
      <c r="U572" s="1753"/>
      <c r="V572" s="1344"/>
      <c r="W572" s="1344"/>
      <c r="X572" s="1344"/>
      <c r="Y572" s="1707"/>
      <c r="Z572" s="1707"/>
      <c r="AA572" s="1344"/>
      <c r="AB572" s="1344"/>
      <c r="AC572" s="1344"/>
      <c r="AD572" s="1344"/>
    </row>
    <row r="573" s="1709" customFormat="true" ht="15.75" hidden="true" customHeight="true" outlineLevel="1" collapsed="false">
      <c r="A573" s="1799" t="str">
        <f aca="false">A447</f>
        <v>Стойка каркаса по фронтону, 1 этаж, двускатная кровля, №1</v>
      </c>
      <c r="B573" s="1294" t="str">
        <f aca="false">B447</f>
        <v>м.п.</v>
      </c>
      <c r="C573" s="1799" t="n">
        <f aca="false">C447</f>
        <v>0.4</v>
      </c>
      <c r="D573" s="1799" t="n">
        <f aca="false">D447</f>
        <v>0.045</v>
      </c>
      <c r="E573" s="1799" t="n">
        <f aca="false">IF('Ввод данных'!A462=связи1!A107,IF('Ввод данных'!A463=связи1!A94,связи1!F572-связи1!F571,0)+IF('Ввод данных'!A463=связи1!A95,0,0)+IF('Ввод данных'!A463=связи1!A96,0,0)+IF('Ввод данных'!A462=связи1!A107,IF('Ввод данных'!A463=связи1!A97,связи1!F572,0),0)+IF('Ввод данных'!A463=связи1!A98,0,0),0)</f>
        <v>1</v>
      </c>
      <c r="F573" s="1799" t="n">
        <f aca="false">F447</f>
        <v>2</v>
      </c>
      <c r="G573" s="1344" t="n">
        <f aca="false">C573*D573*E573*F573</f>
        <v>0.036</v>
      </c>
      <c r="H573" s="1344"/>
      <c r="I573" s="1344"/>
      <c r="J573" s="1344"/>
      <c r="K573" s="1344"/>
      <c r="L573" s="1344"/>
      <c r="M573" s="1344"/>
      <c r="N573" s="1344"/>
      <c r="O573" s="1344"/>
      <c r="P573" s="1707"/>
      <c r="Q573" s="1707"/>
      <c r="R573" s="1707"/>
      <c r="S573" s="1344"/>
      <c r="T573" s="1344"/>
      <c r="U573" s="1753"/>
      <c r="V573" s="1344"/>
      <c r="W573" s="1344"/>
      <c r="X573" s="1344"/>
      <c r="Y573" s="1707"/>
      <c r="Z573" s="1707"/>
      <c r="AA573" s="1344"/>
      <c r="AB573" s="1344"/>
      <c r="AC573" s="1344"/>
      <c r="AD573" s="1344"/>
    </row>
    <row r="574" s="1709" customFormat="true" ht="15.75" hidden="true" customHeight="true" outlineLevel="1" collapsed="false">
      <c r="A574" s="1799" t="str">
        <f aca="false">A448</f>
        <v>Стойка каркаса по фронтону, 1 этаж, двускатная кровля, №2</v>
      </c>
      <c r="B574" s="1294" t="str">
        <f aca="false">B448</f>
        <v>м.п.</v>
      </c>
      <c r="C574" s="1799" t="n">
        <f aca="false">C448</f>
        <v>0.4</v>
      </c>
      <c r="D574" s="1799" t="n">
        <f aca="false">D448</f>
        <v>0.045</v>
      </c>
      <c r="E574" s="1799" t="n">
        <f aca="false">IF('Ввод данных'!$A$463=связи1!$A$97,IF(дома!E573&lt;связи1!$F$571,0,дома!E573-$F$419),0)+IF(дома!E573&lt;=0,0,IF('Ввод данных'!$A$463=связи1!$A$94,IF(дома!E573&lt;0,0,дома!E573-$F$419),0))</f>
        <v>1</v>
      </c>
      <c r="F574" s="1799" t="n">
        <f aca="false">F448</f>
        <v>2</v>
      </c>
      <c r="G574" s="1344" t="n">
        <f aca="false">C574*D574*E574*F574</f>
        <v>0.036</v>
      </c>
      <c r="H574" s="1344"/>
      <c r="I574" s="1344"/>
      <c r="J574" s="1344"/>
      <c r="K574" s="1344"/>
      <c r="L574" s="1344"/>
      <c r="M574" s="1344"/>
      <c r="N574" s="1344"/>
      <c r="O574" s="1344"/>
      <c r="P574" s="1707"/>
      <c r="Q574" s="1707"/>
      <c r="R574" s="1707"/>
      <c r="S574" s="1344"/>
      <c r="T574" s="1344"/>
      <c r="U574" s="1753"/>
      <c r="V574" s="1344"/>
      <c r="W574" s="1344"/>
      <c r="X574" s="1344"/>
      <c r="Y574" s="1707"/>
      <c r="Z574" s="1707"/>
      <c r="AA574" s="1344"/>
      <c r="AB574" s="1344"/>
      <c r="AC574" s="1344"/>
      <c r="AD574" s="1344"/>
    </row>
    <row r="575" s="1709" customFormat="true" ht="15.75" hidden="true" customHeight="true" outlineLevel="1" collapsed="false">
      <c r="A575" s="1799" t="str">
        <f aca="false">A449</f>
        <v>Стойка каркаса по фронтону, 1 этаж, двускатная кровля, №3</v>
      </c>
      <c r="B575" s="1294" t="str">
        <f aca="false">B449</f>
        <v>м.п.</v>
      </c>
      <c r="C575" s="1799" t="n">
        <f aca="false">C449</f>
        <v>0.4</v>
      </c>
      <c r="D575" s="1799" t="n">
        <f aca="false">D449</f>
        <v>0.045</v>
      </c>
      <c r="E575" s="1799" t="n">
        <f aca="false">IF('Ввод данных'!$A$463=связи1!$A$97,IF(дома!E574&lt;связи1!$F$571,0,дома!E574-$F$419),0)+IF(дома!E574&lt;=0,0,IF('Ввод данных'!$A$463=связи1!$A$94,IF(дома!E574&lt;0,0,дома!E574-$F$419),0))</f>
        <v>1</v>
      </c>
      <c r="F575" s="1799" t="n">
        <f aca="false">F449</f>
        <v>2</v>
      </c>
      <c r="G575" s="1344" t="n">
        <f aca="false">C575*D575*E575*F575</f>
        <v>0.036</v>
      </c>
      <c r="H575" s="1344"/>
      <c r="I575" s="1344"/>
      <c r="J575" s="1344"/>
      <c r="K575" s="1344"/>
      <c r="L575" s="1344"/>
      <c r="M575" s="1344"/>
      <c r="N575" s="1344"/>
      <c r="O575" s="1344"/>
      <c r="P575" s="1707"/>
      <c r="Q575" s="1707"/>
      <c r="R575" s="1707"/>
      <c r="S575" s="1344"/>
      <c r="T575" s="1344"/>
      <c r="U575" s="1753"/>
      <c r="V575" s="1344"/>
      <c r="W575" s="1344"/>
      <c r="X575" s="1344"/>
      <c r="Y575" s="1707"/>
      <c r="Z575" s="1707"/>
      <c r="AA575" s="1344"/>
      <c r="AB575" s="1344"/>
      <c r="AC575" s="1344"/>
      <c r="AD575" s="1344"/>
    </row>
    <row r="576" s="1709" customFormat="true" ht="15.75" hidden="true" customHeight="true" outlineLevel="1" collapsed="false">
      <c r="A576" s="1799" t="str">
        <f aca="false">A450</f>
        <v>Стойка каркаса по фронтону, 1 этаж, двускатная кровля, №4</v>
      </c>
      <c r="B576" s="1294" t="str">
        <f aca="false">B450</f>
        <v>м.п.</v>
      </c>
      <c r="C576" s="1799" t="n">
        <f aca="false">C450</f>
        <v>0.4</v>
      </c>
      <c r="D576" s="1799" t="n">
        <f aca="false">D450</f>
        <v>0.045</v>
      </c>
      <c r="E576" s="1799" t="n">
        <f aca="false">IF('Ввод данных'!$A$463=связи1!$A$97,IF(дома!E575&lt;связи1!$F$571,0,дома!E575-$F$419),0)+IF(дома!E575&lt;=0,0,IF('Ввод данных'!$A$463=связи1!$A$94,IF(дома!E575&lt;0,0,дома!E575-$F$419),0))</f>
        <v>1</v>
      </c>
      <c r="F576" s="1799" t="n">
        <f aca="false">F450</f>
        <v>2</v>
      </c>
      <c r="G576" s="1344" t="n">
        <f aca="false">C576*D576*E576*F576</f>
        <v>0.036</v>
      </c>
      <c r="H576" s="1344"/>
      <c r="I576" s="1344"/>
      <c r="J576" s="1344"/>
      <c r="K576" s="1344"/>
      <c r="L576" s="1344"/>
      <c r="M576" s="1344"/>
      <c r="N576" s="1344"/>
      <c r="O576" s="1344"/>
      <c r="P576" s="1707"/>
      <c r="Q576" s="1707"/>
      <c r="R576" s="1707"/>
      <c r="S576" s="1344"/>
      <c r="T576" s="1344"/>
      <c r="U576" s="1753"/>
      <c r="V576" s="1344"/>
      <c r="W576" s="1344"/>
      <c r="X576" s="1344"/>
      <c r="Y576" s="1707"/>
      <c r="Z576" s="1707"/>
      <c r="AA576" s="1344"/>
      <c r="AB576" s="1344"/>
      <c r="AC576" s="1344"/>
      <c r="AD576" s="1344"/>
    </row>
    <row r="577" s="1709" customFormat="true" ht="15.75" hidden="true" customHeight="true" outlineLevel="1" collapsed="false">
      <c r="A577" s="1799" t="str">
        <f aca="false">A451</f>
        <v>Стойка каркаса по фронтону, 1 этаж, двускатная кровля, №5</v>
      </c>
      <c r="B577" s="1294" t="str">
        <f aca="false">B451</f>
        <v>м.п.</v>
      </c>
      <c r="C577" s="1799" t="n">
        <f aca="false">C451</f>
        <v>0.4</v>
      </c>
      <c r="D577" s="1799" t="n">
        <f aca="false">D451</f>
        <v>0.045</v>
      </c>
      <c r="E577" s="1799" t="n">
        <f aca="false">IF('Ввод данных'!$A$463=связи1!$A$97,IF(дома!E576&lt;связи1!$F$571,0,дома!E576-$F$419),0)+IF(дома!E576&lt;=0,0,IF('Ввод данных'!$A$463=связи1!$A$94,IF(дома!E576&lt;0,0,дома!E576-$F$419),0))</f>
        <v>1</v>
      </c>
      <c r="F577" s="1799" t="n">
        <f aca="false">F451</f>
        <v>2</v>
      </c>
      <c r="G577" s="1344" t="n">
        <f aca="false">C577*D577*E577*F577</f>
        <v>0.036</v>
      </c>
      <c r="H577" s="1344"/>
      <c r="I577" s="1344"/>
      <c r="J577" s="1344"/>
      <c r="K577" s="1344"/>
      <c r="L577" s="1344"/>
      <c r="M577" s="1344"/>
      <c r="N577" s="1344"/>
      <c r="O577" s="1344"/>
      <c r="P577" s="1707"/>
      <c r="Q577" s="1707"/>
      <c r="R577" s="1707"/>
      <c r="S577" s="1344"/>
      <c r="T577" s="1344"/>
      <c r="U577" s="1753"/>
      <c r="V577" s="1344"/>
      <c r="W577" s="1344"/>
      <c r="X577" s="1344"/>
      <c r="Y577" s="1707"/>
      <c r="Z577" s="1707"/>
      <c r="AA577" s="1344"/>
      <c r="AB577" s="1344"/>
      <c r="AC577" s="1344"/>
      <c r="AD577" s="1344"/>
    </row>
    <row r="578" s="1709" customFormat="true" ht="15.75" hidden="true" customHeight="true" outlineLevel="1" collapsed="false">
      <c r="A578" s="1799" t="str">
        <f aca="false">A452</f>
        <v>Стойка каркаса по фронтону, 1 этаж, двускатная кровля, №6</v>
      </c>
      <c r="B578" s="1294" t="str">
        <f aca="false">B452</f>
        <v>м.п.</v>
      </c>
      <c r="C578" s="1799" t="n">
        <f aca="false">C452</f>
        <v>0.4</v>
      </c>
      <c r="D578" s="1799" t="n">
        <f aca="false">D452</f>
        <v>0.045</v>
      </c>
      <c r="E578" s="1799" t="n">
        <f aca="false">IF('Ввод данных'!$A$463=связи1!$A$97,IF(дома!E577&lt;связи1!$F$571,0,дома!E577-$F$419),0)+IF(дома!E577&lt;=0,0,IF('Ввод данных'!$A$463=связи1!$A$94,IF(дома!E577&lt;0,0,дома!E577-$F$419),0))</f>
        <v>1</v>
      </c>
      <c r="F578" s="1799" t="n">
        <f aca="false">F452</f>
        <v>2</v>
      </c>
      <c r="G578" s="1344" t="n">
        <f aca="false">C578*D578*E578*F578</f>
        <v>0.036</v>
      </c>
      <c r="H578" s="1344"/>
      <c r="I578" s="1344"/>
      <c r="J578" s="1344"/>
      <c r="K578" s="1344"/>
      <c r="L578" s="1344"/>
      <c r="M578" s="1344"/>
      <c r="N578" s="1344"/>
      <c r="O578" s="1344"/>
      <c r="P578" s="1707"/>
      <c r="Q578" s="1707"/>
      <c r="R578" s="1707"/>
      <c r="S578" s="1344"/>
      <c r="T578" s="1344"/>
      <c r="U578" s="1753"/>
      <c r="V578" s="1344"/>
      <c r="W578" s="1344"/>
      <c r="X578" s="1344"/>
      <c r="Y578" s="1707"/>
      <c r="Z578" s="1707"/>
      <c r="AA578" s="1344"/>
      <c r="AB578" s="1344"/>
      <c r="AC578" s="1344"/>
      <c r="AD578" s="1344"/>
    </row>
    <row r="579" s="1709" customFormat="true" ht="15.75" hidden="true" customHeight="true" outlineLevel="1" collapsed="false">
      <c r="A579" s="1799" t="str">
        <f aca="false">A453</f>
        <v>Стойка каркаса по фронтону, 1 этаж, двускатная кровля, №7</v>
      </c>
      <c r="B579" s="1294" t="str">
        <f aca="false">B453</f>
        <v>м.п.</v>
      </c>
      <c r="C579" s="1799" t="n">
        <f aca="false">C453</f>
        <v>0.4</v>
      </c>
      <c r="D579" s="1799" t="n">
        <f aca="false">D453</f>
        <v>0.045</v>
      </c>
      <c r="E579" s="1799" t="n">
        <f aca="false">IF('Ввод данных'!$A$463=связи1!$A$97,IF(дома!E578&lt;связи1!$F$571,0,дома!E578-$F$419),0)+IF(дома!E578&lt;=0,0,IF('Ввод данных'!$A$463=связи1!$A$94,IF(дома!E578&lt;0,0,дома!E578-$F$419),0))</f>
        <v>1</v>
      </c>
      <c r="F579" s="1799" t="n">
        <f aca="false">F453</f>
        <v>2</v>
      </c>
      <c r="G579" s="1344" t="n">
        <f aca="false">C579*D579*E579*F579</f>
        <v>0.036</v>
      </c>
      <c r="H579" s="1344"/>
      <c r="I579" s="1344"/>
      <c r="J579" s="1344"/>
      <c r="K579" s="1344"/>
      <c r="L579" s="1344"/>
      <c r="M579" s="1344"/>
      <c r="N579" s="1344"/>
      <c r="O579" s="1344"/>
      <c r="P579" s="1707"/>
      <c r="Q579" s="1707"/>
      <c r="R579" s="1707"/>
      <c r="S579" s="1344"/>
      <c r="T579" s="1344"/>
      <c r="U579" s="1753"/>
      <c r="V579" s="1344"/>
      <c r="W579" s="1344"/>
      <c r="X579" s="1344"/>
      <c r="Y579" s="1707"/>
      <c r="Z579" s="1707"/>
      <c r="AA579" s="1344"/>
      <c r="AB579" s="1344"/>
      <c r="AC579" s="1344"/>
      <c r="AD579" s="1344"/>
    </row>
    <row r="580" s="1709" customFormat="true" ht="15.75" hidden="true" customHeight="true" outlineLevel="1" collapsed="false">
      <c r="A580" s="1799" t="str">
        <f aca="false">A454</f>
        <v>Стойка каркаса по фронтону, 1 этаж, двускатная кровля, №8</v>
      </c>
      <c r="B580" s="1294" t="str">
        <f aca="false">B454</f>
        <v>м.п.</v>
      </c>
      <c r="C580" s="1799" t="n">
        <f aca="false">C454</f>
        <v>0.4</v>
      </c>
      <c r="D580" s="1799" t="n">
        <f aca="false">D454</f>
        <v>0.045</v>
      </c>
      <c r="E580" s="1799" t="n">
        <f aca="false">IF('Ввод данных'!$A$463=связи1!$A$97,IF(дома!E579&lt;связи1!$F$571,0,дома!E579-$F$419),0)+IF(дома!E579&lt;=0,0,IF('Ввод данных'!$A$463=связи1!$A$94,IF(дома!E579&lt;0,0,дома!E579-$F$419),0))</f>
        <v>1</v>
      </c>
      <c r="F580" s="1799" t="n">
        <f aca="false">F454</f>
        <v>2</v>
      </c>
      <c r="G580" s="1344" t="n">
        <f aca="false">C580*D580*E580*F580</f>
        <v>0.036</v>
      </c>
      <c r="H580" s="1344"/>
      <c r="I580" s="1344"/>
      <c r="J580" s="1344"/>
      <c r="K580" s="1344"/>
      <c r="L580" s="1344"/>
      <c r="M580" s="1344"/>
      <c r="N580" s="1344"/>
      <c r="O580" s="1344"/>
      <c r="P580" s="1707"/>
      <c r="Q580" s="1707"/>
      <c r="R580" s="1707"/>
      <c r="S580" s="1344"/>
      <c r="T580" s="1344"/>
      <c r="U580" s="1753"/>
      <c r="V580" s="1344"/>
      <c r="W580" s="1344"/>
      <c r="X580" s="1344"/>
      <c r="Y580" s="1707"/>
      <c r="Z580" s="1707"/>
      <c r="AA580" s="1344"/>
      <c r="AB580" s="1344"/>
      <c r="AC580" s="1344"/>
      <c r="AD580" s="1344"/>
    </row>
    <row r="581" s="1709" customFormat="true" ht="15.75" hidden="true" customHeight="true" outlineLevel="1" collapsed="false">
      <c r="A581" s="1799" t="str">
        <f aca="false">A455</f>
        <v>Стойка каркаса по фронтону, 1 этаж, двускатная кровля, №9</v>
      </c>
      <c r="B581" s="1294" t="str">
        <f aca="false">B455</f>
        <v>м.п.</v>
      </c>
      <c r="C581" s="1799" t="n">
        <f aca="false">C455</f>
        <v>0.4</v>
      </c>
      <c r="D581" s="1799" t="n">
        <f aca="false">D455</f>
        <v>0.045</v>
      </c>
      <c r="E581" s="1799" t="n">
        <f aca="false">IF('Ввод данных'!$A$463=связи1!$A$97,IF(дома!E580&lt;связи1!$F$571,0,дома!E580-$F$419),0)+IF(дома!E580&lt;=0,0,IF('Ввод данных'!$A$463=связи1!$A$94,IF(дома!E580&lt;0,0,дома!E580-$F$419),0))</f>
        <v>1</v>
      </c>
      <c r="F581" s="1799" t="n">
        <f aca="false">F455</f>
        <v>2</v>
      </c>
      <c r="G581" s="1344" t="n">
        <f aca="false">C581*D581*E581*F581</f>
        <v>0.036</v>
      </c>
      <c r="H581" s="1344"/>
      <c r="I581" s="1344"/>
      <c r="J581" s="1344"/>
      <c r="K581" s="1344"/>
      <c r="L581" s="1344"/>
      <c r="M581" s="1344"/>
      <c r="N581" s="1344"/>
      <c r="O581" s="1344"/>
      <c r="P581" s="1707"/>
      <c r="Q581" s="1707"/>
      <c r="R581" s="1707"/>
      <c r="S581" s="1344"/>
      <c r="T581" s="1344"/>
      <c r="U581" s="1753"/>
      <c r="V581" s="1344"/>
      <c r="W581" s="1344"/>
      <c r="X581" s="1344"/>
      <c r="Y581" s="1707"/>
      <c r="Z581" s="1707"/>
      <c r="AA581" s="1344"/>
      <c r="AB581" s="1344"/>
      <c r="AC581" s="1344"/>
      <c r="AD581" s="1344"/>
    </row>
    <row r="582" s="1709" customFormat="true" ht="15.75" hidden="true" customHeight="true" outlineLevel="1" collapsed="false">
      <c r="A582" s="1799" t="str">
        <f aca="false">A456</f>
        <v>Стойка каркаса по фронтону, 1 этаж, двускатная кровля, №10</v>
      </c>
      <c r="B582" s="1294" t="str">
        <f aca="false">B456</f>
        <v>м.п.</v>
      </c>
      <c r="C582" s="1799" t="n">
        <f aca="false">C456</f>
        <v>0.4</v>
      </c>
      <c r="D582" s="1799" t="n">
        <f aca="false">D456</f>
        <v>0.045</v>
      </c>
      <c r="E582" s="1799" t="n">
        <f aca="false">IF('Ввод данных'!$A$463=связи1!$A$97,IF(дома!E581&lt;связи1!$F$571,0,дома!E581-$F$419),0)+IF(дома!E581&lt;=0,0,IF('Ввод данных'!$A$463=связи1!$A$94,IF(дома!E581&lt;0,0,дома!E581-$F$419),0))</f>
        <v>1</v>
      </c>
      <c r="F582" s="1799" t="n">
        <f aca="false">F456</f>
        <v>2</v>
      </c>
      <c r="G582" s="1344" t="n">
        <f aca="false">C582*D582*E582*F582</f>
        <v>0.036</v>
      </c>
      <c r="H582" s="1344"/>
      <c r="I582" s="1344"/>
      <c r="J582" s="1344"/>
      <c r="K582" s="1344"/>
      <c r="L582" s="1344"/>
      <c r="M582" s="1344"/>
      <c r="N582" s="1344"/>
      <c r="O582" s="1344"/>
      <c r="P582" s="1707"/>
      <c r="Q582" s="1707"/>
      <c r="R582" s="1707"/>
      <c r="S582" s="1344"/>
      <c r="T582" s="1344"/>
      <c r="U582" s="1753"/>
      <c r="V582" s="1344"/>
      <c r="W582" s="1344"/>
      <c r="X582" s="1344"/>
      <c r="Y582" s="1707"/>
      <c r="Z582" s="1707"/>
      <c r="AA582" s="1344"/>
      <c r="AB582" s="1344"/>
      <c r="AC582" s="1344"/>
      <c r="AD582" s="1344"/>
    </row>
    <row r="583" s="1709" customFormat="true" ht="15.75" hidden="true" customHeight="true" outlineLevel="1" collapsed="false">
      <c r="A583" s="1799" t="str">
        <f aca="false">A457</f>
        <v>Стойка каркаса по фронтону, 1 этаж, двускатная кровля, №11</v>
      </c>
      <c r="B583" s="1294" t="str">
        <f aca="false">B457</f>
        <v>м.п.</v>
      </c>
      <c r="C583" s="1799" t="n">
        <f aca="false">C457</f>
        <v>0.4</v>
      </c>
      <c r="D583" s="1799" t="n">
        <f aca="false">D457</f>
        <v>0.045</v>
      </c>
      <c r="E583" s="1799" t="n">
        <f aca="false">IF('Ввод данных'!$A$463=связи1!$A$97,IF(дома!E582&lt;связи1!$F$571,0,дома!E582-$F$419),0)+IF(дома!E582&lt;=0,0,IF('Ввод данных'!$A$463=связи1!$A$94,IF(дома!E582&lt;0,0,дома!E582-$F$419),0))</f>
        <v>1</v>
      </c>
      <c r="F583" s="1799" t="n">
        <f aca="false">F457</f>
        <v>2</v>
      </c>
      <c r="G583" s="1344" t="n">
        <f aca="false">C583*D583*E583*F583</f>
        <v>0.036</v>
      </c>
      <c r="H583" s="1344"/>
      <c r="I583" s="1344"/>
      <c r="J583" s="1344"/>
      <c r="K583" s="1344"/>
      <c r="L583" s="1344"/>
      <c r="M583" s="1344"/>
      <c r="N583" s="1344"/>
      <c r="O583" s="1344"/>
      <c r="P583" s="1707"/>
      <c r="Q583" s="1707"/>
      <c r="R583" s="1707"/>
      <c r="S583" s="1344"/>
      <c r="T583" s="1344"/>
      <c r="U583" s="1753"/>
      <c r="V583" s="1344"/>
      <c r="W583" s="1344"/>
      <c r="X583" s="1344"/>
      <c r="Y583" s="1707"/>
      <c r="Z583" s="1707"/>
      <c r="AA583" s="1344"/>
      <c r="AB583" s="1344"/>
      <c r="AC583" s="1344"/>
      <c r="AD583" s="1344"/>
    </row>
    <row r="584" s="1709" customFormat="true" ht="15.75" hidden="true" customHeight="true" outlineLevel="1" collapsed="false">
      <c r="A584" s="1799" t="str">
        <f aca="false">A458</f>
        <v>Стойка каркаса по фронтону, 1 этаж, двускатная кровля, №12</v>
      </c>
      <c r="B584" s="1294" t="str">
        <f aca="false">B458</f>
        <v>м.п.</v>
      </c>
      <c r="C584" s="1799" t="n">
        <f aca="false">C458</f>
        <v>0.4</v>
      </c>
      <c r="D584" s="1799" t="n">
        <f aca="false">D458</f>
        <v>0.045</v>
      </c>
      <c r="E584" s="1799" t="n">
        <f aca="false">IF('Ввод данных'!$A$463=связи1!$A$97,IF(дома!E583&lt;связи1!$F$571,0,дома!E583-$F$419),0)+IF(дома!E583&lt;=0,0,IF('Ввод данных'!$A$463=связи1!$A$94,IF(дома!E583&lt;0,0,дома!E583-$F$419),0))</f>
        <v>1</v>
      </c>
      <c r="F584" s="1799" t="n">
        <f aca="false">F458</f>
        <v>2</v>
      </c>
      <c r="G584" s="1344" t="n">
        <f aca="false">C584*D584*E584*F584</f>
        <v>0.036</v>
      </c>
      <c r="H584" s="1344"/>
      <c r="I584" s="1344"/>
      <c r="J584" s="1344"/>
      <c r="K584" s="1344"/>
      <c r="L584" s="1344"/>
      <c r="M584" s="1344"/>
      <c r="N584" s="1344"/>
      <c r="O584" s="1344"/>
      <c r="P584" s="1707"/>
      <c r="Q584" s="1707"/>
      <c r="R584" s="1707"/>
      <c r="S584" s="1344"/>
      <c r="T584" s="1344"/>
      <c r="U584" s="1753"/>
      <c r="V584" s="1344"/>
      <c r="W584" s="1344"/>
      <c r="X584" s="1344"/>
      <c r="Y584" s="1707"/>
      <c r="Z584" s="1707"/>
      <c r="AA584" s="1344"/>
      <c r="AB584" s="1344"/>
      <c r="AC584" s="1344"/>
      <c r="AD584" s="1344"/>
    </row>
    <row r="585" s="1709" customFormat="true" ht="15.75" hidden="true" customHeight="true" outlineLevel="1" collapsed="false">
      <c r="A585" s="1799" t="str">
        <f aca="false">A459</f>
        <v>Стойка каркаса по фронтону, 1 этаж, двускатная кровля, №13</v>
      </c>
      <c r="B585" s="1294" t="str">
        <f aca="false">B459</f>
        <v>м.п.</v>
      </c>
      <c r="C585" s="1799" t="n">
        <f aca="false">C459</f>
        <v>0.4</v>
      </c>
      <c r="D585" s="1799" t="n">
        <f aca="false">D459</f>
        <v>0.045</v>
      </c>
      <c r="E585" s="1799" t="n">
        <f aca="false">IF('Ввод данных'!$A$463=связи1!$A$97,IF(дома!E584&lt;связи1!$F$571,0,дома!E584-$F$419),0)+IF(дома!E584&lt;=0,0,IF('Ввод данных'!$A$463=связи1!$A$94,IF(дома!E584&lt;0,0,дома!E584-$F$419),0))</f>
        <v>1</v>
      </c>
      <c r="F585" s="1799" t="n">
        <f aca="false">F459</f>
        <v>2</v>
      </c>
      <c r="G585" s="1344" t="n">
        <f aca="false">C585*D585*E585*F585</f>
        <v>0.036</v>
      </c>
      <c r="H585" s="1344"/>
      <c r="I585" s="1344"/>
      <c r="J585" s="1344"/>
      <c r="K585" s="1344"/>
      <c r="L585" s="1344"/>
      <c r="M585" s="1344"/>
      <c r="N585" s="1344"/>
      <c r="O585" s="1344"/>
      <c r="P585" s="1707"/>
      <c r="Q585" s="1707"/>
      <c r="R585" s="1707"/>
      <c r="S585" s="1344"/>
      <c r="T585" s="1344"/>
      <c r="U585" s="1753"/>
      <c r="V585" s="1344"/>
      <c r="W585" s="1344"/>
      <c r="X585" s="1344"/>
      <c r="Y585" s="1707"/>
      <c r="Z585" s="1707"/>
      <c r="AA585" s="1344"/>
      <c r="AB585" s="1344"/>
      <c r="AC585" s="1344"/>
      <c r="AD585" s="1344"/>
    </row>
    <row r="586" s="1709" customFormat="true" ht="15.75" hidden="true" customHeight="true" outlineLevel="1" collapsed="false">
      <c r="A586" s="1799" t="str">
        <f aca="false">A460</f>
        <v>Стойка каркаса по фронтону, 1 этаж, двускатная кровля, №14</v>
      </c>
      <c r="B586" s="1294" t="str">
        <f aca="false">B460</f>
        <v>м.п.</v>
      </c>
      <c r="C586" s="1799" t="n">
        <f aca="false">C460</f>
        <v>0.4</v>
      </c>
      <c r="D586" s="1799" t="n">
        <f aca="false">D460</f>
        <v>0.045</v>
      </c>
      <c r="E586" s="1799" t="n">
        <f aca="false">IF('Ввод данных'!$A$463=связи1!$A$97,IF(дома!E585&lt;связи1!$F$571,0,дома!E585-$F$419),0)+IF(дома!E585&lt;=0,0,IF('Ввод данных'!$A$463=связи1!$A$94,IF(дома!E585&lt;0,0,дома!E585-$F$419),0))</f>
        <v>1</v>
      </c>
      <c r="F586" s="1799" t="n">
        <f aca="false">F460</f>
        <v>2</v>
      </c>
      <c r="G586" s="1344" t="n">
        <f aca="false">C586*D586*E586*F586</f>
        <v>0.036</v>
      </c>
      <c r="H586" s="1344"/>
      <c r="I586" s="1344"/>
      <c r="J586" s="1344"/>
      <c r="K586" s="1344"/>
      <c r="L586" s="1344"/>
      <c r="M586" s="1344"/>
      <c r="N586" s="1344"/>
      <c r="O586" s="1344"/>
      <c r="P586" s="1707"/>
      <c r="Q586" s="1707"/>
      <c r="R586" s="1707"/>
      <c r="S586" s="1344"/>
      <c r="T586" s="1344"/>
      <c r="U586" s="1753"/>
      <c r="V586" s="1344"/>
      <c r="W586" s="1344"/>
      <c r="X586" s="1344"/>
      <c r="Y586" s="1707"/>
      <c r="Z586" s="1707"/>
      <c r="AA586" s="1344"/>
      <c r="AB586" s="1344"/>
      <c r="AC586" s="1344"/>
      <c r="AD586" s="1344"/>
    </row>
    <row r="587" s="1709" customFormat="true" ht="15.75" hidden="true" customHeight="true" outlineLevel="1" collapsed="false">
      <c r="A587" s="1799" t="str">
        <f aca="false">A461</f>
        <v>Стойка каркаса по фронтону, 1 этаж, двускатная кровля, №15</v>
      </c>
      <c r="B587" s="1294" t="str">
        <f aca="false">B461</f>
        <v>м.п.</v>
      </c>
      <c r="C587" s="1799" t="n">
        <f aca="false">C461</f>
        <v>0.4</v>
      </c>
      <c r="D587" s="1799" t="n">
        <f aca="false">D461</f>
        <v>0.045</v>
      </c>
      <c r="E587" s="1799" t="n">
        <f aca="false">IF('Ввод данных'!$A$463=связи1!$A$97,IF(дома!E586&lt;связи1!$F$571,0,дома!E586-$F$419),0)+IF(дома!E586&lt;=0,0,IF('Ввод данных'!$A$463=связи1!$A$94,IF(дома!E586&lt;0,0,дома!E586-$F$419),0))</f>
        <v>1</v>
      </c>
      <c r="F587" s="1799" t="n">
        <f aca="false">F461</f>
        <v>2</v>
      </c>
      <c r="G587" s="1344" t="n">
        <f aca="false">C587*D587*E587*F587</f>
        <v>0.036</v>
      </c>
      <c r="H587" s="1344"/>
      <c r="I587" s="1344"/>
      <c r="J587" s="1344"/>
      <c r="K587" s="1344"/>
      <c r="L587" s="1344"/>
      <c r="M587" s="1344"/>
      <c r="N587" s="1344"/>
      <c r="O587" s="1344"/>
      <c r="P587" s="1707"/>
      <c r="Q587" s="1707"/>
      <c r="R587" s="1707"/>
      <c r="S587" s="1344"/>
      <c r="T587" s="1344"/>
      <c r="U587" s="1753"/>
      <c r="V587" s="1344"/>
      <c r="W587" s="1344"/>
      <c r="X587" s="1344"/>
      <c r="Y587" s="1707"/>
      <c r="Z587" s="1707"/>
      <c r="AA587" s="1344"/>
      <c r="AB587" s="1344"/>
      <c r="AC587" s="1344"/>
      <c r="AD587" s="1344"/>
    </row>
    <row r="588" s="1709" customFormat="true" ht="15.75" hidden="true" customHeight="true" outlineLevel="1" collapsed="false">
      <c r="A588" s="1799" t="str">
        <f aca="false">A462</f>
        <v>Стойка каркаса по фронтону, 1 этаж, двускатная кровля, №16</v>
      </c>
      <c r="B588" s="1294" t="str">
        <f aca="false">B462</f>
        <v>м.п.</v>
      </c>
      <c r="C588" s="1799" t="n">
        <f aca="false">C462</f>
        <v>0.4</v>
      </c>
      <c r="D588" s="1799" t="n">
        <f aca="false">D462</f>
        <v>0.045</v>
      </c>
      <c r="E588" s="1799" t="n">
        <f aca="false">IF('Ввод данных'!$A$463=связи1!$A$97,IF(дома!E587&lt;связи1!$F$571,0,дома!E587-$F$419),0)+IF(дома!E587&lt;=0,0,IF('Ввод данных'!$A$463=связи1!$A$94,IF(дома!E587&lt;0,0,дома!E587-$F$419),0))</f>
        <v>1</v>
      </c>
      <c r="F588" s="1799" t="n">
        <f aca="false">F462</f>
        <v>2</v>
      </c>
      <c r="G588" s="1344" t="n">
        <f aca="false">C588*D588*E588*F588</f>
        <v>0.036</v>
      </c>
      <c r="H588" s="1344"/>
      <c r="I588" s="1344"/>
      <c r="J588" s="1344"/>
      <c r="K588" s="1344"/>
      <c r="L588" s="1344"/>
      <c r="M588" s="1344"/>
      <c r="N588" s="1344"/>
      <c r="O588" s="1344"/>
      <c r="P588" s="1707"/>
      <c r="Q588" s="1707"/>
      <c r="R588" s="1707"/>
      <c r="S588" s="1344"/>
      <c r="T588" s="1344"/>
      <c r="U588" s="1753"/>
      <c r="V588" s="1344"/>
      <c r="W588" s="1344"/>
      <c r="X588" s="1344"/>
      <c r="Y588" s="1707"/>
      <c r="Z588" s="1707"/>
      <c r="AA588" s="1344"/>
      <c r="AB588" s="1344"/>
      <c r="AC588" s="1344"/>
      <c r="AD588" s="1344"/>
    </row>
    <row r="589" s="1709" customFormat="true" ht="15.75" hidden="true" customHeight="true" outlineLevel="1" collapsed="false">
      <c r="A589" s="1799" t="str">
        <f aca="false">A463</f>
        <v>Стойка каркаса по фронтону, 1 этаж, двускатная кровля, №17</v>
      </c>
      <c r="B589" s="1294" t="str">
        <f aca="false">B463</f>
        <v>м.п.</v>
      </c>
      <c r="C589" s="1799" t="n">
        <f aca="false">C463</f>
        <v>0.4</v>
      </c>
      <c r="D589" s="1799" t="n">
        <f aca="false">D463</f>
        <v>0.045</v>
      </c>
      <c r="E589" s="1799" t="n">
        <f aca="false">IF('Ввод данных'!$A$463=связи1!$A$97,IF(дома!E588&lt;связи1!$F$571,0,дома!E588-$F$419),0)+IF(дома!E588&lt;=0,0,IF('Ввод данных'!$A$463=связи1!$A$94,IF(дома!E588&lt;0,0,дома!E588-$F$419),0))</f>
        <v>1</v>
      </c>
      <c r="F589" s="1799" t="n">
        <f aca="false">F463</f>
        <v>2</v>
      </c>
      <c r="G589" s="1344" t="n">
        <f aca="false">C589*D589*E589*F589</f>
        <v>0.036</v>
      </c>
      <c r="H589" s="1344"/>
      <c r="I589" s="1344"/>
      <c r="J589" s="1344"/>
      <c r="K589" s="1344"/>
      <c r="L589" s="1344"/>
      <c r="M589" s="1344"/>
      <c r="N589" s="1344"/>
      <c r="O589" s="1344"/>
      <c r="P589" s="1707"/>
      <c r="Q589" s="1707"/>
      <c r="R589" s="1707"/>
      <c r="S589" s="1344"/>
      <c r="T589" s="1344"/>
      <c r="U589" s="1753"/>
      <c r="V589" s="1344"/>
      <c r="W589" s="1344"/>
      <c r="X589" s="1344"/>
      <c r="Y589" s="1707"/>
      <c r="Z589" s="1707"/>
      <c r="AA589" s="1344"/>
      <c r="AB589" s="1344"/>
      <c r="AC589" s="1344"/>
      <c r="AD589" s="1344"/>
    </row>
    <row r="590" s="1709" customFormat="true" ht="15.75" hidden="true" customHeight="true" outlineLevel="1" collapsed="false">
      <c r="A590" s="1799" t="s">
        <v>3366</v>
      </c>
      <c r="B590" s="1294" t="n">
        <f aca="false">B464</f>
        <v>0</v>
      </c>
      <c r="C590" s="1294"/>
      <c r="D590" s="1344"/>
      <c r="E590" s="1344"/>
      <c r="F590" s="1444"/>
      <c r="G590" s="1344"/>
      <c r="H590" s="1344"/>
      <c r="I590" s="1344"/>
      <c r="J590" s="1344"/>
      <c r="K590" s="1344"/>
      <c r="L590" s="1344"/>
      <c r="M590" s="1344"/>
      <c r="N590" s="1344"/>
      <c r="O590" s="1344"/>
      <c r="P590" s="1707"/>
      <c r="Q590" s="1707"/>
      <c r="R590" s="1707"/>
      <c r="S590" s="1344"/>
      <c r="T590" s="1344"/>
      <c r="U590" s="1753"/>
      <c r="V590" s="1344"/>
      <c r="W590" s="1344"/>
      <c r="X590" s="1344"/>
      <c r="Y590" s="1707"/>
      <c r="Z590" s="1707"/>
      <c r="AA590" s="1344"/>
      <c r="AB590" s="1344"/>
      <c r="AC590" s="1344"/>
      <c r="AD590" s="1344"/>
    </row>
    <row r="591" s="1709" customFormat="true" ht="15.75" hidden="true" customHeight="true" outlineLevel="1" collapsed="false">
      <c r="A591" s="1799" t="s">
        <v>3367</v>
      </c>
      <c r="B591" s="1294" t="s">
        <v>15</v>
      </c>
      <c r="C591" s="1344" t="n">
        <f aca="false">K399</f>
        <v>0.145</v>
      </c>
      <c r="D591" s="1294" t="n">
        <f aca="false">J395</f>
        <v>0.045</v>
      </c>
      <c r="E591" s="1344" t="n">
        <f aca="false">E395</f>
        <v>3.2</v>
      </c>
      <c r="F591" s="1444" t="n">
        <f aca="false">CEILING(((C399/G399+1)+(C400/G400+1)*2+(C401/G401+1)*2),1)*IF('Ввод данных'!C60=связи1!A2,1,0)</f>
        <v>0</v>
      </c>
      <c r="G591" s="1344" t="n">
        <f aca="false">C591*D591*E591*F591</f>
        <v>0</v>
      </c>
      <c r="H591" s="1344"/>
      <c r="I591" s="1344"/>
      <c r="J591" s="1344"/>
      <c r="K591" s="1344"/>
      <c r="L591" s="1344"/>
      <c r="M591" s="1344"/>
      <c r="N591" s="1344"/>
      <c r="O591" s="1344"/>
      <c r="P591" s="1707"/>
      <c r="Q591" s="1707"/>
      <c r="R591" s="1707"/>
      <c r="S591" s="1344"/>
      <c r="T591" s="1344"/>
      <c r="U591" s="1753"/>
      <c r="V591" s="1344"/>
      <c r="W591" s="1344"/>
      <c r="X591" s="1344"/>
      <c r="Y591" s="1707"/>
      <c r="Z591" s="1707"/>
      <c r="AA591" s="1344"/>
      <c r="AB591" s="1344"/>
      <c r="AC591" s="1344"/>
      <c r="AD591" s="1344"/>
    </row>
    <row r="592" s="1709" customFormat="true" ht="15.75" hidden="true" customHeight="true" outlineLevel="1" collapsed="false">
      <c r="A592" s="1799" t="s">
        <v>3368</v>
      </c>
      <c r="B592" s="1294" t="s">
        <v>15</v>
      </c>
      <c r="C592" s="1344" t="n">
        <f aca="false">K400</f>
        <v>0.145</v>
      </c>
      <c r="D592" s="1294" t="n">
        <f aca="false">J396</f>
        <v>0.045</v>
      </c>
      <c r="E592" s="1344" t="n">
        <f aca="false">(C395+C396*2+C397*2)*1.1</f>
        <v>0</v>
      </c>
      <c r="F592" s="1444" t="n">
        <f aca="false">1*IF('Ввод данных'!C60=связи1!A2,1,0)</f>
        <v>0</v>
      </c>
      <c r="G592" s="1344" t="n">
        <f aca="false">C592*D592*E592*F592</f>
        <v>0</v>
      </c>
      <c r="H592" s="1344"/>
      <c r="I592" s="1344"/>
      <c r="J592" s="1344"/>
      <c r="K592" s="1344"/>
      <c r="L592" s="1344"/>
      <c r="M592" s="1344"/>
      <c r="N592" s="1344"/>
      <c r="O592" s="1344"/>
      <c r="P592" s="1707"/>
      <c r="Q592" s="1707"/>
      <c r="R592" s="1707"/>
      <c r="S592" s="1344"/>
      <c r="T592" s="1344"/>
      <c r="U592" s="1753"/>
      <c r="V592" s="1344"/>
      <c r="W592" s="1344"/>
      <c r="X592" s="1344"/>
      <c r="Y592" s="1707"/>
      <c r="Z592" s="1707"/>
      <c r="AA592" s="1344"/>
      <c r="AB592" s="1344"/>
      <c r="AC592" s="1344"/>
      <c r="AD592" s="1344"/>
    </row>
    <row r="593" s="1709" customFormat="true" ht="15.75" hidden="true" customHeight="true" outlineLevel="1" collapsed="false">
      <c r="A593" s="1799" t="s">
        <v>3369</v>
      </c>
      <c r="B593" s="1294" t="s">
        <v>15</v>
      </c>
      <c r="C593" s="1344" t="n">
        <f aca="false">K401</f>
        <v>0.145</v>
      </c>
      <c r="D593" s="1294" t="n">
        <f aca="false">J397</f>
        <v>0.045</v>
      </c>
      <c r="E593" s="1344" t="n">
        <f aca="false">E592</f>
        <v>0</v>
      </c>
      <c r="F593" s="1444" t="n">
        <f aca="false">1*IF('Ввод данных'!C60=связи1!A2,1,0)</f>
        <v>0</v>
      </c>
      <c r="G593" s="1344" t="n">
        <f aca="false">C593*D593*E593*F593</f>
        <v>0</v>
      </c>
      <c r="H593" s="1344"/>
      <c r="I593" s="1344"/>
      <c r="J593" s="1344"/>
      <c r="K593" s="1344"/>
      <c r="L593" s="1344"/>
      <c r="M593" s="1344"/>
      <c r="N593" s="1344"/>
      <c r="O593" s="1344"/>
      <c r="P593" s="1707"/>
      <c r="Q593" s="1707"/>
      <c r="R593" s="1707"/>
      <c r="S593" s="1344"/>
      <c r="T593" s="1344"/>
      <c r="U593" s="1753"/>
      <c r="V593" s="1344"/>
      <c r="W593" s="1344"/>
      <c r="X593" s="1344"/>
      <c r="Y593" s="1707"/>
      <c r="Z593" s="1707"/>
      <c r="AA593" s="1344"/>
      <c r="AB593" s="1344"/>
      <c r="AC593" s="1344"/>
      <c r="AD593" s="1344"/>
    </row>
    <row r="594" s="1709" customFormat="true" ht="15.75" hidden="true" customHeight="true" outlineLevel="1" collapsed="false">
      <c r="A594" s="1799" t="str">
        <f aca="false">A591</f>
        <v>Стойка каркаса 1 этаж</v>
      </c>
      <c r="B594" s="1294" t="str">
        <f aca="false">B591</f>
        <v>м.п.</v>
      </c>
      <c r="C594" s="1672" t="n">
        <f aca="false">C591</f>
        <v>0.145</v>
      </c>
      <c r="D594" s="1672" t="n">
        <f aca="false">D591</f>
        <v>0.045</v>
      </c>
      <c r="E594" s="1672" t="n">
        <f aca="false">E591</f>
        <v>3.2</v>
      </c>
      <c r="F594" s="1672" t="n">
        <f aca="false">CEILING(((C399/G399+1)+(C400/G400+1)*2+(C401/G401+1)*2),1)*IF('Ввод данных'!C48=2,1,0)*IF('Ввод данных'!C60=связи1!A2,1,0)</f>
        <v>0</v>
      </c>
      <c r="G594" s="1672" t="n">
        <f aca="false">G591</f>
        <v>0</v>
      </c>
      <c r="H594" s="1672"/>
      <c r="I594" s="1344"/>
      <c r="J594" s="1344"/>
      <c r="K594" s="1344"/>
      <c r="L594" s="1344"/>
      <c r="M594" s="1344"/>
      <c r="N594" s="1344"/>
      <c r="O594" s="1344"/>
      <c r="P594" s="1707"/>
      <c r="Q594" s="1707"/>
      <c r="R594" s="1707"/>
      <c r="S594" s="1344"/>
      <c r="T594" s="1344"/>
      <c r="U594" s="1753"/>
      <c r="V594" s="1344"/>
      <c r="W594" s="1344"/>
      <c r="X594" s="1344"/>
      <c r="Y594" s="1707"/>
      <c r="Z594" s="1707"/>
      <c r="AA594" s="1344"/>
      <c r="AB594" s="1344"/>
      <c r="AC594" s="1344"/>
      <c r="AD594" s="1344"/>
    </row>
    <row r="595" s="1709" customFormat="true" ht="15.75" hidden="true" customHeight="true" outlineLevel="1" collapsed="false">
      <c r="A595" s="1799" t="str">
        <f aca="false">A592</f>
        <v>Обвязка нижняя/верхняя стен каркаса 1 этаж</v>
      </c>
      <c r="B595" s="1294" t="str">
        <f aca="false">B592</f>
        <v>м.п.</v>
      </c>
      <c r="C595" s="1672" t="n">
        <f aca="false">C592</f>
        <v>0.145</v>
      </c>
      <c r="D595" s="1672" t="n">
        <f aca="false">D592</f>
        <v>0.045</v>
      </c>
      <c r="E595" s="1672" t="n">
        <f aca="false">E592</f>
        <v>0</v>
      </c>
      <c r="F595" s="1672" t="n">
        <f aca="false">1*IF('Ввод данных'!C48=2,1,0)*IF('Ввод данных'!C60=связи1!A2,1,0)</f>
        <v>0</v>
      </c>
      <c r="G595" s="1672" t="n">
        <f aca="false">G592</f>
        <v>0</v>
      </c>
      <c r="H595" s="1672"/>
      <c r="I595" s="1344"/>
      <c r="J595" s="1344"/>
      <c r="K595" s="1344"/>
      <c r="L595" s="1344"/>
      <c r="M595" s="1344"/>
      <c r="N595" s="1344"/>
      <c r="O595" s="1344"/>
      <c r="P595" s="1707"/>
      <c r="Q595" s="1707"/>
      <c r="R595" s="1707"/>
      <c r="S595" s="1344"/>
      <c r="T595" s="1344"/>
      <c r="U595" s="1753"/>
      <c r="V595" s="1344"/>
      <c r="W595" s="1344"/>
      <c r="X595" s="1344"/>
      <c r="Y595" s="1707"/>
      <c r="Z595" s="1707"/>
      <c r="AA595" s="1344"/>
      <c r="AB595" s="1344"/>
      <c r="AC595" s="1344"/>
      <c r="AD595" s="1344"/>
    </row>
    <row r="596" s="1709" customFormat="true" ht="15.75" hidden="true" customHeight="true" outlineLevel="1" collapsed="false">
      <c r="A596" s="1799" t="str">
        <f aca="false">A593</f>
        <v>Ригель каркаса, 1 этаж</v>
      </c>
      <c r="B596" s="1294" t="str">
        <f aca="false">B593</f>
        <v>м.п.</v>
      </c>
      <c r="C596" s="1672" t="n">
        <f aca="false">C593</f>
        <v>0.145</v>
      </c>
      <c r="D596" s="1672" t="n">
        <f aca="false">D593</f>
        <v>0.045</v>
      </c>
      <c r="E596" s="1672" t="n">
        <f aca="false">E593</f>
        <v>0</v>
      </c>
      <c r="F596" s="1672" t="n">
        <f aca="false">1*IF('Ввод данных'!C48=2,1,0)*IF('Ввод данных'!C60=связи1!A2,1,0)</f>
        <v>0</v>
      </c>
      <c r="G596" s="1672" t="n">
        <f aca="false">G593</f>
        <v>0</v>
      </c>
      <c r="H596" s="1672"/>
      <c r="I596" s="1344"/>
      <c r="J596" s="1344"/>
      <c r="K596" s="1344"/>
      <c r="L596" s="1344"/>
      <c r="M596" s="1344"/>
      <c r="N596" s="1344"/>
      <c r="O596" s="1344"/>
      <c r="P596" s="1707"/>
      <c r="Q596" s="1707"/>
      <c r="R596" s="1707"/>
      <c r="S596" s="1344"/>
      <c r="T596" s="1344"/>
      <c r="U596" s="1753"/>
      <c r="V596" s="1344"/>
      <c r="W596" s="1344"/>
      <c r="X596" s="1344"/>
      <c r="Y596" s="1707"/>
      <c r="Z596" s="1707"/>
      <c r="AA596" s="1344"/>
      <c r="AB596" s="1344"/>
      <c r="AC596" s="1344"/>
      <c r="AD596" s="1344"/>
    </row>
    <row r="597" s="1709" customFormat="true" ht="15.75" hidden="true" customHeight="true" outlineLevel="1" collapsed="false">
      <c r="A597" s="1799"/>
      <c r="B597" s="1802"/>
      <c r="C597" s="1294"/>
      <c r="D597" s="1344"/>
      <c r="E597" s="1344"/>
      <c r="F597" s="1444"/>
      <c r="G597" s="1344"/>
      <c r="H597" s="1344"/>
      <c r="I597" s="1344"/>
      <c r="J597" s="1344"/>
      <c r="K597" s="1344"/>
      <c r="L597" s="1344"/>
      <c r="M597" s="1344"/>
      <c r="N597" s="1344"/>
      <c r="O597" s="1344"/>
      <c r="P597" s="1707"/>
      <c r="Q597" s="1707"/>
      <c r="R597" s="1707"/>
      <c r="S597" s="1344"/>
      <c r="T597" s="1344"/>
      <c r="U597" s="1753"/>
      <c r="V597" s="1344"/>
      <c r="W597" s="1344"/>
      <c r="X597" s="1344"/>
      <c r="Y597" s="1707"/>
      <c r="Z597" s="1707"/>
      <c r="AA597" s="1344"/>
      <c r="AB597" s="1344"/>
      <c r="AC597" s="1344"/>
      <c r="AD597" s="1344"/>
    </row>
    <row r="598" s="1798" customFormat="true" ht="15.75" hidden="true" customHeight="true" outlineLevel="1" collapsed="false">
      <c r="A598" s="1819" t="s">
        <v>3370</v>
      </c>
      <c r="B598" s="1820"/>
      <c r="C598" s="1821"/>
      <c r="D598" s="1822"/>
      <c r="E598" s="1823"/>
      <c r="F598" s="1823" t="n">
        <f aca="false">пристройка!R89</f>
        <v>0</v>
      </c>
      <c r="G598" s="1822"/>
      <c r="H598" s="1822"/>
      <c r="I598" s="1822"/>
      <c r="J598" s="1822"/>
      <c r="K598" s="1822"/>
      <c r="L598" s="1822"/>
      <c r="M598" s="1822"/>
      <c r="N598" s="1822"/>
      <c r="O598" s="1795" t="n">
        <f aca="false">SUM(O124:O402)</f>
        <v>17.63654</v>
      </c>
      <c r="P598" s="1737"/>
      <c r="Q598" s="1737"/>
      <c r="R598" s="1737"/>
      <c r="S598" s="1795"/>
      <c r="T598" s="1795" t="n">
        <f aca="false">T379+T384+T389+T394+T398+T402</f>
        <v>0</v>
      </c>
      <c r="U598" s="1797"/>
      <c r="V598" s="1795" t="n">
        <f aca="false">SUM(V124:V401)</f>
        <v>0.03654</v>
      </c>
      <c r="W598" s="1795"/>
      <c r="X598" s="1795"/>
      <c r="Y598" s="1737" t="n">
        <f aca="false">SUM(Y124:Y401)</f>
        <v>0.34974</v>
      </c>
      <c r="Z598" s="1737"/>
      <c r="AA598" s="1795" t="n">
        <f aca="false">SUM(AA124:AA402)</f>
        <v>0.42789</v>
      </c>
      <c r="AB598" s="1795"/>
      <c r="AC598" s="1795"/>
      <c r="AD598" s="1795" t="n">
        <f aca="false">SUM(AD124:AD402)</f>
        <v>1.112625</v>
      </c>
      <c r="AE598" s="1798" t="n">
        <f aca="false">O598+T598+V598+Y598+AA598+AD598</f>
        <v>19.563335</v>
      </c>
    </row>
    <row r="599" s="1798" customFormat="true" ht="15.75" hidden="true" customHeight="true" outlineLevel="1" collapsed="false">
      <c r="A599" s="1819" t="s">
        <v>3371</v>
      </c>
      <c r="B599" s="1820"/>
      <c r="C599" s="1821"/>
      <c r="D599" s="1822"/>
      <c r="E599" s="1823"/>
      <c r="F599" s="1823" t="n">
        <f aca="false">пристройка!R91</f>
        <v>0</v>
      </c>
      <c r="G599" s="1822"/>
      <c r="H599" s="1822"/>
      <c r="I599" s="1822"/>
      <c r="J599" s="1822"/>
      <c r="K599" s="1822"/>
      <c r="L599" s="1822"/>
      <c r="M599" s="1822"/>
      <c r="N599" s="1822"/>
      <c r="O599" s="1795"/>
      <c r="P599" s="1737"/>
      <c r="Q599" s="1737"/>
      <c r="R599" s="1737"/>
      <c r="S599" s="1795"/>
      <c r="T599" s="1795"/>
      <c r="U599" s="1797"/>
      <c r="V599" s="1795"/>
      <c r="W599" s="1795"/>
      <c r="X599" s="1795"/>
      <c r="Y599" s="1737"/>
      <c r="Z599" s="1737"/>
      <c r="AA599" s="1795"/>
      <c r="AB599" s="1795"/>
      <c r="AC599" s="1795"/>
      <c r="AD599" s="1795"/>
    </row>
    <row r="600" s="1798" customFormat="true" ht="15.75" hidden="true" customHeight="true" outlineLevel="1" collapsed="false">
      <c r="A600" s="1819" t="s">
        <v>3372</v>
      </c>
      <c r="B600" s="1820"/>
      <c r="C600" s="1821"/>
      <c r="D600" s="1822"/>
      <c r="E600" s="1823"/>
      <c r="F600" s="1823" t="n">
        <f aca="false">пристройка!R92</f>
        <v>0</v>
      </c>
      <c r="G600" s="1822"/>
      <c r="H600" s="1822"/>
      <c r="I600" s="1822"/>
      <c r="J600" s="1822"/>
      <c r="K600" s="1822"/>
      <c r="L600" s="1822"/>
      <c r="M600" s="1822"/>
      <c r="N600" s="1822"/>
      <c r="O600" s="1795"/>
      <c r="P600" s="1737"/>
      <c r="Q600" s="1737"/>
      <c r="R600" s="1737"/>
      <c r="S600" s="1795"/>
      <c r="T600" s="1795"/>
      <c r="U600" s="1797"/>
      <c r="V600" s="1795"/>
      <c r="W600" s="1795"/>
      <c r="X600" s="1795"/>
      <c r="Y600" s="1737"/>
      <c r="Z600" s="1737"/>
      <c r="AA600" s="1795"/>
      <c r="AB600" s="1795"/>
      <c r="AC600" s="1795"/>
      <c r="AD600" s="1795"/>
    </row>
    <row r="601" s="1798" customFormat="true" ht="15.75" hidden="true" customHeight="true" outlineLevel="1" collapsed="false">
      <c r="A601" s="1819" t="s">
        <v>3030</v>
      </c>
      <c r="B601" s="1820"/>
      <c r="C601" s="1821"/>
      <c r="D601" s="1822"/>
      <c r="E601" s="1823"/>
      <c r="F601" s="1823" t="n">
        <f aca="false">пристройка!R87</f>
        <v>0</v>
      </c>
      <c r="G601" s="1822"/>
      <c r="H601" s="1822"/>
      <c r="I601" s="1822"/>
      <c r="J601" s="1822"/>
      <c r="K601" s="1822"/>
      <c r="L601" s="1822"/>
      <c r="M601" s="1822"/>
      <c r="N601" s="1822"/>
      <c r="O601" s="1795"/>
      <c r="P601" s="1737"/>
      <c r="Q601" s="1737"/>
      <c r="R601" s="1737"/>
      <c r="S601" s="1795"/>
      <c r="T601" s="1795"/>
      <c r="U601" s="1797"/>
      <c r="V601" s="1795"/>
      <c r="W601" s="1795"/>
      <c r="X601" s="1795"/>
      <c r="Y601" s="1737"/>
      <c r="Z601" s="1737"/>
      <c r="AA601" s="1795"/>
      <c r="AB601" s="1795"/>
      <c r="AC601" s="1795"/>
      <c r="AD601" s="1795"/>
    </row>
    <row r="602" s="1798" customFormat="true" ht="15.75" hidden="true" customHeight="true" outlineLevel="1" collapsed="false">
      <c r="A602" s="1819" t="s">
        <v>3373</v>
      </c>
      <c r="B602" s="1820"/>
      <c r="C602" s="1821"/>
      <c r="D602" s="1822"/>
      <c r="E602" s="1823"/>
      <c r="F602" s="1824" t="n">
        <f aca="false">F598+F599+F601+F600</f>
        <v>0</v>
      </c>
      <c r="G602" s="1822" t="s">
        <v>3374</v>
      </c>
      <c r="H602" s="1822"/>
      <c r="I602" s="1822" t="n">
        <f aca="false">пристройка!R97</f>
        <v>0</v>
      </c>
      <c r="J602" s="1822"/>
      <c r="K602" s="1822"/>
      <c r="L602" s="1822"/>
      <c r="M602" s="1822"/>
      <c r="N602" s="1822"/>
      <c r="O602" s="1795"/>
      <c r="P602" s="1737"/>
      <c r="Q602" s="1737"/>
      <c r="R602" s="1737"/>
      <c r="S602" s="1795"/>
      <c r="T602" s="1795"/>
      <c r="U602" s="1797"/>
      <c r="V602" s="1795"/>
      <c r="W602" s="1795"/>
      <c r="X602" s="1795"/>
      <c r="Y602" s="1737"/>
      <c r="Z602" s="1737"/>
      <c r="AA602" s="1795"/>
      <c r="AB602" s="1795"/>
      <c r="AC602" s="1795"/>
      <c r="AD602" s="1795"/>
    </row>
    <row r="603" s="1798" customFormat="true" ht="15.75" hidden="true" customHeight="true" outlineLevel="1" collapsed="false">
      <c r="A603" s="1819" t="s">
        <v>3375</v>
      </c>
      <c r="B603" s="1820"/>
      <c r="C603" s="1821"/>
      <c r="D603" s="1822"/>
      <c r="E603" s="1823"/>
      <c r="F603" s="1823" t="n">
        <f aca="false">F598+F601</f>
        <v>0</v>
      </c>
      <c r="G603" s="1822"/>
      <c r="H603" s="1822"/>
      <c r="I603" s="1822"/>
      <c r="J603" s="1822"/>
      <c r="K603" s="1822"/>
      <c r="L603" s="1822"/>
      <c r="M603" s="1822"/>
      <c r="N603" s="1822"/>
      <c r="O603" s="1795"/>
      <c r="P603" s="1737"/>
      <c r="Q603" s="1737"/>
      <c r="R603" s="1737"/>
      <c r="S603" s="1795"/>
      <c r="T603" s="1795"/>
      <c r="U603" s="1797"/>
      <c r="V603" s="1795"/>
      <c r="W603" s="1795"/>
      <c r="X603" s="1795"/>
      <c r="Y603" s="1737"/>
      <c r="Z603" s="1737"/>
      <c r="AA603" s="1795"/>
      <c r="AB603" s="1795"/>
      <c r="AC603" s="1795"/>
      <c r="AD603" s="1795"/>
    </row>
    <row r="604" s="1798" customFormat="true" ht="15.75" hidden="true" customHeight="true" outlineLevel="1" collapsed="false">
      <c r="A604" s="1825" t="s">
        <v>3376</v>
      </c>
      <c r="B604" s="1826"/>
      <c r="C604" s="1827"/>
      <c r="D604" s="1825"/>
      <c r="E604" s="1828"/>
      <c r="F604" s="1828" t="n">
        <f aca="false">C1251*D1229</f>
        <v>0</v>
      </c>
      <c r="G604" s="1825"/>
      <c r="H604" s="1825"/>
      <c r="I604" s="1825"/>
      <c r="J604" s="1825"/>
      <c r="K604" s="1825"/>
      <c r="L604" s="1825"/>
      <c r="M604" s="1825"/>
      <c r="N604" s="1825"/>
      <c r="O604" s="1795"/>
      <c r="P604" s="1737"/>
      <c r="Q604" s="1737"/>
      <c r="R604" s="1737"/>
      <c r="S604" s="1795"/>
      <c r="T604" s="1795"/>
      <c r="U604" s="1797"/>
      <c r="V604" s="1795"/>
      <c r="W604" s="1795"/>
      <c r="X604" s="1795"/>
      <c r="Y604" s="1737"/>
      <c r="Z604" s="1737"/>
      <c r="AA604" s="1795"/>
      <c r="AB604" s="1795"/>
      <c r="AC604" s="1795"/>
      <c r="AD604" s="1795"/>
    </row>
    <row r="605" s="1798" customFormat="true" ht="15.75" hidden="true" customHeight="true" outlineLevel="1" collapsed="false">
      <c r="A605" s="1825" t="s">
        <v>3377</v>
      </c>
      <c r="B605" s="1826"/>
      <c r="C605" s="1827"/>
      <c r="D605" s="1825"/>
      <c r="E605" s="1828"/>
      <c r="F605" s="1828" t="n">
        <f aca="false">C1255*D1229</f>
        <v>0</v>
      </c>
      <c r="G605" s="1825"/>
      <c r="H605" s="1825"/>
      <c r="I605" s="1825"/>
      <c r="J605" s="1825"/>
      <c r="K605" s="1825"/>
      <c r="L605" s="1825"/>
      <c r="M605" s="1825"/>
      <c r="N605" s="1825"/>
      <c r="O605" s="1795"/>
      <c r="P605" s="1737"/>
      <c r="Q605" s="1737"/>
      <c r="R605" s="1737"/>
      <c r="S605" s="1795"/>
      <c r="T605" s="1795"/>
      <c r="U605" s="1797"/>
      <c r="V605" s="1795"/>
      <c r="W605" s="1795"/>
      <c r="X605" s="1795"/>
      <c r="Y605" s="1737"/>
      <c r="Z605" s="1737"/>
      <c r="AA605" s="1795"/>
      <c r="AB605" s="1795"/>
      <c r="AC605" s="1795"/>
      <c r="AD605" s="1795"/>
    </row>
    <row r="606" s="1798" customFormat="true" ht="15.75" hidden="true" customHeight="true" outlineLevel="1" collapsed="false">
      <c r="A606" s="1825" t="s">
        <v>3378</v>
      </c>
      <c r="B606" s="1826"/>
      <c r="C606" s="1827"/>
      <c r="D606" s="1825"/>
      <c r="E606" s="1828"/>
      <c r="F606" s="1828" t="n">
        <f aca="false">C1256*D1229</f>
        <v>0</v>
      </c>
      <c r="G606" s="1825"/>
      <c r="H606" s="1825"/>
      <c r="I606" s="1825"/>
      <c r="J606" s="1825"/>
      <c r="K606" s="1825"/>
      <c r="L606" s="1825"/>
      <c r="M606" s="1825"/>
      <c r="N606" s="1825"/>
      <c r="O606" s="1795"/>
      <c r="P606" s="1737"/>
      <c r="Q606" s="1737"/>
      <c r="R606" s="1737"/>
      <c r="S606" s="1795"/>
      <c r="T606" s="1795"/>
      <c r="U606" s="1797"/>
      <c r="V606" s="1795"/>
      <c r="W606" s="1795"/>
      <c r="X606" s="1795"/>
      <c r="Y606" s="1737"/>
      <c r="Z606" s="1737"/>
      <c r="AA606" s="1795"/>
      <c r="AB606" s="1795"/>
      <c r="AC606" s="1795"/>
      <c r="AD606" s="1795"/>
    </row>
    <row r="607" s="1798" customFormat="true" ht="15.75" hidden="true" customHeight="true" outlineLevel="1" collapsed="false">
      <c r="A607" s="1825" t="s">
        <v>3379</v>
      </c>
      <c r="B607" s="1826"/>
      <c r="C607" s="1827"/>
      <c r="D607" s="1825"/>
      <c r="E607" s="1828"/>
      <c r="F607" s="1824" t="n">
        <f aca="false">F604+F605+F606</f>
        <v>0</v>
      </c>
      <c r="G607" s="1825" t="s">
        <v>3380</v>
      </c>
      <c r="H607" s="1825"/>
      <c r="I607" s="1825" t="n">
        <f aca="false">C1252*D1229</f>
        <v>0</v>
      </c>
      <c r="J607" s="1825"/>
      <c r="K607" s="1825"/>
      <c r="L607" s="1825"/>
      <c r="M607" s="1825"/>
      <c r="N607" s="1825"/>
      <c r="O607" s="1795"/>
      <c r="P607" s="1737"/>
      <c r="Q607" s="1737"/>
      <c r="R607" s="1737"/>
      <c r="S607" s="1795"/>
      <c r="T607" s="1795"/>
      <c r="U607" s="1797"/>
      <c r="V607" s="1795"/>
      <c r="W607" s="1795"/>
      <c r="X607" s="1795"/>
      <c r="Y607" s="1737"/>
      <c r="Z607" s="1737"/>
      <c r="AA607" s="1795"/>
      <c r="AB607" s="1795"/>
      <c r="AC607" s="1795"/>
      <c r="AD607" s="1795"/>
    </row>
    <row r="608" s="1798" customFormat="true" ht="15.75" hidden="true" customHeight="true" outlineLevel="1" collapsed="false">
      <c r="A608" s="1825" t="s">
        <v>3375</v>
      </c>
      <c r="B608" s="1826"/>
      <c r="C608" s="1827"/>
      <c r="D608" s="1825"/>
      <c r="E608" s="1828"/>
      <c r="F608" s="1828" t="n">
        <f aca="false">C1251*D1229</f>
        <v>0</v>
      </c>
      <c r="G608" s="1825"/>
      <c r="H608" s="1825"/>
      <c r="I608" s="1825"/>
      <c r="J608" s="1825"/>
      <c r="K608" s="1825"/>
      <c r="L608" s="1825"/>
      <c r="M608" s="1825"/>
      <c r="N608" s="1825"/>
      <c r="O608" s="1795"/>
      <c r="P608" s="1737"/>
      <c r="Q608" s="1737"/>
      <c r="R608" s="1737"/>
      <c r="S608" s="1795"/>
      <c r="T608" s="1795"/>
      <c r="U608" s="1797"/>
      <c r="V608" s="1795"/>
      <c r="W608" s="1795"/>
      <c r="X608" s="1795"/>
      <c r="Y608" s="1737"/>
      <c r="Z608" s="1737"/>
      <c r="AA608" s="1795"/>
      <c r="AB608" s="1795"/>
      <c r="AC608" s="1795"/>
      <c r="AD608" s="1795"/>
    </row>
    <row r="609" s="1798" customFormat="true" ht="15.75" hidden="true" customHeight="true" outlineLevel="1" collapsed="false">
      <c r="A609" s="1829" t="s">
        <v>3381</v>
      </c>
      <c r="B609" s="1830"/>
      <c r="C609" s="1831"/>
      <c r="D609" s="1832"/>
      <c r="E609" s="1833"/>
      <c r="F609" s="1833" t="n">
        <f aca="false">F124+F127+F128+F129</f>
        <v>0</v>
      </c>
      <c r="G609" s="1832"/>
      <c r="H609" s="1832"/>
      <c r="I609" s="1832"/>
      <c r="J609" s="1832"/>
      <c r="K609" s="1832"/>
      <c r="L609" s="1832"/>
      <c r="M609" s="1832"/>
      <c r="N609" s="1832"/>
      <c r="O609" s="1795"/>
      <c r="P609" s="1737"/>
      <c r="Q609" s="1737"/>
      <c r="R609" s="1737"/>
      <c r="S609" s="1795"/>
      <c r="T609" s="1795"/>
      <c r="U609" s="1797"/>
      <c r="V609" s="1795"/>
      <c r="W609" s="1795"/>
      <c r="X609" s="1795"/>
      <c r="Y609" s="1737"/>
      <c r="Z609" s="1737"/>
      <c r="AA609" s="1795"/>
      <c r="AB609" s="1795"/>
      <c r="AC609" s="1795"/>
      <c r="AD609" s="1795"/>
    </row>
    <row r="610" s="1798" customFormat="true" ht="15.75" hidden="true" customHeight="true" outlineLevel="1" collapsed="false">
      <c r="A610" s="1829" t="s">
        <v>3382</v>
      </c>
      <c r="B610" s="1830"/>
      <c r="C610" s="1831"/>
      <c r="D610" s="1832"/>
      <c r="E610" s="1833"/>
      <c r="F610" s="1833" t="n">
        <f aca="false">F375+F376+F377+F378+F385+F386+F387+F388</f>
        <v>0</v>
      </c>
      <c r="G610" s="1832"/>
      <c r="H610" s="1832"/>
      <c r="I610" s="1832"/>
      <c r="J610" s="1832"/>
      <c r="K610" s="1832"/>
      <c r="L610" s="1832"/>
      <c r="M610" s="1832"/>
      <c r="N610" s="1832"/>
      <c r="O610" s="1795"/>
      <c r="P610" s="1737"/>
      <c r="Q610" s="1737"/>
      <c r="R610" s="1737"/>
      <c r="S610" s="1795"/>
      <c r="T610" s="1795"/>
      <c r="U610" s="1797"/>
      <c r="V610" s="1795"/>
      <c r="W610" s="1795"/>
      <c r="X610" s="1795"/>
      <c r="Y610" s="1737"/>
      <c r="Z610" s="1737"/>
      <c r="AA610" s="1795"/>
      <c r="AB610" s="1795"/>
      <c r="AC610" s="1795"/>
      <c r="AD610" s="1795"/>
    </row>
    <row r="611" s="1798" customFormat="true" ht="15.75" hidden="true" customHeight="true" outlineLevel="1" collapsed="false">
      <c r="A611" s="1829" t="s">
        <v>3383</v>
      </c>
      <c r="B611" s="1830"/>
      <c r="C611" s="1831"/>
      <c r="D611" s="1832"/>
      <c r="E611" s="1833"/>
      <c r="F611" s="1833" t="n">
        <f aca="false">F380+F381+F382+F383+F390+F391+F392+F393</f>
        <v>0</v>
      </c>
      <c r="G611" s="1832"/>
      <c r="H611" s="1832"/>
      <c r="I611" s="1832"/>
      <c r="J611" s="1832"/>
      <c r="K611" s="1832"/>
      <c r="L611" s="1832"/>
      <c r="M611" s="1832"/>
      <c r="N611" s="1832"/>
      <c r="O611" s="1795"/>
      <c r="P611" s="1737"/>
      <c r="Q611" s="1737"/>
      <c r="R611" s="1737"/>
      <c r="S611" s="1795"/>
      <c r="T611" s="1795"/>
      <c r="U611" s="1797"/>
      <c r="V611" s="1795"/>
      <c r="W611" s="1795"/>
      <c r="X611" s="1795"/>
      <c r="Y611" s="1737"/>
      <c r="Z611" s="1737"/>
      <c r="AA611" s="1795"/>
      <c r="AB611" s="1795"/>
      <c r="AC611" s="1795"/>
      <c r="AD611" s="1795"/>
    </row>
    <row r="612" s="1798" customFormat="true" ht="15.75" hidden="true" customHeight="true" outlineLevel="1" collapsed="false">
      <c r="A612" s="1829" t="s">
        <v>3384</v>
      </c>
      <c r="B612" s="1830"/>
      <c r="C612" s="1831"/>
      <c r="D612" s="1832"/>
      <c r="E612" s="1833"/>
      <c r="F612" s="1824" t="n">
        <f aca="false">F598+F604+F609-E47-E48-E49-E50-E51-E57-E59-E60-E74-E75-E76+F614+F615-I607-I602+F599+F600+F605+F606</f>
        <v>-3.09</v>
      </c>
      <c r="G612" s="1832" t="n">
        <f aca="false">F598+F604+F609-E47-E48-E49-E50-E51-E57-E59-E60-E74-E75-E76+F614+F615-I607-I602</f>
        <v>-3.09</v>
      </c>
      <c r="H612" s="1832"/>
      <c r="I612" s="1832"/>
      <c r="J612" s="1832"/>
      <c r="K612" s="1832"/>
      <c r="L612" s="1832"/>
      <c r="M612" s="1832"/>
      <c r="N612" s="1832"/>
      <c r="O612" s="1795"/>
      <c r="P612" s="1737"/>
      <c r="Q612" s="1737"/>
      <c r="R612" s="1737"/>
      <c r="S612" s="1795"/>
      <c r="T612" s="1795"/>
      <c r="U612" s="1797"/>
      <c r="V612" s="1795"/>
      <c r="W612" s="1795"/>
      <c r="X612" s="1795"/>
      <c r="Y612" s="1737"/>
      <c r="Z612" s="1737"/>
      <c r="AA612" s="1795"/>
      <c r="AB612" s="1795"/>
      <c r="AC612" s="1795"/>
      <c r="AD612" s="1795"/>
    </row>
    <row r="613" s="1798" customFormat="true" ht="15.75" hidden="true" customHeight="true" outlineLevel="1" collapsed="false">
      <c r="A613" s="1829" t="s">
        <v>3385</v>
      </c>
      <c r="B613" s="1686" t="s">
        <v>3386</v>
      </c>
      <c r="C613" s="1687"/>
      <c r="D613" s="1834"/>
      <c r="E613" s="1835"/>
      <c r="F613" s="1835" t="n">
        <f aca="false">F598+F604+F609-E47-E48-E49-E50-E51-E57-E59-E60-E74-E75-E76-I607-I602</f>
        <v>-3.09</v>
      </c>
      <c r="G613" s="1832"/>
      <c r="H613" s="1832"/>
      <c r="I613" s="1832"/>
      <c r="J613" s="1832"/>
      <c r="K613" s="1832"/>
      <c r="L613" s="1832"/>
      <c r="M613" s="1832"/>
      <c r="N613" s="1832"/>
      <c r="O613" s="1795"/>
      <c r="P613" s="1737"/>
      <c r="Q613" s="1737"/>
      <c r="R613" s="1737"/>
      <c r="S613" s="1795"/>
      <c r="T613" s="1795"/>
      <c r="U613" s="1797"/>
      <c r="V613" s="1795"/>
      <c r="W613" s="1795"/>
      <c r="X613" s="1795"/>
      <c r="Y613" s="1737"/>
      <c r="Z613" s="1737"/>
      <c r="AA613" s="1795"/>
      <c r="AB613" s="1795"/>
      <c r="AC613" s="1795"/>
      <c r="AD613" s="1795"/>
    </row>
    <row r="614" s="1798" customFormat="true" ht="15.75" hidden="true" customHeight="true" outlineLevel="1" collapsed="false">
      <c r="A614" s="1829" t="s">
        <v>3387</v>
      </c>
      <c r="B614" s="1830"/>
      <c r="C614" s="1831"/>
      <c r="D614" s="1832"/>
      <c r="E614" s="1833"/>
      <c r="F614" s="1833" t="n">
        <f aca="false">(S131)*E43*D43</f>
        <v>0</v>
      </c>
      <c r="G614" s="1832"/>
      <c r="H614" s="1832"/>
      <c r="I614" s="1832"/>
      <c r="J614" s="1832"/>
      <c r="K614" s="1832"/>
      <c r="L614" s="1832"/>
      <c r="M614" s="1832"/>
      <c r="N614" s="1832"/>
      <c r="O614" s="1795"/>
      <c r="P614" s="1737"/>
      <c r="Q614" s="1737"/>
      <c r="R614" s="1737"/>
      <c r="S614" s="1795"/>
      <c r="T614" s="1795"/>
      <c r="U614" s="1797"/>
      <c r="V614" s="1795"/>
      <c r="W614" s="1795"/>
      <c r="X614" s="1795"/>
      <c r="Y614" s="1737"/>
      <c r="Z614" s="1737"/>
      <c r="AA614" s="1795"/>
      <c r="AB614" s="1795"/>
      <c r="AC614" s="1795"/>
      <c r="AD614" s="1795"/>
    </row>
    <row r="615" s="1798" customFormat="true" ht="15.75" hidden="true" customHeight="true" outlineLevel="1" collapsed="false">
      <c r="A615" s="1829" t="s">
        <v>3388</v>
      </c>
      <c r="B615" s="1830"/>
      <c r="C615" s="1831"/>
      <c r="D615" s="1832"/>
      <c r="E615" s="1833"/>
      <c r="F615" s="1833" t="n">
        <f aca="false">S131*E44*D44</f>
        <v>0</v>
      </c>
      <c r="G615" s="1832" t="s">
        <v>137</v>
      </c>
      <c r="H615" s="1832"/>
      <c r="I615" s="1832"/>
      <c r="J615" s="1832"/>
      <c r="K615" s="1832" t="s">
        <v>3389</v>
      </c>
      <c r="L615" s="1832"/>
      <c r="M615" s="1832"/>
      <c r="N615" s="1832"/>
      <c r="O615" s="1795"/>
      <c r="P615" s="1737"/>
      <c r="Q615" s="1737"/>
      <c r="R615" s="1737"/>
      <c r="S615" s="1795"/>
      <c r="T615" s="1795"/>
      <c r="U615" s="1797"/>
      <c r="V615" s="1795"/>
      <c r="W615" s="1795"/>
      <c r="X615" s="1795"/>
      <c r="Y615" s="1737"/>
      <c r="Z615" s="1737"/>
      <c r="AA615" s="1795"/>
      <c r="AB615" s="1795"/>
      <c r="AC615" s="1795"/>
      <c r="AD615" s="1795"/>
    </row>
    <row r="616" s="1798" customFormat="true" ht="15.75" hidden="true" customHeight="true" outlineLevel="1" collapsed="false">
      <c r="A616" s="1836" t="s">
        <v>3390</v>
      </c>
      <c r="B616" s="1837"/>
      <c r="C616" s="1838"/>
      <c r="D616" s="1839"/>
      <c r="E616" s="1840"/>
      <c r="F616" s="1840" t="n">
        <f aca="false">S379+S384+S389+S394</f>
        <v>0</v>
      </c>
      <c r="G616" s="1832" t="n">
        <f aca="false">E124+E125</f>
        <v>2.8</v>
      </c>
      <c r="H616" s="1832"/>
      <c r="I616" s="1832" t="n">
        <f aca="false">G616/D1532*1000</f>
        <v>14</v>
      </c>
      <c r="J616" s="1832" t="n">
        <f aca="false">CEILING(I616/3+1,1)</f>
        <v>6</v>
      </c>
      <c r="K616" s="1832" t="n">
        <f aca="false">F616*J616*2</f>
        <v>0</v>
      </c>
      <c r="L616" s="1832"/>
      <c r="M616" s="1832"/>
      <c r="N616" s="1832"/>
      <c r="O616" s="1795"/>
      <c r="P616" s="1737"/>
      <c r="Q616" s="1737"/>
      <c r="R616" s="1737"/>
      <c r="S616" s="1795"/>
      <c r="T616" s="1795"/>
      <c r="U616" s="1797"/>
      <c r="V616" s="1795"/>
      <c r="W616" s="1795"/>
      <c r="X616" s="1795"/>
      <c r="Y616" s="1737"/>
      <c r="Z616" s="1737"/>
      <c r="AA616" s="1795"/>
      <c r="AB616" s="1795"/>
      <c r="AC616" s="1795"/>
      <c r="AD616" s="1795"/>
    </row>
    <row r="617" s="1798" customFormat="true" ht="15.75" hidden="true" customHeight="true" outlineLevel="1" collapsed="false">
      <c r="A617" s="1841" t="s">
        <v>2477</v>
      </c>
      <c r="B617" s="1842"/>
      <c r="C617" s="1842"/>
      <c r="D617" s="1843"/>
      <c r="E617" s="1844"/>
      <c r="F617" s="1755"/>
      <c r="G617" s="1843"/>
      <c r="H617" s="1843"/>
      <c r="I617" s="1843"/>
      <c r="J617" s="1843"/>
      <c r="K617" s="1843"/>
      <c r="L617" s="1843"/>
      <c r="M617" s="1843"/>
      <c r="N617" s="1843"/>
      <c r="O617" s="1755" t="s">
        <v>3380</v>
      </c>
      <c r="P617" s="1755" t="s">
        <v>3391</v>
      </c>
      <c r="Q617" s="1756"/>
      <c r="R617" s="1756"/>
      <c r="S617" s="1755"/>
      <c r="T617" s="1755" t="n">
        <f aca="false">T130+T379+T384+T389+T394</f>
        <v>0</v>
      </c>
      <c r="U617" s="1845" t="s">
        <v>2477</v>
      </c>
      <c r="V617" s="1846" t="n">
        <f aca="false">T617-AB617</f>
        <v>-1.08</v>
      </c>
      <c r="W617" s="1755" t="s">
        <v>3392</v>
      </c>
      <c r="X617" s="1755"/>
      <c r="Y617" s="1756"/>
      <c r="Z617" s="1756"/>
      <c r="AA617" s="1755"/>
      <c r="AB617" s="1755" t="n">
        <f aca="false">AD374+AD379+AD389</f>
        <v>1.08</v>
      </c>
      <c r="AC617" s="1755"/>
      <c r="AD617" s="1795"/>
    </row>
    <row r="618" s="1798" customFormat="true" ht="15.75" hidden="false" customHeight="true" outlineLevel="0" collapsed="false">
      <c r="A618" s="1841" t="s">
        <v>3118</v>
      </c>
      <c r="B618" s="1847"/>
      <c r="C618" s="1842"/>
      <c r="D618" s="1843"/>
      <c r="E618" s="1844"/>
      <c r="F618" s="1755"/>
      <c r="G618" s="1843"/>
      <c r="H618" s="1843"/>
      <c r="I618" s="1843"/>
      <c r="J618" s="1843"/>
      <c r="K618" s="1843"/>
      <c r="L618" s="1843"/>
      <c r="M618" s="1843"/>
      <c r="N618" s="1843"/>
      <c r="O618" s="1755"/>
      <c r="P618" s="1755"/>
      <c r="Q618" s="1756"/>
      <c r="R618" s="1756"/>
      <c r="S618" s="1755"/>
      <c r="T618" s="1755"/>
      <c r="U618" s="1848" t="s">
        <v>3393</v>
      </c>
      <c r="V618" s="1848"/>
      <c r="W618" s="1849"/>
      <c r="X618" s="1849"/>
      <c r="Y618" s="1850"/>
      <c r="Z618" s="1756"/>
      <c r="AA618" s="1755"/>
      <c r="AB618" s="1755"/>
      <c r="AC618" s="1755"/>
      <c r="AD618" s="1795"/>
    </row>
    <row r="619" customFormat="false" ht="15.75" hidden="true" customHeight="true" outlineLevel="1" collapsed="false">
      <c r="A619" s="1751" t="s">
        <v>3394</v>
      </c>
      <c r="B619" s="1696" t="s">
        <v>12</v>
      </c>
      <c r="C619" s="1728" t="s">
        <v>200</v>
      </c>
      <c r="D619" s="1396" t="s">
        <v>118</v>
      </c>
      <c r="E619" s="1683" t="s">
        <v>137</v>
      </c>
      <c r="F619" s="1683" t="s">
        <v>3119</v>
      </c>
      <c r="G619" s="1396" t="s">
        <v>482</v>
      </c>
      <c r="H619" s="1396"/>
      <c r="I619" s="1396" t="s">
        <v>2968</v>
      </c>
      <c r="J619" s="1396" t="s">
        <v>2491</v>
      </c>
      <c r="K619" s="1396" t="s">
        <v>116</v>
      </c>
      <c r="L619" s="1396"/>
      <c r="M619" s="1396"/>
      <c r="N619" s="1396"/>
      <c r="O619" s="1356" t="s">
        <v>3120</v>
      </c>
      <c r="P619" s="1752" t="s">
        <v>3121</v>
      </c>
      <c r="Q619" s="1752" t="s">
        <v>3122</v>
      </c>
      <c r="R619" s="1752" t="s">
        <v>3123</v>
      </c>
      <c r="S619" s="1436" t="s">
        <v>2773</v>
      </c>
      <c r="T619" s="1356" t="s">
        <v>3124</v>
      </c>
      <c r="U619" s="1851" t="s">
        <v>3395</v>
      </c>
      <c r="V619" s="1852"/>
      <c r="W619" s="1852"/>
      <c r="X619" s="1852"/>
      <c r="Y619" s="1853"/>
      <c r="Z619" s="1854"/>
      <c r="AA619" s="1356"/>
      <c r="AB619" s="1356"/>
      <c r="AC619" s="1356"/>
      <c r="AD619" s="1356"/>
    </row>
    <row r="620" customFormat="false" ht="15.75" hidden="true" customHeight="true" outlineLevel="1" collapsed="false">
      <c r="A620" s="1855" t="s">
        <v>3130</v>
      </c>
      <c r="B620" s="1696" t="s">
        <v>15</v>
      </c>
      <c r="C620" s="1605" t="n">
        <f aca="false">IF('Ввод данных'!A114=связи1!A132,C16,F16+G16)*D635</f>
        <v>8</v>
      </c>
      <c r="D620" s="1436"/>
      <c r="E620" s="1604" t="n">
        <f aca="false">C23*D624</f>
        <v>1.6</v>
      </c>
      <c r="F620" s="1604" t="n">
        <f aca="false">C620*E620</f>
        <v>12.8</v>
      </c>
      <c r="G620" s="1436" t="n">
        <f aca="false">G124</f>
        <v>0.6</v>
      </c>
      <c r="H620" s="1436"/>
      <c r="I620" s="1436" t="n">
        <f aca="false">CEILING(IF(E620=0,0,C620/G620+1),1)</f>
        <v>15</v>
      </c>
      <c r="J620" s="1436" t="n">
        <f aca="false">VLOOKUP('Ввод данных'!A1115,связи1!A406:G415,7,0)</f>
        <v>0.045</v>
      </c>
      <c r="K620" s="1436" t="n">
        <f aca="false">$C$143</f>
        <v>0.145</v>
      </c>
      <c r="L620" s="1436"/>
      <c r="M620" s="1436"/>
      <c r="N620" s="1436"/>
      <c r="O620" s="1635" t="n">
        <f aca="false">E620*I620*J620*K620</f>
        <v>0.1566</v>
      </c>
      <c r="P620" s="1714" t="n">
        <f aca="false">C620*C130</f>
        <v>8</v>
      </c>
      <c r="Q620" s="1714" t="n">
        <f aca="false">C620*C130</f>
        <v>8</v>
      </c>
      <c r="R620" s="1714" t="n">
        <f aca="false">C620*C130</f>
        <v>8</v>
      </c>
      <c r="S620" s="1436" t="n">
        <f aca="false">C620</f>
        <v>8</v>
      </c>
      <c r="T620" s="1635" t="n">
        <f aca="false">(P620+Q620+R620)*J620*K620</f>
        <v>0.1566</v>
      </c>
      <c r="U620" s="1436"/>
      <c r="V620" s="1635"/>
      <c r="W620" s="1436"/>
      <c r="X620" s="1436"/>
      <c r="Y620" s="1635"/>
      <c r="Z620" s="1714"/>
      <c r="AA620" s="1436"/>
      <c r="AB620" s="1436"/>
      <c r="AC620" s="1436"/>
      <c r="AD620" s="1344"/>
    </row>
    <row r="621" customFormat="false" ht="15.75" hidden="true" customHeight="true" outlineLevel="1" collapsed="false">
      <c r="A621" s="1691" t="s">
        <v>3396</v>
      </c>
      <c r="B621" s="1696" t="s">
        <v>15</v>
      </c>
      <c r="C621" s="1605" t="n">
        <f aca="false">IF('Ввод данных'!A101=связи1!A128,дома!E620,дома!F23)</f>
        <v>1.6</v>
      </c>
      <c r="D621" s="1436" t="n">
        <f aca="false">IF('Ввод данных'!A101=связи1!A129,1,0)</f>
        <v>0</v>
      </c>
      <c r="E621" s="1604" t="n">
        <f aca="false">C23*D625</f>
        <v>0</v>
      </c>
      <c r="F621" s="1604" t="n">
        <f aca="false">C621*E621</f>
        <v>0</v>
      </c>
      <c r="G621" s="1436" t="n">
        <f aca="false">G125</f>
        <v>0.6</v>
      </c>
      <c r="H621" s="1436"/>
      <c r="I621" s="1436" t="n">
        <f aca="false">CEILING(IF(E621=0,0,C624/G621+1),1)</f>
        <v>0</v>
      </c>
      <c r="J621" s="1436" t="n">
        <f aca="false">VLOOKUP('Ввод данных'!A1115,связи1!A406:G415,7,0)</f>
        <v>0.045</v>
      </c>
      <c r="K621" s="1436" t="n">
        <f aca="false">$C$143</f>
        <v>0.145</v>
      </c>
      <c r="L621" s="1436"/>
      <c r="M621" s="1436"/>
      <c r="N621" s="1436"/>
      <c r="O621" s="1635" t="n">
        <f aca="false">E621*I621*J621*K621</f>
        <v>0</v>
      </c>
      <c r="P621" s="1714" t="n">
        <f aca="false">C627*C131*D635</f>
        <v>0</v>
      </c>
      <c r="Q621" s="1714" t="n">
        <f aca="false">C627*C131*D635</f>
        <v>0</v>
      </c>
      <c r="R621" s="1714" t="n">
        <f aca="false">C627*C131*D635</f>
        <v>0</v>
      </c>
      <c r="S621" s="1436" t="n">
        <f aca="false">C627*D635*D621</f>
        <v>0</v>
      </c>
      <c r="T621" s="1635" t="n">
        <f aca="false">(P621+Q621+R621)*J621*K621</f>
        <v>0</v>
      </c>
      <c r="U621" s="1436"/>
      <c r="V621" s="1635"/>
      <c r="W621" s="1436"/>
      <c r="X621" s="1436"/>
      <c r="Y621" s="1635"/>
      <c r="Z621" s="1714"/>
      <c r="AA621" s="1436"/>
      <c r="AB621" s="1436"/>
      <c r="AC621" s="1436"/>
      <c r="AD621" s="1344"/>
    </row>
    <row r="622" customFormat="false" ht="15.75" hidden="true" customHeight="true" outlineLevel="1" collapsed="false">
      <c r="A622" s="1691" t="s">
        <v>3397</v>
      </c>
      <c r="B622" s="1696" t="s">
        <v>15</v>
      </c>
      <c r="C622" s="1605" t="n">
        <f aca="false">IF('Ввод данных'!A101=связи1!A128,дома!E620,дома!G23)</f>
        <v>1.6</v>
      </c>
      <c r="D622" s="1856" t="n">
        <f aca="false">IF('Ввод данных'!A17=связи1!A94,0,0)+IF('Ввод данных'!A17=связи1!A95,1,0)+IF('Ввод данных'!A17=связи1!A96,1,0)+IF('Ввод данных'!A17=связи1!A98,1,0)+IF('Ввод данных'!A17=связи1!A97,0,0)</f>
        <v>1</v>
      </c>
      <c r="E622" s="1582" t="n">
        <f aca="false">C23*D625</f>
        <v>0</v>
      </c>
      <c r="F622" s="1604" t="n">
        <f aca="false">C622*E622</f>
        <v>0</v>
      </c>
      <c r="G622" s="1436" t="n">
        <f aca="false">G126</f>
        <v>0.6</v>
      </c>
      <c r="H622" s="1436"/>
      <c r="I622" s="1436" t="n">
        <f aca="false">CEILING(IF(E622=0,0,C625/G622+1),1)</f>
        <v>0</v>
      </c>
      <c r="J622" s="1436" t="n">
        <f aca="false">VLOOKUP('Ввод данных'!A1115,связи1!A406:G415,7,0)</f>
        <v>0.045</v>
      </c>
      <c r="K622" s="1436" t="n">
        <f aca="false">$C$143</f>
        <v>0.145</v>
      </c>
      <c r="L622" s="1436"/>
      <c r="M622" s="1436"/>
      <c r="N622" s="1436"/>
      <c r="O622" s="1635" t="n">
        <f aca="false">E622*I622*J622*K622</f>
        <v>0</v>
      </c>
      <c r="P622" s="1714" t="n">
        <f aca="false">C631*C131*D635</f>
        <v>0</v>
      </c>
      <c r="Q622" s="1714" t="n">
        <f aca="false">C631*C131*D635</f>
        <v>0</v>
      </c>
      <c r="R622" s="1714" t="n">
        <f aca="false">C631*C131*D635</f>
        <v>0</v>
      </c>
      <c r="S622" s="1436" t="n">
        <f aca="false">C631*D635*D621</f>
        <v>0</v>
      </c>
      <c r="T622" s="1635" t="n">
        <f aca="false">(P622+Q622+R622)*J622*K622</f>
        <v>0</v>
      </c>
      <c r="U622" s="1436"/>
      <c r="V622" s="1635"/>
      <c r="W622" s="1436"/>
      <c r="X622" s="1436"/>
      <c r="Y622" s="1635"/>
      <c r="Z622" s="1714"/>
      <c r="AA622" s="1436"/>
      <c r="AB622" s="1436"/>
      <c r="AC622" s="1436"/>
      <c r="AD622" s="1344"/>
    </row>
    <row r="623" customFormat="false" ht="15.75" hidden="true" customHeight="true" outlineLevel="1" collapsed="false">
      <c r="A623" s="1855" t="s">
        <v>3133</v>
      </c>
      <c r="B623" s="1696" t="s">
        <v>15</v>
      </c>
      <c r="C623" s="1605" t="n">
        <f aca="false">IF('Ввод данных'!A114=связи1!A132,C16,F16+G16)*D635</f>
        <v>8</v>
      </c>
      <c r="D623" s="1436"/>
      <c r="E623" s="1604" t="n">
        <f aca="false">E620*D624</f>
        <v>1.6</v>
      </c>
      <c r="F623" s="1604" t="n">
        <f aca="false">C623*E623</f>
        <v>12.8</v>
      </c>
      <c r="G623" s="1436" t="n">
        <f aca="false">G127</f>
        <v>0.6</v>
      </c>
      <c r="H623" s="1436"/>
      <c r="I623" s="1436" t="n">
        <f aca="false">CEILING(IF(E623=0,0,C623/G623+1),1)</f>
        <v>15</v>
      </c>
      <c r="J623" s="1436" t="n">
        <f aca="false">VLOOKUP('Ввод данных'!A1115,связи1!A406:G415,7,0)</f>
        <v>0.045</v>
      </c>
      <c r="K623" s="1436" t="n">
        <f aca="false">$C$143</f>
        <v>0.145</v>
      </c>
      <c r="L623" s="1436"/>
      <c r="M623" s="1436"/>
      <c r="N623" s="1436"/>
      <c r="O623" s="1635" t="n">
        <f aca="false">E623*I623*J623*K623</f>
        <v>0.1566</v>
      </c>
      <c r="P623" s="1714" t="n">
        <f aca="false">C623*C130</f>
        <v>8</v>
      </c>
      <c r="Q623" s="1714" t="n">
        <f aca="false">C623*C130</f>
        <v>8</v>
      </c>
      <c r="R623" s="1714" t="n">
        <f aca="false">C623*C130</f>
        <v>8</v>
      </c>
      <c r="S623" s="1436" t="n">
        <f aca="false">C623</f>
        <v>8</v>
      </c>
      <c r="T623" s="1635" t="n">
        <f aca="false">(P623+Q623+R623)*J623*K623</f>
        <v>0.1566</v>
      </c>
      <c r="U623" s="1436"/>
      <c r="V623" s="1635"/>
      <c r="W623" s="1436"/>
      <c r="X623" s="1436"/>
      <c r="Y623" s="1635"/>
      <c r="Z623" s="1714"/>
      <c r="AA623" s="1436"/>
      <c r="AB623" s="1436"/>
      <c r="AC623" s="1436"/>
      <c r="AD623" s="1344"/>
    </row>
    <row r="624" customFormat="false" ht="15.75" hidden="true" customHeight="true" outlineLevel="1" collapsed="false">
      <c r="A624" s="1691" t="s">
        <v>3398</v>
      </c>
      <c r="B624" s="1696" t="s">
        <v>15</v>
      </c>
      <c r="C624" s="1605" t="n">
        <f aca="false">C17*D635</f>
        <v>8</v>
      </c>
      <c r="D624" s="1436" t="n">
        <f aca="false">C130</f>
        <v>1</v>
      </c>
      <c r="E624" s="1604" t="n">
        <f aca="false">C621*(D624+D625)</f>
        <v>1.6</v>
      </c>
      <c r="F624" s="1604" t="n">
        <f aca="false">C624*E624</f>
        <v>12.8</v>
      </c>
      <c r="G624" s="1436" t="n">
        <f aca="false">G128</f>
        <v>0.6</v>
      </c>
      <c r="H624" s="1436"/>
      <c r="I624" s="1436" t="n">
        <f aca="false">CEILING(IF(C624=0,0,C624/G624+1),1)</f>
        <v>15</v>
      </c>
      <c r="J624" s="1436" t="n">
        <f aca="false">VLOOKUP('Ввод данных'!A1115,связи1!A406:G415,7,0)</f>
        <v>0.045</v>
      </c>
      <c r="K624" s="1436" t="n">
        <f aca="false">$C$143</f>
        <v>0.145</v>
      </c>
      <c r="L624" s="1436"/>
      <c r="M624" s="1436"/>
      <c r="N624" s="1436"/>
      <c r="O624" s="1635" t="n">
        <f aca="false">E624*I624*J624*K624</f>
        <v>0.1566</v>
      </c>
      <c r="P624" s="1714" t="n">
        <f aca="false">C624</f>
        <v>8</v>
      </c>
      <c r="Q624" s="1714" t="n">
        <f aca="false">C624</f>
        <v>8</v>
      </c>
      <c r="R624" s="1714" t="n">
        <f aca="false">C624</f>
        <v>8</v>
      </c>
      <c r="S624" s="1436" t="n">
        <f aca="false">C624</f>
        <v>8</v>
      </c>
      <c r="T624" s="1635" t="n">
        <f aca="false">(P624+Q624+R624)*J624*K624</f>
        <v>0.1566</v>
      </c>
      <c r="U624" s="1436"/>
      <c r="V624" s="1635"/>
      <c r="W624" s="1436"/>
      <c r="X624" s="1436"/>
      <c r="Y624" s="1635"/>
      <c r="Z624" s="1714"/>
      <c r="AA624" s="1436"/>
      <c r="AB624" s="1436"/>
      <c r="AC624" s="1436"/>
      <c r="AD624" s="1344"/>
    </row>
    <row r="625" customFormat="false" ht="15.75" hidden="true" customHeight="true" outlineLevel="1" collapsed="false">
      <c r="A625" s="1691" t="s">
        <v>3399</v>
      </c>
      <c r="B625" s="1696" t="s">
        <v>15</v>
      </c>
      <c r="C625" s="1605" t="n">
        <f aca="false">C17*D635</f>
        <v>8</v>
      </c>
      <c r="D625" s="1436" t="n">
        <f aca="false">C131</f>
        <v>0</v>
      </c>
      <c r="E625" s="1604" t="n">
        <f aca="false">C622*(D624+D625)</f>
        <v>1.6</v>
      </c>
      <c r="F625" s="1604" t="n">
        <f aca="false">C625*E625</f>
        <v>12.8</v>
      </c>
      <c r="G625" s="1436" t="n">
        <f aca="false">G129</f>
        <v>0.6</v>
      </c>
      <c r="H625" s="1436"/>
      <c r="I625" s="1436" t="n">
        <f aca="false">CEILING(IF(C625=0,0,C625/G625+1),1)</f>
        <v>15</v>
      </c>
      <c r="J625" s="1436" t="n">
        <f aca="false">VLOOKUP('Ввод данных'!A1115,связи1!A406:G415,7,0)</f>
        <v>0.045</v>
      </c>
      <c r="K625" s="1436" t="n">
        <f aca="false">$C$143</f>
        <v>0.145</v>
      </c>
      <c r="L625" s="1436"/>
      <c r="M625" s="1436"/>
      <c r="N625" s="1436"/>
      <c r="O625" s="1635" t="n">
        <f aca="false">E625*I625*J625*K625</f>
        <v>0.1566</v>
      </c>
      <c r="P625" s="1714" t="n">
        <f aca="false">C625</f>
        <v>8</v>
      </c>
      <c r="Q625" s="1714" t="n">
        <f aca="false">C625</f>
        <v>8</v>
      </c>
      <c r="R625" s="1714" t="n">
        <f aca="false">C625</f>
        <v>8</v>
      </c>
      <c r="S625" s="1436" t="n">
        <f aca="false">C625</f>
        <v>8</v>
      </c>
      <c r="T625" s="1635" t="n">
        <f aca="false">(P625+Q625+R625)*J625*K625</f>
        <v>0.1566</v>
      </c>
      <c r="U625" s="1436"/>
      <c r="V625" s="1635"/>
      <c r="W625" s="1436"/>
      <c r="X625" s="1436"/>
      <c r="Y625" s="1635"/>
      <c r="Z625" s="1714"/>
      <c r="AA625" s="1436"/>
      <c r="AB625" s="1436"/>
      <c r="AC625" s="1436"/>
      <c r="AD625" s="1344"/>
    </row>
    <row r="626" customFormat="false" ht="15.75" hidden="true" customHeight="true" outlineLevel="1" collapsed="false">
      <c r="A626" s="1757" t="s">
        <v>3400</v>
      </c>
      <c r="B626" s="1758"/>
      <c r="C626" s="1759"/>
      <c r="D626" s="1760"/>
      <c r="E626" s="1761"/>
      <c r="F626" s="1761" t="n">
        <f aca="false">F620+F623+F624+F625+(F621+F622)</f>
        <v>51.2</v>
      </c>
      <c r="G626" s="1436"/>
      <c r="H626" s="1436"/>
      <c r="I626" s="1436"/>
      <c r="J626" s="1436"/>
      <c r="K626" s="1436"/>
      <c r="L626" s="1436"/>
      <c r="M626" s="1436"/>
      <c r="N626" s="1436"/>
      <c r="O626" s="1635"/>
      <c r="P626" s="1714" t="n">
        <f aca="false">SUM(P620:P625)</f>
        <v>32</v>
      </c>
      <c r="Q626" s="1714" t="n">
        <f aca="false">SUM(Q620:Q625)</f>
        <v>32</v>
      </c>
      <c r="R626" s="1714" t="n">
        <f aca="false">SUM(R620:R625)</f>
        <v>32</v>
      </c>
      <c r="S626" s="1436"/>
      <c r="T626" s="1635"/>
      <c r="U626" s="1634"/>
      <c r="V626" s="1635"/>
      <c r="W626" s="1857"/>
      <c r="X626" s="1857"/>
      <c r="Y626" s="1635"/>
      <c r="Z626" s="1714"/>
      <c r="AA626" s="1436"/>
      <c r="AB626" s="1436"/>
      <c r="AC626" s="1436"/>
      <c r="AD626" s="1344"/>
    </row>
    <row r="627" customFormat="false" ht="15.75" hidden="true" customHeight="true" outlineLevel="1" collapsed="false">
      <c r="A627" s="1762" t="s">
        <v>3140</v>
      </c>
      <c r="B627" s="1763" t="s">
        <v>15</v>
      </c>
      <c r="C627" s="1637" t="n">
        <f aca="false">IF('Ввод данных'!A114=связи1!A132,C16/2,Z48)</f>
        <v>4</v>
      </c>
      <c r="D627" s="1635"/>
      <c r="E627" s="1648" t="n">
        <f aca="false">IF('Ввод данных'!A17=связи1!A95,связи1!H235,0)+IF('Ввод данных'!A17=связи1!A96,связи1!H235,0)+IF('Ввод данных'!A17=связи1!A98,связи1!H235,0)</f>
        <v>5</v>
      </c>
      <c r="F627" s="1604"/>
      <c r="G627" s="1436"/>
      <c r="H627" s="1436"/>
      <c r="I627" s="1180" t="s">
        <v>3401</v>
      </c>
      <c r="J627" s="1436"/>
      <c r="K627" s="1436"/>
      <c r="L627" s="1180" t="s">
        <v>3402</v>
      </c>
      <c r="M627" s="1180"/>
      <c r="N627" s="1180"/>
      <c r="O627" s="1635"/>
      <c r="P627" s="1714"/>
      <c r="Q627" s="1714"/>
      <c r="R627" s="1714"/>
      <c r="S627" s="1436"/>
      <c r="T627" s="1635"/>
      <c r="U627" s="1634"/>
      <c r="V627" s="1635"/>
      <c r="W627" s="1857"/>
      <c r="X627" s="1857"/>
      <c r="Y627" s="1635"/>
      <c r="Z627" s="1714"/>
      <c r="AA627" s="1436"/>
      <c r="AB627" s="1436"/>
      <c r="AC627" s="1436"/>
      <c r="AD627" s="1344"/>
    </row>
    <row r="628" customFormat="false" ht="15.75" hidden="true" customHeight="true" outlineLevel="1" collapsed="false">
      <c r="A628" s="1754" t="s">
        <v>3141</v>
      </c>
      <c r="B628" s="1696" t="s">
        <v>15</v>
      </c>
      <c r="C628" s="1605" t="n">
        <f aca="false">SQRT((E627-E620)*(E627-E620)+C627*C627)</f>
        <v>5.24976189936267</v>
      </c>
      <c r="D628" s="1436" t="s">
        <v>240</v>
      </c>
      <c r="E628" s="1604" t="s">
        <v>2447</v>
      </c>
      <c r="F628" s="1604" t="n">
        <f aca="false">(E627-E620)/C628</f>
        <v>0.64764842009554</v>
      </c>
      <c r="G628" s="1436"/>
      <c r="H628" s="1436"/>
      <c r="I628" s="1180" t="s">
        <v>3403</v>
      </c>
      <c r="J628" s="1436"/>
      <c r="K628" s="1436" t="n">
        <f aca="false">O1140</f>
        <v>8.69252552484029</v>
      </c>
      <c r="L628" s="1436" t="n">
        <f aca="false">'Ввод данных'!C9</f>
        <v>8</v>
      </c>
      <c r="M628" s="1436"/>
      <c r="N628" s="1436"/>
      <c r="O628" s="1635"/>
      <c r="P628" s="1714"/>
      <c r="Q628" s="1714"/>
      <c r="R628" s="1714"/>
      <c r="S628" s="1436"/>
      <c r="T628" s="1635"/>
      <c r="U628" s="1634"/>
      <c r="V628" s="1635"/>
      <c r="W628" s="1857"/>
      <c r="X628" s="1857"/>
      <c r="Y628" s="1635"/>
      <c r="Z628" s="1714"/>
      <c r="AA628" s="1436"/>
      <c r="AB628" s="1436"/>
      <c r="AC628" s="1436"/>
      <c r="AD628" s="1344"/>
    </row>
    <row r="629" customFormat="false" ht="15.75" hidden="true" customHeight="true" outlineLevel="1" collapsed="false">
      <c r="A629" s="1754" t="s">
        <v>3142</v>
      </c>
      <c r="B629" s="1696" t="s">
        <v>48</v>
      </c>
      <c r="C629" s="1605" t="n">
        <f aca="false">CEILING(C627/G620,1)</f>
        <v>7</v>
      </c>
      <c r="D629" s="1436" t="n">
        <f aca="false">CEILING(C629,1)</f>
        <v>7</v>
      </c>
      <c r="E629" s="1604"/>
      <c r="F629" s="1604"/>
      <c r="G629" s="1436"/>
      <c r="H629" s="1436"/>
      <c r="I629" s="1180" t="s">
        <v>3404</v>
      </c>
      <c r="J629" s="1436"/>
      <c r="K629" s="1436" t="n">
        <f aca="false">O1142</f>
        <v>8.69252552484029</v>
      </c>
      <c r="L629" s="1436" t="n">
        <f aca="false">'Ввод данных'!C10</f>
        <v>8</v>
      </c>
      <c r="M629" s="1436"/>
      <c r="N629" s="1436"/>
      <c r="O629" s="1635"/>
      <c r="P629" s="1714"/>
      <c r="Q629" s="1714"/>
      <c r="R629" s="1714"/>
      <c r="S629" s="1436"/>
      <c r="T629" s="1635"/>
      <c r="U629" s="1634"/>
      <c r="V629" s="1635"/>
      <c r="W629" s="1857"/>
      <c r="X629" s="1857"/>
      <c r="Y629" s="1635"/>
      <c r="Z629" s="1714"/>
      <c r="AA629" s="1436"/>
      <c r="AB629" s="1436"/>
      <c r="AC629" s="1436"/>
      <c r="AD629" s="1344"/>
    </row>
    <row r="630" customFormat="false" ht="15.75" hidden="true" customHeight="true" outlineLevel="1" collapsed="false">
      <c r="A630" s="1754" t="s">
        <v>3143</v>
      </c>
      <c r="B630" s="1696" t="s">
        <v>15</v>
      </c>
      <c r="C630" s="1605" t="n">
        <f aca="false">(E627-C621)/D629</f>
        <v>0.485714285714286</v>
      </c>
      <c r="D630" s="1436"/>
      <c r="E630" s="1604"/>
      <c r="F630" s="1604"/>
      <c r="G630" s="1436"/>
      <c r="H630" s="1436"/>
      <c r="I630" s="1180" t="s">
        <v>3405</v>
      </c>
      <c r="J630" s="1436"/>
      <c r="K630" s="1436" t="n">
        <f aca="false">CEILING(L629/G620+1,1)</f>
        <v>15</v>
      </c>
      <c r="L630" s="1436"/>
      <c r="M630" s="1436"/>
      <c r="N630" s="1436"/>
      <c r="O630" s="1635"/>
      <c r="P630" s="1714"/>
      <c r="Q630" s="1714"/>
      <c r="R630" s="1714"/>
      <c r="S630" s="1436"/>
      <c r="T630" s="1635"/>
      <c r="U630" s="1634"/>
      <c r="V630" s="1635"/>
      <c r="W630" s="1857"/>
      <c r="X630" s="1857"/>
      <c r="Y630" s="1635"/>
      <c r="Z630" s="1714"/>
      <c r="AA630" s="1436"/>
      <c r="AB630" s="1436"/>
      <c r="AC630" s="1436"/>
      <c r="AD630" s="1344"/>
    </row>
    <row r="631" customFormat="false" ht="15.75" hidden="true" customHeight="true" outlineLevel="1" collapsed="false">
      <c r="A631" s="1762" t="s">
        <v>3144</v>
      </c>
      <c r="B631" s="1763" t="s">
        <v>15</v>
      </c>
      <c r="C631" s="1637" t="n">
        <f aca="false">IF('Ввод данных'!A114=связи1!A132,C16/2,дома!AA48)</f>
        <v>4</v>
      </c>
      <c r="D631" s="1635"/>
      <c r="E631" s="1648" t="n">
        <f aca="false">IF('Ввод данных'!A17=связи1!A95,связи1!H235,0)+IF('Ввод данных'!A17=связи1!A96,связи1!H235,0)+IF('Ввод данных'!A17=связи1!A98,связи1!H235,0)</f>
        <v>5</v>
      </c>
      <c r="F631" s="1604"/>
      <c r="G631" s="1436"/>
      <c r="H631" s="1436"/>
      <c r="I631" s="1180" t="s">
        <v>3406</v>
      </c>
      <c r="J631" s="1436"/>
      <c r="K631" s="1436" t="n">
        <f aca="false">CEILING(L628/G620+1,1)</f>
        <v>15</v>
      </c>
      <c r="L631" s="1436"/>
      <c r="M631" s="1436"/>
      <c r="N631" s="1436"/>
      <c r="O631" s="1635"/>
      <c r="P631" s="1714"/>
      <c r="Q631" s="1714"/>
      <c r="R631" s="1714"/>
      <c r="S631" s="1436"/>
      <c r="T631" s="1635"/>
      <c r="U631" s="1634"/>
      <c r="V631" s="1635"/>
      <c r="W631" s="1857"/>
      <c r="X631" s="1857"/>
      <c r="Y631" s="1635"/>
      <c r="Z631" s="1714"/>
      <c r="AA631" s="1436"/>
      <c r="AB631" s="1436"/>
      <c r="AC631" s="1436"/>
      <c r="AD631" s="1344"/>
    </row>
    <row r="632" customFormat="false" ht="15.75" hidden="true" customHeight="true" outlineLevel="1" collapsed="false">
      <c r="A632" s="1754" t="s">
        <v>3145</v>
      </c>
      <c r="B632" s="1696"/>
      <c r="C632" s="1605"/>
      <c r="D632" s="1436"/>
      <c r="E632" s="1604"/>
      <c r="F632" s="1604" t="n">
        <f aca="false">SQRT(C631*C631+(E631-E620)*(E631-E620))</f>
        <v>5.24976189936267</v>
      </c>
      <c r="G632" s="1436"/>
      <c r="H632" s="1436"/>
      <c r="I632" s="1760" t="s">
        <v>3407</v>
      </c>
      <c r="J632" s="1760"/>
      <c r="K632" s="1760" t="n">
        <f aca="false">(связи1!H235-связи1!H236)/K630</f>
        <v>0.226666666666667</v>
      </c>
      <c r="L632" s="1436"/>
      <c r="M632" s="1436"/>
      <c r="N632" s="1436"/>
      <c r="O632" s="1635"/>
      <c r="P632" s="1714"/>
      <c r="Q632" s="1714"/>
      <c r="R632" s="1714"/>
      <c r="S632" s="1436"/>
      <c r="T632" s="1635"/>
      <c r="U632" s="1634"/>
      <c r="V632" s="1635"/>
      <c r="W632" s="1857"/>
      <c r="X632" s="1857"/>
      <c r="Y632" s="1635"/>
      <c r="Z632" s="1714"/>
      <c r="AA632" s="1436"/>
      <c r="AB632" s="1436"/>
      <c r="AC632" s="1436"/>
      <c r="AD632" s="1344"/>
    </row>
    <row r="633" customFormat="false" ht="15.75" hidden="true" customHeight="true" outlineLevel="1" collapsed="false">
      <c r="A633" s="1754" t="s">
        <v>3146</v>
      </c>
      <c r="B633" s="1764"/>
      <c r="C633" s="1765"/>
      <c r="D633" s="1630"/>
      <c r="E633" s="1766"/>
      <c r="F633" s="1766" t="n">
        <f aca="false">C631/G620</f>
        <v>6.66666666666667</v>
      </c>
      <c r="G633" s="1630" t="n">
        <f aca="false">CEILING(F633,1)</f>
        <v>7</v>
      </c>
      <c r="H633" s="1630"/>
      <c r="I633" s="1760" t="s">
        <v>3408</v>
      </c>
      <c r="J633" s="1760"/>
      <c r="K633" s="1760" t="n">
        <f aca="false">(связи1!H235-связи1!H236)/K631</f>
        <v>0.226666666666667</v>
      </c>
      <c r="L633" s="1436"/>
      <c r="M633" s="1436"/>
      <c r="N633" s="1436"/>
      <c r="O633" s="1635"/>
      <c r="P633" s="1714"/>
      <c r="Q633" s="1714"/>
      <c r="R633" s="1714"/>
      <c r="S633" s="1436"/>
      <c r="T633" s="1635"/>
      <c r="U633" s="1634"/>
      <c r="V633" s="1635"/>
      <c r="W633" s="1857"/>
      <c r="X633" s="1857"/>
      <c r="Y633" s="1635"/>
      <c r="Z633" s="1714"/>
      <c r="AA633" s="1436"/>
      <c r="AB633" s="1436"/>
      <c r="AC633" s="1436"/>
      <c r="AD633" s="1344"/>
    </row>
    <row r="634" customFormat="false" ht="15.75" hidden="true" customHeight="true" outlineLevel="1" collapsed="false">
      <c r="A634" s="1754" t="s">
        <v>3147</v>
      </c>
      <c r="B634" s="1692"/>
      <c r="C634" s="1692"/>
      <c r="D634" s="1436"/>
      <c r="E634" s="1604"/>
      <c r="F634" s="1604" t="n">
        <f aca="false">(E627-C622)/G633</f>
        <v>0.485714285714286</v>
      </c>
      <c r="G634" s="1436"/>
      <c r="H634" s="1436"/>
      <c r="I634" s="1436"/>
      <c r="J634" s="1436"/>
      <c r="K634" s="1436"/>
      <c r="L634" s="1436"/>
      <c r="M634" s="1436"/>
      <c r="N634" s="1436"/>
      <c r="O634" s="1635"/>
      <c r="P634" s="1714"/>
      <c r="Q634" s="1714"/>
      <c r="R634" s="1714"/>
      <c r="S634" s="1436"/>
      <c r="T634" s="1635"/>
      <c r="U634" s="1634"/>
      <c r="V634" s="1635"/>
      <c r="W634" s="1857"/>
      <c r="X634" s="1857"/>
      <c r="Y634" s="1635"/>
      <c r="Z634" s="1714"/>
      <c r="AA634" s="1436"/>
      <c r="AB634" s="1436"/>
      <c r="AC634" s="1436"/>
      <c r="AD634" s="1344"/>
    </row>
    <row r="635" customFormat="false" ht="15.75" hidden="true" customHeight="true" outlineLevel="1" collapsed="false">
      <c r="A635" s="1691" t="s">
        <v>3409</v>
      </c>
      <c r="B635" s="1692"/>
      <c r="C635" s="1692"/>
      <c r="D635" s="1436" t="n">
        <f aca="false">IF('Ввод данных'!A17=связи1!A95,1,0)+IF('Ввод данных'!A17=связи1!A96,1,0)+IF('Ввод данных'!A17=связи1!A98,1,0)</f>
        <v>1</v>
      </c>
      <c r="E635" s="1604"/>
      <c r="F635" s="1604"/>
      <c r="G635" s="1436"/>
      <c r="H635" s="1436"/>
      <c r="I635" s="1436"/>
      <c r="J635" s="1436"/>
      <c r="K635" s="1436"/>
      <c r="L635" s="1436"/>
      <c r="M635" s="1436"/>
      <c r="N635" s="1436"/>
      <c r="O635" s="1635"/>
      <c r="P635" s="1714"/>
      <c r="Q635" s="1714"/>
      <c r="R635" s="1714"/>
      <c r="S635" s="1436"/>
      <c r="T635" s="1635"/>
      <c r="U635" s="1634"/>
      <c r="V635" s="1635"/>
      <c r="W635" s="1857"/>
      <c r="X635" s="1857"/>
      <c r="Y635" s="1635"/>
      <c r="Z635" s="1714"/>
      <c r="AA635" s="1436"/>
      <c r="AB635" s="1436"/>
      <c r="AC635" s="1436"/>
      <c r="AD635" s="1344"/>
    </row>
    <row r="636" customFormat="false" ht="15.75" hidden="true" customHeight="true" outlineLevel="1" collapsed="false">
      <c r="A636" s="1767" t="s">
        <v>3149</v>
      </c>
      <c r="B636" s="1768" t="s">
        <v>12</v>
      </c>
      <c r="C636" s="1396" t="s">
        <v>116</v>
      </c>
      <c r="D636" s="1396" t="s">
        <v>2491</v>
      </c>
      <c r="E636" s="1683" t="s">
        <v>3150</v>
      </c>
      <c r="F636" s="1683" t="s">
        <v>118</v>
      </c>
      <c r="G636" s="1396" t="s">
        <v>3151</v>
      </c>
      <c r="H636" s="1396"/>
      <c r="I636" s="1436"/>
      <c r="J636" s="1436"/>
      <c r="K636" s="1436"/>
      <c r="L636" s="1436"/>
      <c r="M636" s="1436"/>
      <c r="N636" s="1436"/>
      <c r="O636" s="1635"/>
      <c r="P636" s="1714"/>
      <c r="Q636" s="1714"/>
      <c r="R636" s="1714"/>
      <c r="S636" s="1436"/>
      <c r="T636" s="1635"/>
      <c r="U636" s="1634"/>
      <c r="V636" s="1635"/>
      <c r="W636" s="1857"/>
      <c r="X636" s="1857"/>
      <c r="Y636" s="1635"/>
      <c r="Z636" s="1714"/>
      <c r="AA636" s="1436"/>
      <c r="AB636" s="1436"/>
      <c r="AC636" s="1436"/>
      <c r="AD636" s="1344"/>
    </row>
    <row r="637" customFormat="false" ht="15.75" hidden="true" customHeight="true" outlineLevel="1" collapsed="false">
      <c r="A637" s="1769" t="s">
        <v>3287</v>
      </c>
      <c r="B637" s="1683" t="s">
        <v>15</v>
      </c>
      <c r="C637" s="1692" t="n">
        <f aca="false">$C$143</f>
        <v>0.145</v>
      </c>
      <c r="D637" s="1436" t="n">
        <f aca="false">$J$620</f>
        <v>0.045</v>
      </c>
      <c r="E637" s="1604" t="n">
        <f aca="false">IF('Ввод данных'!A17=связи1!A95,E620,0)+IF('Ввод данных'!A17=связи1!A96,0,0)+IF('Ввод данных'!A17=связи1!A98,0,0)</f>
        <v>0</v>
      </c>
      <c r="F637" s="1604" t="n">
        <f aca="false">(I620+I623)*IF('Ввод данных'!A17=связи1!A95,1,0)*IF(связи1!$H$91=связи1!$A$2,1,0)</f>
        <v>0</v>
      </c>
      <c r="G637" s="1436" t="n">
        <f aca="false">C637*D637*E637*F637</f>
        <v>0</v>
      </c>
      <c r="H637" s="1436"/>
      <c r="I637" s="1436"/>
      <c r="J637" s="1436"/>
      <c r="K637" s="1436"/>
      <c r="L637" s="1436"/>
      <c r="M637" s="1436"/>
      <c r="N637" s="1436"/>
      <c r="O637" s="1635"/>
      <c r="P637" s="1714"/>
      <c r="Q637" s="1714"/>
      <c r="R637" s="1714"/>
      <c r="S637" s="1436"/>
      <c r="T637" s="1635"/>
      <c r="U637" s="1634"/>
      <c r="V637" s="1635"/>
      <c r="W637" s="1857"/>
      <c r="X637" s="1857"/>
      <c r="Y637" s="1635"/>
      <c r="Z637" s="1714"/>
      <c r="AA637" s="1436"/>
      <c r="AB637" s="1436"/>
      <c r="AC637" s="1436"/>
      <c r="AD637" s="1344"/>
    </row>
    <row r="638" customFormat="false" ht="15.75" hidden="true" customHeight="true" outlineLevel="1" collapsed="false">
      <c r="A638" s="1769" t="s">
        <v>3285</v>
      </c>
      <c r="B638" s="1683" t="s">
        <v>15</v>
      </c>
      <c r="C638" s="1692" t="n">
        <f aca="false">$C$143</f>
        <v>0.145</v>
      </c>
      <c r="D638" s="1436" t="n">
        <f aca="false">$J$620</f>
        <v>0.045</v>
      </c>
      <c r="E638" s="1604" t="n">
        <f aca="false">(IF('Ввод данных'!A17=связи1!A95,E621,0)+IF('Ввод данных'!A17=связи1!A96,C621,0)+IF('Ввод данных'!A17=связи1!A98,C621,0))*D621</f>
        <v>0</v>
      </c>
      <c r="F638" s="1604" t="n">
        <f aca="false">I621*IF(связи1!$H$91=связи1!$A$2,1,0)</f>
        <v>0</v>
      </c>
      <c r="G638" s="1436" t="n">
        <f aca="false">C638*D638*E638*F638</f>
        <v>0</v>
      </c>
      <c r="H638" s="1436"/>
      <c r="I638" s="1436"/>
      <c r="J638" s="1436"/>
      <c r="K638" s="1436"/>
      <c r="L638" s="1436"/>
      <c r="M638" s="1436"/>
      <c r="N638" s="1436"/>
      <c r="O638" s="1635"/>
      <c r="P638" s="1714"/>
      <c r="Q638" s="1714"/>
      <c r="R638" s="1714"/>
      <c r="S638" s="1436"/>
      <c r="T638" s="1635"/>
      <c r="U638" s="1634"/>
      <c r="V638" s="1635"/>
      <c r="W638" s="1857"/>
      <c r="X638" s="1857"/>
      <c r="Y638" s="1635"/>
      <c r="Z638" s="1714"/>
      <c r="AA638" s="1436"/>
      <c r="AB638" s="1436"/>
      <c r="AC638" s="1436"/>
      <c r="AD638" s="1344"/>
    </row>
    <row r="639" customFormat="false" ht="15.75" hidden="true" customHeight="true" outlineLevel="1" collapsed="false">
      <c r="A639" s="1769" t="s">
        <v>3286</v>
      </c>
      <c r="B639" s="1683" t="s">
        <v>15</v>
      </c>
      <c r="C639" s="1692" t="n">
        <f aca="false">$C$143</f>
        <v>0.145</v>
      </c>
      <c r="D639" s="1436" t="n">
        <f aca="false">$J$620</f>
        <v>0.045</v>
      </c>
      <c r="E639" s="1604" t="n">
        <f aca="false">(IF('Ввод данных'!A17=связи1!A95,E622,0)+IF('Ввод данных'!A17=связи1!A96,C622,0)+IF('Ввод данных'!A17=связи1!A98,C622,0))*D621</f>
        <v>0</v>
      </c>
      <c r="F639" s="1604" t="n">
        <f aca="false">I622*IF(связи1!$H$91=связи1!$A$2,1,0)</f>
        <v>0</v>
      </c>
      <c r="G639" s="1436" t="n">
        <f aca="false">C639*D639*E639*F639</f>
        <v>0</v>
      </c>
      <c r="H639" s="1436"/>
      <c r="I639" s="1436"/>
      <c r="J639" s="1436"/>
      <c r="K639" s="1436"/>
      <c r="L639" s="1436"/>
      <c r="M639" s="1436"/>
      <c r="N639" s="1436"/>
      <c r="O639" s="1635"/>
      <c r="P639" s="1714"/>
      <c r="Q639" s="1714"/>
      <c r="R639" s="1714"/>
      <c r="S639" s="1436"/>
      <c r="T639" s="1635"/>
      <c r="U639" s="1634"/>
      <c r="V639" s="1635"/>
      <c r="W639" s="1857"/>
      <c r="X639" s="1857"/>
      <c r="Y639" s="1635"/>
      <c r="Z639" s="1714"/>
      <c r="AA639" s="1436"/>
      <c r="AB639" s="1436"/>
      <c r="AC639" s="1436"/>
      <c r="AD639" s="1344"/>
    </row>
    <row r="640" customFormat="false" ht="15.75" hidden="true" customHeight="true" outlineLevel="1" collapsed="false">
      <c r="A640" s="1769" t="s">
        <v>3410</v>
      </c>
      <c r="B640" s="1683" t="s">
        <v>15</v>
      </c>
      <c r="C640" s="1692" t="n">
        <f aca="false">$C$143</f>
        <v>0.145</v>
      </c>
      <c r="D640" s="1436" t="n">
        <f aca="false">$J$620</f>
        <v>0.045</v>
      </c>
      <c r="E640" s="1604" t="n">
        <f aca="false">E624</f>
        <v>1.6</v>
      </c>
      <c r="F640" s="1604" t="n">
        <f aca="false">I624*IF(связи1!$H$91=связи1!$A$2,1,0)</f>
        <v>15</v>
      </c>
      <c r="G640" s="1436" t="n">
        <f aca="false">C640*D640*E640*F640</f>
        <v>0.1566</v>
      </c>
      <c r="H640" s="1436"/>
      <c r="I640" s="1436"/>
      <c r="J640" s="1436"/>
      <c r="K640" s="1436"/>
      <c r="L640" s="1436"/>
      <c r="M640" s="1436"/>
      <c r="N640" s="1436"/>
      <c r="O640" s="1635"/>
      <c r="P640" s="1714"/>
      <c r="Q640" s="1714"/>
      <c r="R640" s="1714"/>
      <c r="S640" s="1436"/>
      <c r="T640" s="1635"/>
      <c r="U640" s="1634"/>
      <c r="V640" s="1635"/>
      <c r="W640" s="1857"/>
      <c r="X640" s="1857"/>
      <c r="Y640" s="1635"/>
      <c r="Z640" s="1714"/>
      <c r="AA640" s="1436"/>
      <c r="AB640" s="1436"/>
      <c r="AC640" s="1436"/>
      <c r="AD640" s="1344"/>
    </row>
    <row r="641" customFormat="false" ht="15.75" hidden="true" customHeight="true" outlineLevel="1" collapsed="false">
      <c r="A641" s="1769" t="s">
        <v>3156</v>
      </c>
      <c r="B641" s="1683" t="s">
        <v>15</v>
      </c>
      <c r="C641" s="1692" t="n">
        <f aca="false">$C$143</f>
        <v>0.145</v>
      </c>
      <c r="D641" s="1436" t="n">
        <f aca="false">$J$620</f>
        <v>0.045</v>
      </c>
      <c r="E641" s="1604" t="n">
        <f aca="false">E625</f>
        <v>1.6</v>
      </c>
      <c r="F641" s="1604" t="n">
        <f aca="false">I625*IF(связи1!$H$91=связи1!$A$2,1,0)</f>
        <v>15</v>
      </c>
      <c r="G641" s="1436" t="n">
        <f aca="false">C641*D641*E641*F641</f>
        <v>0.1566</v>
      </c>
      <c r="H641" s="1436"/>
      <c r="I641" s="1436"/>
      <c r="J641" s="1436"/>
      <c r="K641" s="1436"/>
      <c r="L641" s="1436"/>
      <c r="M641" s="1436"/>
      <c r="N641" s="1436"/>
      <c r="O641" s="1635"/>
      <c r="P641" s="1714"/>
      <c r="Q641" s="1714"/>
      <c r="R641" s="1714"/>
      <c r="S641" s="1436"/>
      <c r="T641" s="1635"/>
      <c r="U641" s="1634"/>
      <c r="V641" s="1635"/>
      <c r="W641" s="1857"/>
      <c r="X641" s="1857"/>
      <c r="Y641" s="1635"/>
      <c r="Z641" s="1714"/>
      <c r="AA641" s="1436"/>
      <c r="AB641" s="1436"/>
      <c r="AC641" s="1436"/>
      <c r="AD641" s="1344"/>
    </row>
    <row r="642" customFormat="false" ht="15.75" hidden="true" customHeight="true" outlineLevel="1" collapsed="false">
      <c r="A642" s="1180" t="s">
        <v>3411</v>
      </c>
      <c r="B642" s="1683" t="s">
        <v>15</v>
      </c>
      <c r="C642" s="1692" t="n">
        <f aca="false">$C$143</f>
        <v>0.145</v>
      </c>
      <c r="D642" s="1436" t="n">
        <f aca="false">$J$620</f>
        <v>0.045</v>
      </c>
      <c r="E642" s="1604" t="n">
        <f aca="false">F632*1.05</f>
        <v>5.51224999433081</v>
      </c>
      <c r="F642" s="1436" t="n">
        <f aca="false">$D$635*IF('Ввод данных'!$A$101=связи1!$A$128,2,2)*IF(связи1!$H$91=связи1!$A$2,1,0)</f>
        <v>2</v>
      </c>
      <c r="G642" s="1436" t="n">
        <f aca="false">C642*D642*E642*F642</f>
        <v>0.071934862426017</v>
      </c>
      <c r="H642" s="1436"/>
      <c r="I642" s="1436"/>
      <c r="J642" s="1436"/>
      <c r="K642" s="1436"/>
      <c r="L642" s="1436"/>
      <c r="M642" s="1436"/>
      <c r="N642" s="1436"/>
      <c r="O642" s="1635"/>
      <c r="P642" s="1714"/>
      <c r="Q642" s="1714"/>
      <c r="R642" s="1714"/>
      <c r="S642" s="1436"/>
      <c r="T642" s="1635"/>
      <c r="U642" s="1634"/>
      <c r="V642" s="1635"/>
      <c r="W642" s="1857"/>
      <c r="X642" s="1857"/>
      <c r="Y642" s="1635"/>
      <c r="Z642" s="1714"/>
      <c r="AA642" s="1436"/>
      <c r="AB642" s="1436"/>
      <c r="AC642" s="1436"/>
      <c r="AD642" s="1344"/>
    </row>
    <row r="643" customFormat="false" ht="15.75" hidden="true" customHeight="true" outlineLevel="1" collapsed="false">
      <c r="A643" s="1180" t="s">
        <v>3412</v>
      </c>
      <c r="B643" s="1683" t="s">
        <v>15</v>
      </c>
      <c r="C643" s="1692" t="n">
        <f aca="false">$C$143</f>
        <v>0.145</v>
      </c>
      <c r="D643" s="1436" t="n">
        <f aca="false">$J$620</f>
        <v>0.045</v>
      </c>
      <c r="E643" s="1604" t="n">
        <f aca="false">C631</f>
        <v>4</v>
      </c>
      <c r="F643" s="1436" t="n">
        <f aca="false">$D$635*IF('Ввод данных'!$A$101=связи1!$A$128,2,2)*IF(связи1!$H$91=связи1!$A$2,1,0)</f>
        <v>2</v>
      </c>
      <c r="G643" s="1436" t="n">
        <f aca="false">C643*D643*E643*F643</f>
        <v>0.0522</v>
      </c>
      <c r="H643" s="1436"/>
      <c r="I643" s="1436"/>
      <c r="J643" s="1436"/>
      <c r="K643" s="1436"/>
      <c r="L643" s="1436"/>
      <c r="M643" s="1436"/>
      <c r="N643" s="1436"/>
      <c r="O643" s="1635"/>
      <c r="P643" s="1714"/>
      <c r="Q643" s="1714"/>
      <c r="R643" s="1714"/>
      <c r="S643" s="1436"/>
      <c r="T643" s="1635"/>
      <c r="U643" s="1634"/>
      <c r="V643" s="1635"/>
      <c r="W643" s="1857"/>
      <c r="X643" s="1857"/>
      <c r="Y643" s="1635"/>
      <c r="Z643" s="1714"/>
      <c r="AA643" s="1436"/>
      <c r="AB643" s="1436"/>
      <c r="AC643" s="1436"/>
      <c r="AD643" s="1344"/>
    </row>
    <row r="644" customFormat="false" ht="15.75" hidden="true" customHeight="true" outlineLevel="1" collapsed="false">
      <c r="A644" s="1180" t="s">
        <v>3413</v>
      </c>
      <c r="B644" s="1683" t="s">
        <v>15</v>
      </c>
      <c r="C644" s="1692" t="n">
        <f aca="false">$C$143</f>
        <v>0.145</v>
      </c>
      <c r="D644" s="1436" t="n">
        <f aca="false">$J$620</f>
        <v>0.045</v>
      </c>
      <c r="E644" s="1604" t="n">
        <f aca="false">E642</f>
        <v>5.51224999433081</v>
      </c>
      <c r="F644" s="1436" t="n">
        <f aca="false">$D$635*IF('Ввод данных'!$A$101=связи1!$A$128,2,2)*IF(связи1!$H$91=связи1!$A$2,1,0)</f>
        <v>2</v>
      </c>
      <c r="G644" s="1436" t="n">
        <f aca="false">C644*D644*E644*F644</f>
        <v>0.071934862426017</v>
      </c>
      <c r="H644" s="1436"/>
      <c r="I644" s="1436"/>
      <c r="J644" s="1436"/>
      <c r="K644" s="1436"/>
      <c r="L644" s="1436"/>
      <c r="M644" s="1436"/>
      <c r="N644" s="1436"/>
      <c r="O644" s="1635"/>
      <c r="P644" s="1714"/>
      <c r="Q644" s="1714"/>
      <c r="R644" s="1714"/>
      <c r="S644" s="1436"/>
      <c r="T644" s="1635"/>
      <c r="U644" s="1634"/>
      <c r="V644" s="1635"/>
      <c r="W644" s="1857"/>
      <c r="X644" s="1857"/>
      <c r="Y644" s="1635"/>
      <c r="Z644" s="1714"/>
      <c r="AA644" s="1436"/>
      <c r="AB644" s="1436"/>
      <c r="AC644" s="1436"/>
      <c r="AD644" s="1344"/>
    </row>
    <row r="645" customFormat="false" ht="15.75" hidden="true" customHeight="true" outlineLevel="1" collapsed="false">
      <c r="A645" s="1180" t="s">
        <v>3414</v>
      </c>
      <c r="B645" s="1683" t="s">
        <v>15</v>
      </c>
      <c r="C645" s="1692" t="n">
        <f aca="false">$C$143</f>
        <v>0.145</v>
      </c>
      <c r="D645" s="1436" t="n">
        <f aca="false">$J$620</f>
        <v>0.045</v>
      </c>
      <c r="E645" s="1604" t="n">
        <f aca="false">P626+Q626</f>
        <v>64</v>
      </c>
      <c r="F645" s="1436" t="n">
        <f aca="false">1*IF(связи1!$H$91=связи1!$A$2,1,0)</f>
        <v>1</v>
      </c>
      <c r="G645" s="1436" t="n">
        <f aca="false">C645*D645*E645*F645</f>
        <v>0.4176</v>
      </c>
      <c r="H645" s="1436"/>
      <c r="I645" s="1436"/>
      <c r="J645" s="1436"/>
      <c r="K645" s="1436"/>
      <c r="L645" s="1436"/>
      <c r="M645" s="1436"/>
      <c r="N645" s="1436"/>
      <c r="O645" s="1635"/>
      <c r="P645" s="1714"/>
      <c r="Q645" s="1714"/>
      <c r="R645" s="1714"/>
      <c r="S645" s="1436"/>
      <c r="T645" s="1635"/>
      <c r="U645" s="1634"/>
      <c r="V645" s="1635"/>
      <c r="W645" s="1857"/>
      <c r="X645" s="1857"/>
      <c r="Y645" s="1635"/>
      <c r="Z645" s="1714"/>
      <c r="AA645" s="1436"/>
      <c r="AB645" s="1436"/>
      <c r="AC645" s="1436"/>
      <c r="AD645" s="1344"/>
    </row>
    <row r="646" customFormat="false" ht="15.75" hidden="true" customHeight="true" outlineLevel="1" collapsed="false">
      <c r="A646" s="1180" t="s">
        <v>3415</v>
      </c>
      <c r="B646" s="1683" t="s">
        <v>15</v>
      </c>
      <c r="C646" s="1692" t="n">
        <f aca="false">$C$143</f>
        <v>0.145</v>
      </c>
      <c r="D646" s="1436" t="n">
        <f aca="false">$J$620</f>
        <v>0.045</v>
      </c>
      <c r="E646" s="1604" t="n">
        <f aca="false">R626</f>
        <v>32</v>
      </c>
      <c r="F646" s="1436" t="n">
        <f aca="false">1*IF(связи1!$H$91=связи1!$A$2,1,0)</f>
        <v>1</v>
      </c>
      <c r="G646" s="1436" t="n">
        <f aca="false">C646*D646*E646*F646</f>
        <v>0.2088</v>
      </c>
      <c r="H646" s="1436"/>
      <c r="I646" s="1436"/>
      <c r="J646" s="1436"/>
      <c r="K646" s="1436"/>
      <c r="L646" s="1436"/>
      <c r="M646" s="1436"/>
      <c r="N646" s="1436"/>
      <c r="O646" s="1635"/>
      <c r="P646" s="1714"/>
      <c r="Q646" s="1714"/>
      <c r="R646" s="1714"/>
      <c r="S646" s="1436"/>
      <c r="T646" s="1635"/>
      <c r="U646" s="1634"/>
      <c r="V646" s="1635"/>
      <c r="W646" s="1857"/>
      <c r="X646" s="1857"/>
      <c r="Y646" s="1635"/>
      <c r="Z646" s="1714"/>
      <c r="AA646" s="1436"/>
      <c r="AB646" s="1436"/>
      <c r="AC646" s="1436"/>
      <c r="AD646" s="1344"/>
    </row>
    <row r="647" customFormat="false" ht="15.75" hidden="true" customHeight="true" outlineLevel="1" collapsed="false">
      <c r="A647" s="1858" t="s">
        <v>3416</v>
      </c>
      <c r="B647" s="1859" t="s">
        <v>15</v>
      </c>
      <c r="C647" s="1811" t="n">
        <f aca="false">$C$151</f>
        <v>0.145</v>
      </c>
      <c r="D647" s="1809" t="n">
        <f aca="false">$J$375</f>
        <v>0.045</v>
      </c>
      <c r="E647" s="1812" t="n">
        <f aca="false">E836</f>
        <v>2.6</v>
      </c>
      <c r="F647" s="1809" t="n">
        <f aca="false">(I840+I850)</f>
        <v>25</v>
      </c>
      <c r="G647" s="1809" t="n">
        <f aca="false">C647*D647*E647*F647</f>
        <v>0.424125</v>
      </c>
      <c r="H647" s="1809"/>
      <c r="I647" s="1436"/>
      <c r="J647" s="1436"/>
      <c r="K647" s="1436"/>
      <c r="L647" s="1436"/>
      <c r="M647" s="1436"/>
      <c r="N647" s="1436"/>
      <c r="O647" s="1635"/>
      <c r="P647" s="1714"/>
      <c r="Q647" s="1714"/>
      <c r="R647" s="1714"/>
      <c r="S647" s="1436"/>
      <c r="T647" s="1635"/>
      <c r="U647" s="1634"/>
      <c r="V647" s="1635"/>
      <c r="W647" s="1857"/>
      <c r="X647" s="1857"/>
      <c r="Y647" s="1635"/>
      <c r="Z647" s="1714"/>
      <c r="AA647" s="1436"/>
      <c r="AB647" s="1436"/>
      <c r="AC647" s="1436"/>
      <c r="AD647" s="1344"/>
    </row>
    <row r="648" customFormat="false" ht="15.75" hidden="true" customHeight="true" outlineLevel="1" collapsed="false">
      <c r="A648" s="1858" t="s">
        <v>3417</v>
      </c>
      <c r="B648" s="1859" t="s">
        <v>15</v>
      </c>
      <c r="C648" s="1811" t="n">
        <f aca="false">$C$151</f>
        <v>0.145</v>
      </c>
      <c r="D648" s="1809" t="n">
        <f aca="false">$J$375</f>
        <v>0.045</v>
      </c>
      <c r="E648" s="1812" t="n">
        <f aca="false">P840+P850+Q840+Q850</f>
        <v>25</v>
      </c>
      <c r="F648" s="1809"/>
      <c r="G648" s="1809" t="n">
        <f aca="false">C648*D648*E648</f>
        <v>0.163125</v>
      </c>
      <c r="H648" s="1809"/>
      <c r="I648" s="1436"/>
      <c r="J648" s="1436"/>
      <c r="K648" s="1436"/>
      <c r="L648" s="1436"/>
      <c r="M648" s="1436"/>
      <c r="N648" s="1436"/>
      <c r="O648" s="1635"/>
      <c r="P648" s="1714"/>
      <c r="Q648" s="1714"/>
      <c r="R648" s="1714"/>
      <c r="S648" s="1436"/>
      <c r="T648" s="1635"/>
      <c r="U648" s="1634"/>
      <c r="V648" s="1635"/>
      <c r="W648" s="1857"/>
      <c r="X648" s="1857"/>
      <c r="Y648" s="1635"/>
      <c r="Z648" s="1714"/>
      <c r="AA648" s="1436"/>
      <c r="AB648" s="1436"/>
      <c r="AC648" s="1436"/>
      <c r="AD648" s="1344"/>
    </row>
    <row r="649" customFormat="false" ht="15.75" hidden="true" customHeight="true" outlineLevel="1" collapsed="false">
      <c r="A649" s="1858" t="s">
        <v>3418</v>
      </c>
      <c r="B649" s="1859" t="s">
        <v>15</v>
      </c>
      <c r="C649" s="1811" t="n">
        <f aca="false">$C$151</f>
        <v>0.145</v>
      </c>
      <c r="D649" s="1809" t="n">
        <f aca="false">$J$375</f>
        <v>0.045</v>
      </c>
      <c r="E649" s="1812" t="n">
        <f aca="false">R840+R850</f>
        <v>12.5</v>
      </c>
      <c r="F649" s="1809"/>
      <c r="G649" s="1809" t="n">
        <f aca="false">C649*D649*E649</f>
        <v>0.0815625</v>
      </c>
      <c r="H649" s="1809"/>
      <c r="I649" s="1436"/>
      <c r="J649" s="1436"/>
      <c r="K649" s="1436"/>
      <c r="L649" s="1436"/>
      <c r="M649" s="1436"/>
      <c r="N649" s="1436"/>
      <c r="O649" s="1635"/>
      <c r="P649" s="1714"/>
      <c r="Q649" s="1714"/>
      <c r="R649" s="1714"/>
      <c r="S649" s="1436"/>
      <c r="T649" s="1635"/>
      <c r="U649" s="1634"/>
      <c r="V649" s="1635"/>
      <c r="W649" s="1857"/>
      <c r="X649" s="1857"/>
      <c r="Y649" s="1635"/>
      <c r="Z649" s="1714"/>
      <c r="AA649" s="1436"/>
      <c r="AB649" s="1436"/>
      <c r="AC649" s="1436"/>
      <c r="AD649" s="1344"/>
    </row>
    <row r="650" customFormat="false" ht="15.75" hidden="true" customHeight="true" outlineLevel="1" collapsed="false">
      <c r="A650" s="1858" t="s">
        <v>3419</v>
      </c>
      <c r="B650" s="1859" t="s">
        <v>15</v>
      </c>
      <c r="C650" s="1811" t="n">
        <f aca="false">$C$180</f>
        <v>0.1</v>
      </c>
      <c r="D650" s="1809" t="n">
        <f aca="false">$D$180</f>
        <v>0.045</v>
      </c>
      <c r="E650" s="1812" t="n">
        <f aca="false">E841</f>
        <v>2.6</v>
      </c>
      <c r="F650" s="1809" t="n">
        <f aca="false">I845+I855</f>
        <v>0</v>
      </c>
      <c r="G650" s="1809" t="n">
        <f aca="false">C650*D650*E650*F650</f>
        <v>0</v>
      </c>
      <c r="H650" s="1809"/>
      <c r="I650" s="1436"/>
      <c r="J650" s="1436"/>
      <c r="K650" s="1436"/>
      <c r="L650" s="1436"/>
      <c r="M650" s="1436"/>
      <c r="N650" s="1436"/>
      <c r="O650" s="1635"/>
      <c r="P650" s="1714"/>
      <c r="Q650" s="1714"/>
      <c r="R650" s="1714"/>
      <c r="S650" s="1436"/>
      <c r="T650" s="1635"/>
      <c r="U650" s="1634"/>
      <c r="V650" s="1635"/>
      <c r="W650" s="1857"/>
      <c r="X650" s="1857"/>
      <c r="Y650" s="1635"/>
      <c r="Z650" s="1714"/>
      <c r="AA650" s="1436"/>
      <c r="AB650" s="1436"/>
      <c r="AC650" s="1436"/>
      <c r="AD650" s="1344"/>
    </row>
    <row r="651" customFormat="false" ht="15.75" hidden="true" customHeight="true" outlineLevel="1" collapsed="false">
      <c r="A651" s="1858" t="s">
        <v>3420</v>
      </c>
      <c r="B651" s="1859" t="s">
        <v>15</v>
      </c>
      <c r="C651" s="1811" t="n">
        <f aca="false">$C$180</f>
        <v>0.1</v>
      </c>
      <c r="D651" s="1809" t="n">
        <f aca="false">$D$180</f>
        <v>0.045</v>
      </c>
      <c r="E651" s="1812" t="n">
        <f aca="false">P845+P855+Q845+Q855</f>
        <v>0</v>
      </c>
      <c r="F651" s="1809"/>
      <c r="G651" s="1809" t="n">
        <f aca="false">C651*D651*E651</f>
        <v>0</v>
      </c>
      <c r="H651" s="1809"/>
      <c r="I651" s="1436"/>
      <c r="J651" s="1436"/>
      <c r="K651" s="1436"/>
      <c r="L651" s="1436"/>
      <c r="M651" s="1436"/>
      <c r="N651" s="1436"/>
      <c r="O651" s="1635"/>
      <c r="P651" s="1714"/>
      <c r="Q651" s="1714"/>
      <c r="R651" s="1714"/>
      <c r="S651" s="1436"/>
      <c r="T651" s="1635"/>
      <c r="U651" s="1634"/>
      <c r="V651" s="1635"/>
      <c r="W651" s="1857"/>
      <c r="X651" s="1857"/>
      <c r="Y651" s="1635"/>
      <c r="Z651" s="1714"/>
      <c r="AA651" s="1436"/>
      <c r="AB651" s="1436"/>
      <c r="AC651" s="1436"/>
      <c r="AD651" s="1344"/>
    </row>
    <row r="652" customFormat="false" ht="15.75" hidden="true" customHeight="true" outlineLevel="1" collapsed="false">
      <c r="A652" s="1180" t="s">
        <v>3421</v>
      </c>
      <c r="B652" s="1683" t="s">
        <v>15</v>
      </c>
      <c r="C652" s="1692" t="n">
        <f aca="false">$C$143</f>
        <v>0.145</v>
      </c>
      <c r="D652" s="1436" t="n">
        <f aca="false">$J$620</f>
        <v>0.045</v>
      </c>
      <c r="E652" s="1186" t="n">
        <f aca="false">IF('Ввод данных'!A17=связи1!A95,C621,0)+IF('Ввод данных'!A17=связи1!A96,дома!C621,0)+IF('Ввод данных'!A17=связи1!A98,дома!C621,0)</f>
        <v>1.6</v>
      </c>
      <c r="F652" s="1186" t="n">
        <f aca="false">IF(E652&lt;($E$627+0.5),1,0)*$D$635*IF('Ввод данных'!$A$101=связи1!$A$128,2,2)*IF(связи1!$H$91=связи1!$A$2,1,0)</f>
        <v>2</v>
      </c>
      <c r="G652" s="1436" t="n">
        <f aca="false">C652*D652*E652*F652</f>
        <v>0.02088</v>
      </c>
      <c r="H652" s="1436"/>
      <c r="I652" s="1436"/>
      <c r="J652" s="1436"/>
      <c r="K652" s="1436"/>
      <c r="L652" s="1436"/>
      <c r="M652" s="1436"/>
      <c r="N652" s="1436"/>
      <c r="O652" s="1635"/>
      <c r="P652" s="1714"/>
      <c r="Q652" s="1714"/>
      <c r="R652" s="1714"/>
      <c r="S652" s="1436"/>
      <c r="T652" s="1635"/>
      <c r="U652" s="1634"/>
      <c r="V652" s="1635"/>
      <c r="W652" s="1857"/>
      <c r="X652" s="1857"/>
      <c r="Y652" s="1635"/>
      <c r="Z652" s="1714"/>
      <c r="AA652" s="1436"/>
      <c r="AB652" s="1436"/>
      <c r="AC652" s="1436"/>
      <c r="AD652" s="1344"/>
    </row>
    <row r="653" customFormat="false" ht="15.75" hidden="true" customHeight="true" outlineLevel="1" collapsed="false">
      <c r="A653" s="1180" t="s">
        <v>3422</v>
      </c>
      <c r="B653" s="1683" t="s">
        <v>15</v>
      </c>
      <c r="C653" s="1692" t="n">
        <f aca="false">$C$143</f>
        <v>0.145</v>
      </c>
      <c r="D653" s="1436" t="n">
        <f aca="false">$J$620</f>
        <v>0.045</v>
      </c>
      <c r="E653" s="1436" t="n">
        <f aca="false">IF(E652=0,0,IF('Ввод данных'!$A$17=связи1!$A$95,IF(дома!E652+дома!$C$630&lt;дома!$E$627+0.3,дома!E652+дома!$C$630,0),0))+IF(E652=0,0,IF('Ввод данных'!$A$17=связи1!$A$96,IF(дома!E652+0.05+дома!$C$630&gt;дома!$E$627+0.4,0,дома!E652+дома!$C$630),0))+IF(E652=0,0,IF('Ввод данных'!$A$17=связи1!$A$98,IF(дома!E652+0.05+дома!$C$630&gt;дома!$E$627+0.4,0,дома!E652+дома!$C$630),0))</f>
        <v>2.08571428571429</v>
      </c>
      <c r="F653" s="1186" t="n">
        <f aca="false">IF(E653&lt;($E$627+0.5),1,0)*$D$635*IF('Ввод данных'!$A$101=связи1!$A$128,2,2)*IF(связи1!$H$91=связи1!$A$2,1,0)</f>
        <v>2</v>
      </c>
      <c r="G653" s="1436" t="n">
        <f aca="false">C653*D653*E653*F653</f>
        <v>0.0272185714285714</v>
      </c>
      <c r="H653" s="1436"/>
      <c r="I653" s="1436"/>
      <c r="J653" s="1436"/>
      <c r="K653" s="1436"/>
      <c r="L653" s="1436"/>
      <c r="M653" s="1436"/>
      <c r="N653" s="1436"/>
      <c r="O653" s="1635"/>
      <c r="P653" s="1714"/>
      <c r="Q653" s="1714"/>
      <c r="R653" s="1714"/>
      <c r="S653" s="1436"/>
      <c r="T653" s="1635"/>
      <c r="U653" s="1634"/>
      <c r="V653" s="1635"/>
      <c r="W653" s="1857"/>
      <c r="X653" s="1857"/>
      <c r="Y653" s="1635"/>
      <c r="Z653" s="1714"/>
      <c r="AA653" s="1436"/>
      <c r="AB653" s="1436"/>
      <c r="AC653" s="1436"/>
      <c r="AD653" s="1344"/>
    </row>
    <row r="654" customFormat="false" ht="15.75" hidden="true" customHeight="true" outlineLevel="1" collapsed="false">
      <c r="A654" s="1180" t="s">
        <v>3423</v>
      </c>
      <c r="B654" s="1683" t="s">
        <v>15</v>
      </c>
      <c r="C654" s="1692" t="n">
        <f aca="false">$C$143</f>
        <v>0.145</v>
      </c>
      <c r="D654" s="1436" t="n">
        <f aca="false">$J$620</f>
        <v>0.045</v>
      </c>
      <c r="E654" s="1436" t="n">
        <f aca="false">IF(E653=0,0,IF('Ввод данных'!$A$17=связи1!$A$95,IF(дома!E653+дома!$C$630&lt;дома!$E$627+0.3,дома!E653+дома!$C$630,0),0))+IF(E653=0,0,IF('Ввод данных'!$A$17=связи1!$A$96,IF(дома!E653+0.05+дома!$C$630&gt;дома!$E$627+0.4,0,дома!E653+дома!$C$630),0))+IF(E653=0,0,IF('Ввод данных'!$A$17=связи1!$A$98,IF(дома!E653+0.05+дома!$C$630&gt;дома!$E$627+0.4,0,дома!E653+дома!$C$630),0))</f>
        <v>2.57142857142857</v>
      </c>
      <c r="F654" s="1186" t="n">
        <f aca="false">IF(E654&lt;($E$627+0.5),1,0)*$D$635*IF('Ввод данных'!$A$101=связи1!$A$128,2,2)*IF(связи1!$H$91=связи1!$A$2,1,0)</f>
        <v>2</v>
      </c>
      <c r="G654" s="1436" t="n">
        <f aca="false">C654*D654*E654*F654</f>
        <v>0.0335571428571429</v>
      </c>
      <c r="H654" s="1436"/>
      <c r="I654" s="1436"/>
      <c r="J654" s="1436"/>
      <c r="K654" s="1436"/>
      <c r="L654" s="1436"/>
      <c r="M654" s="1436"/>
      <c r="N654" s="1436"/>
      <c r="O654" s="1635"/>
      <c r="P654" s="1714"/>
      <c r="Q654" s="1714"/>
      <c r="R654" s="1714"/>
      <c r="S654" s="1436"/>
      <c r="T654" s="1635"/>
      <c r="U654" s="1634"/>
      <c r="V654" s="1635"/>
      <c r="W654" s="1857"/>
      <c r="X654" s="1857"/>
      <c r="Y654" s="1635"/>
      <c r="Z654" s="1714"/>
      <c r="AA654" s="1436"/>
      <c r="AB654" s="1436"/>
      <c r="AC654" s="1436"/>
      <c r="AD654" s="1344"/>
    </row>
    <row r="655" customFormat="false" ht="15.75" hidden="true" customHeight="true" outlineLevel="1" collapsed="false">
      <c r="A655" s="1180" t="s">
        <v>3424</v>
      </c>
      <c r="B655" s="1683" t="s">
        <v>15</v>
      </c>
      <c r="C655" s="1692" t="n">
        <f aca="false">$C$143</f>
        <v>0.145</v>
      </c>
      <c r="D655" s="1436" t="n">
        <f aca="false">$J$620</f>
        <v>0.045</v>
      </c>
      <c r="E655" s="1436" t="n">
        <f aca="false">IF(E654=0,0,IF('Ввод данных'!$A$17=связи1!$A$95,IF(дома!E654+дома!$C$630&lt;дома!$E$627+0.3,дома!E654+дома!$C$630,0),0))+IF(E654=0,0,IF('Ввод данных'!$A$17=связи1!$A$96,IF(дома!E654+0.05+дома!$C$630&gt;дома!$E$627+0.4,0,дома!E654+дома!$C$630),0))+IF(E654=0,0,IF('Ввод данных'!$A$17=связи1!$A$98,IF(дома!E654+0.05+дома!$C$630&gt;дома!$E$627+0.4,0,дома!E654+дома!$C$630),0))</f>
        <v>3.05714285714286</v>
      </c>
      <c r="F655" s="1186" t="n">
        <f aca="false">IF(E655&lt;($E$627+0.5),1,0)*$D$635*IF('Ввод данных'!$A$101=связи1!$A$128,2,2)*IF(связи1!$H$91=связи1!$A$2,1,0)</f>
        <v>2</v>
      </c>
      <c r="G655" s="1436" t="n">
        <f aca="false">C655*D655*E655*F655</f>
        <v>0.0398957142857143</v>
      </c>
      <c r="H655" s="1436"/>
      <c r="I655" s="1436"/>
      <c r="J655" s="1436"/>
      <c r="K655" s="1436"/>
      <c r="L655" s="1436"/>
      <c r="M655" s="1436"/>
      <c r="N655" s="1436"/>
      <c r="O655" s="1635"/>
      <c r="P655" s="1714"/>
      <c r="Q655" s="1714"/>
      <c r="R655" s="1714"/>
      <c r="S655" s="1436"/>
      <c r="T655" s="1635"/>
      <c r="U655" s="1634"/>
      <c r="V655" s="1635"/>
      <c r="W655" s="1857"/>
      <c r="X655" s="1857"/>
      <c r="Y655" s="1635"/>
      <c r="Z655" s="1714"/>
      <c r="AA655" s="1436"/>
      <c r="AB655" s="1436"/>
      <c r="AC655" s="1436"/>
      <c r="AD655" s="1344"/>
    </row>
    <row r="656" customFormat="false" ht="15.75" hidden="true" customHeight="true" outlineLevel="1" collapsed="false">
      <c r="A656" s="1180" t="s">
        <v>3425</v>
      </c>
      <c r="B656" s="1683" t="s">
        <v>15</v>
      </c>
      <c r="C656" s="1692" t="n">
        <f aca="false">$C$143</f>
        <v>0.145</v>
      </c>
      <c r="D656" s="1436" t="n">
        <f aca="false">$J$620</f>
        <v>0.045</v>
      </c>
      <c r="E656" s="1436" t="n">
        <f aca="false">IF(E655=0,0,IF('Ввод данных'!$A$17=связи1!$A$95,IF(дома!E655+дома!$C$630&lt;дома!$E$627+0.3,дома!E655+дома!$C$630,0),0))+IF(E655=0,0,IF('Ввод данных'!$A$17=связи1!$A$96,IF(дома!E655+0.05+дома!$C$630&gt;дома!$E$627+0.4,0,дома!E655+дома!$C$630),0))+IF(E655=0,0,IF('Ввод данных'!$A$17=связи1!$A$98,IF(дома!E655+0.05+дома!$C$630&gt;дома!$E$627+0.4,0,дома!E655+дома!$C$630),0))</f>
        <v>3.54285714285714</v>
      </c>
      <c r="F656" s="1186" t="n">
        <f aca="false">IF(E656&lt;($E$627+0.5),1,0)*$D$635*IF('Ввод данных'!$A$101=связи1!$A$128,2,2)*IF(связи1!$H$91=связи1!$A$2,1,0)</f>
        <v>2</v>
      </c>
      <c r="G656" s="1436" t="n">
        <f aca="false">C656*D656*E656*F656</f>
        <v>0.0462342857142857</v>
      </c>
      <c r="H656" s="1436"/>
      <c r="I656" s="1436"/>
      <c r="J656" s="1436"/>
      <c r="K656" s="1436"/>
      <c r="L656" s="1436"/>
      <c r="M656" s="1436"/>
      <c r="N656" s="1436"/>
      <c r="O656" s="1635"/>
      <c r="P656" s="1714"/>
      <c r="Q656" s="1714"/>
      <c r="R656" s="1714"/>
      <c r="S656" s="1436"/>
      <c r="T656" s="1635"/>
      <c r="U656" s="1634"/>
      <c r="V656" s="1635"/>
      <c r="W656" s="1857"/>
      <c r="X656" s="1857"/>
      <c r="Y656" s="1635"/>
      <c r="Z656" s="1714"/>
      <c r="AA656" s="1436"/>
      <c r="AB656" s="1436"/>
      <c r="AC656" s="1436"/>
      <c r="AD656" s="1344"/>
    </row>
    <row r="657" customFormat="false" ht="15.75" hidden="true" customHeight="true" outlineLevel="1" collapsed="false">
      <c r="A657" s="1180" t="s">
        <v>3426</v>
      </c>
      <c r="B657" s="1683" t="s">
        <v>15</v>
      </c>
      <c r="C657" s="1692" t="n">
        <f aca="false">$C$143</f>
        <v>0.145</v>
      </c>
      <c r="D657" s="1436" t="n">
        <f aca="false">$J$620</f>
        <v>0.045</v>
      </c>
      <c r="E657" s="1436" t="n">
        <f aca="false">IF(E656=0,0,IF('Ввод данных'!$A$17=связи1!$A$95,IF(дома!E656+дома!$C$630&lt;дома!$E$627+0.3,дома!E656+дома!$C$630,0),0))+IF(E656=0,0,IF('Ввод данных'!$A$17=связи1!$A$96,IF(дома!E656+0.05+дома!$C$630&gt;дома!$E$627+0.4,0,дома!E656+дома!$C$630),0))+IF(E656=0,0,IF('Ввод данных'!$A$17=связи1!$A$98,IF(дома!E656+0.05+дома!$C$630&gt;дома!$E$627+0.4,0,дома!E656+дома!$C$630),0))</f>
        <v>4.02857142857143</v>
      </c>
      <c r="F657" s="1186" t="n">
        <f aca="false">IF(E657&lt;($E$627+0.5),1,0)*$D$635*IF('Ввод данных'!$A$101=связи1!$A$128,2,2)*IF(связи1!$H$91=связи1!$A$2,1,0)</f>
        <v>2</v>
      </c>
      <c r="G657" s="1436" t="n">
        <f aca="false">C657*D657*E657*F657</f>
        <v>0.0525728571428571</v>
      </c>
      <c r="H657" s="1436"/>
      <c r="I657" s="1436"/>
      <c r="J657" s="1436"/>
      <c r="K657" s="1436"/>
      <c r="L657" s="1436"/>
      <c r="M657" s="1436"/>
      <c r="N657" s="1436"/>
      <c r="O657" s="1635"/>
      <c r="P657" s="1714"/>
      <c r="Q657" s="1714"/>
      <c r="R657" s="1714"/>
      <c r="S657" s="1436"/>
      <c r="T657" s="1635"/>
      <c r="U657" s="1634"/>
      <c r="V657" s="1635"/>
      <c r="W657" s="1857"/>
      <c r="X657" s="1857"/>
      <c r="Y657" s="1635"/>
      <c r="Z657" s="1714"/>
      <c r="AA657" s="1436"/>
      <c r="AB657" s="1436"/>
      <c r="AC657" s="1436"/>
      <c r="AD657" s="1344"/>
    </row>
    <row r="658" customFormat="false" ht="15.75" hidden="true" customHeight="true" outlineLevel="1" collapsed="false">
      <c r="A658" s="1180" t="s">
        <v>3427</v>
      </c>
      <c r="B658" s="1683" t="s">
        <v>15</v>
      </c>
      <c r="C658" s="1692" t="n">
        <f aca="false">$C$143</f>
        <v>0.145</v>
      </c>
      <c r="D658" s="1436" t="n">
        <f aca="false">$J$620</f>
        <v>0.045</v>
      </c>
      <c r="E658" s="1436" t="n">
        <f aca="false">IF(E657=0,0,IF('Ввод данных'!$A$17=связи1!$A$95,IF(дома!E657+дома!$C$630&lt;дома!$E$627+0.3,дома!E657+дома!$C$630,0),0))+IF(E657=0,0,IF('Ввод данных'!$A$17=связи1!$A$96,IF(дома!E657+0.05+дома!$C$630&gt;дома!$E$627+0.4,0,дома!E657+дома!$C$630),0))+IF(E657=0,0,IF('Ввод данных'!$A$17=связи1!$A$98,IF(дома!E657+0.05+дома!$C$630&gt;дома!$E$627+0.4,0,дома!E657+дома!$C$630),0))</f>
        <v>4.51428571428571</v>
      </c>
      <c r="F658" s="1186" t="n">
        <f aca="false">IF(E658&lt;($E$627+0.5),1,0)*$D$635*IF('Ввод данных'!$A$101=связи1!$A$128,2,2)*IF(связи1!$H$91=связи1!$A$2,1,0)</f>
        <v>2</v>
      </c>
      <c r="G658" s="1436" t="n">
        <f aca="false">C658*D658*E658*F658</f>
        <v>0.0589114285714286</v>
      </c>
      <c r="H658" s="1436"/>
      <c r="I658" s="1436"/>
      <c r="J658" s="1436"/>
      <c r="K658" s="1436"/>
      <c r="L658" s="1436"/>
      <c r="M658" s="1436"/>
      <c r="N658" s="1436"/>
      <c r="O658" s="1635"/>
      <c r="P658" s="1714"/>
      <c r="Q658" s="1714"/>
      <c r="R658" s="1714"/>
      <c r="S658" s="1436"/>
      <c r="T658" s="1635"/>
      <c r="U658" s="1634"/>
      <c r="V658" s="1635"/>
      <c r="W658" s="1857"/>
      <c r="X658" s="1857"/>
      <c r="Y658" s="1635"/>
      <c r="Z658" s="1714"/>
      <c r="AA658" s="1436"/>
      <c r="AB658" s="1436"/>
      <c r="AC658" s="1436"/>
      <c r="AD658" s="1344"/>
    </row>
    <row r="659" customFormat="false" ht="15.75" hidden="true" customHeight="true" outlineLevel="1" collapsed="false">
      <c r="A659" s="1180" t="s">
        <v>3428</v>
      </c>
      <c r="B659" s="1683" t="s">
        <v>15</v>
      </c>
      <c r="C659" s="1692" t="n">
        <f aca="false">$C$143</f>
        <v>0.145</v>
      </c>
      <c r="D659" s="1436" t="n">
        <f aca="false">$J$620</f>
        <v>0.045</v>
      </c>
      <c r="E659" s="1436" t="n">
        <f aca="false">IF(E658=0,0,IF('Ввод данных'!$A$17=связи1!$A$95,IF(дома!E658+дома!$C$630&lt;дома!$E$627+0.3,дома!E658+дома!$C$630,0),0))+IF(E658=0,0,IF('Ввод данных'!$A$17=связи1!$A$96,IF(дома!E658+0.05+дома!$C$630&gt;дома!$E$627+0.4,0,дома!E658+дома!$C$630),0))+IF(E658=0,0,IF('Ввод данных'!$A$17=связи1!$A$98,IF(дома!E658+0.05+дома!$C$630&gt;дома!$E$627+0.4,0,дома!E658+дома!$C$630),0))</f>
        <v>5</v>
      </c>
      <c r="F659" s="1186" t="n">
        <f aca="false">IF(E659&lt;($E$627+0.5),1,0)*$D$635*IF('Ввод данных'!$A$101=связи1!$A$128,2,2)*IF(связи1!$H$91=связи1!$A$2,1,0)</f>
        <v>2</v>
      </c>
      <c r="G659" s="1436" t="n">
        <f aca="false">C659*D659*E659*F659</f>
        <v>0.06525</v>
      </c>
      <c r="H659" s="1436"/>
      <c r="I659" s="1436"/>
      <c r="J659" s="1436"/>
      <c r="K659" s="1436"/>
      <c r="L659" s="1436"/>
      <c r="M659" s="1436"/>
      <c r="N659" s="1436"/>
      <c r="O659" s="1635"/>
      <c r="P659" s="1714"/>
      <c r="Q659" s="1714"/>
      <c r="R659" s="1714"/>
      <c r="S659" s="1436"/>
      <c r="T659" s="1635"/>
      <c r="U659" s="1634"/>
      <c r="V659" s="1635"/>
      <c r="W659" s="1857"/>
      <c r="X659" s="1857"/>
      <c r="Y659" s="1635"/>
      <c r="Z659" s="1714"/>
      <c r="AA659" s="1436"/>
      <c r="AB659" s="1436"/>
      <c r="AC659" s="1436"/>
      <c r="AD659" s="1344"/>
    </row>
    <row r="660" customFormat="false" ht="15.75" hidden="true" customHeight="true" outlineLevel="1" collapsed="false">
      <c r="A660" s="1180" t="s">
        <v>3429</v>
      </c>
      <c r="B660" s="1683" t="s">
        <v>15</v>
      </c>
      <c r="C660" s="1692" t="n">
        <f aca="false">$C$143</f>
        <v>0.145</v>
      </c>
      <c r="D660" s="1436" t="n">
        <f aca="false">$J$620</f>
        <v>0.045</v>
      </c>
      <c r="E660" s="1436" t="n">
        <f aca="false">IF(E659=0,0,IF('Ввод данных'!$A$17=связи1!$A$95,IF(дома!E659+дома!$C$630&lt;дома!$E$627+0.3,дома!E659+дома!$C$630,0),0))+IF(E659=0,0,IF('Ввод данных'!$A$17=связи1!$A$96,IF(дома!E659+0.05+дома!$C$630&gt;дома!$E$627+0.4,0,дома!E659+дома!$C$630),0))+IF(E659=0,0,IF('Ввод данных'!$A$17=связи1!$A$98,IF(дома!E659+0.05+дома!$C$630&gt;дома!$E$627+0.4,0,дома!E659+дома!$C$630),0))</f>
        <v>0</v>
      </c>
      <c r="F660" s="1186" t="n">
        <f aca="false">IF(E660&lt;($E$627+0.5),1,0)*$D$635*IF('Ввод данных'!$A$101=связи1!$A$128,2,2)*IF(связи1!$H$91=связи1!$A$2,1,0)</f>
        <v>2</v>
      </c>
      <c r="G660" s="1436" t="n">
        <f aca="false">C660*D660*E660*F660</f>
        <v>0</v>
      </c>
      <c r="H660" s="1436"/>
      <c r="I660" s="1436"/>
      <c r="J660" s="1436"/>
      <c r="K660" s="1436"/>
      <c r="L660" s="1436"/>
      <c r="M660" s="1436"/>
      <c r="N660" s="1436"/>
      <c r="O660" s="1635"/>
      <c r="P660" s="1714"/>
      <c r="Q660" s="1714"/>
      <c r="R660" s="1714"/>
      <c r="S660" s="1436"/>
      <c r="T660" s="1635"/>
      <c r="U660" s="1634"/>
      <c r="V660" s="1635"/>
      <c r="W660" s="1857"/>
      <c r="X660" s="1857"/>
      <c r="Y660" s="1635"/>
      <c r="Z660" s="1714"/>
      <c r="AA660" s="1436"/>
      <c r="AB660" s="1436"/>
      <c r="AC660" s="1436"/>
      <c r="AD660" s="1344"/>
    </row>
    <row r="661" customFormat="false" ht="15.75" hidden="true" customHeight="true" outlineLevel="1" collapsed="false">
      <c r="A661" s="1180" t="s">
        <v>3430</v>
      </c>
      <c r="B661" s="1683" t="s">
        <v>15</v>
      </c>
      <c r="C661" s="1692" t="n">
        <f aca="false">$C$143</f>
        <v>0.145</v>
      </c>
      <c r="D661" s="1436" t="n">
        <f aca="false">$J$620</f>
        <v>0.045</v>
      </c>
      <c r="E661" s="1436" t="n">
        <f aca="false">IF(E660=0,0,IF('Ввод данных'!$A$17=связи1!$A$95,IF(дома!E660+дома!$C$630&lt;дома!$E$627+0.3,дома!E660+дома!$C$630,0),0))+IF(E660=0,0,IF('Ввод данных'!$A$17=связи1!$A$96,IF(дома!E660+0.05+дома!$C$630&gt;дома!$E$627+0.4,0,дома!E660+дома!$C$630),0))+IF(E660=0,0,IF('Ввод данных'!$A$17=связи1!$A$98,IF(дома!E660+0.05+дома!$C$630&gt;дома!$E$627+0.4,0,дома!E660+дома!$C$630),0))</f>
        <v>0</v>
      </c>
      <c r="F661" s="1186" t="n">
        <f aca="false">IF(E661&lt;($E$627+0.5),1,0)*$D$635*IF('Ввод данных'!$A$101=связи1!$A$128,2,2)*IF(связи1!$H$91=связи1!$A$2,1,0)</f>
        <v>2</v>
      </c>
      <c r="G661" s="1436" t="n">
        <f aca="false">C661*D661*E661*F661</f>
        <v>0</v>
      </c>
      <c r="H661" s="1436"/>
      <c r="I661" s="1436"/>
      <c r="J661" s="1436"/>
      <c r="K661" s="1436"/>
      <c r="L661" s="1436"/>
      <c r="M661" s="1436"/>
      <c r="N661" s="1436"/>
      <c r="O661" s="1635"/>
      <c r="P661" s="1714"/>
      <c r="Q661" s="1714"/>
      <c r="R661" s="1714"/>
      <c r="S661" s="1436"/>
      <c r="T661" s="1635"/>
      <c r="U661" s="1634"/>
      <c r="V661" s="1635"/>
      <c r="W661" s="1857"/>
      <c r="X661" s="1857"/>
      <c r="Y661" s="1635"/>
      <c r="Z661" s="1714"/>
      <c r="AA661" s="1436"/>
      <c r="AB661" s="1436"/>
      <c r="AC661" s="1436"/>
      <c r="AD661" s="1344"/>
    </row>
    <row r="662" customFormat="false" ht="15.75" hidden="true" customHeight="true" outlineLevel="1" collapsed="false">
      <c r="A662" s="1180" t="s">
        <v>3431</v>
      </c>
      <c r="B662" s="1683" t="s">
        <v>15</v>
      </c>
      <c r="C662" s="1692" t="n">
        <f aca="false">$C$143</f>
        <v>0.145</v>
      </c>
      <c r="D662" s="1436" t="n">
        <f aca="false">$J$620</f>
        <v>0.045</v>
      </c>
      <c r="E662" s="1436" t="n">
        <f aca="false">IF(E661=0,0,IF('Ввод данных'!$A$17=связи1!$A$95,IF(дома!E661+дома!$C$630&lt;дома!$E$627+0.3,дома!E661+дома!$C$630,0),0))+IF(E661=0,0,IF('Ввод данных'!$A$17=связи1!$A$96,IF(дома!E661+0.05+дома!$C$630&gt;дома!$E$627+0.4,0,дома!E661+дома!$C$630),0))+IF(E661=0,0,IF('Ввод данных'!$A$17=связи1!$A$98,IF(дома!E661+0.05+дома!$C$630&gt;дома!$E$627+0.4,0,дома!E661+дома!$C$630),0))</f>
        <v>0</v>
      </c>
      <c r="F662" s="1186" t="n">
        <f aca="false">IF(E662&lt;($E$627+0.5),1,0)*$D$635*IF('Ввод данных'!$A$101=связи1!$A$128,2,2)*IF(связи1!$H$91=связи1!$A$2,1,0)</f>
        <v>2</v>
      </c>
      <c r="G662" s="1436" t="n">
        <f aca="false">C662*D662*E662*F662</f>
        <v>0</v>
      </c>
      <c r="H662" s="1436"/>
      <c r="I662" s="1436"/>
      <c r="J662" s="1436"/>
      <c r="K662" s="1436"/>
      <c r="L662" s="1436"/>
      <c r="M662" s="1436"/>
      <c r="N662" s="1436"/>
      <c r="O662" s="1635"/>
      <c r="P662" s="1714"/>
      <c r="Q662" s="1714"/>
      <c r="R662" s="1714"/>
      <c r="S662" s="1436"/>
      <c r="T662" s="1635"/>
      <c r="U662" s="1634"/>
      <c r="V662" s="1635"/>
      <c r="W662" s="1857"/>
      <c r="X662" s="1857"/>
      <c r="Y662" s="1635"/>
      <c r="Z662" s="1714"/>
      <c r="AA662" s="1436"/>
      <c r="AB662" s="1436"/>
      <c r="AC662" s="1436"/>
      <c r="AD662" s="1344"/>
    </row>
    <row r="663" customFormat="false" ht="15.75" hidden="true" customHeight="true" outlineLevel="1" collapsed="false">
      <c r="A663" s="1180" t="s">
        <v>3432</v>
      </c>
      <c r="B663" s="1683" t="s">
        <v>15</v>
      </c>
      <c r="C663" s="1692" t="n">
        <f aca="false">$C$143</f>
        <v>0.145</v>
      </c>
      <c r="D663" s="1436" t="n">
        <f aca="false">$J$620</f>
        <v>0.045</v>
      </c>
      <c r="E663" s="1436" t="n">
        <f aca="false">IF(E662=0,0,IF('Ввод данных'!$A$17=связи1!$A$95,IF(дома!E662+дома!$C$630&lt;дома!$E$627+0.3,дома!E662+дома!$C$630,0),0))+IF(E662=0,0,IF('Ввод данных'!$A$17=связи1!$A$96,IF(дома!E662+0.05+дома!$C$630&gt;дома!$E$627+0.4,0,дома!E662+дома!$C$630),0))+IF(E662=0,0,IF('Ввод данных'!$A$17=связи1!$A$98,IF(дома!E662+0.05+дома!$C$630&gt;дома!$E$627+0.4,0,дома!E662+дома!$C$630),0))</f>
        <v>0</v>
      </c>
      <c r="F663" s="1186" t="n">
        <f aca="false">IF(E663&lt;($E$627+0.5),1,0)*$D$635*IF('Ввод данных'!$A$101=связи1!$A$128,2,2)*IF(связи1!$H$91=связи1!$A$2,1,0)</f>
        <v>2</v>
      </c>
      <c r="G663" s="1436" t="n">
        <f aca="false">C663*D663*E663*F663</f>
        <v>0</v>
      </c>
      <c r="H663" s="1436"/>
      <c r="I663" s="1436"/>
      <c r="J663" s="1436"/>
      <c r="K663" s="1436"/>
      <c r="L663" s="1436"/>
      <c r="M663" s="1436"/>
      <c r="N663" s="1436"/>
      <c r="O663" s="1635"/>
      <c r="P663" s="1714"/>
      <c r="Q663" s="1714"/>
      <c r="R663" s="1714"/>
      <c r="S663" s="1436"/>
      <c r="T663" s="1635"/>
      <c r="U663" s="1634"/>
      <c r="V663" s="1635"/>
      <c r="W663" s="1857"/>
      <c r="X663" s="1857"/>
      <c r="Y663" s="1635"/>
      <c r="Z663" s="1714"/>
      <c r="AA663" s="1436"/>
      <c r="AB663" s="1436"/>
      <c r="AC663" s="1436"/>
      <c r="AD663" s="1344"/>
    </row>
    <row r="664" customFormat="false" ht="15.75" hidden="true" customHeight="true" outlineLevel="1" collapsed="false">
      <c r="A664" s="1180" t="s">
        <v>3433</v>
      </c>
      <c r="B664" s="1683" t="s">
        <v>15</v>
      </c>
      <c r="C664" s="1692" t="n">
        <f aca="false">$C$143</f>
        <v>0.145</v>
      </c>
      <c r="D664" s="1436" t="n">
        <f aca="false">$J$620</f>
        <v>0.045</v>
      </c>
      <c r="E664" s="1436" t="n">
        <f aca="false">IF(E663=0,0,IF('Ввод данных'!$A$17=связи1!$A$95,IF(дома!E663+дома!$C$630&lt;дома!$E$627+0.3,дома!E663+дома!$C$630,0),0))+IF(E663=0,0,IF('Ввод данных'!$A$17=связи1!$A$96,IF(дома!E663+0.05+дома!$C$630&gt;дома!$E$627+0.4,0,дома!E663+дома!$C$630),0))+IF(E663=0,0,IF('Ввод данных'!$A$17=связи1!$A$98,IF(дома!E663+0.05+дома!$C$630&gt;дома!$E$627+0.4,0,дома!E663+дома!$C$630),0))</f>
        <v>0</v>
      </c>
      <c r="F664" s="1186" t="n">
        <f aca="false">IF(E664&lt;($E$627+0.5),1,0)*$D$635*IF('Ввод данных'!$A$101=связи1!$A$128,2,2)*IF(связи1!$H$91=связи1!$A$2,1,0)</f>
        <v>2</v>
      </c>
      <c r="G664" s="1436" t="n">
        <f aca="false">C664*D664*E664*F664</f>
        <v>0</v>
      </c>
      <c r="H664" s="1436"/>
      <c r="I664" s="1436"/>
      <c r="J664" s="1436"/>
      <c r="K664" s="1436"/>
      <c r="L664" s="1436"/>
      <c r="M664" s="1436"/>
      <c r="N664" s="1436"/>
      <c r="O664" s="1635"/>
      <c r="P664" s="1714"/>
      <c r="Q664" s="1714"/>
      <c r="R664" s="1714"/>
      <c r="S664" s="1436"/>
      <c r="T664" s="1635"/>
      <c r="U664" s="1634"/>
      <c r="V664" s="1635"/>
      <c r="W664" s="1857"/>
      <c r="X664" s="1857"/>
      <c r="Y664" s="1635"/>
      <c r="Z664" s="1714"/>
      <c r="AA664" s="1436"/>
      <c r="AB664" s="1436"/>
      <c r="AC664" s="1436"/>
      <c r="AD664" s="1344"/>
    </row>
    <row r="665" customFormat="false" ht="15.75" hidden="true" customHeight="true" outlineLevel="1" collapsed="false">
      <c r="A665" s="1180" t="s">
        <v>3434</v>
      </c>
      <c r="B665" s="1683" t="s">
        <v>15</v>
      </c>
      <c r="C665" s="1692" t="n">
        <f aca="false">$C$143</f>
        <v>0.145</v>
      </c>
      <c r="D665" s="1436" t="n">
        <f aca="false">$J$620</f>
        <v>0.045</v>
      </c>
      <c r="E665" s="1436" t="n">
        <f aca="false">IF(E664=0,0,IF('Ввод данных'!$A$17=связи1!$A$95,IF(дома!E664+дома!$C$630&lt;дома!$E$627+0.3,дома!E664+дома!$C$630,0),0))+IF(E664=0,0,IF('Ввод данных'!$A$17=связи1!$A$96,IF(дома!E664+0.05+дома!$C$630&gt;дома!$E$627+0.4,0,дома!E664+дома!$C$630),0))+IF(E664=0,0,IF('Ввод данных'!$A$17=связи1!$A$98,IF(дома!E664+0.05+дома!$C$630&gt;дома!$E$627+0.4,0,дома!E664+дома!$C$630),0))</f>
        <v>0</v>
      </c>
      <c r="F665" s="1186" t="n">
        <f aca="false">IF(E665&lt;($E$627+0.5),1,0)*$D$635*IF('Ввод данных'!$A$101=связи1!$A$128,2,2)*IF(связи1!$H$91=связи1!$A$2,1,0)</f>
        <v>2</v>
      </c>
      <c r="G665" s="1436" t="n">
        <f aca="false">C665*D665*E665*F665</f>
        <v>0</v>
      </c>
      <c r="H665" s="1436"/>
      <c r="I665" s="1436"/>
      <c r="J665" s="1436"/>
      <c r="K665" s="1436"/>
      <c r="L665" s="1436"/>
      <c r="M665" s="1436"/>
      <c r="N665" s="1436"/>
      <c r="O665" s="1635"/>
      <c r="P665" s="1714"/>
      <c r="Q665" s="1714"/>
      <c r="R665" s="1714"/>
      <c r="S665" s="1436"/>
      <c r="T665" s="1635"/>
      <c r="U665" s="1634"/>
      <c r="V665" s="1635"/>
      <c r="W665" s="1857"/>
      <c r="X665" s="1857"/>
      <c r="Y665" s="1635"/>
      <c r="Z665" s="1714"/>
      <c r="AA665" s="1436"/>
      <c r="AB665" s="1436"/>
      <c r="AC665" s="1436"/>
      <c r="AD665" s="1344"/>
    </row>
    <row r="666" customFormat="false" ht="15.75" hidden="true" customHeight="true" outlineLevel="1" collapsed="false">
      <c r="A666" s="1180" t="s">
        <v>3435</v>
      </c>
      <c r="B666" s="1683" t="s">
        <v>15</v>
      </c>
      <c r="C666" s="1692" t="n">
        <f aca="false">$C$143</f>
        <v>0.145</v>
      </c>
      <c r="D666" s="1436" t="n">
        <f aca="false">$J$620</f>
        <v>0.045</v>
      </c>
      <c r="E666" s="1436" t="n">
        <f aca="false">IF(E665=0,0,IF('Ввод данных'!$A$17=связи1!$A$95,IF(дома!E665+дома!$C$630&lt;дома!$E$627+0.3,дома!E665+дома!$C$630,0),0))+IF(E665=0,0,IF('Ввод данных'!$A$17=связи1!$A$96,IF(дома!E665+0.05+дома!$C$630&gt;дома!$E$627+0.4,0,дома!E665+дома!$C$630),0))+IF(E665=0,0,IF('Ввод данных'!$A$17=связи1!$A$98,IF(дома!E665+0.05+дома!$C$630&gt;дома!$E$627+0.4,0,дома!E665+дома!$C$630),0))</f>
        <v>0</v>
      </c>
      <c r="F666" s="1186" t="n">
        <f aca="false">IF(E666&lt;($E$627+0.5),1,0)*$D$635*IF('Ввод данных'!$A$101=связи1!$A$128,2,2)*IF(связи1!$H$91=связи1!$A$2,1,0)</f>
        <v>2</v>
      </c>
      <c r="G666" s="1436" t="n">
        <f aca="false">C666*D666*E666*F666</f>
        <v>0</v>
      </c>
      <c r="H666" s="1436"/>
      <c r="I666" s="1436"/>
      <c r="J666" s="1436"/>
      <c r="K666" s="1436"/>
      <c r="L666" s="1436"/>
      <c r="M666" s="1436"/>
      <c r="N666" s="1436"/>
      <c r="O666" s="1635"/>
      <c r="P666" s="1714"/>
      <c r="Q666" s="1714"/>
      <c r="R666" s="1714"/>
      <c r="S666" s="1436"/>
      <c r="T666" s="1635"/>
      <c r="U666" s="1634"/>
      <c r="V666" s="1635"/>
      <c r="W666" s="1857"/>
      <c r="X666" s="1857"/>
      <c r="Y666" s="1635"/>
      <c r="Z666" s="1714"/>
      <c r="AA666" s="1436"/>
      <c r="AB666" s="1436"/>
      <c r="AC666" s="1436"/>
      <c r="AD666" s="1344"/>
    </row>
    <row r="667" customFormat="false" ht="15.75" hidden="true" customHeight="true" outlineLevel="1" collapsed="false">
      <c r="A667" s="1180" t="s">
        <v>3436</v>
      </c>
      <c r="B667" s="1683" t="s">
        <v>15</v>
      </c>
      <c r="C667" s="1692" t="n">
        <f aca="false">$C$143</f>
        <v>0.145</v>
      </c>
      <c r="D667" s="1436" t="n">
        <f aca="false">$J$620</f>
        <v>0.045</v>
      </c>
      <c r="E667" s="1436" t="n">
        <f aca="false">IF(E666=0,0,IF('Ввод данных'!$A$17=связи1!$A$95,IF(дома!E666+дома!$C$630&lt;дома!$E$627+0.3,дома!E666+дома!$C$630,0),0))+IF(E666=0,0,IF('Ввод данных'!$A$17=связи1!$A$96,IF(дома!E666+0.05+дома!$C$630&gt;дома!$E$627+0.4,0,дома!E666+дома!$C$630),0))+IF(E666=0,0,IF('Ввод данных'!$A$17=связи1!$A$98,IF(дома!E666+0.05+дома!$C$630&gt;дома!$E$627+0.4,0,дома!E666+дома!$C$630),0))</f>
        <v>0</v>
      </c>
      <c r="F667" s="1186" t="n">
        <f aca="false">IF(E667&lt;($E$627+0.5),1,0)*$D$635*IF('Ввод данных'!$A$101=связи1!$A$128,2,2)*IF(связи1!$H$91=связи1!$A$2,1,0)</f>
        <v>2</v>
      </c>
      <c r="G667" s="1436" t="n">
        <f aca="false">C667*D667*E667*F667</f>
        <v>0</v>
      </c>
      <c r="H667" s="1436"/>
      <c r="I667" s="1436"/>
      <c r="J667" s="1436"/>
      <c r="K667" s="1436"/>
      <c r="L667" s="1436"/>
      <c r="M667" s="1436"/>
      <c r="N667" s="1436"/>
      <c r="O667" s="1635"/>
      <c r="P667" s="1714"/>
      <c r="Q667" s="1714"/>
      <c r="R667" s="1714"/>
      <c r="S667" s="1436"/>
      <c r="T667" s="1635"/>
      <c r="U667" s="1634"/>
      <c r="V667" s="1635"/>
      <c r="W667" s="1857"/>
      <c r="X667" s="1857"/>
      <c r="Y667" s="1635"/>
      <c r="Z667" s="1714"/>
      <c r="AA667" s="1436"/>
      <c r="AB667" s="1436"/>
      <c r="AC667" s="1436"/>
      <c r="AD667" s="1344"/>
    </row>
    <row r="668" customFormat="false" ht="15.75" hidden="true" customHeight="true" outlineLevel="1" collapsed="false">
      <c r="A668" s="1180" t="s">
        <v>3437</v>
      </c>
      <c r="B668" s="1683" t="s">
        <v>15</v>
      </c>
      <c r="C668" s="1692" t="n">
        <f aca="false">$C$143</f>
        <v>0.145</v>
      </c>
      <c r="D668" s="1436" t="n">
        <f aca="false">$J$620</f>
        <v>0.045</v>
      </c>
      <c r="E668" s="1436" t="n">
        <f aca="false">IF(E667=0,0,IF('Ввод данных'!$A$17=связи1!$A$95,IF(дома!E667+дома!$C$630&lt;дома!$E$627+0.3,дома!E667+дома!$C$630,0),0))+IF(E667=0,0,IF('Ввод данных'!$A$17=связи1!$A$96,IF(дома!E667+0.05+дома!$C$630&gt;дома!$E$627+0.4,0,дома!E667+дома!$C$630),0))+IF(E667=0,0,IF('Ввод данных'!$A$17=связи1!$A$98,IF(дома!E667+0.05+дома!$C$630&gt;дома!$E$627+0.4,0,дома!E667+дома!$C$630),0))</f>
        <v>0</v>
      </c>
      <c r="F668" s="1186" t="n">
        <f aca="false">IF(E668&lt;($E$627+0.5),1,0)*$D$635*IF('Ввод данных'!$A$101=связи1!$A$128,2,2)*IF(связи1!$H$91=связи1!$A$2,1,0)</f>
        <v>2</v>
      </c>
      <c r="G668" s="1436" t="n">
        <f aca="false">C668*D668*E668*F668</f>
        <v>0</v>
      </c>
      <c r="H668" s="1436"/>
      <c r="I668" s="1436"/>
      <c r="J668" s="1436"/>
      <c r="K668" s="1436"/>
      <c r="L668" s="1436"/>
      <c r="M668" s="1436"/>
      <c r="N668" s="1436"/>
      <c r="O668" s="1635"/>
      <c r="P668" s="1714"/>
      <c r="Q668" s="1714"/>
      <c r="R668" s="1714"/>
      <c r="S668" s="1436"/>
      <c r="T668" s="1635"/>
      <c r="U668" s="1634"/>
      <c r="V668" s="1635"/>
      <c r="W668" s="1857"/>
      <c r="X668" s="1857"/>
      <c r="Y668" s="1635"/>
      <c r="Z668" s="1714"/>
      <c r="AA668" s="1436"/>
      <c r="AB668" s="1436"/>
      <c r="AC668" s="1436"/>
      <c r="AD668" s="1344"/>
    </row>
    <row r="669" customFormat="false" ht="15.75" hidden="true" customHeight="true" outlineLevel="1" collapsed="false">
      <c r="A669" s="1180" t="s">
        <v>3438</v>
      </c>
      <c r="B669" s="1683" t="s">
        <v>15</v>
      </c>
      <c r="C669" s="1692" t="n">
        <f aca="false">$C$143</f>
        <v>0.145</v>
      </c>
      <c r="D669" s="1436" t="n">
        <f aca="false">$J$620</f>
        <v>0.045</v>
      </c>
      <c r="E669" s="1436" t="n">
        <f aca="false">IF(E668=0,0,IF('Ввод данных'!$A$17=связи1!$A$95,IF(дома!E668+дома!$C$630&lt;дома!$E$627+0.3,дома!E668+дома!$C$630,0),0))+IF(E668=0,0,IF('Ввод данных'!$A$17=связи1!$A$96,IF(дома!E668+0.05+дома!$C$630&gt;дома!$E$627+0.4,0,дома!E668+дома!$C$630),0))+IF(E668=0,0,IF('Ввод данных'!$A$17=связи1!$A$98,IF(дома!E668+0.05+дома!$C$630&gt;дома!$E$627+0.4,0,дома!E668+дома!$C$630),0))</f>
        <v>0</v>
      </c>
      <c r="F669" s="1186" t="n">
        <f aca="false">IF(E669&lt;($E$627+0.5),1,0)*$D$635*IF('Ввод данных'!$A$101=связи1!$A$128,2,2)*IF(связи1!$H$91=связи1!$A$2,1,0)</f>
        <v>2</v>
      </c>
      <c r="G669" s="1436" t="n">
        <f aca="false">C669*D669*E669*F669</f>
        <v>0</v>
      </c>
      <c r="H669" s="1436"/>
      <c r="I669" s="1436"/>
      <c r="J669" s="1436"/>
      <c r="K669" s="1436"/>
      <c r="L669" s="1436"/>
      <c r="M669" s="1436"/>
      <c r="N669" s="1436"/>
      <c r="O669" s="1635"/>
      <c r="P669" s="1714"/>
      <c r="Q669" s="1714"/>
      <c r="R669" s="1714"/>
      <c r="S669" s="1436"/>
      <c r="T669" s="1635"/>
      <c r="U669" s="1634"/>
      <c r="V669" s="1635"/>
      <c r="W669" s="1857"/>
      <c r="X669" s="1857"/>
      <c r="Y669" s="1635"/>
      <c r="Z669" s="1714"/>
      <c r="AA669" s="1436"/>
      <c r="AB669" s="1436"/>
      <c r="AC669" s="1436"/>
      <c r="AD669" s="1344"/>
    </row>
    <row r="670" customFormat="false" ht="15.75" hidden="true" customHeight="true" outlineLevel="1" collapsed="false">
      <c r="A670" s="1180" t="s">
        <v>3439</v>
      </c>
      <c r="B670" s="1683" t="s">
        <v>15</v>
      </c>
      <c r="C670" s="1692" t="n">
        <f aca="false">$C$143</f>
        <v>0.145</v>
      </c>
      <c r="D670" s="1436" t="n">
        <f aca="false">$J$620</f>
        <v>0.045</v>
      </c>
      <c r="E670" s="1436" t="n">
        <f aca="false">IF(E669=0,0,IF('Ввод данных'!$A$17=связи1!$A$95,IF(дома!E669+дома!$C$630&lt;дома!$E$627+0.3,дома!E669+дома!$C$630,0),0))+IF(E669=0,0,IF('Ввод данных'!$A$17=связи1!$A$96,IF(дома!E669+0.05+дома!$C$630&gt;дома!$E$627+0.4,0,дома!E669+дома!$C$630),0))+IF(E669=0,0,IF('Ввод данных'!$A$17=связи1!$A$98,IF(дома!E669+0.05+дома!$C$630&gt;дома!$E$627+0.4,0,дома!E669+дома!$C$630),0))</f>
        <v>0</v>
      </c>
      <c r="F670" s="1186" t="n">
        <f aca="false">IF(E670&lt;($E$627+0.5),1,0)*$D$635*IF('Ввод данных'!$A$101=связи1!$A$128,2,2)*IF(связи1!$H$91=связи1!$A$2,1,0)</f>
        <v>2</v>
      </c>
      <c r="G670" s="1436" t="n">
        <f aca="false">C670*D670*E670*F670</f>
        <v>0</v>
      </c>
      <c r="H670" s="1436"/>
      <c r="I670" s="1436"/>
      <c r="J670" s="1436"/>
      <c r="K670" s="1436"/>
      <c r="L670" s="1436"/>
      <c r="M670" s="1436"/>
      <c r="N670" s="1436"/>
      <c r="O670" s="1635"/>
      <c r="P670" s="1714"/>
      <c r="Q670" s="1714"/>
      <c r="R670" s="1714"/>
      <c r="S670" s="1436"/>
      <c r="T670" s="1635"/>
      <c r="U670" s="1634"/>
      <c r="V670" s="1635"/>
      <c r="W670" s="1857"/>
      <c r="X670" s="1857"/>
      <c r="Y670" s="1635"/>
      <c r="Z670" s="1714"/>
      <c r="AA670" s="1436"/>
      <c r="AB670" s="1436"/>
      <c r="AC670" s="1436"/>
      <c r="AD670" s="1344"/>
    </row>
    <row r="671" customFormat="false" ht="15.75" hidden="true" customHeight="true" outlineLevel="1" collapsed="false">
      <c r="A671" s="1180" t="s">
        <v>3440</v>
      </c>
      <c r="B671" s="1683" t="s">
        <v>15</v>
      </c>
      <c r="C671" s="1692" t="n">
        <f aca="false">$C$143</f>
        <v>0.145</v>
      </c>
      <c r="D671" s="1436" t="n">
        <f aca="false">$J$620</f>
        <v>0.045</v>
      </c>
      <c r="E671" s="1436" t="n">
        <f aca="false">IF(E670=0,0,IF('Ввод данных'!$A$17=связи1!$A$95,IF(дома!E670+дома!$C$630&lt;дома!$E$627+0.3,дома!E670+дома!$C$630,0),0))+IF(E670=0,0,IF('Ввод данных'!$A$17=связи1!$A$96,IF(дома!E670+0.05+дома!$C$630&gt;дома!$E$627+0.4,0,дома!E670+дома!$C$630),0))+IF(E670=0,0,IF('Ввод данных'!$A$17=связи1!$A$98,IF(дома!E670+0.05+дома!$C$630&gt;дома!$E$627+0.4,0,дома!E670+дома!$C$630),0))</f>
        <v>0</v>
      </c>
      <c r="F671" s="1186" t="n">
        <f aca="false">IF(E671&lt;($E$627+0.5),1,0)*$D$635*IF('Ввод данных'!$A$101=связи1!$A$128,2,2)*IF(связи1!$H$91=связи1!$A$2,1,0)</f>
        <v>2</v>
      </c>
      <c r="G671" s="1436" t="n">
        <f aca="false">C671*D671*E671*F671</f>
        <v>0</v>
      </c>
      <c r="H671" s="1436"/>
      <c r="I671" s="1436"/>
      <c r="J671" s="1436"/>
      <c r="K671" s="1436"/>
      <c r="L671" s="1436"/>
      <c r="M671" s="1436"/>
      <c r="N671" s="1436"/>
      <c r="O671" s="1635"/>
      <c r="P671" s="1714"/>
      <c r="Q671" s="1714"/>
      <c r="R671" s="1714"/>
      <c r="S671" s="1436"/>
      <c r="T671" s="1635"/>
      <c r="U671" s="1634"/>
      <c r="V671" s="1635"/>
      <c r="W671" s="1857"/>
      <c r="X671" s="1857"/>
      <c r="Y671" s="1635"/>
      <c r="Z671" s="1714"/>
      <c r="AA671" s="1436"/>
      <c r="AB671" s="1436"/>
      <c r="AC671" s="1436"/>
      <c r="AD671" s="1344"/>
    </row>
    <row r="672" customFormat="false" ht="15.75" hidden="true" customHeight="true" outlineLevel="1" collapsed="false">
      <c r="A672" s="1180" t="s">
        <v>3441</v>
      </c>
      <c r="B672" s="1683" t="s">
        <v>15</v>
      </c>
      <c r="C672" s="1692" t="n">
        <f aca="false">$C$143</f>
        <v>0.145</v>
      </c>
      <c r="D672" s="1436" t="n">
        <f aca="false">$J$620</f>
        <v>0.045</v>
      </c>
      <c r="E672" s="1436" t="n">
        <f aca="false">IF(E671=0,0,IF('Ввод данных'!$A$17=связи1!$A$95,IF(дома!E671+дома!$C$630&lt;дома!$E$627+0.3,дома!E671+дома!$C$630,0),0))+IF(E671=0,0,IF('Ввод данных'!$A$17=связи1!$A$96,IF(дома!E671+0.05+дома!$C$630&gt;дома!$E$627+0.4,0,дома!E671+дома!$C$630),0))+IF(E671=0,0,IF('Ввод данных'!$A$17=связи1!$A$98,IF(дома!E671+0.05+дома!$C$630&gt;дома!$E$627+0.4,0,дома!E671+дома!$C$630),0))</f>
        <v>0</v>
      </c>
      <c r="F672" s="1186" t="n">
        <f aca="false">IF(E672&lt;($E$627+0.5),1,0)*$D$635*IF('Ввод данных'!$A$101=связи1!$A$128,2,2)*IF(связи1!$H$91=связи1!$A$2,1,0)</f>
        <v>2</v>
      </c>
      <c r="G672" s="1436" t="n">
        <f aca="false">C672*D672*E672*F672</f>
        <v>0</v>
      </c>
      <c r="H672" s="1436"/>
      <c r="I672" s="1436"/>
      <c r="J672" s="1436"/>
      <c r="K672" s="1436"/>
      <c r="L672" s="1436"/>
      <c r="M672" s="1436"/>
      <c r="N672" s="1436"/>
      <c r="O672" s="1635"/>
      <c r="P672" s="1714"/>
      <c r="Q672" s="1714"/>
      <c r="R672" s="1714"/>
      <c r="S672" s="1436"/>
      <c r="T672" s="1635"/>
      <c r="U672" s="1634"/>
      <c r="V672" s="1635"/>
      <c r="W672" s="1857"/>
      <c r="X672" s="1857"/>
      <c r="Y672" s="1635"/>
      <c r="Z672" s="1714"/>
      <c r="AA672" s="1436"/>
      <c r="AB672" s="1436"/>
      <c r="AC672" s="1436"/>
      <c r="AD672" s="1344"/>
    </row>
    <row r="673" customFormat="false" ht="15.75" hidden="true" customHeight="true" outlineLevel="1" collapsed="false">
      <c r="A673" s="1180" t="s">
        <v>3442</v>
      </c>
      <c r="B673" s="1683" t="s">
        <v>15</v>
      </c>
      <c r="C673" s="1692" t="n">
        <f aca="false">$C$143</f>
        <v>0.145</v>
      </c>
      <c r="D673" s="1436" t="n">
        <f aca="false">$J$620</f>
        <v>0.045</v>
      </c>
      <c r="E673" s="1436" t="n">
        <f aca="false">IF(E672=0,0,IF('Ввод данных'!$A$17=связи1!$A$95,IF(дома!E672+дома!$C$630&lt;дома!$E$627+0.3,дома!E672+дома!$C$630,0),0))+IF(E672=0,0,IF('Ввод данных'!$A$17=связи1!$A$96,IF(дома!E672+0.05+дома!$C$630&gt;дома!$E$627+0.4,0,дома!E672+дома!$C$630),0))+IF(E672=0,0,IF('Ввод данных'!$A$17=связи1!$A$98,IF(дома!E672+0.05+дома!$C$630&gt;дома!$E$627+0.4,0,дома!E672+дома!$C$630),0))</f>
        <v>0</v>
      </c>
      <c r="F673" s="1186" t="n">
        <f aca="false">IF(E673&lt;($E$627+0.5),1,0)*$D$635*IF('Ввод данных'!$A$101=связи1!$A$128,2,2)*IF(связи1!$H$91=связи1!$A$2,1,0)</f>
        <v>2</v>
      </c>
      <c r="G673" s="1436" t="n">
        <f aca="false">C673*D673*E673*F673</f>
        <v>0</v>
      </c>
      <c r="H673" s="1436"/>
      <c r="I673" s="1436"/>
      <c r="J673" s="1436"/>
      <c r="K673" s="1436"/>
      <c r="L673" s="1436"/>
      <c r="M673" s="1436"/>
      <c r="N673" s="1436"/>
      <c r="O673" s="1635"/>
      <c r="P673" s="1714"/>
      <c r="Q673" s="1714"/>
      <c r="R673" s="1714"/>
      <c r="S673" s="1436"/>
      <c r="T673" s="1635"/>
      <c r="U673" s="1634"/>
      <c r="V673" s="1635"/>
      <c r="W673" s="1857"/>
      <c r="X673" s="1857"/>
      <c r="Y673" s="1635"/>
      <c r="Z673" s="1714"/>
      <c r="AA673" s="1436"/>
      <c r="AB673" s="1436"/>
      <c r="AC673" s="1436"/>
      <c r="AD673" s="1344"/>
    </row>
    <row r="674" customFormat="false" ht="15.75" hidden="true" customHeight="true" outlineLevel="1" collapsed="false">
      <c r="A674" s="1180" t="s">
        <v>3443</v>
      </c>
      <c r="B674" s="1683" t="s">
        <v>15</v>
      </c>
      <c r="C674" s="1692" t="n">
        <f aca="false">$C$143</f>
        <v>0.145</v>
      </c>
      <c r="D674" s="1436" t="n">
        <f aca="false">$J$620</f>
        <v>0.045</v>
      </c>
      <c r="E674" s="1436" t="n">
        <f aca="false">IF(E673=0,0,IF('Ввод данных'!$A$17=связи1!$A$95,IF(дома!E673+дома!$C$630&lt;дома!$E$627+0.3,дома!E673+дома!$C$630,0),0))+IF(E673=0,0,IF('Ввод данных'!$A$17=связи1!$A$96,IF(дома!E673+0.05+дома!$C$630&gt;дома!$E$627+0.4,0,дома!E673+дома!$C$630),0))+IF(E673=0,0,IF('Ввод данных'!$A$17=связи1!$A$98,IF(дома!E673+0.05+дома!$C$630&gt;дома!$E$627+0.4,0,дома!E673+дома!$C$630),0))</f>
        <v>0</v>
      </c>
      <c r="F674" s="1186" t="n">
        <f aca="false">IF(E674&lt;($E$627+0.5),1,0)*$D$635*IF('Ввод данных'!$A$101=связи1!$A$128,2,2)*IF(связи1!$H$91=связи1!$A$2,1,0)</f>
        <v>2</v>
      </c>
      <c r="G674" s="1436" t="n">
        <f aca="false">C674*D674*E674*F674</f>
        <v>0</v>
      </c>
      <c r="H674" s="1436"/>
      <c r="I674" s="1436"/>
      <c r="J674" s="1436"/>
      <c r="K674" s="1436"/>
      <c r="L674" s="1436"/>
      <c r="M674" s="1436"/>
      <c r="N674" s="1436"/>
      <c r="O674" s="1635"/>
      <c r="P674" s="1714"/>
      <c r="Q674" s="1714"/>
      <c r="R674" s="1714"/>
      <c r="S674" s="1436"/>
      <c r="T674" s="1635"/>
      <c r="U674" s="1634"/>
      <c r="V674" s="1635"/>
      <c r="W674" s="1857"/>
      <c r="X674" s="1857"/>
      <c r="Y674" s="1635"/>
      <c r="Z674" s="1714"/>
      <c r="AA674" s="1436"/>
      <c r="AB674" s="1436"/>
      <c r="AC674" s="1436"/>
      <c r="AD674" s="1344"/>
    </row>
    <row r="675" customFormat="false" ht="15.75" hidden="true" customHeight="true" outlineLevel="1" collapsed="false">
      <c r="A675" s="1180" t="s">
        <v>3444</v>
      </c>
      <c r="B675" s="1683" t="s">
        <v>15</v>
      </c>
      <c r="C675" s="1692" t="n">
        <f aca="false">$C$143</f>
        <v>0.145</v>
      </c>
      <c r="D675" s="1436" t="n">
        <f aca="false">$J$620</f>
        <v>0.045</v>
      </c>
      <c r="E675" s="1436" t="n">
        <f aca="false">IF(E674=0,0,IF('Ввод данных'!$A$17=связи1!$A$95,IF(дома!E674+дома!$C$630&lt;дома!$E$627+0.3,дома!E674+дома!$C$630,0),0))+IF(E674=0,0,IF('Ввод данных'!$A$17=связи1!$A$96,IF(дома!E674+0.05+дома!$C$630&gt;дома!$E$627+0.4,0,дома!E674+дома!$C$630),0))+IF(E674=0,0,IF('Ввод данных'!$A$17=связи1!$A$98,IF(дома!E674+0.05+дома!$C$630&gt;дома!$E$627+0.4,0,дома!E674+дома!$C$630),0))</f>
        <v>0</v>
      </c>
      <c r="F675" s="1186" t="n">
        <f aca="false">IF(E675&lt;($E$627+0.5),1,0)*$D$635*IF('Ввод данных'!$A$101=связи1!$A$128,2,2)*IF(связи1!$H$91=связи1!$A$2,1,0)</f>
        <v>2</v>
      </c>
      <c r="G675" s="1436" t="n">
        <f aca="false">C675*D675*E675*F675</f>
        <v>0</v>
      </c>
      <c r="H675" s="1436"/>
      <c r="I675" s="1436"/>
      <c r="J675" s="1436"/>
      <c r="K675" s="1436"/>
      <c r="L675" s="1436"/>
      <c r="M675" s="1436"/>
      <c r="N675" s="1436"/>
      <c r="O675" s="1635"/>
      <c r="P675" s="1714"/>
      <c r="Q675" s="1714"/>
      <c r="R675" s="1714"/>
      <c r="S675" s="1436"/>
      <c r="T675" s="1635"/>
      <c r="U675" s="1634"/>
      <c r="V675" s="1635"/>
      <c r="W675" s="1857"/>
      <c r="X675" s="1857"/>
      <c r="Y675" s="1635"/>
      <c r="Z675" s="1714"/>
      <c r="AA675" s="1436"/>
      <c r="AB675" s="1436"/>
      <c r="AC675" s="1436"/>
      <c r="AD675" s="1344"/>
    </row>
    <row r="676" customFormat="false" ht="15.75" hidden="true" customHeight="true" outlineLevel="1" collapsed="false">
      <c r="A676" s="1180" t="s">
        <v>3445</v>
      </c>
      <c r="B676" s="1683" t="s">
        <v>15</v>
      </c>
      <c r="C676" s="1692" t="n">
        <f aca="false">$C$143</f>
        <v>0.145</v>
      </c>
      <c r="D676" s="1436" t="n">
        <f aca="false">$J$620</f>
        <v>0.045</v>
      </c>
      <c r="E676" s="1436" t="n">
        <f aca="false">IF(E675=0,0,IF('Ввод данных'!$A$17=связи1!$A$95,IF(дома!E675+дома!$C$630&lt;дома!$E$627+0.3,дома!E675+дома!$C$630,0),0))+IF(E675=0,0,IF('Ввод данных'!$A$17=связи1!$A$96,IF(дома!E675+0.05+дома!$C$630&gt;дома!$E$627+0.4,0,дома!E675+дома!$C$630),0))+IF(E675=0,0,IF('Ввод данных'!$A$17=связи1!$A$98,IF(дома!E675+0.05+дома!$C$630&gt;дома!$E$627+0.4,0,дома!E675+дома!$C$630),0))</f>
        <v>0</v>
      </c>
      <c r="F676" s="1186" t="n">
        <f aca="false">IF(E676&lt;($E$627+0.5),1,0)*$D$635*IF('Ввод данных'!$A$101=связи1!$A$128,2,2)*IF(связи1!$H$91=связи1!$A$2,1,0)</f>
        <v>2</v>
      </c>
      <c r="G676" s="1436" t="n">
        <f aca="false">C676*D676*E676*F676</f>
        <v>0</v>
      </c>
      <c r="H676" s="1436"/>
      <c r="I676" s="1436"/>
      <c r="J676" s="1436"/>
      <c r="K676" s="1436"/>
      <c r="L676" s="1436"/>
      <c r="M676" s="1436"/>
      <c r="N676" s="1436"/>
      <c r="O676" s="1635"/>
      <c r="P676" s="1714"/>
      <c r="Q676" s="1714"/>
      <c r="R676" s="1714"/>
      <c r="S676" s="1436"/>
      <c r="T676" s="1635"/>
      <c r="U676" s="1634"/>
      <c r="V676" s="1635"/>
      <c r="W676" s="1857"/>
      <c r="X676" s="1857"/>
      <c r="Y676" s="1635"/>
      <c r="Z676" s="1714"/>
      <c r="AA676" s="1436"/>
      <c r="AB676" s="1436"/>
      <c r="AC676" s="1436"/>
      <c r="AD676" s="1344"/>
    </row>
    <row r="677" customFormat="false" ht="15.75" hidden="true" customHeight="true" outlineLevel="1" collapsed="false">
      <c r="A677" s="1180" t="s">
        <v>3446</v>
      </c>
      <c r="B677" s="1683" t="s">
        <v>15</v>
      </c>
      <c r="C677" s="1692" t="n">
        <f aca="false">$C$143</f>
        <v>0.145</v>
      </c>
      <c r="D677" s="1436" t="n">
        <f aca="false">$J$620</f>
        <v>0.045</v>
      </c>
      <c r="E677" s="1436" t="n">
        <f aca="false">IF(E676=0,0,IF('Ввод данных'!$A$17=связи1!$A$95,IF(дома!E676+дома!$C$630&lt;дома!$E$627+0.3,дома!E676+дома!$C$630,0),0))+IF(E676=0,0,IF('Ввод данных'!$A$17=связи1!$A$96,IF(дома!E676+0.05+дома!$C$630&gt;дома!$E$627+0.4,0,дома!E676+дома!$C$630),0))+IF(E676=0,0,IF('Ввод данных'!$A$17=связи1!$A$98,IF(дома!E676+0.05+дома!$C$630&gt;дома!$E$627+0.4,0,дома!E676+дома!$C$630),0))</f>
        <v>0</v>
      </c>
      <c r="F677" s="1186" t="n">
        <f aca="false">IF(E677&lt;($E$627+0.5),1,0)*$D$635*IF('Ввод данных'!$A$101=связи1!$A$128,2,2)*IF(связи1!$H$91=связи1!$A$2,1,0)</f>
        <v>2</v>
      </c>
      <c r="G677" s="1436" t="n">
        <f aca="false">C677*D677*E677*F677</f>
        <v>0</v>
      </c>
      <c r="H677" s="1436"/>
      <c r="I677" s="1436"/>
      <c r="J677" s="1436"/>
      <c r="K677" s="1436"/>
      <c r="L677" s="1436"/>
      <c r="M677" s="1436"/>
      <c r="N677" s="1436"/>
      <c r="O677" s="1635"/>
      <c r="P677" s="1714"/>
      <c r="Q677" s="1714"/>
      <c r="R677" s="1714"/>
      <c r="S677" s="1436"/>
      <c r="T677" s="1635"/>
      <c r="U677" s="1634"/>
      <c r="V677" s="1635"/>
      <c r="W677" s="1857"/>
      <c r="X677" s="1857"/>
      <c r="Y677" s="1635"/>
      <c r="Z677" s="1714"/>
      <c r="AA677" s="1436"/>
      <c r="AB677" s="1436"/>
      <c r="AC677" s="1436"/>
      <c r="AD677" s="1344"/>
    </row>
    <row r="678" customFormat="false" ht="15.75" hidden="true" customHeight="true" outlineLevel="1" collapsed="false">
      <c r="A678" s="1180" t="s">
        <v>3447</v>
      </c>
      <c r="B678" s="1683" t="s">
        <v>15</v>
      </c>
      <c r="C678" s="1692" t="n">
        <f aca="false">$C$143</f>
        <v>0.145</v>
      </c>
      <c r="D678" s="1436" t="n">
        <f aca="false">$J$620</f>
        <v>0.045</v>
      </c>
      <c r="E678" s="1436" t="n">
        <f aca="false">IF(E677=0,0,IF('Ввод данных'!$A$17=связи1!$A$95,IF(дома!E677+дома!$C$630&lt;дома!$E$627+0.3,дома!E677+дома!$C$630,0),0))+IF(E677=0,0,IF('Ввод данных'!$A$17=связи1!$A$96,IF(дома!E677+0.05+дома!$C$630&gt;дома!$E$627+0.4,0,дома!E677+дома!$C$630),0))+IF(E677=0,0,IF('Ввод данных'!$A$17=связи1!$A$98,IF(дома!E677+0.05+дома!$C$630&gt;дома!$E$627+0.4,0,дома!E677+дома!$C$630),0))</f>
        <v>0</v>
      </c>
      <c r="F678" s="1186" t="n">
        <f aca="false">IF(E678&lt;($E$627+0.5),1,0)*$D$635*IF('Ввод данных'!$A$101=связи1!$A$128,2,2)*IF(связи1!$H$91=связи1!$A$2,1,0)</f>
        <v>2</v>
      </c>
      <c r="G678" s="1436" t="n">
        <f aca="false">C678*D678*E678*F678</f>
        <v>0</v>
      </c>
      <c r="H678" s="1436"/>
      <c r="I678" s="1436"/>
      <c r="J678" s="1436"/>
      <c r="K678" s="1436"/>
      <c r="L678" s="1436"/>
      <c r="M678" s="1436"/>
      <c r="N678" s="1436"/>
      <c r="O678" s="1635"/>
      <c r="P678" s="1714"/>
      <c r="Q678" s="1714"/>
      <c r="R678" s="1714"/>
      <c r="S678" s="1436"/>
      <c r="T678" s="1635"/>
      <c r="U678" s="1634"/>
      <c r="V678" s="1635"/>
      <c r="W678" s="1857"/>
      <c r="X678" s="1857"/>
      <c r="Y678" s="1635"/>
      <c r="Z678" s="1714"/>
      <c r="AA678" s="1436"/>
      <c r="AB678" s="1436"/>
      <c r="AC678" s="1436"/>
      <c r="AD678" s="1344"/>
    </row>
    <row r="679" customFormat="false" ht="15.75" hidden="true" customHeight="true" outlineLevel="1" collapsed="false">
      <c r="A679" s="1180" t="s">
        <v>3448</v>
      </c>
      <c r="B679" s="1683" t="s">
        <v>15</v>
      </c>
      <c r="C679" s="1692" t="n">
        <f aca="false">$C$143</f>
        <v>0.145</v>
      </c>
      <c r="D679" s="1436" t="n">
        <f aca="false">$J$620</f>
        <v>0.045</v>
      </c>
      <c r="E679" s="1436" t="n">
        <f aca="false">IF(E678=0,0,IF('Ввод данных'!$A$17=связи1!$A$95,IF(дома!E678+дома!$C$630&lt;дома!$E$627+0.3,дома!E678+дома!$C$630,0),0))+IF(E678=0,0,IF('Ввод данных'!$A$17=связи1!$A$96,IF(дома!E678+0.05+дома!$C$630&gt;дома!$E$627+0.4,0,дома!E678+дома!$C$630),0))+IF(E678=0,0,IF('Ввод данных'!$A$17=связи1!$A$98,IF(дома!E678+0.05+дома!$C$630&gt;дома!$E$627+0.4,0,дома!E678+дома!$C$630),0))</f>
        <v>0</v>
      </c>
      <c r="F679" s="1186" t="n">
        <f aca="false">IF(E679&lt;($E$627+0.5),1,0)*$D$635*IF('Ввод данных'!$A$101=связи1!$A$128,2,2)*IF(связи1!$H$91=связи1!$A$2,1,0)</f>
        <v>2</v>
      </c>
      <c r="G679" s="1436" t="n">
        <f aca="false">C679*D679*E679*F679</f>
        <v>0</v>
      </c>
      <c r="H679" s="1436"/>
      <c r="I679" s="1436"/>
      <c r="J679" s="1436"/>
      <c r="K679" s="1436"/>
      <c r="L679" s="1436"/>
      <c r="M679" s="1436"/>
      <c r="N679" s="1436"/>
      <c r="O679" s="1635"/>
      <c r="P679" s="1714"/>
      <c r="Q679" s="1714"/>
      <c r="R679" s="1714"/>
      <c r="S679" s="1436"/>
      <c r="T679" s="1635"/>
      <c r="U679" s="1634"/>
      <c r="V679" s="1635"/>
      <c r="W679" s="1857"/>
      <c r="X679" s="1857"/>
      <c r="Y679" s="1635"/>
      <c r="Z679" s="1714"/>
      <c r="AA679" s="1436"/>
      <c r="AB679" s="1436"/>
      <c r="AC679" s="1436"/>
      <c r="AD679" s="1344"/>
    </row>
    <row r="680" customFormat="false" ht="15.75" hidden="true" customHeight="true" outlineLevel="1" collapsed="false">
      <c r="A680" s="1180" t="s">
        <v>3449</v>
      </c>
      <c r="B680" s="1683" t="s">
        <v>15</v>
      </c>
      <c r="C680" s="1692" t="n">
        <f aca="false">$C$143</f>
        <v>0.145</v>
      </c>
      <c r="D680" s="1436" t="n">
        <f aca="false">$J$620</f>
        <v>0.045</v>
      </c>
      <c r="E680" s="1436" t="n">
        <f aca="false">IF(E679=0,0,IF('Ввод данных'!$A$17=связи1!$A$95,IF(дома!E679+дома!$C$630&lt;дома!$E$627+0.3,дома!E679+дома!$C$630,0),0))+IF(E679=0,0,IF('Ввод данных'!$A$17=связи1!$A$96,IF(дома!E679+0.05+дома!$C$630&gt;дома!$E$627+0.4,0,дома!E679+дома!$C$630),0))+IF(E679=0,0,IF('Ввод данных'!$A$17=связи1!$A$98,IF(дома!E679+0.05+дома!$C$630&gt;дома!$E$627+0.4,0,дома!E679+дома!$C$630),0))</f>
        <v>0</v>
      </c>
      <c r="F680" s="1186" t="n">
        <f aca="false">IF(E680&lt;($E$627+0.5),1,0)*$D$635*IF('Ввод данных'!$A$101=связи1!$A$128,2,2)*IF(связи1!$H$91=связи1!$A$2,1,0)</f>
        <v>2</v>
      </c>
      <c r="G680" s="1436" t="n">
        <f aca="false">C680*D680*E680*F680</f>
        <v>0</v>
      </c>
      <c r="H680" s="1436"/>
      <c r="I680" s="1436"/>
      <c r="J680" s="1436"/>
      <c r="K680" s="1436"/>
      <c r="L680" s="1436"/>
      <c r="M680" s="1436"/>
      <c r="N680" s="1436"/>
      <c r="O680" s="1635"/>
      <c r="P680" s="1714"/>
      <c r="Q680" s="1714"/>
      <c r="R680" s="1714"/>
      <c r="S680" s="1436"/>
      <c r="T680" s="1635"/>
      <c r="U680" s="1634"/>
      <c r="V680" s="1635"/>
      <c r="W680" s="1857"/>
      <c r="X680" s="1857"/>
      <c r="Y680" s="1635"/>
      <c r="Z680" s="1714"/>
      <c r="AA680" s="1436"/>
      <c r="AB680" s="1436"/>
      <c r="AC680" s="1436"/>
      <c r="AD680" s="1344"/>
    </row>
    <row r="681" customFormat="false" ht="15.75" hidden="true" customHeight="true" outlineLevel="1" collapsed="false">
      <c r="A681" s="1180" t="s">
        <v>3450</v>
      </c>
      <c r="B681" s="1683" t="s">
        <v>15</v>
      </c>
      <c r="C681" s="1692" t="n">
        <f aca="false">$C$143</f>
        <v>0.145</v>
      </c>
      <c r="D681" s="1436" t="n">
        <f aca="false">$J$620</f>
        <v>0.045</v>
      </c>
      <c r="E681" s="1436" t="n">
        <f aca="false">IF(E680=0,0,IF('Ввод данных'!$A$17=связи1!$A$95,IF(дома!E680+дома!$C$630&lt;дома!$E$627+0.3,дома!E680+дома!$C$630,0),0))+IF(E680=0,0,IF('Ввод данных'!$A$17=связи1!$A$96,IF(дома!E680+0.05+дома!$C$630&gt;дома!$E$627+0.4,0,дома!E680+дома!$C$630),0))+IF(E680=0,0,IF('Ввод данных'!$A$17=связи1!$A$98,IF(дома!E680+0.05+дома!$C$630&gt;дома!$E$627+0.4,0,дома!E680+дома!$C$630),0))</f>
        <v>0</v>
      </c>
      <c r="F681" s="1186" t="n">
        <f aca="false">IF(E681&lt;($E$627+0.5),1,0)*$D$635*IF('Ввод данных'!$A$101=связи1!$A$128,2,2)*IF(связи1!$H$91=связи1!$A$2,1,0)</f>
        <v>2</v>
      </c>
      <c r="G681" s="1436" t="n">
        <f aca="false">C681*D681*E681*F681</f>
        <v>0</v>
      </c>
      <c r="H681" s="1436"/>
      <c r="I681" s="1436"/>
      <c r="J681" s="1436"/>
      <c r="K681" s="1436"/>
      <c r="L681" s="1436"/>
      <c r="M681" s="1436"/>
      <c r="N681" s="1436"/>
      <c r="O681" s="1635"/>
      <c r="P681" s="1714"/>
      <c r="Q681" s="1714"/>
      <c r="R681" s="1714"/>
      <c r="S681" s="1436"/>
      <c r="T681" s="1635"/>
      <c r="U681" s="1634"/>
      <c r="V681" s="1635"/>
      <c r="W681" s="1857"/>
      <c r="X681" s="1857"/>
      <c r="Y681" s="1635"/>
      <c r="Z681" s="1714"/>
      <c r="AA681" s="1436"/>
      <c r="AB681" s="1436"/>
      <c r="AC681" s="1436"/>
      <c r="AD681" s="1344"/>
    </row>
    <row r="682" customFormat="false" ht="15.75" hidden="true" customHeight="true" outlineLevel="1" collapsed="false">
      <c r="A682" s="1180" t="s">
        <v>3451</v>
      </c>
      <c r="B682" s="1683" t="s">
        <v>15</v>
      </c>
      <c r="C682" s="1692" t="n">
        <f aca="false">$C$143</f>
        <v>0.145</v>
      </c>
      <c r="D682" s="1436" t="n">
        <f aca="false">$J$620</f>
        <v>0.045</v>
      </c>
      <c r="E682" s="1436" t="n">
        <f aca="false">IF(E681=0,0,IF('Ввод данных'!$A$17=связи1!$A$95,IF(дома!E681+дома!$C$630&lt;дома!$E$627+0.3,дома!E681+дома!$C$630,0),0))+IF(E681=0,0,IF('Ввод данных'!$A$17=связи1!$A$96,IF(дома!E681+0.05+дома!$C$630&gt;дома!$E$627+0.4,0,дома!E681+дома!$C$630),0))+IF(E681=0,0,IF('Ввод данных'!$A$17=связи1!$A$98,IF(дома!E681+0.05+дома!$C$630&gt;дома!$E$627+0.4,0,дома!E681+дома!$C$630),0))</f>
        <v>0</v>
      </c>
      <c r="F682" s="1186" t="n">
        <f aca="false">IF(E682&lt;($E$627+0.5),1,0)*$D$635*IF('Ввод данных'!$A$101=связи1!$A$128,2,2)*IF(связи1!$H$91=связи1!$A$2,1,0)</f>
        <v>2</v>
      </c>
      <c r="G682" s="1436" t="n">
        <f aca="false">C682*D682*E682*F682</f>
        <v>0</v>
      </c>
      <c r="H682" s="1436"/>
      <c r="I682" s="1436"/>
      <c r="J682" s="1436"/>
      <c r="K682" s="1436"/>
      <c r="L682" s="1436"/>
      <c r="M682" s="1436"/>
      <c r="N682" s="1436"/>
      <c r="O682" s="1635"/>
      <c r="P682" s="1714"/>
      <c r="Q682" s="1714"/>
      <c r="R682" s="1714"/>
      <c r="S682" s="1436"/>
      <c r="T682" s="1635"/>
      <c r="U682" s="1634"/>
      <c r="V682" s="1635"/>
      <c r="W682" s="1857"/>
      <c r="X682" s="1857"/>
      <c r="Y682" s="1635"/>
      <c r="Z682" s="1714"/>
      <c r="AA682" s="1436"/>
      <c r="AB682" s="1436"/>
      <c r="AC682" s="1436"/>
      <c r="AD682" s="1344"/>
    </row>
    <row r="683" customFormat="false" ht="15.75" hidden="true" customHeight="true" outlineLevel="1" collapsed="false">
      <c r="A683" s="1180" t="s">
        <v>3411</v>
      </c>
      <c r="B683" s="1683" t="s">
        <v>15</v>
      </c>
      <c r="C683" s="1692" t="n">
        <f aca="false">$C$143</f>
        <v>0.145</v>
      </c>
      <c r="D683" s="1436" t="n">
        <f aca="false">$J$620</f>
        <v>0.045</v>
      </c>
      <c r="E683" s="1436" t="n">
        <f aca="false">C628*1.05</f>
        <v>5.51224999433081</v>
      </c>
      <c r="F683" s="1186" t="n">
        <f aca="false">$D$635*IF('Ввод данных'!$A$101=связи1!$A$128,2,2)*IF(связи1!$H$91=связи1!$A$2,1,0)</f>
        <v>2</v>
      </c>
      <c r="G683" s="1436" t="n">
        <f aca="false">C683*D683*E683*F683</f>
        <v>0.071934862426017</v>
      </c>
      <c r="H683" s="1436"/>
      <c r="I683" s="1436"/>
      <c r="J683" s="1436"/>
      <c r="K683" s="1436"/>
      <c r="L683" s="1436"/>
      <c r="M683" s="1436"/>
      <c r="N683" s="1436"/>
      <c r="O683" s="1635"/>
      <c r="P683" s="1714"/>
      <c r="Q683" s="1714"/>
      <c r="R683" s="1714"/>
      <c r="S683" s="1436"/>
      <c r="T683" s="1635"/>
      <c r="U683" s="1634"/>
      <c r="V683" s="1635"/>
      <c r="W683" s="1857"/>
      <c r="X683" s="1857"/>
      <c r="Y683" s="1635"/>
      <c r="Z683" s="1714"/>
      <c r="AA683" s="1436"/>
      <c r="AB683" s="1436"/>
      <c r="AC683" s="1436"/>
      <c r="AD683" s="1344"/>
    </row>
    <row r="684" customFormat="false" ht="15.75" hidden="true" customHeight="true" outlineLevel="1" collapsed="false">
      <c r="A684" s="1180" t="s">
        <v>3412</v>
      </c>
      <c r="B684" s="1683" t="s">
        <v>15</v>
      </c>
      <c r="C684" s="1692" t="n">
        <f aca="false">$C$143</f>
        <v>0.145</v>
      </c>
      <c r="D684" s="1436" t="n">
        <f aca="false">$J$620</f>
        <v>0.045</v>
      </c>
      <c r="E684" s="1436" t="n">
        <f aca="false">C627</f>
        <v>4</v>
      </c>
      <c r="F684" s="1186" t="n">
        <f aca="false">$D$635*IF('Ввод данных'!$A$101=связи1!$A$128,2,2)*IF(связи1!$H$91=связи1!$A$2,1,0)</f>
        <v>2</v>
      </c>
      <c r="G684" s="1436" t="n">
        <f aca="false">C684*D684*E684*F684</f>
        <v>0.0522</v>
      </c>
      <c r="H684" s="1436"/>
      <c r="I684" s="1436"/>
      <c r="J684" s="1436"/>
      <c r="K684" s="1436"/>
      <c r="L684" s="1436"/>
      <c r="M684" s="1436"/>
      <c r="N684" s="1436"/>
      <c r="O684" s="1635"/>
      <c r="P684" s="1714"/>
      <c r="Q684" s="1714"/>
      <c r="R684" s="1714"/>
      <c r="S684" s="1436"/>
      <c r="T684" s="1635"/>
      <c r="U684" s="1634"/>
      <c r="V684" s="1635"/>
      <c r="W684" s="1857"/>
      <c r="X684" s="1857"/>
      <c r="Y684" s="1635"/>
      <c r="Z684" s="1714"/>
      <c r="AA684" s="1436"/>
      <c r="AB684" s="1436"/>
      <c r="AC684" s="1436"/>
      <c r="AD684" s="1344"/>
    </row>
    <row r="685" customFormat="false" ht="15.75" hidden="true" customHeight="true" outlineLevel="1" collapsed="false">
      <c r="A685" s="1180" t="s">
        <v>3413</v>
      </c>
      <c r="B685" s="1683" t="s">
        <v>15</v>
      </c>
      <c r="C685" s="1692" t="n">
        <f aca="false">$C$143</f>
        <v>0.145</v>
      </c>
      <c r="D685" s="1436" t="n">
        <f aca="false">$J$620</f>
        <v>0.045</v>
      </c>
      <c r="E685" s="1436" t="n">
        <f aca="false">E683</f>
        <v>5.51224999433081</v>
      </c>
      <c r="F685" s="1186" t="n">
        <f aca="false">$D$635*IF('Ввод данных'!$A$101=связи1!$A$128,2,2)*IF(связи1!$H$91=связи1!$A$2,1,0)</f>
        <v>2</v>
      </c>
      <c r="G685" s="1436" t="n">
        <f aca="false">C685*D685*E685*F685</f>
        <v>0.071934862426017</v>
      </c>
      <c r="H685" s="1436"/>
      <c r="I685" s="1436"/>
      <c r="J685" s="1436"/>
      <c r="K685" s="1436"/>
      <c r="L685" s="1436"/>
      <c r="M685" s="1436"/>
      <c r="N685" s="1436"/>
      <c r="O685" s="1635"/>
      <c r="P685" s="1714"/>
      <c r="Q685" s="1714"/>
      <c r="R685" s="1714"/>
      <c r="S685" s="1436"/>
      <c r="T685" s="1635"/>
      <c r="U685" s="1634"/>
      <c r="V685" s="1635"/>
      <c r="W685" s="1857"/>
      <c r="X685" s="1857"/>
      <c r="Y685" s="1635"/>
      <c r="Z685" s="1714"/>
      <c r="AA685" s="1436"/>
      <c r="AB685" s="1436"/>
      <c r="AC685" s="1436"/>
      <c r="AD685" s="1344"/>
    </row>
    <row r="686" customFormat="false" ht="15.75" hidden="true" customHeight="true" outlineLevel="1" collapsed="false">
      <c r="A686" s="1180" t="s">
        <v>3452</v>
      </c>
      <c r="B686" s="1683" t="s">
        <v>15</v>
      </c>
      <c r="C686" s="1692" t="n">
        <f aca="false">$C$143</f>
        <v>0.145</v>
      </c>
      <c r="D686" s="1436" t="n">
        <f aca="false">$J$620</f>
        <v>0.045</v>
      </c>
      <c r="E686" s="1604" t="n">
        <f aca="false">IF('Ввод данных'!A17=связи1!A95,C621,0)+IF('Ввод данных'!A17=связи1!A96,дома!C621,0)+IF('Ввод данных'!A17=связи1!A98,дома!C621,0)</f>
        <v>1.6</v>
      </c>
      <c r="F686" s="1436" t="n">
        <f aca="false">IF(E686&lt;($E$631+0.5),1,0)*$D$635*IF('Ввод данных'!$A$101=связи1!$A$128,2,2)*IF(связи1!$H$91=связи1!$A$2,1,0)</f>
        <v>2</v>
      </c>
      <c r="G686" s="1436" t="n">
        <f aca="false">C686*D686*E686*F686</f>
        <v>0.02088</v>
      </c>
      <c r="H686" s="1436"/>
      <c r="I686" s="1436"/>
      <c r="J686" s="1436"/>
      <c r="K686" s="1436"/>
      <c r="L686" s="1436"/>
      <c r="M686" s="1436"/>
      <c r="N686" s="1436"/>
      <c r="O686" s="1635"/>
      <c r="P686" s="1714"/>
      <c r="Q686" s="1714"/>
      <c r="R686" s="1714"/>
      <c r="S686" s="1436"/>
      <c r="T686" s="1635"/>
      <c r="U686" s="1634"/>
      <c r="V686" s="1635"/>
      <c r="W686" s="1857"/>
      <c r="X686" s="1857"/>
      <c r="Y686" s="1635"/>
      <c r="Z686" s="1714"/>
      <c r="AA686" s="1436"/>
      <c r="AB686" s="1436"/>
      <c r="AC686" s="1436"/>
      <c r="AD686" s="1344"/>
    </row>
    <row r="687" customFormat="false" ht="15.75" hidden="true" customHeight="true" outlineLevel="1" collapsed="false">
      <c r="A687" s="1180" t="s">
        <v>3453</v>
      </c>
      <c r="B687" s="1683" t="s">
        <v>15</v>
      </c>
      <c r="C687" s="1692" t="n">
        <f aca="false">$C$143</f>
        <v>0.145</v>
      </c>
      <c r="D687" s="1436" t="n">
        <f aca="false">$J$620</f>
        <v>0.045</v>
      </c>
      <c r="E687" s="1604" t="n">
        <f aca="false">IF(E652=0,0,IF('Ввод данных'!$A$17=связи1!$A$95,IF(дома!E686+дома!$F$634&lt;дома!$E$627+0.3,дома!E686+дома!$F$634,0),0))+IF(дома!E686=0,0,IF('Ввод данных'!$A$17=связи1!$A$96,IF(дома!E686+0.05+дома!$F$634&gt;дома!$E$627+0.4,0,дома!E686+дома!$F$634),0))+IF(дома!E686=0,0,IF('Ввод данных'!$A$17=связи1!$A$98,IF(дома!E686+0.05+дома!$F$634&gt;дома!$E$627+0.4,0,дома!E686+дома!$F$634),0))</f>
        <v>2.08571428571429</v>
      </c>
      <c r="F687" s="1436" t="n">
        <f aca="false">IF(E687&lt;($E$631+0.5),1,0)*$D$635*IF('Ввод данных'!$A$101=связи1!$A$128,2,2)*IF(связи1!$H$91=связи1!$A$2,1,0)</f>
        <v>2</v>
      </c>
      <c r="G687" s="1436" t="n">
        <f aca="false">C687*D687*E687*F687</f>
        <v>0.0272185714285714</v>
      </c>
      <c r="H687" s="1436"/>
      <c r="I687" s="1436"/>
      <c r="J687" s="1436"/>
      <c r="K687" s="1436"/>
      <c r="L687" s="1436"/>
      <c r="M687" s="1436"/>
      <c r="N687" s="1436"/>
      <c r="O687" s="1635"/>
      <c r="P687" s="1714"/>
      <c r="Q687" s="1714"/>
      <c r="R687" s="1714"/>
      <c r="S687" s="1436"/>
      <c r="T687" s="1635"/>
      <c r="U687" s="1634"/>
      <c r="V687" s="1635"/>
      <c r="W687" s="1857"/>
      <c r="X687" s="1857"/>
      <c r="Y687" s="1635"/>
      <c r="Z687" s="1714"/>
      <c r="AA687" s="1436"/>
      <c r="AB687" s="1436"/>
      <c r="AC687" s="1436"/>
      <c r="AD687" s="1344"/>
    </row>
    <row r="688" customFormat="false" ht="15.75" hidden="true" customHeight="true" outlineLevel="1" collapsed="false">
      <c r="A688" s="1180" t="s">
        <v>3454</v>
      </c>
      <c r="B688" s="1683" t="s">
        <v>15</v>
      </c>
      <c r="C688" s="1692" t="n">
        <f aca="false">$C$143</f>
        <v>0.145</v>
      </c>
      <c r="D688" s="1436" t="n">
        <f aca="false">$J$620</f>
        <v>0.045</v>
      </c>
      <c r="E688" s="1604" t="n">
        <f aca="false">IF(E653=0,0,IF('Ввод данных'!$A$17=связи1!$A$95,IF(дома!E687+дома!$F$634&lt;дома!$E$627+0.3,дома!E687+дома!$F$634,0),0))+IF(дома!E687=0,0,IF('Ввод данных'!$A$17=связи1!$A$96,IF(дома!E687+0.05+дома!$F$634&gt;дома!$E$627+0.4,0,дома!E687+дома!$F$634),0))+IF(дома!E687=0,0,IF('Ввод данных'!$A$17=связи1!$A$98,IF(дома!E687+0.05+дома!$F$634&gt;дома!$E$627+0.4,0,дома!E687+дома!$F$634),0))</f>
        <v>2.57142857142857</v>
      </c>
      <c r="F688" s="1436" t="n">
        <f aca="false">IF(E688&lt;($E$631+0.5),1,0)*$D$635*IF('Ввод данных'!$A$101=связи1!$A$128,2,2)*IF(связи1!$H$91=связи1!$A$2,1,0)</f>
        <v>2</v>
      </c>
      <c r="G688" s="1436" t="n">
        <f aca="false">C688*D688*E688*F688</f>
        <v>0.0335571428571429</v>
      </c>
      <c r="H688" s="1436"/>
      <c r="I688" s="1436"/>
      <c r="J688" s="1436"/>
      <c r="K688" s="1436"/>
      <c r="L688" s="1436"/>
      <c r="M688" s="1436"/>
      <c r="N688" s="1436"/>
      <c r="O688" s="1635"/>
      <c r="P688" s="1714"/>
      <c r="Q688" s="1714"/>
      <c r="R688" s="1714"/>
      <c r="S688" s="1436"/>
      <c r="T688" s="1635"/>
      <c r="U688" s="1634"/>
      <c r="V688" s="1635"/>
      <c r="W688" s="1857"/>
      <c r="X688" s="1857"/>
      <c r="Y688" s="1635"/>
      <c r="Z688" s="1714"/>
      <c r="AA688" s="1436"/>
      <c r="AB688" s="1436"/>
      <c r="AC688" s="1436"/>
      <c r="AD688" s="1344"/>
    </row>
    <row r="689" customFormat="false" ht="15.75" hidden="true" customHeight="true" outlineLevel="1" collapsed="false">
      <c r="A689" s="1180" t="s">
        <v>3455</v>
      </c>
      <c r="B689" s="1683" t="s">
        <v>15</v>
      </c>
      <c r="C689" s="1692" t="n">
        <f aca="false">$C$143</f>
        <v>0.145</v>
      </c>
      <c r="D689" s="1436" t="n">
        <f aca="false">$J$620</f>
        <v>0.045</v>
      </c>
      <c r="E689" s="1604" t="n">
        <f aca="false">IF(E654=0,0,IF('Ввод данных'!$A$17=связи1!$A$95,IF(дома!E688+дома!$F$634&lt;дома!$E$627+0.3,дома!E688+дома!$F$634,0),0))+IF(дома!E688=0,0,IF('Ввод данных'!$A$17=связи1!$A$96,IF(дома!E688+0.05+дома!$F$634&gt;дома!$E$627+0.4,0,дома!E688+дома!$F$634),0))+IF(дома!E688=0,0,IF('Ввод данных'!$A$17=связи1!$A$98,IF(дома!E688+0.05+дома!$F$634&gt;дома!$E$627+0.4,0,дома!E688+дома!$F$634),0))</f>
        <v>3.05714285714286</v>
      </c>
      <c r="F689" s="1436" t="n">
        <f aca="false">IF(E689&lt;($E$631+0.5),1,0)*$D$635*IF('Ввод данных'!$A$101=связи1!$A$128,2,2)*IF(связи1!$H$91=связи1!$A$2,1,0)</f>
        <v>2</v>
      </c>
      <c r="G689" s="1436" t="n">
        <f aca="false">C689*D689*E689*F689</f>
        <v>0.0398957142857143</v>
      </c>
      <c r="H689" s="1436"/>
      <c r="I689" s="1436"/>
      <c r="J689" s="1436"/>
      <c r="K689" s="1436"/>
      <c r="L689" s="1436"/>
      <c r="M689" s="1436"/>
      <c r="N689" s="1436"/>
      <c r="O689" s="1635"/>
      <c r="P689" s="1714"/>
      <c r="Q689" s="1714"/>
      <c r="R689" s="1714"/>
      <c r="S689" s="1436"/>
      <c r="T689" s="1635"/>
      <c r="U689" s="1634"/>
      <c r="V689" s="1635"/>
      <c r="W689" s="1857"/>
      <c r="X689" s="1857"/>
      <c r="Y689" s="1635"/>
      <c r="Z689" s="1714"/>
      <c r="AA689" s="1436"/>
      <c r="AB689" s="1436"/>
      <c r="AC689" s="1436"/>
      <c r="AD689" s="1344"/>
    </row>
    <row r="690" customFormat="false" ht="15.75" hidden="true" customHeight="true" outlineLevel="1" collapsed="false">
      <c r="A690" s="1180" t="s">
        <v>3456</v>
      </c>
      <c r="B690" s="1683" t="s">
        <v>15</v>
      </c>
      <c r="C690" s="1692" t="n">
        <f aca="false">$C$143</f>
        <v>0.145</v>
      </c>
      <c r="D690" s="1436" t="n">
        <f aca="false">$J$620</f>
        <v>0.045</v>
      </c>
      <c r="E690" s="1604" t="n">
        <f aca="false">IF(E655=0,0,IF('Ввод данных'!$A$17=связи1!$A$95,IF(дома!E689+дома!$F$634&lt;дома!$E$627+0.3,дома!E689+дома!$F$634,0),0))+IF(дома!E689=0,0,IF('Ввод данных'!$A$17=связи1!$A$96,IF(дома!E689+0.05+дома!$F$634&gt;дома!$E$627+0.4,0,дома!E689+дома!$F$634),0))+IF(дома!E689=0,0,IF('Ввод данных'!$A$17=связи1!$A$98,IF(дома!E689+0.05+дома!$F$634&gt;дома!$E$627+0.4,0,дома!E689+дома!$F$634),0))</f>
        <v>3.54285714285714</v>
      </c>
      <c r="F690" s="1436" t="n">
        <f aca="false">IF(E690&lt;($E$631+0.5),1,0)*$D$635*IF('Ввод данных'!$A$101=связи1!$A$128,2,2)*IF(связи1!$H$91=связи1!$A$2,1,0)</f>
        <v>2</v>
      </c>
      <c r="G690" s="1436" t="n">
        <f aca="false">C690*D690*E690*F690</f>
        <v>0.0462342857142857</v>
      </c>
      <c r="H690" s="1436"/>
      <c r="I690" s="1436"/>
      <c r="J690" s="1436"/>
      <c r="K690" s="1436"/>
      <c r="L690" s="1436"/>
      <c r="M690" s="1436"/>
      <c r="N690" s="1436"/>
      <c r="O690" s="1635"/>
      <c r="P690" s="1714"/>
      <c r="Q690" s="1714"/>
      <c r="R690" s="1714"/>
      <c r="S690" s="1436"/>
      <c r="T690" s="1635"/>
      <c r="U690" s="1634"/>
      <c r="V690" s="1635"/>
      <c r="W690" s="1857"/>
      <c r="X690" s="1857"/>
      <c r="Y690" s="1635"/>
      <c r="Z690" s="1714"/>
      <c r="AA690" s="1436"/>
      <c r="AB690" s="1436"/>
      <c r="AC690" s="1436"/>
      <c r="AD690" s="1344"/>
    </row>
    <row r="691" customFormat="false" ht="15.75" hidden="true" customHeight="true" outlineLevel="1" collapsed="false">
      <c r="A691" s="1180" t="s">
        <v>3457</v>
      </c>
      <c r="B691" s="1683" t="s">
        <v>15</v>
      </c>
      <c r="C691" s="1692" t="n">
        <f aca="false">$C$143</f>
        <v>0.145</v>
      </c>
      <c r="D691" s="1436" t="n">
        <f aca="false">$J$620</f>
        <v>0.045</v>
      </c>
      <c r="E691" s="1604" t="n">
        <f aca="false">IF(E656=0,0,IF('Ввод данных'!$A$17=связи1!$A$95,IF(дома!E690+дома!$F$634&lt;дома!$E$627+0.3,дома!E690+дома!$F$634,0),0))+IF(дома!E690=0,0,IF('Ввод данных'!$A$17=связи1!$A$96,IF(дома!E690+0.05+дома!$F$634&gt;дома!$E$627+0.4,0,дома!E690+дома!$F$634),0))+IF(дома!E690=0,0,IF('Ввод данных'!$A$17=связи1!$A$98,IF(дома!E690+0.05+дома!$F$634&gt;дома!$E$627+0.4,0,дома!E690+дома!$F$634),0))</f>
        <v>4.02857142857143</v>
      </c>
      <c r="F691" s="1436" t="n">
        <f aca="false">IF(E691&lt;($E$631+0.5),1,0)*$D$635*IF('Ввод данных'!$A$101=связи1!$A$128,2,2)*IF(связи1!$H$91=связи1!$A$2,1,0)</f>
        <v>2</v>
      </c>
      <c r="G691" s="1436" t="n">
        <f aca="false">C691*D691*E691*F691</f>
        <v>0.0525728571428571</v>
      </c>
      <c r="H691" s="1436"/>
      <c r="I691" s="1436"/>
      <c r="J691" s="1436"/>
      <c r="K691" s="1436"/>
      <c r="L691" s="1436"/>
      <c r="M691" s="1436"/>
      <c r="N691" s="1436"/>
      <c r="O691" s="1635"/>
      <c r="P691" s="1714"/>
      <c r="Q691" s="1714"/>
      <c r="R691" s="1714"/>
      <c r="S691" s="1436"/>
      <c r="T691" s="1635"/>
      <c r="U691" s="1634"/>
      <c r="V691" s="1635"/>
      <c r="W691" s="1857"/>
      <c r="X691" s="1857"/>
      <c r="Y691" s="1635"/>
      <c r="Z691" s="1714"/>
      <c r="AA691" s="1436"/>
      <c r="AB691" s="1436"/>
      <c r="AC691" s="1436"/>
      <c r="AD691" s="1344"/>
    </row>
    <row r="692" customFormat="false" ht="15.75" hidden="true" customHeight="true" outlineLevel="1" collapsed="false">
      <c r="A692" s="1180" t="s">
        <v>3458</v>
      </c>
      <c r="B692" s="1683" t="s">
        <v>15</v>
      </c>
      <c r="C692" s="1692" t="n">
        <f aca="false">$C$143</f>
        <v>0.145</v>
      </c>
      <c r="D692" s="1436" t="n">
        <f aca="false">$J$620</f>
        <v>0.045</v>
      </c>
      <c r="E692" s="1604" t="n">
        <f aca="false">IF(E657=0,0,IF('Ввод данных'!$A$17=связи1!$A$95,IF(дома!E691+дома!$F$634&lt;дома!$E$627+0.3,дома!E691+дома!$F$634,0),0))+IF(дома!E691=0,0,IF('Ввод данных'!$A$17=связи1!$A$96,IF(дома!E691+0.05+дома!$F$634&gt;дома!$E$627+0.4,0,дома!E691+дома!$F$634),0))+IF(дома!E691=0,0,IF('Ввод данных'!$A$17=связи1!$A$98,IF(дома!E691+0.05+дома!$F$634&gt;дома!$E$627+0.4,0,дома!E691+дома!$F$634),0))</f>
        <v>4.51428571428571</v>
      </c>
      <c r="F692" s="1436" t="n">
        <f aca="false">IF(E692&lt;($E$631+0.5),1,0)*$D$635*IF('Ввод данных'!$A$101=связи1!$A$128,2,2)*IF(связи1!$H$91=связи1!$A$2,1,0)</f>
        <v>2</v>
      </c>
      <c r="G692" s="1436" t="n">
        <f aca="false">C692*D692*E692*F692</f>
        <v>0.0589114285714286</v>
      </c>
      <c r="H692" s="1436"/>
      <c r="I692" s="1436"/>
      <c r="J692" s="1436"/>
      <c r="K692" s="1436"/>
      <c r="L692" s="1436"/>
      <c r="M692" s="1436"/>
      <c r="N692" s="1436"/>
      <c r="O692" s="1635"/>
      <c r="P692" s="1714"/>
      <c r="Q692" s="1714"/>
      <c r="R692" s="1714"/>
      <c r="S692" s="1436"/>
      <c r="T692" s="1635"/>
      <c r="U692" s="1634"/>
      <c r="V692" s="1635"/>
      <c r="W692" s="1857"/>
      <c r="X692" s="1857"/>
      <c r="Y692" s="1635"/>
      <c r="Z692" s="1714"/>
      <c r="AA692" s="1436"/>
      <c r="AB692" s="1436"/>
      <c r="AC692" s="1436"/>
      <c r="AD692" s="1344"/>
    </row>
    <row r="693" customFormat="false" ht="15.75" hidden="true" customHeight="true" outlineLevel="1" collapsed="false">
      <c r="A693" s="1180" t="s">
        <v>3459</v>
      </c>
      <c r="B693" s="1683" t="s">
        <v>15</v>
      </c>
      <c r="C693" s="1692" t="n">
        <f aca="false">$C$143</f>
        <v>0.145</v>
      </c>
      <c r="D693" s="1436" t="n">
        <f aca="false">$J$620</f>
        <v>0.045</v>
      </c>
      <c r="E693" s="1604" t="n">
        <f aca="false">IF(E658=0,0,IF('Ввод данных'!$A$17=связи1!$A$95,IF(дома!E692+дома!$F$634&lt;дома!$E$627+0.3,дома!E692+дома!$F$634,0),0))+IF(дома!E692=0,0,IF('Ввод данных'!$A$17=связи1!$A$96,IF(дома!E692+0.05+дома!$F$634&gt;дома!$E$627+0.4,0,дома!E692+дома!$F$634),0))+IF(дома!E692=0,0,IF('Ввод данных'!$A$17=связи1!$A$98,IF(дома!E692+0.05+дома!$F$634&gt;дома!$E$627+0.4,0,дома!E692+дома!$F$634),0))</f>
        <v>5</v>
      </c>
      <c r="F693" s="1436" t="n">
        <f aca="false">IF(E693&lt;($E$631+0.5),1,0)*$D$635*IF('Ввод данных'!$A$101=связи1!$A$128,2,2)*IF(связи1!$H$91=связи1!$A$2,1,0)</f>
        <v>2</v>
      </c>
      <c r="G693" s="1436" t="n">
        <f aca="false">C693*D693*E693*F693</f>
        <v>0.06525</v>
      </c>
      <c r="H693" s="1436"/>
      <c r="I693" s="1436"/>
      <c r="J693" s="1436"/>
      <c r="K693" s="1436"/>
      <c r="L693" s="1436"/>
      <c r="M693" s="1436"/>
      <c r="N693" s="1436"/>
      <c r="O693" s="1635"/>
      <c r="P693" s="1714"/>
      <c r="Q693" s="1714"/>
      <c r="R693" s="1714"/>
      <c r="S693" s="1436"/>
      <c r="T693" s="1635"/>
      <c r="U693" s="1634"/>
      <c r="V693" s="1635"/>
      <c r="W693" s="1857"/>
      <c r="X693" s="1857"/>
      <c r="Y693" s="1635"/>
      <c r="Z693" s="1714"/>
      <c r="AA693" s="1436"/>
      <c r="AB693" s="1436"/>
      <c r="AC693" s="1436"/>
      <c r="AD693" s="1344"/>
    </row>
    <row r="694" customFormat="false" ht="15.75" hidden="true" customHeight="true" outlineLevel="1" collapsed="false">
      <c r="A694" s="1180" t="s">
        <v>3460</v>
      </c>
      <c r="B694" s="1683" t="s">
        <v>15</v>
      </c>
      <c r="C694" s="1692" t="n">
        <f aca="false">$C$143</f>
        <v>0.145</v>
      </c>
      <c r="D694" s="1436" t="n">
        <f aca="false">$J$620</f>
        <v>0.045</v>
      </c>
      <c r="E694" s="1604" t="n">
        <f aca="false">IF(E659=0,0,IF('Ввод данных'!$A$17=связи1!$A$95,IF(дома!E693+дома!$F$634&lt;дома!$E$627+0.3,дома!E693+дома!$F$634,0),0))+IF(дома!E693=0,0,IF('Ввод данных'!$A$17=связи1!$A$96,IF(дома!E693+0.05+дома!$F$634&gt;дома!$E$627+0.4,0,дома!E693+дома!$F$634),0))+IF(дома!E693=0,0,IF('Ввод данных'!$A$17=связи1!$A$98,IF(дома!E693+0.05+дома!$F$634&gt;дома!$E$627+0.4,0,дома!E693+дома!$F$634),0))</f>
        <v>0</v>
      </c>
      <c r="F694" s="1436" t="n">
        <f aca="false">IF(E694&lt;($E$631+0.5),1,0)*$D$635*IF('Ввод данных'!$A$101=связи1!$A$128,2,2)*IF(связи1!$H$91=связи1!$A$2,1,0)</f>
        <v>2</v>
      </c>
      <c r="G694" s="1436" t="n">
        <f aca="false">C694*D694*E694*F694</f>
        <v>0</v>
      </c>
      <c r="H694" s="1436"/>
      <c r="I694" s="1436"/>
      <c r="J694" s="1436"/>
      <c r="K694" s="1436"/>
      <c r="L694" s="1436"/>
      <c r="M694" s="1436"/>
      <c r="N694" s="1436"/>
      <c r="O694" s="1635"/>
      <c r="P694" s="1714"/>
      <c r="Q694" s="1714"/>
      <c r="R694" s="1714"/>
      <c r="S694" s="1436"/>
      <c r="T694" s="1635"/>
      <c r="U694" s="1634"/>
      <c r="V694" s="1635"/>
      <c r="W694" s="1857"/>
      <c r="X694" s="1857"/>
      <c r="Y694" s="1635"/>
      <c r="Z694" s="1714"/>
      <c r="AA694" s="1436"/>
      <c r="AB694" s="1436"/>
      <c r="AC694" s="1436"/>
      <c r="AD694" s="1344"/>
    </row>
    <row r="695" customFormat="false" ht="15.75" hidden="true" customHeight="true" outlineLevel="1" collapsed="false">
      <c r="A695" s="1180" t="s">
        <v>3461</v>
      </c>
      <c r="B695" s="1683" t="s">
        <v>15</v>
      </c>
      <c r="C695" s="1692" t="n">
        <f aca="false">$C$143</f>
        <v>0.145</v>
      </c>
      <c r="D695" s="1436" t="n">
        <f aca="false">$J$620</f>
        <v>0.045</v>
      </c>
      <c r="E695" s="1604" t="n">
        <f aca="false">IF(E660=0,0,IF('Ввод данных'!$A$17=связи1!$A$95,IF(дома!E694+дома!$F$634&lt;дома!$E$627+0.3,дома!E694+дома!$F$634,0),0))+IF(дома!E694=0,0,IF('Ввод данных'!$A$17=связи1!$A$96,IF(дома!E694+0.05+дома!$F$634&gt;дома!$E$627+0.4,0,дома!E694+дома!$F$634),0))+IF(дома!E694=0,0,IF('Ввод данных'!$A$17=связи1!$A$98,IF(дома!E694+0.05+дома!$F$634&gt;дома!$E$627+0.4,0,дома!E694+дома!$F$634),0))</f>
        <v>0</v>
      </c>
      <c r="F695" s="1436" t="n">
        <f aca="false">IF(E695&lt;($E$631+0.5),1,0)*$D$635*IF('Ввод данных'!$A$101=связи1!$A$128,2,2)*IF(связи1!$H$91=связи1!$A$2,1,0)</f>
        <v>2</v>
      </c>
      <c r="G695" s="1436" t="n">
        <f aca="false">C695*D695*E695*F695</f>
        <v>0</v>
      </c>
      <c r="H695" s="1436"/>
      <c r="I695" s="1436"/>
      <c r="J695" s="1436"/>
      <c r="K695" s="1436"/>
      <c r="L695" s="1436"/>
      <c r="M695" s="1436"/>
      <c r="N695" s="1436"/>
      <c r="O695" s="1635"/>
      <c r="P695" s="1714"/>
      <c r="Q695" s="1714"/>
      <c r="R695" s="1714"/>
      <c r="S695" s="1436"/>
      <c r="T695" s="1635"/>
      <c r="U695" s="1634"/>
      <c r="V695" s="1635"/>
      <c r="W695" s="1857"/>
      <c r="X695" s="1857"/>
      <c r="Y695" s="1635"/>
      <c r="Z695" s="1714"/>
      <c r="AA695" s="1436"/>
      <c r="AB695" s="1436"/>
      <c r="AC695" s="1436"/>
      <c r="AD695" s="1344"/>
    </row>
    <row r="696" customFormat="false" ht="15.75" hidden="true" customHeight="true" outlineLevel="1" collapsed="false">
      <c r="A696" s="1180" t="s">
        <v>3462</v>
      </c>
      <c r="B696" s="1683" t="s">
        <v>15</v>
      </c>
      <c r="C696" s="1692" t="n">
        <f aca="false">$C$143</f>
        <v>0.145</v>
      </c>
      <c r="D696" s="1436" t="n">
        <f aca="false">$J$620</f>
        <v>0.045</v>
      </c>
      <c r="E696" s="1604" t="n">
        <f aca="false">IF(E661=0,0,IF('Ввод данных'!$A$17=связи1!$A$95,IF(дома!E695+дома!$F$634&lt;дома!$E$627+0.3,дома!E695+дома!$F$634,0),0))+IF(дома!E695=0,0,IF('Ввод данных'!$A$17=связи1!$A$96,IF(дома!E695+0.05+дома!$F$634&gt;дома!$E$627+0.4,0,дома!E695+дома!$F$634),0))+IF(дома!E695=0,0,IF('Ввод данных'!$A$17=связи1!$A$98,IF(дома!E695+0.05+дома!$F$634&gt;дома!$E$627+0.4,0,дома!E695+дома!$F$634),0))</f>
        <v>0</v>
      </c>
      <c r="F696" s="1436" t="n">
        <f aca="false">IF(E696&lt;($E$631+0.5),1,0)*$D$635*IF('Ввод данных'!$A$101=связи1!$A$128,2,2)*IF(связи1!$H$91=связи1!$A$2,1,0)</f>
        <v>2</v>
      </c>
      <c r="G696" s="1436" t="n">
        <f aca="false">C696*D696*E696*F696</f>
        <v>0</v>
      </c>
      <c r="H696" s="1436"/>
      <c r="I696" s="1436"/>
      <c r="J696" s="1436"/>
      <c r="K696" s="1436"/>
      <c r="L696" s="1436"/>
      <c r="M696" s="1436"/>
      <c r="N696" s="1436"/>
      <c r="O696" s="1635"/>
      <c r="P696" s="1714"/>
      <c r="Q696" s="1714"/>
      <c r="R696" s="1714"/>
      <c r="S696" s="1436"/>
      <c r="T696" s="1635"/>
      <c r="U696" s="1634"/>
      <c r="V696" s="1635"/>
      <c r="W696" s="1857"/>
      <c r="X696" s="1857"/>
      <c r="Y696" s="1635"/>
      <c r="Z696" s="1714"/>
      <c r="AA696" s="1436"/>
      <c r="AB696" s="1436"/>
      <c r="AC696" s="1436"/>
      <c r="AD696" s="1344"/>
    </row>
    <row r="697" customFormat="false" ht="15.75" hidden="true" customHeight="true" outlineLevel="1" collapsed="false">
      <c r="A697" s="1180" t="s">
        <v>3463</v>
      </c>
      <c r="B697" s="1683" t="s">
        <v>15</v>
      </c>
      <c r="C697" s="1692" t="n">
        <f aca="false">$C$143</f>
        <v>0.145</v>
      </c>
      <c r="D697" s="1436" t="n">
        <f aca="false">$J$620</f>
        <v>0.045</v>
      </c>
      <c r="E697" s="1604" t="n">
        <f aca="false">IF(E662=0,0,IF('Ввод данных'!$A$17=связи1!$A$95,IF(дома!E696+дома!$F$634&lt;дома!$E$627+0.3,дома!E696+дома!$F$634,0),0))+IF(дома!E696=0,0,IF('Ввод данных'!$A$17=связи1!$A$96,IF(дома!E696+0.05+дома!$F$634&gt;дома!$E$627+0.4,0,дома!E696+дома!$F$634),0))+IF(дома!E696=0,0,IF('Ввод данных'!$A$17=связи1!$A$98,IF(дома!E696+0.05+дома!$F$634&gt;дома!$E$627+0.4,0,дома!E696+дома!$F$634),0))</f>
        <v>0</v>
      </c>
      <c r="F697" s="1436" t="n">
        <f aca="false">IF(E697&lt;($E$631+0.5),1,0)*$D$635*IF('Ввод данных'!$A$101=связи1!$A$128,2,2)*IF(связи1!$H$91=связи1!$A$2,1,0)</f>
        <v>2</v>
      </c>
      <c r="G697" s="1436" t="n">
        <f aca="false">C697*D697*E697*F697</f>
        <v>0</v>
      </c>
      <c r="H697" s="1436"/>
      <c r="I697" s="1436"/>
      <c r="J697" s="1436"/>
      <c r="K697" s="1436"/>
      <c r="L697" s="1436"/>
      <c r="M697" s="1436"/>
      <c r="N697" s="1436"/>
      <c r="O697" s="1635"/>
      <c r="P697" s="1714"/>
      <c r="Q697" s="1714"/>
      <c r="R697" s="1714"/>
      <c r="S697" s="1436"/>
      <c r="T697" s="1635"/>
      <c r="U697" s="1634"/>
      <c r="V697" s="1635"/>
      <c r="W697" s="1857"/>
      <c r="X697" s="1857"/>
      <c r="Y697" s="1635"/>
      <c r="Z697" s="1714"/>
      <c r="AA697" s="1436"/>
      <c r="AB697" s="1436"/>
      <c r="AC697" s="1436"/>
      <c r="AD697" s="1344"/>
    </row>
    <row r="698" customFormat="false" ht="15.75" hidden="true" customHeight="true" outlineLevel="1" collapsed="false">
      <c r="A698" s="1180" t="s">
        <v>3464</v>
      </c>
      <c r="B698" s="1683" t="s">
        <v>15</v>
      </c>
      <c r="C698" s="1692" t="n">
        <f aca="false">$C$143</f>
        <v>0.145</v>
      </c>
      <c r="D698" s="1436" t="n">
        <f aca="false">$J$620</f>
        <v>0.045</v>
      </c>
      <c r="E698" s="1604" t="n">
        <f aca="false">IF(E663=0,0,IF('Ввод данных'!$A$17=связи1!$A$95,IF(дома!E697+дома!$F$634&lt;дома!$E$627+0.3,дома!E697+дома!$F$634,0),0))+IF(дома!E697=0,0,IF('Ввод данных'!$A$17=связи1!$A$96,IF(дома!E697+0.05+дома!$F$634&gt;дома!$E$627+0.4,0,дома!E697+дома!$F$634),0))+IF(дома!E697=0,0,IF('Ввод данных'!$A$17=связи1!$A$98,IF(дома!E697+0.05+дома!$F$634&gt;дома!$E$627+0.4,0,дома!E697+дома!$F$634),0))</f>
        <v>0</v>
      </c>
      <c r="F698" s="1436" t="n">
        <f aca="false">IF(E698&lt;($E$631+0.5),1,0)*$D$635*IF('Ввод данных'!$A$101=связи1!$A$128,2,2)*IF(связи1!$H$91=связи1!$A$2,1,0)</f>
        <v>2</v>
      </c>
      <c r="G698" s="1436" t="n">
        <f aca="false">C698*D698*E698*F698</f>
        <v>0</v>
      </c>
      <c r="H698" s="1436"/>
      <c r="I698" s="1436"/>
      <c r="J698" s="1436"/>
      <c r="K698" s="1436"/>
      <c r="L698" s="1436"/>
      <c r="M698" s="1436"/>
      <c r="N698" s="1436"/>
      <c r="O698" s="1635"/>
      <c r="P698" s="1714"/>
      <c r="Q698" s="1714"/>
      <c r="R698" s="1714"/>
      <c r="S698" s="1436"/>
      <c r="T698" s="1635"/>
      <c r="U698" s="1634"/>
      <c r="V698" s="1635"/>
      <c r="W698" s="1857"/>
      <c r="X698" s="1857"/>
      <c r="Y698" s="1635"/>
      <c r="Z698" s="1714"/>
      <c r="AA698" s="1436"/>
      <c r="AB698" s="1436"/>
      <c r="AC698" s="1436"/>
      <c r="AD698" s="1344"/>
    </row>
    <row r="699" customFormat="false" ht="15.75" hidden="true" customHeight="true" outlineLevel="1" collapsed="false">
      <c r="A699" s="1180" t="s">
        <v>3465</v>
      </c>
      <c r="B699" s="1683" t="s">
        <v>15</v>
      </c>
      <c r="C699" s="1692" t="n">
        <f aca="false">$C$143</f>
        <v>0.145</v>
      </c>
      <c r="D699" s="1436" t="n">
        <f aca="false">$J$620</f>
        <v>0.045</v>
      </c>
      <c r="E699" s="1604" t="n">
        <f aca="false">IF(E664=0,0,IF('Ввод данных'!$A$17=связи1!$A$95,IF(дома!E698+дома!$F$634&lt;дома!$E$627+0.3,дома!E698+дома!$F$634,0),0))+IF(дома!E698=0,0,IF('Ввод данных'!$A$17=связи1!$A$96,IF(дома!E698+0.05+дома!$F$634&gt;дома!$E$627+0.4,0,дома!E698+дома!$F$634),0))+IF(дома!E698=0,0,IF('Ввод данных'!$A$17=связи1!$A$98,IF(дома!E698+0.05+дома!$F$634&gt;дома!$E$627+0.4,0,дома!E698+дома!$F$634),0))</f>
        <v>0</v>
      </c>
      <c r="F699" s="1436" t="n">
        <f aca="false">IF(E699&lt;($E$631+0.5),1,0)*$D$635*IF('Ввод данных'!$A$101=связи1!$A$128,2,2)*IF(связи1!$H$91=связи1!$A$2,1,0)</f>
        <v>2</v>
      </c>
      <c r="G699" s="1436" t="n">
        <f aca="false">C699*D699*E699*F699</f>
        <v>0</v>
      </c>
      <c r="H699" s="1436"/>
      <c r="I699" s="1436"/>
      <c r="J699" s="1436"/>
      <c r="K699" s="1436"/>
      <c r="L699" s="1436"/>
      <c r="M699" s="1436"/>
      <c r="N699" s="1436"/>
      <c r="O699" s="1635"/>
      <c r="P699" s="1714"/>
      <c r="Q699" s="1714"/>
      <c r="R699" s="1714"/>
      <c r="S699" s="1436"/>
      <c r="T699" s="1635"/>
      <c r="U699" s="1634"/>
      <c r="V699" s="1635"/>
      <c r="W699" s="1857"/>
      <c r="X699" s="1857"/>
      <c r="Y699" s="1635"/>
      <c r="Z699" s="1714"/>
      <c r="AA699" s="1436"/>
      <c r="AB699" s="1436"/>
      <c r="AC699" s="1436"/>
      <c r="AD699" s="1344"/>
    </row>
    <row r="700" customFormat="false" ht="15.75" hidden="true" customHeight="true" outlineLevel="1" collapsed="false">
      <c r="A700" s="1180" t="s">
        <v>3466</v>
      </c>
      <c r="B700" s="1683" t="s">
        <v>15</v>
      </c>
      <c r="C700" s="1692" t="n">
        <f aca="false">$C$143</f>
        <v>0.145</v>
      </c>
      <c r="D700" s="1436" t="n">
        <f aca="false">$J$620</f>
        <v>0.045</v>
      </c>
      <c r="E700" s="1604" t="n">
        <f aca="false">IF(E665=0,0,IF('Ввод данных'!$A$17=связи1!$A$95,IF(дома!E699+дома!$F$634&lt;дома!$E$627+0.3,дома!E699+дома!$F$634,0),0))+IF(дома!E699=0,0,IF('Ввод данных'!$A$17=связи1!$A$96,IF(дома!E699+0.05+дома!$F$634&gt;дома!$E$627+0.4,0,дома!E699+дома!$F$634),0))+IF(дома!E699=0,0,IF('Ввод данных'!$A$17=связи1!$A$98,IF(дома!E699+0.05+дома!$F$634&gt;дома!$E$627+0.4,0,дома!E699+дома!$F$634),0))</f>
        <v>0</v>
      </c>
      <c r="F700" s="1436" t="n">
        <f aca="false">IF(E700&lt;($E$631+0.5),1,0)*$D$635*IF('Ввод данных'!$A$101=связи1!$A$128,2,2)*IF(связи1!$H$91=связи1!$A$2,1,0)</f>
        <v>2</v>
      </c>
      <c r="G700" s="1436" t="n">
        <f aca="false">C700*D700*E700*F700</f>
        <v>0</v>
      </c>
      <c r="H700" s="1436"/>
      <c r="I700" s="1436"/>
      <c r="J700" s="1436"/>
      <c r="K700" s="1436"/>
      <c r="L700" s="1436"/>
      <c r="M700" s="1436"/>
      <c r="N700" s="1436"/>
      <c r="O700" s="1635"/>
      <c r="P700" s="1714"/>
      <c r="Q700" s="1714"/>
      <c r="R700" s="1714"/>
      <c r="S700" s="1436"/>
      <c r="T700" s="1635"/>
      <c r="U700" s="1634"/>
      <c r="V700" s="1635"/>
      <c r="W700" s="1857"/>
      <c r="X700" s="1857"/>
      <c r="Y700" s="1635"/>
      <c r="Z700" s="1714"/>
      <c r="AA700" s="1436"/>
      <c r="AB700" s="1436"/>
      <c r="AC700" s="1436"/>
      <c r="AD700" s="1344"/>
    </row>
    <row r="701" customFormat="false" ht="15.75" hidden="true" customHeight="true" outlineLevel="1" collapsed="false">
      <c r="A701" s="1180" t="s">
        <v>3467</v>
      </c>
      <c r="B701" s="1683" t="s">
        <v>15</v>
      </c>
      <c r="C701" s="1692" t="n">
        <f aca="false">$C$143</f>
        <v>0.145</v>
      </c>
      <c r="D701" s="1436" t="n">
        <f aca="false">$J$620</f>
        <v>0.045</v>
      </c>
      <c r="E701" s="1604" t="n">
        <f aca="false">IF(E666=0,0,IF('Ввод данных'!$A$17=связи1!$A$95,IF(дома!E700+дома!$F$634&lt;дома!$E$627+0.3,дома!E700+дома!$F$634,0),0))+IF(дома!E700=0,0,IF('Ввод данных'!$A$17=связи1!$A$96,IF(дома!E700+0.05+дома!$F$634&gt;дома!$E$627+0.4,0,дома!E700+дома!$F$634),0))+IF(дома!E700=0,0,IF('Ввод данных'!$A$17=связи1!$A$98,IF(дома!E700+0.05+дома!$F$634&gt;дома!$E$627+0.4,0,дома!E700+дома!$F$634),0))</f>
        <v>0</v>
      </c>
      <c r="F701" s="1436" t="n">
        <f aca="false">IF(E701&lt;($E$631+0.5),1,0)*$D$635*IF('Ввод данных'!$A$101=связи1!$A$128,2,2)*IF(связи1!$H$91=связи1!$A$2,1,0)</f>
        <v>2</v>
      </c>
      <c r="G701" s="1436" t="n">
        <f aca="false">C701*D701*E701*F701</f>
        <v>0</v>
      </c>
      <c r="H701" s="1436"/>
      <c r="I701" s="1436"/>
      <c r="J701" s="1436"/>
      <c r="K701" s="1436"/>
      <c r="L701" s="1436"/>
      <c r="M701" s="1436"/>
      <c r="N701" s="1436"/>
      <c r="O701" s="1635"/>
      <c r="P701" s="1714"/>
      <c r="Q701" s="1714"/>
      <c r="R701" s="1714"/>
      <c r="S701" s="1436"/>
      <c r="T701" s="1635"/>
      <c r="U701" s="1634"/>
      <c r="V701" s="1635"/>
      <c r="W701" s="1857"/>
      <c r="X701" s="1857"/>
      <c r="Y701" s="1635"/>
      <c r="Z701" s="1714"/>
      <c r="AA701" s="1436"/>
      <c r="AB701" s="1436"/>
      <c r="AC701" s="1436"/>
      <c r="AD701" s="1344"/>
    </row>
    <row r="702" customFormat="false" ht="15.75" hidden="true" customHeight="true" outlineLevel="1" collapsed="false">
      <c r="A702" s="1180" t="s">
        <v>3468</v>
      </c>
      <c r="B702" s="1683" t="s">
        <v>15</v>
      </c>
      <c r="C702" s="1692" t="n">
        <f aca="false">$C$143</f>
        <v>0.145</v>
      </c>
      <c r="D702" s="1436" t="n">
        <f aca="false">$J$620</f>
        <v>0.045</v>
      </c>
      <c r="E702" s="1604" t="n">
        <f aca="false">IF(E667=0,0,IF('Ввод данных'!$A$17=связи1!$A$95,IF(дома!E701+дома!$F$634&lt;дома!$E$627+0.3,дома!E701+дома!$F$634,0),0))+IF(дома!E701=0,0,IF('Ввод данных'!$A$17=связи1!$A$96,IF(дома!E701+0.05+дома!$F$634&gt;дома!$E$627+0.4,0,дома!E701+дома!$F$634),0))+IF(дома!E701=0,0,IF('Ввод данных'!$A$17=связи1!$A$98,IF(дома!E701+0.05+дома!$F$634&gt;дома!$E$627+0.4,0,дома!E701+дома!$F$634),0))</f>
        <v>0</v>
      </c>
      <c r="F702" s="1436" t="n">
        <f aca="false">IF(E702&lt;($E$631+0.5),1,0)*$D$635*IF('Ввод данных'!$A$101=связи1!$A$128,2,2)*IF(связи1!$H$91=связи1!$A$2,1,0)</f>
        <v>2</v>
      </c>
      <c r="G702" s="1436" t="n">
        <f aca="false">C702*D702*E702*F702</f>
        <v>0</v>
      </c>
      <c r="H702" s="1436"/>
      <c r="I702" s="1436"/>
      <c r="J702" s="1436"/>
      <c r="K702" s="1436"/>
      <c r="L702" s="1436"/>
      <c r="M702" s="1436"/>
      <c r="N702" s="1436"/>
      <c r="O702" s="1635"/>
      <c r="P702" s="1714"/>
      <c r="Q702" s="1714"/>
      <c r="R702" s="1714"/>
      <c r="S702" s="1436"/>
      <c r="T702" s="1635"/>
      <c r="U702" s="1634"/>
      <c r="V702" s="1635"/>
      <c r="W702" s="1857"/>
      <c r="X702" s="1857"/>
      <c r="Y702" s="1635"/>
      <c r="Z702" s="1714"/>
      <c r="AA702" s="1436"/>
      <c r="AB702" s="1436"/>
      <c r="AC702" s="1436"/>
      <c r="AD702" s="1344"/>
    </row>
    <row r="703" customFormat="false" ht="15.75" hidden="true" customHeight="true" outlineLevel="1" collapsed="false">
      <c r="A703" s="1180" t="s">
        <v>3469</v>
      </c>
      <c r="B703" s="1683" t="s">
        <v>15</v>
      </c>
      <c r="C703" s="1692" t="n">
        <f aca="false">$C$143</f>
        <v>0.145</v>
      </c>
      <c r="D703" s="1436" t="n">
        <f aca="false">$J$620</f>
        <v>0.045</v>
      </c>
      <c r="E703" s="1604" t="n">
        <f aca="false">IF(E668=0,0,IF('Ввод данных'!$A$17=связи1!$A$95,IF(дома!E702+дома!$F$634&lt;дома!$E$627+0.3,дома!E702+дома!$F$634,0),0))+IF(дома!E702=0,0,IF('Ввод данных'!$A$17=связи1!$A$96,IF(дома!E702+0.05+дома!$F$634&gt;дома!$E$627+0.4,0,дома!E702+дома!$F$634),0))+IF(дома!E702=0,0,IF('Ввод данных'!$A$17=связи1!$A$98,IF(дома!E702+0.05+дома!$F$634&gt;дома!$E$627+0.4,0,дома!E702+дома!$F$634),0))</f>
        <v>0</v>
      </c>
      <c r="F703" s="1436" t="n">
        <f aca="false">IF(E703&lt;($E$631+0.5),1,0)*$D$635*IF('Ввод данных'!$A$101=связи1!$A$128,2,2)*IF(связи1!$H$91=связи1!$A$2,1,0)</f>
        <v>2</v>
      </c>
      <c r="G703" s="1436" t="n">
        <f aca="false">C703*D703*E703*F703</f>
        <v>0</v>
      </c>
      <c r="H703" s="1436"/>
      <c r="I703" s="1436"/>
      <c r="J703" s="1436"/>
      <c r="K703" s="1436"/>
      <c r="L703" s="1436"/>
      <c r="M703" s="1436"/>
      <c r="N703" s="1436"/>
      <c r="O703" s="1635"/>
      <c r="P703" s="1714"/>
      <c r="Q703" s="1714"/>
      <c r="R703" s="1714"/>
      <c r="S703" s="1436"/>
      <c r="T703" s="1635"/>
      <c r="U703" s="1634"/>
      <c r="V703" s="1635"/>
      <c r="W703" s="1857"/>
      <c r="X703" s="1857"/>
      <c r="Y703" s="1635"/>
      <c r="Z703" s="1714"/>
      <c r="AA703" s="1436"/>
      <c r="AB703" s="1436"/>
      <c r="AC703" s="1436"/>
      <c r="AD703" s="1344"/>
    </row>
    <row r="704" customFormat="false" ht="15.75" hidden="true" customHeight="true" outlineLevel="1" collapsed="false">
      <c r="A704" s="1180" t="s">
        <v>3470</v>
      </c>
      <c r="B704" s="1683" t="s">
        <v>15</v>
      </c>
      <c r="C704" s="1692" t="n">
        <f aca="false">$C$143</f>
        <v>0.145</v>
      </c>
      <c r="D704" s="1436" t="n">
        <f aca="false">$J$620</f>
        <v>0.045</v>
      </c>
      <c r="E704" s="1604" t="n">
        <f aca="false">IF(E669=0,0,IF('Ввод данных'!$A$17=связи1!$A$95,IF(дома!E703+дома!$F$634&lt;дома!$E$627+0.3,дома!E703+дома!$F$634,0),0))+IF(дома!E703=0,0,IF('Ввод данных'!$A$17=связи1!$A$96,IF(дома!E703+0.05+дома!$F$634&gt;дома!$E$627+0.4,0,дома!E703+дома!$F$634),0))+IF(дома!E703=0,0,IF('Ввод данных'!$A$17=связи1!$A$98,IF(дома!E703+0.05+дома!$F$634&gt;дома!$E$627+0.4,0,дома!E703+дома!$F$634),0))</f>
        <v>0</v>
      </c>
      <c r="F704" s="1436" t="n">
        <f aca="false">IF(E704&lt;($E$631+0.5),1,0)*$D$635*IF('Ввод данных'!$A$101=связи1!$A$128,2,2)*IF(связи1!$H$91=связи1!$A$2,1,0)</f>
        <v>2</v>
      </c>
      <c r="G704" s="1436" t="n">
        <f aca="false">C704*D704*E704*F704</f>
        <v>0</v>
      </c>
      <c r="H704" s="1436"/>
      <c r="I704" s="1436"/>
      <c r="J704" s="1436"/>
      <c r="K704" s="1436"/>
      <c r="L704" s="1436"/>
      <c r="M704" s="1436"/>
      <c r="N704" s="1436"/>
      <c r="O704" s="1635"/>
      <c r="P704" s="1714"/>
      <c r="Q704" s="1714"/>
      <c r="R704" s="1714"/>
      <c r="S704" s="1436"/>
      <c r="T704" s="1635"/>
      <c r="U704" s="1634"/>
      <c r="V704" s="1635"/>
      <c r="W704" s="1857"/>
      <c r="X704" s="1857"/>
      <c r="Y704" s="1635"/>
      <c r="Z704" s="1714"/>
      <c r="AA704" s="1436"/>
      <c r="AB704" s="1436"/>
      <c r="AC704" s="1436"/>
      <c r="AD704" s="1344"/>
    </row>
    <row r="705" customFormat="false" ht="15.75" hidden="true" customHeight="true" outlineLevel="1" collapsed="false">
      <c r="A705" s="1180" t="s">
        <v>3471</v>
      </c>
      <c r="B705" s="1683" t="s">
        <v>15</v>
      </c>
      <c r="C705" s="1692" t="n">
        <f aca="false">$C$143</f>
        <v>0.145</v>
      </c>
      <c r="D705" s="1436" t="n">
        <f aca="false">$J$620</f>
        <v>0.045</v>
      </c>
      <c r="E705" s="1604" t="n">
        <f aca="false">IF(E670=0,0,IF('Ввод данных'!$A$17=связи1!$A$95,IF(дома!E704+дома!$F$634&lt;дома!$E$627+0.3,дома!E704+дома!$F$634,0),0))+IF(дома!E704=0,0,IF('Ввод данных'!$A$17=связи1!$A$96,IF(дома!E704+0.05+дома!$F$634&gt;дома!$E$627+0.4,0,дома!E704+дома!$F$634),0))+IF(дома!E704=0,0,IF('Ввод данных'!$A$17=связи1!$A$98,IF(дома!E704+0.05+дома!$F$634&gt;дома!$E$627+0.4,0,дома!E704+дома!$F$634),0))</f>
        <v>0</v>
      </c>
      <c r="F705" s="1436" t="n">
        <f aca="false">IF(E705&lt;($E$631+0.5),1,0)*$D$635*IF('Ввод данных'!$A$101=связи1!$A$128,2,2)*IF(связи1!$H$91=связи1!$A$2,1,0)</f>
        <v>2</v>
      </c>
      <c r="G705" s="1436" t="n">
        <f aca="false">C705*D705*E705*F705</f>
        <v>0</v>
      </c>
      <c r="H705" s="1436"/>
      <c r="I705" s="1436"/>
      <c r="J705" s="1436"/>
      <c r="K705" s="1436"/>
      <c r="L705" s="1436"/>
      <c r="M705" s="1436"/>
      <c r="N705" s="1436"/>
      <c r="O705" s="1635"/>
      <c r="P705" s="1714"/>
      <c r="Q705" s="1714"/>
      <c r="R705" s="1714"/>
      <c r="S705" s="1436"/>
      <c r="T705" s="1635"/>
      <c r="U705" s="1634"/>
      <c r="V705" s="1635"/>
      <c r="W705" s="1857"/>
      <c r="X705" s="1857"/>
      <c r="Y705" s="1635"/>
      <c r="Z705" s="1714"/>
      <c r="AA705" s="1436"/>
      <c r="AB705" s="1436"/>
      <c r="AC705" s="1436"/>
      <c r="AD705" s="1344"/>
    </row>
    <row r="706" customFormat="false" ht="15.75" hidden="true" customHeight="true" outlineLevel="1" collapsed="false">
      <c r="A706" s="1180" t="s">
        <v>3472</v>
      </c>
      <c r="B706" s="1683" t="s">
        <v>15</v>
      </c>
      <c r="C706" s="1692" t="n">
        <f aca="false">$C$143</f>
        <v>0.145</v>
      </c>
      <c r="D706" s="1436" t="n">
        <f aca="false">$J$620</f>
        <v>0.045</v>
      </c>
      <c r="E706" s="1604" t="n">
        <f aca="false">IF(E671=0,0,IF('Ввод данных'!$A$17=связи1!$A$95,IF(дома!E705+дома!$F$634&lt;дома!$E$627+0.3,дома!E705+дома!$F$634,0),0))+IF(дома!E705=0,0,IF('Ввод данных'!$A$17=связи1!$A$96,IF(дома!E705+0.05+дома!$F$634&gt;дома!$E$627+0.4,0,дома!E705+дома!$F$634),0))+IF(дома!E705=0,0,IF('Ввод данных'!$A$17=связи1!$A$98,IF(дома!E705+0.05+дома!$F$634&gt;дома!$E$627+0.4,0,дома!E705+дома!$F$634),0))</f>
        <v>0</v>
      </c>
      <c r="F706" s="1436" t="n">
        <f aca="false">IF(E706&lt;($E$631+0.5),1,0)*$D$635*IF('Ввод данных'!$A$101=связи1!$A$128,2,2)*IF(связи1!$H$91=связи1!$A$2,1,0)</f>
        <v>2</v>
      </c>
      <c r="G706" s="1436" t="n">
        <f aca="false">C706*D706*E706*F706</f>
        <v>0</v>
      </c>
      <c r="H706" s="1436"/>
      <c r="I706" s="1436"/>
      <c r="J706" s="1436"/>
      <c r="K706" s="1436"/>
      <c r="L706" s="1436"/>
      <c r="M706" s="1436"/>
      <c r="N706" s="1436"/>
      <c r="O706" s="1635"/>
      <c r="P706" s="1714"/>
      <c r="Q706" s="1714"/>
      <c r="R706" s="1714"/>
      <c r="S706" s="1436"/>
      <c r="T706" s="1635"/>
      <c r="U706" s="1634"/>
      <c r="V706" s="1635"/>
      <c r="W706" s="1857"/>
      <c r="X706" s="1857"/>
      <c r="Y706" s="1635"/>
      <c r="Z706" s="1714"/>
      <c r="AA706" s="1436"/>
      <c r="AB706" s="1436"/>
      <c r="AC706" s="1436"/>
      <c r="AD706" s="1344"/>
    </row>
    <row r="707" customFormat="false" ht="15.75" hidden="true" customHeight="true" outlineLevel="1" collapsed="false">
      <c r="A707" s="1180" t="s">
        <v>3473</v>
      </c>
      <c r="B707" s="1683" t="s">
        <v>15</v>
      </c>
      <c r="C707" s="1692" t="n">
        <f aca="false">$C$143</f>
        <v>0.145</v>
      </c>
      <c r="D707" s="1436" t="n">
        <f aca="false">$J$620</f>
        <v>0.045</v>
      </c>
      <c r="E707" s="1604" t="n">
        <f aca="false">IF(E672=0,0,IF('Ввод данных'!$A$17=связи1!$A$95,IF(дома!E706+дома!$F$634&lt;дома!$E$627+0.3,дома!E706+дома!$F$634,0),0))+IF(дома!E706=0,0,IF('Ввод данных'!$A$17=связи1!$A$96,IF(дома!E706+0.05+дома!$F$634&gt;дома!$E$627+0.4,0,дома!E706+дома!$F$634),0))+IF(дома!E706=0,0,IF('Ввод данных'!$A$17=связи1!$A$98,IF(дома!E706+0.05+дома!$F$634&gt;дома!$E$627+0.4,0,дома!E706+дома!$F$634),0))</f>
        <v>0</v>
      </c>
      <c r="F707" s="1436" t="n">
        <f aca="false">IF(E707&lt;($E$631+0.5),1,0)*$D$635*IF('Ввод данных'!$A$101=связи1!$A$128,2,2)*IF(связи1!$H$91=связи1!$A$2,1,0)</f>
        <v>2</v>
      </c>
      <c r="G707" s="1436" t="n">
        <f aca="false">C707*D707*E707*F707</f>
        <v>0</v>
      </c>
      <c r="H707" s="1436"/>
      <c r="I707" s="1436"/>
      <c r="J707" s="1436"/>
      <c r="K707" s="1436"/>
      <c r="L707" s="1436"/>
      <c r="M707" s="1436"/>
      <c r="N707" s="1436"/>
      <c r="O707" s="1635"/>
      <c r="P707" s="1714"/>
      <c r="Q707" s="1714"/>
      <c r="R707" s="1714"/>
      <c r="S707" s="1436"/>
      <c r="T707" s="1635"/>
      <c r="U707" s="1634"/>
      <c r="V707" s="1635"/>
      <c r="W707" s="1857"/>
      <c r="X707" s="1857"/>
      <c r="Y707" s="1635"/>
      <c r="Z707" s="1714"/>
      <c r="AA707" s="1436"/>
      <c r="AB707" s="1436"/>
      <c r="AC707" s="1436"/>
      <c r="AD707" s="1344"/>
    </row>
    <row r="708" customFormat="false" ht="15.75" hidden="true" customHeight="true" outlineLevel="1" collapsed="false">
      <c r="A708" s="1180" t="s">
        <v>3474</v>
      </c>
      <c r="B708" s="1683" t="s">
        <v>15</v>
      </c>
      <c r="C708" s="1692" t="n">
        <f aca="false">$C$143</f>
        <v>0.145</v>
      </c>
      <c r="D708" s="1436" t="n">
        <f aca="false">$J$620</f>
        <v>0.045</v>
      </c>
      <c r="E708" s="1604" t="n">
        <f aca="false">IF(E673=0,0,IF('Ввод данных'!$A$17=связи1!$A$95,IF(дома!E707+дома!$F$634&lt;дома!$E$627+0.3,дома!E707+дома!$F$634,0),0))+IF(дома!E707=0,0,IF('Ввод данных'!$A$17=связи1!$A$96,IF(дома!E707+0.05+дома!$F$634&gt;дома!$E$627+0.4,0,дома!E707+дома!$F$634),0))+IF(дома!E707=0,0,IF('Ввод данных'!$A$17=связи1!$A$98,IF(дома!E707+0.05+дома!$F$634&gt;дома!$E$627+0.4,0,дома!E707+дома!$F$634),0))</f>
        <v>0</v>
      </c>
      <c r="F708" s="1436" t="n">
        <f aca="false">IF(E708&lt;($E$631+0.5),1,0)*$D$635*IF('Ввод данных'!$A$101=связи1!$A$128,2,2)*IF(связи1!$H$91=связи1!$A$2,1,0)</f>
        <v>2</v>
      </c>
      <c r="G708" s="1436" t="n">
        <f aca="false">C708*D708*E708*F708</f>
        <v>0</v>
      </c>
      <c r="H708" s="1436"/>
      <c r="I708" s="1436"/>
      <c r="J708" s="1436"/>
      <c r="K708" s="1436"/>
      <c r="L708" s="1436"/>
      <c r="M708" s="1436"/>
      <c r="N708" s="1436"/>
      <c r="O708" s="1635"/>
      <c r="P708" s="1714"/>
      <c r="Q708" s="1714"/>
      <c r="R708" s="1714"/>
      <c r="S708" s="1436"/>
      <c r="T708" s="1635"/>
      <c r="U708" s="1634"/>
      <c r="V708" s="1635"/>
      <c r="W708" s="1857"/>
      <c r="X708" s="1857"/>
      <c r="Y708" s="1635"/>
      <c r="Z708" s="1714"/>
      <c r="AA708" s="1436"/>
      <c r="AB708" s="1436"/>
      <c r="AC708" s="1436"/>
      <c r="AD708" s="1344"/>
    </row>
    <row r="709" customFormat="false" ht="15.75" hidden="true" customHeight="true" outlineLevel="1" collapsed="false">
      <c r="A709" s="1180" t="s">
        <v>3475</v>
      </c>
      <c r="B709" s="1683" t="s">
        <v>15</v>
      </c>
      <c r="C709" s="1692" t="n">
        <f aca="false">$C$143</f>
        <v>0.145</v>
      </c>
      <c r="D709" s="1436" t="n">
        <f aca="false">$J$620</f>
        <v>0.045</v>
      </c>
      <c r="E709" s="1604" t="n">
        <f aca="false">IF(E674=0,0,IF('Ввод данных'!$A$17=связи1!$A$95,IF(дома!E708+дома!$F$634&lt;дома!$E$627+0.3,дома!E708+дома!$F$634,0),0))+IF(дома!E708=0,0,IF('Ввод данных'!$A$17=связи1!$A$96,IF(дома!E708+0.05+дома!$F$634&gt;дома!$E$627+0.4,0,дома!E708+дома!$F$634),0))+IF(дома!E708=0,0,IF('Ввод данных'!$A$17=связи1!$A$98,IF(дома!E708+0.05+дома!$F$634&gt;дома!$E$627+0.4,0,дома!E708+дома!$F$634),0))</f>
        <v>0</v>
      </c>
      <c r="F709" s="1436" t="n">
        <f aca="false">IF(E709&lt;($E$631+0.5),1,0)*$D$635*IF('Ввод данных'!$A$101=связи1!$A$128,2,2)*IF(связи1!$H$91=связи1!$A$2,1,0)</f>
        <v>2</v>
      </c>
      <c r="G709" s="1436" t="n">
        <f aca="false">C709*D709*E709*F709</f>
        <v>0</v>
      </c>
      <c r="H709" s="1436"/>
      <c r="I709" s="1436"/>
      <c r="J709" s="1436"/>
      <c r="K709" s="1436"/>
      <c r="L709" s="1436"/>
      <c r="M709" s="1436"/>
      <c r="N709" s="1436"/>
      <c r="O709" s="1635"/>
      <c r="P709" s="1714"/>
      <c r="Q709" s="1714"/>
      <c r="R709" s="1714"/>
      <c r="S709" s="1436"/>
      <c r="T709" s="1635"/>
      <c r="U709" s="1634"/>
      <c r="V709" s="1635"/>
      <c r="W709" s="1857"/>
      <c r="X709" s="1857"/>
      <c r="Y709" s="1635"/>
      <c r="Z709" s="1714"/>
      <c r="AA709" s="1436"/>
      <c r="AB709" s="1436"/>
      <c r="AC709" s="1436"/>
      <c r="AD709" s="1344"/>
    </row>
    <row r="710" customFormat="false" ht="15.75" hidden="true" customHeight="true" outlineLevel="1" collapsed="false">
      <c r="A710" s="1180" t="s">
        <v>3476</v>
      </c>
      <c r="B710" s="1683" t="s">
        <v>15</v>
      </c>
      <c r="C710" s="1692" t="n">
        <f aca="false">$C$143</f>
        <v>0.145</v>
      </c>
      <c r="D710" s="1436" t="n">
        <f aca="false">$J$620</f>
        <v>0.045</v>
      </c>
      <c r="E710" s="1604" t="n">
        <f aca="false">IF(E675=0,0,IF('Ввод данных'!$A$17=связи1!$A$95,IF(дома!E709+дома!$F$634&lt;дома!$E$627+0.3,дома!E709+дома!$F$634,0),0))+IF(дома!E709=0,0,IF('Ввод данных'!$A$17=связи1!$A$96,IF(дома!E709+0.05+дома!$F$634&gt;дома!$E$627+0.4,0,дома!E709+дома!$F$634),0))+IF(дома!E709=0,0,IF('Ввод данных'!$A$17=связи1!$A$98,IF(дома!E709+0.05+дома!$F$634&gt;дома!$E$627+0.4,0,дома!E709+дома!$F$634),0))</f>
        <v>0</v>
      </c>
      <c r="F710" s="1436" t="n">
        <f aca="false">IF(E710&lt;($E$631+0.5),1,0)*$D$635*IF('Ввод данных'!$A$101=связи1!$A$128,2,2)*IF(связи1!$H$91=связи1!$A$2,1,0)</f>
        <v>2</v>
      </c>
      <c r="G710" s="1436" t="n">
        <f aca="false">C710*D710*E710*F710</f>
        <v>0</v>
      </c>
      <c r="H710" s="1436"/>
      <c r="I710" s="1436"/>
      <c r="J710" s="1436"/>
      <c r="K710" s="1436"/>
      <c r="L710" s="1436"/>
      <c r="M710" s="1436"/>
      <c r="N710" s="1436"/>
      <c r="O710" s="1635"/>
      <c r="P710" s="1714"/>
      <c r="Q710" s="1714"/>
      <c r="R710" s="1714"/>
      <c r="S710" s="1436"/>
      <c r="T710" s="1635"/>
      <c r="U710" s="1634"/>
      <c r="V710" s="1635"/>
      <c r="W710" s="1857"/>
      <c r="X710" s="1857"/>
      <c r="Y710" s="1635"/>
      <c r="Z710" s="1714"/>
      <c r="AA710" s="1436"/>
      <c r="AB710" s="1436"/>
      <c r="AC710" s="1436"/>
      <c r="AD710" s="1344"/>
    </row>
    <row r="711" customFormat="false" ht="15.75" hidden="true" customHeight="true" outlineLevel="1" collapsed="false">
      <c r="A711" s="1180" t="s">
        <v>3477</v>
      </c>
      <c r="B711" s="1683" t="s">
        <v>15</v>
      </c>
      <c r="C711" s="1692" t="n">
        <f aca="false">$C$143</f>
        <v>0.145</v>
      </c>
      <c r="D711" s="1436" t="n">
        <f aca="false">$J$620</f>
        <v>0.045</v>
      </c>
      <c r="E711" s="1604" t="n">
        <f aca="false">IF(E676=0,0,IF('Ввод данных'!$A$17=связи1!$A$95,IF(дома!E710+дома!$F$634&lt;дома!$E$627+0.3,дома!E710+дома!$F$634,0),0))+IF(дома!E710=0,0,IF('Ввод данных'!$A$17=связи1!$A$96,IF(дома!E710+0.05+дома!$F$634&gt;дома!$E$627+0.4,0,дома!E710+дома!$F$634),0))+IF(дома!E710=0,0,IF('Ввод данных'!$A$17=связи1!$A$98,IF(дома!E710+0.05+дома!$F$634&gt;дома!$E$627+0.4,0,дома!E710+дома!$F$634),0))</f>
        <v>0</v>
      </c>
      <c r="F711" s="1436" t="n">
        <f aca="false">IF(E711&lt;($E$631+0.5),1,0)*$D$635*IF('Ввод данных'!$A$101=связи1!$A$128,2,2)*IF(связи1!$H$91=связи1!$A$2,1,0)</f>
        <v>2</v>
      </c>
      <c r="G711" s="1436" t="n">
        <f aca="false">C711*D711*E711*F711</f>
        <v>0</v>
      </c>
      <c r="H711" s="1436"/>
      <c r="I711" s="1436"/>
      <c r="J711" s="1436"/>
      <c r="K711" s="1436"/>
      <c r="L711" s="1436"/>
      <c r="M711" s="1436"/>
      <c r="N711" s="1436"/>
      <c r="O711" s="1635"/>
      <c r="P711" s="1714"/>
      <c r="Q711" s="1714"/>
      <c r="R711" s="1714"/>
      <c r="S711" s="1436"/>
      <c r="T711" s="1635"/>
      <c r="U711" s="1634"/>
      <c r="V711" s="1635"/>
      <c r="W711" s="1857"/>
      <c r="X711" s="1857"/>
      <c r="Y711" s="1635"/>
      <c r="Z711" s="1714"/>
      <c r="AA711" s="1436"/>
      <c r="AB711" s="1436"/>
      <c r="AC711" s="1436"/>
      <c r="AD711" s="1344"/>
    </row>
    <row r="712" customFormat="false" ht="15.75" hidden="true" customHeight="true" outlineLevel="1" collapsed="false">
      <c r="A712" s="1180" t="s">
        <v>3478</v>
      </c>
      <c r="B712" s="1683" t="s">
        <v>15</v>
      </c>
      <c r="C712" s="1692" t="n">
        <f aca="false">$C$143</f>
        <v>0.145</v>
      </c>
      <c r="D712" s="1436" t="n">
        <f aca="false">$J$620</f>
        <v>0.045</v>
      </c>
      <c r="E712" s="1604" t="n">
        <f aca="false">IF(E677=0,0,IF('Ввод данных'!$A$17=связи1!$A$95,IF(дома!E711+дома!$F$634&lt;дома!$E$627+0.3,дома!E711+дома!$F$634,0),0))+IF(дома!E711=0,0,IF('Ввод данных'!$A$17=связи1!$A$96,IF(дома!E711+0.05+дома!$F$634&gt;дома!$E$627+0.4,0,дома!E711+дома!$F$634),0))+IF(дома!E711=0,0,IF('Ввод данных'!$A$17=связи1!$A$98,IF(дома!E711+0.05+дома!$F$634&gt;дома!$E$627+0.4,0,дома!E711+дома!$F$634),0))</f>
        <v>0</v>
      </c>
      <c r="F712" s="1436" t="n">
        <f aca="false">IF(E712&lt;($E$631+0.5),1,0)*$D$635*IF('Ввод данных'!$A$101=связи1!$A$128,2,2)*IF(связи1!$H$91=связи1!$A$2,1,0)</f>
        <v>2</v>
      </c>
      <c r="G712" s="1436" t="n">
        <f aca="false">C712*D712*E712*F712</f>
        <v>0</v>
      </c>
      <c r="H712" s="1436"/>
      <c r="I712" s="1436"/>
      <c r="J712" s="1436"/>
      <c r="K712" s="1436"/>
      <c r="L712" s="1436"/>
      <c r="M712" s="1436"/>
      <c r="N712" s="1436"/>
      <c r="O712" s="1635"/>
      <c r="P712" s="1714"/>
      <c r="Q712" s="1714"/>
      <c r="R712" s="1714"/>
      <c r="S712" s="1436"/>
      <c r="T712" s="1635"/>
      <c r="U712" s="1634"/>
      <c r="V712" s="1635"/>
      <c r="W712" s="1857"/>
      <c r="X712" s="1857"/>
      <c r="Y712" s="1635"/>
      <c r="Z712" s="1714"/>
      <c r="AA712" s="1436"/>
      <c r="AB712" s="1436"/>
      <c r="AC712" s="1436"/>
      <c r="AD712" s="1344"/>
    </row>
    <row r="713" customFormat="false" ht="15.75" hidden="true" customHeight="true" outlineLevel="1" collapsed="false">
      <c r="A713" s="1180" t="s">
        <v>3479</v>
      </c>
      <c r="B713" s="1683" t="s">
        <v>15</v>
      </c>
      <c r="C713" s="1692" t="n">
        <f aca="false">$C$143</f>
        <v>0.145</v>
      </c>
      <c r="D713" s="1436" t="n">
        <f aca="false">$J$620</f>
        <v>0.045</v>
      </c>
      <c r="E713" s="1604" t="n">
        <f aca="false">IF(E678=0,0,IF('Ввод данных'!$A$17=связи1!$A$95,IF(дома!E712+дома!$F$634&lt;дома!$E$627+0.3,дома!E712+дома!$F$634,0),0))+IF(дома!E712=0,0,IF('Ввод данных'!$A$17=связи1!$A$96,IF(дома!E712+0.05+дома!$F$634&gt;дома!$E$627+0.4,0,дома!E712+дома!$F$634),0))+IF(дома!E712=0,0,IF('Ввод данных'!$A$17=связи1!$A$98,IF(дома!E712+0.05+дома!$F$634&gt;дома!$E$627+0.4,0,дома!E712+дома!$F$634),0))</f>
        <v>0</v>
      </c>
      <c r="F713" s="1436" t="n">
        <f aca="false">IF(E713&lt;($E$631+0.5),1,0)*$D$635*IF('Ввод данных'!$A$101=связи1!$A$128,2,2)*IF(связи1!$H$91=связи1!$A$2,1,0)</f>
        <v>2</v>
      </c>
      <c r="G713" s="1436" t="n">
        <f aca="false">C713*D713*E713*F713</f>
        <v>0</v>
      </c>
      <c r="H713" s="1436"/>
      <c r="I713" s="1436"/>
      <c r="J713" s="1436"/>
      <c r="K713" s="1436"/>
      <c r="L713" s="1436"/>
      <c r="M713" s="1436"/>
      <c r="N713" s="1436"/>
      <c r="O713" s="1635"/>
      <c r="P713" s="1714"/>
      <c r="Q713" s="1714"/>
      <c r="R713" s="1714"/>
      <c r="S713" s="1436"/>
      <c r="T713" s="1635"/>
      <c r="U713" s="1634"/>
      <c r="V713" s="1635"/>
      <c r="W713" s="1857"/>
      <c r="X713" s="1857"/>
      <c r="Y713" s="1635"/>
      <c r="Z713" s="1714"/>
      <c r="AA713" s="1436"/>
      <c r="AB713" s="1436"/>
      <c r="AC713" s="1436"/>
      <c r="AD713" s="1344"/>
    </row>
    <row r="714" customFormat="false" ht="15.75" hidden="true" customHeight="true" outlineLevel="1" collapsed="false">
      <c r="A714" s="1180" t="s">
        <v>3480</v>
      </c>
      <c r="B714" s="1683" t="s">
        <v>15</v>
      </c>
      <c r="C714" s="1692" t="n">
        <f aca="false">$C$143</f>
        <v>0.145</v>
      </c>
      <c r="D714" s="1436" t="n">
        <f aca="false">$J$620</f>
        <v>0.045</v>
      </c>
      <c r="E714" s="1604" t="n">
        <f aca="false">IF(E679=0,0,IF('Ввод данных'!$A$17=связи1!$A$95,IF(дома!E713+дома!$F$634&lt;дома!$E$627+0.3,дома!E713+дома!$F$634,0),0))+IF(дома!E713=0,0,IF('Ввод данных'!$A$17=связи1!$A$96,IF(дома!E713+0.05+дома!$F$634&gt;дома!$E$627+0.4,0,дома!E713+дома!$F$634),0))+IF(дома!E713=0,0,IF('Ввод данных'!$A$17=связи1!$A$98,IF(дома!E713+0.05+дома!$F$634&gt;дома!$E$627+0.4,0,дома!E713+дома!$F$634),0))</f>
        <v>0</v>
      </c>
      <c r="F714" s="1436" t="n">
        <f aca="false">IF(E714&lt;($E$631+0.5),1,0)*$D$635*IF('Ввод данных'!$A$101=связи1!$A$128,2,2)*IF(связи1!$H$91=связи1!$A$2,1,0)</f>
        <v>2</v>
      </c>
      <c r="G714" s="1436" t="n">
        <f aca="false">C714*D714*E714*F714</f>
        <v>0</v>
      </c>
      <c r="H714" s="1436"/>
      <c r="I714" s="1436"/>
      <c r="J714" s="1436"/>
      <c r="K714" s="1436"/>
      <c r="L714" s="1436"/>
      <c r="M714" s="1436"/>
      <c r="N714" s="1436"/>
      <c r="O714" s="1635"/>
      <c r="P714" s="1714"/>
      <c r="Q714" s="1714"/>
      <c r="R714" s="1714"/>
      <c r="S714" s="1436"/>
      <c r="T714" s="1635"/>
      <c r="U714" s="1634"/>
      <c r="V714" s="1635"/>
      <c r="W714" s="1857"/>
      <c r="X714" s="1857"/>
      <c r="Y714" s="1635"/>
      <c r="Z714" s="1714"/>
      <c r="AA714" s="1436"/>
      <c r="AB714" s="1436"/>
      <c r="AC714" s="1436"/>
      <c r="AD714" s="1344"/>
    </row>
    <row r="715" customFormat="false" ht="15.75" hidden="true" customHeight="true" outlineLevel="1" collapsed="false">
      <c r="A715" s="1180" t="s">
        <v>3481</v>
      </c>
      <c r="B715" s="1683" t="s">
        <v>15</v>
      </c>
      <c r="C715" s="1692" t="n">
        <f aca="false">$C$143</f>
        <v>0.145</v>
      </c>
      <c r="D715" s="1436" t="n">
        <f aca="false">$J$620</f>
        <v>0.045</v>
      </c>
      <c r="E715" s="1604" t="n">
        <f aca="false">IF(E680=0,0,IF('Ввод данных'!$A$17=связи1!$A$95,IF(дома!E714+дома!$F$634&lt;дома!$E$627+0.3,дома!E714+дома!$F$634,0),0))+IF(дома!E714=0,0,IF('Ввод данных'!$A$17=связи1!$A$96,IF(дома!E714+0.05+дома!$F$634&gt;дома!$E$627+0.4,0,дома!E714+дома!$F$634),0))+IF(дома!E714=0,0,IF('Ввод данных'!$A$17=связи1!$A$98,IF(дома!E714+0.05+дома!$F$634&gt;дома!$E$627+0.4,0,дома!E714+дома!$F$634),0))</f>
        <v>0</v>
      </c>
      <c r="F715" s="1436" t="n">
        <f aca="false">IF(E715&lt;($E$631+0.5),1,0)*$D$635*IF('Ввод данных'!$A$101=связи1!$A$128,2,2)*IF(связи1!$H$91=связи1!$A$2,1,0)</f>
        <v>2</v>
      </c>
      <c r="G715" s="1436" t="n">
        <f aca="false">C715*D715*E715*F715</f>
        <v>0</v>
      </c>
      <c r="H715" s="1436"/>
      <c r="I715" s="1436"/>
      <c r="J715" s="1436"/>
      <c r="K715" s="1436"/>
      <c r="L715" s="1436"/>
      <c r="M715" s="1436"/>
      <c r="N715" s="1436"/>
      <c r="O715" s="1635"/>
      <c r="P715" s="1714"/>
      <c r="Q715" s="1714"/>
      <c r="R715" s="1714"/>
      <c r="S715" s="1436"/>
      <c r="T715" s="1635"/>
      <c r="U715" s="1634"/>
      <c r="V715" s="1635"/>
      <c r="W715" s="1857"/>
      <c r="X715" s="1857"/>
      <c r="Y715" s="1635"/>
      <c r="Z715" s="1714"/>
      <c r="AA715" s="1436"/>
      <c r="AB715" s="1436"/>
      <c r="AC715" s="1436"/>
      <c r="AD715" s="1344"/>
    </row>
    <row r="716" customFormat="false" ht="15.75" hidden="true" customHeight="true" outlineLevel="1" collapsed="false">
      <c r="A716" s="1180" t="s">
        <v>3482</v>
      </c>
      <c r="B716" s="1683" t="s">
        <v>15</v>
      </c>
      <c r="C716" s="1692" t="n">
        <f aca="false">$C$143</f>
        <v>0.145</v>
      </c>
      <c r="D716" s="1436" t="n">
        <f aca="false">$J$620</f>
        <v>0.045</v>
      </c>
      <c r="E716" s="1604" t="n">
        <f aca="false">IF(E681=0,0,IF('Ввод данных'!$A$17=связи1!$A$95,IF(дома!E715+дома!$F$634&lt;дома!$E$627+0.3,дома!E715+дома!$F$634,0),0))+IF(дома!E715=0,0,IF('Ввод данных'!$A$17=связи1!$A$96,IF(дома!E715+0.05+дома!$F$634&gt;дома!$E$627+0.4,0,дома!E715+дома!$F$634),0))+IF(дома!E715=0,0,IF('Ввод данных'!$A$17=связи1!$A$98,IF(дома!E715+0.05+дома!$F$634&gt;дома!$E$627+0.4,0,дома!E715+дома!$F$634),0))</f>
        <v>0</v>
      </c>
      <c r="F716" s="1436" t="n">
        <f aca="false">IF(E716&lt;($E$631+0.5),1,0)*$D$635*IF('Ввод данных'!$A$101=связи1!$A$128,2,2)*IF(связи1!$H$91=связи1!$A$2,1,0)</f>
        <v>2</v>
      </c>
      <c r="G716" s="1436" t="n">
        <f aca="false">C716*D716*E716*F716</f>
        <v>0</v>
      </c>
      <c r="H716" s="1436"/>
      <c r="I716" s="1436"/>
      <c r="J716" s="1436"/>
      <c r="K716" s="1436"/>
      <c r="L716" s="1436"/>
      <c r="M716" s="1436"/>
      <c r="N716" s="1436"/>
      <c r="O716" s="1635"/>
      <c r="P716" s="1714"/>
      <c r="Q716" s="1714"/>
      <c r="R716" s="1714"/>
      <c r="S716" s="1436"/>
      <c r="T716" s="1635"/>
      <c r="U716" s="1634"/>
      <c r="V716" s="1635"/>
      <c r="W716" s="1857"/>
      <c r="X716" s="1857"/>
      <c r="Y716" s="1635"/>
      <c r="Z716" s="1714"/>
      <c r="AA716" s="1436"/>
      <c r="AB716" s="1436"/>
      <c r="AC716" s="1436"/>
      <c r="AD716" s="1344"/>
    </row>
    <row r="717" customFormat="false" ht="15.75" hidden="true" customHeight="true" outlineLevel="1" collapsed="false">
      <c r="A717" s="1770" t="s">
        <v>3410</v>
      </c>
      <c r="B717" s="1720" t="s">
        <v>15</v>
      </c>
      <c r="C717" s="1771" t="n">
        <f aca="false">$C$143</f>
        <v>0.145</v>
      </c>
      <c r="D717" s="1772" t="n">
        <f aca="false">$J$620</f>
        <v>0.045</v>
      </c>
      <c r="E717" s="1773" t="n">
        <f aca="false">C621*IF(связи1!H95=связи1!A2,1,0)</f>
        <v>1.6</v>
      </c>
      <c r="F717" s="1772" t="n">
        <f aca="false">CEILING(C624/G624+1,1)</f>
        <v>15</v>
      </c>
      <c r="G717" s="1772" t="n">
        <f aca="false">C717*D717*E717*F717</f>
        <v>0.1566</v>
      </c>
      <c r="H717" s="1772"/>
      <c r="I717" s="1436"/>
      <c r="J717" s="1436"/>
      <c r="K717" s="1436"/>
      <c r="L717" s="1436"/>
      <c r="M717" s="1436"/>
      <c r="N717" s="1436"/>
      <c r="O717" s="1635"/>
      <c r="P717" s="1714"/>
      <c r="Q717" s="1714"/>
      <c r="R717" s="1714"/>
      <c r="S717" s="1436"/>
      <c r="T717" s="1635"/>
      <c r="U717" s="1634"/>
      <c r="V717" s="1635"/>
      <c r="W717" s="1857"/>
      <c r="X717" s="1857"/>
      <c r="Y717" s="1635"/>
      <c r="Z717" s="1714"/>
      <c r="AA717" s="1436"/>
      <c r="AB717" s="1436"/>
      <c r="AC717" s="1436"/>
      <c r="AD717" s="1344"/>
    </row>
    <row r="718" customFormat="false" ht="15.75" hidden="true" customHeight="true" outlineLevel="1" collapsed="false">
      <c r="A718" s="1770" t="s">
        <v>3483</v>
      </c>
      <c r="B718" s="1720" t="s">
        <v>15</v>
      </c>
      <c r="C718" s="1771" t="n">
        <f aca="false">$C$143</f>
        <v>0.145</v>
      </c>
      <c r="D718" s="1772" t="n">
        <f aca="false">$J$620</f>
        <v>0.045</v>
      </c>
      <c r="E718" s="1773" t="n">
        <f aca="false">C622*IF(связи1!H95=связи1!A2,1,0)</f>
        <v>1.6</v>
      </c>
      <c r="F718" s="1772" t="n">
        <f aca="false">CEILING(C624/G624+1,1)</f>
        <v>15</v>
      </c>
      <c r="G718" s="1772" t="n">
        <f aca="false">C718*D718*E718*F718</f>
        <v>0.1566</v>
      </c>
      <c r="H718" s="1772"/>
      <c r="I718" s="1436"/>
      <c r="J718" s="1436"/>
      <c r="K718" s="1436"/>
      <c r="L718" s="1436"/>
      <c r="M718" s="1436"/>
      <c r="N718" s="1436"/>
      <c r="O718" s="1635"/>
      <c r="P718" s="1714"/>
      <c r="Q718" s="1714"/>
      <c r="R718" s="1714"/>
      <c r="S718" s="1436"/>
      <c r="T718" s="1635"/>
      <c r="U718" s="1634"/>
      <c r="V718" s="1635"/>
      <c r="W718" s="1857"/>
      <c r="X718" s="1857"/>
      <c r="Y718" s="1635"/>
      <c r="Z718" s="1714"/>
      <c r="AA718" s="1436"/>
      <c r="AB718" s="1436"/>
      <c r="AC718" s="1436"/>
      <c r="AD718" s="1344"/>
    </row>
    <row r="719" customFormat="false" ht="15.75" hidden="true" customHeight="true" outlineLevel="1" collapsed="false">
      <c r="A719" s="1774" t="s">
        <v>3232</v>
      </c>
      <c r="B719" s="1720" t="s">
        <v>15</v>
      </c>
      <c r="C719" s="1771" t="n">
        <f aca="false">$C$143</f>
        <v>0.145</v>
      </c>
      <c r="D719" s="1772" t="n">
        <f aca="false">$J$620</f>
        <v>0.045</v>
      </c>
      <c r="E719" s="1721" t="n">
        <f aca="false">IF(связи1!H95=связи1!A2,1,0)*(IF('Ввод данных'!A17=связи1!A95,C621,0)+IF('Ввод данных'!A17=связи1!A96,дома!C621,0)+IF('Ввод данных'!A17=связи1!A98,дома!C621,0))</f>
        <v>1.6</v>
      </c>
      <c r="F719" s="1721" t="n">
        <f aca="false">4*$D$635</f>
        <v>4</v>
      </c>
      <c r="G719" s="1722" t="n">
        <f aca="false">C719*D719*E719*F719</f>
        <v>0.04176</v>
      </c>
      <c r="H719" s="1722"/>
      <c r="I719" s="1436"/>
      <c r="J719" s="1436"/>
      <c r="K719" s="1436"/>
      <c r="L719" s="1436"/>
      <c r="M719" s="1436"/>
      <c r="N719" s="1436"/>
      <c r="O719" s="1635"/>
      <c r="P719" s="1714"/>
      <c r="Q719" s="1714"/>
      <c r="R719" s="1714"/>
      <c r="S719" s="1436"/>
      <c r="T719" s="1635"/>
      <c r="U719" s="1634"/>
      <c r="V719" s="1635"/>
      <c r="W719" s="1857"/>
      <c r="X719" s="1857"/>
      <c r="Y719" s="1635"/>
      <c r="Z719" s="1714"/>
      <c r="AA719" s="1436"/>
      <c r="AB719" s="1436"/>
      <c r="AC719" s="1436"/>
      <c r="AD719" s="1344"/>
    </row>
    <row r="720" customFormat="false" ht="15.75" hidden="true" customHeight="true" outlineLevel="1" collapsed="false">
      <c r="A720" s="1774" t="s">
        <v>3233</v>
      </c>
      <c r="B720" s="1720" t="s">
        <v>15</v>
      </c>
      <c r="C720" s="1771" t="n">
        <f aca="false">$C$143</f>
        <v>0.145</v>
      </c>
      <c r="D720" s="1772" t="n">
        <f aca="false">$J$620</f>
        <v>0.045</v>
      </c>
      <c r="E720" s="1721" t="n">
        <f aca="false">C21*IF(связи1!H95=связи1!A2,1,0)</f>
        <v>2.6</v>
      </c>
      <c r="F720" s="1721" t="n">
        <f aca="false">CEILING(C620/G620,1)*2*$D$635</f>
        <v>28</v>
      </c>
      <c r="G720" s="1722" t="n">
        <f aca="false">C720*D720*E720*F720</f>
        <v>0.47502</v>
      </c>
      <c r="H720" s="1722"/>
      <c r="I720" s="1436"/>
      <c r="J720" s="1436"/>
      <c r="K720" s="1436"/>
      <c r="L720" s="1436"/>
      <c r="M720" s="1436"/>
      <c r="N720" s="1436"/>
      <c r="O720" s="1635"/>
      <c r="P720" s="1714"/>
      <c r="Q720" s="1714"/>
      <c r="R720" s="1714"/>
      <c r="S720" s="1436"/>
      <c r="T720" s="1635"/>
      <c r="U720" s="1634"/>
      <c r="V720" s="1635"/>
      <c r="W720" s="1857"/>
      <c r="X720" s="1857"/>
      <c r="Y720" s="1635"/>
      <c r="Z720" s="1714"/>
      <c r="AA720" s="1436"/>
      <c r="AB720" s="1436"/>
      <c r="AC720" s="1436"/>
      <c r="AD720" s="1344"/>
    </row>
    <row r="721" customFormat="false" ht="15.75" hidden="true" customHeight="true" outlineLevel="1" collapsed="false">
      <c r="A721" s="1774" t="s">
        <v>3484</v>
      </c>
      <c r="B721" s="1720" t="s">
        <v>15</v>
      </c>
      <c r="C721" s="1771" t="n">
        <f aca="false">$C$143</f>
        <v>0.145</v>
      </c>
      <c r="D721" s="1772" t="n">
        <f aca="false">$J$620</f>
        <v>0.045</v>
      </c>
      <c r="E721" s="1721" t="n">
        <f aca="false">(C620+C624)*IF(связи1!H95=связи1!A2,1,0)</f>
        <v>16</v>
      </c>
      <c r="F721" s="1721" t="n">
        <f aca="false">2*$D$635</f>
        <v>2</v>
      </c>
      <c r="G721" s="1722" t="n">
        <f aca="false">C721*D721*E721*F721</f>
        <v>0.2088</v>
      </c>
      <c r="H721" s="1722"/>
      <c r="I721" s="1436"/>
      <c r="J721" s="1436"/>
      <c r="K721" s="1436"/>
      <c r="L721" s="1436"/>
      <c r="M721" s="1436"/>
      <c r="N721" s="1436"/>
      <c r="O721" s="1635"/>
      <c r="P721" s="1714"/>
      <c r="Q721" s="1714"/>
      <c r="R721" s="1714"/>
      <c r="S721" s="1436"/>
      <c r="T721" s="1635"/>
      <c r="U721" s="1634"/>
      <c r="V721" s="1635"/>
      <c r="W721" s="1857"/>
      <c r="X721" s="1857"/>
      <c r="Y721" s="1635"/>
      <c r="Z721" s="1714"/>
      <c r="AA721" s="1436"/>
      <c r="AB721" s="1436"/>
      <c r="AC721" s="1436"/>
      <c r="AD721" s="1344"/>
    </row>
    <row r="722" customFormat="false" ht="15.75" hidden="true" customHeight="true" outlineLevel="1" collapsed="false">
      <c r="A722" s="1774" t="s">
        <v>3485</v>
      </c>
      <c r="B722" s="1720" t="s">
        <v>15</v>
      </c>
      <c r="C722" s="1771" t="n">
        <f aca="false">$C$143</f>
        <v>0.145</v>
      </c>
      <c r="D722" s="1772" t="n">
        <f aca="false">$J$620</f>
        <v>0.045</v>
      </c>
      <c r="E722" s="1721" t="n">
        <f aca="false">(J1158+J1167*2+C624+C625)*1.1*D635*IF(связи1!H95=связи1!A2,1,0)</f>
        <v>32.8604497220734</v>
      </c>
      <c r="F722" s="1721" t="n">
        <f aca="false">2*$D$635</f>
        <v>2</v>
      </c>
      <c r="G722" s="1722" t="n">
        <f aca="false">C722*D722*E722*F722</f>
        <v>0.428828868873058</v>
      </c>
      <c r="H722" s="1722"/>
      <c r="I722" s="1436"/>
      <c r="J722" s="1436"/>
      <c r="K722" s="1436"/>
      <c r="L722" s="1436"/>
      <c r="M722" s="1436"/>
      <c r="N722" s="1436"/>
      <c r="O722" s="1635"/>
      <c r="P722" s="1714"/>
      <c r="Q722" s="1714"/>
      <c r="R722" s="1714"/>
      <c r="S722" s="1436"/>
      <c r="T722" s="1635"/>
      <c r="U722" s="1634"/>
      <c r="V722" s="1635"/>
      <c r="W722" s="1857"/>
      <c r="X722" s="1857"/>
      <c r="Y722" s="1635"/>
      <c r="Z722" s="1714"/>
      <c r="AA722" s="1436"/>
      <c r="AB722" s="1436"/>
      <c r="AC722" s="1436"/>
      <c r="AD722" s="1344"/>
    </row>
    <row r="723" customFormat="false" ht="15.75" hidden="true" customHeight="true" outlineLevel="1" collapsed="false">
      <c r="A723" s="1774" t="s">
        <v>3198</v>
      </c>
      <c r="B723" s="1720" t="s">
        <v>15</v>
      </c>
      <c r="C723" s="1771" t="n">
        <f aca="false">$C$143</f>
        <v>0.145</v>
      </c>
      <c r="D723" s="1772" t="n">
        <f aca="false">$J$620</f>
        <v>0.045</v>
      </c>
      <c r="E723" s="1721" t="n">
        <f aca="false">E722*IF(связи1!H95=связи1!A2,1,0)</f>
        <v>32.8604497220734</v>
      </c>
      <c r="F723" s="1721" t="n">
        <f aca="false">2*$D$635</f>
        <v>2</v>
      </c>
      <c r="G723" s="1722" t="n">
        <f aca="false">C723*D723*E723*F723</f>
        <v>0.428828868873058</v>
      </c>
      <c r="H723" s="1722"/>
      <c r="I723" s="1436"/>
      <c r="J723" s="1436"/>
      <c r="K723" s="1436"/>
      <c r="L723" s="1436"/>
      <c r="M723" s="1436"/>
      <c r="N723" s="1436"/>
      <c r="O723" s="1635"/>
      <c r="P723" s="1714"/>
      <c r="Q723" s="1714"/>
      <c r="R723" s="1714"/>
      <c r="S723" s="1436"/>
      <c r="T723" s="1635"/>
      <c r="U723" s="1634"/>
      <c r="V723" s="1635"/>
      <c r="W723" s="1857"/>
      <c r="X723" s="1857"/>
      <c r="Y723" s="1635"/>
      <c r="Z723" s="1714"/>
      <c r="AA723" s="1436"/>
      <c r="AB723" s="1436"/>
      <c r="AC723" s="1436"/>
      <c r="AD723" s="1344"/>
    </row>
    <row r="724" customFormat="false" ht="15.75" hidden="true" customHeight="true" outlineLevel="1" collapsed="false">
      <c r="A724" s="1775" t="s">
        <v>3237</v>
      </c>
      <c r="B724" s="1626" t="s">
        <v>15</v>
      </c>
      <c r="C724" s="1627" t="n">
        <f aca="false">$C$143</f>
        <v>0.145</v>
      </c>
      <c r="D724" s="1372" t="n">
        <f aca="false">$J$620</f>
        <v>0.045</v>
      </c>
      <c r="E724" s="1667" t="n">
        <f aca="false">C620+C623+C624+C625</f>
        <v>32</v>
      </c>
      <c r="F724" s="1667" t="n">
        <f aca="false">1*IF('Ввод данных'!B245=связи1!A2,1,0)*IF(связи1!H89=связи1!A2,1,0)</f>
        <v>1</v>
      </c>
      <c r="G724" s="1669" t="n">
        <f aca="false">C724*D724*E724*F724</f>
        <v>0.2088</v>
      </c>
      <c r="H724" s="1669"/>
      <c r="I724" s="1436"/>
      <c r="J724" s="1436"/>
      <c r="K724" s="1436"/>
      <c r="L724" s="1436"/>
      <c r="M724" s="1436"/>
      <c r="N724" s="1436"/>
      <c r="O724" s="1635"/>
      <c r="P724" s="1714"/>
      <c r="Q724" s="1714"/>
      <c r="R724" s="1714"/>
      <c r="S724" s="1436"/>
      <c r="T724" s="1635"/>
      <c r="U724" s="1634"/>
      <c r="V724" s="1635"/>
      <c r="W724" s="1857"/>
      <c r="X724" s="1857"/>
      <c r="Y724" s="1635"/>
      <c r="Z724" s="1714"/>
      <c r="AA724" s="1436"/>
      <c r="AB724" s="1436"/>
      <c r="AC724" s="1436"/>
      <c r="AD724" s="1344"/>
    </row>
    <row r="725" customFormat="false" ht="15.75" hidden="true" customHeight="true" outlineLevel="1" collapsed="false">
      <c r="A725" s="1775" t="s">
        <v>3238</v>
      </c>
      <c r="B725" s="1626" t="s">
        <v>15</v>
      </c>
      <c r="C725" s="1627" t="n">
        <f aca="false">$C$143</f>
        <v>0.145</v>
      </c>
      <c r="D725" s="1372" t="n">
        <f aca="false">$J$620</f>
        <v>0.045</v>
      </c>
      <c r="E725" s="1667" t="n">
        <f aca="false">C620+C623+K629+K629</f>
        <v>33.3850510496806</v>
      </c>
      <c r="F725" s="1667" t="n">
        <f aca="false">1*IF('Ввод данных'!B245=связи1!A2,1,0)*IF(связи1!H89=связи1!A2,1,0)*D635</f>
        <v>1</v>
      </c>
      <c r="G725" s="1669" t="n">
        <f aca="false">C725*D725*E725*F725</f>
        <v>0.217837458099166</v>
      </c>
      <c r="H725" s="1669"/>
      <c r="I725" s="1436"/>
      <c r="J725" s="1436"/>
      <c r="K725" s="1436"/>
      <c r="L725" s="1436"/>
      <c r="M725" s="1436"/>
      <c r="N725" s="1436"/>
      <c r="O725" s="1635"/>
      <c r="P725" s="1714"/>
      <c r="Q725" s="1714"/>
      <c r="R725" s="1714"/>
      <c r="S725" s="1436"/>
      <c r="T725" s="1635"/>
      <c r="U725" s="1634"/>
      <c r="V725" s="1635"/>
      <c r="W725" s="1857"/>
      <c r="X725" s="1857"/>
      <c r="Y725" s="1635"/>
      <c r="Z725" s="1714"/>
      <c r="AA725" s="1436"/>
      <c r="AB725" s="1436"/>
      <c r="AC725" s="1436"/>
      <c r="AD725" s="1344"/>
    </row>
    <row r="726" customFormat="false" ht="15.75" hidden="true" customHeight="true" outlineLevel="1" collapsed="false">
      <c r="A726" s="1775" t="s">
        <v>3239</v>
      </c>
      <c r="B726" s="1626" t="s">
        <v>15</v>
      </c>
      <c r="C726" s="1627" t="n">
        <f aca="false">$C$143</f>
        <v>0.145</v>
      </c>
      <c r="D726" s="1372" t="n">
        <f aca="false">$J$620</f>
        <v>0.045</v>
      </c>
      <c r="E726" s="1667" t="n">
        <f aca="false">E725</f>
        <v>33.3850510496806</v>
      </c>
      <c r="F726" s="1667" t="n">
        <f aca="false">1*IF('Ввод данных'!B245=связи1!A2,1,0)*IF(связи1!H89=связи1!A2,1,0)*D635</f>
        <v>1</v>
      </c>
      <c r="G726" s="1669" t="n">
        <f aca="false">C726*D726*E726*F726</f>
        <v>0.217837458099166</v>
      </c>
      <c r="H726" s="1669"/>
      <c r="I726" s="1436"/>
      <c r="J726" s="1436"/>
      <c r="K726" s="1436"/>
      <c r="L726" s="1436"/>
      <c r="M726" s="1436"/>
      <c r="N726" s="1436"/>
      <c r="O726" s="1635"/>
      <c r="P726" s="1714"/>
      <c r="Q726" s="1714"/>
      <c r="R726" s="1714"/>
      <c r="S726" s="1436"/>
      <c r="T726" s="1635"/>
      <c r="U726" s="1634"/>
      <c r="V726" s="1635"/>
      <c r="W726" s="1857"/>
      <c r="X726" s="1857"/>
      <c r="Y726" s="1635"/>
      <c r="Z726" s="1714"/>
      <c r="AA726" s="1436"/>
      <c r="AB726" s="1436"/>
      <c r="AC726" s="1436"/>
      <c r="AD726" s="1344"/>
    </row>
    <row r="727" customFormat="false" ht="15.75" hidden="true" customHeight="true" outlineLevel="1" collapsed="false">
      <c r="A727" s="1776" t="s">
        <v>3486</v>
      </c>
      <c r="B727" s="1626" t="s">
        <v>15</v>
      </c>
      <c r="C727" s="1627" t="n">
        <f aca="false">$C$143</f>
        <v>0.145</v>
      </c>
      <c r="D727" s="1372" t="n">
        <f aca="false">$J$620</f>
        <v>0.045</v>
      </c>
      <c r="E727" s="1667" t="n">
        <f aca="false">IF('Ввод данных'!B245=связи1!A2,IF('Ввод данных'!A17=связи1!A95,'Ввод данных'!C12,0)+IF('Ввод данных'!A17=связи1!A96,связи1!H236,0)+IF('Ввод данных'!A17=связи1!A98,связи1!H236,0),0)</f>
        <v>1.6</v>
      </c>
      <c r="F727" s="1667" t="n">
        <f aca="false">CEILING(C620/G620+1,1)*IF('Ввод данных'!B245=связи1!A2,1,0)*IF(связи1!H89=связи1!A2,1,0)</f>
        <v>15</v>
      </c>
      <c r="G727" s="1669" t="n">
        <f aca="false">C727*D727*E727*F727</f>
        <v>0.1566</v>
      </c>
      <c r="H727" s="1669"/>
      <c r="I727" s="1436"/>
      <c r="J727" s="1436"/>
      <c r="K727" s="1436"/>
      <c r="L727" s="1436"/>
      <c r="M727" s="1436"/>
      <c r="N727" s="1436"/>
      <c r="O727" s="1635"/>
      <c r="P727" s="1714"/>
      <c r="Q727" s="1714"/>
      <c r="R727" s="1714"/>
      <c r="S727" s="1436"/>
      <c r="T727" s="1635"/>
      <c r="U727" s="1634"/>
      <c r="V727" s="1635"/>
      <c r="W727" s="1857"/>
      <c r="X727" s="1857"/>
      <c r="Y727" s="1635"/>
      <c r="Z727" s="1714"/>
      <c r="AA727" s="1436"/>
      <c r="AB727" s="1436"/>
      <c r="AC727" s="1436"/>
      <c r="AD727" s="1344"/>
    </row>
    <row r="728" customFormat="false" ht="15.75" hidden="true" customHeight="true" outlineLevel="1" collapsed="false">
      <c r="A728" s="1776" t="s">
        <v>3487</v>
      </c>
      <c r="B728" s="1626" t="s">
        <v>15</v>
      </c>
      <c r="C728" s="1627" t="n">
        <f aca="false">$C$143</f>
        <v>0.145</v>
      </c>
      <c r="D728" s="1372" t="n">
        <f aca="false">$J$620</f>
        <v>0.045</v>
      </c>
      <c r="E728" s="1667" t="n">
        <f aca="false">IF('Ввод данных'!B245=связи1!A2,IF('Ввод данных'!A17=связи1!A95,'Ввод данных'!C12,0)+IF('Ввод данных'!A17=связи1!A96,связи1!H235,0)+IF('Ввод данных'!A17=связи1!A98,связи1!H235,0),0)</f>
        <v>5</v>
      </c>
      <c r="F728" s="1667" t="n">
        <f aca="false">CEILING(C620/G620+1,1)*IF('Ввод данных'!B245=связи1!A2,1,0)*IF(связи1!H89=связи1!A2,1,0)</f>
        <v>15</v>
      </c>
      <c r="G728" s="1669" t="n">
        <f aca="false">C728*D728*E728*F728</f>
        <v>0.489375</v>
      </c>
      <c r="H728" s="1669"/>
      <c r="I728" s="1436"/>
      <c r="J728" s="1436"/>
      <c r="K728" s="1436"/>
      <c r="L728" s="1436"/>
      <c r="M728" s="1436"/>
      <c r="N728" s="1436"/>
      <c r="O728" s="1635"/>
      <c r="P728" s="1714"/>
      <c r="Q728" s="1714"/>
      <c r="R728" s="1714"/>
      <c r="S728" s="1436"/>
      <c r="T728" s="1635"/>
      <c r="U728" s="1634"/>
      <c r="V728" s="1635"/>
      <c r="W728" s="1857"/>
      <c r="X728" s="1857"/>
      <c r="Y728" s="1635"/>
      <c r="Z728" s="1714"/>
      <c r="AA728" s="1436"/>
      <c r="AB728" s="1436"/>
      <c r="AC728" s="1436"/>
      <c r="AD728" s="1344"/>
    </row>
    <row r="729" customFormat="false" ht="15.75" hidden="true" customHeight="true" outlineLevel="1" collapsed="false">
      <c r="A729" s="1776" t="s">
        <v>3488</v>
      </c>
      <c r="B729" s="1626" t="s">
        <v>15</v>
      </c>
      <c r="C729" s="1627" t="n">
        <f aca="false">$C$143</f>
        <v>0.145</v>
      </c>
      <c r="D729" s="1372" t="n">
        <f aca="false">$J$620</f>
        <v>0.045</v>
      </c>
      <c r="E729" s="1667" t="n">
        <f aca="false">IF('Ввод данных'!B245=связи1!A2,IF('Ввод данных'!A17=связи1!A95,'Ввод данных'!C12,0)+IF('Ввод данных'!A17=связи1!A96,связи1!H235,0)+IF('Ввод данных'!A17=связи1!A98,связи1!H235,0),0)</f>
        <v>5</v>
      </c>
      <c r="F729" s="1667" t="n">
        <f aca="false">CEILING(C624/G624+1,1)*IF('Ввод данных'!B245=связи1!A2,1,0)*IF(связи1!H89=связи1!A2,1,0)*IF('Ввод данных'!A17=связи1!A95,1,0)</f>
        <v>0</v>
      </c>
      <c r="G729" s="1669" t="n">
        <f aca="false">C729*D729*E729*F729</f>
        <v>0</v>
      </c>
      <c r="H729" s="1669"/>
      <c r="I729" s="1436"/>
      <c r="J729" s="1436"/>
      <c r="K729" s="1436"/>
      <c r="L729" s="1436"/>
      <c r="M729" s="1436"/>
      <c r="N729" s="1436"/>
      <c r="O729" s="1635"/>
      <c r="P729" s="1714"/>
      <c r="Q729" s="1714"/>
      <c r="R729" s="1714"/>
      <c r="S729" s="1436"/>
      <c r="T729" s="1635"/>
      <c r="U729" s="1634"/>
      <c r="V729" s="1635"/>
      <c r="W729" s="1857"/>
      <c r="X729" s="1857"/>
      <c r="Y729" s="1635"/>
      <c r="Z729" s="1714"/>
      <c r="AA729" s="1436"/>
      <c r="AB729" s="1436"/>
      <c r="AC729" s="1436"/>
      <c r="AD729" s="1344"/>
    </row>
    <row r="730" customFormat="false" ht="15.75" hidden="true" customHeight="true" outlineLevel="1" collapsed="false">
      <c r="A730" s="1775" t="s">
        <v>3243</v>
      </c>
      <c r="B730" s="1626" t="s">
        <v>15</v>
      </c>
      <c r="C730" s="1627" t="n">
        <f aca="false">$C$143</f>
        <v>0.145</v>
      </c>
      <c r="D730" s="1372" t="n">
        <f aca="false">$J$620</f>
        <v>0.045</v>
      </c>
      <c r="E730" s="1667" t="n">
        <f aca="false">IF('Ввод данных'!A17=связи1!A95,(связи1!H235-'Ввод данных'!C12),0)+IF('Ввод данных'!A17=связи1!A96,связи1!H235,0)+IF('Ввод данных'!A17=связи1!A98,связи1!H235,0)</f>
        <v>5</v>
      </c>
      <c r="F730" s="1667" t="n">
        <f aca="false">2*IF('Ввод данных'!$B$245=связи1!$A$2,1,0)*IF(связи1!$H$89=связи1!$A$2,1,0)</f>
        <v>2</v>
      </c>
      <c r="G730" s="1669" t="n">
        <f aca="false">C730*D730*E730*F730</f>
        <v>0.06525</v>
      </c>
      <c r="H730" s="1669"/>
      <c r="I730" s="1436"/>
      <c r="J730" s="1436"/>
      <c r="K730" s="1436"/>
      <c r="L730" s="1436"/>
      <c r="M730" s="1436"/>
      <c r="N730" s="1436"/>
      <c r="O730" s="1635"/>
      <c r="P730" s="1714"/>
      <c r="Q730" s="1714"/>
      <c r="R730" s="1714"/>
      <c r="S730" s="1436"/>
      <c r="T730" s="1635"/>
      <c r="U730" s="1634"/>
      <c r="V730" s="1635"/>
      <c r="W730" s="1857"/>
      <c r="X730" s="1857"/>
      <c r="Y730" s="1635"/>
      <c r="Z730" s="1714"/>
      <c r="AA730" s="1436"/>
      <c r="AB730" s="1436"/>
      <c r="AC730" s="1436"/>
      <c r="AD730" s="1344"/>
    </row>
    <row r="731" customFormat="false" ht="15.75" hidden="true" customHeight="true" outlineLevel="1" collapsed="false">
      <c r="A731" s="1775" t="s">
        <v>3244</v>
      </c>
      <c r="B731" s="1626" t="s">
        <v>15</v>
      </c>
      <c r="C731" s="1627" t="n">
        <f aca="false">$C$143</f>
        <v>0.145</v>
      </c>
      <c r="D731" s="1372" t="n">
        <f aca="false">$J$620</f>
        <v>0.045</v>
      </c>
      <c r="E731" s="1667" t="n">
        <f aca="false">IF(E730=0,0,IF('Ввод данных'!$A$17=связи1!$A$95,IF(E730&lt;=0,0,E730-дома!$K$632),0)+IF('Ввод данных'!$A$17=связи1!$A$96,IF(E730&lt;связи1!$H$236,0,E730-$K$632),0)+IF('Ввод данных'!$A$17=связи1!$A$98,IF(E730&lt;связи1!$H$236,0,E730-$K$632),0))</f>
        <v>4.77333333333333</v>
      </c>
      <c r="F731" s="1667" t="n">
        <f aca="false">2*IF('Ввод данных'!$B$245=связи1!$A$2,1,0)*IF(связи1!$H$89=связи1!$A$2,1,0)</f>
        <v>2</v>
      </c>
      <c r="G731" s="1669" t="n">
        <f aca="false">C731*D731*E731*F731</f>
        <v>0.062292</v>
      </c>
      <c r="H731" s="1669"/>
      <c r="I731" s="1436"/>
      <c r="J731" s="1436"/>
      <c r="K731" s="1436"/>
      <c r="L731" s="1436"/>
      <c r="M731" s="1436"/>
      <c r="N731" s="1436"/>
      <c r="O731" s="1635"/>
      <c r="P731" s="1714"/>
      <c r="Q731" s="1714"/>
      <c r="R731" s="1714"/>
      <c r="S731" s="1436"/>
      <c r="T731" s="1635"/>
      <c r="U731" s="1634"/>
      <c r="V731" s="1635"/>
      <c r="W731" s="1857"/>
      <c r="X731" s="1857"/>
      <c r="Y731" s="1635"/>
      <c r="Z731" s="1714"/>
      <c r="AA731" s="1436"/>
      <c r="AB731" s="1436"/>
      <c r="AC731" s="1436"/>
      <c r="AD731" s="1344"/>
    </row>
    <row r="732" customFormat="false" ht="15.75" hidden="true" customHeight="true" outlineLevel="1" collapsed="false">
      <c r="A732" s="1775" t="s">
        <v>3245</v>
      </c>
      <c r="B732" s="1626" t="s">
        <v>15</v>
      </c>
      <c r="C732" s="1627" t="n">
        <f aca="false">$C$143</f>
        <v>0.145</v>
      </c>
      <c r="D732" s="1372" t="n">
        <f aca="false">$J$620</f>
        <v>0.045</v>
      </c>
      <c r="E732" s="1667" t="n">
        <f aca="false">IF(E731=0,0,IF('Ввод данных'!$A$17=связи1!$A$95,IF(E731&lt;=0,0,E731-дома!$K$632),0)+IF('Ввод данных'!$A$17=связи1!$A$96,IF(E731&lt;связи1!$H$236,0,E731-$K$632),0)+IF('Ввод данных'!$A$17=связи1!$A$98,IF(E731&lt;связи1!$H$236,0,E731-$K$632),0))</f>
        <v>4.54666666666667</v>
      </c>
      <c r="F732" s="1667" t="n">
        <f aca="false">2*IF('Ввод данных'!$B$245=связи1!$A$2,1,0)*IF(связи1!$H$89=связи1!$A$2,1,0)</f>
        <v>2</v>
      </c>
      <c r="G732" s="1669" t="n">
        <f aca="false">C732*D732*E732*F732</f>
        <v>0.059334</v>
      </c>
      <c r="H732" s="1669"/>
      <c r="I732" s="1436"/>
      <c r="J732" s="1436"/>
      <c r="K732" s="1436"/>
      <c r="L732" s="1436"/>
      <c r="M732" s="1436"/>
      <c r="N732" s="1436"/>
      <c r="O732" s="1635"/>
      <c r="P732" s="1714"/>
      <c r="Q732" s="1714"/>
      <c r="R732" s="1714"/>
      <c r="S732" s="1436"/>
      <c r="T732" s="1635"/>
      <c r="U732" s="1634"/>
      <c r="V732" s="1635"/>
      <c r="W732" s="1857"/>
      <c r="X732" s="1857"/>
      <c r="Y732" s="1635"/>
      <c r="Z732" s="1714"/>
      <c r="AA732" s="1436"/>
      <c r="AB732" s="1436"/>
      <c r="AC732" s="1436"/>
      <c r="AD732" s="1344"/>
    </row>
    <row r="733" customFormat="false" ht="15.75" hidden="true" customHeight="true" outlineLevel="1" collapsed="false">
      <c r="A733" s="1775" t="s">
        <v>3246</v>
      </c>
      <c r="B733" s="1626" t="s">
        <v>15</v>
      </c>
      <c r="C733" s="1627" t="n">
        <f aca="false">$C$143</f>
        <v>0.145</v>
      </c>
      <c r="D733" s="1372" t="n">
        <f aca="false">$J$620</f>
        <v>0.045</v>
      </c>
      <c r="E733" s="1667" t="n">
        <f aca="false">IF(E732=0,0,IF('Ввод данных'!$A$17=связи1!$A$95,IF(E732&lt;=0,0,E732-дома!$K$632),0)+IF('Ввод данных'!$A$17=связи1!$A$96,IF(E732&lt;связи1!$H$236,0,E732-$K$632),0)+IF('Ввод данных'!$A$17=связи1!$A$98,IF(E732&lt;связи1!$H$236,0,E732-$K$632),0))</f>
        <v>4.32</v>
      </c>
      <c r="F733" s="1667" t="n">
        <f aca="false">2*IF('Ввод данных'!$B$245=связи1!$A$2,1,0)*IF(связи1!$H$89=связи1!$A$2,1,0)</f>
        <v>2</v>
      </c>
      <c r="G733" s="1669" t="n">
        <f aca="false">C733*D733*E733*F733</f>
        <v>0.056376</v>
      </c>
      <c r="H733" s="1669"/>
      <c r="I733" s="1436"/>
      <c r="J733" s="1436"/>
      <c r="K733" s="1436"/>
      <c r="L733" s="1436"/>
      <c r="M733" s="1436"/>
      <c r="N733" s="1436"/>
      <c r="O733" s="1635"/>
      <c r="P733" s="1714"/>
      <c r="Q733" s="1714"/>
      <c r="R733" s="1714"/>
      <c r="S733" s="1436"/>
      <c r="T733" s="1635"/>
      <c r="U733" s="1634"/>
      <c r="V733" s="1635"/>
      <c r="W733" s="1857"/>
      <c r="X733" s="1857"/>
      <c r="Y733" s="1635"/>
      <c r="Z733" s="1714"/>
      <c r="AA733" s="1436"/>
      <c r="AB733" s="1436"/>
      <c r="AC733" s="1436"/>
      <c r="AD733" s="1344"/>
    </row>
    <row r="734" customFormat="false" ht="15.75" hidden="true" customHeight="true" outlineLevel="1" collapsed="false">
      <c r="A734" s="1775" t="s">
        <v>3247</v>
      </c>
      <c r="B734" s="1626" t="s">
        <v>15</v>
      </c>
      <c r="C734" s="1627" t="n">
        <f aca="false">$C$143</f>
        <v>0.145</v>
      </c>
      <c r="D734" s="1372" t="n">
        <f aca="false">$J$620</f>
        <v>0.045</v>
      </c>
      <c r="E734" s="1667" t="n">
        <f aca="false">IF(E733=0,0,IF('Ввод данных'!$A$17=связи1!$A$95,IF(E733&lt;=0,0,E733-дома!$K$632),0)+IF('Ввод данных'!$A$17=связи1!$A$96,IF(E733&lt;связи1!$H$236,0,E733-$K$632),0)+IF('Ввод данных'!$A$17=связи1!$A$98,IF(E733&lt;связи1!$H$236,0,E733-$K$632),0))</f>
        <v>4.09333333333333</v>
      </c>
      <c r="F734" s="1667" t="n">
        <f aca="false">2*IF('Ввод данных'!$B$245=связи1!$A$2,1,0)*IF(связи1!$H$89=связи1!$A$2,1,0)</f>
        <v>2</v>
      </c>
      <c r="G734" s="1669" t="n">
        <f aca="false">C734*D734*E734*F734</f>
        <v>0.053418</v>
      </c>
      <c r="H734" s="1669"/>
      <c r="I734" s="1436"/>
      <c r="J734" s="1436"/>
      <c r="K734" s="1436"/>
      <c r="L734" s="1436"/>
      <c r="M734" s="1436"/>
      <c r="N734" s="1436"/>
      <c r="O734" s="1635"/>
      <c r="P734" s="1714"/>
      <c r="Q734" s="1714"/>
      <c r="R734" s="1714"/>
      <c r="S734" s="1436"/>
      <c r="T734" s="1635"/>
      <c r="U734" s="1634"/>
      <c r="V734" s="1635"/>
      <c r="W734" s="1857"/>
      <c r="X734" s="1857"/>
      <c r="Y734" s="1635"/>
      <c r="Z734" s="1714"/>
      <c r="AA734" s="1436"/>
      <c r="AB734" s="1436"/>
      <c r="AC734" s="1436"/>
      <c r="AD734" s="1344"/>
    </row>
    <row r="735" customFormat="false" ht="15.75" hidden="true" customHeight="true" outlineLevel="1" collapsed="false">
      <c r="A735" s="1775" t="s">
        <v>3248</v>
      </c>
      <c r="B735" s="1626" t="s">
        <v>15</v>
      </c>
      <c r="C735" s="1627" t="n">
        <f aca="false">$C$143</f>
        <v>0.145</v>
      </c>
      <c r="D735" s="1372" t="n">
        <f aca="false">$J$620</f>
        <v>0.045</v>
      </c>
      <c r="E735" s="1667" t="n">
        <f aca="false">IF(E734=0,0,IF('Ввод данных'!$A$17=связи1!$A$95,IF(E734&lt;=0,0,E734-дома!$K$632),0)+IF('Ввод данных'!$A$17=связи1!$A$96,IF(E734&lt;связи1!$H$236,0,E734-$K$632),0)+IF('Ввод данных'!$A$17=связи1!$A$98,IF(E734&lt;связи1!$H$236,0,E734-$K$632),0))</f>
        <v>3.86666666666667</v>
      </c>
      <c r="F735" s="1667" t="n">
        <f aca="false">2*IF('Ввод данных'!$B$245=связи1!$A$2,1,0)*IF(связи1!$H$89=связи1!$A$2,1,0)</f>
        <v>2</v>
      </c>
      <c r="G735" s="1669" t="n">
        <f aca="false">C735*D735*E735*F735</f>
        <v>0.05046</v>
      </c>
      <c r="H735" s="1669"/>
      <c r="I735" s="1436"/>
      <c r="J735" s="1436"/>
      <c r="K735" s="1436"/>
      <c r="L735" s="1436"/>
      <c r="M735" s="1436"/>
      <c r="N735" s="1436"/>
      <c r="O735" s="1635"/>
      <c r="P735" s="1714"/>
      <c r="Q735" s="1714"/>
      <c r="R735" s="1714"/>
      <c r="S735" s="1436"/>
      <c r="T735" s="1635"/>
      <c r="U735" s="1634"/>
      <c r="V735" s="1635"/>
      <c r="W735" s="1857"/>
      <c r="X735" s="1857"/>
      <c r="Y735" s="1635"/>
      <c r="Z735" s="1714"/>
      <c r="AA735" s="1436"/>
      <c r="AB735" s="1436"/>
      <c r="AC735" s="1436"/>
      <c r="AD735" s="1344"/>
    </row>
    <row r="736" customFormat="false" ht="15.75" hidden="true" customHeight="true" outlineLevel="1" collapsed="false">
      <c r="A736" s="1775" t="s">
        <v>3249</v>
      </c>
      <c r="B736" s="1626" t="s">
        <v>15</v>
      </c>
      <c r="C736" s="1627" t="n">
        <f aca="false">$C$143</f>
        <v>0.145</v>
      </c>
      <c r="D736" s="1372" t="n">
        <f aca="false">$J$620</f>
        <v>0.045</v>
      </c>
      <c r="E736" s="1667" t="n">
        <f aca="false">IF(E735=0,0,IF('Ввод данных'!$A$17=связи1!$A$95,IF(E735&lt;=0,0,E735-дома!$K$632),0)+IF('Ввод данных'!$A$17=связи1!$A$96,IF(E735&lt;связи1!$H$236,0,E735-$K$632),0)+IF('Ввод данных'!$A$17=связи1!$A$98,IF(E735&lt;связи1!$H$236,0,E735-$K$632),0))</f>
        <v>3.64</v>
      </c>
      <c r="F736" s="1667" t="n">
        <f aca="false">2*IF('Ввод данных'!$B$245=связи1!$A$2,1,0)*IF(связи1!$H$89=связи1!$A$2,1,0)</f>
        <v>2</v>
      </c>
      <c r="G736" s="1669" t="n">
        <f aca="false">C736*D736*E736*F736</f>
        <v>0.047502</v>
      </c>
      <c r="H736" s="1669"/>
      <c r="I736" s="1436"/>
      <c r="J736" s="1436"/>
      <c r="K736" s="1436"/>
      <c r="L736" s="1436"/>
      <c r="M736" s="1436"/>
      <c r="N736" s="1436"/>
      <c r="O736" s="1635"/>
      <c r="P736" s="1714"/>
      <c r="Q736" s="1714"/>
      <c r="R736" s="1714"/>
      <c r="S736" s="1436"/>
      <c r="T736" s="1635"/>
      <c r="U736" s="1634"/>
      <c r="V736" s="1635"/>
      <c r="W736" s="1857"/>
      <c r="X736" s="1857"/>
      <c r="Y736" s="1635"/>
      <c r="Z736" s="1714"/>
      <c r="AA736" s="1436"/>
      <c r="AB736" s="1436"/>
      <c r="AC736" s="1436"/>
      <c r="AD736" s="1344"/>
    </row>
    <row r="737" customFormat="false" ht="15.75" hidden="true" customHeight="true" outlineLevel="1" collapsed="false">
      <c r="A737" s="1775" t="s">
        <v>3250</v>
      </c>
      <c r="B737" s="1626" t="s">
        <v>15</v>
      </c>
      <c r="C737" s="1627" t="n">
        <f aca="false">$C$143</f>
        <v>0.145</v>
      </c>
      <c r="D737" s="1372" t="n">
        <f aca="false">$J$620</f>
        <v>0.045</v>
      </c>
      <c r="E737" s="1667" t="n">
        <f aca="false">IF(E736=0,0,IF('Ввод данных'!$A$17=связи1!$A$95,IF(E736&lt;=0,0,E736-дома!$K$632),0)+IF('Ввод данных'!$A$17=связи1!$A$96,IF(E736&lt;связи1!$H$236,0,E736-$K$632),0)+IF('Ввод данных'!$A$17=связи1!$A$98,IF(E736&lt;связи1!$H$236,0,E736-$K$632),0))</f>
        <v>3.41333333333333</v>
      </c>
      <c r="F737" s="1667" t="n">
        <f aca="false">2*IF('Ввод данных'!$B$245=связи1!$A$2,1,0)*IF(связи1!$H$89=связи1!$A$2,1,0)</f>
        <v>2</v>
      </c>
      <c r="G737" s="1669" t="n">
        <f aca="false">C737*D737*E737*F737</f>
        <v>0.044544</v>
      </c>
      <c r="H737" s="1669"/>
      <c r="I737" s="1436"/>
      <c r="J737" s="1436"/>
      <c r="K737" s="1436"/>
      <c r="L737" s="1436"/>
      <c r="M737" s="1436"/>
      <c r="N737" s="1436"/>
      <c r="O737" s="1635"/>
      <c r="P737" s="1714"/>
      <c r="Q737" s="1714"/>
      <c r="R737" s="1714"/>
      <c r="S737" s="1436"/>
      <c r="T737" s="1635"/>
      <c r="U737" s="1634"/>
      <c r="V737" s="1635"/>
      <c r="W737" s="1857"/>
      <c r="X737" s="1857"/>
      <c r="Y737" s="1635"/>
      <c r="Z737" s="1714"/>
      <c r="AA737" s="1436"/>
      <c r="AB737" s="1436"/>
      <c r="AC737" s="1436"/>
      <c r="AD737" s="1344"/>
    </row>
    <row r="738" customFormat="false" ht="15.75" hidden="true" customHeight="true" outlineLevel="1" collapsed="false">
      <c r="A738" s="1775" t="s">
        <v>3251</v>
      </c>
      <c r="B738" s="1626" t="s">
        <v>15</v>
      </c>
      <c r="C738" s="1627" t="n">
        <f aca="false">$C$143</f>
        <v>0.145</v>
      </c>
      <c r="D738" s="1372" t="n">
        <f aca="false">$J$620</f>
        <v>0.045</v>
      </c>
      <c r="E738" s="1667" t="n">
        <f aca="false">IF(E737=0,0,IF('Ввод данных'!$A$17=связи1!$A$95,IF(E737&lt;=0,0,E737-дома!$K$632),0)+IF('Ввод данных'!$A$17=связи1!$A$96,IF(E737&lt;связи1!$H$236,0,E737-$K$632),0)+IF('Ввод данных'!$A$17=связи1!$A$98,IF(E737&lt;связи1!$H$236,0,E737-$K$632),0))</f>
        <v>3.18666666666667</v>
      </c>
      <c r="F738" s="1667" t="n">
        <f aca="false">2*IF('Ввод данных'!$B$245=связи1!$A$2,1,0)*IF(связи1!$H$89=связи1!$A$2,1,0)</f>
        <v>2</v>
      </c>
      <c r="G738" s="1669" t="n">
        <f aca="false">C738*D738*E738*F738</f>
        <v>0.041586</v>
      </c>
      <c r="H738" s="1669"/>
      <c r="I738" s="1436"/>
      <c r="J738" s="1436"/>
      <c r="K738" s="1436"/>
      <c r="L738" s="1436"/>
      <c r="M738" s="1436"/>
      <c r="N738" s="1436"/>
      <c r="O738" s="1635"/>
      <c r="P738" s="1714"/>
      <c r="Q738" s="1714"/>
      <c r="R738" s="1714"/>
      <c r="S738" s="1436"/>
      <c r="T738" s="1635"/>
      <c r="U738" s="1634"/>
      <c r="V738" s="1635"/>
      <c r="W738" s="1857"/>
      <c r="X738" s="1857"/>
      <c r="Y738" s="1635"/>
      <c r="Z738" s="1714"/>
      <c r="AA738" s="1436"/>
      <c r="AB738" s="1436"/>
      <c r="AC738" s="1436"/>
      <c r="AD738" s="1344"/>
    </row>
    <row r="739" customFormat="false" ht="15.75" hidden="true" customHeight="true" outlineLevel="1" collapsed="false">
      <c r="A739" s="1775" t="s">
        <v>3252</v>
      </c>
      <c r="B739" s="1626" t="s">
        <v>15</v>
      </c>
      <c r="C739" s="1627" t="n">
        <f aca="false">$C$143</f>
        <v>0.145</v>
      </c>
      <c r="D739" s="1372" t="n">
        <f aca="false">$J$620</f>
        <v>0.045</v>
      </c>
      <c r="E739" s="1667" t="n">
        <f aca="false">IF(E738=0,0,IF('Ввод данных'!$A$17=связи1!$A$95,IF(E738&lt;=0,0,E738-дома!$K$632),0)+IF('Ввод данных'!$A$17=связи1!$A$96,IF(E738&lt;связи1!$H$236,0,E738-$K$632),0)+IF('Ввод данных'!$A$17=связи1!$A$98,IF(E738&lt;связи1!$H$236,0,E738-$K$632),0))</f>
        <v>2.96</v>
      </c>
      <c r="F739" s="1667" t="n">
        <f aca="false">2*IF('Ввод данных'!$B$245=связи1!$A$2,1,0)*IF(связи1!$H$89=связи1!$A$2,1,0)</f>
        <v>2</v>
      </c>
      <c r="G739" s="1669" t="n">
        <f aca="false">C739*D739*E739*F739</f>
        <v>0.038628</v>
      </c>
      <c r="H739" s="1669"/>
      <c r="I739" s="1436"/>
      <c r="J739" s="1436"/>
      <c r="K739" s="1436"/>
      <c r="L739" s="1436"/>
      <c r="M739" s="1436"/>
      <c r="N739" s="1436"/>
      <c r="O739" s="1635"/>
      <c r="P739" s="1714"/>
      <c r="Q739" s="1714"/>
      <c r="R739" s="1714"/>
      <c r="S739" s="1436"/>
      <c r="T739" s="1635"/>
      <c r="U739" s="1634"/>
      <c r="V739" s="1635"/>
      <c r="W739" s="1857"/>
      <c r="X739" s="1857"/>
      <c r="Y739" s="1635"/>
      <c r="Z739" s="1714"/>
      <c r="AA739" s="1436"/>
      <c r="AB739" s="1436"/>
      <c r="AC739" s="1436"/>
      <c r="AD739" s="1344"/>
    </row>
    <row r="740" customFormat="false" ht="15.75" hidden="true" customHeight="true" outlineLevel="1" collapsed="false">
      <c r="A740" s="1775" t="s">
        <v>3253</v>
      </c>
      <c r="B740" s="1626" t="s">
        <v>15</v>
      </c>
      <c r="C740" s="1627" t="n">
        <f aca="false">$C$143</f>
        <v>0.145</v>
      </c>
      <c r="D740" s="1372" t="n">
        <f aca="false">$J$620</f>
        <v>0.045</v>
      </c>
      <c r="E740" s="1667" t="n">
        <f aca="false">IF(E739=0,0,IF('Ввод данных'!$A$17=связи1!$A$95,IF(E739&lt;=0,0,E739-дома!$K$632),0)+IF('Ввод данных'!$A$17=связи1!$A$96,IF(E739&lt;связи1!$H$236,0,E739-$K$632),0)+IF('Ввод данных'!$A$17=связи1!$A$98,IF(E739&lt;связи1!$H$236,0,E739-$K$632),0))</f>
        <v>2.73333333333333</v>
      </c>
      <c r="F740" s="1667" t="n">
        <f aca="false">2*IF('Ввод данных'!$B$245=связи1!$A$2,1,0)*IF(связи1!$H$89=связи1!$A$2,1,0)</f>
        <v>2</v>
      </c>
      <c r="G740" s="1669" t="n">
        <f aca="false">C740*D740*E740*F740</f>
        <v>0.03567</v>
      </c>
      <c r="H740" s="1669"/>
      <c r="I740" s="1436"/>
      <c r="J740" s="1436"/>
      <c r="K740" s="1436"/>
      <c r="L740" s="1436"/>
      <c r="M740" s="1436"/>
      <c r="N740" s="1436"/>
      <c r="O740" s="1635"/>
      <c r="P740" s="1714"/>
      <c r="Q740" s="1714"/>
      <c r="R740" s="1714"/>
      <c r="S740" s="1436"/>
      <c r="T740" s="1635"/>
      <c r="U740" s="1634"/>
      <c r="V740" s="1635"/>
      <c r="W740" s="1857"/>
      <c r="X740" s="1857"/>
      <c r="Y740" s="1635"/>
      <c r="Z740" s="1714"/>
      <c r="AA740" s="1436"/>
      <c r="AB740" s="1436"/>
      <c r="AC740" s="1436"/>
      <c r="AD740" s="1344"/>
    </row>
    <row r="741" customFormat="false" ht="15.75" hidden="true" customHeight="true" outlineLevel="1" collapsed="false">
      <c r="A741" s="1775" t="s">
        <v>3254</v>
      </c>
      <c r="B741" s="1626" t="s">
        <v>15</v>
      </c>
      <c r="C741" s="1627" t="n">
        <f aca="false">$C$143</f>
        <v>0.145</v>
      </c>
      <c r="D741" s="1372" t="n">
        <f aca="false">$J$620</f>
        <v>0.045</v>
      </c>
      <c r="E741" s="1667" t="n">
        <f aca="false">IF(E740=0,0,IF('Ввод данных'!$A$17=связи1!$A$95,IF(E740&lt;=0,0,E740-дома!$K$632),0)+IF('Ввод данных'!$A$17=связи1!$A$96,IF(E740&lt;связи1!$H$236,0,E740-$K$632),0)+IF('Ввод данных'!$A$17=связи1!$A$98,IF(E740&lt;связи1!$H$236,0,E740-$K$632),0))</f>
        <v>2.50666666666667</v>
      </c>
      <c r="F741" s="1667" t="n">
        <f aca="false">2*IF('Ввод данных'!$B$245=связи1!$A$2,1,0)*IF(связи1!$H$89=связи1!$A$2,1,0)</f>
        <v>2</v>
      </c>
      <c r="G741" s="1669" t="n">
        <f aca="false">C741*D741*E741*F741</f>
        <v>0.032712</v>
      </c>
      <c r="H741" s="1669"/>
      <c r="I741" s="1436"/>
      <c r="J741" s="1436"/>
      <c r="K741" s="1436"/>
      <c r="L741" s="1436"/>
      <c r="M741" s="1436"/>
      <c r="N741" s="1436"/>
      <c r="O741" s="1635"/>
      <c r="P741" s="1714"/>
      <c r="Q741" s="1714"/>
      <c r="R741" s="1714"/>
      <c r="S741" s="1436"/>
      <c r="T741" s="1635"/>
      <c r="U741" s="1634"/>
      <c r="V741" s="1635"/>
      <c r="W741" s="1857"/>
      <c r="X741" s="1857"/>
      <c r="Y741" s="1635"/>
      <c r="Z741" s="1714"/>
      <c r="AA741" s="1436"/>
      <c r="AB741" s="1436"/>
      <c r="AC741" s="1436"/>
      <c r="AD741" s="1344"/>
    </row>
    <row r="742" customFormat="false" ht="15.75" hidden="true" customHeight="true" outlineLevel="1" collapsed="false">
      <c r="A742" s="1775" t="s">
        <v>3255</v>
      </c>
      <c r="B742" s="1626" t="s">
        <v>15</v>
      </c>
      <c r="C742" s="1627" t="n">
        <f aca="false">$C$143</f>
        <v>0.145</v>
      </c>
      <c r="D742" s="1372" t="n">
        <f aca="false">$J$620</f>
        <v>0.045</v>
      </c>
      <c r="E742" s="1667" t="n">
        <f aca="false">IF(E741=0,0,IF('Ввод данных'!$A$17=связи1!$A$95,IF(E741&lt;=0,0,E741-дома!$K$632),0)+IF('Ввод данных'!$A$17=связи1!$A$96,IF(E741&lt;связи1!$H$236,0,E741-$K$632),0)+IF('Ввод данных'!$A$17=связи1!$A$98,IF(E741&lt;связи1!$H$236,0,E741-$K$632),0))</f>
        <v>2.28</v>
      </c>
      <c r="F742" s="1667" t="n">
        <f aca="false">2*IF('Ввод данных'!$B$245=связи1!$A$2,1,0)*IF(связи1!$H$89=связи1!$A$2,1,0)</f>
        <v>2</v>
      </c>
      <c r="G742" s="1669" t="n">
        <f aca="false">C742*D742*E742*F742</f>
        <v>0.029754</v>
      </c>
      <c r="H742" s="1669"/>
      <c r="I742" s="1436"/>
      <c r="J742" s="1436"/>
      <c r="K742" s="1436"/>
      <c r="L742" s="1436"/>
      <c r="M742" s="1436"/>
      <c r="N742" s="1436"/>
      <c r="O742" s="1635"/>
      <c r="P742" s="1714"/>
      <c r="Q742" s="1714"/>
      <c r="R742" s="1714"/>
      <c r="S742" s="1436"/>
      <c r="T742" s="1635"/>
      <c r="U742" s="1634"/>
      <c r="V742" s="1635"/>
      <c r="W742" s="1857"/>
      <c r="X742" s="1857"/>
      <c r="Y742" s="1635"/>
      <c r="Z742" s="1714"/>
      <c r="AA742" s="1436"/>
      <c r="AB742" s="1436"/>
      <c r="AC742" s="1436"/>
      <c r="AD742" s="1344"/>
    </row>
    <row r="743" customFormat="false" ht="15.75" hidden="true" customHeight="true" outlineLevel="1" collapsed="false">
      <c r="A743" s="1775" t="s">
        <v>3256</v>
      </c>
      <c r="B743" s="1626" t="s">
        <v>15</v>
      </c>
      <c r="C743" s="1627" t="n">
        <f aca="false">$C$143</f>
        <v>0.145</v>
      </c>
      <c r="D743" s="1372" t="n">
        <f aca="false">$J$620</f>
        <v>0.045</v>
      </c>
      <c r="E743" s="1667" t="n">
        <f aca="false">IF(E742=0,0,IF('Ввод данных'!$A$17=связи1!$A$95,IF(E742&lt;=0,0,E742-дома!$K$632),0)+IF('Ввод данных'!$A$17=связи1!$A$96,IF(E742&lt;связи1!$H$236,0,E742-$K$632),0)+IF('Ввод данных'!$A$17=связи1!$A$98,IF(E742&lt;связи1!$H$236,0,E742-$K$632),0))</f>
        <v>2.05333333333333</v>
      </c>
      <c r="F743" s="1667" t="n">
        <f aca="false">2*IF('Ввод данных'!$B$245=связи1!$A$2,1,0)*IF(связи1!$H$89=связи1!$A$2,1,0)</f>
        <v>2</v>
      </c>
      <c r="G743" s="1669" t="n">
        <f aca="false">C743*D743*E743*F743</f>
        <v>0.026796</v>
      </c>
      <c r="H743" s="1669"/>
      <c r="I743" s="1436"/>
      <c r="J743" s="1436"/>
      <c r="K743" s="1436"/>
      <c r="L743" s="1436"/>
      <c r="M743" s="1436"/>
      <c r="N743" s="1436"/>
      <c r="O743" s="1635"/>
      <c r="P743" s="1714"/>
      <c r="Q743" s="1714"/>
      <c r="R743" s="1714"/>
      <c r="S743" s="1436"/>
      <c r="T743" s="1635"/>
      <c r="U743" s="1634"/>
      <c r="V743" s="1635"/>
      <c r="W743" s="1857"/>
      <c r="X743" s="1857"/>
      <c r="Y743" s="1635"/>
      <c r="Z743" s="1714"/>
      <c r="AA743" s="1436"/>
      <c r="AB743" s="1436"/>
      <c r="AC743" s="1436"/>
      <c r="AD743" s="1344"/>
    </row>
    <row r="744" customFormat="false" ht="15.75" hidden="true" customHeight="true" outlineLevel="1" collapsed="false">
      <c r="A744" s="1775" t="s">
        <v>3257</v>
      </c>
      <c r="B744" s="1626" t="s">
        <v>15</v>
      </c>
      <c r="C744" s="1627" t="n">
        <f aca="false">$C$143</f>
        <v>0.145</v>
      </c>
      <c r="D744" s="1372" t="n">
        <f aca="false">$J$620</f>
        <v>0.045</v>
      </c>
      <c r="E744" s="1667" t="n">
        <f aca="false">IF(E743=0,0,IF('Ввод данных'!$A$17=связи1!$A$95,IF(E743&lt;=0,0,E743-дома!$K$632),0)+IF('Ввод данных'!$A$17=связи1!$A$96,IF(E743&lt;связи1!$H$236,0,E743-$K$632),0)+IF('Ввод данных'!$A$17=связи1!$A$98,IF(E743&lt;связи1!$H$236,0,E743-$K$632),0))</f>
        <v>1.82666666666667</v>
      </c>
      <c r="F744" s="1667" t="n">
        <f aca="false">2*IF('Ввод данных'!$B$245=связи1!$A$2,1,0)*IF(связи1!$H$89=связи1!$A$2,1,0)</f>
        <v>2</v>
      </c>
      <c r="G744" s="1669" t="n">
        <f aca="false">C744*D744*E744*F744</f>
        <v>0.023838</v>
      </c>
      <c r="H744" s="1669"/>
      <c r="I744" s="1436"/>
      <c r="J744" s="1436"/>
      <c r="K744" s="1436"/>
      <c r="L744" s="1436"/>
      <c r="M744" s="1436"/>
      <c r="N744" s="1436"/>
      <c r="O744" s="1635"/>
      <c r="P744" s="1714"/>
      <c r="Q744" s="1714"/>
      <c r="R744" s="1714"/>
      <c r="S744" s="1436"/>
      <c r="T744" s="1635"/>
      <c r="U744" s="1634"/>
      <c r="V744" s="1635"/>
      <c r="W744" s="1857"/>
      <c r="X744" s="1857"/>
      <c r="Y744" s="1635"/>
      <c r="Z744" s="1714"/>
      <c r="AA744" s="1436"/>
      <c r="AB744" s="1436"/>
      <c r="AC744" s="1436"/>
      <c r="AD744" s="1344"/>
    </row>
    <row r="745" customFormat="false" ht="15.75" hidden="true" customHeight="true" outlineLevel="1" collapsed="false">
      <c r="A745" s="1775" t="s">
        <v>3258</v>
      </c>
      <c r="B745" s="1626" t="s">
        <v>15</v>
      </c>
      <c r="C745" s="1627" t="n">
        <f aca="false">$C$143</f>
        <v>0.145</v>
      </c>
      <c r="D745" s="1372" t="n">
        <f aca="false">$J$620</f>
        <v>0.045</v>
      </c>
      <c r="E745" s="1667" t="n">
        <f aca="false">IF(E744=0,0,IF('Ввод данных'!$A$17=связи1!$A$95,IF(E744&lt;=0,0,E744-дома!$K$632),0)+IF('Ввод данных'!$A$17=связи1!$A$96,IF(E744&lt;связи1!$H$236,0,E744-$K$632),0)+IF('Ввод данных'!$A$17=связи1!$A$98,IF(E744&lt;связи1!$H$236,0,E744-$K$632),0))</f>
        <v>1.6</v>
      </c>
      <c r="F745" s="1667" t="n">
        <f aca="false">2*IF('Ввод данных'!$B$245=связи1!$A$2,1,0)*IF(связи1!$H$89=связи1!$A$2,1,0)</f>
        <v>2</v>
      </c>
      <c r="G745" s="1669" t="n">
        <f aca="false">C745*D745*E745*F745</f>
        <v>0.02088</v>
      </c>
      <c r="H745" s="1669"/>
      <c r="I745" s="1436"/>
      <c r="J745" s="1436"/>
      <c r="K745" s="1436"/>
      <c r="L745" s="1436"/>
      <c r="M745" s="1436"/>
      <c r="N745" s="1436"/>
      <c r="O745" s="1635"/>
      <c r="P745" s="1714"/>
      <c r="Q745" s="1714"/>
      <c r="R745" s="1714"/>
      <c r="S745" s="1436"/>
      <c r="T745" s="1635"/>
      <c r="U745" s="1634"/>
      <c r="V745" s="1635"/>
      <c r="W745" s="1857"/>
      <c r="X745" s="1857"/>
      <c r="Y745" s="1635"/>
      <c r="Z745" s="1714"/>
      <c r="AA745" s="1436"/>
      <c r="AB745" s="1436"/>
      <c r="AC745" s="1436"/>
      <c r="AD745" s="1344"/>
    </row>
    <row r="746" customFormat="false" ht="15.75" hidden="true" customHeight="true" outlineLevel="1" collapsed="false">
      <c r="A746" s="1775" t="s">
        <v>3259</v>
      </c>
      <c r="B746" s="1626" t="s">
        <v>15</v>
      </c>
      <c r="C746" s="1627" t="n">
        <f aca="false">$C$143</f>
        <v>0.145</v>
      </c>
      <c r="D746" s="1372" t="n">
        <f aca="false">$J$620</f>
        <v>0.045</v>
      </c>
      <c r="E746" s="1667" t="n">
        <f aca="false">IF(E745=0,0,IF('Ввод данных'!$A$17=связи1!$A$95,IF(E745&lt;=0,0,E745-дома!$K$632),0)+IF('Ввод данных'!$A$17=связи1!$A$96,IF(E745&lt;связи1!$H$236,0,E745-$K$632),0)+IF('Ввод данных'!$A$17=связи1!$A$98,IF(E745&lt;связи1!$H$236,0,E745-$K$632),0))</f>
        <v>1.37333333333333</v>
      </c>
      <c r="F746" s="1667" t="n">
        <f aca="false">2*IF('Ввод данных'!$B$245=связи1!$A$2,1,0)*IF(связи1!$H$89=связи1!$A$2,1,0)</f>
        <v>2</v>
      </c>
      <c r="G746" s="1669" t="n">
        <f aca="false">C746*D746*E746*F746</f>
        <v>0.017922</v>
      </c>
      <c r="H746" s="1669"/>
      <c r="I746" s="1436"/>
      <c r="J746" s="1436"/>
      <c r="K746" s="1436"/>
      <c r="L746" s="1436"/>
      <c r="M746" s="1436"/>
      <c r="N746" s="1436"/>
      <c r="O746" s="1635"/>
      <c r="P746" s="1714"/>
      <c r="Q746" s="1714"/>
      <c r="R746" s="1714"/>
      <c r="S746" s="1436"/>
      <c r="T746" s="1635"/>
      <c r="U746" s="1634"/>
      <c r="V746" s="1635"/>
      <c r="W746" s="1857"/>
      <c r="X746" s="1857"/>
      <c r="Y746" s="1635"/>
      <c r="Z746" s="1714"/>
      <c r="AA746" s="1436"/>
      <c r="AB746" s="1436"/>
      <c r="AC746" s="1436"/>
      <c r="AD746" s="1344"/>
    </row>
    <row r="747" customFormat="false" ht="15.75" hidden="true" customHeight="true" outlineLevel="1" collapsed="false">
      <c r="A747" s="1775" t="s">
        <v>3260</v>
      </c>
      <c r="B747" s="1626" t="s">
        <v>15</v>
      </c>
      <c r="C747" s="1627" t="n">
        <f aca="false">$C$143</f>
        <v>0.145</v>
      </c>
      <c r="D747" s="1372" t="n">
        <f aca="false">$J$620</f>
        <v>0.045</v>
      </c>
      <c r="E747" s="1667" t="n">
        <f aca="false">IF(E746=0,0,IF('Ввод данных'!$A$17=связи1!$A$95,IF(E746&lt;=0,0,E746-дома!$K$632),0)+IF('Ввод данных'!$A$17=связи1!$A$96,IF(E746&lt;связи1!$H$236,0,E746-$K$632),0)+IF('Ввод данных'!$A$17=связи1!$A$98,IF(E746&lt;связи1!$H$236,0,E746-$K$632),0))</f>
        <v>0</v>
      </c>
      <c r="F747" s="1667" t="n">
        <f aca="false">2*IF('Ввод данных'!$B$245=связи1!$A$2,1,0)*IF(связи1!$H$89=связи1!$A$2,1,0)</f>
        <v>2</v>
      </c>
      <c r="G747" s="1669" t="n">
        <f aca="false">C747*D747*E747*F747</f>
        <v>0</v>
      </c>
      <c r="H747" s="1669"/>
      <c r="I747" s="1436"/>
      <c r="J747" s="1436"/>
      <c r="K747" s="1436"/>
      <c r="L747" s="1436"/>
      <c r="M747" s="1436"/>
      <c r="N747" s="1436"/>
      <c r="O747" s="1635"/>
      <c r="P747" s="1714"/>
      <c r="Q747" s="1714"/>
      <c r="R747" s="1714"/>
      <c r="S747" s="1436"/>
      <c r="T747" s="1635"/>
      <c r="U747" s="1634"/>
      <c r="V747" s="1635"/>
      <c r="W747" s="1857"/>
      <c r="X747" s="1857"/>
      <c r="Y747" s="1635"/>
      <c r="Z747" s="1714"/>
      <c r="AA747" s="1436"/>
      <c r="AB747" s="1436"/>
      <c r="AC747" s="1436"/>
      <c r="AD747" s="1344"/>
    </row>
    <row r="748" customFormat="false" ht="15.75" hidden="true" customHeight="true" outlineLevel="1" collapsed="false">
      <c r="A748" s="1775" t="s">
        <v>3261</v>
      </c>
      <c r="B748" s="1626" t="s">
        <v>15</v>
      </c>
      <c r="C748" s="1627" t="n">
        <f aca="false">$C$143</f>
        <v>0.145</v>
      </c>
      <c r="D748" s="1372" t="n">
        <f aca="false">$J$620</f>
        <v>0.045</v>
      </c>
      <c r="E748" s="1667" t="n">
        <f aca="false">IF(E747=0,0,IF('Ввод данных'!$A$17=связи1!$A$95,IF(E747&lt;=0,0,E747-дома!$K$632),0)+IF('Ввод данных'!$A$17=связи1!$A$96,IF(E747&lt;связи1!$H$236,0,E747-$K$632),0)+IF('Ввод данных'!$A$17=связи1!$A$98,IF(E747&lt;связи1!$H$236,0,E747-$K$632),0))</f>
        <v>0</v>
      </c>
      <c r="F748" s="1667" t="n">
        <f aca="false">2*IF('Ввод данных'!$B$245=связи1!$A$2,1,0)*IF(связи1!$H$89=связи1!$A$2,1,0)</f>
        <v>2</v>
      </c>
      <c r="G748" s="1669" t="n">
        <f aca="false">C748*D748*E748*F748</f>
        <v>0</v>
      </c>
      <c r="H748" s="1669"/>
      <c r="I748" s="1436"/>
      <c r="J748" s="1436"/>
      <c r="K748" s="1436"/>
      <c r="L748" s="1436"/>
      <c r="M748" s="1436"/>
      <c r="N748" s="1436"/>
      <c r="O748" s="1635"/>
      <c r="P748" s="1714"/>
      <c r="Q748" s="1714"/>
      <c r="R748" s="1714"/>
      <c r="S748" s="1436"/>
      <c r="T748" s="1635"/>
      <c r="U748" s="1634"/>
      <c r="V748" s="1635"/>
      <c r="W748" s="1857"/>
      <c r="X748" s="1857"/>
      <c r="Y748" s="1635"/>
      <c r="Z748" s="1714"/>
      <c r="AA748" s="1436"/>
      <c r="AB748" s="1436"/>
      <c r="AC748" s="1436"/>
      <c r="AD748" s="1344"/>
    </row>
    <row r="749" customFormat="false" ht="15.75" hidden="true" customHeight="true" outlineLevel="1" collapsed="false">
      <c r="A749" s="1775" t="s">
        <v>3262</v>
      </c>
      <c r="B749" s="1626" t="s">
        <v>15</v>
      </c>
      <c r="C749" s="1627" t="n">
        <f aca="false">$C$143</f>
        <v>0.145</v>
      </c>
      <c r="D749" s="1372" t="n">
        <f aca="false">$J$620</f>
        <v>0.045</v>
      </c>
      <c r="E749" s="1667" t="n">
        <f aca="false">IF(E748=0,0,IF('Ввод данных'!$A$17=связи1!$A$95,IF(E748&lt;=0,0,E748-дома!$K$632),0)+IF('Ввод данных'!$A$17=связи1!$A$96,IF(E748&lt;связи1!$H$236,0,E748-$K$632),0)+IF('Ввод данных'!$A$17=связи1!$A$98,IF(E748&lt;связи1!$H$236,0,E748-$K$632),0))</f>
        <v>0</v>
      </c>
      <c r="F749" s="1667" t="n">
        <f aca="false">2*IF('Ввод данных'!$B$245=связи1!$A$2,1,0)*IF(связи1!$H$89=связи1!$A$2,1,0)</f>
        <v>2</v>
      </c>
      <c r="G749" s="1669" t="n">
        <f aca="false">C749*D749*E749*F749</f>
        <v>0</v>
      </c>
      <c r="H749" s="1669"/>
      <c r="I749" s="1436"/>
      <c r="J749" s="1436"/>
      <c r="K749" s="1436"/>
      <c r="L749" s="1436"/>
      <c r="M749" s="1436"/>
      <c r="N749" s="1436"/>
      <c r="O749" s="1635"/>
      <c r="P749" s="1714"/>
      <c r="Q749" s="1714"/>
      <c r="R749" s="1714"/>
      <c r="S749" s="1436"/>
      <c r="T749" s="1635"/>
      <c r="U749" s="1634"/>
      <c r="V749" s="1635"/>
      <c r="W749" s="1857"/>
      <c r="X749" s="1857"/>
      <c r="Y749" s="1635"/>
      <c r="Z749" s="1714"/>
      <c r="AA749" s="1436"/>
      <c r="AB749" s="1436"/>
      <c r="AC749" s="1436"/>
      <c r="AD749" s="1344"/>
    </row>
    <row r="750" customFormat="false" ht="15.75" hidden="true" customHeight="true" outlineLevel="1" collapsed="false">
      <c r="A750" s="1775" t="s">
        <v>3263</v>
      </c>
      <c r="B750" s="1626" t="s">
        <v>15</v>
      </c>
      <c r="C750" s="1627" t="n">
        <f aca="false">$C$143</f>
        <v>0.145</v>
      </c>
      <c r="D750" s="1372" t="n">
        <f aca="false">$J$620</f>
        <v>0.045</v>
      </c>
      <c r="E750" s="1667" t="n">
        <f aca="false">IF(E749=0,0,IF('Ввод данных'!$A$17=связи1!$A$95,IF(E749&lt;=0,0,E749-дома!$K$632),0)+IF('Ввод данных'!$A$17=связи1!$A$96,IF(E749&lt;связи1!$H$236,0,E749-$K$632),0)+IF('Ввод данных'!$A$17=связи1!$A$98,IF(E749&lt;связи1!$H$236,0,E749-$K$632),0))</f>
        <v>0</v>
      </c>
      <c r="F750" s="1667" t="n">
        <f aca="false">2*IF('Ввод данных'!$B$245=связи1!$A$2,1,0)*IF(связи1!$H$89=связи1!$A$2,1,0)</f>
        <v>2</v>
      </c>
      <c r="G750" s="1669" t="n">
        <f aca="false">C750*D750*E750*F750</f>
        <v>0</v>
      </c>
      <c r="H750" s="1669"/>
      <c r="I750" s="1436"/>
      <c r="J750" s="1436"/>
      <c r="K750" s="1436"/>
      <c r="L750" s="1436"/>
      <c r="M750" s="1436"/>
      <c r="N750" s="1436"/>
      <c r="O750" s="1635"/>
      <c r="P750" s="1714"/>
      <c r="Q750" s="1714"/>
      <c r="R750" s="1714"/>
      <c r="S750" s="1436"/>
      <c r="T750" s="1635"/>
      <c r="U750" s="1634"/>
      <c r="V750" s="1635"/>
      <c r="W750" s="1857"/>
      <c r="X750" s="1857"/>
      <c r="Y750" s="1635"/>
      <c r="Z750" s="1714"/>
      <c r="AA750" s="1436"/>
      <c r="AB750" s="1436"/>
      <c r="AC750" s="1436"/>
      <c r="AD750" s="1344"/>
    </row>
    <row r="751" customFormat="false" ht="15.75" hidden="true" customHeight="true" outlineLevel="1" collapsed="false">
      <c r="A751" s="1775" t="s">
        <v>3264</v>
      </c>
      <c r="B751" s="1626" t="s">
        <v>15</v>
      </c>
      <c r="C751" s="1627" t="n">
        <f aca="false">$C$143</f>
        <v>0.145</v>
      </c>
      <c r="D751" s="1372" t="n">
        <f aca="false">$J$620</f>
        <v>0.045</v>
      </c>
      <c r="E751" s="1667" t="n">
        <f aca="false">IF(E750=0,0,IF('Ввод данных'!$A$17=связи1!$A$95,IF(E750&lt;=0,0,E750-дома!$K$632),0)+IF('Ввод данных'!$A$17=связи1!$A$96,IF(E750&lt;связи1!$H$236,0,E750-$K$632),0)+IF('Ввод данных'!$A$17=связи1!$A$98,IF(E750&lt;связи1!$H$236,0,E750-$K$632),0))</f>
        <v>0</v>
      </c>
      <c r="F751" s="1667" t="n">
        <f aca="false">2*IF('Ввод данных'!$B$245=связи1!$A$2,1,0)*IF(связи1!$H$89=связи1!$A$2,1,0)</f>
        <v>2</v>
      </c>
      <c r="G751" s="1669" t="n">
        <f aca="false">C751*D751*E751*F751</f>
        <v>0</v>
      </c>
      <c r="H751" s="1669"/>
      <c r="I751" s="1436"/>
      <c r="J751" s="1436"/>
      <c r="K751" s="1436"/>
      <c r="L751" s="1436"/>
      <c r="M751" s="1436"/>
      <c r="N751" s="1436"/>
      <c r="O751" s="1635"/>
      <c r="P751" s="1714"/>
      <c r="Q751" s="1714"/>
      <c r="R751" s="1714"/>
      <c r="S751" s="1436"/>
      <c r="T751" s="1635"/>
      <c r="U751" s="1634"/>
      <c r="V751" s="1635"/>
      <c r="W751" s="1857"/>
      <c r="X751" s="1857"/>
      <c r="Y751" s="1635"/>
      <c r="Z751" s="1714"/>
      <c r="AA751" s="1436"/>
      <c r="AB751" s="1436"/>
      <c r="AC751" s="1436"/>
      <c r="AD751" s="1344"/>
    </row>
    <row r="752" customFormat="false" ht="15.75" hidden="true" customHeight="true" outlineLevel="1" collapsed="false">
      <c r="A752" s="1775" t="s">
        <v>3265</v>
      </c>
      <c r="B752" s="1626" t="s">
        <v>15</v>
      </c>
      <c r="C752" s="1627" t="n">
        <f aca="false">$C$143</f>
        <v>0.145</v>
      </c>
      <c r="D752" s="1372" t="n">
        <f aca="false">$J$620</f>
        <v>0.045</v>
      </c>
      <c r="E752" s="1667" t="n">
        <f aca="false">IF(E751=0,0,IF('Ввод данных'!$A$17=связи1!$A$95,IF(E751&lt;=0,0,E751-дома!$K$632),0)+IF('Ввод данных'!$A$17=связи1!$A$96,IF(E751&lt;связи1!$H$236,0,E751-$K$632),0)+IF('Ввод данных'!$A$17=связи1!$A$98,IF(E751&lt;связи1!$H$236,0,E751-$K$632),0))</f>
        <v>0</v>
      </c>
      <c r="F752" s="1667" t="n">
        <f aca="false">2*IF('Ввод данных'!$B$245=связи1!$A$2,1,0)*IF(связи1!$H$89=связи1!$A$2,1,0)</f>
        <v>2</v>
      </c>
      <c r="G752" s="1669" t="n">
        <f aca="false">C752*D752*E752*F752</f>
        <v>0</v>
      </c>
      <c r="H752" s="1669"/>
      <c r="I752" s="1436"/>
      <c r="J752" s="1436"/>
      <c r="K752" s="1436"/>
      <c r="L752" s="1436"/>
      <c r="M752" s="1436"/>
      <c r="N752" s="1436"/>
      <c r="O752" s="1635"/>
      <c r="P752" s="1714"/>
      <c r="Q752" s="1714"/>
      <c r="R752" s="1714"/>
      <c r="S752" s="1436"/>
      <c r="T752" s="1635"/>
      <c r="U752" s="1634"/>
      <c r="V752" s="1635"/>
      <c r="W752" s="1857"/>
      <c r="X752" s="1857"/>
      <c r="Y752" s="1635"/>
      <c r="Z752" s="1714"/>
      <c r="AA752" s="1436"/>
      <c r="AB752" s="1436"/>
      <c r="AC752" s="1436"/>
      <c r="AD752" s="1344"/>
    </row>
    <row r="753" customFormat="false" ht="15.75" hidden="true" customHeight="true" outlineLevel="1" collapsed="false">
      <c r="A753" s="1775" t="s">
        <v>3266</v>
      </c>
      <c r="B753" s="1626" t="s">
        <v>15</v>
      </c>
      <c r="C753" s="1627" t="n">
        <f aca="false">$C$143</f>
        <v>0.145</v>
      </c>
      <c r="D753" s="1372" t="n">
        <f aca="false">$J$620</f>
        <v>0.045</v>
      </c>
      <c r="E753" s="1667" t="n">
        <f aca="false">IF(E752=0,0,IF('Ввод данных'!$A$17=связи1!$A$95,IF(E752&lt;=0,0,E752-дома!$K$632),0)+IF('Ввод данных'!$A$17=связи1!$A$96,IF(E752&lt;связи1!$H$236,0,E752-$K$632),0)+IF('Ввод данных'!$A$17=связи1!$A$98,IF(E752&lt;связи1!$H$236,0,E752-$K$632),0))</f>
        <v>0</v>
      </c>
      <c r="F753" s="1667" t="n">
        <f aca="false">2*IF('Ввод данных'!$B$245=связи1!$A$2,1,0)*IF(связи1!$H$89=связи1!$A$2,1,0)</f>
        <v>2</v>
      </c>
      <c r="G753" s="1669" t="n">
        <f aca="false">C753*D753*E753*F753</f>
        <v>0</v>
      </c>
      <c r="H753" s="1669"/>
      <c r="I753" s="1436"/>
      <c r="J753" s="1436"/>
      <c r="K753" s="1436"/>
      <c r="L753" s="1436"/>
      <c r="M753" s="1436"/>
      <c r="N753" s="1436"/>
      <c r="O753" s="1635"/>
      <c r="P753" s="1714"/>
      <c r="Q753" s="1714"/>
      <c r="R753" s="1714"/>
      <c r="S753" s="1436"/>
      <c r="T753" s="1635"/>
      <c r="U753" s="1634"/>
      <c r="V753" s="1635"/>
      <c r="W753" s="1857"/>
      <c r="X753" s="1857"/>
      <c r="Y753" s="1635"/>
      <c r="Z753" s="1714"/>
      <c r="AA753" s="1436"/>
      <c r="AB753" s="1436"/>
      <c r="AC753" s="1436"/>
      <c r="AD753" s="1344"/>
    </row>
    <row r="754" customFormat="false" ht="15.75" hidden="true" customHeight="true" outlineLevel="1" collapsed="false">
      <c r="A754" s="1775" t="s">
        <v>3267</v>
      </c>
      <c r="B754" s="1626" t="s">
        <v>15</v>
      </c>
      <c r="C754" s="1627" t="n">
        <f aca="false">$C$143</f>
        <v>0.145</v>
      </c>
      <c r="D754" s="1372" t="n">
        <f aca="false">$J$620</f>
        <v>0.045</v>
      </c>
      <c r="E754" s="1667" t="n">
        <f aca="false">IF(E753=0,0,IF('Ввод данных'!$A$17=связи1!$A$95,IF(E753&lt;=0,0,E753-дома!$K$632),0)+IF('Ввод данных'!$A$17=связи1!$A$96,IF(E753&lt;связи1!$H$236,0,E753-$K$632),0)+IF('Ввод данных'!$A$17=связи1!$A$98,IF(E753&lt;связи1!$H$236,0,E753-$K$632),0))</f>
        <v>0</v>
      </c>
      <c r="F754" s="1667" t="n">
        <f aca="false">2*IF('Ввод данных'!$B$245=связи1!$A$2,1,0)*IF(связи1!$H$89=связи1!$A$2,1,0)</f>
        <v>2</v>
      </c>
      <c r="G754" s="1669" t="n">
        <f aca="false">C754*D754*E754*F754</f>
        <v>0</v>
      </c>
      <c r="H754" s="1669"/>
      <c r="I754" s="1436"/>
      <c r="J754" s="1436"/>
      <c r="K754" s="1436"/>
      <c r="L754" s="1436"/>
      <c r="M754" s="1436"/>
      <c r="N754" s="1436"/>
      <c r="O754" s="1635"/>
      <c r="P754" s="1714"/>
      <c r="Q754" s="1714"/>
      <c r="R754" s="1714"/>
      <c r="S754" s="1436"/>
      <c r="T754" s="1635"/>
      <c r="U754" s="1634"/>
      <c r="V754" s="1635"/>
      <c r="W754" s="1857"/>
      <c r="X754" s="1857"/>
      <c r="Y754" s="1635"/>
      <c r="Z754" s="1714"/>
      <c r="AA754" s="1436"/>
      <c r="AB754" s="1436"/>
      <c r="AC754" s="1436"/>
      <c r="AD754" s="1344"/>
    </row>
    <row r="755" customFormat="false" ht="15.75" hidden="true" customHeight="true" outlineLevel="1" collapsed="false">
      <c r="A755" s="1775" t="s">
        <v>3268</v>
      </c>
      <c r="B755" s="1626" t="s">
        <v>15</v>
      </c>
      <c r="C755" s="1627" t="n">
        <f aca="false">$C$143</f>
        <v>0.145</v>
      </c>
      <c r="D755" s="1372" t="n">
        <f aca="false">$J$620</f>
        <v>0.045</v>
      </c>
      <c r="E755" s="1667" t="n">
        <f aca="false">IF(E754=0,0,IF('Ввод данных'!$A$17=связи1!$A$95,IF(E754&lt;=0,0,E754-дома!$K$632),0)+IF('Ввод данных'!$A$17=связи1!$A$96,IF(E754&lt;связи1!$H$236,0,E754-$K$632),0)+IF('Ввод данных'!$A$17=связи1!$A$98,IF(E754&lt;связи1!$H$236,0,E754-$K$632),0))</f>
        <v>0</v>
      </c>
      <c r="F755" s="1667" t="n">
        <f aca="false">2*IF('Ввод данных'!$B$245=связи1!$A$2,1,0)*IF(связи1!$H$89=связи1!$A$2,1,0)</f>
        <v>2</v>
      </c>
      <c r="G755" s="1669" t="n">
        <f aca="false">C755*D755*E755*F755</f>
        <v>0</v>
      </c>
      <c r="H755" s="1669"/>
      <c r="I755" s="1436"/>
      <c r="J755" s="1436"/>
      <c r="K755" s="1436"/>
      <c r="L755" s="1436"/>
      <c r="M755" s="1436"/>
      <c r="N755" s="1436"/>
      <c r="O755" s="1635"/>
      <c r="P755" s="1714"/>
      <c r="Q755" s="1714"/>
      <c r="R755" s="1714"/>
      <c r="S755" s="1436"/>
      <c r="T755" s="1635"/>
      <c r="U755" s="1634"/>
      <c r="V755" s="1635"/>
      <c r="W755" s="1857"/>
      <c r="X755" s="1857"/>
      <c r="Y755" s="1635"/>
      <c r="Z755" s="1714"/>
      <c r="AA755" s="1436"/>
      <c r="AB755" s="1436"/>
      <c r="AC755" s="1436"/>
      <c r="AD755" s="1344"/>
    </row>
    <row r="756" customFormat="false" ht="15.75" hidden="true" customHeight="true" outlineLevel="1" collapsed="false">
      <c r="A756" s="1775" t="s">
        <v>3269</v>
      </c>
      <c r="B756" s="1626" t="s">
        <v>15</v>
      </c>
      <c r="C756" s="1627" t="n">
        <f aca="false">$C$143</f>
        <v>0.145</v>
      </c>
      <c r="D756" s="1372" t="n">
        <f aca="false">$J$620</f>
        <v>0.045</v>
      </c>
      <c r="E756" s="1667" t="n">
        <f aca="false">IF(E755=0,0,IF('Ввод данных'!$A$17=связи1!$A$95,IF(E755&lt;=0,0,E755-дома!$K$632),0)+IF('Ввод данных'!$A$17=связи1!$A$96,IF(E755&lt;связи1!$H$236,0,E755-$K$632),0)+IF('Ввод данных'!$A$17=связи1!$A$98,IF(E755&lt;связи1!$H$236,0,E755-$K$632),0))</f>
        <v>0</v>
      </c>
      <c r="F756" s="1667" t="n">
        <f aca="false">2*IF('Ввод данных'!$B$245=связи1!$A$2,1,0)*IF(связи1!$H$89=связи1!$A$2,1,0)</f>
        <v>2</v>
      </c>
      <c r="G756" s="1669" t="n">
        <f aca="false">C756*D756*E756*F756</f>
        <v>0</v>
      </c>
      <c r="H756" s="1669"/>
      <c r="I756" s="1436"/>
      <c r="J756" s="1436"/>
      <c r="K756" s="1436"/>
      <c r="L756" s="1436"/>
      <c r="M756" s="1436"/>
      <c r="N756" s="1436"/>
      <c r="O756" s="1635"/>
      <c r="P756" s="1714"/>
      <c r="Q756" s="1714"/>
      <c r="R756" s="1714"/>
      <c r="S756" s="1436"/>
      <c r="T756" s="1635"/>
      <c r="U756" s="1634"/>
      <c r="V756" s="1635"/>
      <c r="W756" s="1857"/>
      <c r="X756" s="1857"/>
      <c r="Y756" s="1635"/>
      <c r="Z756" s="1714"/>
      <c r="AA756" s="1436"/>
      <c r="AB756" s="1436"/>
      <c r="AC756" s="1436"/>
      <c r="AD756" s="1344"/>
    </row>
    <row r="757" customFormat="false" ht="15.75" hidden="true" customHeight="true" outlineLevel="1" collapsed="false">
      <c r="A757" s="1775" t="s">
        <v>3270</v>
      </c>
      <c r="B757" s="1626" t="s">
        <v>15</v>
      </c>
      <c r="C757" s="1627" t="n">
        <f aca="false">$C$143</f>
        <v>0.145</v>
      </c>
      <c r="D757" s="1372" t="n">
        <f aca="false">$J$620</f>
        <v>0.045</v>
      </c>
      <c r="E757" s="1667" t="n">
        <f aca="false">IF(E756=0,0,IF('Ввод данных'!$A$17=связи1!$A$95,IF(E756&lt;=0,0,E756-дома!$K$632),0)+IF('Ввод данных'!$A$17=связи1!$A$96,IF(E756&lt;связи1!$H$236,0,E756-$K$632),0)+IF('Ввод данных'!$A$17=связи1!$A$98,IF(E756&lt;связи1!$H$236,0,E756-$K$632),0))</f>
        <v>0</v>
      </c>
      <c r="F757" s="1667" t="n">
        <f aca="false">2*IF('Ввод данных'!$B$245=связи1!$A$2,1,0)*IF(связи1!$H$89=связи1!$A$2,1,0)</f>
        <v>2</v>
      </c>
      <c r="G757" s="1669" t="n">
        <f aca="false">C757*D757*E757*F757</f>
        <v>0</v>
      </c>
      <c r="H757" s="1669"/>
      <c r="I757" s="1436"/>
      <c r="J757" s="1436"/>
      <c r="K757" s="1436"/>
      <c r="L757" s="1436"/>
      <c r="M757" s="1436"/>
      <c r="N757" s="1436"/>
      <c r="O757" s="1635"/>
      <c r="P757" s="1714"/>
      <c r="Q757" s="1714"/>
      <c r="R757" s="1714"/>
      <c r="S757" s="1436"/>
      <c r="T757" s="1635"/>
      <c r="U757" s="1634"/>
      <c r="V757" s="1635"/>
      <c r="W757" s="1857"/>
      <c r="X757" s="1857"/>
      <c r="Y757" s="1635"/>
      <c r="Z757" s="1714"/>
      <c r="AA757" s="1436"/>
      <c r="AB757" s="1436"/>
      <c r="AC757" s="1436"/>
      <c r="AD757" s="1344"/>
    </row>
    <row r="758" customFormat="false" ht="15.75" hidden="true" customHeight="true" outlineLevel="1" collapsed="false">
      <c r="A758" s="1775" t="s">
        <v>3271</v>
      </c>
      <c r="B758" s="1626" t="s">
        <v>15</v>
      </c>
      <c r="C758" s="1627" t="n">
        <f aca="false">$C$143</f>
        <v>0.145</v>
      </c>
      <c r="D758" s="1372" t="n">
        <f aca="false">$J$620</f>
        <v>0.045</v>
      </c>
      <c r="E758" s="1667" t="n">
        <f aca="false">IF(E757=0,0,IF('Ввод данных'!$A$17=связи1!$A$95,IF(E757&lt;=0,0,E757-дома!$K$632),0)+IF('Ввод данных'!$A$17=связи1!$A$96,IF(E757&lt;связи1!$H$236,0,E757-$K$632),0)+IF('Ввод данных'!$A$17=связи1!$A$98,IF(E757&lt;связи1!$H$236,0,E757-$K$632),0))</f>
        <v>0</v>
      </c>
      <c r="F758" s="1667" t="n">
        <f aca="false">2*IF('Ввод данных'!$B$245=связи1!$A$2,1,0)*IF(связи1!$H$89=связи1!$A$2,1,0)</f>
        <v>2</v>
      </c>
      <c r="G758" s="1669" t="n">
        <f aca="false">C758*D758*E758*F758</f>
        <v>0</v>
      </c>
      <c r="H758" s="1669"/>
      <c r="I758" s="1436"/>
      <c r="J758" s="1436"/>
      <c r="K758" s="1436"/>
      <c r="L758" s="1436"/>
      <c r="M758" s="1436"/>
      <c r="N758" s="1436"/>
      <c r="O758" s="1635"/>
      <c r="P758" s="1714"/>
      <c r="Q758" s="1714"/>
      <c r="R758" s="1714"/>
      <c r="S758" s="1436"/>
      <c r="T758" s="1635"/>
      <c r="U758" s="1634"/>
      <c r="V758" s="1635"/>
      <c r="W758" s="1857"/>
      <c r="X758" s="1857"/>
      <c r="Y758" s="1635"/>
      <c r="Z758" s="1714"/>
      <c r="AA758" s="1436"/>
      <c r="AB758" s="1436"/>
      <c r="AC758" s="1436"/>
      <c r="AD758" s="1344"/>
    </row>
    <row r="759" customFormat="false" ht="15.75" hidden="true" customHeight="true" outlineLevel="1" collapsed="false">
      <c r="A759" s="1775" t="s">
        <v>3272</v>
      </c>
      <c r="B759" s="1626" t="s">
        <v>15</v>
      </c>
      <c r="C759" s="1627" t="n">
        <f aca="false">$C$143</f>
        <v>0.145</v>
      </c>
      <c r="D759" s="1372" t="n">
        <f aca="false">$J$620</f>
        <v>0.045</v>
      </c>
      <c r="E759" s="1667" t="n">
        <f aca="false">IF(E758=0,0,IF('Ввод данных'!$A$17=связи1!$A$95,IF(E758&lt;=0,0,E758-дома!$K$632),0)+IF('Ввод данных'!$A$17=связи1!$A$96,IF(E758&lt;связи1!$H$236,0,E758-$K$632),0)+IF('Ввод данных'!$A$17=связи1!$A$98,IF(E758&lt;связи1!$H$236,0,E758-$K$632),0))</f>
        <v>0</v>
      </c>
      <c r="F759" s="1667" t="n">
        <f aca="false">2*IF('Ввод данных'!$B$245=связи1!$A$2,1,0)*IF(связи1!$H$89=связи1!$A$2,1,0)</f>
        <v>2</v>
      </c>
      <c r="G759" s="1669" t="n">
        <f aca="false">C759*D759*E759*F759</f>
        <v>0</v>
      </c>
      <c r="H759" s="1669"/>
      <c r="I759" s="1436"/>
      <c r="J759" s="1436"/>
      <c r="K759" s="1436"/>
      <c r="L759" s="1436"/>
      <c r="M759" s="1436"/>
      <c r="N759" s="1436"/>
      <c r="O759" s="1635"/>
      <c r="P759" s="1714"/>
      <c r="Q759" s="1714"/>
      <c r="R759" s="1714"/>
      <c r="S759" s="1436"/>
      <c r="T759" s="1635"/>
      <c r="U759" s="1634"/>
      <c r="V759" s="1635"/>
      <c r="W759" s="1857"/>
      <c r="X759" s="1857"/>
      <c r="Y759" s="1635"/>
      <c r="Z759" s="1714"/>
      <c r="AA759" s="1436"/>
      <c r="AB759" s="1436"/>
      <c r="AC759" s="1436"/>
      <c r="AD759" s="1344"/>
    </row>
    <row r="760" customFormat="false" ht="15.75" hidden="true" customHeight="true" outlineLevel="1" collapsed="false">
      <c r="A760" s="1775" t="s">
        <v>3273</v>
      </c>
      <c r="B760" s="1626" t="s">
        <v>15</v>
      </c>
      <c r="C760" s="1627" t="n">
        <f aca="false">$C$143</f>
        <v>0.145</v>
      </c>
      <c r="D760" s="1372" t="n">
        <f aca="false">$J$620</f>
        <v>0.045</v>
      </c>
      <c r="E760" s="1667" t="n">
        <f aca="false">IF(E759=0,0,IF('Ввод данных'!$A$17=связи1!$A$95,IF(E759&lt;=0,0,E759-дома!$K$632),0)+IF('Ввод данных'!$A$17=связи1!$A$96,IF(E759&lt;связи1!$H$236,0,E759-$K$632),0)+IF('Ввод данных'!$A$17=связи1!$A$98,IF(E759&lt;связи1!$H$236,0,E759-$K$632),0))</f>
        <v>0</v>
      </c>
      <c r="F760" s="1667" t="n">
        <f aca="false">2*IF('Ввод данных'!$B$245=связи1!$A$2,1,0)*IF(связи1!$H$89=связи1!$A$2,1,0)</f>
        <v>2</v>
      </c>
      <c r="G760" s="1669" t="n">
        <f aca="false">C760*D760*E760*F760</f>
        <v>0</v>
      </c>
      <c r="H760" s="1669"/>
      <c r="I760" s="1436"/>
      <c r="J760" s="1436"/>
      <c r="K760" s="1436"/>
      <c r="L760" s="1436"/>
      <c r="M760" s="1436"/>
      <c r="N760" s="1436"/>
      <c r="O760" s="1635"/>
      <c r="P760" s="1714"/>
      <c r="Q760" s="1714"/>
      <c r="R760" s="1714"/>
      <c r="S760" s="1436"/>
      <c r="T760" s="1635"/>
      <c r="U760" s="1634"/>
      <c r="V760" s="1635"/>
      <c r="W760" s="1857"/>
      <c r="X760" s="1857"/>
      <c r="Y760" s="1635"/>
      <c r="Z760" s="1714"/>
      <c r="AA760" s="1436"/>
      <c r="AB760" s="1436"/>
      <c r="AC760" s="1436"/>
      <c r="AD760" s="1344"/>
    </row>
    <row r="761" customFormat="false" ht="15.75" hidden="true" customHeight="true" outlineLevel="1" collapsed="false">
      <c r="A761" s="1775" t="s">
        <v>3274</v>
      </c>
      <c r="B761" s="1626" t="s">
        <v>15</v>
      </c>
      <c r="C761" s="1627" t="n">
        <f aca="false">$C$143</f>
        <v>0.145</v>
      </c>
      <c r="D761" s="1372" t="n">
        <f aca="false">$J$620</f>
        <v>0.045</v>
      </c>
      <c r="E761" s="1667" t="n">
        <f aca="false">IF(E760=0,0,IF('Ввод данных'!$A$17=связи1!$A$95,IF(E760&lt;=0,0,E760-дома!$K$632),0)+IF('Ввод данных'!$A$17=связи1!$A$96,IF(E760&lt;связи1!$H$236,0,E760-$K$632),0)+IF('Ввод данных'!$A$17=связи1!$A$98,IF(E760&lt;связи1!$H$236,0,E760-$K$632),0))</f>
        <v>0</v>
      </c>
      <c r="F761" s="1667" t="n">
        <f aca="false">2*IF('Ввод данных'!$B$245=связи1!$A$2,1,0)*IF(связи1!$H$89=связи1!$A$2,1,0)</f>
        <v>2</v>
      </c>
      <c r="G761" s="1669" t="n">
        <f aca="false">C761*D761*E761*F761</f>
        <v>0</v>
      </c>
      <c r="H761" s="1669"/>
      <c r="I761" s="1436"/>
      <c r="J761" s="1436"/>
      <c r="K761" s="1436"/>
      <c r="L761" s="1436"/>
      <c r="M761" s="1436"/>
      <c r="N761" s="1436"/>
      <c r="O761" s="1635"/>
      <c r="P761" s="1714"/>
      <c r="Q761" s="1714"/>
      <c r="R761" s="1714"/>
      <c r="S761" s="1436"/>
      <c r="T761" s="1635"/>
      <c r="U761" s="1634"/>
      <c r="V761" s="1635"/>
      <c r="W761" s="1857"/>
      <c r="X761" s="1857"/>
      <c r="Y761" s="1635"/>
      <c r="Z761" s="1714"/>
      <c r="AA761" s="1436"/>
      <c r="AB761" s="1436"/>
      <c r="AC761" s="1436"/>
      <c r="AD761" s="1344"/>
    </row>
    <row r="762" customFormat="false" ht="15.75" hidden="true" customHeight="true" outlineLevel="1" collapsed="false">
      <c r="A762" s="1775" t="s">
        <v>3275</v>
      </c>
      <c r="B762" s="1626" t="s">
        <v>15</v>
      </c>
      <c r="C762" s="1627" t="n">
        <f aca="false">$C$143</f>
        <v>0.145</v>
      </c>
      <c r="D762" s="1372" t="n">
        <f aca="false">$J$620</f>
        <v>0.045</v>
      </c>
      <c r="E762" s="1667" t="n">
        <f aca="false">IF(E761=0,0,IF('Ввод данных'!$A$17=связи1!$A$95,IF(E761&lt;=0,0,E761-дома!$K$632),0)+IF('Ввод данных'!$A$17=связи1!$A$96,IF(E761&lt;связи1!$H$236,0,E761-$K$632),0)+IF('Ввод данных'!$A$17=связи1!$A$98,IF(E761&lt;связи1!$H$236,0,E761-$K$632),0))</f>
        <v>0</v>
      </c>
      <c r="F762" s="1667" t="n">
        <f aca="false">2*IF('Ввод данных'!$B$245=связи1!$A$2,1,0)*IF(связи1!$H$89=связи1!$A$2,1,0)</f>
        <v>2</v>
      </c>
      <c r="G762" s="1669" t="n">
        <f aca="false">C762*D762*E762*F762</f>
        <v>0</v>
      </c>
      <c r="H762" s="1669"/>
      <c r="I762" s="1436"/>
      <c r="J762" s="1436"/>
      <c r="K762" s="1436"/>
      <c r="L762" s="1436"/>
      <c r="M762" s="1436"/>
      <c r="N762" s="1436"/>
      <c r="O762" s="1635"/>
      <c r="P762" s="1714"/>
      <c r="Q762" s="1714"/>
      <c r="R762" s="1714"/>
      <c r="S762" s="1436"/>
      <c r="T762" s="1635"/>
      <c r="U762" s="1634"/>
      <c r="V762" s="1635"/>
      <c r="W762" s="1857"/>
      <c r="X762" s="1857"/>
      <c r="Y762" s="1635"/>
      <c r="Z762" s="1714"/>
      <c r="AA762" s="1436"/>
      <c r="AB762" s="1436"/>
      <c r="AC762" s="1436"/>
      <c r="AD762" s="1344"/>
    </row>
    <row r="763" customFormat="false" ht="15.75" hidden="true" customHeight="true" outlineLevel="1" collapsed="false">
      <c r="A763" s="1775" t="s">
        <v>3276</v>
      </c>
      <c r="B763" s="1626" t="s">
        <v>15</v>
      </c>
      <c r="C763" s="1627" t="n">
        <f aca="false">$C$143</f>
        <v>0.145</v>
      </c>
      <c r="D763" s="1372" t="n">
        <f aca="false">$J$620</f>
        <v>0.045</v>
      </c>
      <c r="E763" s="1667" t="n">
        <f aca="false">IF(E762=0,0,IF('Ввод данных'!$A$17=связи1!$A$95,IF(E762&lt;=0,0,E762-дома!$K$632),0)+IF('Ввод данных'!$A$17=связи1!$A$96,IF(E762&lt;связи1!$H$236,0,E762-$K$632),0)+IF('Ввод данных'!$A$17=связи1!$A$98,IF(E762&lt;связи1!$H$236,0,E762-$K$632),0))</f>
        <v>0</v>
      </c>
      <c r="F763" s="1667" t="n">
        <f aca="false">2*IF('Ввод данных'!$B$245=связи1!$A$2,1,0)*IF(связи1!$H$89=связи1!$A$2,1,0)</f>
        <v>2</v>
      </c>
      <c r="G763" s="1669" t="n">
        <f aca="false">C763*D763*E763*F763</f>
        <v>0</v>
      </c>
      <c r="H763" s="1669"/>
      <c r="I763" s="1436"/>
      <c r="J763" s="1436"/>
      <c r="K763" s="1436"/>
      <c r="L763" s="1436"/>
      <c r="M763" s="1436"/>
      <c r="N763" s="1436"/>
      <c r="O763" s="1635"/>
      <c r="P763" s="1714"/>
      <c r="Q763" s="1714"/>
      <c r="R763" s="1714"/>
      <c r="S763" s="1436"/>
      <c r="T763" s="1635"/>
      <c r="U763" s="1634"/>
      <c r="V763" s="1635"/>
      <c r="W763" s="1857"/>
      <c r="X763" s="1857"/>
      <c r="Y763" s="1635"/>
      <c r="Z763" s="1714"/>
      <c r="AA763" s="1436"/>
      <c r="AB763" s="1436"/>
      <c r="AC763" s="1436"/>
      <c r="AD763" s="1344"/>
    </row>
    <row r="764" customFormat="false" ht="15.75" hidden="true" customHeight="true" outlineLevel="1" collapsed="false">
      <c r="A764" s="1775" t="s">
        <v>3277</v>
      </c>
      <c r="B764" s="1626" t="s">
        <v>15</v>
      </c>
      <c r="C764" s="1627" t="n">
        <f aca="false">$C$143</f>
        <v>0.145</v>
      </c>
      <c r="D764" s="1372" t="n">
        <f aca="false">$J$620</f>
        <v>0.045</v>
      </c>
      <c r="E764" s="1667" t="n">
        <f aca="false">IF(E763=0,0,IF('Ввод данных'!$A$17=связи1!$A$95,IF(E763&lt;=0,0,E763-дома!$K$632),0)+IF('Ввод данных'!$A$17=связи1!$A$96,IF(E763&lt;связи1!$H$236,0,E763-$K$632),0)+IF('Ввод данных'!$A$17=связи1!$A$98,IF(E763&lt;связи1!$H$236,0,E763-$K$632),0))</f>
        <v>0</v>
      </c>
      <c r="F764" s="1667" t="n">
        <f aca="false">2*IF('Ввод данных'!$B$245=связи1!$A$2,1,0)*IF(связи1!$H$89=связи1!$A$2,1,0)</f>
        <v>2</v>
      </c>
      <c r="G764" s="1669" t="n">
        <f aca="false">C764*D764*E764*F764</f>
        <v>0</v>
      </c>
      <c r="H764" s="1669"/>
      <c r="I764" s="1436"/>
      <c r="J764" s="1436"/>
      <c r="K764" s="1436"/>
      <c r="L764" s="1436"/>
      <c r="M764" s="1436"/>
      <c r="N764" s="1436"/>
      <c r="O764" s="1635"/>
      <c r="P764" s="1714"/>
      <c r="Q764" s="1714"/>
      <c r="R764" s="1714"/>
      <c r="S764" s="1436"/>
      <c r="T764" s="1635"/>
      <c r="U764" s="1634"/>
      <c r="V764" s="1635"/>
      <c r="W764" s="1857"/>
      <c r="X764" s="1857"/>
      <c r="Y764" s="1635"/>
      <c r="Z764" s="1714"/>
      <c r="AA764" s="1436"/>
      <c r="AB764" s="1436"/>
      <c r="AC764" s="1436"/>
      <c r="AD764" s="1344"/>
    </row>
    <row r="765" customFormat="false" ht="15.75" hidden="true" customHeight="true" outlineLevel="1" collapsed="false">
      <c r="A765" s="1775" t="s">
        <v>3278</v>
      </c>
      <c r="B765" s="1626" t="s">
        <v>15</v>
      </c>
      <c r="C765" s="1627" t="n">
        <f aca="false">$C$143</f>
        <v>0.145</v>
      </c>
      <c r="D765" s="1372" t="n">
        <f aca="false">$J$620</f>
        <v>0.045</v>
      </c>
      <c r="E765" s="1667" t="n">
        <f aca="false">IF(E764=0,0,IF('Ввод данных'!$A$17=связи1!$A$95,IF(E764&lt;=0,0,E764-дома!$K$632),0)+IF('Ввод данных'!$A$17=связи1!$A$96,IF(E764&lt;связи1!$H$236,0,E764-$K$632),0)+IF('Ввод данных'!$A$17=связи1!$A$98,IF(E764&lt;связи1!$H$236,0,E764-$K$632),0))</f>
        <v>0</v>
      </c>
      <c r="F765" s="1667" t="n">
        <f aca="false">2*IF('Ввод данных'!$B$245=связи1!$A$2,1,0)*IF(связи1!$H$89=связи1!$A$2,1,0)</f>
        <v>2</v>
      </c>
      <c r="G765" s="1669" t="n">
        <f aca="false">C765*D765*E765*F765</f>
        <v>0</v>
      </c>
      <c r="H765" s="1669"/>
      <c r="I765" s="1436"/>
      <c r="J765" s="1436"/>
      <c r="K765" s="1436"/>
      <c r="L765" s="1436"/>
      <c r="M765" s="1436"/>
      <c r="N765" s="1436"/>
      <c r="O765" s="1635"/>
      <c r="P765" s="1714"/>
      <c r="Q765" s="1714"/>
      <c r="R765" s="1714"/>
      <c r="S765" s="1436"/>
      <c r="T765" s="1635"/>
      <c r="U765" s="1634"/>
      <c r="V765" s="1635"/>
      <c r="W765" s="1857"/>
      <c r="X765" s="1857"/>
      <c r="Y765" s="1635"/>
      <c r="Z765" s="1714"/>
      <c r="AA765" s="1436"/>
      <c r="AB765" s="1436"/>
      <c r="AC765" s="1436"/>
      <c r="AD765" s="1344"/>
    </row>
    <row r="766" customFormat="false" ht="15.75" hidden="true" customHeight="true" outlineLevel="1" collapsed="false">
      <c r="A766" s="1775" t="s">
        <v>3279</v>
      </c>
      <c r="B766" s="1626" t="s">
        <v>15</v>
      </c>
      <c r="C766" s="1627" t="n">
        <f aca="false">$C$143</f>
        <v>0.145</v>
      </c>
      <c r="D766" s="1372" t="n">
        <f aca="false">$J$620</f>
        <v>0.045</v>
      </c>
      <c r="E766" s="1667" t="n">
        <f aca="false">IF(E765=0,0,IF('Ввод данных'!$A$17=связи1!$A$95,IF(E765&lt;=0,0,E765-дома!$K$632),0)+IF('Ввод данных'!$A$17=связи1!$A$96,IF(E765&lt;связи1!$H$236,0,E765-$K$632),0)+IF('Ввод данных'!$A$17=связи1!$A$98,IF(E765&lt;связи1!$H$236,0,E765-$K$632),0))</f>
        <v>0</v>
      </c>
      <c r="F766" s="1667" t="n">
        <f aca="false">2*IF('Ввод данных'!$B$245=связи1!$A$2,1,0)*IF(связи1!$H$89=связи1!$A$2,1,0)</f>
        <v>2</v>
      </c>
      <c r="G766" s="1669" t="n">
        <f aca="false">C766*D766*E766*F766</f>
        <v>0</v>
      </c>
      <c r="H766" s="1669"/>
      <c r="I766" s="1436"/>
      <c r="J766" s="1436"/>
      <c r="K766" s="1436"/>
      <c r="L766" s="1436"/>
      <c r="M766" s="1436"/>
      <c r="N766" s="1436"/>
      <c r="O766" s="1635"/>
      <c r="P766" s="1714"/>
      <c r="Q766" s="1714"/>
      <c r="R766" s="1714"/>
      <c r="S766" s="1436"/>
      <c r="T766" s="1635"/>
      <c r="U766" s="1634"/>
      <c r="V766" s="1635"/>
      <c r="W766" s="1857"/>
      <c r="X766" s="1857"/>
      <c r="Y766" s="1635"/>
      <c r="Z766" s="1714"/>
      <c r="AA766" s="1436"/>
      <c r="AB766" s="1436"/>
      <c r="AC766" s="1436"/>
      <c r="AD766" s="1344"/>
    </row>
    <row r="767" customFormat="false" ht="15.75" hidden="true" customHeight="true" outlineLevel="1" collapsed="false">
      <c r="A767" s="1775" t="s">
        <v>3280</v>
      </c>
      <c r="B767" s="1626" t="s">
        <v>15</v>
      </c>
      <c r="C767" s="1627" t="n">
        <f aca="false">$C$143</f>
        <v>0.145</v>
      </c>
      <c r="D767" s="1372" t="n">
        <f aca="false">$J$620</f>
        <v>0.045</v>
      </c>
      <c r="E767" s="1667" t="n">
        <f aca="false">IF(E766=0,0,IF('Ввод данных'!$A$17=связи1!$A$95,IF(E766&lt;=0,0,E766-дома!$K$632),0)+IF('Ввод данных'!$A$17=связи1!$A$96,IF(E766&lt;связи1!$H$236,0,E766-$K$632),0)+IF('Ввод данных'!$A$17=связи1!$A$98,IF(E766&lt;связи1!$H$236,0,E766-$K$632),0))</f>
        <v>0</v>
      </c>
      <c r="F767" s="1667" t="n">
        <f aca="false">2*IF('Ввод данных'!$B$245=связи1!$A$2,1,0)*IF(связи1!$H$89=связи1!$A$2,1,0)</f>
        <v>2</v>
      </c>
      <c r="G767" s="1669" t="n">
        <f aca="false">C767*D767*E767*F767</f>
        <v>0</v>
      </c>
      <c r="H767" s="1669"/>
      <c r="I767" s="1436"/>
      <c r="J767" s="1436"/>
      <c r="K767" s="1436"/>
      <c r="L767" s="1436"/>
      <c r="M767" s="1436"/>
      <c r="N767" s="1436"/>
      <c r="O767" s="1635"/>
      <c r="P767" s="1714"/>
      <c r="Q767" s="1714"/>
      <c r="R767" s="1714"/>
      <c r="S767" s="1436"/>
      <c r="T767" s="1635"/>
      <c r="U767" s="1634"/>
      <c r="V767" s="1635"/>
      <c r="W767" s="1857"/>
      <c r="X767" s="1857"/>
      <c r="Y767" s="1635"/>
      <c r="Z767" s="1714"/>
      <c r="AA767" s="1436"/>
      <c r="AB767" s="1436"/>
      <c r="AC767" s="1436"/>
      <c r="AD767" s="1344"/>
    </row>
    <row r="768" customFormat="false" ht="15.75" hidden="true" customHeight="true" outlineLevel="1" collapsed="false">
      <c r="A768" s="1775" t="s">
        <v>3281</v>
      </c>
      <c r="B768" s="1626" t="s">
        <v>15</v>
      </c>
      <c r="C768" s="1627" t="n">
        <f aca="false">$C$143</f>
        <v>0.145</v>
      </c>
      <c r="D768" s="1372" t="n">
        <f aca="false">$J$620</f>
        <v>0.045</v>
      </c>
      <c r="E768" s="1667" t="n">
        <f aca="false">IF(E767=0,0,IF('Ввод данных'!$A$17=связи1!$A$95,IF(E767&lt;=0,0,E767-дома!$K$632),0)+IF('Ввод данных'!$A$17=связи1!$A$96,IF(E767&lt;связи1!$H$236,0,E767-$K$632),0)+IF('Ввод данных'!$A$17=связи1!$A$98,IF(E767&lt;связи1!$H$236,0,E767-$K$632),0))</f>
        <v>0</v>
      </c>
      <c r="F768" s="1667" t="n">
        <f aca="false">2*IF('Ввод данных'!$B$245=связи1!$A$2,1,0)*IF(связи1!$H$89=связи1!$A$2,1,0)</f>
        <v>2</v>
      </c>
      <c r="G768" s="1669" t="n">
        <f aca="false">C768*D768*E768*F768</f>
        <v>0</v>
      </c>
      <c r="H768" s="1669"/>
      <c r="I768" s="1436"/>
      <c r="J768" s="1436"/>
      <c r="K768" s="1436"/>
      <c r="L768" s="1436"/>
      <c r="M768" s="1436"/>
      <c r="N768" s="1436"/>
      <c r="O768" s="1635"/>
      <c r="P768" s="1714"/>
      <c r="Q768" s="1714"/>
      <c r="R768" s="1714"/>
      <c r="S768" s="1436"/>
      <c r="T768" s="1635"/>
      <c r="U768" s="1634"/>
      <c r="V768" s="1635"/>
      <c r="W768" s="1857"/>
      <c r="X768" s="1857"/>
      <c r="Y768" s="1635"/>
      <c r="Z768" s="1714"/>
      <c r="AA768" s="1436"/>
      <c r="AB768" s="1436"/>
      <c r="AC768" s="1436"/>
      <c r="AD768" s="1344"/>
    </row>
    <row r="769" customFormat="false" ht="15.75" hidden="true" customHeight="true" outlineLevel="1" collapsed="false">
      <c r="A769" s="1775" t="s">
        <v>3282</v>
      </c>
      <c r="B769" s="1626" t="s">
        <v>15</v>
      </c>
      <c r="C769" s="1627" t="n">
        <f aca="false">$C$143</f>
        <v>0.145</v>
      </c>
      <c r="D769" s="1372" t="n">
        <f aca="false">$J$620</f>
        <v>0.045</v>
      </c>
      <c r="E769" s="1667" t="n">
        <f aca="false">IF(E768=0,0,IF('Ввод данных'!$A$17=связи1!$A$95,IF(E768&lt;=0,0,E768-дома!$K$632),0)+IF('Ввод данных'!$A$17=связи1!$A$96,IF(E768&lt;связи1!$H$236,0,E768-$K$632),0)+IF('Ввод данных'!$A$17=связи1!$A$98,IF(E768&lt;связи1!$H$236,0,E768-$K$632),0))</f>
        <v>0</v>
      </c>
      <c r="F769" s="1667" t="n">
        <f aca="false">2*IF('Ввод данных'!$B$245=связи1!$A$2,1,0)*IF(связи1!$H$89=связи1!$A$2,1,0)</f>
        <v>2</v>
      </c>
      <c r="G769" s="1669" t="n">
        <f aca="false">C769*D769*E769*F769</f>
        <v>0</v>
      </c>
      <c r="H769" s="1669"/>
      <c r="I769" s="1436"/>
      <c r="J769" s="1436"/>
      <c r="K769" s="1436"/>
      <c r="L769" s="1436"/>
      <c r="M769" s="1436"/>
      <c r="N769" s="1436"/>
      <c r="O769" s="1635"/>
      <c r="P769" s="1714"/>
      <c r="Q769" s="1714"/>
      <c r="R769" s="1714"/>
      <c r="S769" s="1436"/>
      <c r="T769" s="1635"/>
      <c r="U769" s="1634"/>
      <c r="V769" s="1635"/>
      <c r="W769" s="1857"/>
      <c r="X769" s="1857"/>
      <c r="Y769" s="1635"/>
      <c r="Z769" s="1714"/>
      <c r="AA769" s="1436"/>
      <c r="AB769" s="1436"/>
      <c r="AC769" s="1436"/>
      <c r="AD769" s="1344"/>
    </row>
    <row r="770" customFormat="false" ht="15.75" hidden="true" customHeight="true" outlineLevel="1" collapsed="false">
      <c r="A770" s="1775" t="s">
        <v>3283</v>
      </c>
      <c r="B770" s="1626" t="s">
        <v>15</v>
      </c>
      <c r="C770" s="1627" t="n">
        <f aca="false">$C$143</f>
        <v>0.145</v>
      </c>
      <c r="D770" s="1372" t="n">
        <f aca="false">$J$620</f>
        <v>0.045</v>
      </c>
      <c r="E770" s="1667" t="n">
        <f aca="false">IF(E769=0,0,IF('Ввод данных'!$A$17=связи1!$A$95,IF(E769&lt;=0,0,E769-дома!$K$632),0)+IF('Ввод данных'!$A$17=связи1!$A$96,IF(E769&lt;связи1!$H$236,0,E769-$K$632),0)+IF('Ввод данных'!$A$17=связи1!$A$98,IF(E769&lt;связи1!$H$236,0,E769-$K$632),0))</f>
        <v>0</v>
      </c>
      <c r="F770" s="1667" t="n">
        <f aca="false">2*IF('Ввод данных'!$B$245=связи1!$A$2,1,0)*IF(связи1!$H$89=связи1!$A$2,1,0)</f>
        <v>2</v>
      </c>
      <c r="G770" s="1669" t="n">
        <f aca="false">C770*D770*E770*F770</f>
        <v>0</v>
      </c>
      <c r="H770" s="1669"/>
      <c r="I770" s="1436"/>
      <c r="J770" s="1436"/>
      <c r="K770" s="1436"/>
      <c r="L770" s="1436"/>
      <c r="M770" s="1436"/>
      <c r="N770" s="1436"/>
      <c r="O770" s="1635"/>
      <c r="P770" s="1714"/>
      <c r="Q770" s="1714"/>
      <c r="R770" s="1714"/>
      <c r="S770" s="1436"/>
      <c r="T770" s="1635"/>
      <c r="U770" s="1634"/>
      <c r="V770" s="1635"/>
      <c r="W770" s="1857"/>
      <c r="X770" s="1857"/>
      <c r="Y770" s="1635"/>
      <c r="Z770" s="1714"/>
      <c r="AA770" s="1436"/>
      <c r="AB770" s="1436"/>
      <c r="AC770" s="1436"/>
      <c r="AD770" s="1344"/>
    </row>
    <row r="771" customFormat="false" ht="15.75" hidden="true" customHeight="true" outlineLevel="1" collapsed="false">
      <c r="A771" s="1775" t="s">
        <v>3284</v>
      </c>
      <c r="B771" s="1626" t="s">
        <v>15</v>
      </c>
      <c r="C771" s="1627" t="n">
        <f aca="false">$C$143</f>
        <v>0.145</v>
      </c>
      <c r="D771" s="1372" t="n">
        <f aca="false">$J$620</f>
        <v>0.045</v>
      </c>
      <c r="E771" s="1667" t="n">
        <f aca="false">IF(E770=0,0,IF('Ввод данных'!$A$17=связи1!$A$95,IF(E770&lt;=0,0,E770-дома!$K$632),0)+IF('Ввод данных'!$A$17=связи1!$A$96,IF(E770&lt;связи1!$H$236,0,E770-$K$632),0)+IF('Ввод данных'!$A$17=связи1!$A$98,IF(E770&lt;связи1!$H$236,0,E770-$K$632),0))</f>
        <v>0</v>
      </c>
      <c r="F771" s="1667" t="n">
        <f aca="false">2*IF('Ввод данных'!$B$245=связи1!$A$2,1,0)*IF(связи1!$H$89=связи1!$A$2,1,0)</f>
        <v>2</v>
      </c>
      <c r="G771" s="1669" t="n">
        <f aca="false">C771*D771*E771*F771</f>
        <v>0</v>
      </c>
      <c r="H771" s="1669"/>
      <c r="I771" s="1436"/>
      <c r="J771" s="1436"/>
      <c r="K771" s="1436"/>
      <c r="L771" s="1436"/>
      <c r="M771" s="1436"/>
      <c r="N771" s="1436"/>
      <c r="O771" s="1635"/>
      <c r="P771" s="1714"/>
      <c r="Q771" s="1714"/>
      <c r="R771" s="1714"/>
      <c r="S771" s="1436"/>
      <c r="T771" s="1635"/>
      <c r="U771" s="1634"/>
      <c r="V771" s="1635"/>
      <c r="W771" s="1857"/>
      <c r="X771" s="1857"/>
      <c r="Y771" s="1635"/>
      <c r="Z771" s="1714"/>
      <c r="AA771" s="1436"/>
      <c r="AB771" s="1436"/>
      <c r="AC771" s="1436"/>
      <c r="AD771" s="1344"/>
    </row>
    <row r="772" customFormat="false" ht="15.75" hidden="true" customHeight="true" outlineLevel="1" collapsed="false">
      <c r="A772" s="1774" t="s">
        <v>3237</v>
      </c>
      <c r="B772" s="1720" t="s">
        <v>15</v>
      </c>
      <c r="C772" s="1771" t="n">
        <f aca="false">$C$143</f>
        <v>0.145</v>
      </c>
      <c r="D772" s="1772" t="n">
        <f aca="false">$J$620</f>
        <v>0.045</v>
      </c>
      <c r="E772" s="1721" t="n">
        <f aca="false">C620+C623+C624+C625</f>
        <v>32</v>
      </c>
      <c r="F772" s="1721" t="n">
        <f aca="false">1*IF('Ввод данных'!$C$245=связи1!$A$2,1,0)*IF(связи1!$H$89=связи1!$A$2,1,0)</f>
        <v>0</v>
      </c>
      <c r="G772" s="1722" t="n">
        <f aca="false">C772*D772*E772*F772</f>
        <v>0</v>
      </c>
      <c r="H772" s="1722"/>
      <c r="I772" s="1436"/>
      <c r="J772" s="1436"/>
      <c r="K772" s="1436"/>
      <c r="L772" s="1436"/>
      <c r="M772" s="1436"/>
      <c r="N772" s="1436"/>
      <c r="O772" s="1635"/>
      <c r="P772" s="1714"/>
      <c r="Q772" s="1714"/>
      <c r="R772" s="1714"/>
      <c r="S772" s="1436"/>
      <c r="T772" s="1635"/>
      <c r="U772" s="1634"/>
      <c r="V772" s="1635"/>
      <c r="W772" s="1857"/>
      <c r="X772" s="1857"/>
      <c r="Y772" s="1635"/>
      <c r="Z772" s="1714"/>
      <c r="AA772" s="1436"/>
      <c r="AB772" s="1436"/>
      <c r="AC772" s="1436"/>
      <c r="AD772" s="1344"/>
    </row>
    <row r="773" customFormat="false" ht="15.75" hidden="true" customHeight="true" outlineLevel="1" collapsed="false">
      <c r="A773" s="1774" t="s">
        <v>3238</v>
      </c>
      <c r="B773" s="1720" t="s">
        <v>15</v>
      </c>
      <c r="C773" s="1771" t="n">
        <f aca="false">$C$143</f>
        <v>0.145</v>
      </c>
      <c r="D773" s="1772" t="n">
        <f aca="false">$J$620</f>
        <v>0.045</v>
      </c>
      <c r="E773" s="1721" t="n">
        <f aca="false">C624+C625+K628+K628</f>
        <v>33.3850510496806</v>
      </c>
      <c r="F773" s="1721" t="n">
        <f aca="false">1*IF('Ввод данных'!$C$245=связи1!$A$2,1,0)*IF(связи1!$H$89=связи1!$A$2,1,0)*D635</f>
        <v>0</v>
      </c>
      <c r="G773" s="1722" t="n">
        <f aca="false">C773*D773*E773*F773</f>
        <v>0</v>
      </c>
      <c r="H773" s="1722"/>
      <c r="I773" s="1436"/>
      <c r="J773" s="1436"/>
      <c r="K773" s="1436"/>
      <c r="L773" s="1436"/>
      <c r="M773" s="1436"/>
      <c r="N773" s="1436"/>
      <c r="O773" s="1635"/>
      <c r="P773" s="1714"/>
      <c r="Q773" s="1714"/>
      <c r="R773" s="1714"/>
      <c r="S773" s="1436"/>
      <c r="T773" s="1635"/>
      <c r="U773" s="1634"/>
      <c r="V773" s="1635"/>
      <c r="W773" s="1857"/>
      <c r="X773" s="1857"/>
      <c r="Y773" s="1635"/>
      <c r="Z773" s="1714"/>
      <c r="AA773" s="1436"/>
      <c r="AB773" s="1436"/>
      <c r="AC773" s="1436"/>
      <c r="AD773" s="1344"/>
    </row>
    <row r="774" customFormat="false" ht="15.75" hidden="true" customHeight="true" outlineLevel="1" collapsed="false">
      <c r="A774" s="1774" t="s">
        <v>3239</v>
      </c>
      <c r="B774" s="1720" t="s">
        <v>15</v>
      </c>
      <c r="C774" s="1771" t="n">
        <f aca="false">$C$143</f>
        <v>0.145</v>
      </c>
      <c r="D774" s="1772" t="n">
        <f aca="false">$J$620</f>
        <v>0.045</v>
      </c>
      <c r="E774" s="1721" t="n">
        <f aca="false">E773</f>
        <v>33.3850510496806</v>
      </c>
      <c r="F774" s="1721" t="n">
        <f aca="false">1*IF('Ввод данных'!$C$245=связи1!$A$2,1,0)*IF(связи1!$H$89=связи1!$A$2,1,0)*D635</f>
        <v>0</v>
      </c>
      <c r="G774" s="1722" t="n">
        <f aca="false">C774*D774*E774*F774</f>
        <v>0</v>
      </c>
      <c r="H774" s="1722"/>
      <c r="I774" s="1436"/>
      <c r="J774" s="1436"/>
      <c r="K774" s="1436"/>
      <c r="L774" s="1436"/>
      <c r="M774" s="1436"/>
      <c r="N774" s="1436"/>
      <c r="O774" s="1635"/>
      <c r="P774" s="1714"/>
      <c r="Q774" s="1714"/>
      <c r="R774" s="1714"/>
      <c r="S774" s="1436"/>
      <c r="T774" s="1635"/>
      <c r="U774" s="1634"/>
      <c r="V774" s="1635"/>
      <c r="W774" s="1857"/>
      <c r="X774" s="1857"/>
      <c r="Y774" s="1635"/>
      <c r="Z774" s="1714"/>
      <c r="AA774" s="1436"/>
      <c r="AB774" s="1436"/>
      <c r="AC774" s="1436"/>
      <c r="AD774" s="1344"/>
    </row>
    <row r="775" customFormat="false" ht="15.75" hidden="true" customHeight="true" outlineLevel="1" collapsed="false">
      <c r="A775" s="1770" t="s">
        <v>3285</v>
      </c>
      <c r="B775" s="1720" t="s">
        <v>15</v>
      </c>
      <c r="C775" s="1771" t="n">
        <f aca="false">$C$143</f>
        <v>0.145</v>
      </c>
      <c r="D775" s="1772" t="n">
        <f aca="false">$J$620</f>
        <v>0.045</v>
      </c>
      <c r="E775" s="1721" t="n">
        <f aca="false">IF('Ввод данных'!C245=связи1!A2,IF('Ввод данных'!A17=связи1!A95,'Ввод данных'!C12,0)+IF('Ввод данных'!A17=связи1!A96,связи1!H236,0)+IF('Ввод данных'!A17=связи1!A98,связи1!H236,0),0)</f>
        <v>0</v>
      </c>
      <c r="F775" s="1721" t="n">
        <f aca="false">CEILING(C624/G624+1,1)*IF('Ввод данных'!$C$245=связи1!$A$2,1,0)*IF(связи1!$H$89=связи1!$A$2,1,0)</f>
        <v>0</v>
      </c>
      <c r="G775" s="1722" t="n">
        <f aca="false">C775*D775*E775*F775</f>
        <v>0</v>
      </c>
      <c r="H775" s="1722"/>
      <c r="I775" s="1436"/>
      <c r="J775" s="1436"/>
      <c r="K775" s="1436"/>
      <c r="L775" s="1436"/>
      <c r="M775" s="1436"/>
      <c r="N775" s="1436"/>
      <c r="O775" s="1635"/>
      <c r="P775" s="1714"/>
      <c r="Q775" s="1714"/>
      <c r="R775" s="1714"/>
      <c r="S775" s="1436"/>
      <c r="T775" s="1635"/>
      <c r="U775" s="1634"/>
      <c r="V775" s="1635"/>
      <c r="W775" s="1857"/>
      <c r="X775" s="1857"/>
      <c r="Y775" s="1635"/>
      <c r="Z775" s="1714"/>
      <c r="AA775" s="1436"/>
      <c r="AB775" s="1436"/>
      <c r="AC775" s="1436"/>
      <c r="AD775" s="1344"/>
    </row>
    <row r="776" customFormat="false" ht="15.75" hidden="true" customHeight="true" outlineLevel="1" collapsed="false">
      <c r="A776" s="1770" t="s">
        <v>3286</v>
      </c>
      <c r="B776" s="1720" t="s">
        <v>15</v>
      </c>
      <c r="C776" s="1771" t="n">
        <f aca="false">$C$143</f>
        <v>0.145</v>
      </c>
      <c r="D776" s="1772" t="n">
        <f aca="false">$J$620</f>
        <v>0.045</v>
      </c>
      <c r="E776" s="1721" t="n">
        <f aca="false">IF('Ввод данных'!C245=связи1!A2,IF('Ввод данных'!A17=связи1!A95,'Ввод данных'!C12,0)+IF('Ввод данных'!A17=связи1!A96,связи1!H235,0)+IF('Ввод данных'!A17=связи1!A98,связи1!H235,0),0)</f>
        <v>0</v>
      </c>
      <c r="F776" s="1721" t="n">
        <f aca="false">CEILING(C624/G624+1,1)*IF('Ввод данных'!$C$245=связи1!$A$2,1,0)*IF(связи1!$H$89=связи1!$A$2,1,0)</f>
        <v>0</v>
      </c>
      <c r="G776" s="1722" t="n">
        <f aca="false">C776*D776*E776*F776</f>
        <v>0</v>
      </c>
      <c r="H776" s="1722"/>
      <c r="I776" s="1436"/>
      <c r="J776" s="1436"/>
      <c r="K776" s="1436"/>
      <c r="L776" s="1436"/>
      <c r="M776" s="1436"/>
      <c r="N776" s="1436"/>
      <c r="O776" s="1635"/>
      <c r="P776" s="1714"/>
      <c r="Q776" s="1714"/>
      <c r="R776" s="1714"/>
      <c r="S776" s="1436"/>
      <c r="T776" s="1635"/>
      <c r="U776" s="1634"/>
      <c r="V776" s="1635"/>
      <c r="W776" s="1857"/>
      <c r="X776" s="1857"/>
      <c r="Y776" s="1635"/>
      <c r="Z776" s="1714"/>
      <c r="AA776" s="1436"/>
      <c r="AB776" s="1436"/>
      <c r="AC776" s="1436"/>
      <c r="AD776" s="1344"/>
    </row>
    <row r="777" customFormat="false" ht="15.75" hidden="true" customHeight="true" outlineLevel="1" collapsed="false">
      <c r="A777" s="1770" t="s">
        <v>3287</v>
      </c>
      <c r="B777" s="1720" t="s">
        <v>15</v>
      </c>
      <c r="C777" s="1771" t="n">
        <f aca="false">$C$143</f>
        <v>0.145</v>
      </c>
      <c r="D777" s="1772" t="n">
        <f aca="false">$J$620</f>
        <v>0.045</v>
      </c>
      <c r="E777" s="1721" t="n">
        <f aca="false">IF('Ввод данных'!C245=связи1!A2,IF('Ввод данных'!A17=связи1!A95,'Ввод данных'!C12,0)+IF('Ввод данных'!A17=связи1!A96,связи1!H235,0)+IF('Ввод данных'!A17=связи1!A98,связи1!H235,0),0)</f>
        <v>0</v>
      </c>
      <c r="F777" s="1721" t="n">
        <f aca="false">CEILING(C620/G620+1,1)*IF('Ввод данных'!$C$245=связи1!$A$2,1,0)*IF(связи1!$H$89=связи1!$A$2,1,0)*IF('Ввод данных'!A17=связи1!A95,1,0)</f>
        <v>0</v>
      </c>
      <c r="G777" s="1722" t="n">
        <f aca="false">C777*D777*E777*F777</f>
        <v>0</v>
      </c>
      <c r="H777" s="1722"/>
      <c r="I777" s="1436"/>
      <c r="J777" s="1436"/>
      <c r="K777" s="1436"/>
      <c r="L777" s="1436"/>
      <c r="M777" s="1436"/>
      <c r="N777" s="1436"/>
      <c r="O777" s="1635"/>
      <c r="P777" s="1714"/>
      <c r="Q777" s="1714"/>
      <c r="R777" s="1714"/>
      <c r="S777" s="1436"/>
      <c r="T777" s="1635"/>
      <c r="U777" s="1634"/>
      <c r="V777" s="1635"/>
      <c r="W777" s="1857"/>
      <c r="X777" s="1857"/>
      <c r="Y777" s="1635"/>
      <c r="Z777" s="1714"/>
      <c r="AA777" s="1436"/>
      <c r="AB777" s="1436"/>
      <c r="AC777" s="1436"/>
      <c r="AD777" s="1344"/>
    </row>
    <row r="778" customFormat="false" ht="15.75" hidden="true" customHeight="true" outlineLevel="1" collapsed="false">
      <c r="A778" s="1774" t="s">
        <v>3243</v>
      </c>
      <c r="B778" s="1720" t="s">
        <v>15</v>
      </c>
      <c r="C778" s="1771" t="n">
        <f aca="false">$C$143</f>
        <v>0.145</v>
      </c>
      <c r="D778" s="1772" t="n">
        <f aca="false">$J$620</f>
        <v>0.045</v>
      </c>
      <c r="E778" s="1721" t="n">
        <f aca="false">IF('Ввод данных'!A17=связи1!A95,(связи1!H235-'Ввод данных'!C12),0)+IF('Ввод данных'!A17=связи1!A96,связи1!H235,0)+IF('Ввод данных'!A17=связи1!A98,связи1!H235,0)</f>
        <v>5</v>
      </c>
      <c r="F778" s="1721" t="n">
        <f aca="false">2*IF('Ввод данных'!$C$245=связи1!$A$2,1,0)*IF(связи1!$H$89=связи1!$A$2,1,0)</f>
        <v>0</v>
      </c>
      <c r="G778" s="1722" t="n">
        <f aca="false">C778*D778*E778*F778</f>
        <v>0</v>
      </c>
      <c r="H778" s="1722"/>
      <c r="I778" s="1436"/>
      <c r="J778" s="1436"/>
      <c r="K778" s="1436"/>
      <c r="L778" s="1436"/>
      <c r="M778" s="1436"/>
      <c r="N778" s="1436"/>
      <c r="O778" s="1635"/>
      <c r="P778" s="1714"/>
      <c r="Q778" s="1714"/>
      <c r="R778" s="1714"/>
      <c r="S778" s="1436"/>
      <c r="T778" s="1635"/>
      <c r="U778" s="1634"/>
      <c r="V778" s="1635"/>
      <c r="W778" s="1857"/>
      <c r="X778" s="1857"/>
      <c r="Y778" s="1635"/>
      <c r="Z778" s="1714"/>
      <c r="AA778" s="1436"/>
      <c r="AB778" s="1436"/>
      <c r="AC778" s="1436"/>
      <c r="AD778" s="1344"/>
    </row>
    <row r="779" customFormat="false" ht="15.75" hidden="true" customHeight="true" outlineLevel="1" collapsed="false">
      <c r="A779" s="1774" t="s">
        <v>3244</v>
      </c>
      <c r="B779" s="1720" t="s">
        <v>15</v>
      </c>
      <c r="C779" s="1771" t="n">
        <f aca="false">$C$143</f>
        <v>0.145</v>
      </c>
      <c r="D779" s="1772" t="n">
        <f aca="false">$J$620</f>
        <v>0.045</v>
      </c>
      <c r="E779" s="1721" t="n">
        <f aca="false">IF(E778=0,0,IF('Ввод данных'!$A$17=связи1!$A$95,IF(E778&lt;=0,0,E778-дома!$K$633),0)+IF('Ввод данных'!$A$17=связи1!$A$96,IF(E778&lt;связи1!$H$236,0,E778-$K$633),0)+IF('Ввод данных'!$A$17=связи1!$A$98,IF(E778&lt;связи1!$H$236,0,E778-$K$633),0))</f>
        <v>4.77333333333333</v>
      </c>
      <c r="F779" s="1721" t="n">
        <f aca="false">2*IF('Ввод данных'!$C$245=связи1!$A$2,1,0)*IF(связи1!$H$89=связи1!$A$2,1,0)</f>
        <v>0</v>
      </c>
      <c r="G779" s="1722" t="n">
        <f aca="false">C779*D779*E779*F779</f>
        <v>0</v>
      </c>
      <c r="H779" s="1722"/>
      <c r="I779" s="1436"/>
      <c r="J779" s="1436"/>
      <c r="K779" s="1436"/>
      <c r="L779" s="1436"/>
      <c r="M779" s="1436"/>
      <c r="N779" s="1436"/>
      <c r="O779" s="1635"/>
      <c r="P779" s="1714"/>
      <c r="Q779" s="1714"/>
      <c r="R779" s="1714"/>
      <c r="S779" s="1436"/>
      <c r="T779" s="1635"/>
      <c r="U779" s="1634"/>
      <c r="V779" s="1635"/>
      <c r="W779" s="1857"/>
      <c r="X779" s="1857"/>
      <c r="Y779" s="1635"/>
      <c r="Z779" s="1714"/>
      <c r="AA779" s="1436"/>
      <c r="AB779" s="1436"/>
      <c r="AC779" s="1436"/>
      <c r="AD779" s="1344"/>
    </row>
    <row r="780" customFormat="false" ht="15.75" hidden="true" customHeight="true" outlineLevel="1" collapsed="false">
      <c r="A780" s="1774" t="s">
        <v>3245</v>
      </c>
      <c r="B780" s="1720" t="s">
        <v>15</v>
      </c>
      <c r="C780" s="1771" t="n">
        <f aca="false">$C$143</f>
        <v>0.145</v>
      </c>
      <c r="D780" s="1772" t="n">
        <f aca="false">$J$620</f>
        <v>0.045</v>
      </c>
      <c r="E780" s="1721" t="n">
        <f aca="false">IF(E779=0,0,IF('Ввод данных'!$A$17=связи1!$A$95,IF(E779&lt;=0,0,E779-дома!$K$633),0)+IF('Ввод данных'!$A$17=связи1!$A$96,IF(E779&lt;связи1!$H$236,0,E779-$K$633),0)+IF('Ввод данных'!$A$17=связи1!$A$98,IF(E779&lt;связи1!$H$236,0,E779-$K$633),0))</f>
        <v>4.54666666666667</v>
      </c>
      <c r="F780" s="1721" t="n">
        <f aca="false">2*IF('Ввод данных'!$C$245=связи1!$A$2,1,0)*IF(связи1!$H$89=связи1!$A$2,1,0)</f>
        <v>0</v>
      </c>
      <c r="G780" s="1722" t="n">
        <f aca="false">C780*D780*E780*F780</f>
        <v>0</v>
      </c>
      <c r="H780" s="1722"/>
      <c r="I780" s="1436"/>
      <c r="J780" s="1436"/>
      <c r="K780" s="1436"/>
      <c r="L780" s="1436"/>
      <c r="M780" s="1436"/>
      <c r="N780" s="1436"/>
      <c r="O780" s="1635"/>
      <c r="P780" s="1714"/>
      <c r="Q780" s="1714"/>
      <c r="R780" s="1714"/>
      <c r="S780" s="1436"/>
      <c r="T780" s="1635"/>
      <c r="U780" s="1634"/>
      <c r="V780" s="1635"/>
      <c r="W780" s="1857"/>
      <c r="X780" s="1857"/>
      <c r="Y780" s="1635"/>
      <c r="Z780" s="1714"/>
      <c r="AA780" s="1436"/>
      <c r="AB780" s="1436"/>
      <c r="AC780" s="1436"/>
      <c r="AD780" s="1344"/>
    </row>
    <row r="781" customFormat="false" ht="15.75" hidden="true" customHeight="true" outlineLevel="1" collapsed="false">
      <c r="A781" s="1774" t="s">
        <v>3246</v>
      </c>
      <c r="B781" s="1720" t="s">
        <v>15</v>
      </c>
      <c r="C781" s="1771" t="n">
        <f aca="false">$C$143</f>
        <v>0.145</v>
      </c>
      <c r="D781" s="1772" t="n">
        <f aca="false">$J$620</f>
        <v>0.045</v>
      </c>
      <c r="E781" s="1721" t="n">
        <f aca="false">IF(E780=0,0,IF('Ввод данных'!$A$17=связи1!$A$95,IF(E780&lt;=0,0,E780-дома!$K$633),0)+IF('Ввод данных'!$A$17=связи1!$A$96,IF(E780&lt;связи1!$H$236,0,E780-$K$633),0)+IF('Ввод данных'!$A$17=связи1!$A$98,IF(E780&lt;связи1!$H$236,0,E780-$K$633),0))</f>
        <v>4.32</v>
      </c>
      <c r="F781" s="1721" t="n">
        <f aca="false">2*IF('Ввод данных'!$C$245=связи1!$A$2,1,0)*IF(связи1!$H$89=связи1!$A$2,1,0)</f>
        <v>0</v>
      </c>
      <c r="G781" s="1722" t="n">
        <f aca="false">C781*D781*E781*F781</f>
        <v>0</v>
      </c>
      <c r="H781" s="1722"/>
      <c r="I781" s="1436"/>
      <c r="J781" s="1436"/>
      <c r="K781" s="1436"/>
      <c r="L781" s="1436"/>
      <c r="M781" s="1436"/>
      <c r="N781" s="1436"/>
      <c r="O781" s="1635"/>
      <c r="P781" s="1714"/>
      <c r="Q781" s="1714"/>
      <c r="R781" s="1714"/>
      <c r="S781" s="1436"/>
      <c r="T781" s="1635"/>
      <c r="U781" s="1634"/>
      <c r="V781" s="1635"/>
      <c r="W781" s="1857"/>
      <c r="X781" s="1857"/>
      <c r="Y781" s="1635"/>
      <c r="Z781" s="1714"/>
      <c r="AA781" s="1436"/>
      <c r="AB781" s="1436"/>
      <c r="AC781" s="1436"/>
      <c r="AD781" s="1344"/>
    </row>
    <row r="782" customFormat="false" ht="15.75" hidden="true" customHeight="true" outlineLevel="1" collapsed="false">
      <c r="A782" s="1774" t="s">
        <v>3247</v>
      </c>
      <c r="B782" s="1720" t="s">
        <v>15</v>
      </c>
      <c r="C782" s="1771" t="n">
        <f aca="false">$C$143</f>
        <v>0.145</v>
      </c>
      <c r="D782" s="1772" t="n">
        <f aca="false">$J$620</f>
        <v>0.045</v>
      </c>
      <c r="E782" s="1721" t="n">
        <f aca="false">IF(E781=0,0,IF('Ввод данных'!$A$17=связи1!$A$95,IF(E781&lt;=0,0,E781-дома!$K$633),0)+IF('Ввод данных'!$A$17=связи1!$A$96,IF(E781&lt;связи1!$H$236,0,E781-$K$633),0)+IF('Ввод данных'!$A$17=связи1!$A$98,IF(E781&lt;связи1!$H$236,0,E781-$K$633),0))</f>
        <v>4.09333333333333</v>
      </c>
      <c r="F782" s="1721" t="n">
        <f aca="false">2*IF('Ввод данных'!$C$245=связи1!$A$2,1,0)*IF(связи1!$H$89=связи1!$A$2,1,0)</f>
        <v>0</v>
      </c>
      <c r="G782" s="1722" t="n">
        <f aca="false">C782*D782*E782*F782</f>
        <v>0</v>
      </c>
      <c r="H782" s="1722"/>
      <c r="I782" s="1436"/>
      <c r="J782" s="1436"/>
      <c r="K782" s="1436"/>
      <c r="L782" s="1436"/>
      <c r="M782" s="1436"/>
      <c r="N782" s="1436"/>
      <c r="O782" s="1635"/>
      <c r="P782" s="1714"/>
      <c r="Q782" s="1714"/>
      <c r="R782" s="1714"/>
      <c r="S782" s="1436"/>
      <c r="T782" s="1635"/>
      <c r="U782" s="1634"/>
      <c r="V782" s="1635"/>
      <c r="W782" s="1857"/>
      <c r="X782" s="1857"/>
      <c r="Y782" s="1635"/>
      <c r="Z782" s="1714"/>
      <c r="AA782" s="1436"/>
      <c r="AB782" s="1436"/>
      <c r="AC782" s="1436"/>
      <c r="AD782" s="1344"/>
    </row>
    <row r="783" customFormat="false" ht="15.75" hidden="true" customHeight="true" outlineLevel="1" collapsed="false">
      <c r="A783" s="1774" t="s">
        <v>3248</v>
      </c>
      <c r="B783" s="1720" t="s">
        <v>15</v>
      </c>
      <c r="C783" s="1771" t="n">
        <f aca="false">$C$143</f>
        <v>0.145</v>
      </c>
      <c r="D783" s="1772" t="n">
        <f aca="false">$J$620</f>
        <v>0.045</v>
      </c>
      <c r="E783" s="1721" t="n">
        <f aca="false">IF(E782=0,0,IF('Ввод данных'!$A$17=связи1!$A$95,IF(E782&lt;=0,0,E782-дома!$K$633),0)+IF('Ввод данных'!$A$17=связи1!$A$96,IF(E782&lt;связи1!$H$236,0,E782-$K$633),0)+IF('Ввод данных'!$A$17=связи1!$A$98,IF(E782&lt;связи1!$H$236,0,E782-$K$633),0))</f>
        <v>3.86666666666667</v>
      </c>
      <c r="F783" s="1721" t="n">
        <f aca="false">2*IF('Ввод данных'!$C$245=связи1!$A$2,1,0)*IF(связи1!$H$89=связи1!$A$2,1,0)</f>
        <v>0</v>
      </c>
      <c r="G783" s="1722" t="n">
        <f aca="false">C783*D783*E783*F783</f>
        <v>0</v>
      </c>
      <c r="H783" s="1722"/>
      <c r="I783" s="1436"/>
      <c r="J783" s="1436"/>
      <c r="K783" s="1436"/>
      <c r="L783" s="1436"/>
      <c r="M783" s="1436"/>
      <c r="N783" s="1436"/>
      <c r="O783" s="1635"/>
      <c r="P783" s="1714"/>
      <c r="Q783" s="1714"/>
      <c r="R783" s="1714"/>
      <c r="S783" s="1436"/>
      <c r="T783" s="1635"/>
      <c r="U783" s="1634"/>
      <c r="V783" s="1635"/>
      <c r="W783" s="1857"/>
      <c r="X783" s="1857"/>
      <c r="Y783" s="1635"/>
      <c r="Z783" s="1714"/>
      <c r="AA783" s="1436"/>
      <c r="AB783" s="1436"/>
      <c r="AC783" s="1436"/>
      <c r="AD783" s="1344"/>
    </row>
    <row r="784" customFormat="false" ht="15.75" hidden="true" customHeight="true" outlineLevel="1" collapsed="false">
      <c r="A784" s="1774" t="s">
        <v>3249</v>
      </c>
      <c r="B784" s="1720" t="s">
        <v>15</v>
      </c>
      <c r="C784" s="1771" t="n">
        <f aca="false">$C$143</f>
        <v>0.145</v>
      </c>
      <c r="D784" s="1772" t="n">
        <f aca="false">$J$620</f>
        <v>0.045</v>
      </c>
      <c r="E784" s="1721" t="n">
        <f aca="false">IF(E783=0,0,IF('Ввод данных'!$A$17=связи1!$A$95,IF(E783&lt;=0,0,E783-дома!$K$633),0)+IF('Ввод данных'!$A$17=связи1!$A$96,IF(E783&lt;связи1!$H$236,0,E783-$K$633),0)+IF('Ввод данных'!$A$17=связи1!$A$98,IF(E783&lt;связи1!$H$236,0,E783-$K$633),0))</f>
        <v>3.64</v>
      </c>
      <c r="F784" s="1721" t="n">
        <f aca="false">2*IF('Ввод данных'!$C$245=связи1!$A$2,1,0)*IF(связи1!$H$89=связи1!$A$2,1,0)</f>
        <v>0</v>
      </c>
      <c r="G784" s="1722" t="n">
        <f aca="false">C784*D784*E784*F784</f>
        <v>0</v>
      </c>
      <c r="H784" s="1722"/>
      <c r="I784" s="1436"/>
      <c r="J784" s="1436"/>
      <c r="K784" s="1436"/>
      <c r="L784" s="1436"/>
      <c r="M784" s="1436"/>
      <c r="N784" s="1436"/>
      <c r="O784" s="1635"/>
      <c r="P784" s="1714"/>
      <c r="Q784" s="1714"/>
      <c r="R784" s="1714"/>
      <c r="S784" s="1436"/>
      <c r="T784" s="1635"/>
      <c r="U784" s="1634"/>
      <c r="V784" s="1635"/>
      <c r="W784" s="1857"/>
      <c r="X784" s="1857"/>
      <c r="Y784" s="1635"/>
      <c r="Z784" s="1714"/>
      <c r="AA784" s="1436"/>
      <c r="AB784" s="1436"/>
      <c r="AC784" s="1436"/>
      <c r="AD784" s="1344"/>
    </row>
    <row r="785" customFormat="false" ht="15.75" hidden="true" customHeight="true" outlineLevel="1" collapsed="false">
      <c r="A785" s="1774" t="s">
        <v>3250</v>
      </c>
      <c r="B785" s="1720" t="s">
        <v>15</v>
      </c>
      <c r="C785" s="1771" t="n">
        <f aca="false">$C$143</f>
        <v>0.145</v>
      </c>
      <c r="D785" s="1772" t="n">
        <f aca="false">$J$620</f>
        <v>0.045</v>
      </c>
      <c r="E785" s="1721" t="n">
        <f aca="false">IF(E784=0,0,IF('Ввод данных'!$A$17=связи1!$A$95,IF(E784&lt;=0,0,E784-дома!$K$633),0)+IF('Ввод данных'!$A$17=связи1!$A$96,IF(E784&lt;связи1!$H$236,0,E784-$K$633),0)+IF('Ввод данных'!$A$17=связи1!$A$98,IF(E784&lt;связи1!$H$236,0,E784-$K$633),0))</f>
        <v>3.41333333333333</v>
      </c>
      <c r="F785" s="1721" t="n">
        <f aca="false">2*IF('Ввод данных'!$C$245=связи1!$A$2,1,0)*IF(связи1!$H$89=связи1!$A$2,1,0)</f>
        <v>0</v>
      </c>
      <c r="G785" s="1722" t="n">
        <f aca="false">C785*D785*E785*F785</f>
        <v>0</v>
      </c>
      <c r="H785" s="1722"/>
      <c r="I785" s="1436"/>
      <c r="J785" s="1436"/>
      <c r="K785" s="1436"/>
      <c r="L785" s="1436"/>
      <c r="M785" s="1436"/>
      <c r="N785" s="1436"/>
      <c r="O785" s="1635"/>
      <c r="P785" s="1714"/>
      <c r="Q785" s="1714"/>
      <c r="R785" s="1714"/>
      <c r="S785" s="1436"/>
      <c r="T785" s="1635"/>
      <c r="U785" s="1634"/>
      <c r="V785" s="1635"/>
      <c r="W785" s="1857"/>
      <c r="X785" s="1857"/>
      <c r="Y785" s="1635"/>
      <c r="Z785" s="1714"/>
      <c r="AA785" s="1436"/>
      <c r="AB785" s="1436"/>
      <c r="AC785" s="1436"/>
      <c r="AD785" s="1344"/>
    </row>
    <row r="786" customFormat="false" ht="15.75" hidden="true" customHeight="true" outlineLevel="1" collapsed="false">
      <c r="A786" s="1774" t="s">
        <v>3251</v>
      </c>
      <c r="B786" s="1720" t="s">
        <v>15</v>
      </c>
      <c r="C786" s="1771" t="n">
        <f aca="false">$C$143</f>
        <v>0.145</v>
      </c>
      <c r="D786" s="1772" t="n">
        <f aca="false">$J$620</f>
        <v>0.045</v>
      </c>
      <c r="E786" s="1721" t="n">
        <f aca="false">IF(E785=0,0,IF('Ввод данных'!$A$17=связи1!$A$95,IF(E785&lt;=0,0,E785-дома!$K$633),0)+IF('Ввод данных'!$A$17=связи1!$A$96,IF(E785&lt;связи1!$H$236,0,E785-$K$633),0)+IF('Ввод данных'!$A$17=связи1!$A$98,IF(E785&lt;связи1!$H$236,0,E785-$K$633),0))</f>
        <v>3.18666666666667</v>
      </c>
      <c r="F786" s="1721" t="n">
        <f aca="false">2*IF('Ввод данных'!$C$245=связи1!$A$2,1,0)*IF(связи1!$H$89=связи1!$A$2,1,0)</f>
        <v>0</v>
      </c>
      <c r="G786" s="1722" t="n">
        <f aca="false">C786*D786*E786*F786</f>
        <v>0</v>
      </c>
      <c r="H786" s="1722"/>
      <c r="I786" s="1436"/>
      <c r="J786" s="1436"/>
      <c r="K786" s="1436"/>
      <c r="L786" s="1436"/>
      <c r="M786" s="1436"/>
      <c r="N786" s="1436"/>
      <c r="O786" s="1635"/>
      <c r="P786" s="1714"/>
      <c r="Q786" s="1714"/>
      <c r="R786" s="1714"/>
      <c r="S786" s="1436"/>
      <c r="T786" s="1635"/>
      <c r="U786" s="1634"/>
      <c r="V786" s="1635"/>
      <c r="W786" s="1857"/>
      <c r="X786" s="1857"/>
      <c r="Y786" s="1635"/>
      <c r="Z786" s="1714"/>
      <c r="AA786" s="1436"/>
      <c r="AB786" s="1436"/>
      <c r="AC786" s="1436"/>
      <c r="AD786" s="1344"/>
    </row>
    <row r="787" customFormat="false" ht="15.75" hidden="true" customHeight="true" outlineLevel="1" collapsed="false">
      <c r="A787" s="1774" t="s">
        <v>3252</v>
      </c>
      <c r="B787" s="1720" t="s">
        <v>15</v>
      </c>
      <c r="C787" s="1771" t="n">
        <f aca="false">$C$143</f>
        <v>0.145</v>
      </c>
      <c r="D787" s="1772" t="n">
        <f aca="false">$J$620</f>
        <v>0.045</v>
      </c>
      <c r="E787" s="1721" t="n">
        <f aca="false">IF(E786=0,0,IF('Ввод данных'!$A$17=связи1!$A$95,IF(E786&lt;=0,0,E786-дома!$K$633),0)+IF('Ввод данных'!$A$17=связи1!$A$96,IF(E786&lt;связи1!$H$236,0,E786-$K$633),0)+IF('Ввод данных'!$A$17=связи1!$A$98,IF(E786&lt;связи1!$H$236,0,E786-$K$633),0))</f>
        <v>2.96</v>
      </c>
      <c r="F787" s="1721" t="n">
        <f aca="false">2*IF('Ввод данных'!$C$245=связи1!$A$2,1,0)*IF(связи1!$H$89=связи1!$A$2,1,0)</f>
        <v>0</v>
      </c>
      <c r="G787" s="1722" t="n">
        <f aca="false">C787*D787*E787*F787</f>
        <v>0</v>
      </c>
      <c r="H787" s="1722"/>
      <c r="I787" s="1436"/>
      <c r="J787" s="1436"/>
      <c r="K787" s="1436"/>
      <c r="L787" s="1436"/>
      <c r="M787" s="1436"/>
      <c r="N787" s="1436"/>
      <c r="O787" s="1635"/>
      <c r="P787" s="1714"/>
      <c r="Q787" s="1714"/>
      <c r="R787" s="1714"/>
      <c r="S787" s="1436"/>
      <c r="T787" s="1635"/>
      <c r="U787" s="1634"/>
      <c r="V787" s="1635"/>
      <c r="W787" s="1857"/>
      <c r="X787" s="1857"/>
      <c r="Y787" s="1635"/>
      <c r="Z787" s="1714"/>
      <c r="AA787" s="1436"/>
      <c r="AB787" s="1436"/>
      <c r="AC787" s="1436"/>
      <c r="AD787" s="1344"/>
    </row>
    <row r="788" customFormat="false" ht="15.75" hidden="true" customHeight="true" outlineLevel="1" collapsed="false">
      <c r="A788" s="1774" t="s">
        <v>3253</v>
      </c>
      <c r="B788" s="1720" t="s">
        <v>15</v>
      </c>
      <c r="C788" s="1771" t="n">
        <f aca="false">$C$143</f>
        <v>0.145</v>
      </c>
      <c r="D788" s="1772" t="n">
        <f aca="false">$J$620</f>
        <v>0.045</v>
      </c>
      <c r="E788" s="1721" t="n">
        <f aca="false">IF(E787=0,0,IF('Ввод данных'!$A$17=связи1!$A$95,IF(E787&lt;=0,0,E787-дома!$K$633),0)+IF('Ввод данных'!$A$17=связи1!$A$96,IF(E787&lt;связи1!$H$236,0,E787-$K$633),0)+IF('Ввод данных'!$A$17=связи1!$A$98,IF(E787&lt;связи1!$H$236,0,E787-$K$633),0))</f>
        <v>2.73333333333333</v>
      </c>
      <c r="F788" s="1721" t="n">
        <f aca="false">2*IF('Ввод данных'!$C$245=связи1!$A$2,1,0)*IF(связи1!$H$89=связи1!$A$2,1,0)</f>
        <v>0</v>
      </c>
      <c r="G788" s="1722" t="n">
        <f aca="false">C788*D788*E788*F788</f>
        <v>0</v>
      </c>
      <c r="H788" s="1722"/>
      <c r="I788" s="1436"/>
      <c r="J788" s="1436"/>
      <c r="K788" s="1436"/>
      <c r="L788" s="1436"/>
      <c r="M788" s="1436"/>
      <c r="N788" s="1436"/>
      <c r="O788" s="1635"/>
      <c r="P788" s="1714"/>
      <c r="Q788" s="1714"/>
      <c r="R788" s="1714"/>
      <c r="S788" s="1436"/>
      <c r="T788" s="1635"/>
      <c r="U788" s="1634"/>
      <c r="V788" s="1635"/>
      <c r="W788" s="1857"/>
      <c r="X788" s="1857"/>
      <c r="Y788" s="1635"/>
      <c r="Z788" s="1714"/>
      <c r="AA788" s="1436"/>
      <c r="AB788" s="1436"/>
      <c r="AC788" s="1436"/>
      <c r="AD788" s="1344"/>
    </row>
    <row r="789" customFormat="false" ht="15.75" hidden="true" customHeight="true" outlineLevel="1" collapsed="false">
      <c r="A789" s="1774" t="s">
        <v>3254</v>
      </c>
      <c r="B789" s="1720" t="s">
        <v>15</v>
      </c>
      <c r="C789" s="1771" t="n">
        <f aca="false">$C$143</f>
        <v>0.145</v>
      </c>
      <c r="D789" s="1772" t="n">
        <f aca="false">$J$620</f>
        <v>0.045</v>
      </c>
      <c r="E789" s="1721" t="n">
        <f aca="false">IF(E788=0,0,IF('Ввод данных'!$A$17=связи1!$A$95,IF(E788&lt;=0,0,E788-дома!$K$633),0)+IF('Ввод данных'!$A$17=связи1!$A$96,IF(E788&lt;связи1!$H$236,0,E788-$K$633),0)+IF('Ввод данных'!$A$17=связи1!$A$98,IF(E788&lt;связи1!$H$236,0,E788-$K$633),0))</f>
        <v>2.50666666666667</v>
      </c>
      <c r="F789" s="1721" t="n">
        <f aca="false">2*IF('Ввод данных'!$C$245=связи1!$A$2,1,0)*IF(связи1!$H$89=связи1!$A$2,1,0)</f>
        <v>0</v>
      </c>
      <c r="G789" s="1722" t="n">
        <f aca="false">C789*D789*E789*F789</f>
        <v>0</v>
      </c>
      <c r="H789" s="1722"/>
      <c r="I789" s="1436"/>
      <c r="J789" s="1436"/>
      <c r="K789" s="1436"/>
      <c r="L789" s="1436"/>
      <c r="M789" s="1436"/>
      <c r="N789" s="1436"/>
      <c r="O789" s="1635"/>
      <c r="P789" s="1714"/>
      <c r="Q789" s="1714"/>
      <c r="R789" s="1714"/>
      <c r="S789" s="1436"/>
      <c r="T789" s="1635"/>
      <c r="U789" s="1634"/>
      <c r="V789" s="1635"/>
      <c r="W789" s="1857"/>
      <c r="X789" s="1857"/>
      <c r="Y789" s="1635"/>
      <c r="Z789" s="1714"/>
      <c r="AA789" s="1436"/>
      <c r="AB789" s="1436"/>
      <c r="AC789" s="1436"/>
      <c r="AD789" s="1344"/>
    </row>
    <row r="790" customFormat="false" ht="15.75" hidden="true" customHeight="true" outlineLevel="1" collapsed="false">
      <c r="A790" s="1774" t="s">
        <v>3255</v>
      </c>
      <c r="B790" s="1720" t="s">
        <v>15</v>
      </c>
      <c r="C790" s="1771" t="n">
        <f aca="false">$C$143</f>
        <v>0.145</v>
      </c>
      <c r="D790" s="1772" t="n">
        <f aca="false">$J$620</f>
        <v>0.045</v>
      </c>
      <c r="E790" s="1721" t="n">
        <f aca="false">IF(E789=0,0,IF('Ввод данных'!$A$17=связи1!$A$95,IF(E789&lt;=0,0,E789-дома!$K$633),0)+IF('Ввод данных'!$A$17=связи1!$A$96,IF(E789&lt;связи1!$H$236,0,E789-$K$633),0)+IF('Ввод данных'!$A$17=связи1!$A$98,IF(E789&lt;связи1!$H$236,0,E789-$K$633),0))</f>
        <v>2.28</v>
      </c>
      <c r="F790" s="1721" t="n">
        <f aca="false">2*IF('Ввод данных'!$C$245=связи1!$A$2,1,0)*IF(связи1!$H$89=связи1!$A$2,1,0)</f>
        <v>0</v>
      </c>
      <c r="G790" s="1722" t="n">
        <f aca="false">C790*D790*E790*F790</f>
        <v>0</v>
      </c>
      <c r="H790" s="1722"/>
      <c r="I790" s="1436"/>
      <c r="J790" s="1436"/>
      <c r="K790" s="1436"/>
      <c r="L790" s="1436"/>
      <c r="M790" s="1436"/>
      <c r="N790" s="1436"/>
      <c r="O790" s="1635"/>
      <c r="P790" s="1714"/>
      <c r="Q790" s="1714"/>
      <c r="R790" s="1714"/>
      <c r="S790" s="1436"/>
      <c r="T790" s="1635"/>
      <c r="U790" s="1634"/>
      <c r="V790" s="1635"/>
      <c r="W790" s="1857"/>
      <c r="X790" s="1857"/>
      <c r="Y790" s="1635"/>
      <c r="Z790" s="1714"/>
      <c r="AA790" s="1436"/>
      <c r="AB790" s="1436"/>
      <c r="AC790" s="1436"/>
      <c r="AD790" s="1344"/>
    </row>
    <row r="791" customFormat="false" ht="15.75" hidden="true" customHeight="true" outlineLevel="1" collapsed="false">
      <c r="A791" s="1774" t="s">
        <v>3256</v>
      </c>
      <c r="B791" s="1720" t="s">
        <v>15</v>
      </c>
      <c r="C791" s="1771" t="n">
        <f aca="false">$C$143</f>
        <v>0.145</v>
      </c>
      <c r="D791" s="1772" t="n">
        <f aca="false">$J$620</f>
        <v>0.045</v>
      </c>
      <c r="E791" s="1721" t="n">
        <f aca="false">IF(E790=0,0,IF('Ввод данных'!$A$17=связи1!$A$95,IF(E790&lt;=0,0,E790-дома!$K$633),0)+IF('Ввод данных'!$A$17=связи1!$A$96,IF(E790&lt;связи1!$H$236,0,E790-$K$633),0)+IF('Ввод данных'!$A$17=связи1!$A$98,IF(E790&lt;связи1!$H$236,0,E790-$K$633),0))</f>
        <v>2.05333333333333</v>
      </c>
      <c r="F791" s="1721" t="n">
        <f aca="false">2*IF('Ввод данных'!$C$245=связи1!$A$2,1,0)*IF(связи1!$H$89=связи1!$A$2,1,0)</f>
        <v>0</v>
      </c>
      <c r="G791" s="1722" t="n">
        <f aca="false">C791*D791*E791*F791</f>
        <v>0</v>
      </c>
      <c r="H791" s="1722"/>
      <c r="I791" s="1436"/>
      <c r="J791" s="1436"/>
      <c r="K791" s="1436"/>
      <c r="L791" s="1436"/>
      <c r="M791" s="1436"/>
      <c r="N791" s="1436"/>
      <c r="O791" s="1635"/>
      <c r="P791" s="1714"/>
      <c r="Q791" s="1714"/>
      <c r="R791" s="1714"/>
      <c r="S791" s="1436"/>
      <c r="T791" s="1635"/>
      <c r="U791" s="1634"/>
      <c r="V791" s="1635"/>
      <c r="W791" s="1857"/>
      <c r="X791" s="1857"/>
      <c r="Y791" s="1635"/>
      <c r="Z791" s="1714"/>
      <c r="AA791" s="1436"/>
      <c r="AB791" s="1436"/>
      <c r="AC791" s="1436"/>
      <c r="AD791" s="1344"/>
    </row>
    <row r="792" customFormat="false" ht="15.75" hidden="true" customHeight="true" outlineLevel="1" collapsed="false">
      <c r="A792" s="1774" t="s">
        <v>3257</v>
      </c>
      <c r="B792" s="1720" t="s">
        <v>15</v>
      </c>
      <c r="C792" s="1771" t="n">
        <f aca="false">$C$143</f>
        <v>0.145</v>
      </c>
      <c r="D792" s="1772" t="n">
        <f aca="false">$J$620</f>
        <v>0.045</v>
      </c>
      <c r="E792" s="1721" t="n">
        <f aca="false">IF(E791=0,0,IF('Ввод данных'!$A$17=связи1!$A$95,IF(E791&lt;=0,0,E791-дома!$K$633),0)+IF('Ввод данных'!$A$17=связи1!$A$96,IF(E791&lt;связи1!$H$236,0,E791-$K$633),0)+IF('Ввод данных'!$A$17=связи1!$A$98,IF(E791&lt;связи1!$H$236,0,E791-$K$633),0))</f>
        <v>1.82666666666667</v>
      </c>
      <c r="F792" s="1721" t="n">
        <f aca="false">2*IF('Ввод данных'!$C$245=связи1!$A$2,1,0)*IF(связи1!$H$89=связи1!$A$2,1,0)</f>
        <v>0</v>
      </c>
      <c r="G792" s="1722" t="n">
        <f aca="false">C792*D792*E792*F792</f>
        <v>0</v>
      </c>
      <c r="H792" s="1722"/>
      <c r="I792" s="1436"/>
      <c r="J792" s="1436"/>
      <c r="K792" s="1436"/>
      <c r="L792" s="1436"/>
      <c r="M792" s="1436"/>
      <c r="N792" s="1436"/>
      <c r="O792" s="1635"/>
      <c r="P792" s="1714"/>
      <c r="Q792" s="1714"/>
      <c r="R792" s="1714"/>
      <c r="S792" s="1436"/>
      <c r="T792" s="1635"/>
      <c r="U792" s="1634"/>
      <c r="V792" s="1635"/>
      <c r="W792" s="1857"/>
      <c r="X792" s="1857"/>
      <c r="Y792" s="1635"/>
      <c r="Z792" s="1714"/>
      <c r="AA792" s="1436"/>
      <c r="AB792" s="1436"/>
      <c r="AC792" s="1436"/>
      <c r="AD792" s="1344"/>
    </row>
    <row r="793" customFormat="false" ht="15.75" hidden="true" customHeight="true" outlineLevel="1" collapsed="false">
      <c r="A793" s="1774" t="s">
        <v>3258</v>
      </c>
      <c r="B793" s="1720" t="s">
        <v>15</v>
      </c>
      <c r="C793" s="1771" t="n">
        <f aca="false">$C$143</f>
        <v>0.145</v>
      </c>
      <c r="D793" s="1772" t="n">
        <f aca="false">$J$620</f>
        <v>0.045</v>
      </c>
      <c r="E793" s="1721" t="n">
        <f aca="false">IF(E792=0,0,IF('Ввод данных'!$A$17=связи1!$A$95,IF(E792&lt;=0,0,E792-дома!$K$633),0)+IF('Ввод данных'!$A$17=связи1!$A$96,IF(E792&lt;связи1!$H$236,0,E792-$K$633),0)+IF('Ввод данных'!$A$17=связи1!$A$98,IF(E792&lt;связи1!$H$236,0,E792-$K$633),0))</f>
        <v>1.6</v>
      </c>
      <c r="F793" s="1721" t="n">
        <f aca="false">2*IF('Ввод данных'!$C$245=связи1!$A$2,1,0)*IF(связи1!$H$89=связи1!$A$2,1,0)</f>
        <v>0</v>
      </c>
      <c r="G793" s="1722" t="n">
        <f aca="false">C793*D793*E793*F793</f>
        <v>0</v>
      </c>
      <c r="H793" s="1722"/>
      <c r="I793" s="1436"/>
      <c r="J793" s="1436"/>
      <c r="K793" s="1436"/>
      <c r="L793" s="1436"/>
      <c r="M793" s="1436"/>
      <c r="N793" s="1436"/>
      <c r="O793" s="1635"/>
      <c r="P793" s="1714"/>
      <c r="Q793" s="1714"/>
      <c r="R793" s="1714"/>
      <c r="S793" s="1436"/>
      <c r="T793" s="1635"/>
      <c r="U793" s="1634"/>
      <c r="V793" s="1635"/>
      <c r="W793" s="1857"/>
      <c r="X793" s="1857"/>
      <c r="Y793" s="1635"/>
      <c r="Z793" s="1714"/>
      <c r="AA793" s="1436"/>
      <c r="AB793" s="1436"/>
      <c r="AC793" s="1436"/>
      <c r="AD793" s="1344"/>
    </row>
    <row r="794" customFormat="false" ht="15.75" hidden="true" customHeight="true" outlineLevel="1" collapsed="false">
      <c r="A794" s="1774" t="s">
        <v>3259</v>
      </c>
      <c r="B794" s="1720" t="s">
        <v>15</v>
      </c>
      <c r="C794" s="1771" t="n">
        <f aca="false">$C$143</f>
        <v>0.145</v>
      </c>
      <c r="D794" s="1772" t="n">
        <f aca="false">$J$620</f>
        <v>0.045</v>
      </c>
      <c r="E794" s="1721" t="n">
        <f aca="false">IF(E793=0,0,IF('Ввод данных'!$A$17=связи1!$A$95,IF(E793&lt;=0,0,E793-дома!$K$633),0)+IF('Ввод данных'!$A$17=связи1!$A$96,IF(E793&lt;связи1!$H$236,0,E793-$K$633),0)+IF('Ввод данных'!$A$17=связи1!$A$98,IF(E793&lt;связи1!$H$236,0,E793-$K$633),0))</f>
        <v>1.37333333333333</v>
      </c>
      <c r="F794" s="1721" t="n">
        <f aca="false">2*IF('Ввод данных'!$C$245=связи1!$A$2,1,0)*IF(связи1!$H$89=связи1!$A$2,1,0)</f>
        <v>0</v>
      </c>
      <c r="G794" s="1722" t="n">
        <f aca="false">C794*D794*E794*F794</f>
        <v>0</v>
      </c>
      <c r="H794" s="1722"/>
      <c r="I794" s="1436"/>
      <c r="J794" s="1436"/>
      <c r="K794" s="1436"/>
      <c r="L794" s="1436"/>
      <c r="M794" s="1436"/>
      <c r="N794" s="1436"/>
      <c r="O794" s="1635"/>
      <c r="P794" s="1714"/>
      <c r="Q794" s="1714"/>
      <c r="R794" s="1714"/>
      <c r="S794" s="1436"/>
      <c r="T794" s="1635"/>
      <c r="U794" s="1634"/>
      <c r="V794" s="1635"/>
      <c r="W794" s="1857"/>
      <c r="X794" s="1857"/>
      <c r="Y794" s="1635"/>
      <c r="Z794" s="1714"/>
      <c r="AA794" s="1436"/>
      <c r="AB794" s="1436"/>
      <c r="AC794" s="1436"/>
      <c r="AD794" s="1344"/>
    </row>
    <row r="795" customFormat="false" ht="15.75" hidden="true" customHeight="true" outlineLevel="1" collapsed="false">
      <c r="A795" s="1774" t="s">
        <v>3260</v>
      </c>
      <c r="B795" s="1720" t="s">
        <v>15</v>
      </c>
      <c r="C795" s="1771" t="n">
        <f aca="false">$C$143</f>
        <v>0.145</v>
      </c>
      <c r="D795" s="1772" t="n">
        <f aca="false">$J$620</f>
        <v>0.045</v>
      </c>
      <c r="E795" s="1721" t="n">
        <f aca="false">IF(E794=0,0,IF('Ввод данных'!$A$17=связи1!$A$95,IF(E794&lt;=0,0,E794-дома!$K$633),0)+IF('Ввод данных'!$A$17=связи1!$A$96,IF(E794&lt;связи1!$H$236,0,E794-$K$633),0)+IF('Ввод данных'!$A$17=связи1!$A$98,IF(E794&lt;связи1!$H$236,0,E794-$K$633),0))</f>
        <v>0</v>
      </c>
      <c r="F795" s="1721" t="n">
        <f aca="false">2*IF('Ввод данных'!$C$245=связи1!$A$2,1,0)*IF(связи1!$H$89=связи1!$A$2,1,0)</f>
        <v>0</v>
      </c>
      <c r="G795" s="1722" t="n">
        <f aca="false">C795*D795*E795*F795</f>
        <v>0</v>
      </c>
      <c r="H795" s="1722"/>
      <c r="I795" s="1436"/>
      <c r="J795" s="1436"/>
      <c r="K795" s="1436"/>
      <c r="L795" s="1436"/>
      <c r="M795" s="1436"/>
      <c r="N795" s="1436"/>
      <c r="O795" s="1635"/>
      <c r="P795" s="1714"/>
      <c r="Q795" s="1714"/>
      <c r="R795" s="1714"/>
      <c r="S795" s="1436"/>
      <c r="T795" s="1635"/>
      <c r="U795" s="1634"/>
      <c r="V795" s="1635"/>
      <c r="W795" s="1857"/>
      <c r="X795" s="1857"/>
      <c r="Y795" s="1635"/>
      <c r="Z795" s="1714"/>
      <c r="AA795" s="1436"/>
      <c r="AB795" s="1436"/>
      <c r="AC795" s="1436"/>
      <c r="AD795" s="1344"/>
    </row>
    <row r="796" customFormat="false" ht="15.75" hidden="true" customHeight="true" outlineLevel="1" collapsed="false">
      <c r="A796" s="1774" t="s">
        <v>3261</v>
      </c>
      <c r="B796" s="1720" t="s">
        <v>15</v>
      </c>
      <c r="C796" s="1771" t="n">
        <f aca="false">$C$143</f>
        <v>0.145</v>
      </c>
      <c r="D796" s="1772" t="n">
        <f aca="false">$J$620</f>
        <v>0.045</v>
      </c>
      <c r="E796" s="1721" t="n">
        <f aca="false">IF(E795=0,0,IF('Ввод данных'!$A$17=связи1!$A$95,IF(E795&lt;=0,0,E795-дома!$K$633),0)+IF('Ввод данных'!$A$17=связи1!$A$96,IF(E795&lt;связи1!$H$236,0,E795-$K$633),0)+IF('Ввод данных'!$A$17=связи1!$A$98,IF(E795&lt;связи1!$H$236,0,E795-$K$633),0))</f>
        <v>0</v>
      </c>
      <c r="F796" s="1721" t="n">
        <f aca="false">2*IF('Ввод данных'!$C$245=связи1!$A$2,1,0)*IF(связи1!$H$89=связи1!$A$2,1,0)</f>
        <v>0</v>
      </c>
      <c r="G796" s="1722" t="n">
        <f aca="false">C796*D796*E796*F796</f>
        <v>0</v>
      </c>
      <c r="H796" s="1722"/>
      <c r="I796" s="1436"/>
      <c r="J796" s="1436"/>
      <c r="K796" s="1436"/>
      <c r="L796" s="1436"/>
      <c r="M796" s="1436"/>
      <c r="N796" s="1436"/>
      <c r="O796" s="1635"/>
      <c r="P796" s="1714"/>
      <c r="Q796" s="1714"/>
      <c r="R796" s="1714"/>
      <c r="S796" s="1436"/>
      <c r="T796" s="1635"/>
      <c r="U796" s="1634"/>
      <c r="V796" s="1635"/>
      <c r="W796" s="1857"/>
      <c r="X796" s="1857"/>
      <c r="Y796" s="1635"/>
      <c r="Z796" s="1714"/>
      <c r="AA796" s="1436"/>
      <c r="AB796" s="1436"/>
      <c r="AC796" s="1436"/>
      <c r="AD796" s="1344"/>
    </row>
    <row r="797" customFormat="false" ht="15.75" hidden="true" customHeight="true" outlineLevel="1" collapsed="false">
      <c r="A797" s="1774" t="s">
        <v>3262</v>
      </c>
      <c r="B797" s="1720" t="s">
        <v>15</v>
      </c>
      <c r="C797" s="1771" t="n">
        <f aca="false">$C$143</f>
        <v>0.145</v>
      </c>
      <c r="D797" s="1772" t="n">
        <f aca="false">$J$620</f>
        <v>0.045</v>
      </c>
      <c r="E797" s="1721" t="n">
        <f aca="false">IF(E796=0,0,IF('Ввод данных'!$A$17=связи1!$A$95,IF(E796&lt;=0,0,E796-дома!$K$633),0)+IF('Ввод данных'!$A$17=связи1!$A$96,IF(E796&lt;связи1!$H$236,0,E796-$K$633),0)+IF('Ввод данных'!$A$17=связи1!$A$98,IF(E796&lt;связи1!$H$236,0,E796-$K$633),0))</f>
        <v>0</v>
      </c>
      <c r="F797" s="1721" t="n">
        <f aca="false">2*IF('Ввод данных'!$C$245=связи1!$A$2,1,0)*IF(связи1!$H$89=связи1!$A$2,1,0)</f>
        <v>0</v>
      </c>
      <c r="G797" s="1722" t="n">
        <f aca="false">C797*D797*E797*F797</f>
        <v>0</v>
      </c>
      <c r="H797" s="1722"/>
      <c r="I797" s="1436"/>
      <c r="J797" s="1436"/>
      <c r="K797" s="1436"/>
      <c r="L797" s="1436"/>
      <c r="M797" s="1436"/>
      <c r="N797" s="1436"/>
      <c r="O797" s="1635"/>
      <c r="P797" s="1714"/>
      <c r="Q797" s="1714"/>
      <c r="R797" s="1714"/>
      <c r="S797" s="1436"/>
      <c r="T797" s="1635"/>
      <c r="U797" s="1634"/>
      <c r="V797" s="1635"/>
      <c r="W797" s="1857"/>
      <c r="X797" s="1857"/>
      <c r="Y797" s="1635"/>
      <c r="Z797" s="1714"/>
      <c r="AA797" s="1436"/>
      <c r="AB797" s="1436"/>
      <c r="AC797" s="1436"/>
      <c r="AD797" s="1344"/>
    </row>
    <row r="798" customFormat="false" ht="15.75" hidden="true" customHeight="true" outlineLevel="1" collapsed="false">
      <c r="A798" s="1774" t="s">
        <v>3263</v>
      </c>
      <c r="B798" s="1720" t="s">
        <v>15</v>
      </c>
      <c r="C798" s="1771" t="n">
        <f aca="false">$C$143</f>
        <v>0.145</v>
      </c>
      <c r="D798" s="1772" t="n">
        <f aca="false">$J$620</f>
        <v>0.045</v>
      </c>
      <c r="E798" s="1721" t="n">
        <f aca="false">IF(E797=0,0,IF('Ввод данных'!$A$17=связи1!$A$95,IF(E797&lt;=0,0,E797-дома!$K$633),0)+IF('Ввод данных'!$A$17=связи1!$A$96,IF(E797&lt;связи1!$H$236,0,E797-$K$633),0)+IF('Ввод данных'!$A$17=связи1!$A$98,IF(E797&lt;связи1!$H$236,0,E797-$K$633),0))</f>
        <v>0</v>
      </c>
      <c r="F798" s="1721" t="n">
        <f aca="false">2*IF('Ввод данных'!$C$245=связи1!$A$2,1,0)*IF(связи1!$H$89=связи1!$A$2,1,0)</f>
        <v>0</v>
      </c>
      <c r="G798" s="1722" t="n">
        <f aca="false">C798*D798*E798*F798</f>
        <v>0</v>
      </c>
      <c r="H798" s="1722"/>
      <c r="I798" s="1436"/>
      <c r="J798" s="1436"/>
      <c r="K798" s="1436"/>
      <c r="L798" s="1436"/>
      <c r="M798" s="1436"/>
      <c r="N798" s="1436"/>
      <c r="O798" s="1635"/>
      <c r="P798" s="1714"/>
      <c r="Q798" s="1714"/>
      <c r="R798" s="1714"/>
      <c r="S798" s="1436"/>
      <c r="T798" s="1635"/>
      <c r="U798" s="1634"/>
      <c r="V798" s="1635"/>
      <c r="W798" s="1857"/>
      <c r="X798" s="1857"/>
      <c r="Y798" s="1635"/>
      <c r="Z798" s="1714"/>
      <c r="AA798" s="1436"/>
      <c r="AB798" s="1436"/>
      <c r="AC798" s="1436"/>
      <c r="AD798" s="1344"/>
    </row>
    <row r="799" customFormat="false" ht="15.75" hidden="true" customHeight="true" outlineLevel="1" collapsed="false">
      <c r="A799" s="1774" t="s">
        <v>3264</v>
      </c>
      <c r="B799" s="1720" t="s">
        <v>15</v>
      </c>
      <c r="C799" s="1771" t="n">
        <f aca="false">$C$143</f>
        <v>0.145</v>
      </c>
      <c r="D799" s="1772" t="n">
        <f aca="false">$J$620</f>
        <v>0.045</v>
      </c>
      <c r="E799" s="1721" t="n">
        <f aca="false">IF(E798=0,0,IF('Ввод данных'!$A$17=связи1!$A$95,IF(E798&lt;=0,0,E798-дома!$K$633),0)+IF('Ввод данных'!$A$17=связи1!$A$96,IF(E798&lt;связи1!$H$236,0,E798-$K$633),0)+IF('Ввод данных'!$A$17=связи1!$A$98,IF(E798&lt;связи1!$H$236,0,E798-$K$633),0))</f>
        <v>0</v>
      </c>
      <c r="F799" s="1721" t="n">
        <f aca="false">2*IF('Ввод данных'!$C$245=связи1!$A$2,1,0)*IF(связи1!$H$89=связи1!$A$2,1,0)</f>
        <v>0</v>
      </c>
      <c r="G799" s="1722" t="n">
        <f aca="false">C799*D799*E799*F799</f>
        <v>0</v>
      </c>
      <c r="H799" s="1722"/>
      <c r="I799" s="1436"/>
      <c r="J799" s="1436"/>
      <c r="K799" s="1436"/>
      <c r="L799" s="1436"/>
      <c r="M799" s="1436"/>
      <c r="N799" s="1436"/>
      <c r="O799" s="1635"/>
      <c r="P799" s="1714"/>
      <c r="Q799" s="1714"/>
      <c r="R799" s="1714"/>
      <c r="S799" s="1436"/>
      <c r="T799" s="1635"/>
      <c r="U799" s="1634"/>
      <c r="V799" s="1635"/>
      <c r="W799" s="1857"/>
      <c r="X799" s="1857"/>
      <c r="Y799" s="1635"/>
      <c r="Z799" s="1714"/>
      <c r="AA799" s="1436"/>
      <c r="AB799" s="1436"/>
      <c r="AC799" s="1436"/>
      <c r="AD799" s="1344"/>
    </row>
    <row r="800" customFormat="false" ht="15.75" hidden="true" customHeight="true" outlineLevel="1" collapsed="false">
      <c r="A800" s="1774" t="s">
        <v>3265</v>
      </c>
      <c r="B800" s="1720" t="s">
        <v>15</v>
      </c>
      <c r="C800" s="1771" t="n">
        <f aca="false">$C$143</f>
        <v>0.145</v>
      </c>
      <c r="D800" s="1772" t="n">
        <f aca="false">$J$620</f>
        <v>0.045</v>
      </c>
      <c r="E800" s="1721" t="n">
        <f aca="false">IF(E799=0,0,IF('Ввод данных'!$A$17=связи1!$A$95,IF(E799&lt;=0,0,E799-дома!$K$633),0)+IF('Ввод данных'!$A$17=связи1!$A$96,IF(E799&lt;связи1!$H$236,0,E799-$K$633),0)+IF('Ввод данных'!$A$17=связи1!$A$98,IF(E799&lt;связи1!$H$236,0,E799-$K$633),0))</f>
        <v>0</v>
      </c>
      <c r="F800" s="1721" t="n">
        <f aca="false">2*IF('Ввод данных'!$C$245=связи1!$A$2,1,0)*IF(связи1!$H$89=связи1!$A$2,1,0)</f>
        <v>0</v>
      </c>
      <c r="G800" s="1722" t="n">
        <f aca="false">C800*D800*E800*F800</f>
        <v>0</v>
      </c>
      <c r="H800" s="1722"/>
      <c r="I800" s="1436"/>
      <c r="J800" s="1436"/>
      <c r="K800" s="1436"/>
      <c r="L800" s="1436"/>
      <c r="M800" s="1436"/>
      <c r="N800" s="1436"/>
      <c r="O800" s="1635"/>
      <c r="P800" s="1714"/>
      <c r="Q800" s="1714"/>
      <c r="R800" s="1714"/>
      <c r="S800" s="1436"/>
      <c r="T800" s="1635"/>
      <c r="U800" s="1634"/>
      <c r="V800" s="1635"/>
      <c r="W800" s="1857"/>
      <c r="X800" s="1857"/>
      <c r="Y800" s="1635"/>
      <c r="Z800" s="1714"/>
      <c r="AA800" s="1436"/>
      <c r="AB800" s="1436"/>
      <c r="AC800" s="1436"/>
      <c r="AD800" s="1344"/>
    </row>
    <row r="801" customFormat="false" ht="15.75" hidden="true" customHeight="true" outlineLevel="1" collapsed="false">
      <c r="A801" s="1774" t="s">
        <v>3266</v>
      </c>
      <c r="B801" s="1720" t="s">
        <v>15</v>
      </c>
      <c r="C801" s="1771" t="n">
        <f aca="false">$C$143</f>
        <v>0.145</v>
      </c>
      <c r="D801" s="1772" t="n">
        <f aca="false">$J$620</f>
        <v>0.045</v>
      </c>
      <c r="E801" s="1721" t="n">
        <f aca="false">IF(E800=0,0,IF('Ввод данных'!$A$17=связи1!$A$95,IF(E800&lt;=0,0,E800-дома!$K$633),0)+IF('Ввод данных'!$A$17=связи1!$A$96,IF(E800&lt;связи1!$H$236,0,E800-$K$633),0)+IF('Ввод данных'!$A$17=связи1!$A$98,IF(E800&lt;связи1!$H$236,0,E800-$K$633),0))</f>
        <v>0</v>
      </c>
      <c r="F801" s="1721" t="n">
        <f aca="false">2*IF('Ввод данных'!$C$245=связи1!$A$2,1,0)*IF(связи1!$H$89=связи1!$A$2,1,0)</f>
        <v>0</v>
      </c>
      <c r="G801" s="1722" t="n">
        <f aca="false">C801*D801*E801*F801</f>
        <v>0</v>
      </c>
      <c r="H801" s="1722"/>
      <c r="I801" s="1436"/>
      <c r="J801" s="1436"/>
      <c r="K801" s="1436"/>
      <c r="L801" s="1436"/>
      <c r="M801" s="1436"/>
      <c r="N801" s="1436"/>
      <c r="O801" s="1635"/>
      <c r="P801" s="1714"/>
      <c r="Q801" s="1714"/>
      <c r="R801" s="1714"/>
      <c r="S801" s="1436"/>
      <c r="T801" s="1635"/>
      <c r="U801" s="1634"/>
      <c r="V801" s="1635"/>
      <c r="W801" s="1857"/>
      <c r="X801" s="1857"/>
      <c r="Y801" s="1635"/>
      <c r="Z801" s="1714"/>
      <c r="AA801" s="1436"/>
      <c r="AB801" s="1436"/>
      <c r="AC801" s="1436"/>
      <c r="AD801" s="1344"/>
    </row>
    <row r="802" customFormat="false" ht="15.75" hidden="true" customHeight="true" outlineLevel="1" collapsed="false">
      <c r="A802" s="1774" t="s">
        <v>3267</v>
      </c>
      <c r="B802" s="1720" t="s">
        <v>15</v>
      </c>
      <c r="C802" s="1771" t="n">
        <f aca="false">$C$143</f>
        <v>0.145</v>
      </c>
      <c r="D802" s="1772" t="n">
        <f aca="false">$J$620</f>
        <v>0.045</v>
      </c>
      <c r="E802" s="1721" t="n">
        <f aca="false">IF(E801=0,0,IF('Ввод данных'!$A$17=связи1!$A$95,IF(E801&lt;=0,0,E801-дома!$K$633),0)+IF('Ввод данных'!$A$17=связи1!$A$96,IF(E801&lt;связи1!$H$236,0,E801-$K$633),0)+IF('Ввод данных'!$A$17=связи1!$A$98,IF(E801&lt;связи1!$H$236,0,E801-$K$633),0))</f>
        <v>0</v>
      </c>
      <c r="F802" s="1721" t="n">
        <f aca="false">2*IF('Ввод данных'!$C$245=связи1!$A$2,1,0)*IF(связи1!$H$89=связи1!$A$2,1,0)</f>
        <v>0</v>
      </c>
      <c r="G802" s="1722" t="n">
        <f aca="false">C802*D802*E802*F802</f>
        <v>0</v>
      </c>
      <c r="H802" s="1722"/>
      <c r="I802" s="1436"/>
      <c r="J802" s="1436"/>
      <c r="K802" s="1436"/>
      <c r="L802" s="1436"/>
      <c r="M802" s="1436"/>
      <c r="N802" s="1436"/>
      <c r="O802" s="1635"/>
      <c r="P802" s="1714"/>
      <c r="Q802" s="1714"/>
      <c r="R802" s="1714"/>
      <c r="S802" s="1436"/>
      <c r="T802" s="1635"/>
      <c r="U802" s="1634"/>
      <c r="V802" s="1635"/>
      <c r="W802" s="1857"/>
      <c r="X802" s="1857"/>
      <c r="Y802" s="1635"/>
      <c r="Z802" s="1714"/>
      <c r="AA802" s="1436"/>
      <c r="AB802" s="1436"/>
      <c r="AC802" s="1436"/>
      <c r="AD802" s="1344"/>
    </row>
    <row r="803" customFormat="false" ht="15.75" hidden="true" customHeight="true" outlineLevel="1" collapsed="false">
      <c r="A803" s="1774" t="s">
        <v>3268</v>
      </c>
      <c r="B803" s="1720" t="s">
        <v>15</v>
      </c>
      <c r="C803" s="1771" t="n">
        <f aca="false">$C$143</f>
        <v>0.145</v>
      </c>
      <c r="D803" s="1772" t="n">
        <f aca="false">$J$620</f>
        <v>0.045</v>
      </c>
      <c r="E803" s="1721" t="n">
        <f aca="false">IF(E802=0,0,IF('Ввод данных'!$A$17=связи1!$A$95,IF(E802&lt;=0,0,E802-дома!$K$633),0)+IF('Ввод данных'!$A$17=связи1!$A$96,IF(E802&lt;связи1!$H$236,0,E802-$K$633),0)+IF('Ввод данных'!$A$17=связи1!$A$98,IF(E802&lt;связи1!$H$236,0,E802-$K$633),0))</f>
        <v>0</v>
      </c>
      <c r="F803" s="1721" t="n">
        <f aca="false">2*IF('Ввод данных'!$C$245=связи1!$A$2,1,0)*IF(связи1!$H$89=связи1!$A$2,1,0)</f>
        <v>0</v>
      </c>
      <c r="G803" s="1722" t="n">
        <f aca="false">C803*D803*E803*F803</f>
        <v>0</v>
      </c>
      <c r="H803" s="1722"/>
      <c r="I803" s="1436"/>
      <c r="J803" s="1436"/>
      <c r="K803" s="1436"/>
      <c r="L803" s="1436"/>
      <c r="M803" s="1436"/>
      <c r="N803" s="1436"/>
      <c r="O803" s="1635"/>
      <c r="P803" s="1714"/>
      <c r="Q803" s="1714"/>
      <c r="R803" s="1714"/>
      <c r="S803" s="1436"/>
      <c r="T803" s="1635"/>
      <c r="U803" s="1634"/>
      <c r="V803" s="1635"/>
      <c r="W803" s="1857"/>
      <c r="X803" s="1857"/>
      <c r="Y803" s="1635"/>
      <c r="Z803" s="1714"/>
      <c r="AA803" s="1436"/>
      <c r="AB803" s="1436"/>
      <c r="AC803" s="1436"/>
      <c r="AD803" s="1344"/>
    </row>
    <row r="804" customFormat="false" ht="15.75" hidden="true" customHeight="true" outlineLevel="1" collapsed="false">
      <c r="A804" s="1774" t="s">
        <v>3269</v>
      </c>
      <c r="B804" s="1720" t="s">
        <v>15</v>
      </c>
      <c r="C804" s="1771" t="n">
        <f aca="false">$C$143</f>
        <v>0.145</v>
      </c>
      <c r="D804" s="1772" t="n">
        <f aca="false">$J$620</f>
        <v>0.045</v>
      </c>
      <c r="E804" s="1721" t="n">
        <f aca="false">IF(E803=0,0,IF('Ввод данных'!$A$17=связи1!$A$95,IF(E803&lt;=0,0,E803-дома!$K$633),0)+IF('Ввод данных'!$A$17=связи1!$A$96,IF(E803&lt;связи1!$H$236,0,E803-$K$633),0)+IF('Ввод данных'!$A$17=связи1!$A$98,IF(E803&lt;связи1!$H$236,0,E803-$K$633),0))</f>
        <v>0</v>
      </c>
      <c r="F804" s="1721" t="n">
        <f aca="false">2*IF('Ввод данных'!$C$245=связи1!$A$2,1,0)*IF(связи1!$H$89=связи1!$A$2,1,0)</f>
        <v>0</v>
      </c>
      <c r="G804" s="1722" t="n">
        <f aca="false">C804*D804*E804*F804</f>
        <v>0</v>
      </c>
      <c r="H804" s="1722"/>
      <c r="I804" s="1436"/>
      <c r="J804" s="1436"/>
      <c r="K804" s="1436"/>
      <c r="L804" s="1436"/>
      <c r="M804" s="1436"/>
      <c r="N804" s="1436"/>
      <c r="O804" s="1635"/>
      <c r="P804" s="1714"/>
      <c r="Q804" s="1714"/>
      <c r="R804" s="1714"/>
      <c r="S804" s="1436"/>
      <c r="T804" s="1635"/>
      <c r="U804" s="1634"/>
      <c r="V804" s="1635"/>
      <c r="W804" s="1857"/>
      <c r="X804" s="1857"/>
      <c r="Y804" s="1635"/>
      <c r="Z804" s="1714"/>
      <c r="AA804" s="1436"/>
      <c r="AB804" s="1436"/>
      <c r="AC804" s="1436"/>
      <c r="AD804" s="1344"/>
    </row>
    <row r="805" customFormat="false" ht="15.75" hidden="true" customHeight="true" outlineLevel="1" collapsed="false">
      <c r="A805" s="1774" t="s">
        <v>3270</v>
      </c>
      <c r="B805" s="1720" t="s">
        <v>15</v>
      </c>
      <c r="C805" s="1771" t="n">
        <f aca="false">$C$143</f>
        <v>0.145</v>
      </c>
      <c r="D805" s="1772" t="n">
        <f aca="false">$J$620</f>
        <v>0.045</v>
      </c>
      <c r="E805" s="1721" t="n">
        <f aca="false">IF(E804=0,0,IF('Ввод данных'!$A$17=связи1!$A$95,IF(E804&lt;=0,0,E804-дома!$K$633),0)+IF('Ввод данных'!$A$17=связи1!$A$96,IF(E804&lt;связи1!$H$236,0,E804-$K$633),0)+IF('Ввод данных'!$A$17=связи1!$A$98,IF(E804&lt;связи1!$H$236,0,E804-$K$633),0))</f>
        <v>0</v>
      </c>
      <c r="F805" s="1721" t="n">
        <f aca="false">2*IF('Ввод данных'!$C$245=связи1!$A$2,1,0)*IF(связи1!$H$89=связи1!$A$2,1,0)</f>
        <v>0</v>
      </c>
      <c r="G805" s="1722" t="n">
        <f aca="false">C805*D805*E805*F805</f>
        <v>0</v>
      </c>
      <c r="H805" s="1722"/>
      <c r="I805" s="1436"/>
      <c r="J805" s="1436"/>
      <c r="K805" s="1436"/>
      <c r="L805" s="1436"/>
      <c r="M805" s="1436"/>
      <c r="N805" s="1436"/>
      <c r="O805" s="1635"/>
      <c r="P805" s="1714"/>
      <c r="Q805" s="1714"/>
      <c r="R805" s="1714"/>
      <c r="S805" s="1436"/>
      <c r="T805" s="1635"/>
      <c r="U805" s="1634"/>
      <c r="V805" s="1635"/>
      <c r="W805" s="1857"/>
      <c r="X805" s="1857"/>
      <c r="Y805" s="1635"/>
      <c r="Z805" s="1714"/>
      <c r="AA805" s="1436"/>
      <c r="AB805" s="1436"/>
      <c r="AC805" s="1436"/>
      <c r="AD805" s="1344"/>
    </row>
    <row r="806" customFormat="false" ht="15.75" hidden="true" customHeight="true" outlineLevel="1" collapsed="false">
      <c r="A806" s="1774" t="s">
        <v>3271</v>
      </c>
      <c r="B806" s="1720" t="s">
        <v>15</v>
      </c>
      <c r="C806" s="1771" t="n">
        <f aca="false">$C$143</f>
        <v>0.145</v>
      </c>
      <c r="D806" s="1772" t="n">
        <f aca="false">$J$620</f>
        <v>0.045</v>
      </c>
      <c r="E806" s="1721" t="n">
        <f aca="false">IF(E805=0,0,IF('Ввод данных'!$A$17=связи1!$A$95,IF(E805&lt;=0,0,E805-дома!$K$633),0)+IF('Ввод данных'!$A$17=связи1!$A$96,IF(E805&lt;связи1!$H$236,0,E805-$K$633),0)+IF('Ввод данных'!$A$17=связи1!$A$98,IF(E805&lt;связи1!$H$236,0,E805-$K$633),0))</f>
        <v>0</v>
      </c>
      <c r="F806" s="1721" t="n">
        <f aca="false">2*IF('Ввод данных'!$C$245=связи1!$A$2,1,0)*IF(связи1!$H$89=связи1!$A$2,1,0)</f>
        <v>0</v>
      </c>
      <c r="G806" s="1722" t="n">
        <f aca="false">C806*D806*E806*F806</f>
        <v>0</v>
      </c>
      <c r="H806" s="1722"/>
      <c r="I806" s="1436"/>
      <c r="J806" s="1436"/>
      <c r="K806" s="1436"/>
      <c r="L806" s="1436"/>
      <c r="M806" s="1436"/>
      <c r="N806" s="1436"/>
      <c r="O806" s="1635"/>
      <c r="P806" s="1714"/>
      <c r="Q806" s="1714"/>
      <c r="R806" s="1714"/>
      <c r="S806" s="1436"/>
      <c r="T806" s="1635"/>
      <c r="U806" s="1634"/>
      <c r="V806" s="1635"/>
      <c r="W806" s="1857"/>
      <c r="X806" s="1857"/>
      <c r="Y806" s="1635"/>
      <c r="Z806" s="1714"/>
      <c r="AA806" s="1436"/>
      <c r="AB806" s="1436"/>
      <c r="AC806" s="1436"/>
      <c r="AD806" s="1344"/>
    </row>
    <row r="807" customFormat="false" ht="15.75" hidden="true" customHeight="true" outlineLevel="1" collapsed="false">
      <c r="A807" s="1774" t="s">
        <v>3272</v>
      </c>
      <c r="B807" s="1720" t="s">
        <v>15</v>
      </c>
      <c r="C807" s="1771" t="n">
        <f aca="false">$C$143</f>
        <v>0.145</v>
      </c>
      <c r="D807" s="1772" t="n">
        <f aca="false">$J$620</f>
        <v>0.045</v>
      </c>
      <c r="E807" s="1721" t="n">
        <f aca="false">IF(E806=0,0,IF('Ввод данных'!$A$17=связи1!$A$95,IF(E806&lt;=0,0,E806-дома!$K$633),0)+IF('Ввод данных'!$A$17=связи1!$A$96,IF(E806&lt;связи1!$H$236,0,E806-$K$633),0)+IF('Ввод данных'!$A$17=связи1!$A$98,IF(E806&lt;связи1!$H$236,0,E806-$K$633),0))</f>
        <v>0</v>
      </c>
      <c r="F807" s="1721" t="n">
        <f aca="false">2*IF('Ввод данных'!$C$245=связи1!$A$2,1,0)*IF(связи1!$H$89=связи1!$A$2,1,0)</f>
        <v>0</v>
      </c>
      <c r="G807" s="1722" t="n">
        <f aca="false">C807*D807*E807*F807</f>
        <v>0</v>
      </c>
      <c r="H807" s="1722"/>
      <c r="I807" s="1436"/>
      <c r="J807" s="1436"/>
      <c r="K807" s="1436"/>
      <c r="L807" s="1436"/>
      <c r="M807" s="1436"/>
      <c r="N807" s="1436"/>
      <c r="O807" s="1635"/>
      <c r="P807" s="1714"/>
      <c r="Q807" s="1714"/>
      <c r="R807" s="1714"/>
      <c r="S807" s="1436"/>
      <c r="T807" s="1635"/>
      <c r="U807" s="1634"/>
      <c r="V807" s="1635"/>
      <c r="W807" s="1857"/>
      <c r="X807" s="1857"/>
      <c r="Y807" s="1635"/>
      <c r="Z807" s="1714"/>
      <c r="AA807" s="1436"/>
      <c r="AB807" s="1436"/>
      <c r="AC807" s="1436"/>
      <c r="AD807" s="1344"/>
    </row>
    <row r="808" customFormat="false" ht="15.75" hidden="true" customHeight="true" outlineLevel="1" collapsed="false">
      <c r="A808" s="1774" t="s">
        <v>3273</v>
      </c>
      <c r="B808" s="1720" t="s">
        <v>15</v>
      </c>
      <c r="C808" s="1771" t="n">
        <f aca="false">$C$143</f>
        <v>0.145</v>
      </c>
      <c r="D808" s="1772" t="n">
        <f aca="false">$J$620</f>
        <v>0.045</v>
      </c>
      <c r="E808" s="1721" t="n">
        <f aca="false">IF(E807=0,0,IF('Ввод данных'!$A$17=связи1!$A$95,IF(E807&lt;=0,0,E807-дома!$K$633),0)+IF('Ввод данных'!$A$17=связи1!$A$96,IF(E807&lt;связи1!$H$236,0,E807-$K$633),0)+IF('Ввод данных'!$A$17=связи1!$A$98,IF(E807&lt;связи1!$H$236,0,E807-$K$633),0))</f>
        <v>0</v>
      </c>
      <c r="F808" s="1721" t="n">
        <f aca="false">2*IF('Ввод данных'!$C$245=связи1!$A$2,1,0)*IF(связи1!$H$89=связи1!$A$2,1,0)</f>
        <v>0</v>
      </c>
      <c r="G808" s="1722" t="n">
        <f aca="false">C808*D808*E808*F808</f>
        <v>0</v>
      </c>
      <c r="H808" s="1722"/>
      <c r="I808" s="1436"/>
      <c r="J808" s="1436"/>
      <c r="K808" s="1436"/>
      <c r="L808" s="1436"/>
      <c r="M808" s="1436"/>
      <c r="N808" s="1436"/>
      <c r="O808" s="1635"/>
      <c r="P808" s="1714"/>
      <c r="Q808" s="1714"/>
      <c r="R808" s="1714"/>
      <c r="S808" s="1436"/>
      <c r="T808" s="1635"/>
      <c r="U808" s="1634"/>
      <c r="V808" s="1635"/>
      <c r="W808" s="1857"/>
      <c r="X808" s="1857"/>
      <c r="Y808" s="1635"/>
      <c r="Z808" s="1714"/>
      <c r="AA808" s="1436"/>
      <c r="AB808" s="1436"/>
      <c r="AC808" s="1436"/>
      <c r="AD808" s="1344"/>
    </row>
    <row r="809" customFormat="false" ht="15.75" hidden="true" customHeight="true" outlineLevel="1" collapsed="false">
      <c r="A809" s="1774" t="s">
        <v>3274</v>
      </c>
      <c r="B809" s="1720" t="s">
        <v>15</v>
      </c>
      <c r="C809" s="1771" t="n">
        <f aca="false">$C$143</f>
        <v>0.145</v>
      </c>
      <c r="D809" s="1772" t="n">
        <f aca="false">$J$620</f>
        <v>0.045</v>
      </c>
      <c r="E809" s="1721" t="n">
        <f aca="false">IF(E808=0,0,IF('Ввод данных'!$A$17=связи1!$A$95,IF(E808&lt;=0,0,E808-дома!$K$633),0)+IF('Ввод данных'!$A$17=связи1!$A$96,IF(E808&lt;связи1!$H$236,0,E808-$K$633),0)+IF('Ввод данных'!$A$17=связи1!$A$98,IF(E808&lt;связи1!$H$236,0,E808-$K$633),0))</f>
        <v>0</v>
      </c>
      <c r="F809" s="1721" t="n">
        <f aca="false">2*IF('Ввод данных'!$C$245=связи1!$A$2,1,0)*IF(связи1!$H$89=связи1!$A$2,1,0)</f>
        <v>0</v>
      </c>
      <c r="G809" s="1722" t="n">
        <f aca="false">C809*D809*E809*F809</f>
        <v>0</v>
      </c>
      <c r="H809" s="1722"/>
      <c r="I809" s="1436"/>
      <c r="J809" s="1436"/>
      <c r="K809" s="1436"/>
      <c r="L809" s="1436"/>
      <c r="M809" s="1436"/>
      <c r="N809" s="1436"/>
      <c r="O809" s="1635"/>
      <c r="P809" s="1714"/>
      <c r="Q809" s="1714"/>
      <c r="R809" s="1714"/>
      <c r="S809" s="1436"/>
      <c r="T809" s="1635"/>
      <c r="U809" s="1634"/>
      <c r="V809" s="1635"/>
      <c r="W809" s="1857"/>
      <c r="X809" s="1857"/>
      <c r="Y809" s="1635"/>
      <c r="Z809" s="1714"/>
      <c r="AA809" s="1436"/>
      <c r="AB809" s="1436"/>
      <c r="AC809" s="1436"/>
      <c r="AD809" s="1344"/>
    </row>
    <row r="810" customFormat="false" ht="15.75" hidden="true" customHeight="true" outlineLevel="1" collapsed="false">
      <c r="A810" s="1774" t="s">
        <v>3275</v>
      </c>
      <c r="B810" s="1720" t="s">
        <v>15</v>
      </c>
      <c r="C810" s="1771" t="n">
        <f aca="false">$C$143</f>
        <v>0.145</v>
      </c>
      <c r="D810" s="1772" t="n">
        <f aca="false">$J$620</f>
        <v>0.045</v>
      </c>
      <c r="E810" s="1721" t="n">
        <f aca="false">IF(E809=0,0,IF('Ввод данных'!$A$17=связи1!$A$95,IF(E809&lt;=0,0,E809-дома!$K$633),0)+IF('Ввод данных'!$A$17=связи1!$A$96,IF(E809&lt;связи1!$H$236,0,E809-$K$633),0)+IF('Ввод данных'!$A$17=связи1!$A$98,IF(E809&lt;связи1!$H$236,0,E809-$K$633),0))</f>
        <v>0</v>
      </c>
      <c r="F810" s="1721" t="n">
        <f aca="false">2*IF('Ввод данных'!$C$245=связи1!$A$2,1,0)*IF(связи1!$H$89=связи1!$A$2,1,0)</f>
        <v>0</v>
      </c>
      <c r="G810" s="1722" t="n">
        <f aca="false">C810*D810*E810*F810</f>
        <v>0</v>
      </c>
      <c r="H810" s="1722"/>
      <c r="I810" s="1436"/>
      <c r="J810" s="1436"/>
      <c r="K810" s="1436"/>
      <c r="L810" s="1436"/>
      <c r="M810" s="1436"/>
      <c r="N810" s="1436"/>
      <c r="O810" s="1635"/>
      <c r="P810" s="1714"/>
      <c r="Q810" s="1714"/>
      <c r="R810" s="1714"/>
      <c r="S810" s="1436"/>
      <c r="T810" s="1635"/>
      <c r="U810" s="1634"/>
      <c r="V810" s="1635"/>
      <c r="W810" s="1857"/>
      <c r="X810" s="1857"/>
      <c r="Y810" s="1635"/>
      <c r="Z810" s="1714"/>
      <c r="AA810" s="1436"/>
      <c r="AB810" s="1436"/>
      <c r="AC810" s="1436"/>
      <c r="AD810" s="1344"/>
    </row>
    <row r="811" customFormat="false" ht="15.75" hidden="true" customHeight="true" outlineLevel="1" collapsed="false">
      <c r="A811" s="1774" t="s">
        <v>3276</v>
      </c>
      <c r="B811" s="1720" t="s">
        <v>15</v>
      </c>
      <c r="C811" s="1771" t="n">
        <f aca="false">$C$143</f>
        <v>0.145</v>
      </c>
      <c r="D811" s="1772" t="n">
        <f aca="false">$J$620</f>
        <v>0.045</v>
      </c>
      <c r="E811" s="1721" t="n">
        <f aca="false">IF(E810=0,0,IF('Ввод данных'!$A$17=связи1!$A$95,IF(E810&lt;=0,0,E810-дома!$K$633),0)+IF('Ввод данных'!$A$17=связи1!$A$96,IF(E810&lt;связи1!$H$236,0,E810-$K$633),0)+IF('Ввод данных'!$A$17=связи1!$A$98,IF(E810&lt;связи1!$H$236,0,E810-$K$633),0))</f>
        <v>0</v>
      </c>
      <c r="F811" s="1721" t="n">
        <f aca="false">2*IF('Ввод данных'!$C$245=связи1!$A$2,1,0)*IF(связи1!$H$89=связи1!$A$2,1,0)</f>
        <v>0</v>
      </c>
      <c r="G811" s="1722" t="n">
        <f aca="false">C811*D811*E811*F811</f>
        <v>0</v>
      </c>
      <c r="H811" s="1722"/>
      <c r="I811" s="1436"/>
      <c r="J811" s="1436"/>
      <c r="K811" s="1436"/>
      <c r="L811" s="1436"/>
      <c r="M811" s="1436"/>
      <c r="N811" s="1436"/>
      <c r="O811" s="1635"/>
      <c r="P811" s="1714"/>
      <c r="Q811" s="1714"/>
      <c r="R811" s="1714"/>
      <c r="S811" s="1436"/>
      <c r="T811" s="1635"/>
      <c r="U811" s="1634"/>
      <c r="V811" s="1635"/>
      <c r="W811" s="1857"/>
      <c r="X811" s="1857"/>
      <c r="Y811" s="1635"/>
      <c r="Z811" s="1714"/>
      <c r="AA811" s="1436"/>
      <c r="AB811" s="1436"/>
      <c r="AC811" s="1436"/>
      <c r="AD811" s="1344"/>
    </row>
    <row r="812" customFormat="false" ht="15.75" hidden="true" customHeight="true" outlineLevel="1" collapsed="false">
      <c r="A812" s="1774" t="s">
        <v>3277</v>
      </c>
      <c r="B812" s="1720" t="s">
        <v>15</v>
      </c>
      <c r="C812" s="1771" t="n">
        <f aca="false">$C$143</f>
        <v>0.145</v>
      </c>
      <c r="D812" s="1772" t="n">
        <f aca="false">$J$620</f>
        <v>0.045</v>
      </c>
      <c r="E812" s="1721" t="n">
        <f aca="false">IF(E811=0,0,IF('Ввод данных'!$A$17=связи1!$A$95,IF(E811&lt;=0,0,E811-дома!$K$633),0)+IF('Ввод данных'!$A$17=связи1!$A$96,IF(E811&lt;связи1!$H$236,0,E811-$K$633),0)+IF('Ввод данных'!$A$17=связи1!$A$98,IF(E811&lt;связи1!$H$236,0,E811-$K$633),0))</f>
        <v>0</v>
      </c>
      <c r="F812" s="1721" t="n">
        <f aca="false">2*IF('Ввод данных'!$C$245=связи1!$A$2,1,0)*IF(связи1!$H$89=связи1!$A$2,1,0)</f>
        <v>0</v>
      </c>
      <c r="G812" s="1722" t="n">
        <f aca="false">C812*D812*E812*F812</f>
        <v>0</v>
      </c>
      <c r="H812" s="1722"/>
      <c r="I812" s="1436"/>
      <c r="J812" s="1436"/>
      <c r="K812" s="1436"/>
      <c r="L812" s="1436"/>
      <c r="M812" s="1436"/>
      <c r="N812" s="1436"/>
      <c r="O812" s="1635"/>
      <c r="P812" s="1714"/>
      <c r="Q812" s="1714"/>
      <c r="R812" s="1714"/>
      <c r="S812" s="1436"/>
      <c r="T812" s="1635"/>
      <c r="U812" s="1634"/>
      <c r="V812" s="1635"/>
      <c r="W812" s="1857"/>
      <c r="X812" s="1857"/>
      <c r="Y812" s="1635"/>
      <c r="Z812" s="1714"/>
      <c r="AA812" s="1436"/>
      <c r="AB812" s="1436"/>
      <c r="AC812" s="1436"/>
      <c r="AD812" s="1344"/>
    </row>
    <row r="813" customFormat="false" ht="15.75" hidden="true" customHeight="true" outlineLevel="1" collapsed="false">
      <c r="A813" s="1774" t="s">
        <v>3278</v>
      </c>
      <c r="B813" s="1720" t="s">
        <v>15</v>
      </c>
      <c r="C813" s="1771" t="n">
        <f aca="false">$C$143</f>
        <v>0.145</v>
      </c>
      <c r="D813" s="1772" t="n">
        <f aca="false">$J$620</f>
        <v>0.045</v>
      </c>
      <c r="E813" s="1721" t="n">
        <f aca="false">IF(E812=0,0,IF('Ввод данных'!$A$17=связи1!$A$95,IF(E812&lt;=0,0,E812-дома!$K$633),0)+IF('Ввод данных'!$A$17=связи1!$A$96,IF(E812&lt;связи1!$H$236,0,E812-$K$633),0)+IF('Ввод данных'!$A$17=связи1!$A$98,IF(E812&lt;связи1!$H$236,0,E812-$K$633),0))</f>
        <v>0</v>
      </c>
      <c r="F813" s="1721" t="n">
        <f aca="false">2*IF('Ввод данных'!$C$245=связи1!$A$2,1,0)*IF(связи1!$H$89=связи1!$A$2,1,0)</f>
        <v>0</v>
      </c>
      <c r="G813" s="1722" t="n">
        <f aca="false">C813*D813*E813*F813</f>
        <v>0</v>
      </c>
      <c r="H813" s="1722"/>
      <c r="I813" s="1436"/>
      <c r="J813" s="1436"/>
      <c r="K813" s="1436"/>
      <c r="L813" s="1436"/>
      <c r="M813" s="1436"/>
      <c r="N813" s="1436"/>
      <c r="O813" s="1635"/>
      <c r="P813" s="1714"/>
      <c r="Q813" s="1714"/>
      <c r="R813" s="1714"/>
      <c r="S813" s="1436"/>
      <c r="T813" s="1635"/>
      <c r="U813" s="1634"/>
      <c r="V813" s="1635"/>
      <c r="W813" s="1857"/>
      <c r="X813" s="1857"/>
      <c r="Y813" s="1635"/>
      <c r="Z813" s="1714"/>
      <c r="AA813" s="1436"/>
      <c r="AB813" s="1436"/>
      <c r="AC813" s="1436"/>
      <c r="AD813" s="1344"/>
    </row>
    <row r="814" customFormat="false" ht="15.75" hidden="true" customHeight="true" outlineLevel="1" collapsed="false">
      <c r="A814" s="1774" t="s">
        <v>3279</v>
      </c>
      <c r="B814" s="1720" t="s">
        <v>15</v>
      </c>
      <c r="C814" s="1771" t="n">
        <f aca="false">$C$143</f>
        <v>0.145</v>
      </c>
      <c r="D814" s="1772" t="n">
        <f aca="false">$J$620</f>
        <v>0.045</v>
      </c>
      <c r="E814" s="1721" t="n">
        <f aca="false">IF(E813=0,0,IF('Ввод данных'!$A$17=связи1!$A$95,IF(E813&lt;=0,0,E813-дома!$K$633),0)+IF('Ввод данных'!$A$17=связи1!$A$96,IF(E813&lt;связи1!$H$236,0,E813-$K$633),0)+IF('Ввод данных'!$A$17=связи1!$A$98,IF(E813&lt;связи1!$H$236,0,E813-$K$633),0))</f>
        <v>0</v>
      </c>
      <c r="F814" s="1721" t="n">
        <f aca="false">2*IF('Ввод данных'!$C$245=связи1!$A$2,1,0)*IF(связи1!$H$89=связи1!$A$2,1,0)</f>
        <v>0</v>
      </c>
      <c r="G814" s="1722" t="n">
        <f aca="false">C814*D814*E814*F814</f>
        <v>0</v>
      </c>
      <c r="H814" s="1722"/>
      <c r="I814" s="1436"/>
      <c r="J814" s="1436"/>
      <c r="K814" s="1436"/>
      <c r="L814" s="1436"/>
      <c r="M814" s="1436"/>
      <c r="N814" s="1436"/>
      <c r="O814" s="1635"/>
      <c r="P814" s="1714"/>
      <c r="Q814" s="1714"/>
      <c r="R814" s="1714"/>
      <c r="S814" s="1436"/>
      <c r="T814" s="1635"/>
      <c r="U814" s="1634"/>
      <c r="V814" s="1635"/>
      <c r="W814" s="1857"/>
      <c r="X814" s="1857"/>
      <c r="Y814" s="1635"/>
      <c r="Z814" s="1714"/>
      <c r="AA814" s="1436"/>
      <c r="AB814" s="1436"/>
      <c r="AC814" s="1436"/>
      <c r="AD814" s="1344"/>
    </row>
    <row r="815" customFormat="false" ht="15.75" hidden="true" customHeight="true" outlineLevel="1" collapsed="false">
      <c r="A815" s="1774" t="s">
        <v>3280</v>
      </c>
      <c r="B815" s="1720" t="s">
        <v>15</v>
      </c>
      <c r="C815" s="1771" t="n">
        <f aca="false">$C$143</f>
        <v>0.145</v>
      </c>
      <c r="D815" s="1772" t="n">
        <f aca="false">$J$620</f>
        <v>0.045</v>
      </c>
      <c r="E815" s="1721" t="n">
        <f aca="false">IF(E814=0,0,IF('Ввод данных'!$A$17=связи1!$A$95,IF(E814&lt;=0,0,E814-дома!$K$633),0)+IF('Ввод данных'!$A$17=связи1!$A$96,IF(E814&lt;связи1!$H$236,0,E814-$K$633),0)+IF('Ввод данных'!$A$17=связи1!$A$98,IF(E814&lt;связи1!$H$236,0,E814-$K$633),0))</f>
        <v>0</v>
      </c>
      <c r="F815" s="1721" t="n">
        <f aca="false">2*IF('Ввод данных'!$C$245=связи1!$A$2,1,0)*IF(связи1!$H$89=связи1!$A$2,1,0)</f>
        <v>0</v>
      </c>
      <c r="G815" s="1722" t="n">
        <f aca="false">C815*D815*E815*F815</f>
        <v>0</v>
      </c>
      <c r="H815" s="1722"/>
      <c r="I815" s="1436"/>
      <c r="J815" s="1436"/>
      <c r="K815" s="1436"/>
      <c r="L815" s="1436"/>
      <c r="M815" s="1436"/>
      <c r="N815" s="1436"/>
      <c r="O815" s="1635"/>
      <c r="P815" s="1714"/>
      <c r="Q815" s="1714"/>
      <c r="R815" s="1714"/>
      <c r="S815" s="1436"/>
      <c r="T815" s="1635"/>
      <c r="U815" s="1634"/>
      <c r="V815" s="1635"/>
      <c r="W815" s="1857"/>
      <c r="X815" s="1857"/>
      <c r="Y815" s="1635"/>
      <c r="Z815" s="1714"/>
      <c r="AA815" s="1436"/>
      <c r="AB815" s="1436"/>
      <c r="AC815" s="1436"/>
      <c r="AD815" s="1344"/>
    </row>
    <row r="816" customFormat="false" ht="15.75" hidden="true" customHeight="true" outlineLevel="1" collapsed="false">
      <c r="A816" s="1774" t="s">
        <v>3281</v>
      </c>
      <c r="B816" s="1720" t="s">
        <v>15</v>
      </c>
      <c r="C816" s="1771" t="n">
        <f aca="false">$C$143</f>
        <v>0.145</v>
      </c>
      <c r="D816" s="1772" t="n">
        <f aca="false">$J$620</f>
        <v>0.045</v>
      </c>
      <c r="E816" s="1721" t="n">
        <f aca="false">IF(E815=0,0,IF('Ввод данных'!$A$17=связи1!$A$95,IF(E815&lt;=0,0,E815-дома!$K$633),0)+IF('Ввод данных'!$A$17=связи1!$A$96,IF(E815&lt;связи1!$H$236,0,E815-$K$633),0)+IF('Ввод данных'!$A$17=связи1!$A$98,IF(E815&lt;связи1!$H$236,0,E815-$K$633),0))</f>
        <v>0</v>
      </c>
      <c r="F816" s="1721" t="n">
        <f aca="false">2*IF('Ввод данных'!$C$245=связи1!$A$2,1,0)*IF(связи1!$H$89=связи1!$A$2,1,0)</f>
        <v>0</v>
      </c>
      <c r="G816" s="1722" t="n">
        <f aca="false">C816*D816*E816*F816</f>
        <v>0</v>
      </c>
      <c r="H816" s="1722"/>
      <c r="I816" s="1436"/>
      <c r="J816" s="1436"/>
      <c r="K816" s="1436"/>
      <c r="L816" s="1436"/>
      <c r="M816" s="1436"/>
      <c r="N816" s="1436"/>
      <c r="O816" s="1635"/>
      <c r="P816" s="1714"/>
      <c r="Q816" s="1714"/>
      <c r="R816" s="1714"/>
      <c r="S816" s="1436"/>
      <c r="T816" s="1635"/>
      <c r="U816" s="1634"/>
      <c r="V816" s="1635"/>
      <c r="W816" s="1857"/>
      <c r="X816" s="1857"/>
      <c r="Y816" s="1635"/>
      <c r="Z816" s="1714"/>
      <c r="AA816" s="1436"/>
      <c r="AB816" s="1436"/>
      <c r="AC816" s="1436"/>
      <c r="AD816" s="1344"/>
    </row>
    <row r="817" customFormat="false" ht="15.75" hidden="true" customHeight="true" outlineLevel="1" collapsed="false">
      <c r="A817" s="1774" t="s">
        <v>3282</v>
      </c>
      <c r="B817" s="1720" t="s">
        <v>15</v>
      </c>
      <c r="C817" s="1771" t="n">
        <f aca="false">$C$143</f>
        <v>0.145</v>
      </c>
      <c r="D817" s="1772" t="n">
        <f aca="false">$J$620</f>
        <v>0.045</v>
      </c>
      <c r="E817" s="1721" t="n">
        <f aca="false">IF(E816=0,0,IF('Ввод данных'!$A$17=связи1!$A$95,IF(E816&lt;=0,0,E816-дома!$K$633),0)+IF('Ввод данных'!$A$17=связи1!$A$96,IF(E816&lt;связи1!$H$236,0,E816-$K$633),0)+IF('Ввод данных'!$A$17=связи1!$A$98,IF(E816&lt;связи1!$H$236,0,E816-$K$633),0))</f>
        <v>0</v>
      </c>
      <c r="F817" s="1721" t="n">
        <f aca="false">2*IF('Ввод данных'!$C$245=связи1!$A$2,1,0)*IF(связи1!$H$89=связи1!$A$2,1,0)</f>
        <v>0</v>
      </c>
      <c r="G817" s="1722" t="n">
        <f aca="false">C817*D817*E817*F817</f>
        <v>0</v>
      </c>
      <c r="H817" s="1722"/>
      <c r="I817" s="1436"/>
      <c r="J817" s="1436"/>
      <c r="K817" s="1436"/>
      <c r="L817" s="1436"/>
      <c r="M817" s="1436"/>
      <c r="N817" s="1436"/>
      <c r="O817" s="1635"/>
      <c r="P817" s="1714"/>
      <c r="Q817" s="1714"/>
      <c r="R817" s="1714"/>
      <c r="S817" s="1436"/>
      <c r="T817" s="1635"/>
      <c r="U817" s="1634"/>
      <c r="V817" s="1635"/>
      <c r="W817" s="1857"/>
      <c r="X817" s="1857"/>
      <c r="Y817" s="1635"/>
      <c r="Z817" s="1714"/>
      <c r="AA817" s="1436"/>
      <c r="AB817" s="1436"/>
      <c r="AC817" s="1436"/>
      <c r="AD817" s="1344"/>
    </row>
    <row r="818" customFormat="false" ht="15.75" hidden="true" customHeight="true" outlineLevel="1" collapsed="false">
      <c r="A818" s="1774" t="s">
        <v>3283</v>
      </c>
      <c r="B818" s="1720" t="s">
        <v>15</v>
      </c>
      <c r="C818" s="1771" t="n">
        <f aca="false">$C$143</f>
        <v>0.145</v>
      </c>
      <c r="D818" s="1772" t="n">
        <f aca="false">$J$620</f>
        <v>0.045</v>
      </c>
      <c r="E818" s="1721" t="n">
        <f aca="false">IF(E817=0,0,IF('Ввод данных'!$A$17=связи1!$A$95,IF(E817&lt;=0,0,E817-дома!$K$633),0)+IF('Ввод данных'!$A$17=связи1!$A$96,IF(E817&lt;связи1!$H$236,0,E817-$K$633),0)+IF('Ввод данных'!$A$17=связи1!$A$98,IF(E817&lt;связи1!$H$236,0,E817-$K$633),0))</f>
        <v>0</v>
      </c>
      <c r="F818" s="1721" t="n">
        <f aca="false">2*IF('Ввод данных'!$C$245=связи1!$A$2,1,0)*IF(связи1!$H$89=связи1!$A$2,1,0)</f>
        <v>0</v>
      </c>
      <c r="G818" s="1722" t="n">
        <f aca="false">C818*D818*E818*F818</f>
        <v>0</v>
      </c>
      <c r="H818" s="1722"/>
      <c r="I818" s="1436"/>
      <c r="J818" s="1436"/>
      <c r="K818" s="1436"/>
      <c r="L818" s="1436"/>
      <c r="M818" s="1436"/>
      <c r="N818" s="1436"/>
      <c r="O818" s="1635"/>
      <c r="P818" s="1714"/>
      <c r="Q818" s="1714"/>
      <c r="R818" s="1714"/>
      <c r="S818" s="1436"/>
      <c r="T818" s="1635"/>
      <c r="U818" s="1634"/>
      <c r="V818" s="1635"/>
      <c r="W818" s="1857"/>
      <c r="X818" s="1857"/>
      <c r="Y818" s="1635"/>
      <c r="Z818" s="1714"/>
      <c r="AA818" s="1436"/>
      <c r="AB818" s="1436"/>
      <c r="AC818" s="1436"/>
      <c r="AD818" s="1344"/>
    </row>
    <row r="819" customFormat="false" ht="15.75" hidden="true" customHeight="true" outlineLevel="1" collapsed="false">
      <c r="A819" s="1774" t="s">
        <v>3284</v>
      </c>
      <c r="B819" s="1720" t="s">
        <v>15</v>
      </c>
      <c r="C819" s="1771" t="n">
        <f aca="false">$C$143</f>
        <v>0.145</v>
      </c>
      <c r="D819" s="1772" t="n">
        <f aca="false">$J$620</f>
        <v>0.045</v>
      </c>
      <c r="E819" s="1721" t="n">
        <f aca="false">IF(E818=0,0,IF('Ввод данных'!$A$17=связи1!$A$95,IF(E818&lt;=0,0,E818-дома!$K$633),0)+IF('Ввод данных'!$A$17=связи1!$A$96,IF(E818&lt;связи1!$H$236,0,E818-$K$633),0)+IF('Ввод данных'!$A$17=связи1!$A$98,IF(E818&lt;связи1!$H$236,0,E818-$K$633),0))</f>
        <v>0</v>
      </c>
      <c r="F819" s="1721" t="n">
        <f aca="false">2*IF('Ввод данных'!$C$245=связи1!$A$2,1,0)*IF(связи1!$H$89=связи1!$A$2,1,0)</f>
        <v>0</v>
      </c>
      <c r="G819" s="1722" t="n">
        <f aca="false">C819*D819*E819*F819</f>
        <v>0</v>
      </c>
      <c r="H819" s="1722"/>
      <c r="I819" s="1436"/>
      <c r="J819" s="1436"/>
      <c r="K819" s="1436"/>
      <c r="L819" s="1436"/>
      <c r="M819" s="1436"/>
      <c r="N819" s="1436"/>
      <c r="O819" s="1635"/>
      <c r="P819" s="1714"/>
      <c r="Q819" s="1714"/>
      <c r="R819" s="1714"/>
      <c r="S819" s="1436"/>
      <c r="T819" s="1635"/>
      <c r="U819" s="1634"/>
      <c r="V819" s="1635"/>
      <c r="W819" s="1857"/>
      <c r="X819" s="1857"/>
      <c r="Y819" s="1635"/>
      <c r="Z819" s="1714"/>
      <c r="AA819" s="1436"/>
      <c r="AB819" s="1436"/>
      <c r="AC819" s="1436"/>
      <c r="AD819" s="1344"/>
    </row>
    <row r="820" customFormat="false" ht="15.75" hidden="true" customHeight="true" outlineLevel="1" collapsed="false">
      <c r="A820" s="1777" t="s">
        <v>3288</v>
      </c>
      <c r="B820" s="1683" t="s">
        <v>15</v>
      </c>
      <c r="C820" s="1692" t="n">
        <f aca="false">$C$143</f>
        <v>0.145</v>
      </c>
      <c r="D820" s="1436" t="n">
        <f aca="false">$J$620</f>
        <v>0.045</v>
      </c>
      <c r="E820" s="1340" t="n">
        <f aca="false">U379</f>
        <v>0</v>
      </c>
      <c r="F820" s="1340" t="n">
        <v>2</v>
      </c>
      <c r="G820" s="1672" t="n">
        <f aca="false">C820*D820*E820*F820</f>
        <v>0</v>
      </c>
      <c r="H820" s="1672"/>
      <c r="I820" s="1436"/>
      <c r="J820" s="1436"/>
      <c r="K820" s="1436"/>
      <c r="L820" s="1436"/>
      <c r="M820" s="1436"/>
      <c r="N820" s="1436"/>
      <c r="O820" s="1635"/>
      <c r="P820" s="1714"/>
      <c r="Q820" s="1714"/>
      <c r="R820" s="1714"/>
      <c r="S820" s="1436"/>
      <c r="T820" s="1635"/>
      <c r="U820" s="1634"/>
      <c r="V820" s="1635"/>
      <c r="W820" s="1857"/>
      <c r="X820" s="1857"/>
      <c r="Y820" s="1635"/>
      <c r="Z820" s="1714"/>
      <c r="AA820" s="1436"/>
      <c r="AB820" s="1436"/>
      <c r="AC820" s="1436"/>
      <c r="AD820" s="1344"/>
    </row>
    <row r="821" customFormat="false" ht="15.75" hidden="true" customHeight="true" outlineLevel="1" collapsed="false">
      <c r="A821" s="1777" t="s">
        <v>3289</v>
      </c>
      <c r="B821" s="1683" t="s">
        <v>15</v>
      </c>
      <c r="C821" s="1692" t="n">
        <f aca="false">$C$143</f>
        <v>0.145</v>
      </c>
      <c r="D821" s="1436" t="n">
        <f aca="false">$J$620</f>
        <v>0.045</v>
      </c>
      <c r="E821" s="1340" t="n">
        <f aca="false">W374</f>
        <v>0.6</v>
      </c>
      <c r="F821" s="1340" t="n">
        <v>1</v>
      </c>
      <c r="G821" s="1672" t="n">
        <f aca="false">C821*D821*E821*F821</f>
        <v>0.003915</v>
      </c>
      <c r="H821" s="1672"/>
      <c r="I821" s="1436"/>
      <c r="J821" s="1436"/>
      <c r="K821" s="1436"/>
      <c r="L821" s="1436"/>
      <c r="M821" s="1436"/>
      <c r="N821" s="1436"/>
      <c r="O821" s="1635"/>
      <c r="P821" s="1714"/>
      <c r="Q821" s="1714"/>
      <c r="R821" s="1714"/>
      <c r="S821" s="1436"/>
      <c r="T821" s="1635"/>
      <c r="U821" s="1634"/>
      <c r="V821" s="1635"/>
      <c r="W821" s="1857"/>
      <c r="X821" s="1857"/>
      <c r="Y821" s="1635"/>
      <c r="Z821" s="1714"/>
      <c r="AA821" s="1436"/>
      <c r="AB821" s="1436"/>
      <c r="AC821" s="1436"/>
      <c r="AD821" s="1344"/>
    </row>
    <row r="822" customFormat="false" ht="15.75" hidden="true" customHeight="true" outlineLevel="1" collapsed="false">
      <c r="A822" s="1777" t="s">
        <v>3290</v>
      </c>
      <c r="B822" s="1683" t="s">
        <v>15</v>
      </c>
      <c r="C822" s="1692" t="n">
        <f aca="false">$C$143</f>
        <v>0.145</v>
      </c>
      <c r="D822" s="1436" t="n">
        <f aca="false">$J$620</f>
        <v>0.045</v>
      </c>
      <c r="E822" s="1340" t="n">
        <f aca="false">W375</f>
        <v>0.8</v>
      </c>
      <c r="F822" s="1340" t="n">
        <v>1</v>
      </c>
      <c r="G822" s="1672" t="n">
        <f aca="false">C822*D822*E822*F822</f>
        <v>0.00522</v>
      </c>
      <c r="H822" s="1672"/>
      <c r="I822" s="1436"/>
      <c r="J822" s="1436"/>
      <c r="K822" s="1436"/>
      <c r="L822" s="1436"/>
      <c r="M822" s="1436"/>
      <c r="N822" s="1436"/>
      <c r="O822" s="1635"/>
      <c r="P822" s="1714"/>
      <c r="Q822" s="1714"/>
      <c r="R822" s="1714"/>
      <c r="S822" s="1436"/>
      <c r="T822" s="1635"/>
      <c r="U822" s="1634"/>
      <c r="V822" s="1635"/>
      <c r="W822" s="1857"/>
      <c r="X822" s="1857"/>
      <c r="Y822" s="1635"/>
      <c r="Z822" s="1714"/>
      <c r="AA822" s="1436"/>
      <c r="AB822" s="1436"/>
      <c r="AC822" s="1436"/>
      <c r="AD822" s="1344"/>
    </row>
    <row r="823" customFormat="false" ht="15.75" hidden="true" customHeight="true" outlineLevel="1" collapsed="false">
      <c r="A823" s="1777" t="s">
        <v>3291</v>
      </c>
      <c r="B823" s="1683" t="s">
        <v>15</v>
      </c>
      <c r="C823" s="1692" t="n">
        <f aca="false">$C$143</f>
        <v>0.145</v>
      </c>
      <c r="D823" s="1436" t="n">
        <f aca="false">$J$620</f>
        <v>0.045</v>
      </c>
      <c r="E823" s="1340" t="n">
        <f aca="false">W376</f>
        <v>1</v>
      </c>
      <c r="F823" s="1340" t="n">
        <v>1</v>
      </c>
      <c r="G823" s="1672" t="n">
        <f aca="false">C823*D823*E823*F823</f>
        <v>0.006525</v>
      </c>
      <c r="H823" s="1672"/>
      <c r="I823" s="1436"/>
      <c r="J823" s="1436"/>
      <c r="K823" s="1436"/>
      <c r="L823" s="1436"/>
      <c r="M823" s="1436"/>
      <c r="N823" s="1436"/>
      <c r="O823" s="1635"/>
      <c r="P823" s="1714"/>
      <c r="Q823" s="1714"/>
      <c r="R823" s="1714"/>
      <c r="S823" s="1436"/>
      <c r="T823" s="1635"/>
      <c r="U823" s="1634"/>
      <c r="V823" s="1635"/>
      <c r="W823" s="1857"/>
      <c r="X823" s="1857"/>
      <c r="Y823" s="1635"/>
      <c r="Z823" s="1714"/>
      <c r="AA823" s="1436"/>
      <c r="AB823" s="1436"/>
      <c r="AC823" s="1436"/>
      <c r="AD823" s="1344"/>
    </row>
    <row r="824" customFormat="false" ht="15.75" hidden="true" customHeight="true" outlineLevel="1" collapsed="false">
      <c r="A824" s="1777" t="s">
        <v>3292</v>
      </c>
      <c r="B824" s="1683" t="s">
        <v>15</v>
      </c>
      <c r="C824" s="1692" t="n">
        <f aca="false">$C$143</f>
        <v>0.145</v>
      </c>
      <c r="D824" s="1436" t="n">
        <f aca="false">$J$620</f>
        <v>0.045</v>
      </c>
      <c r="E824" s="1340" t="n">
        <f aca="false">W377</f>
        <v>5</v>
      </c>
      <c r="F824" s="1340" t="n">
        <v>1</v>
      </c>
      <c r="G824" s="1672" t="n">
        <f aca="false">C824*D824*E824*F824</f>
        <v>0.032625</v>
      </c>
      <c r="H824" s="1672"/>
      <c r="I824" s="1436"/>
      <c r="J824" s="1436"/>
      <c r="K824" s="1436"/>
      <c r="L824" s="1436"/>
      <c r="M824" s="1436"/>
      <c r="N824" s="1436"/>
      <c r="O824" s="1635"/>
      <c r="P824" s="1714"/>
      <c r="Q824" s="1714"/>
      <c r="R824" s="1714"/>
      <c r="S824" s="1436"/>
      <c r="T824" s="1635"/>
      <c r="U824" s="1634"/>
      <c r="V824" s="1635"/>
      <c r="W824" s="1857"/>
      <c r="X824" s="1857"/>
      <c r="Y824" s="1635"/>
      <c r="Z824" s="1714"/>
      <c r="AA824" s="1436"/>
      <c r="AB824" s="1436"/>
      <c r="AC824" s="1436"/>
      <c r="AD824" s="1344"/>
    </row>
    <row r="825" customFormat="false" ht="15.75" hidden="true" customHeight="true" outlineLevel="1" collapsed="false">
      <c r="A825" s="1777" t="s">
        <v>3293</v>
      </c>
      <c r="B825" s="1683" t="s">
        <v>15</v>
      </c>
      <c r="C825" s="1692" t="n">
        <f aca="false">$C$143</f>
        <v>0.145</v>
      </c>
      <c r="D825" s="1436" t="n">
        <f aca="false">$J$620</f>
        <v>0.045</v>
      </c>
      <c r="E825" s="1340" t="n">
        <f aca="false">W378</f>
        <v>6</v>
      </c>
      <c r="F825" s="1340" t="n">
        <v>1</v>
      </c>
      <c r="G825" s="1672" t="n">
        <f aca="false">C825*D825*E825*F825</f>
        <v>0.03915</v>
      </c>
      <c r="H825" s="1672"/>
      <c r="I825" s="1436"/>
      <c r="J825" s="1436"/>
      <c r="K825" s="1436"/>
      <c r="L825" s="1436"/>
      <c r="M825" s="1436"/>
      <c r="N825" s="1436"/>
      <c r="O825" s="1635"/>
      <c r="P825" s="1714"/>
      <c r="Q825" s="1714"/>
      <c r="R825" s="1714"/>
      <c r="S825" s="1436"/>
      <c r="T825" s="1635"/>
      <c r="U825" s="1634"/>
      <c r="V825" s="1635"/>
      <c r="W825" s="1857"/>
      <c r="X825" s="1857"/>
      <c r="Y825" s="1635"/>
      <c r="Z825" s="1714"/>
      <c r="AA825" s="1436"/>
      <c r="AB825" s="1436"/>
      <c r="AC825" s="1436"/>
      <c r="AD825" s="1344"/>
    </row>
    <row r="826" customFormat="false" ht="15.75" hidden="true" customHeight="true" outlineLevel="1" collapsed="false">
      <c r="A826" s="1777" t="s">
        <v>3300</v>
      </c>
      <c r="B826" s="1683" t="s">
        <v>15</v>
      </c>
      <c r="C826" s="1294" t="n">
        <f aca="false">$K$375</f>
        <v>0.145</v>
      </c>
      <c r="D826" s="1672" t="n">
        <f aca="false">$J$375</f>
        <v>0.045</v>
      </c>
      <c r="E826" s="1340" t="n">
        <f aca="false">$E$375</f>
        <v>2.8</v>
      </c>
      <c r="F826" s="1340" t="n">
        <f aca="false">U839</f>
        <v>0</v>
      </c>
      <c r="G826" s="1672" t="n">
        <f aca="false">C826*D826*E826*F826</f>
        <v>0</v>
      </c>
      <c r="H826" s="1672"/>
      <c r="I826" s="1436"/>
      <c r="J826" s="1436"/>
      <c r="K826" s="1436"/>
      <c r="L826" s="1436"/>
      <c r="M826" s="1436"/>
      <c r="N826" s="1436"/>
      <c r="O826" s="1635"/>
      <c r="P826" s="1714"/>
      <c r="Q826" s="1714"/>
      <c r="R826" s="1714"/>
      <c r="S826" s="1436"/>
      <c r="T826" s="1635"/>
      <c r="U826" s="1634"/>
      <c r="V826" s="1635"/>
      <c r="W826" s="1857"/>
      <c r="X826" s="1857"/>
      <c r="Y826" s="1635"/>
      <c r="Z826" s="1714"/>
      <c r="AA826" s="1436"/>
      <c r="AB826" s="1436"/>
      <c r="AC826" s="1436"/>
      <c r="AD826" s="1344"/>
    </row>
    <row r="827" customFormat="false" ht="15.75" hidden="true" customHeight="true" outlineLevel="1" collapsed="false">
      <c r="A827" s="1777" t="s">
        <v>3301</v>
      </c>
      <c r="B827" s="1683" t="s">
        <v>15</v>
      </c>
      <c r="C827" s="1294" t="n">
        <f aca="false">$K$375</f>
        <v>0.145</v>
      </c>
      <c r="D827" s="1672" t="n">
        <f aca="false">$J$375</f>
        <v>0.045</v>
      </c>
      <c r="E827" s="1340" t="n">
        <f aca="false">W836</f>
        <v>0.8</v>
      </c>
      <c r="F827" s="1340" t="n">
        <v>1</v>
      </c>
      <c r="G827" s="1672" t="n">
        <f aca="false">C827*D827*E827*F827</f>
        <v>0.00522</v>
      </c>
      <c r="H827" s="1672"/>
      <c r="I827" s="1436"/>
      <c r="J827" s="1436"/>
      <c r="K827" s="1436"/>
      <c r="L827" s="1436"/>
      <c r="M827" s="1436"/>
      <c r="N827" s="1436"/>
      <c r="O827" s="1635"/>
      <c r="P827" s="1714"/>
      <c r="Q827" s="1714"/>
      <c r="R827" s="1714"/>
      <c r="S827" s="1436"/>
      <c r="T827" s="1635"/>
      <c r="U827" s="1634"/>
      <c r="V827" s="1635"/>
      <c r="W827" s="1857"/>
      <c r="X827" s="1857"/>
      <c r="Y827" s="1635"/>
      <c r="Z827" s="1714"/>
      <c r="AA827" s="1436"/>
      <c r="AB827" s="1436"/>
      <c r="AC827" s="1436"/>
      <c r="AD827" s="1344"/>
    </row>
    <row r="828" customFormat="false" ht="15.75" hidden="true" customHeight="true" outlineLevel="1" collapsed="false">
      <c r="A828" s="1777" t="s">
        <v>3302</v>
      </c>
      <c r="B828" s="1683" t="s">
        <v>15</v>
      </c>
      <c r="C828" s="1294" t="n">
        <f aca="false">$K$375</f>
        <v>0.145</v>
      </c>
      <c r="D828" s="1672" t="n">
        <f aca="false">$J$375</f>
        <v>0.045</v>
      </c>
      <c r="E828" s="1340" t="n">
        <f aca="false">W837</f>
        <v>1</v>
      </c>
      <c r="F828" s="1340" t="n">
        <v>1</v>
      </c>
      <c r="G828" s="1672" t="n">
        <f aca="false">C828*D828*E828*F828</f>
        <v>0.006525</v>
      </c>
      <c r="H828" s="1672"/>
      <c r="I828" s="1436"/>
      <c r="J828" s="1436"/>
      <c r="K828" s="1436"/>
      <c r="L828" s="1436"/>
      <c r="M828" s="1436"/>
      <c r="N828" s="1436"/>
      <c r="O828" s="1635"/>
      <c r="P828" s="1714"/>
      <c r="Q828" s="1714"/>
      <c r="R828" s="1714"/>
      <c r="S828" s="1436"/>
      <c r="T828" s="1635"/>
      <c r="U828" s="1634"/>
      <c r="V828" s="1635"/>
      <c r="W828" s="1857"/>
      <c r="X828" s="1857"/>
      <c r="Y828" s="1635"/>
      <c r="Z828" s="1714"/>
      <c r="AA828" s="1436"/>
      <c r="AB828" s="1436"/>
      <c r="AC828" s="1436"/>
      <c r="AD828" s="1344"/>
    </row>
    <row r="829" customFormat="false" ht="15.75" hidden="true" customHeight="true" outlineLevel="1" collapsed="false">
      <c r="A829" s="1777" t="s">
        <v>3303</v>
      </c>
      <c r="B829" s="1683" t="s">
        <v>15</v>
      </c>
      <c r="C829" s="1294" t="n">
        <f aca="false">$K$375</f>
        <v>0.145</v>
      </c>
      <c r="D829" s="1672" t="n">
        <f aca="false">$J$375</f>
        <v>0.045</v>
      </c>
      <c r="E829" s="1340" t="n">
        <f aca="false">W838</f>
        <v>1</v>
      </c>
      <c r="F829" s="1340" t="n">
        <v>1</v>
      </c>
      <c r="G829" s="1672" t="n">
        <f aca="false">C829*D829*E829*F829</f>
        <v>0.006525</v>
      </c>
      <c r="H829" s="1672"/>
      <c r="I829" s="1436"/>
      <c r="J829" s="1436"/>
      <c r="K829" s="1436"/>
      <c r="L829" s="1436"/>
      <c r="M829" s="1436"/>
      <c r="N829" s="1436"/>
      <c r="O829" s="1635"/>
      <c r="P829" s="1714"/>
      <c r="Q829" s="1714"/>
      <c r="R829" s="1714"/>
      <c r="S829" s="1436"/>
      <c r="T829" s="1635"/>
      <c r="U829" s="1634"/>
      <c r="V829" s="1635"/>
      <c r="W829" s="1857"/>
      <c r="X829" s="1857"/>
      <c r="Y829" s="1635"/>
      <c r="Z829" s="1714"/>
      <c r="AA829" s="1436"/>
      <c r="AB829" s="1436"/>
      <c r="AC829" s="1436"/>
      <c r="AD829" s="1344"/>
    </row>
    <row r="830" customFormat="false" ht="15.75" hidden="true" customHeight="true" outlineLevel="1" collapsed="false">
      <c r="A830" s="1777" t="s">
        <v>3304</v>
      </c>
      <c r="B830" s="1683" t="s">
        <v>15</v>
      </c>
      <c r="C830" s="1294" t="n">
        <f aca="false">$K$375</f>
        <v>0.145</v>
      </c>
      <c r="D830" s="1672" t="n">
        <f aca="false">$J$375</f>
        <v>0.045</v>
      </c>
      <c r="E830" s="1340" t="n">
        <f aca="false">W839</f>
        <v>0</v>
      </c>
      <c r="F830" s="1340" t="n">
        <v>1</v>
      </c>
      <c r="G830" s="1672" t="n">
        <f aca="false">C830*D830*E830*F830</f>
        <v>0</v>
      </c>
      <c r="H830" s="1672"/>
      <c r="I830" s="1436"/>
      <c r="J830" s="1436"/>
      <c r="K830" s="1436"/>
      <c r="L830" s="1436"/>
      <c r="M830" s="1436"/>
      <c r="N830" s="1436"/>
      <c r="O830" s="1635"/>
      <c r="P830" s="1714"/>
      <c r="Q830" s="1714"/>
      <c r="R830" s="1714"/>
      <c r="S830" s="1436"/>
      <c r="T830" s="1635"/>
      <c r="U830" s="1634"/>
      <c r="V830" s="1635"/>
      <c r="W830" s="1857"/>
      <c r="X830" s="1857"/>
      <c r="Y830" s="1635"/>
      <c r="Z830" s="1714"/>
      <c r="AA830" s="1436"/>
      <c r="AB830" s="1436"/>
      <c r="AC830" s="1436"/>
      <c r="AD830" s="1344"/>
    </row>
    <row r="831" customFormat="false" ht="15.75" hidden="true" customHeight="true" outlineLevel="1" collapsed="false">
      <c r="A831" s="1777" t="s">
        <v>3305</v>
      </c>
      <c r="B831" s="1683" t="s">
        <v>15</v>
      </c>
      <c r="C831" s="1294" t="n">
        <f aca="false">$K$375</f>
        <v>0.145</v>
      </c>
      <c r="D831" s="1672" t="n">
        <f aca="false">$J$375</f>
        <v>0.045</v>
      </c>
      <c r="E831" s="1340" t="n">
        <f aca="false">U848</f>
        <v>0</v>
      </c>
      <c r="F831" s="1340" t="n">
        <v>2</v>
      </c>
      <c r="G831" s="1672" t="n">
        <f aca="false">C831*D831*E831*F831</f>
        <v>0</v>
      </c>
      <c r="H831" s="1672"/>
      <c r="I831" s="1436"/>
      <c r="J831" s="1436"/>
      <c r="K831" s="1436"/>
      <c r="L831" s="1436"/>
      <c r="M831" s="1436"/>
      <c r="N831" s="1436"/>
      <c r="O831" s="1635"/>
      <c r="P831" s="1714"/>
      <c r="Q831" s="1714"/>
      <c r="R831" s="1714"/>
      <c r="S831" s="1436"/>
      <c r="T831" s="1635"/>
      <c r="U831" s="1634"/>
      <c r="V831" s="1635"/>
      <c r="W831" s="1857"/>
      <c r="X831" s="1857"/>
      <c r="Y831" s="1635"/>
      <c r="Z831" s="1714"/>
      <c r="AA831" s="1436"/>
      <c r="AB831" s="1436"/>
      <c r="AC831" s="1436"/>
      <c r="AD831" s="1344"/>
    </row>
    <row r="832" customFormat="false" ht="15.75" hidden="true" customHeight="true" outlineLevel="1" collapsed="false">
      <c r="A832" s="1777" t="s">
        <v>3306</v>
      </c>
      <c r="B832" s="1683" t="s">
        <v>15</v>
      </c>
      <c r="C832" s="1294" t="n">
        <f aca="false">$K$375</f>
        <v>0.145</v>
      </c>
      <c r="D832" s="1672" t="n">
        <f aca="false">$J$375</f>
        <v>0.045</v>
      </c>
      <c r="E832" s="1340" t="n">
        <f aca="false">W846</f>
        <v>2</v>
      </c>
      <c r="F832" s="1340" t="n">
        <v>1</v>
      </c>
      <c r="G832" s="1672" t="n">
        <f aca="false">C832*D832*E832*F832</f>
        <v>0.01305</v>
      </c>
      <c r="H832" s="1672"/>
      <c r="I832" s="1436"/>
      <c r="J832" s="1436"/>
      <c r="K832" s="1436"/>
      <c r="L832" s="1436"/>
      <c r="M832" s="1436"/>
      <c r="N832" s="1436"/>
      <c r="O832" s="1635"/>
      <c r="P832" s="1714"/>
      <c r="Q832" s="1714"/>
      <c r="R832" s="1714"/>
      <c r="S832" s="1436"/>
      <c r="T832" s="1635"/>
      <c r="U832" s="1634"/>
      <c r="V832" s="1635"/>
      <c r="W832" s="1857"/>
      <c r="X832" s="1857"/>
      <c r="Y832" s="1635"/>
      <c r="Z832" s="1714"/>
      <c r="AA832" s="1436"/>
      <c r="AB832" s="1436"/>
      <c r="AC832" s="1436"/>
      <c r="AD832" s="1344"/>
    </row>
    <row r="833" customFormat="false" ht="15.75" hidden="true" customHeight="true" outlineLevel="1" collapsed="false">
      <c r="A833" s="1777" t="s">
        <v>3307</v>
      </c>
      <c r="B833" s="1683" t="s">
        <v>15</v>
      </c>
      <c r="C833" s="1294" t="n">
        <f aca="false">$K$375</f>
        <v>0.145</v>
      </c>
      <c r="D833" s="1672" t="n">
        <f aca="false">$J$375</f>
        <v>0.045</v>
      </c>
      <c r="E833" s="1340" t="n">
        <f aca="false">W847</f>
        <v>2</v>
      </c>
      <c r="F833" s="1340" t="n">
        <v>1</v>
      </c>
      <c r="G833" s="1672" t="n">
        <f aca="false">C833*D833*E833*F833</f>
        <v>0.01305</v>
      </c>
      <c r="H833" s="1672"/>
      <c r="I833" s="1436"/>
      <c r="J833" s="1436"/>
      <c r="K833" s="1436"/>
      <c r="L833" s="1436"/>
      <c r="M833" s="1436"/>
      <c r="N833" s="1436"/>
      <c r="O833" s="1635"/>
      <c r="P833" s="1714"/>
      <c r="Q833" s="1714"/>
      <c r="R833" s="1714"/>
      <c r="S833" s="1436"/>
      <c r="T833" s="1635"/>
      <c r="U833" s="1634"/>
      <c r="V833" s="1635"/>
      <c r="W833" s="1857"/>
      <c r="X833" s="1857"/>
      <c r="Y833" s="1635"/>
      <c r="Z833" s="1714"/>
      <c r="AA833" s="1436"/>
      <c r="AB833" s="1436"/>
      <c r="AC833" s="1436"/>
      <c r="AD833" s="1344"/>
    </row>
    <row r="834" customFormat="false" ht="15.75" hidden="true" customHeight="true" outlineLevel="1" collapsed="false">
      <c r="A834" s="1860" t="s">
        <v>3489</v>
      </c>
      <c r="B834" s="1860"/>
      <c r="C834" s="1860"/>
      <c r="D834" s="1443"/>
      <c r="E834" s="1861" t="n">
        <f aca="false">IF('Ввод данных'!A17=связи1!A94,0,0)+IF('Ввод данных'!A17=связи1!A95,1,0)+IF('Ввод данных'!A17=связи1!A96,1,0)+IF('Ввод данных'!A17=связи1!A97,0,0)+IF('Ввод данных'!A17=связи1!A98,1,0)</f>
        <v>1</v>
      </c>
      <c r="F834" s="1604"/>
      <c r="G834" s="1436" t="n">
        <f aca="false">SUM(G637:G833)</f>
        <v>6.71524660364852</v>
      </c>
      <c r="H834" s="1436"/>
      <c r="I834" s="1436"/>
      <c r="J834" s="1436"/>
      <c r="K834" s="1436"/>
      <c r="L834" s="1436"/>
      <c r="M834" s="1436"/>
      <c r="N834" s="1436"/>
      <c r="O834" s="1635"/>
      <c r="P834" s="1714"/>
      <c r="Q834" s="1714"/>
      <c r="R834" s="1756" t="n">
        <f aca="false">связи1!F188</f>
        <v>0.4</v>
      </c>
      <c r="S834" s="1755" t="n">
        <f aca="false">S620+S624+S625+S623</f>
        <v>32</v>
      </c>
      <c r="T834" s="1755" t="n">
        <f aca="false">R834*S834</f>
        <v>12.8</v>
      </c>
      <c r="U834" s="1634"/>
      <c r="V834" s="1635"/>
      <c r="W834" s="1857"/>
      <c r="X834" s="1857"/>
      <c r="Y834" s="1635"/>
      <c r="Z834" s="1714"/>
      <c r="AA834" s="1436"/>
      <c r="AB834" s="1436"/>
      <c r="AC834" s="1436"/>
      <c r="AD834" s="1344"/>
    </row>
    <row r="835" customFormat="false" ht="15.75" hidden="true" customHeight="true" outlineLevel="1" collapsed="false">
      <c r="A835" s="1862"/>
      <c r="B835" s="1696" t="s">
        <v>12</v>
      </c>
      <c r="C835" s="1728" t="s">
        <v>200</v>
      </c>
      <c r="D835" s="1396" t="s">
        <v>118</v>
      </c>
      <c r="E835" s="1683" t="s">
        <v>137</v>
      </c>
      <c r="F835" s="1683" t="s">
        <v>3119</v>
      </c>
      <c r="G835" s="1396" t="s">
        <v>482</v>
      </c>
      <c r="H835" s="1396"/>
      <c r="I835" s="1396" t="s">
        <v>2968</v>
      </c>
      <c r="J835" s="1396" t="s">
        <v>2491</v>
      </c>
      <c r="K835" s="1396" t="s">
        <v>116</v>
      </c>
      <c r="L835" s="1396"/>
      <c r="M835" s="1396"/>
      <c r="N835" s="1396"/>
      <c r="O835" s="1356" t="s">
        <v>3120</v>
      </c>
      <c r="P835" s="1752" t="s">
        <v>3121</v>
      </c>
      <c r="Q835" s="1752" t="s">
        <v>3122</v>
      </c>
      <c r="R835" s="1752" t="s">
        <v>3123</v>
      </c>
      <c r="S835" s="1436" t="s">
        <v>2773</v>
      </c>
      <c r="T835" s="1356" t="s">
        <v>3124</v>
      </c>
      <c r="U835" s="1634"/>
      <c r="V835" s="1635"/>
      <c r="W835" s="1857"/>
      <c r="X835" s="1857"/>
      <c r="Y835" s="1635"/>
      <c r="Z835" s="1714"/>
      <c r="AA835" s="1436"/>
      <c r="AB835" s="1436"/>
      <c r="AC835" s="1436"/>
      <c r="AD835" s="1344"/>
    </row>
    <row r="836" customFormat="false" ht="15.75" hidden="true" customHeight="true" outlineLevel="1" collapsed="false">
      <c r="A836" s="1786" t="s">
        <v>3309</v>
      </c>
      <c r="B836" s="1696" t="s">
        <v>15</v>
      </c>
      <c r="C836" s="1605" t="n">
        <f aca="false">'Ввод данных'!C218*E834</f>
        <v>3.5</v>
      </c>
      <c r="D836" s="1436" t="n">
        <f aca="false">'Ввод данных'!D218</f>
        <v>1</v>
      </c>
      <c r="E836" s="1604" t="n">
        <f aca="false">$E$834*'Ввод данных'!C12</f>
        <v>2.6</v>
      </c>
      <c r="F836" s="1604" t="n">
        <f aca="false">C836*D836*E836</f>
        <v>9.1</v>
      </c>
      <c r="G836" s="1436" t="n">
        <f aca="false">G375</f>
        <v>0.6</v>
      </c>
      <c r="H836" s="1436"/>
      <c r="I836" s="1436" t="n">
        <f aca="false">IF(C836=0,0,C836/G836+1)</f>
        <v>6.83333333333333</v>
      </c>
      <c r="J836" s="1436" t="n">
        <f aca="false">$J$375</f>
        <v>0.045</v>
      </c>
      <c r="K836" s="1436" t="n">
        <f aca="false">$C$151</f>
        <v>0.145</v>
      </c>
      <c r="L836" s="1436"/>
      <c r="M836" s="1436"/>
      <c r="N836" s="1436"/>
      <c r="O836" s="1635" t="n">
        <f aca="false">E836*I836*J836*K836</f>
        <v>0.1159275</v>
      </c>
      <c r="P836" s="1714" t="n">
        <f aca="false">C836</f>
        <v>3.5</v>
      </c>
      <c r="Q836" s="1714" t="n">
        <f aca="false">C836</f>
        <v>3.5</v>
      </c>
      <c r="R836" s="1714" t="n">
        <f aca="false">C836</f>
        <v>3.5</v>
      </c>
      <c r="S836" s="1436" t="n">
        <f aca="false">C836*D836</f>
        <v>3.5</v>
      </c>
      <c r="T836" s="1635" t="n">
        <f aca="false">(P836+Q836+R836)*J836*K836</f>
        <v>0.0685125</v>
      </c>
      <c r="U836" s="1863" t="n">
        <f aca="false">'Ввод данных'!E189</f>
        <v>0</v>
      </c>
      <c r="V836" s="1795" t="n">
        <f aca="false">U836*E836*J836*$K$124</f>
        <v>0</v>
      </c>
      <c r="W836" s="1864" t="n">
        <f aca="false">'Ввод данных'!C189</f>
        <v>0.8</v>
      </c>
      <c r="X836" s="1864"/>
      <c r="Y836" s="1737" t="n">
        <f aca="false">W836*$K$124*J836</f>
        <v>0.00522</v>
      </c>
      <c r="Z836" s="1714"/>
      <c r="AA836" s="1436"/>
      <c r="AB836" s="1436"/>
      <c r="AC836" s="1436"/>
      <c r="AD836" s="1344"/>
    </row>
    <row r="837" customFormat="false" ht="15.75" hidden="true" customHeight="true" outlineLevel="1" collapsed="false">
      <c r="A837" s="1786"/>
      <c r="B837" s="1696" t="s">
        <v>15</v>
      </c>
      <c r="C837" s="1605" t="n">
        <f aca="false">'Ввод данных'!C219*E834</f>
        <v>0</v>
      </c>
      <c r="D837" s="1436" t="n">
        <f aca="false">'Ввод данных'!D219</f>
        <v>0</v>
      </c>
      <c r="E837" s="1604" t="n">
        <f aca="false">$E$834*'Ввод данных'!C12</f>
        <v>2.6</v>
      </c>
      <c r="F837" s="1604" t="n">
        <f aca="false">C837*D837*E837</f>
        <v>0</v>
      </c>
      <c r="G837" s="1436" t="n">
        <f aca="false">G376</f>
        <v>0.6</v>
      </c>
      <c r="H837" s="1436"/>
      <c r="I837" s="1436" t="n">
        <f aca="false">IF(C837=0,0,C837/G837+1)</f>
        <v>0</v>
      </c>
      <c r="J837" s="1436" t="n">
        <f aca="false">$J$375</f>
        <v>0.045</v>
      </c>
      <c r="K837" s="1436" t="n">
        <f aca="false">$C$151</f>
        <v>0.145</v>
      </c>
      <c r="L837" s="1436"/>
      <c r="M837" s="1436"/>
      <c r="N837" s="1436"/>
      <c r="O837" s="1635" t="n">
        <f aca="false">E837*I837*J837*K837</f>
        <v>0</v>
      </c>
      <c r="P837" s="1714" t="n">
        <f aca="false">C837</f>
        <v>0</v>
      </c>
      <c r="Q837" s="1714" t="n">
        <f aca="false">C837</f>
        <v>0</v>
      </c>
      <c r="R837" s="1714" t="n">
        <f aca="false">C837</f>
        <v>0</v>
      </c>
      <c r="S837" s="1436" t="n">
        <f aca="false">C837*D837</f>
        <v>0</v>
      </c>
      <c r="T837" s="1635" t="n">
        <f aca="false">(P837+Q837+R837)*J837*K837</f>
        <v>0</v>
      </c>
      <c r="U837" s="1863" t="n">
        <f aca="false">'Ввод данных'!E190</f>
        <v>0</v>
      </c>
      <c r="V837" s="1795" t="n">
        <f aca="false">U837*E837*J837*$K$124</f>
        <v>0</v>
      </c>
      <c r="W837" s="1864" t="n">
        <f aca="false">'Ввод данных'!C190</f>
        <v>1</v>
      </c>
      <c r="X837" s="1864"/>
      <c r="Y837" s="1737" t="n">
        <f aca="false">W837*$K$124*J837</f>
        <v>0.006525</v>
      </c>
      <c r="Z837" s="1714"/>
      <c r="AA837" s="1436"/>
      <c r="AB837" s="1436"/>
      <c r="AC837" s="1436"/>
      <c r="AD837" s="1344"/>
    </row>
    <row r="838" customFormat="false" ht="15.75" hidden="true" customHeight="true" outlineLevel="1" collapsed="false">
      <c r="A838" s="1786"/>
      <c r="B838" s="1696" t="s">
        <v>15</v>
      </c>
      <c r="C838" s="1605" t="n">
        <f aca="false">'Ввод данных'!C220*E834</f>
        <v>0</v>
      </c>
      <c r="D838" s="1436" t="n">
        <f aca="false">'Ввод данных'!D220</f>
        <v>0</v>
      </c>
      <c r="E838" s="1604" t="n">
        <f aca="false">$E$834*'Ввод данных'!C12</f>
        <v>2.6</v>
      </c>
      <c r="F838" s="1604" t="n">
        <f aca="false">C838*D838*E838</f>
        <v>0</v>
      </c>
      <c r="G838" s="1436" t="n">
        <f aca="false">G377</f>
        <v>0.6</v>
      </c>
      <c r="H838" s="1436"/>
      <c r="I838" s="1436" t="n">
        <f aca="false">IF(C838=0,0,C838/G838+1)</f>
        <v>0</v>
      </c>
      <c r="J838" s="1436" t="n">
        <f aca="false">$J$375</f>
        <v>0.045</v>
      </c>
      <c r="K838" s="1436" t="n">
        <f aca="false">$C$151</f>
        <v>0.145</v>
      </c>
      <c r="L838" s="1436"/>
      <c r="M838" s="1436"/>
      <c r="N838" s="1436"/>
      <c r="O838" s="1635" t="n">
        <f aca="false">E838*I838*J838*K838</f>
        <v>0</v>
      </c>
      <c r="P838" s="1714" t="n">
        <f aca="false">C838</f>
        <v>0</v>
      </c>
      <c r="Q838" s="1714" t="n">
        <f aca="false">C838</f>
        <v>0</v>
      </c>
      <c r="R838" s="1714" t="n">
        <f aca="false">C838</f>
        <v>0</v>
      </c>
      <c r="S838" s="1436" t="n">
        <f aca="false">C838*D838</f>
        <v>0</v>
      </c>
      <c r="T838" s="1635" t="n">
        <f aca="false">(P838+Q838+R838)*J838*K838</f>
        <v>0</v>
      </c>
      <c r="U838" s="1863" t="n">
        <f aca="false">'Ввод данных'!E193</f>
        <v>0</v>
      </c>
      <c r="V838" s="1795" t="n">
        <f aca="false">U838*E838*J838*$K$124</f>
        <v>0</v>
      </c>
      <c r="W838" s="1864" t="n">
        <f aca="false">'Ввод данных'!C193</f>
        <v>1</v>
      </c>
      <c r="X838" s="1864"/>
      <c r="Y838" s="1737" t="n">
        <f aca="false">W838*$K$124*J838</f>
        <v>0.006525</v>
      </c>
      <c r="Z838" s="1714"/>
      <c r="AA838" s="1436"/>
      <c r="AB838" s="1436"/>
      <c r="AC838" s="1436"/>
      <c r="AD838" s="1344"/>
    </row>
    <row r="839" customFormat="false" ht="15.75" hidden="true" customHeight="true" outlineLevel="1" collapsed="false">
      <c r="A839" s="1786"/>
      <c r="B839" s="1696" t="s">
        <v>15</v>
      </c>
      <c r="C839" s="1605" t="n">
        <f aca="false">'Ввод данных'!C221*E834</f>
        <v>0</v>
      </c>
      <c r="D839" s="1436" t="n">
        <f aca="false">'Ввод данных'!D221</f>
        <v>0</v>
      </c>
      <c r="E839" s="1604" t="n">
        <f aca="false">$E$834*'Ввод данных'!C12</f>
        <v>2.6</v>
      </c>
      <c r="F839" s="1604" t="n">
        <f aca="false">C839*D839*E839</f>
        <v>0</v>
      </c>
      <c r="G839" s="1436" t="n">
        <f aca="false">G378</f>
        <v>0.6</v>
      </c>
      <c r="H839" s="1436"/>
      <c r="I839" s="1436" t="n">
        <f aca="false">IF(C839=0,0,C839/G839+1)</f>
        <v>0</v>
      </c>
      <c r="J839" s="1436" t="n">
        <f aca="false">$J$375</f>
        <v>0.045</v>
      </c>
      <c r="K839" s="1436" t="n">
        <f aca="false">$C$151</f>
        <v>0.145</v>
      </c>
      <c r="L839" s="1436"/>
      <c r="M839" s="1436"/>
      <c r="N839" s="1436"/>
      <c r="O839" s="1635" t="n">
        <f aca="false">E839*I839*J839*K839</f>
        <v>0</v>
      </c>
      <c r="P839" s="1714" t="n">
        <f aca="false">C839</f>
        <v>0</v>
      </c>
      <c r="Q839" s="1714" t="n">
        <f aca="false">C839</f>
        <v>0</v>
      </c>
      <c r="R839" s="1714" t="n">
        <f aca="false">C839</f>
        <v>0</v>
      </c>
      <c r="S839" s="1436" t="n">
        <f aca="false">C839*D839</f>
        <v>0</v>
      </c>
      <c r="T839" s="1635" t="n">
        <f aca="false">(P839+Q839+R839)*J839*K839</f>
        <v>0</v>
      </c>
      <c r="U839" s="1634" t="n">
        <f aca="false">SUM(U836:U838)</f>
        <v>0</v>
      </c>
      <c r="V839" s="1635"/>
      <c r="W839" s="1857"/>
      <c r="X839" s="1857"/>
      <c r="Y839" s="1635"/>
      <c r="Z839" s="1436"/>
      <c r="AA839" s="1436"/>
      <c r="AB839" s="1436"/>
      <c r="AC839" s="1436"/>
      <c r="AD839" s="1344"/>
    </row>
    <row r="840" customFormat="false" ht="15.75" hidden="true" customHeight="true" outlineLevel="1" collapsed="false">
      <c r="A840" s="1787"/>
      <c r="B840" s="1696"/>
      <c r="C840" s="1605"/>
      <c r="D840" s="1436"/>
      <c r="E840" s="1604" t="n">
        <f aca="false">$E$834*($E$621+$E$620)</f>
        <v>1.6</v>
      </c>
      <c r="F840" s="1604"/>
      <c r="G840" s="1436"/>
      <c r="H840" s="1436"/>
      <c r="I840" s="1436" t="n">
        <f aca="false">CEILING(SUM(I836:I839),1)</f>
        <v>7</v>
      </c>
      <c r="J840" s="1436"/>
      <c r="K840" s="1436"/>
      <c r="L840" s="1436"/>
      <c r="M840" s="1436"/>
      <c r="N840" s="1436"/>
      <c r="O840" s="1756" t="n">
        <f aca="false">связи1!F189</f>
        <v>0.3</v>
      </c>
      <c r="P840" s="1714" t="n">
        <f aca="false">SUM(P836:P839)</f>
        <v>3.5</v>
      </c>
      <c r="Q840" s="1714" t="n">
        <f aca="false">SUM(Q836:Q839)</f>
        <v>3.5</v>
      </c>
      <c r="R840" s="1582" t="n">
        <f aca="false">SUM(R836:R839)</f>
        <v>3.5</v>
      </c>
      <c r="S840" s="1755" t="n">
        <f aca="false">SUM(S836:S839)</f>
        <v>3.5</v>
      </c>
      <c r="T840" s="1755" t="n">
        <f aca="false">O840*S840</f>
        <v>1.05</v>
      </c>
      <c r="U840" s="1634"/>
      <c r="V840" s="1635"/>
      <c r="W840" s="1857"/>
      <c r="X840" s="1857"/>
      <c r="Y840" s="1755" t="n">
        <f aca="false">(U836*W836+U837*W837+U838*W838)*R834</f>
        <v>0</v>
      </c>
      <c r="Z840" s="1436"/>
      <c r="AA840" s="1436"/>
      <c r="AB840" s="1436"/>
      <c r="AC840" s="1436"/>
      <c r="AD840" s="1344"/>
    </row>
    <row r="841" customFormat="false" ht="15.75" hidden="true" customHeight="true" outlineLevel="1" collapsed="false">
      <c r="A841" s="1786" t="s">
        <v>3310</v>
      </c>
      <c r="B841" s="1696" t="s">
        <v>15</v>
      </c>
      <c r="C841" s="1605" t="n">
        <f aca="false">'Ввод данных'!C222*E834</f>
        <v>0</v>
      </c>
      <c r="D841" s="1436" t="n">
        <f aca="false">'Ввод данных'!D222</f>
        <v>0</v>
      </c>
      <c r="E841" s="1604" t="n">
        <f aca="false">$E$834*'Ввод данных'!C12</f>
        <v>2.6</v>
      </c>
      <c r="F841" s="1604" t="n">
        <f aca="false">C841*D841*E841</f>
        <v>0</v>
      </c>
      <c r="G841" s="1436" t="n">
        <f aca="false">G380</f>
        <v>0.6</v>
      </c>
      <c r="H841" s="1436"/>
      <c r="I841" s="1436" t="n">
        <f aca="false">IF(C841=0,0,C841/G841+1)</f>
        <v>0</v>
      </c>
      <c r="J841" s="1436" t="n">
        <f aca="false">$D$180</f>
        <v>0.045</v>
      </c>
      <c r="K841" s="1436" t="n">
        <f aca="false">$C$180</f>
        <v>0.1</v>
      </c>
      <c r="L841" s="1436"/>
      <c r="M841" s="1436"/>
      <c r="N841" s="1436"/>
      <c r="O841" s="1635" t="n">
        <f aca="false">E841*I841*J841*K841</f>
        <v>0</v>
      </c>
      <c r="P841" s="1714" t="n">
        <f aca="false">C841</f>
        <v>0</v>
      </c>
      <c r="Q841" s="1714" t="n">
        <f aca="false">C841</f>
        <v>0</v>
      </c>
      <c r="R841" s="1714"/>
      <c r="S841" s="1436" t="n">
        <f aca="false">C841*D841</f>
        <v>0</v>
      </c>
      <c r="T841" s="1635" t="n">
        <f aca="false">(P841+Q841+R841)*J841*K841</f>
        <v>0</v>
      </c>
      <c r="U841" s="1436"/>
      <c r="V841" s="1635"/>
      <c r="W841" s="1436"/>
      <c r="X841" s="1436"/>
      <c r="Y841" s="1635"/>
      <c r="Z841" s="1714"/>
      <c r="AA841" s="1436"/>
      <c r="AB841" s="1436"/>
      <c r="AC841" s="1436"/>
      <c r="AD841" s="1344"/>
    </row>
    <row r="842" customFormat="false" ht="15.75" hidden="true" customHeight="true" outlineLevel="1" collapsed="false">
      <c r="A842" s="1786"/>
      <c r="B842" s="1696" t="s">
        <v>15</v>
      </c>
      <c r="C842" s="1605" t="n">
        <f aca="false">'Ввод данных'!C223*E834</f>
        <v>0</v>
      </c>
      <c r="D842" s="1436" t="n">
        <f aca="false">'Ввод данных'!D223</f>
        <v>0</v>
      </c>
      <c r="E842" s="1604" t="n">
        <f aca="false">$E$834*'Ввод данных'!C12</f>
        <v>2.6</v>
      </c>
      <c r="F842" s="1604" t="n">
        <f aca="false">C842*D842*E842</f>
        <v>0</v>
      </c>
      <c r="G842" s="1436" t="n">
        <f aca="false">G381</f>
        <v>0.6</v>
      </c>
      <c r="H842" s="1436"/>
      <c r="I842" s="1436" t="n">
        <f aca="false">IF(C842=0,0,C842/G842+1)</f>
        <v>0</v>
      </c>
      <c r="J842" s="1436" t="n">
        <f aca="false">$D$180</f>
        <v>0.045</v>
      </c>
      <c r="K842" s="1436" t="n">
        <f aca="false">$C$180</f>
        <v>0.1</v>
      </c>
      <c r="L842" s="1436"/>
      <c r="M842" s="1436"/>
      <c r="N842" s="1436"/>
      <c r="O842" s="1635" t="n">
        <f aca="false">E842*I842*J842*K842</f>
        <v>0</v>
      </c>
      <c r="P842" s="1714" t="n">
        <f aca="false">C842</f>
        <v>0</v>
      </c>
      <c r="Q842" s="1714" t="n">
        <f aca="false">C842</f>
        <v>0</v>
      </c>
      <c r="R842" s="1714"/>
      <c r="S842" s="1436" t="n">
        <f aca="false">C842*D842</f>
        <v>0</v>
      </c>
      <c r="T842" s="1635" t="n">
        <f aca="false">(P842+Q842+R842)*J842*K842</f>
        <v>0</v>
      </c>
      <c r="U842" s="1436"/>
      <c r="V842" s="1635"/>
      <c r="W842" s="1436"/>
      <c r="X842" s="1436"/>
      <c r="Y842" s="1635"/>
      <c r="Z842" s="1714"/>
      <c r="AA842" s="1436"/>
      <c r="AB842" s="1436"/>
      <c r="AC842" s="1436"/>
      <c r="AD842" s="1344"/>
    </row>
    <row r="843" customFormat="false" ht="15.75" hidden="true" customHeight="true" outlineLevel="1" collapsed="false">
      <c r="A843" s="1786"/>
      <c r="B843" s="1696" t="s">
        <v>15</v>
      </c>
      <c r="C843" s="1605" t="n">
        <f aca="false">'Ввод данных'!C224*E834</f>
        <v>0</v>
      </c>
      <c r="D843" s="1436" t="n">
        <f aca="false">'Ввод данных'!D224</f>
        <v>0</v>
      </c>
      <c r="E843" s="1604" t="n">
        <f aca="false">$E$834*'Ввод данных'!C12</f>
        <v>2.6</v>
      </c>
      <c r="F843" s="1604" t="n">
        <f aca="false">C843*D843*E843</f>
        <v>0</v>
      </c>
      <c r="G843" s="1436" t="n">
        <f aca="false">G382</f>
        <v>0.6</v>
      </c>
      <c r="H843" s="1436"/>
      <c r="I843" s="1436" t="n">
        <f aca="false">IF(C843=0,0,C843/G843+1)</f>
        <v>0</v>
      </c>
      <c r="J843" s="1436" t="n">
        <f aca="false">$D$180</f>
        <v>0.045</v>
      </c>
      <c r="K843" s="1436" t="n">
        <f aca="false">$C$180</f>
        <v>0.1</v>
      </c>
      <c r="L843" s="1436"/>
      <c r="M843" s="1436"/>
      <c r="N843" s="1436"/>
      <c r="O843" s="1635" t="n">
        <f aca="false">E843*I843*J843*K843</f>
        <v>0</v>
      </c>
      <c r="P843" s="1714" t="n">
        <f aca="false">C843</f>
        <v>0</v>
      </c>
      <c r="Q843" s="1714" t="n">
        <f aca="false">C843</f>
        <v>0</v>
      </c>
      <c r="R843" s="1714"/>
      <c r="S843" s="1436" t="n">
        <f aca="false">C843*D843</f>
        <v>0</v>
      </c>
      <c r="T843" s="1635" t="n">
        <f aca="false">(P843+Q843+R843)*J843*K843</f>
        <v>0</v>
      </c>
      <c r="U843" s="1436"/>
      <c r="V843" s="1635"/>
      <c r="W843" s="1436"/>
      <c r="X843" s="1436"/>
      <c r="Y843" s="1635"/>
      <c r="Z843" s="1714"/>
      <c r="AA843" s="1436"/>
      <c r="AB843" s="1436"/>
      <c r="AC843" s="1436"/>
      <c r="AD843" s="1344"/>
    </row>
    <row r="844" customFormat="false" ht="15.75" hidden="true" customHeight="true" outlineLevel="1" collapsed="false">
      <c r="A844" s="1786"/>
      <c r="B844" s="1696" t="s">
        <v>15</v>
      </c>
      <c r="C844" s="1605" t="n">
        <f aca="false">'Ввод данных'!C225*E834</f>
        <v>0</v>
      </c>
      <c r="D844" s="1436" t="n">
        <f aca="false">'Ввод данных'!D225</f>
        <v>0</v>
      </c>
      <c r="E844" s="1604" t="n">
        <f aca="false">$E$834*'Ввод данных'!C12</f>
        <v>2.6</v>
      </c>
      <c r="F844" s="1604" t="n">
        <f aca="false">C844*D844*E844</f>
        <v>0</v>
      </c>
      <c r="G844" s="1436" t="n">
        <f aca="false">G383</f>
        <v>0.6</v>
      </c>
      <c r="H844" s="1436"/>
      <c r="I844" s="1436" t="n">
        <f aca="false">IF(C844=0,0,C844/G844+1)</f>
        <v>0</v>
      </c>
      <c r="J844" s="1436" t="n">
        <f aca="false">$D$180</f>
        <v>0.045</v>
      </c>
      <c r="K844" s="1436" t="n">
        <f aca="false">$C$180</f>
        <v>0.1</v>
      </c>
      <c r="L844" s="1436"/>
      <c r="M844" s="1436"/>
      <c r="N844" s="1436"/>
      <c r="O844" s="1635" t="n">
        <f aca="false">E844*I844*J844*K844</f>
        <v>0</v>
      </c>
      <c r="P844" s="1714" t="n">
        <f aca="false">C844</f>
        <v>0</v>
      </c>
      <c r="Q844" s="1714" t="n">
        <f aca="false">C844</f>
        <v>0</v>
      </c>
      <c r="R844" s="1714"/>
      <c r="S844" s="1436" t="n">
        <f aca="false">C844*D844</f>
        <v>0</v>
      </c>
      <c r="T844" s="1635" t="n">
        <f aca="false">(P844+Q844+R844)*J844*K844</f>
        <v>0</v>
      </c>
      <c r="U844" s="1634"/>
      <c r="V844" s="1635"/>
      <c r="W844" s="1857"/>
      <c r="X844" s="1857"/>
      <c r="Y844" s="1635"/>
      <c r="Z844" s="1436"/>
      <c r="AA844" s="1436"/>
      <c r="AB844" s="1436"/>
      <c r="AC844" s="1436"/>
      <c r="AD844" s="1344"/>
    </row>
    <row r="845" customFormat="false" ht="15.75" hidden="true" customHeight="true" outlineLevel="1" collapsed="false">
      <c r="A845" s="1787"/>
      <c r="B845" s="1696"/>
      <c r="C845" s="1605"/>
      <c r="D845" s="1436"/>
      <c r="E845" s="1604" t="n">
        <f aca="false">$E$834*($E$621+$E$620)</f>
        <v>1.6</v>
      </c>
      <c r="F845" s="1604"/>
      <c r="G845" s="1436"/>
      <c r="H845" s="1436"/>
      <c r="I845" s="1436" t="n">
        <f aca="false">CEILING(SUM(I841:I844),1)</f>
        <v>0</v>
      </c>
      <c r="J845" s="1436"/>
      <c r="K845" s="1436"/>
      <c r="L845" s="1436"/>
      <c r="M845" s="1436"/>
      <c r="N845" s="1436"/>
      <c r="O845" s="1756" t="n">
        <f aca="false">связи1!F190</f>
        <v>0.2</v>
      </c>
      <c r="P845" s="1714" t="n">
        <f aca="false">SUM(P841:P844)</f>
        <v>0</v>
      </c>
      <c r="Q845" s="1714" t="n">
        <f aca="false">SUM(Q841:Q844)</f>
        <v>0</v>
      </c>
      <c r="S845" s="1755" t="n">
        <f aca="false">SUM(S841:S844)</f>
        <v>0</v>
      </c>
      <c r="T845" s="1755" t="n">
        <f aca="false">O845*S845</f>
        <v>0</v>
      </c>
      <c r="U845" s="1634"/>
      <c r="V845" s="1635"/>
      <c r="W845" s="1857"/>
      <c r="X845" s="1857"/>
      <c r="Y845" s="1635"/>
      <c r="Z845" s="1436"/>
      <c r="AA845" s="1436"/>
      <c r="AB845" s="1436"/>
      <c r="AC845" s="1436"/>
      <c r="AD845" s="1344"/>
    </row>
    <row r="846" customFormat="false" ht="15.75" hidden="true" customHeight="true" outlineLevel="1" collapsed="false">
      <c r="A846" s="1786" t="s">
        <v>3311</v>
      </c>
      <c r="B846" s="1696"/>
      <c r="C846" s="1605" t="n">
        <f aca="false">'Ввод данных'!C226*E834</f>
        <v>4</v>
      </c>
      <c r="D846" s="1436" t="n">
        <f aca="false">'Ввод данных'!D226</f>
        <v>1</v>
      </c>
      <c r="E846" s="1604" t="n">
        <f aca="false">$E$834*'Ввод данных'!C12</f>
        <v>2.6</v>
      </c>
      <c r="F846" s="1604" t="n">
        <f aca="false">C846*D846*E846</f>
        <v>10.4</v>
      </c>
      <c r="G846" s="1436" t="n">
        <f aca="false">G385</f>
        <v>0.6</v>
      </c>
      <c r="H846" s="1436"/>
      <c r="I846" s="1436" t="n">
        <f aca="false">IF(C846=0,0,C846/G846+1)</f>
        <v>7.66666666666667</v>
      </c>
      <c r="J846" s="1436" t="n">
        <f aca="false">$J$375</f>
        <v>0.045</v>
      </c>
      <c r="K846" s="1436" t="n">
        <f aca="false">$C$151</f>
        <v>0.145</v>
      </c>
      <c r="L846" s="1436"/>
      <c r="M846" s="1436"/>
      <c r="N846" s="1436"/>
      <c r="O846" s="1635" t="n">
        <f aca="false">E846*I846*J846*K846</f>
        <v>0.130065</v>
      </c>
      <c r="P846" s="1714" t="n">
        <f aca="false">C846</f>
        <v>4</v>
      </c>
      <c r="Q846" s="1714" t="n">
        <f aca="false">C846</f>
        <v>4</v>
      </c>
      <c r="R846" s="1714" t="n">
        <f aca="false">C846</f>
        <v>4</v>
      </c>
      <c r="S846" s="1436" t="n">
        <f aca="false">C846*D846</f>
        <v>4</v>
      </c>
      <c r="T846" s="1635" t="n">
        <f aca="false">(P846+Q846+R846)*J846*K846</f>
        <v>0.0783</v>
      </c>
      <c r="U846" s="1863" t="n">
        <f aca="false">'Ввод данных'!E191</f>
        <v>0</v>
      </c>
      <c r="V846" s="1795" t="n">
        <f aca="false">U846*E846*J846*$K$124</f>
        <v>0</v>
      </c>
      <c r="W846" s="1864" t="n">
        <f aca="false">'Ввод данных'!C191</f>
        <v>2</v>
      </c>
      <c r="X846" s="1864"/>
      <c r="Y846" s="1737" t="n">
        <f aca="false">W846*$K$124*J846</f>
        <v>0.01305</v>
      </c>
      <c r="Z846" s="1714"/>
      <c r="AA846" s="1436"/>
      <c r="AB846" s="1436"/>
      <c r="AC846" s="1436"/>
      <c r="AD846" s="1344"/>
    </row>
    <row r="847" customFormat="false" ht="15.75" hidden="true" customHeight="true" outlineLevel="1" collapsed="false">
      <c r="A847" s="1786"/>
      <c r="B847" s="1696"/>
      <c r="C847" s="1605" t="n">
        <f aca="false">'Ввод данных'!C227*E834</f>
        <v>2</v>
      </c>
      <c r="D847" s="1436" t="n">
        <f aca="false">'Ввод данных'!D227</f>
        <v>1</v>
      </c>
      <c r="E847" s="1604" t="n">
        <f aca="false">$E$834*'Ввод данных'!C12</f>
        <v>2.6</v>
      </c>
      <c r="F847" s="1604" t="n">
        <f aca="false">C847*D847*E847</f>
        <v>5.2</v>
      </c>
      <c r="G847" s="1436" t="n">
        <f aca="false">G386</f>
        <v>0.6</v>
      </c>
      <c r="H847" s="1436"/>
      <c r="I847" s="1436" t="n">
        <f aca="false">IF(C847=0,0,C847/G847+1)</f>
        <v>4.33333333333333</v>
      </c>
      <c r="J847" s="1436" t="n">
        <f aca="false">$J$375</f>
        <v>0.045</v>
      </c>
      <c r="K847" s="1436" t="n">
        <f aca="false">$C$151</f>
        <v>0.145</v>
      </c>
      <c r="L847" s="1436"/>
      <c r="M847" s="1436"/>
      <c r="N847" s="1436"/>
      <c r="O847" s="1635" t="n">
        <f aca="false">E847*I847*J847*K847</f>
        <v>0.073515</v>
      </c>
      <c r="P847" s="1714" t="n">
        <f aca="false">C847</f>
        <v>2</v>
      </c>
      <c r="Q847" s="1714" t="n">
        <f aca="false">C847</f>
        <v>2</v>
      </c>
      <c r="R847" s="1714" t="n">
        <f aca="false">C847</f>
        <v>2</v>
      </c>
      <c r="S847" s="1436" t="n">
        <f aca="false">C847*D847</f>
        <v>2</v>
      </c>
      <c r="T847" s="1635" t="n">
        <f aca="false">(P847+Q847+R847)*J847*K847</f>
        <v>0.03915</v>
      </c>
      <c r="U847" s="1863" t="n">
        <f aca="false">'Ввод данных'!E195</f>
        <v>0</v>
      </c>
      <c r="V847" s="1795" t="n">
        <f aca="false">U847*E847*J847*$K$124</f>
        <v>0</v>
      </c>
      <c r="W847" s="1864" t="n">
        <f aca="false">'Ввод данных'!C195</f>
        <v>2</v>
      </c>
      <c r="X847" s="1864"/>
      <c r="Y847" s="1737" t="n">
        <f aca="false">W847*$K$124*J847</f>
        <v>0.01305</v>
      </c>
      <c r="Z847" s="1714"/>
      <c r="AA847" s="1436"/>
      <c r="AB847" s="1436"/>
      <c r="AC847" s="1436"/>
      <c r="AD847" s="1344"/>
    </row>
    <row r="848" customFormat="false" ht="15.75" hidden="true" customHeight="true" outlineLevel="1" collapsed="false">
      <c r="A848" s="1786"/>
      <c r="B848" s="1696"/>
      <c r="C848" s="1605" t="n">
        <f aca="false">'Ввод данных'!C228*E834</f>
        <v>3</v>
      </c>
      <c r="D848" s="1436" t="n">
        <f aca="false">'Ввод данных'!D228</f>
        <v>1</v>
      </c>
      <c r="E848" s="1604" t="n">
        <f aca="false">$E$834*'Ввод данных'!C12</f>
        <v>2.6</v>
      </c>
      <c r="F848" s="1604" t="n">
        <f aca="false">C848*D848*E848</f>
        <v>7.8</v>
      </c>
      <c r="G848" s="1436" t="n">
        <f aca="false">G387</f>
        <v>0.6</v>
      </c>
      <c r="H848" s="1436"/>
      <c r="I848" s="1436" t="n">
        <f aca="false">IF(C848=0,0,C848/G848+1)</f>
        <v>6</v>
      </c>
      <c r="J848" s="1436" t="n">
        <f aca="false">$J$375</f>
        <v>0.045</v>
      </c>
      <c r="K848" s="1436" t="n">
        <f aca="false">$C$151</f>
        <v>0.145</v>
      </c>
      <c r="L848" s="1436"/>
      <c r="M848" s="1436"/>
      <c r="N848" s="1436"/>
      <c r="O848" s="1635" t="n">
        <f aca="false">E848*I848*J848*K848</f>
        <v>0.10179</v>
      </c>
      <c r="P848" s="1714" t="n">
        <f aca="false">C848</f>
        <v>3</v>
      </c>
      <c r="Q848" s="1714" t="n">
        <f aca="false">C848</f>
        <v>3</v>
      </c>
      <c r="R848" s="1714" t="n">
        <f aca="false">C848</f>
        <v>3</v>
      </c>
      <c r="S848" s="1436" t="n">
        <f aca="false">C848*D848</f>
        <v>3</v>
      </c>
      <c r="T848" s="1635" t="n">
        <f aca="false">(P848+Q848+R848)*J848*K848</f>
        <v>0.058725</v>
      </c>
      <c r="U848" s="1436" t="n">
        <f aca="false">SUM(U846:U847)</f>
        <v>0</v>
      </c>
      <c r="V848" s="1635"/>
      <c r="W848" s="1634"/>
      <c r="X848" s="1634"/>
      <c r="Y848" s="1700"/>
      <c r="Z848" s="1436"/>
      <c r="AA848" s="1436"/>
      <c r="AB848" s="1436"/>
      <c r="AC848" s="1436"/>
      <c r="AD848" s="1344"/>
    </row>
    <row r="849" customFormat="false" ht="15.75" hidden="true" customHeight="true" outlineLevel="1" collapsed="false">
      <c r="A849" s="1786"/>
      <c r="B849" s="1696"/>
      <c r="C849" s="1605" t="n">
        <f aca="false">'Ввод данных'!C229*E834</f>
        <v>0</v>
      </c>
      <c r="D849" s="1436" t="n">
        <f aca="false">'Ввод данных'!D229</f>
        <v>0</v>
      </c>
      <c r="E849" s="1604" t="n">
        <f aca="false">$E$834*'Ввод данных'!C12</f>
        <v>2.6</v>
      </c>
      <c r="F849" s="1604" t="n">
        <f aca="false">C849*D849*E849</f>
        <v>0</v>
      </c>
      <c r="G849" s="1436" t="n">
        <f aca="false">G388</f>
        <v>0.6</v>
      </c>
      <c r="H849" s="1436"/>
      <c r="I849" s="1436" t="n">
        <f aca="false">IF(C849=0,0,C849/G849+1)</f>
        <v>0</v>
      </c>
      <c r="J849" s="1436" t="n">
        <f aca="false">$J$375</f>
        <v>0.045</v>
      </c>
      <c r="K849" s="1436" t="n">
        <f aca="false">$C$151</f>
        <v>0.145</v>
      </c>
      <c r="L849" s="1436"/>
      <c r="M849" s="1436"/>
      <c r="N849" s="1436"/>
      <c r="O849" s="1635" t="n">
        <f aca="false">E849*I849*J849*K849</f>
        <v>0</v>
      </c>
      <c r="P849" s="1714" t="n">
        <f aca="false">C849</f>
        <v>0</v>
      </c>
      <c r="Q849" s="1714" t="n">
        <f aca="false">C849</f>
        <v>0</v>
      </c>
      <c r="R849" s="1714" t="n">
        <f aca="false">C849</f>
        <v>0</v>
      </c>
      <c r="S849" s="1436" t="n">
        <f aca="false">C849*D849</f>
        <v>0</v>
      </c>
      <c r="T849" s="1635" t="n">
        <f aca="false">(P849+Q849+R849)*J849*K849</f>
        <v>0</v>
      </c>
      <c r="U849" s="1436"/>
      <c r="V849" s="1635"/>
      <c r="W849" s="1436"/>
      <c r="X849" s="1436"/>
      <c r="Y849" s="1700"/>
      <c r="Z849" s="1436"/>
      <c r="AA849" s="1436"/>
      <c r="AB849" s="1436"/>
      <c r="AC849" s="1436"/>
      <c r="AD849" s="1344"/>
    </row>
    <row r="850" customFormat="false" ht="15.75" hidden="true" customHeight="true" outlineLevel="1" collapsed="false">
      <c r="A850" s="1787"/>
      <c r="B850" s="1696"/>
      <c r="C850" s="1605"/>
      <c r="D850" s="1436"/>
      <c r="E850" s="1604" t="n">
        <f aca="false">$E$834*($E$621+$E$620)</f>
        <v>1.6</v>
      </c>
      <c r="F850" s="1604"/>
      <c r="G850" s="1436"/>
      <c r="H850" s="1436"/>
      <c r="I850" s="1436" t="n">
        <f aca="false">CEILING(SUM(I846:I849),1)</f>
        <v>18</v>
      </c>
      <c r="J850" s="1436"/>
      <c r="K850" s="1436"/>
      <c r="L850" s="1436"/>
      <c r="M850" s="1436"/>
      <c r="N850" s="1436"/>
      <c r="O850" s="1756" t="n">
        <f aca="false">связи1!F189</f>
        <v>0.3</v>
      </c>
      <c r="P850" s="1714" t="n">
        <f aca="false">SUM(P846:P849)</f>
        <v>9</v>
      </c>
      <c r="Q850" s="1714" t="n">
        <f aca="false">SUM(Q846:Q849)</f>
        <v>9</v>
      </c>
      <c r="R850" s="1582" t="n">
        <f aca="false">SUM(R846:R849)</f>
        <v>9</v>
      </c>
      <c r="S850" s="1755" t="n">
        <f aca="false">SUM(S846:S849)</f>
        <v>9</v>
      </c>
      <c r="T850" s="1755" t="n">
        <f aca="false">O850*S850</f>
        <v>2.7</v>
      </c>
      <c r="U850" s="1436"/>
      <c r="V850" s="1635"/>
      <c r="W850" s="1436"/>
      <c r="X850" s="1436"/>
      <c r="Y850" s="1756" t="n">
        <f aca="false">(U846*W846+U847*W847)*O840</f>
        <v>0</v>
      </c>
      <c r="Z850" s="1436"/>
      <c r="AA850" s="1436"/>
      <c r="AB850" s="1436"/>
      <c r="AC850" s="1436"/>
      <c r="AD850" s="1344"/>
    </row>
    <row r="851" customFormat="false" ht="15.75" hidden="true" customHeight="true" outlineLevel="1" collapsed="false">
      <c r="A851" s="1786" t="s">
        <v>3312</v>
      </c>
      <c r="B851" s="1696"/>
      <c r="C851" s="1605" t="n">
        <f aca="false">'Ввод данных'!C230*E834</f>
        <v>0</v>
      </c>
      <c r="D851" s="1436" t="n">
        <f aca="false">'Ввод данных'!D230</f>
        <v>0</v>
      </c>
      <c r="E851" s="1604" t="n">
        <f aca="false">$E$834*'Ввод данных'!C12</f>
        <v>2.6</v>
      </c>
      <c r="F851" s="1604" t="n">
        <f aca="false">C851*D851*E851</f>
        <v>0</v>
      </c>
      <c r="G851" s="1436" t="n">
        <f aca="false">G390</f>
        <v>0.6</v>
      </c>
      <c r="H851" s="1436"/>
      <c r="I851" s="1436" t="n">
        <f aca="false">IF(C851=0,0,C851/G851+1)</f>
        <v>0</v>
      </c>
      <c r="J851" s="1436" t="n">
        <f aca="false">$D$180</f>
        <v>0.045</v>
      </c>
      <c r="K851" s="1436" t="n">
        <f aca="false">$C$180</f>
        <v>0.1</v>
      </c>
      <c r="L851" s="1436"/>
      <c r="M851" s="1436"/>
      <c r="N851" s="1436"/>
      <c r="O851" s="1635" t="n">
        <f aca="false">E851*I851*J851*K851</f>
        <v>0</v>
      </c>
      <c r="P851" s="1714" t="n">
        <f aca="false">C851</f>
        <v>0</v>
      </c>
      <c r="Q851" s="1714" t="n">
        <f aca="false">C851</f>
        <v>0</v>
      </c>
      <c r="R851" s="1714" t="n">
        <f aca="false">SUM(P851:Q851)</f>
        <v>0</v>
      </c>
      <c r="S851" s="1344" t="n">
        <f aca="false">C851*D851</f>
        <v>0</v>
      </c>
      <c r="T851" s="1635" t="n">
        <f aca="false">(P851+Q851+R851)*J851*K851</f>
        <v>0</v>
      </c>
      <c r="U851" s="1436"/>
      <c r="V851" s="1635"/>
      <c r="W851" s="1436"/>
      <c r="X851" s="1436"/>
      <c r="Y851" s="1635"/>
      <c r="Z851" s="1714"/>
      <c r="AA851" s="1436"/>
      <c r="AB851" s="1436"/>
      <c r="AC851" s="1436"/>
      <c r="AD851" s="1344"/>
    </row>
    <row r="852" customFormat="false" ht="15.75" hidden="true" customHeight="true" outlineLevel="1" collapsed="false">
      <c r="A852" s="1786"/>
      <c r="B852" s="1696"/>
      <c r="C852" s="1605" t="n">
        <f aca="false">'Ввод данных'!C231*E834</f>
        <v>0</v>
      </c>
      <c r="D852" s="1436" t="n">
        <f aca="false">'Ввод данных'!D231</f>
        <v>0</v>
      </c>
      <c r="E852" s="1604" t="n">
        <f aca="false">$E$834*'Ввод данных'!C12</f>
        <v>2.6</v>
      </c>
      <c r="F852" s="1604" t="n">
        <f aca="false">C852*D852*E852</f>
        <v>0</v>
      </c>
      <c r="G852" s="1436" t="n">
        <f aca="false">G391</f>
        <v>0.6</v>
      </c>
      <c r="H852" s="1436"/>
      <c r="I852" s="1436" t="n">
        <f aca="false">IF(C852=0,0,C852/G852+1)</f>
        <v>0</v>
      </c>
      <c r="J852" s="1436" t="n">
        <f aca="false">$D$180</f>
        <v>0.045</v>
      </c>
      <c r="K852" s="1436" t="n">
        <f aca="false">$C$180</f>
        <v>0.1</v>
      </c>
      <c r="L852" s="1436"/>
      <c r="M852" s="1436"/>
      <c r="N852" s="1436"/>
      <c r="O852" s="1635" t="n">
        <f aca="false">E852*I852*J852*K852</f>
        <v>0</v>
      </c>
      <c r="P852" s="1714" t="n">
        <f aca="false">C852</f>
        <v>0</v>
      </c>
      <c r="Q852" s="1714" t="n">
        <f aca="false">C852</f>
        <v>0</v>
      </c>
      <c r="R852" s="1714" t="n">
        <f aca="false">SUM(P852:Q852)</f>
        <v>0</v>
      </c>
      <c r="S852" s="1436" t="n">
        <f aca="false">C852*D852</f>
        <v>0</v>
      </c>
      <c r="T852" s="1635" t="n">
        <f aca="false">(P852+Q852+R852)*J852*K852</f>
        <v>0</v>
      </c>
      <c r="U852" s="1436"/>
      <c r="V852" s="1635"/>
      <c r="W852" s="1436"/>
      <c r="X852" s="1436"/>
      <c r="Y852" s="1635"/>
      <c r="Z852" s="1714"/>
      <c r="AA852" s="1436"/>
      <c r="AB852" s="1436"/>
      <c r="AC852" s="1436"/>
      <c r="AD852" s="1344"/>
    </row>
    <row r="853" customFormat="false" ht="15.75" hidden="true" customHeight="true" outlineLevel="1" collapsed="false">
      <c r="A853" s="1786"/>
      <c r="B853" s="1696"/>
      <c r="C853" s="1605" t="n">
        <f aca="false">'Ввод данных'!C232*E834</f>
        <v>0</v>
      </c>
      <c r="D853" s="1436" t="n">
        <f aca="false">'Ввод данных'!D232</f>
        <v>0</v>
      </c>
      <c r="E853" s="1604" t="n">
        <f aca="false">$E$834*'Ввод данных'!C12</f>
        <v>2.6</v>
      </c>
      <c r="F853" s="1604" t="n">
        <f aca="false">C853*D853*E853</f>
        <v>0</v>
      </c>
      <c r="G853" s="1436" t="n">
        <f aca="false">G392</f>
        <v>0.6</v>
      </c>
      <c r="H853" s="1436"/>
      <c r="I853" s="1436" t="n">
        <f aca="false">IF(C853=0,0,C853/G853+1)</f>
        <v>0</v>
      </c>
      <c r="J853" s="1436" t="n">
        <f aca="false">$D$180</f>
        <v>0.045</v>
      </c>
      <c r="K853" s="1436" t="n">
        <f aca="false">$C$180</f>
        <v>0.1</v>
      </c>
      <c r="L853" s="1436"/>
      <c r="M853" s="1436"/>
      <c r="N853" s="1436"/>
      <c r="O853" s="1635" t="n">
        <f aca="false">E853*I853*J853*K853</f>
        <v>0</v>
      </c>
      <c r="P853" s="1714" t="n">
        <f aca="false">C853</f>
        <v>0</v>
      </c>
      <c r="Q853" s="1714" t="n">
        <f aca="false">C853</f>
        <v>0</v>
      </c>
      <c r="R853" s="1714" t="n">
        <f aca="false">SUM(P853:Q853)</f>
        <v>0</v>
      </c>
      <c r="S853" s="1436" t="n">
        <f aca="false">C853*D853</f>
        <v>0</v>
      </c>
      <c r="T853" s="1635" t="n">
        <f aca="false">(P853+Q853+R853)*J853*K853</f>
        <v>0</v>
      </c>
      <c r="U853" s="1294"/>
      <c r="V853" s="1635"/>
      <c r="W853" s="1436"/>
      <c r="X853" s="1436"/>
      <c r="Y853" s="1700"/>
      <c r="Z853" s="1436"/>
      <c r="AA853" s="1436"/>
      <c r="AB853" s="1436"/>
      <c r="AC853" s="1436"/>
      <c r="AD853" s="1344"/>
    </row>
    <row r="854" customFormat="false" ht="15.75" hidden="true" customHeight="true" outlineLevel="1" collapsed="false">
      <c r="A854" s="1786"/>
      <c r="B854" s="1696"/>
      <c r="C854" s="1605" t="n">
        <f aca="false">'Ввод данных'!C233*E834</f>
        <v>0</v>
      </c>
      <c r="D854" s="1436" t="n">
        <f aca="false">'Ввод данных'!D233</f>
        <v>0</v>
      </c>
      <c r="E854" s="1604" t="n">
        <f aca="false">$E$834*'Ввод данных'!C12</f>
        <v>2.6</v>
      </c>
      <c r="F854" s="1604" t="n">
        <f aca="false">C854*D854*E854</f>
        <v>0</v>
      </c>
      <c r="G854" s="1436" t="n">
        <f aca="false">G393</f>
        <v>0.6</v>
      </c>
      <c r="H854" s="1436"/>
      <c r="I854" s="1436" t="n">
        <f aca="false">IF(C854=0,0,C854/G854+1)</f>
        <v>0</v>
      </c>
      <c r="J854" s="1436" t="n">
        <f aca="false">$D$180</f>
        <v>0.045</v>
      </c>
      <c r="K854" s="1436" t="n">
        <f aca="false">$C$180</f>
        <v>0.1</v>
      </c>
      <c r="L854" s="1436"/>
      <c r="M854" s="1436"/>
      <c r="N854" s="1436"/>
      <c r="O854" s="1635" t="n">
        <f aca="false">E854*I854*J854*K854</f>
        <v>0</v>
      </c>
      <c r="P854" s="1714" t="n">
        <f aca="false">C854</f>
        <v>0</v>
      </c>
      <c r="Q854" s="1714" t="n">
        <f aca="false">C854</f>
        <v>0</v>
      </c>
      <c r="R854" s="1714" t="n">
        <f aca="false">SUM(P854:Q854)</f>
        <v>0</v>
      </c>
      <c r="S854" s="1436" t="n">
        <f aca="false">C854*D854</f>
        <v>0</v>
      </c>
      <c r="T854" s="1635" t="n">
        <f aca="false">(P854+Q854+R854)*J854*K854</f>
        <v>0</v>
      </c>
      <c r="U854" s="1753"/>
      <c r="V854" s="1635"/>
      <c r="W854" s="1436"/>
      <c r="X854" s="1436"/>
      <c r="Y854" s="1700"/>
      <c r="Z854" s="1436"/>
      <c r="AA854" s="1436"/>
      <c r="AB854" s="1436"/>
      <c r="AC854" s="1436"/>
      <c r="AD854" s="1344"/>
    </row>
    <row r="855" customFormat="false" ht="15.75" hidden="true" customHeight="true" outlineLevel="1" collapsed="false">
      <c r="A855" s="1865" t="s">
        <v>3490</v>
      </c>
      <c r="B855" s="1866"/>
      <c r="C855" s="1860"/>
      <c r="D855" s="1443"/>
      <c r="E855" s="1861"/>
      <c r="F855" s="1604"/>
      <c r="G855" s="1436"/>
      <c r="H855" s="1436"/>
      <c r="I855" s="1436" t="n">
        <f aca="false">CEILING(SUM(I851:I854),1)</f>
        <v>0</v>
      </c>
      <c r="J855" s="1436"/>
      <c r="K855" s="1436"/>
      <c r="L855" s="1436"/>
      <c r="M855" s="1436"/>
      <c r="N855" s="1436"/>
      <c r="O855" s="1756" t="n">
        <f aca="false">связи1!F190</f>
        <v>0.2</v>
      </c>
      <c r="P855" s="1714" t="n">
        <f aca="false">SUM(P851:P854)</f>
        <v>0</v>
      </c>
      <c r="Q855" s="1714" t="n">
        <f aca="false">SUM(Q851:Q854)</f>
        <v>0</v>
      </c>
      <c r="R855" s="1582" t="n">
        <f aca="false">SUM(P855:Q855)</f>
        <v>0</v>
      </c>
      <c r="S855" s="1755" t="n">
        <f aca="false">SUM(S851:S854)</f>
        <v>0</v>
      </c>
      <c r="T855" s="1755" t="n">
        <f aca="false">O855*S855</f>
        <v>0</v>
      </c>
      <c r="U855" s="1753"/>
      <c r="V855" s="1635"/>
      <c r="W855" s="1436"/>
      <c r="X855" s="1436"/>
      <c r="Y855" s="1700"/>
      <c r="Z855" s="1436"/>
      <c r="AA855" s="1436"/>
      <c r="AB855" s="1436"/>
      <c r="AC855" s="1436"/>
      <c r="AD855" s="1344"/>
    </row>
    <row r="856" customFormat="false" ht="15.75" hidden="true" customHeight="true" outlineLevel="1" collapsed="false">
      <c r="A856" s="1867" t="s">
        <v>3313</v>
      </c>
      <c r="B856" s="1696"/>
      <c r="C856" s="1605" t="n">
        <f aca="false">C395*C1233</f>
        <v>0</v>
      </c>
      <c r="D856" s="1436"/>
      <c r="E856" s="1604" t="n">
        <f aca="false">E395</f>
        <v>3.2</v>
      </c>
      <c r="F856" s="1604" t="n">
        <f aca="false">C856*E856</f>
        <v>0</v>
      </c>
      <c r="G856" s="1436" t="n">
        <f aca="false">G395</f>
        <v>0.6</v>
      </c>
      <c r="H856" s="1436"/>
      <c r="I856" s="1436" t="n">
        <f aca="false">IF(C856=0,0,C856/G856+1)</f>
        <v>0</v>
      </c>
      <c r="J856" s="1436" t="n">
        <f aca="false">$D$143</f>
        <v>0.045</v>
      </c>
      <c r="K856" s="1436" t="n">
        <f aca="false">$C$143</f>
        <v>0.145</v>
      </c>
      <c r="L856" s="1436"/>
      <c r="M856" s="1436"/>
      <c r="N856" s="1436"/>
      <c r="O856" s="1635" t="n">
        <f aca="false">E856*I856*J856*K856</f>
        <v>0</v>
      </c>
      <c r="P856" s="1714" t="n">
        <f aca="false">C856</f>
        <v>0</v>
      </c>
      <c r="Q856" s="1714" t="n">
        <f aca="false">C856</f>
        <v>0</v>
      </c>
      <c r="R856" s="1714" t="n">
        <f aca="false">C856</f>
        <v>0</v>
      </c>
      <c r="S856" s="1436"/>
      <c r="T856" s="1635" t="n">
        <f aca="false">(P856+Q856+R856)*J856*K856</f>
        <v>0</v>
      </c>
      <c r="U856" s="1753"/>
      <c r="V856" s="1635"/>
      <c r="W856" s="1436"/>
      <c r="X856" s="1436"/>
      <c r="Y856" s="1700"/>
      <c r="Z856" s="1436"/>
      <c r="AA856" s="1436"/>
      <c r="AB856" s="1436"/>
      <c r="AC856" s="1436"/>
      <c r="AD856" s="1344"/>
    </row>
    <row r="857" customFormat="false" ht="15.75" hidden="true" customHeight="true" outlineLevel="1" collapsed="false">
      <c r="A857" s="1867" t="s">
        <v>3314</v>
      </c>
      <c r="B857" s="1696"/>
      <c r="C857" s="1605" t="n">
        <f aca="false">C396*C1233</f>
        <v>0</v>
      </c>
      <c r="D857" s="1436"/>
      <c r="E857" s="1604" t="n">
        <f aca="false">E396</f>
        <v>3.2</v>
      </c>
      <c r="F857" s="1604" t="n">
        <f aca="false">C857*E857</f>
        <v>0</v>
      </c>
      <c r="G857" s="1436" t="n">
        <f aca="false">G396</f>
        <v>0.6</v>
      </c>
      <c r="H857" s="1436"/>
      <c r="I857" s="1436" t="n">
        <f aca="false">IF(C857=0,0,C857/G857+1)</f>
        <v>0</v>
      </c>
      <c r="J857" s="1436" t="n">
        <f aca="false">$D$143</f>
        <v>0.045</v>
      </c>
      <c r="K857" s="1436" t="n">
        <f aca="false">$C$143</f>
        <v>0.145</v>
      </c>
      <c r="L857" s="1436"/>
      <c r="M857" s="1436"/>
      <c r="N857" s="1436"/>
      <c r="O857" s="1635" t="n">
        <f aca="false">E857*I857*J857*K857</f>
        <v>0</v>
      </c>
      <c r="P857" s="1714" t="n">
        <f aca="false">C857</f>
        <v>0</v>
      </c>
      <c r="Q857" s="1714" t="n">
        <f aca="false">C857</f>
        <v>0</v>
      </c>
      <c r="R857" s="1714" t="n">
        <f aca="false">C857</f>
        <v>0</v>
      </c>
      <c r="S857" s="1436"/>
      <c r="T857" s="1635" t="n">
        <f aca="false">(P857+Q857+R857)*J857*K857</f>
        <v>0</v>
      </c>
      <c r="U857" s="1753"/>
      <c r="V857" s="1635"/>
      <c r="W857" s="1436"/>
      <c r="X857" s="1436"/>
      <c r="Y857" s="1700"/>
      <c r="Z857" s="1436"/>
      <c r="AA857" s="1436"/>
      <c r="AB857" s="1436"/>
      <c r="AC857" s="1436"/>
      <c r="AD857" s="1344"/>
    </row>
    <row r="858" customFormat="false" ht="15.75" hidden="true" customHeight="true" outlineLevel="1" collapsed="false">
      <c r="A858" s="1867" t="s">
        <v>3315</v>
      </c>
      <c r="B858" s="1696"/>
      <c r="C858" s="1605" t="n">
        <f aca="false">C397*C1233</f>
        <v>0</v>
      </c>
      <c r="D858" s="1436"/>
      <c r="E858" s="1604" t="n">
        <f aca="false">E397</f>
        <v>3.2</v>
      </c>
      <c r="F858" s="1604" t="n">
        <f aca="false">C858*E858</f>
        <v>0</v>
      </c>
      <c r="G858" s="1436" t="n">
        <f aca="false">G397</f>
        <v>0.6</v>
      </c>
      <c r="H858" s="1436"/>
      <c r="I858" s="1436" t="n">
        <f aca="false">IF(C858=0,0,C858/G858+1)</f>
        <v>0</v>
      </c>
      <c r="J858" s="1436" t="n">
        <f aca="false">$D$143</f>
        <v>0.045</v>
      </c>
      <c r="K858" s="1436" t="n">
        <f aca="false">$C$143</f>
        <v>0.145</v>
      </c>
      <c r="L858" s="1436"/>
      <c r="M858" s="1436"/>
      <c r="N858" s="1436"/>
      <c r="O858" s="1635" t="n">
        <f aca="false">E858*I858*J858*K858</f>
        <v>0</v>
      </c>
      <c r="P858" s="1714" t="n">
        <f aca="false">C858</f>
        <v>0</v>
      </c>
      <c r="Q858" s="1714" t="n">
        <f aca="false">C858</f>
        <v>0</v>
      </c>
      <c r="R858" s="1714" t="n">
        <f aca="false">C858</f>
        <v>0</v>
      </c>
      <c r="S858" s="1436"/>
      <c r="T858" s="1635" t="n">
        <f aca="false">(P858+Q858+R858)*J858*K858</f>
        <v>0</v>
      </c>
      <c r="U858" s="1753"/>
      <c r="V858" s="1635"/>
      <c r="W858" s="1436"/>
      <c r="X858" s="1436"/>
      <c r="Y858" s="1700"/>
      <c r="Z858" s="1436"/>
      <c r="AA858" s="1436"/>
      <c r="AB858" s="1436"/>
      <c r="AC858" s="1436"/>
      <c r="AD858" s="1344"/>
    </row>
    <row r="859" customFormat="false" ht="15.75" hidden="true" customHeight="true" outlineLevel="1" collapsed="false">
      <c r="A859" s="1865" t="s">
        <v>3491</v>
      </c>
      <c r="B859" s="1790" t="n">
        <f aca="false">связи1!F188</f>
        <v>0.4</v>
      </c>
      <c r="C859" s="1791" t="n">
        <f aca="false">SUM(C856:C858)</f>
        <v>0</v>
      </c>
      <c r="D859" s="1755" t="n">
        <f aca="false">B859*C859</f>
        <v>0</v>
      </c>
      <c r="E859" s="1861"/>
      <c r="F859" s="1604"/>
      <c r="G859" s="1436"/>
      <c r="H859" s="1436"/>
      <c r="I859" s="1436"/>
      <c r="J859" s="1436" t="n">
        <f aca="false">$D$143</f>
        <v>0.045</v>
      </c>
      <c r="K859" s="1436" t="n">
        <f aca="false">$C$143</f>
        <v>0.145</v>
      </c>
      <c r="L859" s="1436"/>
      <c r="M859" s="1436"/>
      <c r="N859" s="1436"/>
      <c r="O859" s="1635"/>
      <c r="P859" s="1714" t="n">
        <f aca="false">SUM(P856:P858)</f>
        <v>0</v>
      </c>
      <c r="Q859" s="1714" t="n">
        <f aca="false">SUM(Q856:Q858)</f>
        <v>0</v>
      </c>
      <c r="R859" s="1714" t="n">
        <f aca="false">SUM(R856:R858)</f>
        <v>0</v>
      </c>
      <c r="S859" s="1436"/>
      <c r="T859" s="1635"/>
      <c r="U859" s="1753"/>
      <c r="V859" s="1635"/>
      <c r="W859" s="1436"/>
      <c r="X859" s="1436"/>
      <c r="Y859" s="1700"/>
      <c r="Z859" s="1436"/>
      <c r="AA859" s="1436"/>
      <c r="AB859" s="1436"/>
      <c r="AC859" s="1436"/>
      <c r="AD859" s="1344"/>
    </row>
    <row r="860" customFormat="false" ht="15.75" hidden="true" customHeight="true" outlineLevel="1" collapsed="false">
      <c r="A860" s="1799" t="s">
        <v>3316</v>
      </c>
      <c r="B860" s="1802"/>
      <c r="C860" s="1605" t="n">
        <f aca="false">C399*пристройка!C5</f>
        <v>0</v>
      </c>
      <c r="D860" s="1436"/>
      <c r="E860" s="1604" t="n">
        <f aca="false">IF('Ввод данных'!A75=связи1!A107,IF('Ввод данных'!A73=связи1!A94,0,0)+IF('Ввод данных'!A73=связи1!A95,связи1!C574,0)+IF('Ввод данных'!A73=связи1!A96,связи1!C575,0)+IF('Ввод данных'!A73=связи1!A97,0,0)+IF('Ввод данных'!A73=связи1!A98,связи1!C575,0),0)+IF('Ввод данных'!A75=связи1!A106,IF('Ввод данных'!A73=связи1!A94,0,0)+IF('Ввод данных'!A73=связи1!A95,связи1!C574,0)+IF('Ввод данных'!A73=связи1!A96,связи1!C576,0)+IF('Ввод данных'!A73=связи1!A97,0,0)+IF('Ввод данных'!A73=связи1!A98,связи1!C576,0),0)+IF('Ввод данных'!A75=связи1!A108,IF('Ввод данных'!A73=связи1!A94,0,0)+IF('Ввод данных'!A73=связи1!A95,связи1!C574,0)+IF('Ввод данных'!A73=связи1!A96,связи1!C576,0)+IF('Ввод данных'!A73=связи1!A97,0,0)+IF('Ввод данных'!A73=связи1!A98,связи1!C576,0),0)</f>
        <v>0</v>
      </c>
      <c r="F860" s="1604" t="n">
        <f aca="false">C860*E860</f>
        <v>0</v>
      </c>
      <c r="G860" s="1436" t="n">
        <f aca="false">G399</f>
        <v>0.6</v>
      </c>
      <c r="H860" s="1436"/>
      <c r="I860" s="1436" t="n">
        <f aca="false">IF(C860=0,0,C860/G860+1)</f>
        <v>0</v>
      </c>
      <c r="J860" s="1436" t="n">
        <f aca="false">$D$143</f>
        <v>0.045</v>
      </c>
      <c r="K860" s="1436" t="n">
        <f aca="false">$C$143</f>
        <v>0.145</v>
      </c>
      <c r="L860" s="1344" t="n">
        <f aca="false">CEILING(C860/G860+1,1)</f>
        <v>1</v>
      </c>
      <c r="M860" s="1344"/>
      <c r="N860" s="1344"/>
      <c r="O860" s="1635" t="n">
        <f aca="false">E860*I860*J860*K860</f>
        <v>0</v>
      </c>
      <c r="P860" s="1714" t="n">
        <f aca="false">C860</f>
        <v>0</v>
      </c>
      <c r="Q860" s="1714" t="n">
        <f aca="false">C860</f>
        <v>0</v>
      </c>
      <c r="R860" s="1714" t="n">
        <f aca="false">C860</f>
        <v>0</v>
      </c>
      <c r="S860" s="1436"/>
      <c r="T860" s="1635" t="n">
        <f aca="false">(P860+Q860+R860)*J860*K860</f>
        <v>0</v>
      </c>
      <c r="U860" s="1753"/>
      <c r="V860" s="1635"/>
      <c r="W860" s="1436"/>
      <c r="X860" s="1436"/>
      <c r="Y860" s="1700"/>
      <c r="Z860" s="1436"/>
      <c r="AA860" s="1436"/>
      <c r="AB860" s="1436"/>
      <c r="AC860" s="1436"/>
      <c r="AD860" s="1344"/>
    </row>
    <row r="861" customFormat="false" ht="15.75" hidden="true" customHeight="true" outlineLevel="1" collapsed="false">
      <c r="A861" s="1799" t="s">
        <v>3317</v>
      </c>
      <c r="B861" s="1802" t="s">
        <v>848</v>
      </c>
      <c r="C861" s="1605" t="n">
        <f aca="false">C400*пристройка!C5</f>
        <v>0</v>
      </c>
      <c r="D861" s="1436" t="n">
        <f aca="false">пристройка!C18+пристройка!H18+пристройка!M18</f>
        <v>0</v>
      </c>
      <c r="E861" s="1604" t="n">
        <f aca="false">IF('Ввод данных'!A75=связи1!A107,IF('Ввод данных'!A73=связи1!A94,0,0)+IF('Ввод данных'!A73=связи1!A95,связи1!C574,0)+IF('Ввод данных'!A73=связи1!A96,связи1!C576,0)+IF('Ввод данных'!A73=связи1!A97,0,0)+IF('Ввод данных'!A73=связи1!A98,связи1!C576,0),0)+IF('Ввод данных'!A75=связи1!A106,IF('Ввод данных'!A73=связи1!A94,0,0)+IF('Ввод данных'!A73=связи1!A95,связи1!C574,0)+IF('Ввод данных'!A73=связи1!A96,связи1!C575,0)+IF('Ввод данных'!A73=связи1!A97,0,0)+IF('Ввод данных'!A73=связи1!A98,связи1!C575,0),0)+IF('Ввод данных'!A75=связи1!A108,IF('Ввод данных'!A73=связи1!A94,0,0)+IF('Ввод данных'!A73=связи1!A95,связи1!C574,0)+IF('Ввод данных'!A73=связи1!A96,связи1!C576,0)+IF('Ввод данных'!A73=связи1!A97,0,0)+IF('Ввод данных'!A73=связи1!A98,связи1!C576,0),0)</f>
        <v>0</v>
      </c>
      <c r="F861" s="1604" t="n">
        <f aca="false">C861*E861</f>
        <v>0</v>
      </c>
      <c r="G861" s="1436" t="n">
        <f aca="false">G400</f>
        <v>0.6</v>
      </c>
      <c r="H861" s="1436"/>
      <c r="I861" s="1436" t="n">
        <f aca="false">IF(C861=0,0,C861/G861+1)</f>
        <v>0</v>
      </c>
      <c r="J861" s="1436" t="n">
        <f aca="false">$D$143</f>
        <v>0.045</v>
      </c>
      <c r="K861" s="1436" t="n">
        <f aca="false">$C$143</f>
        <v>0.145</v>
      </c>
      <c r="L861" s="1344" t="n">
        <f aca="false">CEILING(C861/G861+1,1)</f>
        <v>1</v>
      </c>
      <c r="M861" s="1344"/>
      <c r="N861" s="1344"/>
      <c r="O861" s="1635" t="n">
        <f aca="false">E861*I861*J861*K861</f>
        <v>0</v>
      </c>
      <c r="P861" s="1714" t="n">
        <f aca="false">C861</f>
        <v>0</v>
      </c>
      <c r="Q861" s="1714" t="n">
        <f aca="false">C861</f>
        <v>0</v>
      </c>
      <c r="R861" s="1714" t="n">
        <f aca="false">C861</f>
        <v>0</v>
      </c>
      <c r="S861" s="1436"/>
      <c r="T861" s="1635" t="n">
        <f aca="false">(P861+Q861+R861)*J861*K861</f>
        <v>0</v>
      </c>
      <c r="U861" s="1753"/>
      <c r="V861" s="1635"/>
      <c r="W861" s="1436"/>
      <c r="X861" s="1436"/>
      <c r="Y861" s="1700"/>
      <c r="Z861" s="1436"/>
      <c r="AA861" s="1436"/>
      <c r="AB861" s="1436"/>
      <c r="AC861" s="1436"/>
      <c r="AD861" s="1344"/>
    </row>
    <row r="862" customFormat="false" ht="15.75" hidden="true" customHeight="true" outlineLevel="1" collapsed="false">
      <c r="A862" s="1799" t="s">
        <v>3318</v>
      </c>
      <c r="B862" s="1802" t="s">
        <v>844</v>
      </c>
      <c r="C862" s="1605" t="n">
        <f aca="false">C401*пристройка!C5</f>
        <v>0</v>
      </c>
      <c r="D862" s="1436" t="n">
        <f aca="false">пристройка!C19+пристройка!H19+пристройка!M19</f>
        <v>0</v>
      </c>
      <c r="E862" s="1604" t="n">
        <f aca="false">IF('Ввод данных'!A75=связи1!A107,IF('Ввод данных'!A73=связи1!A94,0,0)+IF('Ввод данных'!A73=связи1!A95,связи1!C574,0)+IF('Ввод данных'!A73=связи1!A96,связи1!C576,0)+IF('Ввод данных'!A73=связи1!A97,0,0)+IF('Ввод данных'!A73=связи1!A98,связи1!C576,0),0)+IF('Ввод данных'!A75=связи1!A106,IF('Ввод данных'!A73=связи1!A94,0,0)+IF('Ввод данных'!A73=связи1!A95,связи1!C574,0)+IF('Ввод данных'!A73=связи1!A96,связи1!C575,0)+IF('Ввод данных'!A73=связи1!A97,0,0)+IF('Ввод данных'!A73=связи1!A98,связи1!C575,0),0)+IF('Ввод данных'!A75=связи1!A108,IF('Ввод данных'!A73=связи1!A94,0,0)+IF('Ввод данных'!A73=связи1!A95,связи1!C574,0)+IF('Ввод данных'!A73=связи1!A96,связи1!C576,0)+IF('Ввод данных'!A73=связи1!A97,0,0)+IF('Ввод данных'!A73=связи1!A98,связи1!C576,0),0)</f>
        <v>0</v>
      </c>
      <c r="F862" s="1604" t="n">
        <f aca="false">C862*E862</f>
        <v>0</v>
      </c>
      <c r="G862" s="1436" t="n">
        <f aca="false">G401</f>
        <v>0.6</v>
      </c>
      <c r="H862" s="1436"/>
      <c r="I862" s="1436" t="n">
        <f aca="false">IF(C862=0,0,C862/G862+1)</f>
        <v>0</v>
      </c>
      <c r="J862" s="1436" t="n">
        <f aca="false">$D$143</f>
        <v>0.045</v>
      </c>
      <c r="K862" s="1436" t="n">
        <f aca="false">$C$143</f>
        <v>0.145</v>
      </c>
      <c r="L862" s="1344" t="n">
        <f aca="false">CEILING(C862/G862+1,1)</f>
        <v>1</v>
      </c>
      <c r="M862" s="1344"/>
      <c r="N862" s="1344"/>
      <c r="O862" s="1635" t="n">
        <f aca="false">E862*I862*J862*K862</f>
        <v>0</v>
      </c>
      <c r="P862" s="1714" t="n">
        <f aca="false">C862</f>
        <v>0</v>
      </c>
      <c r="Q862" s="1714" t="n">
        <f aca="false">C862</f>
        <v>0</v>
      </c>
      <c r="R862" s="1714" t="n">
        <f aca="false">C862</f>
        <v>0</v>
      </c>
      <c r="S862" s="1436"/>
      <c r="T862" s="1635" t="n">
        <f aca="false">(P862+Q862+R862)*J862*K862</f>
        <v>0</v>
      </c>
      <c r="U862" s="1753"/>
      <c r="V862" s="1635"/>
      <c r="W862" s="1436"/>
      <c r="X862" s="1436"/>
      <c r="Y862" s="1700"/>
      <c r="Z862" s="1714"/>
      <c r="AA862" s="1436"/>
      <c r="AB862" s="1436"/>
      <c r="AC862" s="1436"/>
      <c r="AD862" s="1344"/>
    </row>
    <row r="863" customFormat="false" ht="15.75" hidden="true" customHeight="true" outlineLevel="1" collapsed="false">
      <c r="A863" s="1799"/>
      <c r="B863" s="1800" t="n">
        <f aca="false">связи1!F188</f>
        <v>0.4</v>
      </c>
      <c r="C863" s="1791" t="n">
        <f aca="false">SUM(C860:C862)</f>
        <v>0</v>
      </c>
      <c r="D863" s="1755" t="n">
        <f aca="false">B863*C863</f>
        <v>0</v>
      </c>
      <c r="E863" s="1604"/>
      <c r="F863" s="1604"/>
      <c r="G863" s="1436"/>
      <c r="H863" s="1436"/>
      <c r="I863" s="1436"/>
      <c r="J863" s="1436"/>
      <c r="K863" s="1436"/>
      <c r="L863" s="1436"/>
      <c r="M863" s="1436"/>
      <c r="N863" s="1436"/>
      <c r="O863" s="1635"/>
      <c r="P863" s="1714" t="n">
        <f aca="false">C863</f>
        <v>0</v>
      </c>
      <c r="Q863" s="1714" t="n">
        <f aca="false">C863</f>
        <v>0</v>
      </c>
      <c r="R863" s="1714" t="n">
        <f aca="false">C863</f>
        <v>0</v>
      </c>
      <c r="S863" s="1436"/>
      <c r="T863" s="1635"/>
      <c r="U863" s="1753"/>
      <c r="V863" s="1635"/>
      <c r="W863" s="1436"/>
      <c r="X863" s="1436"/>
      <c r="Y863" s="1700"/>
      <c r="Z863" s="1714"/>
      <c r="AA863" s="1436"/>
      <c r="AB863" s="1436"/>
      <c r="AC863" s="1436"/>
      <c r="AD863" s="1344"/>
    </row>
    <row r="864" s="1709" customFormat="true" ht="15.75" hidden="true" customHeight="true" outlineLevel="1" collapsed="false">
      <c r="A864" s="1799" t="s">
        <v>3316</v>
      </c>
      <c r="B864" s="1802"/>
      <c r="C864" s="1868" t="n">
        <f aca="false">C403*пристройка!D5</f>
        <v>0</v>
      </c>
      <c r="D864" s="1344"/>
      <c r="E864" s="1604" t="n">
        <f aca="false">IF('Ввод данных'!A454=связи1!A107,IF('Ввод данных'!A455=связи1!A94,0,0)+IF('Ввод данных'!A455=связи1!A95,связи1!D574,0)+IF('Ввод данных'!A455=связи1!A96,связи1!D575,0)+IF('Ввод данных'!A455=связи1!A97,0,0)+IF('Ввод данных'!A455=связи1!A98,связи1!D575,0),0)+IF('Ввод данных'!A454=связи1!A106,IF('Ввод данных'!A455=связи1!A94,0,0)+IF('Ввод данных'!A455=связи1!A95,связи1!D574,0)+IF('Ввод данных'!A455=связи1!A96,связи1!D576,0)+IF('Ввод данных'!A455=связи1!A97,0,0)+IF('Ввод данных'!A455=связи1!A98,связи1!D576,0),0)+IF('Ввод данных'!A454=связи1!A108,IF('Ввод данных'!A455=связи1!A94,0,0)+IF('Ввод данных'!A455=связи1!A95,связи1!D574,0)+IF('Ввод данных'!A455=связи1!A96,связи1!D576,0)+IF('Ввод данных'!A455=связи1!A97,0,0)+IF('Ввод данных'!A455=связи1!A98,связи1!D576,0),0)</f>
        <v>2.2</v>
      </c>
      <c r="F864" s="1604" t="n">
        <f aca="false">C864*E864</f>
        <v>0</v>
      </c>
      <c r="G864" s="1436" t="n">
        <f aca="false">G403</f>
        <v>0.6</v>
      </c>
      <c r="H864" s="1436"/>
      <c r="I864" s="1436" t="n">
        <f aca="false">IF(C864=0,0,C864/G864+1)</f>
        <v>0</v>
      </c>
      <c r="J864" s="1436" t="n">
        <f aca="false">$D$143</f>
        <v>0.045</v>
      </c>
      <c r="K864" s="1436" t="n">
        <f aca="false">$C$143</f>
        <v>0.145</v>
      </c>
      <c r="L864" s="1344" t="n">
        <f aca="false">CEILING(C864/G864+1,1)</f>
        <v>1</v>
      </c>
      <c r="M864" s="1344"/>
      <c r="N864" s="1344"/>
      <c r="O864" s="1635" t="n">
        <f aca="false">E864*I864*J864*K864</f>
        <v>0</v>
      </c>
      <c r="P864" s="1714" t="n">
        <f aca="false">C864</f>
        <v>0</v>
      </c>
      <c r="Q864" s="1714" t="n">
        <f aca="false">C864</f>
        <v>0</v>
      </c>
      <c r="R864" s="1714" t="n">
        <f aca="false">C864</f>
        <v>0</v>
      </c>
      <c r="S864" s="1344"/>
      <c r="T864" s="1344"/>
      <c r="U864" s="1753"/>
      <c r="V864" s="1344"/>
      <c r="W864" s="1344"/>
      <c r="X864" s="1344"/>
      <c r="Y864" s="1707"/>
      <c r="Z864" s="1707"/>
      <c r="AA864" s="1344"/>
      <c r="AB864" s="1344"/>
      <c r="AC864" s="1344"/>
      <c r="AD864" s="1344"/>
    </row>
    <row r="865" s="1709" customFormat="true" ht="15.75" hidden="true" customHeight="true" outlineLevel="1" collapsed="false">
      <c r="A865" s="1799" t="s">
        <v>3317</v>
      </c>
      <c r="B865" s="1802" t="s">
        <v>848</v>
      </c>
      <c r="C865" s="1868" t="n">
        <f aca="false">C404*пристройка!D5</f>
        <v>0</v>
      </c>
      <c r="D865" s="1344" t="n">
        <f aca="false">пристройка!D18+пристройка!I18+пристройка!N18</f>
        <v>0</v>
      </c>
      <c r="E865" s="1604" t="n">
        <f aca="false">IF('Ввод данных'!A454=связи1!A107,IF('Ввод данных'!A455=связи1!A94,0,0)+IF('Ввод данных'!A455=связи1!A95,связи1!D574,0)+IF('Ввод данных'!A455=связи1!A96,связи1!D576,0)+IF('Ввод данных'!A455=связи1!A97,0,0)+IF('Ввод данных'!A455=связи1!A98,связи1!D576,0),0)+IF('Ввод данных'!A454=связи1!A106,IF('Ввод данных'!A455=связи1!A94,0,0)+IF('Ввод данных'!A455=связи1!A95,связи1!D574,0)+IF('Ввод данных'!A455=связи1!A96,связи1!D575,0)+IF('Ввод данных'!A455=связи1!A97,0,0)+IF('Ввод данных'!A455=связи1!A98,связи1!D575,0),0)+IF('Ввод данных'!A454=связи1!A108,IF('Ввод данных'!A455=связи1!A94,0,0)+IF('Ввод данных'!A455=связи1!A95,связи1!D574,0)+IF('Ввод данных'!A455=связи1!A96,связи1!D576,0)+IF('Ввод данных'!A455=связи1!A97,0,0)+IF('Ввод данных'!A455=связи1!A98,связи1!D576,0),0)</f>
        <v>2.2</v>
      </c>
      <c r="F865" s="1604" t="n">
        <f aca="false">C865*E865</f>
        <v>0</v>
      </c>
      <c r="G865" s="1436" t="n">
        <f aca="false">G404</f>
        <v>0.6</v>
      </c>
      <c r="H865" s="1436"/>
      <c r="I865" s="1436" t="n">
        <f aca="false">IF(C865=0,0,C865/G865+1)</f>
        <v>0</v>
      </c>
      <c r="J865" s="1436" t="n">
        <f aca="false">$D$143</f>
        <v>0.045</v>
      </c>
      <c r="K865" s="1436" t="n">
        <f aca="false">$C$143</f>
        <v>0.145</v>
      </c>
      <c r="L865" s="1344" t="n">
        <f aca="false">CEILING(C865/G865+1,1)</f>
        <v>1</v>
      </c>
      <c r="M865" s="1344"/>
      <c r="N865" s="1344"/>
      <c r="O865" s="1635" t="n">
        <f aca="false">E865*I865*J865*K865</f>
        <v>0</v>
      </c>
      <c r="P865" s="1714" t="n">
        <f aca="false">C865</f>
        <v>0</v>
      </c>
      <c r="Q865" s="1714" t="n">
        <f aca="false">C865</f>
        <v>0</v>
      </c>
      <c r="R865" s="1714" t="n">
        <f aca="false">C865</f>
        <v>0</v>
      </c>
      <c r="S865" s="1344"/>
      <c r="T865" s="1344"/>
      <c r="U865" s="1753"/>
      <c r="V865" s="1344"/>
      <c r="W865" s="1344"/>
      <c r="X865" s="1344"/>
      <c r="Y865" s="1707"/>
      <c r="Z865" s="1707"/>
      <c r="AA865" s="1344"/>
      <c r="AB865" s="1344"/>
      <c r="AC865" s="1344"/>
      <c r="AD865" s="1344"/>
    </row>
    <row r="866" s="1709" customFormat="true" ht="15.75" hidden="true" customHeight="true" outlineLevel="1" collapsed="false">
      <c r="A866" s="1799" t="s">
        <v>3318</v>
      </c>
      <c r="B866" s="1802" t="s">
        <v>844</v>
      </c>
      <c r="C866" s="1868" t="n">
        <f aca="false">C405*пристройка!D5</f>
        <v>0</v>
      </c>
      <c r="D866" s="1344" t="n">
        <f aca="false">пристройка!D19+пристройка!I19+пристройка!N19</f>
        <v>0</v>
      </c>
      <c r="E866" s="1604" t="n">
        <f aca="false">IF('Ввод данных'!A454=связи1!A107,IF('Ввод данных'!A455=связи1!A94,0,0)+IF('Ввод данных'!A455=связи1!A95,связи1!D574,0)+IF('Ввод данных'!A455=связи1!A96,связи1!D576,0)+IF('Ввод данных'!A455=связи1!A97,0,0)+IF('Ввод данных'!A455=связи1!A98,связи1!D576,0),0)+IF('Ввод данных'!A454=связи1!A106,IF('Ввод данных'!A455=связи1!A94,0,0)+IF('Ввод данных'!A455=связи1!A95,связи1!D574,0)+IF('Ввод данных'!A455=связи1!A96,связи1!D575,0)+IF('Ввод данных'!A455=связи1!A97,0,0)+IF('Ввод данных'!A455=связи1!A98,связи1!D575,0),0)+IF('Ввод данных'!A454=связи1!A108,IF('Ввод данных'!A455=связи1!A94,0,0)+IF('Ввод данных'!A455=связи1!A95,связи1!D574,0)+IF('Ввод данных'!A455=связи1!A96,связи1!D576,0)+IF('Ввод данных'!A455=связи1!A97,0,0)+IF('Ввод данных'!A455=связи1!A98,связи1!D576,0),0)</f>
        <v>2.2</v>
      </c>
      <c r="F866" s="1604" t="n">
        <f aca="false">C866*E866</f>
        <v>0</v>
      </c>
      <c r="G866" s="1436" t="n">
        <f aca="false">G405</f>
        <v>0.6</v>
      </c>
      <c r="H866" s="1436"/>
      <c r="I866" s="1436" t="n">
        <f aca="false">IF(C866=0,0,C866/G866+1)</f>
        <v>0</v>
      </c>
      <c r="J866" s="1436" t="n">
        <f aca="false">$D$143</f>
        <v>0.045</v>
      </c>
      <c r="K866" s="1436" t="n">
        <f aca="false">$C$143</f>
        <v>0.145</v>
      </c>
      <c r="L866" s="1344" t="n">
        <f aca="false">CEILING(C866/G866+1,1)</f>
        <v>1</v>
      </c>
      <c r="M866" s="1344"/>
      <c r="N866" s="1344"/>
      <c r="O866" s="1635" t="n">
        <f aca="false">E866*I866*J866*K866</f>
        <v>0</v>
      </c>
      <c r="P866" s="1714" t="n">
        <f aca="false">C866</f>
        <v>0</v>
      </c>
      <c r="Q866" s="1714" t="n">
        <f aca="false">C866</f>
        <v>0</v>
      </c>
      <c r="R866" s="1714" t="n">
        <f aca="false">C866</f>
        <v>0</v>
      </c>
      <c r="S866" s="1344"/>
      <c r="T866" s="1344"/>
      <c r="U866" s="1753"/>
      <c r="V866" s="1344"/>
      <c r="W866" s="1344"/>
      <c r="X866" s="1344"/>
      <c r="Y866" s="1707"/>
      <c r="Z866" s="1707"/>
      <c r="AA866" s="1344"/>
      <c r="AB866" s="1344"/>
      <c r="AC866" s="1344"/>
      <c r="AD866" s="1344"/>
    </row>
    <row r="867" s="1709" customFormat="true" ht="15.75" hidden="true" customHeight="true" outlineLevel="1" collapsed="false">
      <c r="A867" s="1799"/>
      <c r="B867" s="1802" t="n">
        <f aca="false">B863</f>
        <v>0.4</v>
      </c>
      <c r="C867" s="1868" t="n">
        <f aca="false">SUM(C864:C866)</f>
        <v>0</v>
      </c>
      <c r="D867" s="1755" t="n">
        <f aca="false">B867*C867</f>
        <v>0</v>
      </c>
      <c r="E867" s="1444"/>
      <c r="F867" s="1444"/>
      <c r="G867" s="1436"/>
      <c r="H867" s="1436"/>
      <c r="I867" s="1436"/>
      <c r="J867" s="1436"/>
      <c r="K867" s="1436"/>
      <c r="L867" s="1344"/>
      <c r="M867" s="1344"/>
      <c r="N867" s="1344"/>
      <c r="O867" s="1344"/>
      <c r="P867" s="1707" t="n">
        <f aca="false">SUM(P864:P866)</f>
        <v>0</v>
      </c>
      <c r="Q867" s="1707" t="n">
        <f aca="false">SUM(Q864:Q866)</f>
        <v>0</v>
      </c>
      <c r="R867" s="1707" t="n">
        <f aca="false">SUM(R864:R866)</f>
        <v>0</v>
      </c>
      <c r="S867" s="1344"/>
      <c r="T867" s="1344"/>
      <c r="U867" s="1753"/>
      <c r="V867" s="1344"/>
      <c r="W867" s="1344"/>
      <c r="X867" s="1344"/>
      <c r="Y867" s="1707"/>
      <c r="Z867" s="1707"/>
      <c r="AA867" s="1344"/>
      <c r="AB867" s="1344"/>
      <c r="AC867" s="1344"/>
      <c r="AD867" s="1344"/>
    </row>
    <row r="868" s="1709" customFormat="true" ht="15.75" hidden="true" customHeight="true" outlineLevel="1" collapsed="false">
      <c r="A868" s="1799" t="s">
        <v>3316</v>
      </c>
      <c r="B868" s="1802"/>
      <c r="C868" s="1868" t="n">
        <f aca="false">C407*пристройка!E5</f>
        <v>0</v>
      </c>
      <c r="D868" s="1344"/>
      <c r="E868" s="1604" t="n">
        <f aca="false">IF('Ввод данных'!A458=связи1!A107,IF('Ввод данных'!A459=связи1!A94,0,0)+IF('Ввод данных'!A459=связи1!A95,связи1!E574,0)+IF('Ввод данных'!A459=связи1!A96,связи1!E575,0)+IF('Ввод данных'!A459=связи1!A97,0,0)+IF('Ввод данных'!A459=связи1!A98,связи1!E575,0),0)+IF('Ввод данных'!A458=связи1!A106,IF('Ввод данных'!A459=связи1!A94,0,0)+IF('Ввод данных'!A459=связи1!A95,связи1!E574,0)+IF('Ввод данных'!A459=связи1!A96,связи1!E576,0)+IF('Ввод данных'!A459=связи1!A97,0,0)+IF('Ввод данных'!A459=связи1!A98,связи1!E576,0),0)+IF('Ввод данных'!A458=связи1!A108,IF('Ввод данных'!A459=связи1!A94,0,0)+IF('Ввод данных'!A459=связи1!A95,связи1!E574,0)+IF('Ввод данных'!A459=связи1!A96,связи1!E576,0)+IF('Ввод данных'!A459=связи1!A97,0,0)+IF('Ввод данных'!A459=связи1!A98,связи1!E576,0),0)</f>
        <v>2.9</v>
      </c>
      <c r="F868" s="1604" t="n">
        <f aca="false">C868*E868</f>
        <v>0</v>
      </c>
      <c r="G868" s="1436" t="n">
        <f aca="false">G407</f>
        <v>0.6</v>
      </c>
      <c r="H868" s="1436"/>
      <c r="I868" s="1436" t="n">
        <f aca="false">IF(C868=0,0,C868/G868+1)</f>
        <v>0</v>
      </c>
      <c r="J868" s="1436" t="n">
        <f aca="false">$D$143</f>
        <v>0.045</v>
      </c>
      <c r="K868" s="1436" t="n">
        <f aca="false">$C$143</f>
        <v>0.145</v>
      </c>
      <c r="L868" s="1344" t="n">
        <f aca="false">CEILING(C868/G868+1,1)</f>
        <v>1</v>
      </c>
      <c r="M868" s="1344"/>
      <c r="N868" s="1344"/>
      <c r="O868" s="1635" t="n">
        <f aca="false">E868*I868*J868*K868</f>
        <v>0</v>
      </c>
      <c r="P868" s="1714" t="n">
        <f aca="false">C868</f>
        <v>0</v>
      </c>
      <c r="Q868" s="1714" t="n">
        <f aca="false">C868</f>
        <v>0</v>
      </c>
      <c r="R868" s="1714" t="n">
        <f aca="false">C868</f>
        <v>0</v>
      </c>
      <c r="S868" s="1344"/>
      <c r="T868" s="1344"/>
      <c r="U868" s="1753"/>
      <c r="V868" s="1344"/>
      <c r="W868" s="1344"/>
      <c r="X868" s="1344"/>
      <c r="Y868" s="1707"/>
      <c r="Z868" s="1707"/>
      <c r="AA868" s="1344"/>
      <c r="AB868" s="1344"/>
      <c r="AC868" s="1344"/>
      <c r="AD868" s="1344"/>
    </row>
    <row r="869" s="1709" customFormat="true" ht="15.75" hidden="true" customHeight="true" outlineLevel="1" collapsed="false">
      <c r="A869" s="1799" t="s">
        <v>3317</v>
      </c>
      <c r="B869" s="1802" t="s">
        <v>848</v>
      </c>
      <c r="C869" s="1868" t="n">
        <f aca="false">C408*пристройка!E5</f>
        <v>0</v>
      </c>
      <c r="D869" s="1344" t="n">
        <f aca="false">пристройка!E18+пристройка!J18+пристройка!O18</f>
        <v>0</v>
      </c>
      <c r="E869" s="1604" t="n">
        <f aca="false">IF('Ввод данных'!A458=связи1!A107,IF('Ввод данных'!A459=связи1!A94,0,0)+IF('Ввод данных'!A459=связи1!A95,связи1!E574,0)+IF('Ввод данных'!A459=связи1!A96,связи1!E576,0)+IF('Ввод данных'!A459=связи1!A97,0,0)+IF('Ввод данных'!A459=связи1!A98,связи1!E576,0),0)+IF('Ввод данных'!A458=связи1!A106,IF('Ввод данных'!A459=связи1!A94,0,0)+IF('Ввод данных'!A459=связи1!A95,связи1!E574,0)+IF('Ввод данных'!A459=связи1!A96,связи1!E575,0)+IF('Ввод данных'!A459=связи1!A97,0,0)+IF('Ввод данных'!A459=связи1!A98,связи1!E575,0),0)+IF('Ввод данных'!A458=связи1!A108,IF('Ввод данных'!A459=связи1!A94,0,0)+IF('Ввод данных'!A459=связи1!A95,связи1!E574,0)+IF('Ввод данных'!A459=связи1!A96,связи1!E576,0)+IF('Ввод данных'!A459=связи1!A97,0,0)+IF('Ввод данных'!A459=связи1!A98,связи1!E576,0),0)</f>
        <v>1.5</v>
      </c>
      <c r="F869" s="1604" t="n">
        <f aca="false">C869*E869</f>
        <v>0</v>
      </c>
      <c r="G869" s="1436" t="n">
        <f aca="false">G408</f>
        <v>0.6</v>
      </c>
      <c r="H869" s="1436"/>
      <c r="I869" s="1436" t="n">
        <f aca="false">IF(C869=0,0,C869/G869+1)</f>
        <v>0</v>
      </c>
      <c r="J869" s="1436" t="n">
        <f aca="false">$D$143</f>
        <v>0.045</v>
      </c>
      <c r="K869" s="1436" t="n">
        <f aca="false">$C$143</f>
        <v>0.145</v>
      </c>
      <c r="L869" s="1344" t="n">
        <f aca="false">CEILING(C869/G869+1,1)</f>
        <v>1</v>
      </c>
      <c r="M869" s="1344"/>
      <c r="N869" s="1344"/>
      <c r="O869" s="1635" t="n">
        <f aca="false">E869*I869*J869*K869</f>
        <v>0</v>
      </c>
      <c r="P869" s="1714" t="n">
        <f aca="false">C869</f>
        <v>0</v>
      </c>
      <c r="Q869" s="1714" t="n">
        <f aca="false">C869</f>
        <v>0</v>
      </c>
      <c r="R869" s="1714" t="n">
        <f aca="false">C869</f>
        <v>0</v>
      </c>
      <c r="S869" s="1344"/>
      <c r="T869" s="1344"/>
      <c r="U869" s="1753"/>
      <c r="V869" s="1344"/>
      <c r="W869" s="1344"/>
      <c r="X869" s="1344"/>
      <c r="Y869" s="1707"/>
      <c r="Z869" s="1707"/>
      <c r="AA869" s="1344"/>
      <c r="AB869" s="1344"/>
      <c r="AC869" s="1344"/>
      <c r="AD869" s="1344"/>
    </row>
    <row r="870" s="1709" customFormat="true" ht="15.75" hidden="true" customHeight="true" outlineLevel="1" collapsed="false">
      <c r="A870" s="1799" t="s">
        <v>3318</v>
      </c>
      <c r="B870" s="1802" t="s">
        <v>844</v>
      </c>
      <c r="C870" s="1868" t="n">
        <f aca="false">C409*пристройка!E5</f>
        <v>0</v>
      </c>
      <c r="D870" s="1344" t="n">
        <f aca="false">пристройка!E19+пристройка!J19+пристройка!O19</f>
        <v>0</v>
      </c>
      <c r="E870" s="1604" t="n">
        <f aca="false">IF('Ввод данных'!A458=связи1!A107,IF('Ввод данных'!A459=связи1!A94,0,0)+IF('Ввод данных'!A459=связи1!A95,связи1!E574,0)+IF('Ввод данных'!A459=связи1!A96,связи1!E576,0)+IF('Ввод данных'!A459=связи1!A97,0,0)+IF('Ввод данных'!A459=связи1!A98,связи1!E576,0),0)+IF('Ввод данных'!A458=связи1!A106,IF('Ввод данных'!A459=связи1!A94,0,0)+IF('Ввод данных'!A459=связи1!A95,связи1!E574,0)+IF('Ввод данных'!A459=связи1!A96,связи1!E575,0)+IF('Ввод данных'!A459=связи1!A97,0,0)+IF('Ввод данных'!A459=связи1!A98,связи1!E575,0),0)+IF('Ввод данных'!A458=связи1!A108,IF('Ввод данных'!A459=связи1!A94,0,0)+IF('Ввод данных'!A459=связи1!A95,связи1!E574,0)+IF('Ввод данных'!A459=связи1!A96,связи1!E576,0)+IF('Ввод данных'!A459=связи1!A97,0,0)+IF('Ввод данных'!A459=связи1!A98,связи1!E576,0),0)</f>
        <v>1.5</v>
      </c>
      <c r="F870" s="1604" t="n">
        <f aca="false">C870*E870</f>
        <v>0</v>
      </c>
      <c r="G870" s="1436" t="n">
        <f aca="false">G409</f>
        <v>0.6</v>
      </c>
      <c r="H870" s="1436"/>
      <c r="I870" s="1436" t="n">
        <f aca="false">IF(C870=0,0,C870/G870+1)</f>
        <v>0</v>
      </c>
      <c r="J870" s="1436" t="n">
        <f aca="false">$D$143</f>
        <v>0.045</v>
      </c>
      <c r="K870" s="1436" t="n">
        <f aca="false">$C$143</f>
        <v>0.145</v>
      </c>
      <c r="L870" s="1344" t="n">
        <f aca="false">CEILING(C870/G870+1,1)</f>
        <v>1</v>
      </c>
      <c r="M870" s="1344"/>
      <c r="N870" s="1344"/>
      <c r="O870" s="1635" t="n">
        <f aca="false">E870*I870*J870*K870</f>
        <v>0</v>
      </c>
      <c r="P870" s="1714" t="n">
        <f aca="false">C870</f>
        <v>0</v>
      </c>
      <c r="Q870" s="1714" t="n">
        <f aca="false">C870</f>
        <v>0</v>
      </c>
      <c r="R870" s="1714" t="n">
        <f aca="false">C870</f>
        <v>0</v>
      </c>
      <c r="S870" s="1344"/>
      <c r="T870" s="1344"/>
      <c r="U870" s="1753"/>
      <c r="V870" s="1344"/>
      <c r="W870" s="1344"/>
      <c r="X870" s="1344"/>
      <c r="Y870" s="1707"/>
      <c r="Z870" s="1707"/>
      <c r="AA870" s="1344"/>
      <c r="AB870" s="1344"/>
      <c r="AC870" s="1344"/>
      <c r="AD870" s="1344"/>
    </row>
    <row r="871" s="1709" customFormat="true" ht="15.75" hidden="true" customHeight="true" outlineLevel="1" collapsed="false">
      <c r="A871" s="1799"/>
      <c r="B871" s="1802" t="n">
        <f aca="false">B863</f>
        <v>0.4</v>
      </c>
      <c r="C871" s="1868" t="n">
        <f aca="false">SUM(C868:C870)</f>
        <v>0</v>
      </c>
      <c r="D871" s="1755" t="n">
        <f aca="false">B871*C871</f>
        <v>0</v>
      </c>
      <c r="E871" s="1604"/>
      <c r="F871" s="1444"/>
      <c r="G871" s="1436"/>
      <c r="H871" s="1436"/>
      <c r="I871" s="1436"/>
      <c r="J871" s="1436"/>
      <c r="K871" s="1436"/>
      <c r="L871" s="1344"/>
      <c r="M871" s="1344"/>
      <c r="N871" s="1344"/>
      <c r="O871" s="1344"/>
      <c r="P871" s="1707" t="n">
        <f aca="false">SUM(P868:P870)</f>
        <v>0</v>
      </c>
      <c r="Q871" s="1707" t="n">
        <f aca="false">SUM(Q868:Q870)</f>
        <v>0</v>
      </c>
      <c r="R871" s="1707" t="n">
        <f aca="false">SUM(R868:R870)</f>
        <v>0</v>
      </c>
      <c r="S871" s="1344"/>
      <c r="T871" s="1344"/>
      <c r="U871" s="1753"/>
      <c r="V871" s="1344"/>
      <c r="W871" s="1344"/>
      <c r="X871" s="1344"/>
      <c r="Y871" s="1707"/>
      <c r="Z871" s="1707"/>
      <c r="AA871" s="1344"/>
      <c r="AB871" s="1344"/>
      <c r="AC871" s="1344"/>
      <c r="AD871" s="1344"/>
    </row>
    <row r="872" s="1709" customFormat="true" ht="15.75" hidden="true" customHeight="true" outlineLevel="1" collapsed="false">
      <c r="A872" s="1799" t="s">
        <v>3316</v>
      </c>
      <c r="B872" s="1802"/>
      <c r="C872" s="1868" t="n">
        <f aca="false">C411*пристройка!F5</f>
        <v>0</v>
      </c>
      <c r="D872" s="1344"/>
      <c r="E872" s="1604" t="n">
        <f aca="false">IF('Ввод данных'!A462=связи1!A107,IF('Ввод данных'!A463=связи1!A94,0,0)+IF('Ввод данных'!A463=связи1!A95,связи1!F574,0)+IF('Ввод данных'!A463=связи1!A96,связи1!F575,0)+IF('Ввод данных'!A463=связи1!A97,0,0)+IF('Ввод данных'!A463=связи1!A98,связи1!F575,0),0)+IF('Ввод данных'!A462=связи1!A106,IF('Ввод данных'!A463=связи1!A94,0,0)+IF('Ввод данных'!A463=связи1!A95,связи1!F574,0)+IF('Ввод данных'!A463=связи1!A96,связи1!F576,0)+IF('Ввод данных'!A463=связи1!A97,0,0)+IF('Ввод данных'!A463=связи1!A98,связи1!F576,0),0)+IF('Ввод данных'!A462=связи1!A108,IF('Ввод данных'!A463=связи1!A94,0,0)+IF('Ввод данных'!A463=связи1!A95,связи1!F574,0)+IF('Ввод данных'!A463=связи1!A96,связи1!F576,0)+IF('Ввод данных'!A463=связи1!A97,0,0)+IF('Ввод данных'!A463=связи1!A98,связи1!F576,0),0)</f>
        <v>0</v>
      </c>
      <c r="F872" s="1604" t="n">
        <f aca="false">C872*E872</f>
        <v>0</v>
      </c>
      <c r="G872" s="1436" t="n">
        <f aca="false">G411</f>
        <v>0.6</v>
      </c>
      <c r="H872" s="1436"/>
      <c r="I872" s="1436" t="n">
        <f aca="false">IF(C872=0,0,C872/G872+1)</f>
        <v>0</v>
      </c>
      <c r="J872" s="1436" t="n">
        <f aca="false">$D$143</f>
        <v>0.045</v>
      </c>
      <c r="K872" s="1436" t="n">
        <f aca="false">$C$143</f>
        <v>0.145</v>
      </c>
      <c r="L872" s="1344" t="n">
        <f aca="false">CEILING(C872/G872+1,1)</f>
        <v>1</v>
      </c>
      <c r="M872" s="1344"/>
      <c r="N872" s="1344"/>
      <c r="O872" s="1635" t="n">
        <f aca="false">E872*I872*J872*K872</f>
        <v>0</v>
      </c>
      <c r="P872" s="1714" t="n">
        <f aca="false">C872</f>
        <v>0</v>
      </c>
      <c r="Q872" s="1714" t="n">
        <f aca="false">C872</f>
        <v>0</v>
      </c>
      <c r="R872" s="1714" t="n">
        <f aca="false">C872</f>
        <v>0</v>
      </c>
      <c r="S872" s="1344"/>
      <c r="T872" s="1344"/>
      <c r="U872" s="1753"/>
      <c r="V872" s="1344"/>
      <c r="W872" s="1344"/>
      <c r="X872" s="1344"/>
      <c r="Y872" s="1707"/>
      <c r="Z872" s="1707"/>
      <c r="AA872" s="1344"/>
      <c r="AB872" s="1344"/>
      <c r="AC872" s="1344"/>
      <c r="AD872" s="1344"/>
    </row>
    <row r="873" s="1709" customFormat="true" ht="15.75" hidden="true" customHeight="true" outlineLevel="1" collapsed="false">
      <c r="A873" s="1799" t="s">
        <v>3317</v>
      </c>
      <c r="B873" s="1802" t="s">
        <v>848</v>
      </c>
      <c r="C873" s="1868" t="n">
        <f aca="false">C412*пристройка!F5</f>
        <v>0</v>
      </c>
      <c r="D873" s="1344" t="n">
        <f aca="false">пристройка!F18+пристройка!K18+пристройка!P18</f>
        <v>0</v>
      </c>
      <c r="E873" s="1604" t="n">
        <f aca="false">IF('Ввод данных'!A462=связи1!A107,IF('Ввод данных'!A463=связи1!A94,0,0)+IF('Ввод данных'!A463=связи1!A95,связи1!F574,0)+IF('Ввод данных'!A463=связи1!A96,связи1!F576,0)+IF('Ввод данных'!A463=связи1!A97,0,0)+IF('Ввод данных'!A463=связи1!A98,связи1!F576,0),0)+IF('Ввод данных'!A462=связи1!A106,IF('Ввод данных'!A463=связи1!A94,0,0)+IF('Ввод данных'!A463=связи1!A95,связи1!F574,0)+IF('Ввод данных'!A463=связи1!A96,связи1!F575,0)+IF('Ввод данных'!A463=связи1!A97,0,0)+IF('Ввод данных'!A463=связи1!A98,связи1!F575,0),0)+IF('Ввод данных'!A462=связи1!A108,IF('Ввод данных'!A463=связи1!A94,0,0)+IF('Ввод данных'!A463=связи1!A95,связи1!F574,0)+IF('Ввод данных'!A463=связи1!A96,связи1!F576,0)+IF('Ввод данных'!A463=связи1!A97,0,0)+IF('Ввод данных'!A463=связи1!A98,связи1!F576,0),0)</f>
        <v>0</v>
      </c>
      <c r="F873" s="1604" t="n">
        <f aca="false">C873*E873</f>
        <v>0</v>
      </c>
      <c r="G873" s="1436" t="n">
        <f aca="false">G412</f>
        <v>0.6</v>
      </c>
      <c r="H873" s="1436"/>
      <c r="I873" s="1436" t="n">
        <f aca="false">IF(C873=0,0,C873/G873+1)</f>
        <v>0</v>
      </c>
      <c r="J873" s="1436" t="n">
        <f aca="false">$D$143</f>
        <v>0.045</v>
      </c>
      <c r="K873" s="1436" t="n">
        <f aca="false">$C$143</f>
        <v>0.145</v>
      </c>
      <c r="L873" s="1344" t="n">
        <f aca="false">CEILING(C873/G873+1,1)</f>
        <v>1</v>
      </c>
      <c r="M873" s="1344"/>
      <c r="N873" s="1344"/>
      <c r="O873" s="1635" t="n">
        <f aca="false">E873*I873*J873*K873</f>
        <v>0</v>
      </c>
      <c r="P873" s="1714" t="n">
        <f aca="false">C873</f>
        <v>0</v>
      </c>
      <c r="Q873" s="1714" t="n">
        <f aca="false">C873</f>
        <v>0</v>
      </c>
      <c r="R873" s="1714" t="n">
        <f aca="false">C873</f>
        <v>0</v>
      </c>
      <c r="S873" s="1344"/>
      <c r="T873" s="1344"/>
      <c r="U873" s="1753"/>
      <c r="V873" s="1344"/>
      <c r="W873" s="1344"/>
      <c r="X873" s="1344"/>
      <c r="Y873" s="1707"/>
      <c r="Z873" s="1707"/>
      <c r="AA873" s="1344"/>
      <c r="AB873" s="1344"/>
      <c r="AC873" s="1344"/>
      <c r="AD873" s="1344"/>
    </row>
    <row r="874" s="1709" customFormat="true" ht="15.75" hidden="true" customHeight="true" outlineLevel="1" collapsed="false">
      <c r="A874" s="1799" t="s">
        <v>3318</v>
      </c>
      <c r="B874" s="1802" t="s">
        <v>844</v>
      </c>
      <c r="C874" s="1868" t="n">
        <f aca="false">C413*пристройка!F5</f>
        <v>0</v>
      </c>
      <c r="D874" s="1344" t="n">
        <f aca="false">пристройка!F19+пристройка!K19+пристройка!P19</f>
        <v>0</v>
      </c>
      <c r="E874" s="1604" t="n">
        <f aca="false">IF('Ввод данных'!A462=связи1!A107,IF('Ввод данных'!A463=связи1!A94,0,0)+IF('Ввод данных'!A463=связи1!A95,связи1!F574,0)+IF('Ввод данных'!A463=связи1!A96,связи1!F576,0)+IF('Ввод данных'!A463=связи1!A97,0,0)+IF('Ввод данных'!A463=связи1!A98,связи1!F576,0),0)+IF('Ввод данных'!A462=связи1!A106,IF('Ввод данных'!A463=связи1!A94,0,0)+IF('Ввод данных'!A463=связи1!A95,связи1!F574,0)+IF('Ввод данных'!A463=связи1!A96,связи1!F575,0)+IF('Ввод данных'!A463=связи1!A97,0,0)+IF('Ввод данных'!A463=связи1!A98,связи1!F575,0),0)+IF('Ввод данных'!A462=связи1!A108,IF('Ввод данных'!A463=связи1!A94,0,0)+IF('Ввод данных'!A463=связи1!A95,связи1!F574,0)+IF('Ввод данных'!A463=связи1!A96,связи1!F576,0)+IF('Ввод данных'!A463=связи1!A97,0,0)+IF('Ввод данных'!A463=связи1!A98,связи1!F576,0),0)</f>
        <v>0</v>
      </c>
      <c r="F874" s="1604" t="n">
        <f aca="false">C874*E874</f>
        <v>0</v>
      </c>
      <c r="G874" s="1436" t="n">
        <f aca="false">G413</f>
        <v>0.6</v>
      </c>
      <c r="H874" s="1436"/>
      <c r="I874" s="1436" t="n">
        <f aca="false">IF(C874=0,0,C874/G874+1)</f>
        <v>0</v>
      </c>
      <c r="J874" s="1436" t="n">
        <f aca="false">$D$143</f>
        <v>0.045</v>
      </c>
      <c r="K874" s="1436" t="n">
        <f aca="false">$C$143</f>
        <v>0.145</v>
      </c>
      <c r="L874" s="1344" t="n">
        <f aca="false">CEILING(C874/G874+1,1)</f>
        <v>1</v>
      </c>
      <c r="M874" s="1344"/>
      <c r="N874" s="1344"/>
      <c r="O874" s="1635" t="n">
        <f aca="false">E874*I874*J874*K874</f>
        <v>0</v>
      </c>
      <c r="P874" s="1714" t="n">
        <f aca="false">C874</f>
        <v>0</v>
      </c>
      <c r="Q874" s="1714" t="n">
        <f aca="false">C874</f>
        <v>0</v>
      </c>
      <c r="R874" s="1714" t="n">
        <f aca="false">C874</f>
        <v>0</v>
      </c>
      <c r="S874" s="1344"/>
      <c r="T874" s="1344"/>
      <c r="U874" s="1753"/>
      <c r="V874" s="1344"/>
      <c r="W874" s="1344"/>
      <c r="X874" s="1344"/>
      <c r="Y874" s="1707"/>
      <c r="Z874" s="1707"/>
      <c r="AA874" s="1344"/>
      <c r="AB874" s="1344"/>
      <c r="AC874" s="1344"/>
      <c r="AD874" s="1344"/>
    </row>
    <row r="875" s="1709" customFormat="true" ht="15.75" hidden="true" customHeight="true" outlineLevel="1" collapsed="false">
      <c r="A875" s="1799"/>
      <c r="B875" s="1802" t="n">
        <f aca="false">B863</f>
        <v>0.4</v>
      </c>
      <c r="C875" s="1868" t="n">
        <f aca="false">SUM(C872:C874)</f>
        <v>0</v>
      </c>
      <c r="D875" s="1755" t="n">
        <f aca="false">B875*C875</f>
        <v>0</v>
      </c>
      <c r="E875" s="1444"/>
      <c r="F875" s="1444"/>
      <c r="G875" s="1344"/>
      <c r="H875" s="1344"/>
      <c r="I875" s="1344"/>
      <c r="J875" s="1344"/>
      <c r="K875" s="1344"/>
      <c r="L875" s="1344"/>
      <c r="M875" s="1344"/>
      <c r="N875" s="1344"/>
      <c r="O875" s="1344"/>
      <c r="P875" s="1707" t="n">
        <f aca="false">SUM(P872:P874)</f>
        <v>0</v>
      </c>
      <c r="Q875" s="1707" t="n">
        <f aca="false">SUM(Q872:Q874)</f>
        <v>0</v>
      </c>
      <c r="R875" s="1707" t="n">
        <f aca="false">SUM(R872:R874)</f>
        <v>0</v>
      </c>
      <c r="S875" s="1344"/>
      <c r="T875" s="1344"/>
      <c r="U875" s="1753"/>
      <c r="V875" s="1344"/>
      <c r="W875" s="1344"/>
      <c r="X875" s="1344"/>
      <c r="Y875" s="1707"/>
      <c r="Z875" s="1707"/>
      <c r="AA875" s="1344"/>
      <c r="AB875" s="1344"/>
      <c r="AC875" s="1344"/>
      <c r="AD875" s="1344"/>
    </row>
    <row r="876" s="1709" customFormat="true" ht="15.75" hidden="true" customHeight="true" outlineLevel="1" collapsed="false">
      <c r="A876" s="1799"/>
      <c r="B876" s="1802"/>
      <c r="C876" s="1868"/>
      <c r="D876" s="1344"/>
      <c r="E876" s="1444"/>
      <c r="F876" s="1444"/>
      <c r="G876" s="1344"/>
      <c r="H876" s="1344"/>
      <c r="I876" s="1344"/>
      <c r="J876" s="1344"/>
      <c r="K876" s="1344"/>
      <c r="L876" s="1344"/>
      <c r="M876" s="1344"/>
      <c r="N876" s="1344"/>
      <c r="O876" s="1344"/>
      <c r="P876" s="1707"/>
      <c r="Q876" s="1707"/>
      <c r="R876" s="1707"/>
      <c r="S876" s="1344"/>
      <c r="T876" s="1344"/>
      <c r="U876" s="1753"/>
      <c r="V876" s="1344"/>
      <c r="W876" s="1344"/>
      <c r="X876" s="1344"/>
      <c r="Y876" s="1707"/>
      <c r="Z876" s="1707"/>
      <c r="AA876" s="1344"/>
      <c r="AB876" s="1344"/>
      <c r="AC876" s="1344"/>
      <c r="AD876" s="1344"/>
    </row>
    <row r="877" s="1709" customFormat="true" ht="15.75" hidden="true" customHeight="true" outlineLevel="1" collapsed="false">
      <c r="A877" s="1799" t="str">
        <f aca="false">A415</f>
        <v>выбор по этажности пристройки фронтона высоту 1 эт</v>
      </c>
      <c r="B877" s="1294" t="str">
        <f aca="false">B415</f>
        <v>м.п.</v>
      </c>
      <c r="C877" s="1799" t="n">
        <f aca="false">C415</f>
        <v>5</v>
      </c>
      <c r="D877" s="1799" t="n">
        <f aca="false">D415</f>
        <v>0</v>
      </c>
      <c r="E877" s="1799" t="n">
        <f aca="false">E415</f>
        <v>0</v>
      </c>
      <c r="F877" s="1799" t="n">
        <f aca="false">F415</f>
        <v>0</v>
      </c>
      <c r="G877" s="1344"/>
      <c r="H877" s="1344"/>
      <c r="I877" s="1344"/>
      <c r="J877" s="1344"/>
      <c r="K877" s="1344"/>
      <c r="L877" s="1344"/>
      <c r="M877" s="1344"/>
      <c r="N877" s="1344"/>
      <c r="O877" s="1344"/>
      <c r="P877" s="1707"/>
      <c r="Q877" s="1707"/>
      <c r="R877" s="1707"/>
      <c r="S877" s="1344"/>
      <c r="T877" s="1344"/>
      <c r="U877" s="1753"/>
      <c r="V877" s="1344"/>
      <c r="W877" s="1344"/>
      <c r="X877" s="1344"/>
      <c r="Y877" s="1707"/>
      <c r="Z877" s="1707"/>
      <c r="AA877" s="1344"/>
      <c r="AB877" s="1344"/>
      <c r="AC877" s="1344"/>
      <c r="AD877" s="1344"/>
    </row>
    <row r="878" s="1709" customFormat="true" ht="15.75" hidden="true" customHeight="true" outlineLevel="1" collapsed="false">
      <c r="A878" s="1799" t="s">
        <v>3492</v>
      </c>
      <c r="B878" s="1294" t="n">
        <f aca="false">B416</f>
        <v>0</v>
      </c>
      <c r="C878" s="1799" t="n">
        <f aca="false">C416</f>
        <v>1</v>
      </c>
      <c r="D878" s="1799" t="n">
        <f aca="false">D416</f>
        <v>0</v>
      </c>
      <c r="E878" s="1799" t="n">
        <f aca="false">E416</f>
        <v>0</v>
      </c>
      <c r="F878" s="1799" t="n">
        <f aca="false">F416</f>
        <v>0</v>
      </c>
      <c r="G878" s="1344"/>
      <c r="H878" s="1344"/>
      <c r="I878" s="1344"/>
      <c r="J878" s="1344"/>
      <c r="K878" s="1344"/>
      <c r="L878" s="1344"/>
      <c r="M878" s="1344"/>
      <c r="N878" s="1344"/>
      <c r="O878" s="1344"/>
      <c r="P878" s="1707"/>
      <c r="Q878" s="1707"/>
      <c r="R878" s="1707"/>
      <c r="S878" s="1344"/>
      <c r="T878" s="1344"/>
      <c r="U878" s="1753"/>
      <c r="V878" s="1344"/>
      <c r="W878" s="1344"/>
      <c r="X878" s="1344"/>
      <c r="Y878" s="1707"/>
      <c r="Z878" s="1707"/>
      <c r="AA878" s="1344"/>
      <c r="AB878" s="1344"/>
      <c r="AC878" s="1344"/>
      <c r="AD878" s="1344"/>
    </row>
    <row r="879" s="1709" customFormat="true" ht="15.75" hidden="true" customHeight="true" outlineLevel="1" collapsed="false">
      <c r="A879" s="1799" t="str">
        <f aca="false">A417</f>
        <v>левая половина фронтона для односкатной кровли</v>
      </c>
      <c r="B879" s="1294" t="str">
        <f aca="false">B417</f>
        <v>м.п.</v>
      </c>
      <c r="C879" s="1799" t="n">
        <f aca="false">C417</f>
        <v>0</v>
      </c>
      <c r="D879" s="1799" t="n">
        <f aca="false">D417</f>
        <v>0</v>
      </c>
      <c r="E879" s="1799" t="n">
        <f aca="false">E417</f>
        <v>0</v>
      </c>
      <c r="F879" s="1799" t="n">
        <f aca="false">F417</f>
        <v>0</v>
      </c>
      <c r="G879" s="1344"/>
      <c r="H879" s="1344"/>
      <c r="I879" s="1344"/>
      <c r="J879" s="1344"/>
      <c r="K879" s="1344"/>
      <c r="L879" s="1344"/>
      <c r="M879" s="1344"/>
      <c r="N879" s="1344"/>
      <c r="O879" s="1344"/>
      <c r="P879" s="1707"/>
      <c r="Q879" s="1707"/>
      <c r="R879" s="1707"/>
      <c r="S879" s="1344"/>
      <c r="T879" s="1344"/>
      <c r="U879" s="1753"/>
      <c r="V879" s="1344"/>
      <c r="W879" s="1344"/>
      <c r="X879" s="1344"/>
      <c r="Y879" s="1707"/>
      <c r="Z879" s="1707"/>
      <c r="AA879" s="1344"/>
      <c r="AB879" s="1344"/>
      <c r="AC879" s="1344"/>
      <c r="AD879" s="1344"/>
    </row>
    <row r="880" s="1709" customFormat="true" ht="15.75" hidden="true" customHeight="true" outlineLevel="1" collapsed="false">
      <c r="A880" s="1799" t="str">
        <f aca="false">A418</f>
        <v>количество стоек каркаса фронтона</v>
      </c>
      <c r="B880" s="1294" t="str">
        <f aca="false">B418</f>
        <v>шт</v>
      </c>
      <c r="C880" s="1799" t="n">
        <f aca="false">CEILING(IF('Ввод данных'!A75=связи1!A106,L861,0)+IF('Ввод данных'!A75=связи1!A107,дома!C860/2/дома!G860,0)+IF('Ввод данных'!A75=связи1!A108,дома!L861,0),1)</f>
        <v>0</v>
      </c>
      <c r="D880" s="1799" t="n">
        <f aca="false">CEILING(IF('Ввод данных'!A75=связи1!A106,L865,0)+IF('Ввод данных'!A75=связи1!A107,дома!C864/2/дома!G864,0)+IF('Ввод данных'!A75=связи1!A108,дома!L865,0),1)</f>
        <v>0</v>
      </c>
      <c r="E880" s="1799" t="n">
        <f aca="false">CEILING(IF('Ввод данных'!A75=связи1!A106,L869,0)+IF('Ввод данных'!A75=связи1!A107,дома!C868/2/дома!G868,0)+IF('Ввод данных'!A75=связи1!A108,дома!L869,0),1)</f>
        <v>0</v>
      </c>
      <c r="F880" s="1799" t="n">
        <f aca="false">CEILING(IF('Ввод данных'!A75=связи1!A106,L873,0)+IF('Ввод данных'!A75=связи1!A107,дома!C872/2/дома!G872,0)+IF('Ввод данных'!A75=связи1!A108,дома!L873,0),1)</f>
        <v>0</v>
      </c>
      <c r="G880" s="1344"/>
      <c r="H880" s="1344"/>
      <c r="I880" s="1344"/>
      <c r="J880" s="1344"/>
      <c r="K880" s="1344"/>
      <c r="L880" s="1344"/>
      <c r="M880" s="1344"/>
      <c r="N880" s="1344"/>
      <c r="O880" s="1344"/>
      <c r="P880" s="1707"/>
      <c r="Q880" s="1707"/>
      <c r="R880" s="1707"/>
      <c r="S880" s="1344"/>
      <c r="T880" s="1344"/>
      <c r="U880" s="1753"/>
      <c r="V880" s="1344"/>
      <c r="W880" s="1344"/>
      <c r="X880" s="1344"/>
      <c r="Y880" s="1707"/>
      <c r="Z880" s="1707"/>
      <c r="AA880" s="1344"/>
      <c r="AB880" s="1344"/>
      <c r="AC880" s="1344"/>
      <c r="AD880" s="1344"/>
    </row>
    <row r="881" s="1709" customFormat="true" ht="15.75" hidden="true" customHeight="true" outlineLevel="1" collapsed="false">
      <c r="A881" s="1799" t="s">
        <v>3493</v>
      </c>
      <c r="B881" s="1294" t="str">
        <f aca="false">B419</f>
        <v>м.п.</v>
      </c>
      <c r="C881" s="1799" t="n">
        <f aca="false">(IF('Ввод данных'!A73=связи1!A95,(связи1!C575-связи1!C574)/IF(C880=0,1,C880),0)+IF('Ввод данных'!A73=связи1!A96,(связи1!C575-связи1!C576)/IF(C880=0,1,C880),0)+IF('Ввод данных'!A73=связи1!A98,(связи1!C575-связи1!C576)/IF(C880=0,1,C880),0))*IF(C880=0,0,1)</f>
        <v>0</v>
      </c>
      <c r="D881" s="1799" t="n">
        <f aca="false">(IF('Ввод данных'!A455=связи1!A95,(связи1!D575-связи1!D574)/IF(D880=0,1,D880),0)+IF('Ввод данных'!A455=связи1!A96,(связи1!D575-связи1!D576)/IF(D880=0,1,D880),0)+IF('Ввод данных'!A455=связи1!A98,(связи1!D575-связи1!D576)/IF(D880=0,1,D880),0))*IF(D880=0,0,1)</f>
        <v>0</v>
      </c>
      <c r="E881" s="1799" t="n">
        <f aca="false">(IF('Ввод данных'!A459=связи1!A95,(связи1!E575-связи1!E574)/IF(E880=0,1,E880),0)+IF('Ввод данных'!A459=связи1!A96,(связи1!E575-связи1!E576)/IF(E880=0,1,E880),0)+IF('Ввод данных'!A459=связи1!A98,(связи1!E575-связи1!E576)/IF(E880=0,1,E880),0))*IF(E880=0,0,1)</f>
        <v>0</v>
      </c>
      <c r="F881" s="1799" t="n">
        <f aca="false">(IF('Ввод данных'!A463=связи1!A95,(связи1!F575-связи1!F574)/IF(F880=0,1,F880),0)+IF('Ввод данных'!A463=связи1!A96,(связи1!F575-связи1!F576)/IF(F880=0,1,F880),0)+IF('Ввод данных'!A463=связи1!A98,(связи1!F575-связи1!F576)/IF(F880=0,1,F880),0))*IF(F880=0,0,1)</f>
        <v>0</v>
      </c>
      <c r="G881" s="1344"/>
      <c r="H881" s="1344"/>
      <c r="I881" s="1344"/>
      <c r="J881" s="1344"/>
      <c r="K881" s="1344"/>
      <c r="L881" s="1344"/>
      <c r="M881" s="1344"/>
      <c r="N881" s="1344"/>
      <c r="O881" s="1344"/>
      <c r="P881" s="1707"/>
      <c r="Q881" s="1707"/>
      <c r="R881" s="1707"/>
      <c r="S881" s="1344"/>
      <c r="T881" s="1344"/>
      <c r="U881" s="1753"/>
      <c r="V881" s="1344"/>
      <c r="W881" s="1344"/>
      <c r="X881" s="1344"/>
      <c r="Y881" s="1707"/>
      <c r="Z881" s="1707"/>
      <c r="AA881" s="1344"/>
      <c r="AB881" s="1344"/>
      <c r="AC881" s="1344"/>
      <c r="AD881" s="1344"/>
    </row>
    <row r="882" s="1709" customFormat="true" ht="15.75" hidden="true" customHeight="true" outlineLevel="1" collapsed="false">
      <c r="A882" s="1799" t="s">
        <v>3494</v>
      </c>
      <c r="B882" s="1294" t="n">
        <f aca="false">B420</f>
        <v>0</v>
      </c>
      <c r="C882" s="1799"/>
      <c r="D882" s="1799"/>
      <c r="E882" s="1799"/>
      <c r="F882" s="1799"/>
      <c r="G882" s="1344"/>
      <c r="H882" s="1344"/>
      <c r="I882" s="1344"/>
      <c r="J882" s="1344"/>
      <c r="K882" s="1344"/>
      <c r="L882" s="1344"/>
      <c r="M882" s="1344"/>
      <c r="N882" s="1344"/>
      <c r="O882" s="1344"/>
      <c r="P882" s="1707"/>
      <c r="Q882" s="1707"/>
      <c r="R882" s="1707"/>
      <c r="S882" s="1344"/>
      <c r="T882" s="1344"/>
      <c r="U882" s="1753"/>
      <c r="V882" s="1344"/>
      <c r="W882" s="1344"/>
      <c r="X882" s="1344"/>
      <c r="Y882" s="1707"/>
      <c r="Z882" s="1707"/>
      <c r="AA882" s="1344"/>
      <c r="AB882" s="1344"/>
      <c r="AC882" s="1344"/>
      <c r="AD882" s="1344"/>
    </row>
    <row r="883" s="1709" customFormat="true" ht="15.75" hidden="true" customHeight="true" outlineLevel="1" collapsed="false">
      <c r="A883" s="1799" t="str">
        <f aca="false">A421</f>
        <v>разница по высоте стоек каркаса на фронтоне 3 пристр</v>
      </c>
      <c r="B883" s="1294" t="n">
        <f aca="false">B421</f>
        <v>0</v>
      </c>
      <c r="C883" s="1799"/>
      <c r="D883" s="1799"/>
      <c r="E883" s="1799"/>
      <c r="F883" s="1799"/>
      <c r="G883" s="1344"/>
      <c r="H883" s="1344"/>
      <c r="I883" s="1344"/>
      <c r="J883" s="1344"/>
      <c r="K883" s="1344"/>
      <c r="L883" s="1344"/>
      <c r="M883" s="1344"/>
      <c r="N883" s="1344"/>
      <c r="O883" s="1344"/>
      <c r="P883" s="1707"/>
      <c r="Q883" s="1707"/>
      <c r="R883" s="1707"/>
      <c r="S883" s="1344"/>
      <c r="T883" s="1344"/>
      <c r="U883" s="1753"/>
      <c r="V883" s="1344"/>
      <c r="W883" s="1344"/>
      <c r="X883" s="1344"/>
      <c r="Y883" s="1707"/>
      <c r="Z883" s="1707"/>
      <c r="AA883" s="1344"/>
      <c r="AB883" s="1344"/>
      <c r="AC883" s="1344"/>
      <c r="AD883" s="1344"/>
    </row>
    <row r="884" s="1709" customFormat="true" ht="15.75" hidden="true" customHeight="true" outlineLevel="1" collapsed="false">
      <c r="A884" s="1799" t="str">
        <f aca="false">A422</f>
        <v>разница по высоте стоек каркаса на фронтоне 4 пристр</v>
      </c>
      <c r="B884" s="1294" t="n">
        <f aca="false">B422</f>
        <v>0</v>
      </c>
      <c r="C884" s="1799"/>
      <c r="D884" s="1799"/>
      <c r="E884" s="1799"/>
      <c r="F884" s="1799"/>
      <c r="G884" s="1344"/>
      <c r="H884" s="1344"/>
      <c r="I884" s="1344"/>
      <c r="J884" s="1344"/>
      <c r="K884" s="1344"/>
      <c r="L884" s="1344"/>
      <c r="M884" s="1344"/>
      <c r="N884" s="1344"/>
      <c r="O884" s="1344"/>
      <c r="P884" s="1707"/>
      <c r="Q884" s="1707"/>
      <c r="R884" s="1707"/>
      <c r="S884" s="1344"/>
      <c r="T884" s="1344"/>
      <c r="U884" s="1753"/>
      <c r="V884" s="1344"/>
      <c r="W884" s="1344"/>
      <c r="X884" s="1344"/>
      <c r="Y884" s="1707"/>
      <c r="Z884" s="1707"/>
      <c r="AA884" s="1344"/>
      <c r="AB884" s="1344"/>
      <c r="AC884" s="1344"/>
      <c r="AD884" s="1344"/>
    </row>
    <row r="885" s="1709" customFormat="true" ht="15.75" hidden="true" customHeight="true" outlineLevel="1" collapsed="false">
      <c r="A885" s="1804" t="s">
        <v>3495</v>
      </c>
      <c r="B885" s="1806" t="str">
        <f aca="false">B423</f>
        <v>ед.изм</v>
      </c>
      <c r="C885" s="1804" t="str">
        <f aca="false">C423</f>
        <v>ширина</v>
      </c>
      <c r="D885" s="1804" t="str">
        <f aca="false">D423</f>
        <v>толщина</v>
      </c>
      <c r="E885" s="1804" t="str">
        <f aca="false">E423</f>
        <v>высота</v>
      </c>
      <c r="F885" s="1804" t="str">
        <f aca="false">F423</f>
        <v>кол-во</v>
      </c>
      <c r="G885" s="1344"/>
      <c r="H885" s="1344"/>
      <c r="I885" s="1344"/>
      <c r="J885" s="1344"/>
      <c r="K885" s="1344"/>
      <c r="L885" s="1344"/>
      <c r="M885" s="1344"/>
      <c r="N885" s="1344"/>
      <c r="O885" s="1344"/>
      <c r="P885" s="1707"/>
      <c r="Q885" s="1707"/>
      <c r="R885" s="1707"/>
      <c r="S885" s="1344"/>
      <c r="T885" s="1344"/>
      <c r="U885" s="1753"/>
      <c r="V885" s="1344"/>
      <c r="W885" s="1344"/>
      <c r="X885" s="1344"/>
      <c r="Y885" s="1707"/>
      <c r="Z885" s="1707"/>
      <c r="AA885" s="1344"/>
      <c r="AB885" s="1344"/>
      <c r="AC885" s="1344"/>
      <c r="AD885" s="1344"/>
    </row>
    <row r="886" s="1709" customFormat="true" ht="15.75" hidden="true" customHeight="true" outlineLevel="1" collapsed="false">
      <c r="A886" s="1799" t="s">
        <v>3496</v>
      </c>
      <c r="B886" s="1294" t="str">
        <f aca="false">B424</f>
        <v>м.п.</v>
      </c>
      <c r="C886" s="1799" t="n">
        <f aca="false">C424</f>
        <v>0.4</v>
      </c>
      <c r="D886" s="1799" t="n">
        <f aca="false">D424</f>
        <v>0.045</v>
      </c>
      <c r="E886" s="1799" t="n">
        <f aca="false">E860</f>
        <v>0</v>
      </c>
      <c r="F886" s="1799" t="n">
        <f aca="false">L860*VLOOKUP('Ввод данных'!$C$79,связи1!$A$2:$B$3,2,0)</f>
        <v>0</v>
      </c>
      <c r="G886" s="1344" t="n">
        <f aca="false">C886*D886*E886*F886</f>
        <v>0</v>
      </c>
      <c r="H886" s="1344"/>
      <c r="I886" s="1344"/>
      <c r="J886" s="1344"/>
      <c r="K886" s="1344"/>
      <c r="L886" s="1344"/>
      <c r="M886" s="1344"/>
      <c r="N886" s="1344"/>
      <c r="O886" s="1344"/>
      <c r="P886" s="1707"/>
      <c r="Q886" s="1707"/>
      <c r="R886" s="1707"/>
      <c r="S886" s="1344"/>
      <c r="T886" s="1344"/>
      <c r="U886" s="1753"/>
      <c r="V886" s="1344"/>
      <c r="W886" s="1344"/>
      <c r="X886" s="1344"/>
      <c r="Y886" s="1707"/>
      <c r="Z886" s="1707"/>
      <c r="AA886" s="1344"/>
      <c r="AB886" s="1344"/>
      <c r="AC886" s="1344"/>
      <c r="AD886" s="1344"/>
    </row>
    <row r="887" s="1709" customFormat="true" ht="15.75" hidden="true" customHeight="true" outlineLevel="1" collapsed="false">
      <c r="A887" s="1799" t="s">
        <v>3497</v>
      </c>
      <c r="B887" s="1294" t="str">
        <f aca="false">B425</f>
        <v>м.п.</v>
      </c>
      <c r="C887" s="1799" t="n">
        <f aca="false">C425</f>
        <v>0.4</v>
      </c>
      <c r="D887" s="1799" t="n">
        <f aca="false">D425</f>
        <v>0.045</v>
      </c>
      <c r="E887" s="1799" t="n">
        <f aca="false">E861</f>
        <v>0</v>
      </c>
      <c r="F887" s="1799" t="n">
        <f aca="false">L861*VLOOKUP('Ввод данных'!$C$79,связи1!$A$2:$B$3,2,0)</f>
        <v>0</v>
      </c>
      <c r="G887" s="1344" t="n">
        <f aca="false">C887*D887*E887*F887</f>
        <v>0</v>
      </c>
      <c r="H887" s="1344"/>
      <c r="I887" s="1344"/>
      <c r="J887" s="1344"/>
      <c r="K887" s="1344"/>
      <c r="L887" s="1344"/>
      <c r="M887" s="1344"/>
      <c r="N887" s="1344"/>
      <c r="O887" s="1344"/>
      <c r="P887" s="1707"/>
      <c r="Q887" s="1707"/>
      <c r="R887" s="1707"/>
      <c r="S887" s="1344"/>
      <c r="T887" s="1344"/>
      <c r="U887" s="1753"/>
      <c r="V887" s="1344"/>
      <c r="W887" s="1344"/>
      <c r="X887" s="1344"/>
      <c r="Y887" s="1707"/>
      <c r="Z887" s="1707"/>
      <c r="AA887" s="1344"/>
      <c r="AB887" s="1344"/>
      <c r="AC887" s="1344"/>
      <c r="AD887" s="1344"/>
    </row>
    <row r="888" s="1709" customFormat="true" ht="15.75" hidden="true" customHeight="true" outlineLevel="1" collapsed="false">
      <c r="A888" s="1799" t="s">
        <v>3498</v>
      </c>
      <c r="B888" s="1294" t="str">
        <f aca="false">B426</f>
        <v>м.п.</v>
      </c>
      <c r="C888" s="1799" t="n">
        <f aca="false">C426</f>
        <v>0.4</v>
      </c>
      <c r="D888" s="1799" t="n">
        <f aca="false">D426</f>
        <v>0.045</v>
      </c>
      <c r="E888" s="1799" t="n">
        <f aca="false">E862</f>
        <v>0</v>
      </c>
      <c r="F888" s="1799" t="n">
        <f aca="false">L862*VLOOKUP('Ввод данных'!$C$79,связи1!$A$2:$B$3,2,0)</f>
        <v>0</v>
      </c>
      <c r="G888" s="1344" t="n">
        <f aca="false">C888*D888*E888*F888</f>
        <v>0</v>
      </c>
      <c r="H888" s="1344"/>
      <c r="I888" s="1344"/>
      <c r="J888" s="1344"/>
      <c r="K888" s="1344"/>
      <c r="L888" s="1344"/>
      <c r="M888" s="1344"/>
      <c r="N888" s="1344"/>
      <c r="O888" s="1344"/>
      <c r="P888" s="1707"/>
      <c r="Q888" s="1707"/>
      <c r="R888" s="1707"/>
      <c r="S888" s="1344"/>
      <c r="T888" s="1344"/>
      <c r="U888" s="1753"/>
      <c r="V888" s="1344"/>
      <c r="W888" s="1344"/>
      <c r="X888" s="1344"/>
      <c r="Y888" s="1707"/>
      <c r="Z888" s="1707"/>
      <c r="AA888" s="1344"/>
      <c r="AB888" s="1344"/>
      <c r="AC888" s="1344"/>
      <c r="AD888" s="1344"/>
    </row>
    <row r="889" s="1709" customFormat="true" ht="15.75" hidden="true" customHeight="true" outlineLevel="1" collapsed="false">
      <c r="A889" s="1799" t="s">
        <v>3414</v>
      </c>
      <c r="B889" s="1294" t="str">
        <f aca="false">B427</f>
        <v>м.п.</v>
      </c>
      <c r="C889" s="1799" t="n">
        <f aca="false">C427</f>
        <v>0.4</v>
      </c>
      <c r="D889" s="1799" t="n">
        <f aca="false">D427</f>
        <v>0.045</v>
      </c>
      <c r="E889" s="1799" t="n">
        <f aca="false">1</f>
        <v>1</v>
      </c>
      <c r="F889" s="1799" t="n">
        <f aca="false">P863*VLOOKUP('Ввод данных'!$C$79,связи1!$A$2:$B$3,2,0)+Q863*VLOOKUP('Ввод данных'!$C$79,связи1!$A$2:$B$3,2,0)</f>
        <v>0</v>
      </c>
      <c r="G889" s="1344" t="n">
        <f aca="false">C889*D889*E889*F889</f>
        <v>0</v>
      </c>
      <c r="H889" s="1344"/>
      <c r="I889" s="1344"/>
      <c r="J889" s="1344"/>
      <c r="K889" s="1344"/>
      <c r="L889" s="1344"/>
      <c r="M889" s="1344"/>
      <c r="N889" s="1344"/>
      <c r="O889" s="1344"/>
      <c r="P889" s="1707"/>
      <c r="Q889" s="1707"/>
      <c r="R889" s="1707"/>
      <c r="S889" s="1344"/>
      <c r="T889" s="1344"/>
      <c r="U889" s="1753"/>
      <c r="V889" s="1344"/>
      <c r="W889" s="1344"/>
      <c r="X889" s="1344"/>
      <c r="Y889" s="1707"/>
      <c r="Z889" s="1707"/>
      <c r="AA889" s="1344"/>
      <c r="AB889" s="1344"/>
      <c r="AC889" s="1344"/>
      <c r="AD889" s="1344"/>
    </row>
    <row r="890" s="1709" customFormat="true" ht="15.75" hidden="true" customHeight="true" outlineLevel="1" collapsed="false">
      <c r="A890" s="1799" t="s">
        <v>3415</v>
      </c>
      <c r="B890" s="1294" t="str">
        <f aca="false">B428</f>
        <v>м.п.</v>
      </c>
      <c r="C890" s="1799" t="n">
        <f aca="false">C428</f>
        <v>0.4</v>
      </c>
      <c r="D890" s="1799" t="n">
        <f aca="false">D428</f>
        <v>0.045</v>
      </c>
      <c r="E890" s="1799" t="n">
        <f aca="false">1</f>
        <v>1</v>
      </c>
      <c r="F890" s="1799" t="n">
        <f aca="false">R863*VLOOKUP('Ввод данных'!$C$79,связи1!$A$2:$B$3,2,0)</f>
        <v>0</v>
      </c>
      <c r="G890" s="1344" t="n">
        <f aca="false">C890*D890*E890*F890</f>
        <v>0</v>
      </c>
      <c r="H890" s="1344"/>
      <c r="I890" s="1344"/>
      <c r="J890" s="1344"/>
      <c r="K890" s="1344"/>
      <c r="L890" s="1344"/>
      <c r="M890" s="1344"/>
      <c r="N890" s="1344"/>
      <c r="O890" s="1344"/>
      <c r="P890" s="1707"/>
      <c r="Q890" s="1707"/>
      <c r="R890" s="1707"/>
      <c r="S890" s="1344"/>
      <c r="T890" s="1344"/>
      <c r="U890" s="1753"/>
      <c r="V890" s="1344"/>
      <c r="W890" s="1344"/>
      <c r="X890" s="1344"/>
      <c r="Y890" s="1707"/>
      <c r="Z890" s="1707"/>
      <c r="AA890" s="1344"/>
      <c r="AB890" s="1344"/>
      <c r="AC890" s="1344"/>
      <c r="AD890" s="1344"/>
    </row>
    <row r="891" s="1709" customFormat="true" ht="15.75" hidden="true" customHeight="true" outlineLevel="1" collapsed="false">
      <c r="A891" s="1799" t="s">
        <v>3499</v>
      </c>
      <c r="B891" s="1294" t="str">
        <f aca="false">B429</f>
        <v>м.п.</v>
      </c>
      <c r="C891" s="1799" t="n">
        <f aca="false">C429</f>
        <v>0.4</v>
      </c>
      <c r="D891" s="1799" t="n">
        <f aca="false">D429</f>
        <v>0.045</v>
      </c>
      <c r="E891" s="1799" t="n">
        <v>1.5</v>
      </c>
      <c r="F891" s="1799" t="n">
        <f aca="false">8*VLOOKUP('Ввод данных'!$C$79,связи1!$A$2:$B$3,2,0)</f>
        <v>0</v>
      </c>
      <c r="G891" s="1344" t="n">
        <f aca="false">C891*D891*E891*F891</f>
        <v>0</v>
      </c>
      <c r="H891" s="1344"/>
      <c r="I891" s="1344"/>
      <c r="J891" s="1344"/>
      <c r="K891" s="1344"/>
      <c r="L891" s="1344"/>
      <c r="M891" s="1344"/>
      <c r="N891" s="1344"/>
      <c r="O891" s="1344"/>
      <c r="P891" s="1707"/>
      <c r="Q891" s="1707"/>
      <c r="R891" s="1707"/>
      <c r="S891" s="1344"/>
      <c r="T891" s="1344"/>
      <c r="U891" s="1753"/>
      <c r="V891" s="1344"/>
      <c r="W891" s="1344"/>
      <c r="X891" s="1344"/>
      <c r="Y891" s="1707"/>
      <c r="Z891" s="1707"/>
      <c r="AA891" s="1344"/>
      <c r="AB891" s="1344"/>
      <c r="AC891" s="1344"/>
      <c r="AD891" s="1344"/>
    </row>
    <row r="892" s="1709" customFormat="true" ht="15.75" hidden="true" customHeight="true" outlineLevel="1" collapsed="false">
      <c r="A892" s="1799" t="s">
        <v>3500</v>
      </c>
      <c r="B892" s="1294" t="str">
        <f aca="false">B430</f>
        <v>м.п.</v>
      </c>
      <c r="C892" s="1799" t="n">
        <f aca="false">C430</f>
        <v>0.4</v>
      </c>
      <c r="D892" s="1799" t="n">
        <f aca="false">D430</f>
        <v>0.045</v>
      </c>
      <c r="E892" s="1799" t="n">
        <f aca="false">IF('Ввод данных'!A75=связи1!A106,IF('Ввод данных'!A73=связи1!A94,0,0)+IF('Ввод данных'!A73=связи1!A95,связи1!C575-связи1!C574,0)+IF('Ввод данных'!A73=связи1!A96,связи1!C575,0)+IF('Ввод данных'!A73=связи1!A97,0,0)+IF('Ввод данных'!A73=связи1!A98,связи1!C575,0),0)</f>
        <v>0</v>
      </c>
      <c r="F892" s="1799" t="n">
        <f aca="false">2*VLOOKUP('Ввод данных'!$C$79,связи1!$A$2:$B$3,2,0)</f>
        <v>0</v>
      </c>
      <c r="G892" s="1344" t="n">
        <f aca="false">C892*D892*E892*F892</f>
        <v>0</v>
      </c>
      <c r="H892" s="1344"/>
      <c r="I892" s="1344"/>
      <c r="J892" s="1344"/>
      <c r="K892" s="1344"/>
      <c r="L892" s="1344"/>
      <c r="M892" s="1344"/>
      <c r="N892" s="1344"/>
      <c r="O892" s="1344"/>
      <c r="P892" s="1707"/>
      <c r="Q892" s="1707"/>
      <c r="R892" s="1707"/>
      <c r="S892" s="1344"/>
      <c r="T892" s="1344"/>
      <c r="U892" s="1753"/>
      <c r="V892" s="1344"/>
      <c r="W892" s="1344"/>
      <c r="X892" s="1344"/>
      <c r="Y892" s="1707"/>
      <c r="Z892" s="1707"/>
      <c r="AA892" s="1344"/>
      <c r="AB892" s="1344"/>
      <c r="AC892" s="1344"/>
      <c r="AD892" s="1344"/>
    </row>
    <row r="893" s="1709" customFormat="true" ht="15.75" hidden="true" customHeight="true" outlineLevel="1" collapsed="false">
      <c r="A893" s="1799" t="s">
        <v>3501</v>
      </c>
      <c r="B893" s="1294" t="str">
        <f aca="false">B431</f>
        <v>м.п.</v>
      </c>
      <c r="C893" s="1799" t="n">
        <f aca="false">C431</f>
        <v>0.4</v>
      </c>
      <c r="D893" s="1799" t="n">
        <f aca="false">D431</f>
        <v>0.045</v>
      </c>
      <c r="E893" s="1799" t="n">
        <f aca="false">IF('Ввод данных'!$A$73=связи1!$A$96,IF(дома!E892&lt;связи1!$C$576,0,дома!E892-$C$881),0)+IF(дома!E892=0,0,IF('Ввод данных'!$A$73=связи1!$A$95,IF(дома!E892&lt;0,0,дома!E892-$C$881),0))+IF('Ввод данных'!$A$73=связи1!$A$98,IF(дома!E892&lt;связи1!$C$576,0,дома!E892-$C$881),0)</f>
        <v>0</v>
      </c>
      <c r="F893" s="1799" t="n">
        <f aca="false">2*VLOOKUP('Ввод данных'!$C$79,связи1!$A$2:$B$3,2,0)</f>
        <v>0</v>
      </c>
      <c r="G893" s="1344" t="n">
        <f aca="false">C893*D893*E893*F893</f>
        <v>0</v>
      </c>
      <c r="H893" s="1344"/>
      <c r="I893" s="1344"/>
      <c r="J893" s="1344"/>
      <c r="K893" s="1344"/>
      <c r="L893" s="1344"/>
      <c r="M893" s="1344"/>
      <c r="N893" s="1344"/>
      <c r="O893" s="1344"/>
      <c r="P893" s="1707"/>
      <c r="Q893" s="1707"/>
      <c r="R893" s="1707"/>
      <c r="S893" s="1344"/>
      <c r="T893" s="1344"/>
      <c r="U893" s="1753"/>
      <c r="V893" s="1344"/>
      <c r="W893" s="1344"/>
      <c r="X893" s="1344"/>
      <c r="Y893" s="1707"/>
      <c r="Z893" s="1707"/>
      <c r="AA893" s="1344"/>
      <c r="AB893" s="1344"/>
      <c r="AC893" s="1344"/>
      <c r="AD893" s="1344"/>
    </row>
    <row r="894" s="1709" customFormat="true" ht="15.75" hidden="true" customHeight="true" outlineLevel="1" collapsed="false">
      <c r="A894" s="1799" t="s">
        <v>3502</v>
      </c>
      <c r="B894" s="1294" t="str">
        <f aca="false">B432</f>
        <v>м.п.</v>
      </c>
      <c r="C894" s="1799" t="n">
        <f aca="false">C432</f>
        <v>0.4</v>
      </c>
      <c r="D894" s="1799" t="n">
        <f aca="false">D432</f>
        <v>0.045</v>
      </c>
      <c r="E894" s="1799" t="n">
        <f aca="false">IF('Ввод данных'!$A$73=связи1!$A$96,IF(дома!E893&lt;связи1!$C$576,0,дома!E893-$C$881),0)+IF(дома!E893=0,0,IF('Ввод данных'!$A$73=связи1!$A$95,IF(дома!E893&lt;0,0,дома!E893-$C$881),0))+IF('Ввод данных'!$A$73=связи1!$A$98,IF(дома!E893&lt;связи1!$C$576,0,дома!E893-$C$881),0)</f>
        <v>0</v>
      </c>
      <c r="F894" s="1799" t="n">
        <f aca="false">2*VLOOKUP('Ввод данных'!$C$79,связи1!$A$2:$B$3,2,0)</f>
        <v>0</v>
      </c>
      <c r="G894" s="1344" t="n">
        <f aca="false">C894*D894*E894*F894</f>
        <v>0</v>
      </c>
      <c r="H894" s="1344"/>
      <c r="I894" s="1344"/>
      <c r="J894" s="1344"/>
      <c r="K894" s="1344"/>
      <c r="L894" s="1344"/>
      <c r="M894" s="1344"/>
      <c r="N894" s="1344"/>
      <c r="O894" s="1344"/>
      <c r="P894" s="1707"/>
      <c r="Q894" s="1707"/>
      <c r="R894" s="1707"/>
      <c r="S894" s="1344"/>
      <c r="T894" s="1344"/>
      <c r="U894" s="1753"/>
      <c r="V894" s="1344"/>
      <c r="W894" s="1344"/>
      <c r="X894" s="1344"/>
      <c r="Y894" s="1707"/>
      <c r="Z894" s="1707"/>
      <c r="AA894" s="1344"/>
      <c r="AB894" s="1344"/>
      <c r="AC894" s="1344"/>
      <c r="AD894" s="1344"/>
    </row>
    <row r="895" s="1709" customFormat="true" ht="15.75" hidden="true" customHeight="true" outlineLevel="1" collapsed="false">
      <c r="A895" s="1799" t="s">
        <v>3503</v>
      </c>
      <c r="B895" s="1294" t="str">
        <f aca="false">B433</f>
        <v>м.п.</v>
      </c>
      <c r="C895" s="1799" t="n">
        <f aca="false">C433</f>
        <v>0.4</v>
      </c>
      <c r="D895" s="1799" t="n">
        <f aca="false">D433</f>
        <v>0.045</v>
      </c>
      <c r="E895" s="1799" t="n">
        <f aca="false">IF('Ввод данных'!$A$73=связи1!$A$96,IF(дома!E894&lt;связи1!$C$576,0,дома!E894-$C$881),0)+IF(дома!E894=0,0,IF('Ввод данных'!$A$73=связи1!$A$95,IF(дома!E894&lt;0,0,дома!E894-$C$881),0))+IF('Ввод данных'!$A$73=связи1!$A$98,IF(дома!E894&lt;связи1!$C$576,0,дома!E894-$C$881),0)</f>
        <v>0</v>
      </c>
      <c r="F895" s="1799" t="n">
        <f aca="false">2*VLOOKUP('Ввод данных'!$C$79,связи1!$A$2:$B$3,2,0)</f>
        <v>0</v>
      </c>
      <c r="G895" s="1344" t="n">
        <f aca="false">C895*D895*E895*F895</f>
        <v>0</v>
      </c>
      <c r="H895" s="1344"/>
      <c r="I895" s="1344"/>
      <c r="J895" s="1344"/>
      <c r="K895" s="1344"/>
      <c r="L895" s="1344"/>
      <c r="M895" s="1344"/>
      <c r="N895" s="1344"/>
      <c r="O895" s="1344"/>
      <c r="P895" s="1707"/>
      <c r="Q895" s="1707"/>
      <c r="R895" s="1707"/>
      <c r="S895" s="1344"/>
      <c r="T895" s="1344"/>
      <c r="U895" s="1753"/>
      <c r="V895" s="1344"/>
      <c r="W895" s="1344"/>
      <c r="X895" s="1344"/>
      <c r="Y895" s="1707"/>
      <c r="Z895" s="1707"/>
      <c r="AA895" s="1344"/>
      <c r="AB895" s="1344"/>
      <c r="AC895" s="1344"/>
      <c r="AD895" s="1344"/>
    </row>
    <row r="896" s="1709" customFormat="true" ht="15.75" hidden="true" customHeight="true" outlineLevel="1" collapsed="false">
      <c r="A896" s="1799" t="s">
        <v>3504</v>
      </c>
      <c r="B896" s="1294" t="str">
        <f aca="false">B434</f>
        <v>м.п.</v>
      </c>
      <c r="C896" s="1799" t="n">
        <f aca="false">C434</f>
        <v>0.4</v>
      </c>
      <c r="D896" s="1799" t="n">
        <f aca="false">D434</f>
        <v>0.045</v>
      </c>
      <c r="E896" s="1799" t="n">
        <f aca="false">IF('Ввод данных'!$A$73=связи1!$A$96,IF(дома!E895&lt;связи1!$C$576,0,дома!E895-$C$881),0)+IF(дома!E895=0,0,IF('Ввод данных'!$A$73=связи1!$A$95,IF(дома!E895&lt;0,0,дома!E895-$C$881),0))+IF('Ввод данных'!$A$73=связи1!$A$98,IF(дома!E895&lt;связи1!$C$576,0,дома!E895-$C$881),0)</f>
        <v>0</v>
      </c>
      <c r="F896" s="1799" t="n">
        <f aca="false">2*VLOOKUP('Ввод данных'!$C$79,связи1!$A$2:$B$3,2,0)</f>
        <v>0</v>
      </c>
      <c r="G896" s="1344" t="n">
        <f aca="false">C896*D896*E896*F896</f>
        <v>0</v>
      </c>
      <c r="H896" s="1344"/>
      <c r="I896" s="1344"/>
      <c r="J896" s="1344"/>
      <c r="K896" s="1344"/>
      <c r="L896" s="1344"/>
      <c r="M896" s="1344"/>
      <c r="N896" s="1344"/>
      <c r="O896" s="1344"/>
      <c r="P896" s="1707"/>
      <c r="Q896" s="1707"/>
      <c r="R896" s="1707"/>
      <c r="S896" s="1344"/>
      <c r="T896" s="1344"/>
      <c r="U896" s="1753"/>
      <c r="V896" s="1344"/>
      <c r="W896" s="1344"/>
      <c r="X896" s="1344"/>
      <c r="Y896" s="1707"/>
      <c r="Z896" s="1707"/>
      <c r="AA896" s="1344"/>
      <c r="AB896" s="1344"/>
      <c r="AC896" s="1344"/>
      <c r="AD896" s="1344"/>
    </row>
    <row r="897" s="1709" customFormat="true" ht="15.75" hidden="true" customHeight="true" outlineLevel="1" collapsed="false">
      <c r="A897" s="1799" t="s">
        <v>3505</v>
      </c>
      <c r="B897" s="1294" t="str">
        <f aca="false">B435</f>
        <v>м.п.</v>
      </c>
      <c r="C897" s="1799" t="n">
        <f aca="false">C435</f>
        <v>0.4</v>
      </c>
      <c r="D897" s="1799" t="n">
        <f aca="false">D435</f>
        <v>0.045</v>
      </c>
      <c r="E897" s="1799" t="n">
        <f aca="false">IF('Ввод данных'!$A$73=связи1!$A$96,IF(дома!E896&lt;связи1!$C$576,0,дома!E896-$C$881),0)+IF(дома!E896=0,0,IF('Ввод данных'!$A$73=связи1!$A$95,IF(дома!E896&lt;0,0,дома!E896-$C$881),0))+IF('Ввод данных'!$A$73=связи1!$A$98,IF(дома!E896&lt;связи1!$C$576,0,дома!E896-$C$881),0)</f>
        <v>0</v>
      </c>
      <c r="F897" s="1799" t="n">
        <f aca="false">2*VLOOKUP('Ввод данных'!$C$79,связи1!$A$2:$B$3,2,0)</f>
        <v>0</v>
      </c>
      <c r="G897" s="1344" t="n">
        <f aca="false">C897*D897*E897*F897</f>
        <v>0</v>
      </c>
      <c r="H897" s="1344"/>
      <c r="I897" s="1344"/>
      <c r="J897" s="1344"/>
      <c r="K897" s="1344"/>
      <c r="L897" s="1344"/>
      <c r="M897" s="1344"/>
      <c r="N897" s="1344"/>
      <c r="O897" s="1344"/>
      <c r="P897" s="1707"/>
      <c r="Q897" s="1707"/>
      <c r="R897" s="1707"/>
      <c r="S897" s="1344"/>
      <c r="T897" s="1344"/>
      <c r="U897" s="1753"/>
      <c r="V897" s="1344"/>
      <c r="W897" s="1344"/>
      <c r="X897" s="1344"/>
      <c r="Y897" s="1707"/>
      <c r="Z897" s="1707"/>
      <c r="AA897" s="1344"/>
      <c r="AB897" s="1344"/>
      <c r="AC897" s="1344"/>
      <c r="AD897" s="1344"/>
    </row>
    <row r="898" s="1709" customFormat="true" ht="15.75" hidden="true" customHeight="true" outlineLevel="1" collapsed="false">
      <c r="A898" s="1799" t="s">
        <v>3506</v>
      </c>
      <c r="B898" s="1294" t="str">
        <f aca="false">B436</f>
        <v>м.п.</v>
      </c>
      <c r="C898" s="1799" t="n">
        <f aca="false">C436</f>
        <v>0.4</v>
      </c>
      <c r="D898" s="1799" t="n">
        <f aca="false">D436</f>
        <v>0.045</v>
      </c>
      <c r="E898" s="1799" t="n">
        <f aca="false">IF('Ввод данных'!$A$73=связи1!$A$96,IF(дома!E897&lt;связи1!$C$576,0,дома!E897-$C$881),0)+IF(дома!E897=0,0,IF('Ввод данных'!$A$73=связи1!$A$95,IF(дома!E897&lt;0,0,дома!E897-$C$881),0))+IF('Ввод данных'!$A$73=связи1!$A$98,IF(дома!E897&lt;связи1!$C$576,0,дома!E897-$C$881),0)</f>
        <v>0</v>
      </c>
      <c r="F898" s="1799" t="n">
        <f aca="false">2*VLOOKUP('Ввод данных'!$C$79,связи1!$A$2:$B$3,2,0)</f>
        <v>0</v>
      </c>
      <c r="G898" s="1344" t="n">
        <f aca="false">C898*D898*E898*F898</f>
        <v>0</v>
      </c>
      <c r="H898" s="1344"/>
      <c r="I898" s="1344"/>
      <c r="J898" s="1344"/>
      <c r="K898" s="1344"/>
      <c r="L898" s="1344"/>
      <c r="M898" s="1344"/>
      <c r="N898" s="1344"/>
      <c r="O898" s="1344"/>
      <c r="P898" s="1707"/>
      <c r="Q898" s="1707"/>
      <c r="R898" s="1707"/>
      <c r="S898" s="1344"/>
      <c r="T898" s="1344"/>
      <c r="U898" s="1753"/>
      <c r="V898" s="1344"/>
      <c r="W898" s="1344"/>
      <c r="X898" s="1344"/>
      <c r="Y898" s="1707"/>
      <c r="Z898" s="1707"/>
      <c r="AA898" s="1344"/>
      <c r="AB898" s="1344"/>
      <c r="AC898" s="1344"/>
      <c r="AD898" s="1344"/>
    </row>
    <row r="899" s="1709" customFormat="true" ht="15.75" hidden="true" customHeight="true" outlineLevel="1" collapsed="false">
      <c r="A899" s="1799" t="s">
        <v>3507</v>
      </c>
      <c r="B899" s="1294" t="str">
        <f aca="false">B437</f>
        <v>м.п.</v>
      </c>
      <c r="C899" s="1799" t="n">
        <f aca="false">C437</f>
        <v>0.4</v>
      </c>
      <c r="D899" s="1799" t="n">
        <f aca="false">D437</f>
        <v>0.045</v>
      </c>
      <c r="E899" s="1799" t="n">
        <f aca="false">IF('Ввод данных'!$A$73=связи1!$A$96,IF(дома!E898&lt;связи1!$C$576,0,дома!E898-$C$881),0)+IF(дома!E898=0,0,IF('Ввод данных'!$A$73=связи1!$A$95,IF(дома!E898&lt;0,0,дома!E898-$C$881),0))+IF('Ввод данных'!$A$73=связи1!$A$98,IF(дома!E898&lt;связи1!$C$576,0,дома!E898-$C$881),0)</f>
        <v>0</v>
      </c>
      <c r="F899" s="1799" t="n">
        <f aca="false">2*VLOOKUP('Ввод данных'!$C$79,связи1!$A$2:$B$3,2,0)</f>
        <v>0</v>
      </c>
      <c r="G899" s="1344" t="n">
        <f aca="false">C899*D899*E899*F899</f>
        <v>0</v>
      </c>
      <c r="H899" s="1344"/>
      <c r="I899" s="1344"/>
      <c r="J899" s="1344"/>
      <c r="K899" s="1344"/>
      <c r="L899" s="1344"/>
      <c r="M899" s="1344"/>
      <c r="N899" s="1344"/>
      <c r="O899" s="1344"/>
      <c r="P899" s="1707"/>
      <c r="Q899" s="1707"/>
      <c r="R899" s="1707"/>
      <c r="S899" s="1344"/>
      <c r="T899" s="1344"/>
      <c r="U899" s="1753"/>
      <c r="V899" s="1344"/>
      <c r="W899" s="1344"/>
      <c r="X899" s="1344"/>
      <c r="Y899" s="1707"/>
      <c r="Z899" s="1707"/>
      <c r="AA899" s="1344"/>
      <c r="AB899" s="1344"/>
      <c r="AC899" s="1344"/>
      <c r="AD899" s="1344"/>
    </row>
    <row r="900" s="1709" customFormat="true" ht="15.75" hidden="true" customHeight="true" outlineLevel="1" collapsed="false">
      <c r="A900" s="1799" t="s">
        <v>3508</v>
      </c>
      <c r="B900" s="1294" t="str">
        <f aca="false">B438</f>
        <v>м.п.</v>
      </c>
      <c r="C900" s="1799" t="n">
        <f aca="false">C438</f>
        <v>0.4</v>
      </c>
      <c r="D900" s="1799" t="n">
        <f aca="false">D438</f>
        <v>0.045</v>
      </c>
      <c r="E900" s="1799" t="n">
        <f aca="false">IF('Ввод данных'!$A$73=связи1!$A$96,IF(дома!E899&lt;связи1!$C$576,0,дома!E899-$C$881),0)+IF(дома!E899=0,0,IF('Ввод данных'!$A$73=связи1!$A$95,IF(дома!E899&lt;0,0,дома!E899-$C$881),0))+IF('Ввод данных'!$A$73=связи1!$A$98,IF(дома!E899&lt;связи1!$C$576,0,дома!E899-$C$881),0)</f>
        <v>0</v>
      </c>
      <c r="F900" s="1799" t="n">
        <f aca="false">2*VLOOKUP('Ввод данных'!$C$79,связи1!$A$2:$B$3,2,0)</f>
        <v>0</v>
      </c>
      <c r="G900" s="1344" t="n">
        <f aca="false">C900*D900*E900*F900</f>
        <v>0</v>
      </c>
      <c r="H900" s="1344"/>
      <c r="I900" s="1344"/>
      <c r="J900" s="1344"/>
      <c r="K900" s="1344"/>
      <c r="L900" s="1344"/>
      <c r="M900" s="1344"/>
      <c r="N900" s="1344"/>
      <c r="O900" s="1344"/>
      <c r="P900" s="1707"/>
      <c r="Q900" s="1707"/>
      <c r="R900" s="1707"/>
      <c r="S900" s="1344"/>
      <c r="T900" s="1344"/>
      <c r="U900" s="1753"/>
      <c r="V900" s="1344"/>
      <c r="W900" s="1344"/>
      <c r="X900" s="1344"/>
      <c r="Y900" s="1707"/>
      <c r="Z900" s="1707"/>
      <c r="AA900" s="1344"/>
      <c r="AB900" s="1344"/>
      <c r="AC900" s="1344"/>
      <c r="AD900" s="1344"/>
    </row>
    <row r="901" s="1709" customFormat="true" ht="15.75" hidden="true" customHeight="true" outlineLevel="1" collapsed="false">
      <c r="A901" s="1799" t="s">
        <v>3509</v>
      </c>
      <c r="B901" s="1294" t="str">
        <f aca="false">B439</f>
        <v>м.п.</v>
      </c>
      <c r="C901" s="1799" t="n">
        <f aca="false">C439</f>
        <v>0.4</v>
      </c>
      <c r="D901" s="1799" t="n">
        <f aca="false">D439</f>
        <v>0.045</v>
      </c>
      <c r="E901" s="1799" t="n">
        <f aca="false">IF('Ввод данных'!$A$73=связи1!$A$96,IF(дома!E900&lt;связи1!$C$576,0,дома!E900-$C$881),0)+IF(дома!E900=0,0,IF('Ввод данных'!$A$73=связи1!$A$95,IF(дома!E900&lt;0,0,дома!E900-$C$881),0))+IF('Ввод данных'!$A$73=связи1!$A$98,IF(дома!E900&lt;связи1!$C$576,0,дома!E900-$C$881),0)</f>
        <v>0</v>
      </c>
      <c r="F901" s="1799" t="n">
        <f aca="false">2*VLOOKUP('Ввод данных'!$C$79,связи1!$A$2:$B$3,2,0)</f>
        <v>0</v>
      </c>
      <c r="G901" s="1344" t="n">
        <f aca="false">C901*D901*E901*F901</f>
        <v>0</v>
      </c>
      <c r="H901" s="1344"/>
      <c r="I901" s="1344"/>
      <c r="J901" s="1344"/>
      <c r="K901" s="1344"/>
      <c r="L901" s="1344"/>
      <c r="M901" s="1344"/>
      <c r="N901" s="1344"/>
      <c r="O901" s="1344"/>
      <c r="P901" s="1707"/>
      <c r="Q901" s="1707"/>
      <c r="R901" s="1707"/>
      <c r="S901" s="1344"/>
      <c r="T901" s="1344"/>
      <c r="U901" s="1753"/>
      <c r="V901" s="1344"/>
      <c r="W901" s="1344"/>
      <c r="X901" s="1344"/>
      <c r="Y901" s="1707"/>
      <c r="Z901" s="1707"/>
      <c r="AA901" s="1344"/>
      <c r="AB901" s="1344"/>
      <c r="AC901" s="1344"/>
      <c r="AD901" s="1344"/>
    </row>
    <row r="902" s="1709" customFormat="true" ht="15.75" hidden="true" customHeight="true" outlineLevel="1" collapsed="false">
      <c r="A902" s="1799" t="s">
        <v>3510</v>
      </c>
      <c r="B902" s="1294" t="str">
        <f aca="false">B440</f>
        <v>м.п.</v>
      </c>
      <c r="C902" s="1799" t="n">
        <f aca="false">C440</f>
        <v>0.4</v>
      </c>
      <c r="D902" s="1799" t="n">
        <f aca="false">D440</f>
        <v>0.045</v>
      </c>
      <c r="E902" s="1799" t="n">
        <f aca="false">IF('Ввод данных'!$A$73=связи1!$A$96,IF(дома!E901&lt;связи1!$C$576,0,дома!E901-$C$881),0)+IF(дома!E901=0,0,IF('Ввод данных'!$A$73=связи1!$A$95,IF(дома!E901&lt;0,0,дома!E901-$C$881),0))+IF('Ввод данных'!$A$73=связи1!$A$98,IF(дома!E901&lt;связи1!$C$576,0,дома!E901-$C$881),0)</f>
        <v>0</v>
      </c>
      <c r="F902" s="1799" t="n">
        <f aca="false">2*VLOOKUP('Ввод данных'!$C$79,связи1!$A$2:$B$3,2,0)</f>
        <v>0</v>
      </c>
      <c r="G902" s="1344" t="n">
        <f aca="false">C902*D902*E902*F902</f>
        <v>0</v>
      </c>
      <c r="H902" s="1344"/>
      <c r="I902" s="1344"/>
      <c r="J902" s="1344"/>
      <c r="K902" s="1344"/>
      <c r="L902" s="1344"/>
      <c r="M902" s="1344"/>
      <c r="N902" s="1344"/>
      <c r="O902" s="1344"/>
      <c r="P902" s="1707"/>
      <c r="Q902" s="1707"/>
      <c r="R902" s="1707"/>
      <c r="S902" s="1344"/>
      <c r="T902" s="1344"/>
      <c r="U902" s="1753"/>
      <c r="V902" s="1344"/>
      <c r="W902" s="1344"/>
      <c r="X902" s="1344"/>
      <c r="Y902" s="1707"/>
      <c r="Z902" s="1707"/>
      <c r="AA902" s="1344"/>
      <c r="AB902" s="1344"/>
      <c r="AC902" s="1344"/>
      <c r="AD902" s="1344"/>
    </row>
    <row r="903" s="1709" customFormat="true" ht="15.75" hidden="true" customHeight="true" outlineLevel="1" collapsed="false">
      <c r="A903" s="1799" t="s">
        <v>3511</v>
      </c>
      <c r="B903" s="1294" t="str">
        <f aca="false">B441</f>
        <v>м.п.</v>
      </c>
      <c r="C903" s="1799" t="n">
        <f aca="false">C441</f>
        <v>0.4</v>
      </c>
      <c r="D903" s="1799" t="n">
        <f aca="false">D441</f>
        <v>0.045</v>
      </c>
      <c r="E903" s="1799" t="n">
        <f aca="false">IF('Ввод данных'!$A$73=связи1!$A$96,IF(дома!E902&lt;связи1!$C$576,0,дома!E902-$C$881),0)+IF(дома!E902=0,0,IF('Ввод данных'!$A$73=связи1!$A$95,IF(дома!E902&lt;0,0,дома!E902-$C$881),0))+IF('Ввод данных'!$A$73=связи1!$A$98,IF(дома!E902&lt;связи1!$C$576,0,дома!E902-$C$881),0)</f>
        <v>0</v>
      </c>
      <c r="F903" s="1799" t="n">
        <f aca="false">2*VLOOKUP('Ввод данных'!$C$79,связи1!$A$2:$B$3,2,0)</f>
        <v>0</v>
      </c>
      <c r="G903" s="1344" t="n">
        <f aca="false">C903*D903*E903*F903</f>
        <v>0</v>
      </c>
      <c r="H903" s="1344"/>
      <c r="I903" s="1344"/>
      <c r="J903" s="1344"/>
      <c r="K903" s="1344"/>
      <c r="L903" s="1344"/>
      <c r="M903" s="1344"/>
      <c r="N903" s="1344"/>
      <c r="O903" s="1344"/>
      <c r="P903" s="1707"/>
      <c r="Q903" s="1707"/>
      <c r="R903" s="1707"/>
      <c r="S903" s="1344"/>
      <c r="T903" s="1344"/>
      <c r="U903" s="1753"/>
      <c r="V903" s="1344"/>
      <c r="W903" s="1344"/>
      <c r="X903" s="1344"/>
      <c r="Y903" s="1707"/>
      <c r="Z903" s="1707"/>
      <c r="AA903" s="1344"/>
      <c r="AB903" s="1344"/>
      <c r="AC903" s="1344"/>
      <c r="AD903" s="1344"/>
    </row>
    <row r="904" s="1709" customFormat="true" ht="15.75" hidden="true" customHeight="true" outlineLevel="1" collapsed="false">
      <c r="A904" s="1799" t="s">
        <v>3512</v>
      </c>
      <c r="B904" s="1294" t="str">
        <f aca="false">B442</f>
        <v>м.п.</v>
      </c>
      <c r="C904" s="1799" t="n">
        <f aca="false">C442</f>
        <v>0.4</v>
      </c>
      <c r="D904" s="1799" t="n">
        <f aca="false">D442</f>
        <v>0.045</v>
      </c>
      <c r="E904" s="1799" t="n">
        <f aca="false">IF('Ввод данных'!$A$73=связи1!$A$96,IF(дома!E903&lt;связи1!$C$576,0,дома!E903-$C$881),0)+IF(дома!E903=0,0,IF('Ввод данных'!$A$73=связи1!$A$95,IF(дома!E903&lt;0,0,дома!E903-$C$881),0))+IF('Ввод данных'!$A$73=связи1!$A$98,IF(дома!E903&lt;связи1!$C$576,0,дома!E903-$C$881),0)</f>
        <v>0</v>
      </c>
      <c r="F904" s="1799" t="n">
        <f aca="false">2*VLOOKUP('Ввод данных'!$C$79,связи1!$A$2:$B$3,2,0)</f>
        <v>0</v>
      </c>
      <c r="G904" s="1344" t="n">
        <f aca="false">C904*D904*E904*F904</f>
        <v>0</v>
      </c>
      <c r="H904" s="1344"/>
      <c r="I904" s="1344"/>
      <c r="J904" s="1344"/>
      <c r="K904" s="1344"/>
      <c r="L904" s="1344"/>
      <c r="M904" s="1344"/>
      <c r="N904" s="1344"/>
      <c r="O904" s="1344"/>
      <c r="P904" s="1707"/>
      <c r="Q904" s="1707"/>
      <c r="R904" s="1707"/>
      <c r="S904" s="1344"/>
      <c r="T904" s="1344"/>
      <c r="U904" s="1753"/>
      <c r="V904" s="1344"/>
      <c r="W904" s="1344"/>
      <c r="X904" s="1344"/>
      <c r="Y904" s="1707"/>
      <c r="Z904" s="1707"/>
      <c r="AA904" s="1344"/>
      <c r="AB904" s="1344"/>
      <c r="AC904" s="1344"/>
      <c r="AD904" s="1344"/>
    </row>
    <row r="905" s="1709" customFormat="true" ht="15.75" hidden="true" customHeight="true" outlineLevel="1" collapsed="false">
      <c r="A905" s="1799" t="s">
        <v>3513</v>
      </c>
      <c r="B905" s="1294" t="str">
        <f aca="false">B443</f>
        <v>м.п.</v>
      </c>
      <c r="C905" s="1799" t="n">
        <f aca="false">C443</f>
        <v>0.4</v>
      </c>
      <c r="D905" s="1799" t="n">
        <f aca="false">D443</f>
        <v>0.045</v>
      </c>
      <c r="E905" s="1799" t="n">
        <f aca="false">IF('Ввод данных'!$A$73=связи1!$A$96,IF(дома!E904&lt;связи1!$C$576,0,дома!E904-$C$881),0)+IF(дома!E904=0,0,IF('Ввод данных'!$A$73=связи1!$A$95,IF(дома!E904&lt;0,0,дома!E904-$C$881),0))+IF('Ввод данных'!$A$73=связи1!$A$98,IF(дома!E904&lt;связи1!$C$576,0,дома!E904-$C$881),0)</f>
        <v>0</v>
      </c>
      <c r="F905" s="1799" t="n">
        <f aca="false">2*VLOOKUP('Ввод данных'!$C$79,связи1!$A$2:$B$3,2,0)</f>
        <v>0</v>
      </c>
      <c r="G905" s="1344" t="n">
        <f aca="false">C905*D905*E905*F905</f>
        <v>0</v>
      </c>
      <c r="H905" s="1344"/>
      <c r="I905" s="1344"/>
      <c r="J905" s="1344"/>
      <c r="K905" s="1344"/>
      <c r="L905" s="1344"/>
      <c r="M905" s="1344"/>
      <c r="N905" s="1344"/>
      <c r="O905" s="1344"/>
      <c r="P905" s="1707"/>
      <c r="Q905" s="1707"/>
      <c r="R905" s="1707"/>
      <c r="S905" s="1344"/>
      <c r="T905" s="1344"/>
      <c r="U905" s="1753"/>
      <c r="V905" s="1344"/>
      <c r="W905" s="1344"/>
      <c r="X905" s="1344"/>
      <c r="Y905" s="1707"/>
      <c r="Z905" s="1707"/>
      <c r="AA905" s="1344"/>
      <c r="AB905" s="1344"/>
      <c r="AC905" s="1344"/>
      <c r="AD905" s="1344"/>
    </row>
    <row r="906" s="1709" customFormat="true" ht="15.75" hidden="true" customHeight="true" outlineLevel="1" collapsed="false">
      <c r="A906" s="1799" t="s">
        <v>3514</v>
      </c>
      <c r="B906" s="1294" t="str">
        <f aca="false">B444</f>
        <v>м.п.</v>
      </c>
      <c r="C906" s="1799" t="n">
        <f aca="false">C444</f>
        <v>0.4</v>
      </c>
      <c r="D906" s="1799" t="n">
        <f aca="false">D444</f>
        <v>0.045</v>
      </c>
      <c r="E906" s="1799" t="n">
        <f aca="false">IF('Ввод данных'!$A$73=связи1!$A$96,IF(дома!E905&lt;связи1!$C$576,0,дома!E905-$C$881),0)+IF(дома!E905=0,0,IF('Ввод данных'!$A$73=связи1!$A$95,IF(дома!E905&lt;0,0,дома!E905-$C$881),0))+IF('Ввод данных'!$A$73=связи1!$A$98,IF(дома!E905&lt;связи1!$C$576,0,дома!E905-$C$881),0)</f>
        <v>0</v>
      </c>
      <c r="F906" s="1799" t="n">
        <f aca="false">2*VLOOKUP('Ввод данных'!$C$79,связи1!$A$2:$B$3,2,0)</f>
        <v>0</v>
      </c>
      <c r="G906" s="1344" t="n">
        <f aca="false">C906*D906*E906*F906</f>
        <v>0</v>
      </c>
      <c r="H906" s="1344"/>
      <c r="I906" s="1344"/>
      <c r="J906" s="1344"/>
      <c r="K906" s="1344"/>
      <c r="L906" s="1344"/>
      <c r="M906" s="1344"/>
      <c r="N906" s="1344"/>
      <c r="O906" s="1344"/>
      <c r="P906" s="1707"/>
      <c r="Q906" s="1707"/>
      <c r="R906" s="1707"/>
      <c r="S906" s="1344"/>
      <c r="T906" s="1344"/>
      <c r="U906" s="1753"/>
      <c r="V906" s="1344"/>
      <c r="W906" s="1344"/>
      <c r="X906" s="1344"/>
      <c r="Y906" s="1707"/>
      <c r="Z906" s="1707"/>
      <c r="AA906" s="1344"/>
      <c r="AB906" s="1344"/>
      <c r="AC906" s="1344"/>
      <c r="AD906" s="1344"/>
    </row>
    <row r="907" s="1709" customFormat="true" ht="15.75" hidden="true" customHeight="true" outlineLevel="1" collapsed="false">
      <c r="A907" s="1799" t="s">
        <v>3515</v>
      </c>
      <c r="B907" s="1294" t="str">
        <f aca="false">B445</f>
        <v>м.п.</v>
      </c>
      <c r="C907" s="1799" t="n">
        <f aca="false">C445</f>
        <v>0.4</v>
      </c>
      <c r="D907" s="1799" t="n">
        <f aca="false">D445</f>
        <v>0.045</v>
      </c>
      <c r="E907" s="1799" t="n">
        <f aca="false">IF('Ввод данных'!$A$73=связи1!$A$96,IF(дома!E906&lt;связи1!$C$576,0,дома!E906-$C$881),0)+IF(дома!E906=0,0,IF('Ввод данных'!$A$73=связи1!$A$95,IF(дома!E906&lt;0,0,дома!E906-$C$881),0))+IF('Ввод данных'!$A$73=связи1!$A$98,IF(дома!E906&lt;связи1!$C$576,0,дома!E906-$C$881),0)</f>
        <v>0</v>
      </c>
      <c r="F907" s="1799" t="n">
        <f aca="false">2*VLOOKUP('Ввод данных'!$C$79,связи1!$A$2:$B$3,2,0)</f>
        <v>0</v>
      </c>
      <c r="G907" s="1344" t="n">
        <f aca="false">C907*D907*E907*F907</f>
        <v>0</v>
      </c>
      <c r="H907" s="1344"/>
      <c r="I907" s="1344"/>
      <c r="J907" s="1344"/>
      <c r="K907" s="1344"/>
      <c r="L907" s="1344"/>
      <c r="M907" s="1344"/>
      <c r="N907" s="1344"/>
      <c r="O907" s="1344"/>
      <c r="P907" s="1707"/>
      <c r="Q907" s="1707"/>
      <c r="R907" s="1707"/>
      <c r="S907" s="1344"/>
      <c r="T907" s="1344"/>
      <c r="U907" s="1753"/>
      <c r="V907" s="1344"/>
      <c r="W907" s="1344"/>
      <c r="X907" s="1344"/>
      <c r="Y907" s="1707"/>
      <c r="Z907" s="1707"/>
      <c r="AA907" s="1344"/>
      <c r="AB907" s="1344"/>
      <c r="AC907" s="1344"/>
      <c r="AD907" s="1344"/>
    </row>
    <row r="908" s="1709" customFormat="true" ht="15.75" hidden="true" customHeight="true" outlineLevel="1" collapsed="false">
      <c r="A908" s="1799" t="s">
        <v>3516</v>
      </c>
      <c r="B908" s="1294" t="str">
        <f aca="false">B446</f>
        <v>м.п.</v>
      </c>
      <c r="C908" s="1799" t="n">
        <f aca="false">C446</f>
        <v>0.4</v>
      </c>
      <c r="D908" s="1799" t="n">
        <f aca="false">D446</f>
        <v>0.045</v>
      </c>
      <c r="E908" s="1799" t="n">
        <f aca="false">IF('Ввод данных'!$A$73=связи1!$A$96,IF(дома!E907&lt;связи1!$C$576,0,дома!E907-$C$881),0)+IF(дома!E907=0,0,IF('Ввод данных'!$A$73=связи1!$A$95,IF(дома!E907&lt;0,0,дома!E907-$C$881),0))+IF('Ввод данных'!$A$73=связи1!$A$98,IF(дома!E907&lt;связи1!$C$576,0,дома!E907-$C$881),0)</f>
        <v>0</v>
      </c>
      <c r="F908" s="1799" t="n">
        <f aca="false">2*VLOOKUP('Ввод данных'!$C$79,связи1!$A$2:$B$3,2,0)</f>
        <v>0</v>
      </c>
      <c r="G908" s="1344" t="n">
        <f aca="false">C908*D908*E908*F908</f>
        <v>0</v>
      </c>
      <c r="H908" s="1344"/>
      <c r="I908" s="1344"/>
      <c r="J908" s="1344"/>
      <c r="K908" s="1344"/>
      <c r="L908" s="1344"/>
      <c r="M908" s="1344"/>
      <c r="N908" s="1344"/>
      <c r="O908" s="1344"/>
      <c r="P908" s="1707"/>
      <c r="Q908" s="1707"/>
      <c r="R908" s="1707"/>
      <c r="S908" s="1344"/>
      <c r="T908" s="1344"/>
      <c r="U908" s="1753"/>
      <c r="V908" s="1344"/>
      <c r="W908" s="1344"/>
      <c r="X908" s="1344"/>
      <c r="Y908" s="1707"/>
      <c r="Z908" s="1707"/>
      <c r="AA908" s="1344"/>
      <c r="AB908" s="1344"/>
      <c r="AC908" s="1344"/>
      <c r="AD908" s="1344"/>
    </row>
    <row r="909" s="1709" customFormat="true" ht="15.75" hidden="true" customHeight="true" outlineLevel="1" collapsed="false">
      <c r="A909" s="1799" t="s">
        <v>3517</v>
      </c>
      <c r="B909" s="1294" t="str">
        <f aca="false">B447</f>
        <v>м.п.</v>
      </c>
      <c r="C909" s="1799" t="n">
        <f aca="false">C447</f>
        <v>0.4</v>
      </c>
      <c r="D909" s="1799" t="n">
        <f aca="false">D447</f>
        <v>0.045</v>
      </c>
      <c r="E909" s="1799" t="n">
        <f aca="false">IF('Ввод данных'!A75=связи1!A107,IF('Ввод данных'!A73=связи1!A94,0,0)+IF('Ввод данных'!A73=связи1!A95,связи1!C575-связи1!C574,0)+IF('Ввод данных'!A73=связи1!A96,связи1!C575,0)+IF('Ввод данных'!A73=связи1!A97,0,0)+IF('Ввод данных'!A73=связи1!A98,связи1!C575,0),0)</f>
        <v>0</v>
      </c>
      <c r="F909" s="1799" t="n">
        <f aca="false">2*VLOOKUP('Ввод данных'!$C$79,связи1!$A$2:$B$3,2,0)</f>
        <v>0</v>
      </c>
      <c r="G909" s="1344" t="n">
        <f aca="false">C909*D909*E909*F909</f>
        <v>0</v>
      </c>
      <c r="H909" s="1344"/>
      <c r="I909" s="1344"/>
      <c r="J909" s="1344"/>
      <c r="K909" s="1344"/>
      <c r="L909" s="1344"/>
      <c r="M909" s="1344"/>
      <c r="N909" s="1344"/>
      <c r="O909" s="1344"/>
      <c r="P909" s="1707"/>
      <c r="Q909" s="1707"/>
      <c r="R909" s="1707"/>
      <c r="S909" s="1344"/>
      <c r="T909" s="1344"/>
      <c r="U909" s="1753"/>
      <c r="V909" s="1344"/>
      <c r="W909" s="1344"/>
      <c r="X909" s="1344"/>
      <c r="Y909" s="1707"/>
      <c r="Z909" s="1707"/>
      <c r="AA909" s="1344"/>
      <c r="AB909" s="1344"/>
      <c r="AC909" s="1344"/>
      <c r="AD909" s="1344"/>
    </row>
    <row r="910" s="1709" customFormat="true" ht="15.75" hidden="true" customHeight="true" outlineLevel="1" collapsed="false">
      <c r="A910" s="1799" t="s">
        <v>3518</v>
      </c>
      <c r="B910" s="1294" t="str">
        <f aca="false">B448</f>
        <v>м.п.</v>
      </c>
      <c r="C910" s="1799" t="n">
        <f aca="false">C448</f>
        <v>0.4</v>
      </c>
      <c r="D910" s="1799" t="n">
        <f aca="false">D448</f>
        <v>0.045</v>
      </c>
      <c r="E910" s="1799" t="n">
        <f aca="false">IF('Ввод данных'!$A$73=связи1!$A$96,IF(дома!E909&lt;связи1!$C$576,0,дома!E909-$C$881),0)+IF(дома!E909=0,0,IF('Ввод данных'!$A$73=связи1!$A$95,IF(дома!E909&lt;0,0,дома!E909-$C$881),0))+IF('Ввод данных'!$A$73=связи1!$A$98,IF(дома!E909&lt;связи1!$C$576,0,дома!E909-$C$881),0)</f>
        <v>0</v>
      </c>
      <c r="F910" s="1799" t="n">
        <f aca="false">2*VLOOKUP('Ввод данных'!$C$79,связи1!$A$2:$B$3,2,0)</f>
        <v>0</v>
      </c>
      <c r="G910" s="1344" t="n">
        <f aca="false">C910*D910*E910*F910</f>
        <v>0</v>
      </c>
      <c r="H910" s="1344"/>
      <c r="I910" s="1344"/>
      <c r="J910" s="1344"/>
      <c r="K910" s="1344"/>
      <c r="L910" s="1344"/>
      <c r="M910" s="1344"/>
      <c r="N910" s="1344"/>
      <c r="O910" s="1344"/>
      <c r="P910" s="1707"/>
      <c r="Q910" s="1707"/>
      <c r="R910" s="1707"/>
      <c r="S910" s="1344"/>
      <c r="T910" s="1344"/>
      <c r="U910" s="1753"/>
      <c r="V910" s="1344"/>
      <c r="W910" s="1344"/>
      <c r="X910" s="1344"/>
      <c r="Y910" s="1707"/>
      <c r="Z910" s="1707"/>
      <c r="AA910" s="1344"/>
      <c r="AB910" s="1344"/>
      <c r="AC910" s="1344"/>
      <c r="AD910" s="1344"/>
    </row>
    <row r="911" s="1709" customFormat="true" ht="15.75" hidden="true" customHeight="true" outlineLevel="1" collapsed="false">
      <c r="A911" s="1799" t="s">
        <v>3519</v>
      </c>
      <c r="B911" s="1294" t="str">
        <f aca="false">B449</f>
        <v>м.п.</v>
      </c>
      <c r="C911" s="1799" t="n">
        <f aca="false">C449</f>
        <v>0.4</v>
      </c>
      <c r="D911" s="1799" t="n">
        <f aca="false">D449</f>
        <v>0.045</v>
      </c>
      <c r="E911" s="1799" t="n">
        <f aca="false">IF('Ввод данных'!$A$73=связи1!$A$96,IF(дома!E910&lt;связи1!$C$576,0,дома!E910-$C$881),0)+IF(дома!E910=0,0,IF('Ввод данных'!$A$73=связи1!$A$95,IF(дома!E910&lt;0,0,дома!E910-$C$881),0))+IF('Ввод данных'!$A$73=связи1!$A$98,IF(дома!E910&lt;связи1!$C$576,0,дома!E910-$C$881),0)</f>
        <v>0</v>
      </c>
      <c r="F911" s="1799" t="n">
        <f aca="false">2*VLOOKUP('Ввод данных'!$C$79,связи1!$A$2:$B$3,2,0)</f>
        <v>0</v>
      </c>
      <c r="G911" s="1344" t="n">
        <f aca="false">C911*D911*E911*F911</f>
        <v>0</v>
      </c>
      <c r="H911" s="1344"/>
      <c r="I911" s="1344"/>
      <c r="J911" s="1344"/>
      <c r="K911" s="1344"/>
      <c r="L911" s="1344"/>
      <c r="M911" s="1344"/>
      <c r="N911" s="1344"/>
      <c r="O911" s="1344"/>
      <c r="P911" s="1707"/>
      <c r="Q911" s="1707"/>
      <c r="R911" s="1707"/>
      <c r="S911" s="1344"/>
      <c r="T911" s="1344"/>
      <c r="U911" s="1753"/>
      <c r="V911" s="1344"/>
      <c r="W911" s="1344"/>
      <c r="X911" s="1344"/>
      <c r="Y911" s="1707"/>
      <c r="Z911" s="1707"/>
      <c r="AA911" s="1344"/>
      <c r="AB911" s="1344"/>
      <c r="AC911" s="1344"/>
      <c r="AD911" s="1344"/>
    </row>
    <row r="912" s="1709" customFormat="true" ht="15.75" hidden="true" customHeight="true" outlineLevel="1" collapsed="false">
      <c r="A912" s="1799" t="s">
        <v>3520</v>
      </c>
      <c r="B912" s="1294" t="str">
        <f aca="false">B450</f>
        <v>м.п.</v>
      </c>
      <c r="C912" s="1799" t="n">
        <f aca="false">C450</f>
        <v>0.4</v>
      </c>
      <c r="D912" s="1799" t="n">
        <f aca="false">D450</f>
        <v>0.045</v>
      </c>
      <c r="E912" s="1799" t="n">
        <f aca="false">IF('Ввод данных'!$A$73=связи1!$A$96,IF(дома!E911&lt;связи1!$C$576,0,дома!E911-$C$881),0)+IF(дома!E911=0,0,IF('Ввод данных'!$A$73=связи1!$A$95,IF(дома!E911&lt;0,0,дома!E911-$C$881),0))+IF('Ввод данных'!$A$73=связи1!$A$98,IF(дома!E911&lt;связи1!$C$576,0,дома!E911-$C$881),0)</f>
        <v>0</v>
      </c>
      <c r="F912" s="1799" t="n">
        <f aca="false">2*VLOOKUP('Ввод данных'!$C$79,связи1!$A$2:$B$3,2,0)</f>
        <v>0</v>
      </c>
      <c r="G912" s="1344" t="n">
        <f aca="false">C912*D912*E912*F912</f>
        <v>0</v>
      </c>
      <c r="H912" s="1344"/>
      <c r="I912" s="1344"/>
      <c r="J912" s="1344"/>
      <c r="K912" s="1344"/>
      <c r="L912" s="1344"/>
      <c r="M912" s="1344"/>
      <c r="N912" s="1344"/>
      <c r="O912" s="1344"/>
      <c r="P912" s="1707"/>
      <c r="Q912" s="1707"/>
      <c r="R912" s="1707"/>
      <c r="S912" s="1344"/>
      <c r="T912" s="1344"/>
      <c r="U912" s="1753"/>
      <c r="V912" s="1344"/>
      <c r="W912" s="1344"/>
      <c r="X912" s="1344"/>
      <c r="Y912" s="1707"/>
      <c r="Z912" s="1707"/>
      <c r="AA912" s="1344"/>
      <c r="AB912" s="1344"/>
      <c r="AC912" s="1344"/>
      <c r="AD912" s="1344"/>
    </row>
    <row r="913" s="1709" customFormat="true" ht="15.75" hidden="true" customHeight="true" outlineLevel="1" collapsed="false">
      <c r="A913" s="1799" t="s">
        <v>3521</v>
      </c>
      <c r="B913" s="1294" t="str">
        <f aca="false">B451</f>
        <v>м.п.</v>
      </c>
      <c r="C913" s="1799" t="n">
        <f aca="false">C451</f>
        <v>0.4</v>
      </c>
      <c r="D913" s="1799" t="n">
        <f aca="false">D451</f>
        <v>0.045</v>
      </c>
      <c r="E913" s="1799" t="n">
        <f aca="false">IF('Ввод данных'!$A$73=связи1!$A$96,IF(дома!E912&lt;связи1!$C$576,0,дома!E912-$C$881),0)+IF(дома!E912=0,0,IF('Ввод данных'!$A$73=связи1!$A$95,IF(дома!E912&lt;0,0,дома!E912-$C$881),0))+IF('Ввод данных'!$A$73=связи1!$A$98,IF(дома!E912&lt;связи1!$C$576,0,дома!E912-$C$881),0)</f>
        <v>0</v>
      </c>
      <c r="F913" s="1799" t="n">
        <f aca="false">2*VLOOKUP('Ввод данных'!$C$79,связи1!$A$2:$B$3,2,0)</f>
        <v>0</v>
      </c>
      <c r="G913" s="1344" t="n">
        <f aca="false">C913*D913*E913*F913</f>
        <v>0</v>
      </c>
      <c r="H913" s="1344"/>
      <c r="I913" s="1344"/>
      <c r="J913" s="1344"/>
      <c r="K913" s="1344"/>
      <c r="L913" s="1344"/>
      <c r="M913" s="1344"/>
      <c r="N913" s="1344"/>
      <c r="O913" s="1344"/>
      <c r="P913" s="1707"/>
      <c r="Q913" s="1707"/>
      <c r="R913" s="1707"/>
      <c r="S913" s="1344"/>
      <c r="T913" s="1344"/>
      <c r="U913" s="1753"/>
      <c r="V913" s="1344"/>
      <c r="W913" s="1344"/>
      <c r="X913" s="1344"/>
      <c r="Y913" s="1707"/>
      <c r="Z913" s="1707"/>
      <c r="AA913" s="1344"/>
      <c r="AB913" s="1344"/>
      <c r="AC913" s="1344"/>
      <c r="AD913" s="1344"/>
    </row>
    <row r="914" s="1709" customFormat="true" ht="15.75" hidden="true" customHeight="true" outlineLevel="1" collapsed="false">
      <c r="A914" s="1799" t="s">
        <v>3522</v>
      </c>
      <c r="B914" s="1294" t="str">
        <f aca="false">B452</f>
        <v>м.п.</v>
      </c>
      <c r="C914" s="1799" t="n">
        <f aca="false">C452</f>
        <v>0.4</v>
      </c>
      <c r="D914" s="1799" t="n">
        <f aca="false">D452</f>
        <v>0.045</v>
      </c>
      <c r="E914" s="1799" t="n">
        <f aca="false">IF('Ввод данных'!$A$73=связи1!$A$96,IF(дома!E913&lt;связи1!$C$576,0,дома!E913-$C$881),0)+IF(дома!E913=0,0,IF('Ввод данных'!$A$73=связи1!$A$95,IF(дома!E913&lt;0,0,дома!E913-$C$881),0))+IF('Ввод данных'!$A$73=связи1!$A$98,IF(дома!E913&lt;связи1!$C$576,0,дома!E913-$C$881),0)</f>
        <v>0</v>
      </c>
      <c r="F914" s="1799" t="n">
        <f aca="false">2*VLOOKUP('Ввод данных'!$C$79,связи1!$A$2:$B$3,2,0)</f>
        <v>0</v>
      </c>
      <c r="G914" s="1344" t="n">
        <f aca="false">C914*D914*E914*F914</f>
        <v>0</v>
      </c>
      <c r="H914" s="1344"/>
      <c r="I914" s="1344"/>
      <c r="J914" s="1344"/>
      <c r="K914" s="1344"/>
      <c r="L914" s="1344"/>
      <c r="M914" s="1344"/>
      <c r="N914" s="1344"/>
      <c r="O914" s="1344"/>
      <c r="P914" s="1707"/>
      <c r="Q914" s="1707"/>
      <c r="R914" s="1707"/>
      <c r="S914" s="1344"/>
      <c r="T914" s="1344"/>
      <c r="U914" s="1753"/>
      <c r="V914" s="1344"/>
      <c r="W914" s="1344"/>
      <c r="X914" s="1344"/>
      <c r="Y914" s="1707"/>
      <c r="Z914" s="1707"/>
      <c r="AA914" s="1344"/>
      <c r="AB914" s="1344"/>
      <c r="AC914" s="1344"/>
      <c r="AD914" s="1344"/>
    </row>
    <row r="915" s="1709" customFormat="true" ht="15.75" hidden="true" customHeight="true" outlineLevel="1" collapsed="false">
      <c r="A915" s="1799" t="s">
        <v>3523</v>
      </c>
      <c r="B915" s="1294" t="str">
        <f aca="false">B453</f>
        <v>м.п.</v>
      </c>
      <c r="C915" s="1799" t="n">
        <f aca="false">C453</f>
        <v>0.4</v>
      </c>
      <c r="D915" s="1799" t="n">
        <f aca="false">D453</f>
        <v>0.045</v>
      </c>
      <c r="E915" s="1799" t="n">
        <f aca="false">IF('Ввод данных'!$A$73=связи1!$A$96,IF(дома!E914&lt;связи1!$C$576,0,дома!E914-$C$881),0)+IF(дома!E914=0,0,IF('Ввод данных'!$A$73=связи1!$A$95,IF(дома!E914&lt;0,0,дома!E914-$C$881),0))+IF('Ввод данных'!$A$73=связи1!$A$98,IF(дома!E914&lt;связи1!$C$576,0,дома!E914-$C$881),0)</f>
        <v>0</v>
      </c>
      <c r="F915" s="1799" t="n">
        <f aca="false">2*VLOOKUP('Ввод данных'!$C$79,связи1!$A$2:$B$3,2,0)</f>
        <v>0</v>
      </c>
      <c r="G915" s="1344" t="n">
        <f aca="false">C915*D915*E915*F915</f>
        <v>0</v>
      </c>
      <c r="H915" s="1344"/>
      <c r="I915" s="1344"/>
      <c r="J915" s="1344"/>
      <c r="K915" s="1344"/>
      <c r="L915" s="1344"/>
      <c r="M915" s="1344"/>
      <c r="N915" s="1344"/>
      <c r="O915" s="1344"/>
      <c r="P915" s="1707"/>
      <c r="Q915" s="1707"/>
      <c r="R915" s="1707"/>
      <c r="S915" s="1344"/>
      <c r="T915" s="1344"/>
      <c r="U915" s="1753"/>
      <c r="V915" s="1344"/>
      <c r="W915" s="1344"/>
      <c r="X915" s="1344"/>
      <c r="Y915" s="1707"/>
      <c r="Z915" s="1707"/>
      <c r="AA915" s="1344"/>
      <c r="AB915" s="1344"/>
      <c r="AC915" s="1344"/>
      <c r="AD915" s="1344"/>
    </row>
    <row r="916" s="1709" customFormat="true" ht="15.75" hidden="true" customHeight="true" outlineLevel="1" collapsed="false">
      <c r="A916" s="1799" t="s">
        <v>3524</v>
      </c>
      <c r="B916" s="1294" t="str">
        <f aca="false">B454</f>
        <v>м.п.</v>
      </c>
      <c r="C916" s="1799" t="n">
        <f aca="false">C454</f>
        <v>0.4</v>
      </c>
      <c r="D916" s="1799" t="n">
        <f aca="false">D454</f>
        <v>0.045</v>
      </c>
      <c r="E916" s="1799" t="n">
        <f aca="false">IF('Ввод данных'!$A$73=связи1!$A$96,IF(дома!E915&lt;связи1!$C$576,0,дома!E915-$C$881),0)+IF(дома!E915=0,0,IF('Ввод данных'!$A$73=связи1!$A$95,IF(дома!E915&lt;0,0,дома!E915-$C$881),0))+IF('Ввод данных'!$A$73=связи1!$A$98,IF(дома!E915&lt;связи1!$C$576,0,дома!E915-$C$881),0)</f>
        <v>0</v>
      </c>
      <c r="F916" s="1799" t="n">
        <f aca="false">2*VLOOKUP('Ввод данных'!$C$79,связи1!$A$2:$B$3,2,0)</f>
        <v>0</v>
      </c>
      <c r="G916" s="1344" t="n">
        <f aca="false">C916*D916*E916*F916</f>
        <v>0</v>
      </c>
      <c r="H916" s="1344"/>
      <c r="I916" s="1344"/>
      <c r="J916" s="1344"/>
      <c r="K916" s="1344"/>
      <c r="L916" s="1344"/>
      <c r="M916" s="1344"/>
      <c r="N916" s="1344"/>
      <c r="O916" s="1344"/>
      <c r="P916" s="1707"/>
      <c r="Q916" s="1707"/>
      <c r="R916" s="1707"/>
      <c r="S916" s="1344"/>
      <c r="T916" s="1344"/>
      <c r="U916" s="1753"/>
      <c r="V916" s="1344"/>
      <c r="W916" s="1344"/>
      <c r="X916" s="1344"/>
      <c r="Y916" s="1707"/>
      <c r="Z916" s="1707"/>
      <c r="AA916" s="1344"/>
      <c r="AB916" s="1344"/>
      <c r="AC916" s="1344"/>
      <c r="AD916" s="1344"/>
    </row>
    <row r="917" s="1709" customFormat="true" ht="15.75" hidden="true" customHeight="true" outlineLevel="1" collapsed="false">
      <c r="A917" s="1799" t="s">
        <v>3525</v>
      </c>
      <c r="B917" s="1294" t="str">
        <f aca="false">B455</f>
        <v>м.п.</v>
      </c>
      <c r="C917" s="1799" t="n">
        <f aca="false">C455</f>
        <v>0.4</v>
      </c>
      <c r="D917" s="1799" t="n">
        <f aca="false">D455</f>
        <v>0.045</v>
      </c>
      <c r="E917" s="1799" t="n">
        <f aca="false">IF('Ввод данных'!$A$73=связи1!$A$96,IF(дома!E916&lt;связи1!$C$576,0,дома!E916-$C$881),0)+IF(дома!E916=0,0,IF('Ввод данных'!$A$73=связи1!$A$95,IF(дома!E916&lt;0,0,дома!E916-$C$881),0))+IF('Ввод данных'!$A$73=связи1!$A$98,IF(дома!E916&lt;связи1!$C$576,0,дома!E916-$C$881),0)</f>
        <v>0</v>
      </c>
      <c r="F917" s="1799" t="n">
        <f aca="false">2*VLOOKUP('Ввод данных'!$C$79,связи1!$A$2:$B$3,2,0)</f>
        <v>0</v>
      </c>
      <c r="G917" s="1344" t="n">
        <f aca="false">C917*D917*E917*F917</f>
        <v>0</v>
      </c>
      <c r="H917" s="1344"/>
      <c r="I917" s="1344"/>
      <c r="J917" s="1344"/>
      <c r="K917" s="1344"/>
      <c r="L917" s="1344"/>
      <c r="M917" s="1344"/>
      <c r="N917" s="1344"/>
      <c r="O917" s="1344"/>
      <c r="P917" s="1707"/>
      <c r="Q917" s="1707"/>
      <c r="R917" s="1707"/>
      <c r="S917" s="1344"/>
      <c r="T917" s="1344"/>
      <c r="U917" s="1753"/>
      <c r="V917" s="1344"/>
      <c r="W917" s="1344"/>
      <c r="X917" s="1344"/>
      <c r="Y917" s="1707"/>
      <c r="Z917" s="1707"/>
      <c r="AA917" s="1344"/>
      <c r="AB917" s="1344"/>
      <c r="AC917" s="1344"/>
      <c r="AD917" s="1344"/>
    </row>
    <row r="918" s="1709" customFormat="true" ht="15.75" hidden="true" customHeight="true" outlineLevel="1" collapsed="false">
      <c r="A918" s="1799" t="s">
        <v>3526</v>
      </c>
      <c r="B918" s="1294" t="str">
        <f aca="false">B456</f>
        <v>м.п.</v>
      </c>
      <c r="C918" s="1799" t="n">
        <f aca="false">C456</f>
        <v>0.4</v>
      </c>
      <c r="D918" s="1799" t="n">
        <f aca="false">D456</f>
        <v>0.045</v>
      </c>
      <c r="E918" s="1799" t="n">
        <f aca="false">IF('Ввод данных'!$A$73=связи1!$A$96,IF(дома!E917&lt;связи1!$C$576,0,дома!E917-$C$881),0)+IF(дома!E917=0,0,IF('Ввод данных'!$A$73=связи1!$A$95,IF(дома!E917&lt;0,0,дома!E917-$C$881),0))+IF('Ввод данных'!$A$73=связи1!$A$98,IF(дома!E917&lt;связи1!$C$576,0,дома!E917-$C$881),0)</f>
        <v>0</v>
      </c>
      <c r="F918" s="1799" t="n">
        <f aca="false">2*VLOOKUP('Ввод данных'!$C$79,связи1!$A$2:$B$3,2,0)</f>
        <v>0</v>
      </c>
      <c r="G918" s="1344" t="n">
        <f aca="false">C918*D918*E918*F918</f>
        <v>0</v>
      </c>
      <c r="H918" s="1344"/>
      <c r="I918" s="1344"/>
      <c r="J918" s="1344"/>
      <c r="K918" s="1344"/>
      <c r="L918" s="1344"/>
      <c r="M918" s="1344"/>
      <c r="N918" s="1344"/>
      <c r="O918" s="1344"/>
      <c r="P918" s="1707"/>
      <c r="Q918" s="1707"/>
      <c r="R918" s="1707"/>
      <c r="S918" s="1344"/>
      <c r="T918" s="1344"/>
      <c r="U918" s="1753"/>
      <c r="V918" s="1344"/>
      <c r="W918" s="1344"/>
      <c r="X918" s="1344"/>
      <c r="Y918" s="1707"/>
      <c r="Z918" s="1707"/>
      <c r="AA918" s="1344"/>
      <c r="AB918" s="1344"/>
      <c r="AC918" s="1344"/>
      <c r="AD918" s="1344"/>
    </row>
    <row r="919" s="1709" customFormat="true" ht="15.75" hidden="true" customHeight="true" outlineLevel="1" collapsed="false">
      <c r="A919" s="1799" t="s">
        <v>3527</v>
      </c>
      <c r="B919" s="1294" t="str">
        <f aca="false">B457</f>
        <v>м.п.</v>
      </c>
      <c r="C919" s="1799" t="n">
        <f aca="false">C457</f>
        <v>0.4</v>
      </c>
      <c r="D919" s="1799" t="n">
        <f aca="false">D457</f>
        <v>0.045</v>
      </c>
      <c r="E919" s="1799" t="n">
        <f aca="false">IF('Ввод данных'!$A$73=связи1!$A$96,IF(дома!E918&lt;связи1!$C$576,0,дома!E918-$C$881),0)+IF(дома!E918=0,0,IF('Ввод данных'!$A$73=связи1!$A$95,IF(дома!E918&lt;0,0,дома!E918-$C$881),0))+IF('Ввод данных'!$A$73=связи1!$A$98,IF(дома!E918&lt;связи1!$C$576,0,дома!E918-$C$881),0)</f>
        <v>0</v>
      </c>
      <c r="F919" s="1799" t="n">
        <f aca="false">2*VLOOKUP('Ввод данных'!$C$79,связи1!$A$2:$B$3,2,0)</f>
        <v>0</v>
      </c>
      <c r="G919" s="1344" t="n">
        <f aca="false">C919*D919*E919*F919</f>
        <v>0</v>
      </c>
      <c r="H919" s="1344"/>
      <c r="I919" s="1344"/>
      <c r="J919" s="1344"/>
      <c r="K919" s="1344"/>
      <c r="L919" s="1344"/>
      <c r="M919" s="1344"/>
      <c r="N919" s="1344"/>
      <c r="O919" s="1344"/>
      <c r="P919" s="1707"/>
      <c r="Q919" s="1707"/>
      <c r="R919" s="1707"/>
      <c r="S919" s="1344"/>
      <c r="T919" s="1344"/>
      <c r="U919" s="1753"/>
      <c r="V919" s="1344"/>
      <c r="W919" s="1344"/>
      <c r="X919" s="1344"/>
      <c r="Y919" s="1707"/>
      <c r="Z919" s="1707"/>
      <c r="AA919" s="1344"/>
      <c r="AB919" s="1344"/>
      <c r="AC919" s="1344"/>
      <c r="AD919" s="1344"/>
    </row>
    <row r="920" s="1709" customFormat="true" ht="15.75" hidden="true" customHeight="true" outlineLevel="1" collapsed="false">
      <c r="A920" s="1799" t="s">
        <v>3528</v>
      </c>
      <c r="B920" s="1294" t="str">
        <f aca="false">B458</f>
        <v>м.п.</v>
      </c>
      <c r="C920" s="1799" t="n">
        <f aca="false">C458</f>
        <v>0.4</v>
      </c>
      <c r="D920" s="1799" t="n">
        <f aca="false">D458</f>
        <v>0.045</v>
      </c>
      <c r="E920" s="1799" t="n">
        <f aca="false">IF('Ввод данных'!$A$73=связи1!$A$96,IF(дома!E919&lt;связи1!$C$576,0,дома!E919-$C$881),0)+IF(дома!E919=0,0,IF('Ввод данных'!$A$73=связи1!$A$95,IF(дома!E919&lt;0,0,дома!E919-$C$881),0))+IF('Ввод данных'!$A$73=связи1!$A$98,IF(дома!E919&lt;связи1!$C$576,0,дома!E919-$C$881),0)</f>
        <v>0</v>
      </c>
      <c r="F920" s="1799" t="n">
        <f aca="false">2*VLOOKUP('Ввод данных'!$C$79,связи1!$A$2:$B$3,2,0)</f>
        <v>0</v>
      </c>
      <c r="G920" s="1344" t="n">
        <f aca="false">C920*D920*E920*F920</f>
        <v>0</v>
      </c>
      <c r="H920" s="1344"/>
      <c r="I920" s="1344"/>
      <c r="J920" s="1344"/>
      <c r="K920" s="1344"/>
      <c r="L920" s="1344"/>
      <c r="M920" s="1344"/>
      <c r="N920" s="1344"/>
      <c r="O920" s="1344"/>
      <c r="P920" s="1707"/>
      <c r="Q920" s="1707"/>
      <c r="R920" s="1707"/>
      <c r="S920" s="1344"/>
      <c r="T920" s="1344"/>
      <c r="U920" s="1753"/>
      <c r="V920" s="1344"/>
      <c r="W920" s="1344"/>
      <c r="X920" s="1344"/>
      <c r="Y920" s="1707"/>
      <c r="Z920" s="1707"/>
      <c r="AA920" s="1344"/>
      <c r="AB920" s="1344"/>
      <c r="AC920" s="1344"/>
      <c r="AD920" s="1344"/>
    </row>
    <row r="921" s="1709" customFormat="true" ht="15.75" hidden="true" customHeight="true" outlineLevel="1" collapsed="false">
      <c r="A921" s="1799" t="s">
        <v>3529</v>
      </c>
      <c r="B921" s="1294" t="str">
        <f aca="false">B459</f>
        <v>м.п.</v>
      </c>
      <c r="C921" s="1799" t="n">
        <f aca="false">C459</f>
        <v>0.4</v>
      </c>
      <c r="D921" s="1799" t="n">
        <f aca="false">D459</f>
        <v>0.045</v>
      </c>
      <c r="E921" s="1799" t="n">
        <f aca="false">IF('Ввод данных'!$A$73=связи1!$A$96,IF(дома!E920&lt;связи1!$C$576,0,дома!E920-$C$881),0)+IF(дома!E920=0,0,IF('Ввод данных'!$A$73=связи1!$A$95,IF(дома!E920&lt;0,0,дома!E920-$C$881),0))+IF('Ввод данных'!$A$73=связи1!$A$98,IF(дома!E920&lt;связи1!$C$576,0,дома!E920-$C$881),0)</f>
        <v>0</v>
      </c>
      <c r="F921" s="1799" t="n">
        <f aca="false">2*VLOOKUP('Ввод данных'!$C$79,связи1!$A$2:$B$3,2,0)</f>
        <v>0</v>
      </c>
      <c r="G921" s="1344" t="n">
        <f aca="false">C921*D921*E921*F921</f>
        <v>0</v>
      </c>
      <c r="H921" s="1344"/>
      <c r="I921" s="1344"/>
      <c r="J921" s="1344"/>
      <c r="K921" s="1344"/>
      <c r="L921" s="1344"/>
      <c r="M921" s="1344"/>
      <c r="N921" s="1344"/>
      <c r="O921" s="1344"/>
      <c r="P921" s="1707"/>
      <c r="Q921" s="1707"/>
      <c r="R921" s="1707"/>
      <c r="S921" s="1344"/>
      <c r="T921" s="1344"/>
      <c r="U921" s="1753"/>
      <c r="V921" s="1344"/>
      <c r="W921" s="1344"/>
      <c r="X921" s="1344"/>
      <c r="Y921" s="1707"/>
      <c r="Z921" s="1707"/>
      <c r="AA921" s="1344"/>
      <c r="AB921" s="1344"/>
      <c r="AC921" s="1344"/>
      <c r="AD921" s="1344"/>
    </row>
    <row r="922" s="1709" customFormat="true" ht="15.75" hidden="true" customHeight="true" outlineLevel="1" collapsed="false">
      <c r="A922" s="1799" t="s">
        <v>3530</v>
      </c>
      <c r="B922" s="1294" t="str">
        <f aca="false">B460</f>
        <v>м.п.</v>
      </c>
      <c r="C922" s="1799" t="n">
        <f aca="false">C460</f>
        <v>0.4</v>
      </c>
      <c r="D922" s="1799" t="n">
        <f aca="false">D460</f>
        <v>0.045</v>
      </c>
      <c r="E922" s="1799" t="n">
        <f aca="false">IF('Ввод данных'!$A$73=связи1!$A$96,IF(дома!E921&lt;связи1!$C$576,0,дома!E921-$C$881),0)+IF(дома!E921=0,0,IF('Ввод данных'!$A$73=связи1!$A$95,IF(дома!E921&lt;0,0,дома!E921-$C$881),0))+IF('Ввод данных'!$A$73=связи1!$A$98,IF(дома!E921&lt;связи1!$C$576,0,дома!E921-$C$881),0)</f>
        <v>0</v>
      </c>
      <c r="F922" s="1799" t="n">
        <f aca="false">2*VLOOKUP('Ввод данных'!$C$79,связи1!$A$2:$B$3,2,0)</f>
        <v>0</v>
      </c>
      <c r="G922" s="1344" t="n">
        <f aca="false">C922*D922*E922*F922</f>
        <v>0</v>
      </c>
      <c r="H922" s="1344"/>
      <c r="I922" s="1344"/>
      <c r="J922" s="1344"/>
      <c r="K922" s="1344"/>
      <c r="L922" s="1344"/>
      <c r="M922" s="1344"/>
      <c r="N922" s="1344"/>
      <c r="O922" s="1344"/>
      <c r="P922" s="1707"/>
      <c r="Q922" s="1707"/>
      <c r="R922" s="1707"/>
      <c r="S922" s="1344"/>
      <c r="T922" s="1344"/>
      <c r="U922" s="1753"/>
      <c r="V922" s="1344"/>
      <c r="W922" s="1344"/>
      <c r="X922" s="1344"/>
      <c r="Y922" s="1707"/>
      <c r="Z922" s="1707"/>
      <c r="AA922" s="1344"/>
      <c r="AB922" s="1344"/>
      <c r="AC922" s="1344"/>
      <c r="AD922" s="1344"/>
    </row>
    <row r="923" s="1709" customFormat="true" ht="15.75" hidden="true" customHeight="true" outlineLevel="1" collapsed="false">
      <c r="A923" s="1799" t="s">
        <v>3531</v>
      </c>
      <c r="B923" s="1294" t="str">
        <f aca="false">B461</f>
        <v>м.п.</v>
      </c>
      <c r="C923" s="1799" t="n">
        <f aca="false">C461</f>
        <v>0.4</v>
      </c>
      <c r="D923" s="1799" t="n">
        <f aca="false">D461</f>
        <v>0.045</v>
      </c>
      <c r="E923" s="1799" t="n">
        <f aca="false">IF('Ввод данных'!$A$73=связи1!$A$96,IF(дома!E922&lt;связи1!$C$576,0,дома!E922-$C$881),0)+IF(дома!E922=0,0,IF('Ввод данных'!$A$73=связи1!$A$95,IF(дома!E922&lt;0,0,дома!E922-$C$881),0))+IF('Ввод данных'!$A$73=связи1!$A$98,IF(дома!E922&lt;связи1!$C$576,0,дома!E922-$C$881),0)</f>
        <v>0</v>
      </c>
      <c r="F923" s="1799" t="n">
        <f aca="false">2*VLOOKUP('Ввод данных'!$C$79,связи1!$A$2:$B$3,2,0)</f>
        <v>0</v>
      </c>
      <c r="G923" s="1344" t="n">
        <f aca="false">C923*D923*E923*F923</f>
        <v>0</v>
      </c>
      <c r="H923" s="1344"/>
      <c r="I923" s="1344"/>
      <c r="J923" s="1344"/>
      <c r="K923" s="1344"/>
      <c r="L923" s="1344"/>
      <c r="M923" s="1344"/>
      <c r="N923" s="1344"/>
      <c r="O923" s="1344"/>
      <c r="P923" s="1707"/>
      <c r="Q923" s="1707"/>
      <c r="R923" s="1707"/>
      <c r="S923" s="1344"/>
      <c r="T923" s="1344"/>
      <c r="U923" s="1753"/>
      <c r="V923" s="1344"/>
      <c r="W923" s="1344"/>
      <c r="X923" s="1344"/>
      <c r="Y923" s="1707"/>
      <c r="Z923" s="1707"/>
      <c r="AA923" s="1344"/>
      <c r="AB923" s="1344"/>
      <c r="AC923" s="1344"/>
      <c r="AD923" s="1344"/>
    </row>
    <row r="924" s="1709" customFormat="true" ht="15.75" hidden="true" customHeight="true" outlineLevel="1" collapsed="false">
      <c r="A924" s="1799" t="s">
        <v>3532</v>
      </c>
      <c r="B924" s="1294" t="str">
        <f aca="false">B462</f>
        <v>м.п.</v>
      </c>
      <c r="C924" s="1799" t="n">
        <f aca="false">C462</f>
        <v>0.4</v>
      </c>
      <c r="D924" s="1799" t="n">
        <f aca="false">D462</f>
        <v>0.045</v>
      </c>
      <c r="E924" s="1799" t="n">
        <f aca="false">IF('Ввод данных'!$A$73=связи1!$A$96,IF(дома!E923&lt;связи1!$C$576,0,дома!E923-$C$881),0)+IF(дома!E923=0,0,IF('Ввод данных'!$A$73=связи1!$A$95,IF(дома!E923&lt;0,0,дома!E923-$C$881),0))+IF('Ввод данных'!$A$73=связи1!$A$98,IF(дома!E923&lt;связи1!$C$576,0,дома!E923-$C$881),0)</f>
        <v>0</v>
      </c>
      <c r="F924" s="1799" t="n">
        <f aca="false">2*VLOOKUP('Ввод данных'!$C$79,связи1!$A$2:$B$3,2,0)</f>
        <v>0</v>
      </c>
      <c r="G924" s="1344" t="n">
        <f aca="false">C924*D924*E924*F924</f>
        <v>0</v>
      </c>
      <c r="H924" s="1344"/>
      <c r="I924" s="1344"/>
      <c r="J924" s="1344"/>
      <c r="K924" s="1344"/>
      <c r="L924" s="1344"/>
      <c r="M924" s="1344"/>
      <c r="N924" s="1344"/>
      <c r="O924" s="1344"/>
      <c r="P924" s="1707"/>
      <c r="Q924" s="1707"/>
      <c r="R924" s="1707"/>
      <c r="S924" s="1344"/>
      <c r="T924" s="1344"/>
      <c r="U924" s="1753"/>
      <c r="V924" s="1344"/>
      <c r="W924" s="1344"/>
      <c r="X924" s="1344"/>
      <c r="Y924" s="1707"/>
      <c r="Z924" s="1707"/>
      <c r="AA924" s="1344"/>
      <c r="AB924" s="1344"/>
      <c r="AC924" s="1344"/>
      <c r="AD924" s="1344"/>
    </row>
    <row r="925" s="1709" customFormat="true" ht="15.75" hidden="true" customHeight="true" outlineLevel="1" collapsed="false">
      <c r="A925" s="1799" t="s">
        <v>3533</v>
      </c>
      <c r="B925" s="1294" t="str">
        <f aca="false">B463</f>
        <v>м.п.</v>
      </c>
      <c r="C925" s="1799" t="n">
        <f aca="false">C463</f>
        <v>0.4</v>
      </c>
      <c r="D925" s="1799" t="n">
        <f aca="false">D463</f>
        <v>0.045</v>
      </c>
      <c r="E925" s="1799" t="n">
        <f aca="false">IF('Ввод данных'!$A$73=связи1!$A$96,IF(дома!E924&lt;связи1!$C$576,0,дома!E924-$C$881),0)+IF(дома!E924=0,0,IF('Ввод данных'!$A$73=связи1!$A$95,IF(дома!E924&lt;0,0,дома!E924-$C$881),0))+IF('Ввод данных'!$A$73=связи1!$A$98,IF(дома!E924&lt;связи1!$C$576,0,дома!E924-$C$881),0)</f>
        <v>0</v>
      </c>
      <c r="F925" s="1799" t="n">
        <f aca="false">2*VLOOKUP('Ввод данных'!$C$79,связи1!$A$2:$B$3,2,0)</f>
        <v>0</v>
      </c>
      <c r="G925" s="1344" t="n">
        <f aca="false">C925*D925*E925*F925</f>
        <v>0</v>
      </c>
      <c r="H925" s="1344"/>
      <c r="I925" s="1344"/>
      <c r="J925" s="1344"/>
      <c r="K925" s="1344"/>
      <c r="L925" s="1344"/>
      <c r="M925" s="1344"/>
      <c r="N925" s="1344"/>
      <c r="O925" s="1344"/>
      <c r="P925" s="1707"/>
      <c r="Q925" s="1707"/>
      <c r="R925" s="1707"/>
      <c r="S925" s="1344"/>
      <c r="T925" s="1344"/>
      <c r="U925" s="1753"/>
      <c r="V925" s="1344"/>
      <c r="W925" s="1344"/>
      <c r="X925" s="1344"/>
      <c r="Y925" s="1707"/>
      <c r="Z925" s="1707"/>
      <c r="AA925" s="1344"/>
      <c r="AB925" s="1344"/>
      <c r="AC925" s="1344"/>
      <c r="AD925" s="1344"/>
    </row>
    <row r="926" s="1709" customFormat="true" ht="15.75" hidden="true" customHeight="true" outlineLevel="1" collapsed="false">
      <c r="A926" s="1799" t="n">
        <f aca="false">A464</f>
        <v>0</v>
      </c>
      <c r="B926" s="1294" t="n">
        <f aca="false">B464</f>
        <v>0</v>
      </c>
      <c r="C926" s="1799" t="n">
        <f aca="false">C464</f>
        <v>0</v>
      </c>
      <c r="D926" s="1799" t="n">
        <f aca="false">D464</f>
        <v>0</v>
      </c>
      <c r="E926" s="1799"/>
      <c r="F926" s="1799"/>
      <c r="G926" s="1344" t="n">
        <f aca="false">C926*D926*E926*F926</f>
        <v>0</v>
      </c>
      <c r="H926" s="1344"/>
      <c r="I926" s="1344"/>
      <c r="J926" s="1344"/>
      <c r="K926" s="1344"/>
      <c r="L926" s="1344"/>
      <c r="M926" s="1344"/>
      <c r="N926" s="1344"/>
      <c r="O926" s="1344"/>
      <c r="P926" s="1707"/>
      <c r="Q926" s="1707"/>
      <c r="R926" s="1707"/>
      <c r="S926" s="1344"/>
      <c r="T926" s="1344"/>
      <c r="U926" s="1753"/>
      <c r="V926" s="1344"/>
      <c r="W926" s="1344"/>
      <c r="X926" s="1344"/>
      <c r="Y926" s="1707"/>
      <c r="Z926" s="1707"/>
      <c r="AA926" s="1344"/>
      <c r="AB926" s="1344"/>
      <c r="AC926" s="1344"/>
      <c r="AD926" s="1344"/>
    </row>
    <row r="927" s="1709" customFormat="true" ht="15.75" hidden="true" customHeight="true" outlineLevel="1" collapsed="false">
      <c r="A927" s="1804" t="s">
        <v>3534</v>
      </c>
      <c r="B927" s="1806" t="str">
        <f aca="false">B465</f>
        <v>ед.изм</v>
      </c>
      <c r="C927" s="1804" t="str">
        <f aca="false">C465</f>
        <v>ширина</v>
      </c>
      <c r="D927" s="1804" t="str">
        <f aca="false">D465</f>
        <v>толщина</v>
      </c>
      <c r="E927" s="1804" t="str">
        <f aca="false">E465</f>
        <v>высота</v>
      </c>
      <c r="F927" s="1804" t="str">
        <f aca="false">F465</f>
        <v>кол-во</v>
      </c>
      <c r="G927" s="1344"/>
      <c r="H927" s="1344"/>
      <c r="I927" s="1344"/>
      <c r="J927" s="1344"/>
      <c r="K927" s="1344"/>
      <c r="L927" s="1344"/>
      <c r="M927" s="1344"/>
      <c r="N927" s="1344"/>
      <c r="O927" s="1344"/>
      <c r="P927" s="1707"/>
      <c r="Q927" s="1707"/>
      <c r="R927" s="1707"/>
      <c r="S927" s="1344"/>
      <c r="T927" s="1344"/>
      <c r="U927" s="1753"/>
      <c r="V927" s="1344"/>
      <c r="W927" s="1344"/>
      <c r="X927" s="1344"/>
      <c r="Y927" s="1707"/>
      <c r="Z927" s="1707"/>
      <c r="AA927" s="1344"/>
      <c r="AB927" s="1344"/>
      <c r="AC927" s="1344"/>
      <c r="AD927" s="1344"/>
    </row>
    <row r="928" s="1709" customFormat="true" ht="15.75" hidden="true" customHeight="true" outlineLevel="1" collapsed="false">
      <c r="A928" s="1799" t="s">
        <v>3496</v>
      </c>
      <c r="B928" s="1294" t="str">
        <f aca="false">B466</f>
        <v>м.п.</v>
      </c>
      <c r="C928" s="1799" t="n">
        <f aca="false">C466</f>
        <v>0.4</v>
      </c>
      <c r="D928" s="1799" t="n">
        <f aca="false">D466</f>
        <v>0.045</v>
      </c>
      <c r="E928" s="1799" t="n">
        <f aca="false">E864</f>
        <v>2.2</v>
      </c>
      <c r="F928" s="1799" t="n">
        <f aca="false">L864*VLOOKUP('Ввод данных'!C79,связи1!A2:B3,2,0)</f>
        <v>0</v>
      </c>
      <c r="G928" s="1344" t="n">
        <f aca="false">C928*D928*E928*F928</f>
        <v>0</v>
      </c>
      <c r="H928" s="1344"/>
      <c r="I928" s="1344"/>
      <c r="J928" s="1344"/>
      <c r="K928" s="1344"/>
      <c r="L928" s="1344"/>
      <c r="M928" s="1344"/>
      <c r="N928" s="1344"/>
      <c r="O928" s="1344"/>
      <c r="P928" s="1707"/>
      <c r="Q928" s="1707"/>
      <c r="R928" s="1707"/>
      <c r="S928" s="1344"/>
      <c r="T928" s="1344"/>
      <c r="U928" s="1753"/>
      <c r="V928" s="1344"/>
      <c r="W928" s="1344"/>
      <c r="X928" s="1344"/>
      <c r="Y928" s="1707"/>
      <c r="Z928" s="1707"/>
      <c r="AA928" s="1344"/>
      <c r="AB928" s="1344"/>
      <c r="AC928" s="1344"/>
      <c r="AD928" s="1344"/>
    </row>
    <row r="929" s="1709" customFormat="true" ht="15.75" hidden="true" customHeight="true" outlineLevel="1" collapsed="false">
      <c r="A929" s="1799" t="s">
        <v>3497</v>
      </c>
      <c r="B929" s="1294" t="str">
        <f aca="false">B467</f>
        <v>м.п.</v>
      </c>
      <c r="C929" s="1799" t="n">
        <f aca="false">C467</f>
        <v>0.4</v>
      </c>
      <c r="D929" s="1799" t="n">
        <f aca="false">D467</f>
        <v>0.045</v>
      </c>
      <c r="E929" s="1799" t="n">
        <f aca="false">E865</f>
        <v>2.2</v>
      </c>
      <c r="F929" s="1799" t="n">
        <f aca="false">L865*VLOOKUP('Ввод данных'!C79,связи1!A2:B3,2,0)</f>
        <v>0</v>
      </c>
      <c r="G929" s="1344" t="n">
        <f aca="false">C929*D929*E929*F929</f>
        <v>0</v>
      </c>
      <c r="H929" s="1344"/>
      <c r="I929" s="1344"/>
      <c r="J929" s="1344"/>
      <c r="K929" s="1344"/>
      <c r="L929" s="1344"/>
      <c r="M929" s="1344"/>
      <c r="N929" s="1344"/>
      <c r="O929" s="1344"/>
      <c r="P929" s="1707"/>
      <c r="Q929" s="1707"/>
      <c r="R929" s="1707"/>
      <c r="S929" s="1344"/>
      <c r="T929" s="1344"/>
      <c r="U929" s="1753"/>
      <c r="V929" s="1344"/>
      <c r="W929" s="1344"/>
      <c r="X929" s="1344"/>
      <c r="Y929" s="1707"/>
      <c r="Z929" s="1707"/>
      <c r="AA929" s="1344"/>
      <c r="AB929" s="1344"/>
      <c r="AC929" s="1344"/>
      <c r="AD929" s="1344"/>
    </row>
    <row r="930" s="1709" customFormat="true" ht="15.75" hidden="true" customHeight="true" outlineLevel="1" collapsed="false">
      <c r="A930" s="1799" t="s">
        <v>3498</v>
      </c>
      <c r="B930" s="1294" t="str">
        <f aca="false">B468</f>
        <v>м.п.</v>
      </c>
      <c r="C930" s="1799" t="n">
        <f aca="false">C468</f>
        <v>0.4</v>
      </c>
      <c r="D930" s="1799" t="n">
        <f aca="false">D468</f>
        <v>0.045</v>
      </c>
      <c r="E930" s="1799" t="n">
        <f aca="false">E866</f>
        <v>2.2</v>
      </c>
      <c r="F930" s="1799" t="n">
        <f aca="false">L866*VLOOKUP('Ввод данных'!C79,связи1!A2:B3,2,0)</f>
        <v>0</v>
      </c>
      <c r="G930" s="1344" t="n">
        <f aca="false">C930*D930*E930*F930</f>
        <v>0</v>
      </c>
      <c r="H930" s="1344"/>
      <c r="I930" s="1344"/>
      <c r="J930" s="1344"/>
      <c r="K930" s="1344"/>
      <c r="L930" s="1344"/>
      <c r="M930" s="1344"/>
      <c r="N930" s="1344"/>
      <c r="O930" s="1344"/>
      <c r="P930" s="1707"/>
      <c r="Q930" s="1707"/>
      <c r="R930" s="1707"/>
      <c r="S930" s="1344"/>
      <c r="T930" s="1344"/>
      <c r="U930" s="1753"/>
      <c r="V930" s="1344"/>
      <c r="W930" s="1344"/>
      <c r="X930" s="1344"/>
      <c r="Y930" s="1707"/>
      <c r="Z930" s="1707"/>
      <c r="AA930" s="1344"/>
      <c r="AB930" s="1344"/>
      <c r="AC930" s="1344"/>
      <c r="AD930" s="1344"/>
    </row>
    <row r="931" s="1709" customFormat="true" ht="15.75" hidden="true" customHeight="true" outlineLevel="1" collapsed="false">
      <c r="A931" s="1799" t="s">
        <v>3414</v>
      </c>
      <c r="B931" s="1294" t="str">
        <f aca="false">B469</f>
        <v>м.п.</v>
      </c>
      <c r="C931" s="1799" t="n">
        <f aca="false">C469</f>
        <v>0.4</v>
      </c>
      <c r="D931" s="1799" t="n">
        <f aca="false">D469</f>
        <v>0.045</v>
      </c>
      <c r="E931" s="1799" t="n">
        <f aca="false">1</f>
        <v>1</v>
      </c>
      <c r="F931" s="1799" t="n">
        <f aca="false">P867*VLOOKUP('Ввод данных'!C79,связи1!A2:B3,2,0)+Q867*VLOOKUP('Ввод данных'!C79,связи1!A2:B3,2,0)</f>
        <v>0</v>
      </c>
      <c r="G931" s="1344" t="n">
        <f aca="false">C931*D931*E931*F931</f>
        <v>0</v>
      </c>
      <c r="H931" s="1344"/>
      <c r="I931" s="1344"/>
      <c r="J931" s="1344"/>
      <c r="K931" s="1344"/>
      <c r="L931" s="1344"/>
      <c r="M931" s="1344"/>
      <c r="N931" s="1344"/>
      <c r="O931" s="1344"/>
      <c r="P931" s="1707"/>
      <c r="Q931" s="1707"/>
      <c r="R931" s="1707"/>
      <c r="S931" s="1344"/>
      <c r="T931" s="1344"/>
      <c r="U931" s="1753"/>
      <c r="V931" s="1344"/>
      <c r="W931" s="1344"/>
      <c r="X931" s="1344"/>
      <c r="Y931" s="1707"/>
      <c r="Z931" s="1707"/>
      <c r="AA931" s="1344"/>
      <c r="AB931" s="1344"/>
      <c r="AC931" s="1344"/>
      <c r="AD931" s="1344"/>
    </row>
    <row r="932" s="1709" customFormat="true" ht="15.75" hidden="true" customHeight="true" outlineLevel="1" collapsed="false">
      <c r="A932" s="1799" t="s">
        <v>3415</v>
      </c>
      <c r="B932" s="1294" t="str">
        <f aca="false">B470</f>
        <v>м.п.</v>
      </c>
      <c r="C932" s="1799" t="n">
        <f aca="false">C470</f>
        <v>0.4</v>
      </c>
      <c r="D932" s="1799" t="n">
        <f aca="false">D470</f>
        <v>0.045</v>
      </c>
      <c r="E932" s="1799" t="n">
        <f aca="false">1</f>
        <v>1</v>
      </c>
      <c r="F932" s="1799" t="n">
        <f aca="false">R867*VLOOKUP('Ввод данных'!C79,связи1!A2:B3,2,0)</f>
        <v>0</v>
      </c>
      <c r="G932" s="1344" t="n">
        <f aca="false">C932*D932*E932*F932</f>
        <v>0</v>
      </c>
      <c r="H932" s="1344"/>
      <c r="I932" s="1344"/>
      <c r="J932" s="1344"/>
      <c r="K932" s="1344"/>
      <c r="L932" s="1344"/>
      <c r="M932" s="1344"/>
      <c r="N932" s="1344"/>
      <c r="O932" s="1344"/>
      <c r="P932" s="1707"/>
      <c r="Q932" s="1707"/>
      <c r="R932" s="1707"/>
      <c r="S932" s="1344"/>
      <c r="T932" s="1344"/>
      <c r="U932" s="1753"/>
      <c r="V932" s="1344"/>
      <c r="W932" s="1344"/>
      <c r="X932" s="1344"/>
      <c r="Y932" s="1707"/>
      <c r="Z932" s="1707"/>
      <c r="AA932" s="1344"/>
      <c r="AB932" s="1344"/>
      <c r="AC932" s="1344"/>
      <c r="AD932" s="1344"/>
    </row>
    <row r="933" s="1709" customFormat="true" ht="15.75" hidden="true" customHeight="true" outlineLevel="1" collapsed="false">
      <c r="A933" s="1799" t="s">
        <v>3499</v>
      </c>
      <c r="B933" s="1294" t="str">
        <f aca="false">B471</f>
        <v>м.п.</v>
      </c>
      <c r="C933" s="1799" t="n">
        <f aca="false">C471</f>
        <v>0.4</v>
      </c>
      <c r="D933" s="1799" t="n">
        <f aca="false">D471</f>
        <v>0.045</v>
      </c>
      <c r="E933" s="1799" t="n">
        <v>1.5</v>
      </c>
      <c r="F933" s="1799" t="n">
        <f aca="false">8*VLOOKUP('Ввод данных'!C79,связи1!A2:B3,2,0)</f>
        <v>0</v>
      </c>
      <c r="G933" s="1344" t="n">
        <f aca="false">C933*D933*E933*F933</f>
        <v>0</v>
      </c>
      <c r="H933" s="1344"/>
      <c r="I933" s="1344"/>
      <c r="J933" s="1344"/>
      <c r="K933" s="1344"/>
      <c r="L933" s="1344"/>
      <c r="M933" s="1344"/>
      <c r="N933" s="1344"/>
      <c r="O933" s="1344"/>
      <c r="P933" s="1707"/>
      <c r="Q933" s="1707"/>
      <c r="R933" s="1707"/>
      <c r="S933" s="1344"/>
      <c r="T933" s="1344"/>
      <c r="U933" s="1753"/>
      <c r="V933" s="1344"/>
      <c r="W933" s="1344"/>
      <c r="X933" s="1344"/>
      <c r="Y933" s="1707"/>
      <c r="Z933" s="1707"/>
      <c r="AA933" s="1344"/>
      <c r="AB933" s="1344"/>
      <c r="AC933" s="1344"/>
      <c r="AD933" s="1344"/>
    </row>
    <row r="934" s="1709" customFormat="true" ht="15.75" hidden="true" customHeight="true" outlineLevel="1" collapsed="false">
      <c r="A934" s="1799" t="s">
        <v>3500</v>
      </c>
      <c r="B934" s="1294" t="str">
        <f aca="false">B472</f>
        <v>м.п.</v>
      </c>
      <c r="C934" s="1799" t="n">
        <f aca="false">C472</f>
        <v>0.4</v>
      </c>
      <c r="D934" s="1799" t="n">
        <f aca="false">D472</f>
        <v>0.045</v>
      </c>
      <c r="E934" s="1799" t="n">
        <f aca="false">IF('Ввод данных'!A454=связи1!A106,IF('Ввод данных'!A455=связи1!A94,0,0)+IF('Ввод данных'!A455=связи1!A95,связи1!D575-связи1!D574,0)+IF('Ввод данных'!A455=связи1!A96,связи1!D575,0)+IF('Ввод данных'!A455=связи1!A97,0,0)+IF('Ввод данных'!A455=связи1!A98,связи1!D575,0),0)</f>
        <v>0</v>
      </c>
      <c r="F934" s="1799" t="n">
        <f aca="false">2*VLOOKUP('Ввод данных'!$C$79,связи1!$A$2:$B$3,2,0)</f>
        <v>0</v>
      </c>
      <c r="G934" s="1344" t="n">
        <f aca="false">C934*D934*E934*F934</f>
        <v>0</v>
      </c>
      <c r="H934" s="1344"/>
      <c r="I934" s="1344"/>
      <c r="J934" s="1344"/>
      <c r="K934" s="1344"/>
      <c r="L934" s="1344"/>
      <c r="M934" s="1344"/>
      <c r="N934" s="1344"/>
      <c r="O934" s="1344"/>
      <c r="P934" s="1707"/>
      <c r="Q934" s="1707"/>
      <c r="R934" s="1707"/>
      <c r="S934" s="1344"/>
      <c r="T934" s="1344"/>
      <c r="U934" s="1753"/>
      <c r="V934" s="1344"/>
      <c r="W934" s="1344"/>
      <c r="X934" s="1344"/>
      <c r="Y934" s="1707"/>
      <c r="Z934" s="1707"/>
      <c r="AA934" s="1344"/>
      <c r="AB934" s="1344"/>
      <c r="AC934" s="1344"/>
      <c r="AD934" s="1344"/>
    </row>
    <row r="935" s="1709" customFormat="true" ht="15.75" hidden="true" customHeight="true" outlineLevel="1" collapsed="false">
      <c r="A935" s="1799" t="s">
        <v>3501</v>
      </c>
      <c r="B935" s="1294" t="str">
        <f aca="false">B473</f>
        <v>м.п.</v>
      </c>
      <c r="C935" s="1799" t="n">
        <f aca="false">C473</f>
        <v>0.4</v>
      </c>
      <c r="D935" s="1799" t="n">
        <f aca="false">D473</f>
        <v>0.045</v>
      </c>
      <c r="E935" s="1799" t="n">
        <f aca="false">IF('Ввод данных'!$A$455=связи1!$A$96,IF(дома!E934&lt;связи1!$D$576,0,дома!E934-$D$881),0)+IF(дома!E934=0,0,IF('Ввод данных'!$A$455=связи1!$A$95,IF(дома!E934&lt;0,0,дома!E934-$D$881),0))+IF('Ввод данных'!$A$455=связи1!$A$98,IF(дома!E934&lt;связи1!$D$576,0,дома!E934-$D$881),0)</f>
        <v>0</v>
      </c>
      <c r="F935" s="1799" t="n">
        <f aca="false">2*VLOOKUP('Ввод данных'!$C$79,связи1!$A$2:$B$3,2,0)</f>
        <v>0</v>
      </c>
      <c r="G935" s="1344" t="n">
        <f aca="false">C935*D935*E935*F935</f>
        <v>0</v>
      </c>
      <c r="H935" s="1344"/>
      <c r="I935" s="1344"/>
      <c r="J935" s="1344"/>
      <c r="K935" s="1344"/>
      <c r="L935" s="1344"/>
      <c r="M935" s="1344"/>
      <c r="N935" s="1344"/>
      <c r="O935" s="1344"/>
      <c r="P935" s="1707"/>
      <c r="Q935" s="1707"/>
      <c r="R935" s="1707"/>
      <c r="S935" s="1344"/>
      <c r="T935" s="1344"/>
      <c r="U935" s="1753"/>
      <c r="V935" s="1344"/>
      <c r="W935" s="1344"/>
      <c r="X935" s="1344"/>
      <c r="Y935" s="1707"/>
      <c r="Z935" s="1707"/>
      <c r="AA935" s="1344"/>
      <c r="AB935" s="1344"/>
      <c r="AC935" s="1344"/>
      <c r="AD935" s="1344"/>
    </row>
    <row r="936" s="1709" customFormat="true" ht="15.75" hidden="true" customHeight="true" outlineLevel="1" collapsed="false">
      <c r="A936" s="1799" t="s">
        <v>3502</v>
      </c>
      <c r="B936" s="1294" t="str">
        <f aca="false">B474</f>
        <v>м.п.</v>
      </c>
      <c r="C936" s="1799" t="n">
        <f aca="false">C474</f>
        <v>0.4</v>
      </c>
      <c r="D936" s="1799" t="n">
        <f aca="false">D474</f>
        <v>0.045</v>
      </c>
      <c r="E936" s="1799" t="n">
        <f aca="false">IF('Ввод данных'!$A$455=связи1!$A$96,IF(дома!E935&lt;связи1!$D$576,0,дома!E935-$D$881),0)+IF(дома!E935=0,0,IF('Ввод данных'!$A$455=связи1!$A$95,IF(дома!E935&lt;0,0,дома!E935-$D$881),0))+IF('Ввод данных'!$A$455=связи1!$A$98,IF(дома!E935&lt;связи1!$D$576,0,дома!E935-$D$881),0)</f>
        <v>0</v>
      </c>
      <c r="F936" s="1799" t="n">
        <f aca="false">2*VLOOKUP('Ввод данных'!$C$79,связи1!$A$2:$B$3,2,0)</f>
        <v>0</v>
      </c>
      <c r="G936" s="1344" t="n">
        <f aca="false">C936*D936*E936*F936</f>
        <v>0</v>
      </c>
      <c r="H936" s="1344"/>
      <c r="I936" s="1344"/>
      <c r="J936" s="1344"/>
      <c r="K936" s="1344"/>
      <c r="L936" s="1344"/>
      <c r="M936" s="1344"/>
      <c r="N936" s="1344"/>
      <c r="O936" s="1344"/>
      <c r="P936" s="1707"/>
      <c r="Q936" s="1707"/>
      <c r="R936" s="1707"/>
      <c r="S936" s="1344"/>
      <c r="T936" s="1344"/>
      <c r="U936" s="1753"/>
      <c r="V936" s="1344"/>
      <c r="W936" s="1344"/>
      <c r="X936" s="1344"/>
      <c r="Y936" s="1707"/>
      <c r="Z936" s="1707"/>
      <c r="AA936" s="1344"/>
      <c r="AB936" s="1344"/>
      <c r="AC936" s="1344"/>
      <c r="AD936" s="1344"/>
    </row>
    <row r="937" s="1709" customFormat="true" ht="15.75" hidden="true" customHeight="true" outlineLevel="1" collapsed="false">
      <c r="A937" s="1799" t="s">
        <v>3503</v>
      </c>
      <c r="B937" s="1294" t="str">
        <f aca="false">B475</f>
        <v>м.п.</v>
      </c>
      <c r="C937" s="1799" t="n">
        <f aca="false">C475</f>
        <v>0.4</v>
      </c>
      <c r="D937" s="1799" t="n">
        <f aca="false">D475</f>
        <v>0.045</v>
      </c>
      <c r="E937" s="1799" t="n">
        <f aca="false">IF('Ввод данных'!$A$455=связи1!$A$96,IF(дома!E936&lt;связи1!$D$576,0,дома!E936-$D$881),0)+IF(дома!E936=0,0,IF('Ввод данных'!$A$455=связи1!$A$95,IF(дома!E936&lt;0,0,дома!E936-$D$881),0))+IF('Ввод данных'!$A$455=связи1!$A$98,IF(дома!E936&lt;связи1!$D$576,0,дома!E936-$D$881),0)</f>
        <v>0</v>
      </c>
      <c r="F937" s="1799" t="n">
        <f aca="false">2*VLOOKUP('Ввод данных'!$C$79,связи1!$A$2:$B$3,2,0)</f>
        <v>0</v>
      </c>
      <c r="G937" s="1344" t="n">
        <f aca="false">C937*D937*E937*F937</f>
        <v>0</v>
      </c>
      <c r="H937" s="1344"/>
      <c r="I937" s="1344"/>
      <c r="J937" s="1344"/>
      <c r="K937" s="1344"/>
      <c r="L937" s="1344"/>
      <c r="M937" s="1344"/>
      <c r="N937" s="1344"/>
      <c r="O937" s="1344"/>
      <c r="P937" s="1707"/>
      <c r="Q937" s="1707"/>
      <c r="R937" s="1707"/>
      <c r="S937" s="1344"/>
      <c r="T937" s="1344"/>
      <c r="U937" s="1753"/>
      <c r="V937" s="1344"/>
      <c r="W937" s="1344"/>
      <c r="X937" s="1344"/>
      <c r="Y937" s="1707"/>
      <c r="Z937" s="1707"/>
      <c r="AA937" s="1344"/>
      <c r="AB937" s="1344"/>
      <c r="AC937" s="1344"/>
      <c r="AD937" s="1344"/>
    </row>
    <row r="938" s="1709" customFormat="true" ht="15.75" hidden="true" customHeight="true" outlineLevel="1" collapsed="false">
      <c r="A938" s="1799" t="s">
        <v>3504</v>
      </c>
      <c r="B938" s="1294" t="str">
        <f aca="false">B476</f>
        <v>м.п.</v>
      </c>
      <c r="C938" s="1799" t="n">
        <f aca="false">C476</f>
        <v>0.4</v>
      </c>
      <c r="D938" s="1799" t="n">
        <f aca="false">D476</f>
        <v>0.045</v>
      </c>
      <c r="E938" s="1799" t="n">
        <f aca="false">IF('Ввод данных'!$A$455=связи1!$A$96,IF(дома!E937&lt;связи1!$D$576,0,дома!E937-$D$881),0)+IF(дома!E937=0,0,IF('Ввод данных'!$A$455=связи1!$A$95,IF(дома!E937&lt;0,0,дома!E937-$D$881),0))+IF('Ввод данных'!$A$455=связи1!$A$98,IF(дома!E937&lt;связи1!$D$576,0,дома!E937-$D$881),0)</f>
        <v>0</v>
      </c>
      <c r="F938" s="1799" t="n">
        <f aca="false">2*VLOOKUP('Ввод данных'!$C$79,связи1!$A$2:$B$3,2,0)</f>
        <v>0</v>
      </c>
      <c r="G938" s="1344" t="n">
        <f aca="false">C938*D938*E938*F938</f>
        <v>0</v>
      </c>
      <c r="H938" s="1344"/>
      <c r="I938" s="1344"/>
      <c r="J938" s="1344"/>
      <c r="K938" s="1344"/>
      <c r="L938" s="1344"/>
      <c r="M938" s="1344"/>
      <c r="N938" s="1344"/>
      <c r="O938" s="1344"/>
      <c r="P938" s="1707"/>
      <c r="Q938" s="1707"/>
      <c r="R938" s="1707"/>
      <c r="S938" s="1344"/>
      <c r="T938" s="1344"/>
      <c r="U938" s="1753"/>
      <c r="V938" s="1344"/>
      <c r="W938" s="1344"/>
      <c r="X938" s="1344"/>
      <c r="Y938" s="1707"/>
      <c r="Z938" s="1707"/>
      <c r="AA938" s="1344"/>
      <c r="AB938" s="1344"/>
      <c r="AC938" s="1344"/>
      <c r="AD938" s="1344"/>
    </row>
    <row r="939" s="1709" customFormat="true" ht="15.75" hidden="true" customHeight="true" outlineLevel="1" collapsed="false">
      <c r="A939" s="1799" t="s">
        <v>3505</v>
      </c>
      <c r="B939" s="1294" t="str">
        <f aca="false">B477</f>
        <v>м.п.</v>
      </c>
      <c r="C939" s="1799" t="n">
        <f aca="false">C477</f>
        <v>0.4</v>
      </c>
      <c r="D939" s="1799" t="n">
        <f aca="false">D477</f>
        <v>0.045</v>
      </c>
      <c r="E939" s="1799" t="n">
        <f aca="false">IF('Ввод данных'!$A$455=связи1!$A$96,IF(дома!E938&lt;связи1!$D$576,0,дома!E938-$D$881),0)+IF(дома!E938=0,0,IF('Ввод данных'!$A$455=связи1!$A$95,IF(дома!E938&lt;0,0,дома!E938-$D$881),0))+IF('Ввод данных'!$A$455=связи1!$A$98,IF(дома!E938&lt;связи1!$D$576,0,дома!E938-$D$881),0)</f>
        <v>0</v>
      </c>
      <c r="F939" s="1799" t="n">
        <f aca="false">2*VLOOKUP('Ввод данных'!$C$79,связи1!$A$2:$B$3,2,0)</f>
        <v>0</v>
      </c>
      <c r="G939" s="1344" t="n">
        <f aca="false">C939*D939*E939*F939</f>
        <v>0</v>
      </c>
      <c r="H939" s="1344"/>
      <c r="I939" s="1344"/>
      <c r="J939" s="1344"/>
      <c r="K939" s="1344"/>
      <c r="L939" s="1344"/>
      <c r="M939" s="1344"/>
      <c r="N939" s="1344"/>
      <c r="O939" s="1344"/>
      <c r="P939" s="1707"/>
      <c r="Q939" s="1707"/>
      <c r="R939" s="1707"/>
      <c r="S939" s="1344"/>
      <c r="T939" s="1344"/>
      <c r="U939" s="1753"/>
      <c r="V939" s="1344"/>
      <c r="W939" s="1344"/>
      <c r="X939" s="1344"/>
      <c r="Y939" s="1707"/>
      <c r="Z939" s="1707"/>
      <c r="AA939" s="1344"/>
      <c r="AB939" s="1344"/>
      <c r="AC939" s="1344"/>
      <c r="AD939" s="1344"/>
    </row>
    <row r="940" s="1709" customFormat="true" ht="15.75" hidden="true" customHeight="true" outlineLevel="1" collapsed="false">
      <c r="A940" s="1799" t="s">
        <v>3506</v>
      </c>
      <c r="B940" s="1294" t="str">
        <f aca="false">B478</f>
        <v>м.п.</v>
      </c>
      <c r="C940" s="1799" t="n">
        <f aca="false">C478</f>
        <v>0.4</v>
      </c>
      <c r="D940" s="1799" t="n">
        <f aca="false">D478</f>
        <v>0.045</v>
      </c>
      <c r="E940" s="1799" t="n">
        <f aca="false">IF('Ввод данных'!$A$455=связи1!$A$96,IF(дома!E939&lt;связи1!$D$576,0,дома!E939-$D$881),0)+IF(дома!E939=0,0,IF('Ввод данных'!$A$455=связи1!$A$95,IF(дома!E939&lt;0,0,дома!E939-$D$881),0))+IF('Ввод данных'!$A$455=связи1!$A$98,IF(дома!E939&lt;связи1!$D$576,0,дома!E939-$D$881),0)</f>
        <v>0</v>
      </c>
      <c r="F940" s="1799" t="n">
        <f aca="false">2*VLOOKUP('Ввод данных'!$C$79,связи1!$A$2:$B$3,2,0)</f>
        <v>0</v>
      </c>
      <c r="G940" s="1344" t="n">
        <f aca="false">C940*D940*E940*F940</f>
        <v>0</v>
      </c>
      <c r="H940" s="1344"/>
      <c r="I940" s="1344"/>
      <c r="J940" s="1344"/>
      <c r="K940" s="1344"/>
      <c r="L940" s="1344"/>
      <c r="M940" s="1344"/>
      <c r="N940" s="1344"/>
      <c r="O940" s="1344"/>
      <c r="P940" s="1707"/>
      <c r="Q940" s="1707"/>
      <c r="R940" s="1707"/>
      <c r="S940" s="1344"/>
      <c r="T940" s="1344"/>
      <c r="U940" s="1753"/>
      <c r="V940" s="1344"/>
      <c r="W940" s="1344"/>
      <c r="X940" s="1344"/>
      <c r="Y940" s="1707"/>
      <c r="Z940" s="1707"/>
      <c r="AA940" s="1344"/>
      <c r="AB940" s="1344"/>
      <c r="AC940" s="1344"/>
      <c r="AD940" s="1344"/>
    </row>
    <row r="941" s="1709" customFormat="true" ht="15.75" hidden="true" customHeight="true" outlineLevel="1" collapsed="false">
      <c r="A941" s="1799" t="s">
        <v>3507</v>
      </c>
      <c r="B941" s="1294" t="str">
        <f aca="false">B479</f>
        <v>м.п.</v>
      </c>
      <c r="C941" s="1799" t="n">
        <f aca="false">C479</f>
        <v>0.4</v>
      </c>
      <c r="D941" s="1799" t="n">
        <f aca="false">D479</f>
        <v>0.045</v>
      </c>
      <c r="E941" s="1799" t="n">
        <f aca="false">IF('Ввод данных'!$A$455=связи1!$A$96,IF(дома!E940&lt;связи1!$D$576,0,дома!E940-$D$881),0)+IF(дома!E940=0,0,IF('Ввод данных'!$A$455=связи1!$A$95,IF(дома!E940&lt;0,0,дома!E940-$D$881),0))+IF('Ввод данных'!$A$455=связи1!$A$98,IF(дома!E940&lt;связи1!$D$576,0,дома!E940-$D$881),0)</f>
        <v>0</v>
      </c>
      <c r="F941" s="1799" t="n">
        <f aca="false">2*VLOOKUP('Ввод данных'!$C$79,связи1!$A$2:$B$3,2,0)</f>
        <v>0</v>
      </c>
      <c r="G941" s="1344" t="n">
        <f aca="false">C941*D941*E941*F941</f>
        <v>0</v>
      </c>
      <c r="H941" s="1344"/>
      <c r="I941" s="1344"/>
      <c r="J941" s="1344"/>
      <c r="K941" s="1344"/>
      <c r="L941" s="1344"/>
      <c r="M941" s="1344"/>
      <c r="N941" s="1344"/>
      <c r="O941" s="1344"/>
      <c r="P941" s="1707"/>
      <c r="Q941" s="1707"/>
      <c r="R941" s="1707"/>
      <c r="S941" s="1344"/>
      <c r="T941" s="1344"/>
      <c r="U941" s="1753"/>
      <c r="V941" s="1344"/>
      <c r="W941" s="1344"/>
      <c r="X941" s="1344"/>
      <c r="Y941" s="1707"/>
      <c r="Z941" s="1707"/>
      <c r="AA941" s="1344"/>
      <c r="AB941" s="1344"/>
      <c r="AC941" s="1344"/>
      <c r="AD941" s="1344"/>
    </row>
    <row r="942" s="1709" customFormat="true" ht="15.75" hidden="true" customHeight="true" outlineLevel="1" collapsed="false">
      <c r="A942" s="1799" t="s">
        <v>3508</v>
      </c>
      <c r="B942" s="1294" t="str">
        <f aca="false">B480</f>
        <v>м.п.</v>
      </c>
      <c r="C942" s="1799" t="n">
        <f aca="false">C480</f>
        <v>0.4</v>
      </c>
      <c r="D942" s="1799" t="n">
        <f aca="false">D480</f>
        <v>0.045</v>
      </c>
      <c r="E942" s="1799" t="n">
        <f aca="false">IF('Ввод данных'!$A$455=связи1!$A$96,IF(дома!E941&lt;связи1!$D$576,0,дома!E941-$D$881),0)+IF(дома!E941=0,0,IF('Ввод данных'!$A$455=связи1!$A$95,IF(дома!E941&lt;0,0,дома!E941-$D$881),0))+IF('Ввод данных'!$A$455=связи1!$A$98,IF(дома!E941&lt;связи1!$D$576,0,дома!E941-$D$881),0)</f>
        <v>0</v>
      </c>
      <c r="F942" s="1799" t="n">
        <f aca="false">2*VLOOKUP('Ввод данных'!$C$79,связи1!$A$2:$B$3,2,0)</f>
        <v>0</v>
      </c>
      <c r="G942" s="1344" t="n">
        <f aca="false">C942*D942*E942*F942</f>
        <v>0</v>
      </c>
      <c r="H942" s="1344"/>
      <c r="I942" s="1344"/>
      <c r="J942" s="1344"/>
      <c r="K942" s="1344"/>
      <c r="L942" s="1344"/>
      <c r="M942" s="1344"/>
      <c r="N942" s="1344"/>
      <c r="O942" s="1344"/>
      <c r="P942" s="1707"/>
      <c r="Q942" s="1707"/>
      <c r="R942" s="1707"/>
      <c r="S942" s="1344"/>
      <c r="T942" s="1344"/>
      <c r="U942" s="1753"/>
      <c r="V942" s="1344"/>
      <c r="W942" s="1344"/>
      <c r="X942" s="1344"/>
      <c r="Y942" s="1707"/>
      <c r="Z942" s="1707"/>
      <c r="AA942" s="1344"/>
      <c r="AB942" s="1344"/>
      <c r="AC942" s="1344"/>
      <c r="AD942" s="1344"/>
    </row>
    <row r="943" s="1709" customFormat="true" ht="15.75" hidden="true" customHeight="true" outlineLevel="1" collapsed="false">
      <c r="A943" s="1799" t="s">
        <v>3509</v>
      </c>
      <c r="B943" s="1294" t="str">
        <f aca="false">B481</f>
        <v>м.п.</v>
      </c>
      <c r="C943" s="1799" t="n">
        <f aca="false">C481</f>
        <v>0.4</v>
      </c>
      <c r="D943" s="1799" t="n">
        <f aca="false">D481</f>
        <v>0.045</v>
      </c>
      <c r="E943" s="1799" t="n">
        <f aca="false">IF('Ввод данных'!$A$455=связи1!$A$96,IF(дома!E942&lt;связи1!$D$576,0,дома!E942-$D$881),0)+IF(дома!E942=0,0,IF('Ввод данных'!$A$455=связи1!$A$95,IF(дома!E942&lt;0,0,дома!E942-$D$881),0))+IF('Ввод данных'!$A$455=связи1!$A$98,IF(дома!E942&lt;связи1!$D$576,0,дома!E942-$D$881),0)</f>
        <v>0</v>
      </c>
      <c r="F943" s="1799" t="n">
        <f aca="false">2*VLOOKUP('Ввод данных'!$C$79,связи1!$A$2:$B$3,2,0)</f>
        <v>0</v>
      </c>
      <c r="G943" s="1344" t="n">
        <f aca="false">C943*D943*E943*F943</f>
        <v>0</v>
      </c>
      <c r="H943" s="1344"/>
      <c r="I943" s="1344"/>
      <c r="J943" s="1344"/>
      <c r="K943" s="1344"/>
      <c r="L943" s="1344"/>
      <c r="M943" s="1344"/>
      <c r="N943" s="1344"/>
      <c r="O943" s="1344"/>
      <c r="P943" s="1707"/>
      <c r="Q943" s="1707"/>
      <c r="R943" s="1707"/>
      <c r="S943" s="1344"/>
      <c r="T943" s="1344"/>
      <c r="U943" s="1753"/>
      <c r="V943" s="1344"/>
      <c r="W943" s="1344"/>
      <c r="X943" s="1344"/>
      <c r="Y943" s="1707"/>
      <c r="Z943" s="1707"/>
      <c r="AA943" s="1344"/>
      <c r="AB943" s="1344"/>
      <c r="AC943" s="1344"/>
      <c r="AD943" s="1344"/>
    </row>
    <row r="944" s="1709" customFormat="true" ht="15.75" hidden="true" customHeight="true" outlineLevel="1" collapsed="false">
      <c r="A944" s="1799" t="s">
        <v>3510</v>
      </c>
      <c r="B944" s="1294" t="str">
        <f aca="false">B482</f>
        <v>м.п.</v>
      </c>
      <c r="C944" s="1799" t="n">
        <f aca="false">C482</f>
        <v>0.4</v>
      </c>
      <c r="D944" s="1799" t="n">
        <f aca="false">D482</f>
        <v>0.045</v>
      </c>
      <c r="E944" s="1799" t="n">
        <f aca="false">IF('Ввод данных'!$A$455=связи1!$A$96,IF(дома!E943&lt;связи1!$D$576,0,дома!E943-$D$881),0)+IF(дома!E943=0,0,IF('Ввод данных'!$A$455=связи1!$A$95,IF(дома!E943&lt;0,0,дома!E943-$D$881),0))+IF('Ввод данных'!$A$455=связи1!$A$98,IF(дома!E943&lt;связи1!$D$576,0,дома!E943-$D$881),0)</f>
        <v>0</v>
      </c>
      <c r="F944" s="1799" t="n">
        <f aca="false">2*VLOOKUP('Ввод данных'!$C$79,связи1!$A$2:$B$3,2,0)</f>
        <v>0</v>
      </c>
      <c r="G944" s="1344" t="n">
        <f aca="false">C944*D944*E944*F944</f>
        <v>0</v>
      </c>
      <c r="H944" s="1344"/>
      <c r="I944" s="1344"/>
      <c r="J944" s="1344"/>
      <c r="K944" s="1344"/>
      <c r="L944" s="1344"/>
      <c r="M944" s="1344"/>
      <c r="N944" s="1344"/>
      <c r="O944" s="1344"/>
      <c r="P944" s="1707"/>
      <c r="Q944" s="1707"/>
      <c r="R944" s="1707"/>
      <c r="S944" s="1344"/>
      <c r="T944" s="1344"/>
      <c r="U944" s="1753"/>
      <c r="V944" s="1344"/>
      <c r="W944" s="1344"/>
      <c r="X944" s="1344"/>
      <c r="Y944" s="1707"/>
      <c r="Z944" s="1707"/>
      <c r="AA944" s="1344"/>
      <c r="AB944" s="1344"/>
      <c r="AC944" s="1344"/>
      <c r="AD944" s="1344"/>
    </row>
    <row r="945" s="1709" customFormat="true" ht="15.75" hidden="true" customHeight="true" outlineLevel="1" collapsed="false">
      <c r="A945" s="1799" t="s">
        <v>3511</v>
      </c>
      <c r="B945" s="1294" t="str">
        <f aca="false">B483</f>
        <v>м.п.</v>
      </c>
      <c r="C945" s="1799" t="n">
        <f aca="false">C483</f>
        <v>0.4</v>
      </c>
      <c r="D945" s="1799" t="n">
        <f aca="false">D483</f>
        <v>0.045</v>
      </c>
      <c r="E945" s="1799" t="n">
        <f aca="false">IF('Ввод данных'!$A$455=связи1!$A$96,IF(дома!E944&lt;связи1!$D$576,0,дома!E944-$D$881),0)+IF(дома!E944=0,0,IF('Ввод данных'!$A$455=связи1!$A$95,IF(дома!E944&lt;0,0,дома!E944-$D$881),0))+IF('Ввод данных'!$A$455=связи1!$A$98,IF(дома!E944&lt;связи1!$D$576,0,дома!E944-$D$881),0)</f>
        <v>0</v>
      </c>
      <c r="F945" s="1799" t="n">
        <f aca="false">2*VLOOKUP('Ввод данных'!$C$79,связи1!$A$2:$B$3,2,0)</f>
        <v>0</v>
      </c>
      <c r="G945" s="1344" t="n">
        <f aca="false">C945*D945*E945*F945</f>
        <v>0</v>
      </c>
      <c r="H945" s="1344"/>
      <c r="I945" s="1344"/>
      <c r="J945" s="1344"/>
      <c r="K945" s="1344"/>
      <c r="L945" s="1344"/>
      <c r="M945" s="1344"/>
      <c r="N945" s="1344"/>
      <c r="O945" s="1344"/>
      <c r="P945" s="1707"/>
      <c r="Q945" s="1707"/>
      <c r="R945" s="1707"/>
      <c r="S945" s="1344"/>
      <c r="T945" s="1344"/>
      <c r="U945" s="1753"/>
      <c r="V945" s="1344"/>
      <c r="W945" s="1344"/>
      <c r="X945" s="1344"/>
      <c r="Y945" s="1707"/>
      <c r="Z945" s="1707"/>
      <c r="AA945" s="1344"/>
      <c r="AB945" s="1344"/>
      <c r="AC945" s="1344"/>
      <c r="AD945" s="1344"/>
    </row>
    <row r="946" s="1709" customFormat="true" ht="15.75" hidden="true" customHeight="true" outlineLevel="1" collapsed="false">
      <c r="A946" s="1799" t="s">
        <v>3512</v>
      </c>
      <c r="B946" s="1294" t="str">
        <f aca="false">B484</f>
        <v>м.п.</v>
      </c>
      <c r="C946" s="1799" t="n">
        <f aca="false">C484</f>
        <v>0.4</v>
      </c>
      <c r="D946" s="1799" t="n">
        <f aca="false">D484</f>
        <v>0.045</v>
      </c>
      <c r="E946" s="1799" t="n">
        <f aca="false">IF('Ввод данных'!$A$455=связи1!$A$96,IF(дома!E945&lt;связи1!$D$576,0,дома!E945-$D$881),0)+IF(дома!E945=0,0,IF('Ввод данных'!$A$455=связи1!$A$95,IF(дома!E945&lt;0,0,дома!E945-$D$881),0))+IF('Ввод данных'!$A$455=связи1!$A$98,IF(дома!E945&lt;связи1!$D$576,0,дома!E945-$D$881),0)</f>
        <v>0</v>
      </c>
      <c r="F946" s="1799" t="n">
        <f aca="false">2*VLOOKUP('Ввод данных'!$C$79,связи1!$A$2:$B$3,2,0)</f>
        <v>0</v>
      </c>
      <c r="G946" s="1344" t="n">
        <f aca="false">C946*D946*E946*F946</f>
        <v>0</v>
      </c>
      <c r="H946" s="1344"/>
      <c r="I946" s="1344"/>
      <c r="J946" s="1344"/>
      <c r="K946" s="1344"/>
      <c r="L946" s="1344"/>
      <c r="M946" s="1344"/>
      <c r="N946" s="1344"/>
      <c r="O946" s="1344"/>
      <c r="P946" s="1707"/>
      <c r="Q946" s="1707"/>
      <c r="R946" s="1707"/>
      <c r="S946" s="1344"/>
      <c r="T946" s="1344"/>
      <c r="U946" s="1753"/>
      <c r="V946" s="1344"/>
      <c r="W946" s="1344"/>
      <c r="X946" s="1344"/>
      <c r="Y946" s="1707"/>
      <c r="Z946" s="1707"/>
      <c r="AA946" s="1344"/>
      <c r="AB946" s="1344"/>
      <c r="AC946" s="1344"/>
      <c r="AD946" s="1344"/>
    </row>
    <row r="947" s="1709" customFormat="true" ht="15.75" hidden="true" customHeight="true" outlineLevel="1" collapsed="false">
      <c r="A947" s="1799" t="s">
        <v>3513</v>
      </c>
      <c r="B947" s="1294" t="str">
        <f aca="false">B485</f>
        <v>м.п.</v>
      </c>
      <c r="C947" s="1799" t="n">
        <f aca="false">C485</f>
        <v>0.4</v>
      </c>
      <c r="D947" s="1799" t="n">
        <f aca="false">D485</f>
        <v>0.045</v>
      </c>
      <c r="E947" s="1799" t="n">
        <f aca="false">IF('Ввод данных'!$A$455=связи1!$A$96,IF(дома!E946&lt;связи1!$D$576,0,дома!E946-$D$881),0)+IF(дома!E946=0,0,IF('Ввод данных'!$A$455=связи1!$A$95,IF(дома!E946&lt;0,0,дома!E946-$D$881),0))+IF('Ввод данных'!$A$455=связи1!$A$98,IF(дома!E946&lt;связи1!$D$576,0,дома!E946-$D$881),0)</f>
        <v>0</v>
      </c>
      <c r="F947" s="1799" t="n">
        <f aca="false">2*VLOOKUP('Ввод данных'!$C$79,связи1!$A$2:$B$3,2,0)</f>
        <v>0</v>
      </c>
      <c r="G947" s="1344" t="n">
        <f aca="false">C947*D947*E947*F947</f>
        <v>0</v>
      </c>
      <c r="H947" s="1344"/>
      <c r="I947" s="1344"/>
      <c r="J947" s="1344"/>
      <c r="K947" s="1344"/>
      <c r="L947" s="1344"/>
      <c r="M947" s="1344"/>
      <c r="N947" s="1344"/>
      <c r="O947" s="1344"/>
      <c r="P947" s="1707"/>
      <c r="Q947" s="1707"/>
      <c r="R947" s="1707"/>
      <c r="S947" s="1344"/>
      <c r="T947" s="1344"/>
      <c r="U947" s="1753"/>
      <c r="V947" s="1344"/>
      <c r="W947" s="1344"/>
      <c r="X947" s="1344"/>
      <c r="Y947" s="1707"/>
      <c r="Z947" s="1707"/>
      <c r="AA947" s="1344"/>
      <c r="AB947" s="1344"/>
      <c r="AC947" s="1344"/>
      <c r="AD947" s="1344"/>
    </row>
    <row r="948" s="1709" customFormat="true" ht="15.75" hidden="true" customHeight="true" outlineLevel="1" collapsed="false">
      <c r="A948" s="1799" t="s">
        <v>3514</v>
      </c>
      <c r="B948" s="1294" t="str">
        <f aca="false">B486</f>
        <v>м.п.</v>
      </c>
      <c r="C948" s="1799" t="n">
        <f aca="false">C486</f>
        <v>0.4</v>
      </c>
      <c r="D948" s="1799" t="n">
        <f aca="false">D486</f>
        <v>0.045</v>
      </c>
      <c r="E948" s="1799" t="n">
        <f aca="false">IF('Ввод данных'!$A$455=связи1!$A$96,IF(дома!E947&lt;связи1!$D$576,0,дома!E947-$D$881),0)+IF(дома!E947=0,0,IF('Ввод данных'!$A$455=связи1!$A$95,IF(дома!E947&lt;0,0,дома!E947-$D$881),0))+IF('Ввод данных'!$A$455=связи1!$A$98,IF(дома!E947&lt;связи1!$D$576,0,дома!E947-$D$881),0)</f>
        <v>0</v>
      </c>
      <c r="F948" s="1799" t="n">
        <f aca="false">2*VLOOKUP('Ввод данных'!$C$79,связи1!$A$2:$B$3,2,0)</f>
        <v>0</v>
      </c>
      <c r="G948" s="1344" t="n">
        <f aca="false">C948*D948*E948*F948</f>
        <v>0</v>
      </c>
      <c r="H948" s="1344"/>
      <c r="I948" s="1344"/>
      <c r="J948" s="1344"/>
      <c r="K948" s="1344"/>
      <c r="L948" s="1344"/>
      <c r="M948" s="1344"/>
      <c r="N948" s="1344"/>
      <c r="O948" s="1344"/>
      <c r="P948" s="1707"/>
      <c r="Q948" s="1707"/>
      <c r="R948" s="1707"/>
      <c r="S948" s="1344"/>
      <c r="T948" s="1344"/>
      <c r="U948" s="1753"/>
      <c r="V948" s="1344"/>
      <c r="W948" s="1344"/>
      <c r="X948" s="1344"/>
      <c r="Y948" s="1707"/>
      <c r="Z948" s="1707"/>
      <c r="AA948" s="1344"/>
      <c r="AB948" s="1344"/>
      <c r="AC948" s="1344"/>
      <c r="AD948" s="1344"/>
    </row>
    <row r="949" s="1709" customFormat="true" ht="15.75" hidden="true" customHeight="true" outlineLevel="1" collapsed="false">
      <c r="A949" s="1799" t="s">
        <v>3515</v>
      </c>
      <c r="B949" s="1294" t="str">
        <f aca="false">B487</f>
        <v>м.п.</v>
      </c>
      <c r="C949" s="1799" t="n">
        <f aca="false">C487</f>
        <v>0.4</v>
      </c>
      <c r="D949" s="1799" t="n">
        <f aca="false">D487</f>
        <v>0.045</v>
      </c>
      <c r="E949" s="1799" t="n">
        <f aca="false">IF('Ввод данных'!$A$455=связи1!$A$96,IF(дома!E948&lt;связи1!$D$576,0,дома!E948-$D$881),0)+IF(дома!E948=0,0,IF('Ввод данных'!$A$455=связи1!$A$95,IF(дома!E948&lt;0,0,дома!E948-$D$881),0))+IF('Ввод данных'!$A$455=связи1!$A$98,IF(дома!E948&lt;связи1!$D$576,0,дома!E948-$D$881),0)</f>
        <v>0</v>
      </c>
      <c r="F949" s="1799" t="n">
        <f aca="false">2*VLOOKUP('Ввод данных'!$C$79,связи1!$A$2:$B$3,2,0)</f>
        <v>0</v>
      </c>
      <c r="G949" s="1344" t="n">
        <f aca="false">C949*D949*E949*F949</f>
        <v>0</v>
      </c>
      <c r="H949" s="1344"/>
      <c r="I949" s="1344"/>
      <c r="J949" s="1344"/>
      <c r="K949" s="1344"/>
      <c r="L949" s="1344"/>
      <c r="M949" s="1344"/>
      <c r="N949" s="1344"/>
      <c r="O949" s="1344"/>
      <c r="P949" s="1707"/>
      <c r="Q949" s="1707"/>
      <c r="R949" s="1707"/>
      <c r="S949" s="1344"/>
      <c r="T949" s="1344"/>
      <c r="U949" s="1753"/>
      <c r="V949" s="1344"/>
      <c r="W949" s="1344"/>
      <c r="X949" s="1344"/>
      <c r="Y949" s="1707"/>
      <c r="Z949" s="1707"/>
      <c r="AA949" s="1344"/>
      <c r="AB949" s="1344"/>
      <c r="AC949" s="1344"/>
      <c r="AD949" s="1344"/>
    </row>
    <row r="950" s="1709" customFormat="true" ht="15.75" hidden="true" customHeight="true" outlineLevel="1" collapsed="false">
      <c r="A950" s="1799" t="s">
        <v>3516</v>
      </c>
      <c r="B950" s="1294" t="str">
        <f aca="false">B488</f>
        <v>м.п.</v>
      </c>
      <c r="C950" s="1799" t="n">
        <f aca="false">C488</f>
        <v>0.4</v>
      </c>
      <c r="D950" s="1799" t="n">
        <f aca="false">D488</f>
        <v>0.045</v>
      </c>
      <c r="E950" s="1799" t="n">
        <f aca="false">IF('Ввод данных'!$A$455=связи1!$A$96,IF(дома!E949&lt;связи1!$D$576,0,дома!E949-$D$881),0)+IF(дома!E949=0,0,IF('Ввод данных'!$A$455=связи1!$A$95,IF(дома!E949&lt;0,0,дома!E949-$D$881),0))+IF('Ввод данных'!$A$455=связи1!$A$98,IF(дома!E949&lt;связи1!$D$576,0,дома!E949-$D$881),0)</f>
        <v>0</v>
      </c>
      <c r="F950" s="1799" t="n">
        <f aca="false">2*VLOOKUP('Ввод данных'!$C$79,связи1!$A$2:$B$3,2,0)</f>
        <v>0</v>
      </c>
      <c r="G950" s="1344" t="n">
        <f aca="false">C950*D950*E950*F950</f>
        <v>0</v>
      </c>
      <c r="H950" s="1344"/>
      <c r="I950" s="1344"/>
      <c r="J950" s="1344"/>
      <c r="K950" s="1344"/>
      <c r="L950" s="1344"/>
      <c r="M950" s="1344"/>
      <c r="N950" s="1344"/>
      <c r="O950" s="1344"/>
      <c r="P950" s="1707"/>
      <c r="Q950" s="1707"/>
      <c r="R950" s="1707"/>
      <c r="S950" s="1344"/>
      <c r="T950" s="1344"/>
      <c r="U950" s="1753"/>
      <c r="V950" s="1344"/>
      <c r="W950" s="1344"/>
      <c r="X950" s="1344"/>
      <c r="Y950" s="1707"/>
      <c r="Z950" s="1707"/>
      <c r="AA950" s="1344"/>
      <c r="AB950" s="1344"/>
      <c r="AC950" s="1344"/>
      <c r="AD950" s="1344"/>
    </row>
    <row r="951" s="1709" customFormat="true" ht="15.75" hidden="true" customHeight="true" outlineLevel="1" collapsed="false">
      <c r="A951" s="1799" t="s">
        <v>3517</v>
      </c>
      <c r="B951" s="1294" t="str">
        <f aca="false">B489</f>
        <v>м.п.</v>
      </c>
      <c r="C951" s="1799" t="n">
        <f aca="false">C489</f>
        <v>0.4</v>
      </c>
      <c r="D951" s="1799" t="n">
        <f aca="false">D489</f>
        <v>0.045</v>
      </c>
      <c r="E951" s="1799" t="n">
        <f aca="false">IF('Ввод данных'!A454=связи1!A107,IF('Ввод данных'!A455=связи1!A94,0,0)+IF('Ввод данных'!A455=связи1!A95,связи1!D575-связи1!D574,0)+IF('Ввод данных'!A455=связи1!A96,связи1!D575,0)+IF('Ввод данных'!A455=связи1!A97,0,0)+IF('Ввод данных'!A455=связи1!A98,связи1!D575,0),0)</f>
        <v>-1.2</v>
      </c>
      <c r="F951" s="1799" t="n">
        <f aca="false">2*VLOOKUP('Ввод данных'!$C$79,связи1!$A$2:$B$3,2,0)</f>
        <v>0</v>
      </c>
      <c r="G951" s="1344" t="n">
        <f aca="false">C951*D951*E951*F951</f>
        <v>-0</v>
      </c>
      <c r="H951" s="1344"/>
      <c r="I951" s="1344"/>
      <c r="J951" s="1344"/>
      <c r="K951" s="1344"/>
      <c r="L951" s="1344"/>
      <c r="M951" s="1344"/>
      <c r="N951" s="1344"/>
      <c r="O951" s="1344"/>
      <c r="P951" s="1707"/>
      <c r="Q951" s="1707"/>
      <c r="R951" s="1707"/>
      <c r="S951" s="1344"/>
      <c r="T951" s="1344"/>
      <c r="U951" s="1753"/>
      <c r="V951" s="1344"/>
      <c r="W951" s="1344"/>
      <c r="X951" s="1344"/>
      <c r="Y951" s="1707"/>
      <c r="Z951" s="1707"/>
      <c r="AA951" s="1344"/>
      <c r="AB951" s="1344"/>
      <c r="AC951" s="1344"/>
      <c r="AD951" s="1344"/>
    </row>
    <row r="952" s="1709" customFormat="true" ht="15.75" hidden="true" customHeight="true" outlineLevel="1" collapsed="false">
      <c r="A952" s="1799" t="s">
        <v>3518</v>
      </c>
      <c r="B952" s="1294" t="str">
        <f aca="false">B490</f>
        <v>м.п.</v>
      </c>
      <c r="C952" s="1799" t="n">
        <f aca="false">C490</f>
        <v>0.4</v>
      </c>
      <c r="D952" s="1799" t="n">
        <f aca="false">D490</f>
        <v>0.045</v>
      </c>
      <c r="E952" s="1799" t="n">
        <f aca="false">IF('Ввод данных'!$A$455=связи1!$A$96,IF(дома!E951&lt;связи1!$D$576,0,дома!E951-$D$881),0)+IF(дома!E951=0,0,IF('Ввод данных'!$A$455=связи1!$A$95,IF(дома!E951&lt;0,0,дома!E951-$D$881),0))+IF('Ввод данных'!$A$455=связи1!$A$98,IF(дома!E951&lt;связи1!$D$576,0,дома!E951-$D$881),0)</f>
        <v>0</v>
      </c>
      <c r="F952" s="1799" t="n">
        <f aca="false">2*VLOOKUP('Ввод данных'!$C$79,связи1!$A$2:$B$3,2,0)</f>
        <v>0</v>
      </c>
      <c r="G952" s="1344" t="n">
        <f aca="false">C952*D952*E952*F952</f>
        <v>0</v>
      </c>
      <c r="H952" s="1344"/>
      <c r="I952" s="1344"/>
      <c r="J952" s="1344"/>
      <c r="K952" s="1344"/>
      <c r="L952" s="1344"/>
      <c r="M952" s="1344"/>
      <c r="N952" s="1344"/>
      <c r="O952" s="1344"/>
      <c r="P952" s="1707"/>
      <c r="Q952" s="1707"/>
      <c r="R952" s="1707"/>
      <c r="S952" s="1344"/>
      <c r="T952" s="1344"/>
      <c r="U952" s="1753"/>
      <c r="V952" s="1344"/>
      <c r="W952" s="1344"/>
      <c r="X952" s="1344"/>
      <c r="Y952" s="1707"/>
      <c r="Z952" s="1707"/>
      <c r="AA952" s="1344"/>
      <c r="AB952" s="1344"/>
      <c r="AC952" s="1344"/>
      <c r="AD952" s="1344"/>
    </row>
    <row r="953" s="1709" customFormat="true" ht="15.75" hidden="true" customHeight="true" outlineLevel="1" collapsed="false">
      <c r="A953" s="1799" t="s">
        <v>3519</v>
      </c>
      <c r="B953" s="1294" t="str">
        <f aca="false">B491</f>
        <v>м.п.</v>
      </c>
      <c r="C953" s="1799" t="n">
        <f aca="false">C491</f>
        <v>0.4</v>
      </c>
      <c r="D953" s="1799" t="n">
        <f aca="false">D491</f>
        <v>0.045</v>
      </c>
      <c r="E953" s="1799" t="n">
        <f aca="false">IF('Ввод данных'!$A$455=связи1!$A$96,IF(дома!E952&lt;связи1!$D$576,0,дома!E952-$D$881),0)+IF(дома!E952=0,0,IF('Ввод данных'!$A$455=связи1!$A$95,IF(дома!E952&lt;0,0,дома!E952-$D$881),0))+IF('Ввод данных'!$A$455=связи1!$A$98,IF(дома!E952&lt;связи1!$D$576,0,дома!E952-$D$881),0)</f>
        <v>0</v>
      </c>
      <c r="F953" s="1799" t="n">
        <f aca="false">2*VLOOKUP('Ввод данных'!$C$79,связи1!$A$2:$B$3,2,0)</f>
        <v>0</v>
      </c>
      <c r="G953" s="1344" t="n">
        <f aca="false">C953*D953*E953*F953</f>
        <v>0</v>
      </c>
      <c r="H953" s="1344"/>
      <c r="I953" s="1344"/>
      <c r="J953" s="1344"/>
      <c r="K953" s="1344"/>
      <c r="L953" s="1344"/>
      <c r="M953" s="1344"/>
      <c r="N953" s="1344"/>
      <c r="O953" s="1344"/>
      <c r="P953" s="1707"/>
      <c r="Q953" s="1707"/>
      <c r="R953" s="1707"/>
      <c r="S953" s="1344"/>
      <c r="T953" s="1344"/>
      <c r="U953" s="1753"/>
      <c r="V953" s="1344"/>
      <c r="W953" s="1344"/>
      <c r="X953" s="1344"/>
      <c r="Y953" s="1707"/>
      <c r="Z953" s="1707"/>
      <c r="AA953" s="1344"/>
      <c r="AB953" s="1344"/>
      <c r="AC953" s="1344"/>
      <c r="AD953" s="1344"/>
    </row>
    <row r="954" s="1709" customFormat="true" ht="15.75" hidden="true" customHeight="true" outlineLevel="1" collapsed="false">
      <c r="A954" s="1799" t="s">
        <v>3520</v>
      </c>
      <c r="B954" s="1294" t="str">
        <f aca="false">B492</f>
        <v>м.п.</v>
      </c>
      <c r="C954" s="1799" t="n">
        <f aca="false">C492</f>
        <v>0.4</v>
      </c>
      <c r="D954" s="1799" t="n">
        <f aca="false">D492</f>
        <v>0.045</v>
      </c>
      <c r="E954" s="1799" t="n">
        <f aca="false">IF('Ввод данных'!$A$455=связи1!$A$96,IF(дома!E953&lt;связи1!$D$576,0,дома!E953-$D$881),0)+IF(дома!E953=0,0,IF('Ввод данных'!$A$455=связи1!$A$95,IF(дома!E953&lt;0,0,дома!E953-$D$881),0))+IF('Ввод данных'!$A$455=связи1!$A$98,IF(дома!E953&lt;связи1!$D$576,0,дома!E953-$D$881),0)</f>
        <v>0</v>
      </c>
      <c r="F954" s="1799" t="n">
        <f aca="false">2*VLOOKUP('Ввод данных'!$C$79,связи1!$A$2:$B$3,2,0)</f>
        <v>0</v>
      </c>
      <c r="G954" s="1344" t="n">
        <f aca="false">C954*D954*E954*F954</f>
        <v>0</v>
      </c>
      <c r="H954" s="1344"/>
      <c r="I954" s="1344"/>
      <c r="J954" s="1344"/>
      <c r="K954" s="1344"/>
      <c r="L954" s="1344"/>
      <c r="M954" s="1344"/>
      <c r="N954" s="1344"/>
      <c r="O954" s="1344"/>
      <c r="P954" s="1707"/>
      <c r="Q954" s="1707"/>
      <c r="R954" s="1707"/>
      <c r="S954" s="1344"/>
      <c r="T954" s="1344"/>
      <c r="U954" s="1753"/>
      <c r="V954" s="1344"/>
      <c r="W954" s="1344"/>
      <c r="X954" s="1344"/>
      <c r="Y954" s="1707"/>
      <c r="Z954" s="1707"/>
      <c r="AA954" s="1344"/>
      <c r="AB954" s="1344"/>
      <c r="AC954" s="1344"/>
      <c r="AD954" s="1344"/>
    </row>
    <row r="955" s="1709" customFormat="true" ht="15.75" hidden="true" customHeight="true" outlineLevel="1" collapsed="false">
      <c r="A955" s="1799" t="s">
        <v>3521</v>
      </c>
      <c r="B955" s="1294" t="str">
        <f aca="false">B493</f>
        <v>м.п.</v>
      </c>
      <c r="C955" s="1799" t="n">
        <f aca="false">C493</f>
        <v>0.4</v>
      </c>
      <c r="D955" s="1799" t="n">
        <f aca="false">D493</f>
        <v>0.045</v>
      </c>
      <c r="E955" s="1799" t="n">
        <f aca="false">IF('Ввод данных'!$A$455=связи1!$A$96,IF(дома!E954&lt;связи1!$D$576,0,дома!E954-$D$881),0)+IF(дома!E954=0,0,IF('Ввод данных'!$A$455=связи1!$A$95,IF(дома!E954&lt;0,0,дома!E954-$D$881),0))+IF('Ввод данных'!$A$455=связи1!$A$98,IF(дома!E954&lt;связи1!$D$576,0,дома!E954-$D$881),0)</f>
        <v>0</v>
      </c>
      <c r="F955" s="1799" t="n">
        <f aca="false">2*VLOOKUP('Ввод данных'!$C$79,связи1!$A$2:$B$3,2,0)</f>
        <v>0</v>
      </c>
      <c r="G955" s="1344" t="n">
        <f aca="false">C955*D955*E955*F955</f>
        <v>0</v>
      </c>
      <c r="H955" s="1344"/>
      <c r="I955" s="1344"/>
      <c r="J955" s="1344"/>
      <c r="K955" s="1344"/>
      <c r="L955" s="1344"/>
      <c r="M955" s="1344"/>
      <c r="N955" s="1344"/>
      <c r="O955" s="1344"/>
      <c r="P955" s="1707"/>
      <c r="Q955" s="1707"/>
      <c r="R955" s="1707"/>
      <c r="S955" s="1344"/>
      <c r="T955" s="1344"/>
      <c r="U955" s="1753"/>
      <c r="V955" s="1344"/>
      <c r="W955" s="1344"/>
      <c r="X955" s="1344"/>
      <c r="Y955" s="1707"/>
      <c r="Z955" s="1707"/>
      <c r="AA955" s="1344"/>
      <c r="AB955" s="1344"/>
      <c r="AC955" s="1344"/>
      <c r="AD955" s="1344"/>
    </row>
    <row r="956" s="1709" customFormat="true" ht="15.75" hidden="true" customHeight="true" outlineLevel="1" collapsed="false">
      <c r="A956" s="1799" t="s">
        <v>3522</v>
      </c>
      <c r="B956" s="1294" t="str">
        <f aca="false">B494</f>
        <v>м.п.</v>
      </c>
      <c r="C956" s="1799" t="n">
        <f aca="false">C494</f>
        <v>0.4</v>
      </c>
      <c r="D956" s="1799" t="n">
        <f aca="false">D494</f>
        <v>0.045</v>
      </c>
      <c r="E956" s="1799" t="n">
        <f aca="false">IF('Ввод данных'!$A$455=связи1!$A$96,IF(дома!E955&lt;связи1!$D$576,0,дома!E955-$D$881),0)+IF(дома!E955=0,0,IF('Ввод данных'!$A$455=связи1!$A$95,IF(дома!E955&lt;0,0,дома!E955-$D$881),0))+IF('Ввод данных'!$A$455=связи1!$A$98,IF(дома!E955&lt;связи1!$D$576,0,дома!E955-$D$881),0)</f>
        <v>0</v>
      </c>
      <c r="F956" s="1799" t="n">
        <f aca="false">2*VLOOKUP('Ввод данных'!$C$79,связи1!$A$2:$B$3,2,0)</f>
        <v>0</v>
      </c>
      <c r="G956" s="1344" t="n">
        <f aca="false">C956*D956*E956*F956</f>
        <v>0</v>
      </c>
      <c r="H956" s="1344"/>
      <c r="I956" s="1344"/>
      <c r="J956" s="1344"/>
      <c r="K956" s="1344"/>
      <c r="L956" s="1344"/>
      <c r="M956" s="1344"/>
      <c r="N956" s="1344"/>
      <c r="O956" s="1344"/>
      <c r="P956" s="1707"/>
      <c r="Q956" s="1707"/>
      <c r="R956" s="1707"/>
      <c r="S956" s="1344"/>
      <c r="T956" s="1344"/>
      <c r="U956" s="1753"/>
      <c r="V956" s="1344"/>
      <c r="W956" s="1344"/>
      <c r="X956" s="1344"/>
      <c r="Y956" s="1707"/>
      <c r="Z956" s="1707"/>
      <c r="AA956" s="1344"/>
      <c r="AB956" s="1344"/>
      <c r="AC956" s="1344"/>
      <c r="AD956" s="1344"/>
    </row>
    <row r="957" s="1709" customFormat="true" ht="15.75" hidden="true" customHeight="true" outlineLevel="1" collapsed="false">
      <c r="A957" s="1799" t="s">
        <v>3523</v>
      </c>
      <c r="B957" s="1294" t="str">
        <f aca="false">B495</f>
        <v>м.п.</v>
      </c>
      <c r="C957" s="1799" t="n">
        <f aca="false">C495</f>
        <v>0.4</v>
      </c>
      <c r="D957" s="1799" t="n">
        <f aca="false">D495</f>
        <v>0.045</v>
      </c>
      <c r="E957" s="1799" t="n">
        <f aca="false">IF('Ввод данных'!$A$455=связи1!$A$96,IF(дома!E956&lt;связи1!$D$576,0,дома!E956-$D$881),0)+IF(дома!E956=0,0,IF('Ввод данных'!$A$455=связи1!$A$95,IF(дома!E956&lt;0,0,дома!E956-$D$881),0))+IF('Ввод данных'!$A$455=связи1!$A$98,IF(дома!E956&lt;связи1!$D$576,0,дома!E956-$D$881),0)</f>
        <v>0</v>
      </c>
      <c r="F957" s="1799" t="n">
        <f aca="false">2*VLOOKUP('Ввод данных'!$C$79,связи1!$A$2:$B$3,2,0)</f>
        <v>0</v>
      </c>
      <c r="G957" s="1344" t="n">
        <f aca="false">C957*D957*E957*F957</f>
        <v>0</v>
      </c>
      <c r="H957" s="1344"/>
      <c r="I957" s="1344"/>
      <c r="J957" s="1344"/>
      <c r="K957" s="1344"/>
      <c r="L957" s="1344"/>
      <c r="M957" s="1344"/>
      <c r="N957" s="1344"/>
      <c r="O957" s="1344"/>
      <c r="P957" s="1707"/>
      <c r="Q957" s="1707"/>
      <c r="R957" s="1707"/>
      <c r="S957" s="1344"/>
      <c r="T957" s="1344"/>
      <c r="U957" s="1753"/>
      <c r="V957" s="1344"/>
      <c r="W957" s="1344"/>
      <c r="X957" s="1344"/>
      <c r="Y957" s="1707"/>
      <c r="Z957" s="1707"/>
      <c r="AA957" s="1344"/>
      <c r="AB957" s="1344"/>
      <c r="AC957" s="1344"/>
      <c r="AD957" s="1344"/>
    </row>
    <row r="958" s="1709" customFormat="true" ht="15.75" hidden="true" customHeight="true" outlineLevel="1" collapsed="false">
      <c r="A958" s="1799" t="s">
        <v>3524</v>
      </c>
      <c r="B958" s="1294" t="str">
        <f aca="false">B496</f>
        <v>м.п.</v>
      </c>
      <c r="C958" s="1799" t="n">
        <f aca="false">C496</f>
        <v>0.4</v>
      </c>
      <c r="D958" s="1799" t="n">
        <f aca="false">D496</f>
        <v>0.045</v>
      </c>
      <c r="E958" s="1799" t="n">
        <f aca="false">IF('Ввод данных'!$A$455=связи1!$A$96,IF(дома!E957&lt;связи1!$D$576,0,дома!E957-$D$881),0)+IF(дома!E957=0,0,IF('Ввод данных'!$A$455=связи1!$A$95,IF(дома!E957&lt;0,0,дома!E957-$D$881),0))+IF('Ввод данных'!$A$455=связи1!$A$98,IF(дома!E957&lt;связи1!$D$576,0,дома!E957-$D$881),0)</f>
        <v>0</v>
      </c>
      <c r="F958" s="1799" t="n">
        <f aca="false">2*VLOOKUP('Ввод данных'!$C$79,связи1!$A$2:$B$3,2,0)</f>
        <v>0</v>
      </c>
      <c r="G958" s="1344" t="n">
        <f aca="false">C958*D958*E958*F958</f>
        <v>0</v>
      </c>
      <c r="H958" s="1344"/>
      <c r="I958" s="1344"/>
      <c r="J958" s="1344"/>
      <c r="K958" s="1344"/>
      <c r="L958" s="1344"/>
      <c r="M958" s="1344"/>
      <c r="N958" s="1344"/>
      <c r="O958" s="1344"/>
      <c r="P958" s="1707"/>
      <c r="Q958" s="1707"/>
      <c r="R958" s="1707"/>
      <c r="S958" s="1344"/>
      <c r="T958" s="1344"/>
      <c r="U958" s="1753"/>
      <c r="V958" s="1344"/>
      <c r="W958" s="1344"/>
      <c r="X958" s="1344"/>
      <c r="Y958" s="1707"/>
      <c r="Z958" s="1707"/>
      <c r="AA958" s="1344"/>
      <c r="AB958" s="1344"/>
      <c r="AC958" s="1344"/>
      <c r="AD958" s="1344"/>
    </row>
    <row r="959" s="1709" customFormat="true" ht="15.75" hidden="true" customHeight="true" outlineLevel="1" collapsed="false">
      <c r="A959" s="1799" t="s">
        <v>3525</v>
      </c>
      <c r="B959" s="1294" t="str">
        <f aca="false">B497</f>
        <v>м.п.</v>
      </c>
      <c r="C959" s="1799" t="n">
        <f aca="false">C497</f>
        <v>0.4</v>
      </c>
      <c r="D959" s="1799" t="n">
        <f aca="false">D497</f>
        <v>0.045</v>
      </c>
      <c r="E959" s="1799" t="n">
        <f aca="false">IF('Ввод данных'!$A$455=связи1!$A$96,IF(дома!E958&lt;связи1!$D$576,0,дома!E958-$D$881),0)+IF(дома!E958=0,0,IF('Ввод данных'!$A$455=связи1!$A$95,IF(дома!E958&lt;0,0,дома!E958-$D$881),0))+IF('Ввод данных'!$A$455=связи1!$A$98,IF(дома!E958&lt;связи1!$D$576,0,дома!E958-$D$881),0)</f>
        <v>0</v>
      </c>
      <c r="F959" s="1799" t="n">
        <f aca="false">2*VLOOKUP('Ввод данных'!$C$79,связи1!$A$2:$B$3,2,0)</f>
        <v>0</v>
      </c>
      <c r="G959" s="1344" t="n">
        <f aca="false">C959*D959*E959*F959</f>
        <v>0</v>
      </c>
      <c r="H959" s="1344"/>
      <c r="I959" s="1344"/>
      <c r="J959" s="1344"/>
      <c r="K959" s="1344"/>
      <c r="L959" s="1344"/>
      <c r="M959" s="1344"/>
      <c r="N959" s="1344"/>
      <c r="O959" s="1344"/>
      <c r="P959" s="1707"/>
      <c r="Q959" s="1707"/>
      <c r="R959" s="1707"/>
      <c r="S959" s="1344"/>
      <c r="T959" s="1344"/>
      <c r="U959" s="1753"/>
      <c r="V959" s="1344"/>
      <c r="W959" s="1344"/>
      <c r="X959" s="1344"/>
      <c r="Y959" s="1707"/>
      <c r="Z959" s="1707"/>
      <c r="AA959" s="1344"/>
      <c r="AB959" s="1344"/>
      <c r="AC959" s="1344"/>
      <c r="AD959" s="1344"/>
    </row>
    <row r="960" s="1709" customFormat="true" ht="15.75" hidden="true" customHeight="true" outlineLevel="1" collapsed="false">
      <c r="A960" s="1799" t="s">
        <v>3526</v>
      </c>
      <c r="B960" s="1294" t="str">
        <f aca="false">B498</f>
        <v>м.п.</v>
      </c>
      <c r="C960" s="1799" t="n">
        <f aca="false">C498</f>
        <v>0.4</v>
      </c>
      <c r="D960" s="1799" t="n">
        <f aca="false">D498</f>
        <v>0.045</v>
      </c>
      <c r="E960" s="1799" t="n">
        <f aca="false">IF('Ввод данных'!$A$455=связи1!$A$96,IF(дома!E959&lt;связи1!$D$576,0,дома!E959-$D$881),0)+IF(дома!E959=0,0,IF('Ввод данных'!$A$455=связи1!$A$95,IF(дома!E959&lt;0,0,дома!E959-$D$881),0))+IF('Ввод данных'!$A$455=связи1!$A$98,IF(дома!E959&lt;связи1!$D$576,0,дома!E959-$D$881),0)</f>
        <v>0</v>
      </c>
      <c r="F960" s="1799" t="n">
        <f aca="false">2*VLOOKUP('Ввод данных'!$C$79,связи1!$A$2:$B$3,2,0)</f>
        <v>0</v>
      </c>
      <c r="G960" s="1344" t="n">
        <f aca="false">C960*D960*E960*F960</f>
        <v>0</v>
      </c>
      <c r="H960" s="1344"/>
      <c r="I960" s="1344"/>
      <c r="J960" s="1344"/>
      <c r="K960" s="1344"/>
      <c r="L960" s="1344"/>
      <c r="M960" s="1344"/>
      <c r="N960" s="1344"/>
      <c r="O960" s="1344"/>
      <c r="P960" s="1707"/>
      <c r="Q960" s="1707"/>
      <c r="R960" s="1707"/>
      <c r="S960" s="1344"/>
      <c r="T960" s="1344"/>
      <c r="U960" s="1753"/>
      <c r="V960" s="1344"/>
      <c r="W960" s="1344"/>
      <c r="X960" s="1344"/>
      <c r="Y960" s="1707"/>
      <c r="Z960" s="1707"/>
      <c r="AA960" s="1344"/>
      <c r="AB960" s="1344"/>
      <c r="AC960" s="1344"/>
      <c r="AD960" s="1344"/>
    </row>
    <row r="961" s="1709" customFormat="true" ht="15.75" hidden="true" customHeight="true" outlineLevel="1" collapsed="false">
      <c r="A961" s="1799" t="s">
        <v>3527</v>
      </c>
      <c r="B961" s="1294" t="str">
        <f aca="false">B499</f>
        <v>м.п.</v>
      </c>
      <c r="C961" s="1799" t="n">
        <f aca="false">C499</f>
        <v>0.4</v>
      </c>
      <c r="D961" s="1799" t="n">
        <f aca="false">D499</f>
        <v>0.045</v>
      </c>
      <c r="E961" s="1799" t="n">
        <f aca="false">IF('Ввод данных'!$A$455=связи1!$A$96,IF(дома!E960&lt;связи1!$D$576,0,дома!E960-$D$881),0)+IF(дома!E960=0,0,IF('Ввод данных'!$A$455=связи1!$A$95,IF(дома!E960&lt;0,0,дома!E960-$D$881),0))+IF('Ввод данных'!$A$455=связи1!$A$98,IF(дома!E960&lt;связи1!$D$576,0,дома!E960-$D$881),0)</f>
        <v>0</v>
      </c>
      <c r="F961" s="1799" t="n">
        <f aca="false">2*VLOOKUP('Ввод данных'!$C$79,связи1!$A$2:$B$3,2,0)</f>
        <v>0</v>
      </c>
      <c r="G961" s="1344" t="n">
        <f aca="false">C961*D961*E961*F961</f>
        <v>0</v>
      </c>
      <c r="H961" s="1344"/>
      <c r="I961" s="1344"/>
      <c r="J961" s="1344"/>
      <c r="K961" s="1344"/>
      <c r="L961" s="1344"/>
      <c r="M961" s="1344"/>
      <c r="N961" s="1344"/>
      <c r="O961" s="1344"/>
      <c r="P961" s="1707"/>
      <c r="Q961" s="1707"/>
      <c r="R961" s="1707"/>
      <c r="S961" s="1344"/>
      <c r="T961" s="1344"/>
      <c r="U961" s="1753"/>
      <c r="V961" s="1344"/>
      <c r="W961" s="1344"/>
      <c r="X961" s="1344"/>
      <c r="Y961" s="1707"/>
      <c r="Z961" s="1707"/>
      <c r="AA961" s="1344"/>
      <c r="AB961" s="1344"/>
      <c r="AC961" s="1344"/>
      <c r="AD961" s="1344"/>
    </row>
    <row r="962" s="1709" customFormat="true" ht="15.75" hidden="true" customHeight="true" outlineLevel="1" collapsed="false">
      <c r="A962" s="1799" t="s">
        <v>3528</v>
      </c>
      <c r="B962" s="1294" t="str">
        <f aca="false">B500</f>
        <v>м.п.</v>
      </c>
      <c r="C962" s="1799" t="n">
        <f aca="false">C500</f>
        <v>0.4</v>
      </c>
      <c r="D962" s="1799" t="n">
        <f aca="false">D500</f>
        <v>0.045</v>
      </c>
      <c r="E962" s="1799" t="n">
        <f aca="false">IF('Ввод данных'!$A$455=связи1!$A$96,IF(дома!E961&lt;связи1!$D$576,0,дома!E961-$D$881),0)+IF(дома!E961=0,0,IF('Ввод данных'!$A$455=связи1!$A$95,IF(дома!E961&lt;0,0,дома!E961-$D$881),0))+IF('Ввод данных'!$A$455=связи1!$A$98,IF(дома!E961&lt;связи1!$D$576,0,дома!E961-$D$881),0)</f>
        <v>0</v>
      </c>
      <c r="F962" s="1799" t="n">
        <f aca="false">2*VLOOKUP('Ввод данных'!$C$79,связи1!$A$2:$B$3,2,0)</f>
        <v>0</v>
      </c>
      <c r="G962" s="1344" t="n">
        <f aca="false">C962*D962*E962*F962</f>
        <v>0</v>
      </c>
      <c r="H962" s="1344"/>
      <c r="I962" s="1344"/>
      <c r="J962" s="1344"/>
      <c r="K962" s="1344"/>
      <c r="L962" s="1344"/>
      <c r="M962" s="1344"/>
      <c r="N962" s="1344"/>
      <c r="O962" s="1344"/>
      <c r="P962" s="1707"/>
      <c r="Q962" s="1707"/>
      <c r="R962" s="1707"/>
      <c r="S962" s="1344"/>
      <c r="T962" s="1344"/>
      <c r="U962" s="1753"/>
      <c r="V962" s="1344"/>
      <c r="W962" s="1344"/>
      <c r="X962" s="1344"/>
      <c r="Y962" s="1707"/>
      <c r="Z962" s="1707"/>
      <c r="AA962" s="1344"/>
      <c r="AB962" s="1344"/>
      <c r="AC962" s="1344"/>
      <c r="AD962" s="1344"/>
    </row>
    <row r="963" s="1709" customFormat="true" ht="15.75" hidden="true" customHeight="true" outlineLevel="1" collapsed="false">
      <c r="A963" s="1799" t="s">
        <v>3529</v>
      </c>
      <c r="B963" s="1294" t="str">
        <f aca="false">B501</f>
        <v>м.п.</v>
      </c>
      <c r="C963" s="1799" t="n">
        <f aca="false">C501</f>
        <v>0.4</v>
      </c>
      <c r="D963" s="1799" t="n">
        <f aca="false">D501</f>
        <v>0.045</v>
      </c>
      <c r="E963" s="1799" t="n">
        <f aca="false">IF('Ввод данных'!$A$455=связи1!$A$96,IF(дома!E962&lt;связи1!$D$576,0,дома!E962-$D$881),0)+IF(дома!E962=0,0,IF('Ввод данных'!$A$455=связи1!$A$95,IF(дома!E962&lt;0,0,дома!E962-$D$881),0))+IF('Ввод данных'!$A$455=связи1!$A$98,IF(дома!E962&lt;связи1!$D$576,0,дома!E962-$D$881),0)</f>
        <v>0</v>
      </c>
      <c r="F963" s="1799" t="n">
        <f aca="false">2*VLOOKUP('Ввод данных'!$C$79,связи1!$A$2:$B$3,2,0)</f>
        <v>0</v>
      </c>
      <c r="G963" s="1344" t="n">
        <f aca="false">C963*D963*E963*F963</f>
        <v>0</v>
      </c>
      <c r="H963" s="1344"/>
      <c r="I963" s="1344"/>
      <c r="J963" s="1344"/>
      <c r="K963" s="1344"/>
      <c r="L963" s="1344"/>
      <c r="M963" s="1344"/>
      <c r="N963" s="1344"/>
      <c r="O963" s="1344"/>
      <c r="P963" s="1707"/>
      <c r="Q963" s="1707"/>
      <c r="R963" s="1707"/>
      <c r="S963" s="1344"/>
      <c r="T963" s="1344"/>
      <c r="U963" s="1753"/>
      <c r="V963" s="1344"/>
      <c r="W963" s="1344"/>
      <c r="X963" s="1344"/>
      <c r="Y963" s="1707"/>
      <c r="Z963" s="1707"/>
      <c r="AA963" s="1344"/>
      <c r="AB963" s="1344"/>
      <c r="AC963" s="1344"/>
      <c r="AD963" s="1344"/>
    </row>
    <row r="964" s="1709" customFormat="true" ht="15.75" hidden="true" customHeight="true" outlineLevel="1" collapsed="false">
      <c r="A964" s="1799" t="s">
        <v>3530</v>
      </c>
      <c r="B964" s="1294" t="str">
        <f aca="false">B502</f>
        <v>м.п.</v>
      </c>
      <c r="C964" s="1799" t="n">
        <f aca="false">C502</f>
        <v>0.4</v>
      </c>
      <c r="D964" s="1799" t="n">
        <f aca="false">D502</f>
        <v>0.045</v>
      </c>
      <c r="E964" s="1799" t="n">
        <f aca="false">IF('Ввод данных'!$A$455=связи1!$A$96,IF(дома!E963&lt;связи1!$D$576,0,дома!E963-$D$881),0)+IF(дома!E963=0,0,IF('Ввод данных'!$A$455=связи1!$A$95,IF(дома!E963&lt;0,0,дома!E963-$D$881),0))+IF('Ввод данных'!$A$455=связи1!$A$98,IF(дома!E963&lt;связи1!$D$576,0,дома!E963-$D$881),0)</f>
        <v>0</v>
      </c>
      <c r="F964" s="1799" t="n">
        <f aca="false">2*VLOOKUP('Ввод данных'!$C$79,связи1!$A$2:$B$3,2,0)</f>
        <v>0</v>
      </c>
      <c r="G964" s="1344" t="n">
        <f aca="false">C964*D964*E964*F964</f>
        <v>0</v>
      </c>
      <c r="H964" s="1344"/>
      <c r="I964" s="1344"/>
      <c r="J964" s="1344"/>
      <c r="K964" s="1344"/>
      <c r="L964" s="1344"/>
      <c r="M964" s="1344"/>
      <c r="N964" s="1344"/>
      <c r="O964" s="1344"/>
      <c r="P964" s="1707"/>
      <c r="Q964" s="1707"/>
      <c r="R964" s="1707"/>
      <c r="S964" s="1344"/>
      <c r="T964" s="1344"/>
      <c r="U964" s="1753"/>
      <c r="V964" s="1344"/>
      <c r="W964" s="1344"/>
      <c r="X964" s="1344"/>
      <c r="Y964" s="1707"/>
      <c r="Z964" s="1707"/>
      <c r="AA964" s="1344"/>
      <c r="AB964" s="1344"/>
      <c r="AC964" s="1344"/>
      <c r="AD964" s="1344"/>
    </row>
    <row r="965" s="1709" customFormat="true" ht="15.75" hidden="true" customHeight="true" outlineLevel="1" collapsed="false">
      <c r="A965" s="1799" t="s">
        <v>3531</v>
      </c>
      <c r="B965" s="1294" t="str">
        <f aca="false">B503</f>
        <v>м.п.</v>
      </c>
      <c r="C965" s="1799" t="n">
        <f aca="false">C503</f>
        <v>0.4</v>
      </c>
      <c r="D965" s="1799" t="n">
        <f aca="false">D503</f>
        <v>0.045</v>
      </c>
      <c r="E965" s="1799" t="n">
        <f aca="false">IF('Ввод данных'!$A$455=связи1!$A$96,IF(дома!E964&lt;связи1!$D$576,0,дома!E964-$D$881),0)+IF(дома!E964=0,0,IF('Ввод данных'!$A$455=связи1!$A$95,IF(дома!E964&lt;0,0,дома!E964-$D$881),0))+IF('Ввод данных'!$A$455=связи1!$A$98,IF(дома!E964&lt;связи1!$D$576,0,дома!E964-$D$881),0)</f>
        <v>0</v>
      </c>
      <c r="F965" s="1799" t="n">
        <f aca="false">2*VLOOKUP('Ввод данных'!$C$79,связи1!$A$2:$B$3,2,0)</f>
        <v>0</v>
      </c>
      <c r="G965" s="1344" t="n">
        <f aca="false">C965*D965*E965*F965</f>
        <v>0</v>
      </c>
      <c r="H965" s="1344"/>
      <c r="I965" s="1344"/>
      <c r="J965" s="1344"/>
      <c r="K965" s="1344"/>
      <c r="L965" s="1344"/>
      <c r="M965" s="1344"/>
      <c r="N965" s="1344"/>
      <c r="O965" s="1344"/>
      <c r="P965" s="1707"/>
      <c r="Q965" s="1707"/>
      <c r="R965" s="1707"/>
      <c r="S965" s="1344"/>
      <c r="T965" s="1344"/>
      <c r="U965" s="1753"/>
      <c r="V965" s="1344"/>
      <c r="W965" s="1344"/>
      <c r="X965" s="1344"/>
      <c r="Y965" s="1707"/>
      <c r="Z965" s="1707"/>
      <c r="AA965" s="1344"/>
      <c r="AB965" s="1344"/>
      <c r="AC965" s="1344"/>
      <c r="AD965" s="1344"/>
    </row>
    <row r="966" s="1709" customFormat="true" ht="15.75" hidden="true" customHeight="true" outlineLevel="1" collapsed="false">
      <c r="A966" s="1799" t="s">
        <v>3532</v>
      </c>
      <c r="B966" s="1294" t="str">
        <f aca="false">B504</f>
        <v>м.п.</v>
      </c>
      <c r="C966" s="1799" t="n">
        <f aca="false">C504</f>
        <v>0.4</v>
      </c>
      <c r="D966" s="1799" t="n">
        <f aca="false">D504</f>
        <v>0.045</v>
      </c>
      <c r="E966" s="1799" t="n">
        <f aca="false">IF('Ввод данных'!$A$455=связи1!$A$96,IF(дома!E965&lt;связи1!$D$576,0,дома!E965-$D$881),0)+IF(дома!E965=0,0,IF('Ввод данных'!$A$455=связи1!$A$95,IF(дома!E965&lt;0,0,дома!E965-$D$881),0))+IF('Ввод данных'!$A$455=связи1!$A$98,IF(дома!E965&lt;связи1!$D$576,0,дома!E965-$D$881),0)</f>
        <v>0</v>
      </c>
      <c r="F966" s="1799" t="n">
        <f aca="false">2*VLOOKUP('Ввод данных'!$C$79,связи1!$A$2:$B$3,2,0)</f>
        <v>0</v>
      </c>
      <c r="G966" s="1344" t="n">
        <f aca="false">C966*D966*E966*F966</f>
        <v>0</v>
      </c>
      <c r="H966" s="1344"/>
      <c r="I966" s="1344"/>
      <c r="J966" s="1344"/>
      <c r="K966" s="1344"/>
      <c r="L966" s="1344"/>
      <c r="M966" s="1344"/>
      <c r="N966" s="1344"/>
      <c r="O966" s="1344"/>
      <c r="P966" s="1707"/>
      <c r="Q966" s="1707"/>
      <c r="R966" s="1707"/>
      <c r="S966" s="1344"/>
      <c r="T966" s="1344"/>
      <c r="U966" s="1753"/>
      <c r="V966" s="1344"/>
      <c r="W966" s="1344"/>
      <c r="X966" s="1344"/>
      <c r="Y966" s="1707"/>
      <c r="Z966" s="1707"/>
      <c r="AA966" s="1344"/>
      <c r="AB966" s="1344"/>
      <c r="AC966" s="1344"/>
      <c r="AD966" s="1344"/>
    </row>
    <row r="967" s="1709" customFormat="true" ht="15.75" hidden="true" customHeight="true" outlineLevel="1" collapsed="false">
      <c r="A967" s="1799" t="s">
        <v>3533</v>
      </c>
      <c r="B967" s="1294" t="str">
        <f aca="false">B505</f>
        <v>м.п.</v>
      </c>
      <c r="C967" s="1799" t="n">
        <f aca="false">C505</f>
        <v>0.4</v>
      </c>
      <c r="D967" s="1799" t="n">
        <f aca="false">D505</f>
        <v>0.045</v>
      </c>
      <c r="E967" s="1799" t="n">
        <f aca="false">IF('Ввод данных'!$A$455=связи1!$A$96,IF(дома!E966&lt;связи1!$D$576,0,дома!E966-$D$881),0)+IF(дома!E966=0,0,IF('Ввод данных'!$A$455=связи1!$A$95,IF(дома!E966&lt;0,0,дома!E966-$D$881),0))+IF('Ввод данных'!$A$455=связи1!$A$98,IF(дома!E966&lt;связи1!$D$576,0,дома!E966-$D$881),0)</f>
        <v>0</v>
      </c>
      <c r="F967" s="1799" t="n">
        <f aca="false">2*VLOOKUP('Ввод данных'!$C$79,связи1!$A$2:$B$3,2,0)</f>
        <v>0</v>
      </c>
      <c r="G967" s="1344" t="n">
        <f aca="false">C967*D967*E967*F967</f>
        <v>0</v>
      </c>
      <c r="H967" s="1344"/>
      <c r="I967" s="1344"/>
      <c r="J967" s="1344"/>
      <c r="K967" s="1344"/>
      <c r="L967" s="1344"/>
      <c r="M967" s="1344"/>
      <c r="N967" s="1344"/>
      <c r="O967" s="1344"/>
      <c r="P967" s="1707"/>
      <c r="Q967" s="1707"/>
      <c r="R967" s="1707"/>
      <c r="S967" s="1344"/>
      <c r="T967" s="1344"/>
      <c r="U967" s="1753"/>
      <c r="V967" s="1344"/>
      <c r="W967" s="1344"/>
      <c r="X967" s="1344"/>
      <c r="Y967" s="1707"/>
      <c r="Z967" s="1707"/>
      <c r="AA967" s="1344"/>
      <c r="AB967" s="1344"/>
      <c r="AC967" s="1344"/>
      <c r="AD967" s="1344"/>
    </row>
    <row r="968" s="1709" customFormat="true" ht="15.75" hidden="true" customHeight="true" outlineLevel="1" collapsed="false">
      <c r="A968" s="1799" t="n">
        <f aca="false">A506</f>
        <v>0</v>
      </c>
      <c r="B968" s="1294" t="n">
        <f aca="false">B506</f>
        <v>0</v>
      </c>
      <c r="C968" s="1799" t="n">
        <f aca="false">C506</f>
        <v>0</v>
      </c>
      <c r="D968" s="1799" t="n">
        <f aca="false">D506</f>
        <v>0</v>
      </c>
      <c r="E968" s="1799"/>
      <c r="F968" s="1799"/>
      <c r="G968" s="1344" t="n">
        <f aca="false">C968*D968*E968*F968</f>
        <v>0</v>
      </c>
      <c r="H968" s="1344"/>
      <c r="I968" s="1344"/>
      <c r="J968" s="1344"/>
      <c r="K968" s="1344"/>
      <c r="L968" s="1344"/>
      <c r="M968" s="1344"/>
      <c r="N968" s="1344"/>
      <c r="O968" s="1344"/>
      <c r="P968" s="1707"/>
      <c r="Q968" s="1707"/>
      <c r="R968" s="1707"/>
      <c r="S968" s="1344"/>
      <c r="T968" s="1344"/>
      <c r="U968" s="1753"/>
      <c r="V968" s="1344"/>
      <c r="W968" s="1344"/>
      <c r="X968" s="1344"/>
      <c r="Y968" s="1707"/>
      <c r="Z968" s="1707"/>
      <c r="AA968" s="1344"/>
      <c r="AB968" s="1344"/>
      <c r="AC968" s="1344"/>
      <c r="AD968" s="1344"/>
    </row>
    <row r="969" s="1709" customFormat="true" ht="15.75" hidden="true" customHeight="true" outlineLevel="1" collapsed="false">
      <c r="A969" s="1804" t="s">
        <v>3535</v>
      </c>
      <c r="B969" s="1806" t="str">
        <f aca="false">B507</f>
        <v>ед.изм</v>
      </c>
      <c r="C969" s="1804" t="str">
        <f aca="false">C507</f>
        <v>ширина</v>
      </c>
      <c r="D969" s="1804" t="str">
        <f aca="false">D507</f>
        <v>толщина</v>
      </c>
      <c r="E969" s="1804" t="str">
        <f aca="false">E507</f>
        <v>высота</v>
      </c>
      <c r="F969" s="1804" t="str">
        <f aca="false">F507</f>
        <v>кол-во</v>
      </c>
      <c r="G969" s="1344"/>
      <c r="H969" s="1344"/>
      <c r="I969" s="1344"/>
      <c r="J969" s="1344"/>
      <c r="K969" s="1344"/>
      <c r="L969" s="1344"/>
      <c r="M969" s="1344"/>
      <c r="N969" s="1344"/>
      <c r="O969" s="1344"/>
      <c r="P969" s="1707"/>
      <c r="Q969" s="1707"/>
      <c r="R969" s="1707"/>
      <c r="S969" s="1344"/>
      <c r="T969" s="1344"/>
      <c r="U969" s="1753"/>
      <c r="V969" s="1344"/>
      <c r="W969" s="1344"/>
      <c r="X969" s="1344"/>
      <c r="Y969" s="1707"/>
      <c r="Z969" s="1707"/>
      <c r="AA969" s="1344"/>
      <c r="AB969" s="1344"/>
      <c r="AC969" s="1344"/>
      <c r="AD969" s="1344"/>
    </row>
    <row r="970" s="1709" customFormat="true" ht="15.75" hidden="true" customHeight="true" outlineLevel="1" collapsed="false">
      <c r="A970" s="1799" t="s">
        <v>3496</v>
      </c>
      <c r="B970" s="1294" t="str">
        <f aca="false">B508</f>
        <v>м.п.</v>
      </c>
      <c r="C970" s="1799" t="n">
        <f aca="false">C508</f>
        <v>0.4</v>
      </c>
      <c r="D970" s="1799" t="n">
        <f aca="false">D508</f>
        <v>0.045</v>
      </c>
      <c r="E970" s="1799" t="n">
        <f aca="false">E868</f>
        <v>2.9</v>
      </c>
      <c r="F970" s="1799" t="n">
        <f aca="false">L868*VLOOKUP('Ввод данных'!C79,связи1!A2:B3,2,0)</f>
        <v>0</v>
      </c>
      <c r="G970" s="1344" t="n">
        <f aca="false">C970*D970*E970*F970</f>
        <v>0</v>
      </c>
      <c r="H970" s="1344"/>
      <c r="I970" s="1344"/>
      <c r="J970" s="1344"/>
      <c r="K970" s="1344"/>
      <c r="L970" s="1344"/>
      <c r="M970" s="1344"/>
      <c r="N970" s="1344"/>
      <c r="O970" s="1344"/>
      <c r="P970" s="1707"/>
      <c r="Q970" s="1707"/>
      <c r="R970" s="1707"/>
      <c r="S970" s="1344"/>
      <c r="T970" s="1344"/>
      <c r="U970" s="1753"/>
      <c r="V970" s="1344"/>
      <c r="W970" s="1344"/>
      <c r="X970" s="1344"/>
      <c r="Y970" s="1707"/>
      <c r="Z970" s="1707"/>
      <c r="AA970" s="1344"/>
      <c r="AB970" s="1344"/>
      <c r="AC970" s="1344"/>
      <c r="AD970" s="1344"/>
    </row>
    <row r="971" s="1709" customFormat="true" ht="15.75" hidden="true" customHeight="true" outlineLevel="1" collapsed="false">
      <c r="A971" s="1799" t="s">
        <v>3497</v>
      </c>
      <c r="B971" s="1294" t="str">
        <f aca="false">B509</f>
        <v>м.п.</v>
      </c>
      <c r="C971" s="1799" t="n">
        <f aca="false">C509</f>
        <v>0.4</v>
      </c>
      <c r="D971" s="1799" t="n">
        <f aca="false">D509</f>
        <v>0.045</v>
      </c>
      <c r="E971" s="1799" t="n">
        <f aca="false">E869</f>
        <v>1.5</v>
      </c>
      <c r="F971" s="1799" t="n">
        <f aca="false">L869*VLOOKUP('Ввод данных'!C79,связи1!A2:B3,2,0)</f>
        <v>0</v>
      </c>
      <c r="G971" s="1344" t="n">
        <f aca="false">C971*D971*E971*F971</f>
        <v>0</v>
      </c>
      <c r="H971" s="1344"/>
      <c r="I971" s="1344"/>
      <c r="J971" s="1344"/>
      <c r="K971" s="1344"/>
      <c r="L971" s="1344"/>
      <c r="M971" s="1344"/>
      <c r="N971" s="1344"/>
      <c r="O971" s="1344"/>
      <c r="P971" s="1707"/>
      <c r="Q971" s="1707"/>
      <c r="R971" s="1707"/>
      <c r="S971" s="1344"/>
      <c r="T971" s="1344"/>
      <c r="U971" s="1753"/>
      <c r="V971" s="1344"/>
      <c r="W971" s="1344"/>
      <c r="X971" s="1344"/>
      <c r="Y971" s="1707"/>
      <c r="Z971" s="1707"/>
      <c r="AA971" s="1344"/>
      <c r="AB971" s="1344"/>
      <c r="AC971" s="1344"/>
      <c r="AD971" s="1344"/>
    </row>
    <row r="972" s="1709" customFormat="true" ht="15.75" hidden="true" customHeight="true" outlineLevel="1" collapsed="false">
      <c r="A972" s="1799" t="s">
        <v>3498</v>
      </c>
      <c r="B972" s="1294" t="str">
        <f aca="false">B510</f>
        <v>м.п.</v>
      </c>
      <c r="C972" s="1799" t="n">
        <f aca="false">C510</f>
        <v>0.4</v>
      </c>
      <c r="D972" s="1799" t="n">
        <f aca="false">D510</f>
        <v>0.045</v>
      </c>
      <c r="E972" s="1799" t="n">
        <f aca="false">E870</f>
        <v>1.5</v>
      </c>
      <c r="F972" s="1799" t="n">
        <f aca="false">L870*VLOOKUP('Ввод данных'!C79,связи1!A2:B3,2,0)</f>
        <v>0</v>
      </c>
      <c r="G972" s="1344" t="n">
        <f aca="false">C972*D972*E972*F972</f>
        <v>0</v>
      </c>
      <c r="H972" s="1344"/>
      <c r="I972" s="1344"/>
      <c r="J972" s="1344"/>
      <c r="K972" s="1344"/>
      <c r="L972" s="1344"/>
      <c r="M972" s="1344"/>
      <c r="N972" s="1344"/>
      <c r="O972" s="1344"/>
      <c r="P972" s="1707"/>
      <c r="Q972" s="1707"/>
      <c r="R972" s="1707"/>
      <c r="S972" s="1344"/>
      <c r="T972" s="1344"/>
      <c r="U972" s="1753"/>
      <c r="V972" s="1344"/>
      <c r="W972" s="1344"/>
      <c r="X972" s="1344"/>
      <c r="Y972" s="1707"/>
      <c r="Z972" s="1707"/>
      <c r="AA972" s="1344"/>
      <c r="AB972" s="1344"/>
      <c r="AC972" s="1344"/>
      <c r="AD972" s="1344"/>
    </row>
    <row r="973" s="1709" customFormat="true" ht="15.75" hidden="true" customHeight="true" outlineLevel="1" collapsed="false">
      <c r="A973" s="1799" t="s">
        <v>3414</v>
      </c>
      <c r="B973" s="1294" t="str">
        <f aca="false">B511</f>
        <v>м.п.</v>
      </c>
      <c r="C973" s="1799" t="n">
        <f aca="false">C511</f>
        <v>0.4</v>
      </c>
      <c r="D973" s="1799" t="n">
        <f aca="false">D511</f>
        <v>0.045</v>
      </c>
      <c r="E973" s="1799" t="n">
        <f aca="false">1</f>
        <v>1</v>
      </c>
      <c r="F973" s="1799" t="n">
        <f aca="false">P871*VLOOKUP('Ввод данных'!C79,связи1!A2:B3,2,0)+Q871*VLOOKUP('Ввод данных'!C79,связи1!A2:B3,2,0)</f>
        <v>0</v>
      </c>
      <c r="G973" s="1344" t="n">
        <f aca="false">C973*D973*E973*F973</f>
        <v>0</v>
      </c>
      <c r="H973" s="1344"/>
      <c r="I973" s="1344"/>
      <c r="J973" s="1344"/>
      <c r="K973" s="1344"/>
      <c r="L973" s="1344"/>
      <c r="M973" s="1344"/>
      <c r="N973" s="1344"/>
      <c r="O973" s="1344"/>
      <c r="P973" s="1707"/>
      <c r="Q973" s="1707"/>
      <c r="R973" s="1707"/>
      <c r="S973" s="1344"/>
      <c r="T973" s="1344"/>
      <c r="U973" s="1753"/>
      <c r="V973" s="1344"/>
      <c r="W973" s="1344"/>
      <c r="X973" s="1344"/>
      <c r="Y973" s="1707"/>
      <c r="Z973" s="1707"/>
      <c r="AA973" s="1344"/>
      <c r="AB973" s="1344"/>
      <c r="AC973" s="1344"/>
      <c r="AD973" s="1344"/>
    </row>
    <row r="974" s="1709" customFormat="true" ht="15.75" hidden="true" customHeight="true" outlineLevel="1" collapsed="false">
      <c r="A974" s="1799" t="s">
        <v>3415</v>
      </c>
      <c r="B974" s="1294" t="str">
        <f aca="false">B512</f>
        <v>м.п.</v>
      </c>
      <c r="C974" s="1799" t="n">
        <f aca="false">C512</f>
        <v>0.4</v>
      </c>
      <c r="D974" s="1799" t="n">
        <f aca="false">D512</f>
        <v>0.045</v>
      </c>
      <c r="E974" s="1799" t="n">
        <f aca="false">1</f>
        <v>1</v>
      </c>
      <c r="F974" s="1799" t="n">
        <f aca="false">R871*VLOOKUP('Ввод данных'!C79,связи1!A2:B3,2,0)</f>
        <v>0</v>
      </c>
      <c r="G974" s="1344" t="n">
        <f aca="false">C974*D974*E974*F974</f>
        <v>0</v>
      </c>
      <c r="H974" s="1344"/>
      <c r="I974" s="1344"/>
      <c r="J974" s="1344"/>
      <c r="K974" s="1344"/>
      <c r="L974" s="1344"/>
      <c r="M974" s="1344"/>
      <c r="N974" s="1344"/>
      <c r="O974" s="1344"/>
      <c r="P974" s="1707"/>
      <c r="Q974" s="1707"/>
      <c r="R974" s="1707"/>
      <c r="S974" s="1344"/>
      <c r="T974" s="1344"/>
      <c r="U974" s="1753"/>
      <c r="V974" s="1344"/>
      <c r="W974" s="1344"/>
      <c r="X974" s="1344"/>
      <c r="Y974" s="1707"/>
      <c r="Z974" s="1707"/>
      <c r="AA974" s="1344"/>
      <c r="AB974" s="1344"/>
      <c r="AC974" s="1344"/>
      <c r="AD974" s="1344"/>
    </row>
    <row r="975" s="1709" customFormat="true" ht="15.75" hidden="true" customHeight="true" outlineLevel="1" collapsed="false">
      <c r="A975" s="1799" t="s">
        <v>3499</v>
      </c>
      <c r="B975" s="1294" t="str">
        <f aca="false">B513</f>
        <v>м.п.</v>
      </c>
      <c r="C975" s="1799" t="n">
        <f aca="false">C513</f>
        <v>0.4</v>
      </c>
      <c r="D975" s="1799" t="n">
        <f aca="false">D513</f>
        <v>0.045</v>
      </c>
      <c r="E975" s="1799" t="n">
        <v>1.5</v>
      </c>
      <c r="F975" s="1799" t="n">
        <f aca="false">8*VLOOKUP('Ввод данных'!C79,связи1!A2:B3,2,0)</f>
        <v>0</v>
      </c>
      <c r="G975" s="1344" t="n">
        <f aca="false">C975*D975*E975*F975</f>
        <v>0</v>
      </c>
      <c r="H975" s="1344"/>
      <c r="I975" s="1344"/>
      <c r="J975" s="1344"/>
      <c r="K975" s="1344"/>
      <c r="L975" s="1344"/>
      <c r="M975" s="1344"/>
      <c r="N975" s="1344"/>
      <c r="O975" s="1344"/>
      <c r="P975" s="1707"/>
      <c r="Q975" s="1707"/>
      <c r="R975" s="1707"/>
      <c r="S975" s="1344"/>
      <c r="T975" s="1344"/>
      <c r="U975" s="1753"/>
      <c r="V975" s="1344"/>
      <c r="W975" s="1344"/>
      <c r="X975" s="1344"/>
      <c r="Y975" s="1707"/>
      <c r="Z975" s="1707"/>
      <c r="AA975" s="1344"/>
      <c r="AB975" s="1344"/>
      <c r="AC975" s="1344"/>
      <c r="AD975" s="1344"/>
    </row>
    <row r="976" s="1709" customFormat="true" ht="15.75" hidden="true" customHeight="true" outlineLevel="1" collapsed="false">
      <c r="A976" s="1799" t="s">
        <v>3500</v>
      </c>
      <c r="B976" s="1294" t="str">
        <f aca="false">B514</f>
        <v>м.п.</v>
      </c>
      <c r="C976" s="1799" t="n">
        <f aca="false">C514</f>
        <v>0.4</v>
      </c>
      <c r="D976" s="1799" t="n">
        <f aca="false">D514</f>
        <v>0.045</v>
      </c>
      <c r="E976" s="1799" t="n">
        <f aca="false">IF('Ввод данных'!A458=связи1!A106,IF('Ввод данных'!A459=связи1!A94,0,0)+IF('Ввод данных'!A459=связи1!A95,связи1!E575-связи1!E574,0)+IF('Ввод данных'!A459=связи1!A96,связи1!E575,0)+IF('Ввод данных'!A459=связи1!A97,0,0)+IF('Ввод данных'!A459=связи1!A98,связи1!E575,0),0)</f>
        <v>0</v>
      </c>
      <c r="F976" s="1799" t="n">
        <f aca="false">2*VLOOKUP('Ввод данных'!$C$79,связи1!$A$2:$B$3,2,0)</f>
        <v>0</v>
      </c>
      <c r="G976" s="1344" t="n">
        <f aca="false">C976*D976*E976*F976</f>
        <v>0</v>
      </c>
      <c r="H976" s="1344"/>
      <c r="I976" s="1344"/>
      <c r="J976" s="1344"/>
      <c r="K976" s="1344"/>
      <c r="L976" s="1344"/>
      <c r="M976" s="1344"/>
      <c r="N976" s="1344"/>
      <c r="O976" s="1344"/>
      <c r="P976" s="1707"/>
      <c r="Q976" s="1707"/>
      <c r="R976" s="1707"/>
      <c r="S976" s="1344"/>
      <c r="T976" s="1344"/>
      <c r="U976" s="1753"/>
      <c r="V976" s="1344"/>
      <c r="W976" s="1344"/>
      <c r="X976" s="1344"/>
      <c r="Y976" s="1707"/>
      <c r="Z976" s="1707"/>
      <c r="AA976" s="1344"/>
      <c r="AB976" s="1344"/>
      <c r="AC976" s="1344"/>
      <c r="AD976" s="1344"/>
    </row>
    <row r="977" s="1709" customFormat="true" ht="15.75" hidden="true" customHeight="true" outlineLevel="1" collapsed="false">
      <c r="A977" s="1799" t="s">
        <v>3501</v>
      </c>
      <c r="B977" s="1294" t="str">
        <f aca="false">B515</f>
        <v>м.п.</v>
      </c>
      <c r="C977" s="1799" t="n">
        <f aca="false">C515</f>
        <v>0.4</v>
      </c>
      <c r="D977" s="1799" t="n">
        <f aca="false">D515</f>
        <v>0.045</v>
      </c>
      <c r="E977" s="1799" t="n">
        <f aca="false">IF('Ввод данных'!$A$459=связи1!$A$96,IF(дома!E976&lt;связи1!$E$576,0,дома!E976-$E$881),0)+IF(дома!E976=0,0,IF('Ввод данных'!$A$459=связи1!$A$95,IF(дома!E976&lt;0,0,дома!E976-$E$881),0))+IF('Ввод данных'!$A$459=связи1!$A$98,IF(дома!E976&lt;связи1!$E$576,0,дома!E976-$E$881),0)</f>
        <v>0</v>
      </c>
      <c r="F977" s="1799" t="n">
        <f aca="false">2*VLOOKUP('Ввод данных'!$C$79,связи1!$A$2:$B$3,2,0)</f>
        <v>0</v>
      </c>
      <c r="G977" s="1344" t="n">
        <f aca="false">C977*D977*E977*F977</f>
        <v>0</v>
      </c>
      <c r="H977" s="1344"/>
      <c r="I977" s="1344"/>
      <c r="J977" s="1344"/>
      <c r="K977" s="1344"/>
      <c r="L977" s="1344"/>
      <c r="M977" s="1344"/>
      <c r="N977" s="1344"/>
      <c r="O977" s="1344"/>
      <c r="P977" s="1707"/>
      <c r="Q977" s="1707"/>
      <c r="R977" s="1707"/>
      <c r="S977" s="1344"/>
      <c r="T977" s="1344"/>
      <c r="U977" s="1753"/>
      <c r="V977" s="1344"/>
      <c r="W977" s="1344"/>
      <c r="X977" s="1344"/>
      <c r="Y977" s="1707"/>
      <c r="Z977" s="1707"/>
      <c r="AA977" s="1344"/>
      <c r="AB977" s="1344"/>
      <c r="AC977" s="1344"/>
      <c r="AD977" s="1344"/>
    </row>
    <row r="978" s="1709" customFormat="true" ht="15.75" hidden="true" customHeight="true" outlineLevel="1" collapsed="false">
      <c r="A978" s="1799" t="s">
        <v>3502</v>
      </c>
      <c r="B978" s="1294" t="str">
        <f aca="false">B516</f>
        <v>м.п.</v>
      </c>
      <c r="C978" s="1799" t="n">
        <f aca="false">C516</f>
        <v>0.4</v>
      </c>
      <c r="D978" s="1799" t="n">
        <f aca="false">D516</f>
        <v>0.045</v>
      </c>
      <c r="E978" s="1799" t="n">
        <f aca="false">IF('Ввод данных'!$A$459=связи1!$A$96,IF(дома!E977&lt;связи1!$E$576,0,дома!E977-$E$881),0)+IF(дома!E977=0,0,IF('Ввод данных'!$A$459=связи1!$A$95,IF(дома!E977&lt;0,0,дома!E977-$E$881),0))+IF('Ввод данных'!$A$459=связи1!$A$98,IF(дома!E977&lt;связи1!$E$576,0,дома!E977-$E$881),0)</f>
        <v>0</v>
      </c>
      <c r="F978" s="1799" t="n">
        <f aca="false">2*VLOOKUP('Ввод данных'!$C$79,связи1!$A$2:$B$3,2,0)</f>
        <v>0</v>
      </c>
      <c r="G978" s="1344" t="n">
        <f aca="false">C978*D978*E978*F978</f>
        <v>0</v>
      </c>
      <c r="H978" s="1344"/>
      <c r="I978" s="1344"/>
      <c r="J978" s="1344"/>
      <c r="K978" s="1344"/>
      <c r="L978" s="1344"/>
      <c r="M978" s="1344"/>
      <c r="N978" s="1344"/>
      <c r="O978" s="1344"/>
      <c r="P978" s="1707"/>
      <c r="Q978" s="1707"/>
      <c r="R978" s="1707"/>
      <c r="S978" s="1344"/>
      <c r="T978" s="1344"/>
      <c r="U978" s="1753"/>
      <c r="V978" s="1344"/>
      <c r="W978" s="1344"/>
      <c r="X978" s="1344"/>
      <c r="Y978" s="1707"/>
      <c r="Z978" s="1707"/>
      <c r="AA978" s="1344"/>
      <c r="AB978" s="1344"/>
      <c r="AC978" s="1344"/>
      <c r="AD978" s="1344"/>
    </row>
    <row r="979" s="1709" customFormat="true" ht="15.75" hidden="true" customHeight="true" outlineLevel="1" collapsed="false">
      <c r="A979" s="1799" t="s">
        <v>3503</v>
      </c>
      <c r="B979" s="1294" t="str">
        <f aca="false">B517</f>
        <v>м.п.</v>
      </c>
      <c r="C979" s="1799" t="n">
        <f aca="false">C517</f>
        <v>0.4</v>
      </c>
      <c r="D979" s="1799" t="n">
        <f aca="false">D517</f>
        <v>0.045</v>
      </c>
      <c r="E979" s="1799" t="n">
        <f aca="false">IF('Ввод данных'!$A$459=связи1!$A$96,IF(дома!E978&lt;связи1!$E$576,0,дома!E978-$E$881),0)+IF(дома!E978=0,0,IF('Ввод данных'!$A$459=связи1!$A$95,IF(дома!E978&lt;0,0,дома!E978-$E$881),0))+IF('Ввод данных'!$A$459=связи1!$A$98,IF(дома!E978&lt;связи1!$E$576,0,дома!E978-$E$881),0)</f>
        <v>0</v>
      </c>
      <c r="F979" s="1799" t="n">
        <f aca="false">2*VLOOKUP('Ввод данных'!$C$79,связи1!$A$2:$B$3,2,0)</f>
        <v>0</v>
      </c>
      <c r="G979" s="1344" t="n">
        <f aca="false">C979*D979*E979*F979</f>
        <v>0</v>
      </c>
      <c r="H979" s="1344"/>
      <c r="I979" s="1344"/>
      <c r="J979" s="1344"/>
      <c r="K979" s="1344"/>
      <c r="L979" s="1344"/>
      <c r="M979" s="1344"/>
      <c r="N979" s="1344"/>
      <c r="O979" s="1344"/>
      <c r="P979" s="1707"/>
      <c r="Q979" s="1707"/>
      <c r="R979" s="1707"/>
      <c r="S979" s="1344"/>
      <c r="T979" s="1344"/>
      <c r="U979" s="1753"/>
      <c r="V979" s="1344"/>
      <c r="W979" s="1344"/>
      <c r="X979" s="1344"/>
      <c r="Y979" s="1707"/>
      <c r="Z979" s="1707"/>
      <c r="AA979" s="1344"/>
      <c r="AB979" s="1344"/>
      <c r="AC979" s="1344"/>
      <c r="AD979" s="1344"/>
    </row>
    <row r="980" s="1709" customFormat="true" ht="15.75" hidden="true" customHeight="true" outlineLevel="1" collapsed="false">
      <c r="A980" s="1799" t="s">
        <v>3504</v>
      </c>
      <c r="B980" s="1294" t="str">
        <f aca="false">B518</f>
        <v>м.п.</v>
      </c>
      <c r="C980" s="1799" t="n">
        <f aca="false">C518</f>
        <v>0.4</v>
      </c>
      <c r="D980" s="1799" t="n">
        <f aca="false">D518</f>
        <v>0.045</v>
      </c>
      <c r="E980" s="1799" t="n">
        <f aca="false">IF('Ввод данных'!$A$459=связи1!$A$96,IF(дома!E979&lt;связи1!$E$576,0,дома!E979-$E$881),0)+IF(дома!E979=0,0,IF('Ввод данных'!$A$459=связи1!$A$95,IF(дома!E979&lt;0,0,дома!E979-$E$881),0))+IF('Ввод данных'!$A$459=связи1!$A$98,IF(дома!E979&lt;связи1!$E$576,0,дома!E979-$E$881),0)</f>
        <v>0</v>
      </c>
      <c r="F980" s="1799" t="n">
        <f aca="false">2*VLOOKUP('Ввод данных'!$C$79,связи1!$A$2:$B$3,2,0)</f>
        <v>0</v>
      </c>
      <c r="G980" s="1344" t="n">
        <f aca="false">C980*D980*E980*F980</f>
        <v>0</v>
      </c>
      <c r="H980" s="1344"/>
      <c r="I980" s="1344"/>
      <c r="J980" s="1344"/>
      <c r="K980" s="1344"/>
      <c r="L980" s="1344"/>
      <c r="M980" s="1344"/>
      <c r="N980" s="1344"/>
      <c r="O980" s="1344"/>
      <c r="P980" s="1707"/>
      <c r="Q980" s="1707"/>
      <c r="R980" s="1707"/>
      <c r="S980" s="1344"/>
      <c r="T980" s="1344"/>
      <c r="U980" s="1753"/>
      <c r="V980" s="1344"/>
      <c r="W980" s="1344"/>
      <c r="X980" s="1344"/>
      <c r="Y980" s="1707"/>
      <c r="Z980" s="1707"/>
      <c r="AA980" s="1344"/>
      <c r="AB980" s="1344"/>
      <c r="AC980" s="1344"/>
      <c r="AD980" s="1344"/>
    </row>
    <row r="981" s="1709" customFormat="true" ht="15.75" hidden="true" customHeight="true" outlineLevel="1" collapsed="false">
      <c r="A981" s="1799" t="s">
        <v>3505</v>
      </c>
      <c r="B981" s="1294" t="str">
        <f aca="false">B519</f>
        <v>м.п.</v>
      </c>
      <c r="C981" s="1799" t="n">
        <f aca="false">C519</f>
        <v>0.4</v>
      </c>
      <c r="D981" s="1799" t="n">
        <f aca="false">D519</f>
        <v>0.045</v>
      </c>
      <c r="E981" s="1799" t="n">
        <f aca="false">IF('Ввод данных'!$A$459=связи1!$A$96,IF(дома!E980&lt;связи1!$E$576,0,дома!E980-$E$881),0)+IF(дома!E980=0,0,IF('Ввод данных'!$A$459=связи1!$A$95,IF(дома!E980&lt;0,0,дома!E980-$E$881),0))+IF('Ввод данных'!$A$459=связи1!$A$98,IF(дома!E980&lt;связи1!$E$576,0,дома!E980-$E$881),0)</f>
        <v>0</v>
      </c>
      <c r="F981" s="1799" t="n">
        <f aca="false">2*VLOOKUP('Ввод данных'!$C$79,связи1!$A$2:$B$3,2,0)</f>
        <v>0</v>
      </c>
      <c r="G981" s="1344" t="n">
        <f aca="false">C981*D981*E981*F981</f>
        <v>0</v>
      </c>
      <c r="H981" s="1344"/>
      <c r="I981" s="1344"/>
      <c r="J981" s="1344"/>
      <c r="K981" s="1344"/>
      <c r="L981" s="1344"/>
      <c r="M981" s="1344"/>
      <c r="N981" s="1344"/>
      <c r="O981" s="1344"/>
      <c r="P981" s="1707"/>
      <c r="Q981" s="1707"/>
      <c r="R981" s="1707"/>
      <c r="S981" s="1344"/>
      <c r="T981" s="1344"/>
      <c r="U981" s="1753"/>
      <c r="V981" s="1344"/>
      <c r="W981" s="1344"/>
      <c r="X981" s="1344"/>
      <c r="Y981" s="1707"/>
      <c r="Z981" s="1707"/>
      <c r="AA981" s="1344"/>
      <c r="AB981" s="1344"/>
      <c r="AC981" s="1344"/>
      <c r="AD981" s="1344"/>
    </row>
    <row r="982" s="1709" customFormat="true" ht="15.75" hidden="true" customHeight="true" outlineLevel="1" collapsed="false">
      <c r="A982" s="1799" t="s">
        <v>3506</v>
      </c>
      <c r="B982" s="1294" t="str">
        <f aca="false">B520</f>
        <v>м.п.</v>
      </c>
      <c r="C982" s="1799" t="n">
        <f aca="false">C520</f>
        <v>0.4</v>
      </c>
      <c r="D982" s="1799" t="n">
        <f aca="false">D520</f>
        <v>0.045</v>
      </c>
      <c r="E982" s="1799" t="n">
        <f aca="false">IF('Ввод данных'!$A$459=связи1!$A$96,IF(дома!E981&lt;связи1!$E$576,0,дома!E981-$E$881),0)+IF(дома!E981=0,0,IF('Ввод данных'!$A$459=связи1!$A$95,IF(дома!E981&lt;0,0,дома!E981-$E$881),0))+IF('Ввод данных'!$A$459=связи1!$A$98,IF(дома!E981&lt;связи1!$E$576,0,дома!E981-$E$881),0)</f>
        <v>0</v>
      </c>
      <c r="F982" s="1799" t="n">
        <f aca="false">2*VLOOKUP('Ввод данных'!$C$79,связи1!$A$2:$B$3,2,0)</f>
        <v>0</v>
      </c>
      <c r="G982" s="1344" t="n">
        <f aca="false">C982*D982*E982*F982</f>
        <v>0</v>
      </c>
      <c r="H982" s="1344"/>
      <c r="I982" s="1344"/>
      <c r="J982" s="1344"/>
      <c r="K982" s="1344"/>
      <c r="L982" s="1344"/>
      <c r="M982" s="1344"/>
      <c r="N982" s="1344"/>
      <c r="O982" s="1344"/>
      <c r="P982" s="1707"/>
      <c r="Q982" s="1707"/>
      <c r="R982" s="1707"/>
      <c r="S982" s="1344"/>
      <c r="T982" s="1344"/>
      <c r="U982" s="1753"/>
      <c r="V982" s="1344"/>
      <c r="W982" s="1344"/>
      <c r="X982" s="1344"/>
      <c r="Y982" s="1707"/>
      <c r="Z982" s="1707"/>
      <c r="AA982" s="1344"/>
      <c r="AB982" s="1344"/>
      <c r="AC982" s="1344"/>
      <c r="AD982" s="1344"/>
    </row>
    <row r="983" s="1709" customFormat="true" ht="15.75" hidden="true" customHeight="true" outlineLevel="1" collapsed="false">
      <c r="A983" s="1799" t="s">
        <v>3507</v>
      </c>
      <c r="B983" s="1294" t="str">
        <f aca="false">B521</f>
        <v>м.п.</v>
      </c>
      <c r="C983" s="1799" t="n">
        <f aca="false">C521</f>
        <v>0.4</v>
      </c>
      <c r="D983" s="1799" t="n">
        <f aca="false">D521</f>
        <v>0.045</v>
      </c>
      <c r="E983" s="1799" t="n">
        <f aca="false">IF('Ввод данных'!$A$459=связи1!$A$96,IF(дома!E982&lt;связи1!$E$576,0,дома!E982-$E$881),0)+IF(дома!E982=0,0,IF('Ввод данных'!$A$459=связи1!$A$95,IF(дома!E982&lt;0,0,дома!E982-$E$881),0))+IF('Ввод данных'!$A$459=связи1!$A$98,IF(дома!E982&lt;связи1!$E$576,0,дома!E982-$E$881),0)</f>
        <v>0</v>
      </c>
      <c r="F983" s="1799" t="n">
        <f aca="false">2*VLOOKUP('Ввод данных'!$C$79,связи1!$A$2:$B$3,2,0)</f>
        <v>0</v>
      </c>
      <c r="G983" s="1344" t="n">
        <f aca="false">C983*D983*E983*F983</f>
        <v>0</v>
      </c>
      <c r="H983" s="1344"/>
      <c r="I983" s="1344"/>
      <c r="J983" s="1344"/>
      <c r="K983" s="1344"/>
      <c r="L983" s="1344"/>
      <c r="M983" s="1344"/>
      <c r="N983" s="1344"/>
      <c r="O983" s="1344"/>
      <c r="P983" s="1707"/>
      <c r="Q983" s="1707"/>
      <c r="R983" s="1707"/>
      <c r="S983" s="1344"/>
      <c r="T983" s="1344"/>
      <c r="U983" s="1753"/>
      <c r="V983" s="1344"/>
      <c r="W983" s="1344"/>
      <c r="X983" s="1344"/>
      <c r="Y983" s="1707"/>
      <c r="Z983" s="1707"/>
      <c r="AA983" s="1344"/>
      <c r="AB983" s="1344"/>
      <c r="AC983" s="1344"/>
      <c r="AD983" s="1344"/>
    </row>
    <row r="984" s="1709" customFormat="true" ht="15.75" hidden="true" customHeight="true" outlineLevel="1" collapsed="false">
      <c r="A984" s="1799" t="s">
        <v>3508</v>
      </c>
      <c r="B984" s="1294" t="str">
        <f aca="false">B522</f>
        <v>м.п.</v>
      </c>
      <c r="C984" s="1799" t="n">
        <f aca="false">C522</f>
        <v>0.4</v>
      </c>
      <c r="D984" s="1799" t="n">
        <f aca="false">D522</f>
        <v>0.045</v>
      </c>
      <c r="E984" s="1799" t="n">
        <f aca="false">IF('Ввод данных'!$A$459=связи1!$A$96,IF(дома!E983&lt;связи1!$E$576,0,дома!E983-$E$881),0)+IF(дома!E983=0,0,IF('Ввод данных'!$A$459=связи1!$A$95,IF(дома!E983&lt;0,0,дома!E983-$E$881),0))+IF('Ввод данных'!$A$459=связи1!$A$98,IF(дома!E983&lt;связи1!$E$576,0,дома!E983-$E$881),0)</f>
        <v>0</v>
      </c>
      <c r="F984" s="1799" t="n">
        <f aca="false">2*VLOOKUP('Ввод данных'!$C$79,связи1!$A$2:$B$3,2,0)</f>
        <v>0</v>
      </c>
      <c r="G984" s="1344" t="n">
        <f aca="false">C984*D984*E984*F984</f>
        <v>0</v>
      </c>
      <c r="H984" s="1344"/>
      <c r="I984" s="1344"/>
      <c r="J984" s="1344"/>
      <c r="K984" s="1344"/>
      <c r="L984" s="1344"/>
      <c r="M984" s="1344"/>
      <c r="N984" s="1344"/>
      <c r="O984" s="1344"/>
      <c r="P984" s="1707"/>
      <c r="Q984" s="1707"/>
      <c r="R984" s="1707"/>
      <c r="S984" s="1344"/>
      <c r="T984" s="1344"/>
      <c r="U984" s="1753"/>
      <c r="V984" s="1344"/>
      <c r="W984" s="1344"/>
      <c r="X984" s="1344"/>
      <c r="Y984" s="1707"/>
      <c r="Z984" s="1707"/>
      <c r="AA984" s="1344"/>
      <c r="AB984" s="1344"/>
      <c r="AC984" s="1344"/>
      <c r="AD984" s="1344"/>
    </row>
    <row r="985" s="1709" customFormat="true" ht="15.75" hidden="true" customHeight="true" outlineLevel="1" collapsed="false">
      <c r="A985" s="1799" t="s">
        <v>3509</v>
      </c>
      <c r="B985" s="1294" t="str">
        <f aca="false">B523</f>
        <v>м.п.</v>
      </c>
      <c r="C985" s="1799" t="n">
        <f aca="false">C523</f>
        <v>0.4</v>
      </c>
      <c r="D985" s="1799" t="n">
        <f aca="false">D523</f>
        <v>0.045</v>
      </c>
      <c r="E985" s="1799" t="n">
        <f aca="false">IF('Ввод данных'!$A$459=связи1!$A$96,IF(дома!E984&lt;связи1!$E$576,0,дома!E984-$E$881),0)+IF(дома!E984=0,0,IF('Ввод данных'!$A$459=связи1!$A$95,IF(дома!E984&lt;0,0,дома!E984-$E$881),0))+IF('Ввод данных'!$A$459=связи1!$A$98,IF(дома!E984&lt;связи1!$E$576,0,дома!E984-$E$881),0)</f>
        <v>0</v>
      </c>
      <c r="F985" s="1799" t="n">
        <f aca="false">2*VLOOKUP('Ввод данных'!$C$79,связи1!$A$2:$B$3,2,0)</f>
        <v>0</v>
      </c>
      <c r="G985" s="1344" t="n">
        <f aca="false">C985*D985*E985*F985</f>
        <v>0</v>
      </c>
      <c r="H985" s="1344"/>
      <c r="I985" s="1344"/>
      <c r="J985" s="1344"/>
      <c r="K985" s="1344"/>
      <c r="L985" s="1344"/>
      <c r="M985" s="1344"/>
      <c r="N985" s="1344"/>
      <c r="O985" s="1344"/>
      <c r="P985" s="1707"/>
      <c r="Q985" s="1707"/>
      <c r="R985" s="1707"/>
      <c r="S985" s="1344"/>
      <c r="T985" s="1344"/>
      <c r="U985" s="1753"/>
      <c r="V985" s="1344"/>
      <c r="W985" s="1344"/>
      <c r="X985" s="1344"/>
      <c r="Y985" s="1707"/>
      <c r="Z985" s="1707"/>
      <c r="AA985" s="1344"/>
      <c r="AB985" s="1344"/>
      <c r="AC985" s="1344"/>
      <c r="AD985" s="1344"/>
    </row>
    <row r="986" s="1709" customFormat="true" ht="15.75" hidden="true" customHeight="true" outlineLevel="1" collapsed="false">
      <c r="A986" s="1799" t="s">
        <v>3510</v>
      </c>
      <c r="B986" s="1294" t="str">
        <f aca="false">B524</f>
        <v>м.п.</v>
      </c>
      <c r="C986" s="1799" t="n">
        <f aca="false">C524</f>
        <v>0.4</v>
      </c>
      <c r="D986" s="1799" t="n">
        <f aca="false">D524</f>
        <v>0.045</v>
      </c>
      <c r="E986" s="1799" t="n">
        <f aca="false">IF('Ввод данных'!$A$459=связи1!$A$96,IF(дома!E985&lt;связи1!$E$576,0,дома!E985-$E$881),0)+IF(дома!E985=0,0,IF('Ввод данных'!$A$459=связи1!$A$95,IF(дома!E985&lt;0,0,дома!E985-$E$881),0))+IF('Ввод данных'!$A$459=связи1!$A$98,IF(дома!E985&lt;связи1!$E$576,0,дома!E985-$E$881),0)</f>
        <v>0</v>
      </c>
      <c r="F986" s="1799" t="n">
        <f aca="false">2*VLOOKUP('Ввод данных'!$C$79,связи1!$A$2:$B$3,2,0)</f>
        <v>0</v>
      </c>
      <c r="G986" s="1344" t="n">
        <f aca="false">C986*D986*E986*F986</f>
        <v>0</v>
      </c>
      <c r="H986" s="1344"/>
      <c r="I986" s="1344"/>
      <c r="J986" s="1344"/>
      <c r="K986" s="1344"/>
      <c r="L986" s="1344"/>
      <c r="M986" s="1344"/>
      <c r="N986" s="1344"/>
      <c r="O986" s="1344"/>
      <c r="P986" s="1707"/>
      <c r="Q986" s="1707"/>
      <c r="R986" s="1707"/>
      <c r="S986" s="1344"/>
      <c r="T986" s="1344"/>
      <c r="U986" s="1753"/>
      <c r="V986" s="1344"/>
      <c r="W986" s="1344"/>
      <c r="X986" s="1344"/>
      <c r="Y986" s="1707"/>
      <c r="Z986" s="1707"/>
      <c r="AA986" s="1344"/>
      <c r="AB986" s="1344"/>
      <c r="AC986" s="1344"/>
      <c r="AD986" s="1344"/>
    </row>
    <row r="987" s="1709" customFormat="true" ht="15.75" hidden="true" customHeight="true" outlineLevel="1" collapsed="false">
      <c r="A987" s="1799" t="s">
        <v>3511</v>
      </c>
      <c r="B987" s="1294" t="str">
        <f aca="false">B525</f>
        <v>м.п.</v>
      </c>
      <c r="C987" s="1799" t="n">
        <f aca="false">C525</f>
        <v>0.4</v>
      </c>
      <c r="D987" s="1799" t="n">
        <f aca="false">D525</f>
        <v>0.045</v>
      </c>
      <c r="E987" s="1799" t="n">
        <f aca="false">IF('Ввод данных'!$A$459=связи1!$A$96,IF(дома!E986&lt;связи1!$E$576,0,дома!E986-$E$881),0)+IF(дома!E986=0,0,IF('Ввод данных'!$A$459=связи1!$A$95,IF(дома!E986&lt;0,0,дома!E986-$E$881),0))+IF('Ввод данных'!$A$459=связи1!$A$98,IF(дома!E986&lt;связи1!$E$576,0,дома!E986-$E$881),0)</f>
        <v>0</v>
      </c>
      <c r="F987" s="1799" t="n">
        <f aca="false">2*VLOOKUP('Ввод данных'!$C$79,связи1!$A$2:$B$3,2,0)</f>
        <v>0</v>
      </c>
      <c r="G987" s="1344" t="n">
        <f aca="false">C987*D987*E987*F987</f>
        <v>0</v>
      </c>
      <c r="H987" s="1344"/>
      <c r="I987" s="1344"/>
      <c r="J987" s="1344"/>
      <c r="K987" s="1344"/>
      <c r="L987" s="1344"/>
      <c r="M987" s="1344"/>
      <c r="N987" s="1344"/>
      <c r="O987" s="1344"/>
      <c r="P987" s="1707"/>
      <c r="Q987" s="1707"/>
      <c r="R987" s="1707"/>
      <c r="S987" s="1344"/>
      <c r="T987" s="1344"/>
      <c r="U987" s="1753"/>
      <c r="V987" s="1344"/>
      <c r="W987" s="1344"/>
      <c r="X987" s="1344"/>
      <c r="Y987" s="1707"/>
      <c r="Z987" s="1707"/>
      <c r="AA987" s="1344"/>
      <c r="AB987" s="1344"/>
      <c r="AC987" s="1344"/>
      <c r="AD987" s="1344"/>
    </row>
    <row r="988" s="1709" customFormat="true" ht="15.75" hidden="true" customHeight="true" outlineLevel="1" collapsed="false">
      <c r="A988" s="1799" t="s">
        <v>3512</v>
      </c>
      <c r="B988" s="1294" t="str">
        <f aca="false">B526</f>
        <v>м.п.</v>
      </c>
      <c r="C988" s="1799" t="n">
        <f aca="false">C526</f>
        <v>0.4</v>
      </c>
      <c r="D988" s="1799" t="n">
        <f aca="false">D526</f>
        <v>0.045</v>
      </c>
      <c r="E988" s="1799" t="n">
        <f aca="false">IF('Ввод данных'!$A$459=связи1!$A$96,IF(дома!E987&lt;связи1!$E$576,0,дома!E987-$E$881),0)+IF(дома!E987=0,0,IF('Ввод данных'!$A$459=связи1!$A$95,IF(дома!E987&lt;0,0,дома!E987-$E$881),0))+IF('Ввод данных'!$A$459=связи1!$A$98,IF(дома!E987&lt;связи1!$E$576,0,дома!E987-$E$881),0)</f>
        <v>0</v>
      </c>
      <c r="F988" s="1799" t="n">
        <f aca="false">2*VLOOKUP('Ввод данных'!$C$79,связи1!$A$2:$B$3,2,0)</f>
        <v>0</v>
      </c>
      <c r="G988" s="1344" t="n">
        <f aca="false">C988*D988*E988*F988</f>
        <v>0</v>
      </c>
      <c r="H988" s="1344"/>
      <c r="I988" s="1344"/>
      <c r="J988" s="1344"/>
      <c r="K988" s="1344"/>
      <c r="L988" s="1344"/>
      <c r="M988" s="1344"/>
      <c r="N988" s="1344"/>
      <c r="O988" s="1344"/>
      <c r="P988" s="1707"/>
      <c r="Q988" s="1707"/>
      <c r="R988" s="1707"/>
      <c r="S988" s="1344"/>
      <c r="T988" s="1344"/>
      <c r="U988" s="1753"/>
      <c r="V988" s="1344"/>
      <c r="W988" s="1344"/>
      <c r="X988" s="1344"/>
      <c r="Y988" s="1707"/>
      <c r="Z988" s="1707"/>
      <c r="AA988" s="1344"/>
      <c r="AB988" s="1344"/>
      <c r="AC988" s="1344"/>
      <c r="AD988" s="1344"/>
    </row>
    <row r="989" s="1709" customFormat="true" ht="15.75" hidden="true" customHeight="true" outlineLevel="1" collapsed="false">
      <c r="A989" s="1799" t="s">
        <v>3513</v>
      </c>
      <c r="B989" s="1294" t="str">
        <f aca="false">B527</f>
        <v>м.п.</v>
      </c>
      <c r="C989" s="1799" t="n">
        <f aca="false">C527</f>
        <v>0.4</v>
      </c>
      <c r="D989" s="1799" t="n">
        <f aca="false">D527</f>
        <v>0.045</v>
      </c>
      <c r="E989" s="1799" t="n">
        <f aca="false">IF('Ввод данных'!$A$459=связи1!$A$96,IF(дома!E988&lt;связи1!$E$576,0,дома!E988-$E$881),0)+IF(дома!E988=0,0,IF('Ввод данных'!$A$459=связи1!$A$95,IF(дома!E988&lt;0,0,дома!E988-$E$881),0))+IF('Ввод данных'!$A$459=связи1!$A$98,IF(дома!E988&lt;связи1!$E$576,0,дома!E988-$E$881),0)</f>
        <v>0</v>
      </c>
      <c r="F989" s="1799" t="n">
        <f aca="false">2*VLOOKUP('Ввод данных'!$C$79,связи1!$A$2:$B$3,2,0)</f>
        <v>0</v>
      </c>
      <c r="G989" s="1344" t="n">
        <f aca="false">C989*D989*E989*F989</f>
        <v>0</v>
      </c>
      <c r="H989" s="1344"/>
      <c r="I989" s="1344"/>
      <c r="J989" s="1344"/>
      <c r="K989" s="1344"/>
      <c r="L989" s="1344"/>
      <c r="M989" s="1344"/>
      <c r="N989" s="1344"/>
      <c r="O989" s="1344"/>
      <c r="P989" s="1707"/>
      <c r="Q989" s="1707"/>
      <c r="R989" s="1707"/>
      <c r="S989" s="1344"/>
      <c r="T989" s="1344"/>
      <c r="U989" s="1753"/>
      <c r="V989" s="1344"/>
      <c r="W989" s="1344"/>
      <c r="X989" s="1344"/>
      <c r="Y989" s="1707"/>
      <c r="Z989" s="1707"/>
      <c r="AA989" s="1344"/>
      <c r="AB989" s="1344"/>
      <c r="AC989" s="1344"/>
      <c r="AD989" s="1344"/>
    </row>
    <row r="990" s="1709" customFormat="true" ht="15.75" hidden="true" customHeight="true" outlineLevel="1" collapsed="false">
      <c r="A990" s="1799" t="s">
        <v>3514</v>
      </c>
      <c r="B990" s="1294" t="str">
        <f aca="false">B528</f>
        <v>м.п.</v>
      </c>
      <c r="C990" s="1799" t="n">
        <f aca="false">C528</f>
        <v>0.4</v>
      </c>
      <c r="D990" s="1799" t="n">
        <f aca="false">D528</f>
        <v>0.045</v>
      </c>
      <c r="E990" s="1799" t="n">
        <f aca="false">IF('Ввод данных'!$A$459=связи1!$A$96,IF(дома!E989&lt;связи1!$E$576,0,дома!E989-$E$881),0)+IF(дома!E989=0,0,IF('Ввод данных'!$A$459=связи1!$A$95,IF(дома!E989&lt;0,0,дома!E989-$E$881),0))+IF('Ввод данных'!$A$459=связи1!$A$98,IF(дома!E989&lt;связи1!$E$576,0,дома!E989-$E$881),0)</f>
        <v>0</v>
      </c>
      <c r="F990" s="1799" t="n">
        <f aca="false">2*VLOOKUP('Ввод данных'!$C$79,связи1!$A$2:$B$3,2,0)</f>
        <v>0</v>
      </c>
      <c r="G990" s="1344" t="n">
        <f aca="false">C990*D990*E990*F990</f>
        <v>0</v>
      </c>
      <c r="H990" s="1344"/>
      <c r="I990" s="1344"/>
      <c r="J990" s="1344"/>
      <c r="K990" s="1344"/>
      <c r="L990" s="1344"/>
      <c r="M990" s="1344"/>
      <c r="N990" s="1344"/>
      <c r="O990" s="1344"/>
      <c r="P990" s="1707"/>
      <c r="Q990" s="1707"/>
      <c r="R990" s="1707"/>
      <c r="S990" s="1344"/>
      <c r="T990" s="1344"/>
      <c r="U990" s="1753"/>
      <c r="V990" s="1344"/>
      <c r="W990" s="1344"/>
      <c r="X990" s="1344"/>
      <c r="Y990" s="1707"/>
      <c r="Z990" s="1707"/>
      <c r="AA990" s="1344"/>
      <c r="AB990" s="1344"/>
      <c r="AC990" s="1344"/>
      <c r="AD990" s="1344"/>
    </row>
    <row r="991" s="1709" customFormat="true" ht="15.75" hidden="true" customHeight="true" outlineLevel="1" collapsed="false">
      <c r="A991" s="1799" t="s">
        <v>3515</v>
      </c>
      <c r="B991" s="1294" t="str">
        <f aca="false">B529</f>
        <v>м.п.</v>
      </c>
      <c r="C991" s="1799" t="n">
        <f aca="false">C529</f>
        <v>0.4</v>
      </c>
      <c r="D991" s="1799" t="n">
        <f aca="false">D529</f>
        <v>0.045</v>
      </c>
      <c r="E991" s="1799" t="n">
        <f aca="false">IF('Ввод данных'!$A$459=связи1!$A$96,IF(дома!E990&lt;связи1!$E$576,0,дома!E990-$E$881),0)+IF(дома!E990=0,0,IF('Ввод данных'!$A$459=связи1!$A$95,IF(дома!E990&lt;0,0,дома!E990-$E$881),0))+IF('Ввод данных'!$A$459=связи1!$A$98,IF(дома!E990&lt;связи1!$E$576,0,дома!E990-$E$881),0)</f>
        <v>0</v>
      </c>
      <c r="F991" s="1799" t="n">
        <f aca="false">2*VLOOKUP('Ввод данных'!$C$79,связи1!$A$2:$B$3,2,0)</f>
        <v>0</v>
      </c>
      <c r="G991" s="1344" t="n">
        <f aca="false">C991*D991*E991*F991</f>
        <v>0</v>
      </c>
      <c r="H991" s="1344"/>
      <c r="I991" s="1344"/>
      <c r="J991" s="1344"/>
      <c r="K991" s="1344"/>
      <c r="L991" s="1344"/>
      <c r="M991" s="1344"/>
      <c r="N991" s="1344"/>
      <c r="O991" s="1344"/>
      <c r="P991" s="1707"/>
      <c r="Q991" s="1707"/>
      <c r="R991" s="1707"/>
      <c r="S991" s="1344"/>
      <c r="T991" s="1344"/>
      <c r="U991" s="1753"/>
      <c r="V991" s="1344"/>
      <c r="W991" s="1344"/>
      <c r="X991" s="1344"/>
      <c r="Y991" s="1707"/>
      <c r="Z991" s="1707"/>
      <c r="AA991" s="1344"/>
      <c r="AB991" s="1344"/>
      <c r="AC991" s="1344"/>
      <c r="AD991" s="1344"/>
    </row>
    <row r="992" s="1709" customFormat="true" ht="15.75" hidden="true" customHeight="true" outlineLevel="1" collapsed="false">
      <c r="A992" s="1799" t="s">
        <v>3516</v>
      </c>
      <c r="B992" s="1294" t="str">
        <f aca="false">B530</f>
        <v>м.п.</v>
      </c>
      <c r="C992" s="1799" t="n">
        <f aca="false">C530</f>
        <v>0.4</v>
      </c>
      <c r="D992" s="1799" t="n">
        <f aca="false">D530</f>
        <v>0.045</v>
      </c>
      <c r="E992" s="1799" t="n">
        <f aca="false">IF('Ввод данных'!$A$459=связи1!$A$96,IF(дома!E991&lt;связи1!$E$576,0,дома!E991-$E$881),0)+IF(дома!E991=0,0,IF('Ввод данных'!$A$459=связи1!$A$95,IF(дома!E991&lt;0,0,дома!E991-$E$881),0))+IF('Ввод данных'!$A$459=связи1!$A$98,IF(дома!E991&lt;связи1!$E$576,0,дома!E991-$E$881),0)</f>
        <v>0</v>
      </c>
      <c r="F992" s="1799" t="n">
        <f aca="false">2*VLOOKUP('Ввод данных'!$C$79,связи1!$A$2:$B$3,2,0)</f>
        <v>0</v>
      </c>
      <c r="G992" s="1344" t="n">
        <f aca="false">C992*D992*E992*F992</f>
        <v>0</v>
      </c>
      <c r="H992" s="1344"/>
      <c r="I992" s="1344"/>
      <c r="J992" s="1344"/>
      <c r="K992" s="1344"/>
      <c r="L992" s="1344"/>
      <c r="M992" s="1344"/>
      <c r="N992" s="1344"/>
      <c r="O992" s="1344"/>
      <c r="P992" s="1707"/>
      <c r="Q992" s="1707"/>
      <c r="R992" s="1707"/>
      <c r="S992" s="1344"/>
      <c r="T992" s="1344"/>
      <c r="U992" s="1753"/>
      <c r="V992" s="1344"/>
      <c r="W992" s="1344"/>
      <c r="X992" s="1344"/>
      <c r="Y992" s="1707"/>
      <c r="Z992" s="1707"/>
      <c r="AA992" s="1344"/>
      <c r="AB992" s="1344"/>
      <c r="AC992" s="1344"/>
      <c r="AD992" s="1344"/>
    </row>
    <row r="993" s="1709" customFormat="true" ht="15.75" hidden="true" customHeight="true" outlineLevel="1" collapsed="false">
      <c r="A993" s="1799" t="s">
        <v>3517</v>
      </c>
      <c r="B993" s="1294" t="str">
        <f aca="false">B531</f>
        <v>м.п.</v>
      </c>
      <c r="C993" s="1799" t="n">
        <f aca="false">C531</f>
        <v>0.4</v>
      </c>
      <c r="D993" s="1799" t="n">
        <f aca="false">D531</f>
        <v>0.045</v>
      </c>
      <c r="E993" s="1799" t="n">
        <f aca="false">IF('Ввод данных'!A458=связи1!A107,IF('Ввод данных'!A459=связи1!A94,0,0)+IF('Ввод данных'!A459=связи1!A95,связи1!E575-связи1!E574,0)+IF('Ввод данных'!A459=связи1!A96,связи1!E575,0)+IF('Ввод данных'!A459=связи1!A97,0,0)+IF('Ввод данных'!A459=связи1!A98,связи1!E575,0),0)</f>
        <v>2.9</v>
      </c>
      <c r="F993" s="1799" t="n">
        <f aca="false">2*VLOOKUP('Ввод данных'!$C$79,связи1!$A$2:$B$3,2,0)</f>
        <v>0</v>
      </c>
      <c r="G993" s="1344" t="n">
        <f aca="false">C993*D993*E993*F993</f>
        <v>0</v>
      </c>
      <c r="H993" s="1344"/>
      <c r="I993" s="1344"/>
      <c r="J993" s="1344"/>
      <c r="K993" s="1344"/>
      <c r="L993" s="1344"/>
      <c r="M993" s="1344"/>
      <c r="N993" s="1344"/>
      <c r="O993" s="1344"/>
      <c r="P993" s="1707"/>
      <c r="Q993" s="1707"/>
      <c r="R993" s="1707"/>
      <c r="S993" s="1344"/>
      <c r="T993" s="1344"/>
      <c r="U993" s="1753"/>
      <c r="V993" s="1344"/>
      <c r="W993" s="1344"/>
      <c r="X993" s="1344"/>
      <c r="Y993" s="1707"/>
      <c r="Z993" s="1707"/>
      <c r="AA993" s="1344"/>
      <c r="AB993" s="1344"/>
      <c r="AC993" s="1344"/>
      <c r="AD993" s="1344"/>
    </row>
    <row r="994" s="1709" customFormat="true" ht="15.75" hidden="true" customHeight="true" outlineLevel="1" collapsed="false">
      <c r="A994" s="1799" t="s">
        <v>3518</v>
      </c>
      <c r="B994" s="1294" t="str">
        <f aca="false">B532</f>
        <v>м.п.</v>
      </c>
      <c r="C994" s="1799" t="n">
        <f aca="false">C532</f>
        <v>0.4</v>
      </c>
      <c r="D994" s="1799" t="n">
        <f aca="false">D532</f>
        <v>0.045</v>
      </c>
      <c r="E994" s="1799" t="n">
        <f aca="false">IF('Ввод данных'!$A$459=связи1!$A$96,IF(дома!E993&lt;связи1!$E$576,0,дома!E993-$E$881),0)+IF(дома!E993=0,0,IF('Ввод данных'!$A$459=связи1!$A$95,IF(дома!E993&lt;0,0,дома!E993-$E$881),0))+IF('Ввод данных'!$A$459=связи1!$A$98,IF(дома!E993&lt;связи1!$E$576,0,дома!E993-$E$881),0)</f>
        <v>2.9</v>
      </c>
      <c r="F994" s="1799" t="n">
        <f aca="false">2*VLOOKUP('Ввод данных'!$C$79,связи1!$A$2:$B$3,2,0)</f>
        <v>0</v>
      </c>
      <c r="G994" s="1344" t="n">
        <f aca="false">C994*D994*E994*F994</f>
        <v>0</v>
      </c>
      <c r="H994" s="1344"/>
      <c r="I994" s="1344"/>
      <c r="J994" s="1344"/>
      <c r="K994" s="1344"/>
      <c r="L994" s="1344"/>
      <c r="M994" s="1344"/>
      <c r="N994" s="1344"/>
      <c r="O994" s="1344"/>
      <c r="P994" s="1707"/>
      <c r="Q994" s="1707"/>
      <c r="R994" s="1707"/>
      <c r="S994" s="1344"/>
      <c r="T994" s="1344"/>
      <c r="U994" s="1753"/>
      <c r="V994" s="1344"/>
      <c r="W994" s="1344"/>
      <c r="X994" s="1344"/>
      <c r="Y994" s="1707"/>
      <c r="Z994" s="1707"/>
      <c r="AA994" s="1344"/>
      <c r="AB994" s="1344"/>
      <c r="AC994" s="1344"/>
      <c r="AD994" s="1344"/>
    </row>
    <row r="995" s="1709" customFormat="true" ht="15.75" hidden="true" customHeight="true" outlineLevel="1" collapsed="false">
      <c r="A995" s="1799" t="s">
        <v>3519</v>
      </c>
      <c r="B995" s="1294" t="str">
        <f aca="false">B533</f>
        <v>м.п.</v>
      </c>
      <c r="C995" s="1799" t="n">
        <f aca="false">C533</f>
        <v>0.4</v>
      </c>
      <c r="D995" s="1799" t="n">
        <f aca="false">D533</f>
        <v>0.045</v>
      </c>
      <c r="E995" s="1799" t="n">
        <f aca="false">IF('Ввод данных'!$A$459=связи1!$A$96,IF(дома!E994&lt;связи1!$E$576,0,дома!E994-$E$881),0)+IF(дома!E994=0,0,IF('Ввод данных'!$A$459=связи1!$A$95,IF(дома!E994&lt;0,0,дома!E994-$E$881),0))+IF('Ввод данных'!$A$459=связи1!$A$98,IF(дома!E994&lt;связи1!$E$576,0,дома!E994-$E$881),0)</f>
        <v>2.9</v>
      </c>
      <c r="F995" s="1799" t="n">
        <f aca="false">2*VLOOKUP('Ввод данных'!$C$79,связи1!$A$2:$B$3,2,0)</f>
        <v>0</v>
      </c>
      <c r="G995" s="1344" t="n">
        <f aca="false">C995*D995*E995*F995</f>
        <v>0</v>
      </c>
      <c r="H995" s="1344"/>
      <c r="I995" s="1344"/>
      <c r="J995" s="1344"/>
      <c r="K995" s="1344"/>
      <c r="L995" s="1344"/>
      <c r="M995" s="1344"/>
      <c r="N995" s="1344"/>
      <c r="O995" s="1344"/>
      <c r="P995" s="1707"/>
      <c r="Q995" s="1707"/>
      <c r="R995" s="1707"/>
      <c r="S995" s="1344"/>
      <c r="T995" s="1344"/>
      <c r="U995" s="1753"/>
      <c r="V995" s="1344"/>
      <c r="W995" s="1344"/>
      <c r="X995" s="1344"/>
      <c r="Y995" s="1707"/>
      <c r="Z995" s="1707"/>
      <c r="AA995" s="1344"/>
      <c r="AB995" s="1344"/>
      <c r="AC995" s="1344"/>
      <c r="AD995" s="1344"/>
    </row>
    <row r="996" s="1709" customFormat="true" ht="15.75" hidden="true" customHeight="true" outlineLevel="1" collapsed="false">
      <c r="A996" s="1799" t="s">
        <v>3520</v>
      </c>
      <c r="B996" s="1294" t="str">
        <f aca="false">B534</f>
        <v>м.п.</v>
      </c>
      <c r="C996" s="1799" t="n">
        <f aca="false">C534</f>
        <v>0.4</v>
      </c>
      <c r="D996" s="1799" t="n">
        <f aca="false">D534</f>
        <v>0.045</v>
      </c>
      <c r="E996" s="1799" t="n">
        <f aca="false">IF('Ввод данных'!$A$459=связи1!$A$96,IF(дома!E995&lt;связи1!$E$576,0,дома!E995-$E$881),0)+IF(дома!E995=0,0,IF('Ввод данных'!$A$459=связи1!$A$95,IF(дома!E995&lt;0,0,дома!E995-$E$881),0))+IF('Ввод данных'!$A$459=связи1!$A$98,IF(дома!E995&lt;связи1!$E$576,0,дома!E995-$E$881),0)</f>
        <v>2.9</v>
      </c>
      <c r="F996" s="1799" t="n">
        <f aca="false">2*VLOOKUP('Ввод данных'!$C$79,связи1!$A$2:$B$3,2,0)</f>
        <v>0</v>
      </c>
      <c r="G996" s="1344" t="n">
        <f aca="false">C996*D996*E996*F996</f>
        <v>0</v>
      </c>
      <c r="H996" s="1344"/>
      <c r="I996" s="1344"/>
      <c r="J996" s="1344"/>
      <c r="K996" s="1344"/>
      <c r="L996" s="1344"/>
      <c r="M996" s="1344"/>
      <c r="N996" s="1344"/>
      <c r="O996" s="1344"/>
      <c r="P996" s="1707"/>
      <c r="Q996" s="1707"/>
      <c r="R996" s="1707"/>
      <c r="S996" s="1344"/>
      <c r="T996" s="1344"/>
      <c r="U996" s="1753"/>
      <c r="V996" s="1344"/>
      <c r="W996" s="1344"/>
      <c r="X996" s="1344"/>
      <c r="Y996" s="1707"/>
      <c r="Z996" s="1707"/>
      <c r="AA996" s="1344"/>
      <c r="AB996" s="1344"/>
      <c r="AC996" s="1344"/>
      <c r="AD996" s="1344"/>
    </row>
    <row r="997" s="1709" customFormat="true" ht="15.75" hidden="true" customHeight="true" outlineLevel="1" collapsed="false">
      <c r="A997" s="1799" t="s">
        <v>3521</v>
      </c>
      <c r="B997" s="1294" t="str">
        <f aca="false">B535</f>
        <v>м.п.</v>
      </c>
      <c r="C997" s="1799" t="n">
        <f aca="false">C535</f>
        <v>0.4</v>
      </c>
      <c r="D997" s="1799" t="n">
        <f aca="false">D535</f>
        <v>0.045</v>
      </c>
      <c r="E997" s="1799" t="n">
        <f aca="false">IF('Ввод данных'!$A$459=связи1!$A$96,IF(дома!E996&lt;связи1!$E$576,0,дома!E996-$E$881),0)+IF(дома!E996=0,0,IF('Ввод данных'!$A$459=связи1!$A$95,IF(дома!E996&lt;0,0,дома!E996-$E$881),0))+IF('Ввод данных'!$A$459=связи1!$A$98,IF(дома!E996&lt;связи1!$E$576,0,дома!E996-$E$881),0)</f>
        <v>2.9</v>
      </c>
      <c r="F997" s="1799" t="n">
        <f aca="false">2*VLOOKUP('Ввод данных'!$C$79,связи1!$A$2:$B$3,2,0)</f>
        <v>0</v>
      </c>
      <c r="G997" s="1344" t="n">
        <f aca="false">C997*D997*E997*F997</f>
        <v>0</v>
      </c>
      <c r="H997" s="1344"/>
      <c r="I997" s="1344"/>
      <c r="J997" s="1344"/>
      <c r="K997" s="1344"/>
      <c r="L997" s="1344"/>
      <c r="M997" s="1344"/>
      <c r="N997" s="1344"/>
      <c r="O997" s="1344"/>
      <c r="P997" s="1707"/>
      <c r="Q997" s="1707"/>
      <c r="R997" s="1707"/>
      <c r="S997" s="1344"/>
      <c r="T997" s="1344"/>
      <c r="U997" s="1753"/>
      <c r="V997" s="1344"/>
      <c r="W997" s="1344"/>
      <c r="X997" s="1344"/>
      <c r="Y997" s="1707"/>
      <c r="Z997" s="1707"/>
      <c r="AA997" s="1344"/>
      <c r="AB997" s="1344"/>
      <c r="AC997" s="1344"/>
      <c r="AD997" s="1344"/>
    </row>
    <row r="998" s="1709" customFormat="true" ht="15.75" hidden="true" customHeight="true" outlineLevel="1" collapsed="false">
      <c r="A998" s="1799" t="s">
        <v>3522</v>
      </c>
      <c r="B998" s="1294" t="str">
        <f aca="false">B536</f>
        <v>м.п.</v>
      </c>
      <c r="C998" s="1799" t="n">
        <f aca="false">C536</f>
        <v>0.4</v>
      </c>
      <c r="D998" s="1799" t="n">
        <f aca="false">D536</f>
        <v>0.045</v>
      </c>
      <c r="E998" s="1799" t="n">
        <f aca="false">IF('Ввод данных'!$A$459=связи1!$A$96,IF(дома!E997&lt;связи1!$E$576,0,дома!E997-$E$881),0)+IF(дома!E997=0,0,IF('Ввод данных'!$A$459=связи1!$A$95,IF(дома!E997&lt;0,0,дома!E997-$E$881),0))+IF('Ввод данных'!$A$459=связи1!$A$98,IF(дома!E997&lt;связи1!$E$576,0,дома!E997-$E$881),0)</f>
        <v>2.9</v>
      </c>
      <c r="F998" s="1799" t="n">
        <f aca="false">2*VLOOKUP('Ввод данных'!$C$79,связи1!$A$2:$B$3,2,0)</f>
        <v>0</v>
      </c>
      <c r="G998" s="1344" t="n">
        <f aca="false">C998*D998*E998*F998</f>
        <v>0</v>
      </c>
      <c r="H998" s="1344"/>
      <c r="I998" s="1344"/>
      <c r="J998" s="1344"/>
      <c r="K998" s="1344"/>
      <c r="L998" s="1344"/>
      <c r="M998" s="1344"/>
      <c r="N998" s="1344"/>
      <c r="O998" s="1344"/>
      <c r="P998" s="1707"/>
      <c r="Q998" s="1707"/>
      <c r="R998" s="1707"/>
      <c r="S998" s="1344"/>
      <c r="T998" s="1344"/>
      <c r="U998" s="1753"/>
      <c r="V998" s="1344"/>
      <c r="W998" s="1344"/>
      <c r="X998" s="1344"/>
      <c r="Y998" s="1707"/>
      <c r="Z998" s="1707"/>
      <c r="AA998" s="1344"/>
      <c r="AB998" s="1344"/>
      <c r="AC998" s="1344"/>
      <c r="AD998" s="1344"/>
    </row>
    <row r="999" s="1709" customFormat="true" ht="15.75" hidden="true" customHeight="true" outlineLevel="1" collapsed="false">
      <c r="A999" s="1799" t="s">
        <v>3523</v>
      </c>
      <c r="B999" s="1294" t="str">
        <f aca="false">B537</f>
        <v>м.п.</v>
      </c>
      <c r="C999" s="1799" t="n">
        <f aca="false">C537</f>
        <v>0.4</v>
      </c>
      <c r="D999" s="1799" t="n">
        <f aca="false">D537</f>
        <v>0.045</v>
      </c>
      <c r="E999" s="1799" t="n">
        <f aca="false">IF('Ввод данных'!$A$459=связи1!$A$96,IF(дома!E998&lt;связи1!$E$576,0,дома!E998-$E$881),0)+IF(дома!E998=0,0,IF('Ввод данных'!$A$459=связи1!$A$95,IF(дома!E998&lt;0,0,дома!E998-$E$881),0))+IF('Ввод данных'!$A$459=связи1!$A$98,IF(дома!E998&lt;связи1!$E$576,0,дома!E998-$E$881),0)</f>
        <v>2.9</v>
      </c>
      <c r="F999" s="1799" t="n">
        <f aca="false">2*VLOOKUP('Ввод данных'!$C$79,связи1!$A$2:$B$3,2,0)</f>
        <v>0</v>
      </c>
      <c r="G999" s="1344" t="n">
        <f aca="false">C999*D999*E999*F999</f>
        <v>0</v>
      </c>
      <c r="H999" s="1344"/>
      <c r="I999" s="1344"/>
      <c r="J999" s="1344"/>
      <c r="K999" s="1344"/>
      <c r="L999" s="1344"/>
      <c r="M999" s="1344"/>
      <c r="N999" s="1344"/>
      <c r="O999" s="1344"/>
      <c r="P999" s="1707"/>
      <c r="Q999" s="1707"/>
      <c r="R999" s="1707"/>
      <c r="S999" s="1344"/>
      <c r="T999" s="1344"/>
      <c r="U999" s="1753"/>
      <c r="V999" s="1344"/>
      <c r="W999" s="1344"/>
      <c r="X999" s="1344"/>
      <c r="Y999" s="1707"/>
      <c r="Z999" s="1707"/>
      <c r="AA999" s="1344"/>
      <c r="AB999" s="1344"/>
      <c r="AC999" s="1344"/>
      <c r="AD999" s="1344"/>
    </row>
    <row r="1000" s="1709" customFormat="true" ht="15.75" hidden="true" customHeight="true" outlineLevel="1" collapsed="false">
      <c r="A1000" s="1799" t="s">
        <v>3524</v>
      </c>
      <c r="B1000" s="1294" t="str">
        <f aca="false">B538</f>
        <v>м.п.</v>
      </c>
      <c r="C1000" s="1799" t="n">
        <f aca="false">C538</f>
        <v>0.4</v>
      </c>
      <c r="D1000" s="1799" t="n">
        <f aca="false">D538</f>
        <v>0.045</v>
      </c>
      <c r="E1000" s="1799" t="n">
        <f aca="false">IF('Ввод данных'!$A$459=связи1!$A$96,IF(дома!E999&lt;связи1!$E$576,0,дома!E999-$E$881),0)+IF(дома!E999=0,0,IF('Ввод данных'!$A$459=связи1!$A$95,IF(дома!E999&lt;0,0,дома!E999-$E$881),0))+IF('Ввод данных'!$A$459=связи1!$A$98,IF(дома!E999&lt;связи1!$E$576,0,дома!E999-$E$881),0)</f>
        <v>2.9</v>
      </c>
      <c r="F1000" s="1799" t="n">
        <f aca="false">2*VLOOKUP('Ввод данных'!$C$79,связи1!$A$2:$B$3,2,0)</f>
        <v>0</v>
      </c>
      <c r="G1000" s="1344" t="n">
        <f aca="false">C1000*D1000*E1000*F1000</f>
        <v>0</v>
      </c>
      <c r="H1000" s="1344"/>
      <c r="I1000" s="1344"/>
      <c r="J1000" s="1344"/>
      <c r="K1000" s="1344"/>
      <c r="L1000" s="1344"/>
      <c r="M1000" s="1344"/>
      <c r="N1000" s="1344"/>
      <c r="O1000" s="1344"/>
      <c r="P1000" s="1707"/>
      <c r="Q1000" s="1707"/>
      <c r="R1000" s="1707"/>
      <c r="S1000" s="1344"/>
      <c r="T1000" s="1344"/>
      <c r="U1000" s="1753"/>
      <c r="V1000" s="1344"/>
      <c r="W1000" s="1344"/>
      <c r="X1000" s="1344"/>
      <c r="Y1000" s="1707"/>
      <c r="Z1000" s="1707"/>
      <c r="AA1000" s="1344"/>
      <c r="AB1000" s="1344"/>
      <c r="AC1000" s="1344"/>
      <c r="AD1000" s="1344"/>
    </row>
    <row r="1001" s="1709" customFormat="true" ht="15.75" hidden="true" customHeight="true" outlineLevel="1" collapsed="false">
      <c r="A1001" s="1799" t="s">
        <v>3525</v>
      </c>
      <c r="B1001" s="1294" t="str">
        <f aca="false">B539</f>
        <v>м.п.</v>
      </c>
      <c r="C1001" s="1799" t="n">
        <f aca="false">C539</f>
        <v>0.4</v>
      </c>
      <c r="D1001" s="1799" t="n">
        <f aca="false">D539</f>
        <v>0.045</v>
      </c>
      <c r="E1001" s="1799" t="n">
        <f aca="false">IF('Ввод данных'!$A$459=связи1!$A$96,IF(дома!E1000&lt;связи1!$E$576,0,дома!E1000-$E$881),0)+IF(дома!E1000=0,0,IF('Ввод данных'!$A$459=связи1!$A$95,IF(дома!E1000&lt;0,0,дома!E1000-$E$881),0))+IF('Ввод данных'!$A$459=связи1!$A$98,IF(дома!E1000&lt;связи1!$E$576,0,дома!E1000-$E$881),0)</f>
        <v>2.9</v>
      </c>
      <c r="F1001" s="1799" t="n">
        <f aca="false">2*VLOOKUP('Ввод данных'!$C$79,связи1!$A$2:$B$3,2,0)</f>
        <v>0</v>
      </c>
      <c r="G1001" s="1344" t="n">
        <f aca="false">C1001*D1001*E1001*F1001</f>
        <v>0</v>
      </c>
      <c r="H1001" s="1344"/>
      <c r="I1001" s="1344"/>
      <c r="J1001" s="1344"/>
      <c r="K1001" s="1344"/>
      <c r="L1001" s="1344"/>
      <c r="M1001" s="1344"/>
      <c r="N1001" s="1344"/>
      <c r="O1001" s="1344"/>
      <c r="P1001" s="1707"/>
      <c r="Q1001" s="1707"/>
      <c r="R1001" s="1707"/>
      <c r="S1001" s="1344"/>
      <c r="T1001" s="1344"/>
      <c r="U1001" s="1753"/>
      <c r="V1001" s="1344"/>
      <c r="W1001" s="1344"/>
      <c r="X1001" s="1344"/>
      <c r="Y1001" s="1707"/>
      <c r="Z1001" s="1707"/>
      <c r="AA1001" s="1344"/>
      <c r="AB1001" s="1344"/>
      <c r="AC1001" s="1344"/>
      <c r="AD1001" s="1344"/>
    </row>
    <row r="1002" s="1709" customFormat="true" ht="15.75" hidden="true" customHeight="true" outlineLevel="1" collapsed="false">
      <c r="A1002" s="1799" t="s">
        <v>3526</v>
      </c>
      <c r="B1002" s="1294" t="str">
        <f aca="false">B540</f>
        <v>м.п.</v>
      </c>
      <c r="C1002" s="1799" t="n">
        <f aca="false">C540</f>
        <v>0.4</v>
      </c>
      <c r="D1002" s="1799" t="n">
        <f aca="false">D540</f>
        <v>0.045</v>
      </c>
      <c r="E1002" s="1799" t="n">
        <f aca="false">IF('Ввод данных'!$A$459=связи1!$A$96,IF(дома!E1001&lt;связи1!$E$576,0,дома!E1001-$E$881),0)+IF(дома!E1001=0,0,IF('Ввод данных'!$A$459=связи1!$A$95,IF(дома!E1001&lt;0,0,дома!E1001-$E$881),0))+IF('Ввод данных'!$A$459=связи1!$A$98,IF(дома!E1001&lt;связи1!$E$576,0,дома!E1001-$E$881),0)</f>
        <v>2.9</v>
      </c>
      <c r="F1002" s="1799" t="n">
        <f aca="false">2*VLOOKUP('Ввод данных'!$C$79,связи1!$A$2:$B$3,2,0)</f>
        <v>0</v>
      </c>
      <c r="G1002" s="1344" t="n">
        <f aca="false">C1002*D1002*E1002*F1002</f>
        <v>0</v>
      </c>
      <c r="H1002" s="1344"/>
      <c r="I1002" s="1344"/>
      <c r="J1002" s="1344"/>
      <c r="K1002" s="1344"/>
      <c r="L1002" s="1344"/>
      <c r="M1002" s="1344"/>
      <c r="N1002" s="1344"/>
      <c r="O1002" s="1344"/>
      <c r="P1002" s="1707"/>
      <c r="Q1002" s="1707"/>
      <c r="R1002" s="1707"/>
      <c r="S1002" s="1344"/>
      <c r="T1002" s="1344"/>
      <c r="U1002" s="1753"/>
      <c r="V1002" s="1344"/>
      <c r="W1002" s="1344"/>
      <c r="X1002" s="1344"/>
      <c r="Y1002" s="1707"/>
      <c r="Z1002" s="1707"/>
      <c r="AA1002" s="1344"/>
      <c r="AB1002" s="1344"/>
      <c r="AC1002" s="1344"/>
      <c r="AD1002" s="1344"/>
    </row>
    <row r="1003" s="1709" customFormat="true" ht="15.75" hidden="true" customHeight="true" outlineLevel="1" collapsed="false">
      <c r="A1003" s="1799" t="s">
        <v>3527</v>
      </c>
      <c r="B1003" s="1294" t="str">
        <f aca="false">B541</f>
        <v>м.п.</v>
      </c>
      <c r="C1003" s="1799" t="n">
        <f aca="false">C541</f>
        <v>0.4</v>
      </c>
      <c r="D1003" s="1799" t="n">
        <f aca="false">D541</f>
        <v>0.045</v>
      </c>
      <c r="E1003" s="1799" t="n">
        <f aca="false">IF('Ввод данных'!$A$459=связи1!$A$96,IF(дома!E1002&lt;связи1!$E$576,0,дома!E1002-$E$881),0)+IF(дома!E1002=0,0,IF('Ввод данных'!$A$459=связи1!$A$95,IF(дома!E1002&lt;0,0,дома!E1002-$E$881),0))+IF('Ввод данных'!$A$459=связи1!$A$98,IF(дома!E1002&lt;связи1!$E$576,0,дома!E1002-$E$881),0)</f>
        <v>2.9</v>
      </c>
      <c r="F1003" s="1799" t="n">
        <f aca="false">2*VLOOKUP('Ввод данных'!$C$79,связи1!$A$2:$B$3,2,0)</f>
        <v>0</v>
      </c>
      <c r="G1003" s="1344" t="n">
        <f aca="false">C1003*D1003*E1003*F1003</f>
        <v>0</v>
      </c>
      <c r="H1003" s="1344"/>
      <c r="I1003" s="1344"/>
      <c r="J1003" s="1344"/>
      <c r="K1003" s="1344"/>
      <c r="L1003" s="1344"/>
      <c r="M1003" s="1344"/>
      <c r="N1003" s="1344"/>
      <c r="O1003" s="1344"/>
      <c r="P1003" s="1707"/>
      <c r="Q1003" s="1707"/>
      <c r="R1003" s="1707"/>
      <c r="S1003" s="1344"/>
      <c r="T1003" s="1344"/>
      <c r="U1003" s="1753"/>
      <c r="V1003" s="1344"/>
      <c r="W1003" s="1344"/>
      <c r="X1003" s="1344"/>
      <c r="Y1003" s="1707"/>
      <c r="Z1003" s="1707"/>
      <c r="AA1003" s="1344"/>
      <c r="AB1003" s="1344"/>
      <c r="AC1003" s="1344"/>
      <c r="AD1003" s="1344"/>
    </row>
    <row r="1004" s="1709" customFormat="true" ht="15.75" hidden="true" customHeight="true" outlineLevel="1" collapsed="false">
      <c r="A1004" s="1799" t="s">
        <v>3528</v>
      </c>
      <c r="B1004" s="1294" t="str">
        <f aca="false">B542</f>
        <v>м.п.</v>
      </c>
      <c r="C1004" s="1799" t="n">
        <f aca="false">C542</f>
        <v>0.4</v>
      </c>
      <c r="D1004" s="1799" t="n">
        <f aca="false">D542</f>
        <v>0.045</v>
      </c>
      <c r="E1004" s="1799" t="n">
        <f aca="false">IF('Ввод данных'!$A$459=связи1!$A$96,IF(дома!E1003&lt;связи1!$E$576,0,дома!E1003-$E$881),0)+IF(дома!E1003=0,0,IF('Ввод данных'!$A$459=связи1!$A$95,IF(дома!E1003&lt;0,0,дома!E1003-$E$881),0))+IF('Ввод данных'!$A$459=связи1!$A$98,IF(дома!E1003&lt;связи1!$E$576,0,дома!E1003-$E$881),0)</f>
        <v>2.9</v>
      </c>
      <c r="F1004" s="1799" t="n">
        <f aca="false">2*VLOOKUP('Ввод данных'!$C$79,связи1!$A$2:$B$3,2,0)</f>
        <v>0</v>
      </c>
      <c r="G1004" s="1344" t="n">
        <f aca="false">C1004*D1004*E1004*F1004</f>
        <v>0</v>
      </c>
      <c r="H1004" s="1344"/>
      <c r="I1004" s="1344"/>
      <c r="J1004" s="1344"/>
      <c r="K1004" s="1344"/>
      <c r="L1004" s="1344"/>
      <c r="M1004" s="1344"/>
      <c r="N1004" s="1344"/>
      <c r="O1004" s="1344"/>
      <c r="P1004" s="1707"/>
      <c r="Q1004" s="1707"/>
      <c r="R1004" s="1707"/>
      <c r="S1004" s="1344"/>
      <c r="T1004" s="1344"/>
      <c r="U1004" s="1753"/>
      <c r="V1004" s="1344"/>
      <c r="W1004" s="1344"/>
      <c r="X1004" s="1344"/>
      <c r="Y1004" s="1707"/>
      <c r="Z1004" s="1707"/>
      <c r="AA1004" s="1344"/>
      <c r="AB1004" s="1344"/>
      <c r="AC1004" s="1344"/>
      <c r="AD1004" s="1344"/>
    </row>
    <row r="1005" s="1709" customFormat="true" ht="15.75" hidden="true" customHeight="true" outlineLevel="1" collapsed="false">
      <c r="A1005" s="1799" t="s">
        <v>3529</v>
      </c>
      <c r="B1005" s="1294" t="str">
        <f aca="false">B543</f>
        <v>м.п.</v>
      </c>
      <c r="C1005" s="1799" t="n">
        <f aca="false">C543</f>
        <v>0.4</v>
      </c>
      <c r="D1005" s="1799" t="n">
        <f aca="false">D543</f>
        <v>0.045</v>
      </c>
      <c r="E1005" s="1799" t="n">
        <f aca="false">IF('Ввод данных'!$A$459=связи1!$A$96,IF(дома!E1004&lt;связи1!$E$576,0,дома!E1004-$E$881),0)+IF(дома!E1004=0,0,IF('Ввод данных'!$A$459=связи1!$A$95,IF(дома!E1004&lt;0,0,дома!E1004-$E$881),0))+IF('Ввод данных'!$A$459=связи1!$A$98,IF(дома!E1004&lt;связи1!$E$576,0,дома!E1004-$E$881),0)</f>
        <v>2.9</v>
      </c>
      <c r="F1005" s="1799" t="n">
        <f aca="false">2*VLOOKUP('Ввод данных'!$C$79,связи1!$A$2:$B$3,2,0)</f>
        <v>0</v>
      </c>
      <c r="G1005" s="1344" t="n">
        <f aca="false">C1005*D1005*E1005*F1005</f>
        <v>0</v>
      </c>
      <c r="H1005" s="1344"/>
      <c r="I1005" s="1344"/>
      <c r="J1005" s="1344"/>
      <c r="K1005" s="1344"/>
      <c r="L1005" s="1344"/>
      <c r="M1005" s="1344"/>
      <c r="N1005" s="1344"/>
      <c r="O1005" s="1344"/>
      <c r="P1005" s="1707"/>
      <c r="Q1005" s="1707"/>
      <c r="R1005" s="1707"/>
      <c r="S1005" s="1344"/>
      <c r="T1005" s="1344"/>
      <c r="U1005" s="1753"/>
      <c r="V1005" s="1344"/>
      <c r="W1005" s="1344"/>
      <c r="X1005" s="1344"/>
      <c r="Y1005" s="1707"/>
      <c r="Z1005" s="1707"/>
      <c r="AA1005" s="1344"/>
      <c r="AB1005" s="1344"/>
      <c r="AC1005" s="1344"/>
      <c r="AD1005" s="1344"/>
    </row>
    <row r="1006" s="1709" customFormat="true" ht="15.75" hidden="true" customHeight="true" outlineLevel="1" collapsed="false">
      <c r="A1006" s="1799" t="s">
        <v>3530</v>
      </c>
      <c r="B1006" s="1294" t="str">
        <f aca="false">B544</f>
        <v>м.п.</v>
      </c>
      <c r="C1006" s="1799" t="n">
        <f aca="false">C544</f>
        <v>0.4</v>
      </c>
      <c r="D1006" s="1799" t="n">
        <f aca="false">D544</f>
        <v>0.045</v>
      </c>
      <c r="E1006" s="1799" t="n">
        <f aca="false">IF('Ввод данных'!$A$459=связи1!$A$96,IF(дома!E1005&lt;связи1!$E$576,0,дома!E1005-$E$881),0)+IF(дома!E1005=0,0,IF('Ввод данных'!$A$459=связи1!$A$95,IF(дома!E1005&lt;0,0,дома!E1005-$E$881),0))+IF('Ввод данных'!$A$459=связи1!$A$98,IF(дома!E1005&lt;связи1!$E$576,0,дома!E1005-$E$881),0)</f>
        <v>2.9</v>
      </c>
      <c r="F1006" s="1799" t="n">
        <f aca="false">2*VLOOKUP('Ввод данных'!$C$79,связи1!$A$2:$B$3,2,0)</f>
        <v>0</v>
      </c>
      <c r="G1006" s="1344" t="n">
        <f aca="false">C1006*D1006*E1006*F1006</f>
        <v>0</v>
      </c>
      <c r="H1006" s="1344"/>
      <c r="I1006" s="1344"/>
      <c r="J1006" s="1344"/>
      <c r="K1006" s="1344"/>
      <c r="L1006" s="1344"/>
      <c r="M1006" s="1344"/>
      <c r="N1006" s="1344"/>
      <c r="O1006" s="1344"/>
      <c r="P1006" s="1707"/>
      <c r="Q1006" s="1707"/>
      <c r="R1006" s="1707"/>
      <c r="S1006" s="1344"/>
      <c r="T1006" s="1344"/>
      <c r="U1006" s="1753"/>
      <c r="V1006" s="1344"/>
      <c r="W1006" s="1344"/>
      <c r="X1006" s="1344"/>
      <c r="Y1006" s="1707"/>
      <c r="Z1006" s="1707"/>
      <c r="AA1006" s="1344"/>
      <c r="AB1006" s="1344"/>
      <c r="AC1006" s="1344"/>
      <c r="AD1006" s="1344"/>
    </row>
    <row r="1007" s="1709" customFormat="true" ht="15.75" hidden="true" customHeight="true" outlineLevel="1" collapsed="false">
      <c r="A1007" s="1799" t="s">
        <v>3531</v>
      </c>
      <c r="B1007" s="1294" t="str">
        <f aca="false">B545</f>
        <v>м.п.</v>
      </c>
      <c r="C1007" s="1799" t="n">
        <f aca="false">C545</f>
        <v>0.4</v>
      </c>
      <c r="D1007" s="1799" t="n">
        <f aca="false">D545</f>
        <v>0.045</v>
      </c>
      <c r="E1007" s="1799" t="n">
        <f aca="false">IF('Ввод данных'!$A$459=связи1!$A$96,IF(дома!E1006&lt;связи1!$E$576,0,дома!E1006-$E$881),0)+IF(дома!E1006=0,0,IF('Ввод данных'!$A$459=связи1!$A$95,IF(дома!E1006&lt;0,0,дома!E1006-$E$881),0))+IF('Ввод данных'!$A$459=связи1!$A$98,IF(дома!E1006&lt;связи1!$E$576,0,дома!E1006-$E$881),0)</f>
        <v>2.9</v>
      </c>
      <c r="F1007" s="1799" t="n">
        <f aca="false">2*VLOOKUP('Ввод данных'!$C$79,связи1!$A$2:$B$3,2,0)</f>
        <v>0</v>
      </c>
      <c r="G1007" s="1344" t="n">
        <f aca="false">C1007*D1007*E1007*F1007</f>
        <v>0</v>
      </c>
      <c r="H1007" s="1344"/>
      <c r="I1007" s="1344"/>
      <c r="J1007" s="1344"/>
      <c r="K1007" s="1344"/>
      <c r="L1007" s="1344"/>
      <c r="M1007" s="1344"/>
      <c r="N1007" s="1344"/>
      <c r="O1007" s="1344"/>
      <c r="P1007" s="1707"/>
      <c r="Q1007" s="1707"/>
      <c r="R1007" s="1707"/>
      <c r="S1007" s="1344"/>
      <c r="T1007" s="1344"/>
      <c r="U1007" s="1753"/>
      <c r="V1007" s="1344"/>
      <c r="W1007" s="1344"/>
      <c r="X1007" s="1344"/>
      <c r="Y1007" s="1707"/>
      <c r="Z1007" s="1707"/>
      <c r="AA1007" s="1344"/>
      <c r="AB1007" s="1344"/>
      <c r="AC1007" s="1344"/>
      <c r="AD1007" s="1344"/>
    </row>
    <row r="1008" s="1709" customFormat="true" ht="15.75" hidden="true" customHeight="true" outlineLevel="1" collapsed="false">
      <c r="A1008" s="1799" t="s">
        <v>3532</v>
      </c>
      <c r="B1008" s="1294" t="str">
        <f aca="false">B546</f>
        <v>м.п.</v>
      </c>
      <c r="C1008" s="1799" t="n">
        <f aca="false">C546</f>
        <v>0.4</v>
      </c>
      <c r="D1008" s="1799" t="n">
        <f aca="false">D546</f>
        <v>0.045</v>
      </c>
      <c r="E1008" s="1799" t="n">
        <f aca="false">IF('Ввод данных'!$A$459=связи1!$A$96,IF(дома!E1007&lt;связи1!$E$576,0,дома!E1007-$E$881),0)+IF(дома!E1007=0,0,IF('Ввод данных'!$A$459=связи1!$A$95,IF(дома!E1007&lt;0,0,дома!E1007-$E$881),0))+IF('Ввод данных'!$A$459=связи1!$A$98,IF(дома!E1007&lt;связи1!$E$576,0,дома!E1007-$E$881),0)</f>
        <v>2.9</v>
      </c>
      <c r="F1008" s="1799" t="n">
        <f aca="false">2*VLOOKUP('Ввод данных'!$C$79,связи1!$A$2:$B$3,2,0)</f>
        <v>0</v>
      </c>
      <c r="G1008" s="1344" t="n">
        <f aca="false">C1008*D1008*E1008*F1008</f>
        <v>0</v>
      </c>
      <c r="H1008" s="1344"/>
      <c r="I1008" s="1344"/>
      <c r="J1008" s="1344"/>
      <c r="K1008" s="1344"/>
      <c r="L1008" s="1344"/>
      <c r="M1008" s="1344"/>
      <c r="N1008" s="1344"/>
      <c r="O1008" s="1344"/>
      <c r="P1008" s="1707"/>
      <c r="Q1008" s="1707"/>
      <c r="R1008" s="1707"/>
      <c r="S1008" s="1344"/>
      <c r="T1008" s="1344"/>
      <c r="U1008" s="1753"/>
      <c r="V1008" s="1344"/>
      <c r="W1008" s="1344"/>
      <c r="X1008" s="1344"/>
      <c r="Y1008" s="1707"/>
      <c r="Z1008" s="1707"/>
      <c r="AA1008" s="1344"/>
      <c r="AB1008" s="1344"/>
      <c r="AC1008" s="1344"/>
      <c r="AD1008" s="1344"/>
    </row>
    <row r="1009" s="1709" customFormat="true" ht="15.75" hidden="true" customHeight="true" outlineLevel="1" collapsed="false">
      <c r="A1009" s="1799" t="s">
        <v>3533</v>
      </c>
      <c r="B1009" s="1294" t="str">
        <f aca="false">B547</f>
        <v>м.п.</v>
      </c>
      <c r="C1009" s="1799" t="n">
        <f aca="false">C547</f>
        <v>0.4</v>
      </c>
      <c r="D1009" s="1799" t="n">
        <f aca="false">D547</f>
        <v>0.045</v>
      </c>
      <c r="E1009" s="1799" t="n">
        <f aca="false">IF('Ввод данных'!$A$459=связи1!$A$96,IF(дома!E1008&lt;связи1!$E$576,0,дома!E1008-$E$881),0)+IF(дома!E1008=0,0,IF('Ввод данных'!$A$459=связи1!$A$95,IF(дома!E1008&lt;0,0,дома!E1008-$E$881),0))+IF('Ввод данных'!$A$459=связи1!$A$98,IF(дома!E1008&lt;связи1!$E$576,0,дома!E1008-$E$881),0)</f>
        <v>2.9</v>
      </c>
      <c r="F1009" s="1799" t="n">
        <f aca="false">2*VLOOKUP('Ввод данных'!$C$79,связи1!$A$2:$B$3,2,0)</f>
        <v>0</v>
      </c>
      <c r="G1009" s="1344" t="n">
        <f aca="false">C1009*D1009*E1009*F1009</f>
        <v>0</v>
      </c>
      <c r="H1009" s="1344"/>
      <c r="I1009" s="1344"/>
      <c r="J1009" s="1344"/>
      <c r="K1009" s="1344"/>
      <c r="L1009" s="1344"/>
      <c r="M1009" s="1344"/>
      <c r="N1009" s="1344"/>
      <c r="O1009" s="1344"/>
      <c r="P1009" s="1707"/>
      <c r="Q1009" s="1707"/>
      <c r="R1009" s="1707"/>
      <c r="S1009" s="1344"/>
      <c r="T1009" s="1344"/>
      <c r="U1009" s="1753"/>
      <c r="V1009" s="1344"/>
      <c r="W1009" s="1344"/>
      <c r="X1009" s="1344"/>
      <c r="Y1009" s="1707"/>
      <c r="Z1009" s="1707"/>
      <c r="AA1009" s="1344"/>
      <c r="AB1009" s="1344"/>
      <c r="AC1009" s="1344"/>
      <c r="AD1009" s="1344"/>
    </row>
    <row r="1010" s="1709" customFormat="true" ht="15.75" hidden="true" customHeight="true" outlineLevel="1" collapsed="false">
      <c r="A1010" s="1799" t="n">
        <f aca="false">A548</f>
        <v>0</v>
      </c>
      <c r="B1010" s="1294" t="n">
        <f aca="false">B548</f>
        <v>0</v>
      </c>
      <c r="C1010" s="1799" t="n">
        <f aca="false">C548</f>
        <v>0</v>
      </c>
      <c r="D1010" s="1799" t="n">
        <f aca="false">D548</f>
        <v>0</v>
      </c>
      <c r="E1010" s="1799"/>
      <c r="F1010" s="1799"/>
      <c r="G1010" s="1344" t="n">
        <f aca="false">C1010*D1010*E1010*F1010</f>
        <v>0</v>
      </c>
      <c r="H1010" s="1344"/>
      <c r="I1010" s="1344"/>
      <c r="J1010" s="1344"/>
      <c r="K1010" s="1344"/>
      <c r="L1010" s="1344"/>
      <c r="M1010" s="1344"/>
      <c r="N1010" s="1344"/>
      <c r="O1010" s="1344"/>
      <c r="P1010" s="1707"/>
      <c r="Q1010" s="1707"/>
      <c r="R1010" s="1707"/>
      <c r="S1010" s="1344"/>
      <c r="T1010" s="1344"/>
      <c r="U1010" s="1753"/>
      <c r="V1010" s="1344"/>
      <c r="W1010" s="1344"/>
      <c r="X1010" s="1344"/>
      <c r="Y1010" s="1707"/>
      <c r="Z1010" s="1707"/>
      <c r="AA1010" s="1344"/>
      <c r="AB1010" s="1344"/>
      <c r="AC1010" s="1344"/>
      <c r="AD1010" s="1344"/>
    </row>
    <row r="1011" s="1709" customFormat="true" ht="15.75" hidden="true" customHeight="true" outlineLevel="1" collapsed="false">
      <c r="A1011" s="1804" t="s">
        <v>3536</v>
      </c>
      <c r="B1011" s="1806" t="str">
        <f aca="false">B549</f>
        <v>ед.изм</v>
      </c>
      <c r="C1011" s="1804" t="str">
        <f aca="false">C549</f>
        <v>ширина</v>
      </c>
      <c r="D1011" s="1804" t="str">
        <f aca="false">D549</f>
        <v>толщина</v>
      </c>
      <c r="E1011" s="1804" t="str">
        <f aca="false">E549</f>
        <v>высота</v>
      </c>
      <c r="F1011" s="1804" t="str">
        <f aca="false">F549</f>
        <v>кол-во</v>
      </c>
      <c r="G1011" s="1344"/>
      <c r="H1011" s="1344"/>
      <c r="I1011" s="1344"/>
      <c r="J1011" s="1344"/>
      <c r="K1011" s="1344"/>
      <c r="L1011" s="1344"/>
      <c r="M1011" s="1344"/>
      <c r="N1011" s="1344"/>
      <c r="O1011" s="1344"/>
      <c r="P1011" s="1707"/>
      <c r="Q1011" s="1707"/>
      <c r="R1011" s="1707"/>
      <c r="S1011" s="1344"/>
      <c r="T1011" s="1344"/>
      <c r="U1011" s="1753"/>
      <c r="V1011" s="1344"/>
      <c r="W1011" s="1344"/>
      <c r="X1011" s="1344"/>
      <c r="Y1011" s="1707"/>
      <c r="Z1011" s="1707"/>
      <c r="AA1011" s="1344"/>
      <c r="AB1011" s="1344"/>
      <c r="AC1011" s="1344"/>
      <c r="AD1011" s="1344"/>
    </row>
    <row r="1012" s="1709" customFormat="true" ht="15.75" hidden="true" customHeight="true" outlineLevel="1" collapsed="false">
      <c r="A1012" s="1799" t="s">
        <v>3496</v>
      </c>
      <c r="B1012" s="1294" t="str">
        <f aca="false">B550</f>
        <v>м.п.</v>
      </c>
      <c r="C1012" s="1799" t="n">
        <f aca="false">C550</f>
        <v>0.4</v>
      </c>
      <c r="D1012" s="1799" t="n">
        <f aca="false">D550</f>
        <v>0.045</v>
      </c>
      <c r="E1012" s="1799" t="n">
        <f aca="false">E872</f>
        <v>0</v>
      </c>
      <c r="F1012" s="1799" t="n">
        <f aca="false">L872*VLOOKUP('Ввод данных'!$C$79,связи1!$A$2:$B$3,2,0)</f>
        <v>0</v>
      </c>
      <c r="G1012" s="1344" t="n">
        <f aca="false">C1012*D1012*E1012*F1012</f>
        <v>0</v>
      </c>
      <c r="H1012" s="1344"/>
      <c r="I1012" s="1344"/>
      <c r="J1012" s="1344"/>
      <c r="K1012" s="1344"/>
      <c r="L1012" s="1344"/>
      <c r="M1012" s="1344"/>
      <c r="N1012" s="1344"/>
      <c r="O1012" s="1344"/>
      <c r="P1012" s="1707"/>
      <c r="Q1012" s="1707"/>
      <c r="R1012" s="1707"/>
      <c r="S1012" s="1344"/>
      <c r="T1012" s="1344"/>
      <c r="U1012" s="1753"/>
      <c r="V1012" s="1344"/>
      <c r="W1012" s="1344"/>
      <c r="X1012" s="1344"/>
      <c r="Y1012" s="1707"/>
      <c r="Z1012" s="1707"/>
      <c r="AA1012" s="1344"/>
      <c r="AB1012" s="1344"/>
      <c r="AC1012" s="1344"/>
      <c r="AD1012" s="1344"/>
    </row>
    <row r="1013" s="1709" customFormat="true" ht="15.75" hidden="true" customHeight="true" outlineLevel="1" collapsed="false">
      <c r="A1013" s="1799" t="s">
        <v>3497</v>
      </c>
      <c r="B1013" s="1294" t="str">
        <f aca="false">B551</f>
        <v>м.п.</v>
      </c>
      <c r="C1013" s="1799" t="n">
        <f aca="false">C551</f>
        <v>0.4</v>
      </c>
      <c r="D1013" s="1799" t="n">
        <f aca="false">D551</f>
        <v>0.045</v>
      </c>
      <c r="E1013" s="1799" t="n">
        <f aca="false">E873</f>
        <v>0</v>
      </c>
      <c r="F1013" s="1799" t="n">
        <f aca="false">L873*VLOOKUP('Ввод данных'!$C$79,связи1!$A$2:$B$3,2,0)</f>
        <v>0</v>
      </c>
      <c r="G1013" s="1344" t="n">
        <f aca="false">C1013*D1013*E1013*F1013</f>
        <v>0</v>
      </c>
      <c r="H1013" s="1344"/>
      <c r="I1013" s="1344"/>
      <c r="J1013" s="1344"/>
      <c r="K1013" s="1344"/>
      <c r="L1013" s="1344"/>
      <c r="M1013" s="1344"/>
      <c r="N1013" s="1344"/>
      <c r="O1013" s="1344"/>
      <c r="P1013" s="1707"/>
      <c r="Q1013" s="1707"/>
      <c r="R1013" s="1707"/>
      <c r="S1013" s="1344"/>
      <c r="T1013" s="1344"/>
      <c r="U1013" s="1753"/>
      <c r="V1013" s="1344"/>
      <c r="W1013" s="1344"/>
      <c r="X1013" s="1344"/>
      <c r="Y1013" s="1707"/>
      <c r="Z1013" s="1707"/>
      <c r="AA1013" s="1344"/>
      <c r="AB1013" s="1344"/>
      <c r="AC1013" s="1344"/>
      <c r="AD1013" s="1344"/>
    </row>
    <row r="1014" s="1709" customFormat="true" ht="15.75" hidden="true" customHeight="true" outlineLevel="1" collapsed="false">
      <c r="A1014" s="1799" t="s">
        <v>3498</v>
      </c>
      <c r="B1014" s="1294" t="str">
        <f aca="false">B552</f>
        <v>м.п.</v>
      </c>
      <c r="C1014" s="1799" t="n">
        <f aca="false">C552</f>
        <v>0.4</v>
      </c>
      <c r="D1014" s="1799" t="n">
        <f aca="false">D552</f>
        <v>0.045</v>
      </c>
      <c r="E1014" s="1799" t="n">
        <f aca="false">E874</f>
        <v>0</v>
      </c>
      <c r="F1014" s="1799" t="n">
        <f aca="false">L874*VLOOKUP('Ввод данных'!$C$79,связи1!$A$2:$B$3,2,0)</f>
        <v>0</v>
      </c>
      <c r="G1014" s="1344" t="n">
        <f aca="false">C1014*D1014*E1014*F1014</f>
        <v>0</v>
      </c>
      <c r="H1014" s="1344"/>
      <c r="I1014" s="1344"/>
      <c r="J1014" s="1344"/>
      <c r="K1014" s="1344"/>
      <c r="L1014" s="1344"/>
      <c r="M1014" s="1344"/>
      <c r="N1014" s="1344"/>
      <c r="O1014" s="1344"/>
      <c r="P1014" s="1707"/>
      <c r="Q1014" s="1707"/>
      <c r="R1014" s="1707"/>
      <c r="S1014" s="1344"/>
      <c r="T1014" s="1344"/>
      <c r="U1014" s="1753"/>
      <c r="V1014" s="1344"/>
      <c r="W1014" s="1344"/>
      <c r="X1014" s="1344"/>
      <c r="Y1014" s="1707"/>
      <c r="Z1014" s="1707"/>
      <c r="AA1014" s="1344"/>
      <c r="AB1014" s="1344"/>
      <c r="AC1014" s="1344"/>
      <c r="AD1014" s="1344"/>
    </row>
    <row r="1015" s="1709" customFormat="true" ht="15.75" hidden="true" customHeight="true" outlineLevel="1" collapsed="false">
      <c r="A1015" s="1799" t="s">
        <v>3414</v>
      </c>
      <c r="B1015" s="1294" t="str">
        <f aca="false">B553</f>
        <v>м.п.</v>
      </c>
      <c r="C1015" s="1799" t="n">
        <f aca="false">C553</f>
        <v>0.4</v>
      </c>
      <c r="D1015" s="1799" t="n">
        <f aca="false">D553</f>
        <v>0.045</v>
      </c>
      <c r="E1015" s="1799" t="n">
        <f aca="false">1</f>
        <v>1</v>
      </c>
      <c r="F1015" s="1799" t="n">
        <f aca="false">P875*VLOOKUP('Ввод данных'!$C$79,связи1!$A$2:$B$3,2,0)+Q875*VLOOKUP('Ввод данных'!$C$79,связи1!$A$2:$B$3,2,0)</f>
        <v>0</v>
      </c>
      <c r="G1015" s="1344" t="n">
        <f aca="false">C1015*D1015*E1015*F1015</f>
        <v>0</v>
      </c>
      <c r="H1015" s="1344"/>
      <c r="I1015" s="1344"/>
      <c r="J1015" s="1344"/>
      <c r="K1015" s="1344"/>
      <c r="L1015" s="1344"/>
      <c r="M1015" s="1344"/>
      <c r="N1015" s="1344"/>
      <c r="O1015" s="1344"/>
      <c r="P1015" s="1707"/>
      <c r="Q1015" s="1707"/>
      <c r="R1015" s="1707"/>
      <c r="S1015" s="1344"/>
      <c r="T1015" s="1344"/>
      <c r="U1015" s="1753"/>
      <c r="V1015" s="1344"/>
      <c r="W1015" s="1344"/>
      <c r="X1015" s="1344"/>
      <c r="Y1015" s="1707"/>
      <c r="Z1015" s="1707"/>
      <c r="AA1015" s="1344"/>
      <c r="AB1015" s="1344"/>
      <c r="AC1015" s="1344"/>
      <c r="AD1015" s="1344"/>
    </row>
    <row r="1016" s="1709" customFormat="true" ht="15.75" hidden="true" customHeight="true" outlineLevel="1" collapsed="false">
      <c r="A1016" s="1799" t="s">
        <v>3415</v>
      </c>
      <c r="B1016" s="1294" t="str">
        <f aca="false">B554</f>
        <v>м.п.</v>
      </c>
      <c r="C1016" s="1799" t="n">
        <f aca="false">C554</f>
        <v>0.4</v>
      </c>
      <c r="D1016" s="1799" t="n">
        <f aca="false">D554</f>
        <v>0.045</v>
      </c>
      <c r="E1016" s="1799" t="n">
        <f aca="false">1</f>
        <v>1</v>
      </c>
      <c r="F1016" s="1799" t="n">
        <f aca="false">R875*VLOOKUP('Ввод данных'!$C$79,связи1!$A$2:$B$3,2,0)</f>
        <v>0</v>
      </c>
      <c r="G1016" s="1344" t="n">
        <f aca="false">C1016*D1016*E1016*F1016</f>
        <v>0</v>
      </c>
      <c r="H1016" s="1344"/>
      <c r="I1016" s="1344"/>
      <c r="J1016" s="1344"/>
      <c r="K1016" s="1344"/>
      <c r="L1016" s="1344"/>
      <c r="M1016" s="1344"/>
      <c r="N1016" s="1344"/>
      <c r="O1016" s="1344"/>
      <c r="P1016" s="1707"/>
      <c r="Q1016" s="1707"/>
      <c r="R1016" s="1707"/>
      <c r="S1016" s="1344"/>
      <c r="T1016" s="1344"/>
      <c r="U1016" s="1753"/>
      <c r="V1016" s="1344"/>
      <c r="W1016" s="1344"/>
      <c r="X1016" s="1344"/>
      <c r="Y1016" s="1707"/>
      <c r="Z1016" s="1707"/>
      <c r="AA1016" s="1344"/>
      <c r="AB1016" s="1344"/>
      <c r="AC1016" s="1344"/>
      <c r="AD1016" s="1344"/>
    </row>
    <row r="1017" s="1709" customFormat="true" ht="15.75" hidden="true" customHeight="true" outlineLevel="1" collapsed="false">
      <c r="A1017" s="1799" t="s">
        <v>3499</v>
      </c>
      <c r="B1017" s="1294" t="str">
        <f aca="false">B555</f>
        <v>м.п.</v>
      </c>
      <c r="C1017" s="1799" t="n">
        <f aca="false">C555</f>
        <v>0.4</v>
      </c>
      <c r="D1017" s="1799" t="n">
        <f aca="false">D555</f>
        <v>0.045</v>
      </c>
      <c r="E1017" s="1799" t="n">
        <v>1.5</v>
      </c>
      <c r="F1017" s="1799" t="n">
        <f aca="false">8*VLOOKUP('Ввод данных'!$C$79,связи1!$A$2:$B$3,2,0)</f>
        <v>0</v>
      </c>
      <c r="G1017" s="1344" t="n">
        <f aca="false">C1017*D1017*E1017*F1017</f>
        <v>0</v>
      </c>
      <c r="H1017" s="1344"/>
      <c r="I1017" s="1344"/>
      <c r="J1017" s="1344"/>
      <c r="K1017" s="1344"/>
      <c r="L1017" s="1344"/>
      <c r="M1017" s="1344"/>
      <c r="N1017" s="1344"/>
      <c r="O1017" s="1344"/>
      <c r="P1017" s="1707"/>
      <c r="Q1017" s="1707"/>
      <c r="R1017" s="1707"/>
      <c r="S1017" s="1344"/>
      <c r="T1017" s="1344"/>
      <c r="U1017" s="1753"/>
      <c r="V1017" s="1344"/>
      <c r="W1017" s="1344"/>
      <c r="X1017" s="1344"/>
      <c r="Y1017" s="1707"/>
      <c r="Z1017" s="1707"/>
      <c r="AA1017" s="1344"/>
      <c r="AB1017" s="1344"/>
      <c r="AC1017" s="1344"/>
      <c r="AD1017" s="1344"/>
    </row>
    <row r="1018" s="1709" customFormat="true" ht="15.75" hidden="true" customHeight="true" outlineLevel="1" collapsed="false">
      <c r="A1018" s="1799" t="s">
        <v>3500</v>
      </c>
      <c r="B1018" s="1294" t="str">
        <f aca="false">B556</f>
        <v>м.п.</v>
      </c>
      <c r="C1018" s="1799" t="n">
        <f aca="false">C556</f>
        <v>0.4</v>
      </c>
      <c r="D1018" s="1799" t="n">
        <f aca="false">D556</f>
        <v>0.045</v>
      </c>
      <c r="E1018" s="1799" t="n">
        <f aca="false">IF('Ввод данных'!A462=связи1!A106,IF('Ввод данных'!A463=связи1!A94,0,0)+IF('Ввод данных'!A463=связи1!A95,связи1!F575-связи1!F574,0)+IF('Ввод данных'!A463=связи1!A96,связи1!F575,0)+IF('Ввод данных'!A463=связи1!A97,0,0)+IF('Ввод данных'!A463=связи1!A98,связи1!F575,0),0)</f>
        <v>0</v>
      </c>
      <c r="F1018" s="1799" t="n">
        <f aca="false">2*VLOOKUP('Ввод данных'!$C$79,связи1!$A$2:$B$3,2,0)</f>
        <v>0</v>
      </c>
      <c r="G1018" s="1344" t="n">
        <f aca="false">C1018*D1018*E1018*F1018</f>
        <v>0</v>
      </c>
      <c r="H1018" s="1344"/>
      <c r="I1018" s="1344"/>
      <c r="J1018" s="1344"/>
      <c r="K1018" s="1344"/>
      <c r="L1018" s="1344"/>
      <c r="M1018" s="1344"/>
      <c r="N1018" s="1344"/>
      <c r="O1018" s="1344"/>
      <c r="P1018" s="1707"/>
      <c r="Q1018" s="1707"/>
      <c r="R1018" s="1707"/>
      <c r="S1018" s="1344"/>
      <c r="T1018" s="1344"/>
      <c r="U1018" s="1753"/>
      <c r="V1018" s="1344"/>
      <c r="W1018" s="1344"/>
      <c r="X1018" s="1344"/>
      <c r="Y1018" s="1707"/>
      <c r="Z1018" s="1707"/>
      <c r="AA1018" s="1344"/>
      <c r="AB1018" s="1344"/>
      <c r="AC1018" s="1344"/>
      <c r="AD1018" s="1344"/>
    </row>
    <row r="1019" s="1709" customFormat="true" ht="15.75" hidden="true" customHeight="true" outlineLevel="1" collapsed="false">
      <c r="A1019" s="1799" t="s">
        <v>3501</v>
      </c>
      <c r="B1019" s="1294" t="str">
        <f aca="false">B557</f>
        <v>м.п.</v>
      </c>
      <c r="C1019" s="1799" t="n">
        <f aca="false">C557</f>
        <v>0.4</v>
      </c>
      <c r="D1019" s="1799" t="n">
        <f aca="false">D557</f>
        <v>0.045</v>
      </c>
      <c r="E1019" s="1799" t="n">
        <f aca="false">IF('Ввод данных'!$A$463=связи1!$A$96,IF(дома!E1018&lt;связи1!$F$576,0,дома!E1018-$F$881),0)+IF(дома!E1018=0,0,IF('Ввод данных'!$A$463=связи1!$A$95,IF(дома!E1018&lt;0,0,дома!E1018-$F$881),0))+IF('Ввод данных'!$A$463=связи1!$A$98,IF(дома!E1018&lt;связи1!$F$576,0,дома!E1018-$F$881),0)</f>
        <v>0</v>
      </c>
      <c r="F1019" s="1799" t="n">
        <f aca="false">2*VLOOKUP('Ввод данных'!$C$79,связи1!$A$2:$B$3,2,0)</f>
        <v>0</v>
      </c>
      <c r="G1019" s="1344" t="n">
        <f aca="false">C1019*D1019*E1019*F1019</f>
        <v>0</v>
      </c>
      <c r="H1019" s="1344"/>
      <c r="I1019" s="1344"/>
      <c r="J1019" s="1344"/>
      <c r="K1019" s="1344"/>
      <c r="L1019" s="1344"/>
      <c r="M1019" s="1344"/>
      <c r="N1019" s="1344"/>
      <c r="O1019" s="1344"/>
      <c r="P1019" s="1707"/>
      <c r="Q1019" s="1707"/>
      <c r="R1019" s="1707"/>
      <c r="S1019" s="1344"/>
      <c r="T1019" s="1344"/>
      <c r="U1019" s="1753"/>
      <c r="V1019" s="1344"/>
      <c r="W1019" s="1344"/>
      <c r="X1019" s="1344"/>
      <c r="Y1019" s="1707"/>
      <c r="Z1019" s="1707"/>
      <c r="AA1019" s="1344"/>
      <c r="AB1019" s="1344"/>
      <c r="AC1019" s="1344"/>
      <c r="AD1019" s="1344"/>
    </row>
    <row r="1020" s="1709" customFormat="true" ht="15.75" hidden="true" customHeight="true" outlineLevel="1" collapsed="false">
      <c r="A1020" s="1799" t="s">
        <v>3502</v>
      </c>
      <c r="B1020" s="1294" t="str">
        <f aca="false">B558</f>
        <v>м.п.</v>
      </c>
      <c r="C1020" s="1799" t="n">
        <f aca="false">C558</f>
        <v>0.4</v>
      </c>
      <c r="D1020" s="1799" t="n">
        <f aca="false">D558</f>
        <v>0.045</v>
      </c>
      <c r="E1020" s="1799" t="n">
        <f aca="false">IF('Ввод данных'!$A$463=связи1!$A$96,IF(дома!E1019&lt;связи1!$F$576,0,дома!E1019-$F$881),0)+IF(дома!E1019=0,0,IF('Ввод данных'!$A$463=связи1!$A$95,IF(дома!E1019&lt;0,0,дома!E1019-$F$881),0))+IF('Ввод данных'!$A$463=связи1!$A$98,IF(дома!E1019&lt;связи1!$F$576,0,дома!E1019-$F$881),0)</f>
        <v>0</v>
      </c>
      <c r="F1020" s="1799" t="n">
        <f aca="false">2*VLOOKUP('Ввод данных'!$C$79,связи1!$A$2:$B$3,2,0)</f>
        <v>0</v>
      </c>
      <c r="G1020" s="1344" t="n">
        <f aca="false">C1020*D1020*E1020*F1020</f>
        <v>0</v>
      </c>
      <c r="H1020" s="1344"/>
      <c r="I1020" s="1344"/>
      <c r="J1020" s="1344"/>
      <c r="K1020" s="1344"/>
      <c r="L1020" s="1344"/>
      <c r="M1020" s="1344"/>
      <c r="N1020" s="1344"/>
      <c r="O1020" s="1344"/>
      <c r="P1020" s="1707"/>
      <c r="Q1020" s="1707"/>
      <c r="R1020" s="1707"/>
      <c r="S1020" s="1344"/>
      <c r="T1020" s="1344"/>
      <c r="U1020" s="1753"/>
      <c r="V1020" s="1344"/>
      <c r="W1020" s="1344"/>
      <c r="X1020" s="1344"/>
      <c r="Y1020" s="1707"/>
      <c r="Z1020" s="1707"/>
      <c r="AA1020" s="1344"/>
      <c r="AB1020" s="1344"/>
      <c r="AC1020" s="1344"/>
      <c r="AD1020" s="1344"/>
    </row>
    <row r="1021" s="1709" customFormat="true" ht="15.75" hidden="true" customHeight="true" outlineLevel="1" collapsed="false">
      <c r="A1021" s="1799" t="s">
        <v>3503</v>
      </c>
      <c r="B1021" s="1294" t="str">
        <f aca="false">B559</f>
        <v>м.п.</v>
      </c>
      <c r="C1021" s="1799" t="n">
        <f aca="false">C559</f>
        <v>0.4</v>
      </c>
      <c r="D1021" s="1799" t="n">
        <f aca="false">D559</f>
        <v>0.045</v>
      </c>
      <c r="E1021" s="1799" t="n">
        <f aca="false">IF('Ввод данных'!$A$463=связи1!$A$96,IF(дома!E1020&lt;связи1!$F$576,0,дома!E1020-$F$881),0)+IF(дома!E1020=0,0,IF('Ввод данных'!$A$463=связи1!$A$95,IF(дома!E1020&lt;0,0,дома!E1020-$F$881),0))+IF('Ввод данных'!$A$463=связи1!$A$98,IF(дома!E1020&lt;связи1!$F$576,0,дома!E1020-$F$881),0)</f>
        <v>0</v>
      </c>
      <c r="F1021" s="1799" t="n">
        <f aca="false">2*VLOOKUP('Ввод данных'!$C$79,связи1!$A$2:$B$3,2,0)</f>
        <v>0</v>
      </c>
      <c r="G1021" s="1344" t="n">
        <f aca="false">C1021*D1021*E1021*F1021</f>
        <v>0</v>
      </c>
      <c r="H1021" s="1344"/>
      <c r="I1021" s="1344"/>
      <c r="J1021" s="1344"/>
      <c r="K1021" s="1344"/>
      <c r="L1021" s="1344"/>
      <c r="M1021" s="1344"/>
      <c r="N1021" s="1344"/>
      <c r="O1021" s="1344"/>
      <c r="P1021" s="1707"/>
      <c r="Q1021" s="1707"/>
      <c r="R1021" s="1707"/>
      <c r="S1021" s="1344"/>
      <c r="T1021" s="1344"/>
      <c r="U1021" s="1753"/>
      <c r="V1021" s="1344"/>
      <c r="W1021" s="1344"/>
      <c r="X1021" s="1344"/>
      <c r="Y1021" s="1707"/>
      <c r="Z1021" s="1707"/>
      <c r="AA1021" s="1344"/>
      <c r="AB1021" s="1344"/>
      <c r="AC1021" s="1344"/>
      <c r="AD1021" s="1344"/>
    </row>
    <row r="1022" s="1709" customFormat="true" ht="15.75" hidden="true" customHeight="true" outlineLevel="1" collapsed="false">
      <c r="A1022" s="1799" t="s">
        <v>3504</v>
      </c>
      <c r="B1022" s="1294" t="str">
        <f aca="false">B560</f>
        <v>м.п.</v>
      </c>
      <c r="C1022" s="1799" t="n">
        <f aca="false">C560</f>
        <v>0.4</v>
      </c>
      <c r="D1022" s="1799" t="n">
        <f aca="false">D560</f>
        <v>0.045</v>
      </c>
      <c r="E1022" s="1799" t="n">
        <f aca="false">IF('Ввод данных'!$A$463=связи1!$A$96,IF(дома!E1021&lt;связи1!$F$576,0,дома!E1021-$F$881),0)+IF(дома!E1021=0,0,IF('Ввод данных'!$A$463=связи1!$A$95,IF(дома!E1021&lt;0,0,дома!E1021-$F$881),0))+IF('Ввод данных'!$A$463=связи1!$A$98,IF(дома!E1021&lt;связи1!$F$576,0,дома!E1021-$F$881),0)</f>
        <v>0</v>
      </c>
      <c r="F1022" s="1799" t="n">
        <f aca="false">2*VLOOKUP('Ввод данных'!$C$79,связи1!$A$2:$B$3,2,0)</f>
        <v>0</v>
      </c>
      <c r="G1022" s="1344" t="n">
        <f aca="false">C1022*D1022*E1022*F1022</f>
        <v>0</v>
      </c>
      <c r="H1022" s="1344"/>
      <c r="I1022" s="1344"/>
      <c r="J1022" s="1344"/>
      <c r="K1022" s="1344"/>
      <c r="L1022" s="1344"/>
      <c r="M1022" s="1344"/>
      <c r="N1022" s="1344"/>
      <c r="O1022" s="1344"/>
      <c r="P1022" s="1707"/>
      <c r="Q1022" s="1707"/>
      <c r="R1022" s="1707"/>
      <c r="S1022" s="1344"/>
      <c r="T1022" s="1344"/>
      <c r="U1022" s="1753"/>
      <c r="V1022" s="1344"/>
      <c r="W1022" s="1344"/>
      <c r="X1022" s="1344"/>
      <c r="Y1022" s="1707"/>
      <c r="Z1022" s="1707"/>
      <c r="AA1022" s="1344"/>
      <c r="AB1022" s="1344"/>
      <c r="AC1022" s="1344"/>
      <c r="AD1022" s="1344"/>
    </row>
    <row r="1023" s="1709" customFormat="true" ht="15.75" hidden="true" customHeight="true" outlineLevel="1" collapsed="false">
      <c r="A1023" s="1799" t="s">
        <v>3505</v>
      </c>
      <c r="B1023" s="1294" t="str">
        <f aca="false">B561</f>
        <v>м.п.</v>
      </c>
      <c r="C1023" s="1799" t="n">
        <f aca="false">C561</f>
        <v>0.4</v>
      </c>
      <c r="D1023" s="1799" t="n">
        <f aca="false">D561</f>
        <v>0.045</v>
      </c>
      <c r="E1023" s="1799" t="n">
        <f aca="false">IF('Ввод данных'!$A$463=связи1!$A$96,IF(дома!E1022&lt;связи1!$F$576,0,дома!E1022-$F$881),0)+IF(дома!E1022=0,0,IF('Ввод данных'!$A$463=связи1!$A$95,IF(дома!E1022&lt;0,0,дома!E1022-$F$881),0))+IF('Ввод данных'!$A$463=связи1!$A$98,IF(дома!E1022&lt;связи1!$F$576,0,дома!E1022-$F$881),0)</f>
        <v>0</v>
      </c>
      <c r="F1023" s="1799" t="n">
        <f aca="false">2*VLOOKUP('Ввод данных'!$C$79,связи1!$A$2:$B$3,2,0)</f>
        <v>0</v>
      </c>
      <c r="G1023" s="1344" t="n">
        <f aca="false">C1023*D1023*E1023*F1023</f>
        <v>0</v>
      </c>
      <c r="H1023" s="1344"/>
      <c r="I1023" s="1344"/>
      <c r="J1023" s="1344"/>
      <c r="K1023" s="1344"/>
      <c r="L1023" s="1344"/>
      <c r="M1023" s="1344"/>
      <c r="N1023" s="1344"/>
      <c r="O1023" s="1344"/>
      <c r="P1023" s="1707"/>
      <c r="Q1023" s="1707"/>
      <c r="R1023" s="1707"/>
      <c r="S1023" s="1344"/>
      <c r="T1023" s="1344"/>
      <c r="U1023" s="1753"/>
      <c r="V1023" s="1344"/>
      <c r="W1023" s="1344"/>
      <c r="X1023" s="1344"/>
      <c r="Y1023" s="1707"/>
      <c r="Z1023" s="1707"/>
      <c r="AA1023" s="1344"/>
      <c r="AB1023" s="1344"/>
      <c r="AC1023" s="1344"/>
      <c r="AD1023" s="1344"/>
    </row>
    <row r="1024" s="1709" customFormat="true" ht="15.75" hidden="true" customHeight="true" outlineLevel="1" collapsed="false">
      <c r="A1024" s="1799" t="s">
        <v>3506</v>
      </c>
      <c r="B1024" s="1294" t="str">
        <f aca="false">B562</f>
        <v>м.п.</v>
      </c>
      <c r="C1024" s="1799" t="n">
        <f aca="false">C562</f>
        <v>0.4</v>
      </c>
      <c r="D1024" s="1799" t="n">
        <f aca="false">D562</f>
        <v>0.045</v>
      </c>
      <c r="E1024" s="1799" t="n">
        <f aca="false">IF('Ввод данных'!$A$463=связи1!$A$96,IF(дома!E1023&lt;связи1!$F$576,0,дома!E1023-$F$881),0)+IF(дома!E1023=0,0,IF('Ввод данных'!$A$463=связи1!$A$95,IF(дома!E1023&lt;0,0,дома!E1023-$F$881),0))+IF('Ввод данных'!$A$463=связи1!$A$98,IF(дома!E1023&lt;связи1!$F$576,0,дома!E1023-$F$881),0)</f>
        <v>0</v>
      </c>
      <c r="F1024" s="1799" t="n">
        <f aca="false">2*VLOOKUP('Ввод данных'!$C$79,связи1!$A$2:$B$3,2,0)</f>
        <v>0</v>
      </c>
      <c r="G1024" s="1344" t="n">
        <f aca="false">C1024*D1024*E1024*F1024</f>
        <v>0</v>
      </c>
      <c r="H1024" s="1344"/>
      <c r="I1024" s="1344"/>
      <c r="J1024" s="1344"/>
      <c r="K1024" s="1344"/>
      <c r="L1024" s="1344"/>
      <c r="M1024" s="1344"/>
      <c r="N1024" s="1344"/>
      <c r="O1024" s="1344"/>
      <c r="P1024" s="1707"/>
      <c r="Q1024" s="1707"/>
      <c r="R1024" s="1707"/>
      <c r="S1024" s="1344"/>
      <c r="T1024" s="1344"/>
      <c r="U1024" s="1753"/>
      <c r="V1024" s="1344"/>
      <c r="W1024" s="1344"/>
      <c r="X1024" s="1344"/>
      <c r="Y1024" s="1707"/>
      <c r="Z1024" s="1707"/>
      <c r="AA1024" s="1344"/>
      <c r="AB1024" s="1344"/>
      <c r="AC1024" s="1344"/>
      <c r="AD1024" s="1344"/>
    </row>
    <row r="1025" s="1709" customFormat="true" ht="15.75" hidden="true" customHeight="true" outlineLevel="1" collapsed="false">
      <c r="A1025" s="1799" t="s">
        <v>3507</v>
      </c>
      <c r="B1025" s="1294" t="str">
        <f aca="false">B563</f>
        <v>м.п.</v>
      </c>
      <c r="C1025" s="1799" t="n">
        <f aca="false">C563</f>
        <v>0.4</v>
      </c>
      <c r="D1025" s="1799" t="n">
        <f aca="false">D563</f>
        <v>0.045</v>
      </c>
      <c r="E1025" s="1799" t="n">
        <f aca="false">IF('Ввод данных'!$A$463=связи1!$A$96,IF(дома!E1024&lt;связи1!$F$576,0,дома!E1024-$F$881),0)+IF(дома!E1024=0,0,IF('Ввод данных'!$A$463=связи1!$A$95,IF(дома!E1024&lt;0,0,дома!E1024-$F$881),0))+IF('Ввод данных'!$A$463=связи1!$A$98,IF(дома!E1024&lt;связи1!$F$576,0,дома!E1024-$F$881),0)</f>
        <v>0</v>
      </c>
      <c r="F1025" s="1799" t="n">
        <f aca="false">2*VLOOKUP('Ввод данных'!$C$79,связи1!$A$2:$B$3,2,0)</f>
        <v>0</v>
      </c>
      <c r="G1025" s="1344" t="n">
        <f aca="false">C1025*D1025*E1025*F1025</f>
        <v>0</v>
      </c>
      <c r="H1025" s="1344"/>
      <c r="I1025" s="1344"/>
      <c r="J1025" s="1344"/>
      <c r="K1025" s="1344"/>
      <c r="L1025" s="1344"/>
      <c r="M1025" s="1344"/>
      <c r="N1025" s="1344"/>
      <c r="O1025" s="1344"/>
      <c r="P1025" s="1707"/>
      <c r="Q1025" s="1707"/>
      <c r="R1025" s="1707"/>
      <c r="S1025" s="1344"/>
      <c r="T1025" s="1344"/>
      <c r="U1025" s="1753"/>
      <c r="V1025" s="1344"/>
      <c r="W1025" s="1344"/>
      <c r="X1025" s="1344"/>
      <c r="Y1025" s="1707"/>
      <c r="Z1025" s="1707"/>
      <c r="AA1025" s="1344"/>
      <c r="AB1025" s="1344"/>
      <c r="AC1025" s="1344"/>
      <c r="AD1025" s="1344"/>
    </row>
    <row r="1026" s="1709" customFormat="true" ht="15.75" hidden="true" customHeight="true" outlineLevel="1" collapsed="false">
      <c r="A1026" s="1799" t="s">
        <v>3508</v>
      </c>
      <c r="B1026" s="1294" t="str">
        <f aca="false">B564</f>
        <v>м.п.</v>
      </c>
      <c r="C1026" s="1799" t="n">
        <f aca="false">C564</f>
        <v>0.4</v>
      </c>
      <c r="D1026" s="1799" t="n">
        <f aca="false">D564</f>
        <v>0.045</v>
      </c>
      <c r="E1026" s="1799" t="n">
        <f aca="false">IF('Ввод данных'!$A$463=связи1!$A$96,IF(дома!E1025&lt;связи1!$F$576,0,дома!E1025-$F$881),0)+IF(дома!E1025=0,0,IF('Ввод данных'!$A$463=связи1!$A$95,IF(дома!E1025&lt;0,0,дома!E1025-$F$881),0))+IF('Ввод данных'!$A$463=связи1!$A$98,IF(дома!E1025&lt;связи1!$F$576,0,дома!E1025-$F$881),0)</f>
        <v>0</v>
      </c>
      <c r="F1026" s="1799" t="n">
        <f aca="false">2*VLOOKUP('Ввод данных'!$C$79,связи1!$A$2:$B$3,2,0)</f>
        <v>0</v>
      </c>
      <c r="G1026" s="1344" t="n">
        <f aca="false">C1026*D1026*E1026*F1026</f>
        <v>0</v>
      </c>
      <c r="H1026" s="1344"/>
      <c r="I1026" s="1344"/>
      <c r="J1026" s="1344"/>
      <c r="K1026" s="1344"/>
      <c r="L1026" s="1344"/>
      <c r="M1026" s="1344"/>
      <c r="N1026" s="1344"/>
      <c r="O1026" s="1344"/>
      <c r="P1026" s="1707"/>
      <c r="Q1026" s="1707"/>
      <c r="R1026" s="1707"/>
      <c r="S1026" s="1344"/>
      <c r="T1026" s="1344"/>
      <c r="U1026" s="1753"/>
      <c r="V1026" s="1344"/>
      <c r="W1026" s="1344"/>
      <c r="X1026" s="1344"/>
      <c r="Y1026" s="1707"/>
      <c r="Z1026" s="1707"/>
      <c r="AA1026" s="1344"/>
      <c r="AB1026" s="1344"/>
      <c r="AC1026" s="1344"/>
      <c r="AD1026" s="1344"/>
    </row>
    <row r="1027" s="1709" customFormat="true" ht="15.75" hidden="true" customHeight="true" outlineLevel="1" collapsed="false">
      <c r="A1027" s="1799" t="s">
        <v>3509</v>
      </c>
      <c r="B1027" s="1294" t="str">
        <f aca="false">B565</f>
        <v>м.п.</v>
      </c>
      <c r="C1027" s="1799" t="n">
        <f aca="false">C565</f>
        <v>0.4</v>
      </c>
      <c r="D1027" s="1799" t="n">
        <f aca="false">D565</f>
        <v>0.045</v>
      </c>
      <c r="E1027" s="1799" t="n">
        <f aca="false">IF('Ввод данных'!$A$463=связи1!$A$96,IF(дома!E1026&lt;связи1!$F$576,0,дома!E1026-$F$881),0)+IF(дома!E1026=0,0,IF('Ввод данных'!$A$463=связи1!$A$95,IF(дома!E1026&lt;0,0,дома!E1026-$F$881),0))+IF('Ввод данных'!$A$463=связи1!$A$98,IF(дома!E1026&lt;связи1!$F$576,0,дома!E1026-$F$881),0)</f>
        <v>0</v>
      </c>
      <c r="F1027" s="1799" t="n">
        <f aca="false">2*VLOOKUP('Ввод данных'!$C$79,связи1!$A$2:$B$3,2,0)</f>
        <v>0</v>
      </c>
      <c r="G1027" s="1344" t="n">
        <f aca="false">C1027*D1027*E1027*F1027</f>
        <v>0</v>
      </c>
      <c r="H1027" s="1344"/>
      <c r="I1027" s="1344"/>
      <c r="J1027" s="1344"/>
      <c r="K1027" s="1344"/>
      <c r="L1027" s="1344"/>
      <c r="M1027" s="1344"/>
      <c r="N1027" s="1344"/>
      <c r="O1027" s="1344"/>
      <c r="P1027" s="1707"/>
      <c r="Q1027" s="1707"/>
      <c r="R1027" s="1707"/>
      <c r="S1027" s="1344"/>
      <c r="T1027" s="1344"/>
      <c r="U1027" s="1753"/>
      <c r="V1027" s="1344"/>
      <c r="W1027" s="1344"/>
      <c r="X1027" s="1344"/>
      <c r="Y1027" s="1707"/>
      <c r="Z1027" s="1707"/>
      <c r="AA1027" s="1344"/>
      <c r="AB1027" s="1344"/>
      <c r="AC1027" s="1344"/>
      <c r="AD1027" s="1344"/>
    </row>
    <row r="1028" s="1709" customFormat="true" ht="15.75" hidden="true" customHeight="true" outlineLevel="1" collapsed="false">
      <c r="A1028" s="1799" t="s">
        <v>3510</v>
      </c>
      <c r="B1028" s="1294" t="str">
        <f aca="false">B566</f>
        <v>м.п.</v>
      </c>
      <c r="C1028" s="1799" t="n">
        <f aca="false">C566</f>
        <v>0.4</v>
      </c>
      <c r="D1028" s="1799" t="n">
        <f aca="false">D566</f>
        <v>0.045</v>
      </c>
      <c r="E1028" s="1799" t="n">
        <f aca="false">IF('Ввод данных'!$A$463=связи1!$A$96,IF(дома!E1027&lt;связи1!$F$576,0,дома!E1027-$F$881),0)+IF(дома!E1027=0,0,IF('Ввод данных'!$A$463=связи1!$A$95,IF(дома!E1027&lt;0,0,дома!E1027-$F$881),0))+IF('Ввод данных'!$A$463=связи1!$A$98,IF(дома!E1027&lt;связи1!$F$576,0,дома!E1027-$F$881),0)</f>
        <v>0</v>
      </c>
      <c r="F1028" s="1799" t="n">
        <f aca="false">2*VLOOKUP('Ввод данных'!$C$79,связи1!$A$2:$B$3,2,0)</f>
        <v>0</v>
      </c>
      <c r="G1028" s="1344" t="n">
        <f aca="false">C1028*D1028*E1028*F1028</f>
        <v>0</v>
      </c>
      <c r="H1028" s="1344"/>
      <c r="I1028" s="1344"/>
      <c r="J1028" s="1344"/>
      <c r="K1028" s="1344"/>
      <c r="L1028" s="1344"/>
      <c r="M1028" s="1344"/>
      <c r="N1028" s="1344"/>
      <c r="O1028" s="1344"/>
      <c r="P1028" s="1707"/>
      <c r="Q1028" s="1707"/>
      <c r="R1028" s="1707"/>
      <c r="S1028" s="1344"/>
      <c r="T1028" s="1344"/>
      <c r="U1028" s="1753"/>
      <c r="V1028" s="1344"/>
      <c r="W1028" s="1344"/>
      <c r="X1028" s="1344"/>
      <c r="Y1028" s="1707"/>
      <c r="Z1028" s="1707"/>
      <c r="AA1028" s="1344"/>
      <c r="AB1028" s="1344"/>
      <c r="AC1028" s="1344"/>
      <c r="AD1028" s="1344"/>
    </row>
    <row r="1029" s="1709" customFormat="true" ht="15.75" hidden="true" customHeight="true" outlineLevel="1" collapsed="false">
      <c r="A1029" s="1799" t="s">
        <v>3511</v>
      </c>
      <c r="B1029" s="1294" t="str">
        <f aca="false">B567</f>
        <v>м.п.</v>
      </c>
      <c r="C1029" s="1799" t="n">
        <f aca="false">C567</f>
        <v>0.4</v>
      </c>
      <c r="D1029" s="1799" t="n">
        <f aca="false">D567</f>
        <v>0.045</v>
      </c>
      <c r="E1029" s="1799" t="n">
        <f aca="false">IF('Ввод данных'!$A$463=связи1!$A$96,IF(дома!E1028&lt;связи1!$F$576,0,дома!E1028-$F$881),0)+IF(дома!E1028=0,0,IF('Ввод данных'!$A$463=связи1!$A$95,IF(дома!E1028&lt;0,0,дома!E1028-$F$881),0))+IF('Ввод данных'!$A$463=связи1!$A$98,IF(дома!E1028&lt;связи1!$F$576,0,дома!E1028-$F$881),0)</f>
        <v>0</v>
      </c>
      <c r="F1029" s="1799" t="n">
        <f aca="false">2*VLOOKUP('Ввод данных'!$C$79,связи1!$A$2:$B$3,2,0)</f>
        <v>0</v>
      </c>
      <c r="G1029" s="1344" t="n">
        <f aca="false">C1029*D1029*E1029*F1029</f>
        <v>0</v>
      </c>
      <c r="H1029" s="1344"/>
      <c r="I1029" s="1344"/>
      <c r="J1029" s="1344"/>
      <c r="K1029" s="1344"/>
      <c r="L1029" s="1344"/>
      <c r="M1029" s="1344"/>
      <c r="N1029" s="1344"/>
      <c r="O1029" s="1344"/>
      <c r="P1029" s="1707"/>
      <c r="Q1029" s="1707"/>
      <c r="R1029" s="1707"/>
      <c r="S1029" s="1344"/>
      <c r="T1029" s="1344"/>
      <c r="U1029" s="1753"/>
      <c r="V1029" s="1344"/>
      <c r="W1029" s="1344"/>
      <c r="X1029" s="1344"/>
      <c r="Y1029" s="1707"/>
      <c r="Z1029" s="1707"/>
      <c r="AA1029" s="1344"/>
      <c r="AB1029" s="1344"/>
      <c r="AC1029" s="1344"/>
      <c r="AD1029" s="1344"/>
    </row>
    <row r="1030" s="1709" customFormat="true" ht="15.75" hidden="true" customHeight="true" outlineLevel="1" collapsed="false">
      <c r="A1030" s="1799" t="s">
        <v>3512</v>
      </c>
      <c r="B1030" s="1294" t="str">
        <f aca="false">B568</f>
        <v>м.п.</v>
      </c>
      <c r="C1030" s="1799" t="n">
        <f aca="false">C568</f>
        <v>0.4</v>
      </c>
      <c r="D1030" s="1799" t="n">
        <f aca="false">D568</f>
        <v>0.045</v>
      </c>
      <c r="E1030" s="1799" t="n">
        <f aca="false">IF('Ввод данных'!$A$463=связи1!$A$96,IF(дома!E1029&lt;связи1!$F$576,0,дома!E1029-$F$881),0)+IF(дома!E1029=0,0,IF('Ввод данных'!$A$463=связи1!$A$95,IF(дома!E1029&lt;0,0,дома!E1029-$F$881),0))+IF('Ввод данных'!$A$463=связи1!$A$98,IF(дома!E1029&lt;связи1!$F$576,0,дома!E1029-$F$881),0)</f>
        <v>0</v>
      </c>
      <c r="F1030" s="1799" t="n">
        <f aca="false">2*VLOOKUP('Ввод данных'!$C$79,связи1!$A$2:$B$3,2,0)</f>
        <v>0</v>
      </c>
      <c r="G1030" s="1344" t="n">
        <f aca="false">C1030*D1030*E1030*F1030</f>
        <v>0</v>
      </c>
      <c r="H1030" s="1344"/>
      <c r="I1030" s="1344"/>
      <c r="J1030" s="1344"/>
      <c r="K1030" s="1344"/>
      <c r="L1030" s="1344"/>
      <c r="M1030" s="1344"/>
      <c r="N1030" s="1344"/>
      <c r="O1030" s="1344"/>
      <c r="P1030" s="1707"/>
      <c r="Q1030" s="1707"/>
      <c r="R1030" s="1707"/>
      <c r="S1030" s="1344"/>
      <c r="T1030" s="1344"/>
      <c r="U1030" s="1753"/>
      <c r="V1030" s="1344"/>
      <c r="W1030" s="1344"/>
      <c r="X1030" s="1344"/>
      <c r="Y1030" s="1707"/>
      <c r="Z1030" s="1707"/>
      <c r="AA1030" s="1344"/>
      <c r="AB1030" s="1344"/>
      <c r="AC1030" s="1344"/>
      <c r="AD1030" s="1344"/>
    </row>
    <row r="1031" s="1709" customFormat="true" ht="15.75" hidden="true" customHeight="true" outlineLevel="1" collapsed="false">
      <c r="A1031" s="1799" t="s">
        <v>3513</v>
      </c>
      <c r="B1031" s="1294" t="str">
        <f aca="false">B569</f>
        <v>м.п.</v>
      </c>
      <c r="C1031" s="1799" t="n">
        <f aca="false">C569</f>
        <v>0.4</v>
      </c>
      <c r="D1031" s="1799" t="n">
        <f aca="false">D569</f>
        <v>0.045</v>
      </c>
      <c r="E1031" s="1799" t="n">
        <f aca="false">IF('Ввод данных'!$A$463=связи1!$A$96,IF(дома!E1030&lt;связи1!$F$576,0,дома!E1030-$F$881),0)+IF(дома!E1030=0,0,IF('Ввод данных'!$A$463=связи1!$A$95,IF(дома!E1030&lt;0,0,дома!E1030-$F$881),0))+IF('Ввод данных'!$A$463=связи1!$A$98,IF(дома!E1030&lt;связи1!$F$576,0,дома!E1030-$F$881),0)</f>
        <v>0</v>
      </c>
      <c r="F1031" s="1799" t="n">
        <f aca="false">2*VLOOKUP('Ввод данных'!$C$79,связи1!$A$2:$B$3,2,0)</f>
        <v>0</v>
      </c>
      <c r="G1031" s="1344" t="n">
        <f aca="false">C1031*D1031*E1031*F1031</f>
        <v>0</v>
      </c>
      <c r="H1031" s="1344"/>
      <c r="I1031" s="1344"/>
      <c r="J1031" s="1344"/>
      <c r="K1031" s="1344"/>
      <c r="L1031" s="1344"/>
      <c r="M1031" s="1344"/>
      <c r="N1031" s="1344"/>
      <c r="O1031" s="1344"/>
      <c r="P1031" s="1707"/>
      <c r="Q1031" s="1707"/>
      <c r="R1031" s="1707"/>
      <c r="S1031" s="1344"/>
      <c r="T1031" s="1344"/>
      <c r="U1031" s="1753"/>
      <c r="V1031" s="1344"/>
      <c r="W1031" s="1344"/>
      <c r="X1031" s="1344"/>
      <c r="Y1031" s="1707"/>
      <c r="Z1031" s="1707"/>
      <c r="AA1031" s="1344"/>
      <c r="AB1031" s="1344"/>
      <c r="AC1031" s="1344"/>
      <c r="AD1031" s="1344"/>
    </row>
    <row r="1032" s="1709" customFormat="true" ht="15.75" hidden="true" customHeight="true" outlineLevel="1" collapsed="false">
      <c r="A1032" s="1799" t="s">
        <v>3514</v>
      </c>
      <c r="B1032" s="1294" t="str">
        <f aca="false">B570</f>
        <v>м.п.</v>
      </c>
      <c r="C1032" s="1799" t="n">
        <f aca="false">C570</f>
        <v>0.4</v>
      </c>
      <c r="D1032" s="1799" t="n">
        <f aca="false">D570</f>
        <v>0.045</v>
      </c>
      <c r="E1032" s="1799" t="n">
        <f aca="false">IF('Ввод данных'!$A$463=связи1!$A$96,IF(дома!E1031&lt;связи1!$F$576,0,дома!E1031-$F$881),0)+IF(дома!E1031=0,0,IF('Ввод данных'!$A$463=связи1!$A$95,IF(дома!E1031&lt;0,0,дома!E1031-$F$881),0))+IF('Ввод данных'!$A$463=связи1!$A$98,IF(дома!E1031&lt;связи1!$F$576,0,дома!E1031-$F$881),0)</f>
        <v>0</v>
      </c>
      <c r="F1032" s="1799" t="n">
        <f aca="false">2*VLOOKUP('Ввод данных'!$C$79,связи1!$A$2:$B$3,2,0)</f>
        <v>0</v>
      </c>
      <c r="G1032" s="1344" t="n">
        <f aca="false">C1032*D1032*E1032*F1032</f>
        <v>0</v>
      </c>
      <c r="H1032" s="1344"/>
      <c r="I1032" s="1344"/>
      <c r="J1032" s="1344"/>
      <c r="K1032" s="1344"/>
      <c r="L1032" s="1344"/>
      <c r="M1032" s="1344"/>
      <c r="N1032" s="1344"/>
      <c r="O1032" s="1344"/>
      <c r="P1032" s="1707"/>
      <c r="Q1032" s="1707"/>
      <c r="R1032" s="1707"/>
      <c r="S1032" s="1344"/>
      <c r="T1032" s="1344"/>
      <c r="U1032" s="1753"/>
      <c r="V1032" s="1344"/>
      <c r="W1032" s="1344"/>
      <c r="X1032" s="1344"/>
      <c r="Y1032" s="1707"/>
      <c r="Z1032" s="1707"/>
      <c r="AA1032" s="1344"/>
      <c r="AB1032" s="1344"/>
      <c r="AC1032" s="1344"/>
      <c r="AD1032" s="1344"/>
    </row>
    <row r="1033" s="1709" customFormat="true" ht="15.75" hidden="true" customHeight="true" outlineLevel="1" collapsed="false">
      <c r="A1033" s="1799" t="s">
        <v>3515</v>
      </c>
      <c r="B1033" s="1294" t="str">
        <f aca="false">B571</f>
        <v>м.п.</v>
      </c>
      <c r="C1033" s="1799" t="n">
        <f aca="false">C571</f>
        <v>0.4</v>
      </c>
      <c r="D1033" s="1799" t="n">
        <f aca="false">D571</f>
        <v>0.045</v>
      </c>
      <c r="E1033" s="1799" t="n">
        <f aca="false">IF('Ввод данных'!$A$463=связи1!$A$96,IF(дома!E1032&lt;связи1!$F$576,0,дома!E1032-$F$881),0)+IF(дома!E1032=0,0,IF('Ввод данных'!$A$463=связи1!$A$95,IF(дома!E1032&lt;0,0,дома!E1032-$F$881),0))+IF('Ввод данных'!$A$463=связи1!$A$98,IF(дома!E1032&lt;связи1!$F$576,0,дома!E1032-$F$881),0)</f>
        <v>0</v>
      </c>
      <c r="F1033" s="1799" t="n">
        <f aca="false">2*VLOOKUP('Ввод данных'!$C$79,связи1!$A$2:$B$3,2,0)</f>
        <v>0</v>
      </c>
      <c r="G1033" s="1344" t="n">
        <f aca="false">C1033*D1033*E1033*F1033</f>
        <v>0</v>
      </c>
      <c r="H1033" s="1344"/>
      <c r="I1033" s="1344"/>
      <c r="J1033" s="1344"/>
      <c r="K1033" s="1344"/>
      <c r="L1033" s="1344"/>
      <c r="M1033" s="1344"/>
      <c r="N1033" s="1344"/>
      <c r="O1033" s="1344"/>
      <c r="P1033" s="1707"/>
      <c r="Q1033" s="1707"/>
      <c r="R1033" s="1707"/>
      <c r="S1033" s="1344"/>
      <c r="T1033" s="1344"/>
      <c r="U1033" s="1753"/>
      <c r="V1033" s="1344"/>
      <c r="W1033" s="1344"/>
      <c r="X1033" s="1344"/>
      <c r="Y1033" s="1707"/>
      <c r="Z1033" s="1707"/>
      <c r="AA1033" s="1344"/>
      <c r="AB1033" s="1344"/>
      <c r="AC1033" s="1344"/>
      <c r="AD1033" s="1344"/>
    </row>
    <row r="1034" s="1709" customFormat="true" ht="15.75" hidden="true" customHeight="true" outlineLevel="1" collapsed="false">
      <c r="A1034" s="1799" t="s">
        <v>3516</v>
      </c>
      <c r="B1034" s="1294" t="str">
        <f aca="false">B572</f>
        <v>м.п.</v>
      </c>
      <c r="C1034" s="1799" t="n">
        <f aca="false">C572</f>
        <v>0.4</v>
      </c>
      <c r="D1034" s="1799" t="n">
        <f aca="false">D572</f>
        <v>0.045</v>
      </c>
      <c r="E1034" s="1799" t="n">
        <f aca="false">IF('Ввод данных'!$A$463=связи1!$A$96,IF(дома!E1033&lt;связи1!$F$576,0,дома!E1033-$F$881),0)+IF(дома!E1033=0,0,IF('Ввод данных'!$A$463=связи1!$A$95,IF(дома!E1033&lt;0,0,дома!E1033-$F$881),0))+IF('Ввод данных'!$A$463=связи1!$A$98,IF(дома!E1033&lt;связи1!$F$576,0,дома!E1033-$F$881),0)</f>
        <v>0</v>
      </c>
      <c r="F1034" s="1799" t="n">
        <f aca="false">2*VLOOKUP('Ввод данных'!$C$79,связи1!$A$2:$B$3,2,0)</f>
        <v>0</v>
      </c>
      <c r="G1034" s="1344" t="n">
        <f aca="false">C1034*D1034*E1034*F1034</f>
        <v>0</v>
      </c>
      <c r="H1034" s="1344"/>
      <c r="I1034" s="1344"/>
      <c r="J1034" s="1344"/>
      <c r="K1034" s="1344"/>
      <c r="L1034" s="1344"/>
      <c r="M1034" s="1344"/>
      <c r="N1034" s="1344"/>
      <c r="O1034" s="1344"/>
      <c r="P1034" s="1707"/>
      <c r="Q1034" s="1707"/>
      <c r="R1034" s="1707"/>
      <c r="S1034" s="1344"/>
      <c r="T1034" s="1344"/>
      <c r="U1034" s="1753"/>
      <c r="V1034" s="1344"/>
      <c r="W1034" s="1344"/>
      <c r="X1034" s="1344"/>
      <c r="Y1034" s="1707"/>
      <c r="Z1034" s="1707"/>
      <c r="AA1034" s="1344"/>
      <c r="AB1034" s="1344"/>
      <c r="AC1034" s="1344"/>
      <c r="AD1034" s="1344"/>
    </row>
    <row r="1035" s="1709" customFormat="true" ht="15.75" hidden="true" customHeight="true" outlineLevel="1" collapsed="false">
      <c r="A1035" s="1799" t="s">
        <v>3517</v>
      </c>
      <c r="B1035" s="1294" t="str">
        <f aca="false">B573</f>
        <v>м.п.</v>
      </c>
      <c r="C1035" s="1799" t="n">
        <f aca="false">C573</f>
        <v>0.4</v>
      </c>
      <c r="D1035" s="1799" t="n">
        <f aca="false">D573</f>
        <v>0.045</v>
      </c>
      <c r="E1035" s="1799" t="n">
        <f aca="false">IF('Ввод данных'!A462=связи1!A107,IF('Ввод данных'!A463=связи1!A94,0,0)+IF('Ввод данных'!A463=связи1!A95,связи1!F575-связи1!F574,0)+IF('Ввод данных'!A463=связи1!A96,связи1!F575,0)+IF('Ввод данных'!A463=связи1!A97,0,0)+IF('Ввод данных'!A463=связи1!A98,связи1!F575,0),0)</f>
        <v>0</v>
      </c>
      <c r="F1035" s="1799" t="n">
        <f aca="false">2*VLOOKUP('Ввод данных'!$C$79,связи1!$A$2:$B$3,2,0)</f>
        <v>0</v>
      </c>
      <c r="G1035" s="1344" t="n">
        <f aca="false">C1035*D1035*E1035*F1035</f>
        <v>0</v>
      </c>
      <c r="H1035" s="1344"/>
      <c r="I1035" s="1344"/>
      <c r="J1035" s="1344"/>
      <c r="K1035" s="1344"/>
      <c r="L1035" s="1344"/>
      <c r="M1035" s="1344"/>
      <c r="N1035" s="1344"/>
      <c r="O1035" s="1344"/>
      <c r="P1035" s="1707"/>
      <c r="Q1035" s="1707"/>
      <c r="R1035" s="1707"/>
      <c r="S1035" s="1344"/>
      <c r="T1035" s="1344"/>
      <c r="U1035" s="1753"/>
      <c r="V1035" s="1344"/>
      <c r="W1035" s="1344"/>
      <c r="X1035" s="1344"/>
      <c r="Y1035" s="1707"/>
      <c r="Z1035" s="1707"/>
      <c r="AA1035" s="1344"/>
      <c r="AB1035" s="1344"/>
      <c r="AC1035" s="1344"/>
      <c r="AD1035" s="1344"/>
    </row>
    <row r="1036" s="1709" customFormat="true" ht="15.75" hidden="true" customHeight="true" outlineLevel="1" collapsed="false">
      <c r="A1036" s="1799" t="s">
        <v>3518</v>
      </c>
      <c r="B1036" s="1294" t="str">
        <f aca="false">B574</f>
        <v>м.п.</v>
      </c>
      <c r="C1036" s="1799" t="n">
        <f aca="false">C574</f>
        <v>0.4</v>
      </c>
      <c r="D1036" s="1799" t="n">
        <f aca="false">D574</f>
        <v>0.045</v>
      </c>
      <c r="E1036" s="1799" t="n">
        <f aca="false">IF('Ввод данных'!$A$463=связи1!$A$96,IF(дома!E1035&lt;связи1!$F$576,0,дома!E1035-$F$881),0)+IF(дома!E1035=0,0,IF('Ввод данных'!$A$463=связи1!$A$95,IF(дома!E1035&lt;0,0,дома!E1035-$F$881),0))+IF('Ввод данных'!$A$463=связи1!$A$98,IF(дома!E1035&lt;связи1!$F$576,0,дома!E1035-$F$881),0)</f>
        <v>0</v>
      </c>
      <c r="F1036" s="1799" t="n">
        <f aca="false">2*VLOOKUP('Ввод данных'!$C$79,связи1!$A$2:$B$3,2,0)</f>
        <v>0</v>
      </c>
      <c r="G1036" s="1344" t="n">
        <f aca="false">C1036*D1036*E1036*F1036</f>
        <v>0</v>
      </c>
      <c r="H1036" s="1344"/>
      <c r="I1036" s="1344"/>
      <c r="J1036" s="1344"/>
      <c r="K1036" s="1344"/>
      <c r="L1036" s="1344"/>
      <c r="M1036" s="1344"/>
      <c r="N1036" s="1344"/>
      <c r="O1036" s="1344"/>
      <c r="P1036" s="1707"/>
      <c r="Q1036" s="1707"/>
      <c r="R1036" s="1707"/>
      <c r="S1036" s="1344"/>
      <c r="T1036" s="1344"/>
      <c r="U1036" s="1753"/>
      <c r="V1036" s="1344"/>
      <c r="W1036" s="1344"/>
      <c r="X1036" s="1344"/>
      <c r="Y1036" s="1707"/>
      <c r="Z1036" s="1707"/>
      <c r="AA1036" s="1344"/>
      <c r="AB1036" s="1344"/>
      <c r="AC1036" s="1344"/>
      <c r="AD1036" s="1344"/>
    </row>
    <row r="1037" s="1709" customFormat="true" ht="15.75" hidden="true" customHeight="true" outlineLevel="1" collapsed="false">
      <c r="A1037" s="1799" t="s">
        <v>3519</v>
      </c>
      <c r="B1037" s="1294" t="str">
        <f aca="false">B575</f>
        <v>м.п.</v>
      </c>
      <c r="C1037" s="1799" t="n">
        <f aca="false">C575</f>
        <v>0.4</v>
      </c>
      <c r="D1037" s="1799" t="n">
        <f aca="false">D575</f>
        <v>0.045</v>
      </c>
      <c r="E1037" s="1799" t="n">
        <f aca="false">IF('Ввод данных'!$A$463=связи1!$A$96,IF(дома!E1036&lt;связи1!$F$576,0,дома!E1036-$F$881),0)+IF(дома!E1036=0,0,IF('Ввод данных'!$A$463=связи1!$A$95,IF(дома!E1036&lt;0,0,дома!E1036-$F$881),0))+IF('Ввод данных'!$A$463=связи1!$A$98,IF(дома!E1036&lt;связи1!$F$576,0,дома!E1036-$F$881),0)</f>
        <v>0</v>
      </c>
      <c r="F1037" s="1799" t="n">
        <f aca="false">2*VLOOKUP('Ввод данных'!$C$79,связи1!$A$2:$B$3,2,0)</f>
        <v>0</v>
      </c>
      <c r="G1037" s="1344" t="n">
        <f aca="false">C1037*D1037*E1037*F1037</f>
        <v>0</v>
      </c>
      <c r="H1037" s="1344"/>
      <c r="I1037" s="1344"/>
      <c r="J1037" s="1344"/>
      <c r="K1037" s="1344"/>
      <c r="L1037" s="1344"/>
      <c r="M1037" s="1344"/>
      <c r="N1037" s="1344"/>
      <c r="O1037" s="1344"/>
      <c r="P1037" s="1707"/>
      <c r="Q1037" s="1707"/>
      <c r="R1037" s="1707"/>
      <c r="S1037" s="1344"/>
      <c r="T1037" s="1344"/>
      <c r="U1037" s="1753"/>
      <c r="V1037" s="1344"/>
      <c r="W1037" s="1344"/>
      <c r="X1037" s="1344"/>
      <c r="Y1037" s="1707"/>
      <c r="Z1037" s="1707"/>
      <c r="AA1037" s="1344"/>
      <c r="AB1037" s="1344"/>
      <c r="AC1037" s="1344"/>
      <c r="AD1037" s="1344"/>
    </row>
    <row r="1038" s="1709" customFormat="true" ht="15.75" hidden="true" customHeight="true" outlineLevel="1" collapsed="false">
      <c r="A1038" s="1799" t="s">
        <v>3520</v>
      </c>
      <c r="B1038" s="1294" t="str">
        <f aca="false">B576</f>
        <v>м.п.</v>
      </c>
      <c r="C1038" s="1799" t="n">
        <f aca="false">C576</f>
        <v>0.4</v>
      </c>
      <c r="D1038" s="1799" t="n">
        <f aca="false">D576</f>
        <v>0.045</v>
      </c>
      <c r="E1038" s="1799" t="n">
        <f aca="false">IF('Ввод данных'!$A$463=связи1!$A$96,IF(дома!E1037&lt;связи1!$F$576,0,дома!E1037-$F$881),0)+IF(дома!E1037=0,0,IF('Ввод данных'!$A$463=связи1!$A$95,IF(дома!E1037&lt;0,0,дома!E1037-$F$881),0))+IF('Ввод данных'!$A$463=связи1!$A$98,IF(дома!E1037&lt;связи1!$F$576,0,дома!E1037-$F$881),0)</f>
        <v>0</v>
      </c>
      <c r="F1038" s="1799" t="n">
        <f aca="false">2*VLOOKUP('Ввод данных'!$C$79,связи1!$A$2:$B$3,2,0)</f>
        <v>0</v>
      </c>
      <c r="G1038" s="1344" t="n">
        <f aca="false">C1038*D1038*E1038*F1038</f>
        <v>0</v>
      </c>
      <c r="H1038" s="1344"/>
      <c r="I1038" s="1344"/>
      <c r="J1038" s="1344"/>
      <c r="K1038" s="1344"/>
      <c r="L1038" s="1344"/>
      <c r="M1038" s="1344"/>
      <c r="N1038" s="1344"/>
      <c r="O1038" s="1344"/>
      <c r="P1038" s="1707"/>
      <c r="Q1038" s="1707"/>
      <c r="R1038" s="1707"/>
      <c r="S1038" s="1344"/>
      <c r="T1038" s="1344"/>
      <c r="U1038" s="1753"/>
      <c r="V1038" s="1344"/>
      <c r="W1038" s="1344"/>
      <c r="X1038" s="1344"/>
      <c r="Y1038" s="1707"/>
      <c r="Z1038" s="1707"/>
      <c r="AA1038" s="1344"/>
      <c r="AB1038" s="1344"/>
      <c r="AC1038" s="1344"/>
      <c r="AD1038" s="1344"/>
    </row>
    <row r="1039" s="1709" customFormat="true" ht="15.75" hidden="true" customHeight="true" outlineLevel="1" collapsed="false">
      <c r="A1039" s="1799" t="s">
        <v>3521</v>
      </c>
      <c r="B1039" s="1294" t="str">
        <f aca="false">B577</f>
        <v>м.п.</v>
      </c>
      <c r="C1039" s="1799" t="n">
        <f aca="false">C577</f>
        <v>0.4</v>
      </c>
      <c r="D1039" s="1799" t="n">
        <f aca="false">D577</f>
        <v>0.045</v>
      </c>
      <c r="E1039" s="1799" t="n">
        <f aca="false">IF('Ввод данных'!$A$463=связи1!$A$96,IF(дома!E1038&lt;связи1!$F$576,0,дома!E1038-$F$881),0)+IF(дома!E1038=0,0,IF('Ввод данных'!$A$463=связи1!$A$95,IF(дома!E1038&lt;0,0,дома!E1038-$F$881),0))+IF('Ввод данных'!$A$463=связи1!$A$98,IF(дома!E1038&lt;связи1!$F$576,0,дома!E1038-$F$881),0)</f>
        <v>0</v>
      </c>
      <c r="F1039" s="1799" t="n">
        <f aca="false">2*VLOOKUP('Ввод данных'!$C$79,связи1!$A$2:$B$3,2,0)</f>
        <v>0</v>
      </c>
      <c r="G1039" s="1344" t="n">
        <f aca="false">C1039*D1039*E1039*F1039</f>
        <v>0</v>
      </c>
      <c r="H1039" s="1344"/>
      <c r="I1039" s="1344"/>
      <c r="J1039" s="1344"/>
      <c r="K1039" s="1344"/>
      <c r="L1039" s="1344"/>
      <c r="M1039" s="1344"/>
      <c r="N1039" s="1344"/>
      <c r="O1039" s="1344"/>
      <c r="P1039" s="1707"/>
      <c r="Q1039" s="1707"/>
      <c r="R1039" s="1707"/>
      <c r="S1039" s="1344"/>
      <c r="T1039" s="1344"/>
      <c r="U1039" s="1753"/>
      <c r="V1039" s="1344"/>
      <c r="W1039" s="1344"/>
      <c r="X1039" s="1344"/>
      <c r="Y1039" s="1707"/>
      <c r="Z1039" s="1707"/>
      <c r="AA1039" s="1344"/>
      <c r="AB1039" s="1344"/>
      <c r="AC1039" s="1344"/>
      <c r="AD1039" s="1344"/>
    </row>
    <row r="1040" s="1709" customFormat="true" ht="15.75" hidden="true" customHeight="true" outlineLevel="1" collapsed="false">
      <c r="A1040" s="1799" t="s">
        <v>3522</v>
      </c>
      <c r="B1040" s="1294" t="str">
        <f aca="false">B578</f>
        <v>м.п.</v>
      </c>
      <c r="C1040" s="1799" t="n">
        <f aca="false">C578</f>
        <v>0.4</v>
      </c>
      <c r="D1040" s="1799" t="n">
        <f aca="false">D578</f>
        <v>0.045</v>
      </c>
      <c r="E1040" s="1799" t="n">
        <f aca="false">IF('Ввод данных'!$A$463=связи1!$A$96,IF(дома!E1039&lt;связи1!$F$576,0,дома!E1039-$F$881),0)+IF(дома!E1039=0,0,IF('Ввод данных'!$A$463=связи1!$A$95,IF(дома!E1039&lt;0,0,дома!E1039-$F$881),0))+IF('Ввод данных'!$A$463=связи1!$A$98,IF(дома!E1039&lt;связи1!$F$576,0,дома!E1039-$F$881),0)</f>
        <v>0</v>
      </c>
      <c r="F1040" s="1799" t="n">
        <f aca="false">2*VLOOKUP('Ввод данных'!$C$79,связи1!$A$2:$B$3,2,0)</f>
        <v>0</v>
      </c>
      <c r="G1040" s="1344" t="n">
        <f aca="false">C1040*D1040*E1040*F1040</f>
        <v>0</v>
      </c>
      <c r="H1040" s="1344"/>
      <c r="I1040" s="1344"/>
      <c r="J1040" s="1344"/>
      <c r="K1040" s="1344"/>
      <c r="L1040" s="1344"/>
      <c r="M1040" s="1344"/>
      <c r="N1040" s="1344"/>
      <c r="O1040" s="1344"/>
      <c r="P1040" s="1707"/>
      <c r="Q1040" s="1707"/>
      <c r="R1040" s="1707"/>
      <c r="S1040" s="1344"/>
      <c r="T1040" s="1344"/>
      <c r="U1040" s="1753"/>
      <c r="V1040" s="1344"/>
      <c r="W1040" s="1344"/>
      <c r="X1040" s="1344"/>
      <c r="Y1040" s="1707"/>
      <c r="Z1040" s="1707"/>
      <c r="AA1040" s="1344"/>
      <c r="AB1040" s="1344"/>
      <c r="AC1040" s="1344"/>
      <c r="AD1040" s="1344"/>
    </row>
    <row r="1041" s="1709" customFormat="true" ht="15.75" hidden="true" customHeight="true" outlineLevel="1" collapsed="false">
      <c r="A1041" s="1799" t="s">
        <v>3523</v>
      </c>
      <c r="B1041" s="1294" t="str">
        <f aca="false">B579</f>
        <v>м.п.</v>
      </c>
      <c r="C1041" s="1799" t="n">
        <f aca="false">C579</f>
        <v>0.4</v>
      </c>
      <c r="D1041" s="1799" t="n">
        <f aca="false">D579</f>
        <v>0.045</v>
      </c>
      <c r="E1041" s="1799" t="n">
        <f aca="false">IF('Ввод данных'!$A$463=связи1!$A$96,IF(дома!E1040&lt;связи1!$F$576,0,дома!E1040-$F$881),0)+IF(дома!E1040=0,0,IF('Ввод данных'!$A$463=связи1!$A$95,IF(дома!E1040&lt;0,0,дома!E1040-$F$881),0))+IF('Ввод данных'!$A$463=связи1!$A$98,IF(дома!E1040&lt;связи1!$F$576,0,дома!E1040-$F$881),0)</f>
        <v>0</v>
      </c>
      <c r="F1041" s="1799" t="n">
        <f aca="false">2*VLOOKUP('Ввод данных'!$C$79,связи1!$A$2:$B$3,2,0)</f>
        <v>0</v>
      </c>
      <c r="G1041" s="1344" t="n">
        <f aca="false">C1041*D1041*E1041*F1041</f>
        <v>0</v>
      </c>
      <c r="H1041" s="1344"/>
      <c r="I1041" s="1344"/>
      <c r="J1041" s="1344"/>
      <c r="K1041" s="1344"/>
      <c r="L1041" s="1344"/>
      <c r="M1041" s="1344"/>
      <c r="N1041" s="1344"/>
      <c r="O1041" s="1344"/>
      <c r="P1041" s="1707"/>
      <c r="Q1041" s="1707"/>
      <c r="R1041" s="1707"/>
      <c r="S1041" s="1344"/>
      <c r="T1041" s="1344"/>
      <c r="U1041" s="1753"/>
      <c r="V1041" s="1344"/>
      <c r="W1041" s="1344"/>
      <c r="X1041" s="1344"/>
      <c r="Y1041" s="1707"/>
      <c r="Z1041" s="1707"/>
      <c r="AA1041" s="1344"/>
      <c r="AB1041" s="1344"/>
      <c r="AC1041" s="1344"/>
      <c r="AD1041" s="1344"/>
    </row>
    <row r="1042" s="1709" customFormat="true" ht="15.75" hidden="true" customHeight="true" outlineLevel="1" collapsed="false">
      <c r="A1042" s="1799" t="s">
        <v>3524</v>
      </c>
      <c r="B1042" s="1294" t="str">
        <f aca="false">B580</f>
        <v>м.п.</v>
      </c>
      <c r="C1042" s="1799" t="n">
        <f aca="false">C580</f>
        <v>0.4</v>
      </c>
      <c r="D1042" s="1799" t="n">
        <f aca="false">D580</f>
        <v>0.045</v>
      </c>
      <c r="E1042" s="1799" t="n">
        <f aca="false">IF('Ввод данных'!$A$463=связи1!$A$96,IF(дома!E1041&lt;связи1!$F$576,0,дома!E1041-$F$881),0)+IF(дома!E1041=0,0,IF('Ввод данных'!$A$463=связи1!$A$95,IF(дома!E1041&lt;0,0,дома!E1041-$F$881),0))+IF('Ввод данных'!$A$463=связи1!$A$98,IF(дома!E1041&lt;связи1!$F$576,0,дома!E1041-$F$881),0)</f>
        <v>0</v>
      </c>
      <c r="F1042" s="1799" t="n">
        <f aca="false">2*VLOOKUP('Ввод данных'!$C$79,связи1!$A$2:$B$3,2,0)</f>
        <v>0</v>
      </c>
      <c r="G1042" s="1344" t="n">
        <f aca="false">C1042*D1042*E1042*F1042</f>
        <v>0</v>
      </c>
      <c r="H1042" s="1344"/>
      <c r="I1042" s="1344"/>
      <c r="J1042" s="1344"/>
      <c r="K1042" s="1344"/>
      <c r="L1042" s="1344"/>
      <c r="M1042" s="1344"/>
      <c r="N1042" s="1344"/>
      <c r="O1042" s="1344"/>
      <c r="P1042" s="1707"/>
      <c r="Q1042" s="1707"/>
      <c r="R1042" s="1707"/>
      <c r="S1042" s="1344"/>
      <c r="T1042" s="1344"/>
      <c r="U1042" s="1753"/>
      <c r="V1042" s="1344"/>
      <c r="W1042" s="1344"/>
      <c r="X1042" s="1344"/>
      <c r="Y1042" s="1707"/>
      <c r="Z1042" s="1707"/>
      <c r="AA1042" s="1344"/>
      <c r="AB1042" s="1344"/>
      <c r="AC1042" s="1344"/>
      <c r="AD1042" s="1344"/>
    </row>
    <row r="1043" s="1709" customFormat="true" ht="15.75" hidden="true" customHeight="true" outlineLevel="1" collapsed="false">
      <c r="A1043" s="1799" t="s">
        <v>3525</v>
      </c>
      <c r="B1043" s="1294" t="str">
        <f aca="false">B581</f>
        <v>м.п.</v>
      </c>
      <c r="C1043" s="1799" t="n">
        <f aca="false">C581</f>
        <v>0.4</v>
      </c>
      <c r="D1043" s="1799" t="n">
        <f aca="false">D581</f>
        <v>0.045</v>
      </c>
      <c r="E1043" s="1799" t="n">
        <f aca="false">IF('Ввод данных'!$A$463=связи1!$A$96,IF(дома!E1042&lt;связи1!$F$576,0,дома!E1042-$F$881),0)+IF(дома!E1042=0,0,IF('Ввод данных'!$A$463=связи1!$A$95,IF(дома!E1042&lt;0,0,дома!E1042-$F$881),0))+IF('Ввод данных'!$A$463=связи1!$A$98,IF(дома!E1042&lt;связи1!$F$576,0,дома!E1042-$F$881),0)</f>
        <v>0</v>
      </c>
      <c r="F1043" s="1799" t="n">
        <f aca="false">2*VLOOKUP('Ввод данных'!$C$79,связи1!$A$2:$B$3,2,0)</f>
        <v>0</v>
      </c>
      <c r="G1043" s="1344" t="n">
        <f aca="false">C1043*D1043*E1043*F1043</f>
        <v>0</v>
      </c>
      <c r="H1043" s="1344"/>
      <c r="I1043" s="1344"/>
      <c r="J1043" s="1344"/>
      <c r="K1043" s="1344"/>
      <c r="L1043" s="1344"/>
      <c r="M1043" s="1344"/>
      <c r="N1043" s="1344"/>
      <c r="O1043" s="1344"/>
      <c r="P1043" s="1707"/>
      <c r="Q1043" s="1707"/>
      <c r="R1043" s="1707"/>
      <c r="S1043" s="1344"/>
      <c r="T1043" s="1344"/>
      <c r="U1043" s="1753"/>
      <c r="V1043" s="1344"/>
      <c r="W1043" s="1344"/>
      <c r="X1043" s="1344"/>
      <c r="Y1043" s="1707"/>
      <c r="Z1043" s="1707"/>
      <c r="AA1043" s="1344"/>
      <c r="AB1043" s="1344"/>
      <c r="AC1043" s="1344"/>
      <c r="AD1043" s="1344"/>
    </row>
    <row r="1044" s="1709" customFormat="true" ht="15.75" hidden="true" customHeight="true" outlineLevel="1" collapsed="false">
      <c r="A1044" s="1799" t="s">
        <v>3526</v>
      </c>
      <c r="B1044" s="1294" t="str">
        <f aca="false">B582</f>
        <v>м.п.</v>
      </c>
      <c r="C1044" s="1799" t="n">
        <f aca="false">C582</f>
        <v>0.4</v>
      </c>
      <c r="D1044" s="1799" t="n">
        <f aca="false">D582</f>
        <v>0.045</v>
      </c>
      <c r="E1044" s="1799" t="n">
        <f aca="false">IF('Ввод данных'!$A$463=связи1!$A$96,IF(дома!E1043&lt;связи1!$F$576,0,дома!E1043-$F$881),0)+IF(дома!E1043=0,0,IF('Ввод данных'!$A$463=связи1!$A$95,IF(дома!E1043&lt;0,0,дома!E1043-$F$881),0))+IF('Ввод данных'!$A$463=связи1!$A$98,IF(дома!E1043&lt;связи1!$F$576,0,дома!E1043-$F$881),0)</f>
        <v>0</v>
      </c>
      <c r="F1044" s="1799" t="n">
        <f aca="false">2*VLOOKUP('Ввод данных'!$C$79,связи1!$A$2:$B$3,2,0)</f>
        <v>0</v>
      </c>
      <c r="G1044" s="1344" t="n">
        <f aca="false">C1044*D1044*E1044*F1044</f>
        <v>0</v>
      </c>
      <c r="H1044" s="1344"/>
      <c r="I1044" s="1344"/>
      <c r="J1044" s="1344"/>
      <c r="K1044" s="1344"/>
      <c r="L1044" s="1344"/>
      <c r="M1044" s="1344"/>
      <c r="N1044" s="1344"/>
      <c r="O1044" s="1344"/>
      <c r="P1044" s="1707"/>
      <c r="Q1044" s="1707"/>
      <c r="R1044" s="1707"/>
      <c r="S1044" s="1344"/>
      <c r="T1044" s="1344"/>
      <c r="U1044" s="1753"/>
      <c r="V1044" s="1344"/>
      <c r="W1044" s="1344"/>
      <c r="X1044" s="1344"/>
      <c r="Y1044" s="1707"/>
      <c r="Z1044" s="1707"/>
      <c r="AA1044" s="1344"/>
      <c r="AB1044" s="1344"/>
      <c r="AC1044" s="1344"/>
      <c r="AD1044" s="1344"/>
    </row>
    <row r="1045" s="1709" customFormat="true" ht="15.75" hidden="true" customHeight="true" outlineLevel="1" collapsed="false">
      <c r="A1045" s="1799" t="s">
        <v>3527</v>
      </c>
      <c r="B1045" s="1294" t="str">
        <f aca="false">B583</f>
        <v>м.п.</v>
      </c>
      <c r="C1045" s="1799" t="n">
        <f aca="false">C583</f>
        <v>0.4</v>
      </c>
      <c r="D1045" s="1799" t="n">
        <f aca="false">D583</f>
        <v>0.045</v>
      </c>
      <c r="E1045" s="1799" t="n">
        <f aca="false">IF('Ввод данных'!$A$463=связи1!$A$96,IF(дома!E1044&lt;связи1!$F$576,0,дома!E1044-$F$881),0)+IF(дома!E1044=0,0,IF('Ввод данных'!$A$463=связи1!$A$95,IF(дома!E1044&lt;0,0,дома!E1044-$F$881),0))+IF('Ввод данных'!$A$463=связи1!$A$98,IF(дома!E1044&lt;связи1!$F$576,0,дома!E1044-$F$881),0)</f>
        <v>0</v>
      </c>
      <c r="F1045" s="1799" t="n">
        <f aca="false">2*VLOOKUP('Ввод данных'!$C$79,связи1!$A$2:$B$3,2,0)</f>
        <v>0</v>
      </c>
      <c r="G1045" s="1344" t="n">
        <f aca="false">C1045*D1045*E1045*F1045</f>
        <v>0</v>
      </c>
      <c r="H1045" s="1344"/>
      <c r="I1045" s="1344"/>
      <c r="J1045" s="1344"/>
      <c r="K1045" s="1344"/>
      <c r="L1045" s="1344"/>
      <c r="M1045" s="1344"/>
      <c r="N1045" s="1344"/>
      <c r="O1045" s="1344"/>
      <c r="P1045" s="1707"/>
      <c r="Q1045" s="1707"/>
      <c r="R1045" s="1707"/>
      <c r="S1045" s="1344"/>
      <c r="T1045" s="1344"/>
      <c r="U1045" s="1753"/>
      <c r="V1045" s="1344"/>
      <c r="W1045" s="1344"/>
      <c r="X1045" s="1344"/>
      <c r="Y1045" s="1707"/>
      <c r="Z1045" s="1707"/>
      <c r="AA1045" s="1344"/>
      <c r="AB1045" s="1344"/>
      <c r="AC1045" s="1344"/>
      <c r="AD1045" s="1344"/>
    </row>
    <row r="1046" s="1709" customFormat="true" ht="15.75" hidden="true" customHeight="true" outlineLevel="1" collapsed="false">
      <c r="A1046" s="1799" t="s">
        <v>3528</v>
      </c>
      <c r="B1046" s="1294" t="str">
        <f aca="false">B584</f>
        <v>м.п.</v>
      </c>
      <c r="C1046" s="1799" t="n">
        <f aca="false">C584</f>
        <v>0.4</v>
      </c>
      <c r="D1046" s="1799" t="n">
        <f aca="false">D584</f>
        <v>0.045</v>
      </c>
      <c r="E1046" s="1799" t="n">
        <f aca="false">IF('Ввод данных'!$A$463=связи1!$A$96,IF(дома!E1045&lt;связи1!$F$576,0,дома!E1045-$F$881),0)+IF(дома!E1045=0,0,IF('Ввод данных'!$A$463=связи1!$A$95,IF(дома!E1045&lt;0,0,дома!E1045-$F$881),0))+IF('Ввод данных'!$A$463=связи1!$A$98,IF(дома!E1045&lt;связи1!$F$576,0,дома!E1045-$F$881),0)</f>
        <v>0</v>
      </c>
      <c r="F1046" s="1799" t="n">
        <f aca="false">2*VLOOKUP('Ввод данных'!$C$79,связи1!$A$2:$B$3,2,0)</f>
        <v>0</v>
      </c>
      <c r="G1046" s="1344" t="n">
        <f aca="false">C1046*D1046*E1046*F1046</f>
        <v>0</v>
      </c>
      <c r="H1046" s="1344"/>
      <c r="I1046" s="1344"/>
      <c r="J1046" s="1344"/>
      <c r="K1046" s="1344"/>
      <c r="L1046" s="1344"/>
      <c r="M1046" s="1344"/>
      <c r="N1046" s="1344"/>
      <c r="O1046" s="1344"/>
      <c r="P1046" s="1707"/>
      <c r="Q1046" s="1707"/>
      <c r="R1046" s="1707"/>
      <c r="S1046" s="1344"/>
      <c r="T1046" s="1344"/>
      <c r="U1046" s="1753"/>
      <c r="V1046" s="1344"/>
      <c r="W1046" s="1344"/>
      <c r="X1046" s="1344"/>
      <c r="Y1046" s="1707"/>
      <c r="Z1046" s="1707"/>
      <c r="AA1046" s="1344"/>
      <c r="AB1046" s="1344"/>
      <c r="AC1046" s="1344"/>
      <c r="AD1046" s="1344"/>
    </row>
    <row r="1047" s="1709" customFormat="true" ht="15.75" hidden="true" customHeight="true" outlineLevel="1" collapsed="false">
      <c r="A1047" s="1799" t="s">
        <v>3529</v>
      </c>
      <c r="B1047" s="1294" t="str">
        <f aca="false">B585</f>
        <v>м.п.</v>
      </c>
      <c r="C1047" s="1799" t="n">
        <f aca="false">C585</f>
        <v>0.4</v>
      </c>
      <c r="D1047" s="1799" t="n">
        <f aca="false">D585</f>
        <v>0.045</v>
      </c>
      <c r="E1047" s="1799" t="n">
        <f aca="false">IF('Ввод данных'!$A$463=связи1!$A$96,IF(дома!E1046&lt;связи1!$F$576,0,дома!E1046-$F$881),0)+IF(дома!E1046=0,0,IF('Ввод данных'!$A$463=связи1!$A$95,IF(дома!E1046&lt;0,0,дома!E1046-$F$881),0))+IF('Ввод данных'!$A$463=связи1!$A$98,IF(дома!E1046&lt;связи1!$F$576,0,дома!E1046-$F$881),0)</f>
        <v>0</v>
      </c>
      <c r="F1047" s="1799" t="n">
        <f aca="false">2*VLOOKUP('Ввод данных'!$C$79,связи1!$A$2:$B$3,2,0)</f>
        <v>0</v>
      </c>
      <c r="G1047" s="1344" t="n">
        <f aca="false">C1047*D1047*E1047*F1047</f>
        <v>0</v>
      </c>
      <c r="H1047" s="1344"/>
      <c r="I1047" s="1344"/>
      <c r="J1047" s="1344"/>
      <c r="K1047" s="1344"/>
      <c r="L1047" s="1344"/>
      <c r="M1047" s="1344"/>
      <c r="N1047" s="1344"/>
      <c r="O1047" s="1344"/>
      <c r="P1047" s="1707"/>
      <c r="Q1047" s="1707"/>
      <c r="R1047" s="1707"/>
      <c r="S1047" s="1344"/>
      <c r="T1047" s="1344"/>
      <c r="U1047" s="1753"/>
      <c r="V1047" s="1344"/>
      <c r="W1047" s="1344"/>
      <c r="X1047" s="1344"/>
      <c r="Y1047" s="1707"/>
      <c r="Z1047" s="1707"/>
      <c r="AA1047" s="1344"/>
      <c r="AB1047" s="1344"/>
      <c r="AC1047" s="1344"/>
      <c r="AD1047" s="1344"/>
    </row>
    <row r="1048" s="1709" customFormat="true" ht="15.75" hidden="true" customHeight="true" outlineLevel="1" collapsed="false">
      <c r="A1048" s="1799" t="s">
        <v>3530</v>
      </c>
      <c r="B1048" s="1294" t="str">
        <f aca="false">B586</f>
        <v>м.п.</v>
      </c>
      <c r="C1048" s="1799" t="n">
        <f aca="false">C586</f>
        <v>0.4</v>
      </c>
      <c r="D1048" s="1799" t="n">
        <f aca="false">D586</f>
        <v>0.045</v>
      </c>
      <c r="E1048" s="1799" t="n">
        <f aca="false">IF('Ввод данных'!$A$463=связи1!$A$96,IF(дома!E1047&lt;связи1!$F$576,0,дома!E1047-$F$881),0)+IF(дома!E1047=0,0,IF('Ввод данных'!$A$463=связи1!$A$95,IF(дома!E1047&lt;0,0,дома!E1047-$F$881),0))+IF('Ввод данных'!$A$463=связи1!$A$98,IF(дома!E1047&lt;связи1!$F$576,0,дома!E1047-$F$881),0)</f>
        <v>0</v>
      </c>
      <c r="F1048" s="1799" t="n">
        <f aca="false">2*VLOOKUP('Ввод данных'!$C$79,связи1!$A$2:$B$3,2,0)</f>
        <v>0</v>
      </c>
      <c r="G1048" s="1344" t="n">
        <f aca="false">C1048*D1048*E1048*F1048</f>
        <v>0</v>
      </c>
      <c r="H1048" s="1344"/>
      <c r="I1048" s="1344"/>
      <c r="J1048" s="1344"/>
      <c r="K1048" s="1344"/>
      <c r="L1048" s="1344"/>
      <c r="M1048" s="1344"/>
      <c r="N1048" s="1344"/>
      <c r="O1048" s="1344"/>
      <c r="P1048" s="1707"/>
      <c r="Q1048" s="1707"/>
      <c r="R1048" s="1707"/>
      <c r="S1048" s="1344"/>
      <c r="T1048" s="1344"/>
      <c r="U1048" s="1753"/>
      <c r="V1048" s="1344"/>
      <c r="W1048" s="1344"/>
      <c r="X1048" s="1344"/>
      <c r="Y1048" s="1707"/>
      <c r="Z1048" s="1707"/>
      <c r="AA1048" s="1344"/>
      <c r="AB1048" s="1344"/>
      <c r="AC1048" s="1344"/>
      <c r="AD1048" s="1344"/>
    </row>
    <row r="1049" s="1709" customFormat="true" ht="15.75" hidden="true" customHeight="true" outlineLevel="1" collapsed="false">
      <c r="A1049" s="1799" t="s">
        <v>3531</v>
      </c>
      <c r="B1049" s="1294" t="str">
        <f aca="false">B587</f>
        <v>м.п.</v>
      </c>
      <c r="C1049" s="1799" t="n">
        <f aca="false">C587</f>
        <v>0.4</v>
      </c>
      <c r="D1049" s="1799" t="n">
        <f aca="false">D587</f>
        <v>0.045</v>
      </c>
      <c r="E1049" s="1799" t="n">
        <f aca="false">IF('Ввод данных'!$A$463=связи1!$A$96,IF(дома!E1048&lt;связи1!$F$576,0,дома!E1048-$F$881),0)+IF(дома!E1048=0,0,IF('Ввод данных'!$A$463=связи1!$A$95,IF(дома!E1048&lt;0,0,дома!E1048-$F$881),0))+IF('Ввод данных'!$A$463=связи1!$A$98,IF(дома!E1048&lt;связи1!$F$576,0,дома!E1048-$F$881),0)</f>
        <v>0</v>
      </c>
      <c r="F1049" s="1799" t="n">
        <f aca="false">2*VLOOKUP('Ввод данных'!$C$79,связи1!$A$2:$B$3,2,0)</f>
        <v>0</v>
      </c>
      <c r="G1049" s="1344" t="n">
        <f aca="false">C1049*D1049*E1049*F1049</f>
        <v>0</v>
      </c>
      <c r="H1049" s="1344"/>
      <c r="I1049" s="1344"/>
      <c r="J1049" s="1344"/>
      <c r="K1049" s="1344"/>
      <c r="L1049" s="1344"/>
      <c r="M1049" s="1344"/>
      <c r="N1049" s="1344"/>
      <c r="O1049" s="1344"/>
      <c r="P1049" s="1707"/>
      <c r="Q1049" s="1707"/>
      <c r="R1049" s="1707"/>
      <c r="S1049" s="1344"/>
      <c r="T1049" s="1344"/>
      <c r="U1049" s="1753"/>
      <c r="V1049" s="1344"/>
      <c r="W1049" s="1344"/>
      <c r="X1049" s="1344"/>
      <c r="Y1049" s="1707"/>
      <c r="Z1049" s="1707"/>
      <c r="AA1049" s="1344"/>
      <c r="AB1049" s="1344"/>
      <c r="AC1049" s="1344"/>
      <c r="AD1049" s="1344"/>
    </row>
    <row r="1050" s="1709" customFormat="true" ht="15.75" hidden="true" customHeight="true" outlineLevel="1" collapsed="false">
      <c r="A1050" s="1799" t="s">
        <v>3532</v>
      </c>
      <c r="B1050" s="1294" t="str">
        <f aca="false">B588</f>
        <v>м.п.</v>
      </c>
      <c r="C1050" s="1799" t="n">
        <f aca="false">C588</f>
        <v>0.4</v>
      </c>
      <c r="D1050" s="1799" t="n">
        <f aca="false">D588</f>
        <v>0.045</v>
      </c>
      <c r="E1050" s="1799" t="n">
        <f aca="false">IF('Ввод данных'!$A$463=связи1!$A$96,IF(дома!E1049&lt;связи1!$F$576,0,дома!E1049-$F$881),0)+IF(дома!E1049=0,0,IF('Ввод данных'!$A$463=связи1!$A$95,IF(дома!E1049&lt;0,0,дома!E1049-$F$881),0))+IF('Ввод данных'!$A$463=связи1!$A$98,IF(дома!E1049&lt;связи1!$F$576,0,дома!E1049-$F$881),0)</f>
        <v>0</v>
      </c>
      <c r="F1050" s="1799" t="n">
        <f aca="false">2*VLOOKUP('Ввод данных'!$C$79,связи1!$A$2:$B$3,2,0)</f>
        <v>0</v>
      </c>
      <c r="G1050" s="1344" t="n">
        <f aca="false">C1050*D1050*E1050*F1050</f>
        <v>0</v>
      </c>
      <c r="H1050" s="1344"/>
      <c r="I1050" s="1344"/>
      <c r="J1050" s="1344"/>
      <c r="K1050" s="1344"/>
      <c r="L1050" s="1344"/>
      <c r="M1050" s="1344"/>
      <c r="N1050" s="1344"/>
      <c r="O1050" s="1344"/>
      <c r="P1050" s="1707"/>
      <c r="Q1050" s="1707"/>
      <c r="R1050" s="1707"/>
      <c r="S1050" s="1344"/>
      <c r="T1050" s="1344"/>
      <c r="U1050" s="1753"/>
      <c r="V1050" s="1344"/>
      <c r="W1050" s="1344"/>
      <c r="X1050" s="1344"/>
      <c r="Y1050" s="1707"/>
      <c r="Z1050" s="1707"/>
      <c r="AA1050" s="1344"/>
      <c r="AB1050" s="1344"/>
      <c r="AC1050" s="1344"/>
      <c r="AD1050" s="1344"/>
    </row>
    <row r="1051" s="1709" customFormat="true" ht="15.75" hidden="true" customHeight="true" outlineLevel="1" collapsed="false">
      <c r="A1051" s="1799" t="s">
        <v>3533</v>
      </c>
      <c r="B1051" s="1294" t="str">
        <f aca="false">B589</f>
        <v>м.п.</v>
      </c>
      <c r="C1051" s="1799" t="n">
        <f aca="false">C589</f>
        <v>0.4</v>
      </c>
      <c r="D1051" s="1799" t="n">
        <f aca="false">D589</f>
        <v>0.045</v>
      </c>
      <c r="E1051" s="1799" t="n">
        <f aca="false">IF('Ввод данных'!$A$463=связи1!$A$96,IF(дома!E1050&lt;связи1!$F$576,0,дома!E1050-$F$881),0)+IF(дома!E1050=0,0,IF('Ввод данных'!$A$463=связи1!$A$95,IF(дома!E1050&lt;0,0,дома!E1050-$F$881),0))+IF('Ввод данных'!$A$463=связи1!$A$98,IF(дома!E1050&lt;связи1!$F$576,0,дома!E1050-$F$881),0)</f>
        <v>0</v>
      </c>
      <c r="F1051" s="1799" t="n">
        <f aca="false">2*VLOOKUP('Ввод данных'!$C$79,связи1!$A$2:$B$3,2,0)</f>
        <v>0</v>
      </c>
      <c r="G1051" s="1344" t="n">
        <f aca="false">C1051*D1051*E1051*F1051</f>
        <v>0</v>
      </c>
      <c r="H1051" s="1344"/>
      <c r="I1051" s="1344"/>
      <c r="J1051" s="1344"/>
      <c r="K1051" s="1344"/>
      <c r="L1051" s="1344"/>
      <c r="M1051" s="1344"/>
      <c r="N1051" s="1344"/>
      <c r="O1051" s="1344"/>
      <c r="P1051" s="1707"/>
      <c r="Q1051" s="1707"/>
      <c r="R1051" s="1707"/>
      <c r="S1051" s="1344"/>
      <c r="T1051" s="1344"/>
      <c r="U1051" s="1753"/>
      <c r="V1051" s="1344"/>
      <c r="W1051" s="1344"/>
      <c r="X1051" s="1344"/>
      <c r="Y1051" s="1707"/>
      <c r="Z1051" s="1707"/>
      <c r="AA1051" s="1344"/>
      <c r="AB1051" s="1344"/>
      <c r="AC1051" s="1344"/>
      <c r="AD1051" s="1344"/>
    </row>
    <row r="1052" s="1798" customFormat="true" ht="15.75" hidden="true" customHeight="true" outlineLevel="1" collapsed="false">
      <c r="A1052" s="1819" t="s">
        <v>3537</v>
      </c>
      <c r="B1052" s="1821"/>
      <c r="C1052" s="1821"/>
      <c r="D1052" s="1822"/>
      <c r="E1052" s="1823"/>
      <c r="F1052" s="1823" t="n">
        <f aca="false">пристройка!R90</f>
        <v>0</v>
      </c>
      <c r="G1052" s="1822"/>
      <c r="H1052" s="1822"/>
      <c r="I1052" s="1822"/>
      <c r="J1052" s="1822"/>
      <c r="K1052" s="1822"/>
      <c r="L1052" s="1822"/>
      <c r="M1052" s="1822"/>
      <c r="N1052" s="1822"/>
      <c r="O1052" s="1795" t="n">
        <f aca="false">SUM(O620:O862)</f>
        <v>2.0476975</v>
      </c>
      <c r="P1052" s="1737"/>
      <c r="Q1052" s="1737"/>
      <c r="R1052" s="1737"/>
      <c r="S1052" s="1795"/>
      <c r="T1052" s="1795" t="n">
        <f aca="false">SUM(T620:T862)</f>
        <v>17.4210875</v>
      </c>
      <c r="U1052" s="1797"/>
      <c r="V1052" s="1795" t="n">
        <f aca="false">SUM(V620:V862)</f>
        <v>0</v>
      </c>
      <c r="W1052" s="1795"/>
      <c r="X1052" s="1795"/>
      <c r="Y1052" s="1737" t="n">
        <f aca="false">SUM(Y620:Y862)</f>
        <v>0.04437</v>
      </c>
      <c r="Z1052" s="1737"/>
      <c r="AA1052" s="1795"/>
      <c r="AB1052" s="1795"/>
      <c r="AC1052" s="1795"/>
      <c r="AD1052" s="1795"/>
      <c r="AE1052" s="1798" t="n">
        <f aca="false">O1052+T1052+V1052+Y1052</f>
        <v>19.513155</v>
      </c>
    </row>
    <row r="1053" s="1798" customFormat="true" ht="15.75" hidden="true" customHeight="true" outlineLevel="1" collapsed="false">
      <c r="A1053" s="1819" t="s">
        <v>3538</v>
      </c>
      <c r="B1053" s="1821"/>
      <c r="C1053" s="1821"/>
      <c r="D1053" s="1822"/>
      <c r="E1053" s="1823"/>
      <c r="F1053" s="1823" t="n">
        <f aca="false">пристройка!R93</f>
        <v>0</v>
      </c>
      <c r="G1053" s="1822"/>
      <c r="H1053" s="1869"/>
      <c r="I1053" s="1869"/>
      <c r="J1053" s="1822"/>
      <c r="K1053" s="1822"/>
      <c r="L1053" s="1822"/>
      <c r="M1053" s="1822"/>
      <c r="N1053" s="1822"/>
      <c r="O1053" s="1795"/>
      <c r="P1053" s="1737"/>
      <c r="Q1053" s="1737"/>
      <c r="R1053" s="1737"/>
      <c r="S1053" s="1795"/>
      <c r="T1053" s="1795"/>
      <c r="U1053" s="1797"/>
      <c r="V1053" s="1795"/>
      <c r="W1053" s="1795"/>
      <c r="X1053" s="1795"/>
      <c r="Y1053" s="1737"/>
      <c r="Z1053" s="1737"/>
      <c r="AA1053" s="1795"/>
      <c r="AB1053" s="1795"/>
      <c r="AC1053" s="1795"/>
      <c r="AD1053" s="1795"/>
    </row>
    <row r="1054" s="1798" customFormat="true" ht="15.75" hidden="true" customHeight="true" outlineLevel="1" collapsed="false">
      <c r="A1054" s="1819" t="s">
        <v>3030</v>
      </c>
      <c r="B1054" s="1821"/>
      <c r="C1054" s="1821"/>
      <c r="D1054" s="1822"/>
      <c r="E1054" s="1823"/>
      <c r="F1054" s="1823" t="n">
        <f aca="false">пристройка!R88</f>
        <v>0</v>
      </c>
      <c r="G1054" s="1822" t="s">
        <v>3380</v>
      </c>
      <c r="H1054" s="1869"/>
      <c r="I1054" s="1869" t="n">
        <f aca="false">пристройка!R98</f>
        <v>0</v>
      </c>
      <c r="J1054" s="1822"/>
      <c r="K1054" s="1822"/>
      <c r="L1054" s="1822"/>
      <c r="M1054" s="1822"/>
      <c r="N1054" s="1822"/>
      <c r="O1054" s="1795"/>
      <c r="P1054" s="1737"/>
      <c r="Q1054" s="1737"/>
      <c r="R1054" s="1737"/>
      <c r="S1054" s="1795"/>
      <c r="T1054" s="1795"/>
      <c r="U1054" s="1797"/>
      <c r="V1054" s="1795"/>
      <c r="W1054" s="1795"/>
      <c r="X1054" s="1795"/>
      <c r="Y1054" s="1737"/>
      <c r="Z1054" s="1737"/>
      <c r="AA1054" s="1795"/>
      <c r="AB1054" s="1795"/>
      <c r="AC1054" s="1795"/>
      <c r="AD1054" s="1795"/>
    </row>
    <row r="1055" s="1798" customFormat="true" ht="15.75" hidden="true" customHeight="true" outlineLevel="1" collapsed="false">
      <c r="A1055" s="1819" t="s">
        <v>3539</v>
      </c>
      <c r="B1055" s="1821"/>
      <c r="C1055" s="1821"/>
      <c r="D1055" s="1822"/>
      <c r="E1055" s="1823"/>
      <c r="F1055" s="1824" t="n">
        <f aca="false">F1052+F1053+F1054</f>
        <v>0</v>
      </c>
      <c r="G1055" s="1822"/>
      <c r="H1055" s="1869"/>
      <c r="I1055" s="1869"/>
      <c r="J1055" s="1822"/>
      <c r="K1055" s="1822"/>
      <c r="L1055" s="1822"/>
      <c r="M1055" s="1822"/>
      <c r="N1055" s="1822"/>
      <c r="O1055" s="1795"/>
      <c r="P1055" s="1737"/>
      <c r="Q1055" s="1737"/>
      <c r="R1055" s="1737"/>
      <c r="S1055" s="1795"/>
      <c r="T1055" s="1795"/>
      <c r="U1055" s="1797"/>
      <c r="V1055" s="1795"/>
      <c r="W1055" s="1795"/>
      <c r="X1055" s="1795"/>
      <c r="Y1055" s="1737"/>
      <c r="Z1055" s="1737"/>
      <c r="AA1055" s="1795"/>
      <c r="AB1055" s="1795"/>
      <c r="AC1055" s="1795"/>
      <c r="AD1055" s="1795"/>
    </row>
    <row r="1056" s="1798" customFormat="true" ht="15.75" hidden="true" customHeight="true" outlineLevel="1" collapsed="false">
      <c r="A1056" s="1819" t="s">
        <v>3540</v>
      </c>
      <c r="B1056" s="1821"/>
      <c r="C1056" s="1821"/>
      <c r="D1056" s="1822"/>
      <c r="E1056" s="1823"/>
      <c r="F1056" s="1823" t="n">
        <f aca="false">F1052+F1054</f>
        <v>0</v>
      </c>
      <c r="G1056" s="1822"/>
      <c r="H1056" s="1869"/>
      <c r="I1056" s="1869"/>
      <c r="J1056" s="1822"/>
      <c r="K1056" s="1822"/>
      <c r="L1056" s="1822"/>
      <c r="M1056" s="1822"/>
      <c r="N1056" s="1822"/>
      <c r="O1056" s="1795"/>
      <c r="P1056" s="1737"/>
      <c r="Q1056" s="1737"/>
      <c r="R1056" s="1737"/>
      <c r="S1056" s="1795"/>
      <c r="T1056" s="1795"/>
      <c r="U1056" s="1797"/>
      <c r="V1056" s="1795"/>
      <c r="W1056" s="1795"/>
      <c r="X1056" s="1795"/>
      <c r="Y1056" s="1737"/>
      <c r="Z1056" s="1737"/>
      <c r="AA1056" s="1795"/>
      <c r="AB1056" s="1795"/>
      <c r="AC1056" s="1795"/>
      <c r="AD1056" s="1795"/>
    </row>
    <row r="1057" s="1798" customFormat="true" ht="15.75" hidden="true" customHeight="true" outlineLevel="1" collapsed="false">
      <c r="A1057" s="1825" t="s">
        <v>3376</v>
      </c>
      <c r="B1057" s="1870"/>
      <c r="C1057" s="1870"/>
      <c r="D1057" s="1825"/>
      <c r="E1057" s="1825"/>
      <c r="F1057" s="1825" t="n">
        <f aca="false">C1253*D1229</f>
        <v>0</v>
      </c>
      <c r="G1057" s="1825"/>
      <c r="H1057" s="1871"/>
      <c r="I1057" s="1871"/>
      <c r="J1057" s="1825"/>
      <c r="K1057" s="1825"/>
      <c r="L1057" s="1825"/>
      <c r="M1057" s="1825"/>
      <c r="N1057" s="1825"/>
      <c r="O1057" s="1755" t="s">
        <v>3380</v>
      </c>
      <c r="P1057" s="1755" t="s">
        <v>3541</v>
      </c>
      <c r="Q1057" s="1756"/>
      <c r="R1057" s="1756"/>
      <c r="S1057" s="1755"/>
      <c r="T1057" s="1755" t="n">
        <f aca="false">T834+T840+T845+T850+T855</f>
        <v>16.55</v>
      </c>
      <c r="U1057" s="1872" t="s">
        <v>2477</v>
      </c>
      <c r="V1057" s="1846" t="n">
        <f aca="false">T1057-Y1057</f>
        <v>16.55</v>
      </c>
      <c r="W1057" s="1795"/>
      <c r="X1057" s="1795"/>
      <c r="Y1057" s="1756" t="n">
        <f aca="false">Y850+Y840</f>
        <v>0</v>
      </c>
      <c r="Z1057" s="1755" t="s">
        <v>3392</v>
      </c>
      <c r="AA1057" s="1755"/>
      <c r="AB1057" s="1755"/>
      <c r="AC1057" s="1755"/>
      <c r="AD1057" s="1755"/>
      <c r="AE1057" s="1873"/>
    </row>
    <row r="1058" s="1798" customFormat="true" ht="15.75" hidden="true" customHeight="true" outlineLevel="1" collapsed="false">
      <c r="A1058" s="1825" t="s">
        <v>3542</v>
      </c>
      <c r="B1058" s="1870"/>
      <c r="C1058" s="1870"/>
      <c r="D1058" s="1825"/>
      <c r="E1058" s="1825"/>
      <c r="F1058" s="1825" t="n">
        <f aca="false">C1257*D1229</f>
        <v>0</v>
      </c>
      <c r="G1058" s="1825"/>
      <c r="H1058" s="1871"/>
      <c r="I1058" s="1871"/>
      <c r="J1058" s="1825"/>
      <c r="K1058" s="1825"/>
      <c r="L1058" s="1825"/>
      <c r="M1058" s="1825"/>
      <c r="N1058" s="1825"/>
      <c r="O1058" s="1755"/>
      <c r="P1058" s="1755"/>
      <c r="Q1058" s="1756"/>
      <c r="R1058" s="1756"/>
      <c r="S1058" s="1755"/>
      <c r="T1058" s="1755"/>
      <c r="U1058" s="1872"/>
      <c r="V1058" s="1846"/>
      <c r="W1058" s="1795"/>
      <c r="X1058" s="1795"/>
      <c r="Y1058" s="1756"/>
      <c r="Z1058" s="1755"/>
      <c r="AA1058" s="1755"/>
      <c r="AB1058" s="1874"/>
      <c r="AC1058" s="1874"/>
      <c r="AD1058" s="1874"/>
      <c r="AE1058" s="1873"/>
    </row>
    <row r="1059" s="1798" customFormat="true" ht="15.75" hidden="true" customHeight="true" outlineLevel="1" collapsed="false">
      <c r="A1059" s="1825" t="s">
        <v>3543</v>
      </c>
      <c r="B1059" s="1870"/>
      <c r="C1059" s="1870"/>
      <c r="D1059" s="1825"/>
      <c r="E1059" s="1825"/>
      <c r="F1059" s="1875" t="n">
        <f aca="false">F1057+F1058</f>
        <v>0</v>
      </c>
      <c r="G1059" s="1825" t="s">
        <v>3380</v>
      </c>
      <c r="H1059" s="1871"/>
      <c r="I1059" s="1871" t="n">
        <f aca="false">C1254*D1229</f>
        <v>0</v>
      </c>
      <c r="J1059" s="1825"/>
      <c r="K1059" s="1825"/>
      <c r="L1059" s="1825"/>
      <c r="M1059" s="1825"/>
      <c r="N1059" s="1825"/>
      <c r="O1059" s="1755"/>
      <c r="P1059" s="1755"/>
      <c r="Q1059" s="1756"/>
      <c r="R1059" s="1756"/>
      <c r="S1059" s="1755"/>
      <c r="T1059" s="1755"/>
      <c r="U1059" s="1872"/>
      <c r="V1059" s="1846"/>
      <c r="W1059" s="1795"/>
      <c r="X1059" s="1795"/>
      <c r="Y1059" s="1756"/>
      <c r="Z1059" s="1755"/>
      <c r="AA1059" s="1755"/>
      <c r="AB1059" s="1874"/>
      <c r="AC1059" s="1874"/>
      <c r="AD1059" s="1874"/>
      <c r="AE1059" s="1873"/>
    </row>
    <row r="1060" s="1798" customFormat="true" ht="15.75" hidden="true" customHeight="true" outlineLevel="1" collapsed="false">
      <c r="A1060" s="1825" t="s">
        <v>3540</v>
      </c>
      <c r="B1060" s="1870"/>
      <c r="C1060" s="1870"/>
      <c r="D1060" s="1825"/>
      <c r="E1060" s="1825"/>
      <c r="F1060" s="1825" t="n">
        <f aca="false">C1253*D1229</f>
        <v>0</v>
      </c>
      <c r="G1060" s="1825"/>
      <c r="H1060" s="1871"/>
      <c r="I1060" s="1871"/>
      <c r="J1060" s="1825"/>
      <c r="K1060" s="1825"/>
      <c r="L1060" s="1825"/>
      <c r="M1060" s="1825"/>
      <c r="N1060" s="1825"/>
      <c r="O1060" s="1755"/>
      <c r="P1060" s="1755"/>
      <c r="Q1060" s="1756"/>
      <c r="R1060" s="1756"/>
      <c r="S1060" s="1755"/>
      <c r="T1060" s="1755"/>
      <c r="U1060" s="1872"/>
      <c r="V1060" s="1846"/>
      <c r="W1060" s="1795"/>
      <c r="X1060" s="1795"/>
      <c r="Y1060" s="1756"/>
      <c r="Z1060" s="1755"/>
      <c r="AA1060" s="1755"/>
      <c r="AB1060" s="1874"/>
      <c r="AC1060" s="1874"/>
      <c r="AD1060" s="1874"/>
      <c r="AE1060" s="1873"/>
    </row>
    <row r="1061" customFormat="false" ht="15.75" hidden="true" customHeight="true" outlineLevel="1" collapsed="false">
      <c r="A1061" s="1829" t="s">
        <v>3381</v>
      </c>
      <c r="B1061" s="1876"/>
      <c r="C1061" s="1877"/>
      <c r="D1061" s="1832"/>
      <c r="E1061" s="1832"/>
      <c r="F1061" s="1832" t="n">
        <f aca="false">F626</f>
        <v>51.2</v>
      </c>
      <c r="G1061" s="1832"/>
      <c r="H1061" s="1832"/>
      <c r="I1061" s="1878"/>
      <c r="J1061" s="1877"/>
      <c r="K1061" s="1879"/>
      <c r="L1061" s="1879"/>
      <c r="M1061" s="1879"/>
      <c r="N1061" s="1879"/>
      <c r="O1061" s="1737"/>
      <c r="P1061" s="1737"/>
      <c r="Q1061" s="1737"/>
      <c r="R1061" s="1795"/>
      <c r="S1061" s="1795"/>
      <c r="T1061" s="1795"/>
      <c r="U1061" s="1737"/>
      <c r="V1061" s="1737"/>
      <c r="W1061" s="1737"/>
      <c r="X1061" s="1737"/>
      <c r="Y1061" s="1737"/>
      <c r="Z1061" s="1795"/>
      <c r="AA1061" s="1795"/>
    </row>
    <row r="1062" customFormat="false" ht="15.75" hidden="true" customHeight="true" outlineLevel="1" collapsed="false">
      <c r="A1062" s="1829" t="s">
        <v>3382</v>
      </c>
      <c r="B1062" s="1877"/>
      <c r="C1062" s="1877"/>
      <c r="D1062" s="1832"/>
      <c r="E1062" s="1832"/>
      <c r="F1062" s="1832" t="n">
        <f aca="false">F836+F837+F838+F839+F846+F847+F848+F849</f>
        <v>32.5</v>
      </c>
      <c r="G1062" s="1832"/>
      <c r="H1062" s="1832"/>
      <c r="I1062" s="1878"/>
      <c r="J1062" s="1877"/>
      <c r="K1062" s="1879"/>
      <c r="L1062" s="1879"/>
      <c r="M1062" s="1879"/>
      <c r="N1062" s="1879"/>
      <c r="O1062" s="1737"/>
      <c r="P1062" s="1737"/>
      <c r="Q1062" s="1737"/>
      <c r="R1062" s="1795"/>
      <c r="S1062" s="1795"/>
      <c r="T1062" s="1795"/>
      <c r="U1062" s="1737"/>
      <c r="V1062" s="1737"/>
      <c r="W1062" s="1737"/>
      <c r="X1062" s="1737"/>
      <c r="Y1062" s="1737"/>
      <c r="Z1062" s="1795"/>
      <c r="AA1062" s="1795"/>
    </row>
    <row r="1063" customFormat="false" ht="15.75" hidden="true" customHeight="true" outlineLevel="1" collapsed="false">
      <c r="A1063" s="1829" t="s">
        <v>3383</v>
      </c>
      <c r="B1063" s="1877"/>
      <c r="C1063" s="1877"/>
      <c r="D1063" s="1832"/>
      <c r="E1063" s="1832"/>
      <c r="F1063" s="1832" t="n">
        <f aca="false">F841+F842+F843+F844+F851+F852+F853+F854</f>
        <v>0</v>
      </c>
      <c r="G1063" s="1832"/>
      <c r="H1063" s="1832"/>
      <c r="I1063" s="1878"/>
      <c r="J1063" s="1877"/>
      <c r="K1063" s="1877"/>
      <c r="L1063" s="1877"/>
      <c r="M1063" s="1877"/>
      <c r="N1063" s="1877"/>
      <c r="O1063" s="1737"/>
      <c r="P1063" s="1737"/>
      <c r="Q1063" s="1737"/>
      <c r="R1063" s="1737"/>
      <c r="S1063" s="1737"/>
      <c r="T1063" s="1737"/>
      <c r="U1063" s="1737"/>
      <c r="V1063" s="1737"/>
      <c r="W1063" s="1737"/>
      <c r="X1063" s="1737"/>
      <c r="Y1063" s="1737"/>
      <c r="Z1063" s="1795"/>
      <c r="AA1063" s="1795"/>
    </row>
    <row r="1064" customFormat="false" ht="15.75" hidden="true" customHeight="true" outlineLevel="1" collapsed="false">
      <c r="A1064" s="1829" t="s">
        <v>3384</v>
      </c>
      <c r="B1064" s="1877"/>
      <c r="C1064" s="1877"/>
      <c r="D1064" s="1832"/>
      <c r="E1064" s="1832"/>
      <c r="F1064" s="1875" t="n">
        <f aca="false">F1052+F1057+F1061-E52-E53-E54-E55-E56-E58+F1067-I1059+F1053+F1058-I1054</f>
        <v>51.2</v>
      </c>
      <c r="G1064" s="1832"/>
      <c r="H1064" s="1832"/>
      <c r="I1064" s="1878"/>
      <c r="J1064" s="1877"/>
      <c r="K1064" s="1877"/>
      <c r="L1064" s="1880"/>
      <c r="M1064" s="1880"/>
      <c r="N1064" s="1880"/>
      <c r="O1064" s="1881"/>
      <c r="P1064" s="1881"/>
      <c r="Q1064" s="1881"/>
      <c r="R1064" s="1881"/>
      <c r="S1064" s="1881"/>
      <c r="T1064" s="1881"/>
      <c r="U1064" s="1881"/>
      <c r="V1064" s="1881"/>
      <c r="W1064" s="1881"/>
      <c r="X1064" s="1881"/>
      <c r="Y1064" s="1881"/>
      <c r="Z1064" s="1882"/>
      <c r="AA1064" s="1882"/>
    </row>
    <row r="1065" customFormat="false" ht="15.75" hidden="true" customHeight="true" outlineLevel="1" collapsed="false">
      <c r="A1065" s="1829" t="s">
        <v>3544</v>
      </c>
      <c r="B1065" s="1877"/>
      <c r="C1065" s="1877"/>
      <c r="D1065" s="1832"/>
      <c r="E1065" s="1832"/>
      <c r="F1065" s="1875" t="n">
        <f aca="false">F1052+F1057+F1061+F1054-I1054-I1059</f>
        <v>51.2</v>
      </c>
      <c r="G1065" s="1832"/>
      <c r="H1065" s="1832"/>
      <c r="I1065" s="1878"/>
      <c r="J1065" s="1877"/>
      <c r="K1065" s="1877"/>
      <c r="L1065" s="1880"/>
      <c r="M1065" s="1880"/>
      <c r="N1065" s="1880"/>
      <c r="O1065" s="1881"/>
      <c r="P1065" s="1881"/>
      <c r="Q1065" s="1881"/>
      <c r="R1065" s="1881"/>
      <c r="S1065" s="1881"/>
      <c r="T1065" s="1881"/>
      <c r="U1065" s="1881"/>
      <c r="V1065" s="1881"/>
      <c r="W1065" s="1881"/>
      <c r="X1065" s="1881"/>
      <c r="Y1065" s="1881"/>
      <c r="Z1065" s="1882"/>
      <c r="AA1065" s="1882"/>
    </row>
    <row r="1066" customFormat="false" ht="15.75" hidden="true" customHeight="true" outlineLevel="1" collapsed="false">
      <c r="A1066" s="1829" t="s">
        <v>3385</v>
      </c>
      <c r="B1066" s="1883" t="s">
        <v>3386</v>
      </c>
      <c r="C1066" s="1883"/>
      <c r="D1066" s="1834"/>
      <c r="E1066" s="1834"/>
      <c r="F1066" s="1834" t="n">
        <f aca="false">F1052+F1057+F1061-E52-E53-E54-E55-E56-E58-I1059-I1054</f>
        <v>51.2</v>
      </c>
      <c r="G1066" s="1832"/>
      <c r="H1066" s="1832"/>
      <c r="I1066" s="1878"/>
      <c r="J1066" s="1877"/>
      <c r="K1066" s="1877"/>
      <c r="L1066" s="1880"/>
      <c r="M1066" s="1880"/>
      <c r="N1066" s="1880"/>
      <c r="O1066" s="1881"/>
      <c r="P1066" s="1881"/>
      <c r="Q1066" s="1881"/>
      <c r="R1066" s="1881"/>
      <c r="S1066" s="1881"/>
      <c r="T1066" s="1881"/>
      <c r="U1066" s="1881"/>
      <c r="V1066" s="1881"/>
      <c r="W1066" s="1881"/>
      <c r="X1066" s="1881"/>
      <c r="Y1066" s="1881"/>
      <c r="Z1066" s="1882"/>
      <c r="AA1066" s="1882"/>
    </row>
    <row r="1067" customFormat="false" ht="15.75" hidden="true" customHeight="true" outlineLevel="1" collapsed="false">
      <c r="A1067" s="1829" t="s">
        <v>3545</v>
      </c>
      <c r="B1067" s="1877"/>
      <c r="C1067" s="1877"/>
      <c r="D1067" s="1832"/>
      <c r="E1067" s="1832"/>
      <c r="F1067" s="1832" t="n">
        <f aca="false">S834*E45*D45</f>
        <v>0</v>
      </c>
      <c r="G1067" s="1832" t="s">
        <v>137</v>
      </c>
      <c r="H1067" s="1832"/>
      <c r="I1067" s="1878"/>
      <c r="J1067" s="1877"/>
      <c r="K1067" s="1877" t="s">
        <v>3389</v>
      </c>
      <c r="L1067" s="1880"/>
      <c r="M1067" s="1880"/>
      <c r="N1067" s="1880"/>
      <c r="O1067" s="1881"/>
      <c r="P1067" s="1881"/>
      <c r="Q1067" s="1881"/>
      <c r="R1067" s="1881"/>
      <c r="S1067" s="1881"/>
      <c r="T1067" s="1881"/>
      <c r="U1067" s="1881"/>
      <c r="V1067" s="1881"/>
      <c r="W1067" s="1881"/>
      <c r="X1067" s="1881"/>
      <c r="Y1067" s="1881"/>
      <c r="Z1067" s="1882"/>
      <c r="AA1067" s="1882"/>
    </row>
    <row r="1068" customFormat="false" ht="15.75" hidden="true" customHeight="true" outlineLevel="1" collapsed="false">
      <c r="A1068" s="1884" t="s">
        <v>3390</v>
      </c>
      <c r="B1068" s="1885"/>
      <c r="C1068" s="1885"/>
      <c r="D1068" s="1839"/>
      <c r="E1068" s="1839"/>
      <c r="F1068" s="1839" t="n">
        <f aca="false">(S840+S845+S850+S855)*E834</f>
        <v>12.5</v>
      </c>
      <c r="G1068" s="1832" t="n">
        <f aca="false">E620+E621</f>
        <v>1.6</v>
      </c>
      <c r="H1068" s="1832"/>
      <c r="I1068" s="1878" t="n">
        <f aca="false">G1068/D1532*1000</f>
        <v>8</v>
      </c>
      <c r="J1068" s="1877" t="n">
        <f aca="false">CEILING(I1068/3+1,1)</f>
        <v>4</v>
      </c>
      <c r="K1068" s="1877" t="n">
        <f aca="false">F1068*J1068*2</f>
        <v>100</v>
      </c>
      <c r="L1068" s="1880"/>
      <c r="M1068" s="1880"/>
      <c r="N1068" s="1880"/>
      <c r="O1068" s="1881"/>
      <c r="P1068" s="1881"/>
      <c r="Q1068" s="1881"/>
      <c r="R1068" s="1881"/>
      <c r="S1068" s="1881"/>
      <c r="T1068" s="1881"/>
      <c r="U1068" s="1881"/>
      <c r="V1068" s="1881"/>
      <c r="W1068" s="1881"/>
      <c r="X1068" s="1881"/>
      <c r="Y1068" s="1881"/>
      <c r="Z1068" s="1882"/>
      <c r="AA1068" s="1882"/>
    </row>
    <row r="1069" customFormat="false" ht="15.75" hidden="false" customHeight="true" outlineLevel="0" collapsed="false">
      <c r="A1069" s="1886" t="s">
        <v>3546</v>
      </c>
      <c r="B1069" s="1887"/>
      <c r="C1069" s="1887"/>
      <c r="D1069" s="1888"/>
      <c r="E1069" s="1888"/>
      <c r="F1069" s="1888"/>
      <c r="G1069" s="1888"/>
      <c r="H1069" s="1888"/>
      <c r="I1069" s="1889"/>
      <c r="J1069" s="1887"/>
      <c r="K1069" s="1887"/>
      <c r="L1069" s="1890"/>
      <c r="M1069" s="1890"/>
      <c r="N1069" s="1890"/>
      <c r="O1069" s="1891"/>
      <c r="P1069" s="1891"/>
      <c r="Q1069" s="1891"/>
      <c r="R1069" s="1891"/>
      <c r="S1069" s="1891"/>
      <c r="T1069" s="1891"/>
      <c r="U1069" s="1891"/>
      <c r="V1069" s="1891"/>
      <c r="W1069" s="1617"/>
      <c r="X1069" s="1617"/>
      <c r="Y1069" s="1617"/>
    </row>
    <row r="1070" customFormat="false" ht="15.75" hidden="true" customHeight="true" outlineLevel="1" collapsed="false">
      <c r="A1070" s="1892" t="s">
        <v>3547</v>
      </c>
      <c r="B1070" s="1893"/>
      <c r="C1070" s="1893"/>
      <c r="D1070" s="1892"/>
      <c r="E1070" s="1892"/>
      <c r="F1070" s="1892"/>
      <c r="G1070" s="1892"/>
      <c r="H1070" s="1892"/>
      <c r="I1070" s="1892"/>
      <c r="J1070" s="1892"/>
      <c r="K1070" s="1887"/>
      <c r="L1070" s="1890"/>
      <c r="M1070" s="1890"/>
      <c r="N1070" s="1890"/>
      <c r="O1070" s="1891"/>
      <c r="P1070" s="1891"/>
      <c r="Q1070" s="1891"/>
      <c r="R1070" s="1891"/>
      <c r="S1070" s="1891"/>
      <c r="T1070" s="1891"/>
      <c r="U1070" s="1891"/>
      <c r="V1070" s="1891"/>
      <c r="W1070" s="1617"/>
      <c r="X1070" s="1617"/>
      <c r="Y1070" s="1617"/>
    </row>
    <row r="1071" customFormat="false" ht="15.75" hidden="true" customHeight="true" outlineLevel="1" collapsed="false">
      <c r="A1071" s="1886" t="s">
        <v>3548</v>
      </c>
      <c r="B1071" s="1893" t="s">
        <v>12</v>
      </c>
      <c r="C1071" s="1893" t="s">
        <v>267</v>
      </c>
      <c r="D1071" s="1892" t="s">
        <v>271</v>
      </c>
      <c r="E1071" s="1888" t="s">
        <v>318</v>
      </c>
      <c r="F1071" s="1888" t="s">
        <v>319</v>
      </c>
      <c r="G1071" s="1894"/>
      <c r="H1071" s="1894"/>
      <c r="I1071" s="1893" t="s">
        <v>267</v>
      </c>
      <c r="J1071" s="1892" t="s">
        <v>271</v>
      </c>
      <c r="K1071" s="1888" t="s">
        <v>318</v>
      </c>
      <c r="L1071" s="1895"/>
      <c r="M1071" s="1895"/>
      <c r="N1071" s="1895"/>
      <c r="O1071" s="1896" t="s">
        <v>319</v>
      </c>
      <c r="P1071" s="1897"/>
      <c r="Q1071" s="1898" t="s">
        <v>267</v>
      </c>
      <c r="R1071" s="1899" t="s">
        <v>271</v>
      </c>
      <c r="S1071" s="1900" t="s">
        <v>318</v>
      </c>
      <c r="T1071" s="1900" t="s">
        <v>319</v>
      </c>
      <c r="U1071" s="1897"/>
      <c r="V1071" s="1897"/>
      <c r="W1071" s="1631"/>
      <c r="X1071" s="1631"/>
      <c r="Y1071" s="1641"/>
      <c r="Z1071" s="1901"/>
      <c r="AA1071" s="1902"/>
      <c r="AB1071" s="1417"/>
      <c r="AC1071" s="1417"/>
      <c r="AD1071" s="1417"/>
      <c r="AE1071" s="1631"/>
      <c r="AF1071" s="1641"/>
    </row>
    <row r="1072" customFormat="false" ht="15.75" hidden="true" customHeight="true" outlineLevel="1" collapsed="false">
      <c r="A1072" s="1886" t="s">
        <v>3130</v>
      </c>
      <c r="B1072" s="1893" t="s">
        <v>15</v>
      </c>
      <c r="C1072" s="1893" t="n">
        <f aca="false">пристройка!C34</f>
        <v>6</v>
      </c>
      <c r="D1072" s="1892" t="n">
        <f aca="false">пристройка!D34</f>
        <v>3</v>
      </c>
      <c r="E1072" s="1892" t="n">
        <f aca="false">пристройка!E34</f>
        <v>3</v>
      </c>
      <c r="F1072" s="1892" t="n">
        <f aca="false">пристройка!F34</f>
        <v>5</v>
      </c>
      <c r="G1072" s="1889"/>
      <c r="H1072" s="1889"/>
      <c r="I1072" s="1892" t="n">
        <f aca="false">пристройка!H34</f>
        <v>6</v>
      </c>
      <c r="J1072" s="1892" t="n">
        <f aca="false">пристройка!I34</f>
        <v>3</v>
      </c>
      <c r="K1072" s="1892" t="n">
        <f aca="false">пристройка!J34</f>
        <v>3</v>
      </c>
      <c r="L1072" s="1903"/>
      <c r="M1072" s="1903"/>
      <c r="N1072" s="1903"/>
      <c r="O1072" s="1904" t="n">
        <f aca="false">пристройка!K34</f>
        <v>5</v>
      </c>
      <c r="P1072" s="1897"/>
      <c r="Q1072" s="1899" t="n">
        <f aca="false">пристройка!M34</f>
        <v>6</v>
      </c>
      <c r="R1072" s="1899" t="n">
        <f aca="false">пристройка!N34</f>
        <v>3</v>
      </c>
      <c r="S1072" s="1899" t="n">
        <f aca="false">пристройка!O34</f>
        <v>3</v>
      </c>
      <c r="T1072" s="1899" t="n">
        <f aca="false">пристройка!P34</f>
        <v>5</v>
      </c>
      <c r="U1072" s="1897"/>
      <c r="V1072" s="1897"/>
      <c r="W1072" s="1641"/>
      <c r="X1072" s="1641"/>
      <c r="Y1072" s="1295"/>
      <c r="Z1072" s="1902"/>
      <c r="AA1072" s="1902"/>
      <c r="AB1072" s="1417"/>
      <c r="AC1072" s="1417"/>
      <c r="AD1072" s="1417"/>
      <c r="AE1072" s="1641"/>
      <c r="AF1072" s="1295"/>
    </row>
    <row r="1073" customFormat="false" ht="15.75" hidden="true" customHeight="true" outlineLevel="1" collapsed="false">
      <c r="A1073" s="1886" t="s">
        <v>3134</v>
      </c>
      <c r="B1073" s="1893" t="s">
        <v>15</v>
      </c>
      <c r="C1073" s="1893" t="n">
        <f aca="false">пристройка!C33</f>
        <v>3</v>
      </c>
      <c r="D1073" s="1892" t="n">
        <f aca="false">пристройка!D33</f>
        <v>3</v>
      </c>
      <c r="E1073" s="1892" t="n">
        <f aca="false">пристройка!E33</f>
        <v>3</v>
      </c>
      <c r="F1073" s="1892" t="n">
        <f aca="false">пристройка!F33</f>
        <v>3</v>
      </c>
      <c r="G1073" s="1889"/>
      <c r="H1073" s="1889"/>
      <c r="I1073" s="1892" t="n">
        <f aca="false">пристройка!H33</f>
        <v>3</v>
      </c>
      <c r="J1073" s="1892" t="n">
        <f aca="false">пристройка!I33</f>
        <v>3</v>
      </c>
      <c r="K1073" s="1892" t="n">
        <f aca="false">пристройка!J33</f>
        <v>3</v>
      </c>
      <c r="L1073" s="1903"/>
      <c r="M1073" s="1903"/>
      <c r="N1073" s="1903"/>
      <c r="O1073" s="1904" t="n">
        <f aca="false">пристройка!K33</f>
        <v>3</v>
      </c>
      <c r="P1073" s="1897"/>
      <c r="Q1073" s="1899" t="n">
        <f aca="false">пристройка!M33</f>
        <v>3</v>
      </c>
      <c r="R1073" s="1899" t="n">
        <f aca="false">пристройка!N33</f>
        <v>3</v>
      </c>
      <c r="S1073" s="1899" t="n">
        <f aca="false">пристройка!O33</f>
        <v>3</v>
      </c>
      <c r="T1073" s="1899" t="n">
        <f aca="false">пристройка!P33</f>
        <v>3</v>
      </c>
      <c r="U1073" s="1897"/>
      <c r="V1073" s="1897"/>
      <c r="W1073" s="1641"/>
      <c r="X1073" s="1641"/>
      <c r="Y1073" s="1295"/>
      <c r="Z1073" s="1902"/>
      <c r="AA1073" s="1902"/>
      <c r="AB1073" s="1417"/>
      <c r="AC1073" s="1417"/>
      <c r="AD1073" s="1417"/>
      <c r="AE1073" s="1641"/>
      <c r="AF1073" s="1295"/>
    </row>
    <row r="1074" customFormat="false" ht="15.75" hidden="true" customHeight="true" outlineLevel="1" collapsed="false">
      <c r="A1074" s="1886" t="s">
        <v>3135</v>
      </c>
      <c r="B1074" s="1893" t="s">
        <v>15</v>
      </c>
      <c r="C1074" s="1893" t="n">
        <f aca="false">пристройка!C33</f>
        <v>3</v>
      </c>
      <c r="D1074" s="1892" t="n">
        <f aca="false">пристройка!D33</f>
        <v>3</v>
      </c>
      <c r="E1074" s="1892" t="n">
        <f aca="false">пристройка!E33</f>
        <v>3</v>
      </c>
      <c r="F1074" s="1892" t="n">
        <f aca="false">пристройка!F33</f>
        <v>3</v>
      </c>
      <c r="G1074" s="1889"/>
      <c r="H1074" s="1889"/>
      <c r="I1074" s="1892" t="n">
        <f aca="false">пристройка!H33</f>
        <v>3</v>
      </c>
      <c r="J1074" s="1892" t="n">
        <f aca="false">пристройка!I33</f>
        <v>3</v>
      </c>
      <c r="K1074" s="1892" t="n">
        <f aca="false">пристройка!J33</f>
        <v>3</v>
      </c>
      <c r="L1074" s="1903"/>
      <c r="M1074" s="1903"/>
      <c r="N1074" s="1903"/>
      <c r="O1074" s="1904" t="n">
        <f aca="false">пристройка!K33</f>
        <v>3</v>
      </c>
      <c r="P1074" s="1897"/>
      <c r="Q1074" s="1899" t="n">
        <f aca="false">пристройка!M33</f>
        <v>3</v>
      </c>
      <c r="R1074" s="1899" t="n">
        <f aca="false">пристройка!N33</f>
        <v>3</v>
      </c>
      <c r="S1074" s="1899" t="n">
        <f aca="false">пристройка!O33</f>
        <v>3</v>
      </c>
      <c r="T1074" s="1899" t="n">
        <f aca="false">пристройка!P33</f>
        <v>3</v>
      </c>
      <c r="U1074" s="1897"/>
      <c r="V1074" s="1897"/>
      <c r="W1074" s="1641"/>
      <c r="X1074" s="1641"/>
      <c r="Y1074" s="1295"/>
      <c r="Z1074" s="1902"/>
      <c r="AA1074" s="1902"/>
      <c r="AB1074" s="1417"/>
      <c r="AC1074" s="1417"/>
      <c r="AD1074" s="1417"/>
      <c r="AE1074" s="1641"/>
      <c r="AF1074" s="1295"/>
    </row>
    <row r="1075" customFormat="false" ht="15.75" hidden="true" customHeight="true" outlineLevel="1" collapsed="false">
      <c r="A1075" s="1886" t="s">
        <v>3549</v>
      </c>
      <c r="B1075" s="1893"/>
      <c r="C1075" s="1893" t="n">
        <f aca="false">пристройка!C37</f>
        <v>1.2</v>
      </c>
      <c r="D1075" s="1892" t="n">
        <f aca="false">пристройка!D37</f>
        <v>2.9</v>
      </c>
      <c r="E1075" s="1892" t="n">
        <f aca="false">пристройка!E37</f>
        <v>2.9</v>
      </c>
      <c r="F1075" s="1892" t="n">
        <f aca="false">пристройка!F37</f>
        <v>3</v>
      </c>
      <c r="G1075" s="1889"/>
      <c r="H1075" s="1889"/>
      <c r="I1075" s="1892" t="n">
        <f aca="false">пристройка!H37</f>
        <v>1.2</v>
      </c>
      <c r="J1075" s="1892" t="n">
        <f aca="false">пристройка!I37</f>
        <v>2.9</v>
      </c>
      <c r="K1075" s="1892" t="n">
        <f aca="false">пристройка!J37</f>
        <v>2.9</v>
      </c>
      <c r="L1075" s="1903"/>
      <c r="M1075" s="1903"/>
      <c r="N1075" s="1903"/>
      <c r="O1075" s="1904" t="n">
        <f aca="false">пристройка!K37</f>
        <v>3</v>
      </c>
      <c r="P1075" s="1897"/>
      <c r="Q1075" s="1899" t="n">
        <f aca="false">пристройка!M37</f>
        <v>1.2</v>
      </c>
      <c r="R1075" s="1899" t="n">
        <f aca="false">пристройка!N37</f>
        <v>2.9</v>
      </c>
      <c r="S1075" s="1899" t="n">
        <f aca="false">пристройка!O37</f>
        <v>2.9</v>
      </c>
      <c r="T1075" s="1899" t="n">
        <f aca="false">пристройка!P37</f>
        <v>3</v>
      </c>
      <c r="U1075" s="1897"/>
      <c r="V1075" s="1897"/>
      <c r="W1075" s="1641"/>
      <c r="X1075" s="1641"/>
      <c r="Y1075" s="1295"/>
      <c r="Z1075" s="1902"/>
      <c r="AA1075" s="1902"/>
      <c r="AB1075" s="1417"/>
      <c r="AC1075" s="1417"/>
      <c r="AD1075" s="1417"/>
      <c r="AE1075" s="1641"/>
      <c r="AF1075" s="1295"/>
    </row>
    <row r="1076" customFormat="false" ht="15.75" hidden="true" customHeight="true" outlineLevel="1" collapsed="false">
      <c r="A1076" s="1886" t="s">
        <v>3546</v>
      </c>
      <c r="B1076" s="1893"/>
      <c r="C1076" s="1893"/>
      <c r="D1076" s="1892"/>
      <c r="E1076" s="1888"/>
      <c r="F1076" s="1888"/>
      <c r="G1076" s="1894"/>
      <c r="H1076" s="1894"/>
      <c r="I1076" s="1889"/>
      <c r="J1076" s="1893"/>
      <c r="K1076" s="1892"/>
      <c r="L1076" s="1903"/>
      <c r="M1076" s="1903"/>
      <c r="N1076" s="1903"/>
      <c r="O1076" s="1896"/>
      <c r="P1076" s="1897"/>
      <c r="Q1076" s="1905"/>
      <c r="R1076" s="1906"/>
      <c r="S1076" s="1898"/>
      <c r="T1076" s="1899"/>
      <c r="U1076" s="1897"/>
      <c r="V1076" s="1897"/>
      <c r="W1076" s="1631"/>
      <c r="X1076" s="1631"/>
      <c r="Y1076" s="1641"/>
      <c r="Z1076" s="1901"/>
      <c r="AA1076" s="1902"/>
      <c r="AB1076" s="1417"/>
      <c r="AC1076" s="1417"/>
      <c r="AD1076" s="1417"/>
      <c r="AE1076" s="1631"/>
      <c r="AF1076" s="1641"/>
    </row>
    <row r="1077" customFormat="false" ht="15.75" hidden="true" customHeight="true" outlineLevel="1" collapsed="false">
      <c r="A1077" s="1886" t="s">
        <v>3130</v>
      </c>
      <c r="B1077" s="1893" t="s">
        <v>15</v>
      </c>
      <c r="C1077" s="1893" t="n">
        <f aca="false">C1072</f>
        <v>6</v>
      </c>
      <c r="D1077" s="1892" t="n">
        <f aca="false">D1072</f>
        <v>3</v>
      </c>
      <c r="E1077" s="1892" t="n">
        <f aca="false">E1072</f>
        <v>3</v>
      </c>
      <c r="F1077" s="1892" t="n">
        <f aca="false">F1072</f>
        <v>5</v>
      </c>
      <c r="G1077" s="1889"/>
      <c r="H1077" s="1889"/>
      <c r="I1077" s="1892" t="n">
        <f aca="false">I1072</f>
        <v>6</v>
      </c>
      <c r="J1077" s="1892" t="n">
        <f aca="false">J1072</f>
        <v>3</v>
      </c>
      <c r="K1077" s="1892" t="n">
        <f aca="false">K1072</f>
        <v>3</v>
      </c>
      <c r="L1077" s="1903"/>
      <c r="M1077" s="1903"/>
      <c r="N1077" s="1903"/>
      <c r="O1077" s="1904" t="n">
        <f aca="false">O1072</f>
        <v>5</v>
      </c>
      <c r="P1077" s="1897"/>
      <c r="Q1077" s="1899" t="n">
        <f aca="false">Q1072</f>
        <v>6</v>
      </c>
      <c r="R1077" s="1899" t="n">
        <f aca="false">R1072</f>
        <v>3</v>
      </c>
      <c r="S1077" s="1899" t="n">
        <f aca="false">S1072</f>
        <v>3</v>
      </c>
      <c r="T1077" s="1899" t="n">
        <f aca="false">T1072</f>
        <v>5</v>
      </c>
      <c r="U1077" s="1897"/>
      <c r="V1077" s="1897"/>
      <c r="W1077" s="1641"/>
      <c r="X1077" s="1641"/>
      <c r="Y1077" s="1295"/>
      <c r="Z1077" s="1902"/>
      <c r="AA1077" s="1902"/>
      <c r="AB1077" s="1417"/>
      <c r="AC1077" s="1417"/>
      <c r="AD1077" s="1417"/>
      <c r="AE1077" s="1641"/>
      <c r="AF1077" s="1295"/>
    </row>
    <row r="1078" customFormat="false" ht="15.75" hidden="true" customHeight="true" outlineLevel="1" collapsed="false">
      <c r="A1078" s="1886" t="s">
        <v>3398</v>
      </c>
      <c r="B1078" s="1893" t="s">
        <v>15</v>
      </c>
      <c r="C1078" s="1893" t="n">
        <f aca="false">C1073</f>
        <v>3</v>
      </c>
      <c r="D1078" s="1892" t="n">
        <f aca="false">D1073</f>
        <v>3</v>
      </c>
      <c r="E1078" s="1892" t="n">
        <f aca="false">E1073</f>
        <v>3</v>
      </c>
      <c r="F1078" s="1892" t="n">
        <f aca="false">F1073</f>
        <v>3</v>
      </c>
      <c r="G1078" s="1889"/>
      <c r="H1078" s="1889"/>
      <c r="I1078" s="1892" t="n">
        <f aca="false">I1073</f>
        <v>3</v>
      </c>
      <c r="J1078" s="1892" t="n">
        <f aca="false">J1073</f>
        <v>3</v>
      </c>
      <c r="K1078" s="1892" t="n">
        <f aca="false">K1073</f>
        <v>3</v>
      </c>
      <c r="L1078" s="1903"/>
      <c r="M1078" s="1903"/>
      <c r="N1078" s="1903"/>
      <c r="O1078" s="1904" t="n">
        <f aca="false">O1073</f>
        <v>3</v>
      </c>
      <c r="P1078" s="1897"/>
      <c r="Q1078" s="1899" t="n">
        <f aca="false">Q1073</f>
        <v>3</v>
      </c>
      <c r="R1078" s="1899" t="n">
        <f aca="false">R1073</f>
        <v>3</v>
      </c>
      <c r="S1078" s="1899" t="n">
        <f aca="false">S1073</f>
        <v>3</v>
      </c>
      <c r="T1078" s="1899" t="n">
        <f aca="false">T1073</f>
        <v>3</v>
      </c>
      <c r="U1078" s="1897"/>
      <c r="V1078" s="1897"/>
      <c r="W1078" s="1641"/>
      <c r="X1078" s="1641"/>
      <c r="Y1078" s="1295"/>
      <c r="Z1078" s="1902"/>
      <c r="AA1078" s="1902"/>
      <c r="AB1078" s="1417"/>
      <c r="AC1078" s="1417"/>
      <c r="AD1078" s="1417"/>
      <c r="AE1078" s="1641"/>
      <c r="AF1078" s="1295"/>
    </row>
    <row r="1079" customFormat="false" ht="15.75" hidden="true" customHeight="true" outlineLevel="1" collapsed="false">
      <c r="A1079" s="1886" t="s">
        <v>3399</v>
      </c>
      <c r="B1079" s="1893" t="s">
        <v>15</v>
      </c>
      <c r="C1079" s="1893" t="n">
        <f aca="false">C1074</f>
        <v>3</v>
      </c>
      <c r="D1079" s="1892" t="n">
        <f aca="false">D1074</f>
        <v>3</v>
      </c>
      <c r="E1079" s="1892" t="n">
        <f aca="false">E1074</f>
        <v>3</v>
      </c>
      <c r="F1079" s="1892" t="n">
        <f aca="false">F1074</f>
        <v>3</v>
      </c>
      <c r="G1079" s="1889"/>
      <c r="H1079" s="1889"/>
      <c r="I1079" s="1892" t="n">
        <f aca="false">I1074</f>
        <v>3</v>
      </c>
      <c r="J1079" s="1892" t="n">
        <f aca="false">J1074</f>
        <v>3</v>
      </c>
      <c r="K1079" s="1892" t="n">
        <f aca="false">K1074</f>
        <v>3</v>
      </c>
      <c r="L1079" s="1903"/>
      <c r="M1079" s="1903"/>
      <c r="N1079" s="1903"/>
      <c r="O1079" s="1904" t="n">
        <f aca="false">O1074</f>
        <v>3</v>
      </c>
      <c r="P1079" s="1897"/>
      <c r="Q1079" s="1899" t="n">
        <f aca="false">Q1074</f>
        <v>3</v>
      </c>
      <c r="R1079" s="1899" t="n">
        <f aca="false">R1074</f>
        <v>3</v>
      </c>
      <c r="S1079" s="1899" t="n">
        <f aca="false">S1074</f>
        <v>3</v>
      </c>
      <c r="T1079" s="1899" t="n">
        <f aca="false">T1074</f>
        <v>3</v>
      </c>
      <c r="U1079" s="1897"/>
      <c r="V1079" s="1897"/>
      <c r="W1079" s="1641"/>
      <c r="X1079" s="1641"/>
      <c r="Y1079" s="1295"/>
      <c r="Z1079" s="1902"/>
      <c r="AA1079" s="1902"/>
      <c r="AB1079" s="1417"/>
      <c r="AC1079" s="1417"/>
      <c r="AD1079" s="1417"/>
      <c r="AE1079" s="1641"/>
      <c r="AF1079" s="1295"/>
    </row>
    <row r="1080" customFormat="false" ht="15.75" hidden="true" customHeight="true" outlineLevel="1" collapsed="false">
      <c r="A1080" s="1886" t="s">
        <v>3549</v>
      </c>
      <c r="B1080" s="1893"/>
      <c r="C1080" s="1893" t="n">
        <f aca="false">пристройка!C40</f>
        <v>0</v>
      </c>
      <c r="D1080" s="1892" t="n">
        <f aca="false">пристройка!D40</f>
        <v>2.2</v>
      </c>
      <c r="E1080" s="1892" t="n">
        <f aca="false">пристройка!E40</f>
        <v>1.5</v>
      </c>
      <c r="F1080" s="1892" t="n">
        <f aca="false">пристройка!F40</f>
        <v>0</v>
      </c>
      <c r="G1080" s="1889"/>
      <c r="H1080" s="1889"/>
      <c r="I1080" s="1892" t="n">
        <f aca="false">пристройка!H40</f>
        <v>0</v>
      </c>
      <c r="J1080" s="1892" t="n">
        <f aca="false">пристройка!I40</f>
        <v>2.2</v>
      </c>
      <c r="K1080" s="1892" t="n">
        <f aca="false">пристройка!J40</f>
        <v>1.5</v>
      </c>
      <c r="L1080" s="1903"/>
      <c r="M1080" s="1903"/>
      <c r="N1080" s="1903"/>
      <c r="O1080" s="1904" t="n">
        <f aca="false">пристройка!K40</f>
        <v>0</v>
      </c>
      <c r="P1080" s="1897"/>
      <c r="Q1080" s="1899" t="n">
        <f aca="false">пристройка!M40</f>
        <v>0</v>
      </c>
      <c r="R1080" s="1899" t="n">
        <f aca="false">пристройка!N40</f>
        <v>2.2</v>
      </c>
      <c r="S1080" s="1899" t="n">
        <f aca="false">пристройка!O40</f>
        <v>1.5</v>
      </c>
      <c r="T1080" s="1899" t="n">
        <f aca="false">пристройка!P40</f>
        <v>0</v>
      </c>
      <c r="U1080" s="1897"/>
      <c r="V1080" s="1897"/>
      <c r="W1080" s="1641"/>
      <c r="X1080" s="1641"/>
      <c r="Y1080" s="1295"/>
      <c r="Z1080" s="1902"/>
      <c r="AA1080" s="1902"/>
      <c r="AB1080" s="1417"/>
      <c r="AC1080" s="1417"/>
      <c r="AD1080" s="1417"/>
      <c r="AE1080" s="1641"/>
      <c r="AF1080" s="1295"/>
    </row>
    <row r="1081" customFormat="false" ht="15.75" hidden="true" customHeight="true" outlineLevel="1" collapsed="false">
      <c r="A1081" s="1886"/>
      <c r="B1081" s="1893"/>
      <c r="C1081" s="1893"/>
      <c r="D1081" s="1892"/>
      <c r="E1081" s="1888"/>
      <c r="F1081" s="1888"/>
      <c r="G1081" s="1889"/>
      <c r="H1081" s="1889"/>
      <c r="I1081" s="1887"/>
      <c r="J1081" s="1892"/>
      <c r="K1081" s="1892"/>
      <c r="L1081" s="1907"/>
      <c r="M1081" s="1907"/>
      <c r="N1081" s="1907"/>
      <c r="O1081" s="1897"/>
      <c r="P1081" s="1897"/>
      <c r="Q1081" s="1908"/>
      <c r="R1081" s="1909"/>
      <c r="S1081" s="1910"/>
      <c r="T1081" s="1910"/>
      <c r="U1081" s="1897"/>
      <c r="V1081" s="1897"/>
      <c r="W1081" s="1641"/>
      <c r="X1081" s="1641"/>
      <c r="Y1081" s="1295"/>
      <c r="Z1081" s="1902"/>
      <c r="AA1081" s="1902"/>
      <c r="AB1081" s="1417"/>
      <c r="AC1081" s="1417"/>
      <c r="AD1081" s="1417"/>
      <c r="AE1081" s="1641"/>
      <c r="AF1081" s="1295"/>
    </row>
    <row r="1082" customFormat="false" ht="15.75" hidden="false" customHeight="true" outlineLevel="0" collapsed="false">
      <c r="A1082" s="1886" t="s">
        <v>3550</v>
      </c>
      <c r="B1082" s="1893"/>
      <c r="C1082" s="1893"/>
      <c r="D1082" s="1892"/>
      <c r="E1082" s="1888"/>
      <c r="F1082" s="1888"/>
      <c r="G1082" s="1889"/>
      <c r="H1082" s="1889"/>
      <c r="I1082" s="1887"/>
      <c r="J1082" s="1892"/>
      <c r="K1082" s="1892"/>
      <c r="L1082" s="1907"/>
      <c r="M1082" s="1907"/>
      <c r="N1082" s="1907"/>
      <c r="O1082" s="1897"/>
      <c r="P1082" s="1897"/>
      <c r="Q1082" s="1908"/>
      <c r="R1082" s="1909"/>
      <c r="S1082" s="1910"/>
      <c r="T1082" s="1910"/>
      <c r="U1082" s="1897"/>
      <c r="V1082" s="1897"/>
      <c r="W1082" s="1641"/>
      <c r="X1082" s="1641"/>
      <c r="Y1082" s="1295"/>
      <c r="Z1082" s="1902"/>
      <c r="AA1082" s="1902"/>
      <c r="AB1082" s="1417"/>
      <c r="AC1082" s="1417"/>
      <c r="AD1082" s="1417"/>
      <c r="AE1082" s="1641"/>
      <c r="AF1082" s="1295"/>
    </row>
    <row r="1083" s="1709" customFormat="true" ht="15.75" hidden="false" customHeight="true" outlineLevel="0" collapsed="false">
      <c r="A1083" s="1911"/>
      <c r="B1083" s="1912"/>
      <c r="C1083" s="1912"/>
      <c r="D1083" s="1910"/>
      <c r="E1083" s="1897"/>
      <c r="F1083" s="1897"/>
      <c r="G1083" s="1913"/>
      <c r="H1083" s="1913"/>
      <c r="I1083" s="1914"/>
      <c r="J1083" s="1915"/>
      <c r="K1083" s="1915"/>
      <c r="L1083" s="1915"/>
      <c r="M1083" s="1915"/>
      <c r="N1083" s="1915"/>
      <c r="O1083" s="1916"/>
      <c r="P1083" s="1916"/>
      <c r="Q1083" s="1417"/>
      <c r="R1083" s="1417"/>
      <c r="S1083" s="1417"/>
      <c r="T1083" s="1917"/>
      <c r="U1083" s="1914"/>
      <c r="V1083" s="1915"/>
      <c r="W1083" s="1641"/>
      <c r="X1083" s="1641"/>
      <c r="Y1083" s="1295"/>
      <c r="Z1083" s="1902"/>
      <c r="AA1083" s="1902"/>
      <c r="AB1083" s="1417"/>
      <c r="AC1083" s="1417"/>
      <c r="AD1083" s="1417"/>
      <c r="AE1083" s="1641"/>
      <c r="AF1083" s="1295"/>
    </row>
    <row r="1084" customFormat="false" ht="15.75" hidden="true" customHeight="true" outlineLevel="1" collapsed="false">
      <c r="A1084" s="1710" t="s">
        <v>3551</v>
      </c>
      <c r="B1084" s="1732" t="s">
        <v>12</v>
      </c>
      <c r="C1084" s="1732" t="s">
        <v>2773</v>
      </c>
      <c r="D1084" s="1341" t="s">
        <v>3552</v>
      </c>
      <c r="E1084" s="1436"/>
      <c r="F1084" s="1732" t="s">
        <v>3553</v>
      </c>
      <c r="G1084" s="1916"/>
      <c r="H1084" s="1916"/>
      <c r="I1084" s="1913"/>
      <c r="J1084" s="1914"/>
      <c r="K1084" s="1914"/>
      <c r="L1084" s="1914"/>
      <c r="M1084" s="1914"/>
      <c r="N1084" s="1914"/>
      <c r="O1084" s="1918"/>
      <c r="P1084" s="1919"/>
      <c r="Q1084" s="1417"/>
      <c r="R1084" s="1919"/>
      <c r="S1084" s="1919"/>
      <c r="T1084" s="1919"/>
      <c r="U1084" s="1919"/>
      <c r="V1084" s="1919"/>
      <c r="W1084" s="1617"/>
      <c r="X1084" s="1617"/>
      <c r="Y1084" s="1617"/>
    </row>
    <row r="1085" customFormat="false" ht="15.75" hidden="true" customHeight="true" outlineLevel="1" collapsed="false">
      <c r="A1085" s="1733"/>
      <c r="B1085" s="1732" t="s">
        <v>820</v>
      </c>
      <c r="C1085" s="1920" t="s">
        <v>3554</v>
      </c>
      <c r="D1085" s="1733" t="s">
        <v>3555</v>
      </c>
      <c r="E1085" s="1436" t="s">
        <v>3556</v>
      </c>
      <c r="F1085" s="1341" t="n">
        <f aca="false">J91+J96+J101</f>
        <v>64</v>
      </c>
      <c r="G1085" s="1916"/>
      <c r="H1085" s="1916"/>
      <c r="I1085" s="1913"/>
      <c r="J1085" s="1914"/>
      <c r="K1085" s="1914"/>
      <c r="L1085" s="1914"/>
      <c r="M1085" s="1914"/>
      <c r="N1085" s="1914"/>
      <c r="O1085" s="1918"/>
      <c r="P1085" s="1919"/>
      <c r="Q1085" s="1417"/>
      <c r="R1085" s="1919"/>
      <c r="S1085" s="1919"/>
      <c r="T1085" s="1919"/>
      <c r="U1085" s="1919"/>
      <c r="V1085" s="1919"/>
      <c r="W1085" s="1617"/>
      <c r="X1085" s="1617"/>
      <c r="Y1085" s="1617"/>
    </row>
    <row r="1086" customFormat="false" ht="15.75" hidden="true" customHeight="true" outlineLevel="1" collapsed="false">
      <c r="A1086" s="1710" t="s">
        <v>3557</v>
      </c>
      <c r="B1086" s="1732" t="s">
        <v>820</v>
      </c>
      <c r="C1086" s="1920"/>
      <c r="D1086" s="1341"/>
      <c r="E1086" s="1436"/>
      <c r="F1086" s="1341" t="n">
        <f aca="false">F1085</f>
        <v>64</v>
      </c>
      <c r="G1086" s="1916"/>
      <c r="H1086" s="1916"/>
      <c r="I1086" s="1913"/>
      <c r="J1086" s="1914"/>
      <c r="K1086" s="1914"/>
      <c r="L1086" s="1914"/>
      <c r="M1086" s="1914"/>
      <c r="N1086" s="1914"/>
      <c r="O1086" s="1918"/>
      <c r="P1086" s="1919"/>
      <c r="Q1086" s="1417"/>
      <c r="R1086" s="1919"/>
      <c r="S1086" s="1919"/>
      <c r="T1086" s="1919"/>
      <c r="U1086" s="1919"/>
      <c r="V1086" s="1919"/>
      <c r="W1086" s="1617"/>
      <c r="X1086" s="1617"/>
      <c r="Y1086" s="1617"/>
    </row>
    <row r="1087" customFormat="false" ht="15.75" hidden="true" customHeight="true" outlineLevel="1" collapsed="false">
      <c r="A1087" s="1921" t="s">
        <v>2758</v>
      </c>
      <c r="B1087" s="1922" t="s">
        <v>820</v>
      </c>
      <c r="C1087" s="1923" t="n">
        <f aca="false">(C620+C620+C624+C625)*E43+пристройка!R33</f>
        <v>32</v>
      </c>
      <c r="D1087" s="1924" t="n">
        <f aca="false">F1339</f>
        <v>44.8</v>
      </c>
      <c r="E1087" s="1436" t="n">
        <f aca="false">F1340</f>
        <v>21.84</v>
      </c>
      <c r="F1087" s="1924" t="n">
        <f aca="false">J92+J97+J102</f>
        <v>64</v>
      </c>
      <c r="G1087" s="1916"/>
      <c r="H1087" s="1916"/>
      <c r="I1087" s="1913"/>
      <c r="J1087" s="1914"/>
      <c r="K1087" s="1914"/>
      <c r="L1087" s="1914"/>
      <c r="M1087" s="1914"/>
      <c r="N1087" s="1914"/>
      <c r="O1087" s="1918"/>
      <c r="P1087" s="1919"/>
      <c r="Q1087" s="1417"/>
      <c r="R1087" s="1919"/>
      <c r="S1087" s="1919"/>
      <c r="T1087" s="1919"/>
      <c r="U1087" s="1919"/>
      <c r="V1087" s="1919"/>
      <c r="W1087" s="1617"/>
      <c r="X1087" s="1617"/>
      <c r="Y1087" s="1617"/>
    </row>
    <row r="1088" customFormat="false" ht="15.75" hidden="true" customHeight="true" outlineLevel="1" collapsed="false">
      <c r="A1088" s="1921" t="s">
        <v>3558</v>
      </c>
      <c r="B1088" s="1922"/>
      <c r="C1088" s="1923"/>
      <c r="D1088" s="1924"/>
      <c r="E1088" s="1436"/>
      <c r="F1088" s="1924" t="n">
        <v>0</v>
      </c>
      <c r="G1088" s="1916"/>
      <c r="H1088" s="1916"/>
      <c r="I1088" s="1913"/>
      <c r="J1088" s="1914"/>
      <c r="K1088" s="1914"/>
      <c r="L1088" s="1914"/>
      <c r="M1088" s="1914"/>
      <c r="N1088" s="1914"/>
      <c r="O1088" s="1918"/>
      <c r="P1088" s="1919"/>
      <c r="Q1088" s="1417"/>
      <c r="R1088" s="1919"/>
      <c r="S1088" s="1919"/>
      <c r="T1088" s="1919"/>
      <c r="U1088" s="1919"/>
      <c r="V1088" s="1919"/>
      <c r="W1088" s="1617"/>
      <c r="X1088" s="1617"/>
      <c r="Y1088" s="1617"/>
    </row>
    <row r="1089" customFormat="false" ht="15.75" hidden="true" customHeight="true" outlineLevel="1" collapsed="false">
      <c r="A1089" s="1921" t="s">
        <v>3558</v>
      </c>
      <c r="B1089" s="1922"/>
      <c r="C1089" s="1923"/>
      <c r="D1089" s="1924"/>
      <c r="E1089" s="1436"/>
      <c r="F1089" s="1924" t="n">
        <v>0</v>
      </c>
      <c r="G1089" s="1916"/>
      <c r="H1089" s="1916"/>
      <c r="I1089" s="1913"/>
      <c r="J1089" s="1914"/>
      <c r="K1089" s="1914"/>
      <c r="L1089" s="1914"/>
      <c r="M1089" s="1914"/>
      <c r="N1089" s="1914"/>
      <c r="O1089" s="1918"/>
      <c r="P1089" s="1919"/>
      <c r="Q1089" s="1417"/>
      <c r="R1089" s="1919"/>
      <c r="S1089" s="1919"/>
      <c r="T1089" s="1919"/>
      <c r="U1089" s="1919"/>
      <c r="V1089" s="1919"/>
      <c r="W1089" s="1617"/>
      <c r="X1089" s="1617"/>
      <c r="Y1089" s="1617"/>
    </row>
    <row r="1090" customFormat="false" ht="15.75" hidden="true" customHeight="true" outlineLevel="1" collapsed="false">
      <c r="A1090" s="1925" t="s">
        <v>2759</v>
      </c>
      <c r="B1090" s="1926" t="s">
        <v>820</v>
      </c>
      <c r="C1090" s="1927" t="n">
        <f aca="false">(C620+C620+C624+C625)*E44+пристройка!R35</f>
        <v>32</v>
      </c>
      <c r="D1090" s="1928" t="n">
        <f aca="false">R1339</f>
        <v>25.575</v>
      </c>
      <c r="E1090" s="1436" t="n">
        <f aca="false">R1340</f>
        <v>0</v>
      </c>
      <c r="F1090" s="1928" t="n">
        <f aca="false">J93+J98+J103</f>
        <v>0</v>
      </c>
      <c r="G1090" s="1916"/>
      <c r="H1090" s="1916"/>
      <c r="I1090" s="1913"/>
      <c r="J1090" s="1914"/>
      <c r="K1090" s="1914"/>
      <c r="L1090" s="1914"/>
      <c r="M1090" s="1914"/>
      <c r="N1090" s="1914"/>
      <c r="O1090" s="1918"/>
      <c r="P1090" s="1919"/>
      <c r="Q1090" s="1417"/>
      <c r="R1090" s="1919"/>
      <c r="S1090" s="1919"/>
      <c r="T1090" s="1919"/>
      <c r="U1090" s="1919"/>
      <c r="V1090" s="1919"/>
      <c r="W1090" s="1617"/>
      <c r="X1090" s="1617"/>
      <c r="Y1090" s="1617"/>
    </row>
    <row r="1091" customFormat="false" ht="15.75" hidden="true" customHeight="true" outlineLevel="1" collapsed="false">
      <c r="A1091" s="1921" t="s">
        <v>3558</v>
      </c>
      <c r="B1091" s="1926"/>
      <c r="C1091" s="1927"/>
      <c r="D1091" s="1928"/>
      <c r="E1091" s="1436"/>
      <c r="F1091" s="1928" t="n">
        <v>0</v>
      </c>
      <c r="G1091" s="1916"/>
      <c r="H1091" s="1916"/>
      <c r="I1091" s="1913"/>
      <c r="J1091" s="1914"/>
      <c r="K1091" s="1914"/>
      <c r="L1091" s="1914"/>
      <c r="M1091" s="1914"/>
      <c r="N1091" s="1914"/>
      <c r="O1091" s="1918"/>
      <c r="P1091" s="1919"/>
      <c r="Q1091" s="1417"/>
      <c r="R1091" s="1919"/>
      <c r="S1091" s="1919"/>
      <c r="T1091" s="1919"/>
      <c r="U1091" s="1919"/>
      <c r="V1091" s="1919"/>
      <c r="W1091" s="1617"/>
      <c r="X1091" s="1617"/>
      <c r="Y1091" s="1617"/>
    </row>
    <row r="1092" customFormat="false" ht="15.75" hidden="true" customHeight="true" outlineLevel="1" collapsed="false">
      <c r="A1092" s="1921" t="s">
        <v>3558</v>
      </c>
      <c r="B1092" s="1926"/>
      <c r="C1092" s="1927"/>
      <c r="D1092" s="1928"/>
      <c r="E1092" s="1436"/>
      <c r="F1092" s="1928" t="n">
        <v>0</v>
      </c>
      <c r="G1092" s="1916"/>
      <c r="H1092" s="1916"/>
      <c r="I1092" s="1913"/>
      <c r="J1092" s="1914"/>
      <c r="K1092" s="1914"/>
      <c r="L1092" s="1914"/>
      <c r="M1092" s="1914"/>
      <c r="N1092" s="1914"/>
      <c r="O1092" s="1918"/>
      <c r="P1092" s="1919"/>
      <c r="Q1092" s="1417"/>
      <c r="R1092" s="1919"/>
      <c r="S1092" s="1919"/>
      <c r="T1092" s="1919"/>
      <c r="U1092" s="1919"/>
      <c r="V1092" s="1919"/>
      <c r="W1092" s="1617"/>
      <c r="X1092" s="1617"/>
      <c r="Y1092" s="1617"/>
    </row>
    <row r="1093" customFormat="false" ht="15.75" hidden="true" customHeight="true" outlineLevel="1" collapsed="false">
      <c r="A1093" s="1710" t="s">
        <v>2477</v>
      </c>
      <c r="B1093" s="1732"/>
      <c r="C1093" s="1920" t="n">
        <f aca="false">C1087+C1090</f>
        <v>64</v>
      </c>
      <c r="D1093" s="1341" t="n">
        <f aca="false">SUM(D1087:D1090)</f>
        <v>70.375</v>
      </c>
      <c r="E1093" s="1436" t="n">
        <f aca="false">SUM(E1087:E1090)</f>
        <v>21.84</v>
      </c>
      <c r="F1093" s="1341" t="n">
        <f aca="false">F1086+F1087+F1090</f>
        <v>128</v>
      </c>
      <c r="G1093" s="1916"/>
      <c r="H1093" s="1916"/>
      <c r="I1093" s="1913"/>
      <c r="J1093" s="1914"/>
      <c r="K1093" s="1914"/>
      <c r="L1093" s="1914"/>
      <c r="M1093" s="1914"/>
      <c r="N1093" s="1914"/>
      <c r="O1093" s="1918"/>
      <c r="P1093" s="1919"/>
      <c r="Q1093" s="1417"/>
      <c r="R1093" s="1919"/>
      <c r="S1093" s="1919"/>
      <c r="T1093" s="1919"/>
      <c r="U1093" s="1919"/>
      <c r="V1093" s="1919"/>
      <c r="W1093" s="1617"/>
      <c r="X1093" s="1617"/>
      <c r="Y1093" s="1617"/>
    </row>
    <row r="1094" customFormat="false" ht="15.75" hidden="true" customHeight="true" outlineLevel="1" collapsed="false">
      <c r="A1094" s="1710" t="s">
        <v>3138</v>
      </c>
      <c r="B1094" s="1732"/>
      <c r="C1094" s="1920" t="n">
        <v>0.2</v>
      </c>
      <c r="D1094" s="1341" t="n">
        <v>0.15</v>
      </c>
      <c r="E1094" s="1436" t="n">
        <v>0.1</v>
      </c>
      <c r="F1094" s="1341"/>
      <c r="G1094" s="1916"/>
      <c r="H1094" s="1916"/>
      <c r="I1094" s="1913"/>
      <c r="J1094" s="1914"/>
      <c r="K1094" s="1914"/>
      <c r="L1094" s="1914"/>
      <c r="M1094" s="1914"/>
      <c r="N1094" s="1914"/>
      <c r="O1094" s="1918"/>
      <c r="P1094" s="1919"/>
      <c r="Q1094" s="1417"/>
      <c r="R1094" s="1919"/>
      <c r="S1094" s="1919"/>
      <c r="T1094" s="1919"/>
      <c r="U1094" s="1919"/>
      <c r="V1094" s="1919"/>
      <c r="W1094" s="1617"/>
      <c r="X1094" s="1617"/>
      <c r="Y1094" s="1617"/>
    </row>
    <row r="1095" customFormat="false" ht="15.75" hidden="true" customHeight="true" outlineLevel="1" collapsed="false">
      <c r="A1095" s="1710" t="s">
        <v>3559</v>
      </c>
      <c r="B1095" s="1732"/>
      <c r="C1095" s="1920" t="n">
        <f aca="false">(C1087+C1090)*C1094</f>
        <v>12.8</v>
      </c>
      <c r="D1095" s="1341" t="n">
        <f aca="false">D1093*D1094</f>
        <v>10.55625</v>
      </c>
      <c r="E1095" s="1436" t="n">
        <f aca="false">E1093*E1094</f>
        <v>2.184</v>
      </c>
      <c r="F1095" s="1341" t="n">
        <f aca="false">C1095+D1095+E1095</f>
        <v>25.54025</v>
      </c>
      <c r="G1095" s="1916"/>
      <c r="H1095" s="1916"/>
      <c r="I1095" s="1913"/>
      <c r="J1095" s="1914"/>
      <c r="K1095" s="1914"/>
      <c r="L1095" s="1914"/>
      <c r="M1095" s="1914"/>
      <c r="N1095" s="1914"/>
      <c r="O1095" s="1918"/>
      <c r="P1095" s="1919"/>
      <c r="Q1095" s="1417"/>
      <c r="R1095" s="1919"/>
      <c r="S1095" s="1919"/>
      <c r="T1095" s="1919"/>
      <c r="U1095" s="1919"/>
      <c r="V1095" s="1919"/>
      <c r="W1095" s="1617"/>
      <c r="X1095" s="1617"/>
      <c r="Y1095" s="1617"/>
    </row>
    <row r="1096" customFormat="false" ht="15.75" hidden="true" customHeight="true" outlineLevel="1" collapsed="false">
      <c r="A1096" s="1710" t="s">
        <v>3560</v>
      </c>
      <c r="B1096" s="1732" t="s">
        <v>12</v>
      </c>
      <c r="C1096" s="1732" t="s">
        <v>3002</v>
      </c>
      <c r="D1096" s="1341" t="s">
        <v>3003</v>
      </c>
      <c r="E1096" s="1436"/>
      <c r="F1096" s="1732" t="s">
        <v>3561</v>
      </c>
      <c r="G1096" s="1916"/>
      <c r="H1096" s="1916"/>
      <c r="I1096" s="1913"/>
      <c r="J1096" s="1914"/>
      <c r="K1096" s="1914"/>
      <c r="L1096" s="1914"/>
      <c r="M1096" s="1914"/>
      <c r="N1096" s="1914"/>
      <c r="O1096" s="1918"/>
      <c r="P1096" s="1919"/>
      <c r="Q1096" s="1417"/>
      <c r="R1096" s="1919"/>
      <c r="S1096" s="1919"/>
      <c r="T1096" s="1919"/>
      <c r="U1096" s="1919"/>
      <c r="V1096" s="1919"/>
      <c r="W1096" s="1617"/>
      <c r="X1096" s="1617"/>
      <c r="Y1096" s="1617"/>
    </row>
    <row r="1097" customFormat="false" ht="15.75" hidden="true" customHeight="true" outlineLevel="1" collapsed="false">
      <c r="A1097" s="1921" t="s">
        <v>2761</v>
      </c>
      <c r="B1097" s="1922" t="s">
        <v>820</v>
      </c>
      <c r="C1097" s="1923" t="n">
        <f aca="false">K91</f>
        <v>65.08</v>
      </c>
      <c r="D1097" s="1924" t="n">
        <f aca="false">пристройка!R12</f>
        <v>0</v>
      </c>
      <c r="E1097" s="1436"/>
      <c r="F1097" s="1929" t="n">
        <f aca="false">C1097+D1097-C1098</f>
        <v>66.16</v>
      </c>
      <c r="G1097" s="1916"/>
      <c r="H1097" s="1916"/>
      <c r="I1097" s="1913"/>
      <c r="J1097" s="1914"/>
      <c r="K1097" s="1914"/>
      <c r="L1097" s="1914"/>
      <c r="M1097" s="1914"/>
      <c r="N1097" s="1914"/>
      <c r="O1097" s="1918"/>
      <c r="P1097" s="1919"/>
      <c r="Q1097" s="1417"/>
      <c r="R1097" s="1919"/>
      <c r="S1097" s="1919"/>
      <c r="T1097" s="1919"/>
      <c r="U1097" s="1919"/>
      <c r="V1097" s="1919"/>
      <c r="W1097" s="1617"/>
      <c r="X1097" s="1617"/>
      <c r="Y1097" s="1617"/>
    </row>
    <row r="1098" customFormat="false" ht="15.75" hidden="true" customHeight="true" outlineLevel="1" collapsed="false">
      <c r="A1098" s="1921" t="s">
        <v>3562</v>
      </c>
      <c r="B1098" s="1922"/>
      <c r="C1098" s="1923" t="n">
        <f aca="false">V617</f>
        <v>-1.08</v>
      </c>
      <c r="D1098" s="1924"/>
      <c r="E1098" s="1436"/>
      <c r="F1098" s="1929"/>
      <c r="G1098" s="1916"/>
      <c r="H1098" s="1916"/>
      <c r="I1098" s="1913"/>
      <c r="J1098" s="1914"/>
      <c r="K1098" s="1914"/>
      <c r="L1098" s="1914"/>
      <c r="M1098" s="1914"/>
      <c r="N1098" s="1914"/>
      <c r="O1098" s="1918"/>
      <c r="P1098" s="1919"/>
      <c r="Q1098" s="1417"/>
      <c r="R1098" s="1919"/>
      <c r="S1098" s="1919"/>
      <c r="T1098" s="1919"/>
      <c r="U1098" s="1919"/>
      <c r="V1098" s="1919"/>
      <c r="W1098" s="1617"/>
      <c r="X1098" s="1617"/>
      <c r="Y1098" s="1617"/>
    </row>
    <row r="1099" customFormat="false" ht="15.75" hidden="true" customHeight="true" outlineLevel="1" collapsed="false">
      <c r="A1099" s="1925" t="s">
        <v>2762</v>
      </c>
      <c r="B1099" s="1926" t="s">
        <v>820</v>
      </c>
      <c r="C1099" s="1927" t="n">
        <f aca="false">K92</f>
        <v>29.6521893085902</v>
      </c>
      <c r="D1099" s="1928" t="n">
        <f aca="false">пристройка!R13</f>
        <v>0</v>
      </c>
      <c r="E1099" s="1436"/>
      <c r="F1099" s="1930" t="n">
        <f aca="false">C1099+D1099-C1100</f>
        <v>13.1021893085902</v>
      </c>
      <c r="G1099" s="1916"/>
      <c r="H1099" s="1916"/>
      <c r="I1099" s="1913"/>
      <c r="J1099" s="1914"/>
      <c r="K1099" s="1914"/>
      <c r="L1099" s="1914"/>
      <c r="M1099" s="1914"/>
      <c r="N1099" s="1914"/>
      <c r="O1099" s="1918"/>
      <c r="P1099" s="1919"/>
      <c r="Q1099" s="1417"/>
      <c r="R1099" s="1919"/>
      <c r="S1099" s="1919"/>
      <c r="T1099" s="1919"/>
      <c r="U1099" s="1919"/>
      <c r="V1099" s="1919"/>
      <c r="W1099" s="1617"/>
      <c r="X1099" s="1617"/>
      <c r="Y1099" s="1617"/>
    </row>
    <row r="1100" customFormat="false" ht="15.75" hidden="true" customHeight="true" outlineLevel="1" collapsed="false">
      <c r="A1100" s="1925" t="s">
        <v>3563</v>
      </c>
      <c r="B1100" s="1926"/>
      <c r="C1100" s="1927" t="n">
        <f aca="false">V1057</f>
        <v>16.55</v>
      </c>
      <c r="D1100" s="1928"/>
      <c r="E1100" s="1436"/>
      <c r="F1100" s="1930"/>
      <c r="G1100" s="1916"/>
      <c r="H1100" s="1916"/>
      <c r="I1100" s="1913"/>
      <c r="J1100" s="1914"/>
      <c r="K1100" s="1914"/>
      <c r="L1100" s="1914"/>
      <c r="M1100" s="1914"/>
      <c r="N1100" s="1914"/>
      <c r="O1100" s="1918"/>
      <c r="P1100" s="1919"/>
      <c r="Q1100" s="1417"/>
      <c r="R1100" s="1919"/>
      <c r="S1100" s="1919"/>
      <c r="T1100" s="1919"/>
      <c r="U1100" s="1919"/>
      <c r="V1100" s="1919"/>
      <c r="W1100" s="1617"/>
      <c r="X1100" s="1617"/>
      <c r="Y1100" s="1617"/>
    </row>
    <row r="1101" customFormat="false" ht="15.75" hidden="true" customHeight="true" outlineLevel="1" collapsed="false">
      <c r="A1101" s="1710" t="s">
        <v>2477</v>
      </c>
      <c r="B1101" s="1732"/>
      <c r="C1101" s="1920"/>
      <c r="D1101" s="1341"/>
      <c r="E1101" s="1436"/>
      <c r="F1101" s="1733" t="n">
        <f aca="false">F1099+F1097</f>
        <v>79.2621893085902</v>
      </c>
      <c r="G1101" s="1916"/>
      <c r="H1101" s="1916"/>
      <c r="I1101" s="1913"/>
      <c r="J1101" s="1914"/>
      <c r="K1101" s="1914"/>
      <c r="L1101" s="1914"/>
      <c r="M1101" s="1914"/>
      <c r="N1101" s="1914"/>
      <c r="O1101" s="1918"/>
      <c r="P1101" s="1919"/>
      <c r="Q1101" s="1417"/>
      <c r="R1101" s="1919"/>
      <c r="S1101" s="1919"/>
      <c r="T1101" s="1919"/>
      <c r="U1101" s="1919"/>
      <c r="V1101" s="1919"/>
      <c r="W1101" s="1617"/>
      <c r="X1101" s="1617"/>
      <c r="Y1101" s="1617"/>
    </row>
    <row r="1102" customFormat="false" ht="15.75" hidden="true" customHeight="true" outlineLevel="1" collapsed="false">
      <c r="A1102" s="1710" t="s">
        <v>742</v>
      </c>
      <c r="B1102" s="1732" t="s">
        <v>12</v>
      </c>
      <c r="C1102" s="1732" t="s">
        <v>3002</v>
      </c>
      <c r="D1102" s="1341" t="s">
        <v>3003</v>
      </c>
      <c r="E1102" s="1436"/>
      <c r="F1102" s="1732" t="s">
        <v>3561</v>
      </c>
      <c r="G1102" s="1916"/>
      <c r="H1102" s="1916"/>
      <c r="I1102" s="1913"/>
      <c r="J1102" s="1914"/>
      <c r="K1102" s="1914"/>
      <c r="L1102" s="1914"/>
      <c r="M1102" s="1914"/>
      <c r="N1102" s="1914"/>
      <c r="O1102" s="1918"/>
      <c r="P1102" s="1919"/>
      <c r="Q1102" s="1417"/>
      <c r="R1102" s="1919"/>
      <c r="S1102" s="1919"/>
      <c r="T1102" s="1919"/>
      <c r="U1102" s="1919"/>
      <c r="V1102" s="1919"/>
      <c r="W1102" s="1617"/>
      <c r="X1102" s="1617"/>
      <c r="Y1102" s="1617"/>
    </row>
    <row r="1103" customFormat="false" ht="15.75" hidden="true" customHeight="true" outlineLevel="1" collapsed="false">
      <c r="A1103" s="1921" t="s">
        <v>3564</v>
      </c>
      <c r="B1103" s="1922" t="s">
        <v>820</v>
      </c>
      <c r="C1103" s="1923" t="n">
        <f aca="false">J92</f>
        <v>64</v>
      </c>
      <c r="D1103" s="1924" t="n">
        <f aca="false">пристройка!R14</f>
        <v>0</v>
      </c>
      <c r="E1103" s="1436"/>
      <c r="F1103" s="1929" t="n">
        <f aca="false">L92</f>
        <v>65.08</v>
      </c>
      <c r="G1103" s="1916"/>
      <c r="H1103" s="1916"/>
      <c r="I1103" s="1913"/>
      <c r="J1103" s="1914"/>
      <c r="K1103" s="1914"/>
      <c r="L1103" s="1914"/>
      <c r="M1103" s="1914"/>
      <c r="N1103" s="1914"/>
      <c r="O1103" s="1918"/>
      <c r="P1103" s="1919"/>
      <c r="Q1103" s="1417"/>
      <c r="R1103" s="1919"/>
      <c r="S1103" s="1919"/>
      <c r="T1103" s="1919"/>
      <c r="U1103" s="1919"/>
      <c r="V1103" s="1919"/>
      <c r="W1103" s="1617"/>
      <c r="X1103" s="1617"/>
      <c r="Y1103" s="1617"/>
    </row>
    <row r="1104" customFormat="false" ht="15.75" hidden="true" customHeight="true" outlineLevel="1" collapsed="false">
      <c r="A1104" s="1925" t="s">
        <v>3564</v>
      </c>
      <c r="B1104" s="1926" t="s">
        <v>820</v>
      </c>
      <c r="C1104" s="1927" t="n">
        <f aca="false">J93</f>
        <v>0</v>
      </c>
      <c r="D1104" s="1928" t="n">
        <f aca="false">пристройка!R15</f>
        <v>0</v>
      </c>
      <c r="E1104" s="1436"/>
      <c r="F1104" s="1930" t="n">
        <f aca="false">L93</f>
        <v>29.6521893085902</v>
      </c>
      <c r="G1104" s="1916"/>
      <c r="H1104" s="1916"/>
      <c r="I1104" s="1913"/>
      <c r="J1104" s="1914"/>
      <c r="K1104" s="1914"/>
      <c r="L1104" s="1914"/>
      <c r="M1104" s="1914"/>
      <c r="N1104" s="1914"/>
      <c r="O1104" s="1918"/>
      <c r="P1104" s="1919"/>
      <c r="Q1104" s="1417"/>
      <c r="R1104" s="1919"/>
      <c r="S1104" s="1919"/>
      <c r="T1104" s="1919"/>
      <c r="U1104" s="1919"/>
      <c r="V1104" s="1919"/>
      <c r="W1104" s="1617"/>
      <c r="X1104" s="1617"/>
      <c r="Y1104" s="1617"/>
    </row>
    <row r="1105" customFormat="false" ht="15.75" hidden="true" customHeight="true" outlineLevel="1" collapsed="false">
      <c r="A1105" s="1931" t="s">
        <v>2477</v>
      </c>
      <c r="B1105" s="1932"/>
      <c r="C1105" s="1933"/>
      <c r="D1105" s="1934"/>
      <c r="E1105" s="1436"/>
      <c r="F1105" s="1628" t="n">
        <f aca="false">F1103+F1104</f>
        <v>94.7321893085902</v>
      </c>
      <c r="G1105" s="1916"/>
      <c r="H1105" s="1916"/>
      <c r="I1105" s="1913"/>
      <c r="J1105" s="1914"/>
      <c r="K1105" s="1914"/>
      <c r="L1105" s="1914"/>
      <c r="M1105" s="1914"/>
      <c r="N1105" s="1914"/>
      <c r="O1105" s="1918"/>
      <c r="P1105" s="1919"/>
      <c r="Q1105" s="1417"/>
      <c r="R1105" s="1919"/>
      <c r="S1105" s="1919"/>
      <c r="T1105" s="1919"/>
      <c r="U1105" s="1919"/>
      <c r="V1105" s="1919"/>
      <c r="W1105" s="1617"/>
      <c r="X1105" s="1617"/>
      <c r="Y1105" s="1617"/>
    </row>
    <row r="1106" customFormat="false" ht="15.75" hidden="true" customHeight="true" outlineLevel="1" collapsed="false">
      <c r="A1106" s="1710" t="s">
        <v>3565</v>
      </c>
      <c r="B1106" s="1732" t="s">
        <v>820</v>
      </c>
      <c r="C1106" s="1920" t="n">
        <f aca="false">G101</f>
        <v>83.9961903898028</v>
      </c>
      <c r="D1106" s="1341" t="n">
        <f aca="false">пристройка!R113</f>
        <v>-35.024069612055</v>
      </c>
      <c r="E1106" s="1436"/>
      <c r="F1106" s="1733" t="n">
        <f aca="false">C1106+D1106</f>
        <v>48.9721207777478</v>
      </c>
      <c r="G1106" s="1916"/>
      <c r="H1106" s="1916"/>
      <c r="I1106" s="1913"/>
      <c r="J1106" s="1914"/>
      <c r="K1106" s="1914"/>
      <c r="L1106" s="1914"/>
      <c r="M1106" s="1914"/>
      <c r="N1106" s="1914"/>
      <c r="O1106" s="1918"/>
      <c r="P1106" s="1919"/>
      <c r="Q1106" s="1417"/>
      <c r="R1106" s="1919"/>
      <c r="S1106" s="1919"/>
      <c r="T1106" s="1919"/>
      <c r="U1106" s="1919"/>
      <c r="V1106" s="1919"/>
      <c r="W1106" s="1617"/>
      <c r="X1106" s="1617"/>
      <c r="Y1106" s="1617"/>
    </row>
    <row r="1107" customFormat="false" ht="15.75" hidden="true" customHeight="true" outlineLevel="1" collapsed="false">
      <c r="A1107" s="1710" t="s">
        <v>3566</v>
      </c>
      <c r="B1107" s="1732"/>
      <c r="C1107" s="1920"/>
      <c r="D1107" s="1341" t="n">
        <f aca="false">пристройка!R112</f>
        <v>-41.4607528565437</v>
      </c>
      <c r="E1107" s="1436"/>
      <c r="F1107" s="1733" t="n">
        <f aca="false">C1107+D1107</f>
        <v>-41.4607528565437</v>
      </c>
      <c r="G1107" s="1916"/>
      <c r="H1107" s="1916"/>
      <c r="I1107" s="1913"/>
      <c r="J1107" s="1914"/>
      <c r="K1107" s="1914"/>
      <c r="L1107" s="1914"/>
      <c r="M1107" s="1914"/>
      <c r="N1107" s="1914"/>
      <c r="O1107" s="1918"/>
      <c r="P1107" s="1919"/>
      <c r="Q1107" s="1417"/>
      <c r="R1107" s="1919"/>
      <c r="S1107" s="1919"/>
      <c r="T1107" s="1919"/>
      <c r="U1107" s="1919"/>
      <c r="V1107" s="1919"/>
      <c r="W1107" s="1617"/>
      <c r="X1107" s="1617"/>
      <c r="Y1107" s="1617"/>
    </row>
    <row r="1108" customFormat="false" ht="15.75" hidden="true" customHeight="true" outlineLevel="1" collapsed="false">
      <c r="A1108" s="1935" t="s">
        <v>3567</v>
      </c>
      <c r="B1108" s="1627"/>
      <c r="C1108" s="1627"/>
      <c r="D1108" s="1372"/>
      <c r="E1108" s="1436"/>
      <c r="F1108" s="1372" t="n">
        <f aca="false">F1106+F1107</f>
        <v>7.51136792120413</v>
      </c>
      <c r="G1108" s="1916"/>
      <c r="H1108" s="1916"/>
      <c r="I1108" s="1913"/>
      <c r="J1108" s="1914"/>
      <c r="K1108" s="1914"/>
      <c r="L1108" s="1914"/>
      <c r="M1108" s="1914"/>
      <c r="N1108" s="1914"/>
      <c r="O1108" s="1918"/>
      <c r="P1108" s="1919"/>
      <c r="Q1108" s="1417"/>
      <c r="R1108" s="1919"/>
      <c r="S1108" s="1919"/>
      <c r="T1108" s="1919"/>
      <c r="U1108" s="1919"/>
      <c r="V1108" s="1919"/>
      <c r="W1108" s="1617"/>
      <c r="X1108" s="1617"/>
      <c r="Y1108" s="1617"/>
    </row>
    <row r="1109" customFormat="false" ht="15.75" hidden="true" customHeight="true" outlineLevel="1" collapsed="false">
      <c r="A1109" s="1710" t="s">
        <v>2477</v>
      </c>
      <c r="B1109" s="1732"/>
      <c r="C1109" s="1920"/>
      <c r="D1109" s="1341"/>
      <c r="E1109" s="1436"/>
      <c r="F1109" s="1341" t="n">
        <f aca="false">SUM(F1103:F1107)</f>
        <v>196.975746538385</v>
      </c>
      <c r="G1109" s="1916"/>
      <c r="H1109" s="1916"/>
      <c r="I1109" s="1913"/>
      <c r="J1109" s="1914"/>
      <c r="K1109" s="1914"/>
      <c r="L1109" s="1914"/>
      <c r="M1109" s="1914"/>
      <c r="N1109" s="1914"/>
      <c r="O1109" s="1918"/>
      <c r="P1109" s="1919"/>
      <c r="Q1109" s="1417"/>
      <c r="R1109" s="1919"/>
      <c r="S1109" s="1919"/>
      <c r="T1109" s="1919"/>
      <c r="U1109" s="1919"/>
      <c r="V1109" s="1919"/>
      <c r="W1109" s="1617"/>
      <c r="X1109" s="1617"/>
      <c r="Y1109" s="1617"/>
    </row>
    <row r="1110" customFormat="false" ht="15.75" hidden="true" customHeight="true" outlineLevel="1" collapsed="false">
      <c r="A1110" s="1936"/>
      <c r="B1110" s="1901"/>
      <c r="C1110" s="1224"/>
      <c r="D1110" s="1937"/>
      <c r="E1110" s="1937"/>
      <c r="F1110" s="1916"/>
      <c r="G1110" s="1916"/>
      <c r="H1110" s="1916"/>
      <c r="I1110" s="1913"/>
      <c r="J1110" s="1914"/>
      <c r="K1110" s="1914"/>
      <c r="L1110" s="1914"/>
      <c r="M1110" s="1914"/>
      <c r="N1110" s="1914"/>
      <c r="O1110" s="1918"/>
      <c r="P1110" s="1919"/>
      <c r="Q1110" s="1417"/>
      <c r="R1110" s="1919"/>
      <c r="S1110" s="1919"/>
      <c r="T1110" s="1919"/>
      <c r="U1110" s="1919"/>
      <c r="V1110" s="1919"/>
      <c r="W1110" s="1617"/>
      <c r="X1110" s="1617"/>
      <c r="Y1110" s="1617"/>
    </row>
    <row r="1111" customFormat="false" ht="15.75" hidden="false" customHeight="true" outlineLevel="0" collapsed="false">
      <c r="A1111" s="1938" t="s">
        <v>3568</v>
      </c>
      <c r="B1111" s="1939"/>
      <c r="C1111" s="1940"/>
      <c r="D1111" s="1941"/>
      <c r="E1111" s="1941"/>
      <c r="F1111" s="1942"/>
      <c r="G1111" s="1942"/>
      <c r="H1111" s="1942"/>
      <c r="I1111" s="1943"/>
      <c r="J1111" s="1944"/>
      <c r="K1111" s="1944"/>
      <c r="L1111" s="1944"/>
      <c r="M1111" s="1944"/>
      <c r="N1111" s="1944"/>
      <c r="O1111" s="1945"/>
      <c r="P1111" s="1945"/>
      <c r="Q1111" s="1945"/>
      <c r="R1111" s="1945"/>
      <c r="S1111" s="1945"/>
      <c r="T1111" s="1945"/>
      <c r="U1111" s="1945"/>
      <c r="V1111" s="1945"/>
      <c r="W1111" s="1617"/>
      <c r="X1111" s="1617"/>
      <c r="Y1111" s="1617"/>
    </row>
    <row r="1112" customFormat="false" ht="15.75" hidden="true" customHeight="true" outlineLevel="1" collapsed="false">
      <c r="A1112" s="1946" t="s">
        <v>2833</v>
      </c>
      <c r="B1112" s="1947"/>
      <c r="C1112" s="1948" t="n">
        <v>1</v>
      </c>
      <c r="E1112" s="1949" t="s">
        <v>2744</v>
      </c>
      <c r="F1112" s="1949" t="n">
        <f aca="false">B1</f>
        <v>0</v>
      </c>
      <c r="G1112" s="1949" t="n">
        <f aca="false">F1112</f>
        <v>0</v>
      </c>
      <c r="H1112" s="1949"/>
      <c r="I1112" s="1949" t="n">
        <f aca="false">F1112</f>
        <v>0</v>
      </c>
      <c r="J1112" s="1949" t="n">
        <f aca="false">I1112</f>
        <v>0</v>
      </c>
      <c r="K1112" s="1950" t="s">
        <v>3569</v>
      </c>
      <c r="L1112" s="1950"/>
      <c r="M1112" s="1950"/>
      <c r="N1112" s="1950"/>
      <c r="O1112" s="1950"/>
      <c r="P1112" s="1949" t="n">
        <f aca="false">Q1112</f>
        <v>0</v>
      </c>
      <c r="Q1112" s="1949" t="n">
        <f aca="false">B1</f>
        <v>0</v>
      </c>
      <c r="R1112" s="1421"/>
      <c r="S1112" s="1617"/>
      <c r="T1112" s="1617"/>
      <c r="U1112" s="1617"/>
      <c r="V1112" s="1617"/>
      <c r="W1112" s="1617"/>
      <c r="X1112" s="1617"/>
      <c r="Y1112" s="1617"/>
    </row>
    <row r="1113" customFormat="false" ht="15.75" hidden="true" customHeight="true" outlineLevel="1" collapsed="false">
      <c r="A1113" s="1777" t="s">
        <v>3570</v>
      </c>
      <c r="B1113" s="1701" t="s">
        <v>15</v>
      </c>
      <c r="C1113" s="1701" t="n">
        <f aca="false">C16+C16+C17+C17+C1321*D1321+C1322*D1322+C1323*D1323+C1324*D1324+C1329*D1329+C1330*D1330+C1331*D1331+C1332*D1332+пристройка!D2*(пристройка!C28+пристройка!D28+пристройка!E28+пристройка!F28+пристройка!H28+пристройка!I28+пристройка!J28+пристройка!K28+пристройка!M28+пристройка!N28+пристройка!O28+пристройка!P28)+D1229*C1275+D2019*D2027*IF('Ввод данных'!A614=связи1!A479,1,0)*VLOOKUP('Ввод данных'!F702,связи1!A2:B3,2,0)+VLOOKUP('Ввод данных'!C96,связи1!A2:B3,2,0)*IF('Ввод данных'!A90=связи1!A479,1,0)*('Ввод данных'!C84+'Ввод данных'!C85+'Ввод данных'!C85)</f>
        <v>48</v>
      </c>
      <c r="D1113" s="1902"/>
      <c r="E1113" s="1951"/>
      <c r="F1113" s="1949" t="n">
        <f aca="false">B2</f>
        <v>1</v>
      </c>
      <c r="G1113" s="1949" t="n">
        <f aca="false">F1113</f>
        <v>1</v>
      </c>
      <c r="H1113" s="1949"/>
      <c r="I1113" s="1949" t="n">
        <f aca="false">C1112</f>
        <v>1</v>
      </c>
      <c r="J1113" s="1949" t="n">
        <f aca="false">I1113</f>
        <v>1</v>
      </c>
      <c r="K1113" s="1950" t="s">
        <v>2747</v>
      </c>
      <c r="L1113" s="1950"/>
      <c r="M1113" s="1950"/>
      <c r="N1113" s="1950"/>
      <c r="O1113" s="1950"/>
      <c r="P1113" s="1949" t="n">
        <f aca="false">Q1113</f>
        <v>1</v>
      </c>
      <c r="Q1113" s="1949" t="n">
        <f aca="false">B2</f>
        <v>1</v>
      </c>
      <c r="R1113" s="1421"/>
      <c r="S1113" s="1617"/>
      <c r="T1113" s="1617"/>
      <c r="U1113" s="1617"/>
      <c r="V1113" s="1617"/>
      <c r="W1113" s="1617"/>
      <c r="X1113" s="1617"/>
      <c r="Y1113" s="1617"/>
    </row>
    <row r="1114" customFormat="false" ht="15.75" hidden="true" customHeight="true" outlineLevel="1" collapsed="false">
      <c r="A1114" s="1777" t="s">
        <v>3571</v>
      </c>
      <c r="B1114" s="1868" t="s">
        <v>820</v>
      </c>
      <c r="C1114" s="1868" t="n">
        <f aca="false">C16*C17</f>
        <v>64</v>
      </c>
      <c r="D1114" s="25"/>
      <c r="E1114" s="25"/>
      <c r="G1114" s="1952"/>
      <c r="H1114" s="1952"/>
      <c r="I1114" s="1953"/>
      <c r="J1114" s="1954" t="n">
        <f aca="false">I1115</f>
        <v>0</v>
      </c>
      <c r="K1114" s="1955" t="s">
        <v>2755</v>
      </c>
      <c r="L1114" s="1747"/>
      <c r="M1114" s="1747"/>
      <c r="N1114" s="1747"/>
      <c r="O1114" s="1617"/>
      <c r="P1114" s="1617"/>
      <c r="Q1114" s="1617"/>
      <c r="R1114" s="1617"/>
      <c r="S1114" s="1617"/>
      <c r="T1114" s="1617"/>
      <c r="U1114" s="1617"/>
      <c r="V1114" s="1617"/>
      <c r="W1114" s="1617"/>
      <c r="X1114" s="1617"/>
      <c r="Y1114" s="1617"/>
    </row>
    <row r="1115" customFormat="false" ht="15.75" hidden="true" customHeight="true" outlineLevel="1" collapsed="false">
      <c r="A1115" s="1956" t="s">
        <v>229</v>
      </c>
      <c r="B1115" s="1957" t="n">
        <f aca="false">IF('Ввод данных'!A23=связи1!F88,1,0)</f>
        <v>1</v>
      </c>
      <c r="C1115" s="1958" t="n">
        <f aca="false">B1115</f>
        <v>1</v>
      </c>
      <c r="D1115" s="1959" t="n">
        <f aca="false">B1115</f>
        <v>1</v>
      </c>
      <c r="E1115" s="1582" t="n">
        <f aca="false">D1115</f>
        <v>1</v>
      </c>
      <c r="F1115" s="1960" t="s">
        <v>244</v>
      </c>
      <c r="G1115" s="1436"/>
      <c r="H1115" s="1634"/>
      <c r="I1115" s="1961" t="n">
        <f aca="false">IF('Ввод данных'!A23=связи1!F91,1,0)</f>
        <v>0</v>
      </c>
      <c r="J1115" s="1603" t="s">
        <v>3572</v>
      </c>
      <c r="K1115" s="1603"/>
      <c r="L1115" s="1962" t="n">
        <f aca="false">IF('Ввод данных'!A23=связи1!F92,1,0)</f>
        <v>0</v>
      </c>
      <c r="M1115" s="1962"/>
      <c r="N1115" s="1962"/>
      <c r="O1115" s="1180" t="s">
        <v>3573</v>
      </c>
      <c r="P1115" s="1436"/>
      <c r="Q1115" s="1617" t="n">
        <f aca="false">IF('Ввод данных'!A23=связи1!F89,1,0)+IF('Ввод данных'!A23=связи1!F90,1,0)</f>
        <v>0</v>
      </c>
      <c r="R1115" s="1617"/>
      <c r="S1115" s="1617"/>
      <c r="T1115" s="1617"/>
      <c r="U1115" s="1617"/>
      <c r="V1115" s="1617"/>
      <c r="W1115" s="1617"/>
      <c r="X1115" s="1617"/>
      <c r="Y1115" s="1617"/>
    </row>
    <row r="1116" customFormat="false" ht="15.75" hidden="true" customHeight="true" outlineLevel="1" collapsed="false">
      <c r="A1116" s="1585" t="s">
        <v>2928</v>
      </c>
      <c r="B1116" s="1586" t="n">
        <v>1</v>
      </c>
      <c r="C1116" s="1403"/>
      <c r="D1116" s="1422"/>
      <c r="E1116" s="1963"/>
      <c r="F1116" s="1344"/>
      <c r="G1116" s="1186"/>
      <c r="H1116" s="25"/>
      <c r="I1116" s="1964"/>
      <c r="J1116" s="1965"/>
      <c r="K1116" s="1965"/>
      <c r="L1116" s="1966"/>
      <c r="M1116" s="1966"/>
      <c r="N1116" s="1966"/>
      <c r="O1116" s="1714"/>
      <c r="P1116" s="1436"/>
      <c r="Q1116" s="1617"/>
      <c r="R1116" s="1617"/>
      <c r="S1116" s="1617"/>
      <c r="T1116" s="1617"/>
      <c r="U1116" s="1617"/>
      <c r="V1116" s="1617"/>
      <c r="W1116" s="1617"/>
      <c r="X1116" s="1617"/>
      <c r="Y1116" s="1617"/>
    </row>
    <row r="1117" customFormat="false" ht="15.75" hidden="true" customHeight="true" outlineLevel="1" collapsed="false">
      <c r="A1117" s="1967" t="s">
        <v>233</v>
      </c>
      <c r="B1117" s="1586"/>
      <c r="C1117" s="1692"/>
      <c r="D1117" s="1968" t="n">
        <f aca="false">'Ввод данных'!BD299</f>
        <v>4.7</v>
      </c>
      <c r="E1117" s="1969" t="n">
        <f aca="false">'Ввод данных'!BD299</f>
        <v>4.7</v>
      </c>
      <c r="F1117" s="1344"/>
      <c r="G1117" s="1186"/>
      <c r="H1117" s="25"/>
      <c r="I1117" s="1964"/>
      <c r="J1117" s="1965"/>
      <c r="K1117" s="1186" t="n">
        <f aca="false">'Ввод данных'!BD375</f>
        <v>3.7</v>
      </c>
      <c r="L1117" s="25"/>
      <c r="M1117" s="25"/>
      <c r="N1117" s="25"/>
      <c r="O1117" s="1714"/>
      <c r="P1117" s="1186"/>
      <c r="Q1117" s="1617"/>
      <c r="R1117" s="1617"/>
      <c r="S1117" s="1617"/>
      <c r="T1117" s="1617"/>
      <c r="U1117" s="1617"/>
      <c r="V1117" s="1617"/>
      <c r="W1117" s="1617"/>
      <c r="X1117" s="1617"/>
      <c r="Y1117" s="1617"/>
    </row>
    <row r="1118" customFormat="false" ht="15.75" hidden="true" customHeight="true" outlineLevel="1" collapsed="false">
      <c r="A1118" s="1967" t="s">
        <v>237</v>
      </c>
      <c r="B1118" s="1970"/>
      <c r="C1118" s="1692"/>
      <c r="D1118" s="1971" t="n">
        <f aca="false">'Ввод данных'!BD302</f>
        <v>5</v>
      </c>
      <c r="E1118" s="1972" t="n">
        <f aca="false">D1117</f>
        <v>4.7</v>
      </c>
      <c r="F1118" s="1436"/>
      <c r="G1118" s="1436"/>
      <c r="H1118" s="1619"/>
      <c r="I1118" s="1964"/>
      <c r="J1118" s="1965" t="s">
        <v>3574</v>
      </c>
      <c r="K1118" s="1186" t="n">
        <f aca="false">'Ввод данных'!BD376</f>
        <v>4</v>
      </c>
      <c r="L1118" s="25"/>
      <c r="M1118" s="25"/>
      <c r="N1118" s="25"/>
      <c r="O1118" s="1965"/>
      <c r="P1118" s="1965"/>
      <c r="R1118" s="1617"/>
      <c r="S1118" s="1617"/>
      <c r="T1118" s="1617"/>
      <c r="U1118" s="1617"/>
      <c r="V1118" s="1617"/>
      <c r="W1118" s="1617"/>
      <c r="X1118" s="1617"/>
      <c r="Y1118" s="1617"/>
    </row>
    <row r="1119" customFormat="false" ht="15.75" hidden="true" customHeight="true" outlineLevel="1" collapsed="false">
      <c r="A1119" s="1967" t="s">
        <v>235</v>
      </c>
      <c r="B1119" s="1586"/>
      <c r="C1119" s="1692"/>
      <c r="D1119" s="1968" t="n">
        <f aca="false">'Ввод данных'!BD300</f>
        <v>5.3</v>
      </c>
      <c r="E1119" s="25"/>
      <c r="F1119" s="1436"/>
      <c r="G1119" s="1186" t="n">
        <f aca="false">'Ввод данных'!AY339</f>
        <v>5.3</v>
      </c>
      <c r="H1119" s="25"/>
      <c r="J1119" s="1965" t="s">
        <v>3575</v>
      </c>
      <c r="K1119" s="1186" t="n">
        <f aca="false">'Ввод данных'!BD378</f>
        <v>6.4</v>
      </c>
      <c r="L1119" s="25"/>
      <c r="M1119" s="25"/>
      <c r="N1119" s="25"/>
      <c r="O1119" s="1965"/>
      <c r="P1119" s="1965"/>
      <c r="R1119" s="1617"/>
      <c r="S1119" s="1617"/>
      <c r="T1119" s="1617"/>
      <c r="U1119" s="1617"/>
      <c r="V1119" s="1617"/>
      <c r="W1119" s="1617"/>
      <c r="X1119" s="1617"/>
      <c r="Y1119" s="1617"/>
    </row>
    <row r="1120" customFormat="false" ht="15.75" hidden="true" customHeight="true" outlineLevel="1" collapsed="false">
      <c r="A1120" s="1973" t="s">
        <v>246</v>
      </c>
      <c r="B1120" s="1586"/>
      <c r="C1120" s="1692"/>
      <c r="D1120" s="1968"/>
      <c r="E1120" s="25"/>
      <c r="F1120" s="1436"/>
      <c r="G1120" s="1186" t="n">
        <f aca="false">'Ввод данных'!AY340</f>
        <v>5.6</v>
      </c>
      <c r="H1120" s="25"/>
      <c r="I1120" s="1974"/>
      <c r="J1120" s="1965" t="s">
        <v>3576</v>
      </c>
      <c r="K1120" s="1186" t="n">
        <f aca="false">'Ввод данных'!BD377</f>
        <v>6.1</v>
      </c>
      <c r="L1120" s="25"/>
      <c r="M1120" s="25"/>
      <c r="N1120" s="25"/>
      <c r="O1120" s="1965"/>
      <c r="P1120" s="1965"/>
      <c r="R1120" s="1617"/>
      <c r="S1120" s="1617"/>
      <c r="T1120" s="1617"/>
      <c r="U1120" s="1617"/>
      <c r="V1120" s="1617"/>
      <c r="W1120" s="1617"/>
      <c r="X1120" s="1617"/>
      <c r="Y1120" s="1617"/>
    </row>
    <row r="1121" customFormat="false" ht="15.75" hidden="true" customHeight="true" outlineLevel="1" collapsed="false">
      <c r="A1121" s="1965" t="s">
        <v>238</v>
      </c>
      <c r="B1121" s="1970"/>
      <c r="C1121" s="1692"/>
      <c r="D1121" s="1968" t="n">
        <f aca="false">'Ввод данных'!BD303</f>
        <v>7.8</v>
      </c>
      <c r="E1121" s="25"/>
      <c r="F1121" s="1436"/>
      <c r="G1121" s="1186" t="n">
        <f aca="false">'Ввод данных'!AY341</f>
        <v>7.9</v>
      </c>
      <c r="H1121" s="25"/>
      <c r="I1121" s="1964"/>
      <c r="J1121" s="1436"/>
      <c r="K1121" s="1436"/>
      <c r="L1121" s="1619"/>
      <c r="M1121" s="1619"/>
      <c r="N1121" s="1619"/>
      <c r="O1121" s="1714"/>
      <c r="P1121" s="1714"/>
      <c r="Q1121" s="1617"/>
      <c r="R1121" s="1617"/>
      <c r="S1121" s="1617"/>
      <c r="T1121" s="1617"/>
      <c r="U1121" s="1617"/>
      <c r="V1121" s="1617"/>
      <c r="W1121" s="1617"/>
      <c r="X1121" s="1617"/>
      <c r="Y1121" s="1617"/>
    </row>
    <row r="1122" customFormat="false" ht="15.75" hidden="true" customHeight="true" outlineLevel="1" collapsed="false">
      <c r="A1122" s="1967" t="s">
        <v>239</v>
      </c>
      <c r="B1122" s="1970"/>
      <c r="C1122" s="1692"/>
      <c r="D1122" s="1971" t="n">
        <f aca="false">'Ввод данных'!BD304</f>
        <v>8.1</v>
      </c>
      <c r="E1122" s="25"/>
      <c r="F1122" s="1436"/>
      <c r="G1122" s="1186" t="n">
        <f aca="false">'Ввод данных'!AY342</f>
        <v>9.1</v>
      </c>
      <c r="H1122" s="25"/>
      <c r="I1122" s="1964"/>
      <c r="J1122" s="1186"/>
      <c r="K1122" s="1186" t="n">
        <f aca="false">'Ввод данных'!BD379</f>
        <v>7.48</v>
      </c>
      <c r="L1122" s="25"/>
      <c r="M1122" s="25"/>
      <c r="N1122" s="25"/>
      <c r="O1122" s="1714"/>
      <c r="P1122" s="1714"/>
      <c r="Q1122" s="1617"/>
      <c r="R1122" s="1617"/>
      <c r="S1122" s="1617"/>
      <c r="T1122" s="1617"/>
      <c r="U1122" s="1617"/>
      <c r="V1122" s="1617"/>
      <c r="W1122" s="1617"/>
      <c r="X1122" s="1617"/>
      <c r="Y1122" s="1617"/>
    </row>
    <row r="1123" customFormat="false" ht="15.75" hidden="true" customHeight="true" outlineLevel="1" collapsed="false">
      <c r="A1123" s="1975" t="s">
        <v>3577</v>
      </c>
      <c r="B1123" s="1976" t="s">
        <v>241</v>
      </c>
      <c r="C1123" s="1627" t="n">
        <f aca="false">DEGREES(C1124)</f>
        <v>37.1075210797902</v>
      </c>
      <c r="D1123" s="1977" t="n">
        <f aca="false">'Ввод данных'!BD305</f>
        <v>60</v>
      </c>
      <c r="E1123" s="1644"/>
      <c r="F1123" s="1372"/>
      <c r="G1123" s="1978" t="n">
        <f aca="false">'Ввод данных'!AY343</f>
        <v>48</v>
      </c>
      <c r="H1123" s="1979"/>
      <c r="I1123" s="1980"/>
      <c r="J1123" s="1372"/>
      <c r="K1123" s="1978" t="n">
        <f aca="false">'Ввод данных'!BD380</f>
        <v>25</v>
      </c>
      <c r="L1123" s="1979"/>
      <c r="M1123" s="1979"/>
      <c r="N1123" s="1979"/>
      <c r="O1123" s="1632"/>
      <c r="P1123" s="1632"/>
      <c r="Q1123" s="1617"/>
      <c r="R1123" s="1617"/>
      <c r="S1123" s="1617"/>
      <c r="T1123" s="1617"/>
      <c r="U1123" s="1617"/>
      <c r="V1123" s="1617"/>
      <c r="W1123" s="1617"/>
      <c r="X1123" s="1617"/>
      <c r="Y1123" s="1617"/>
    </row>
    <row r="1124" customFormat="false" ht="15.75" hidden="true" customHeight="true" outlineLevel="1" collapsed="false">
      <c r="A1124" s="1975"/>
      <c r="B1124" s="1981" t="s">
        <v>3578</v>
      </c>
      <c r="C1124" s="1982" t="n">
        <f aca="false">C1135/C1140</f>
        <v>0.64764842009554</v>
      </c>
      <c r="D1124" s="1978" t="n">
        <f aca="false">D1123*(3.14/180)</f>
        <v>1.04666666666667</v>
      </c>
      <c r="E1124" s="1979"/>
      <c r="F1124" s="1983" t="n">
        <f aca="false">F1135/F1167</f>
        <v>0.666666666666667</v>
      </c>
      <c r="G1124" s="1983" t="n">
        <f aca="false">G1123*(3.14/180)</f>
        <v>0.837333333333334</v>
      </c>
      <c r="H1124" s="1984"/>
      <c r="I1124" s="1980"/>
      <c r="J1124" s="1978" t="n">
        <f aca="false">J1135/J1167</f>
        <v>0.989359135364853</v>
      </c>
      <c r="K1124" s="1985" t="n">
        <f aca="false">K1123*(3.14/180)</f>
        <v>0.436111111111111</v>
      </c>
      <c r="L1124" s="1986"/>
      <c r="M1124" s="1986"/>
      <c r="N1124" s="1986"/>
      <c r="O1124" s="1982" t="n">
        <f aca="false">O1135/O1132</f>
        <v>0.425</v>
      </c>
      <c r="P1124" s="1982" t="n">
        <f aca="false">O1135/O1133</f>
        <v>0.425</v>
      </c>
      <c r="Q1124" s="1617"/>
      <c r="R1124" s="1617"/>
      <c r="S1124" s="1617"/>
      <c r="T1124" s="1617"/>
      <c r="U1124" s="1617"/>
      <c r="V1124" s="1617"/>
      <c r="W1124" s="1617"/>
      <c r="X1124" s="1617"/>
      <c r="Y1124" s="1617"/>
    </row>
    <row r="1125" customFormat="false" ht="15.75" hidden="true" customHeight="true" outlineLevel="1" collapsed="false">
      <c r="A1125" s="1975" t="s">
        <v>3579</v>
      </c>
      <c r="B1125" s="1981"/>
      <c r="C1125" s="1627"/>
      <c r="D1125" s="1987" t="n">
        <f aca="false">D1126/SIN(D1124)</f>
        <v>0.693032839628853</v>
      </c>
      <c r="E1125" s="1988" t="s">
        <v>3580</v>
      </c>
      <c r="F1125" s="1978"/>
      <c r="G1125" s="1978" t="n">
        <f aca="false">'Ввод данных'!AY344</f>
        <v>41</v>
      </c>
      <c r="H1125" s="1979"/>
      <c r="I1125" s="1980"/>
      <c r="J1125" s="1372"/>
      <c r="K1125" s="1978" t="n">
        <f aca="false">'Ввод данных'!BD381</f>
        <v>70</v>
      </c>
      <c r="L1125" s="1979"/>
      <c r="M1125" s="1979"/>
      <c r="N1125" s="1979"/>
      <c r="O1125" s="1632"/>
      <c r="P1125" s="1632"/>
      <c r="Q1125" s="1617"/>
      <c r="R1125" s="1617"/>
      <c r="S1125" s="1617"/>
      <c r="T1125" s="1617"/>
      <c r="U1125" s="1617"/>
      <c r="V1125" s="1617"/>
      <c r="W1125" s="1617"/>
      <c r="X1125" s="1617"/>
      <c r="Y1125" s="1617"/>
    </row>
    <row r="1126" customFormat="false" ht="15.75" hidden="true" customHeight="true" outlineLevel="1" collapsed="false">
      <c r="A1126" s="1975"/>
      <c r="B1126" s="1981" t="s">
        <v>3578</v>
      </c>
      <c r="C1126" s="1627"/>
      <c r="D1126" s="1987" t="n">
        <f aca="false">D1119-E1118</f>
        <v>0.6</v>
      </c>
      <c r="E1126" s="1988" t="s">
        <v>2970</v>
      </c>
      <c r="F1126" s="1987" t="n">
        <f aca="false">F1135/F1159</f>
        <v>1.08831347942962</v>
      </c>
      <c r="G1126" s="1983" t="n">
        <f aca="false">G1125*(3.14/180)</f>
        <v>0.715222222222222</v>
      </c>
      <c r="H1126" s="1984"/>
      <c r="I1126" s="1980"/>
      <c r="J1126" s="1978" t="n">
        <f aca="false">J1135/J1159</f>
        <v>1.30769230769231</v>
      </c>
      <c r="K1126" s="1985" t="n">
        <f aca="false">K1125*(3.14/180)</f>
        <v>1.22111111111111</v>
      </c>
      <c r="L1126" s="1986"/>
      <c r="M1126" s="1986"/>
      <c r="N1126" s="1986"/>
      <c r="O1126" s="1632"/>
      <c r="P1126" s="1632"/>
      <c r="Q1126" s="1617"/>
      <c r="R1126" s="1617"/>
      <c r="S1126" s="1617"/>
      <c r="T1126" s="1617"/>
      <c r="U1126" s="1617"/>
      <c r="V1126" s="1617"/>
      <c r="W1126" s="1617"/>
      <c r="X1126" s="1617"/>
      <c r="Y1126" s="1617"/>
    </row>
    <row r="1127" customFormat="false" ht="15.75" hidden="true" customHeight="true" outlineLevel="1" collapsed="false">
      <c r="A1127" s="1975" t="s">
        <v>3581</v>
      </c>
      <c r="B1127" s="1981"/>
      <c r="C1127" s="1627"/>
      <c r="D1127" s="1981"/>
      <c r="E1127" s="1979"/>
      <c r="F1127" s="1987"/>
      <c r="G1127" s="1983"/>
      <c r="H1127" s="1984"/>
      <c r="I1127" s="1980"/>
      <c r="J1127" s="1978"/>
      <c r="K1127" s="1978" t="n">
        <f aca="false">'Ввод данных'!BD382</f>
        <v>24</v>
      </c>
      <c r="L1127" s="1979"/>
      <c r="M1127" s="1979"/>
      <c r="N1127" s="1979"/>
      <c r="O1127" s="1632"/>
      <c r="P1127" s="1632"/>
      <c r="Q1127" s="1617"/>
      <c r="R1127" s="1617"/>
      <c r="S1127" s="1617"/>
      <c r="T1127" s="1617"/>
      <c r="U1127" s="1617"/>
      <c r="V1127" s="1617"/>
      <c r="W1127" s="1617"/>
      <c r="X1127" s="1617"/>
      <c r="Y1127" s="1617"/>
    </row>
    <row r="1128" customFormat="false" ht="15.75" hidden="true" customHeight="true" outlineLevel="1" collapsed="false">
      <c r="A1128" s="1975"/>
      <c r="B1128" s="1981"/>
      <c r="C1128" s="1989"/>
      <c r="D1128" s="1981"/>
      <c r="E1128" s="1979"/>
      <c r="F1128" s="1987"/>
      <c r="G1128" s="1983"/>
      <c r="H1128" s="1984"/>
      <c r="I1128" s="1980"/>
      <c r="J1128" s="1978" t="n">
        <f aca="false">J1136/J1140</f>
        <v>0.290987980989663</v>
      </c>
      <c r="K1128" s="1985" t="n">
        <f aca="false">K1127*(3.14/180)</f>
        <v>0.418666666666667</v>
      </c>
      <c r="L1128" s="1986"/>
      <c r="M1128" s="1986"/>
      <c r="N1128" s="1986"/>
      <c r="O1128" s="1632"/>
      <c r="P1128" s="1632" t="s">
        <v>2838</v>
      </c>
      <c r="Q1128" s="1617" t="s">
        <v>2839</v>
      </c>
      <c r="R1128" s="1617"/>
      <c r="S1128" s="1617"/>
      <c r="T1128" s="1617"/>
      <c r="U1128" s="1617"/>
      <c r="V1128" s="1617"/>
      <c r="W1128" s="1617"/>
      <c r="X1128" s="1617"/>
      <c r="Y1128" s="1617"/>
    </row>
    <row r="1129" customFormat="false" ht="15.75" hidden="true" customHeight="true" outlineLevel="1" collapsed="false">
      <c r="A1129" s="1990" t="s">
        <v>161</v>
      </c>
      <c r="B1129" s="1991" t="s">
        <v>3582</v>
      </c>
      <c r="C1129" s="1991" t="s">
        <v>13</v>
      </c>
      <c r="D1129" s="1714"/>
      <c r="E1129" s="1617"/>
      <c r="F1129" s="1965"/>
      <c r="G1129" s="1436"/>
      <c r="H1129" s="1619"/>
      <c r="J1129" s="1436"/>
      <c r="K1129" s="1436"/>
      <c r="L1129" s="1619"/>
      <c r="M1129" s="1619"/>
      <c r="N1129" s="1619"/>
      <c r="O1129" s="1436"/>
      <c r="P1129" s="1714" t="n">
        <f aca="false">IF('Ввод данных'!A23=связи1!F89,1,0)*Q1115</f>
        <v>0</v>
      </c>
      <c r="Q1129" s="1617" t="n">
        <f aca="false">IF('Ввод данных'!A23=связи1!F90,1,0)*Q1115</f>
        <v>0</v>
      </c>
      <c r="R1129" s="1617"/>
      <c r="S1129" s="1617"/>
      <c r="T1129" s="1617"/>
      <c r="U1129" s="1617"/>
      <c r="V1129" s="1617"/>
      <c r="W1129" s="1617"/>
      <c r="X1129" s="1617"/>
      <c r="Y1129" s="1617"/>
    </row>
    <row r="1130" customFormat="false" ht="15.75" hidden="true" customHeight="true" outlineLevel="1" collapsed="false">
      <c r="A1130" s="1992" t="s">
        <v>3583</v>
      </c>
      <c r="B1130" s="1993" t="s">
        <v>15</v>
      </c>
      <c r="C1130" s="1993" t="n">
        <f aca="false">C1140*4+C1132*2</f>
        <v>36.9990475974507</v>
      </c>
      <c r="D1130" s="1350" t="n">
        <v>1</v>
      </c>
      <c r="E1130" s="1994"/>
      <c r="F1130" s="1992" t="n">
        <f aca="false">C16+C17+C16+C17</f>
        <v>32</v>
      </c>
      <c r="G1130" s="1186" t="n">
        <f aca="false">G1171*4+(F1132+F1152+F1152)*2</f>
        <v>34.1169624342752</v>
      </c>
      <c r="H1130" s="25"/>
      <c r="J1130" s="1992" t="n">
        <f aca="false">J1158*2+J1132*2</f>
        <v>30</v>
      </c>
      <c r="K1130" s="1707" t="n">
        <f aca="false">(K1132+K1152+K1152)*(K1171*2)</f>
        <v>41.7133021963444</v>
      </c>
      <c r="L1130" s="1995" t="n">
        <f aca="false">J1197+J1199</f>
        <v>68.8174441331553</v>
      </c>
      <c r="M1130" s="1995"/>
      <c r="N1130" s="1995"/>
      <c r="O1130" s="1436" t="n">
        <f aca="false">O1133+O1133+O1142+O1142</f>
        <v>33.3850510496806</v>
      </c>
      <c r="P1130" s="1965" t="n">
        <f aca="false">O1130*$P$1129</f>
        <v>0</v>
      </c>
      <c r="S1130" s="1617"/>
      <c r="T1130" s="1617"/>
      <c r="U1130" s="1617"/>
      <c r="V1130" s="1617"/>
      <c r="W1130" s="1617"/>
      <c r="X1130" s="1617"/>
      <c r="Y1130" s="1617"/>
    </row>
    <row r="1131" customFormat="false" ht="15.75" hidden="true" customHeight="true" outlineLevel="1" collapsed="false">
      <c r="A1131" s="1992" t="s">
        <v>3584</v>
      </c>
      <c r="B1131" s="1993"/>
      <c r="C1131" s="1993"/>
      <c r="D1131" s="1350"/>
      <c r="E1131" s="1994"/>
      <c r="F1131" s="1992"/>
      <c r="G1131" s="1186"/>
      <c r="H1131" s="25"/>
      <c r="J1131" s="1992"/>
      <c r="K1131" s="1707"/>
      <c r="L1131" s="1734"/>
      <c r="M1131" s="1734"/>
      <c r="N1131" s="1734"/>
      <c r="O1131" s="1436" t="n">
        <f aca="false">O1132+O1132+O1140+O1140</f>
        <v>33.3850510496806</v>
      </c>
      <c r="P1131" s="1965"/>
      <c r="Q1131" s="1582" t="n">
        <f aca="false">O1131*$Q$1129</f>
        <v>0</v>
      </c>
      <c r="S1131" s="1617"/>
      <c r="T1131" s="1617"/>
      <c r="U1131" s="1617"/>
      <c r="V1131" s="1617"/>
      <c r="W1131" s="1617"/>
      <c r="X1131" s="1617"/>
      <c r="Y1131" s="1617"/>
    </row>
    <row r="1132" customFormat="false" ht="15.75" hidden="true" customHeight="true" outlineLevel="1" collapsed="false">
      <c r="A1132" s="1438" t="s">
        <v>3585</v>
      </c>
      <c r="B1132" s="1996" t="s">
        <v>15</v>
      </c>
      <c r="C1132" s="1996" t="n">
        <f aca="false">C17</f>
        <v>8</v>
      </c>
      <c r="D1132" s="1350"/>
      <c r="E1132" s="1994"/>
      <c r="F1132" s="1186" t="n">
        <f aca="false">C17</f>
        <v>8</v>
      </c>
      <c r="G1132" s="1186" t="n">
        <f aca="false">F1132</f>
        <v>8</v>
      </c>
      <c r="H1132" s="25"/>
      <c r="J1132" s="1997" t="n">
        <f aca="false">связи!R35</f>
        <v>8</v>
      </c>
      <c r="K1132" s="1610" t="n">
        <f aca="false">J1132</f>
        <v>8</v>
      </c>
      <c r="L1132" s="1998"/>
      <c r="M1132" s="1998"/>
      <c r="N1132" s="1998"/>
      <c r="O1132" s="1436" t="n">
        <f aca="false">C1132</f>
        <v>8</v>
      </c>
      <c r="P1132" s="1965" t="n">
        <f aca="false">O1132*$P$1129</f>
        <v>0</v>
      </c>
      <c r="S1132" s="1617"/>
      <c r="T1132" s="1617"/>
      <c r="U1132" s="1617"/>
      <c r="V1132" s="1617"/>
      <c r="W1132" s="1617"/>
      <c r="X1132" s="1617"/>
      <c r="Y1132" s="1617"/>
    </row>
    <row r="1133" customFormat="false" ht="15.75" hidden="true" customHeight="true" outlineLevel="1" collapsed="false">
      <c r="A1133" s="1438" t="s">
        <v>205</v>
      </c>
      <c r="B1133" s="1996"/>
      <c r="C1133" s="1999" t="n">
        <f aca="false">C16</f>
        <v>8</v>
      </c>
      <c r="D1133" s="1350"/>
      <c r="E1133" s="1994"/>
      <c r="F1133" s="1186" t="n">
        <f aca="false">C16</f>
        <v>8</v>
      </c>
      <c r="G1133" s="1973" t="n">
        <f aca="false">F1133</f>
        <v>8</v>
      </c>
      <c r="H1133" s="2000"/>
      <c r="J1133" s="1997" t="n">
        <f aca="false">связи!R36</f>
        <v>8</v>
      </c>
      <c r="K1133" s="1610" t="n">
        <f aca="false">J1133</f>
        <v>8</v>
      </c>
      <c r="L1133" s="1998"/>
      <c r="M1133" s="1998"/>
      <c r="N1133" s="1998"/>
      <c r="O1133" s="1436" t="n">
        <f aca="false">C1133</f>
        <v>8</v>
      </c>
      <c r="P1133" s="1965"/>
      <c r="Q1133" s="1582" t="n">
        <f aca="false">O1133*$Q$1129</f>
        <v>0</v>
      </c>
      <c r="S1133" s="1617"/>
      <c r="T1133" s="1617"/>
      <c r="U1133" s="1617"/>
      <c r="V1133" s="1617"/>
      <c r="W1133" s="1617"/>
      <c r="X1133" s="1617"/>
      <c r="Y1133" s="1617"/>
    </row>
    <row r="1134" customFormat="false" ht="15.75" hidden="true" customHeight="true" outlineLevel="1" collapsed="false">
      <c r="A1134" s="1965" t="s">
        <v>2855</v>
      </c>
      <c r="B1134" s="1603"/>
      <c r="C1134" s="2001" t="n">
        <f aca="false">IF('Ввод данных'!A17=связи1!A94,'Ввод данных'!C13,0)+IF('Ввод данных'!A17=связи1!A95,связи1!H235,0)+IF('Ввод данных'!A17=связи1!A96,связи1!H235,0)+IF('Ввод данных'!A17=связи1!A97,'Ввод данных'!C13,0)+IF('Ввод данных'!A17=связи1!A98,связи1!H235,0)</f>
        <v>5</v>
      </c>
      <c r="D1134" s="1997" t="n">
        <f aca="false">D1122-C6</f>
        <v>4.9</v>
      </c>
      <c r="E1134" s="1952"/>
      <c r="F1134" s="1436" t="n">
        <f aca="false">C1134</f>
        <v>5</v>
      </c>
      <c r="G1134" s="1436"/>
      <c r="H1134" s="1619"/>
      <c r="J1134" s="1186" t="n">
        <f aca="false">C1134</f>
        <v>5</v>
      </c>
      <c r="K1134" s="1965"/>
      <c r="L1134" s="1966"/>
      <c r="M1134" s="1966"/>
      <c r="N1134" s="1966"/>
      <c r="O1134" s="1436" t="n">
        <f aca="false">C1134</f>
        <v>5</v>
      </c>
      <c r="P1134" s="1714"/>
      <c r="Q1134" s="1617"/>
      <c r="R1134" s="1617"/>
      <c r="S1134" s="1617"/>
      <c r="T1134" s="1617"/>
      <c r="U1134" s="1617"/>
      <c r="V1134" s="1617"/>
      <c r="W1134" s="1617"/>
      <c r="X1134" s="1617"/>
      <c r="Y1134" s="1617"/>
    </row>
    <row r="1135" customFormat="false" ht="15.75" hidden="true" customHeight="true" outlineLevel="1" collapsed="false">
      <c r="A1135" s="2002" t="s">
        <v>3586</v>
      </c>
      <c r="B1135" s="1603"/>
      <c r="C1135" s="1603" t="n">
        <f aca="false">C1134-C1139</f>
        <v>3.4</v>
      </c>
      <c r="D1135" s="1965" t="n">
        <f aca="false">D1121-D1119</f>
        <v>2.5</v>
      </c>
      <c r="E1135" s="1619"/>
      <c r="F1135" s="1965" t="n">
        <f aca="false">C1135</f>
        <v>3.4</v>
      </c>
      <c r="G1135" s="1973" t="n">
        <f aca="false">G1122-G1119</f>
        <v>3.8</v>
      </c>
      <c r="H1135" s="2000"/>
      <c r="I1135" s="1964"/>
      <c r="J1135" s="1992" t="n">
        <f aca="false">J1134-J1139</f>
        <v>3.4</v>
      </c>
      <c r="K1135" s="1436"/>
      <c r="L1135" s="1619"/>
      <c r="M1135" s="1619"/>
      <c r="N1135" s="1619"/>
      <c r="O1135" s="1436" t="n">
        <f aca="false">C1135</f>
        <v>3.4</v>
      </c>
      <c r="P1135" s="1714"/>
      <c r="Q1135" s="1617"/>
      <c r="R1135" s="1617"/>
      <c r="S1135" s="1617"/>
      <c r="T1135" s="1617"/>
      <c r="U1135" s="1617"/>
      <c r="V1135" s="1617"/>
      <c r="W1135" s="1617"/>
      <c r="X1135" s="1617"/>
      <c r="Y1135" s="1617"/>
    </row>
    <row r="1136" customFormat="false" ht="15.75" hidden="true" customHeight="true" outlineLevel="1" collapsed="false">
      <c r="A1136" s="2002" t="s">
        <v>3587</v>
      </c>
      <c r="B1136" s="1603"/>
      <c r="C1136" s="1603" t="n">
        <f aca="false">F1136</f>
        <v>1</v>
      </c>
      <c r="D1136" s="1965"/>
      <c r="E1136" s="1619"/>
      <c r="F1136" s="1965" t="n">
        <f aca="false">C18-C20+C21-C23</f>
        <v>1</v>
      </c>
      <c r="G1136" s="1973"/>
      <c r="H1136" s="2000"/>
      <c r="I1136" s="1964"/>
      <c r="J1136" s="1992" t="n">
        <f aca="false">F1136</f>
        <v>1</v>
      </c>
      <c r="K1136" s="1436"/>
      <c r="L1136" s="1619"/>
      <c r="M1136" s="1619"/>
      <c r="N1136" s="1619"/>
      <c r="O1136" s="1436" t="n">
        <f aca="false">C1136</f>
        <v>1</v>
      </c>
      <c r="P1136" s="1714"/>
      <c r="Q1136" s="1617"/>
      <c r="R1136" s="1617"/>
      <c r="S1136" s="1617"/>
      <c r="T1136" s="1617"/>
      <c r="U1136" s="1617"/>
      <c r="V1136" s="1617"/>
      <c r="W1136" s="1617"/>
      <c r="X1136" s="1617"/>
      <c r="Y1136" s="1617"/>
    </row>
    <row r="1137" customFormat="false" ht="15.75" hidden="true" customHeight="true" outlineLevel="1" collapsed="false">
      <c r="A1137" s="2002" t="s">
        <v>3588</v>
      </c>
      <c r="B1137" s="1603"/>
      <c r="C1137" s="1603" t="n">
        <f aca="false">C22-C21+C19-C18</f>
        <v>2.4</v>
      </c>
      <c r="D1137" s="1965"/>
      <c r="E1137" s="1619"/>
      <c r="F1137" s="1965" t="n">
        <f aca="false">C1137</f>
        <v>2.4</v>
      </c>
      <c r="G1137" s="1973"/>
      <c r="H1137" s="2000"/>
      <c r="I1137" s="1964"/>
      <c r="J1137" s="1992" t="n">
        <f aca="false">C1137</f>
        <v>2.4</v>
      </c>
      <c r="K1137" s="1436"/>
      <c r="L1137" s="1619"/>
      <c r="M1137" s="1619"/>
      <c r="N1137" s="1619"/>
      <c r="O1137" s="1436" t="n">
        <f aca="false">C1137</f>
        <v>2.4</v>
      </c>
      <c r="P1137" s="1714"/>
      <c r="Q1137" s="1617"/>
      <c r="R1137" s="1617"/>
      <c r="S1137" s="1617"/>
      <c r="T1137" s="1617"/>
      <c r="U1137" s="1617"/>
      <c r="V1137" s="1617"/>
      <c r="W1137" s="1617"/>
      <c r="X1137" s="1617"/>
      <c r="Y1137" s="1617"/>
    </row>
    <row r="1138" customFormat="false" ht="15.75" hidden="true" customHeight="true" outlineLevel="1" collapsed="false">
      <c r="A1138" s="2002" t="s">
        <v>3589</v>
      </c>
      <c r="B1138" s="1603"/>
      <c r="C1138" s="2001"/>
      <c r="D1138" s="1965"/>
      <c r="E1138" s="1952"/>
      <c r="F1138" s="1436"/>
      <c r="G1138" s="1973"/>
      <c r="H1138" s="2000"/>
      <c r="I1138" s="1964"/>
      <c r="J1138" s="1997" t="n">
        <f aca="false">'Ввод данных'!C375</f>
        <v>0.5</v>
      </c>
      <c r="K1138" s="1436"/>
      <c r="L1138" s="1619"/>
      <c r="M1138" s="1619"/>
      <c r="N1138" s="1619"/>
      <c r="O1138" s="1436"/>
      <c r="P1138" s="1714"/>
      <c r="Q1138" s="1617"/>
      <c r="R1138" s="1617"/>
      <c r="S1138" s="1617"/>
      <c r="T1138" s="1617"/>
      <c r="U1138" s="1617"/>
      <c r="V1138" s="1617"/>
      <c r="W1138" s="1617"/>
      <c r="X1138" s="1617"/>
      <c r="Y1138" s="1617"/>
    </row>
    <row r="1139" customFormat="false" ht="15.75" hidden="true" customHeight="true" outlineLevel="1" collapsed="false">
      <c r="A1139" s="2002" t="s">
        <v>235</v>
      </c>
      <c r="B1139" s="1603"/>
      <c r="C1139" s="1603" t="n">
        <f aca="false">IF('Ввод данных'!A17=связи1!A94,'Ввод данных'!C11,0)+IF('Ввод данных'!A17=связи1!A95,'Ввод данных'!C12,0)+IF('Ввод данных'!A17=связи1!A96,связи1!H236,0)+IF('Ввод данных'!A17=связи1!A97,'Ввод данных'!C14,0)+IF('Ввод данных'!A17=связи1!A98,связи1!H236,0)</f>
        <v>1.6</v>
      </c>
      <c r="D1139" s="1992" t="n">
        <f aca="false">D23</f>
        <v>2.1</v>
      </c>
      <c r="E1139" s="1952"/>
      <c r="F1139" s="1436"/>
      <c r="G1139" s="1965"/>
      <c r="H1139" s="1966"/>
      <c r="I1139" s="1964"/>
      <c r="J1139" s="1714" t="n">
        <f aca="false">C1139</f>
        <v>1.6</v>
      </c>
      <c r="K1139" s="1436"/>
      <c r="L1139" s="1619"/>
      <c r="M1139" s="1619"/>
      <c r="N1139" s="1619"/>
      <c r="O1139" s="1436" t="n">
        <f aca="false">C1139</f>
        <v>1.6</v>
      </c>
      <c r="P1139" s="1714"/>
      <c r="Q1139" s="1617"/>
      <c r="R1139" s="1617"/>
      <c r="S1139" s="1617"/>
      <c r="T1139" s="1617"/>
      <c r="U1139" s="1617"/>
      <c r="V1139" s="1617"/>
      <c r="W1139" s="1617"/>
      <c r="X1139" s="1617"/>
      <c r="Y1139" s="1617"/>
    </row>
    <row r="1140" customFormat="false" ht="15.75" hidden="true" customHeight="true" outlineLevel="1" collapsed="false">
      <c r="A1140" s="1438" t="s">
        <v>3590</v>
      </c>
      <c r="B1140" s="1996" t="s">
        <v>15</v>
      </c>
      <c r="C1140" s="1996" t="n">
        <f aca="false">SQRT((C16/2)*(C16/2)+((C22-C23)*(C22-C23)+(C19-C20)*(C19-C20)))</f>
        <v>5.24976189936267</v>
      </c>
      <c r="D1140" s="1436"/>
      <c r="F1140" s="1436"/>
      <c r="G1140" s="1965"/>
      <c r="H1140" s="1966"/>
      <c r="I1140" s="1964"/>
      <c r="J1140" s="1707" t="n">
        <f aca="false">SQRT(J1135*J1135+J1138*J1138)</f>
        <v>3.43656805548792</v>
      </c>
      <c r="K1140" s="1436"/>
      <c r="L1140" s="1619"/>
      <c r="M1140" s="1619"/>
      <c r="N1140" s="1619"/>
      <c r="O1140" s="1809" t="n">
        <f aca="false">SQRT((C16)*(C16)+((C22-C23)*(C22-C23)+(C19-C20)*(C19-C20)))</f>
        <v>8.69252552484029</v>
      </c>
      <c r="P1140" s="1714" t="n">
        <f aca="false">O1135/O1140</f>
        <v>0.391140640344852</v>
      </c>
      <c r="Q1140" s="1617"/>
      <c r="R1140" s="1617"/>
      <c r="S1140" s="1617"/>
      <c r="T1140" s="1617"/>
      <c r="U1140" s="1617"/>
      <c r="V1140" s="1617"/>
      <c r="W1140" s="1617"/>
      <c r="X1140" s="1617"/>
      <c r="Y1140" s="1617"/>
    </row>
    <row r="1141" customFormat="false" ht="15.75" hidden="true" customHeight="true" outlineLevel="1" collapsed="false">
      <c r="A1141" s="1438" t="s">
        <v>3591</v>
      </c>
      <c r="B1141" s="1996"/>
      <c r="C1141" s="1996" t="n">
        <f aca="false">C1136/SIN(C1124)</f>
        <v>1.65751530509996</v>
      </c>
      <c r="D1141" s="1436"/>
      <c r="F1141" s="1436"/>
      <c r="G1141" s="1965"/>
      <c r="H1141" s="1966"/>
      <c r="I1141" s="1964"/>
      <c r="J1141" s="1707"/>
      <c r="K1141" s="1436"/>
      <c r="L1141" s="1619"/>
      <c r="M1141" s="1619"/>
      <c r="N1141" s="1619"/>
      <c r="O1141" s="1809"/>
      <c r="P1141" s="1714"/>
      <c r="Q1141" s="1617"/>
      <c r="R1141" s="1617"/>
      <c r="S1141" s="1617"/>
      <c r="T1141" s="1617"/>
      <c r="U1141" s="1617"/>
      <c r="V1141" s="1617"/>
      <c r="W1141" s="1617"/>
      <c r="X1141" s="1617"/>
      <c r="Y1141" s="1617"/>
    </row>
    <row r="1142" customFormat="false" ht="15.75" hidden="true" customHeight="true" outlineLevel="1" collapsed="false">
      <c r="A1142" s="1438" t="s">
        <v>3592</v>
      </c>
      <c r="B1142" s="1996"/>
      <c r="C1142" s="1996"/>
      <c r="D1142" s="1436"/>
      <c r="F1142" s="1436"/>
      <c r="G1142" s="1965"/>
      <c r="H1142" s="1966"/>
      <c r="I1142" s="1964"/>
      <c r="J1142" s="1707"/>
      <c r="K1142" s="1436"/>
      <c r="L1142" s="1619"/>
      <c r="M1142" s="1619"/>
      <c r="N1142" s="1619"/>
      <c r="O1142" s="1809" t="n">
        <f aca="false">SQRT((C17)*(C17)+((C22-C23)*(C22-C23)+(C19-C20)*(C19-C20)))</f>
        <v>8.69252552484029</v>
      </c>
      <c r="P1142" s="1714"/>
      <c r="Q1142" s="1617"/>
      <c r="R1142" s="1617"/>
      <c r="S1142" s="1617"/>
      <c r="T1142" s="1617"/>
      <c r="U1142" s="1617"/>
      <c r="V1142" s="1617"/>
      <c r="W1142" s="1617"/>
      <c r="X1142" s="1617"/>
      <c r="Y1142" s="1617"/>
    </row>
    <row r="1143" customFormat="false" ht="15.75" hidden="true" customHeight="true" outlineLevel="1" collapsed="false">
      <c r="A1143" s="1438" t="s">
        <v>3593</v>
      </c>
      <c r="B1143" s="1996"/>
      <c r="C1143" s="1996"/>
      <c r="D1143" s="1436"/>
      <c r="F1143" s="1436"/>
      <c r="G1143" s="1965"/>
      <c r="H1143" s="1966"/>
      <c r="I1143" s="1964"/>
      <c r="J1143" s="1707" t="n">
        <f aca="false">J1136/J1140</f>
        <v>0.290987980989663</v>
      </c>
      <c r="K1143" s="1436"/>
      <c r="L1143" s="1619"/>
      <c r="M1143" s="1619"/>
      <c r="N1143" s="1619"/>
      <c r="O1143" s="1436"/>
      <c r="P1143" s="1714"/>
      <c r="Q1143" s="1617"/>
      <c r="R1143" s="1617"/>
      <c r="S1143" s="1617"/>
      <c r="T1143" s="1617"/>
      <c r="U1143" s="1617"/>
      <c r="V1143" s="1617"/>
      <c r="W1143" s="1617"/>
      <c r="X1143" s="1617"/>
      <c r="Y1143" s="1617"/>
    </row>
    <row r="1144" customFormat="false" ht="15.75" hidden="true" customHeight="true" outlineLevel="1" collapsed="false">
      <c r="A1144" s="1438" t="s">
        <v>3594</v>
      </c>
      <c r="B1144" s="1996"/>
      <c r="C1144" s="1996"/>
      <c r="D1144" s="1436"/>
      <c r="F1144" s="1436"/>
      <c r="G1144" s="1965"/>
      <c r="H1144" s="1966"/>
      <c r="I1144" s="1964"/>
      <c r="J1144" s="1707" t="n">
        <f aca="false">DEGREES(J1143)</f>
        <v>16.6723831997407</v>
      </c>
      <c r="K1144" s="1436"/>
      <c r="L1144" s="1619"/>
      <c r="M1144" s="1619"/>
      <c r="N1144" s="1619"/>
      <c r="O1144" s="1436"/>
      <c r="P1144" s="1714"/>
      <c r="Q1144" s="1617"/>
      <c r="R1144" s="1617"/>
      <c r="S1144" s="1617"/>
      <c r="T1144" s="1617"/>
      <c r="U1144" s="1617"/>
      <c r="V1144" s="1617"/>
      <c r="W1144" s="1617"/>
      <c r="X1144" s="1617"/>
      <c r="Y1144" s="1617"/>
    </row>
    <row r="1145" customFormat="false" ht="15.75" hidden="true" customHeight="true" outlineLevel="1" collapsed="false">
      <c r="A1145" s="1438" t="s">
        <v>3595</v>
      </c>
      <c r="B1145" s="1996"/>
      <c r="C1145" s="1996"/>
      <c r="D1145" s="1436"/>
      <c r="F1145" s="1436"/>
      <c r="G1145" s="1965"/>
      <c r="H1145" s="1966"/>
      <c r="I1145" s="1964"/>
      <c r="J1145" s="1707" t="n">
        <f aca="false">90-J1144</f>
        <v>73.3276168002593</v>
      </c>
      <c r="K1145" s="1436"/>
      <c r="L1145" s="1619"/>
      <c r="M1145" s="1619"/>
      <c r="N1145" s="1619"/>
      <c r="O1145" s="1436"/>
      <c r="P1145" s="1714"/>
      <c r="Q1145" s="1617"/>
      <c r="R1145" s="1617"/>
      <c r="S1145" s="1617"/>
      <c r="T1145" s="1617"/>
      <c r="U1145" s="1617"/>
      <c r="V1145" s="1617"/>
      <c r="W1145" s="1617"/>
      <c r="X1145" s="1617"/>
      <c r="Y1145" s="1617"/>
    </row>
    <row r="1146" customFormat="false" ht="15.75" hidden="true" customHeight="true" outlineLevel="1" collapsed="false">
      <c r="A1146" s="1438" t="s">
        <v>3596</v>
      </c>
      <c r="B1146" s="1996"/>
      <c r="C1146" s="1996"/>
      <c r="D1146" s="1436"/>
      <c r="F1146" s="1436"/>
      <c r="G1146" s="1965"/>
      <c r="H1146" s="1966"/>
      <c r="I1146" s="1964"/>
      <c r="J1146" s="1707" t="n">
        <f aca="false">RADIANS(J1145)</f>
        <v>1.27980834580523</v>
      </c>
      <c r="K1146" s="1436"/>
      <c r="L1146" s="1619"/>
      <c r="M1146" s="1619"/>
      <c r="N1146" s="1619"/>
      <c r="O1146" s="1436"/>
      <c r="P1146" s="1714"/>
      <c r="S1146" s="1617"/>
      <c r="T1146" s="1617"/>
      <c r="U1146" s="1617"/>
      <c r="V1146" s="1617"/>
      <c r="W1146" s="1617"/>
      <c r="X1146" s="1617"/>
      <c r="Y1146" s="1617"/>
    </row>
    <row r="1147" customFormat="false" ht="15.75" hidden="true" customHeight="true" outlineLevel="1" collapsed="false">
      <c r="A1147" s="1438" t="s">
        <v>3597</v>
      </c>
      <c r="B1147" s="1996"/>
      <c r="C1147" s="1996"/>
      <c r="D1147" s="1436"/>
      <c r="F1147" s="1436"/>
      <c r="G1147" s="1965"/>
      <c r="H1147" s="1966"/>
      <c r="I1147" s="1964"/>
      <c r="J1147" s="1707" t="n">
        <f aca="false">J1148/COS(J1143)</f>
        <v>0.521941974774657</v>
      </c>
      <c r="K1147" s="1436"/>
      <c r="L1147" s="1619"/>
      <c r="M1147" s="1619"/>
      <c r="N1147" s="1619"/>
      <c r="O1147" s="1436"/>
      <c r="P1147" s="1714"/>
      <c r="S1147" s="1617"/>
      <c r="T1147" s="1617"/>
      <c r="U1147" s="1617"/>
      <c r="V1147" s="1617"/>
      <c r="W1147" s="1617"/>
      <c r="X1147" s="1617"/>
      <c r="Y1147" s="1617"/>
    </row>
    <row r="1148" customFormat="false" ht="15.75" hidden="true" customHeight="true" outlineLevel="1" collapsed="false">
      <c r="A1148" s="1438" t="s">
        <v>231</v>
      </c>
      <c r="B1148" s="1996" t="s">
        <v>15</v>
      </c>
      <c r="C1148" s="1618" t="n">
        <f aca="false">'Ввод данных'!C296</f>
        <v>0.5</v>
      </c>
      <c r="D1148" s="1436"/>
      <c r="F1148" s="1319" t="n">
        <f aca="false">'Ввод данных'!C339</f>
        <v>0.5</v>
      </c>
      <c r="G1148" s="1965"/>
      <c r="H1148" s="1966"/>
      <c r="I1148" s="1964"/>
      <c r="J1148" s="1319" t="n">
        <f aca="false">'Ввод данных'!C378</f>
        <v>0.5</v>
      </c>
      <c r="K1148" s="1319" t="n">
        <f aca="false">J1148</f>
        <v>0.5</v>
      </c>
      <c r="L1148" s="1620"/>
      <c r="M1148" s="1620"/>
      <c r="N1148" s="1620"/>
      <c r="O1148" s="1436" t="n">
        <f aca="false">'Ввод данных'!C250</f>
        <v>0.8</v>
      </c>
      <c r="P1148" s="1714"/>
      <c r="Q1148" s="1617"/>
      <c r="R1148" s="1617"/>
      <c r="S1148" s="1617"/>
      <c r="T1148" s="1617"/>
      <c r="U1148" s="1617"/>
      <c r="V1148" s="1617"/>
      <c r="W1148" s="1617"/>
      <c r="X1148" s="1617"/>
      <c r="Y1148" s="1617"/>
    </row>
    <row r="1149" customFormat="false" ht="15.75" hidden="true" customHeight="true" outlineLevel="1" collapsed="false">
      <c r="A1149" s="1438" t="s">
        <v>3598</v>
      </c>
      <c r="B1149" s="1996"/>
      <c r="C1149" s="1618" t="n">
        <f aca="false">C1148/COS(C1124)</f>
        <v>0.626955521068098</v>
      </c>
      <c r="D1149" s="1436"/>
      <c r="F1149" s="1319"/>
      <c r="G1149" s="1965"/>
      <c r="H1149" s="1966"/>
      <c r="I1149" s="1964"/>
      <c r="J1149" s="1319" t="n">
        <f aca="false">J1147</f>
        <v>0.521941974774657</v>
      </c>
      <c r="K1149" s="1319"/>
      <c r="L1149" s="1620"/>
      <c r="M1149" s="1620"/>
      <c r="N1149" s="1620"/>
      <c r="O1149" s="1618" t="n">
        <f aca="false">O1148</f>
        <v>0.8</v>
      </c>
      <c r="P1149" s="1714"/>
      <c r="Q1149" s="1617"/>
      <c r="R1149" s="1617"/>
      <c r="S1149" s="1617"/>
      <c r="T1149" s="1617"/>
      <c r="U1149" s="1617"/>
      <c r="V1149" s="1617"/>
      <c r="W1149" s="1617"/>
      <c r="X1149" s="1617"/>
      <c r="Y1149" s="1617"/>
    </row>
    <row r="1150" customFormat="false" ht="15.75" hidden="true" customHeight="true" outlineLevel="1" collapsed="false">
      <c r="A1150" s="1438" t="s">
        <v>231</v>
      </c>
      <c r="B1150" s="1996" t="s">
        <v>15</v>
      </c>
      <c r="C1150" s="1618" t="n">
        <f aca="false">'Ввод данных'!C297</f>
        <v>0.5</v>
      </c>
      <c r="D1150" s="1436"/>
      <c r="E1150" s="1952"/>
      <c r="F1150" s="1436"/>
      <c r="G1150" s="1965"/>
      <c r="H1150" s="1966"/>
      <c r="I1150" s="1964"/>
      <c r="J1150" s="1436"/>
      <c r="K1150" s="1436"/>
      <c r="L1150" s="1619"/>
      <c r="M1150" s="1619"/>
      <c r="N1150" s="1619"/>
      <c r="O1150" s="1436" t="n">
        <f aca="false">'Ввод данных'!C251</f>
        <v>1</v>
      </c>
      <c r="P1150" s="1714"/>
      <c r="S1150" s="1617"/>
      <c r="T1150" s="1617"/>
      <c r="U1150" s="1617"/>
      <c r="V1150" s="1617"/>
      <c r="W1150" s="1617"/>
      <c r="X1150" s="1617"/>
      <c r="Y1150" s="1617"/>
    </row>
    <row r="1151" customFormat="false" ht="15.75" hidden="true" customHeight="true" outlineLevel="1" collapsed="false">
      <c r="A1151" s="1438" t="s">
        <v>3599</v>
      </c>
      <c r="B1151" s="1996"/>
      <c r="C1151" s="1618" t="n">
        <f aca="false">C1150/COS(C1124)</f>
        <v>0.626955521068098</v>
      </c>
      <c r="D1151" s="1436"/>
      <c r="E1151" s="1952"/>
      <c r="F1151" s="1436"/>
      <c r="G1151" s="1965"/>
      <c r="H1151" s="1966"/>
      <c r="I1151" s="1964"/>
      <c r="J1151" s="1436"/>
      <c r="K1151" s="1436"/>
      <c r="L1151" s="1619"/>
      <c r="M1151" s="1619"/>
      <c r="N1151" s="1619"/>
      <c r="O1151" s="1436" t="n">
        <f aca="false">O1150</f>
        <v>1</v>
      </c>
      <c r="P1151" s="1714"/>
      <c r="Q1151" s="1617"/>
      <c r="R1151" s="1617"/>
      <c r="S1151" s="1617"/>
      <c r="T1151" s="1617"/>
      <c r="U1151" s="1617"/>
      <c r="V1151" s="1617"/>
      <c r="W1151" s="1617"/>
      <c r="X1151" s="1617"/>
      <c r="Y1151" s="1617"/>
    </row>
    <row r="1152" customFormat="false" ht="15.75" hidden="true" customHeight="true" outlineLevel="1" collapsed="false">
      <c r="A1152" s="1438" t="s">
        <v>197</v>
      </c>
      <c r="B1152" s="1996" t="s">
        <v>15</v>
      </c>
      <c r="C1152" s="1618" t="n">
        <f aca="false">'Ввод данных'!C298</f>
        <v>0.5</v>
      </c>
      <c r="D1152" s="1436"/>
      <c r="E1152" s="1952"/>
      <c r="F1152" s="1319" t="n">
        <f aca="false">'Ввод данных'!C340</f>
        <v>0.5</v>
      </c>
      <c r="G1152" s="1965"/>
      <c r="H1152" s="1966"/>
      <c r="I1152" s="1964"/>
      <c r="J1152" s="1997" t="n">
        <f aca="false">'Ввод данных'!C377</f>
        <v>0.5</v>
      </c>
      <c r="K1152" s="1610" t="n">
        <f aca="false">J1152</f>
        <v>0.5</v>
      </c>
      <c r="L1152" s="1177" t="n">
        <f aca="false">'Ввод данных'!C375</f>
        <v>0.5</v>
      </c>
      <c r="M1152" s="1177"/>
      <c r="N1152" s="1177"/>
      <c r="O1152" s="1436" t="n">
        <f aca="false">'Ввод данных'!C252</f>
        <v>0.7</v>
      </c>
      <c r="P1152" s="1714"/>
      <c r="Q1152" s="1617"/>
      <c r="R1152" s="1617"/>
      <c r="S1152" s="1617"/>
      <c r="T1152" s="1617"/>
      <c r="U1152" s="1617"/>
      <c r="V1152" s="1617"/>
      <c r="W1152" s="1617"/>
      <c r="X1152" s="1617"/>
      <c r="Y1152" s="1617"/>
    </row>
    <row r="1153" customFormat="false" ht="15.75" hidden="true" customHeight="true" outlineLevel="1" collapsed="false">
      <c r="A1153" s="1438" t="s">
        <v>3600</v>
      </c>
      <c r="B1153" s="1996"/>
      <c r="C1153" s="1618"/>
      <c r="D1153" s="1436"/>
      <c r="E1153" s="1952"/>
      <c r="F1153" s="1319"/>
      <c r="G1153" s="1965"/>
      <c r="H1153" s="1966"/>
      <c r="I1153" s="1964"/>
      <c r="J1153" s="1997"/>
      <c r="K1153" s="1610"/>
      <c r="L1153" s="1177"/>
      <c r="M1153" s="1177"/>
      <c r="N1153" s="1177"/>
      <c r="O1153" s="1372" t="n">
        <f aca="false">O1152/COS(O1124)</f>
        <v>0.768353720516643</v>
      </c>
      <c r="P1153" s="1714"/>
      <c r="Q1153" s="1617"/>
      <c r="R1153" s="1617"/>
      <c r="S1153" s="1617"/>
      <c r="T1153" s="1617"/>
      <c r="U1153" s="1617"/>
      <c r="V1153" s="1617"/>
      <c r="W1153" s="1617"/>
      <c r="X1153" s="1617"/>
      <c r="Y1153" s="1617"/>
    </row>
    <row r="1154" customFormat="false" ht="15.75" hidden="true" customHeight="true" outlineLevel="1" collapsed="false">
      <c r="A1154" s="1438" t="s">
        <v>3601</v>
      </c>
      <c r="B1154" s="1996"/>
      <c r="C1154" s="1618"/>
      <c r="D1154" s="1436"/>
      <c r="E1154" s="1952"/>
      <c r="F1154" s="1319"/>
      <c r="G1154" s="1965"/>
      <c r="H1154" s="1966"/>
      <c r="I1154" s="1964"/>
      <c r="J1154" s="1997"/>
      <c r="K1154" s="1610"/>
      <c r="L1154" s="1177"/>
      <c r="M1154" s="1177"/>
      <c r="N1154" s="1177"/>
      <c r="O1154" s="1436"/>
      <c r="P1154" s="1714"/>
      <c r="Q1154" s="1617"/>
      <c r="R1154" s="1617"/>
      <c r="S1154" s="1617"/>
      <c r="T1154" s="1617"/>
      <c r="U1154" s="1617"/>
      <c r="V1154" s="1617"/>
      <c r="W1154" s="1617"/>
      <c r="X1154" s="1617"/>
      <c r="Y1154" s="1617"/>
    </row>
    <row r="1155" customFormat="false" ht="15.75" hidden="true" customHeight="true" outlineLevel="1" collapsed="false">
      <c r="A1155" s="1438" t="s">
        <v>198</v>
      </c>
      <c r="B1155" s="1996"/>
      <c r="C1155" s="1618" t="n">
        <f aca="false">'Ввод данных'!C299</f>
        <v>0.5</v>
      </c>
      <c r="D1155" s="1436"/>
      <c r="E1155" s="1619"/>
      <c r="F1155" s="1436"/>
      <c r="G1155" s="1965"/>
      <c r="H1155" s="1966"/>
      <c r="I1155" s="1964"/>
      <c r="J1155" s="1714"/>
      <c r="K1155" s="1436"/>
      <c r="L1155" s="1619"/>
      <c r="M1155" s="1619"/>
      <c r="N1155" s="1619"/>
      <c r="O1155" s="1436" t="n">
        <f aca="false">'Ввод данных'!C253</f>
        <v>1</v>
      </c>
      <c r="P1155" s="1714"/>
      <c r="Q1155" s="1617"/>
      <c r="R1155" s="1617"/>
      <c r="S1155" s="1617"/>
      <c r="T1155" s="1617"/>
      <c r="U1155" s="1617"/>
      <c r="V1155" s="1617"/>
      <c r="W1155" s="1617"/>
      <c r="X1155" s="1617"/>
      <c r="Y1155" s="1617"/>
    </row>
    <row r="1156" customFormat="false" ht="15.75" hidden="true" customHeight="true" outlineLevel="1" collapsed="false">
      <c r="A1156" s="1438" t="s">
        <v>3600</v>
      </c>
      <c r="B1156" s="1996"/>
      <c r="C1156" s="1618"/>
      <c r="D1156" s="1436"/>
      <c r="E1156" s="1619"/>
      <c r="F1156" s="1436"/>
      <c r="G1156" s="1965"/>
      <c r="H1156" s="1966"/>
      <c r="I1156" s="1964"/>
      <c r="J1156" s="1714"/>
      <c r="K1156" s="1436"/>
      <c r="L1156" s="1619"/>
      <c r="M1156" s="1619"/>
      <c r="N1156" s="1619"/>
      <c r="O1156" s="1372" t="n">
        <f aca="false">O1155/COS(O1124)</f>
        <v>1.09764817216663</v>
      </c>
      <c r="P1156" s="1714"/>
      <c r="Q1156" s="1617"/>
      <c r="R1156" s="1617"/>
      <c r="S1156" s="1617"/>
      <c r="T1156" s="1617"/>
      <c r="U1156" s="1617"/>
      <c r="V1156" s="1617"/>
      <c r="W1156" s="1617"/>
      <c r="X1156" s="1617"/>
      <c r="Y1156" s="1617"/>
    </row>
    <row r="1157" customFormat="false" ht="15.75" hidden="true" customHeight="true" outlineLevel="1" collapsed="false">
      <c r="A1157" s="1438" t="s">
        <v>3602</v>
      </c>
      <c r="B1157" s="1996"/>
      <c r="C1157" s="1618"/>
      <c r="D1157" s="1436"/>
      <c r="E1157" s="1619"/>
      <c r="F1157" s="1436"/>
      <c r="G1157" s="1965"/>
      <c r="H1157" s="1966"/>
      <c r="I1157" s="1964"/>
      <c r="J1157" s="1714"/>
      <c r="K1157" s="1436"/>
      <c r="L1157" s="1619"/>
      <c r="M1157" s="1619"/>
      <c r="N1157" s="1619"/>
      <c r="O1157" s="1436"/>
      <c r="P1157" s="1714"/>
      <c r="Q1157" s="1617"/>
      <c r="R1157" s="1617"/>
      <c r="S1157" s="1617"/>
      <c r="T1157" s="1617"/>
      <c r="U1157" s="1617"/>
      <c r="V1157" s="1617"/>
      <c r="W1157" s="1617"/>
      <c r="X1157" s="1617"/>
      <c r="Y1157" s="1617"/>
    </row>
    <row r="1158" customFormat="false" ht="15.75" hidden="true" customHeight="true" outlineLevel="1" collapsed="false">
      <c r="A1158" s="1438" t="s">
        <v>3603</v>
      </c>
      <c r="B1158" s="1996"/>
      <c r="C1158" s="1618"/>
      <c r="D1158" s="1436"/>
      <c r="E1158" s="1619"/>
      <c r="F1158" s="1436" t="n">
        <f aca="false">F1133+F1148+F1148</f>
        <v>9</v>
      </c>
      <c r="G1158" s="1965"/>
      <c r="H1158" s="1966"/>
      <c r="I1158" s="1964"/>
      <c r="J1158" s="1714" t="n">
        <f aca="false">(J1133)-(J1138*2)</f>
        <v>7</v>
      </c>
      <c r="K1158" s="1436"/>
      <c r="L1158" s="1619"/>
      <c r="M1158" s="1619"/>
      <c r="N1158" s="1619"/>
      <c r="O1158" s="1436"/>
      <c r="P1158" s="1714"/>
      <c r="Q1158" s="1617"/>
      <c r="R1158" s="1617"/>
      <c r="S1158" s="1617"/>
      <c r="T1158" s="1617"/>
      <c r="U1158" s="1617"/>
      <c r="V1158" s="1617"/>
      <c r="W1158" s="1617"/>
      <c r="X1158" s="1617"/>
      <c r="Y1158" s="1617"/>
    </row>
    <row r="1159" customFormat="false" ht="15.75" hidden="true" customHeight="true" outlineLevel="1" collapsed="false">
      <c r="A1159" s="1438" t="s">
        <v>3604</v>
      </c>
      <c r="B1159" s="1996"/>
      <c r="C1159" s="1618"/>
      <c r="D1159" s="1436"/>
      <c r="E1159" s="1619"/>
      <c r="F1159" s="1992" t="n">
        <f aca="false">SQRT(F1172*F1172+F1137*F1137)</f>
        <v>3.12409987036266</v>
      </c>
      <c r="G1159" s="1973" t="n">
        <f aca="false">(G1122-G1120)/SIN(G1124)</f>
        <v>4.71151670234873</v>
      </c>
      <c r="H1159" s="2000"/>
      <c r="I1159" s="2003"/>
      <c r="J1159" s="1992" t="n">
        <f aca="false">SQRT(J1172*J1172+J1137*J1137)</f>
        <v>2.6</v>
      </c>
      <c r="K1159" s="1186" t="n">
        <f aca="false">(K1122-K1119)/SIN(K1128)</f>
        <v>2.65654791471276</v>
      </c>
      <c r="L1159" s="2004" t="n">
        <f aca="false">K1159*Q1112+J1159*Q1113</f>
        <v>2.6</v>
      </c>
      <c r="M1159" s="2004"/>
      <c r="N1159" s="2004"/>
      <c r="O1159" s="1436"/>
      <c r="P1159" s="1436"/>
      <c r="Q1159" s="1617"/>
      <c r="S1159" s="1617"/>
      <c r="T1159" s="1617"/>
      <c r="U1159" s="1617"/>
      <c r="V1159" s="1617"/>
      <c r="W1159" s="1617"/>
      <c r="X1159" s="1617"/>
      <c r="Y1159" s="1617"/>
    </row>
    <row r="1160" customFormat="false" ht="15.75" hidden="true" customHeight="true" outlineLevel="1" collapsed="false">
      <c r="A1160" s="1438" t="s">
        <v>3593</v>
      </c>
      <c r="B1160" s="1996"/>
      <c r="C1160" s="1618"/>
      <c r="D1160" s="1436"/>
      <c r="E1160" s="1619"/>
      <c r="F1160" s="1992" t="n">
        <f aca="false">F1137/F1159</f>
        <v>0.768221279597376</v>
      </c>
      <c r="G1160" s="1973"/>
      <c r="H1160" s="2000"/>
      <c r="I1160" s="2003"/>
      <c r="J1160" s="1992" t="n">
        <f aca="false">J1137/J1159</f>
        <v>0.923076923076923</v>
      </c>
      <c r="K1160" s="1186"/>
      <c r="L1160" s="2005" t="n">
        <f aca="false">(K1122-K1119)/SIN(K1128)</f>
        <v>2.65654791471276</v>
      </c>
      <c r="M1160" s="2005"/>
      <c r="N1160" s="2005"/>
      <c r="O1160" s="1436"/>
      <c r="P1160" s="2006"/>
      <c r="Q1160" s="1617"/>
      <c r="S1160" s="1617"/>
      <c r="T1160" s="1617"/>
      <c r="U1160" s="1617"/>
      <c r="V1160" s="1617"/>
      <c r="W1160" s="1617"/>
      <c r="X1160" s="1617"/>
      <c r="Y1160" s="1617"/>
    </row>
    <row r="1161" customFormat="false" ht="15.75" hidden="true" customHeight="true" outlineLevel="1" collapsed="false">
      <c r="A1161" s="1438" t="s">
        <v>3597</v>
      </c>
      <c r="B1161" s="1996"/>
      <c r="C1161" s="1618"/>
      <c r="D1161" s="1436"/>
      <c r="E1161" s="1619"/>
      <c r="F1161" s="1992" t="n">
        <f aca="false">F1148/COS(F1160)</f>
        <v>0.695267406177786</v>
      </c>
      <c r="G1161" s="1973"/>
      <c r="H1161" s="2000"/>
      <c r="I1161" s="2003"/>
      <c r="J1161" s="1992" t="n">
        <f aca="false">J1148/COS(J1160)</f>
        <v>0.828679898302629</v>
      </c>
      <c r="K1161" s="1186"/>
      <c r="L1161" s="2004"/>
      <c r="M1161" s="2004"/>
      <c r="N1161" s="2004"/>
      <c r="O1161" s="1436"/>
      <c r="P1161" s="2006"/>
      <c r="Q1161" s="1617"/>
      <c r="S1161" s="1617"/>
      <c r="T1161" s="1617"/>
      <c r="U1161" s="1617"/>
      <c r="V1161" s="1617"/>
      <c r="W1161" s="1617"/>
      <c r="X1161" s="1617"/>
      <c r="Y1161" s="1617"/>
    </row>
    <row r="1162" customFormat="false" ht="15.75" hidden="true" customHeight="true" outlineLevel="1" collapsed="false">
      <c r="A1162" s="1965" t="s">
        <v>3605</v>
      </c>
      <c r="B1162" s="1996"/>
      <c r="C1162" s="1618"/>
      <c r="D1162" s="1436"/>
      <c r="E1162" s="1619"/>
      <c r="F1162" s="1992"/>
      <c r="G1162" s="1973"/>
      <c r="H1162" s="2000"/>
      <c r="I1162" s="2003"/>
      <c r="J1162" s="1992"/>
      <c r="K1162" s="1186"/>
      <c r="L1162" s="2004"/>
      <c r="M1162" s="2004"/>
      <c r="N1162" s="2004"/>
      <c r="O1162" s="1372" t="n">
        <f aca="false">O1133</f>
        <v>8</v>
      </c>
      <c r="P1162" s="2006"/>
      <c r="Q1162" s="1617"/>
      <c r="S1162" s="1617"/>
      <c r="T1162" s="1617"/>
      <c r="U1162" s="1617"/>
      <c r="V1162" s="1617"/>
      <c r="W1162" s="1617"/>
      <c r="X1162" s="1617"/>
      <c r="Y1162" s="1617"/>
    </row>
    <row r="1163" customFormat="false" ht="15.75" hidden="true" customHeight="true" outlineLevel="1" collapsed="false">
      <c r="A1163" s="1965" t="s">
        <v>3606</v>
      </c>
      <c r="B1163" s="1996"/>
      <c r="C1163" s="1618"/>
      <c r="D1163" s="1436"/>
      <c r="E1163" s="1619"/>
      <c r="F1163" s="1992"/>
      <c r="G1163" s="1973"/>
      <c r="H1163" s="2000"/>
      <c r="I1163" s="2003"/>
      <c r="J1163" s="1992"/>
      <c r="K1163" s="1186"/>
      <c r="L1163" s="2004"/>
      <c r="M1163" s="2004"/>
      <c r="N1163" s="2004"/>
      <c r="O1163" s="1436" t="n">
        <f aca="false">O1132</f>
        <v>8</v>
      </c>
      <c r="P1163" s="2006"/>
      <c r="Q1163" s="1617"/>
      <c r="S1163" s="1617"/>
      <c r="T1163" s="1617"/>
      <c r="U1163" s="1617"/>
      <c r="V1163" s="1617"/>
      <c r="W1163" s="1617"/>
      <c r="X1163" s="1617"/>
      <c r="Y1163" s="1617"/>
    </row>
    <row r="1164" customFormat="false" ht="15.75" hidden="true" customHeight="true" outlineLevel="1" collapsed="false">
      <c r="A1164" s="1965" t="s">
        <v>3607</v>
      </c>
      <c r="B1164" s="1603" t="s">
        <v>15</v>
      </c>
      <c r="C1164" s="1603" t="n">
        <f aca="false">C1132+C1152+C1155</f>
        <v>9</v>
      </c>
      <c r="D1164" s="1965" t="n">
        <f aca="false">C1132+C1152+C1155</f>
        <v>9</v>
      </c>
      <c r="E1164" s="1952" t="n">
        <f aca="false">C1164*G1113+D1164*G1112</f>
        <v>9</v>
      </c>
      <c r="F1164" s="1319" t="n">
        <f aca="false">'Ввод данных'!C338</f>
        <v>5</v>
      </c>
      <c r="G1164" s="1707" t="n">
        <f aca="false">F1132+F1152+F1152-G1172*2</f>
        <v>2.69178642196983</v>
      </c>
      <c r="H1164" s="1734"/>
      <c r="I1164" s="2007" t="n">
        <f aca="false">F1164*J1113+G1164*J1112</f>
        <v>5</v>
      </c>
      <c r="J1164" s="1997" t="n">
        <f aca="false">'Ввод данных'!C376</f>
        <v>6</v>
      </c>
      <c r="K1164" s="1186" t="n">
        <f aca="false">K1132+K1152+K1152-SQRT(L1160*L1160-(K1122-K1119)*(K1122-K1119))*2</f>
        <v>4.14578664532976</v>
      </c>
      <c r="L1164" s="2004" t="n">
        <f aca="false">K1164*Q1112+J1164*Q1113</f>
        <v>6</v>
      </c>
      <c r="M1164" s="2004"/>
      <c r="N1164" s="2004"/>
      <c r="O1164" s="1436" t="n">
        <f aca="false">O1162+O1149+O1151</f>
        <v>9.8</v>
      </c>
      <c r="P1164" s="1965" t="n">
        <f aca="false">O1164*$P$1129</f>
        <v>0</v>
      </c>
      <c r="Q1164" s="1617"/>
      <c r="S1164" s="1617"/>
      <c r="T1164" s="1617"/>
      <c r="U1164" s="1617"/>
      <c r="V1164" s="1617"/>
      <c r="W1164" s="1617"/>
      <c r="X1164" s="1617"/>
      <c r="Y1164" s="1617"/>
    </row>
    <row r="1165" customFormat="false" ht="15.75" hidden="true" customHeight="true" outlineLevel="1" collapsed="false">
      <c r="A1165" s="1965" t="s">
        <v>3608</v>
      </c>
      <c r="B1165" s="1603"/>
      <c r="C1165" s="1603"/>
      <c r="D1165" s="1965"/>
      <c r="E1165" s="1952"/>
      <c r="F1165" s="1319"/>
      <c r="G1165" s="1707"/>
      <c r="H1165" s="1734"/>
      <c r="I1165" s="2007"/>
      <c r="J1165" s="1997"/>
      <c r="K1165" s="1186"/>
      <c r="L1165" s="2004"/>
      <c r="M1165" s="2004"/>
      <c r="N1165" s="2004"/>
      <c r="O1165" s="1436" t="n">
        <f aca="false">O1163+O1149+O1151</f>
        <v>9.8</v>
      </c>
      <c r="P1165" s="2006"/>
      <c r="Q1165" s="1582" t="n">
        <f aca="false">O1165*$Q$1129</f>
        <v>0</v>
      </c>
      <c r="S1165" s="1617"/>
      <c r="T1165" s="1617"/>
      <c r="U1165" s="1617"/>
      <c r="V1165" s="1617"/>
      <c r="W1165" s="1617"/>
      <c r="X1165" s="1617"/>
      <c r="Y1165" s="1617"/>
    </row>
    <row r="1166" customFormat="false" ht="15.75" hidden="true" customHeight="true" outlineLevel="1" collapsed="false">
      <c r="A1166" s="1438" t="s">
        <v>3609</v>
      </c>
      <c r="B1166" s="1996"/>
      <c r="C1166" s="1618"/>
      <c r="D1166" s="1436"/>
      <c r="E1166" s="1619"/>
      <c r="F1166" s="1992" t="n">
        <f aca="false">F1159+F1161</f>
        <v>3.81936727654045</v>
      </c>
      <c r="G1166" s="1973"/>
      <c r="H1166" s="2000"/>
      <c r="I1166" s="2003"/>
      <c r="J1166" s="1992" t="n">
        <f aca="false">J1159+J1161</f>
        <v>3.42867989830263</v>
      </c>
      <c r="K1166" s="1186"/>
      <c r="L1166" s="2004"/>
      <c r="M1166" s="2004"/>
      <c r="N1166" s="2004"/>
      <c r="O1166" s="1436"/>
      <c r="P1166" s="2006"/>
      <c r="Q1166" s="1617"/>
      <c r="S1166" s="1617"/>
      <c r="T1166" s="1617"/>
      <c r="U1166" s="1617"/>
      <c r="V1166" s="1617"/>
      <c r="W1166" s="1617"/>
      <c r="X1166" s="1617"/>
      <c r="Y1166" s="1617"/>
    </row>
    <row r="1167" customFormat="false" ht="15.75" hidden="true" customHeight="true" outlineLevel="1" collapsed="false">
      <c r="A1167" s="1965" t="s">
        <v>3610</v>
      </c>
      <c r="B1167" s="1603" t="s">
        <v>15</v>
      </c>
      <c r="C1167" s="1603" t="n">
        <f aca="false">C1140+C1149</f>
        <v>5.87671742043077</v>
      </c>
      <c r="D1167" s="1965" t="n">
        <f aca="false">(D1122-D1118)/SIN(D1124)</f>
        <v>3.58066967141574</v>
      </c>
      <c r="E1167" s="1952" t="n">
        <f aca="false">C1167*G1113+D1167*G1112</f>
        <v>5.87671742043077</v>
      </c>
      <c r="F1167" s="1438" t="n">
        <f aca="false">SQRT(F1137*F1137+(F1158/2)*(F1158/2))</f>
        <v>5.1</v>
      </c>
      <c r="G1167" s="2008" t="n">
        <f aca="false">(G1122-G1120)/SIN(G1126)</f>
        <v>5.337113440966</v>
      </c>
      <c r="H1167" s="1919"/>
      <c r="I1167" s="2003"/>
      <c r="J1167" s="1992" t="n">
        <f aca="false">SQRT(J1135*J1135+J1138*J1138)</f>
        <v>3.43656805548792</v>
      </c>
      <c r="K1167" s="1186" t="n">
        <f aca="false">(K1122-K1119)/SIN(K1124)</f>
        <v>2.55671059653911</v>
      </c>
      <c r="L1167" s="2004" t="n">
        <f aca="false">K1167*Q1112+J1167*Q1113</f>
        <v>3.43656805548792</v>
      </c>
      <c r="M1167" s="2004"/>
      <c r="N1167" s="2004"/>
      <c r="O1167" s="1436"/>
      <c r="P1167" s="1714"/>
      <c r="Q1167" s="1617"/>
      <c r="R1167" s="1617"/>
      <c r="S1167" s="1617"/>
      <c r="T1167" s="1617"/>
      <c r="U1167" s="1617"/>
      <c r="V1167" s="1617"/>
      <c r="W1167" s="1617"/>
      <c r="X1167" s="1617"/>
      <c r="Y1167" s="1617"/>
    </row>
    <row r="1168" customFormat="false" ht="15.75" hidden="true" customHeight="true" outlineLevel="1" collapsed="false">
      <c r="A1168" s="1965" t="s">
        <v>3611</v>
      </c>
      <c r="B1168" s="1603" t="s">
        <v>15</v>
      </c>
      <c r="C1168" s="1603"/>
      <c r="D1168" s="1965"/>
      <c r="E1168" s="1952"/>
      <c r="F1168" s="1438"/>
      <c r="G1168" s="2008"/>
      <c r="H1168" s="1919"/>
      <c r="I1168" s="2003"/>
      <c r="J1168" s="1992" t="n">
        <f aca="false">J1167+J1147</f>
        <v>3.95851003026257</v>
      </c>
      <c r="K1168" s="1186"/>
      <c r="L1168" s="2004"/>
      <c r="M1168" s="2004"/>
      <c r="N1168" s="2004"/>
      <c r="O1168" s="1436" t="n">
        <f aca="false">O1142+O1153+O1156</f>
        <v>10.5585274175236</v>
      </c>
      <c r="P1168" s="1965" t="n">
        <f aca="false">O1168*$P$1129</f>
        <v>0</v>
      </c>
      <c r="Q1168" s="1617"/>
      <c r="R1168" s="1617"/>
      <c r="S1168" s="1617"/>
      <c r="T1168" s="1617"/>
      <c r="U1168" s="1617"/>
      <c r="V1168" s="1617"/>
      <c r="W1168" s="1617"/>
      <c r="X1168" s="1617"/>
      <c r="Y1168" s="1617"/>
    </row>
    <row r="1169" customFormat="false" ht="15.75" hidden="true" customHeight="true" outlineLevel="1" collapsed="false">
      <c r="A1169" s="1965" t="s">
        <v>3612</v>
      </c>
      <c r="B1169" s="1603" t="s">
        <v>15</v>
      </c>
      <c r="C1169" s="1603" t="n">
        <f aca="false">C1140+C1151</f>
        <v>5.87671742043077</v>
      </c>
      <c r="D1169" s="1436"/>
      <c r="E1169" s="1619"/>
      <c r="F1169" s="1436"/>
      <c r="G1169" s="1436"/>
      <c r="H1169" s="1619"/>
      <c r="I1169" s="2009"/>
      <c r="J1169" s="1436" t="n">
        <f aca="false">SQRT(J1171*J1171+J1137*J1137)</f>
        <v>4.24381903478459</v>
      </c>
      <c r="K1169" s="2006" t="n">
        <f aca="false">(K1119-K1118)/SIN(K1126)</f>
        <v>2.55460302940464</v>
      </c>
      <c r="L1169" s="2004" t="n">
        <f aca="false">K1169*Q1112+J1169*Q1113</f>
        <v>4.24381903478459</v>
      </c>
      <c r="M1169" s="2004"/>
      <c r="N1169" s="2004"/>
      <c r="O1169" s="1436" t="n">
        <f aca="false">O1140+O1153+O1156</f>
        <v>10.5585274175236</v>
      </c>
      <c r="P1169" s="1965"/>
      <c r="Q1169" s="1582" t="n">
        <f aca="false">O1169*$Q$1129</f>
        <v>0</v>
      </c>
      <c r="R1169" s="1617"/>
      <c r="S1169" s="1617"/>
      <c r="T1169" s="1617"/>
      <c r="U1169" s="1617"/>
      <c r="V1169" s="1617"/>
      <c r="W1169" s="1617"/>
      <c r="X1169" s="1617"/>
      <c r="Y1169" s="1617"/>
    </row>
    <row r="1170" customFormat="false" ht="15.75" hidden="true" customHeight="true" outlineLevel="1" collapsed="false">
      <c r="A1170" s="1965" t="s">
        <v>1709</v>
      </c>
      <c r="B1170" s="1603" t="s">
        <v>15</v>
      </c>
      <c r="C1170" s="1603"/>
      <c r="D1170" s="1436"/>
      <c r="E1170" s="1619"/>
      <c r="F1170" s="1186" t="n">
        <f aca="false">SQRT(F1166*F1166+F1171*F1171)</f>
        <v>5.90233567268992</v>
      </c>
      <c r="G1170" s="1344" t="n">
        <f aca="false">SQRT(G1159*G1159+SQRT(G1167*G1167-(G1122-G1120)*(G1122-G1120)))</f>
        <v>5.12129185314407</v>
      </c>
      <c r="H1170" s="1417"/>
      <c r="I1170" s="2010" t="n">
        <f aca="false">F1170*J1113+G1170*J1112</f>
        <v>5.90233567268992</v>
      </c>
      <c r="J1170" s="1992" t="n">
        <f aca="false">SQRT(J1171*J1171+J1166*J1166)</f>
        <v>4.89957608829831</v>
      </c>
      <c r="K1170" s="1965" t="n">
        <f aca="false">SQRT(K1159*K1159+(K1133/2)*(K1133/2))</f>
        <v>4.80179620800016</v>
      </c>
      <c r="L1170" s="2004" t="n">
        <f aca="false">K1170*Q1112+J1170*Q1113</f>
        <v>4.89957608829831</v>
      </c>
      <c r="M1170" s="2004"/>
      <c r="N1170" s="2004"/>
      <c r="O1170" s="1436"/>
      <c r="P1170" s="1714"/>
      <c r="Q1170" s="1617"/>
      <c r="R1170" s="1617"/>
      <c r="S1170" s="1617"/>
      <c r="T1170" s="1617"/>
      <c r="U1170" s="1617"/>
      <c r="V1170" s="1617"/>
      <c r="W1170" s="1617"/>
      <c r="X1170" s="1617"/>
      <c r="Y1170" s="1617"/>
    </row>
    <row r="1171" customFormat="false" ht="15.75" hidden="true" customHeight="true" outlineLevel="1" collapsed="false">
      <c r="A1171" s="1186" t="s">
        <v>3613</v>
      </c>
      <c r="B1171" s="1603"/>
      <c r="C1171" s="1603"/>
      <c r="D1171" s="1436"/>
      <c r="E1171" s="1619"/>
      <c r="F1171" s="1436" t="n">
        <f aca="false">F1158/2</f>
        <v>4.5</v>
      </c>
      <c r="G1171" s="1344" t="n">
        <f aca="false">SQRT(G1167*G1167-(G1122-G1120)*(G1122-G1120))</f>
        <v>4.02924060856881</v>
      </c>
      <c r="H1171" s="1417"/>
      <c r="I1171" s="1631"/>
      <c r="J1171" s="1436" t="n">
        <f aca="false">J1158/2</f>
        <v>3.5</v>
      </c>
      <c r="K1171" s="1786" t="n">
        <f aca="false">SQRT(K1167*K1167-(K1122-K1119)*(K1122-K1119))</f>
        <v>2.31740567757469</v>
      </c>
      <c r="L1171" s="1177"/>
      <c r="M1171" s="1177"/>
      <c r="N1171" s="1177"/>
      <c r="O1171" s="1436"/>
      <c r="P1171" s="1714"/>
      <c r="Q1171" s="1617"/>
      <c r="R1171" s="1617"/>
      <c r="S1171" s="1617"/>
      <c r="T1171" s="1617"/>
      <c r="U1171" s="1617"/>
      <c r="V1171" s="1617"/>
      <c r="W1171" s="1617"/>
      <c r="X1171" s="1617"/>
      <c r="Y1171" s="1617"/>
    </row>
    <row r="1172" customFormat="false" ht="15.75" hidden="true" customHeight="true" outlineLevel="1" collapsed="false">
      <c r="A1172" s="1186" t="s">
        <v>3614</v>
      </c>
      <c r="B1172" s="1603"/>
      <c r="C1172" s="1603"/>
      <c r="D1172" s="1436"/>
      <c r="E1172" s="1619"/>
      <c r="F1172" s="1436" t="n">
        <f aca="false">(F1132+F1152+F1152-F1164)/2</f>
        <v>2</v>
      </c>
      <c r="G1172" s="1344" t="n">
        <f aca="false">SQRT(G1159*G1159-(G1122-G1120)*(G1122-G1120))</f>
        <v>3.15410678901508</v>
      </c>
      <c r="H1172" s="1417"/>
      <c r="I1172" s="1631"/>
      <c r="J1172" s="1436" t="n">
        <f aca="false">(J1132-J1164)/2</f>
        <v>1</v>
      </c>
      <c r="K1172" s="1965"/>
      <c r="L1172" s="1966"/>
      <c r="M1172" s="1966"/>
      <c r="N1172" s="1966"/>
      <c r="O1172" s="1436"/>
      <c r="P1172" s="2006"/>
      <c r="Q1172" s="1617"/>
      <c r="R1172" s="1617"/>
      <c r="S1172" s="1617"/>
      <c r="T1172" s="1617"/>
      <c r="U1172" s="1617"/>
      <c r="V1172" s="1617"/>
      <c r="W1172" s="1617"/>
      <c r="X1172" s="1617"/>
      <c r="Y1172" s="1617"/>
    </row>
    <row r="1173" customFormat="false" ht="15.75" hidden="true" customHeight="true" outlineLevel="1" collapsed="false">
      <c r="A1173" s="1186" t="s">
        <v>3615</v>
      </c>
      <c r="B1173" s="1603"/>
      <c r="C1173" s="1603"/>
      <c r="D1173" s="1436"/>
      <c r="E1173" s="1619"/>
      <c r="F1173" s="1436" t="n">
        <f aca="false">F1166*F1171*2</f>
        <v>34.374305488864</v>
      </c>
      <c r="G1173" s="1344" t="n">
        <f aca="false">G1171*G1159*2</f>
        <v>37.9676688501074</v>
      </c>
      <c r="H1173" s="1417"/>
      <c r="I1173" s="1631"/>
      <c r="J1173" s="1436" t="n">
        <f aca="false">J1166*J1171*2</f>
        <v>24.0007592881184</v>
      </c>
      <c r="K1173" s="1436"/>
      <c r="L1173" s="1619"/>
      <c r="M1173" s="1619"/>
      <c r="N1173" s="1619"/>
      <c r="O1173" s="1436"/>
      <c r="P1173" s="1714"/>
      <c r="Q1173" s="1617"/>
      <c r="R1173" s="1617"/>
      <c r="S1173" s="1617"/>
      <c r="T1173" s="1617"/>
      <c r="U1173" s="1617"/>
      <c r="V1173" s="1617"/>
      <c r="W1173" s="1617"/>
      <c r="X1173" s="1617"/>
      <c r="Y1173" s="1617"/>
    </row>
    <row r="1174" customFormat="false" ht="15.75" hidden="true" customHeight="true" outlineLevel="1" collapsed="false">
      <c r="A1174" s="1186" t="s">
        <v>3616</v>
      </c>
      <c r="B1174" s="1603"/>
      <c r="C1174" s="1603"/>
      <c r="D1174" s="1436"/>
      <c r="E1174" s="1619"/>
      <c r="F1174" s="1436" t="n">
        <f aca="false">F1172*F1167*2+F1167*F1164*2</f>
        <v>71.4</v>
      </c>
      <c r="G1174" s="1344" t="n">
        <f aca="false">G1172*G1167*2+G1167*(связи!R21+'Ввод данных'!C340+'Ввод данных'!C340-G1172*2)*2</f>
        <v>62.400390461599</v>
      </c>
      <c r="H1174" s="1417"/>
      <c r="I1174" s="1631"/>
      <c r="J1174" s="1436" t="n">
        <f aca="false">J1169*(J1132+J1152+J1152)*2-J1169*J1172*2</f>
        <v>67.9011045565534</v>
      </c>
      <c r="K1174" s="1436"/>
      <c r="L1174" s="1619"/>
      <c r="M1174" s="1619"/>
      <c r="N1174" s="1619"/>
      <c r="O1174" s="1436"/>
      <c r="P1174" s="1714"/>
      <c r="Q1174" s="1994"/>
      <c r="R1174" s="1421"/>
      <c r="S1174" s="1617"/>
      <c r="T1174" s="1617"/>
      <c r="U1174" s="1617"/>
      <c r="V1174" s="1617"/>
      <c r="W1174" s="1617"/>
      <c r="X1174" s="1617"/>
      <c r="Y1174" s="1617"/>
    </row>
    <row r="1175" customFormat="false" ht="15.75" hidden="true" customHeight="true" outlineLevel="1" collapsed="false">
      <c r="A1175" s="1965" t="s">
        <v>3617</v>
      </c>
      <c r="B1175" s="1603" t="s">
        <v>820</v>
      </c>
      <c r="C1175" s="1603"/>
      <c r="D1175" s="1965"/>
      <c r="E1175" s="1952"/>
      <c r="F1175" s="1319"/>
      <c r="G1175" s="1707"/>
      <c r="H1175" s="1734"/>
      <c r="I1175" s="2007"/>
      <c r="J1175" s="1997" t="n">
        <f aca="false">J1168*(J1132+J1152+J1152)</f>
        <v>35.6265902723632</v>
      </c>
      <c r="K1175" s="1186"/>
      <c r="L1175" s="25"/>
      <c r="M1175" s="25"/>
      <c r="N1175" s="25"/>
      <c r="O1175" s="1714"/>
      <c r="P1175" s="1786"/>
      <c r="Q1175" s="1966"/>
      <c r="R1175" s="1617"/>
      <c r="S1175" s="1617"/>
      <c r="T1175" s="1617"/>
      <c r="U1175" s="1617"/>
      <c r="V1175" s="1617"/>
      <c r="W1175" s="1617"/>
      <c r="X1175" s="1617"/>
      <c r="Y1175" s="1617"/>
    </row>
    <row r="1176" customFormat="false" ht="15.75" hidden="true" customHeight="true" outlineLevel="1" collapsed="false">
      <c r="A1176" s="1965" t="s">
        <v>3618</v>
      </c>
      <c r="B1176" s="1603"/>
      <c r="C1176" s="1603"/>
      <c r="D1176" s="1965"/>
      <c r="E1176" s="1952"/>
      <c r="F1176" s="1319"/>
      <c r="G1176" s="1707"/>
      <c r="H1176" s="1734"/>
      <c r="I1176" s="2007"/>
      <c r="J1176" s="1997"/>
      <c r="K1176" s="1186"/>
      <c r="L1176" s="25"/>
      <c r="M1176" s="25"/>
      <c r="N1176" s="25"/>
      <c r="O1176" s="1714"/>
      <c r="P1176" s="1786"/>
      <c r="Q1176" s="1966"/>
      <c r="R1176" s="1617"/>
      <c r="S1176" s="1617"/>
      <c r="T1176" s="1617"/>
      <c r="U1176" s="1617"/>
      <c r="V1176" s="1617"/>
      <c r="W1176" s="1617"/>
      <c r="X1176" s="1617"/>
      <c r="Y1176" s="1617"/>
    </row>
    <row r="1177" customFormat="false" ht="15.75" hidden="true" customHeight="true" outlineLevel="1" collapsed="false">
      <c r="A1177" s="1438" t="s">
        <v>3619</v>
      </c>
      <c r="B1177" s="1996" t="s">
        <v>820</v>
      </c>
      <c r="C1177" s="1996" t="n">
        <f aca="false">C1140*C1132*2</f>
        <v>83.9961903898028</v>
      </c>
      <c r="D1177" s="2011" t="n">
        <f aca="false">(D1167-D1125)*C1132*2</f>
        <v>46.2021893085902</v>
      </c>
      <c r="E1177" s="1619"/>
      <c r="F1177" s="1436" t="n">
        <f aca="false">F1181-F1179</f>
        <v>88.774305488864</v>
      </c>
      <c r="G1177" s="1436"/>
      <c r="H1177" s="1619"/>
      <c r="I1177" s="1631"/>
      <c r="J1177" s="1436" t="n">
        <f aca="false">J1181-J1179</f>
        <v>104.260362460115</v>
      </c>
      <c r="K1177" s="1436"/>
      <c r="L1177" s="1619"/>
      <c r="M1177" s="1619"/>
      <c r="N1177" s="1619"/>
      <c r="O1177" s="1372" t="n">
        <f aca="false">O1162*O1142</f>
        <v>69.5402041987223</v>
      </c>
      <c r="P1177" s="1965" t="n">
        <f aca="false">O1177*$P$1129</f>
        <v>0</v>
      </c>
      <c r="Q1177" s="1966"/>
      <c r="S1177" s="1617"/>
      <c r="T1177" s="1617"/>
      <c r="U1177" s="1617"/>
      <c r="V1177" s="1617"/>
      <c r="W1177" s="1617"/>
      <c r="X1177" s="1617"/>
      <c r="Y1177" s="1617"/>
    </row>
    <row r="1178" customFormat="false" ht="15.75" hidden="true" customHeight="true" outlineLevel="1" collapsed="false">
      <c r="A1178" s="1438" t="s">
        <v>3620</v>
      </c>
      <c r="B1178" s="1996"/>
      <c r="C1178" s="1996"/>
      <c r="D1178" s="2011"/>
      <c r="E1178" s="1730" t="n">
        <f aca="false">D1177*D1115+I1115*F1177+J1177*L1115+Q1115*(P1177+Q1178)</f>
        <v>46.2021893085902</v>
      </c>
      <c r="F1178" s="1436"/>
      <c r="G1178" s="1436"/>
      <c r="H1178" s="1619"/>
      <c r="I1178" s="1631"/>
      <c r="J1178" s="1436"/>
      <c r="K1178" s="1436"/>
      <c r="L1178" s="1619"/>
      <c r="M1178" s="1619"/>
      <c r="N1178" s="1619"/>
      <c r="O1178" s="1436" t="n">
        <f aca="false">O1163*O1140</f>
        <v>69.5402041987223</v>
      </c>
      <c r="P1178" s="1965"/>
      <c r="Q1178" s="1582" t="n">
        <f aca="false">O1178*$Q$1129</f>
        <v>0</v>
      </c>
      <c r="S1178" s="1617"/>
      <c r="T1178" s="1617"/>
      <c r="U1178" s="1617"/>
      <c r="V1178" s="1617"/>
      <c r="W1178" s="1617"/>
      <c r="X1178" s="1617"/>
      <c r="Y1178" s="1617"/>
    </row>
    <row r="1179" customFormat="false" ht="15.75" hidden="true" customHeight="true" outlineLevel="1" collapsed="false">
      <c r="A1179" s="1438" t="s">
        <v>3621</v>
      </c>
      <c r="B1179" s="1996" t="s">
        <v>820</v>
      </c>
      <c r="C1179" s="1996" t="n">
        <f aca="false">(C1140*C1152)*2+(C1140*C1155)*2+(C1132+C1152+C1155)*C1149+(C1132+C1155+C1152)*C1151</f>
        <v>21.7847231779511</v>
      </c>
      <c r="D1179" s="2011" t="n">
        <f aca="false">D1167*C1152*2+D1167*C1155*2+D1125*C1132*2</f>
        <v>18.2498647768931</v>
      </c>
      <c r="E1179" s="1619"/>
      <c r="F1179" s="1438" t="n">
        <f aca="false">(F1133+F1148+F1148)*F1152*2+F1132*2*F1148</f>
        <v>17</v>
      </c>
      <c r="G1179" s="1436"/>
      <c r="H1179" s="1619"/>
      <c r="I1179" s="1631"/>
      <c r="J1179" s="1992" t="n">
        <f aca="false">J1158*2*J1152+J1168*4*J1152+J1132*2*J1147</f>
        <v>23.2680916569197</v>
      </c>
      <c r="K1179" s="1436"/>
      <c r="L1179" s="1619"/>
      <c r="M1179" s="1619"/>
      <c r="N1179" s="1619"/>
      <c r="O1179" s="1372" t="n">
        <f aca="false">O1162*O1153+O1162*O1156+(O1142+O1153+O1156)*O1149+(O1142+O1153+O1156)*O1151</f>
        <v>33.9333644930086</v>
      </c>
      <c r="P1179" s="1965" t="n">
        <f aca="false">O1179*$P$1129</f>
        <v>0</v>
      </c>
      <c r="S1179" s="1617"/>
      <c r="T1179" s="1617"/>
      <c r="U1179" s="1617"/>
      <c r="V1179" s="1617"/>
      <c r="W1179" s="1617"/>
      <c r="X1179" s="1617"/>
      <c r="Y1179" s="1617"/>
    </row>
    <row r="1180" customFormat="false" ht="15.75" hidden="true" customHeight="true" outlineLevel="1" collapsed="false">
      <c r="A1180" s="1438" t="s">
        <v>3622</v>
      </c>
      <c r="B1180" s="1996"/>
      <c r="C1180" s="1996"/>
      <c r="D1180" s="2011"/>
      <c r="E1180" s="1619"/>
      <c r="F1180" s="1438"/>
      <c r="G1180" s="1436"/>
      <c r="H1180" s="1619"/>
      <c r="I1180" s="1631"/>
      <c r="J1180" s="1992"/>
      <c r="K1180" s="1436"/>
      <c r="L1180" s="1619"/>
      <c r="M1180" s="1619"/>
      <c r="N1180" s="1619"/>
      <c r="O1180" s="1436" t="n">
        <f aca="false">O1163*O1153+O1163*O1156+(O1140+O1153+O1156)*O1149+(O1140+O1153+O1156)*O1151</f>
        <v>33.9333644930086</v>
      </c>
      <c r="P1180" s="2011"/>
      <c r="Q1180" s="1582" t="n">
        <f aca="false">O1180*$Q$1129</f>
        <v>0</v>
      </c>
      <c r="S1180" s="1617"/>
      <c r="T1180" s="1617"/>
      <c r="U1180" s="1617"/>
      <c r="V1180" s="1617"/>
      <c r="W1180" s="1617"/>
      <c r="X1180" s="1617"/>
      <c r="Y1180" s="1617"/>
    </row>
    <row r="1181" customFormat="false" ht="15.75" hidden="true" customHeight="true" outlineLevel="1" collapsed="false">
      <c r="A1181" s="1438" t="s">
        <v>3623</v>
      </c>
      <c r="B1181" s="1996" t="s">
        <v>820</v>
      </c>
      <c r="C1181" s="1996" t="n">
        <f aca="false">C1177+C1179</f>
        <v>105.780913567754</v>
      </c>
      <c r="D1181" s="1438" t="n">
        <f aca="false">D1167*(C1132+C1152+C1152)*2</f>
        <v>64.4520540854834</v>
      </c>
      <c r="E1181" s="1952" t="n">
        <f aca="false">(C1181*G1113+D1181*G1112)</f>
        <v>105.780913567754</v>
      </c>
      <c r="F1181" s="1186" t="n">
        <f aca="false">F1174+F1173</f>
        <v>105.774305488864</v>
      </c>
      <c r="G1181" s="1344" t="n">
        <f aca="false">G1173+G1174</f>
        <v>100.368059311706</v>
      </c>
      <c r="H1181" s="1417"/>
      <c r="I1181" s="2010" t="n">
        <f aca="false">F1181*J1113+G1181*J1112</f>
        <v>105.774305488864</v>
      </c>
      <c r="J1181" s="1992" t="n">
        <f aca="false">J1174+J1173+J1175</f>
        <v>127.528454117035</v>
      </c>
      <c r="K1181" s="1965" t="n">
        <f aca="false">K1169*(K1132+K1152*2)*2+K1133/2*K1159*2+K1167*K1164*2+K1167*((K1132+K1152*2-K1164)/2)*2</f>
        <v>100.845209862943</v>
      </c>
      <c r="L1181" s="2004" t="n">
        <f aca="false">K1181*Q1112+J1181*Q1113</f>
        <v>127.528454117035</v>
      </c>
      <c r="M1181" s="2004"/>
      <c r="N1181" s="2004"/>
      <c r="O1181" s="1372" t="n">
        <f aca="false">O1177+O1179</f>
        <v>103.473568691731</v>
      </c>
      <c r="P1181" s="1965" t="n">
        <f aca="false">O1181*$P$1129</f>
        <v>0</v>
      </c>
      <c r="S1181" s="1617"/>
      <c r="T1181" s="1617"/>
      <c r="U1181" s="1617"/>
      <c r="V1181" s="1617"/>
      <c r="W1181" s="1617"/>
      <c r="X1181" s="1617"/>
      <c r="Y1181" s="1617"/>
    </row>
    <row r="1182" customFormat="false" ht="15.75" hidden="true" customHeight="true" outlineLevel="1" collapsed="false">
      <c r="A1182" s="1438" t="s">
        <v>3624</v>
      </c>
      <c r="B1182" s="1996"/>
      <c r="C1182" s="1996"/>
      <c r="D1182" s="1438"/>
      <c r="E1182" s="1952"/>
      <c r="F1182" s="1186"/>
      <c r="G1182" s="1344"/>
      <c r="H1182" s="1417"/>
      <c r="I1182" s="2010"/>
      <c r="J1182" s="1992"/>
      <c r="K1182" s="1965"/>
      <c r="L1182" s="1747"/>
      <c r="M1182" s="1747"/>
      <c r="N1182" s="1747"/>
      <c r="O1182" s="1436" t="n">
        <f aca="false">O1178+O1180</f>
        <v>103.473568691731</v>
      </c>
      <c r="P1182" s="1965"/>
      <c r="Q1182" s="1582" t="n">
        <f aca="false">O1182*$Q$1129</f>
        <v>0</v>
      </c>
      <c r="S1182" s="1617"/>
      <c r="T1182" s="1617"/>
      <c r="U1182" s="1617"/>
      <c r="V1182" s="1617"/>
      <c r="W1182" s="1617"/>
      <c r="X1182" s="1617"/>
      <c r="Y1182" s="1617"/>
    </row>
    <row r="1183" customFormat="false" ht="15.75" hidden="true" customHeight="true" outlineLevel="1" collapsed="false">
      <c r="A1183" s="1965" t="s">
        <v>3625</v>
      </c>
      <c r="B1183" s="1603" t="s">
        <v>820</v>
      </c>
      <c r="C1183" s="1603" t="n">
        <f aca="false">C1181*1.15</f>
        <v>121.648050602917</v>
      </c>
      <c r="D1183" s="1965" t="n">
        <f aca="false">D1181*1.25</f>
        <v>80.5650676068542</v>
      </c>
      <c r="E1183" s="1952" t="n">
        <f aca="false">E1181*1.2</f>
        <v>126.937096281305</v>
      </c>
      <c r="F1183" s="1438" t="n">
        <f aca="false">F1181*1.5</f>
        <v>158.661458233296</v>
      </c>
      <c r="G1183" s="2008" t="n">
        <f aca="false">G1181*1.4</f>
        <v>140.515283036389</v>
      </c>
      <c r="H1183" s="1919"/>
      <c r="I1183" s="2010" t="n">
        <f aca="false">I1181*1.4</f>
        <v>148.08402768441</v>
      </c>
      <c r="J1183" s="1992" t="n">
        <f aca="false">J1181*1.4</f>
        <v>178.539835763849</v>
      </c>
      <c r="K1183" s="1436"/>
      <c r="L1183" s="1619"/>
      <c r="M1183" s="1619"/>
      <c r="N1183" s="1619"/>
      <c r="O1183" s="1372" t="n">
        <f aca="false">O1181*1.15</f>
        <v>118.994603995491</v>
      </c>
      <c r="P1183" s="1965" t="n">
        <f aca="false">O1183*$P$1129</f>
        <v>0</v>
      </c>
      <c r="Q1183" s="1966"/>
      <c r="R1183" s="1617"/>
      <c r="S1183" s="1617"/>
      <c r="T1183" s="1617"/>
      <c r="U1183" s="1617"/>
      <c r="V1183" s="1617"/>
      <c r="W1183" s="1617"/>
      <c r="X1183" s="1617"/>
      <c r="Y1183" s="1617"/>
    </row>
    <row r="1184" customFormat="false" ht="15.75" hidden="true" customHeight="true" outlineLevel="1" collapsed="false">
      <c r="A1184" s="1965" t="s">
        <v>3626</v>
      </c>
      <c r="B1184" s="1603"/>
      <c r="C1184" s="1603"/>
      <c r="D1184" s="1965"/>
      <c r="E1184" s="1952"/>
      <c r="F1184" s="1438"/>
      <c r="G1184" s="2008"/>
      <c r="H1184" s="1919"/>
      <c r="I1184" s="2010"/>
      <c r="J1184" s="1992"/>
      <c r="K1184" s="1436"/>
      <c r="L1184" s="1619"/>
      <c r="M1184" s="1619"/>
      <c r="N1184" s="1619"/>
      <c r="O1184" s="1436" t="n">
        <f aca="false">O1182*1.15</f>
        <v>118.994603995491</v>
      </c>
      <c r="P1184" s="1438"/>
      <c r="Q1184" s="1582" t="n">
        <f aca="false">O1184*$Q$1129</f>
        <v>0</v>
      </c>
      <c r="R1184" s="1617"/>
      <c r="S1184" s="1617"/>
      <c r="T1184" s="1617"/>
      <c r="U1184" s="1617"/>
      <c r="V1184" s="1617"/>
      <c r="W1184" s="1617"/>
      <c r="X1184" s="1617"/>
      <c r="Y1184" s="1617"/>
    </row>
    <row r="1185" customFormat="false" ht="15.75" hidden="true" customHeight="true" outlineLevel="1" collapsed="false">
      <c r="A1185" s="1965" t="s">
        <v>3627</v>
      </c>
      <c r="B1185" s="1603"/>
      <c r="C1185" s="1958" t="n">
        <f aca="false">C1135*(C1133)/2*2</f>
        <v>27.2</v>
      </c>
      <c r="D1185" s="1438" t="n">
        <f aca="false">C16/2*D1135*2*B1</f>
        <v>0</v>
      </c>
      <c r="E1185" s="1952" t="n">
        <f aca="false">C1185*G1113+D1185*G1112</f>
        <v>27.2</v>
      </c>
      <c r="F1185" s="1436"/>
      <c r="G1185" s="1436"/>
      <c r="H1185" s="1619"/>
      <c r="I1185" s="1631"/>
      <c r="J1185" s="1436" t="n">
        <f aca="false">(J1158*J1136+J1138*J1136)*2</f>
        <v>15</v>
      </c>
      <c r="K1185" s="1965" t="n">
        <f aca="false">(K1120-дома!K1117)*K1171*2*2+(K1120-K1117)*((K1133-K1171*2))</f>
        <v>30.3235472523585</v>
      </c>
      <c r="L1185" s="2004" t="n">
        <f aca="false">K1185*Q1112+J1185*Q1113</f>
        <v>15</v>
      </c>
      <c r="M1185" s="2004"/>
      <c r="N1185" s="2004"/>
      <c r="O1185" s="1436" t="n">
        <f aca="false">O1142+O1135+O1135*O1162</f>
        <v>39.2925255248403</v>
      </c>
      <c r="P1185" s="1965" t="n">
        <f aca="false">O1185*$P$1129</f>
        <v>0</v>
      </c>
      <c r="Q1185" s="1966"/>
      <c r="R1185" s="1617"/>
      <c r="S1185" s="1617"/>
      <c r="T1185" s="1617"/>
      <c r="U1185" s="1617"/>
      <c r="V1185" s="1617"/>
      <c r="W1185" s="1617"/>
      <c r="X1185" s="1617"/>
      <c r="Y1185" s="1617"/>
    </row>
    <row r="1186" customFormat="false" ht="15.75" hidden="true" customHeight="true" outlineLevel="1" collapsed="false">
      <c r="A1186" s="1965" t="s">
        <v>3628</v>
      </c>
      <c r="B1186" s="1603"/>
      <c r="C1186" s="1958"/>
      <c r="D1186" s="1438"/>
      <c r="E1186" s="1952"/>
      <c r="F1186" s="1436"/>
      <c r="G1186" s="1436"/>
      <c r="H1186" s="1619"/>
      <c r="I1186" s="1631"/>
      <c r="J1186" s="1436"/>
      <c r="K1186" s="1965"/>
      <c r="L1186" s="2004"/>
      <c r="M1186" s="1747"/>
      <c r="N1186" s="1747"/>
      <c r="O1186" s="1582" t="n">
        <f aca="false">O1140*O1135+O1163*O1135</f>
        <v>56.754586784457</v>
      </c>
      <c r="P1186" s="1965"/>
      <c r="Q1186" s="1582" t="n">
        <f aca="false">O1186*$Q$1129</f>
        <v>0</v>
      </c>
      <c r="R1186" s="1617"/>
      <c r="S1186" s="1617"/>
      <c r="T1186" s="1617"/>
      <c r="U1186" s="1617"/>
      <c r="V1186" s="1617"/>
      <c r="W1186" s="1617"/>
      <c r="X1186" s="1617"/>
      <c r="Y1186" s="1617"/>
    </row>
    <row r="1187" customFormat="false" ht="15.75" hidden="true" customHeight="true" outlineLevel="1" collapsed="false">
      <c r="A1187" s="1965" t="s">
        <v>3629</v>
      </c>
      <c r="B1187" s="1603"/>
      <c r="C1187" s="1958" t="n">
        <f aca="false">C1137/SIN(C1124)</f>
        <v>3.97803673223989</v>
      </c>
      <c r="D1187" s="1438"/>
      <c r="E1187" s="2012" t="n">
        <f aca="false">E1190*D1115+I1115*I1190+L1190*L1115+Q1115*(Q1190)</f>
        <v>77.2802952974604</v>
      </c>
      <c r="F1187" s="1180" t="s">
        <v>3630</v>
      </c>
      <c r="G1187" s="1436"/>
      <c r="H1187" s="1619"/>
      <c r="I1187" s="1631"/>
      <c r="J1187" s="1436"/>
      <c r="K1187" s="1965"/>
      <c r="L1187" s="2004"/>
      <c r="M1187" s="2004"/>
      <c r="N1187" s="2004"/>
      <c r="O1187" s="1436"/>
      <c r="P1187" s="1965"/>
      <c r="Q1187" s="1966"/>
      <c r="R1187" s="1617"/>
      <c r="S1187" s="1617"/>
      <c r="T1187" s="1617"/>
      <c r="U1187" s="1617"/>
      <c r="V1187" s="1617"/>
      <c r="W1187" s="1617"/>
      <c r="X1187" s="1617"/>
      <c r="Y1187" s="1617"/>
    </row>
    <row r="1188" customFormat="false" ht="15.75" hidden="true" customHeight="true" outlineLevel="1" collapsed="false">
      <c r="A1188" s="1965" t="s">
        <v>2894</v>
      </c>
      <c r="B1188" s="1603"/>
      <c r="C1188" s="1958" t="n">
        <f aca="false">SQRT(C1187*C1187-C1137*C1137)</f>
        <v>3.17250315099132</v>
      </c>
      <c r="D1188" s="1438"/>
      <c r="E1188" s="1952"/>
      <c r="F1188" s="1436"/>
      <c r="G1188" s="1436"/>
      <c r="H1188" s="1619"/>
      <c r="I1188" s="1631"/>
      <c r="J1188" s="1436"/>
      <c r="K1188" s="1965"/>
      <c r="L1188" s="2004"/>
      <c r="M1188" s="2004"/>
      <c r="N1188" s="2004"/>
      <c r="O1188" s="1436"/>
      <c r="P1188" s="1965"/>
      <c r="Q1188" s="1966"/>
      <c r="R1188" s="1617"/>
      <c r="S1188" s="1617"/>
      <c r="T1188" s="1617"/>
      <c r="U1188" s="1617"/>
      <c r="V1188" s="1617"/>
      <c r="W1188" s="1617"/>
      <c r="X1188" s="1617"/>
      <c r="Y1188" s="1617"/>
    </row>
    <row r="1189" customFormat="false" ht="15.75" hidden="true" customHeight="true" outlineLevel="1" collapsed="false">
      <c r="A1189" s="2013" t="s">
        <v>3631</v>
      </c>
      <c r="B1189" s="2014"/>
      <c r="C1189" s="2015" t="n">
        <f aca="false">((C1137/SIN(C1124))*COS(C1124))*2*C1132</f>
        <v>50.7600504158611</v>
      </c>
      <c r="D1189" s="2013"/>
      <c r="E1189" s="2016" t="n">
        <f aca="false">C1189</f>
        <v>50.7600504158611</v>
      </c>
      <c r="F1189" s="1665" t="n">
        <f aca="false">F1133*F1132</f>
        <v>64</v>
      </c>
      <c r="G1189" s="1665"/>
      <c r="H1189" s="1666"/>
      <c r="I1189" s="2017"/>
      <c r="J1189" s="2018" t="n">
        <f aca="false">(J1158)*J1132</f>
        <v>56</v>
      </c>
      <c r="K1189" s="2019" t="n">
        <f aca="false">(K1171+K1171)*K1132</f>
        <v>37.078490841195</v>
      </c>
      <c r="L1189" s="2020" t="n">
        <f aca="false">K1189*Q1112+J1189*Q1113</f>
        <v>56</v>
      </c>
      <c r="M1189" s="2020"/>
      <c r="N1189" s="2020"/>
      <c r="O1189" s="2021" t="n">
        <f aca="false">O1191*O1133*P1129</f>
        <v>0</v>
      </c>
      <c r="P1189" s="1968" t="n">
        <f aca="false">P1191*O1132*Q1129</f>
        <v>0</v>
      </c>
      <c r="Q1189" s="1966"/>
      <c r="R1189" s="1617"/>
      <c r="S1189" s="1617"/>
      <c r="T1189" s="1617"/>
      <c r="U1189" s="1617"/>
      <c r="V1189" s="1617"/>
      <c r="W1189" s="1617"/>
      <c r="X1189" s="1617"/>
      <c r="Y1189" s="1617"/>
    </row>
    <row r="1190" s="2027" customFormat="true" ht="15.75" hidden="true" customHeight="true" outlineLevel="1" collapsed="false">
      <c r="A1190" s="2022" t="s">
        <v>3632</v>
      </c>
      <c r="B1190" s="1638"/>
      <c r="C1190" s="2023" t="n">
        <f aca="false">C1141*C1132*2</f>
        <v>26.5202448815993</v>
      </c>
      <c r="D1190" s="2022"/>
      <c r="E1190" s="1730" t="n">
        <f aca="false">E1189+C1190</f>
        <v>77.2802952974604</v>
      </c>
      <c r="F1190" s="1635"/>
      <c r="G1190" s="1635"/>
      <c r="H1190" s="1730"/>
      <c r="I1190" s="1749" t="n">
        <f aca="false">G1132*G1133</f>
        <v>64</v>
      </c>
      <c r="J1190" s="1635" t="n">
        <f aca="false">J1167*J1132*2</f>
        <v>54.9850888878067</v>
      </c>
      <c r="K1190" s="2022"/>
      <c r="L1190" s="2024" t="n">
        <f aca="false">J1189+J1190</f>
        <v>110.985088887807</v>
      </c>
      <c r="M1190" s="2024"/>
      <c r="N1190" s="2024"/>
      <c r="O1190" s="2025" t="n">
        <f aca="false">O1193*O1133*P1129</f>
        <v>0</v>
      </c>
      <c r="P1190" s="2025" t="n">
        <f aca="false">P1193*O1133*Q1129</f>
        <v>0</v>
      </c>
      <c r="Q1190" s="2026" t="n">
        <f aca="false">(O1189+P1189+O1190+P1190)*Q1115</f>
        <v>0</v>
      </c>
      <c r="R1190" s="1719"/>
      <c r="S1190" s="1719"/>
      <c r="T1190" s="1719"/>
      <c r="U1190" s="1719"/>
      <c r="V1190" s="1719"/>
      <c r="W1190" s="1719"/>
      <c r="X1190" s="1719"/>
      <c r="Y1190" s="1719"/>
    </row>
    <row r="1191" customFormat="false" ht="15.75" hidden="true" customHeight="true" outlineLevel="1" collapsed="false">
      <c r="A1191" s="2028" t="s">
        <v>3633</v>
      </c>
      <c r="B1191" s="2029" t="s">
        <v>15</v>
      </c>
      <c r="C1191" s="2030" t="n">
        <f aca="false">C1137/SIN(C1124)*COS(C1124)*2</f>
        <v>6.34500630198264</v>
      </c>
      <c r="D1191" s="2031"/>
      <c r="E1191" s="2032"/>
      <c r="F1191" s="1755"/>
      <c r="G1191" s="1755"/>
      <c r="H1191" s="1874"/>
      <c r="I1191" s="2033"/>
      <c r="J1191" s="1755" t="n">
        <f aca="false">J1189/J1132</f>
        <v>7</v>
      </c>
      <c r="K1191" s="2028"/>
      <c r="L1191" s="2034"/>
      <c r="M1191" s="2034"/>
      <c r="N1191" s="2034"/>
      <c r="O1191" s="2035" t="n">
        <f aca="false">O1137/SIN(O1124)*COS(O1124)</f>
        <v>5.30289293167443</v>
      </c>
      <c r="P1191" s="1968" t="n">
        <f aca="false">O1137/SIN(P1124)*COS(P1124)</f>
        <v>5.30289293167443</v>
      </c>
      <c r="Q1191" s="1966"/>
      <c r="R1191" s="1617"/>
      <c r="S1191" s="1617"/>
      <c r="T1191" s="1617"/>
      <c r="U1191" s="1617"/>
      <c r="V1191" s="1617"/>
      <c r="W1191" s="1617"/>
      <c r="X1191" s="1617"/>
      <c r="Y1191" s="1617"/>
    </row>
    <row r="1192" customFormat="false" ht="15.75" hidden="true" customHeight="true" outlineLevel="1" collapsed="false">
      <c r="A1192" s="2028" t="s">
        <v>3634</v>
      </c>
      <c r="B1192" s="2029"/>
      <c r="C1192" s="2030" t="n">
        <f aca="false">C1133/2-C1191/2</f>
        <v>0.82749684900868</v>
      </c>
      <c r="D1192" s="2031"/>
      <c r="E1192" s="2032"/>
      <c r="F1192" s="1755"/>
      <c r="G1192" s="1755"/>
      <c r="H1192" s="1874"/>
      <c r="I1192" s="2033"/>
      <c r="J1192" s="2030" t="n">
        <f aca="false">J1133/2-J1191/2</f>
        <v>0.5</v>
      </c>
      <c r="K1192" s="2028"/>
      <c r="L1192" s="2034"/>
      <c r="M1192" s="2034"/>
      <c r="N1192" s="2034"/>
      <c r="O1192" s="2035" t="n">
        <f aca="false">O1132-O1191</f>
        <v>2.69710706832557</v>
      </c>
      <c r="P1192" s="2035" t="n">
        <f aca="false">P1132-P1191</f>
        <v>-5.30289293167443</v>
      </c>
      <c r="Q1192" s="1966"/>
      <c r="R1192" s="1617"/>
      <c r="S1192" s="1617"/>
      <c r="T1192" s="1617"/>
      <c r="U1192" s="1617"/>
      <c r="V1192" s="1617"/>
      <c r="W1192" s="1617"/>
      <c r="X1192" s="1617"/>
      <c r="Y1192" s="1617"/>
    </row>
    <row r="1193" customFormat="false" ht="15.75" hidden="true" customHeight="true" outlineLevel="1" collapsed="false">
      <c r="A1193" s="2028" t="s">
        <v>3635</v>
      </c>
      <c r="B1193" s="2029"/>
      <c r="C1193" s="2030" t="n">
        <f aca="false">SQRT((C1137-C1139)*(C1137-C1139)+C1192*C1192)</f>
        <v>1.15097829480807</v>
      </c>
      <c r="D1193" s="2031"/>
      <c r="E1193" s="2032"/>
      <c r="F1193" s="1755"/>
      <c r="G1193" s="1755"/>
      <c r="H1193" s="1874"/>
      <c r="I1193" s="2033"/>
      <c r="J1193" s="2030"/>
      <c r="K1193" s="2028"/>
      <c r="L1193" s="2034"/>
      <c r="M1193" s="2034"/>
      <c r="N1193" s="2034"/>
      <c r="O1193" s="2035" t="n">
        <f aca="false">SQRT(O1192*O1192+O1136*O1136)</f>
        <v>2.87652334216355</v>
      </c>
      <c r="P1193" s="2035" t="n">
        <f aca="false">SQRT(P1192*P1192+P1136*P1136)</f>
        <v>5.30289293167443</v>
      </c>
      <c r="Q1193" s="1966"/>
      <c r="R1193" s="1617"/>
      <c r="S1193" s="1617"/>
      <c r="T1193" s="1617"/>
      <c r="U1193" s="1617"/>
      <c r="V1193" s="1617"/>
      <c r="W1193" s="1617"/>
      <c r="X1193" s="1617"/>
      <c r="Y1193" s="1617"/>
    </row>
    <row r="1194" customFormat="false" ht="15.75" hidden="true" customHeight="true" outlineLevel="1" collapsed="false">
      <c r="A1194" s="2028"/>
      <c r="B1194" s="2029"/>
      <c r="C1194" s="2030" t="n">
        <f aca="false">C1191/2</f>
        <v>3.17250315099132</v>
      </c>
      <c r="D1194" s="2031"/>
      <c r="E1194" s="2032"/>
      <c r="F1194" s="1755"/>
      <c r="G1194" s="1755"/>
      <c r="H1194" s="1874"/>
      <c r="I1194" s="2036" t="n">
        <f aca="false">C1194*B1115+L1115*J1194+O1194*P1129*Q1115+Q1115*Q1129*P1194</f>
        <v>3.17250315099132</v>
      </c>
      <c r="J1194" s="2030" t="n">
        <f aca="false">J1191/2</f>
        <v>3.5</v>
      </c>
      <c r="K1194" s="2028"/>
      <c r="L1194" s="2034"/>
      <c r="M1194" s="2034"/>
      <c r="N1194" s="2034"/>
      <c r="O1194" s="2030" t="n">
        <f aca="false">O1191</f>
        <v>5.30289293167443</v>
      </c>
      <c r="P1194" s="2030" t="n">
        <f aca="false">P1191</f>
        <v>5.30289293167443</v>
      </c>
      <c r="Q1194" s="1966"/>
      <c r="R1194" s="1617"/>
      <c r="S1194" s="1617"/>
      <c r="T1194" s="1617"/>
      <c r="U1194" s="1617"/>
      <c r="V1194" s="1617"/>
      <c r="W1194" s="1617"/>
      <c r="X1194" s="1617"/>
      <c r="Y1194" s="1617"/>
    </row>
    <row r="1195" customFormat="false" ht="15.75" hidden="true" customHeight="true" outlineLevel="1" collapsed="false">
      <c r="A1195" s="1965" t="s">
        <v>3636</v>
      </c>
      <c r="B1195" s="1692"/>
      <c r="C1195" s="1603" t="n">
        <f aca="false">(C1132+C1132+C1152+C1152+C1155+C1155)</f>
        <v>18</v>
      </c>
      <c r="D1195" s="1965"/>
      <c r="E1195" s="1952" t="n">
        <f aca="false">C1195</f>
        <v>18</v>
      </c>
      <c r="F1195" s="1436" t="n">
        <f aca="false">F1197/2</f>
        <v>34</v>
      </c>
      <c r="G1195" s="1436" t="n">
        <f aca="false">F1195</f>
        <v>34</v>
      </c>
      <c r="H1195" s="1619"/>
      <c r="I1195" s="2007" t="n">
        <f aca="false">F1195</f>
        <v>34</v>
      </c>
      <c r="J1195" s="1707" t="n">
        <f aca="false">J1197/2</f>
        <v>18</v>
      </c>
      <c r="K1195" s="1707" t="n">
        <f aca="false">(K1132+K1152+K1152)*2+K1171*2*2</f>
        <v>27.2696227102987</v>
      </c>
      <c r="L1195" s="2004" t="n">
        <f aca="false">K1195*Q1112+J1195*Q1113</f>
        <v>18</v>
      </c>
      <c r="M1195" s="2004"/>
      <c r="N1195" s="2004"/>
      <c r="O1195" s="1372" t="n">
        <f aca="false">O1164</f>
        <v>9.8</v>
      </c>
      <c r="P1195" s="1965" t="n">
        <f aca="false">O1195*$P$1129</f>
        <v>0</v>
      </c>
      <c r="Q1195" s="1966"/>
      <c r="R1195" s="1617"/>
      <c r="S1195" s="1617"/>
      <c r="T1195" s="1617"/>
      <c r="U1195" s="1617"/>
      <c r="V1195" s="1617"/>
      <c r="W1195" s="1617"/>
      <c r="X1195" s="1617"/>
      <c r="Y1195" s="1617"/>
    </row>
    <row r="1196" customFormat="false" ht="15.75" hidden="true" customHeight="true" outlineLevel="1" collapsed="false">
      <c r="A1196" s="1965" t="s">
        <v>3637</v>
      </c>
      <c r="B1196" s="1692"/>
      <c r="C1196" s="1603"/>
      <c r="D1196" s="1965"/>
      <c r="E1196" s="1952"/>
      <c r="F1196" s="1436"/>
      <c r="G1196" s="1436"/>
      <c r="H1196" s="1619"/>
      <c r="I1196" s="2007"/>
      <c r="J1196" s="1707"/>
      <c r="K1196" s="1707"/>
      <c r="L1196" s="2004"/>
      <c r="M1196" s="2004"/>
      <c r="N1196" s="2004"/>
      <c r="O1196" s="1436" t="n">
        <f aca="false">O1165</f>
        <v>9.8</v>
      </c>
      <c r="P1196" s="1965"/>
      <c r="Q1196" s="1582" t="n">
        <f aca="false">O1196*$Q$1129</f>
        <v>0</v>
      </c>
      <c r="R1196" s="1617"/>
      <c r="S1196" s="1617"/>
      <c r="T1196" s="1617"/>
      <c r="U1196" s="1617"/>
      <c r="V1196" s="1617"/>
      <c r="W1196" s="1617"/>
      <c r="X1196" s="1617"/>
      <c r="Y1196" s="1617"/>
    </row>
    <row r="1197" customFormat="false" ht="15.75" hidden="true" customHeight="true" outlineLevel="1" collapsed="false">
      <c r="A1197" s="1186" t="s">
        <v>3638</v>
      </c>
      <c r="B1197" s="1692"/>
      <c r="C1197" s="1603" t="n">
        <f aca="false">C1195*2</f>
        <v>36</v>
      </c>
      <c r="D1197" s="1965"/>
      <c r="E1197" s="1952" t="n">
        <f aca="false">C1197</f>
        <v>36</v>
      </c>
      <c r="F1197" s="1438" t="n">
        <f aca="false">(F1132+F1152+F1152)*4+F1133*4</f>
        <v>68</v>
      </c>
      <c r="G1197" s="1438" t="n">
        <f aca="false">F1197</f>
        <v>68</v>
      </c>
      <c r="H1197" s="2037"/>
      <c r="I1197" s="2010" t="n">
        <f aca="false">F1197*J1113+G1197*J1112</f>
        <v>68</v>
      </c>
      <c r="J1197" s="1707" t="n">
        <f aca="false">(J1132+J1152+J1152)*4</f>
        <v>36</v>
      </c>
      <c r="K1197" s="1707" t="n">
        <f aca="false">K1195</f>
        <v>27.2696227102987</v>
      </c>
      <c r="L1197" s="2004" t="n">
        <f aca="false">K1197*Q1112+J1197*Q1113</f>
        <v>36</v>
      </c>
      <c r="M1197" s="2004"/>
      <c r="N1197" s="2004"/>
      <c r="O1197" s="1372" t="n">
        <f aca="false">O1195*1.1</f>
        <v>10.78</v>
      </c>
      <c r="P1197" s="1965" t="n">
        <f aca="false">O1197*$P$1129</f>
        <v>0</v>
      </c>
      <c r="Q1197" s="1966"/>
      <c r="R1197" s="1617"/>
      <c r="S1197" s="1617"/>
      <c r="T1197" s="1617"/>
      <c r="U1197" s="1617"/>
      <c r="V1197" s="1617"/>
      <c r="W1197" s="1617"/>
      <c r="X1197" s="1617"/>
      <c r="Y1197" s="1617"/>
    </row>
    <row r="1198" customFormat="false" ht="15.75" hidden="true" customHeight="true" outlineLevel="1" collapsed="false">
      <c r="A1198" s="1186" t="s">
        <v>3639</v>
      </c>
      <c r="B1198" s="1692"/>
      <c r="C1198" s="1603"/>
      <c r="D1198" s="1965"/>
      <c r="E1198" s="1952"/>
      <c r="F1198" s="1438"/>
      <c r="G1198" s="1438"/>
      <c r="H1198" s="2037"/>
      <c r="I1198" s="2010"/>
      <c r="J1198" s="1707"/>
      <c r="K1198" s="1707"/>
      <c r="L1198" s="2004"/>
      <c r="M1198" s="2004"/>
      <c r="N1198" s="2004"/>
      <c r="O1198" s="1436" t="n">
        <f aca="false">O1196*1.1</f>
        <v>10.78</v>
      </c>
      <c r="P1198" s="1965"/>
      <c r="Q1198" s="1582" t="n">
        <f aca="false">O1198*$Q$1129</f>
        <v>0</v>
      </c>
      <c r="R1198" s="1617"/>
      <c r="S1198" s="1617"/>
      <c r="T1198" s="1617"/>
      <c r="U1198" s="1617"/>
      <c r="V1198" s="1617"/>
      <c r="W1198" s="1617"/>
      <c r="X1198" s="1617"/>
      <c r="Y1198" s="1617"/>
    </row>
    <row r="1199" customFormat="false" ht="15.75" hidden="true" customHeight="true" outlineLevel="1" collapsed="false">
      <c r="A1199" s="1186" t="s">
        <v>3640</v>
      </c>
      <c r="B1199" s="1692"/>
      <c r="C1199" s="1603" t="n">
        <f aca="false">C1167*2+C1169*2</f>
        <v>23.5068696817231</v>
      </c>
      <c r="D1199" s="1965"/>
      <c r="E1199" s="1952" t="n">
        <f aca="false">C1199</f>
        <v>23.5068696817231</v>
      </c>
      <c r="F1199" s="1438"/>
      <c r="G1199" s="1438"/>
      <c r="H1199" s="2037"/>
      <c r="I1199" s="2010"/>
      <c r="J1199" s="1965" t="n">
        <f aca="false">J1158*2*1.1+J1168*4*1.1</f>
        <v>32.8174441331553</v>
      </c>
      <c r="K1199" s="1965" t="n">
        <f aca="false">K1169*4</f>
        <v>10.2184121176186</v>
      </c>
      <c r="L1199" s="2004" t="n">
        <f aca="false">K1199*Q1112+J1199*Q1113</f>
        <v>32.8174441331553</v>
      </c>
      <c r="M1199" s="2004"/>
      <c r="N1199" s="2004"/>
      <c r="O1199" s="1372" t="n">
        <f aca="false">дома!O1164+(дома!O1142+дома!O1153+дома!O1156)*2</f>
        <v>30.9170548350471</v>
      </c>
      <c r="P1199" s="1965" t="n">
        <f aca="false">O1199*$P$1129</f>
        <v>0</v>
      </c>
      <c r="Q1199" s="1966"/>
      <c r="R1199" s="1617"/>
      <c r="S1199" s="1617"/>
      <c r="T1199" s="1617"/>
      <c r="U1199" s="1617"/>
      <c r="V1199" s="1617"/>
      <c r="W1199" s="1617"/>
      <c r="X1199" s="1617"/>
      <c r="Y1199" s="1617"/>
    </row>
    <row r="1200" customFormat="false" ht="15.75" hidden="true" customHeight="true" outlineLevel="1" collapsed="false">
      <c r="A1200" s="1186" t="s">
        <v>3641</v>
      </c>
      <c r="B1200" s="1692"/>
      <c r="C1200" s="1603"/>
      <c r="D1200" s="1965"/>
      <c r="E1200" s="1952"/>
      <c r="F1200" s="1438"/>
      <c r="G1200" s="1438"/>
      <c r="H1200" s="2037"/>
      <c r="I1200" s="2010"/>
      <c r="J1200" s="1965"/>
      <c r="K1200" s="1965"/>
      <c r="L1200" s="1747"/>
      <c r="M1200" s="1747"/>
      <c r="N1200" s="1747"/>
      <c r="O1200" s="1436" t="n">
        <f aca="false">O1165+(O1140+O1153+O1156)*2</f>
        <v>30.9170548350471</v>
      </c>
      <c r="P1200" s="1965"/>
      <c r="Q1200" s="1582" t="n">
        <f aca="false">O1200*$Q$1129</f>
        <v>0</v>
      </c>
      <c r="R1200" s="1617"/>
      <c r="S1200" s="1617"/>
      <c r="T1200" s="1617"/>
      <c r="U1200" s="1617"/>
      <c r="V1200" s="1617"/>
      <c r="W1200" s="1617"/>
      <c r="X1200" s="1617"/>
      <c r="Y1200" s="1617"/>
    </row>
    <row r="1201" s="1709" customFormat="true" ht="15.75" hidden="false" customHeight="true" outlineLevel="0" collapsed="false">
      <c r="A1201" s="2038" t="s">
        <v>3642</v>
      </c>
      <c r="B1201" s="2039"/>
      <c r="C1201" s="2040"/>
      <c r="D1201" s="2041"/>
      <c r="E1201" s="2042"/>
      <c r="F1201" s="2043"/>
      <c r="G1201" s="2043"/>
      <c r="H1201" s="2043"/>
      <c r="I1201" s="2043"/>
      <c r="J1201" s="2044"/>
      <c r="K1201" s="2045"/>
      <c r="L1201" s="2045"/>
      <c r="M1201" s="2045"/>
      <c r="N1201" s="2045"/>
      <c r="O1201" s="2046"/>
      <c r="P1201" s="2046"/>
      <c r="Q1201" s="2046"/>
      <c r="R1201" s="2046"/>
      <c r="S1201" s="2046"/>
      <c r="T1201" s="2046"/>
      <c r="U1201" s="2046"/>
      <c r="V1201" s="2046"/>
      <c r="W1201" s="1708"/>
      <c r="X1201" s="1708"/>
      <c r="Y1201" s="1708"/>
    </row>
    <row r="1202" s="1709" customFormat="true" ht="15.75" hidden="false" customHeight="true" outlineLevel="1" collapsed="false">
      <c r="A1202" s="2047" t="s">
        <v>266</v>
      </c>
      <c r="B1202" s="1969"/>
      <c r="C1202" s="1969"/>
      <c r="D1202" s="2048"/>
      <c r="E1202" s="2049"/>
      <c r="F1202" s="2050"/>
      <c r="G1202" s="1186" t="n">
        <f aca="false">VLOOKUP('Ввод данных'!F443,связи1!A2:B3,2,0)</f>
        <v>0</v>
      </c>
      <c r="H1202" s="1186"/>
      <c r="I1202" s="2006" t="n">
        <f aca="false">Q1112</f>
        <v>0</v>
      </c>
      <c r="J1202" s="1708" t="s">
        <v>3569</v>
      </c>
      <c r="K1202" s="1963" t="n">
        <f aca="false">пристройка!H1</f>
        <v>0</v>
      </c>
      <c r="L1202" s="1963"/>
      <c r="M1202" s="1963"/>
      <c r="N1202" s="1963"/>
      <c r="O1202" s="1708"/>
      <c r="P1202" s="1708"/>
      <c r="Q1202" s="2046"/>
      <c r="R1202" s="2046"/>
      <c r="S1202" s="2046"/>
      <c r="T1202" s="2046"/>
      <c r="U1202" s="2046"/>
      <c r="V1202" s="2046"/>
      <c r="W1202" s="1708"/>
      <c r="X1202" s="1708"/>
      <c r="Y1202" s="1708"/>
    </row>
    <row r="1203" s="1709" customFormat="true" ht="15.75" hidden="false" customHeight="true" outlineLevel="1" collapsed="false">
      <c r="A1203" s="2047" t="s">
        <v>161</v>
      </c>
      <c r="B1203" s="1970" t="s">
        <v>12</v>
      </c>
      <c r="C1203" s="1970" t="s">
        <v>118</v>
      </c>
      <c r="D1203" s="1970"/>
      <c r="G1203" s="25"/>
      <c r="H1203" s="25"/>
      <c r="I1203" s="2006" t="n">
        <f aca="false">Q1113</f>
        <v>1</v>
      </c>
      <c r="J1203" s="1708" t="s">
        <v>2747</v>
      </c>
      <c r="K1203" s="1963" t="n">
        <f aca="false">пристройка!H2</f>
        <v>1</v>
      </c>
      <c r="L1203" s="1963"/>
      <c r="M1203" s="1963"/>
      <c r="N1203" s="1963"/>
      <c r="O1203" s="1708"/>
      <c r="P1203" s="1708"/>
      <c r="Q1203" s="2046"/>
      <c r="R1203" s="2046"/>
      <c r="S1203" s="2046"/>
      <c r="T1203" s="2046"/>
      <c r="U1203" s="2046"/>
      <c r="V1203" s="2046"/>
      <c r="W1203" s="1708"/>
      <c r="X1203" s="1708"/>
      <c r="Y1203" s="1708"/>
    </row>
    <row r="1204" s="1709" customFormat="true" ht="15.75" hidden="false" customHeight="true" outlineLevel="1" collapsed="false">
      <c r="A1204" s="2051" t="s">
        <v>3643</v>
      </c>
      <c r="B1204" s="2052"/>
      <c r="C1204" s="2053" t="n">
        <f aca="false">VLOOKUP('Ввод данных'!C415,связи1!A2:B3,2,0)</f>
        <v>1</v>
      </c>
      <c r="D1204" s="2054" t="n">
        <f aca="false">VLOOKUP('Ввод данных'!D415,связи1!A2:B3,2,0)</f>
        <v>0</v>
      </c>
      <c r="E1204" s="1344" t="n">
        <f aca="false">C1204</f>
        <v>1</v>
      </c>
      <c r="F1204" s="1344" t="n">
        <f aca="false">D1204</f>
        <v>0</v>
      </c>
      <c r="G1204" s="2055"/>
      <c r="H1204" s="2055"/>
      <c r="I1204" s="1953"/>
      <c r="J1204" s="2056"/>
      <c r="P1204" s="1734"/>
      <c r="Q1204" s="2046"/>
      <c r="R1204" s="2046"/>
      <c r="S1204" s="2046"/>
      <c r="T1204" s="2046"/>
      <c r="U1204" s="2046"/>
      <c r="V1204" s="2046"/>
      <c r="W1204" s="1708"/>
      <c r="X1204" s="1708"/>
      <c r="Y1204" s="1708"/>
    </row>
    <row r="1205" s="1709" customFormat="true" ht="15.75" hidden="false" customHeight="true" outlineLevel="1" collapsed="false">
      <c r="A1205" s="2051"/>
      <c r="B1205" s="2052"/>
      <c r="C1205" s="1996" t="s">
        <v>2838</v>
      </c>
      <c r="D1205" s="1422" t="s">
        <v>2839</v>
      </c>
      <c r="E1205" s="1438" t="s">
        <v>2838</v>
      </c>
      <c r="F1205" s="1422" t="s">
        <v>2839</v>
      </c>
      <c r="G1205" s="2055"/>
      <c r="H1205" s="2055"/>
      <c r="I1205" s="1953"/>
      <c r="J1205" s="2056"/>
      <c r="K1205" s="25"/>
      <c r="L1205" s="25"/>
      <c r="M1205" s="25"/>
      <c r="N1205" s="25"/>
      <c r="O1205" s="1734"/>
      <c r="P1205" s="1734"/>
      <c r="Q1205" s="2046"/>
      <c r="R1205" s="2046"/>
      <c r="S1205" s="2046"/>
      <c r="T1205" s="2046"/>
      <c r="U1205" s="2046"/>
      <c r="V1205" s="2046"/>
      <c r="W1205" s="1708"/>
      <c r="X1205" s="1708"/>
      <c r="Y1205" s="1708"/>
    </row>
    <row r="1206" s="1709" customFormat="true" ht="15.75" hidden="false" customHeight="true" outlineLevel="1" collapsed="false">
      <c r="A1206" s="2051" t="s">
        <v>3644</v>
      </c>
      <c r="B1206" s="2052"/>
      <c r="C1206" s="1786" t="n">
        <f aca="false">'Ввод данных'!C416</f>
        <v>2</v>
      </c>
      <c r="D1206" s="1438" t="n">
        <f aca="false">'Ввод данных'!D416</f>
        <v>1</v>
      </c>
      <c r="E1206" s="1344" t="n">
        <f aca="false">C1206</f>
        <v>2</v>
      </c>
      <c r="F1206" s="1344" t="n">
        <f aca="false">D1206</f>
        <v>1</v>
      </c>
      <c r="I1206" s="2057"/>
      <c r="J1206" s="2056"/>
      <c r="K1206" s="25"/>
      <c r="L1206" s="25"/>
      <c r="M1206" s="25"/>
      <c r="N1206" s="25"/>
      <c r="O1206" s="1734"/>
      <c r="P1206" s="1734"/>
      <c r="Q1206" s="2046"/>
      <c r="R1206" s="2046"/>
      <c r="S1206" s="2046"/>
      <c r="T1206" s="2046"/>
      <c r="U1206" s="2046"/>
      <c r="V1206" s="2046"/>
      <c r="W1206" s="1708"/>
      <c r="X1206" s="1708"/>
      <c r="Y1206" s="1708"/>
    </row>
    <row r="1207" s="1709" customFormat="true" ht="15.75" hidden="false" customHeight="true" outlineLevel="1" collapsed="false">
      <c r="A1207" s="1186" t="s">
        <v>279</v>
      </c>
      <c r="B1207" s="2058" t="s">
        <v>15</v>
      </c>
      <c r="C1207" s="1294" t="n">
        <f aca="false">'Ввод данных'!C421</f>
        <v>1</v>
      </c>
      <c r="D1207" s="1186" t="n">
        <v>0</v>
      </c>
      <c r="E1207" s="1186" t="n">
        <f aca="false">'Ввод данных'!E430</f>
        <v>5.4</v>
      </c>
      <c r="F1207" s="1186"/>
      <c r="I1207" s="1421"/>
      <c r="J1207" s="2059" t="s">
        <v>2838</v>
      </c>
      <c r="K1207" s="1422" t="s">
        <v>2839</v>
      </c>
      <c r="L1207" s="1963"/>
      <c r="M1207" s="1963"/>
      <c r="N1207" s="1963"/>
      <c r="P1207" s="2056"/>
      <c r="Q1207" s="2046"/>
      <c r="R1207" s="2046"/>
      <c r="S1207" s="2046"/>
      <c r="T1207" s="2046"/>
      <c r="U1207" s="2046"/>
      <c r="V1207" s="2046"/>
      <c r="W1207" s="1708"/>
      <c r="X1207" s="1708"/>
      <c r="Y1207" s="1708"/>
    </row>
    <row r="1208" s="1709" customFormat="true" ht="15.75" hidden="false" customHeight="true" outlineLevel="1" collapsed="false">
      <c r="A1208" s="1186" t="s">
        <v>280</v>
      </c>
      <c r="B1208" s="2058" t="s">
        <v>15</v>
      </c>
      <c r="C1208" s="1294" t="n">
        <f aca="false">'Ввод данных'!C422</f>
        <v>2</v>
      </c>
      <c r="D1208" s="1186" t="n">
        <v>2.5</v>
      </c>
      <c r="E1208" s="1186" t="n">
        <f aca="false">'Ввод данных'!E420</f>
        <v>6.4</v>
      </c>
      <c r="F1208" s="1186"/>
      <c r="I1208" s="1421"/>
      <c r="J1208" s="2059"/>
      <c r="K1208" s="1422"/>
      <c r="L1208" s="1963"/>
      <c r="M1208" s="1963"/>
      <c r="N1208" s="1963"/>
      <c r="P1208" s="2056"/>
      <c r="Q1208" s="2060"/>
      <c r="R1208" s="2060"/>
      <c r="S1208" s="2060"/>
      <c r="T1208" s="2060"/>
      <c r="U1208" s="2060"/>
      <c r="V1208" s="2060"/>
      <c r="W1208" s="1734"/>
      <c r="X1208" s="1734"/>
      <c r="Y1208" s="1734"/>
    </row>
    <row r="1209" s="1709" customFormat="true" ht="15.75" hidden="false" customHeight="true" outlineLevel="1" collapsed="false">
      <c r="A1209" s="1186" t="s">
        <v>3645</v>
      </c>
      <c r="B1209" s="2058" t="s">
        <v>15</v>
      </c>
      <c r="C1209" s="1294" t="n">
        <f aca="false">'Ввод данных'!C419</f>
        <v>2</v>
      </c>
      <c r="D1209" s="1186" t="n">
        <v>2</v>
      </c>
      <c r="E1209" s="1186" t="n">
        <f aca="false">'Ввод данных'!E416</f>
        <v>6.6</v>
      </c>
      <c r="F1209" s="1186" t="n">
        <f aca="false">'Ввод данных'!R434</f>
        <v>6.6</v>
      </c>
      <c r="I1209" s="1421"/>
      <c r="J1209" s="2059"/>
      <c r="K1209" s="1422"/>
      <c r="L1209" s="1963"/>
      <c r="M1209" s="1963"/>
      <c r="N1209" s="1963"/>
      <c r="O1209" s="2056"/>
      <c r="P1209" s="2056"/>
      <c r="Q1209" s="2060"/>
      <c r="R1209" s="2060"/>
      <c r="S1209" s="2060"/>
      <c r="T1209" s="2060"/>
      <c r="U1209" s="2060"/>
      <c r="V1209" s="2060"/>
      <c r="W1209" s="1734"/>
      <c r="X1209" s="1734"/>
      <c r="Y1209" s="1734"/>
    </row>
    <row r="1210" s="1709" customFormat="true" ht="15.75" hidden="false" customHeight="true" outlineLevel="1" collapsed="false">
      <c r="A1210" s="1438" t="s">
        <v>245</v>
      </c>
      <c r="B1210" s="2052" t="s">
        <v>15</v>
      </c>
      <c r="C1210" s="1294" t="n">
        <f aca="false">'Ввод данных'!C423</f>
        <v>2</v>
      </c>
      <c r="D1210" s="1186" t="n">
        <v>3</v>
      </c>
      <c r="E1210" s="1438" t="n">
        <f aca="false">'Ввод данных'!E412</f>
        <v>7.6</v>
      </c>
      <c r="F1210" s="1438" t="n">
        <f aca="false">'Ввод данных'!W425</f>
        <v>7.6</v>
      </c>
      <c r="I1210" s="1672" t="s">
        <v>249</v>
      </c>
      <c r="J1210" s="1186" t="n">
        <f aca="false">C1210*I1203*C1206*C1204+E1215*I1202*C1206*C1204</f>
        <v>4</v>
      </c>
      <c r="K1210" s="1186" t="n">
        <f aca="false">D1210*I1203*D1206*D1204+F1215*I1202*D1206*D1204</f>
        <v>0</v>
      </c>
      <c r="L1210" s="25"/>
      <c r="M1210" s="25"/>
      <c r="N1210" s="25"/>
      <c r="O1210" s="2056"/>
      <c r="P1210" s="2056"/>
      <c r="Q1210" s="2060"/>
      <c r="R1210" s="2060"/>
      <c r="S1210" s="2060"/>
      <c r="T1210" s="2060"/>
      <c r="U1210" s="2060"/>
      <c r="V1210" s="2060"/>
      <c r="W1210" s="1734"/>
      <c r="X1210" s="1734"/>
      <c r="Y1210" s="1734"/>
    </row>
    <row r="1211" s="1709" customFormat="true" ht="15.75" hidden="false" customHeight="true" outlineLevel="1" collapsed="false">
      <c r="A1211" s="2051" t="s">
        <v>231</v>
      </c>
      <c r="B1211" s="2052" t="s">
        <v>15</v>
      </c>
      <c r="C1211" s="1294" t="n">
        <f aca="false">'Ввод данных'!C417</f>
        <v>0.4</v>
      </c>
      <c r="D1211" s="1186" t="n">
        <f aca="false">'Ввод данных'!D417</f>
        <v>0</v>
      </c>
      <c r="E1211" s="1186" t="n">
        <f aca="false">'Ввод данных'!C420</f>
        <v>1</v>
      </c>
      <c r="F1211" s="1707" t="s">
        <v>3646</v>
      </c>
      <c r="I1211" s="1672" t="s">
        <v>240</v>
      </c>
      <c r="J1211" s="1186"/>
      <c r="K1211" s="1186"/>
      <c r="L1211" s="25"/>
      <c r="M1211" s="25"/>
      <c r="N1211" s="25"/>
      <c r="O1211" s="2056"/>
      <c r="P1211" s="2056"/>
      <c r="Q1211" s="2060"/>
      <c r="R1211" s="2060"/>
      <c r="S1211" s="2060"/>
      <c r="T1211" s="2060"/>
      <c r="U1211" s="2060"/>
      <c r="V1211" s="2060"/>
      <c r="W1211" s="1734"/>
      <c r="X1211" s="1734"/>
      <c r="Y1211" s="1734"/>
    </row>
    <row r="1212" s="1709" customFormat="true" ht="15.75" hidden="false" customHeight="true" outlineLevel="1" collapsed="false">
      <c r="A1212" s="2051" t="s">
        <v>197</v>
      </c>
      <c r="B1212" s="2052" t="s">
        <v>15</v>
      </c>
      <c r="C1212" s="1294" t="n">
        <f aca="false">'Ввод данных'!C418</f>
        <v>0.4</v>
      </c>
      <c r="D1212" s="1186" t="n">
        <f aca="false">'Ввод данных'!D418</f>
        <v>0.4</v>
      </c>
      <c r="E1212" s="1707" t="n">
        <f aca="false">'Ввод данных'!BD417</f>
        <v>60</v>
      </c>
      <c r="F1212" s="1707" t="n">
        <f aca="false">'Ввод данных'!BD418</f>
        <v>60</v>
      </c>
      <c r="G1212" s="1709" t="s">
        <v>342</v>
      </c>
      <c r="I1212" s="1672" t="s">
        <v>3578</v>
      </c>
      <c r="J1212" s="1186"/>
      <c r="K1212" s="1186"/>
      <c r="L1212" s="25"/>
      <c r="M1212" s="25"/>
      <c r="N1212" s="25"/>
      <c r="P1212" s="2056"/>
      <c r="Q1212" s="2060"/>
      <c r="R1212" s="2060"/>
      <c r="S1212" s="2060"/>
      <c r="T1212" s="2060"/>
      <c r="U1212" s="2060"/>
      <c r="V1212" s="2060"/>
      <c r="W1212" s="1734"/>
      <c r="X1212" s="1734"/>
      <c r="Y1212" s="1734"/>
    </row>
    <row r="1213" s="1709" customFormat="true" ht="15.75" hidden="false" customHeight="true" outlineLevel="1" collapsed="false">
      <c r="A1213" s="2051"/>
      <c r="B1213" s="2052"/>
      <c r="C1213" s="1294"/>
      <c r="D1213" s="1186"/>
      <c r="E1213" s="1707" t="n">
        <f aca="false">E1212*(3.14/180)</f>
        <v>1.04666666666667</v>
      </c>
      <c r="F1213" s="1707" t="n">
        <f aca="false">F1212*(3.14/180)</f>
        <v>1.04666666666667</v>
      </c>
      <c r="G1213" s="1709" t="s">
        <v>2447</v>
      </c>
      <c r="I1213" s="1672" t="s">
        <v>3647</v>
      </c>
      <c r="J1213" s="1186" t="n">
        <f aca="false">C1215*C1204*C1206*I1203+E1214*C1204*C1206*I1202</f>
        <v>5.27213595499958</v>
      </c>
      <c r="K1213" s="1186" t="n">
        <f aca="false">D1215*D1204*D1206*I1203+F1214*I1202*D1204*D1206</f>
        <v>0</v>
      </c>
      <c r="L1213" s="25"/>
      <c r="M1213" s="25"/>
      <c r="N1213" s="25"/>
      <c r="P1213" s="2056"/>
      <c r="Q1213" s="2060"/>
      <c r="R1213" s="2060"/>
      <c r="S1213" s="2060"/>
      <c r="T1213" s="2060"/>
      <c r="U1213" s="2060"/>
      <c r="V1213" s="2060"/>
      <c r="W1213" s="1734"/>
      <c r="X1213" s="1734"/>
      <c r="Y1213" s="1734"/>
    </row>
    <row r="1214" s="1709" customFormat="true" ht="15.75" hidden="false" customHeight="true" outlineLevel="1" collapsed="false">
      <c r="A1214" s="2051"/>
      <c r="B1214" s="2052"/>
      <c r="C1214" s="1294"/>
      <c r="D1214" s="1186"/>
      <c r="E1214" s="1707" t="n">
        <f aca="false">(E1210-E1209)/SIN(E1213)*C1206</f>
        <v>2.31010946542951</v>
      </c>
      <c r="F1214" s="1707" t="n">
        <f aca="false">(F1210-F1209)/SIN(F1213)*D1206</f>
        <v>1.15505473271476</v>
      </c>
      <c r="I1214" s="1672" t="s">
        <v>3648</v>
      </c>
      <c r="J1214" s="1186" t="n">
        <f aca="false">C1216*C1204*C1206*I1203+E1216*C1206*C1204*I1202</f>
        <v>5.63874254847651</v>
      </c>
      <c r="K1214" s="1186" t="n">
        <f aca="false">D1216*D1204*D1206*I1203+F1216*I1202*D1204*D1206</f>
        <v>0</v>
      </c>
      <c r="L1214" s="25"/>
      <c r="M1214" s="25"/>
      <c r="N1214" s="25"/>
      <c r="P1214" s="2056"/>
      <c r="Q1214" s="2060"/>
      <c r="R1214" s="2060"/>
      <c r="S1214" s="2060"/>
      <c r="T1214" s="2060"/>
      <c r="U1214" s="2060"/>
      <c r="V1214" s="2060"/>
      <c r="W1214" s="1734"/>
      <c r="X1214" s="1734"/>
      <c r="Y1214" s="1734"/>
    </row>
    <row r="1215" s="1709" customFormat="true" ht="15.75" hidden="false" customHeight="true" outlineLevel="1" collapsed="false">
      <c r="A1215" s="1438" t="s">
        <v>3649</v>
      </c>
      <c r="B1215" s="2052" t="s">
        <v>15</v>
      </c>
      <c r="C1215" s="1996" t="n">
        <f aca="false">SQRT((C1208/2)*(C1208/2)+C1209*C1209)+C1212</f>
        <v>2.63606797749979</v>
      </c>
      <c r="D1215" s="1186" t="n">
        <f aca="false">SQRT(D1208/2*D1208/2+D1209*D1209)+D1211</f>
        <v>2.35849528301415</v>
      </c>
      <c r="E1215" s="1438" t="n">
        <f aca="false">'Ввод данных'!C423</f>
        <v>2</v>
      </c>
      <c r="F1215" s="1438" t="n">
        <f aca="false">D1210</f>
        <v>3</v>
      </c>
      <c r="I1215" s="1672" t="s">
        <v>2821</v>
      </c>
      <c r="J1215" s="1186" t="n">
        <f aca="false">C1218*C1204*C1206*I1203+E1218*C1204*C1206*I1202</f>
        <v>20.0341166289984</v>
      </c>
      <c r="K1215" s="1186" t="n">
        <f aca="false">D1218*D1204*D1206*I1203+F1218*D1204*D1206*I1202</f>
        <v>0</v>
      </c>
      <c r="L1215" s="25"/>
      <c r="M1215" s="25"/>
      <c r="N1215" s="25"/>
      <c r="P1215" s="2056"/>
      <c r="Q1215" s="2060"/>
      <c r="R1215" s="2060"/>
      <c r="S1215" s="2060"/>
      <c r="T1215" s="2060"/>
      <c r="U1215" s="2060"/>
      <c r="V1215" s="2060"/>
      <c r="W1215" s="1734"/>
      <c r="X1215" s="1734"/>
      <c r="Y1215" s="1734"/>
    </row>
    <row r="1216" s="1709" customFormat="true" ht="15.75" hidden="false" customHeight="true" outlineLevel="1" collapsed="false">
      <c r="A1216" s="1186" t="s">
        <v>3650</v>
      </c>
      <c r="B1216" s="2058" t="s">
        <v>15</v>
      </c>
      <c r="C1216" s="1786" t="n">
        <f aca="false">SQRT((C1210-C1207)*(C1210-C1207)+C1215*C1215)</f>
        <v>2.81937127423825</v>
      </c>
      <c r="D1216" s="1707" t="n">
        <f aca="false">SQRT(D1210*D1210+D1215*D1215)</f>
        <v>3.81608438061844</v>
      </c>
      <c r="E1216" s="1186" t="n">
        <f aca="false">(SQRT(E1214*E1214+('Ввод данных'!C423-'Ввод данных'!C421)*('Ввод данных'!C423-'Ввод данных'!C421)))</f>
        <v>2.51726155618899</v>
      </c>
      <c r="F1216" s="1186" t="n">
        <f aca="false">SQRT(D1210*D1210+F1214*F1214)</f>
        <v>3.2146775010204</v>
      </c>
      <c r="I1216" s="1672" t="s">
        <v>3651</v>
      </c>
      <c r="J1216" s="1186" t="n">
        <f aca="false">C1221*C1204*C1206*I1203+E1221*C1204*C1206*I1202</f>
        <v>4.8</v>
      </c>
      <c r="K1216" s="1186" t="n">
        <f aca="false">D1221*D1204*D1206*I1203+F1221*D1204*D1206*I1202</f>
        <v>0</v>
      </c>
      <c r="L1216" s="25"/>
      <c r="M1216" s="25"/>
      <c r="N1216" s="25"/>
      <c r="P1216" s="2056"/>
      <c r="Q1216" s="2060"/>
      <c r="R1216" s="2060"/>
      <c r="S1216" s="2060"/>
      <c r="T1216" s="2060"/>
      <c r="U1216" s="2060"/>
      <c r="V1216" s="2060"/>
      <c r="W1216" s="1734"/>
      <c r="X1216" s="1734"/>
      <c r="Y1216" s="1734"/>
    </row>
    <row r="1217" s="1709" customFormat="true" ht="15.75" hidden="false" customHeight="true" outlineLevel="1" collapsed="false">
      <c r="A1217" s="1186" t="s">
        <v>3652</v>
      </c>
      <c r="B1217" s="2052" t="s">
        <v>15</v>
      </c>
      <c r="C1217" s="1996" t="n">
        <f aca="false">SQRT(C1210*C1210+C1215*C1215)</f>
        <v>3.30890531475288</v>
      </c>
      <c r="D1217" s="1186" t="n">
        <f aca="false">SQRT(D1210*D1210+D1215*D1215)</f>
        <v>3.81608438061844</v>
      </c>
      <c r="I1217" s="1672" t="s">
        <v>3653</v>
      </c>
      <c r="J1217" s="1186" t="n">
        <f aca="false">C1224*C1204</f>
        <v>10</v>
      </c>
      <c r="K1217" s="1186" t="n">
        <f aca="false">D1224*D1204</f>
        <v>0</v>
      </c>
      <c r="L1217" s="2061" t="n">
        <f aca="false">(J1217+K1217)*G1202</f>
        <v>0</v>
      </c>
      <c r="M1217" s="25"/>
      <c r="N1217" s="25"/>
      <c r="P1217" s="2056"/>
      <c r="Q1217" s="2060"/>
      <c r="R1217" s="2060"/>
      <c r="S1217" s="2060"/>
      <c r="T1217" s="2060"/>
      <c r="U1217" s="2060"/>
      <c r="V1217" s="2060"/>
      <c r="W1217" s="1734"/>
      <c r="X1217" s="1734"/>
      <c r="Y1217" s="1734"/>
    </row>
    <row r="1218" s="1709" customFormat="true" ht="15.75" hidden="false" customHeight="true" outlineLevel="1" collapsed="false">
      <c r="A1218" s="1438" t="s">
        <v>3654</v>
      </c>
      <c r="B1218" s="2052" t="s">
        <v>820</v>
      </c>
      <c r="C1218" s="1996" t="n">
        <f aca="false">(C1215*(C1210-C1207)+C1215*C1207*2+C1215*2*C1212)</f>
        <v>10.0170583144992</v>
      </c>
      <c r="D1218" s="1186" t="n">
        <f aca="false">(D1210*D1215+D1215*2*D1212)</f>
        <v>8.96228207545377</v>
      </c>
      <c r="E1218" s="1186" t="n">
        <f aca="false">(E1214+('Ввод данных'!C423-'Ввод данных'!C421)+E1214*'Ввод данных'!C421*2+C1212*E1214*2)</f>
        <v>9.77841596863215</v>
      </c>
      <c r="F1218" s="1707" t="n">
        <f aca="false">(F1214+D1212)*D1210</f>
        <v>4.66516419814427</v>
      </c>
      <c r="I1218" s="1672" t="s">
        <v>3655</v>
      </c>
      <c r="J1218" s="1186" t="n">
        <f aca="false">C1223*C1204*C1206*I1203+E1223*C1204*C1206*I1202</f>
        <v>5.4</v>
      </c>
      <c r="K1218" s="1186" t="n">
        <f aca="false">D1221*D1204*D1206*I1203+F1221*D1204*D1206*I1202</f>
        <v>0</v>
      </c>
      <c r="L1218" s="25"/>
      <c r="M1218" s="25"/>
      <c r="N1218" s="25"/>
      <c r="P1218" s="2056"/>
      <c r="Q1218" s="2060"/>
      <c r="R1218" s="2060"/>
      <c r="S1218" s="2060"/>
      <c r="T1218" s="2060"/>
      <c r="U1218" s="2060"/>
      <c r="V1218" s="2060"/>
      <c r="W1218" s="1734"/>
      <c r="X1218" s="1734"/>
      <c r="Y1218" s="1734"/>
    </row>
    <row r="1219" s="1709" customFormat="true" ht="15.75" hidden="false" customHeight="true" outlineLevel="1" collapsed="false">
      <c r="A1219" s="1186" t="s">
        <v>3656</v>
      </c>
      <c r="B1219" s="2058" t="s">
        <v>820</v>
      </c>
      <c r="C1219" s="1786" t="n">
        <f aca="false">(SQRT(C1215*C1215-(C1208/2*C1208/2))*C1208/2+C1208*SQRT(C1207*C1207+E1211*E1211))</f>
        <v>5.26745446817632</v>
      </c>
      <c r="D1219" s="1186" t="n">
        <f aca="false">SQRT(D1215*D1215-D1208/2*D1208/2)*D1206*D1208/2</f>
        <v>2.5</v>
      </c>
      <c r="E1219" s="1186" t="n">
        <f aca="false">(SQRT(E1216*E1216-C1208/2*C1208/2)*(C1208/2)+SQRT(C1207*C1207+E1211*E1211)*C1208)</f>
        <v>5.1385365901757</v>
      </c>
      <c r="F1219" s="1186" t="n">
        <f aca="false">SQRT(F1216*F1216-D1208/2*D1208/2)*D1208/2</f>
        <v>3.70212173868892</v>
      </c>
      <c r="I1219" s="2062" t="s">
        <v>3657</v>
      </c>
      <c r="J1219" s="1186" t="n">
        <f aca="false">C1220*C1204*C1206*I1203+E1220*C1204*C1206*I1202</f>
        <v>28.0477632805978</v>
      </c>
      <c r="K1219" s="1186" t="n">
        <f aca="false">D1220*D1204*D1206*I1203+F1220*D1204*D1206*I1202</f>
        <v>0</v>
      </c>
      <c r="L1219" s="25"/>
      <c r="M1219" s="25"/>
      <c r="N1219" s="25"/>
      <c r="P1219" s="2056"/>
      <c r="Q1219" s="2060"/>
      <c r="R1219" s="2060"/>
      <c r="S1219" s="2060"/>
      <c r="T1219" s="2060"/>
      <c r="U1219" s="2060"/>
      <c r="V1219" s="2060"/>
      <c r="W1219" s="1734"/>
      <c r="X1219" s="1734"/>
      <c r="Y1219" s="1734"/>
    </row>
    <row r="1220" s="1709" customFormat="true" ht="15.75" hidden="false" customHeight="true" outlineLevel="1" collapsed="false">
      <c r="A1220" s="1438" t="s">
        <v>3658</v>
      </c>
      <c r="B1220" s="2058" t="s">
        <v>820</v>
      </c>
      <c r="C1220" s="1786" t="n">
        <f aca="false">C1218*1.4</f>
        <v>14.0238816402989</v>
      </c>
      <c r="D1220" s="1186" t="n">
        <f aca="false">D1218*1.4</f>
        <v>12.5471949056353</v>
      </c>
      <c r="E1220" s="1707" t="n">
        <f aca="false">E1218*1.4</f>
        <v>13.689782356085</v>
      </c>
      <c r="F1220" s="1707" t="n">
        <f aca="false">F1218*1.4</f>
        <v>6.53122987740198</v>
      </c>
      <c r="I1220" s="1672" t="s">
        <v>3659</v>
      </c>
      <c r="J1220" s="1707"/>
      <c r="K1220" s="1707"/>
      <c r="L1220" s="1734"/>
      <c r="M1220" s="1734"/>
      <c r="N1220" s="1734"/>
      <c r="P1220" s="2056"/>
      <c r="Q1220" s="2060"/>
      <c r="R1220" s="2060"/>
      <c r="S1220" s="2060"/>
      <c r="T1220" s="2060"/>
      <c r="U1220" s="2060"/>
      <c r="V1220" s="2060"/>
      <c r="W1220" s="1734"/>
      <c r="X1220" s="1734"/>
      <c r="Y1220" s="1734"/>
    </row>
    <row r="1221" s="1709" customFormat="true" ht="15.75" hidden="false" customHeight="true" outlineLevel="1" collapsed="false">
      <c r="A1221" s="2051" t="s">
        <v>3660</v>
      </c>
      <c r="B1221" s="2058" t="s">
        <v>15</v>
      </c>
      <c r="C1221" s="1786" t="n">
        <f aca="false">C1210+C1212</f>
        <v>2.4</v>
      </c>
      <c r="D1221" s="1186" t="n">
        <f aca="false">D1210+D1212</f>
        <v>3.4</v>
      </c>
      <c r="E1221" s="1186" t="n">
        <f aca="false">E1215+C1212</f>
        <v>2.4</v>
      </c>
      <c r="F1221" s="1707" t="n">
        <f aca="false">F1215+D1212</f>
        <v>3.4</v>
      </c>
      <c r="I1221" s="1672" t="s">
        <v>3661</v>
      </c>
      <c r="J1221" s="1186" t="n">
        <f aca="false">C1224*C1204*C1206*I1203+E1224*C1204*C1206*I1202</f>
        <v>20</v>
      </c>
      <c r="K1221" s="1186" t="n">
        <f aca="false">D1224*D1204*D1206*I1203+F1224*D1204*D1206*I1202</f>
        <v>0</v>
      </c>
      <c r="L1221" s="25"/>
      <c r="M1221" s="25"/>
      <c r="N1221" s="25"/>
      <c r="P1221" s="2056"/>
      <c r="Q1221" s="2060"/>
      <c r="R1221" s="2060"/>
      <c r="S1221" s="2060"/>
      <c r="T1221" s="2060"/>
      <c r="U1221" s="2060"/>
      <c r="V1221" s="2060"/>
      <c r="W1221" s="1734"/>
      <c r="X1221" s="1734"/>
      <c r="Y1221" s="1734"/>
    </row>
    <row r="1222" s="1709" customFormat="true" ht="15.75" hidden="false" customHeight="true" outlineLevel="1" collapsed="false">
      <c r="A1222" s="2051" t="s">
        <v>3662</v>
      </c>
      <c r="B1222" s="2058" t="s">
        <v>820</v>
      </c>
      <c r="C1222" s="1786" t="n">
        <f aca="false">C1215*2*C1212+C1207*2*C1211</f>
        <v>2.90885438199983</v>
      </c>
      <c r="D1222" s="1186" t="n">
        <f aca="false">D1215*2*D1212</f>
        <v>1.88679622641132</v>
      </c>
      <c r="E1222" s="1734" t="n">
        <f aca="false">(C1207+C1212)</f>
        <v>1.4</v>
      </c>
      <c r="F1222" s="1707"/>
      <c r="I1222" s="2006" t="s">
        <v>3663</v>
      </c>
      <c r="J1222" s="1186" t="n">
        <f aca="false">E1222*C1204*C1206*I1202+I1203*C1204*C1206*E1222</f>
        <v>2.8</v>
      </c>
      <c r="K1222" s="1186"/>
      <c r="L1222" s="25"/>
      <c r="M1222" s="25"/>
      <c r="N1222" s="25"/>
      <c r="P1222" s="2056"/>
      <c r="Q1222" s="2060"/>
      <c r="R1222" s="2060"/>
      <c r="S1222" s="2060"/>
      <c r="T1222" s="2060"/>
      <c r="U1222" s="2060"/>
      <c r="V1222" s="2060"/>
      <c r="W1222" s="1734"/>
      <c r="X1222" s="1734"/>
      <c r="Y1222" s="1734"/>
    </row>
    <row r="1223" s="1709" customFormat="true" ht="15.75" hidden="false" customHeight="true" outlineLevel="1" collapsed="false">
      <c r="A1223" s="2051" t="s">
        <v>3664</v>
      </c>
      <c r="B1223" s="2058" t="s">
        <v>15</v>
      </c>
      <c r="C1223" s="1786" t="n">
        <f aca="false">C1208*1.1+0.5</f>
        <v>2.7</v>
      </c>
      <c r="D1223" s="1186" t="n">
        <f aca="false">D1208*1.1+0.5</f>
        <v>3.25</v>
      </c>
      <c r="E1223" s="1186" t="n">
        <f aca="false">C1223</f>
        <v>2.7</v>
      </c>
      <c r="F1223" s="1707" t="n">
        <f aca="false">D1223</f>
        <v>3.25</v>
      </c>
      <c r="I1223" s="2057"/>
      <c r="Q1223" s="2063"/>
      <c r="R1223" s="2063"/>
      <c r="S1223" s="2060"/>
      <c r="T1223" s="2060"/>
      <c r="U1223" s="2060"/>
      <c r="V1223" s="2060"/>
      <c r="W1223" s="1734"/>
      <c r="X1223" s="1734"/>
      <c r="Y1223" s="1734"/>
    </row>
    <row r="1224" s="1709" customFormat="true" ht="15.75" hidden="false" customHeight="true" outlineLevel="1" collapsed="false">
      <c r="A1224" s="1707" t="s">
        <v>3653</v>
      </c>
      <c r="B1224" s="2058" t="s">
        <v>820</v>
      </c>
      <c r="C1224" s="2064" t="n">
        <f aca="false">(C1207*E1211+C1208*E1211+C1208/2*C1209)*C1206</f>
        <v>10</v>
      </c>
      <c r="D1224" s="1186" t="n">
        <f aca="false">(D1209*D1208/2)*D1206</f>
        <v>2.5</v>
      </c>
      <c r="E1224" s="2056" t="n">
        <f aca="false">(C1207*E1211+C1208*E1211+C1208/2*C1209)</f>
        <v>5</v>
      </c>
      <c r="F1224" s="1734" t="n">
        <f aca="false">(D1209*D1208/2)</f>
        <v>2.5</v>
      </c>
      <c r="I1224" s="2057"/>
      <c r="Q1224" s="2063"/>
      <c r="R1224" s="2063"/>
      <c r="S1224" s="2060"/>
      <c r="T1224" s="2060"/>
      <c r="U1224" s="2060"/>
      <c r="V1224" s="2060"/>
      <c r="W1224" s="1734"/>
      <c r="X1224" s="1734"/>
      <c r="Y1224" s="1734"/>
    </row>
    <row r="1225" s="1709" customFormat="true" ht="15.75" hidden="false" customHeight="true" outlineLevel="1" collapsed="false">
      <c r="A1225" s="2065" t="s">
        <v>3665</v>
      </c>
      <c r="B1225" s="1996" t="s">
        <v>15</v>
      </c>
      <c r="C1225" s="1996" t="n">
        <f aca="false">'Ввод данных'!C432</f>
        <v>0</v>
      </c>
      <c r="D1225" s="1444" t="n">
        <v>1</v>
      </c>
      <c r="F1225" s="1963"/>
      <c r="I1225" s="2057"/>
      <c r="Q1225" s="2063"/>
      <c r="R1225" s="2063"/>
      <c r="S1225" s="2060"/>
      <c r="T1225" s="2060"/>
      <c r="U1225" s="2060"/>
      <c r="V1225" s="2060"/>
      <c r="W1225" s="1734"/>
      <c r="X1225" s="1734"/>
      <c r="Y1225" s="1734"/>
    </row>
    <row r="1226" s="1709" customFormat="true" ht="15.75" hidden="false" customHeight="true" outlineLevel="1" collapsed="false">
      <c r="A1226" s="2065" t="s">
        <v>2830</v>
      </c>
      <c r="B1226" s="1996" t="s">
        <v>15</v>
      </c>
      <c r="C1226" s="1996" t="n">
        <f aca="false">'Ввод данных'!C433</f>
        <v>0</v>
      </c>
      <c r="D1226" s="1444" t="n">
        <v>1</v>
      </c>
      <c r="I1226" s="2057"/>
      <c r="J1226" s="2056"/>
      <c r="Q1226" s="2063"/>
      <c r="R1226" s="2063"/>
      <c r="S1226" s="2060"/>
      <c r="T1226" s="2060"/>
      <c r="U1226" s="2060"/>
      <c r="V1226" s="2060"/>
      <c r="W1226" s="1734"/>
      <c r="X1226" s="1734"/>
      <c r="Y1226" s="1734"/>
    </row>
    <row r="1227" s="2073" customFormat="true" ht="15.75" hidden="false" customHeight="true" outlineLevel="0" collapsed="false">
      <c r="A1227" s="2066" t="s">
        <v>266</v>
      </c>
      <c r="B1227" s="2067"/>
      <c r="C1227" s="2067"/>
      <c r="D1227" s="2066"/>
      <c r="E1227" s="2066"/>
      <c r="F1227" s="2068"/>
      <c r="G1227" s="2066"/>
      <c r="H1227" s="2066"/>
      <c r="I1227" s="2069"/>
      <c r="J1227" s="2066"/>
      <c r="K1227" s="2070"/>
      <c r="L1227" s="2070"/>
      <c r="M1227" s="2070"/>
      <c r="N1227" s="2070"/>
      <c r="O1227" s="2070"/>
      <c r="P1227" s="2070"/>
      <c r="Q1227" s="2071"/>
      <c r="R1227" s="2071"/>
      <c r="S1227" s="2071"/>
      <c r="T1227" s="2071"/>
      <c r="U1227" s="2071"/>
      <c r="V1227" s="2071"/>
      <c r="W1227" s="2072"/>
      <c r="X1227" s="2072"/>
      <c r="Y1227" s="2072"/>
    </row>
    <row r="1228" s="1709" customFormat="true" ht="15.75" hidden="true" customHeight="true" outlineLevel="1" collapsed="false">
      <c r="A1228" s="2074"/>
      <c r="B1228" s="2075"/>
      <c r="C1228" s="2075"/>
      <c r="D1228" s="2074"/>
      <c r="E1228" s="2074"/>
      <c r="F1228" s="2076"/>
      <c r="G1228" s="2077"/>
      <c r="H1228" s="2077"/>
      <c r="I1228" s="2078"/>
      <c r="J1228" s="2079"/>
      <c r="K1228" s="2079" t="s">
        <v>3666</v>
      </c>
      <c r="L1228" s="2079"/>
      <c r="M1228" s="2079"/>
      <c r="N1228" s="2079"/>
      <c r="O1228" s="2079"/>
      <c r="P1228" s="2079"/>
      <c r="Q1228" s="2080"/>
      <c r="R1228" s="2079"/>
      <c r="S1228" s="2060"/>
      <c r="T1228" s="2060"/>
      <c r="U1228" s="2060"/>
      <c r="V1228" s="2060"/>
      <c r="W1228" s="1734"/>
      <c r="X1228" s="1734"/>
      <c r="Y1228" s="1734"/>
    </row>
    <row r="1229" s="1709" customFormat="true" ht="15.75" hidden="true" customHeight="true" outlineLevel="1" collapsed="false">
      <c r="A1229" s="2081" t="s">
        <v>45</v>
      </c>
      <c r="B1229" s="2082" t="s">
        <v>12</v>
      </c>
      <c r="C1229" s="2082" t="s">
        <v>13</v>
      </c>
      <c r="D1229" s="2083" t="n">
        <f aca="false">VLOOKUP('Ввод данных'!C60,связи1!A2:B3,2,0)</f>
        <v>0</v>
      </c>
      <c r="E1229" s="2084" t="s">
        <v>3667</v>
      </c>
      <c r="F1229" s="2085"/>
      <c r="G1229" s="2086"/>
      <c r="H1229" s="2086"/>
      <c r="I1229" s="2087" t="n">
        <f aca="false">D1229</f>
        <v>0</v>
      </c>
      <c r="J1229" s="2044"/>
      <c r="K1229" s="2088" t="s">
        <v>205</v>
      </c>
      <c r="L1229" s="2088"/>
      <c r="M1229" s="2088"/>
      <c r="N1229" s="2088"/>
      <c r="O1229" s="2042" t="e">
        <f aca="false">'ввод данных'!#ref!</f>
        <v>#VALUE!</v>
      </c>
      <c r="P1229" s="2089" t="n">
        <f aca="false">'Ввод данных'!BD511</f>
        <v>4</v>
      </c>
      <c r="Q1229" s="1941"/>
      <c r="R1229" s="2044"/>
      <c r="S1229" s="2041"/>
      <c r="T1229" s="2041"/>
      <c r="U1229" s="2041"/>
      <c r="V1229" s="2041"/>
      <c r="W1229" s="1734"/>
      <c r="X1229" s="1734"/>
      <c r="Y1229" s="1734"/>
    </row>
    <row r="1230" s="1709" customFormat="true" ht="15.75" hidden="true" customHeight="true" outlineLevel="1" collapsed="false">
      <c r="A1230" s="2081"/>
      <c r="B1230" s="2082"/>
      <c r="C1230" s="2082"/>
      <c r="D1230" s="2089"/>
      <c r="E1230" s="2090"/>
      <c r="F1230" s="2085"/>
      <c r="G1230" s="2086"/>
      <c r="H1230" s="2086"/>
      <c r="I1230" s="2087"/>
      <c r="J1230" s="2044"/>
      <c r="K1230" s="2088"/>
      <c r="L1230" s="2088"/>
      <c r="M1230" s="2088"/>
      <c r="N1230" s="2088"/>
      <c r="O1230" s="2042"/>
      <c r="P1230" s="2089"/>
      <c r="Q1230" s="1941"/>
      <c r="R1230" s="2044"/>
      <c r="S1230" s="2041"/>
      <c r="T1230" s="2041"/>
      <c r="U1230" s="2041"/>
      <c r="V1230" s="2041"/>
      <c r="W1230" s="1734"/>
      <c r="X1230" s="1734"/>
      <c r="Y1230" s="1734"/>
    </row>
    <row r="1231" s="1709" customFormat="true" ht="15.75" hidden="true" customHeight="true" outlineLevel="1" collapsed="false">
      <c r="A1231" s="2081"/>
      <c r="B1231" s="2082"/>
      <c r="C1231" s="2082"/>
      <c r="D1231" s="2089"/>
      <c r="E1231" s="2090"/>
      <c r="F1231" s="2085"/>
      <c r="G1231" s="2086"/>
      <c r="H1231" s="2086"/>
      <c r="I1231" s="2087"/>
      <c r="J1231" s="2044"/>
      <c r="K1231" s="2088"/>
      <c r="L1231" s="2088"/>
      <c r="M1231" s="2088"/>
      <c r="N1231" s="2088"/>
      <c r="O1231" s="2042"/>
      <c r="P1231" s="2089"/>
      <c r="Q1231" s="1941"/>
      <c r="R1231" s="2044"/>
      <c r="S1231" s="2041"/>
      <c r="T1231" s="2041"/>
      <c r="U1231" s="2041"/>
      <c r="V1231" s="2041"/>
      <c r="W1231" s="1734"/>
      <c r="X1231" s="1734"/>
      <c r="Y1231" s="1734"/>
    </row>
    <row r="1232" s="1709" customFormat="true" ht="15.75" hidden="true" customHeight="true" outlineLevel="1" collapsed="false">
      <c r="A1232" s="2091" t="s">
        <v>2748</v>
      </c>
      <c r="B1232" s="2082" t="s">
        <v>48</v>
      </c>
      <c r="C1232" s="2082" t="n">
        <f aca="false">1</f>
        <v>1</v>
      </c>
      <c r="D1232" s="2045" t="n">
        <f aca="false">'Ввод данных'!C48</f>
        <v>2</v>
      </c>
      <c r="E1232" s="2045"/>
      <c r="F1232" s="2045"/>
      <c r="G1232" s="2045"/>
      <c r="H1232" s="2045"/>
      <c r="I1232" s="2087"/>
      <c r="J1232" s="2044"/>
      <c r="K1232" s="2088" t="s">
        <v>208</v>
      </c>
      <c r="L1232" s="2088"/>
      <c r="M1232" s="2088"/>
      <c r="N1232" s="2088"/>
      <c r="O1232" s="2042" t="e">
        <f aca="false">'ввод данных'!#ref!</f>
        <v>#VALUE!</v>
      </c>
      <c r="P1232" s="2089" t="n">
        <f aca="false">'Ввод данных'!BD512</f>
        <v>5</v>
      </c>
      <c r="Q1232" s="1941"/>
      <c r="R1232" s="2044"/>
      <c r="S1232" s="2041"/>
      <c r="T1232" s="2041"/>
      <c r="U1232" s="2041"/>
      <c r="V1232" s="2041"/>
      <c r="W1232" s="1734"/>
      <c r="X1232" s="1734"/>
      <c r="Y1232" s="1734"/>
    </row>
    <row r="1233" s="1709" customFormat="true" ht="15.75" hidden="true" customHeight="true" outlineLevel="1" collapsed="false">
      <c r="A1233" s="2091" t="s">
        <v>2753</v>
      </c>
      <c r="B1233" s="2082" t="s">
        <v>48</v>
      </c>
      <c r="C1233" s="2082" t="n">
        <f aca="false">IF('Ввод данных'!C48=2,1,0)</f>
        <v>1</v>
      </c>
      <c r="D1233" s="2088" t="n">
        <f aca="false">'Ввод данных'!C48</f>
        <v>2</v>
      </c>
      <c r="E1233" s="2045"/>
      <c r="F1233" s="2045"/>
      <c r="G1233" s="2045"/>
      <c r="H1233" s="2045"/>
      <c r="I1233" s="2092"/>
      <c r="J1233" s="1941"/>
      <c r="K1233" s="2088" t="s">
        <v>293</v>
      </c>
      <c r="L1233" s="2088"/>
      <c r="M1233" s="2088"/>
      <c r="N1233" s="2088"/>
      <c r="O1233" s="2042" t="e">
        <f aca="false">'ввод данных'!#ref!</f>
        <v>#VALUE!</v>
      </c>
      <c r="P1233" s="2089" t="n">
        <f aca="false">'Ввод данных'!BD513</f>
        <v>3.2</v>
      </c>
      <c r="Q1233" s="1941"/>
      <c r="R1233" s="2044"/>
      <c r="S1233" s="2041"/>
      <c r="T1233" s="2041"/>
      <c r="U1233" s="2041"/>
      <c r="V1233" s="2041"/>
      <c r="W1233" s="1734"/>
      <c r="X1233" s="1734"/>
      <c r="Y1233" s="1734"/>
    </row>
    <row r="1234" s="1709" customFormat="true" ht="15.75" hidden="true" customHeight="true" outlineLevel="1" collapsed="false">
      <c r="A1234" s="2085" t="s">
        <v>161</v>
      </c>
      <c r="B1234" s="2085" t="s">
        <v>12</v>
      </c>
      <c r="C1234" s="2085" t="s">
        <v>2749</v>
      </c>
      <c r="D1234" s="2091" t="s">
        <v>2491</v>
      </c>
      <c r="E1234" s="2088"/>
      <c r="F1234" s="2088"/>
      <c r="G1234" s="2045"/>
      <c r="H1234" s="2045"/>
      <c r="I1234" s="2069"/>
      <c r="J1234" s="1942"/>
      <c r="K1234" s="2088" t="s">
        <v>295</v>
      </c>
      <c r="L1234" s="2088"/>
      <c r="M1234" s="2088"/>
      <c r="N1234" s="2088"/>
      <c r="O1234" s="2042" t="n">
        <f aca="false">'Ввод данных'!BC510</f>
        <v>4</v>
      </c>
      <c r="P1234" s="2089" t="n">
        <f aca="false">'Ввод данных'!BD514</f>
        <v>2.2</v>
      </c>
      <c r="Q1234" s="2093"/>
      <c r="R1234" s="2044"/>
      <c r="S1234" s="2041"/>
      <c r="T1234" s="2041"/>
      <c r="U1234" s="2041"/>
      <c r="V1234" s="2041"/>
      <c r="W1234" s="1734"/>
      <c r="X1234" s="1734"/>
      <c r="Y1234" s="1734"/>
    </row>
    <row r="1235" s="1709" customFormat="true" ht="15.75" hidden="true" customHeight="true" outlineLevel="1" collapsed="false">
      <c r="A1235" s="2091" t="s">
        <v>302</v>
      </c>
      <c r="B1235" s="2082" t="s">
        <v>48</v>
      </c>
      <c r="C1235" s="2094" t="n">
        <f aca="false">(C1240*C1245+(C1244-C1240)*C1238+(C1244-C1240)*((C1245-C1238)/2))*E1235</f>
        <v>16.25</v>
      </c>
      <c r="D1235" s="2083" t="n">
        <v>0.2</v>
      </c>
      <c r="E1235" s="2095" t="n">
        <f aca="false">1</f>
        <v>1</v>
      </c>
      <c r="F1235" s="2044" t="s">
        <v>3668</v>
      </c>
      <c r="G1235" s="2045"/>
      <c r="H1235" s="2045"/>
      <c r="I1235" s="2069"/>
      <c r="J1235" s="1942"/>
      <c r="K1235" s="2088" t="s">
        <v>296</v>
      </c>
      <c r="L1235" s="2088"/>
      <c r="M1235" s="2088"/>
      <c r="N1235" s="2088"/>
      <c r="O1235" s="2042" t="n">
        <f aca="false">'Ввод данных'!BC511</f>
        <v>5</v>
      </c>
      <c r="P1235" s="2089" t="n">
        <f aca="false">'Ввод данных'!BD515</f>
        <v>0</v>
      </c>
      <c r="Q1235" s="2093"/>
      <c r="R1235" s="2044"/>
      <c r="S1235" s="2041"/>
      <c r="T1235" s="2041"/>
      <c r="U1235" s="2041"/>
      <c r="V1235" s="2041"/>
      <c r="W1235" s="1734"/>
      <c r="X1235" s="1734"/>
      <c r="Y1235" s="1734"/>
    </row>
    <row r="1236" s="1709" customFormat="true" ht="15.75" hidden="true" customHeight="true" outlineLevel="1" collapsed="false">
      <c r="A1236" s="2091" t="s">
        <v>2758</v>
      </c>
      <c r="B1236" s="2082" t="s">
        <v>48</v>
      </c>
      <c r="C1236" s="2094" t="n">
        <f aca="false">(C1240*C1245+(C1244-C1240)*C1238+(C1244-C1240)*((C1245-C1238)/2))*E1236</f>
        <v>16.25</v>
      </c>
      <c r="D1236" s="2083" t="n">
        <v>0.2</v>
      </c>
      <c r="E1236" s="2095" t="n">
        <f aca="false">1</f>
        <v>1</v>
      </c>
      <c r="F1236" s="2044" t="s">
        <v>3669</v>
      </c>
      <c r="G1236" s="2086"/>
      <c r="H1236" s="2086"/>
      <c r="I1236" s="2069"/>
      <c r="J1236" s="1942"/>
      <c r="K1236" s="2088" t="s">
        <v>298</v>
      </c>
      <c r="L1236" s="2088"/>
      <c r="M1236" s="2088"/>
      <c r="N1236" s="2088"/>
      <c r="O1236" s="2042" t="n">
        <f aca="false">'Ввод данных'!BC512</f>
        <v>6</v>
      </c>
      <c r="P1236" s="2089" t="n">
        <f aca="false">'Ввод данных'!BD516</f>
        <v>8</v>
      </c>
      <c r="Q1236" s="2093"/>
      <c r="R1236" s="2093"/>
      <c r="S1236" s="2041"/>
      <c r="T1236" s="2041"/>
      <c r="U1236" s="2041"/>
      <c r="V1236" s="2041"/>
      <c r="W1236" s="1734"/>
      <c r="X1236" s="1734"/>
      <c r="Y1236" s="1734"/>
    </row>
    <row r="1237" s="1709" customFormat="true" ht="15.75" hidden="true" customHeight="true" outlineLevel="1" collapsed="false">
      <c r="A1237" s="2091" t="s">
        <v>2759</v>
      </c>
      <c r="B1237" s="2082" t="s">
        <v>48</v>
      </c>
      <c r="C1237" s="2094" t="n">
        <f aca="false">(C1240*C1245+(C1244-C1240)*C1238+(C1244-C1240)*((C1245-C1238)/2))*E1237</f>
        <v>16.25</v>
      </c>
      <c r="D1237" s="2083" t="n">
        <v>0.2</v>
      </c>
      <c r="E1237" s="2095" t="n">
        <f aca="false">C1233</f>
        <v>1</v>
      </c>
      <c r="F1237" s="2044" t="s">
        <v>3670</v>
      </c>
      <c r="G1237" s="1940"/>
      <c r="H1237" s="1940"/>
      <c r="I1237" s="2096"/>
      <c r="J1237" s="1942"/>
      <c r="K1237" s="2088" t="s">
        <v>334</v>
      </c>
      <c r="L1237" s="2088"/>
      <c r="M1237" s="2088"/>
      <c r="N1237" s="2088"/>
      <c r="O1237" s="2042" t="n">
        <f aca="false">'Ввод данных'!BC513</f>
        <v>7</v>
      </c>
      <c r="P1237" s="2089" t="n">
        <f aca="false">'Ввод данных'!BD517</f>
        <v>0</v>
      </c>
      <c r="Q1237" s="2093"/>
      <c r="R1237" s="2093"/>
      <c r="S1237" s="2041"/>
      <c r="T1237" s="2041"/>
      <c r="U1237" s="2041"/>
      <c r="V1237" s="2041"/>
      <c r="W1237" s="1734"/>
      <c r="X1237" s="1734"/>
      <c r="Y1237" s="1734"/>
    </row>
    <row r="1238" s="1709" customFormat="true" ht="15.75" hidden="true" customHeight="true" outlineLevel="1" collapsed="false">
      <c r="A1238" s="2097" t="s">
        <v>3671</v>
      </c>
      <c r="B1238" s="2082" t="s">
        <v>15</v>
      </c>
      <c r="C1238" s="2082" t="n">
        <f aca="false">P1238</f>
        <v>2</v>
      </c>
      <c r="D1238" s="2098" t="n">
        <f aca="false">CEILING(IF(C1238&lt;=2,2,IF(C1238&gt;2,C1238/2+1,0)),1)</f>
        <v>2</v>
      </c>
      <c r="E1238" s="2085"/>
      <c r="F1238" s="2085"/>
      <c r="G1238" s="1940"/>
      <c r="H1238" s="1940"/>
      <c r="I1238" s="2096"/>
      <c r="J1238" s="1942"/>
      <c r="K1238" s="2088" t="s">
        <v>336</v>
      </c>
      <c r="L1238" s="2088"/>
      <c r="M1238" s="2088"/>
      <c r="N1238" s="2088"/>
      <c r="O1238" s="2042" t="n">
        <f aca="false">'Ввод данных'!BC514</f>
        <v>8</v>
      </c>
      <c r="P1238" s="2089" t="n">
        <f aca="false">'Ввод данных'!BD518</f>
        <v>2</v>
      </c>
      <c r="Q1238" s="1941"/>
      <c r="R1238" s="1941"/>
      <c r="S1238" s="2041"/>
      <c r="T1238" s="2041"/>
      <c r="U1238" s="2041"/>
      <c r="V1238" s="2041"/>
      <c r="W1238" s="1734"/>
      <c r="X1238" s="1734"/>
      <c r="Y1238" s="1734"/>
    </row>
    <row r="1239" s="1709" customFormat="true" ht="15.75" hidden="true" customHeight="true" outlineLevel="1" collapsed="false">
      <c r="A1239" s="2097" t="s">
        <v>3672</v>
      </c>
      <c r="B1239" s="2082" t="s">
        <v>15</v>
      </c>
      <c r="C1239" s="2082" t="n">
        <f aca="false">SQRT((C1245-C1238)/2*(C1245-C1238)/2+(C1244-C1240)*(C1244-C1240))</f>
        <v>2.91547594742265</v>
      </c>
      <c r="D1239" s="2098" t="n">
        <f aca="false">CEILING(IF(C1239&lt;=2,1,IF(C1239&gt;2,C1239/2,0)),1)*2</f>
        <v>4</v>
      </c>
      <c r="E1239" s="2085"/>
      <c r="F1239" s="2085"/>
      <c r="G1239" s="1940"/>
      <c r="H1239" s="1940"/>
      <c r="I1239" s="2096"/>
      <c r="J1239" s="1942"/>
      <c r="K1239" s="2088" t="s">
        <v>337</v>
      </c>
      <c r="L1239" s="2088"/>
      <c r="M1239" s="2088"/>
      <c r="N1239" s="2088"/>
      <c r="O1239" s="2042" t="n">
        <f aca="false">'Ввод данных'!BC515</f>
        <v>9</v>
      </c>
      <c r="P1239" s="2089" t="n">
        <f aca="false">'Ввод данных'!BD519</f>
        <v>1.5</v>
      </c>
      <c r="Q1239" s="1941"/>
      <c r="R1239" s="1941"/>
      <c r="S1239" s="2041"/>
      <c r="T1239" s="2041"/>
      <c r="U1239" s="2041"/>
      <c r="V1239" s="2041"/>
      <c r="W1239" s="1734"/>
      <c r="X1239" s="1734"/>
      <c r="Y1239" s="1734"/>
    </row>
    <row r="1240" s="1709" customFormat="true" ht="15.75" hidden="true" customHeight="true" outlineLevel="1" collapsed="false">
      <c r="A1240" s="2097" t="s">
        <v>3673</v>
      </c>
      <c r="B1240" s="2082" t="s">
        <v>15</v>
      </c>
      <c r="C1240" s="2082" t="n">
        <f aca="false">P1239</f>
        <v>1.5</v>
      </c>
      <c r="D1240" s="2083" t="n">
        <v>1</v>
      </c>
      <c r="E1240" s="2098" t="n">
        <f aca="false">CEILING(IF(C1240&lt;=2,1,IF(C1240&gt;2,C1240/2,0)),1)*2</f>
        <v>2</v>
      </c>
      <c r="F1240" s="2099" t="s">
        <v>2477</v>
      </c>
      <c r="G1240" s="2100" t="n">
        <f aca="false">D1238+D1239+E1240</f>
        <v>8</v>
      </c>
      <c r="H1240" s="2100"/>
      <c r="I1240" s="2096"/>
      <c r="J1240" s="1942"/>
      <c r="K1240" s="2089" t="s">
        <v>3674</v>
      </c>
      <c r="L1240" s="2089"/>
      <c r="M1240" s="2089"/>
      <c r="N1240" s="2089"/>
      <c r="O1240" s="2042" t="s">
        <v>2773</v>
      </c>
      <c r="P1240" s="2089" t="n">
        <f aca="false">SQRT(((P1232-P1238)/2)*((P1232-P1238)/2)+(P1229-P1239)*(P1229-P1239))</f>
        <v>2.91547594742265</v>
      </c>
      <c r="Q1240" s="1941"/>
      <c r="R1240" s="1941"/>
      <c r="S1240" s="2041"/>
      <c r="T1240" s="2041"/>
      <c r="U1240" s="2041"/>
      <c r="V1240" s="2041"/>
      <c r="W1240" s="1734"/>
      <c r="X1240" s="1734"/>
      <c r="Y1240" s="1734"/>
    </row>
    <row r="1241" s="1709" customFormat="true" ht="15.75" hidden="true" customHeight="true" outlineLevel="1" collapsed="false">
      <c r="A1241" s="2097" t="s">
        <v>3675</v>
      </c>
      <c r="B1241" s="2082" t="s">
        <v>15</v>
      </c>
      <c r="C1241" s="2082" t="n">
        <f aca="false">P1233</f>
        <v>3.2</v>
      </c>
      <c r="D1241" s="2042"/>
      <c r="E1241" s="2085"/>
      <c r="F1241" s="2085"/>
      <c r="G1241" s="1940"/>
      <c r="H1241" s="1940"/>
      <c r="I1241" s="2096"/>
      <c r="J1241" s="1942"/>
      <c r="K1241" s="2101" t="s">
        <v>300</v>
      </c>
      <c r="L1241" s="2101"/>
      <c r="M1241" s="2101"/>
      <c r="N1241" s="2101"/>
      <c r="O1241" s="2101" t="n">
        <f aca="false">P1240*2+P1239*2+P1238</f>
        <v>10.8309518948453</v>
      </c>
      <c r="P1241" s="2101" t="n">
        <f aca="false">'Ввод данных'!BD521</f>
        <v>0</v>
      </c>
      <c r="Q1241" s="1941"/>
      <c r="R1241" s="1941"/>
      <c r="S1241" s="2041"/>
      <c r="T1241" s="2041"/>
      <c r="U1241" s="2041"/>
      <c r="V1241" s="2041"/>
      <c r="W1241" s="1734"/>
      <c r="X1241" s="1734"/>
      <c r="Y1241" s="1734"/>
    </row>
    <row r="1242" s="1709" customFormat="true" ht="15.75" hidden="true" customHeight="true" outlineLevel="1" collapsed="false">
      <c r="A1242" s="2102" t="s">
        <v>53</v>
      </c>
      <c r="B1242" s="2082"/>
      <c r="C1242" s="2082" t="n">
        <f aca="false">'Ввод данных'!C55</f>
        <v>8</v>
      </c>
      <c r="D1242" s="2042"/>
      <c r="E1242" s="2085"/>
      <c r="F1242" s="2085"/>
      <c r="G1242" s="1940"/>
      <c r="H1242" s="1940"/>
      <c r="I1242" s="2096"/>
      <c r="J1242" s="1942"/>
      <c r="K1242" s="2101"/>
      <c r="L1242" s="2101"/>
      <c r="M1242" s="2101"/>
      <c r="N1242" s="2101"/>
      <c r="O1242" s="2101"/>
      <c r="P1242" s="2101"/>
      <c r="Q1242" s="1941"/>
      <c r="R1242" s="1941"/>
      <c r="S1242" s="2041"/>
      <c r="T1242" s="2041"/>
      <c r="U1242" s="2041"/>
      <c r="V1242" s="2041"/>
      <c r="W1242" s="1734"/>
      <c r="X1242" s="1734"/>
      <c r="Y1242" s="1734"/>
    </row>
    <row r="1243" s="1709" customFormat="true" ht="15.75" hidden="true" customHeight="true" outlineLevel="1" collapsed="false">
      <c r="A1243" s="2097" t="s">
        <v>3676</v>
      </c>
      <c r="B1243" s="2082" t="s">
        <v>15</v>
      </c>
      <c r="C1243" s="2082" t="n">
        <f aca="false">C1242-C1241*C1232-D1236*E1236-C1246*C1233-D1237*E1237</f>
        <v>2.2</v>
      </c>
      <c r="D1243" s="2042"/>
      <c r="E1243" s="2085"/>
      <c r="F1243" s="2085"/>
      <c r="G1243" s="1940"/>
      <c r="H1243" s="1940"/>
      <c r="I1243" s="2096"/>
      <c r="J1243" s="1942"/>
      <c r="K1243" s="2101" t="s">
        <v>302</v>
      </c>
      <c r="L1243" s="2101"/>
      <c r="M1243" s="2101"/>
      <c r="N1243" s="2101"/>
      <c r="O1243" s="2101"/>
      <c r="P1243" s="2101" t="n">
        <f aca="false">'Ввод данных'!BD522</f>
        <v>0.2</v>
      </c>
      <c r="Q1243" s="1941"/>
      <c r="R1243" s="1941"/>
      <c r="S1243" s="2041"/>
      <c r="T1243" s="2041"/>
      <c r="U1243" s="2041"/>
      <c r="V1243" s="2041"/>
      <c r="W1243" s="1734"/>
      <c r="X1243" s="1734"/>
      <c r="Y1243" s="1734"/>
    </row>
    <row r="1244" s="1709" customFormat="true" ht="15.75" hidden="true" customHeight="true" outlineLevel="1" collapsed="false">
      <c r="A1244" s="2097" t="s">
        <v>3677</v>
      </c>
      <c r="B1244" s="2082" t="s">
        <v>15</v>
      </c>
      <c r="C1244" s="2082" t="n">
        <f aca="false">P1229</f>
        <v>4</v>
      </c>
      <c r="D1244" s="2085"/>
      <c r="E1244" s="2085"/>
      <c r="F1244" s="2085"/>
      <c r="G1244" s="1940"/>
      <c r="H1244" s="1940"/>
      <c r="I1244" s="2103"/>
      <c r="J1244" s="1942"/>
      <c r="K1244" s="2101" t="s">
        <v>338</v>
      </c>
      <c r="L1244" s="2101"/>
      <c r="M1244" s="2101"/>
      <c r="N1244" s="2101"/>
      <c r="O1244" s="2101"/>
      <c r="P1244" s="2101" t="n">
        <f aca="false">'Ввод данных'!BD523</f>
        <v>3.2</v>
      </c>
      <c r="Q1244" s="2093"/>
      <c r="R1244" s="2093"/>
      <c r="S1244" s="2041"/>
      <c r="T1244" s="2041"/>
      <c r="U1244" s="2041"/>
      <c r="V1244" s="2041"/>
      <c r="W1244" s="1734"/>
      <c r="X1244" s="1734"/>
      <c r="Y1244" s="1734"/>
    </row>
    <row r="1245" s="1709" customFormat="true" ht="15.75" hidden="true" customHeight="true" outlineLevel="1" collapsed="false">
      <c r="A1245" s="2097" t="s">
        <v>3678</v>
      </c>
      <c r="B1245" s="2082" t="s">
        <v>15</v>
      </c>
      <c r="C1245" s="2082" t="n">
        <f aca="false">P1232</f>
        <v>5</v>
      </c>
      <c r="D1245" s="2085"/>
      <c r="E1245" s="2085"/>
      <c r="F1245" s="2085"/>
      <c r="G1245" s="1940"/>
      <c r="H1245" s="1940"/>
      <c r="I1245" s="2096"/>
      <c r="J1245" s="1942"/>
      <c r="K1245" s="2101" t="s">
        <v>339</v>
      </c>
      <c r="L1245" s="2101"/>
      <c r="M1245" s="2101"/>
      <c r="N1245" s="2101"/>
      <c r="O1245" s="2101"/>
      <c r="P1245" s="2101" t="n">
        <f aca="false">'Ввод данных'!BD524</f>
        <v>3.4</v>
      </c>
      <c r="Q1245" s="2093"/>
      <c r="R1245" s="2093"/>
      <c r="S1245" s="2041"/>
      <c r="T1245" s="2041"/>
      <c r="U1245" s="2041"/>
      <c r="V1245" s="2041"/>
      <c r="W1245" s="1734"/>
      <c r="X1245" s="1734"/>
      <c r="Y1245" s="1734"/>
    </row>
    <row r="1246" s="1709" customFormat="true" ht="15.75" hidden="true" customHeight="true" outlineLevel="1" collapsed="false">
      <c r="A1246" s="2104" t="s">
        <v>3679</v>
      </c>
      <c r="B1246" s="2082" t="s">
        <v>15</v>
      </c>
      <c r="C1246" s="2105" t="n">
        <f aca="false">P1234</f>
        <v>2.2</v>
      </c>
      <c r="D1246" s="2088"/>
      <c r="E1246" s="2088"/>
      <c r="F1246" s="2088"/>
      <c r="G1246" s="2088"/>
      <c r="H1246" s="2088"/>
      <c r="I1246" s="2096"/>
      <c r="J1246" s="1942"/>
      <c r="K1246" s="2101" t="s">
        <v>340</v>
      </c>
      <c r="L1246" s="2101"/>
      <c r="M1246" s="2101"/>
      <c r="N1246" s="2101"/>
      <c r="O1246" s="2101"/>
      <c r="P1246" s="2101" t="n">
        <f aca="false">'Ввод данных'!BD525</f>
        <v>5.1</v>
      </c>
      <c r="Q1246" s="1941"/>
      <c r="R1246" s="2093"/>
      <c r="S1246" s="2041"/>
      <c r="T1246" s="2041"/>
      <c r="U1246" s="2041"/>
      <c r="V1246" s="2041"/>
      <c r="W1246" s="1734"/>
      <c r="X1246" s="1734"/>
      <c r="Y1246" s="1734"/>
    </row>
    <row r="1247" s="1709" customFormat="true" ht="15.75" hidden="true" customHeight="true" outlineLevel="1" collapsed="false">
      <c r="A1247" s="2104" t="s">
        <v>3680</v>
      </c>
      <c r="B1247" s="2082"/>
      <c r="C1247" s="2105" t="n">
        <f aca="false">C1241*C1232*D1229</f>
        <v>0</v>
      </c>
      <c r="D1247" s="2088"/>
      <c r="E1247" s="2088"/>
      <c r="F1247" s="2088"/>
      <c r="G1247" s="2088"/>
      <c r="H1247" s="2088"/>
      <c r="I1247" s="2096"/>
      <c r="J1247" s="1942"/>
      <c r="K1247" s="2101"/>
      <c r="L1247" s="2101"/>
      <c r="M1247" s="2101"/>
      <c r="N1247" s="2101"/>
      <c r="O1247" s="2101"/>
      <c r="P1247" s="2101"/>
      <c r="Q1247" s="1941"/>
      <c r="R1247" s="2093"/>
      <c r="S1247" s="2041"/>
      <c r="T1247" s="2041"/>
      <c r="U1247" s="2041"/>
      <c r="V1247" s="2041"/>
      <c r="W1247" s="1734"/>
      <c r="X1247" s="1734"/>
      <c r="Y1247" s="1734"/>
    </row>
    <row r="1248" s="1709" customFormat="true" ht="15.75" hidden="true" customHeight="true" outlineLevel="1" collapsed="false">
      <c r="A1248" s="2104" t="s">
        <v>3681</v>
      </c>
      <c r="B1248" s="2082"/>
      <c r="C1248" s="2105" t="n">
        <f aca="false">C1246*C1233*D1229</f>
        <v>0</v>
      </c>
      <c r="D1248" s="2088"/>
      <c r="E1248" s="2088"/>
      <c r="F1248" s="2088"/>
      <c r="G1248" s="2088"/>
      <c r="H1248" s="2088"/>
      <c r="I1248" s="2096"/>
      <c r="J1248" s="1942"/>
      <c r="K1248" s="2101"/>
      <c r="L1248" s="2101"/>
      <c r="M1248" s="2101"/>
      <c r="N1248" s="2101"/>
      <c r="O1248" s="2101"/>
      <c r="P1248" s="2101"/>
      <c r="Q1248" s="1941"/>
      <c r="R1248" s="2093"/>
      <c r="S1248" s="2041"/>
      <c r="T1248" s="2041"/>
      <c r="U1248" s="2041"/>
      <c r="V1248" s="2041"/>
      <c r="W1248" s="1734"/>
      <c r="X1248" s="1734"/>
      <c r="Y1248" s="1734"/>
    </row>
    <row r="1249" s="1709" customFormat="true" ht="15.75" hidden="true" customHeight="true" outlineLevel="1" collapsed="false">
      <c r="A1249" s="2104" t="s">
        <v>3682</v>
      </c>
      <c r="B1249" s="2082"/>
      <c r="C1249" s="2105" t="n">
        <f aca="false">C1241*C1232*D1229</f>
        <v>0</v>
      </c>
      <c r="D1249" s="2088"/>
      <c r="E1249" s="2088"/>
      <c r="F1249" s="2088"/>
      <c r="G1249" s="2088"/>
      <c r="H1249" s="2088"/>
      <c r="I1249" s="2096"/>
      <c r="J1249" s="1942"/>
      <c r="K1249" s="2101"/>
      <c r="L1249" s="2101"/>
      <c r="M1249" s="2101"/>
      <c r="N1249" s="2101"/>
      <c r="O1249" s="2101"/>
      <c r="P1249" s="2101"/>
      <c r="Q1249" s="1941"/>
      <c r="R1249" s="2093"/>
      <c r="S1249" s="2041"/>
      <c r="T1249" s="2041"/>
      <c r="U1249" s="2041"/>
      <c r="V1249" s="2041"/>
      <c r="W1249" s="1734"/>
      <c r="X1249" s="1734"/>
      <c r="Y1249" s="1734"/>
    </row>
    <row r="1250" s="1709" customFormat="true" ht="15.75" hidden="true" customHeight="true" outlineLevel="1" collapsed="false">
      <c r="A1250" s="2104" t="s">
        <v>3683</v>
      </c>
      <c r="B1250" s="2082"/>
      <c r="C1250" s="2105" t="n">
        <f aca="false">C1246*C1233*D1229</f>
        <v>0</v>
      </c>
      <c r="D1250" s="2088"/>
      <c r="E1250" s="2088"/>
      <c r="F1250" s="2088"/>
      <c r="G1250" s="2088"/>
      <c r="H1250" s="2088"/>
      <c r="I1250" s="2096"/>
      <c r="J1250" s="1942"/>
      <c r="K1250" s="2101"/>
      <c r="L1250" s="2101"/>
      <c r="M1250" s="2101"/>
      <c r="N1250" s="2101"/>
      <c r="O1250" s="2101"/>
      <c r="P1250" s="2101"/>
      <c r="Q1250" s="1941"/>
      <c r="R1250" s="2093"/>
      <c r="S1250" s="2041"/>
      <c r="T1250" s="2041"/>
      <c r="U1250" s="2041"/>
      <c r="V1250" s="2041"/>
      <c r="W1250" s="1734"/>
      <c r="X1250" s="1734"/>
      <c r="Y1250" s="1734"/>
    </row>
    <row r="1251" s="1709" customFormat="true" ht="15.75" hidden="true" customHeight="true" outlineLevel="1" collapsed="false">
      <c r="A1251" s="2101" t="s">
        <v>2951</v>
      </c>
      <c r="B1251" s="2082"/>
      <c r="C1251" s="2082" t="n">
        <f aca="false">(C1240*2+C1239*2+C1238)*C1232*C1241</f>
        <v>34.659046063505</v>
      </c>
      <c r="D1251" s="2088"/>
      <c r="E1251" s="2088"/>
      <c r="F1251" s="2088"/>
      <c r="G1251" s="2088"/>
      <c r="H1251" s="2088"/>
      <c r="I1251" s="2096"/>
      <c r="J1251" s="1942"/>
      <c r="K1251" s="2101"/>
      <c r="L1251" s="2101"/>
      <c r="M1251" s="2101"/>
      <c r="N1251" s="2101"/>
      <c r="O1251" s="2101"/>
      <c r="P1251" s="2101"/>
      <c r="Q1251" s="1941"/>
      <c r="R1251" s="2093"/>
      <c r="S1251" s="2041"/>
      <c r="T1251" s="2041"/>
      <c r="U1251" s="2041"/>
      <c r="V1251" s="2041"/>
      <c r="W1251" s="1734"/>
      <c r="X1251" s="1734"/>
      <c r="Y1251" s="1734"/>
    </row>
    <row r="1252" s="1709" customFormat="true" ht="15.75" hidden="true" customHeight="true" outlineLevel="1" collapsed="false">
      <c r="A1252" s="2101" t="s">
        <v>3684</v>
      </c>
      <c r="B1252" s="2082"/>
      <c r="C1252" s="2082" t="n">
        <f aca="false">C1245*C1241*C1232</f>
        <v>16</v>
      </c>
      <c r="D1252" s="2088"/>
      <c r="E1252" s="2088"/>
      <c r="F1252" s="2088"/>
      <c r="G1252" s="2088"/>
      <c r="H1252" s="2088"/>
      <c r="I1252" s="2096"/>
      <c r="J1252" s="1942"/>
      <c r="K1252" s="2101"/>
      <c r="L1252" s="2101"/>
      <c r="M1252" s="2101"/>
      <c r="N1252" s="2101"/>
      <c r="O1252" s="2101"/>
      <c r="P1252" s="2101"/>
      <c r="Q1252" s="1941"/>
      <c r="R1252" s="2093"/>
      <c r="S1252" s="2041"/>
      <c r="T1252" s="2041"/>
      <c r="U1252" s="2041"/>
      <c r="V1252" s="2041"/>
      <c r="W1252" s="1734"/>
      <c r="X1252" s="1734"/>
      <c r="Y1252" s="1734"/>
    </row>
    <row r="1253" s="1709" customFormat="true" ht="15.75" hidden="true" customHeight="true" outlineLevel="1" collapsed="false">
      <c r="A1253" s="2101" t="s">
        <v>2952</v>
      </c>
      <c r="B1253" s="2082"/>
      <c r="C1253" s="2082" t="n">
        <f aca="false">(C1240*2+C1239*2+C1238)*C1233*C1246</f>
        <v>23.8280941686597</v>
      </c>
      <c r="D1253" s="2088"/>
      <c r="E1253" s="2088"/>
      <c r="F1253" s="2088"/>
      <c r="G1253" s="2088"/>
      <c r="H1253" s="2088"/>
      <c r="I1253" s="2096"/>
      <c r="J1253" s="1942"/>
      <c r="K1253" s="2101"/>
      <c r="L1253" s="2101"/>
      <c r="M1253" s="2101"/>
      <c r="N1253" s="2101"/>
      <c r="O1253" s="2101"/>
      <c r="P1253" s="2101"/>
      <c r="Q1253" s="1941"/>
      <c r="R1253" s="2093"/>
      <c r="S1253" s="2041"/>
      <c r="T1253" s="2041"/>
      <c r="U1253" s="2041"/>
      <c r="V1253" s="2041"/>
      <c r="W1253" s="1734"/>
      <c r="X1253" s="1734"/>
      <c r="Y1253" s="1734"/>
    </row>
    <row r="1254" s="1709" customFormat="true" ht="15.75" hidden="true" customHeight="true" outlineLevel="1" collapsed="false">
      <c r="A1254" s="2101" t="s">
        <v>3685</v>
      </c>
      <c r="B1254" s="2082"/>
      <c r="C1254" s="2082" t="n">
        <f aca="false">C1245*C1246*C1233</f>
        <v>11</v>
      </c>
      <c r="D1254" s="2088"/>
      <c r="E1254" s="2088"/>
      <c r="F1254" s="2088"/>
      <c r="G1254" s="2088"/>
      <c r="H1254" s="2088"/>
      <c r="I1254" s="2096"/>
      <c r="J1254" s="1942"/>
      <c r="K1254" s="2101"/>
      <c r="L1254" s="2101"/>
      <c r="M1254" s="2101"/>
      <c r="N1254" s="2101"/>
      <c r="O1254" s="2101"/>
      <c r="P1254" s="2101"/>
      <c r="Q1254" s="1941"/>
      <c r="R1254" s="2093"/>
      <c r="S1254" s="2041"/>
      <c r="T1254" s="2041"/>
      <c r="U1254" s="2041"/>
      <c r="V1254" s="2041"/>
      <c r="W1254" s="1734"/>
      <c r="X1254" s="1734"/>
      <c r="Y1254" s="1734"/>
    </row>
    <row r="1255" s="1709" customFormat="true" ht="15.75" hidden="true" customHeight="true" outlineLevel="1" collapsed="false">
      <c r="A1255" s="2101" t="s">
        <v>3686</v>
      </c>
      <c r="B1255" s="2082"/>
      <c r="C1255" s="2082" t="n">
        <f aca="false">(C1240*2+C1239*2+C1238)*C1232*D1235*E1235</f>
        <v>2.16619037896906</v>
      </c>
      <c r="D1255" s="2088"/>
      <c r="E1255" s="2088"/>
      <c r="F1255" s="2088"/>
      <c r="G1255" s="2088"/>
      <c r="H1255" s="2088"/>
      <c r="I1255" s="2096"/>
      <c r="J1255" s="1942"/>
      <c r="K1255" s="2101"/>
      <c r="L1255" s="2101"/>
      <c r="M1255" s="2101"/>
      <c r="N1255" s="2101"/>
      <c r="O1255" s="2101"/>
      <c r="P1255" s="2101"/>
      <c r="Q1255" s="1941"/>
      <c r="R1255" s="2093"/>
      <c r="S1255" s="2041"/>
      <c r="T1255" s="2041"/>
      <c r="U1255" s="2041"/>
      <c r="V1255" s="2041"/>
      <c r="W1255" s="1734"/>
      <c r="X1255" s="1734"/>
      <c r="Y1255" s="1734"/>
    </row>
    <row r="1256" s="1709" customFormat="true" ht="15.75" hidden="true" customHeight="true" outlineLevel="1" collapsed="false">
      <c r="A1256" s="2101" t="s">
        <v>3687</v>
      </c>
      <c r="B1256" s="2082"/>
      <c r="C1256" s="2082" t="n">
        <f aca="false">(C1240*2+C1239*2+C1238)*C1232*D1236*E1236</f>
        <v>2.16619037896906</v>
      </c>
      <c r="D1256" s="2088"/>
      <c r="E1256" s="2088"/>
      <c r="F1256" s="2088"/>
      <c r="G1256" s="2088"/>
      <c r="H1256" s="2088"/>
      <c r="I1256" s="2096"/>
      <c r="J1256" s="1942"/>
      <c r="K1256" s="2101"/>
      <c r="L1256" s="2101"/>
      <c r="M1256" s="2101"/>
      <c r="N1256" s="2101"/>
      <c r="O1256" s="2101"/>
      <c r="P1256" s="2101"/>
      <c r="Q1256" s="1941"/>
      <c r="R1256" s="2093"/>
      <c r="S1256" s="2041"/>
      <c r="T1256" s="2041"/>
      <c r="U1256" s="2041"/>
      <c r="V1256" s="2041"/>
      <c r="W1256" s="1734"/>
      <c r="X1256" s="1734"/>
      <c r="Y1256" s="1734"/>
    </row>
    <row r="1257" s="1709" customFormat="true" ht="15.75" hidden="true" customHeight="true" outlineLevel="1" collapsed="false">
      <c r="A1257" s="2101" t="s">
        <v>2859</v>
      </c>
      <c r="B1257" s="2082"/>
      <c r="C1257" s="2082" t="n">
        <f aca="false">(C1240*2+C1239*2+C1238)*C1232*D1237*E1237</f>
        <v>2.16619037896906</v>
      </c>
      <c r="D1257" s="2088"/>
      <c r="E1257" s="2088"/>
      <c r="F1257" s="2088"/>
      <c r="G1257" s="2088"/>
      <c r="H1257" s="2088"/>
      <c r="I1257" s="2096"/>
      <c r="J1257" s="1942"/>
      <c r="K1257" s="2101"/>
      <c r="L1257" s="2101"/>
      <c r="M1257" s="2101"/>
      <c r="N1257" s="2101"/>
      <c r="O1257" s="2101"/>
      <c r="P1257" s="2101"/>
      <c r="Q1257" s="1941"/>
      <c r="R1257" s="2093"/>
      <c r="S1257" s="2041"/>
      <c r="T1257" s="2041"/>
      <c r="U1257" s="2041"/>
      <c r="V1257" s="2041"/>
      <c r="W1257" s="1734"/>
      <c r="X1257" s="1734"/>
      <c r="Y1257" s="1734"/>
    </row>
    <row r="1258" s="1709" customFormat="true" ht="15.75" hidden="true" customHeight="true" outlineLevel="1" collapsed="false">
      <c r="A1258" s="2106" t="s">
        <v>3688</v>
      </c>
      <c r="B1258" s="2107" t="s">
        <v>820</v>
      </c>
      <c r="C1258" s="2107" t="n">
        <f aca="false">C1251+C1253+C1255+C1256+C1257</f>
        <v>64.9857113690718</v>
      </c>
      <c r="D1258" s="2088" t="n">
        <f aca="false">(P1238+P1239*2+P1240*2)*(P1244-P1243+C1233*(P1246-P1245))+D1275*(D1235*E1235+D1236*E1236+D1237*E1237)</f>
        <v>57.4040450426801</v>
      </c>
      <c r="E1258" s="2088"/>
      <c r="F1258" s="1939"/>
      <c r="G1258" s="1940"/>
      <c r="H1258" s="1940"/>
      <c r="I1258" s="2096"/>
      <c r="J1258" s="1942"/>
      <c r="K1258" s="2101" t="s">
        <v>341</v>
      </c>
      <c r="L1258" s="2101"/>
      <c r="M1258" s="2101"/>
      <c r="N1258" s="2101"/>
      <c r="O1258" s="2101"/>
      <c r="P1258" s="2101" t="n">
        <f aca="false">'Ввод данных'!BD526</f>
        <v>5.1</v>
      </c>
      <c r="Q1258" s="2108"/>
      <c r="R1258" s="1941"/>
      <c r="S1258" s="1941"/>
      <c r="T1258" s="1941"/>
      <c r="U1258" s="1941"/>
      <c r="V1258" s="2041"/>
      <c r="W1258" s="1734"/>
      <c r="X1258" s="1734"/>
      <c r="Y1258" s="1734"/>
    </row>
    <row r="1259" s="1709" customFormat="true" ht="15.75" hidden="true" customHeight="true" outlineLevel="1" collapsed="false">
      <c r="A1259" s="2101" t="s">
        <v>3689</v>
      </c>
      <c r="B1259" s="2094" t="s">
        <v>820</v>
      </c>
      <c r="C1259" s="2094" t="n">
        <f aca="false">C1258</f>
        <v>64.9857113690718</v>
      </c>
      <c r="D1259" s="2101" t="n">
        <f aca="false">D1258-F1259-F1260-F1261-F1265-F1266</f>
        <v>57.4040450426801</v>
      </c>
      <c r="E1259" s="2088"/>
      <c r="F1259" s="2087"/>
      <c r="G1259" s="1940"/>
      <c r="H1259" s="1940"/>
      <c r="I1259" s="2096"/>
      <c r="J1259" s="1942"/>
      <c r="K1259" s="2101" t="s">
        <v>249</v>
      </c>
      <c r="L1259" s="2101"/>
      <c r="M1259" s="2101"/>
      <c r="N1259" s="2101"/>
      <c r="O1259" s="2101"/>
      <c r="P1259" s="2101" t="n">
        <f aca="false">'Ввод данных'!BD527</f>
        <v>6.2</v>
      </c>
      <c r="Q1259" s="2108"/>
      <c r="R1259" s="1941"/>
      <c r="S1259" s="1941"/>
      <c r="T1259" s="1941"/>
      <c r="U1259" s="1941"/>
      <c r="V1259" s="2041"/>
      <c r="W1259" s="1734"/>
      <c r="X1259" s="1734"/>
      <c r="Y1259" s="1734"/>
    </row>
    <row r="1260" s="1709" customFormat="true" ht="15.75" hidden="true" customHeight="true" outlineLevel="1" collapsed="false">
      <c r="A1260" s="2109" t="s">
        <v>3690</v>
      </c>
      <c r="B1260" s="2109"/>
      <c r="C1260" s="2110" t="s">
        <v>12</v>
      </c>
      <c r="D1260" s="2111" t="s">
        <v>200</v>
      </c>
      <c r="E1260" s="2095" t="n">
        <v>1</v>
      </c>
      <c r="F1260" s="2087"/>
      <c r="G1260" s="1940"/>
      <c r="H1260" s="1940"/>
      <c r="I1260" s="2096"/>
      <c r="J1260" s="1942"/>
      <c r="K1260" s="2095" t="s">
        <v>342</v>
      </c>
      <c r="L1260" s="2095"/>
      <c r="M1260" s="2095"/>
      <c r="N1260" s="2095"/>
      <c r="O1260" s="2101"/>
      <c r="P1260" s="2101" t="n">
        <f aca="false">'Ввод данных'!BD528</f>
        <v>25</v>
      </c>
      <c r="Q1260" s="2108"/>
      <c r="R1260" s="1941"/>
      <c r="S1260" s="1941"/>
      <c r="T1260" s="1941"/>
      <c r="U1260" s="1941"/>
      <c r="V1260" s="2041"/>
      <c r="W1260" s="1734"/>
      <c r="X1260" s="1734"/>
      <c r="Y1260" s="1734"/>
    </row>
    <row r="1261" s="1709" customFormat="true" ht="15.75" hidden="true" customHeight="true" outlineLevel="1" collapsed="false">
      <c r="A1261" s="2112" t="s">
        <v>3691</v>
      </c>
      <c r="B1261" s="2113"/>
      <c r="C1261" s="2094" t="s">
        <v>15</v>
      </c>
      <c r="D1261" s="2101" t="n">
        <f aca="false">SQRT((C1245/2)*(C1245/2)+C1243*C1243)</f>
        <v>3.33016516106934</v>
      </c>
      <c r="E1261" s="2114"/>
      <c r="F1261" s="2087"/>
      <c r="G1261" s="2041"/>
      <c r="H1261" s="2041"/>
      <c r="I1261" s="2096"/>
      <c r="J1261" s="1942"/>
      <c r="K1261" s="2095" t="s">
        <v>342</v>
      </c>
      <c r="L1261" s="2095"/>
      <c r="M1261" s="2095"/>
      <c r="N1261" s="2095"/>
      <c r="O1261" s="2101"/>
      <c r="P1261" s="2101" t="n">
        <f aca="false">'Ввод данных'!BD529</f>
        <v>20</v>
      </c>
      <c r="Q1261" s="2108"/>
      <c r="R1261" s="1941"/>
      <c r="S1261" s="1941"/>
      <c r="T1261" s="1941"/>
      <c r="U1261" s="1941"/>
      <c r="V1261" s="2041"/>
      <c r="W1261" s="1734"/>
      <c r="X1261" s="1734"/>
      <c r="Y1261" s="1734"/>
    </row>
    <row r="1262" s="1709" customFormat="true" ht="15.75" hidden="true" customHeight="true" outlineLevel="1" collapsed="false">
      <c r="A1262" s="2115" t="s">
        <v>3692</v>
      </c>
      <c r="B1262" s="2116"/>
      <c r="C1262" s="2110" t="s">
        <v>15</v>
      </c>
      <c r="D1262" s="2083" t="n">
        <f aca="false">'Ввод данных'!C511</f>
        <v>0.5</v>
      </c>
      <c r="E1262" s="2114"/>
      <c r="F1262" s="2087"/>
      <c r="G1262" s="2041"/>
      <c r="H1262" s="2041"/>
      <c r="I1262" s="2096"/>
      <c r="J1262" s="1942"/>
      <c r="K1262" s="2089"/>
      <c r="L1262" s="2089"/>
      <c r="M1262" s="2089"/>
      <c r="N1262" s="2089"/>
      <c r="O1262" s="1941"/>
      <c r="P1262" s="1941"/>
      <c r="Q1262" s="2108"/>
      <c r="R1262" s="1941"/>
      <c r="S1262" s="1941"/>
      <c r="T1262" s="1941"/>
      <c r="U1262" s="1941"/>
      <c r="V1262" s="2041"/>
      <c r="W1262" s="1734"/>
      <c r="X1262" s="1734"/>
      <c r="Y1262" s="1734"/>
    </row>
    <row r="1263" s="1709" customFormat="true" ht="15.75" hidden="true" customHeight="true" outlineLevel="1" collapsed="false">
      <c r="A1263" s="2112" t="s">
        <v>3693</v>
      </c>
      <c r="B1263" s="2113"/>
      <c r="C1263" s="2094" t="s">
        <v>3578</v>
      </c>
      <c r="D1263" s="2101" t="n">
        <f aca="false">C1243/D1261</f>
        <v>0.660627894892025</v>
      </c>
      <c r="E1263" s="2114"/>
      <c r="F1263" s="2087"/>
      <c r="G1263" s="2041"/>
      <c r="H1263" s="2041"/>
      <c r="I1263" s="2096"/>
      <c r="J1263" s="1942"/>
      <c r="K1263" s="2089"/>
      <c r="L1263" s="2089"/>
      <c r="M1263" s="2089"/>
      <c r="N1263" s="2089"/>
      <c r="O1263" s="1941"/>
      <c r="P1263" s="1941"/>
      <c r="Q1263" s="2108"/>
      <c r="R1263" s="1941"/>
      <c r="S1263" s="1941"/>
      <c r="T1263" s="1941"/>
      <c r="U1263" s="1941"/>
      <c r="V1263" s="2041"/>
      <c r="W1263" s="1734"/>
      <c r="X1263" s="1734"/>
      <c r="Y1263" s="1734"/>
    </row>
    <row r="1264" s="1709" customFormat="true" ht="15.75" hidden="true" customHeight="true" outlineLevel="1" collapsed="false">
      <c r="A1264" s="2112" t="s">
        <v>3694</v>
      </c>
      <c r="B1264" s="2117"/>
      <c r="C1264" s="2117"/>
      <c r="D1264" s="2043" t="n">
        <f aca="false">D1262/COS(D1263)</f>
        <v>0.633226320016729</v>
      </c>
      <c r="E1264" s="2114"/>
      <c r="F1264" s="2087"/>
      <c r="G1264" s="2041"/>
      <c r="H1264" s="2041"/>
      <c r="I1264" s="2096"/>
      <c r="J1264" s="1942"/>
      <c r="K1264" s="2089"/>
      <c r="L1264" s="2089"/>
      <c r="M1264" s="2089"/>
      <c r="N1264" s="2089"/>
      <c r="O1264" s="1941"/>
      <c r="P1264" s="1941"/>
      <c r="Q1264" s="2108"/>
      <c r="R1264" s="1941"/>
      <c r="S1264" s="1941"/>
      <c r="T1264" s="1941"/>
      <c r="U1264" s="1941"/>
      <c r="V1264" s="2041"/>
      <c r="W1264" s="1734"/>
      <c r="X1264" s="1734"/>
      <c r="Y1264" s="1734"/>
    </row>
    <row r="1265" s="1709" customFormat="true" ht="15.75" hidden="true" customHeight="true" outlineLevel="1" collapsed="false">
      <c r="A1265" s="2112" t="s">
        <v>3695</v>
      </c>
      <c r="B1265" s="2113"/>
      <c r="C1265" s="2094" t="s">
        <v>15</v>
      </c>
      <c r="D1265" s="2101" t="n">
        <f aca="false">SQRT(D1261*D1261+C1240*C1240)</f>
        <v>3.65239647354993</v>
      </c>
      <c r="E1265" s="2114"/>
      <c r="F1265" s="2087"/>
      <c r="G1265" s="2041"/>
      <c r="H1265" s="2041"/>
      <c r="I1265" s="2096"/>
      <c r="J1265" s="1942"/>
      <c r="K1265" s="2089"/>
      <c r="L1265" s="2089"/>
      <c r="M1265" s="2089"/>
      <c r="N1265" s="2089"/>
      <c r="O1265" s="1941"/>
      <c r="P1265" s="1941"/>
      <c r="Q1265" s="2108"/>
      <c r="R1265" s="1941"/>
      <c r="S1265" s="1941"/>
      <c r="T1265" s="1941"/>
      <c r="U1265" s="1941"/>
      <c r="V1265" s="2041"/>
      <c r="W1265" s="1734"/>
      <c r="X1265" s="1734"/>
      <c r="Y1265" s="1734"/>
    </row>
    <row r="1266" s="1709" customFormat="true" ht="15.75" hidden="true" customHeight="true" outlineLevel="1" collapsed="false">
      <c r="A1266" s="2112" t="s">
        <v>3696</v>
      </c>
      <c r="B1266" s="2113"/>
      <c r="C1266" s="2094" t="s">
        <v>15</v>
      </c>
      <c r="D1266" s="2101" t="n">
        <f aca="false">SQRT(D1265*D1265+C1239*C1239)</f>
        <v>4.67332857821917</v>
      </c>
      <c r="E1266" s="2114"/>
      <c r="F1266" s="2087"/>
      <c r="G1266" s="1940"/>
      <c r="H1266" s="1940"/>
      <c r="I1266" s="2096"/>
      <c r="J1266" s="1942"/>
      <c r="K1266" s="2089"/>
      <c r="L1266" s="2089"/>
      <c r="M1266" s="2089"/>
      <c r="N1266" s="2089"/>
      <c r="O1266" s="1941"/>
      <c r="P1266" s="1941"/>
      <c r="Q1266" s="2108"/>
      <c r="R1266" s="1941"/>
      <c r="S1266" s="1941"/>
      <c r="T1266" s="1941"/>
      <c r="U1266" s="1941"/>
      <c r="V1266" s="2041"/>
      <c r="W1266" s="1734"/>
      <c r="X1266" s="1734"/>
      <c r="Y1266" s="1734"/>
    </row>
    <row r="1267" s="1709" customFormat="true" ht="15.75" hidden="true" customHeight="true" outlineLevel="1" collapsed="false">
      <c r="A1267" s="2115" t="s">
        <v>2807</v>
      </c>
      <c r="B1267" s="2116"/>
      <c r="C1267" s="2110" t="s">
        <v>820</v>
      </c>
      <c r="D1267" s="2111" t="n">
        <f aca="false">D1261*C1240+D1265*C1239*1.1+(C1238/2)*SQRT(C1244*C1244+C1243*C1243)</f>
        <v>21.2736541018041</v>
      </c>
      <c r="E1267" s="2114"/>
      <c r="F1267" s="1941"/>
      <c r="G1267" s="1940"/>
      <c r="H1267" s="1940"/>
      <c r="I1267" s="2096"/>
      <c r="J1267" s="1942" t="s">
        <v>3380</v>
      </c>
      <c r="K1267" s="2089"/>
      <c r="L1267" s="2089"/>
      <c r="M1267" s="2089"/>
      <c r="N1267" s="2089"/>
      <c r="O1267" s="1941"/>
      <c r="P1267" s="1941"/>
      <c r="Q1267" s="2108"/>
      <c r="R1267" s="1941"/>
      <c r="S1267" s="1941"/>
      <c r="T1267" s="1941"/>
      <c r="U1267" s="1941"/>
      <c r="V1267" s="2041"/>
      <c r="W1267" s="1734"/>
      <c r="X1267" s="1734"/>
      <c r="Y1267" s="1734"/>
    </row>
    <row r="1268" s="1709" customFormat="true" ht="15.75" hidden="true" customHeight="true" outlineLevel="1" collapsed="false">
      <c r="A1268" s="2112" t="s">
        <v>3697</v>
      </c>
      <c r="B1268" s="2113"/>
      <c r="C1268" s="2094" t="s">
        <v>15</v>
      </c>
      <c r="D1268" s="2101" t="n">
        <f aca="false">D1261+D1264</f>
        <v>3.96339148108607</v>
      </c>
      <c r="E1268" s="2114"/>
      <c r="F1268" s="2088" t="s">
        <v>3698</v>
      </c>
      <c r="G1268" s="2110" t="n">
        <f aca="false">(C1241+C1246*C1233+D1235*E1235+D1236*E1236+D1237*E1237)*C1245</f>
        <v>30</v>
      </c>
      <c r="H1268" s="2118"/>
      <c r="I1268" s="2119" t="n">
        <f aca="false">((P1244-P1243+C1233*(P1246-P1245))+D1275*(D1236*E1236+D1237*E1237))*P1232</f>
        <v>45.1619037896906</v>
      </c>
      <c r="J1268" s="2120" t="n">
        <f aca="false">I1268*пристройка!AF190+G1268*пристройка!AF191</f>
        <v>30</v>
      </c>
      <c r="K1268" s="2089"/>
      <c r="L1268" s="2089"/>
      <c r="M1268" s="2089"/>
      <c r="N1268" s="2089"/>
      <c r="O1268" s="1941"/>
      <c r="P1268" s="1941"/>
      <c r="Q1268" s="1941"/>
      <c r="R1268" s="1941"/>
      <c r="S1268" s="1941"/>
      <c r="T1268" s="1941"/>
      <c r="U1268" s="1941"/>
      <c r="V1268" s="2041"/>
      <c r="W1268" s="1734"/>
      <c r="X1268" s="1734"/>
      <c r="Y1268" s="1734"/>
    </row>
    <row r="1269" s="1709" customFormat="true" ht="15.75" hidden="true" customHeight="true" outlineLevel="1" collapsed="false">
      <c r="A1269" s="2112" t="s">
        <v>3699</v>
      </c>
      <c r="B1269" s="2113"/>
      <c r="C1269" s="2094" t="s">
        <v>15</v>
      </c>
      <c r="D1269" s="2101" t="n">
        <f aca="false">D1265+D1264</f>
        <v>4.28562279356666</v>
      </c>
      <c r="E1269" s="2114"/>
      <c r="F1269" s="2088"/>
      <c r="G1269" s="1940"/>
      <c r="H1269" s="1940"/>
      <c r="I1269" s="2096" t="s">
        <v>3700</v>
      </c>
      <c r="J1269" s="2120" t="n">
        <f aca="false">C1259*пристройка!AF191+D1259*пристройка!AF190</f>
        <v>64.9857113690718</v>
      </c>
      <c r="K1269" s="2089"/>
      <c r="L1269" s="2089"/>
      <c r="M1269" s="2089"/>
      <c r="N1269" s="2089"/>
      <c r="O1269" s="1941"/>
      <c r="P1269" s="1941"/>
      <c r="Q1269" s="1941"/>
      <c r="R1269" s="1941"/>
      <c r="S1269" s="1941"/>
      <c r="T1269" s="1941"/>
      <c r="U1269" s="1941"/>
      <c r="V1269" s="2041"/>
      <c r="W1269" s="1734"/>
      <c r="X1269" s="1734"/>
      <c r="Y1269" s="1734"/>
    </row>
    <row r="1270" s="1709" customFormat="true" ht="15.75" hidden="true" customHeight="true" outlineLevel="1" collapsed="false">
      <c r="A1270" s="2112" t="s">
        <v>3701</v>
      </c>
      <c r="B1270" s="2113"/>
      <c r="C1270" s="2094" t="s">
        <v>15</v>
      </c>
      <c r="D1270" s="2101" t="n">
        <f aca="false">D1266+D1264</f>
        <v>5.3065548982359</v>
      </c>
      <c r="E1270" s="2114"/>
      <c r="F1270" s="2121" t="s">
        <v>3702</v>
      </c>
      <c r="G1270" s="1940"/>
      <c r="H1270" s="1940"/>
      <c r="I1270" s="2096" t="n">
        <f aca="false">J1269</f>
        <v>64.9857113690718</v>
      </c>
      <c r="J1270" s="1942" t="n">
        <f aca="false">J1268</f>
        <v>30</v>
      </c>
      <c r="K1270" s="2089"/>
      <c r="L1270" s="2089"/>
      <c r="M1270" s="2089"/>
      <c r="N1270" s="2089"/>
      <c r="O1270" s="1941"/>
      <c r="P1270" s="1941"/>
      <c r="Q1270" s="1944"/>
      <c r="R1270" s="1944"/>
      <c r="S1270" s="2114"/>
      <c r="T1270" s="2114"/>
      <c r="U1270" s="2089"/>
      <c r="V1270" s="2041"/>
      <c r="W1270" s="1734"/>
      <c r="X1270" s="1734"/>
      <c r="Y1270" s="1734"/>
    </row>
    <row r="1271" s="1709" customFormat="true" ht="15.75" hidden="true" customHeight="true" outlineLevel="1" collapsed="false">
      <c r="A1271" s="2095" t="s">
        <v>3703</v>
      </c>
      <c r="B1271" s="2110"/>
      <c r="C1271" s="2110" t="s">
        <v>820</v>
      </c>
      <c r="D1271" s="2095" t="n">
        <f aca="false">D1268*C1240+D1269*C1239*1.2+SQRT(D1270*D1270-C1238/2*C1238/2)*C1238/2</f>
        <v>26.1501235361781</v>
      </c>
      <c r="E1271" s="2114"/>
      <c r="F1271" s="2114" t="s">
        <v>176</v>
      </c>
      <c r="G1271" s="1940" t="n">
        <f aca="false">(P1259-P1258)/SIN(J1271)</f>
        <v>2.60405708906762</v>
      </c>
      <c r="H1271" s="1940"/>
      <c r="I1271" s="2096" t="s">
        <v>2447</v>
      </c>
      <c r="J1271" s="1942" t="n">
        <f aca="false">P1260*(3.14/180)</f>
        <v>0.436111111111111</v>
      </c>
      <c r="K1271" s="2089"/>
      <c r="L1271" s="2089"/>
      <c r="M1271" s="2089"/>
      <c r="N1271" s="2089"/>
      <c r="O1271" s="1941"/>
      <c r="P1271" s="1941"/>
      <c r="Q1271" s="2122"/>
      <c r="R1271" s="2122"/>
      <c r="S1271" s="1939"/>
      <c r="T1271" s="1941"/>
      <c r="U1271" s="2114"/>
      <c r="V1271" s="2041"/>
      <c r="W1271" s="1734"/>
      <c r="X1271" s="1734"/>
      <c r="Y1271" s="1734"/>
    </row>
    <row r="1272" s="1709" customFormat="true" ht="15.75" hidden="true" customHeight="true" outlineLevel="1" collapsed="false">
      <c r="A1272" s="2115" t="s">
        <v>2808</v>
      </c>
      <c r="B1272" s="2116"/>
      <c r="C1272" s="2110" t="s">
        <v>820</v>
      </c>
      <c r="D1272" s="2111" t="n">
        <f aca="false">D1271</f>
        <v>26.1501235361781</v>
      </c>
      <c r="E1272" s="2111" t="n">
        <f aca="false">D1267</f>
        <v>21.2736541018041</v>
      </c>
      <c r="F1272" s="2114"/>
      <c r="G1272" s="1940"/>
      <c r="H1272" s="1940"/>
      <c r="I1272" s="2096"/>
      <c r="J1272" s="1942"/>
      <c r="K1272" s="2089"/>
      <c r="L1272" s="2089"/>
      <c r="M1272" s="2089"/>
      <c r="N1272" s="2089"/>
      <c r="O1272" s="1941"/>
      <c r="P1272" s="1941"/>
      <c r="Q1272" s="2122"/>
      <c r="R1272" s="2122"/>
      <c r="S1272" s="1939"/>
      <c r="T1272" s="1941"/>
      <c r="U1272" s="2114"/>
      <c r="V1272" s="2041"/>
      <c r="W1272" s="1734"/>
      <c r="X1272" s="1734"/>
      <c r="Y1272" s="1734"/>
    </row>
    <row r="1273" s="1709" customFormat="true" ht="15.75" hidden="true" customHeight="true" outlineLevel="1" collapsed="false">
      <c r="A1273" s="2115" t="s">
        <v>3704</v>
      </c>
      <c r="B1273" s="2116"/>
      <c r="C1273" s="2110" t="s">
        <v>820</v>
      </c>
      <c r="D1273" s="2111" t="n">
        <f aca="false">D1272*1.55</f>
        <v>40.5326914810761</v>
      </c>
      <c r="E1273" s="2111"/>
      <c r="F1273" s="2114"/>
      <c r="G1273" s="1940"/>
      <c r="H1273" s="1940"/>
      <c r="I1273" s="2096"/>
      <c r="J1273" s="1942"/>
      <c r="K1273" s="2089"/>
      <c r="L1273" s="2089"/>
      <c r="M1273" s="2089"/>
      <c r="N1273" s="2089"/>
      <c r="O1273" s="1941"/>
      <c r="P1273" s="1941"/>
      <c r="Q1273" s="2122"/>
      <c r="R1273" s="2122"/>
      <c r="S1273" s="1939"/>
      <c r="T1273" s="1941"/>
      <c r="U1273" s="2114"/>
      <c r="V1273" s="2041"/>
      <c r="W1273" s="1734"/>
      <c r="X1273" s="1734"/>
      <c r="Y1273" s="1734"/>
    </row>
    <row r="1274" s="1709" customFormat="true" ht="15.75" hidden="true" customHeight="true" outlineLevel="1" collapsed="false">
      <c r="A1274" s="2123" t="s">
        <v>2833</v>
      </c>
      <c r="B1274" s="2124"/>
      <c r="C1274" s="2124"/>
      <c r="D1274" s="2123"/>
      <c r="E1274" s="2095" t="n">
        <v>1</v>
      </c>
      <c r="F1274" s="2114" t="s">
        <v>177</v>
      </c>
      <c r="G1274" s="1940" t="n">
        <f aca="false">SQRT(G1271*G1271+P1239*1.1*P1239)</f>
        <v>3.04238612327944</v>
      </c>
      <c r="H1274" s="1940"/>
      <c r="I1274" s="2096" t="s">
        <v>2447</v>
      </c>
      <c r="J1274" s="1942" t="n">
        <f aca="false">P1261*(3.14/180)</f>
        <v>0.348888888888889</v>
      </c>
      <c r="K1274" s="2089"/>
      <c r="L1274" s="2089"/>
      <c r="M1274" s="2089"/>
      <c r="N1274" s="2089"/>
      <c r="O1274" s="1941"/>
      <c r="P1274" s="1941"/>
      <c r="Q1274" s="2121"/>
      <c r="R1274" s="2121"/>
      <c r="S1274" s="1940"/>
      <c r="T1274" s="2089"/>
      <c r="U1274" s="2114"/>
      <c r="V1274" s="2041"/>
      <c r="W1274" s="1734"/>
      <c r="X1274" s="1734"/>
      <c r="Y1274" s="1734"/>
    </row>
    <row r="1275" s="1709" customFormat="true" ht="15.75" hidden="true" customHeight="true" outlineLevel="1" collapsed="false">
      <c r="A1275" s="2106" t="s">
        <v>2773</v>
      </c>
      <c r="B1275" s="2107" t="s">
        <v>15</v>
      </c>
      <c r="C1275" s="2107" t="n">
        <f aca="false">C1240*2+C1239*2+C1238</f>
        <v>10.8309518948453</v>
      </c>
      <c r="D1275" s="1941" t="n">
        <f aca="false">P1238+P1239*2+P1240*2</f>
        <v>10.8309518948453</v>
      </c>
      <c r="E1275" s="1941" t="s">
        <v>2744</v>
      </c>
      <c r="F1275" s="2114" t="s">
        <v>335</v>
      </c>
      <c r="G1275" s="1940" t="n">
        <f aca="false">(P1259-P1258)/SIN(J1274)*1.1</f>
        <v>3.53952428836402</v>
      </c>
      <c r="H1275" s="1940"/>
      <c r="I1275" s="2096"/>
      <c r="J1275" s="1942"/>
      <c r="K1275" s="1941"/>
      <c r="L1275" s="1941"/>
      <c r="M1275" s="1941"/>
      <c r="N1275" s="1941"/>
      <c r="O1275" s="1941"/>
      <c r="P1275" s="1941"/>
      <c r="Q1275" s="2122"/>
      <c r="R1275" s="2122"/>
      <c r="S1275" s="1939"/>
      <c r="T1275" s="1941"/>
      <c r="U1275" s="2114"/>
      <c r="V1275" s="2041"/>
      <c r="W1275" s="1734"/>
      <c r="X1275" s="1734"/>
      <c r="Y1275" s="1734"/>
    </row>
    <row r="1276" s="1709" customFormat="true" ht="15.75" hidden="true" customHeight="true" outlineLevel="1" collapsed="false">
      <c r="A1276" s="2101" t="s">
        <v>3705</v>
      </c>
      <c r="B1276" s="2107"/>
      <c r="C1276" s="2107" t="n">
        <f aca="false">E1272*пристройка!AF191+G1280*пристройка!AF190</f>
        <v>21.2736541018041</v>
      </c>
      <c r="D1276" s="1941"/>
      <c r="E1276" s="1941"/>
      <c r="F1276" s="2114" t="s">
        <v>3706</v>
      </c>
      <c r="G1276" s="1940" t="n">
        <f aca="false">G1275*1.05</f>
        <v>3.71650050278222</v>
      </c>
      <c r="H1276" s="1940"/>
      <c r="I1276" s="2096"/>
      <c r="J1276" s="1942"/>
      <c r="K1276" s="1941"/>
      <c r="L1276" s="1941"/>
      <c r="M1276" s="1941"/>
      <c r="N1276" s="1941"/>
      <c r="O1276" s="2042"/>
      <c r="P1276" s="1941"/>
      <c r="Q1276" s="2122"/>
      <c r="R1276" s="2122"/>
      <c r="S1276" s="1939"/>
      <c r="T1276" s="1941"/>
      <c r="U1276" s="2114"/>
      <c r="V1276" s="2041"/>
      <c r="W1276" s="1734"/>
      <c r="X1276" s="1734"/>
      <c r="Y1276" s="1734"/>
    </row>
    <row r="1277" s="1709" customFormat="true" ht="15.75" hidden="true" customHeight="true" outlineLevel="1" collapsed="false">
      <c r="A1277" s="2101" t="s">
        <v>3571</v>
      </c>
      <c r="B1277" s="2094" t="s">
        <v>820</v>
      </c>
      <c r="C1277" s="2094" t="n">
        <f aca="false">C1235*E1235+C1236*E1237</f>
        <v>32.5</v>
      </c>
      <c r="D1277" s="1941"/>
      <c r="E1277" s="1941"/>
      <c r="F1277" s="2114" t="s">
        <v>3707</v>
      </c>
      <c r="G1277" s="1940" t="n">
        <f aca="false">G1271*P1239</f>
        <v>3.90608563360143</v>
      </c>
      <c r="H1277" s="1940"/>
      <c r="I1277" s="2096"/>
      <c r="J1277" s="1942"/>
      <c r="K1277" s="1941"/>
      <c r="L1277" s="1941"/>
      <c r="M1277" s="1941"/>
      <c r="N1277" s="1941"/>
      <c r="O1277" s="2087"/>
      <c r="P1277" s="2087"/>
      <c r="Q1277" s="2122"/>
      <c r="R1277" s="2122"/>
      <c r="S1277" s="1939"/>
      <c r="T1277" s="1941"/>
      <c r="U1277" s="2114"/>
      <c r="V1277" s="2041"/>
      <c r="W1277" s="1734"/>
      <c r="X1277" s="1734"/>
      <c r="Y1277" s="1734"/>
    </row>
    <row r="1278" s="1709" customFormat="true" ht="15.75" hidden="true" customHeight="true" outlineLevel="1" collapsed="false">
      <c r="A1278" s="2043"/>
      <c r="B1278" s="2125"/>
      <c r="C1278" s="2125"/>
      <c r="D1278" s="2043"/>
      <c r="E1278" s="2063"/>
      <c r="F1278" s="2114" t="s">
        <v>3708</v>
      </c>
      <c r="G1278" s="1940" t="n">
        <f aca="false">G1274*P1240</f>
        <v>8.87000356519366</v>
      </c>
      <c r="H1278" s="1940"/>
      <c r="I1278" s="2096"/>
      <c r="J1278" s="1942"/>
      <c r="K1278" s="1941"/>
      <c r="L1278" s="1941"/>
      <c r="M1278" s="1941"/>
      <c r="N1278" s="1941"/>
      <c r="O1278" s="2087"/>
      <c r="P1278" s="2087"/>
      <c r="Q1278" s="2122"/>
      <c r="R1278" s="2122"/>
      <c r="S1278" s="1939"/>
      <c r="T1278" s="1941"/>
      <c r="U1278" s="2114"/>
      <c r="V1278" s="2041"/>
      <c r="W1278" s="1734"/>
      <c r="X1278" s="1734"/>
      <c r="Y1278" s="1734"/>
    </row>
    <row r="1279" s="1709" customFormat="true" ht="15.75" hidden="true" customHeight="true" outlineLevel="1" collapsed="false">
      <c r="A1279" s="2101" t="s">
        <v>3709</v>
      </c>
      <c r="B1279" s="2094"/>
      <c r="C1279" s="2094" t="n">
        <f aca="false">(C1240*C1245+(C1244-C1240)*C1238+(C1244-C1240)*((C1245-C1238)/2))*E1235</f>
        <v>16.25</v>
      </c>
      <c r="D1279" s="1941"/>
      <c r="E1279" s="1941"/>
      <c r="F1279" s="2114" t="s">
        <v>3710</v>
      </c>
      <c r="G1279" s="1940" t="n">
        <f aca="false">G1275*P1238*1.05/2</f>
        <v>3.71650050278222</v>
      </c>
      <c r="H1279" s="1940"/>
      <c r="I1279" s="2096"/>
      <c r="J1279" s="1942"/>
      <c r="K1279" s="1941"/>
      <c r="L1279" s="1941"/>
      <c r="M1279" s="1941"/>
      <c r="N1279" s="1941"/>
      <c r="O1279" s="2087"/>
      <c r="P1279" s="2087"/>
      <c r="Q1279" s="2121"/>
      <c r="R1279" s="2121"/>
      <c r="S1279" s="1940"/>
      <c r="T1279" s="2114"/>
      <c r="U1279" s="2114"/>
      <c r="V1279" s="2041"/>
      <c r="W1279" s="1734"/>
      <c r="X1279" s="1734"/>
      <c r="Y1279" s="1734"/>
    </row>
    <row r="1280" s="1709" customFormat="true" ht="15.75" hidden="true" customHeight="true" outlineLevel="1" collapsed="false">
      <c r="A1280" s="2126" t="s">
        <v>3711</v>
      </c>
      <c r="B1280" s="2094" t="s">
        <v>15</v>
      </c>
      <c r="C1280" s="2094" t="n">
        <f aca="false">(D1268*2*1.1)*E1285+G1271*2*1.1*E1284</f>
        <v>8.71946125838936</v>
      </c>
      <c r="D1280" s="2088"/>
      <c r="E1280" s="2088"/>
      <c r="F1280" s="2114"/>
      <c r="G1280" s="1940" t="n">
        <f aca="false">SUM(G1276:G1279)</f>
        <v>20.2090902043595</v>
      </c>
      <c r="H1280" s="1940"/>
      <c r="I1280" s="2096" t="s">
        <v>3712</v>
      </c>
      <c r="J1280" s="1942"/>
      <c r="K1280" s="2127"/>
      <c r="L1280" s="2127"/>
      <c r="M1280" s="2127"/>
      <c r="N1280" s="2127"/>
      <c r="O1280" s="2087"/>
      <c r="P1280" s="2087"/>
      <c r="Q1280" s="2122"/>
      <c r="R1280" s="2122"/>
      <c r="S1280" s="1939"/>
      <c r="T1280" s="1941"/>
      <c r="U1280" s="2114"/>
      <c r="V1280" s="2041"/>
      <c r="W1280" s="1734"/>
      <c r="X1280" s="1734"/>
      <c r="Y1280" s="1734"/>
    </row>
    <row r="1281" s="1709" customFormat="true" ht="15.75" hidden="true" customHeight="true" outlineLevel="1" collapsed="false">
      <c r="A1281" s="2126" t="s">
        <v>3713</v>
      </c>
      <c r="B1281" s="2094" t="s">
        <v>15</v>
      </c>
      <c r="C1281" s="2094" t="n">
        <f aca="false">(D1269*2*1.1+D1270*2*1.1)*E1285+(G1274*2*1.1+G1275*2*1.1)*E1284</f>
        <v>21.1027909219656</v>
      </c>
      <c r="D1281" s="2088"/>
      <c r="E1281" s="2088"/>
      <c r="F1281" s="2114"/>
      <c r="G1281" s="2110" t="n">
        <f aca="false">G1280*1.5</f>
        <v>30.3136353065393</v>
      </c>
      <c r="H1281" s="2110"/>
      <c r="I1281" s="2128" t="s">
        <v>3714</v>
      </c>
      <c r="J1281" s="1942"/>
      <c r="K1281" s="2127"/>
      <c r="L1281" s="2127"/>
      <c r="M1281" s="2127"/>
      <c r="N1281" s="2127"/>
      <c r="O1281" s="2087"/>
      <c r="P1281" s="2087"/>
      <c r="Q1281" s="2122"/>
      <c r="R1281" s="2122"/>
      <c r="S1281" s="1939"/>
      <c r="T1281" s="1941"/>
      <c r="U1281" s="2114"/>
      <c r="V1281" s="2041"/>
      <c r="W1281" s="1734"/>
      <c r="X1281" s="1734"/>
      <c r="Y1281" s="1734"/>
    </row>
    <row r="1282" s="1709" customFormat="true" ht="15.75" hidden="true" customHeight="true" outlineLevel="1" collapsed="false">
      <c r="A1282" s="2126" t="s">
        <v>3663</v>
      </c>
      <c r="B1282" s="2094" t="s">
        <v>15</v>
      </c>
      <c r="C1282" s="2094" t="n">
        <f aca="false">C1240*D1240*1.3*2+C1239*1.3*2+C1238*1.3</f>
        <v>14.0802374632989</v>
      </c>
      <c r="D1282" s="2088"/>
      <c r="E1282" s="2088"/>
      <c r="F1282" s="1941" t="s">
        <v>3715</v>
      </c>
      <c r="G1282" s="1940"/>
      <c r="H1282" s="1940"/>
      <c r="I1282" s="2096"/>
      <c r="J1282" s="1942"/>
      <c r="K1282" s="2127"/>
      <c r="L1282" s="2127"/>
      <c r="M1282" s="2127"/>
      <c r="N1282" s="2127"/>
      <c r="O1282" s="1941"/>
      <c r="P1282" s="1941"/>
      <c r="Q1282" s="2122"/>
      <c r="R1282" s="2122"/>
      <c r="S1282" s="1939"/>
      <c r="T1282" s="1941"/>
      <c r="U1282" s="2114"/>
      <c r="V1282" s="2041"/>
      <c r="W1282" s="1734"/>
      <c r="X1282" s="1734"/>
      <c r="Y1282" s="1734"/>
    </row>
    <row r="1283" s="1709" customFormat="true" ht="15.75" hidden="true" customHeight="true" outlineLevel="1" collapsed="false">
      <c r="A1283" s="2129" t="s">
        <v>1726</v>
      </c>
      <c r="B1283" s="2110" t="s">
        <v>15</v>
      </c>
      <c r="C1283" s="2110" t="n">
        <f aca="false">C1282</f>
        <v>14.0802374632989</v>
      </c>
      <c r="D1283" s="2088"/>
      <c r="E1283" s="2088"/>
      <c r="F1283" s="2114"/>
      <c r="G1283" s="1940"/>
      <c r="H1283" s="1940"/>
      <c r="I1283" s="2096"/>
      <c r="J1283" s="1942"/>
      <c r="K1283" s="2130"/>
      <c r="L1283" s="2130"/>
      <c r="M1283" s="2130"/>
      <c r="N1283" s="2130"/>
      <c r="O1283" s="2089"/>
      <c r="P1283" s="1940"/>
      <c r="Q1283" s="2108"/>
      <c r="R1283" s="2108"/>
      <c r="S1283" s="2108"/>
      <c r="T1283" s="2108"/>
      <c r="U1283" s="2114"/>
      <c r="V1283" s="2041"/>
      <c r="W1283" s="1734"/>
      <c r="X1283" s="1734"/>
      <c r="Y1283" s="1734"/>
    </row>
    <row r="1284" s="1709" customFormat="true" ht="15.75" hidden="true" customHeight="true" outlineLevel="1" collapsed="false">
      <c r="A1284" s="2126" t="s">
        <v>3716</v>
      </c>
      <c r="B1284" s="2094"/>
      <c r="C1284" s="2094" t="n">
        <f aca="false">(E1272-C1275*1.2*D1262)*E1285+(G1280-D1275*1.2*D1262)*E1284</f>
        <v>14.7750829648969</v>
      </c>
      <c r="D1284" s="2088" t="s">
        <v>2744</v>
      </c>
      <c r="E1284" s="2088" t="n">
        <f aca="false">пристройка!AF190</f>
        <v>0</v>
      </c>
      <c r="F1284" s="2114"/>
      <c r="G1284" s="2043"/>
      <c r="H1284" s="2043"/>
      <c r="I1284" s="2131"/>
      <c r="J1284" s="1942"/>
      <c r="K1284" s="2127"/>
      <c r="L1284" s="2127"/>
      <c r="M1284" s="2127"/>
      <c r="N1284" s="2127"/>
      <c r="O1284" s="2089"/>
      <c r="P1284" s="1940"/>
      <c r="Q1284" s="2121"/>
      <c r="R1284" s="2121"/>
      <c r="S1284" s="1940"/>
      <c r="T1284" s="2114"/>
      <c r="U1284" s="2114"/>
      <c r="V1284" s="2041"/>
      <c r="W1284" s="1734"/>
      <c r="X1284" s="1734"/>
      <c r="Y1284" s="1734"/>
    </row>
    <row r="1285" s="1709" customFormat="true" ht="15.75" hidden="true" customHeight="true" outlineLevel="1" collapsed="false">
      <c r="A1285" s="2129" t="s">
        <v>3712</v>
      </c>
      <c r="B1285" s="2094"/>
      <c r="C1285" s="2110" t="n">
        <f aca="false">D1272</f>
        <v>26.1501235361781</v>
      </c>
      <c r="D1285" s="2088" t="s">
        <v>2747</v>
      </c>
      <c r="E1285" s="2088" t="n">
        <f aca="false">пристройка!AF191</f>
        <v>1</v>
      </c>
      <c r="F1285" s="2114"/>
      <c r="G1285" s="2043"/>
      <c r="H1285" s="2043"/>
      <c r="I1285" s="2131"/>
      <c r="J1285" s="1942"/>
      <c r="K1285" s="2130"/>
      <c r="L1285" s="2130"/>
      <c r="M1285" s="2130"/>
      <c r="N1285" s="2130"/>
      <c r="O1285" s="2121"/>
      <c r="P1285" s="1940"/>
      <c r="Q1285" s="2108"/>
      <c r="R1285" s="2108"/>
      <c r="S1285" s="2108"/>
      <c r="T1285" s="2108"/>
      <c r="U1285" s="2108"/>
      <c r="V1285" s="2041"/>
      <c r="W1285" s="1734"/>
      <c r="X1285" s="1734"/>
      <c r="Y1285" s="1734"/>
    </row>
    <row r="1286" s="1709" customFormat="true" ht="15.75" hidden="true" customHeight="true" outlineLevel="1" collapsed="false">
      <c r="A1286" s="2129" t="s">
        <v>3714</v>
      </c>
      <c r="B1286" s="2094"/>
      <c r="C1286" s="2110" t="n">
        <f aca="false">D1273</f>
        <v>40.5326914810761</v>
      </c>
      <c r="D1286" s="2043"/>
      <c r="E1286" s="2044"/>
      <c r="F1286" s="2114"/>
      <c r="G1286" s="1940"/>
      <c r="H1286" s="1940"/>
      <c r="I1286" s="2096"/>
      <c r="J1286" s="1942"/>
      <c r="K1286" s="2130"/>
      <c r="L1286" s="2130"/>
      <c r="M1286" s="2130"/>
      <c r="N1286" s="2130"/>
      <c r="O1286" s="2121"/>
      <c r="P1286" s="1940"/>
      <c r="Q1286" s="1938"/>
      <c r="R1286" s="1938"/>
      <c r="S1286" s="1938"/>
      <c r="T1286" s="1938"/>
      <c r="U1286" s="2089"/>
      <c r="V1286" s="2041"/>
      <c r="W1286" s="1734"/>
      <c r="X1286" s="1734"/>
      <c r="Y1286" s="1734"/>
    </row>
    <row r="1287" s="2073" customFormat="true" ht="15.75" hidden="false" customHeight="true" outlineLevel="0" collapsed="false">
      <c r="A1287" s="2132" t="s">
        <v>3004</v>
      </c>
      <c r="B1287" s="2133"/>
      <c r="C1287" s="2133"/>
      <c r="D1287" s="2132"/>
      <c r="E1287" s="2127"/>
      <c r="F1287" s="2127"/>
      <c r="G1287" s="2132"/>
      <c r="H1287" s="2132"/>
      <c r="I1287" s="2096"/>
      <c r="J1287" s="1942"/>
      <c r="K1287" s="1942"/>
      <c r="L1287" s="1942"/>
      <c r="M1287" s="1942"/>
      <c r="N1287" s="1942"/>
      <c r="O1287" s="2127"/>
      <c r="P1287" s="2127"/>
      <c r="Q1287" s="2127"/>
      <c r="R1287" s="2127"/>
      <c r="S1287" s="2071"/>
      <c r="T1287" s="2071"/>
      <c r="U1287" s="2071"/>
      <c r="V1287" s="2071"/>
      <c r="W1287" s="2072"/>
      <c r="X1287" s="2072"/>
      <c r="Y1287" s="2072"/>
    </row>
    <row r="1288" customFormat="false" ht="15.75" hidden="true" customHeight="true" outlineLevel="1" collapsed="false">
      <c r="A1288" s="2134" t="s">
        <v>3717</v>
      </c>
      <c r="B1288" s="2135"/>
      <c r="C1288" s="2135"/>
      <c r="D1288" s="2136"/>
      <c r="E1288" s="2136"/>
      <c r="F1288" s="2137"/>
      <c r="G1288" s="2134" t="s">
        <v>3718</v>
      </c>
      <c r="H1288" s="2136"/>
      <c r="I1288" s="2138"/>
      <c r="J1288" s="2136"/>
      <c r="K1288" s="2136"/>
      <c r="L1288" s="2136"/>
      <c r="M1288" s="2136"/>
      <c r="N1288" s="2136"/>
      <c r="O1288" s="2136"/>
      <c r="P1288" s="2137"/>
      <c r="Q1288" s="1617"/>
      <c r="R1288" s="1617"/>
      <c r="S1288" s="1617"/>
      <c r="T1288" s="1617"/>
      <c r="U1288" s="1617"/>
      <c r="V1288" s="1617"/>
      <c r="W1288" s="1617"/>
      <c r="X1288" s="1617"/>
      <c r="Y1288" s="1617"/>
    </row>
    <row r="1289" customFormat="false" ht="15.75" hidden="true" customHeight="true" outlineLevel="1" collapsed="false">
      <c r="A1289" s="1780" t="s">
        <v>2108</v>
      </c>
      <c r="B1289" s="2139" t="s">
        <v>116</v>
      </c>
      <c r="C1289" s="2139" t="s">
        <v>137</v>
      </c>
      <c r="D1289" s="1780" t="s">
        <v>118</v>
      </c>
      <c r="E1289" s="1780"/>
      <c r="F1289" s="1780" t="s">
        <v>3719</v>
      </c>
      <c r="G1289" s="1780" t="s">
        <v>2791</v>
      </c>
      <c r="H1289" s="1780"/>
      <c r="I1289" s="2140" t="s">
        <v>116</v>
      </c>
      <c r="J1289" s="1780" t="s">
        <v>137</v>
      </c>
      <c r="K1289" s="1780" t="s">
        <v>118</v>
      </c>
      <c r="L1289" s="1780" t="s">
        <v>1097</v>
      </c>
      <c r="M1289" s="1780" t="s">
        <v>3720</v>
      </c>
      <c r="N1289" s="1780"/>
      <c r="O1289" s="1780"/>
      <c r="P1289" s="1780" t="s">
        <v>3721</v>
      </c>
      <c r="Q1289" s="1747"/>
      <c r="R1289" s="1617"/>
      <c r="S1289" s="1617"/>
      <c r="T1289" s="1617"/>
      <c r="U1289" s="1617"/>
      <c r="V1289" s="1617"/>
      <c r="W1289" s="1617"/>
      <c r="X1289" s="1617"/>
      <c r="Y1289" s="1617"/>
    </row>
    <row r="1290" customFormat="false" ht="15.75" hidden="true" customHeight="true" outlineLevel="1" collapsed="false">
      <c r="A1290" s="1707" t="str">
        <f aca="false">'Ввод данных'!A158</f>
        <v>Окна, Вариант 1, первый этаж</v>
      </c>
      <c r="B1290" s="2141" t="n">
        <f aca="false">B47</f>
        <v>1</v>
      </c>
      <c r="C1290" s="2141" t="n">
        <f aca="false">C47</f>
        <v>1.2</v>
      </c>
      <c r="D1290" s="2142" t="n">
        <f aca="false">D47</f>
        <v>1</v>
      </c>
      <c r="E1290" s="1707"/>
      <c r="F1290" s="1707" t="n">
        <f aca="false">B1290*C1290*D1290</f>
        <v>1.2</v>
      </c>
      <c r="G1290" s="2143" t="str">
        <f aca="false">'Ввод данных'!A181</f>
        <v>Дверь. Вариант 1, первый этаж</v>
      </c>
      <c r="H1290" s="2143" t="str">
        <f aca="false">'Ввод данных'!B181</f>
        <v>м.п.</v>
      </c>
      <c r="I1290" s="2143" t="n">
        <f aca="false">'Ввод данных'!C181</f>
        <v>0.8</v>
      </c>
      <c r="J1290" s="2143" t="n">
        <f aca="false">'Ввод данных'!D181</f>
        <v>2.1</v>
      </c>
      <c r="K1290" s="2143" t="n">
        <f aca="false">'Ввод данных'!E181</f>
        <v>3</v>
      </c>
      <c r="L1290" s="2143" t="n">
        <f aca="false">(J1290+J1290+I1290)*K1290</f>
        <v>15</v>
      </c>
      <c r="M1290" s="2143" t="n">
        <f aca="false">I1290*J1290*K1290</f>
        <v>5.04</v>
      </c>
      <c r="N1290" s="2142"/>
      <c r="O1290" s="1707"/>
      <c r="P1290" s="1707" t="n">
        <f aca="false">I1290*J1290*K1290</f>
        <v>5.04</v>
      </c>
      <c r="Q1290" s="1747"/>
      <c r="R1290" s="1617"/>
      <c r="S1290" s="1617"/>
      <c r="T1290" s="1617"/>
      <c r="U1290" s="1617"/>
      <c r="V1290" s="1617"/>
      <c r="W1290" s="1617"/>
      <c r="X1290" s="1617"/>
      <c r="Y1290" s="1617"/>
    </row>
    <row r="1291" customFormat="false" ht="15.75" hidden="true" customHeight="true" outlineLevel="1" collapsed="false">
      <c r="A1291" s="1707" t="str">
        <f aca="false">'Ввод данных'!A159</f>
        <v>Окна, Вариант 2, первый этаж</v>
      </c>
      <c r="B1291" s="2141" t="n">
        <f aca="false">B48</f>
        <v>0.6</v>
      </c>
      <c r="C1291" s="2141" t="n">
        <f aca="false">C48</f>
        <v>0.6</v>
      </c>
      <c r="D1291" s="2142" t="n">
        <f aca="false">D48</f>
        <v>0</v>
      </c>
      <c r="E1291" s="1707"/>
      <c r="F1291" s="1707" t="n">
        <f aca="false">B1291*C1291*D1291</f>
        <v>0</v>
      </c>
      <c r="G1291" s="2143" t="str">
        <f aca="false">'Ввод данных'!A182</f>
        <v>Дверь. Вариант 2, первый этаж</v>
      </c>
      <c r="H1291" s="2143" t="str">
        <f aca="false">'Ввод данных'!B182</f>
        <v>м.п.</v>
      </c>
      <c r="I1291" s="2143" t="n">
        <f aca="false">'Ввод данных'!C182</f>
        <v>0.6</v>
      </c>
      <c r="J1291" s="2143" t="n">
        <f aca="false">'Ввод данных'!D182</f>
        <v>2</v>
      </c>
      <c r="K1291" s="2143" t="n">
        <f aca="false">'Ввод данных'!E182</f>
        <v>0</v>
      </c>
      <c r="L1291" s="2143" t="n">
        <f aca="false">(J1291+J1291+I1291)*K1291</f>
        <v>0</v>
      </c>
      <c r="M1291" s="2143" t="n">
        <f aca="false">I1291*J1291*K1291</f>
        <v>0</v>
      </c>
      <c r="N1291" s="2142"/>
      <c r="O1291" s="1707"/>
      <c r="P1291" s="1707" t="n">
        <f aca="false">I1291*J1291*K1291</f>
        <v>0</v>
      </c>
      <c r="Q1291" s="1747"/>
      <c r="R1291" s="1617"/>
      <c r="S1291" s="1617"/>
      <c r="T1291" s="1617"/>
      <c r="U1291" s="1617"/>
      <c r="V1291" s="1617"/>
      <c r="W1291" s="1617"/>
      <c r="X1291" s="1617"/>
      <c r="Y1291" s="1617"/>
    </row>
    <row r="1292" customFormat="false" ht="15.75" hidden="true" customHeight="true" outlineLevel="1" collapsed="false">
      <c r="A1292" s="1707" t="str">
        <f aca="false">'Ввод данных'!A160</f>
        <v>Окна, Вариант 3, первый этаж</v>
      </c>
      <c r="B1292" s="2141" t="n">
        <f aca="false">B49</f>
        <v>1</v>
      </c>
      <c r="C1292" s="2141" t="n">
        <f aca="false">C49</f>
        <v>2</v>
      </c>
      <c r="D1292" s="2142" t="n">
        <f aca="false">D49</f>
        <v>0</v>
      </c>
      <c r="E1292" s="1707"/>
      <c r="F1292" s="1707" t="n">
        <f aca="false">B1292*C1292*D1292</f>
        <v>0</v>
      </c>
      <c r="G1292" s="2143" t="str">
        <f aca="false">'Ввод данных'!A183</f>
        <v>Проем без дверей Вариант 1, 1 этаж</v>
      </c>
      <c r="H1292" s="2143" t="str">
        <f aca="false">'Ввод данных'!B183</f>
        <v>м.п.</v>
      </c>
      <c r="I1292" s="2143" t="n">
        <f aca="false">'Ввод данных'!C183</f>
        <v>2</v>
      </c>
      <c r="J1292" s="2143" t="n">
        <f aca="false">'Ввод данных'!D183</f>
        <v>2.3</v>
      </c>
      <c r="K1292" s="2143" t="n">
        <f aca="false">'Ввод данных'!E183</f>
        <v>0</v>
      </c>
      <c r="L1292" s="2143" t="n">
        <f aca="false">(J1292+J1292+I1292)*K1292</f>
        <v>0</v>
      </c>
      <c r="M1292" s="2143" t="n">
        <f aca="false">I1292*J1292*K1292</f>
        <v>0</v>
      </c>
      <c r="N1292" s="2142"/>
      <c r="O1292" s="1707"/>
      <c r="P1292" s="1707" t="n">
        <f aca="false">I1292*J1292*K1292</f>
        <v>0</v>
      </c>
      <c r="Q1292" s="1747"/>
      <c r="R1292" s="1617"/>
      <c r="S1292" s="1617"/>
      <c r="T1292" s="1617"/>
      <c r="U1292" s="1617"/>
      <c r="V1292" s="1617"/>
      <c r="W1292" s="1617"/>
      <c r="X1292" s="1617"/>
      <c r="Y1292" s="1617"/>
    </row>
    <row r="1293" customFormat="false" ht="15.75" hidden="true" customHeight="true" outlineLevel="1" collapsed="false">
      <c r="A1293" s="1707" t="str">
        <f aca="false">'Ввод данных'!A161</f>
        <v>Окна, Вариант 4, первый этаж</v>
      </c>
      <c r="B1293" s="2141" t="n">
        <f aca="false">B50</f>
        <v>0.6</v>
      </c>
      <c r="C1293" s="2141" t="n">
        <f aca="false">C50</f>
        <v>1.5</v>
      </c>
      <c r="D1293" s="2142" t="n">
        <f aca="false">D50</f>
        <v>0</v>
      </c>
      <c r="E1293" s="1707"/>
      <c r="F1293" s="1707" t="n">
        <f aca="false">B1293*C1293*D1293</f>
        <v>0</v>
      </c>
      <c r="G1293" s="1707" t="str">
        <f aca="false">'Ввод данных'!A185</f>
        <v>Дверь. Вариант 3, первый этаж</v>
      </c>
      <c r="H1293" s="1707" t="str">
        <f aca="false">'Ввод данных'!B185</f>
        <v>м.п.</v>
      </c>
      <c r="I1293" s="1707" t="n">
        <f aca="false">'Ввод данных'!C185</f>
        <v>0.9</v>
      </c>
      <c r="J1293" s="1707" t="n">
        <f aca="false">'Ввод данных'!D185</f>
        <v>2.1</v>
      </c>
      <c r="K1293" s="1707" t="n">
        <f aca="false">'Ввод данных'!E185</f>
        <v>0</v>
      </c>
      <c r="L1293" s="2142" t="n">
        <f aca="false">(J1293+J1293+I1293)*K1293</f>
        <v>0</v>
      </c>
      <c r="M1293" s="2142" t="n">
        <f aca="false">I1293*J1293*K1293</f>
        <v>0</v>
      </c>
      <c r="N1293" s="2142"/>
      <c r="O1293" s="1707"/>
      <c r="P1293" s="1707" t="n">
        <f aca="false">I1293*J1293*K1293</f>
        <v>0</v>
      </c>
      <c r="Q1293" s="1747"/>
      <c r="R1293" s="1617"/>
      <c r="S1293" s="1617"/>
      <c r="T1293" s="1617"/>
      <c r="U1293" s="1617"/>
      <c r="V1293" s="1617"/>
      <c r="W1293" s="1617"/>
      <c r="X1293" s="1617"/>
      <c r="Y1293" s="1617"/>
    </row>
    <row r="1294" customFormat="false" ht="15.75" hidden="true" customHeight="true" outlineLevel="1" collapsed="false">
      <c r="A1294" s="1707" t="str">
        <f aca="false">'Ввод данных'!A162</f>
        <v>Окна, Вариант 5, первый этаж</v>
      </c>
      <c r="B1294" s="2141" t="n">
        <f aca="false">B51</f>
        <v>0.5</v>
      </c>
      <c r="C1294" s="2141" t="n">
        <f aca="false">C51</f>
        <v>1.5</v>
      </c>
      <c r="D1294" s="2142" t="n">
        <f aca="false">D51</f>
        <v>0</v>
      </c>
      <c r="E1294" s="1707"/>
      <c r="F1294" s="1707" t="n">
        <f aca="false">B1294*C1294*D1294</f>
        <v>0</v>
      </c>
      <c r="G1294" s="1707" t="str">
        <f aca="false">'Ввод данных'!A186</f>
        <v>Дверь. Вариант 4, первый этаж</v>
      </c>
      <c r="H1294" s="1707" t="n">
        <f aca="false">'Ввод данных'!B186</f>
        <v>0</v>
      </c>
      <c r="I1294" s="1707" t="n">
        <f aca="false">'Ввод данных'!C186</f>
        <v>1</v>
      </c>
      <c r="J1294" s="1707" t="n">
        <f aca="false">'Ввод данных'!D186</f>
        <v>2</v>
      </c>
      <c r="K1294" s="1707" t="n">
        <f aca="false">'Ввод данных'!E186</f>
        <v>0</v>
      </c>
      <c r="L1294" s="2142" t="n">
        <f aca="false">(J1294+J1294+I1294)*K1294</f>
        <v>0</v>
      </c>
      <c r="M1294" s="2142" t="n">
        <f aca="false">I1294*J1294*K1294</f>
        <v>0</v>
      </c>
      <c r="N1294" s="2142"/>
      <c r="O1294" s="1707"/>
      <c r="P1294" s="1707" t="n">
        <f aca="false">I1294*J1294*K1294</f>
        <v>0</v>
      </c>
      <c r="Q1294" s="1747"/>
      <c r="R1294" s="1617"/>
      <c r="S1294" s="1617"/>
      <c r="T1294" s="1617"/>
      <c r="U1294" s="1617"/>
      <c r="V1294" s="1617"/>
      <c r="W1294" s="1617"/>
      <c r="X1294" s="1617"/>
      <c r="Y1294" s="1617"/>
    </row>
    <row r="1295" customFormat="false" ht="15.75" hidden="true" customHeight="true" outlineLevel="1" collapsed="false">
      <c r="A1295" s="1707" t="str">
        <f aca="false">'Ввод данных'!A167</f>
        <v>Окна, Вариант 6, второй этаж</v>
      </c>
      <c r="B1295" s="2141" t="n">
        <f aca="false">B52</f>
        <v>0.6</v>
      </c>
      <c r="C1295" s="2141" t="n">
        <f aca="false">C52</f>
        <v>0.6</v>
      </c>
      <c r="D1295" s="2142" t="n">
        <f aca="false">D52</f>
        <v>0</v>
      </c>
      <c r="E1295" s="1707"/>
      <c r="F1295" s="1707" t="n">
        <f aca="false">B1295*C1295*D1295</f>
        <v>0</v>
      </c>
      <c r="G1295" s="1707" t="str">
        <f aca="false">'Ввод данных'!A187</f>
        <v>Проем без дверей Вариант 2, 1 этаж</v>
      </c>
      <c r="H1295" s="1707" t="str">
        <f aca="false">'Ввод данных'!B187</f>
        <v>м.п.</v>
      </c>
      <c r="I1295" s="1707" t="n">
        <f aca="false">'Ввод данных'!C187</f>
        <v>1.4</v>
      </c>
      <c r="J1295" s="1707" t="n">
        <f aca="false">'Ввод данных'!D187</f>
        <v>3</v>
      </c>
      <c r="K1295" s="1707" t="n">
        <f aca="false">'Ввод данных'!E187</f>
        <v>0</v>
      </c>
      <c r="L1295" s="2142" t="n">
        <f aca="false">(J1295+J1295+I1295)*K1295</f>
        <v>0</v>
      </c>
      <c r="M1295" s="2142" t="n">
        <f aca="false">I1295*J1295*K1295</f>
        <v>0</v>
      </c>
      <c r="N1295" s="2142"/>
      <c r="O1295" s="1707"/>
      <c r="P1295" s="1707" t="n">
        <f aca="false">I1295*J1295*K1295</f>
        <v>0</v>
      </c>
      <c r="Q1295" s="1747"/>
      <c r="R1295" s="1617"/>
      <c r="S1295" s="1617"/>
      <c r="T1295" s="1617"/>
      <c r="U1295" s="1617"/>
      <c r="V1295" s="1617"/>
      <c r="W1295" s="1617"/>
      <c r="X1295" s="1617"/>
      <c r="Y1295" s="1617"/>
    </row>
    <row r="1296" customFormat="false" ht="15.75" hidden="true" customHeight="true" outlineLevel="1" collapsed="false">
      <c r="A1296" s="1707" t="str">
        <f aca="false">'Ввод данных'!A168</f>
        <v>Окна, Вариант 7, второй этаж</v>
      </c>
      <c r="B1296" s="2141" t="n">
        <f aca="false">B53</f>
        <v>0.8</v>
      </c>
      <c r="C1296" s="2141" t="n">
        <f aca="false">C53</f>
        <v>0.8</v>
      </c>
      <c r="D1296" s="2142" t="n">
        <f aca="false">D53</f>
        <v>0</v>
      </c>
      <c r="E1296" s="1707"/>
      <c r="F1296" s="1707" t="n">
        <f aca="false">B1296*C1296*D1296</f>
        <v>0</v>
      </c>
      <c r="G1296" s="2143" t="str">
        <f aca="false">'Ввод данных'!A189</f>
        <v>Дверь. Вариант 5, второй этаж</v>
      </c>
      <c r="H1296" s="2143" t="str">
        <f aca="false">'Ввод данных'!B189</f>
        <v>м.п.</v>
      </c>
      <c r="I1296" s="2143" t="n">
        <f aca="false">'Ввод данных'!C189</f>
        <v>0.8</v>
      </c>
      <c r="J1296" s="2143" t="n">
        <f aca="false">'Ввод данных'!D189</f>
        <v>2.1</v>
      </c>
      <c r="K1296" s="2143" t="n">
        <f aca="false">'Ввод данных'!E189</f>
        <v>0</v>
      </c>
      <c r="L1296" s="2143" t="n">
        <f aca="false">(J1296+J1296+I1296)*K1296</f>
        <v>0</v>
      </c>
      <c r="M1296" s="2143" t="n">
        <f aca="false">I1296*J1296*K1296</f>
        <v>0</v>
      </c>
      <c r="N1296" s="2142"/>
      <c r="O1296" s="1707"/>
      <c r="P1296" s="1707" t="n">
        <f aca="false">I1296*J1296*K1296</f>
        <v>0</v>
      </c>
      <c r="Q1296" s="1747"/>
      <c r="R1296" s="1617"/>
      <c r="S1296" s="1617"/>
      <c r="T1296" s="1617"/>
      <c r="U1296" s="1617"/>
      <c r="V1296" s="1617"/>
      <c r="W1296" s="1617"/>
      <c r="X1296" s="1617"/>
      <c r="Y1296" s="1617"/>
    </row>
    <row r="1297" customFormat="false" ht="15.75" hidden="true" customHeight="true" outlineLevel="1" collapsed="false">
      <c r="A1297" s="1707" t="str">
        <f aca="false">'Ввод данных'!A169</f>
        <v>Окна, Вариант 8, второй этаж</v>
      </c>
      <c r="B1297" s="2141" t="n">
        <f aca="false">B54</f>
        <v>1</v>
      </c>
      <c r="C1297" s="2141" t="n">
        <f aca="false">C54</f>
        <v>0.7</v>
      </c>
      <c r="D1297" s="2142" t="n">
        <f aca="false">D54</f>
        <v>0</v>
      </c>
      <c r="E1297" s="1707"/>
      <c r="F1297" s="1707" t="n">
        <f aca="false">B1297*C1297*D1297</f>
        <v>0</v>
      </c>
      <c r="G1297" s="2143" t="str">
        <f aca="false">'Ввод данных'!A190</f>
        <v>Дверь. Вариант 6, второй этаж</v>
      </c>
      <c r="H1297" s="2143" t="str">
        <f aca="false">'Ввод данных'!B190</f>
        <v>м.п.</v>
      </c>
      <c r="I1297" s="2143" t="n">
        <f aca="false">'Ввод данных'!C190</f>
        <v>1</v>
      </c>
      <c r="J1297" s="2143" t="n">
        <f aca="false">'Ввод данных'!D190</f>
        <v>2</v>
      </c>
      <c r="K1297" s="2143" t="n">
        <f aca="false">'Ввод данных'!E190</f>
        <v>0</v>
      </c>
      <c r="L1297" s="2143" t="n">
        <f aca="false">(J1297+J1297+I1297)*K1297</f>
        <v>0</v>
      </c>
      <c r="M1297" s="2143" t="n">
        <f aca="false">I1297*J1297*K1297</f>
        <v>0</v>
      </c>
      <c r="N1297" s="2142"/>
      <c r="O1297" s="1707"/>
      <c r="P1297" s="1707"/>
      <c r="Q1297" s="1747"/>
      <c r="R1297" s="1617"/>
      <c r="S1297" s="1617"/>
      <c r="T1297" s="1617"/>
      <c r="U1297" s="1617"/>
      <c r="V1297" s="1617"/>
      <c r="W1297" s="1617"/>
      <c r="X1297" s="1617"/>
      <c r="Y1297" s="1617"/>
    </row>
    <row r="1298" customFormat="false" ht="15.75" hidden="true" customHeight="true" outlineLevel="1" collapsed="false">
      <c r="A1298" s="1707" t="str">
        <f aca="false">'Ввод данных'!A170</f>
        <v>Окна, Вариант 9, второй этаж</v>
      </c>
      <c r="B1298" s="2141" t="n">
        <f aca="false">B55</f>
        <v>5</v>
      </c>
      <c r="C1298" s="2141" t="n">
        <f aca="false">C55</f>
        <v>3</v>
      </c>
      <c r="D1298" s="2142" t="n">
        <f aca="false">D55</f>
        <v>0</v>
      </c>
      <c r="E1298" s="1707"/>
      <c r="F1298" s="1707" t="n">
        <f aca="false">B1298*C1298*D1298</f>
        <v>0</v>
      </c>
      <c r="G1298" s="2143" t="str">
        <f aca="false">'Ввод данных'!A191</f>
        <v>Проем без дверей Вариант 3, 2 этаж</v>
      </c>
      <c r="H1298" s="2143" t="str">
        <f aca="false">'Ввод данных'!B191</f>
        <v>м.п.</v>
      </c>
      <c r="I1298" s="2143" t="n">
        <f aca="false">'Ввод данных'!C191</f>
        <v>2</v>
      </c>
      <c r="J1298" s="2143" t="n">
        <f aca="false">'Ввод данных'!D191</f>
        <v>2.2</v>
      </c>
      <c r="K1298" s="2143" t="n">
        <f aca="false">'Ввод данных'!E191</f>
        <v>0</v>
      </c>
      <c r="L1298" s="2143" t="n">
        <f aca="false">(J1298+J1298+I1298)*K1298</f>
        <v>0</v>
      </c>
      <c r="M1298" s="2143" t="n">
        <f aca="false">I1298*J1298*K1298</f>
        <v>0</v>
      </c>
      <c r="N1298" s="2142"/>
      <c r="O1298" s="1707"/>
      <c r="P1298" s="1707"/>
      <c r="Q1298" s="1747"/>
      <c r="R1298" s="1617"/>
      <c r="S1298" s="1617"/>
      <c r="T1298" s="1617"/>
      <c r="U1298" s="1617"/>
      <c r="V1298" s="1617"/>
      <c r="W1298" s="1617"/>
      <c r="X1298" s="1617"/>
      <c r="Y1298" s="1617"/>
    </row>
    <row r="1299" customFormat="false" ht="15.75" hidden="true" customHeight="true" outlineLevel="1" collapsed="false">
      <c r="A1299" s="1707" t="str">
        <f aca="false">'Ввод данных'!A171</f>
        <v>Окна, Вариант 10, второй этаж</v>
      </c>
      <c r="B1299" s="2141" t="n">
        <f aca="false">B56</f>
        <v>6</v>
      </c>
      <c r="C1299" s="2141" t="n">
        <f aca="false">C56</f>
        <v>2</v>
      </c>
      <c r="D1299" s="2142" t="n">
        <f aca="false">D56</f>
        <v>0</v>
      </c>
      <c r="E1299" s="1707"/>
      <c r="F1299" s="1707" t="n">
        <f aca="false">B1299*C1299*D1299</f>
        <v>0</v>
      </c>
      <c r="G1299" s="1707" t="str">
        <f aca="false">'Ввод данных'!A193</f>
        <v>Дверь. Вариант 7, второй этаж</v>
      </c>
      <c r="H1299" s="1707" t="str">
        <f aca="false">'Ввод данных'!B193</f>
        <v>м.п.</v>
      </c>
      <c r="I1299" s="1707" t="n">
        <f aca="false">'Ввод данных'!C193</f>
        <v>1</v>
      </c>
      <c r="J1299" s="1707" t="n">
        <f aca="false">'Ввод данных'!D193</f>
        <v>2</v>
      </c>
      <c r="K1299" s="1707" t="n">
        <f aca="false">'Ввод данных'!E193</f>
        <v>0</v>
      </c>
      <c r="L1299" s="2142" t="n">
        <f aca="false">(J1299+J1299+I1299)*K1299</f>
        <v>0</v>
      </c>
      <c r="M1299" s="2142" t="n">
        <f aca="false">I1299*J1299*K1299</f>
        <v>0</v>
      </c>
      <c r="N1299" s="2142"/>
      <c r="O1299" s="1707"/>
      <c r="P1299" s="1707"/>
      <c r="Q1299" s="1747"/>
      <c r="R1299" s="1617"/>
      <c r="S1299" s="1617"/>
      <c r="T1299" s="1617"/>
      <c r="U1299" s="1617"/>
      <c r="V1299" s="1617"/>
      <c r="W1299" s="1617"/>
      <c r="X1299" s="1617"/>
      <c r="Y1299" s="1617"/>
    </row>
    <row r="1300" customFormat="false" ht="15.75" hidden="true" customHeight="true" outlineLevel="1" collapsed="false">
      <c r="A1300" s="1707" t="str">
        <f aca="false">'Ввод данных'!A163</f>
        <v>Дверь на балкон , первый этаж</v>
      </c>
      <c r="B1300" s="2141" t="n">
        <f aca="false">B57</f>
        <v>0.8</v>
      </c>
      <c r="C1300" s="2141" t="n">
        <f aca="false">C57</f>
        <v>2.1</v>
      </c>
      <c r="D1300" s="2142" t="n">
        <f aca="false">D57</f>
        <v>0</v>
      </c>
      <c r="E1300" s="1707"/>
      <c r="F1300" s="1707" t="n">
        <f aca="false">B1300*C1300*D1300</f>
        <v>0</v>
      </c>
      <c r="G1300" s="1707" t="str">
        <f aca="false">'Ввод данных'!A194</f>
        <v>Дверь. Вариант 8, второй этаж</v>
      </c>
      <c r="H1300" s="1707" t="str">
        <f aca="false">'Ввод данных'!B194</f>
        <v>м.п.</v>
      </c>
      <c r="I1300" s="1707" t="n">
        <f aca="false">'Ввод данных'!C194</f>
        <v>1</v>
      </c>
      <c r="J1300" s="1707" t="n">
        <f aca="false">'Ввод данных'!D194</f>
        <v>2</v>
      </c>
      <c r="K1300" s="1707" t="n">
        <f aca="false">'Ввод данных'!E194</f>
        <v>0</v>
      </c>
      <c r="L1300" s="2142" t="n">
        <f aca="false">(J1300+J1300+I1300)*K1300</f>
        <v>0</v>
      </c>
      <c r="M1300" s="2142" t="n">
        <f aca="false">I1300*J1300*K1300</f>
        <v>0</v>
      </c>
      <c r="N1300" s="2142"/>
      <c r="O1300" s="1707"/>
      <c r="P1300" s="1707"/>
      <c r="Q1300" s="1747"/>
      <c r="R1300" s="1617"/>
      <c r="S1300" s="1617"/>
      <c r="T1300" s="1617"/>
      <c r="U1300" s="1617"/>
      <c r="V1300" s="1617"/>
      <c r="W1300" s="1617"/>
      <c r="X1300" s="1617"/>
      <c r="Y1300" s="1617"/>
    </row>
    <row r="1301" customFormat="false" ht="15.75" hidden="true" customHeight="true" outlineLevel="1" collapsed="false">
      <c r="A1301" s="1707" t="str">
        <f aca="false">'Ввод данных'!A164</f>
        <v>Французское окно, Вариант 1</v>
      </c>
      <c r="B1301" s="2141" t="n">
        <f aca="false">B59</f>
        <v>2</v>
      </c>
      <c r="C1301" s="2141" t="n">
        <f aca="false">C59</f>
        <v>2</v>
      </c>
      <c r="D1301" s="2142" t="n">
        <f aca="false">D59</f>
        <v>0</v>
      </c>
      <c r="E1301" s="1707"/>
      <c r="F1301" s="1707" t="n">
        <f aca="false">B1301*C1301*D1301</f>
        <v>0</v>
      </c>
      <c r="G1301" s="1707" t="str">
        <f aca="false">'Ввод данных'!A195</f>
        <v>Проем без дверей Вариант 4, 2 этаж</v>
      </c>
      <c r="H1301" s="1707" t="str">
        <f aca="false">'Ввод данных'!B195</f>
        <v>м.п.</v>
      </c>
      <c r="I1301" s="1707" t="n">
        <f aca="false">'Ввод данных'!C195</f>
        <v>2</v>
      </c>
      <c r="J1301" s="1707" t="n">
        <f aca="false">'Ввод данных'!D195</f>
        <v>2</v>
      </c>
      <c r="K1301" s="1707" t="n">
        <f aca="false">'Ввод данных'!E195</f>
        <v>0</v>
      </c>
      <c r="L1301" s="2142" t="n">
        <f aca="false">(J1301+J1301+I1301)*K1301</f>
        <v>0</v>
      </c>
      <c r="M1301" s="2142" t="n">
        <f aca="false">I1301*J1301*K1301</f>
        <v>0</v>
      </c>
      <c r="N1301" s="2142"/>
      <c r="O1301" s="1707"/>
      <c r="P1301" s="1707"/>
      <c r="Q1301" s="1747"/>
      <c r="R1301" s="1617"/>
      <c r="S1301" s="1617"/>
      <c r="T1301" s="1617"/>
      <c r="U1301" s="1617"/>
      <c r="V1301" s="1617"/>
      <c r="W1301" s="1617"/>
      <c r="X1301" s="1617"/>
      <c r="Y1301" s="1617"/>
    </row>
    <row r="1302" customFormat="false" ht="15.75" hidden="true" customHeight="true" outlineLevel="1" collapsed="false">
      <c r="A1302" s="1707" t="str">
        <f aca="false">'Ввод данных'!A165</f>
        <v>Фрунцузское окно, Вариант 2</v>
      </c>
      <c r="B1302" s="2141" t="n">
        <f aca="false">B60</f>
        <v>0</v>
      </c>
      <c r="C1302" s="2141" t="n">
        <f aca="false">C60</f>
        <v>3</v>
      </c>
      <c r="D1302" s="2142" t="n">
        <f aca="false">D60</f>
        <v>0</v>
      </c>
      <c r="E1302" s="1707"/>
      <c r="F1302" s="1707" t="n">
        <f aca="false">B1302*C1302*D1302</f>
        <v>0</v>
      </c>
      <c r="G1302" s="1707"/>
      <c r="H1302" s="1707"/>
      <c r="I1302" s="2144"/>
      <c r="J1302" s="2142"/>
      <c r="K1302" s="2142"/>
      <c r="L1302" s="2142"/>
      <c r="M1302" s="2142"/>
      <c r="N1302" s="2142"/>
      <c r="O1302" s="1707"/>
      <c r="P1302" s="1707"/>
      <c r="Q1302" s="1747"/>
      <c r="R1302" s="1617"/>
      <c r="S1302" s="1617"/>
      <c r="T1302" s="1617"/>
      <c r="U1302" s="1617"/>
      <c r="V1302" s="1617"/>
      <c r="W1302" s="1617"/>
      <c r="X1302" s="1617"/>
      <c r="Y1302" s="1617"/>
    </row>
    <row r="1303" customFormat="false" ht="15.75" hidden="true" customHeight="true" outlineLevel="1" collapsed="false">
      <c r="A1303" s="1995" t="s">
        <v>3722</v>
      </c>
      <c r="B1303" s="2145"/>
      <c r="C1303" s="2145"/>
      <c r="D1303" s="2146"/>
      <c r="E1303" s="2147"/>
      <c r="F1303" s="1707" t="n">
        <f aca="false">SUM(F1290:F1302)</f>
        <v>1.2</v>
      </c>
      <c r="G1303" s="1707" t="s">
        <v>3723</v>
      </c>
      <c r="H1303" s="1707" t="s">
        <v>820</v>
      </c>
      <c r="I1303" s="1707" t="n">
        <f aca="false">M1290+M1291</f>
        <v>5.04</v>
      </c>
      <c r="J1303" s="1707"/>
      <c r="K1303" s="1707"/>
      <c r="L1303" s="1436"/>
      <c r="M1303" s="2146"/>
      <c r="N1303" s="2146"/>
      <c r="O1303" s="2147"/>
      <c r="P1303" s="1707" t="n">
        <f aca="false">SUM(P1290:P1296)</f>
        <v>5.04</v>
      </c>
      <c r="Q1303" s="2148"/>
      <c r="R1303" s="1617"/>
      <c r="S1303" s="1617"/>
      <c r="T1303" s="1617"/>
      <c r="U1303" s="1617"/>
      <c r="V1303" s="1617"/>
      <c r="W1303" s="1617"/>
      <c r="X1303" s="1617"/>
      <c r="Y1303" s="1617"/>
    </row>
    <row r="1304" customFormat="false" ht="15.75" hidden="true" customHeight="true" outlineLevel="1" collapsed="false">
      <c r="A1304" s="1995"/>
      <c r="B1304" s="2145"/>
      <c r="C1304" s="2145"/>
      <c r="D1304" s="2146"/>
      <c r="E1304" s="2147"/>
      <c r="F1304" s="1707"/>
      <c r="G1304" s="1707" t="s">
        <v>3724</v>
      </c>
      <c r="H1304" s="1707" t="s">
        <v>820</v>
      </c>
      <c r="I1304" s="1707" t="n">
        <f aca="false">M1293+M1294</f>
        <v>0</v>
      </c>
      <c r="J1304" s="1707"/>
      <c r="K1304" s="1707"/>
      <c r="L1304" s="1436"/>
      <c r="M1304" s="2146"/>
      <c r="N1304" s="2146"/>
      <c r="O1304" s="2147"/>
      <c r="P1304" s="1707"/>
      <c r="Q1304" s="2148"/>
      <c r="R1304" s="1617"/>
      <c r="S1304" s="1617"/>
      <c r="T1304" s="1617"/>
      <c r="U1304" s="1617"/>
      <c r="V1304" s="1617"/>
      <c r="W1304" s="1617"/>
      <c r="X1304" s="1617"/>
      <c r="Y1304" s="1617"/>
    </row>
    <row r="1305" customFormat="false" ht="15.75" hidden="true" customHeight="true" outlineLevel="1" collapsed="false">
      <c r="A1305" s="1995"/>
      <c r="B1305" s="2145"/>
      <c r="C1305" s="2145"/>
      <c r="D1305" s="2146"/>
      <c r="E1305" s="2147"/>
      <c r="F1305" s="1707"/>
      <c r="G1305" s="1707" t="s">
        <v>3725</v>
      </c>
      <c r="H1305" s="1707" t="s">
        <v>820</v>
      </c>
      <c r="I1305" s="1707" t="n">
        <f aca="false">M1296+M1297</f>
        <v>0</v>
      </c>
      <c r="J1305" s="1707"/>
      <c r="K1305" s="1707"/>
      <c r="L1305" s="1436"/>
      <c r="M1305" s="2146"/>
      <c r="N1305" s="2146"/>
      <c r="O1305" s="2147"/>
      <c r="P1305" s="1707"/>
      <c r="Q1305" s="2148"/>
      <c r="R1305" s="1617"/>
      <c r="S1305" s="1617"/>
      <c r="T1305" s="1617"/>
      <c r="U1305" s="1617"/>
      <c r="V1305" s="1617"/>
      <c r="W1305" s="1617"/>
      <c r="X1305" s="1617"/>
      <c r="Y1305" s="1617"/>
    </row>
    <row r="1306" customFormat="false" ht="15.75" hidden="true" customHeight="true" outlineLevel="1" collapsed="false">
      <c r="A1306" s="1995"/>
      <c r="B1306" s="2145"/>
      <c r="C1306" s="2145"/>
      <c r="D1306" s="2146"/>
      <c r="E1306" s="2147"/>
      <c r="F1306" s="1707"/>
      <c r="G1306" s="1707" t="s">
        <v>3726</v>
      </c>
      <c r="H1306" s="1707" t="s">
        <v>820</v>
      </c>
      <c r="I1306" s="1707" t="n">
        <f aca="false">M1299+M1300</f>
        <v>0</v>
      </c>
      <c r="J1306" s="1707"/>
      <c r="K1306" s="1707"/>
      <c r="L1306" s="1436"/>
      <c r="M1306" s="2146"/>
      <c r="N1306" s="2146"/>
      <c r="O1306" s="2147"/>
      <c r="P1306" s="1707"/>
      <c r="Q1306" s="2148"/>
      <c r="R1306" s="1617"/>
      <c r="S1306" s="1617"/>
      <c r="T1306" s="1617"/>
      <c r="U1306" s="1617"/>
      <c r="V1306" s="1617"/>
      <c r="W1306" s="1617"/>
      <c r="X1306" s="1617"/>
      <c r="Y1306" s="1617"/>
    </row>
    <row r="1307" customFormat="false" ht="15.75" hidden="true" customHeight="true" outlineLevel="1" collapsed="false">
      <c r="A1307" s="1995"/>
      <c r="B1307" s="2145"/>
      <c r="C1307" s="2145"/>
      <c r="D1307" s="2146"/>
      <c r="E1307" s="2147"/>
      <c r="F1307" s="1707"/>
      <c r="G1307" s="1707" t="s">
        <v>3727</v>
      </c>
      <c r="H1307" s="1707"/>
      <c r="I1307" s="1707" t="n">
        <f aca="false">L1290+L1291+L1292</f>
        <v>15</v>
      </c>
      <c r="J1307" s="1707"/>
      <c r="K1307" s="1707"/>
      <c r="L1307" s="1436"/>
      <c r="M1307" s="2146"/>
      <c r="N1307" s="2146"/>
      <c r="O1307" s="2147"/>
      <c r="P1307" s="1707"/>
      <c r="Q1307" s="2148"/>
      <c r="R1307" s="1617"/>
      <c r="S1307" s="1617"/>
      <c r="T1307" s="1617"/>
      <c r="U1307" s="1617"/>
      <c r="V1307" s="1617"/>
      <c r="W1307" s="1617"/>
      <c r="X1307" s="1617"/>
      <c r="Y1307" s="1617"/>
    </row>
    <row r="1308" customFormat="false" ht="15.75" hidden="true" customHeight="true" outlineLevel="1" collapsed="false">
      <c r="A1308" s="1995"/>
      <c r="B1308" s="2145"/>
      <c r="C1308" s="2145"/>
      <c r="D1308" s="2146"/>
      <c r="E1308" s="2147"/>
      <c r="F1308" s="1707"/>
      <c r="G1308" s="1707" t="s">
        <v>3728</v>
      </c>
      <c r="H1308" s="1707"/>
      <c r="I1308" s="1707" t="n">
        <f aca="false">L1293+L1294+L1295</f>
        <v>0</v>
      </c>
      <c r="J1308" s="1707"/>
      <c r="K1308" s="1707"/>
      <c r="L1308" s="1436"/>
      <c r="M1308" s="2146"/>
      <c r="N1308" s="2146"/>
      <c r="O1308" s="2147"/>
      <c r="P1308" s="1707"/>
      <c r="Q1308" s="2148"/>
      <c r="R1308" s="1617"/>
      <c r="S1308" s="1617"/>
      <c r="T1308" s="1617"/>
      <c r="U1308" s="1617"/>
      <c r="V1308" s="1617"/>
      <c r="W1308" s="1617"/>
      <c r="X1308" s="1617"/>
      <c r="Y1308" s="1617"/>
    </row>
    <row r="1309" customFormat="false" ht="15.75" hidden="true" customHeight="true" outlineLevel="1" collapsed="false">
      <c r="A1309" s="1995"/>
      <c r="B1309" s="2145"/>
      <c r="C1309" s="2145"/>
      <c r="D1309" s="2146"/>
      <c r="E1309" s="2147"/>
      <c r="F1309" s="1707"/>
      <c r="G1309" s="1707" t="s">
        <v>3727</v>
      </c>
      <c r="H1309" s="1707"/>
      <c r="I1309" s="1707" t="n">
        <f aca="false">L1296+L1297+L1298</f>
        <v>0</v>
      </c>
      <c r="J1309" s="1707"/>
      <c r="K1309" s="1707"/>
      <c r="L1309" s="1436"/>
      <c r="M1309" s="2146"/>
      <c r="N1309" s="2146"/>
      <c r="O1309" s="2147"/>
      <c r="P1309" s="1707"/>
      <c r="Q1309" s="2148"/>
      <c r="R1309" s="1617"/>
      <c r="S1309" s="1617"/>
      <c r="T1309" s="1617"/>
      <c r="U1309" s="1617"/>
      <c r="V1309" s="1617"/>
      <c r="W1309" s="1617"/>
      <c r="X1309" s="1617"/>
      <c r="Y1309" s="1617"/>
    </row>
    <row r="1310" customFormat="false" ht="15.75" hidden="true" customHeight="true" outlineLevel="1" collapsed="false">
      <c r="A1310" s="1995"/>
      <c r="B1310" s="2145"/>
      <c r="C1310" s="2145"/>
      <c r="D1310" s="2146"/>
      <c r="E1310" s="2147"/>
      <c r="F1310" s="1707"/>
      <c r="G1310" s="1707" t="s">
        <v>3728</v>
      </c>
      <c r="H1310" s="1707"/>
      <c r="I1310" s="1707" t="n">
        <f aca="false">L1299+L1300+L1301</f>
        <v>0</v>
      </c>
      <c r="J1310" s="1707"/>
      <c r="K1310" s="1707"/>
      <c r="L1310" s="1436"/>
      <c r="M1310" s="2146"/>
      <c r="N1310" s="2146"/>
      <c r="O1310" s="2147"/>
      <c r="P1310" s="1707"/>
      <c r="Q1310" s="2148"/>
      <c r="R1310" s="1617"/>
      <c r="S1310" s="1617"/>
      <c r="T1310" s="1617"/>
      <c r="U1310" s="1617"/>
      <c r="V1310" s="1617"/>
      <c r="W1310" s="1617"/>
      <c r="X1310" s="1617"/>
      <c r="Y1310" s="1617"/>
    </row>
    <row r="1311" customFormat="false" ht="15.75" hidden="true" customHeight="true" outlineLevel="1" collapsed="false">
      <c r="A1311" s="1780" t="s">
        <v>364</v>
      </c>
      <c r="B1311" s="2139" t="s">
        <v>1097</v>
      </c>
      <c r="C1311" s="2139" t="s">
        <v>1149</v>
      </c>
      <c r="D1311" s="1780" t="s">
        <v>118</v>
      </c>
      <c r="E1311" s="1780"/>
      <c r="F1311" s="1780" t="s">
        <v>3729</v>
      </c>
      <c r="G1311" s="1780" t="s">
        <v>1839</v>
      </c>
      <c r="H1311" s="1780"/>
      <c r="I1311" s="2140" t="s">
        <v>116</v>
      </c>
      <c r="J1311" s="1780" t="s">
        <v>137</v>
      </c>
      <c r="K1311" s="1780" t="s">
        <v>118</v>
      </c>
      <c r="L1311" s="1780"/>
      <c r="M1311" s="1780"/>
      <c r="N1311" s="1780"/>
      <c r="O1311" s="1780"/>
      <c r="P1311" s="1780" t="s">
        <v>3721</v>
      </c>
      <c r="Q1311" s="1747"/>
      <c r="R1311" s="1617"/>
      <c r="S1311" s="1617"/>
      <c r="T1311" s="1617"/>
      <c r="U1311" s="1617"/>
      <c r="V1311" s="1617"/>
      <c r="W1311" s="1617"/>
      <c r="X1311" s="1617"/>
      <c r="Y1311" s="1617"/>
    </row>
    <row r="1312" customFormat="false" ht="15.75" hidden="true" customHeight="true" outlineLevel="1" collapsed="false">
      <c r="A1312" s="1714" t="s">
        <v>364</v>
      </c>
      <c r="B1312" s="2141"/>
      <c r="C1312" s="2141"/>
      <c r="D1312" s="2142"/>
      <c r="E1312" s="2142"/>
      <c r="F1312" s="1707" t="n">
        <f aca="false">B1312*C1312*D1312</f>
        <v>0</v>
      </c>
      <c r="G1312" s="1707" t="s">
        <v>3730</v>
      </c>
      <c r="H1312" s="1707"/>
      <c r="I1312" s="2144" t="n">
        <f aca="false">B74</f>
        <v>0.8</v>
      </c>
      <c r="J1312" s="2142" t="n">
        <f aca="false">C74</f>
        <v>2</v>
      </c>
      <c r="K1312" s="2142" t="n">
        <f aca="false">D74</f>
        <v>0</v>
      </c>
      <c r="L1312" s="2142"/>
      <c r="M1312" s="2142"/>
      <c r="N1312" s="2142"/>
      <c r="O1312" s="1707"/>
      <c r="P1312" s="1707" t="n">
        <f aca="false">I1312*J1312*K1312</f>
        <v>0</v>
      </c>
      <c r="Q1312" s="2148"/>
      <c r="R1312" s="1617"/>
      <c r="S1312" s="1617"/>
      <c r="T1312" s="1617"/>
      <c r="U1312" s="1617"/>
      <c r="V1312" s="1617"/>
      <c r="W1312" s="1617"/>
      <c r="X1312" s="1617"/>
      <c r="Y1312" s="1617"/>
    </row>
    <row r="1313" customFormat="false" ht="15.75" hidden="true" customHeight="true" outlineLevel="1" collapsed="false">
      <c r="A1313" s="1714"/>
      <c r="B1313" s="1958"/>
      <c r="C1313" s="1958"/>
      <c r="D1313" s="1714"/>
      <c r="E1313" s="1714"/>
      <c r="F1313" s="1707"/>
      <c r="G1313" s="1707" t="s">
        <v>918</v>
      </c>
      <c r="H1313" s="1707"/>
      <c r="I1313" s="2144" t="n">
        <f aca="false">B75</f>
        <v>0.9</v>
      </c>
      <c r="J1313" s="2142" t="n">
        <f aca="false">C75</f>
        <v>2.1</v>
      </c>
      <c r="K1313" s="2142" t="n">
        <f aca="false">D75</f>
        <v>1</v>
      </c>
      <c r="L1313" s="2142"/>
      <c r="M1313" s="2142"/>
      <c r="N1313" s="2142"/>
      <c r="O1313" s="1707"/>
      <c r="P1313" s="1707" t="n">
        <f aca="false">I1313*J1313*K1313</f>
        <v>1.89</v>
      </c>
      <c r="Q1313" s="2148"/>
      <c r="R1313" s="1617"/>
      <c r="S1313" s="1617"/>
      <c r="T1313" s="1617"/>
      <c r="U1313" s="1617"/>
      <c r="V1313" s="1617"/>
      <c r="W1313" s="1617"/>
      <c r="X1313" s="1617"/>
      <c r="Y1313" s="1617"/>
    </row>
    <row r="1314" customFormat="false" ht="15.75" hidden="true" customHeight="true" outlineLevel="1" collapsed="false">
      <c r="A1314" s="1714"/>
      <c r="B1314" s="1958"/>
      <c r="C1314" s="1958"/>
      <c r="D1314" s="1714"/>
      <c r="E1314" s="1714"/>
      <c r="F1314" s="1707"/>
      <c r="G1314" s="1707"/>
      <c r="H1314" s="1707"/>
      <c r="I1314" s="2144" t="n">
        <f aca="false">B76</f>
        <v>1</v>
      </c>
      <c r="J1314" s="2142" t="n">
        <f aca="false">C76</f>
        <v>2</v>
      </c>
      <c r="K1314" s="2142" t="n">
        <f aca="false">D76</f>
        <v>0</v>
      </c>
      <c r="L1314" s="2142"/>
      <c r="M1314" s="2142"/>
      <c r="N1314" s="2142"/>
      <c r="O1314" s="1707"/>
      <c r="P1314" s="1707" t="n">
        <f aca="false">I1314*J1314*K1314</f>
        <v>0</v>
      </c>
      <c r="Q1314" s="2148"/>
      <c r="R1314" s="1617"/>
      <c r="S1314" s="1617"/>
      <c r="T1314" s="1617"/>
      <c r="U1314" s="1617"/>
      <c r="V1314" s="1617"/>
      <c r="W1314" s="1617"/>
      <c r="X1314" s="1617"/>
      <c r="Y1314" s="1617"/>
    </row>
    <row r="1315" customFormat="false" ht="15.75" hidden="true" customHeight="true" outlineLevel="1" collapsed="false">
      <c r="A1315" s="2004" t="s">
        <v>3731</v>
      </c>
      <c r="B1315" s="2149"/>
      <c r="C1315" s="2149"/>
      <c r="D1315" s="2150"/>
      <c r="E1315" s="2151"/>
      <c r="F1315" s="1714" t="n">
        <f aca="false">F1312</f>
        <v>0</v>
      </c>
      <c r="G1315" s="1995" t="s">
        <v>3732</v>
      </c>
      <c r="H1315" s="2146"/>
      <c r="I1315" s="2152"/>
      <c r="J1315" s="2146"/>
      <c r="K1315" s="2146"/>
      <c r="L1315" s="2146"/>
      <c r="M1315" s="2146"/>
      <c r="N1315" s="2146"/>
      <c r="O1315" s="2147"/>
      <c r="P1315" s="1707" t="n">
        <f aca="false">SUM(P1312:P1313)</f>
        <v>1.89</v>
      </c>
      <c r="Q1315" s="2148"/>
      <c r="R1315" s="1734"/>
      <c r="S1315" s="1734"/>
      <c r="T1315" s="1734"/>
      <c r="U1315" s="1734"/>
      <c r="V1315" s="1734"/>
      <c r="W1315" s="1734"/>
      <c r="X1315" s="1734"/>
      <c r="Y1315" s="1617"/>
    </row>
    <row r="1316" customFormat="false" ht="15.75" hidden="false" customHeight="true" outlineLevel="0" collapsed="false">
      <c r="A1316" s="2153" t="s">
        <v>3733</v>
      </c>
      <c r="B1316" s="2154"/>
      <c r="C1316" s="2154"/>
      <c r="D1316" s="2155"/>
      <c r="E1316" s="2155"/>
      <c r="F1316" s="2071"/>
      <c r="G1316" s="2155"/>
      <c r="H1316" s="2155"/>
      <c r="I1316" s="2155"/>
      <c r="J1316" s="2155"/>
      <c r="K1316" s="2155"/>
      <c r="L1316" s="2155"/>
      <c r="M1316" s="2155"/>
      <c r="N1316" s="2155"/>
      <c r="O1316" s="2155"/>
      <c r="P1316" s="2071"/>
      <c r="Q1316" s="2156"/>
      <c r="R1316" s="2071"/>
      <c r="S1316" s="2071"/>
      <c r="T1316" s="2071"/>
      <c r="U1316" s="2071"/>
      <c r="V1316" s="2071"/>
      <c r="W1316" s="2157"/>
      <c r="X1316" s="2157"/>
      <c r="Y1316" s="1747"/>
    </row>
    <row r="1317" customFormat="false" ht="15.75" hidden="true" customHeight="true" outlineLevel="1" collapsed="false">
      <c r="A1317" s="2134" t="s">
        <v>3734</v>
      </c>
      <c r="B1317" s="2135"/>
      <c r="C1317" s="2135"/>
      <c r="D1317" s="2136"/>
      <c r="E1317" s="2136"/>
      <c r="F1317" s="2136"/>
      <c r="G1317" s="2136"/>
      <c r="H1317" s="2136"/>
      <c r="I1317" s="2138"/>
      <c r="J1317" s="2137"/>
      <c r="K1317" s="2158"/>
      <c r="L1317" s="2158"/>
      <c r="M1317" s="2158"/>
      <c r="N1317" s="2158"/>
      <c r="O1317" s="2158"/>
      <c r="P1317" s="2157"/>
      <c r="Q1317" s="2148"/>
      <c r="R1317" s="2157"/>
      <c r="S1317" s="2157"/>
      <c r="T1317" s="2157"/>
      <c r="U1317" s="2157"/>
      <c r="V1317" s="2157"/>
      <c r="W1317" s="2157"/>
      <c r="X1317" s="2157"/>
      <c r="Y1317" s="1747"/>
    </row>
    <row r="1318" customFormat="false" ht="15.75" hidden="true" customHeight="true" outlineLevel="1" collapsed="false">
      <c r="A1318" s="1780" t="s">
        <v>46</v>
      </c>
      <c r="B1318" s="2139" t="s">
        <v>2406</v>
      </c>
      <c r="C1318" s="2139" t="s">
        <v>116</v>
      </c>
      <c r="D1318" s="1780" t="s">
        <v>200</v>
      </c>
      <c r="E1318" s="1780" t="s">
        <v>293</v>
      </c>
      <c r="F1318" s="1780" t="s">
        <v>235</v>
      </c>
      <c r="G1318" s="2159" t="s">
        <v>3735</v>
      </c>
      <c r="H1318" s="2159"/>
      <c r="I1318" s="2160" t="s">
        <v>3736</v>
      </c>
      <c r="J1318" s="2161"/>
      <c r="K1318" s="1617"/>
      <c r="L1318" s="1617"/>
      <c r="M1318" s="1617"/>
      <c r="N1318" s="1617"/>
      <c r="O1318" s="1734"/>
      <c r="P1318" s="1734"/>
      <c r="Q1318" s="1747"/>
      <c r="R1318" s="1734"/>
      <c r="S1318" s="1734"/>
      <c r="T1318" s="1734"/>
      <c r="U1318" s="1734"/>
      <c r="V1318" s="1734"/>
      <c r="W1318" s="2157"/>
      <c r="X1318" s="2157"/>
      <c r="Y1318" s="1617"/>
    </row>
    <row r="1319" customFormat="false" ht="15.75" hidden="true" customHeight="true" outlineLevel="1" collapsed="false">
      <c r="A1319" s="1707" t="s">
        <v>3737</v>
      </c>
      <c r="B1319" s="2162" t="n">
        <f aca="false">C15</f>
        <v>2</v>
      </c>
      <c r="C1319" s="2162" t="n">
        <f aca="false">C16</f>
        <v>8</v>
      </c>
      <c r="D1319" s="2163" t="n">
        <f aca="false">C17</f>
        <v>8</v>
      </c>
      <c r="E1319" s="2163" t="n">
        <f aca="false">C18</f>
        <v>2.8</v>
      </c>
      <c r="F1319" s="2163" t="n">
        <f aca="false">C23</f>
        <v>1.6</v>
      </c>
      <c r="G1319" s="2163" t="n">
        <f aca="false">C21</f>
        <v>2.6</v>
      </c>
      <c r="H1319" s="2163"/>
      <c r="I1319" s="2164" t="n">
        <f aca="false">C22</f>
        <v>5</v>
      </c>
      <c r="J1319" s="2165"/>
      <c r="K1319" s="1617"/>
      <c r="L1319" s="1617"/>
      <c r="M1319" s="1617"/>
      <c r="N1319" s="1617"/>
      <c r="O1319" s="1734"/>
      <c r="P1319" s="1734"/>
      <c r="Q1319" s="1747"/>
      <c r="R1319" s="1734"/>
      <c r="S1319" s="1734"/>
      <c r="T1319" s="1734"/>
      <c r="U1319" s="1734"/>
      <c r="V1319" s="1734"/>
      <c r="W1319" s="2157"/>
      <c r="X1319" s="2157"/>
      <c r="Y1319" s="1617"/>
    </row>
    <row r="1320" customFormat="false" ht="15.75" hidden="true" customHeight="true" outlineLevel="1" collapsed="false">
      <c r="A1320" s="2166" t="s">
        <v>161</v>
      </c>
      <c r="B1320" s="2167" t="s">
        <v>12</v>
      </c>
      <c r="C1320" s="2168" t="s">
        <v>3738</v>
      </c>
      <c r="D1320" s="2166" t="s">
        <v>118</v>
      </c>
      <c r="E1320" s="2166" t="s">
        <v>3739</v>
      </c>
      <c r="F1320" s="1436" t="str">
        <f aca="false">'Ввод данных'!E201</f>
        <v>Высота L1</v>
      </c>
      <c r="G1320" s="1436" t="str">
        <f aca="false">'Ввод данных'!F201</f>
        <v>Высота L2</v>
      </c>
      <c r="H1320" s="1436"/>
      <c r="I1320" s="1180" t="s">
        <v>3740</v>
      </c>
      <c r="J1320" s="1180" t="s">
        <v>3741</v>
      </c>
      <c r="K1320" s="2169" t="s">
        <v>161</v>
      </c>
      <c r="L1320" s="1436"/>
      <c r="M1320" s="2166" t="s">
        <v>2240</v>
      </c>
      <c r="N1320" s="2166" t="s">
        <v>3742</v>
      </c>
      <c r="O1320" s="2166" t="s">
        <v>118</v>
      </c>
      <c r="P1320" s="2166" t="s">
        <v>3721</v>
      </c>
      <c r="Q1320" s="1436" t="str">
        <f aca="false">'Ввод данных'!E201</f>
        <v>Высота L1</v>
      </c>
      <c r="R1320" s="1436" t="str">
        <f aca="false">'Ввод данных'!F201</f>
        <v>Высота L2</v>
      </c>
      <c r="S1320" s="2166" t="s">
        <v>3743</v>
      </c>
      <c r="T1320" s="1180" t="s">
        <v>3741</v>
      </c>
      <c r="U1320" s="1619"/>
      <c r="V1320" s="1734"/>
      <c r="W1320" s="2157"/>
      <c r="X1320" s="2157"/>
      <c r="Y1320" s="1734"/>
    </row>
    <row r="1321" customFormat="false" ht="15.75" hidden="true" customHeight="true" outlineLevel="1" collapsed="false">
      <c r="A1321" s="2059" t="s">
        <v>3744</v>
      </c>
      <c r="B1321" s="2064" t="s">
        <v>15</v>
      </c>
      <c r="C1321" s="2170" t="n">
        <f aca="false">'Ввод данных'!C202</f>
        <v>6</v>
      </c>
      <c r="D1321" s="2170" t="n">
        <f aca="false">'Ввод данных'!D202</f>
        <v>2</v>
      </c>
      <c r="E1321" s="1707" t="n">
        <f aca="false">J1321</f>
        <v>33.6</v>
      </c>
      <c r="F1321" s="1436" t="n">
        <f aca="false">'Ввод данных'!E202</f>
        <v>0</v>
      </c>
      <c r="G1321" s="1436" t="n">
        <f aca="false">'Ввод данных'!F202</f>
        <v>0</v>
      </c>
      <c r="H1321" s="1436"/>
      <c r="I1321" s="1436" t="n">
        <f aca="false">$I$1194</f>
        <v>3.17250315099132</v>
      </c>
      <c r="J1321" s="1436" t="n">
        <f aca="false">(IF('Ввод данных'!$A$17=связи1!$A$97,(C1321)*F1321+(C1321*(G1321-F1321)/2),0)+IF('Ввод данных'!$A$17=связи1!$A$94,'Ввод данных'!$C$11*дома!C1321,0)+IF('Ввод данных'!$A$17=связи1!$A$95,'Ввод данных'!$C$11*дома!C1321,0)+IF('Ввод данных'!$A$17=связи1!$A$96,'Ввод данных'!$C$11*дома!C1321,0)+IF('Ввод данных'!$A$17=связи1!$A$98,'Ввод данных'!$C$11*дома!C1321,0))*D1321</f>
        <v>33.6</v>
      </c>
      <c r="K1321" s="2171" t="s">
        <v>3745</v>
      </c>
      <c r="L1321" s="2171"/>
      <c r="M1321" s="1707" t="s">
        <v>15</v>
      </c>
      <c r="N1321" s="2142" t="n">
        <f aca="false">'Ввод данных'!C218</f>
        <v>3.5</v>
      </c>
      <c r="O1321" s="2142" t="n">
        <f aca="false">'Ввод данных'!D218</f>
        <v>1</v>
      </c>
      <c r="P1321" s="1707" t="n">
        <f aca="false">T1321</f>
        <v>5.775</v>
      </c>
      <c r="Q1321" s="1436" t="n">
        <f aca="false">'Ввод данных'!E218</f>
        <v>1.1</v>
      </c>
      <c r="R1321" s="1436" t="n">
        <f aca="false">'Ввод данных'!F218</f>
        <v>2.2</v>
      </c>
      <c r="S1321" s="2142" t="n">
        <f aca="false">$I$1194</f>
        <v>3.17250315099132</v>
      </c>
      <c r="T1321" s="1436" t="n">
        <f aca="false">(IF('Ввод данных'!$A$17=связи1!$A$96,(N1321)*Q1321+(N1321*(R1321-Q1321)/2),0)+IF('Ввод данных'!$A$17=связи1!$A$94,0,0)+IF('Ввод данных'!$A$17=связи1!$A$95,'Ввод данных'!$C$12*дома!N1321,0)+IF('Ввод данных'!$A$17=связи1!$A$97,0,0)+IF('Ввод данных'!$A$17=связи1!$A$98,(дома!N1321-дома!S1321)*(дома!R1321-дома!Q1321)+дома!N1321*дома!Q1321+дома!S1321*(дома!R1321-дома!Q1321)/2,0))*дома!O1321</f>
        <v>5.775</v>
      </c>
      <c r="U1321" s="1619"/>
      <c r="V1321" s="1734"/>
      <c r="W1321" s="2157"/>
      <c r="X1321" s="2157"/>
      <c r="Y1321" s="1734"/>
    </row>
    <row r="1322" customFormat="false" ht="15.75" hidden="true" customHeight="true" outlineLevel="1" collapsed="false">
      <c r="A1322" s="2172"/>
      <c r="B1322" s="2064" t="s">
        <v>15</v>
      </c>
      <c r="C1322" s="2170" t="n">
        <f aca="false">'Ввод данных'!C203</f>
        <v>4</v>
      </c>
      <c r="D1322" s="2170" t="n">
        <f aca="false">'Ввод данных'!D203</f>
        <v>1</v>
      </c>
      <c r="E1322" s="1707" t="n">
        <f aca="false">J1322</f>
        <v>11.2</v>
      </c>
      <c r="F1322" s="1436" t="n">
        <f aca="false">'Ввод данных'!E203</f>
        <v>0</v>
      </c>
      <c r="G1322" s="1436" t="n">
        <f aca="false">'Ввод данных'!F203</f>
        <v>0</v>
      </c>
      <c r="H1322" s="1436"/>
      <c r="I1322" s="1436" t="n">
        <f aca="false">$I$1194</f>
        <v>3.17250315099132</v>
      </c>
      <c r="J1322" s="1436" t="n">
        <f aca="false">(IF('Ввод данных'!$A$17=связи1!$A$97,(C1322)*F1322+(C1322*(G1322-F1322)/2),0)+IF('Ввод данных'!$A$17=связи1!$A$94,'Ввод данных'!$C$11*дома!C1322,0)+IF('Ввод данных'!$A$17=связи1!$A$95,'Ввод данных'!$C$11*дома!C1322,0)+IF('Ввод данных'!$A$17=связи1!$A$96,'Ввод данных'!$C$11*дома!C1322,0)+IF('Ввод данных'!$A$17=связи1!$A$98,'Ввод данных'!$C$11*дома!C1322,0))*D1322</f>
        <v>11.2</v>
      </c>
      <c r="K1322" s="2171"/>
      <c r="L1322" s="2171"/>
      <c r="M1322" s="1707" t="s">
        <v>15</v>
      </c>
      <c r="N1322" s="2142" t="n">
        <f aca="false">'Ввод данных'!C219</f>
        <v>0</v>
      </c>
      <c r="O1322" s="2142" t="n">
        <f aca="false">'Ввод данных'!D219</f>
        <v>0</v>
      </c>
      <c r="P1322" s="1707" t="n">
        <f aca="false">T1322</f>
        <v>0</v>
      </c>
      <c r="Q1322" s="1436" t="n">
        <f aca="false">'Ввод данных'!E219</f>
        <v>0</v>
      </c>
      <c r="R1322" s="1436" t="n">
        <f aca="false">'Ввод данных'!F219</f>
        <v>0</v>
      </c>
      <c r="S1322" s="2142" t="n">
        <f aca="false">$I$1194</f>
        <v>3.17250315099132</v>
      </c>
      <c r="T1322" s="1436" t="n">
        <f aca="false">(IF('Ввод данных'!$A$17=связи1!$A$96,(N1322)*Q1322+(N1322*(R1322-Q1322)/2),0)+IF('Ввод данных'!$A$17=связи1!$A$94,0,0)+IF('Ввод данных'!$A$17=связи1!$A$95,'Ввод данных'!$C$12*дома!N1322,0)+IF('Ввод данных'!$A$17=связи1!$A$97,0,0)+IF('Ввод данных'!$A$17=связи1!$A$98,(дома!N1322-дома!S1322)*(дома!R1322-дома!Q1322)+дома!N1322*дома!Q1322+дома!S1322*(дома!R1322-дома!Q1322)/2,0))*дома!O1322</f>
        <v>0</v>
      </c>
      <c r="U1322" s="1619"/>
      <c r="V1322" s="1734"/>
      <c r="W1322" s="2157"/>
      <c r="X1322" s="2157"/>
      <c r="Y1322" s="1734"/>
    </row>
    <row r="1323" customFormat="false" ht="15.75" hidden="true" customHeight="true" outlineLevel="1" collapsed="false">
      <c r="A1323" s="2172"/>
      <c r="B1323" s="2064" t="s">
        <v>15</v>
      </c>
      <c r="C1323" s="2170" t="n">
        <f aca="false">'Ввод данных'!C204</f>
        <v>0</v>
      </c>
      <c r="D1323" s="2170" t="n">
        <f aca="false">'Ввод данных'!D204</f>
        <v>0</v>
      </c>
      <c r="E1323" s="1707" t="n">
        <f aca="false">J1323</f>
        <v>0</v>
      </c>
      <c r="F1323" s="1436" t="n">
        <f aca="false">'Ввод данных'!E204</f>
        <v>0</v>
      </c>
      <c r="G1323" s="1436" t="n">
        <f aca="false">'Ввод данных'!F204</f>
        <v>0</v>
      </c>
      <c r="H1323" s="1436"/>
      <c r="I1323" s="1436" t="n">
        <f aca="false">$I$1194</f>
        <v>3.17250315099132</v>
      </c>
      <c r="J1323" s="1436" t="n">
        <f aca="false">(IF('Ввод данных'!$A$17=связи1!$A$97,(C1323)*F1323+(C1323*(G1323-F1323)/2),0)+IF('Ввод данных'!$A$17=связи1!$A$94,'Ввод данных'!$C$11*дома!C1323,0)+IF('Ввод данных'!$A$17=связи1!$A$95,'Ввод данных'!$C$11*дома!C1323,0)+IF('Ввод данных'!$A$17=связи1!$A$96,'Ввод данных'!$C$11*дома!C1323,0)+IF('Ввод данных'!$A$17=связи1!$A$98,'Ввод данных'!$C$11*дома!C1323,0))*D1323</f>
        <v>0</v>
      </c>
      <c r="K1323" s="2171"/>
      <c r="L1323" s="2171"/>
      <c r="M1323" s="1707" t="s">
        <v>15</v>
      </c>
      <c r="N1323" s="2142" t="n">
        <f aca="false">'Ввод данных'!C220</f>
        <v>0</v>
      </c>
      <c r="O1323" s="2142" t="n">
        <f aca="false">'Ввод данных'!D220</f>
        <v>0</v>
      </c>
      <c r="P1323" s="1707" t="n">
        <f aca="false">T1323</f>
        <v>0</v>
      </c>
      <c r="Q1323" s="1436" t="n">
        <f aca="false">'Ввод данных'!E220</f>
        <v>0</v>
      </c>
      <c r="R1323" s="1436" t="n">
        <f aca="false">'Ввод данных'!F220</f>
        <v>0</v>
      </c>
      <c r="S1323" s="2142" t="n">
        <f aca="false">$I$1194</f>
        <v>3.17250315099132</v>
      </c>
      <c r="T1323" s="1436" t="n">
        <f aca="false">(IF('Ввод данных'!$A$17=связи1!$A$96,(N1323)*Q1323+(N1323*(R1323-Q1323)/2),0)+IF('Ввод данных'!$A$17=связи1!$A$94,0,0)+IF('Ввод данных'!$A$17=связи1!$A$95,'Ввод данных'!$C$12*дома!N1323,0)+IF('Ввод данных'!$A$17=связи1!$A$97,0,0)+IF('Ввод данных'!$A$17=связи1!$A$98,(дома!N1323-дома!S1323)*(дома!R1323-дома!Q1323)+дома!N1323*дома!Q1323+дома!S1323*(дома!R1323-дома!Q1323)/2,0))*дома!O1323</f>
        <v>0</v>
      </c>
      <c r="U1323" s="1619"/>
      <c r="V1323" s="1734"/>
      <c r="W1323" s="2157"/>
      <c r="X1323" s="2157"/>
      <c r="Y1323" s="1734"/>
    </row>
    <row r="1324" customFormat="false" ht="15.75" hidden="true" customHeight="true" outlineLevel="1" collapsed="false">
      <c r="A1324" s="2173"/>
      <c r="B1324" s="2064"/>
      <c r="C1324" s="2170" t="n">
        <f aca="false">'Ввод данных'!C205</f>
        <v>0</v>
      </c>
      <c r="D1324" s="2170" t="n">
        <f aca="false">'Ввод данных'!D205</f>
        <v>0</v>
      </c>
      <c r="E1324" s="1707" t="n">
        <f aca="false">J1324</f>
        <v>0</v>
      </c>
      <c r="F1324" s="1436" t="n">
        <f aca="false">'Ввод данных'!E205</f>
        <v>0</v>
      </c>
      <c r="G1324" s="1436" t="n">
        <f aca="false">'Ввод данных'!F205</f>
        <v>0</v>
      </c>
      <c r="H1324" s="1436"/>
      <c r="I1324" s="1436" t="n">
        <f aca="false">$I$1194</f>
        <v>3.17250315099132</v>
      </c>
      <c r="J1324" s="1436" t="n">
        <f aca="false">(IF('Ввод данных'!$A$17=связи1!$A$97,(C1324)*F1324+(C1324*(G1324-F1324)/2),0)+IF('Ввод данных'!$A$17=связи1!$A$94,'Ввод данных'!$C$11*дома!C1324,0)+IF('Ввод данных'!$A$17=связи1!$A$95,'Ввод данных'!$C$11*дома!C1324,0)+IF('Ввод данных'!$A$17=связи1!$A$96,'Ввод данных'!$C$11*дома!C1324,0)+IF('Ввод данных'!$A$17=связи1!$A$98,'Ввод данных'!$C$11*дома!C1324,0))*D1324</f>
        <v>0</v>
      </c>
      <c r="K1324" s="2171"/>
      <c r="L1324" s="2171"/>
      <c r="M1324" s="1707" t="s">
        <v>15</v>
      </c>
      <c r="N1324" s="2142" t="n">
        <f aca="false">'Ввод данных'!C221</f>
        <v>0</v>
      </c>
      <c r="O1324" s="2142" t="n">
        <f aca="false">'Ввод данных'!D221</f>
        <v>0</v>
      </c>
      <c r="P1324" s="1707" t="n">
        <f aca="false">T1324</f>
        <v>0</v>
      </c>
      <c r="Q1324" s="1436" t="n">
        <f aca="false">'Ввод данных'!E221</f>
        <v>0</v>
      </c>
      <c r="R1324" s="1436" t="n">
        <f aca="false">'Ввод данных'!F221</f>
        <v>0</v>
      </c>
      <c r="S1324" s="2142" t="n">
        <f aca="false">$I$1194</f>
        <v>3.17250315099132</v>
      </c>
      <c r="T1324" s="1436" t="n">
        <f aca="false">(IF('Ввод данных'!$A$17=связи1!$A$96,(N1324)*Q1324+(N1324*(R1324-Q1324)/2),0)+IF('Ввод данных'!$A$17=связи1!$A$94,0,0)+IF('Ввод данных'!$A$17=связи1!$A$95,'Ввод данных'!$C$12*дома!N1324,0)+IF('Ввод данных'!$A$17=связи1!$A$97,0,0)+IF('Ввод данных'!$A$17=связи1!$A$98,(дома!N1324-дома!S1324)*(дома!R1324-дома!Q1324)+дома!N1324*дома!Q1324+дома!S1324*(дома!R1324-дома!Q1324)/2,0))*дома!O1324</f>
        <v>0</v>
      </c>
      <c r="U1324" s="1619"/>
      <c r="V1324" s="1734"/>
      <c r="W1324" s="2157"/>
      <c r="X1324" s="2157"/>
      <c r="Y1324" s="1734"/>
    </row>
    <row r="1325" customFormat="false" ht="15.75" hidden="true" customHeight="true" outlineLevel="1" collapsed="false">
      <c r="A1325" s="2059" t="s">
        <v>3746</v>
      </c>
      <c r="B1325" s="2064"/>
      <c r="C1325" s="2170" t="n">
        <f aca="false">'Ввод данных'!C206</f>
        <v>1.8</v>
      </c>
      <c r="D1325" s="2170" t="n">
        <f aca="false">'Ввод данных'!D206</f>
        <v>1</v>
      </c>
      <c r="E1325" s="1707" t="n">
        <f aca="false">J1325</f>
        <v>5.04</v>
      </c>
      <c r="F1325" s="1436" t="n">
        <f aca="false">'Ввод данных'!E206</f>
        <v>0</v>
      </c>
      <c r="G1325" s="1436" t="n">
        <f aca="false">'Ввод данных'!F206</f>
        <v>0</v>
      </c>
      <c r="H1325" s="1436"/>
      <c r="I1325" s="1436" t="n">
        <f aca="false">$I$1194</f>
        <v>3.17250315099132</v>
      </c>
      <c r="J1325" s="1436" t="n">
        <f aca="false">(IF('Ввод данных'!$A$17=связи1!$A$97,(C1325)*F1325+(C1325*(G1325-F1325)/2),0)+IF('Ввод данных'!$A$17=связи1!$A$94,'Ввод данных'!$C$11*дома!C1325,0)+IF('Ввод данных'!$A$17=связи1!$A$95,'Ввод данных'!$C$11*дома!C1325,0)+IF('Ввод данных'!$A$17=связи1!$A$96,'Ввод данных'!$C$11*дома!C1325,0)+IF('Ввод данных'!$A$17=связи1!$A$98,'Ввод данных'!$C$11*дома!C1325,0))*D1325</f>
        <v>5.04</v>
      </c>
      <c r="K1325" s="2171" t="s">
        <v>3747</v>
      </c>
      <c r="L1325" s="2171"/>
      <c r="M1325" s="1707" t="s">
        <v>15</v>
      </c>
      <c r="N1325" s="2142" t="n">
        <f aca="false">'Ввод данных'!C222</f>
        <v>0</v>
      </c>
      <c r="O1325" s="2142" t="n">
        <f aca="false">'Ввод данных'!D222</f>
        <v>0</v>
      </c>
      <c r="P1325" s="1707" t="n">
        <f aca="false">T1325</f>
        <v>0</v>
      </c>
      <c r="Q1325" s="1436" t="n">
        <f aca="false">'Ввод данных'!E222</f>
        <v>0</v>
      </c>
      <c r="R1325" s="1436" t="n">
        <f aca="false">'Ввод данных'!F222</f>
        <v>0</v>
      </c>
      <c r="S1325" s="2142" t="n">
        <f aca="false">$I$1194</f>
        <v>3.17250315099132</v>
      </c>
      <c r="T1325" s="1436" t="n">
        <f aca="false">(IF('Ввод данных'!$A$17=связи1!$A$96,(N1325)*Q1325+(N1325*(R1325-Q1325)/2),0)+IF('Ввод данных'!$A$17=связи1!$A$94,0,0)+IF('Ввод данных'!$A$17=связи1!$A$95,'Ввод данных'!$C$12*дома!N1325,0)+IF('Ввод данных'!$A$17=связи1!$A$97,0,0)+IF('Ввод данных'!$A$17=связи1!$A$98,(дома!N1325-дома!S1325)*(дома!R1325-дома!Q1325)+дома!N1325*дома!Q1325+дома!S1325*(дома!R1325-дома!Q1325)/2,0))*дома!O1325</f>
        <v>0</v>
      </c>
      <c r="U1325" s="1619"/>
      <c r="V1325" s="1734"/>
      <c r="W1325" s="2157"/>
      <c r="X1325" s="2157"/>
      <c r="Y1325" s="1734"/>
    </row>
    <row r="1326" customFormat="false" ht="15.75" hidden="true" customHeight="true" outlineLevel="1" collapsed="false">
      <c r="A1326" s="2172"/>
      <c r="B1326" s="2064"/>
      <c r="C1326" s="2170" t="n">
        <f aca="false">'Ввод данных'!C207</f>
        <v>0</v>
      </c>
      <c r="D1326" s="2170" t="n">
        <f aca="false">'Ввод данных'!D207</f>
        <v>0</v>
      </c>
      <c r="E1326" s="1707" t="n">
        <f aca="false">J1326</f>
        <v>0</v>
      </c>
      <c r="F1326" s="1436" t="n">
        <f aca="false">'Ввод данных'!E207</f>
        <v>0</v>
      </c>
      <c r="G1326" s="1436" t="n">
        <f aca="false">'Ввод данных'!F207</f>
        <v>0</v>
      </c>
      <c r="H1326" s="1436"/>
      <c r="I1326" s="1436" t="n">
        <f aca="false">$I$1194</f>
        <v>3.17250315099132</v>
      </c>
      <c r="J1326" s="1436" t="n">
        <f aca="false">(IF('Ввод данных'!$A$17=связи1!$A$97,(C1326)*F1326+(C1326*(G1326-F1326)/2),0)+IF('Ввод данных'!$A$17=связи1!$A$94,'Ввод данных'!$C$11*дома!C1326,0)+IF('Ввод данных'!$A$17=связи1!$A$95,'Ввод данных'!$C$11*дома!C1326,0)+IF('Ввод данных'!$A$17=связи1!$A$96,'Ввод данных'!$C$11*дома!C1326,0)+IF('Ввод данных'!$A$17=связи1!$A$98,'Ввод данных'!$C$11*дома!C1326,0))*D1326</f>
        <v>0</v>
      </c>
      <c r="K1326" s="2171"/>
      <c r="L1326" s="2171"/>
      <c r="M1326" s="1707" t="s">
        <v>15</v>
      </c>
      <c r="N1326" s="2142" t="n">
        <f aca="false">'Ввод данных'!C223</f>
        <v>0</v>
      </c>
      <c r="O1326" s="2142" t="n">
        <f aca="false">'Ввод данных'!D223</f>
        <v>0</v>
      </c>
      <c r="P1326" s="1707" t="n">
        <f aca="false">T1326</f>
        <v>0</v>
      </c>
      <c r="Q1326" s="1436" t="n">
        <f aca="false">'Ввод данных'!E223</f>
        <v>0</v>
      </c>
      <c r="R1326" s="1436" t="n">
        <f aca="false">'Ввод данных'!F223</f>
        <v>0</v>
      </c>
      <c r="S1326" s="2142" t="n">
        <f aca="false">$I$1194</f>
        <v>3.17250315099132</v>
      </c>
      <c r="T1326" s="1436" t="n">
        <f aca="false">(IF('Ввод данных'!$A$17=связи1!$A$96,(N1326)*Q1326+(N1326*(R1326-Q1326)/2),0)+IF('Ввод данных'!$A$17=связи1!$A$94,0,0)+IF('Ввод данных'!$A$17=связи1!$A$95,'Ввод данных'!$C$12*дома!N1326,0)+IF('Ввод данных'!$A$17=связи1!$A$97,0,0)+IF('Ввод данных'!$A$17=связи1!$A$98,(дома!N1326-дома!S1326)*(дома!R1326-дома!Q1326)+дома!N1326*дома!Q1326+дома!S1326*(дома!R1326-дома!Q1326)/2,0))*дома!O1326</f>
        <v>0</v>
      </c>
      <c r="U1326" s="1619"/>
      <c r="V1326" s="1734"/>
      <c r="W1326" s="2157"/>
      <c r="X1326" s="2157"/>
      <c r="Y1326" s="1734"/>
    </row>
    <row r="1327" customFormat="false" ht="15.75" hidden="true" customHeight="true" outlineLevel="1" collapsed="false">
      <c r="A1327" s="2172"/>
      <c r="B1327" s="2064"/>
      <c r="C1327" s="2170" t="n">
        <f aca="false">'Ввод данных'!C208</f>
        <v>0</v>
      </c>
      <c r="D1327" s="2170" t="n">
        <f aca="false">'Ввод данных'!D208</f>
        <v>0</v>
      </c>
      <c r="E1327" s="1707" t="n">
        <f aca="false">J1327</f>
        <v>0</v>
      </c>
      <c r="F1327" s="1436" t="n">
        <f aca="false">'Ввод данных'!E208</f>
        <v>0</v>
      </c>
      <c r="G1327" s="1436" t="n">
        <f aca="false">'Ввод данных'!F208</f>
        <v>0</v>
      </c>
      <c r="H1327" s="1436"/>
      <c r="I1327" s="1436" t="n">
        <f aca="false">$I$1194</f>
        <v>3.17250315099132</v>
      </c>
      <c r="J1327" s="1436" t="n">
        <f aca="false">(IF('Ввод данных'!$A$17=связи1!$A$97,(C1327)*F1327+(C1327*(G1327-F1327)/2),0)+IF('Ввод данных'!$A$17=связи1!$A$94,'Ввод данных'!$C$11*дома!C1327,0)+IF('Ввод данных'!$A$17=связи1!$A$95,'Ввод данных'!$C$11*дома!C1327,0)+IF('Ввод данных'!$A$17=связи1!$A$96,'Ввод данных'!$C$11*дома!C1327,0)+IF('Ввод данных'!$A$17=связи1!$A$98,'Ввод данных'!$C$11*дома!C1327,0))*D1327</f>
        <v>0</v>
      </c>
      <c r="K1327" s="2171"/>
      <c r="L1327" s="2171"/>
      <c r="M1327" s="1707" t="s">
        <v>15</v>
      </c>
      <c r="N1327" s="2142" t="n">
        <f aca="false">'Ввод данных'!C224</f>
        <v>0</v>
      </c>
      <c r="O1327" s="2142" t="n">
        <f aca="false">'Ввод данных'!D224</f>
        <v>0</v>
      </c>
      <c r="P1327" s="1707" t="n">
        <f aca="false">T1327</f>
        <v>0</v>
      </c>
      <c r="Q1327" s="1436" t="n">
        <f aca="false">'Ввод данных'!E224</f>
        <v>0</v>
      </c>
      <c r="R1327" s="1436" t="n">
        <f aca="false">'Ввод данных'!F224</f>
        <v>0</v>
      </c>
      <c r="S1327" s="2142" t="n">
        <f aca="false">$I$1194</f>
        <v>3.17250315099132</v>
      </c>
      <c r="T1327" s="1436" t="n">
        <f aca="false">(IF('Ввод данных'!$A$17=связи1!$A$96,(N1327)*Q1327+(N1327*(R1327-Q1327)/2),0)+IF('Ввод данных'!$A$17=связи1!$A$94,0,0)+IF('Ввод данных'!$A$17=связи1!$A$95,'Ввод данных'!$C$12*дома!N1327,0)+IF('Ввод данных'!$A$17=связи1!$A$97,0,0)+IF('Ввод данных'!$A$17=связи1!$A$98,(дома!N1327-дома!S1327)*(дома!R1327-дома!Q1327)+дома!N1327*дома!Q1327+дома!S1327*(дома!R1327-дома!Q1327)/2,0))*дома!O1327</f>
        <v>0</v>
      </c>
      <c r="U1327" s="1619"/>
      <c r="V1327" s="1734"/>
      <c r="W1327" s="2157"/>
      <c r="X1327" s="2157"/>
      <c r="Y1327" s="1734"/>
    </row>
    <row r="1328" customFormat="false" ht="15.75" hidden="true" customHeight="true" outlineLevel="1" collapsed="false">
      <c r="A1328" s="2173"/>
      <c r="B1328" s="2064"/>
      <c r="C1328" s="2170" t="n">
        <f aca="false">'Ввод данных'!C209</f>
        <v>0</v>
      </c>
      <c r="D1328" s="2170" t="n">
        <f aca="false">'Ввод данных'!D209</f>
        <v>0</v>
      </c>
      <c r="E1328" s="1707" t="n">
        <f aca="false">J1328</f>
        <v>0</v>
      </c>
      <c r="F1328" s="1436" t="n">
        <f aca="false">'Ввод данных'!E209</f>
        <v>0</v>
      </c>
      <c r="G1328" s="1436" t="n">
        <f aca="false">'Ввод данных'!F209</f>
        <v>0</v>
      </c>
      <c r="H1328" s="1436"/>
      <c r="I1328" s="1436" t="n">
        <f aca="false">$I$1194</f>
        <v>3.17250315099132</v>
      </c>
      <c r="J1328" s="1436" t="n">
        <f aca="false">(IF('Ввод данных'!$A$17=связи1!$A$97,(C1328)*F1328+(C1328*(G1328-F1328)/2),0)+IF('Ввод данных'!$A$17=связи1!$A$94,'Ввод данных'!$C$11*дома!C1328,0)+IF('Ввод данных'!$A$17=связи1!$A$95,'Ввод данных'!$C$11*дома!C1328,0)+IF('Ввод данных'!$A$17=связи1!$A$96,'Ввод данных'!$C$11*дома!C1328,0)+IF('Ввод данных'!$A$17=связи1!$A$98,'Ввод данных'!$C$11*дома!C1328,0))*D1328</f>
        <v>0</v>
      </c>
      <c r="K1328" s="2171"/>
      <c r="L1328" s="2171"/>
      <c r="M1328" s="1707" t="s">
        <v>15</v>
      </c>
      <c r="N1328" s="2142" t="n">
        <f aca="false">'Ввод данных'!C225</f>
        <v>0</v>
      </c>
      <c r="O1328" s="2142" t="n">
        <f aca="false">'Ввод данных'!D225</f>
        <v>0</v>
      </c>
      <c r="P1328" s="1707" t="n">
        <f aca="false">T1328</f>
        <v>0</v>
      </c>
      <c r="Q1328" s="1436" t="n">
        <f aca="false">'Ввод данных'!E225</f>
        <v>0</v>
      </c>
      <c r="R1328" s="1436" t="n">
        <f aca="false">'Ввод данных'!F225</f>
        <v>0</v>
      </c>
      <c r="S1328" s="2142" t="n">
        <f aca="false">$I$1194</f>
        <v>3.17250315099132</v>
      </c>
      <c r="T1328" s="1436" t="n">
        <f aca="false">(IF('Ввод данных'!$A$17=связи1!$A$96,(N1328)*Q1328+(N1328*(R1328-Q1328)/2),0)+IF('Ввод данных'!$A$17=связи1!$A$94,0,0)+IF('Ввод данных'!$A$17=связи1!$A$95,'Ввод данных'!$C$12*дома!N1328,0)+IF('Ввод данных'!$A$17=связи1!$A$97,0,0)+IF('Ввод данных'!$A$17=связи1!$A$98,(дома!N1328-дома!S1328)*(дома!R1328-дома!Q1328)+дома!N1328*дома!Q1328+дома!S1328*(дома!R1328-дома!Q1328)/2,0))*дома!O1328</f>
        <v>0</v>
      </c>
      <c r="U1328" s="1619"/>
      <c r="V1328" s="1734"/>
      <c r="W1328" s="2157"/>
      <c r="X1328" s="2157"/>
      <c r="Y1328" s="1734"/>
    </row>
    <row r="1329" customFormat="false" ht="15.75" hidden="true" customHeight="true" outlineLevel="1" collapsed="false">
      <c r="A1329" s="2059" t="s">
        <v>3748</v>
      </c>
      <c r="B1329" s="2064" t="s">
        <v>15</v>
      </c>
      <c r="C1329" s="2170" t="n">
        <f aca="false">'Ввод данных'!C210</f>
        <v>0</v>
      </c>
      <c r="D1329" s="2170" t="n">
        <f aca="false">'Ввод данных'!D210</f>
        <v>0</v>
      </c>
      <c r="E1329" s="1707" t="n">
        <f aca="false">J1329</f>
        <v>0</v>
      </c>
      <c r="F1329" s="1436" t="n">
        <f aca="false">'Ввод данных'!E210</f>
        <v>0</v>
      </c>
      <c r="G1329" s="1436" t="n">
        <f aca="false">'Ввод данных'!F210</f>
        <v>0</v>
      </c>
      <c r="H1329" s="1436"/>
      <c r="I1329" s="1436"/>
      <c r="J1329" s="1436" t="n">
        <f aca="false">(IF('Ввод данных'!$A$17=связи1!$A$97,(C1329)*G1329,0)+IF('Ввод данных'!$A$17=связи1!$A$94,'Ввод данных'!$C$11*дома!C1329,0)+IF('Ввод данных'!$A$17=связи1!$A$95,'Ввод данных'!$C$11*дома!C1329,0)+IF('Ввод данных'!$A$17=связи1!$A$96,'Ввод данных'!$C$11*дома!C1329,0)+IF('Ввод данных'!$A$17=связи1!$A$98,'Ввод данных'!$C$11*дома!C1329,0))*D1329</f>
        <v>0</v>
      </c>
      <c r="K1329" s="2171" t="s">
        <v>3749</v>
      </c>
      <c r="L1329" s="2171"/>
      <c r="M1329" s="1707" t="s">
        <v>15</v>
      </c>
      <c r="N1329" s="2142" t="n">
        <f aca="false">'Ввод данных'!C226</f>
        <v>4</v>
      </c>
      <c r="O1329" s="2142" t="n">
        <f aca="false">'Ввод данных'!D226</f>
        <v>1</v>
      </c>
      <c r="P1329" s="1707" t="n">
        <f aca="false">T1329</f>
        <v>8.8</v>
      </c>
      <c r="Q1329" s="1436" t="n">
        <f aca="false">'Ввод данных'!E226</f>
        <v>0</v>
      </c>
      <c r="R1329" s="1436" t="n">
        <f aca="false">'Ввод данных'!F226</f>
        <v>2.2</v>
      </c>
      <c r="S1329" s="2142"/>
      <c r="T1329" s="1436" t="n">
        <f aca="false">(IF('Ввод данных'!$A$17=связи1!$A$96,N1329*R1329,0)+IF('Ввод данных'!$A$17=связи1!$A$94,0,0)+IF('Ввод данных'!$A$17=связи1!$A$95,'Ввод данных'!$C$12*дома!N1329,0)+IF('Ввод данных'!$A$17=связи1!$A$97,0,0)+IF('Ввод данных'!$A$17=связи1!$A$98,N1329*'Ввод данных'!$C$12,0))*дома!O1329</f>
        <v>8.8</v>
      </c>
      <c r="U1329" s="1619"/>
      <c r="V1329" s="1734"/>
      <c r="W1329" s="2157"/>
      <c r="X1329" s="2157"/>
      <c r="Y1329" s="1734"/>
    </row>
    <row r="1330" customFormat="false" ht="15.75" hidden="true" customHeight="true" outlineLevel="1" collapsed="false">
      <c r="A1330" s="2172"/>
      <c r="B1330" s="2064" t="s">
        <v>15</v>
      </c>
      <c r="C1330" s="2170" t="n">
        <f aca="false">'Ввод данных'!C211</f>
        <v>0</v>
      </c>
      <c r="D1330" s="2170" t="n">
        <f aca="false">'Ввод данных'!D211</f>
        <v>0</v>
      </c>
      <c r="E1330" s="1707" t="n">
        <f aca="false">J1330</f>
        <v>0</v>
      </c>
      <c r="F1330" s="1436" t="n">
        <f aca="false">'Ввод данных'!E211</f>
        <v>0</v>
      </c>
      <c r="G1330" s="1436" t="n">
        <f aca="false">'Ввод данных'!F211</f>
        <v>0</v>
      </c>
      <c r="H1330" s="1436"/>
      <c r="I1330" s="1436"/>
      <c r="J1330" s="1436" t="n">
        <f aca="false">(IF('Ввод данных'!$A$17=связи1!$A$97,(C1330)*G1330,0)+IF('Ввод данных'!$A$17=связи1!$A$94,'Ввод данных'!$C$11*дома!C1330,0)+IF('Ввод данных'!$A$17=связи1!$A$95,'Ввод данных'!$C$11*дома!C1330,0)+IF('Ввод данных'!$A$17=связи1!$A$96,'Ввод данных'!$C$11*дома!C1330,0)+IF('Ввод данных'!$A$17=связи1!$A$98,'Ввод данных'!$C$11*дома!C1330,0))*D1330</f>
        <v>0</v>
      </c>
      <c r="K1330" s="2171"/>
      <c r="L1330" s="2171"/>
      <c r="M1330" s="1707" t="s">
        <v>15</v>
      </c>
      <c r="N1330" s="2142" t="n">
        <f aca="false">'Ввод данных'!C227</f>
        <v>2</v>
      </c>
      <c r="O1330" s="2142" t="n">
        <f aca="false">'Ввод данных'!D227</f>
        <v>1</v>
      </c>
      <c r="P1330" s="1707" t="n">
        <f aca="false">T1330</f>
        <v>4.4</v>
      </c>
      <c r="Q1330" s="1436" t="n">
        <f aca="false">'Ввод данных'!E227</f>
        <v>0</v>
      </c>
      <c r="R1330" s="1436" t="n">
        <f aca="false">'Ввод данных'!F227</f>
        <v>2.2</v>
      </c>
      <c r="S1330" s="2142"/>
      <c r="T1330" s="1436" t="n">
        <f aca="false">(IF('Ввод данных'!$A$17=связи1!$A$96,N1330*R1330,0)+IF('Ввод данных'!$A$17=связи1!$A$94,0,0)+IF('Ввод данных'!$A$17=связи1!$A$95,'Ввод данных'!$C$12*дома!N1330,0)+IF('Ввод данных'!$A$17=связи1!$A$97,0,0)+IF('Ввод данных'!$A$17=связи1!$A$98,N1330*'Ввод данных'!$C$12,0))*дома!O1330</f>
        <v>4.4</v>
      </c>
      <c r="U1330" s="1619"/>
      <c r="V1330" s="1734"/>
      <c r="W1330" s="1734"/>
      <c r="X1330" s="1734"/>
      <c r="Y1330" s="1734"/>
    </row>
    <row r="1331" customFormat="false" ht="15.75" hidden="true" customHeight="true" outlineLevel="1" collapsed="false">
      <c r="A1331" s="2172"/>
      <c r="B1331" s="2064" t="s">
        <v>15</v>
      </c>
      <c r="C1331" s="2170" t="n">
        <f aca="false">'Ввод данных'!C212</f>
        <v>0</v>
      </c>
      <c r="D1331" s="2170" t="n">
        <f aca="false">'Ввод данных'!D212</f>
        <v>0</v>
      </c>
      <c r="E1331" s="1707" t="n">
        <f aca="false">J1331</f>
        <v>0</v>
      </c>
      <c r="F1331" s="1436" t="n">
        <f aca="false">'Ввод данных'!E212</f>
        <v>0</v>
      </c>
      <c r="G1331" s="1436" t="n">
        <f aca="false">'Ввод данных'!F212</f>
        <v>0</v>
      </c>
      <c r="H1331" s="1436"/>
      <c r="I1331" s="1436"/>
      <c r="J1331" s="1436" t="n">
        <f aca="false">(IF('Ввод данных'!$A$17=связи1!$A$97,(C1331)*G1331,0)+IF('Ввод данных'!$A$17=связи1!$A$94,'Ввод данных'!$C$11*дома!C1331,0)+IF('Ввод данных'!$A$17=связи1!$A$95,'Ввод данных'!$C$11*дома!C1331,0)+IF('Ввод данных'!$A$17=связи1!$A$96,'Ввод данных'!$C$11*дома!C1331,0)+IF('Ввод данных'!$A$17=связи1!$A$98,'Ввод данных'!$C$11*дома!C1331,0))*D1331</f>
        <v>0</v>
      </c>
      <c r="K1331" s="2171"/>
      <c r="L1331" s="2171"/>
      <c r="M1331" s="1707" t="s">
        <v>15</v>
      </c>
      <c r="N1331" s="2142" t="n">
        <f aca="false">'Ввод данных'!C228</f>
        <v>3</v>
      </c>
      <c r="O1331" s="2142" t="n">
        <f aca="false">'Ввод данных'!D228</f>
        <v>1</v>
      </c>
      <c r="P1331" s="1707" t="n">
        <f aca="false">T1331</f>
        <v>6.6</v>
      </c>
      <c r="Q1331" s="1436" t="n">
        <f aca="false">'Ввод данных'!E228</f>
        <v>0</v>
      </c>
      <c r="R1331" s="1436" t="n">
        <f aca="false">'Ввод данных'!F228</f>
        <v>2.2</v>
      </c>
      <c r="S1331" s="2142"/>
      <c r="T1331" s="1436" t="n">
        <f aca="false">(IF('Ввод данных'!$A$17=связи1!$A$96,N1331*R1331,0)+IF('Ввод данных'!$A$17=связи1!$A$94,0,0)+IF('Ввод данных'!$A$17=связи1!$A$95,'Ввод данных'!$C$12*дома!N1331,0)+IF('Ввод данных'!$A$17=связи1!$A$97,0,0)+IF('Ввод данных'!$A$17=связи1!$A$98,N1331*'Ввод данных'!$C$12,0))*дома!O1331</f>
        <v>6.6</v>
      </c>
      <c r="U1331" s="1619"/>
      <c r="V1331" s="1734"/>
      <c r="W1331" s="1734"/>
      <c r="X1331" s="1734"/>
      <c r="Y1331" s="1734"/>
    </row>
    <row r="1332" customFormat="false" ht="15.75" hidden="true" customHeight="true" outlineLevel="1" collapsed="false">
      <c r="A1332" s="2173"/>
      <c r="B1332" s="2064"/>
      <c r="C1332" s="2170" t="n">
        <f aca="false">'Ввод данных'!C213</f>
        <v>0</v>
      </c>
      <c r="D1332" s="2170" t="n">
        <f aca="false">'Ввод данных'!D213</f>
        <v>0</v>
      </c>
      <c r="E1332" s="1707" t="n">
        <f aca="false">J1332</f>
        <v>0</v>
      </c>
      <c r="F1332" s="1436" t="n">
        <f aca="false">'Ввод данных'!E213</f>
        <v>0</v>
      </c>
      <c r="G1332" s="1436" t="n">
        <f aca="false">'Ввод данных'!F213</f>
        <v>0</v>
      </c>
      <c r="H1332" s="1436"/>
      <c r="I1332" s="1436"/>
      <c r="J1332" s="1436" t="n">
        <f aca="false">(IF('Ввод данных'!$A$17=связи1!$A$97,(C1332)*G1332,0)+IF('Ввод данных'!$A$17=связи1!$A$94,'Ввод данных'!$C$11*дома!C1332,0)+IF('Ввод данных'!$A$17=связи1!$A$95,'Ввод данных'!$C$11*дома!C1332,0)+IF('Ввод данных'!$A$17=связи1!$A$96,'Ввод данных'!$C$11*дома!C1332,0)+IF('Ввод данных'!$A$17=связи1!$A$98,'Ввод данных'!$C$11*дома!C1332,0))*D1332</f>
        <v>0</v>
      </c>
      <c r="K1332" s="2171"/>
      <c r="L1332" s="2171"/>
      <c r="M1332" s="1707" t="s">
        <v>15</v>
      </c>
      <c r="N1332" s="2142" t="n">
        <f aca="false">'Ввод данных'!C229</f>
        <v>0</v>
      </c>
      <c r="O1332" s="2142" t="n">
        <f aca="false">'Ввод данных'!D229</f>
        <v>0</v>
      </c>
      <c r="P1332" s="1707" t="n">
        <f aca="false">T1332</f>
        <v>0</v>
      </c>
      <c r="Q1332" s="1436" t="n">
        <f aca="false">'Ввод данных'!E229</f>
        <v>0</v>
      </c>
      <c r="R1332" s="1436" t="n">
        <f aca="false">'Ввод данных'!F229</f>
        <v>0</v>
      </c>
      <c r="S1332" s="2142"/>
      <c r="T1332" s="1436" t="n">
        <f aca="false">(IF('Ввод данных'!$A$17=связи1!$A$96,N1332*R1332,0)+IF('Ввод данных'!$A$17=связи1!$A$94,0,0)+IF('Ввод данных'!$A$17=связи1!$A$95,'Ввод данных'!$C$12*дома!N1332,0)+IF('Ввод данных'!$A$17=связи1!$A$97,0,0)+IF('Ввод данных'!$A$17=связи1!$A$98,N1332*'Ввод данных'!$C$12,0))*дома!O1332</f>
        <v>0</v>
      </c>
      <c r="U1332" s="1619"/>
      <c r="V1332" s="1734"/>
      <c r="W1332" s="1734"/>
      <c r="X1332" s="1734"/>
      <c r="Y1332" s="1734"/>
    </row>
    <row r="1333" customFormat="false" ht="15.75" hidden="true" customHeight="true" outlineLevel="1" collapsed="false">
      <c r="A1333" s="2059" t="s">
        <v>3750</v>
      </c>
      <c r="B1333" s="2064"/>
      <c r="C1333" s="2170" t="n">
        <f aca="false">'Ввод данных'!C214</f>
        <v>3</v>
      </c>
      <c r="D1333" s="2170" t="n">
        <f aca="false">'Ввод данных'!D214</f>
        <v>2</v>
      </c>
      <c r="E1333" s="1707" t="n">
        <f aca="false">J1333</f>
        <v>16.8</v>
      </c>
      <c r="F1333" s="1436" t="n">
        <f aca="false">'Ввод данных'!E214</f>
        <v>0</v>
      </c>
      <c r="G1333" s="1436" t="n">
        <f aca="false">'Ввод данных'!F214</f>
        <v>0</v>
      </c>
      <c r="H1333" s="1436"/>
      <c r="I1333" s="1436"/>
      <c r="J1333" s="1436" t="n">
        <f aca="false">(IF('Ввод данных'!$A$17=связи1!$A$97,(C1333)*G1333,0)+IF('Ввод данных'!$A$17=связи1!$A$94,'Ввод данных'!$C$11*дома!C1333,0)+IF('Ввод данных'!$A$17=связи1!$A$95,'Ввод данных'!$C$11*дома!C1333,0)+IF('Ввод данных'!$A$17=связи1!$A$96,'Ввод данных'!$C$11*дома!C1333,0)+IF('Ввод данных'!$A$17=связи1!$A$98,'Ввод данных'!$C$11*дома!C1333,0))*D1333</f>
        <v>16.8</v>
      </c>
      <c r="K1333" s="2171" t="s">
        <v>3751</v>
      </c>
      <c r="L1333" s="2171"/>
      <c r="M1333" s="1707" t="s">
        <v>15</v>
      </c>
      <c r="N1333" s="2142" t="n">
        <f aca="false">'Ввод данных'!C230</f>
        <v>0</v>
      </c>
      <c r="O1333" s="2142" t="n">
        <f aca="false">'Ввод данных'!D230</f>
        <v>0</v>
      </c>
      <c r="P1333" s="1707" t="n">
        <f aca="false">T1333</f>
        <v>0</v>
      </c>
      <c r="Q1333" s="1436" t="n">
        <f aca="false">'Ввод данных'!E230</f>
        <v>0</v>
      </c>
      <c r="R1333" s="1436" t="n">
        <f aca="false">'Ввод данных'!F230</f>
        <v>0</v>
      </c>
      <c r="S1333" s="2142"/>
      <c r="T1333" s="1436" t="n">
        <f aca="false">(IF('Ввод данных'!$A$17=связи1!$A$96,N1333*R1333,0)+IF('Ввод данных'!$A$17=связи1!$A$94,0,0)+IF('Ввод данных'!$A$17=связи1!$A$95,'Ввод данных'!$C$12*дома!N1333,0)+IF('Ввод данных'!$A$17=связи1!$A$97,0,0)+IF('Ввод данных'!$A$17=связи1!$A$98,N1333*'Ввод данных'!$C$12,0))*дома!O1333</f>
        <v>0</v>
      </c>
      <c r="U1333" s="1619"/>
      <c r="V1333" s="1734"/>
      <c r="W1333" s="1734"/>
      <c r="X1333" s="1734"/>
      <c r="Y1333" s="1734"/>
    </row>
    <row r="1334" customFormat="false" ht="15.75" hidden="true" customHeight="true" outlineLevel="1" collapsed="false">
      <c r="A1334" s="2172"/>
      <c r="B1334" s="2064"/>
      <c r="C1334" s="2170" t="n">
        <f aca="false">'Ввод данных'!C215</f>
        <v>0</v>
      </c>
      <c r="D1334" s="2170" t="n">
        <f aca="false">'Ввод данных'!D215</f>
        <v>0</v>
      </c>
      <c r="E1334" s="1707" t="n">
        <f aca="false">J1334</f>
        <v>0</v>
      </c>
      <c r="F1334" s="1436" t="n">
        <f aca="false">'Ввод данных'!E215</f>
        <v>0</v>
      </c>
      <c r="G1334" s="1436" t="n">
        <f aca="false">'Ввод данных'!F215</f>
        <v>0</v>
      </c>
      <c r="H1334" s="1436"/>
      <c r="I1334" s="1436"/>
      <c r="J1334" s="1436" t="n">
        <f aca="false">(IF('Ввод данных'!$A$17=связи1!$A$97,(C1334)*G1334,0)+IF('Ввод данных'!$A$17=связи1!$A$94,'Ввод данных'!$C$11*дома!C1334,0)+IF('Ввод данных'!$A$17=связи1!$A$95,'Ввод данных'!$C$11*дома!C1334,0)+IF('Ввод данных'!$A$17=связи1!$A$96,'Ввод данных'!$C$11*дома!C1334,0)+IF('Ввод данных'!$A$17=связи1!$A$98,'Ввод данных'!$C$11*дома!C1334,0))*D1334</f>
        <v>0</v>
      </c>
      <c r="K1334" s="2171"/>
      <c r="L1334" s="2171"/>
      <c r="M1334" s="1707" t="s">
        <v>15</v>
      </c>
      <c r="N1334" s="2142" t="n">
        <f aca="false">'Ввод данных'!C231</f>
        <v>0</v>
      </c>
      <c r="O1334" s="2142" t="n">
        <f aca="false">'Ввод данных'!D231</f>
        <v>0</v>
      </c>
      <c r="P1334" s="1707" t="n">
        <f aca="false">T1334</f>
        <v>0</v>
      </c>
      <c r="Q1334" s="1436" t="n">
        <f aca="false">'Ввод данных'!E231</f>
        <v>0</v>
      </c>
      <c r="R1334" s="1436" t="n">
        <f aca="false">'Ввод данных'!F231</f>
        <v>0</v>
      </c>
      <c r="S1334" s="2142"/>
      <c r="T1334" s="1436" t="n">
        <f aca="false">(IF('Ввод данных'!$A$17=связи1!$A$96,N1334*R1334,0)+IF('Ввод данных'!$A$17=связи1!$A$94,0,0)+IF('Ввод данных'!$A$17=связи1!$A$95,'Ввод данных'!$C$12*дома!N1334,0)+IF('Ввод данных'!$A$17=связи1!$A$97,0,0)+IF('Ввод данных'!$A$17=связи1!$A$98,N1334*'Ввод данных'!$C$12,0))*дома!O1334</f>
        <v>0</v>
      </c>
      <c r="U1334" s="1619"/>
      <c r="V1334" s="1734"/>
      <c r="W1334" s="1734"/>
      <c r="X1334" s="1734"/>
      <c r="Y1334" s="1734"/>
    </row>
    <row r="1335" customFormat="false" ht="15.75" hidden="true" customHeight="true" outlineLevel="1" collapsed="false">
      <c r="A1335" s="2172"/>
      <c r="B1335" s="2064"/>
      <c r="C1335" s="2170" t="n">
        <f aca="false">'Ввод данных'!C216</f>
        <v>0</v>
      </c>
      <c r="D1335" s="2170" t="n">
        <f aca="false">'Ввод данных'!D216</f>
        <v>0</v>
      </c>
      <c r="E1335" s="1707" t="n">
        <f aca="false">J1335</f>
        <v>0</v>
      </c>
      <c r="F1335" s="1436" t="n">
        <f aca="false">'Ввод данных'!E216</f>
        <v>0</v>
      </c>
      <c r="G1335" s="1436" t="n">
        <f aca="false">'Ввод данных'!F216</f>
        <v>0</v>
      </c>
      <c r="H1335" s="1436"/>
      <c r="I1335" s="1436"/>
      <c r="J1335" s="1436" t="n">
        <f aca="false">(IF('Ввод данных'!$A$17=связи1!$A$97,(C1335)*G1335,0)+IF('Ввод данных'!$A$17=связи1!$A$94,'Ввод данных'!$C$11*дома!C1335,0)+IF('Ввод данных'!$A$17=связи1!$A$95,'Ввод данных'!$C$11*дома!C1335,0)+IF('Ввод данных'!$A$17=связи1!$A$96,'Ввод данных'!$C$11*дома!C1335,0)+IF('Ввод данных'!$A$17=связи1!$A$98,'Ввод данных'!$C$11*дома!C1335,0))*D1335</f>
        <v>0</v>
      </c>
      <c r="K1335" s="2171"/>
      <c r="L1335" s="2171"/>
      <c r="M1335" s="1707" t="s">
        <v>15</v>
      </c>
      <c r="N1335" s="2142" t="n">
        <f aca="false">'Ввод данных'!C232</f>
        <v>0</v>
      </c>
      <c r="O1335" s="2142" t="n">
        <f aca="false">'Ввод данных'!D232</f>
        <v>0</v>
      </c>
      <c r="P1335" s="1707" t="n">
        <f aca="false">T1335</f>
        <v>0</v>
      </c>
      <c r="Q1335" s="1436" t="n">
        <f aca="false">'Ввод данных'!E232</f>
        <v>0</v>
      </c>
      <c r="R1335" s="1436" t="n">
        <f aca="false">'Ввод данных'!F232</f>
        <v>0</v>
      </c>
      <c r="S1335" s="2142"/>
      <c r="T1335" s="1436" t="n">
        <f aca="false">(IF('Ввод данных'!$A$17=связи1!$A$96,N1335*R1335,0)+IF('Ввод данных'!$A$17=связи1!$A$94,0,0)+IF('Ввод данных'!$A$17=связи1!$A$95,'Ввод данных'!$C$12*дома!N1335,0)+IF('Ввод данных'!$A$17=связи1!$A$97,0,0)+IF('Ввод данных'!$A$17=связи1!$A$98,N1335*'Ввод данных'!$C$12,0))*дома!O1335</f>
        <v>0</v>
      </c>
      <c r="U1335" s="1619"/>
      <c r="V1335" s="1734"/>
      <c r="W1335" s="1734"/>
      <c r="X1335" s="1734"/>
      <c r="Y1335" s="1734"/>
    </row>
    <row r="1336" customFormat="false" ht="15.75" hidden="true" customHeight="true" outlineLevel="1" collapsed="false">
      <c r="A1336" s="2173"/>
      <c r="B1336" s="2064"/>
      <c r="C1336" s="2170" t="n">
        <f aca="false">'Ввод данных'!C217</f>
        <v>0</v>
      </c>
      <c r="D1336" s="2170" t="n">
        <f aca="false">'Ввод данных'!D217</f>
        <v>0</v>
      </c>
      <c r="E1336" s="1707" t="n">
        <f aca="false">J1336</f>
        <v>0</v>
      </c>
      <c r="F1336" s="1436" t="n">
        <f aca="false">'Ввод данных'!E217</f>
        <v>0</v>
      </c>
      <c r="G1336" s="1436" t="n">
        <f aca="false">'Ввод данных'!F217</f>
        <v>0</v>
      </c>
      <c r="H1336" s="1436"/>
      <c r="I1336" s="1436"/>
      <c r="J1336" s="1436" t="n">
        <f aca="false">(IF('Ввод данных'!$A$17=связи1!$A$97,(C1336)*G1336,0)+IF('Ввод данных'!$A$17=связи1!$A$94,'Ввод данных'!$C$11*дома!C1336,0)+IF('Ввод данных'!$A$17=связи1!$A$95,'Ввод данных'!$C$11*дома!C1336,0)+IF('Ввод данных'!$A$17=связи1!$A$96,'Ввод данных'!$C$11*дома!C1336,0)+IF('Ввод данных'!$A$17=связи1!$A$98,'Ввод данных'!$C$11*дома!C1336,0))*D1336</f>
        <v>0</v>
      </c>
      <c r="K1336" s="2171"/>
      <c r="L1336" s="2171"/>
      <c r="M1336" s="1707" t="s">
        <v>15</v>
      </c>
      <c r="N1336" s="2142" t="n">
        <f aca="false">'Ввод данных'!C233</f>
        <v>0</v>
      </c>
      <c r="O1336" s="2142" t="n">
        <f aca="false">'Ввод данных'!D233</f>
        <v>0</v>
      </c>
      <c r="P1336" s="1707" t="n">
        <f aca="false">T1336</f>
        <v>0</v>
      </c>
      <c r="Q1336" s="1436" t="n">
        <f aca="false">'Ввод данных'!E233</f>
        <v>0</v>
      </c>
      <c r="R1336" s="1436" t="n">
        <f aca="false">'Ввод данных'!F233</f>
        <v>0</v>
      </c>
      <c r="S1336" s="2142"/>
      <c r="T1336" s="1436" t="n">
        <f aca="false">(IF('Ввод данных'!$A$17=связи1!$A$96,N1336*R1336,0)+IF('Ввод данных'!$A$17=связи1!$A$94,0,0)+IF('Ввод данных'!$A$17=связи1!$A$95,'Ввод данных'!$C$12*дома!N1336,0)+IF('Ввод данных'!$A$17=связи1!$A$97,0,0)+IF('Ввод данных'!$A$17=связи1!$A$98,N1336*'Ввод данных'!$C$12,0))*дома!O1336</f>
        <v>0</v>
      </c>
      <c r="U1336" s="1619"/>
      <c r="V1336" s="1734"/>
      <c r="W1336" s="1734"/>
      <c r="X1336" s="1734"/>
      <c r="Y1336" s="1734"/>
    </row>
    <row r="1337" s="1582" customFormat="true" ht="15.75" hidden="true" customHeight="true" outlineLevel="1" collapsed="false">
      <c r="A1337" s="2037"/>
      <c r="B1337" s="2174"/>
      <c r="C1337" s="2175"/>
      <c r="D1337" s="1444" t="s">
        <v>3752</v>
      </c>
      <c r="E1337" s="2142"/>
      <c r="F1337" s="1707" t="n">
        <f aca="false">E1321+E1322+E1323+E1324+E1329+E1330+E1331+E1332</f>
        <v>44.8</v>
      </c>
      <c r="K1337" s="2037"/>
      <c r="L1337" s="2176"/>
      <c r="M1337" s="1734"/>
      <c r="N1337" s="1444" t="s">
        <v>3753</v>
      </c>
      <c r="O1337" s="1444"/>
      <c r="P1337" s="1444"/>
      <c r="Q1337" s="1444"/>
      <c r="R1337" s="1707" t="n">
        <f aca="false">P1321+P1322+P1323+P1324+P1329+P1330+P1331+P1332</f>
        <v>25.575</v>
      </c>
      <c r="T1337" s="1734"/>
      <c r="U1337" s="1734"/>
      <c r="V1337" s="1734"/>
      <c r="W1337" s="1734"/>
      <c r="X1337" s="1734"/>
      <c r="Y1337" s="1734"/>
    </row>
    <row r="1338" s="1582" customFormat="true" ht="15.75" hidden="true" customHeight="true" outlineLevel="1" collapsed="false">
      <c r="A1338" s="2037"/>
      <c r="B1338" s="2174"/>
      <c r="C1338" s="2175"/>
      <c r="D1338" s="1444" t="s">
        <v>3754</v>
      </c>
      <c r="E1338" s="2142"/>
      <c r="F1338" s="1707" t="n">
        <f aca="false">E1325+E1326+E1327+E1328+E1333+E1334+E1335+E1336</f>
        <v>21.84</v>
      </c>
      <c r="K1338" s="2037"/>
      <c r="L1338" s="2176"/>
      <c r="M1338" s="1734"/>
      <c r="N1338" s="1444" t="s">
        <v>3755</v>
      </c>
      <c r="O1338" s="1444"/>
      <c r="P1338" s="1444"/>
      <c r="Q1338" s="1444"/>
      <c r="R1338" s="1707" t="n">
        <f aca="false">P1325+P1326+P1327+P1328+P1333+P1334+P1335+P1336</f>
        <v>0</v>
      </c>
      <c r="T1338" s="1734"/>
      <c r="U1338" s="1734"/>
      <c r="V1338" s="1734"/>
      <c r="W1338" s="1734"/>
      <c r="X1338" s="1734"/>
      <c r="Y1338" s="1734"/>
    </row>
    <row r="1339" s="1582" customFormat="true" ht="15.75" hidden="true" customHeight="true" outlineLevel="1" collapsed="false">
      <c r="A1339" s="2177"/>
      <c r="B1339" s="2174"/>
      <c r="C1339" s="2178"/>
      <c r="D1339" s="1707" t="s">
        <v>3756</v>
      </c>
      <c r="E1339" s="1436"/>
      <c r="F1339" s="1707" t="n">
        <f aca="false">E1321+E1322+E1323+E1324+E1329+E1330+E1331+E1332</f>
        <v>44.8</v>
      </c>
      <c r="G1339" s="1582" t="n">
        <f aca="false">F1339+R1339</f>
        <v>70.375</v>
      </c>
      <c r="K1339" s="2179"/>
      <c r="L1339" s="2180"/>
      <c r="M1339" s="2157"/>
      <c r="N1339" s="1707" t="s">
        <v>3756</v>
      </c>
      <c r="O1339" s="1707"/>
      <c r="P1339" s="1707"/>
      <c r="Q1339" s="1707"/>
      <c r="R1339" s="1707" t="n">
        <f aca="false">(P1321+P1322+P1323+P1324+P1329+P1330+P1331+P1332)*(B1319-1)</f>
        <v>25.575</v>
      </c>
      <c r="T1339" s="1734"/>
      <c r="U1339" s="1734"/>
      <c r="V1339" s="1734"/>
      <c r="W1339" s="1734"/>
      <c r="X1339" s="1734"/>
      <c r="Y1339" s="1734"/>
    </row>
    <row r="1340" s="1582" customFormat="true" ht="15.75" hidden="true" customHeight="true" outlineLevel="1" collapsed="false">
      <c r="A1340" s="1734"/>
      <c r="B1340" s="2178"/>
      <c r="C1340" s="2178"/>
      <c r="D1340" s="2165" t="s">
        <v>3757</v>
      </c>
      <c r="E1340" s="2165" t="s">
        <v>3556</v>
      </c>
      <c r="F1340" s="2165" t="n">
        <f aca="false">E1325+E1326+E1327+E1328+E1333+E1334+E1335+E1336</f>
        <v>21.84</v>
      </c>
      <c r="G1340" s="1582" t="n">
        <f aca="false">R1340+F1340</f>
        <v>21.84</v>
      </c>
      <c r="K1340" s="2157"/>
      <c r="L1340" s="2158"/>
      <c r="M1340" s="2157"/>
      <c r="N1340" s="2165" t="s">
        <v>3757</v>
      </c>
      <c r="O1340" s="2165"/>
      <c r="P1340" s="2165"/>
      <c r="Q1340" s="2165"/>
      <c r="R1340" s="1707" t="n">
        <f aca="false">(P1325+P1326+P1327+P1328+P1333+P1334+P1335+P1336)*(B1319-1)</f>
        <v>0</v>
      </c>
      <c r="T1340" s="1734"/>
      <c r="U1340" s="1734"/>
      <c r="V1340" s="1734"/>
      <c r="W1340" s="1734"/>
      <c r="X1340" s="1734"/>
      <c r="Y1340" s="1734"/>
    </row>
    <row r="1341" customFormat="false" ht="15.75" hidden="true" customHeight="true" outlineLevel="1" collapsed="false">
      <c r="A1341" s="1734"/>
      <c r="B1341" s="2178"/>
      <c r="C1341" s="2178"/>
      <c r="D1341" s="2157"/>
      <c r="E1341" s="2157"/>
      <c r="F1341" s="2157"/>
      <c r="G1341" s="2157"/>
      <c r="H1341" s="2157"/>
      <c r="I1341" s="2158"/>
      <c r="J1341" s="2157"/>
      <c r="K1341" s="2157"/>
      <c r="L1341" s="2157"/>
      <c r="M1341" s="2157"/>
      <c r="N1341" s="2157"/>
      <c r="O1341" s="1734"/>
      <c r="Q1341" s="1734"/>
      <c r="R1341" s="1734"/>
      <c r="S1341" s="1734"/>
      <c r="T1341" s="1734"/>
      <c r="U1341" s="1734"/>
      <c r="V1341" s="1734"/>
      <c r="W1341" s="1734"/>
      <c r="X1341" s="1734"/>
      <c r="Y1341" s="1734"/>
    </row>
    <row r="1342" customFormat="false" ht="15.75" hidden="false" customHeight="true" outlineLevel="0" collapsed="false">
      <c r="A1342" s="2071" t="s">
        <v>3758</v>
      </c>
      <c r="B1342" s="2154"/>
      <c r="C1342" s="2154"/>
      <c r="D1342" s="2071"/>
      <c r="E1342" s="2071"/>
      <c r="F1342" s="2071"/>
      <c r="G1342" s="2071"/>
      <c r="H1342" s="2071"/>
      <c r="I1342" s="2155"/>
      <c r="J1342" s="2071"/>
      <c r="K1342" s="2071"/>
      <c r="L1342" s="2071"/>
      <c r="M1342" s="2071"/>
      <c r="N1342" s="2071"/>
      <c r="O1342" s="2071"/>
      <c r="P1342" s="2071"/>
      <c r="Q1342" s="2071"/>
      <c r="R1342" s="2071"/>
      <c r="S1342" s="2071"/>
      <c r="T1342" s="2071"/>
      <c r="U1342" s="2071"/>
      <c r="V1342" s="2071"/>
      <c r="W1342" s="1734"/>
      <c r="X1342" s="1734"/>
      <c r="Y1342" s="1734"/>
    </row>
    <row r="1343" customFormat="false" ht="15.75" hidden="true" customHeight="true" outlineLevel="1" collapsed="false">
      <c r="A1343" s="2181" t="s">
        <v>719</v>
      </c>
      <c r="B1343" s="2182"/>
      <c r="C1343" s="2182"/>
      <c r="D1343" s="2183"/>
      <c r="E1343" s="2183"/>
      <c r="F1343" s="2183"/>
      <c r="G1343" s="2183"/>
      <c r="H1343" s="2183"/>
      <c r="I1343" s="2184"/>
      <c r="J1343" s="2185"/>
      <c r="K1343" s="2185"/>
      <c r="L1343" s="2185"/>
      <c r="M1343" s="2185"/>
      <c r="N1343" s="2185"/>
      <c r="O1343" s="2186" t="n">
        <f aca="false">CEILING((C1319/2+1)*2+(D1319/2-1)*2+(C1321/2-P1345)*D1321+(C1322/2-P1346)*D1322+(C1323/2-P1347)*D1323+(C1324/2-P1348)*D1324+(C1329/2-P1350)*D1329+(C1330/2-P1351)*D1330+(C1331/2-P1352)*D1331+(C1332/2-P1353)*D1332+пристройка!D2*(пристройка!R49)+D1229*(G1240)*E1274+D2019*(CEILING(IF('Ввод данных'!C607&lt;=2,2,IF('Ввод данных'!C607&gt;2,('Ввод данных'!C607/2+1)))+IF('Ввод данных'!C608&lt;=2,2,IF('Ввод данных'!C608&gt;2,('Ввод данных'!C608/2+1)*2)),1))*IF('Ввод данных'!A614=связи1!A479,1,0),1)</f>
        <v>21</v>
      </c>
      <c r="P1343" s="2187"/>
      <c r="Q1343" s="1707"/>
      <c r="R1343" s="1707"/>
      <c r="S1343" s="1734"/>
      <c r="T1343" s="1734"/>
      <c r="U1343" s="1734"/>
      <c r="V1343" s="1734"/>
      <c r="W1343" s="1734"/>
      <c r="X1343" s="1734"/>
      <c r="Y1343" s="1734"/>
    </row>
    <row r="1344" customFormat="false" ht="15.75" hidden="true" customHeight="true" outlineLevel="1" collapsed="false">
      <c r="A1344" s="2188"/>
      <c r="B1344" s="2189"/>
      <c r="C1344" s="2189"/>
      <c r="D1344" s="2190"/>
      <c r="E1344" s="2190"/>
      <c r="F1344" s="2190"/>
      <c r="G1344" s="2190"/>
      <c r="H1344" s="2190"/>
      <c r="I1344" s="2191"/>
      <c r="J1344" s="2185"/>
      <c r="K1344" s="2185"/>
      <c r="L1344" s="2185"/>
      <c r="M1344" s="2185"/>
      <c r="N1344" s="2185"/>
      <c r="O1344" s="1707"/>
      <c r="P1344" s="2187"/>
      <c r="Q1344" s="1707"/>
      <c r="R1344" s="1707"/>
      <c r="S1344" s="1734"/>
      <c r="T1344" s="1734"/>
      <c r="U1344" s="1734"/>
      <c r="V1344" s="1734"/>
      <c r="W1344" s="1734"/>
      <c r="X1344" s="1734"/>
      <c r="Y1344" s="1734"/>
    </row>
    <row r="1345" customFormat="false" ht="15.75" hidden="true" customHeight="true" outlineLevel="1" collapsed="false">
      <c r="A1345" s="2192" t="s">
        <v>461</v>
      </c>
      <c r="B1345" s="2193"/>
      <c r="C1345" s="2193"/>
      <c r="D1345" s="2194"/>
      <c r="E1345" s="2194"/>
      <c r="F1345" s="2195"/>
      <c r="G1345" s="2196" t="n">
        <f aca="false">'Ввод данных'!D1079</f>
        <v>1</v>
      </c>
      <c r="H1345" s="2196"/>
      <c r="I1345" s="2197" t="n">
        <f aca="false">'Ввод данных'!D1080</f>
        <v>1</v>
      </c>
      <c r="J1345" s="2198"/>
      <c r="K1345" s="2199" t="s">
        <v>3759</v>
      </c>
      <c r="L1345" s="2199"/>
      <c r="M1345" s="2199"/>
      <c r="N1345" s="2199"/>
      <c r="O1345" s="1707" t="n">
        <f aca="false">C1321</f>
        <v>6</v>
      </c>
      <c r="P1345" s="2187" t="n">
        <f aca="false">IF(O1345&lt;=2,0,1)</f>
        <v>1</v>
      </c>
      <c r="Q1345" s="1707" t="n">
        <f aca="false">пристройка!C34</f>
        <v>6</v>
      </c>
      <c r="R1345" s="1707" t="n">
        <f aca="false">IF(Q1345&lt;=2,0,1)</f>
        <v>1</v>
      </c>
      <c r="S1345" s="1734"/>
      <c r="T1345" s="1734"/>
      <c r="U1345" s="1734"/>
      <c r="V1345" s="1734"/>
      <c r="W1345" s="1734"/>
      <c r="X1345" s="1734"/>
      <c r="Y1345" s="1734"/>
    </row>
    <row r="1346" customFormat="false" ht="15.75" hidden="true" customHeight="true" outlineLevel="1" collapsed="false">
      <c r="A1346" s="1707" t="s">
        <v>3760</v>
      </c>
      <c r="B1346" s="2064" t="s">
        <v>15</v>
      </c>
      <c r="C1346" s="2064" t="n">
        <f aca="false">'Ввод данных'!C1082</f>
        <v>0</v>
      </c>
      <c r="D1346" s="1734"/>
      <c r="E1346" s="2185"/>
      <c r="F1346" s="1734"/>
      <c r="G1346" s="1734"/>
      <c r="H1346" s="1734"/>
      <c r="I1346" s="2200"/>
      <c r="J1346" s="1734"/>
      <c r="K1346" s="2185"/>
      <c r="L1346" s="2185"/>
      <c r="M1346" s="2185"/>
      <c r="N1346" s="2185"/>
      <c r="O1346" s="1707" t="n">
        <f aca="false">C1322</f>
        <v>4</v>
      </c>
      <c r="P1346" s="2187" t="n">
        <f aca="false">IF(O1346&lt;=2,0,1)</f>
        <v>1</v>
      </c>
      <c r="Q1346" s="1707" t="n">
        <f aca="false">пристройка!C33</f>
        <v>3</v>
      </c>
      <c r="R1346" s="1707" t="n">
        <f aca="false">IF(Q1346&lt;=2,0,1)</f>
        <v>1</v>
      </c>
      <c r="S1346" s="1734"/>
      <c r="T1346" s="1734"/>
      <c r="U1346" s="1734"/>
      <c r="V1346" s="1734"/>
      <c r="W1346" s="1734"/>
      <c r="X1346" s="1734"/>
      <c r="Y1346" s="1734"/>
    </row>
    <row r="1347" customFormat="false" ht="15.75" hidden="true" customHeight="true" outlineLevel="1" collapsed="false">
      <c r="A1347" s="1707" t="s">
        <v>3761</v>
      </c>
      <c r="B1347" s="2064" t="s">
        <v>15</v>
      </c>
      <c r="C1347" s="2064" t="n">
        <f aca="false">'Ввод данных'!C1083</f>
        <v>0</v>
      </c>
      <c r="D1347" s="1734"/>
      <c r="E1347" s="2185"/>
      <c r="F1347" s="1734"/>
      <c r="G1347" s="1734"/>
      <c r="H1347" s="1734"/>
      <c r="I1347" s="2200"/>
      <c r="J1347" s="1734"/>
      <c r="K1347" s="1734"/>
      <c r="L1347" s="1734"/>
      <c r="M1347" s="1734"/>
      <c r="N1347" s="1734"/>
      <c r="O1347" s="1707" t="n">
        <f aca="false">C1323</f>
        <v>0</v>
      </c>
      <c r="P1347" s="2187" t="n">
        <f aca="false">IF(O1347&lt;=2,0,1)</f>
        <v>0</v>
      </c>
      <c r="Q1347" s="1707" t="n">
        <f aca="false">пристройка!C33</f>
        <v>3</v>
      </c>
      <c r="R1347" s="1707" t="n">
        <f aca="false">IF(Q1347&lt;=2,0,1)</f>
        <v>1</v>
      </c>
      <c r="S1347" s="1734"/>
      <c r="T1347" s="1734"/>
      <c r="U1347" s="1734"/>
      <c r="V1347" s="1734"/>
      <c r="W1347" s="1734"/>
      <c r="X1347" s="1734"/>
      <c r="Y1347" s="1734"/>
    </row>
    <row r="1348" customFormat="false" ht="15.75" hidden="true" customHeight="true" outlineLevel="1" collapsed="false">
      <c r="A1348" s="1707" t="s">
        <v>2761</v>
      </c>
      <c r="B1348" s="2064" t="s">
        <v>15</v>
      </c>
      <c r="C1348" s="2064"/>
      <c r="D1348" s="1734"/>
      <c r="E1348" s="2201" t="s">
        <v>3762</v>
      </c>
      <c r="F1348" s="1734"/>
      <c r="G1348" s="1734"/>
      <c r="H1348" s="1734"/>
      <c r="I1348" s="2200"/>
      <c r="J1348" s="1734"/>
      <c r="K1348" s="1734"/>
      <c r="L1348" s="1734"/>
      <c r="M1348" s="1734"/>
      <c r="N1348" s="1734"/>
      <c r="O1348" s="1707" t="n">
        <f aca="false">C1324</f>
        <v>0</v>
      </c>
      <c r="P1348" s="2187" t="n">
        <f aca="false">IF(O1348&lt;=2,0,1)</f>
        <v>0</v>
      </c>
      <c r="Q1348" s="1707" t="n">
        <f aca="false">пристройка!D34</f>
        <v>3</v>
      </c>
      <c r="R1348" s="1707" t="n">
        <f aca="false">IF(Q1348&lt;=2,0,1)</f>
        <v>1</v>
      </c>
      <c r="S1348" s="1734"/>
      <c r="T1348" s="1734"/>
      <c r="U1348" s="1734"/>
      <c r="V1348" s="1734"/>
      <c r="W1348" s="1734"/>
      <c r="X1348" s="1734"/>
      <c r="Y1348" s="1734"/>
    </row>
    <row r="1349" customFormat="false" ht="15.75" hidden="true" customHeight="true" outlineLevel="1" collapsed="false">
      <c r="A1349" s="2059" t="s">
        <v>3763</v>
      </c>
      <c r="B1349" s="2064" t="s">
        <v>15</v>
      </c>
      <c r="C1349" s="2202" t="n">
        <v>0</v>
      </c>
      <c r="D1349" s="2203" t="n">
        <v>0</v>
      </c>
      <c r="E1349" s="1707"/>
      <c r="O1349" s="1707"/>
      <c r="P1349" s="2187"/>
      <c r="Q1349" s="1707" t="n">
        <f aca="false">пристройка!D33</f>
        <v>3</v>
      </c>
      <c r="R1349" s="1707" t="n">
        <f aca="false">IF(Q1349&lt;=2,0,1)</f>
        <v>1</v>
      </c>
      <c r="S1349" s="1734"/>
      <c r="T1349" s="1734"/>
      <c r="U1349" s="1734"/>
      <c r="V1349" s="1734"/>
      <c r="W1349" s="1734"/>
      <c r="X1349" s="1734"/>
      <c r="Y1349" s="1734"/>
    </row>
    <row r="1350" customFormat="false" ht="15.75" hidden="true" customHeight="true" outlineLevel="1" collapsed="false">
      <c r="A1350" s="2173"/>
      <c r="B1350" s="2064" t="s">
        <v>15</v>
      </c>
      <c r="C1350" s="2202" t="n">
        <f aca="false">VLOOKUP(A1396,связи1!A296:D308,4,0)</f>
        <v>0.15</v>
      </c>
      <c r="D1350" s="2203" t="n">
        <v>1</v>
      </c>
      <c r="E1350" s="1707"/>
      <c r="F1350" s="1617"/>
      <c r="O1350" s="1707" t="n">
        <f aca="false">C1329</f>
        <v>0</v>
      </c>
      <c r="P1350" s="2187" t="n">
        <f aca="false">IF(O1350&lt;=2,0,1)</f>
        <v>0</v>
      </c>
      <c r="Q1350" s="1707" t="n">
        <f aca="false">пристройка!D33</f>
        <v>3</v>
      </c>
      <c r="R1350" s="1707" t="n">
        <f aca="false">IF(Q1350&lt;=2,0,1)</f>
        <v>1</v>
      </c>
      <c r="S1350" s="1734"/>
      <c r="T1350" s="1734"/>
      <c r="U1350" s="1734"/>
      <c r="V1350" s="1734"/>
      <c r="W1350" s="1734"/>
      <c r="X1350" s="1734"/>
      <c r="Y1350" s="1734"/>
    </row>
    <row r="1351" customFormat="false" ht="15.75" hidden="true" customHeight="true" outlineLevel="1" collapsed="false">
      <c r="A1351" s="2059" t="s">
        <v>3764</v>
      </c>
      <c r="B1351" s="2064" t="s">
        <v>15</v>
      </c>
      <c r="C1351" s="2064" t="n">
        <v>0</v>
      </c>
      <c r="D1351" s="2203" t="n">
        <v>0</v>
      </c>
      <c r="E1351" s="1707"/>
      <c r="F1351" s="1617"/>
      <c r="O1351" s="1707" t="n">
        <f aca="false">C1330</f>
        <v>0</v>
      </c>
      <c r="P1351" s="2187" t="n">
        <f aca="false">IF(O1351&lt;=2,0,1)</f>
        <v>0</v>
      </c>
      <c r="Q1351" s="1707" t="n">
        <f aca="false">пристройка!E34</f>
        <v>3</v>
      </c>
      <c r="R1351" s="1707" t="n">
        <f aca="false">IF(Q1351&lt;=2,0,1)</f>
        <v>1</v>
      </c>
      <c r="S1351" s="1734"/>
      <c r="T1351" s="1734"/>
      <c r="U1351" s="1734"/>
      <c r="V1351" s="1734"/>
      <c r="W1351" s="1734"/>
      <c r="X1351" s="1734"/>
      <c r="Y1351" s="1734"/>
    </row>
    <row r="1352" customFormat="false" ht="15.75" hidden="true" customHeight="true" outlineLevel="1" collapsed="false">
      <c r="A1352" s="2173"/>
      <c r="B1352" s="2064" t="s">
        <v>15</v>
      </c>
      <c r="C1352" s="2064" t="n">
        <f aca="false">VLOOKUP(A1397,связи1!A296:D308,4,0)</f>
        <v>0.15</v>
      </c>
      <c r="D1352" s="2203" t="n">
        <v>1</v>
      </c>
      <c r="E1352" s="1707"/>
      <c r="F1352" s="1617"/>
      <c r="O1352" s="1707" t="n">
        <f aca="false">C1331</f>
        <v>0</v>
      </c>
      <c r="P1352" s="2187" t="n">
        <f aca="false">IF(O1352&lt;=2,0,1)</f>
        <v>0</v>
      </c>
      <c r="Q1352" s="1707" t="n">
        <f aca="false">пристройка!E33</f>
        <v>3</v>
      </c>
      <c r="R1352" s="1707" t="n">
        <f aca="false">IF(Q1352&lt;=2,0,1)</f>
        <v>1</v>
      </c>
      <c r="S1352" s="1734"/>
      <c r="T1352" s="1734"/>
      <c r="U1352" s="1734"/>
      <c r="V1352" s="1734"/>
      <c r="W1352" s="1734"/>
      <c r="X1352" s="1734"/>
      <c r="Y1352" s="1734"/>
    </row>
    <row r="1353" customFormat="false" ht="15.75" hidden="true" customHeight="true" outlineLevel="1" collapsed="false">
      <c r="F1353" s="1617"/>
      <c r="O1353" s="1707" t="n">
        <f aca="false">C1332</f>
        <v>0</v>
      </c>
      <c r="P1353" s="2187" t="n">
        <f aca="false">IF(O1353&lt;=2,0,1)</f>
        <v>0</v>
      </c>
      <c r="Q1353" s="1707" t="n">
        <f aca="false">пристройка!E33</f>
        <v>3</v>
      </c>
      <c r="R1353" s="1707" t="n">
        <f aca="false">IF(Q1353&lt;=2,0,1)</f>
        <v>1</v>
      </c>
      <c r="S1353" s="1734"/>
      <c r="T1353" s="1734"/>
      <c r="U1353" s="1734"/>
      <c r="V1353" s="1734"/>
      <c r="W1353" s="1734"/>
      <c r="X1353" s="1734"/>
      <c r="Y1353" s="1734"/>
    </row>
    <row r="1354" customFormat="false" ht="15.75" hidden="true" customHeight="true" outlineLevel="1" collapsed="false">
      <c r="F1354" s="1617"/>
      <c r="O1354" s="1707"/>
      <c r="P1354" s="2187"/>
      <c r="Q1354" s="1707" t="n">
        <f aca="false">пристройка!F34</f>
        <v>5</v>
      </c>
      <c r="R1354" s="1707" t="n">
        <f aca="false">IF(Q1354&lt;=2,0,1)</f>
        <v>1</v>
      </c>
      <c r="S1354" s="1734"/>
      <c r="T1354" s="1734"/>
      <c r="U1354" s="1734"/>
      <c r="V1354" s="1734"/>
      <c r="W1354" s="1734"/>
      <c r="X1354" s="1734"/>
      <c r="Y1354" s="1734"/>
    </row>
    <row r="1355" customFormat="false" ht="15.75" hidden="true" customHeight="true" outlineLevel="1" collapsed="false">
      <c r="A1355" s="1707" t="s">
        <v>3765</v>
      </c>
      <c r="B1355" s="2064" t="s">
        <v>48</v>
      </c>
      <c r="C1355" s="2064" t="n">
        <v>0</v>
      </c>
      <c r="D1355" s="2203" t="n">
        <v>1</v>
      </c>
      <c r="E1355" s="1707"/>
      <c r="F1355" s="1617"/>
      <c r="O1355" s="1707" t="n">
        <f aca="false">C1238</f>
        <v>2</v>
      </c>
      <c r="P1355" s="2187" t="n">
        <f aca="false">IF(O1355&lt;=2,0,1)</f>
        <v>0</v>
      </c>
      <c r="Q1355" s="1707" t="n">
        <f aca="false">пристройка!F33</f>
        <v>3</v>
      </c>
      <c r="R1355" s="1707" t="n">
        <f aca="false">IF(Q1355&lt;=2,0,1)</f>
        <v>1</v>
      </c>
      <c r="S1355" s="1734"/>
      <c r="T1355" s="1734"/>
      <c r="U1355" s="1734"/>
      <c r="V1355" s="1734"/>
      <c r="W1355" s="1734"/>
      <c r="X1355" s="1734"/>
      <c r="Y1355" s="1734"/>
    </row>
    <row r="1356" customFormat="false" ht="15.75" hidden="true" customHeight="true" outlineLevel="1" collapsed="false">
      <c r="A1356" s="1344" t="s">
        <v>3766</v>
      </c>
      <c r="B1356" s="2064" t="s">
        <v>820</v>
      </c>
      <c r="C1356" s="2064" t="n">
        <f aca="false">'Ввод данных'!C1091</f>
        <v>0</v>
      </c>
      <c r="D1356" s="2203" t="n">
        <v>1</v>
      </c>
      <c r="E1356" s="1707"/>
      <c r="F1356" s="1617"/>
      <c r="O1356" s="1707" t="n">
        <f aca="false">C1239</f>
        <v>2.91547594742265</v>
      </c>
      <c r="P1356" s="2187" t="n">
        <f aca="false">IF(O1356&lt;=2,0,1)</f>
        <v>1</v>
      </c>
      <c r="Q1356" s="1707" t="n">
        <f aca="false">пристройка!F33</f>
        <v>3</v>
      </c>
      <c r="R1356" s="1707" t="n">
        <f aca="false">IF(Q1356&lt;=2,0,1)</f>
        <v>1</v>
      </c>
      <c r="S1356" s="1734"/>
      <c r="T1356" s="1734"/>
      <c r="U1356" s="1734"/>
      <c r="V1356" s="1734"/>
      <c r="W1356" s="1734"/>
      <c r="X1356" s="1734"/>
      <c r="Y1356" s="1734"/>
    </row>
    <row r="1357" customFormat="false" ht="15.75" hidden="true" customHeight="true" outlineLevel="1" collapsed="false">
      <c r="A1357" s="1344" t="s">
        <v>3767</v>
      </c>
      <c r="B1357" s="2064" t="s">
        <v>820</v>
      </c>
      <c r="C1357" s="2064" t="n">
        <v>0</v>
      </c>
      <c r="D1357" s="2203" t="n">
        <v>1</v>
      </c>
      <c r="E1357" s="1707"/>
      <c r="F1357" s="1617"/>
      <c r="O1357" s="1707" t="n">
        <f aca="false">O1356</f>
        <v>2.91547594742265</v>
      </c>
      <c r="P1357" s="2187" t="n">
        <f aca="false">IF(O1357&lt;=2,0,1)</f>
        <v>1</v>
      </c>
      <c r="Q1357" s="1707" t="n">
        <f aca="false">пристройка!H34</f>
        <v>6</v>
      </c>
      <c r="R1357" s="1707" t="n">
        <f aca="false">IF(Q1357&lt;=2,0,1)</f>
        <v>1</v>
      </c>
      <c r="S1357" s="1734"/>
      <c r="T1357" s="1734"/>
      <c r="U1357" s="1734"/>
      <c r="V1357" s="1734"/>
      <c r="W1357" s="1734"/>
      <c r="X1357" s="1734"/>
      <c r="Y1357" s="1734"/>
    </row>
    <row r="1358" customFormat="false" ht="15.75" hidden="true" customHeight="true" outlineLevel="1" collapsed="false">
      <c r="A1358" s="1707" t="s">
        <v>3768</v>
      </c>
      <c r="B1358" s="2064" t="s">
        <v>15</v>
      </c>
      <c r="C1358" s="2064" t="n">
        <v>1</v>
      </c>
      <c r="D1358" s="2203" t="n">
        <v>1</v>
      </c>
      <c r="E1358" s="1707"/>
      <c r="F1358" s="1617"/>
      <c r="O1358" s="1707" t="n">
        <f aca="false">C1240</f>
        <v>1.5</v>
      </c>
      <c r="P1358" s="2187" t="n">
        <f aca="false">IF(O1358&lt;=2,0,1)</f>
        <v>0</v>
      </c>
      <c r="Q1358" s="1707" t="n">
        <f aca="false">пристройка!H33</f>
        <v>3</v>
      </c>
      <c r="R1358" s="1707" t="n">
        <f aca="false">IF(Q1358&lt;=2,0,1)</f>
        <v>1</v>
      </c>
      <c r="S1358" s="1734"/>
      <c r="T1358" s="1734"/>
      <c r="U1358" s="1734"/>
      <c r="V1358" s="1734"/>
      <c r="W1358" s="1734"/>
      <c r="X1358" s="1734"/>
      <c r="Y1358" s="1734"/>
    </row>
    <row r="1359" customFormat="false" ht="15.75" hidden="true" customHeight="true" outlineLevel="1" collapsed="false">
      <c r="A1359" s="2059" t="s">
        <v>3769</v>
      </c>
      <c r="B1359" s="2064" t="s">
        <v>15</v>
      </c>
      <c r="C1359" s="2064" t="n">
        <v>0</v>
      </c>
      <c r="D1359" s="2203" t="n">
        <v>0</v>
      </c>
      <c r="E1359" s="1707" t="n">
        <v>0.2</v>
      </c>
      <c r="F1359" s="2204" t="s">
        <v>3770</v>
      </c>
      <c r="G1359" s="2204"/>
      <c r="H1359" s="2204"/>
      <c r="I1359" s="2204"/>
      <c r="O1359" s="1707" t="n">
        <f aca="false">C1241</f>
        <v>3.2</v>
      </c>
      <c r="P1359" s="2187" t="n">
        <f aca="false">IF(O1359&lt;=2,0,1)</f>
        <v>1</v>
      </c>
      <c r="Q1359" s="1707" t="n">
        <f aca="false">пристройка!H33</f>
        <v>3</v>
      </c>
      <c r="R1359" s="1707" t="n">
        <f aca="false">IF(Q1359&lt;=2,0,1)</f>
        <v>1</v>
      </c>
      <c r="S1359" s="1734"/>
      <c r="T1359" s="1734"/>
      <c r="U1359" s="1734"/>
      <c r="V1359" s="1734"/>
      <c r="W1359" s="1734"/>
      <c r="X1359" s="1734"/>
      <c r="Y1359" s="1734"/>
    </row>
    <row r="1360" customFormat="false" ht="15.75" hidden="true" customHeight="true" outlineLevel="1" collapsed="false">
      <c r="A1360" s="2173"/>
      <c r="B1360" s="2064" t="s">
        <v>15</v>
      </c>
      <c r="C1360" s="2205" t="n">
        <f aca="false">VLOOKUP(A1408,связи1!A296:D308,4,0)</f>
        <v>0</v>
      </c>
      <c r="D1360" s="2203" t="n">
        <v>1</v>
      </c>
      <c r="E1360" s="1707" t="n">
        <v>0.15</v>
      </c>
      <c r="F1360" s="2204"/>
      <c r="G1360" s="2204"/>
      <c r="H1360" s="2204"/>
      <c r="I1360" s="2204"/>
      <c r="O1360" s="1707"/>
      <c r="P1360" s="2187"/>
      <c r="Q1360" s="1707" t="n">
        <f aca="false">пристройка!I34</f>
        <v>3</v>
      </c>
      <c r="R1360" s="1707" t="n">
        <f aca="false">IF(Q1360&lt;=2,0,1)</f>
        <v>1</v>
      </c>
      <c r="S1360" s="1734"/>
      <c r="T1360" s="1734"/>
      <c r="U1360" s="1734"/>
      <c r="V1360" s="1734"/>
      <c r="W1360" s="1734"/>
      <c r="X1360" s="1734"/>
      <c r="Y1360" s="1734"/>
    </row>
    <row r="1361" customFormat="false" ht="15.75" hidden="true" customHeight="true" outlineLevel="1" collapsed="false">
      <c r="A1361" s="2206" t="s">
        <v>3771</v>
      </c>
      <c r="B1361" s="2064" t="s">
        <v>48</v>
      </c>
      <c r="C1361" s="2141" t="e">
        <f aca="false">VLOOKUP('Ввод данных'!C1095,связи1!A2:B3,2,0)</f>
        <v>#N/A</v>
      </c>
      <c r="D1361" s="1734"/>
      <c r="E1361" s="1734"/>
      <c r="F1361" s="2064" t="s">
        <v>3002</v>
      </c>
      <c r="G1361" s="2064" t="s">
        <v>3772</v>
      </c>
      <c r="H1361" s="2064"/>
      <c r="I1361" s="2064" t="s">
        <v>3004</v>
      </c>
      <c r="O1361" s="1707" t="n">
        <f aca="false">'Ввод данных'!C607</f>
        <v>3</v>
      </c>
      <c r="P1361" s="2187" t="n">
        <f aca="false">IF(O1361&lt;=2,0,1)</f>
        <v>1</v>
      </c>
      <c r="Q1361" s="1707" t="n">
        <f aca="false">пристройка!I33</f>
        <v>3</v>
      </c>
      <c r="R1361" s="1707" t="n">
        <f aca="false">IF(Q1361&lt;=2,0,1)</f>
        <v>1</v>
      </c>
      <c r="S1361" s="1734"/>
      <c r="T1361" s="1734"/>
      <c r="U1361" s="1734"/>
      <c r="V1361" s="1734"/>
      <c r="W1361" s="1734"/>
      <c r="X1361" s="1734"/>
      <c r="Y1361" s="1734"/>
    </row>
    <row r="1362" customFormat="false" ht="15.75" hidden="true" customHeight="true" outlineLevel="1" collapsed="false">
      <c r="A1362" s="2051" t="s">
        <v>3773</v>
      </c>
      <c r="B1362" s="2064" t="s">
        <v>48</v>
      </c>
      <c r="C1362" s="2141" t="n">
        <f aca="false">'Ввод данных'!C1093</f>
        <v>0</v>
      </c>
      <c r="D1362" s="1734"/>
      <c r="E1362" s="1734"/>
      <c r="F1362" s="2064" t="n">
        <f aca="false">(C16+C17+C16+C17)*D43*E43+(C16+C17+C16+C17)*D44*E44+(C16+C17+C16+C17)*D45*E45</f>
        <v>12.8</v>
      </c>
      <c r="G1362" s="2064" t="n">
        <f aca="false">пристройка!D2*(пристройка!C85*пристройка!C21*пристройка!C25+пристройка!C85*пристройка!C22*пристройка!C26+пристройка!C85*пристройка!C23*пристройка!C27)</f>
        <v>0</v>
      </c>
      <c r="H1362" s="2064"/>
      <c r="I1362" s="2064" t="n">
        <f aca="false">D1229*(C1275*D1235*E1235+D1236*E1236*C1275+C1275*D1237*E1237)</f>
        <v>0</v>
      </c>
      <c r="O1362" s="1707" t="n">
        <f aca="false">'Ввод данных'!C608</f>
        <v>3</v>
      </c>
      <c r="P1362" s="2187" t="n">
        <f aca="false">IF(O1362&lt;=2,0,1)</f>
        <v>1</v>
      </c>
      <c r="Q1362" s="1707" t="n">
        <f aca="false">пристройка!I33</f>
        <v>3</v>
      </c>
      <c r="R1362" s="1707" t="n">
        <f aca="false">IF(Q1362&lt;=2,0,1)</f>
        <v>1</v>
      </c>
      <c r="S1362" s="1734"/>
      <c r="T1362" s="1734"/>
      <c r="U1362" s="1734"/>
      <c r="V1362" s="1734"/>
      <c r="W1362" s="1734"/>
      <c r="X1362" s="1734"/>
      <c r="Y1362" s="1734"/>
    </row>
    <row r="1363" customFormat="false" ht="15.75" hidden="true" customHeight="true" outlineLevel="1" collapsed="false">
      <c r="A1363" s="2207" t="s">
        <v>3774</v>
      </c>
      <c r="B1363" s="2208"/>
      <c r="C1363" s="2209"/>
      <c r="D1363" s="2174"/>
      <c r="E1363" s="2174"/>
      <c r="F1363" s="2064" t="n">
        <f aca="false">E1367+E1368+E1369</f>
        <v>15.045</v>
      </c>
      <c r="G1363" s="1707" t="n">
        <f aca="false">F1362+G1362+I1362</f>
        <v>12.8</v>
      </c>
      <c r="H1363" s="1707"/>
      <c r="I1363" s="1436"/>
      <c r="J1363" s="2210" t="n">
        <f aca="false">F1363+G1363+I1363</f>
        <v>27.845</v>
      </c>
      <c r="O1363" s="1707" t="n">
        <f aca="false">'Ввод данных'!C608</f>
        <v>3</v>
      </c>
      <c r="P1363" s="2062" t="n">
        <f aca="false">IF(O1363&lt;=2,0,1)</f>
        <v>1</v>
      </c>
      <c r="Q1363" s="1707" t="n">
        <f aca="false">пристройка!J34</f>
        <v>3</v>
      </c>
      <c r="R1363" s="1707" t="n">
        <f aca="false">IF(Q1363&lt;=2,0,1)</f>
        <v>1</v>
      </c>
      <c r="S1363" s="1734"/>
      <c r="T1363" s="1734"/>
      <c r="U1363" s="1734"/>
      <c r="V1363" s="1734"/>
      <c r="W1363" s="1734"/>
      <c r="X1363" s="1734"/>
      <c r="Y1363" s="1734"/>
    </row>
    <row r="1364" customFormat="false" ht="15.75" hidden="true" customHeight="true" outlineLevel="1" collapsed="false">
      <c r="A1364" s="2211" t="s">
        <v>3775</v>
      </c>
      <c r="B1364" s="1958" t="s">
        <v>820</v>
      </c>
      <c r="C1364" s="2064" t="n">
        <f aca="false">B1319*C1319*D1319+пристройка!D2*(пристройка!C9*пристройка!C25*пристройка!C3+пристройка!C10*пристройка!C5*пристройка!C26)+D1229*C1235</f>
        <v>128</v>
      </c>
      <c r="D1364" s="2174"/>
      <c r="E1364" s="2174"/>
      <c r="F1364" s="2174"/>
      <c r="Q1364" s="1707" t="n">
        <f aca="false">пристройка!J33</f>
        <v>3</v>
      </c>
      <c r="R1364" s="1707" t="n">
        <f aca="false">IF(Q1364&lt;=2,0,1)</f>
        <v>1</v>
      </c>
      <c r="S1364" s="1734"/>
      <c r="T1364" s="1734"/>
      <c r="U1364" s="1734"/>
      <c r="V1364" s="1734"/>
      <c r="W1364" s="1734"/>
      <c r="X1364" s="1734"/>
      <c r="Y1364" s="1734"/>
    </row>
    <row r="1365" customFormat="false" ht="15.75" hidden="true" customHeight="true" outlineLevel="1" collapsed="false">
      <c r="A1365" s="2211" t="s">
        <v>3776</v>
      </c>
      <c r="B1365" s="1958" t="s">
        <v>820</v>
      </c>
      <c r="C1365" s="2064" t="n">
        <f aca="false">C1377</f>
        <v>0</v>
      </c>
      <c r="D1365" s="2174"/>
      <c r="E1365" s="2174"/>
      <c r="F1365" s="2174"/>
      <c r="Q1365" s="1707" t="n">
        <f aca="false">пристройка!J33</f>
        <v>3</v>
      </c>
      <c r="R1365" s="1707" t="n">
        <f aca="false">IF(Q1365&lt;=2,0,1)</f>
        <v>1</v>
      </c>
      <c r="S1365" s="1734"/>
      <c r="T1365" s="1734"/>
      <c r="U1365" s="1734"/>
      <c r="V1365" s="1734"/>
      <c r="W1365" s="1734"/>
      <c r="X1365" s="1734"/>
      <c r="Y1365" s="1734"/>
    </row>
    <row r="1366" customFormat="false" ht="15.75" hidden="true" customHeight="true" outlineLevel="1" collapsed="false">
      <c r="A1366" s="2211" t="s">
        <v>3777</v>
      </c>
      <c r="B1366" s="1958" t="s">
        <v>15</v>
      </c>
      <c r="C1366" s="2064" t="n">
        <f aca="false">C1319+D1319+C1319+D1319+(C1321*D1321)+(C1322*D1322)+(C1323*D1323)+C1324*D1324*C1329*D1329+C1330*D1330+C1331*D1331+C1332*D1332+пристройка!D2*пристройка!R85+D1229*C1275*E1274</f>
        <v>48</v>
      </c>
      <c r="D1366" s="2174"/>
      <c r="E1366" s="2174"/>
      <c r="F1366" s="2174"/>
      <c r="Q1366" s="1707" t="n">
        <f aca="false">пристройка!K34</f>
        <v>5</v>
      </c>
      <c r="R1366" s="1707" t="n">
        <f aca="false">IF(Q1366&lt;=2,0,1)</f>
        <v>1</v>
      </c>
      <c r="S1366" s="1734"/>
      <c r="T1366" s="1734"/>
      <c r="U1366" s="1734"/>
      <c r="V1366" s="1734"/>
      <c r="W1366" s="1734"/>
      <c r="X1366" s="1734"/>
      <c r="Y1366" s="1734"/>
    </row>
    <row r="1367" customFormat="false" ht="15.75" hidden="true" customHeight="true" outlineLevel="1" collapsed="false">
      <c r="A1367" s="2211" t="s">
        <v>3778</v>
      </c>
      <c r="B1367" s="1958" t="s">
        <v>15</v>
      </c>
      <c r="C1367" s="2064" t="n">
        <f aca="false">((C1319+D1319+C1319+D1319)*B1319+пристройка!D2*пристройка!C85*пристройка!D84*пристройка!C3+D1229*C1275*E1274*C1232+пристройка!D2*пристройка!C85*пристройка!C5*пристройка!D84+D1229*C1233*C1275*E1274)</f>
        <v>64</v>
      </c>
      <c r="D1367" s="2174" t="n">
        <f aca="false">C1349*D1349+C1350*D1350</f>
        <v>0.15</v>
      </c>
      <c r="E1367" s="2174" t="n">
        <f aca="false">C1367*D1367</f>
        <v>9.6</v>
      </c>
      <c r="F1367" s="2174"/>
      <c r="Q1367" s="1707" t="n">
        <f aca="false">пристройка!K33</f>
        <v>3</v>
      </c>
      <c r="R1367" s="1707" t="n">
        <f aca="false">IF(Q1367&lt;=2,0,1)</f>
        <v>1</v>
      </c>
      <c r="S1367" s="1734"/>
      <c r="T1367" s="1734"/>
      <c r="U1367" s="1734"/>
      <c r="V1367" s="1734"/>
      <c r="W1367" s="1734"/>
      <c r="X1367" s="1734"/>
      <c r="Y1367" s="1734"/>
    </row>
    <row r="1368" customFormat="false" ht="15.75" hidden="true" customHeight="true" outlineLevel="1" collapsed="false">
      <c r="A1368" s="2211" t="s">
        <v>3779</v>
      </c>
      <c r="B1368" s="1958" t="s">
        <v>15</v>
      </c>
      <c r="C1368" s="2064" t="n">
        <f aca="false">(C1321*D1321+C1322*D1322+C1323*D1323+C1329*D1329+C1330*D1330+C1331*D1331+C1332*D1332)+(N1321*O1321+N1322*O1322+N1323*O1323+N1329*O1329+N1330*O1330+N1331*O1331+C1324*D1324+N1324*O1324+N1332*O1332)*(B1319-1)</f>
        <v>28.5</v>
      </c>
      <c r="D1368" s="2174" t="n">
        <f aca="false">C1351*D1351+C1352*D1352</f>
        <v>0.15</v>
      </c>
      <c r="E1368" s="2174" t="n">
        <f aca="false">C1368*D1368</f>
        <v>4.275</v>
      </c>
      <c r="F1368" s="2174"/>
      <c r="O1368" s="1734"/>
      <c r="P1368" s="2200"/>
      <c r="Q1368" s="1707" t="n">
        <f aca="false">пристройка!K33</f>
        <v>3</v>
      </c>
      <c r="R1368" s="1707" t="n">
        <f aca="false">IF(Q1368&lt;=2,0,1)</f>
        <v>1</v>
      </c>
      <c r="S1368" s="1734"/>
      <c r="T1368" s="1734"/>
      <c r="U1368" s="1734"/>
      <c r="V1368" s="1734"/>
      <c r="W1368" s="1734"/>
      <c r="X1368" s="1734"/>
      <c r="Y1368" s="1734"/>
    </row>
    <row r="1369" customFormat="false" ht="15.75" hidden="true" customHeight="true" outlineLevel="1" collapsed="false">
      <c r="A1369" s="2211" t="s">
        <v>3780</v>
      </c>
      <c r="B1369" s="1958" t="s">
        <v>15</v>
      </c>
      <c r="C1369" s="2064" t="n">
        <f aca="false">(C1325*D1325+C1326*D1326+C1327*D1327+C1328*D1328+C1333*D1333+C1334*D1334+C1335*D1335)+(C1336*D1336+N1325*O1325+N1326*O1326+N1327*O1327+N1328*O1328+N1333*O1333+N1334*O1334+N1335*O1335+N1336*O1336)*(B1319-1)</f>
        <v>7.8</v>
      </c>
      <c r="D1369" s="2174" t="n">
        <f aca="false">C1351*D1351+C1352*D1352</f>
        <v>0.15</v>
      </c>
      <c r="E1369" s="2174" t="n">
        <f aca="false">C1369*D1369</f>
        <v>1.17</v>
      </c>
      <c r="F1369" s="2174"/>
      <c r="S1369" s="1734"/>
      <c r="T1369" s="1734"/>
      <c r="U1369" s="1734"/>
      <c r="V1369" s="1734"/>
      <c r="W1369" s="1734"/>
      <c r="X1369" s="1734"/>
      <c r="Y1369" s="1734"/>
    </row>
    <row r="1370" customFormat="false" ht="15.75" hidden="true" customHeight="true" outlineLevel="1" collapsed="false">
      <c r="A1370" s="2212" t="s">
        <v>3781</v>
      </c>
      <c r="B1370" s="2213" t="s">
        <v>820</v>
      </c>
      <c r="C1370" s="2213" t="n">
        <f aca="false">связи1!C155</f>
        <v>0</v>
      </c>
      <c r="D1370" s="2174" t="n">
        <f aca="false">C1370*2.2*(D1351*E1351+D1352*E1352)*0.05*G1345</f>
        <v>0</v>
      </c>
      <c r="E1370" s="2174"/>
      <c r="F1370" s="2174"/>
      <c r="S1370" s="1734"/>
      <c r="T1370" s="1734"/>
      <c r="U1370" s="1734"/>
      <c r="V1370" s="1734"/>
      <c r="W1370" s="1734"/>
      <c r="X1370" s="1734"/>
      <c r="Y1370" s="1734"/>
    </row>
    <row r="1371" customFormat="false" ht="15.75" hidden="true" customHeight="true" outlineLevel="1" collapsed="false">
      <c r="A1371" s="2211" t="s">
        <v>3782</v>
      </c>
      <c r="B1371" s="1958" t="s">
        <v>820</v>
      </c>
      <c r="C1371" s="2064" t="n">
        <f aca="false">(C1319*2+D1319*2)*E1319+(B1319-1)*(F1319*2*E1319+C1319/2*(G1319+F1319)/2*2-C1319/2*(I1319-G1319))*2+пристройка!R95*пристройка!D2</f>
        <v>121.92</v>
      </c>
      <c r="S1371" s="1734"/>
      <c r="T1371" s="1734"/>
      <c r="U1371" s="1734"/>
      <c r="V1371" s="1734"/>
      <c r="W1371" s="1734"/>
      <c r="X1371" s="1734"/>
      <c r="Y1371" s="1734"/>
    </row>
    <row r="1372" customFormat="false" ht="15.75" hidden="true" customHeight="true" outlineLevel="1" collapsed="false">
      <c r="A1372" s="2212" t="s">
        <v>3783</v>
      </c>
      <c r="B1372" s="2213"/>
      <c r="C1372" s="2213" t="n">
        <f aca="false">связи1!D155</f>
        <v>0</v>
      </c>
      <c r="V1372" s="1734"/>
      <c r="W1372" s="1734"/>
      <c r="X1372" s="1734"/>
      <c r="Y1372" s="1734"/>
    </row>
    <row r="1373" customFormat="false" ht="15.75" hidden="true" customHeight="true" outlineLevel="1" collapsed="false">
      <c r="A1373" s="2212" t="s">
        <v>3784</v>
      </c>
      <c r="B1373" s="2213" t="s">
        <v>820</v>
      </c>
      <c r="C1373" s="2213" t="n">
        <f aca="false">связи1!E155</f>
        <v>0</v>
      </c>
      <c r="V1373" s="1734"/>
      <c r="W1373" s="1734"/>
      <c r="X1373" s="1734"/>
      <c r="Y1373" s="1734"/>
    </row>
    <row r="1374" customFormat="false" ht="15.75" hidden="true" customHeight="true" outlineLevel="1" collapsed="false">
      <c r="A1374" s="2211" t="s">
        <v>3785</v>
      </c>
      <c r="B1374" s="1958"/>
      <c r="C1374" s="2064" t="n">
        <f aca="false">(C1350*D1350)*E1319*4+(C1350*D1350)*F1319*4*(B1319-1)</f>
        <v>2.64</v>
      </c>
      <c r="I1374" s="2200"/>
      <c r="J1374" s="2157"/>
      <c r="K1374" s="1734"/>
      <c r="L1374" s="1734"/>
      <c r="M1374" s="1734"/>
      <c r="N1374" s="1734"/>
      <c r="S1374" s="1734"/>
      <c r="T1374" s="1734"/>
      <c r="U1374" s="1734"/>
      <c r="V1374" s="1734"/>
      <c r="W1374" s="1734"/>
      <c r="X1374" s="1734"/>
      <c r="Y1374" s="1734"/>
    </row>
    <row r="1375" customFormat="false" ht="15.75" hidden="true" customHeight="true" outlineLevel="1" collapsed="false">
      <c r="A1375" s="2211" t="s">
        <v>3786</v>
      </c>
      <c r="B1375" s="1958" t="s">
        <v>820</v>
      </c>
      <c r="C1375" s="2064" t="n">
        <f aca="false">C1373+C1372</f>
        <v>0</v>
      </c>
      <c r="G1375" s="1734"/>
      <c r="H1375" s="1734"/>
      <c r="I1375" s="2200"/>
      <c r="J1375" s="2157"/>
      <c r="K1375" s="1734"/>
      <c r="L1375" s="1734"/>
      <c r="M1375" s="1734"/>
      <c r="N1375" s="1734"/>
      <c r="S1375" s="1734"/>
      <c r="T1375" s="1734"/>
      <c r="U1375" s="1734"/>
      <c r="V1375" s="1734"/>
      <c r="W1375" s="1734"/>
      <c r="X1375" s="1734"/>
      <c r="Y1375" s="1734"/>
    </row>
    <row r="1376" customFormat="false" ht="15.75" hidden="true" customHeight="true" outlineLevel="1" collapsed="false">
      <c r="A1376" s="2211" t="s">
        <v>3787</v>
      </c>
      <c r="B1376" s="1958" t="s">
        <v>820</v>
      </c>
      <c r="C1376" s="2064" t="n">
        <f aca="false">IF('Ввод данных'!A19=связи1!A155,дома!F1105+дома!F1108,0)+IF('Ввод данных'!A19=связи1!A166,дома!F1104+дома!F1108,0)+IF('Ввод данных'!A19=связи1!A174,дома!F1104+дома!F1108,0)+IF('Ввод данных'!A19=связи1!A181,дома!F1104+дома!F1108,0)</f>
        <v>0</v>
      </c>
      <c r="D1376" s="2174"/>
      <c r="E1376" s="2174"/>
      <c r="F1376" s="2174"/>
      <c r="I1376" s="2200"/>
      <c r="J1376" s="2157"/>
      <c r="K1376" s="1734"/>
      <c r="L1376" s="1734"/>
      <c r="M1376" s="1734"/>
      <c r="N1376" s="1734"/>
      <c r="S1376" s="1734"/>
      <c r="T1376" s="1734"/>
      <c r="U1376" s="1734"/>
      <c r="V1376" s="1734"/>
      <c r="W1376" s="1734"/>
      <c r="X1376" s="1734"/>
      <c r="Y1376" s="1734"/>
    </row>
    <row r="1377" customFormat="false" ht="15.75" hidden="true" customHeight="true" outlineLevel="1" collapsed="false">
      <c r="A1377" s="2211" t="s">
        <v>3788</v>
      </c>
      <c r="B1377" s="1958" t="s">
        <v>820</v>
      </c>
      <c r="C1377" s="2064" t="n">
        <f aca="false">IF('Ввод данных'!A19=связи1!A155,дома!S93,0)+IF('Ввод данных'!A19=связи1!A166,дома!Q93,0)+IF('Ввод данных'!A19=связи1!A174,дома!Q93,0)+IF('Ввод данных'!A19=связи1!A181,дома!Q93,0)</f>
        <v>0</v>
      </c>
      <c r="D1377" s="2174"/>
      <c r="E1377" s="2174"/>
      <c r="F1377" s="2174"/>
      <c r="G1377" s="1734"/>
      <c r="H1377" s="1734"/>
      <c r="I1377" s="2200"/>
      <c r="J1377" s="2157"/>
      <c r="K1377" s="1734"/>
      <c r="L1377" s="1734"/>
      <c r="M1377" s="1734"/>
      <c r="N1377" s="1734"/>
      <c r="S1377" s="1734"/>
      <c r="T1377" s="1734"/>
      <c r="U1377" s="1734"/>
      <c r="V1377" s="1734"/>
      <c r="W1377" s="1734"/>
      <c r="X1377" s="1734"/>
      <c r="Y1377" s="1734"/>
    </row>
    <row r="1378" customFormat="false" ht="15.75" hidden="true" customHeight="true" outlineLevel="1" collapsed="false">
      <c r="A1378" s="2211" t="s">
        <v>3789</v>
      </c>
      <c r="B1378" s="1958"/>
      <c r="C1378" s="2064"/>
      <c r="D1378" s="2174"/>
      <c r="E1378" s="2174"/>
      <c r="F1378" s="2174"/>
      <c r="G1378" s="1734"/>
      <c r="H1378" s="1734"/>
      <c r="I1378" s="2200"/>
      <c r="J1378" s="2157"/>
      <c r="K1378" s="1734"/>
      <c r="L1378" s="1734"/>
      <c r="M1378" s="1734"/>
      <c r="N1378" s="1734"/>
      <c r="S1378" s="1734"/>
      <c r="T1378" s="1734"/>
      <c r="U1378" s="1734"/>
      <c r="V1378" s="1734"/>
      <c r="W1378" s="1734"/>
      <c r="X1378" s="1734"/>
      <c r="Y1378" s="1734"/>
    </row>
    <row r="1379" customFormat="false" ht="15.75" hidden="true" customHeight="true" outlineLevel="1" collapsed="false">
      <c r="A1379" s="2211" t="s">
        <v>3790</v>
      </c>
      <c r="B1379" s="1958" t="s">
        <v>820</v>
      </c>
      <c r="C1379" s="2064"/>
      <c r="D1379" s="2174"/>
      <c r="E1379" s="2174"/>
      <c r="F1379" s="2174"/>
      <c r="G1379" s="1734"/>
      <c r="H1379" s="1734"/>
      <c r="I1379" s="2200"/>
      <c r="J1379" s="2157"/>
      <c r="K1379" s="1734"/>
      <c r="L1379" s="1734"/>
      <c r="M1379" s="1734"/>
      <c r="N1379" s="1734"/>
      <c r="S1379" s="1734"/>
      <c r="T1379" s="1734"/>
      <c r="U1379" s="1734"/>
      <c r="V1379" s="1734"/>
      <c r="W1379" s="1734"/>
      <c r="X1379" s="1734"/>
      <c r="Y1379" s="1734"/>
    </row>
    <row r="1380" customFormat="false" ht="15.75" hidden="true" customHeight="true" outlineLevel="1" collapsed="false">
      <c r="A1380" s="2211" t="s">
        <v>3791</v>
      </c>
      <c r="B1380" s="1958" t="s">
        <v>820</v>
      </c>
      <c r="C1380" s="2064"/>
      <c r="D1380" s="2174"/>
      <c r="E1380" s="2174"/>
      <c r="F1380" s="2174"/>
      <c r="G1380" s="1734"/>
      <c r="H1380" s="1734"/>
      <c r="I1380" s="2200"/>
      <c r="J1380" s="2157"/>
      <c r="K1380" s="1734"/>
      <c r="L1380" s="1734"/>
      <c r="M1380" s="1734"/>
      <c r="N1380" s="1734"/>
      <c r="S1380" s="1734"/>
      <c r="T1380" s="1734"/>
      <c r="U1380" s="1734"/>
      <c r="V1380" s="1734"/>
      <c r="W1380" s="1734"/>
      <c r="X1380" s="1734"/>
      <c r="Y1380" s="1734"/>
    </row>
    <row r="1381" customFormat="false" ht="15.75" hidden="true" customHeight="true" outlineLevel="1" collapsed="false">
      <c r="A1381" s="2211" t="s">
        <v>3792</v>
      </c>
      <c r="B1381" s="1958" t="s">
        <v>820</v>
      </c>
      <c r="C1381" s="2064"/>
      <c r="D1381" s="2174"/>
      <c r="E1381" s="2174"/>
      <c r="F1381" s="2174"/>
      <c r="G1381" s="1734"/>
      <c r="H1381" s="1734"/>
      <c r="I1381" s="2200"/>
      <c r="J1381" s="2157"/>
      <c r="K1381" s="1734"/>
      <c r="L1381" s="1734"/>
      <c r="M1381" s="1734"/>
      <c r="N1381" s="1734"/>
      <c r="S1381" s="1734"/>
      <c r="T1381" s="1734"/>
      <c r="U1381" s="1734"/>
      <c r="V1381" s="1734"/>
      <c r="W1381" s="1734"/>
      <c r="X1381" s="1734"/>
      <c r="Y1381" s="1734"/>
    </row>
    <row r="1382" customFormat="false" ht="15.75" hidden="true" customHeight="true" outlineLevel="1" collapsed="false">
      <c r="A1382" s="2211" t="s">
        <v>3793</v>
      </c>
      <c r="B1382" s="1958" t="s">
        <v>820</v>
      </c>
      <c r="C1382" s="2064"/>
      <c r="D1382" s="2174"/>
      <c r="E1382" s="2174"/>
      <c r="F1382" s="2174"/>
      <c r="G1382" s="1734"/>
      <c r="H1382" s="1734"/>
      <c r="I1382" s="2200"/>
      <c r="J1382" s="2157"/>
      <c r="K1382" s="1734"/>
      <c r="L1382" s="1734"/>
      <c r="M1382" s="1734"/>
      <c r="N1382" s="1734"/>
      <c r="S1382" s="1734"/>
      <c r="T1382" s="1734"/>
      <c r="U1382" s="1734"/>
      <c r="V1382" s="1734"/>
      <c r="W1382" s="1734"/>
      <c r="X1382" s="1734"/>
      <c r="Y1382" s="1734"/>
    </row>
    <row r="1383" customFormat="false" ht="15.75" hidden="true" customHeight="true" outlineLevel="1" collapsed="false">
      <c r="A1383" s="2214" t="s">
        <v>3690</v>
      </c>
      <c r="B1383" s="2215"/>
      <c r="C1383" s="2216"/>
      <c r="D1383" s="2174"/>
      <c r="E1383" s="2174"/>
      <c r="F1383" s="2174"/>
      <c r="G1383" s="1734"/>
      <c r="H1383" s="1734"/>
      <c r="I1383" s="2200"/>
      <c r="J1383" s="2157"/>
      <c r="K1383" s="1734"/>
      <c r="L1383" s="1734"/>
      <c r="M1383" s="1734"/>
      <c r="N1383" s="1734"/>
      <c r="S1383" s="1734"/>
      <c r="T1383" s="1734"/>
      <c r="U1383" s="1734"/>
      <c r="V1383" s="1734"/>
      <c r="W1383" s="1734"/>
      <c r="X1383" s="1734"/>
      <c r="Y1383" s="1734"/>
    </row>
    <row r="1384" customFormat="false" ht="15.75" hidden="true" customHeight="true" outlineLevel="1" collapsed="false">
      <c r="A1384" s="1707" t="s">
        <v>2821</v>
      </c>
      <c r="B1384" s="2064" t="s">
        <v>820</v>
      </c>
      <c r="C1384" s="2064" t="n">
        <f aca="false">B1115*E1181+I1115*I1181+L1115*L1181+D1229*G1281+G1202*(J1215+K1215)+пристройка!G196+пристройка!L196+Q1115*(P1181+Q1182)</f>
        <v>105.780913567754</v>
      </c>
      <c r="D1384" s="2174"/>
      <c r="E1384" s="2174"/>
      <c r="F1384" s="2174"/>
      <c r="G1384" s="1734"/>
      <c r="H1384" s="1734"/>
      <c r="I1384" s="2200"/>
      <c r="J1384" s="2157"/>
      <c r="K1384" s="1734"/>
      <c r="L1384" s="1734"/>
      <c r="M1384" s="1734"/>
      <c r="N1384" s="1734"/>
      <c r="S1384" s="1734"/>
      <c r="T1384" s="1734"/>
      <c r="U1384" s="1734"/>
      <c r="V1384" s="1734"/>
      <c r="W1384" s="1734"/>
      <c r="X1384" s="1734"/>
      <c r="Y1384" s="1734"/>
    </row>
    <row r="1385" customFormat="false" ht="15.75" hidden="true" customHeight="true" outlineLevel="1" collapsed="false">
      <c r="A1385" s="1707" t="s">
        <v>249</v>
      </c>
      <c r="B1385" s="2064" t="s">
        <v>15</v>
      </c>
      <c r="C1385" s="2064" t="n">
        <f aca="false">B1115*E1164+I1115*I1164+L1115*L1164+G1202*(J1216+K1216)+Q1115*(P1164+Q1165)</f>
        <v>9</v>
      </c>
      <c r="D1385" s="2174"/>
      <c r="E1385" s="2174"/>
      <c r="F1385" s="2174"/>
      <c r="G1385" s="1734"/>
      <c r="H1385" s="1734"/>
      <c r="I1385" s="2200"/>
      <c r="J1385" s="2157"/>
      <c r="K1385" s="1734"/>
      <c r="L1385" s="1734"/>
      <c r="M1385" s="1734"/>
      <c r="N1385" s="1734"/>
      <c r="S1385" s="1734"/>
      <c r="T1385" s="1734"/>
      <c r="U1385" s="1734"/>
      <c r="V1385" s="1734"/>
      <c r="W1385" s="1734"/>
      <c r="X1385" s="1734"/>
      <c r="Y1385" s="1734"/>
    </row>
    <row r="1386" customFormat="false" ht="15.75" hidden="true" customHeight="true" outlineLevel="1" collapsed="false">
      <c r="A1386" s="1707" t="s">
        <v>3794</v>
      </c>
      <c r="B1386" s="2064" t="s">
        <v>15</v>
      </c>
      <c r="C1386" s="2064" t="n">
        <f aca="false">I1115*I1170+L1115*L1170*4+D1229</f>
        <v>0</v>
      </c>
      <c r="D1386" s="2174"/>
      <c r="E1386" s="2174"/>
      <c r="F1386" s="2174"/>
      <c r="G1386" s="1734"/>
      <c r="H1386" s="1734"/>
      <c r="I1386" s="2200"/>
      <c r="J1386" s="2157"/>
      <c r="K1386" s="1734"/>
      <c r="L1386" s="1734"/>
      <c r="M1386" s="1734"/>
      <c r="N1386" s="1734"/>
      <c r="S1386" s="1734"/>
      <c r="T1386" s="1734"/>
      <c r="U1386" s="1734"/>
      <c r="V1386" s="1734"/>
      <c r="W1386" s="1734"/>
      <c r="X1386" s="1734"/>
      <c r="Y1386" s="1734"/>
    </row>
    <row r="1387" customFormat="false" ht="15.75" hidden="true" customHeight="true" outlineLevel="1" collapsed="false">
      <c r="A1387" s="1707" t="s">
        <v>3795</v>
      </c>
      <c r="B1387" s="2064"/>
      <c r="C1387" s="2064" t="n">
        <f aca="false">B1115*(C1132*C1148+E1167*C1152*2+E1167*C1155*2)+I1115*((F1132+F1152+F1152)*F1148+F1133*F1152)+((K1132+K1152+K1152)*J1138+K1133*K1152)*L1115+G1202*(C1222*C1206*C1204+D1222*D1206*D1204)+G2093*D2019*(I2111*E2108*2+I2110*2*E2107)+пристройка!D2*пристройка!R78+Q1115*(P1179+Q1180)+(C1276-C1284)*D1229</f>
        <v>15.7534348408615</v>
      </c>
      <c r="D1387" s="2174"/>
      <c r="E1387" s="2174"/>
      <c r="F1387" s="2174"/>
      <c r="G1387" s="1734"/>
      <c r="H1387" s="1734"/>
      <c r="I1387" s="2200"/>
      <c r="J1387" s="2157"/>
      <c r="K1387" s="1734"/>
      <c r="L1387" s="1734"/>
      <c r="M1387" s="1734"/>
      <c r="N1387" s="1734"/>
      <c r="S1387" s="1734"/>
      <c r="T1387" s="1734"/>
      <c r="U1387" s="1734"/>
      <c r="V1387" s="1734"/>
      <c r="W1387" s="1734"/>
      <c r="X1387" s="1734"/>
      <c r="Y1387" s="1734"/>
    </row>
    <row r="1388" customFormat="false" ht="15.75" hidden="true" customHeight="true" outlineLevel="1" collapsed="false">
      <c r="A1388" s="1707"/>
      <c r="B1388" s="2064"/>
      <c r="C1388" s="2064"/>
      <c r="D1388" s="2174"/>
      <c r="E1388" s="2174"/>
      <c r="F1388" s="2174"/>
      <c r="G1388" s="1734"/>
      <c r="H1388" s="1734"/>
      <c r="I1388" s="2200"/>
      <c r="J1388" s="2157"/>
      <c r="K1388" s="1734"/>
      <c r="L1388" s="1734"/>
      <c r="M1388" s="1734"/>
      <c r="N1388" s="1734"/>
      <c r="S1388" s="1734"/>
      <c r="T1388" s="1734"/>
      <c r="U1388" s="1734"/>
      <c r="V1388" s="1734"/>
      <c r="W1388" s="1734"/>
      <c r="X1388" s="1734"/>
      <c r="Y1388" s="1734"/>
    </row>
    <row r="1389" customFormat="false" ht="15.75" hidden="true" customHeight="true" outlineLevel="1" collapsed="false">
      <c r="A1389" s="1707" t="s">
        <v>3647</v>
      </c>
      <c r="B1389" s="2064" t="s">
        <v>15</v>
      </c>
      <c r="C1389" s="2064" t="n">
        <f aca="false">(SQRT(((C1319/2)*(C1319/2))+((I1319/2)*(I1319/2))))+C1390</f>
        <v>4.7169905660283</v>
      </c>
      <c r="D1389" s="2174"/>
      <c r="E1389" s="2174"/>
      <c r="F1389" s="2174"/>
      <c r="G1389" s="1734"/>
      <c r="H1389" s="1734"/>
      <c r="I1389" s="2200"/>
      <c r="J1389" s="2157"/>
      <c r="K1389" s="1734"/>
      <c r="L1389" s="1734"/>
      <c r="M1389" s="1734"/>
      <c r="N1389" s="1734"/>
      <c r="S1389" s="1734"/>
      <c r="T1389" s="1734"/>
      <c r="U1389" s="1734"/>
      <c r="V1389" s="1734"/>
      <c r="W1389" s="1734"/>
      <c r="X1389" s="1734"/>
      <c r="Y1389" s="1734"/>
    </row>
    <row r="1390" customFormat="false" ht="15.75" hidden="true" customHeight="true" outlineLevel="1" collapsed="false">
      <c r="A1390" s="1707" t="s">
        <v>273</v>
      </c>
      <c r="B1390" s="2064" t="s">
        <v>15</v>
      </c>
      <c r="C1390" s="2217"/>
      <c r="D1390" s="2174"/>
      <c r="E1390" s="2174"/>
      <c r="F1390" s="2174"/>
      <c r="G1390" s="1734"/>
      <c r="H1390" s="1734"/>
      <c r="I1390" s="2200"/>
      <c r="J1390" s="2157"/>
      <c r="K1390" s="1734"/>
      <c r="L1390" s="1734"/>
      <c r="M1390" s="1734"/>
      <c r="N1390" s="1734"/>
      <c r="S1390" s="1734"/>
      <c r="T1390" s="1734"/>
      <c r="U1390" s="1734"/>
      <c r="V1390" s="1734"/>
      <c r="W1390" s="1734"/>
      <c r="X1390" s="1734"/>
      <c r="Y1390" s="1734"/>
    </row>
    <row r="1391" customFormat="false" ht="15.75" hidden="true" customHeight="true" outlineLevel="1" collapsed="false">
      <c r="A1391" s="2218" t="s">
        <v>276</v>
      </c>
      <c r="B1391" s="2205" t="s">
        <v>15</v>
      </c>
      <c r="C1391" s="2219"/>
      <c r="D1391" s="2174"/>
      <c r="E1391" s="2174"/>
      <c r="F1391" s="2174"/>
      <c r="G1391" s="1734"/>
      <c r="H1391" s="1734"/>
      <c r="I1391" s="2200"/>
      <c r="J1391" s="2157"/>
      <c r="K1391" s="1734"/>
      <c r="L1391" s="1734"/>
      <c r="M1391" s="1734"/>
      <c r="N1391" s="1734"/>
      <c r="O1391" s="1734"/>
      <c r="P1391" s="1734"/>
      <c r="Q1391" s="1734"/>
      <c r="R1391" s="1734"/>
      <c r="S1391" s="1734"/>
      <c r="T1391" s="1734"/>
      <c r="U1391" s="1734"/>
      <c r="V1391" s="1734"/>
      <c r="W1391" s="1734"/>
      <c r="X1391" s="1734"/>
      <c r="Y1391" s="1734"/>
    </row>
    <row r="1392" customFormat="false" ht="15.75" hidden="true" customHeight="true" outlineLevel="1" collapsed="false">
      <c r="A1392" s="2220" t="s">
        <v>3796</v>
      </c>
      <c r="B1392" s="2221"/>
      <c r="C1392" s="2221"/>
      <c r="D1392" s="2222"/>
      <c r="E1392" s="2222"/>
      <c r="F1392" s="2222"/>
      <c r="G1392" s="2222"/>
      <c r="H1392" s="2222"/>
      <c r="I1392" s="2223"/>
      <c r="J1392" s="2222"/>
      <c r="K1392" s="2222"/>
      <c r="L1392" s="2222"/>
      <c r="M1392" s="2222"/>
      <c r="N1392" s="2222"/>
      <c r="O1392" s="2222"/>
      <c r="P1392" s="2224"/>
      <c r="Q1392" s="2157"/>
      <c r="R1392" s="2157"/>
      <c r="S1392" s="1734"/>
      <c r="T1392" s="1734"/>
      <c r="U1392" s="1734"/>
      <c r="V1392" s="1734"/>
      <c r="W1392" s="1734"/>
      <c r="X1392" s="1734"/>
      <c r="Y1392" s="1734"/>
    </row>
    <row r="1393" customFormat="false" ht="15.75" hidden="true" customHeight="true" outlineLevel="1" collapsed="false">
      <c r="A1393" s="2211" t="s">
        <v>2246</v>
      </c>
      <c r="B1393" s="2064" t="s">
        <v>1738</v>
      </c>
      <c r="C1393" s="2064" t="s">
        <v>118</v>
      </c>
      <c r="D1393" s="2064" t="s">
        <v>3797</v>
      </c>
      <c r="E1393" s="1707" t="s">
        <v>2916</v>
      </c>
      <c r="F1393" s="1734"/>
      <c r="G1393" s="1268" t="s">
        <v>3798</v>
      </c>
      <c r="H1393" s="1268"/>
      <c r="I1393" s="1584" t="s">
        <v>3799</v>
      </c>
      <c r="K1393" s="2225"/>
      <c r="L1393" s="1995" t="s">
        <v>3800</v>
      </c>
      <c r="M1393" s="2064" t="s">
        <v>1738</v>
      </c>
      <c r="N1393" s="1707" t="s">
        <v>118</v>
      </c>
      <c r="O1393" s="1707" t="s">
        <v>2915</v>
      </c>
      <c r="P1393" s="1707" t="s">
        <v>2916</v>
      </c>
      <c r="Q1393" s="1734"/>
      <c r="R1393" s="1734"/>
      <c r="S1393" s="1734"/>
      <c r="T1393" s="1734"/>
      <c r="U1393" s="1734"/>
      <c r="V1393" s="1734"/>
      <c r="W1393" s="1734"/>
      <c r="X1393" s="1734"/>
      <c r="Y1393" s="1734"/>
    </row>
    <row r="1394" customFormat="false" ht="15.75" hidden="true" customHeight="true" outlineLevel="1" collapsed="false">
      <c r="A1394" s="2211" t="str">
        <f aca="false">'Ввод данных'!A1110</f>
        <v>Доска сухая калиброванная, 190*45мм</v>
      </c>
      <c r="B1394" s="2064" t="s">
        <v>1043</v>
      </c>
      <c r="C1394" s="2064" t="n">
        <f aca="false">(C1367+C1368)*VLOOKUP(A1394,связи1!A202:E211,5,0)*G1345</f>
        <v>0.790875</v>
      </c>
      <c r="D1394" s="2064" t="n">
        <f aca="false">VLOOKUP(A1394,связи1!A202:D211,4,0)</f>
        <v>12500</v>
      </c>
      <c r="E1394" s="1707" t="n">
        <f aca="false">C1394*D1394</f>
        <v>9885.9375</v>
      </c>
      <c r="F1394" s="1734"/>
      <c r="K1394" s="1633"/>
      <c r="L1394" s="1707" t="str">
        <f aca="false">'Прайс лист'!B1479</f>
        <v>монтаж обвязочного бруса</v>
      </c>
      <c r="M1394" s="1707" t="str">
        <f aca="false">'Прайс лист'!C1479</f>
        <v>м.п.</v>
      </c>
      <c r="N1394" s="1707" t="n">
        <f aca="false">C1366*I1345</f>
        <v>48</v>
      </c>
      <c r="O1394" s="1707" t="n">
        <f aca="false">'Прайс лист'!G1479</f>
        <v>200</v>
      </c>
      <c r="P1394" s="1707" t="n">
        <f aca="false">N1394*O1394</f>
        <v>9600</v>
      </c>
      <c r="Q1394" s="1734"/>
      <c r="R1394" s="1734"/>
      <c r="S1394" s="1734"/>
      <c r="T1394" s="1734"/>
      <c r="U1394" s="1734"/>
      <c r="V1394" s="1734"/>
      <c r="W1394" s="1734"/>
      <c r="X1394" s="1734"/>
      <c r="Y1394" s="1734"/>
    </row>
    <row r="1395" customFormat="false" ht="15.75" hidden="true" customHeight="true" outlineLevel="1" collapsed="false">
      <c r="A1395" s="2211" t="s">
        <v>2061</v>
      </c>
      <c r="B1395" s="2064" t="s">
        <v>699</v>
      </c>
      <c r="C1395" s="2064" t="n">
        <f aca="false">C1394*7*G1345</f>
        <v>5.536125</v>
      </c>
      <c r="D1395" s="2064" t="n">
        <f aca="false">'Прайс лист'!G645</f>
        <v>60</v>
      </c>
      <c r="E1395" s="1707" t="n">
        <f aca="false">C1395*D1395</f>
        <v>332.1675</v>
      </c>
      <c r="F1395" s="1734"/>
      <c r="I1395" s="1584" t="s">
        <v>1097</v>
      </c>
      <c r="J1395" s="1268" t="s">
        <v>116</v>
      </c>
      <c r="K1395" s="2062" t="s">
        <v>2491</v>
      </c>
      <c r="L1395" s="1707" t="str">
        <f aca="false">'Прайс лист'!B1480</f>
        <v>обработка мастикой</v>
      </c>
      <c r="M1395" s="1707" t="str">
        <f aca="false">'Прайс лист'!C1480</f>
        <v>м.п.</v>
      </c>
      <c r="N1395" s="1707" t="n">
        <f aca="false">N1394*I1345</f>
        <v>48</v>
      </c>
      <c r="O1395" s="1707" t="n">
        <f aca="false">'Прайс лист'!G1480</f>
        <v>200</v>
      </c>
      <c r="P1395" s="1707" t="n">
        <f aca="false">N1395*O1395</f>
        <v>9600</v>
      </c>
      <c r="Q1395" s="1734"/>
      <c r="R1395" s="1734"/>
      <c r="S1395" s="1734"/>
      <c r="T1395" s="1734"/>
      <c r="U1395" s="1734"/>
      <c r="V1395" s="1734"/>
      <c r="W1395" s="1734"/>
      <c r="X1395" s="1734"/>
      <c r="Y1395" s="1734"/>
    </row>
    <row r="1396" customFormat="false" ht="15.75" hidden="true" customHeight="true" outlineLevel="1" collapsed="false">
      <c r="A1396" s="1582" t="str">
        <f aca="false">'Ввод данных'!A1085</f>
        <v>Sip панель 2800*1250*174мм</v>
      </c>
      <c r="B1396" s="2064" t="s">
        <v>820</v>
      </c>
      <c r="C1396" s="2064" t="n">
        <f aca="false">(C1370-C1374)*G1345</f>
        <v>-2.64</v>
      </c>
      <c r="D1396" s="2064" t="n">
        <f aca="false">VLOOKUP(A1396,связи1!A296:B308,2,0)</f>
        <v>1200</v>
      </c>
      <c r="E1396" s="1707" t="n">
        <f aca="false">C1396*D1396</f>
        <v>-3168</v>
      </c>
      <c r="F1396" s="1436" t="n">
        <f aca="false">VLOOKUP(A1396,связи1!A296:H308,8,0)</f>
        <v>3.5</v>
      </c>
      <c r="G1396" s="1633" t="n">
        <f aca="false">CEILING(C1396/F1396+1,1)</f>
        <v>1</v>
      </c>
      <c r="H1396" s="2009"/>
      <c r="I1396" s="1584" t="n">
        <f aca="false">VLOOKUP(A1396,связи1!A296:J308,9,0)</f>
        <v>2.8</v>
      </c>
      <c r="J1396" s="1582" t="n">
        <f aca="false">VLOOKUP(A1396,связи1!A296:J308,10,0)</f>
        <v>1.25</v>
      </c>
      <c r="K1396" s="2062" t="n">
        <f aca="false">VLOOKUP(A1396,связи1!A296:J308,6,0)</f>
        <v>0.174</v>
      </c>
      <c r="L1396" s="1707" t="str">
        <f aca="false">'Прайс лист'!B1481</f>
        <v>монтаж наружних стен сиппанели</v>
      </c>
      <c r="M1396" s="1707" t="str">
        <f aca="false">'Прайс лист'!C1481</f>
        <v>м2</v>
      </c>
      <c r="N1396" s="1707" t="n">
        <f aca="false">(C1370)*I1345</f>
        <v>0</v>
      </c>
      <c r="O1396" s="1707" t="n">
        <f aca="false">'Прайс лист'!G1481</f>
        <v>400</v>
      </c>
      <c r="P1396" s="1707" t="n">
        <f aca="false">N1396*O1396</f>
        <v>0</v>
      </c>
      <c r="Q1396" s="1734"/>
      <c r="R1396" s="1734"/>
      <c r="S1396" s="1734"/>
      <c r="T1396" s="1734"/>
      <c r="U1396" s="1734"/>
      <c r="V1396" s="1734"/>
      <c r="W1396" s="1734"/>
      <c r="X1396" s="1734"/>
      <c r="Y1396" s="1734"/>
    </row>
    <row r="1397" customFormat="false" ht="15.75" hidden="true" customHeight="true" outlineLevel="1" collapsed="false">
      <c r="A1397" s="2211" t="str">
        <f aca="false">'Ввод данных'!A1087</f>
        <v>Sip панель 2800*1250*174мм</v>
      </c>
      <c r="B1397" s="2064" t="s">
        <v>820</v>
      </c>
      <c r="C1397" s="2064" t="n">
        <f aca="false">C1372*G1345</f>
        <v>0</v>
      </c>
      <c r="D1397" s="2064" t="n">
        <f aca="false">VLOOKUP(A1397,связи1!A296:B308,2,0)</f>
        <v>1200</v>
      </c>
      <c r="E1397" s="1707" t="n">
        <f aca="false">C1397*D1397</f>
        <v>0</v>
      </c>
      <c r="F1397" s="1436" t="n">
        <f aca="false">VLOOKUP(A1397,связи1!A296:H308,8,0)</f>
        <v>3.5</v>
      </c>
      <c r="G1397" s="1633" t="n">
        <f aca="false">CEILING(C1397/F1397+1,1)</f>
        <v>1</v>
      </c>
      <c r="H1397" s="2009"/>
      <c r="I1397" s="1584" t="n">
        <f aca="false">VLOOKUP(A1397,связи1!A296:J308,9,0)</f>
        <v>2.8</v>
      </c>
      <c r="J1397" s="1582" t="n">
        <f aca="false">VLOOKUP(A1397,связи1!A296:J308,10,0)</f>
        <v>1.25</v>
      </c>
      <c r="K1397" s="1633" t="n">
        <f aca="false">VLOOKUP(A1397,связи1!A296:J308,6,0)</f>
        <v>0.174</v>
      </c>
      <c r="L1397" s="1707" t="str">
        <f aca="false">'Прайс лист'!B1482</f>
        <v>Монтаж несущих перегородок сип панели</v>
      </c>
      <c r="M1397" s="1707" t="str">
        <f aca="false">'Прайс лист'!C1482</f>
        <v>м2</v>
      </c>
      <c r="N1397" s="1436" t="n">
        <f aca="false">C1372</f>
        <v>0</v>
      </c>
      <c r="O1397" s="1707" t="n">
        <f aca="false">'Прайс лист'!G1482</f>
        <v>400</v>
      </c>
      <c r="P1397" s="1707" t="n">
        <f aca="false">N1397*O1397</f>
        <v>0</v>
      </c>
      <c r="Q1397" s="1734"/>
      <c r="R1397" s="1734"/>
      <c r="S1397" s="1734"/>
      <c r="T1397" s="1734"/>
      <c r="U1397" s="1734"/>
      <c r="V1397" s="1734"/>
      <c r="W1397" s="1734"/>
      <c r="X1397" s="1734"/>
      <c r="Y1397" s="1734"/>
    </row>
    <row r="1398" customFormat="false" ht="15.75" hidden="true" customHeight="true" outlineLevel="1" collapsed="false">
      <c r="A1398" s="2211" t="str">
        <f aca="false">'Ввод данных'!A1089</f>
        <v>Sip панель 2800*1250*124мм</v>
      </c>
      <c r="B1398" s="2064" t="s">
        <v>820</v>
      </c>
      <c r="C1398" s="2064" t="n">
        <f aca="false">C1373</f>
        <v>0</v>
      </c>
      <c r="D1398" s="2064" t="n">
        <f aca="false">VLOOKUP(A1398,связи1!A296:E308,2,0)</f>
        <v>800</v>
      </c>
      <c r="E1398" s="1707" t="n">
        <f aca="false">C1398*D1398</f>
        <v>0</v>
      </c>
      <c r="F1398" s="1436" t="n">
        <f aca="false">VLOOKUP(A1398,связи1!A296:H308,8,0)</f>
        <v>3.5</v>
      </c>
      <c r="G1398" s="1633" t="n">
        <f aca="false">CEILING(C1398/F1398+1,1)</f>
        <v>1</v>
      </c>
      <c r="H1398" s="2009"/>
      <c r="I1398" s="1584" t="n">
        <f aca="false">VLOOKUP(A1398,связи1!A296:J308,9,0)</f>
        <v>2.8</v>
      </c>
      <c r="J1398" s="1582" t="n">
        <f aca="false">VLOOKUP(A1398,связи1!A296:J308,10,0)</f>
        <v>1.25</v>
      </c>
      <c r="K1398" s="1633" t="n">
        <f aca="false">VLOOKUP(A1398,связи1!A296:J308,6,0)</f>
        <v>0.124</v>
      </c>
      <c r="L1398" s="1707"/>
      <c r="M1398" s="1707"/>
      <c r="N1398" s="1436"/>
      <c r="O1398" s="1707"/>
      <c r="P1398" s="1707"/>
      <c r="Q1398" s="1734"/>
      <c r="R1398" s="1734"/>
      <c r="S1398" s="1734"/>
      <c r="T1398" s="1734"/>
      <c r="U1398" s="1734"/>
      <c r="V1398" s="1734"/>
      <c r="W1398" s="1734"/>
      <c r="X1398" s="1734"/>
      <c r="Y1398" s="1734"/>
    </row>
    <row r="1399" customFormat="false" ht="15.75" hidden="true" customHeight="true" outlineLevel="1" collapsed="false">
      <c r="A1399" s="2211" t="str">
        <f aca="false">'Прайс лист'!B714</f>
        <v>Болты анкерные с гайкой 12,0 х 280          </v>
      </c>
      <c r="B1399" s="2064" t="s">
        <v>48</v>
      </c>
      <c r="C1399" s="2064" t="n">
        <f aca="false">C1366*2*G1345</f>
        <v>96</v>
      </c>
      <c r="D1399" s="2064" t="n">
        <f aca="false">'Прайс лист'!G714</f>
        <v>27.1</v>
      </c>
      <c r="E1399" s="1707" t="n">
        <f aca="false">C1399*D1399</f>
        <v>2601.6</v>
      </c>
      <c r="G1399" s="1584"/>
      <c r="H1399" s="1584"/>
      <c r="K1399" s="1633"/>
      <c r="L1399" s="1707" t="str">
        <f aca="false">'Прайс лист'!B1483</f>
        <v>Монтаж перегородок сип панели</v>
      </c>
      <c r="M1399" s="1707" t="str">
        <f aca="false">'Прайс лист'!C1483</f>
        <v>м2</v>
      </c>
      <c r="N1399" s="1436" t="n">
        <f aca="false">C1373</f>
        <v>0</v>
      </c>
      <c r="O1399" s="1707" t="n">
        <f aca="false">'Прайс лист'!G1483</f>
        <v>300</v>
      </c>
      <c r="P1399" s="1707" t="n">
        <f aca="false">N1399*O1399</f>
        <v>0</v>
      </c>
      <c r="Q1399" s="1734"/>
      <c r="R1399" s="1734"/>
      <c r="S1399" s="1734"/>
      <c r="T1399" s="1734"/>
      <c r="U1399" s="1734"/>
      <c r="V1399" s="1734"/>
      <c r="W1399" s="1734"/>
      <c r="X1399" s="1734"/>
      <c r="Y1399" s="1734"/>
    </row>
    <row r="1400" customFormat="false" ht="15.75" hidden="true" customHeight="true" outlineLevel="1" collapsed="false">
      <c r="A1400" s="2211" t="s">
        <v>3801</v>
      </c>
      <c r="B1400" s="2064" t="s">
        <v>1043</v>
      </c>
      <c r="C1400" s="2064" t="n">
        <f aca="false">C1367*(C1350*D1350)*0.05*2*G1345</f>
        <v>0.96</v>
      </c>
      <c r="D1400" s="2064" t="n">
        <f aca="false">VLOOKUP(A1396,связи1!A296:E308,5,0)</f>
        <v>9000</v>
      </c>
      <c r="E1400" s="1707" t="n">
        <f aca="false">C1400*D1400</f>
        <v>8640</v>
      </c>
      <c r="G1400" s="1584"/>
      <c r="H1400" s="1584"/>
      <c r="K1400" s="2062"/>
      <c r="L1400" s="1707" t="str">
        <f aca="false">'Прайс лист'!B1484</f>
        <v>монтаж покрытия кровли</v>
      </c>
      <c r="M1400" s="1707" t="str">
        <f aca="false">'Прайс лист'!C1484</f>
        <v>м2</v>
      </c>
      <c r="N1400" s="1707" t="n">
        <f aca="false">C1408*D1356*I1345*IF(дома!A1408=связи1!A296,0,1)</f>
        <v>0</v>
      </c>
      <c r="O1400" s="1707" t="n">
        <f aca="false">'Прайс лист'!G1484</f>
        <v>400</v>
      </c>
      <c r="P1400" s="1707" t="n">
        <f aca="false">N1400*O1400</f>
        <v>0</v>
      </c>
      <c r="Q1400" s="1734"/>
      <c r="R1400" s="1734"/>
      <c r="S1400" s="1734"/>
      <c r="T1400" s="1734"/>
      <c r="U1400" s="1734"/>
      <c r="V1400" s="1734"/>
      <c r="W1400" s="1734"/>
      <c r="X1400" s="1734"/>
      <c r="Y1400" s="1734"/>
    </row>
    <row r="1401" customFormat="false" ht="15.75" hidden="true" customHeight="true" outlineLevel="1" collapsed="false">
      <c r="A1401" s="2211" t="s">
        <v>3802</v>
      </c>
      <c r="B1401" s="2064" t="s">
        <v>1043</v>
      </c>
      <c r="C1401" s="2064" t="n">
        <f aca="false">C1368*(D1352*C1352)*0.05*2*G1345</f>
        <v>0.4275</v>
      </c>
      <c r="D1401" s="2064" t="n">
        <f aca="false">VLOOKUP(A1397,связи1!A296:E308,5,0)</f>
        <v>9000</v>
      </c>
      <c r="E1401" s="1707" t="n">
        <f aca="false">C1401*D1401</f>
        <v>3847.5</v>
      </c>
      <c r="G1401" s="1584"/>
      <c r="H1401" s="1584"/>
      <c r="K1401" s="2225"/>
      <c r="L1401" s="1995"/>
      <c r="M1401" s="1707"/>
      <c r="N1401" s="1707"/>
      <c r="O1401" s="1707"/>
      <c r="P1401" s="1707" t="n">
        <f aca="false">N1401*O1401</f>
        <v>0</v>
      </c>
      <c r="Q1401" s="1734"/>
      <c r="R1401" s="1734"/>
      <c r="S1401" s="1734"/>
      <c r="T1401" s="1734"/>
      <c r="U1401" s="1734"/>
      <c r="V1401" s="1734"/>
      <c r="W1401" s="1734"/>
      <c r="X1401" s="1734"/>
      <c r="Y1401" s="1734"/>
    </row>
    <row r="1402" customFormat="false" ht="15.75" hidden="true" customHeight="true" outlineLevel="1" collapsed="false">
      <c r="A1402" s="2211" t="s">
        <v>3802</v>
      </c>
      <c r="B1402" s="2064" t="s">
        <v>1043</v>
      </c>
      <c r="C1402" s="2064" t="n">
        <f aca="false">C1369*(D1352*C1352)*0.05*2*G1345</f>
        <v>0.117</v>
      </c>
      <c r="D1402" s="2064" t="n">
        <f aca="false">VLOOKUP(A1398,связи1!A296:E308,5,0)</f>
        <v>9000</v>
      </c>
      <c r="E1402" s="1707" t="n">
        <f aca="false">C1402*D1402</f>
        <v>1053</v>
      </c>
      <c r="G1402" s="1584"/>
      <c r="H1402" s="1584"/>
      <c r="K1402" s="2225"/>
      <c r="L1402" s="1995"/>
      <c r="M1402" s="1707"/>
      <c r="N1402" s="1707"/>
      <c r="O1402" s="1707"/>
      <c r="P1402" s="1707"/>
      <c r="Q1402" s="1734"/>
      <c r="R1402" s="1734"/>
      <c r="S1402" s="1734"/>
      <c r="T1402" s="1734"/>
      <c r="U1402" s="1734"/>
      <c r="V1402" s="1734"/>
      <c r="W1402" s="1734"/>
      <c r="X1402" s="1734"/>
      <c r="Y1402" s="1734"/>
    </row>
    <row r="1403" customFormat="false" ht="15.75" hidden="true" customHeight="true" outlineLevel="1" collapsed="false">
      <c r="A1403" s="2211" t="s">
        <v>3803</v>
      </c>
      <c r="B1403" s="2064" t="s">
        <v>1043</v>
      </c>
      <c r="C1403" s="2064" t="n">
        <f aca="false">C1370*2.2*(D1352*C1352)*0.05*G1345</f>
        <v>0</v>
      </c>
      <c r="D1403" s="2064" t="n">
        <f aca="false">VLOOKUP(A1396,связи1!A296:E308,5,0)</f>
        <v>9000</v>
      </c>
      <c r="E1403" s="1707" t="n">
        <f aca="false">C1403*D1403</f>
        <v>0</v>
      </c>
      <c r="G1403" s="1584"/>
      <c r="H1403" s="1584"/>
      <c r="K1403" s="2225"/>
      <c r="L1403" s="1995"/>
      <c r="M1403" s="1707"/>
      <c r="N1403" s="1707"/>
      <c r="O1403" s="1707"/>
      <c r="P1403" s="1707" t="n">
        <f aca="false">N1403*O1403</f>
        <v>0</v>
      </c>
      <c r="Q1403" s="1734"/>
      <c r="R1403" s="1734"/>
      <c r="S1403" s="1734"/>
      <c r="T1403" s="1734"/>
      <c r="U1403" s="1734"/>
      <c r="V1403" s="1734"/>
      <c r="W1403" s="1734"/>
      <c r="X1403" s="1734"/>
      <c r="Y1403" s="1734"/>
    </row>
    <row r="1404" customFormat="false" ht="15.75" hidden="true" customHeight="true" outlineLevel="1" collapsed="false">
      <c r="A1404" s="2211" t="s">
        <v>3804</v>
      </c>
      <c r="B1404" s="2064" t="s">
        <v>1043</v>
      </c>
      <c r="C1404" s="2064" t="n">
        <f aca="false">C1372*2.2*(D1352*C1352)*0.05*G1345</f>
        <v>0</v>
      </c>
      <c r="D1404" s="2064" t="n">
        <f aca="false">VLOOKUP(A1397,связи1!A296:E308,5,0)</f>
        <v>9000</v>
      </c>
      <c r="E1404" s="1707" t="n">
        <f aca="false">C1404*D1404</f>
        <v>0</v>
      </c>
      <c r="G1404" s="1584"/>
      <c r="H1404" s="1584"/>
      <c r="K1404" s="2225"/>
      <c r="L1404" s="1995"/>
      <c r="M1404" s="1707"/>
      <c r="N1404" s="1707"/>
      <c r="O1404" s="1707"/>
      <c r="P1404" s="1707" t="n">
        <f aca="false">N1404*O1404</f>
        <v>0</v>
      </c>
      <c r="Q1404" s="1734"/>
      <c r="R1404" s="1734"/>
      <c r="S1404" s="1734"/>
      <c r="T1404" s="1734"/>
      <c r="U1404" s="1734"/>
      <c r="V1404" s="1734"/>
      <c r="W1404" s="1734"/>
      <c r="X1404" s="1734"/>
      <c r="Y1404" s="1734"/>
    </row>
    <row r="1405" customFormat="false" ht="15.75" hidden="true" customHeight="true" outlineLevel="1" collapsed="false">
      <c r="A1405" s="2211" t="s">
        <v>3805</v>
      </c>
      <c r="B1405" s="2064" t="s">
        <v>1043</v>
      </c>
      <c r="C1405" s="2064" t="n">
        <f aca="false">C1373*2.2*(D1352*C1352)*0.05*G1345</f>
        <v>0</v>
      </c>
      <c r="D1405" s="2064" t="n">
        <f aca="false">VLOOKUP(A1398,связи1!A296:E308,5,0)</f>
        <v>9000</v>
      </c>
      <c r="E1405" s="1707" t="n">
        <f aca="false">C1405*D1405</f>
        <v>0</v>
      </c>
      <c r="G1405" s="1584"/>
      <c r="H1405" s="1584"/>
      <c r="K1405" s="2225"/>
      <c r="L1405" s="1995"/>
      <c r="M1405" s="1707"/>
      <c r="N1405" s="1707"/>
      <c r="O1405" s="1707"/>
      <c r="P1405" s="1707"/>
      <c r="Q1405" s="1734"/>
      <c r="R1405" s="1734"/>
      <c r="S1405" s="1734"/>
      <c r="T1405" s="1734"/>
      <c r="U1405" s="1734"/>
      <c r="V1405" s="1734"/>
      <c r="W1405" s="1734"/>
      <c r="X1405" s="1734"/>
      <c r="Y1405" s="1734"/>
    </row>
    <row r="1406" customFormat="false" ht="15.75" hidden="true" customHeight="true" outlineLevel="1" collapsed="false">
      <c r="A1406" s="2211" t="s">
        <v>3806</v>
      </c>
      <c r="B1406" s="2064" t="s">
        <v>1043</v>
      </c>
      <c r="C1406" s="2064" t="n">
        <f aca="false">C1384*2.8*(D1360*C1360)*0.05*2*G1345*D1356-C1407</f>
        <v>-0.276509716980849</v>
      </c>
      <c r="D1406" s="2064" t="n">
        <f aca="false">VLOOKUP(A1408,связи1!A296:E308,5,0)</f>
        <v>0</v>
      </c>
      <c r="E1406" s="1707" t="n">
        <f aca="false">C1406*D1406</f>
        <v>-0</v>
      </c>
      <c r="G1406" s="1584"/>
      <c r="H1406" s="1584"/>
      <c r="K1406" s="2225"/>
      <c r="L1406" s="1995"/>
      <c r="M1406" s="1707"/>
      <c r="N1406" s="1707"/>
      <c r="O1406" s="1707"/>
      <c r="P1406" s="1707" t="n">
        <f aca="false">N1406*O1406</f>
        <v>0</v>
      </c>
      <c r="Q1406" s="1734"/>
      <c r="R1406" s="1734"/>
      <c r="S1406" s="1734"/>
      <c r="T1406" s="1734"/>
      <c r="U1406" s="1734"/>
      <c r="V1406" s="1734"/>
      <c r="W1406" s="1734"/>
      <c r="X1406" s="1734"/>
      <c r="Y1406" s="1734"/>
    </row>
    <row r="1407" customFormat="false" ht="15.75" hidden="true" customHeight="true" outlineLevel="1" collapsed="false">
      <c r="A1407" s="2211" t="s">
        <v>3807</v>
      </c>
      <c r="B1407" s="2064" t="s">
        <v>1043</v>
      </c>
      <c r="C1407" s="2064" t="n">
        <f aca="false">((C1385+C1385+(C1389*4))*(D1359*E1359+D1360*E1360))*G1345*0.05*D1356</f>
        <v>0.276509716980849</v>
      </c>
      <c r="D1407" s="2064" t="n">
        <f aca="false">VLOOKUP(A1408,связи1!A296:E308,5,0)</f>
        <v>0</v>
      </c>
      <c r="E1407" s="1707" t="n">
        <f aca="false">C1407*D1407</f>
        <v>0</v>
      </c>
      <c r="G1407" s="1584"/>
      <c r="H1407" s="1584"/>
      <c r="K1407" s="2226"/>
      <c r="L1407" s="1995"/>
      <c r="M1407" s="1707"/>
      <c r="N1407" s="1707"/>
      <c r="O1407" s="1707"/>
      <c r="P1407" s="1707" t="n">
        <f aca="false">N1407*O1407</f>
        <v>0</v>
      </c>
      <c r="Q1407" s="1734"/>
      <c r="R1407" s="1734"/>
      <c r="S1407" s="1734"/>
      <c r="T1407" s="1734"/>
      <c r="U1407" s="1734"/>
      <c r="V1407" s="1734"/>
      <c r="W1407" s="1734"/>
      <c r="X1407" s="1734"/>
      <c r="Y1407" s="1734"/>
    </row>
    <row r="1408" customFormat="false" ht="15.75" hidden="true" customHeight="true" outlineLevel="1" collapsed="false">
      <c r="A1408" s="2211" t="str">
        <f aca="false">'Ввод данных'!A1091</f>
        <v>Нет </v>
      </c>
      <c r="B1408" s="2064" t="s">
        <v>820</v>
      </c>
      <c r="C1408" s="2064" t="n">
        <f aca="false">C1384*D1356*G1345</f>
        <v>105.780913567754</v>
      </c>
      <c r="D1408" s="2064" t="n">
        <f aca="false">VLOOKUP(A1408,связи1!A296:D308,2,0)</f>
        <v>0</v>
      </c>
      <c r="E1408" s="1707" t="n">
        <f aca="false">C1408*D1408</f>
        <v>0</v>
      </c>
      <c r="F1408" s="1436" t="n">
        <f aca="false">VLOOKUP(A1408,'Прайс лист'!B265:G277,3,0)</f>
        <v>0</v>
      </c>
      <c r="G1408" s="1633" t="n">
        <f aca="false">CEILING(C1408/IF(F1408=0,1,F1408)+1,1)*IF(F1408=0,0,1)</f>
        <v>0</v>
      </c>
      <c r="H1408" s="1633"/>
      <c r="I1408" s="1633" t="n">
        <f aca="false">VLOOKUP(A1408,связи1!A296:J308,9,0)</f>
        <v>0</v>
      </c>
      <c r="J1408" s="1436" t="n">
        <f aca="false">VLOOKUP(A1408,связи1!A296:J308,10,0)</f>
        <v>0</v>
      </c>
      <c r="K1408" s="2062" t="n">
        <f aca="false">VLOOKUP(A1408,связи1!A296:J308,6,0)</f>
        <v>0</v>
      </c>
      <c r="L1408" s="1995"/>
      <c r="M1408" s="1707"/>
      <c r="N1408" s="1707"/>
      <c r="O1408" s="1707"/>
      <c r="P1408" s="1707" t="n">
        <f aca="false">N1408*O1408</f>
        <v>0</v>
      </c>
      <c r="Q1408" s="1734"/>
      <c r="R1408" s="1734"/>
      <c r="S1408" s="1734"/>
      <c r="T1408" s="1734"/>
      <c r="U1408" s="1734"/>
      <c r="V1408" s="1734"/>
      <c r="W1408" s="1734"/>
      <c r="X1408" s="1734"/>
      <c r="Y1408" s="1734"/>
    </row>
    <row r="1409" customFormat="false" ht="15.75" hidden="true" customHeight="true" outlineLevel="1" collapsed="false">
      <c r="A1409" s="2211" t="str">
        <f aca="false">'Прайс лист'!B747</f>
        <v>Пена монтажная, всесезонняя 800мл</v>
      </c>
      <c r="B1409" s="2064" t="s">
        <v>48</v>
      </c>
      <c r="C1409" s="2064" t="n">
        <f aca="false">(C1364+C1372+C1373+C1370+C1376+C1377)/10*G1345</f>
        <v>12.8</v>
      </c>
      <c r="D1409" s="2064" t="n">
        <f aca="false">'Прайс лист'!G747</f>
        <v>300</v>
      </c>
      <c r="E1409" s="1707" t="n">
        <f aca="false">C1409*D1409</f>
        <v>3840</v>
      </c>
      <c r="F1409" s="1734"/>
      <c r="J1409" s="2227"/>
      <c r="K1409" s="2228"/>
      <c r="M1409" s="1707"/>
      <c r="N1409" s="1707"/>
      <c r="O1409" s="1707"/>
      <c r="P1409" s="1707" t="n">
        <f aca="false">N1409*O1409</f>
        <v>0</v>
      </c>
      <c r="Q1409" s="1734"/>
      <c r="R1409" s="1734"/>
      <c r="S1409" s="1734"/>
      <c r="T1409" s="1734"/>
      <c r="U1409" s="1734"/>
      <c r="V1409" s="1734"/>
      <c r="W1409" s="1734"/>
      <c r="X1409" s="1734"/>
      <c r="Y1409" s="1734"/>
    </row>
    <row r="1410" customFormat="false" ht="15.75" hidden="true" customHeight="true" outlineLevel="1" collapsed="false">
      <c r="A1410" s="2211" t="str">
        <f aca="false">'Прайс лист'!B727</f>
        <v>Саморезы 3,5 x 55            </v>
      </c>
      <c r="B1410" s="2064" t="s">
        <v>434</v>
      </c>
      <c r="C1410" s="2064" t="n">
        <f aca="false">(C1364+C1370+C1373+C1382+C1384+C1408)/30*G1345</f>
        <v>11.3187275711836</v>
      </c>
      <c r="D1410" s="2064" t="n">
        <f aca="false">'Прайс лист'!G727</f>
        <v>105.62</v>
      </c>
      <c r="E1410" s="1707" t="n">
        <f aca="false">C1410*D1410</f>
        <v>1195.48400606841</v>
      </c>
      <c r="F1410" s="1734"/>
      <c r="J1410" s="1995"/>
      <c r="K1410" s="2225"/>
      <c r="M1410" s="1707"/>
      <c r="N1410" s="1707"/>
      <c r="O1410" s="1707"/>
      <c r="P1410" s="1707" t="n">
        <f aca="false">N1410*O1410</f>
        <v>0</v>
      </c>
      <c r="Q1410" s="1734"/>
      <c r="R1410" s="1734"/>
      <c r="S1410" s="1734"/>
      <c r="T1410" s="1734"/>
      <c r="U1410" s="1734"/>
      <c r="V1410" s="1734"/>
      <c r="W1410" s="1734"/>
      <c r="X1410" s="1734"/>
      <c r="Y1410" s="1734"/>
    </row>
    <row r="1411" customFormat="false" ht="15.75" hidden="true" customHeight="true" outlineLevel="1" collapsed="false">
      <c r="A1411" s="2211" t="str">
        <f aca="false">'Прайс лист'!B729</f>
        <v>Саморезы 4,2 x 90            </v>
      </c>
      <c r="B1411" s="2064" t="s">
        <v>48</v>
      </c>
      <c r="C1411" s="2064" t="n">
        <f aca="false">(C1364+C1370+C1373+C1382+C1384+C1408)/30*G1345</f>
        <v>11.3187275711836</v>
      </c>
      <c r="D1411" s="2064" t="n">
        <f aca="false">'Прайс лист'!G729</f>
        <v>107.62</v>
      </c>
      <c r="E1411" s="1707" t="n">
        <f aca="false">C1411*D1411</f>
        <v>1218.12146121078</v>
      </c>
      <c r="F1411" s="1734"/>
      <c r="J1411" s="1995"/>
      <c r="K1411" s="2225"/>
      <c r="M1411" s="1707"/>
      <c r="N1411" s="1707"/>
      <c r="O1411" s="1707"/>
      <c r="P1411" s="1707" t="n">
        <f aca="false">N1411*O1411</f>
        <v>0</v>
      </c>
      <c r="Q1411" s="1734"/>
      <c r="R1411" s="1734"/>
      <c r="S1411" s="1734"/>
      <c r="T1411" s="1734"/>
      <c r="U1411" s="1734"/>
      <c r="V1411" s="1734"/>
      <c r="W1411" s="1734"/>
      <c r="X1411" s="1734"/>
      <c r="Y1411" s="1734"/>
    </row>
    <row r="1412" customFormat="false" ht="15.75" hidden="true" customHeight="true" outlineLevel="1" collapsed="false">
      <c r="A1412" s="2206" t="str">
        <f aca="false">'Ввод данных'!A1200</f>
        <v>Командировочные расходы</v>
      </c>
      <c r="B1412" s="2205" t="s">
        <v>113</v>
      </c>
      <c r="C1412" s="1582" t="n">
        <f aca="false">1</f>
        <v>1</v>
      </c>
      <c r="D1412" s="2205" t="n">
        <f aca="false">'Ввод данных'!C1098*'Ввод данных'!C1099*'Ввод данных'!C1100*VLOOKUP('Ввод данных'!C1097,связи1!A2:B3,2,0)</f>
        <v>0</v>
      </c>
      <c r="E1412" s="1707" t="n">
        <f aca="false">C1412*D1412</f>
        <v>0</v>
      </c>
      <c r="F1412" s="1734"/>
      <c r="J1412" s="1995"/>
      <c r="K1412" s="2225"/>
      <c r="M1412" s="1707"/>
      <c r="N1412" s="2218"/>
      <c r="O1412" s="2218"/>
      <c r="P1412" s="1707"/>
      <c r="Q1412" s="1734"/>
      <c r="R1412" s="1734"/>
      <c r="S1412" s="1734"/>
      <c r="T1412" s="1734"/>
      <c r="U1412" s="1734"/>
      <c r="V1412" s="1734"/>
      <c r="W1412" s="1734"/>
      <c r="X1412" s="1734"/>
      <c r="Y1412" s="1734"/>
    </row>
    <row r="1413" customFormat="false" ht="15.75" hidden="true" customHeight="true" outlineLevel="1" collapsed="false">
      <c r="A1413" s="2206"/>
      <c r="B1413" s="2205"/>
      <c r="C1413" s="2205"/>
      <c r="D1413" s="2064"/>
      <c r="E1413" s="1707"/>
      <c r="F1413" s="1734"/>
      <c r="J1413" s="1995"/>
      <c r="K1413" s="2225"/>
      <c r="M1413" s="1707"/>
      <c r="N1413" s="2218"/>
      <c r="O1413" s="2218"/>
      <c r="P1413" s="1707"/>
      <c r="Q1413" s="1734"/>
      <c r="R1413" s="1734"/>
      <c r="S1413" s="1734"/>
      <c r="T1413" s="1734"/>
      <c r="U1413" s="1734"/>
      <c r="V1413" s="1734"/>
      <c r="W1413" s="1734"/>
      <c r="X1413" s="1734"/>
      <c r="Y1413" s="1734"/>
    </row>
    <row r="1414" customFormat="false" ht="15.75" hidden="true" customHeight="true" outlineLevel="1" collapsed="false">
      <c r="A1414" s="2206"/>
      <c r="B1414" s="2205"/>
      <c r="C1414" s="2205"/>
      <c r="D1414" s="2064"/>
      <c r="E1414" s="1707"/>
      <c r="F1414" s="1734"/>
      <c r="J1414" s="1995"/>
      <c r="K1414" s="2225"/>
      <c r="M1414" s="1707"/>
      <c r="N1414" s="2218"/>
      <c r="O1414" s="2218"/>
      <c r="P1414" s="1707"/>
      <c r="Q1414" s="1734"/>
      <c r="R1414" s="1734"/>
      <c r="S1414" s="1734"/>
      <c r="T1414" s="1734"/>
      <c r="U1414" s="1734"/>
      <c r="V1414" s="1734"/>
      <c r="W1414" s="1734"/>
      <c r="X1414" s="1734"/>
      <c r="Y1414" s="1734"/>
    </row>
    <row r="1415" customFormat="false" ht="15.75" hidden="true" customHeight="true" outlineLevel="1" collapsed="false">
      <c r="A1415" s="2206" t="str">
        <f aca="false">'Ввод данных'!A1095</f>
        <v>расходные материалы сип панели</v>
      </c>
      <c r="B1415" s="2205" t="s">
        <v>48</v>
      </c>
      <c r="C1415" s="2205" t="n">
        <f aca="false">1</f>
        <v>1</v>
      </c>
      <c r="D1415" s="2064" t="n">
        <f aca="false">'Ввод данных'!C1095</f>
        <v>3000</v>
      </c>
      <c r="E1415" s="1707" t="n">
        <f aca="false">C1415*D1415</f>
        <v>3000</v>
      </c>
      <c r="F1415" s="1617"/>
      <c r="J1415" s="1995"/>
      <c r="K1415" s="2225"/>
      <c r="M1415" s="1714"/>
      <c r="N1415" s="2218"/>
      <c r="O1415" s="2218"/>
      <c r="P1415" s="1707" t="n">
        <f aca="false">N1415*O1415</f>
        <v>0</v>
      </c>
      <c r="Q1415" s="1617"/>
      <c r="R1415" s="1617"/>
      <c r="S1415" s="1617"/>
      <c r="T1415" s="1617"/>
      <c r="U1415" s="1617"/>
      <c r="V1415" s="1617"/>
      <c r="W1415" s="1617"/>
      <c r="X1415" s="1617"/>
      <c r="Y1415" s="1617"/>
    </row>
    <row r="1416" customFormat="false" ht="15.75" hidden="true" customHeight="true" outlineLevel="1" collapsed="false">
      <c r="A1416" s="2211" t="str">
        <f aca="false">'Ввод данных'!A1093</f>
        <v>Нет техники</v>
      </c>
      <c r="B1416" s="2064" t="s">
        <v>48</v>
      </c>
      <c r="C1416" s="2064" t="n">
        <f aca="false">'Ввод данных'!C1093</f>
        <v>0</v>
      </c>
      <c r="D1416" s="2064" t="n">
        <f aca="false">VLOOKUP(A1416,'Прайс лист'!B192:G206,6,0)</f>
        <v>0</v>
      </c>
      <c r="E1416" s="2218" t="n">
        <f aca="false">C1416*D1416</f>
        <v>0</v>
      </c>
      <c r="F1416" s="1617"/>
      <c r="J1416" s="1995"/>
      <c r="K1416" s="2225"/>
      <c r="M1416" s="1714"/>
      <c r="N1416" s="1707"/>
      <c r="O1416" s="1707"/>
      <c r="P1416" s="2218" t="n">
        <f aca="false">N1416*O1416</f>
        <v>0</v>
      </c>
      <c r="Q1416" s="1617"/>
      <c r="R1416" s="1617"/>
      <c r="S1416" s="1617"/>
      <c r="T1416" s="1617"/>
      <c r="U1416" s="1617"/>
      <c r="V1416" s="1617"/>
      <c r="W1416" s="1617"/>
      <c r="X1416" s="1617"/>
      <c r="Y1416" s="1617"/>
    </row>
    <row r="1417" customFormat="false" ht="15.75" hidden="true" customHeight="true" outlineLevel="1" collapsed="false">
      <c r="A1417" s="2229"/>
      <c r="B1417" s="2174"/>
      <c r="C1417" s="2174"/>
      <c r="D1417" s="2174"/>
      <c r="E1417" s="2062" t="n">
        <f aca="false">SUM(E1394:E1416)</f>
        <v>32445.8104672792</v>
      </c>
      <c r="F1417" s="1708"/>
      <c r="G1417" s="1708"/>
      <c r="H1417" s="1708"/>
      <c r="I1417" s="2230"/>
      <c r="J1417" s="1708"/>
      <c r="K1417" s="1708"/>
      <c r="L1417" s="1708"/>
      <c r="M1417" s="1708"/>
      <c r="N1417" s="1708"/>
      <c r="O1417" s="1708"/>
      <c r="P1417" s="1707" t="n">
        <f aca="false">SUM(P1394:P1416)</f>
        <v>19200</v>
      </c>
      <c r="Q1417" s="1708"/>
      <c r="R1417" s="1708"/>
      <c r="S1417" s="1708"/>
      <c r="T1417" s="1708"/>
      <c r="U1417" s="1708"/>
      <c r="V1417" s="1708"/>
      <c r="W1417" s="1708"/>
      <c r="X1417" s="1708"/>
      <c r="Y1417" s="1708"/>
    </row>
    <row r="1418" customFormat="false" ht="15.75" hidden="true" customHeight="true" outlineLevel="1" collapsed="false">
      <c r="A1418" s="2211" t="s">
        <v>3808</v>
      </c>
      <c r="B1418" s="2064" t="n">
        <f aca="false">E1417</f>
        <v>32445.8104672792</v>
      </c>
      <c r="C1418" s="2231"/>
      <c r="D1418" s="1708"/>
      <c r="E1418" s="1708"/>
      <c r="F1418" s="1708"/>
      <c r="G1418" s="1708"/>
      <c r="H1418" s="1708"/>
      <c r="I1418" s="2230"/>
      <c r="J1418" s="1708"/>
      <c r="K1418" s="1708"/>
      <c r="L1418" s="1708"/>
      <c r="M1418" s="1708"/>
      <c r="N1418" s="1708"/>
      <c r="O1418" s="1708"/>
      <c r="P1418" s="1708"/>
      <c r="Q1418" s="1708"/>
      <c r="R1418" s="1708"/>
      <c r="S1418" s="1708"/>
      <c r="T1418" s="1708"/>
      <c r="U1418" s="1708"/>
      <c r="V1418" s="1708"/>
      <c r="W1418" s="1708"/>
      <c r="X1418" s="1708"/>
      <c r="Y1418" s="1708"/>
    </row>
    <row r="1419" customFormat="false" ht="15.75" hidden="true" customHeight="true" outlineLevel="1" collapsed="false">
      <c r="A1419" s="2211" t="s">
        <v>3809</v>
      </c>
      <c r="B1419" s="2064" t="n">
        <f aca="false">P1417</f>
        <v>19200</v>
      </c>
      <c r="C1419" s="2231"/>
      <c r="D1419" s="1708"/>
      <c r="E1419" s="1708"/>
      <c r="F1419" s="1708"/>
      <c r="G1419" s="1708"/>
      <c r="H1419" s="1708"/>
      <c r="I1419" s="2230"/>
      <c r="J1419" s="1708"/>
      <c r="K1419" s="1708"/>
      <c r="L1419" s="1708"/>
      <c r="M1419" s="1708"/>
      <c r="N1419" s="1708"/>
      <c r="O1419" s="1708"/>
      <c r="P1419" s="1708"/>
      <c r="Q1419" s="1708"/>
      <c r="R1419" s="1708"/>
      <c r="S1419" s="1708"/>
      <c r="T1419" s="1708"/>
      <c r="U1419" s="1708"/>
      <c r="V1419" s="1708"/>
      <c r="W1419" s="1708"/>
      <c r="X1419" s="1708"/>
      <c r="Y1419" s="1708"/>
    </row>
    <row r="1420" customFormat="false" ht="15.75" hidden="true" customHeight="true" outlineLevel="1" collapsed="false">
      <c r="A1420" s="1707" t="s">
        <v>2922</v>
      </c>
      <c r="B1420" s="2064"/>
      <c r="C1420" s="2231"/>
      <c r="D1420" s="1708"/>
      <c r="E1420" s="1708"/>
      <c r="F1420" s="1708"/>
      <c r="G1420" s="1708"/>
      <c r="H1420" s="1708"/>
      <c r="I1420" s="2230"/>
      <c r="J1420" s="1708"/>
      <c r="K1420" s="1708"/>
      <c r="L1420" s="1708"/>
      <c r="M1420" s="1708"/>
      <c r="N1420" s="1708"/>
      <c r="O1420" s="1708"/>
      <c r="P1420" s="1708"/>
      <c r="Q1420" s="1708"/>
      <c r="R1420" s="1708"/>
      <c r="S1420" s="1708"/>
      <c r="T1420" s="1708"/>
      <c r="U1420" s="1708"/>
      <c r="V1420" s="1708"/>
      <c r="W1420" s="1708"/>
      <c r="X1420" s="1708"/>
      <c r="Y1420" s="1708"/>
    </row>
    <row r="1421" customFormat="false" ht="15.75" hidden="false" customHeight="true" outlineLevel="0" collapsed="false">
      <c r="A1421" s="2232" t="s">
        <v>3810</v>
      </c>
      <c r="B1421" s="2141"/>
      <c r="C1421" s="2233" t="s">
        <v>3811</v>
      </c>
      <c r="D1421" s="2146"/>
      <c r="E1421" s="2146"/>
      <c r="F1421" s="2147"/>
      <c r="G1421" s="1708"/>
      <c r="H1421" s="1708"/>
      <c r="I1421" s="2230"/>
      <c r="J1421" s="1708"/>
      <c r="K1421" s="1708"/>
      <c r="L1421" s="1708"/>
      <c r="M1421" s="1708"/>
      <c r="N1421" s="1708"/>
      <c r="O1421" s="1708"/>
      <c r="P1421" s="1708"/>
      <c r="Q1421" s="1708"/>
      <c r="R1421" s="1708"/>
      <c r="S1421" s="1708"/>
      <c r="T1421" s="1708"/>
      <c r="U1421" s="1708"/>
      <c r="V1421" s="1708"/>
      <c r="W1421" s="1708"/>
      <c r="X1421" s="1708"/>
      <c r="Y1421" s="1708"/>
    </row>
    <row r="1422" customFormat="false" ht="15.75" hidden="false" customHeight="true" outlineLevel="0" collapsed="false">
      <c r="A1422" s="1708"/>
      <c r="B1422" s="2231"/>
      <c r="C1422" s="2231"/>
      <c r="D1422" s="1708"/>
      <c r="E1422" s="1708"/>
      <c r="F1422" s="1708"/>
      <c r="G1422" s="1708"/>
      <c r="H1422" s="1708"/>
      <c r="I1422" s="2230"/>
      <c r="J1422" s="1708"/>
      <c r="K1422" s="1708"/>
      <c r="L1422" s="1708"/>
      <c r="M1422" s="1708"/>
      <c r="N1422" s="1708"/>
      <c r="O1422" s="1708"/>
      <c r="P1422" s="1708"/>
      <c r="Q1422" s="1708"/>
      <c r="R1422" s="1708"/>
      <c r="S1422" s="1708"/>
      <c r="T1422" s="1708"/>
      <c r="U1422" s="1708"/>
      <c r="V1422" s="1708"/>
      <c r="W1422" s="1708"/>
      <c r="X1422" s="1708"/>
      <c r="Y1422" s="1708"/>
    </row>
    <row r="1423" customFormat="false" ht="15.75" hidden="true" customHeight="true" outlineLevel="1" collapsed="false">
      <c r="A1423" s="2234" t="s">
        <v>3812</v>
      </c>
      <c r="B1423" s="2235"/>
      <c r="C1423" s="2235"/>
      <c r="D1423" s="2236"/>
      <c r="E1423" s="2236"/>
      <c r="F1423" s="2236"/>
      <c r="G1423" s="2236"/>
      <c r="H1423" s="2236"/>
      <c r="I1423" s="2237"/>
      <c r="J1423" s="2236"/>
      <c r="K1423" s="2236"/>
      <c r="L1423" s="2236"/>
      <c r="M1423" s="2236"/>
      <c r="N1423" s="2236"/>
      <c r="O1423" s="2236"/>
      <c r="P1423" s="2236"/>
      <c r="Q1423" s="2238"/>
      <c r="R1423" s="1708"/>
      <c r="S1423" s="1708"/>
      <c r="T1423" s="1708"/>
      <c r="U1423" s="1708"/>
      <c r="V1423" s="1708"/>
      <c r="W1423" s="1708"/>
      <c r="X1423" s="1708"/>
      <c r="Y1423" s="1708"/>
    </row>
    <row r="1424" customFormat="false" ht="15.75" hidden="true" customHeight="true" outlineLevel="1" collapsed="false">
      <c r="A1424" s="2239"/>
      <c r="B1424" s="2240"/>
      <c r="C1424" s="2240"/>
      <c r="D1424" s="2241"/>
      <c r="E1424" s="2241"/>
      <c r="F1424" s="2241"/>
      <c r="G1424" s="2241"/>
      <c r="H1424" s="2241"/>
      <c r="I1424" s="2242"/>
      <c r="J1424" s="2241"/>
      <c r="K1424" s="2241"/>
      <c r="L1424" s="2241"/>
      <c r="M1424" s="2241"/>
      <c r="N1424" s="2241"/>
      <c r="O1424" s="2241"/>
      <c r="P1424" s="2241"/>
      <c r="Q1424" s="2243"/>
      <c r="R1424" s="1708"/>
      <c r="S1424" s="1708"/>
      <c r="T1424" s="1708"/>
      <c r="U1424" s="1708"/>
      <c r="V1424" s="1708"/>
      <c r="W1424" s="1708"/>
      <c r="X1424" s="1708"/>
      <c r="Y1424" s="1708"/>
    </row>
    <row r="1425" customFormat="false" ht="15.75" hidden="true" customHeight="true" outlineLevel="1" collapsed="false">
      <c r="A1425" s="2192" t="s">
        <v>461</v>
      </c>
      <c r="B1425" s="2193"/>
      <c r="C1425" s="2193"/>
      <c r="D1425" s="2194"/>
      <c r="E1425" s="2194"/>
      <c r="F1425" s="2195"/>
      <c r="G1425" s="2244" t="n">
        <f aca="false">'Ввод данных'!D1106</f>
        <v>1.1</v>
      </c>
      <c r="H1425" s="2245"/>
      <c r="I1425" s="2180" t="n">
        <f aca="false">'Ввод данных'!D1107</f>
        <v>1</v>
      </c>
      <c r="J1425" s="2179"/>
      <c r="K1425" s="2179"/>
      <c r="L1425" s="2179"/>
      <c r="M1425" s="2179"/>
      <c r="N1425" s="2179"/>
      <c r="O1425" s="2179"/>
      <c r="P1425" s="2179"/>
      <c r="Q1425" s="2179"/>
      <c r="R1425" s="1708"/>
      <c r="S1425" s="1708"/>
      <c r="T1425" s="1708"/>
      <c r="U1425" s="1708"/>
      <c r="V1425" s="1708"/>
      <c r="W1425" s="1708"/>
      <c r="X1425" s="1708"/>
      <c r="Y1425" s="1708"/>
    </row>
    <row r="1426" customFormat="false" ht="15.75" hidden="true" customHeight="true" outlineLevel="1" collapsed="false">
      <c r="A1426" s="2218" t="s">
        <v>3813</v>
      </c>
      <c r="B1426" s="2064" t="s">
        <v>15</v>
      </c>
      <c r="C1426" s="2064"/>
      <c r="D1426" s="1734"/>
      <c r="E1426" s="2185"/>
      <c r="F1426" s="1734"/>
      <c r="G1426" s="1708"/>
      <c r="H1426" s="1708"/>
      <c r="I1426" s="2230"/>
      <c r="J1426" s="1708"/>
      <c r="K1426" s="1708"/>
      <c r="L1426" s="1708"/>
      <c r="M1426" s="1708"/>
      <c r="N1426" s="1708"/>
      <c r="O1426" s="1708"/>
      <c r="P1426" s="1708"/>
      <c r="Q1426" s="1708"/>
      <c r="R1426" s="1708"/>
      <c r="S1426" s="1708"/>
      <c r="T1426" s="1708"/>
      <c r="U1426" s="1708"/>
      <c r="V1426" s="1708"/>
      <c r="W1426" s="1708"/>
      <c r="X1426" s="1708"/>
      <c r="Y1426" s="1708"/>
    </row>
    <row r="1427" customFormat="false" ht="15.75" hidden="true" customHeight="true" outlineLevel="1" collapsed="false">
      <c r="A1427" s="2059" t="s">
        <v>3814</v>
      </c>
      <c r="B1427" s="2064" t="s">
        <v>15</v>
      </c>
      <c r="C1427" s="2064"/>
      <c r="D1427" s="2142" t="n">
        <v>1</v>
      </c>
      <c r="E1427" s="1617"/>
      <c r="F1427" s="1708"/>
      <c r="G1427" s="1708"/>
      <c r="H1427" s="1708"/>
      <c r="I1427" s="2230"/>
      <c r="J1427" s="1708"/>
      <c r="K1427" s="1708"/>
      <c r="L1427" s="1708"/>
      <c r="M1427" s="1708"/>
      <c r="N1427" s="1708"/>
      <c r="O1427" s="1708"/>
      <c r="P1427" s="1708"/>
      <c r="Q1427" s="1708"/>
      <c r="R1427" s="1708"/>
      <c r="S1427" s="1708"/>
      <c r="T1427" s="1708"/>
      <c r="U1427" s="1708"/>
      <c r="V1427" s="1708"/>
      <c r="W1427" s="1708"/>
      <c r="X1427" s="1708"/>
      <c r="Y1427" s="1708"/>
    </row>
    <row r="1428" customFormat="false" ht="15.75" hidden="true" customHeight="true" outlineLevel="1" collapsed="false">
      <c r="A1428" s="2173"/>
      <c r="B1428" s="2064" t="s">
        <v>15</v>
      </c>
      <c r="C1428" s="2064"/>
      <c r="D1428" s="2142" t="n">
        <v>0</v>
      </c>
      <c r="E1428" s="1617"/>
      <c r="F1428" s="1708"/>
      <c r="G1428" s="1708"/>
      <c r="H1428" s="1708"/>
      <c r="I1428" s="2230"/>
      <c r="J1428" s="1708"/>
      <c r="K1428" s="1708"/>
      <c r="L1428" s="1708"/>
      <c r="M1428" s="1708"/>
      <c r="N1428" s="1708"/>
      <c r="O1428" s="1708"/>
      <c r="P1428" s="1708"/>
      <c r="Q1428" s="1708"/>
      <c r="R1428" s="1708"/>
      <c r="S1428" s="1708"/>
      <c r="T1428" s="1708"/>
      <c r="U1428" s="1708"/>
      <c r="V1428" s="1708"/>
      <c r="W1428" s="1708"/>
      <c r="X1428" s="1708"/>
      <c r="Y1428" s="1708"/>
    </row>
    <row r="1429" customFormat="false" ht="15.75" hidden="true" customHeight="true" outlineLevel="1" collapsed="false">
      <c r="A1429" s="2059" t="s">
        <v>3815</v>
      </c>
      <c r="B1429" s="2064" t="s">
        <v>15</v>
      </c>
      <c r="C1429" s="2064"/>
      <c r="D1429" s="2142" t="n">
        <v>1</v>
      </c>
      <c r="E1429" s="1617"/>
      <c r="F1429" s="1708"/>
      <c r="G1429" s="1708"/>
      <c r="H1429" s="1708"/>
      <c r="I1429" s="2230"/>
      <c r="J1429" s="1708"/>
      <c r="K1429" s="1708"/>
      <c r="L1429" s="1708"/>
      <c r="M1429" s="1708"/>
      <c r="N1429" s="1708"/>
      <c r="O1429" s="1708"/>
      <c r="P1429" s="1708"/>
      <c r="Q1429" s="1708"/>
      <c r="R1429" s="1708"/>
      <c r="S1429" s="1708"/>
      <c r="T1429" s="1708"/>
      <c r="U1429" s="1708"/>
      <c r="V1429" s="1708"/>
      <c r="W1429" s="1708"/>
      <c r="X1429" s="1708"/>
      <c r="Y1429" s="1708"/>
    </row>
    <row r="1430" customFormat="false" ht="15.75" hidden="true" customHeight="true" outlineLevel="1" collapsed="false">
      <c r="A1430" s="2173"/>
      <c r="B1430" s="2064" t="s">
        <v>15</v>
      </c>
      <c r="C1430" s="2064"/>
      <c r="D1430" s="2142" t="n">
        <v>0</v>
      </c>
      <c r="E1430" s="1617"/>
      <c r="F1430" s="1708"/>
      <c r="G1430" s="1708"/>
      <c r="H1430" s="1708"/>
      <c r="I1430" s="2230"/>
      <c r="J1430" s="1708"/>
      <c r="K1430" s="1708"/>
      <c r="L1430" s="1708"/>
      <c r="M1430" s="1708"/>
      <c r="N1430" s="1708"/>
      <c r="O1430" s="1708"/>
      <c r="P1430" s="1708"/>
      <c r="Q1430" s="1708"/>
      <c r="R1430" s="1708"/>
      <c r="S1430" s="1708"/>
      <c r="T1430" s="1708"/>
      <c r="U1430" s="1708"/>
      <c r="V1430" s="1708"/>
      <c r="W1430" s="1708"/>
      <c r="X1430" s="1708"/>
      <c r="Y1430" s="1708"/>
    </row>
    <row r="1431" customFormat="false" ht="15.75" hidden="true" customHeight="true" outlineLevel="1" collapsed="false">
      <c r="A1431" s="2246" t="s">
        <v>3816</v>
      </c>
      <c r="B1431" s="2064" t="s">
        <v>15</v>
      </c>
      <c r="C1431" s="2064"/>
      <c r="D1431" s="2142" t="n">
        <v>1</v>
      </c>
      <c r="E1431" s="1617"/>
      <c r="F1431" s="1708"/>
      <c r="G1431" s="1708"/>
      <c r="H1431" s="1708"/>
      <c r="I1431" s="2230"/>
      <c r="J1431" s="1708"/>
      <c r="K1431" s="1708"/>
      <c r="L1431" s="1708"/>
      <c r="M1431" s="1708"/>
      <c r="N1431" s="1708"/>
      <c r="O1431" s="1708"/>
      <c r="P1431" s="1708"/>
      <c r="Q1431" s="1708"/>
      <c r="R1431" s="1708"/>
      <c r="S1431" s="1708"/>
      <c r="T1431" s="1708"/>
      <c r="U1431" s="1708"/>
      <c r="V1431" s="1708"/>
      <c r="W1431" s="1708"/>
      <c r="X1431" s="1708"/>
      <c r="Y1431" s="1708"/>
    </row>
    <row r="1432" customFormat="false" ht="15.75" hidden="true" customHeight="true" outlineLevel="1" collapsed="false">
      <c r="A1432" s="2246" t="s">
        <v>3817</v>
      </c>
      <c r="B1432" s="2064" t="s">
        <v>15</v>
      </c>
      <c r="C1432" s="2064"/>
      <c r="D1432" s="2142" t="n">
        <f aca="false">IF(C1432&gt;0,1,0)</f>
        <v>0</v>
      </c>
      <c r="E1432" s="1617"/>
      <c r="F1432" s="1708"/>
      <c r="G1432" s="1708"/>
      <c r="H1432" s="1708"/>
      <c r="I1432" s="2230"/>
      <c r="J1432" s="1708"/>
      <c r="K1432" s="1708"/>
      <c r="L1432" s="1708"/>
      <c r="M1432" s="1708"/>
      <c r="N1432" s="1708"/>
      <c r="O1432" s="1708"/>
      <c r="P1432" s="1708"/>
      <c r="Q1432" s="1708"/>
      <c r="R1432" s="1708"/>
      <c r="S1432" s="1708"/>
      <c r="T1432" s="1708"/>
      <c r="U1432" s="1708"/>
      <c r="V1432" s="1708"/>
      <c r="W1432" s="1708"/>
      <c r="X1432" s="1708"/>
      <c r="Y1432" s="1708"/>
    </row>
    <row r="1433" customFormat="false" ht="15.75" hidden="true" customHeight="true" outlineLevel="1" collapsed="false">
      <c r="A1433" s="2246" t="s">
        <v>3818</v>
      </c>
      <c r="B1433" s="2064" t="s">
        <v>15</v>
      </c>
      <c r="C1433" s="2064"/>
      <c r="D1433" s="2142" t="n">
        <f aca="false">IF(C1433&gt;0,1,0)</f>
        <v>0</v>
      </c>
      <c r="E1433" s="1617"/>
      <c r="F1433" s="1708"/>
      <c r="G1433" s="1708"/>
      <c r="H1433" s="1708"/>
      <c r="I1433" s="2230"/>
      <c r="J1433" s="1708"/>
      <c r="K1433" s="1708"/>
      <c r="L1433" s="1708"/>
      <c r="M1433" s="1708"/>
      <c r="N1433" s="1708"/>
      <c r="O1433" s="1708"/>
      <c r="P1433" s="1708"/>
      <c r="Q1433" s="1708"/>
      <c r="R1433" s="1708"/>
      <c r="S1433" s="1708"/>
      <c r="T1433" s="1708"/>
      <c r="U1433" s="1708"/>
      <c r="V1433" s="1708"/>
      <c r="W1433" s="1708"/>
      <c r="X1433" s="1708"/>
      <c r="Y1433" s="1708"/>
    </row>
    <row r="1434" customFormat="false" ht="15.75" hidden="true" customHeight="true" outlineLevel="1" collapsed="false">
      <c r="A1434" s="2246" t="s">
        <v>3819</v>
      </c>
      <c r="B1434" s="2064" t="s">
        <v>820</v>
      </c>
      <c r="C1434" s="2064" t="n">
        <f aca="false">C1454</f>
        <v>0</v>
      </c>
      <c r="D1434" s="2142" t="n">
        <f aca="false">IF('Ввод данных'!A1125='Прайс лист'!B863,0,1)</f>
        <v>0</v>
      </c>
      <c r="E1434" s="1617"/>
      <c r="F1434" s="1708"/>
      <c r="G1434" s="1708"/>
      <c r="H1434" s="1708"/>
      <c r="I1434" s="2230"/>
      <c r="J1434" s="1708"/>
      <c r="K1434" s="1708"/>
      <c r="L1434" s="1708"/>
      <c r="M1434" s="1708"/>
      <c r="N1434" s="1708"/>
      <c r="O1434" s="1708"/>
      <c r="P1434" s="1708"/>
      <c r="Q1434" s="1708"/>
      <c r="R1434" s="1708"/>
      <c r="S1434" s="1708"/>
      <c r="T1434" s="1708"/>
      <c r="U1434" s="1708"/>
      <c r="V1434" s="1708"/>
      <c r="W1434" s="1708"/>
      <c r="X1434" s="1708"/>
      <c r="Y1434" s="1708"/>
    </row>
    <row r="1435" customFormat="false" ht="15.75" hidden="true" customHeight="true" outlineLevel="1" collapsed="false">
      <c r="A1435" s="2246" t="s">
        <v>3820</v>
      </c>
      <c r="B1435" s="2064" t="s">
        <v>820</v>
      </c>
      <c r="C1435" s="2064" t="n">
        <f aca="false">C1457*2</f>
        <v>0</v>
      </c>
      <c r="D1435" s="2142" t="n">
        <f aca="false">IF('Ввод данных'!A1127='Прайс лист'!B863,0,1)</f>
        <v>0</v>
      </c>
      <c r="E1435" s="1617"/>
      <c r="F1435" s="1708"/>
      <c r="G1435" s="1708"/>
      <c r="H1435" s="1708"/>
      <c r="I1435" s="2230"/>
      <c r="J1435" s="1708"/>
      <c r="K1435" s="1708"/>
      <c r="L1435" s="1708"/>
      <c r="M1435" s="1708"/>
      <c r="N1435" s="1708"/>
      <c r="O1435" s="1708"/>
      <c r="P1435" s="1708"/>
      <c r="Q1435" s="1708"/>
      <c r="R1435" s="1708"/>
      <c r="S1435" s="1708"/>
      <c r="T1435" s="1708"/>
      <c r="U1435" s="1708"/>
      <c r="V1435" s="1708"/>
      <c r="W1435" s="1708"/>
      <c r="X1435" s="1708"/>
      <c r="Y1435" s="1708"/>
    </row>
    <row r="1436" customFormat="false" ht="15.75" hidden="true" customHeight="true" outlineLevel="1" collapsed="false">
      <c r="A1436" s="2246" t="s">
        <v>3821</v>
      </c>
      <c r="B1436" s="2064" t="s">
        <v>820</v>
      </c>
      <c r="C1436" s="2064" t="n">
        <f aca="false">C1458</f>
        <v>94.7321893085902</v>
      </c>
      <c r="D1436" s="2142" t="n">
        <f aca="false">IF('Ввод данных'!A1129='Прайс лист'!B863,0,1)</f>
        <v>0</v>
      </c>
      <c r="E1436" s="1617"/>
      <c r="F1436" s="1708"/>
      <c r="G1436" s="1708"/>
      <c r="H1436" s="1708"/>
      <c r="I1436" s="2230"/>
      <c r="J1436" s="1708"/>
      <c r="K1436" s="1708"/>
      <c r="L1436" s="1708"/>
      <c r="M1436" s="1708"/>
      <c r="N1436" s="1708"/>
      <c r="O1436" s="1708"/>
      <c r="P1436" s="1708"/>
      <c r="Q1436" s="1708"/>
      <c r="R1436" s="1708"/>
      <c r="S1436" s="1708"/>
      <c r="T1436" s="1708"/>
      <c r="U1436" s="1708"/>
      <c r="V1436" s="1708"/>
      <c r="W1436" s="1708"/>
      <c r="X1436" s="1708"/>
      <c r="Y1436" s="1708"/>
    </row>
    <row r="1437" customFormat="false" ht="15.75" hidden="true" customHeight="true" outlineLevel="1" collapsed="false">
      <c r="A1437" s="2059" t="s">
        <v>3822</v>
      </c>
      <c r="B1437" s="2064" t="s">
        <v>820</v>
      </c>
      <c r="C1437" s="2064" t="n">
        <f aca="false">C1459</f>
        <v>94.7321893085902</v>
      </c>
      <c r="D1437" s="2142" t="n">
        <f aca="false">IF('Ввод данных'!A1131='Прайс лист'!B863,0,1)</f>
        <v>1</v>
      </c>
      <c r="E1437" s="1617"/>
      <c r="F1437" s="1708"/>
      <c r="G1437" s="1708"/>
      <c r="H1437" s="1708"/>
      <c r="I1437" s="2230"/>
      <c r="J1437" s="1708"/>
      <c r="K1437" s="1708"/>
      <c r="L1437" s="1708"/>
      <c r="M1437" s="1708"/>
      <c r="N1437" s="1708"/>
      <c r="O1437" s="1708"/>
      <c r="P1437" s="1708"/>
      <c r="Q1437" s="1708"/>
      <c r="R1437" s="1708"/>
      <c r="S1437" s="1708"/>
      <c r="T1437" s="1708"/>
      <c r="U1437" s="1708"/>
      <c r="V1437" s="1708"/>
      <c r="W1437" s="1708"/>
      <c r="X1437" s="1708"/>
      <c r="Y1437" s="1708"/>
    </row>
    <row r="1438" customFormat="false" ht="15.75" hidden="true" customHeight="true" outlineLevel="1" collapsed="false">
      <c r="A1438" s="2218" t="s">
        <v>745</v>
      </c>
      <c r="B1438" s="2064" t="s">
        <v>48</v>
      </c>
      <c r="C1438" s="2064" t="n">
        <f aca="false">'Ввод данных'!C1132</f>
        <v>0</v>
      </c>
      <c r="D1438" s="2142" t="n">
        <f aca="false">IF('Ввод данных'!A1133=связи1!A417,0,1)</f>
        <v>0</v>
      </c>
      <c r="E1438" s="1617"/>
      <c r="F1438" s="1708"/>
      <c r="G1438" s="1708"/>
      <c r="H1438" s="1708"/>
      <c r="I1438" s="2230"/>
      <c r="J1438" s="1708"/>
      <c r="K1438" s="1708"/>
      <c r="L1438" s="1708"/>
      <c r="M1438" s="1708"/>
      <c r="N1438" s="1708"/>
      <c r="O1438" s="1708"/>
      <c r="P1438" s="1708"/>
      <c r="Q1438" s="1708"/>
      <c r="R1438" s="1708"/>
      <c r="S1438" s="1708"/>
      <c r="T1438" s="1708"/>
      <c r="U1438" s="1708"/>
      <c r="V1438" s="1708"/>
      <c r="W1438" s="1708"/>
      <c r="X1438" s="1708"/>
      <c r="Y1438" s="1708"/>
    </row>
    <row r="1439" customFormat="false" ht="15.75" hidden="true" customHeight="true" outlineLevel="1" collapsed="false">
      <c r="A1439" s="2218" t="s">
        <v>746</v>
      </c>
      <c r="B1439" s="2064" t="s">
        <v>48</v>
      </c>
      <c r="C1439" s="2064" t="n">
        <f aca="false">'Ввод данных'!C1134</f>
        <v>0</v>
      </c>
      <c r="D1439" s="2142" t="n">
        <f aca="false">IF('Ввод данных'!A1135=связи1!A417,0,1)</f>
        <v>0</v>
      </c>
      <c r="E1439" s="1617"/>
      <c r="U1439" s="1708"/>
      <c r="V1439" s="1708"/>
      <c r="W1439" s="1708"/>
      <c r="X1439" s="1708"/>
      <c r="Y1439" s="1708"/>
    </row>
    <row r="1440" customFormat="false" ht="15.75" hidden="true" customHeight="true" outlineLevel="1" collapsed="false">
      <c r="A1440" s="2218" t="s">
        <v>3823</v>
      </c>
      <c r="B1440" s="2064" t="s">
        <v>48</v>
      </c>
      <c r="C1440" s="2064"/>
      <c r="D1440" s="2142" t="n">
        <f aca="false">IF('Ввод данных'!A1137='Прайс лист'!B649,0,1)</f>
        <v>1</v>
      </c>
      <c r="E1440" s="1617"/>
      <c r="U1440" s="1708"/>
      <c r="V1440" s="1708"/>
      <c r="W1440" s="1708"/>
      <c r="X1440" s="1708"/>
      <c r="Y1440" s="1708"/>
    </row>
    <row r="1441" customFormat="false" ht="15.75" hidden="true" customHeight="true" outlineLevel="1" collapsed="false">
      <c r="A1441" s="2218" t="s">
        <v>3824</v>
      </c>
      <c r="B1441" s="2064" t="s">
        <v>48</v>
      </c>
      <c r="C1441" s="2064"/>
      <c r="D1441" s="2142" t="n">
        <f aca="false">IF('Ввод данных'!A1139='Прайс лист'!B676,0,1)</f>
        <v>1</v>
      </c>
      <c r="E1441" s="1617"/>
      <c r="U1441" s="1708"/>
      <c r="V1441" s="1708"/>
      <c r="W1441" s="1708"/>
      <c r="X1441" s="1708"/>
      <c r="Y1441" s="1708"/>
    </row>
    <row r="1442" customFormat="false" ht="15.75" hidden="true" customHeight="true" outlineLevel="1" collapsed="false">
      <c r="A1442" s="2051" t="s">
        <v>3773</v>
      </c>
      <c r="B1442" s="2064" t="s">
        <v>48</v>
      </c>
      <c r="C1442" s="2141" t="n">
        <f aca="false">'Ввод данных'!C1141</f>
        <v>0</v>
      </c>
      <c r="D1442" s="1734"/>
      <c r="E1442" s="1734"/>
      <c r="F1442" s="1617"/>
      <c r="G1442" s="1708"/>
      <c r="H1442" s="1708"/>
      <c r="I1442" s="2230"/>
      <c r="J1442" s="1708"/>
      <c r="K1442" s="1708"/>
      <c r="L1442" s="1708"/>
      <c r="M1442" s="1708"/>
      <c r="N1442" s="1708"/>
      <c r="O1442" s="1708"/>
      <c r="P1442" s="1708"/>
      <c r="Q1442" s="1708"/>
      <c r="R1442" s="1708"/>
      <c r="S1442" s="1708"/>
      <c r="T1442" s="1708"/>
      <c r="U1442" s="1708"/>
      <c r="V1442" s="1708"/>
      <c r="W1442" s="1708"/>
      <c r="X1442" s="1708"/>
      <c r="Y1442" s="1708"/>
    </row>
    <row r="1443" customFormat="false" ht="15.75" hidden="true" customHeight="true" outlineLevel="1" collapsed="false">
      <c r="A1443" s="2247" t="s">
        <v>3774</v>
      </c>
      <c r="B1443" s="2248"/>
      <c r="C1443" s="2249"/>
      <c r="D1443" s="2174"/>
      <c r="E1443" s="2174"/>
      <c r="F1443" s="2174"/>
      <c r="G1443" s="1708"/>
      <c r="H1443" s="1708"/>
      <c r="I1443" s="2230"/>
      <c r="J1443" s="1708"/>
      <c r="K1443" s="1708"/>
      <c r="L1443" s="1708"/>
      <c r="M1443" s="1708"/>
      <c r="N1443" s="1708"/>
      <c r="O1443" s="1708"/>
      <c r="P1443" s="1708"/>
      <c r="Q1443" s="1708"/>
      <c r="R1443" s="1708"/>
      <c r="S1443" s="1708"/>
      <c r="T1443" s="1708"/>
      <c r="U1443" s="1708"/>
      <c r="V1443" s="1708"/>
      <c r="W1443" s="1708"/>
      <c r="X1443" s="1708"/>
      <c r="Y1443" s="1708"/>
    </row>
    <row r="1444" customFormat="false" ht="15.75" hidden="true" customHeight="true" outlineLevel="1" collapsed="false">
      <c r="A1444" s="2211" t="s">
        <v>3825</v>
      </c>
      <c r="B1444" s="1958" t="s">
        <v>820</v>
      </c>
      <c r="C1444" s="2064" t="n">
        <f aca="false">B1319*C1319*D1319+пристройка!D2*(пристройка!C9*пристройка!C25*пристройка!C3+пристройка!C10*пристройка!C5*пристройка!C26)+D1229*C1235</f>
        <v>128</v>
      </c>
      <c r="D1444" s="2174"/>
      <c r="E1444" s="2229"/>
      <c r="F1444" s="1747"/>
      <c r="G1444" s="2200"/>
      <c r="H1444" s="2200"/>
      <c r="I1444" s="2230"/>
      <c r="J1444" s="1708"/>
      <c r="K1444" s="1708"/>
      <c r="L1444" s="1708"/>
      <c r="M1444" s="1708"/>
      <c r="N1444" s="1708"/>
      <c r="O1444" s="1708"/>
      <c r="P1444" s="1708"/>
      <c r="Q1444" s="1708"/>
      <c r="R1444" s="1708"/>
      <c r="S1444" s="1708"/>
      <c r="T1444" s="1708"/>
      <c r="U1444" s="1708"/>
      <c r="V1444" s="1708"/>
      <c r="W1444" s="1708"/>
      <c r="X1444" s="1708"/>
      <c r="Y1444" s="1708"/>
    </row>
    <row r="1445" customFormat="false" ht="15.75" hidden="true" customHeight="true" outlineLevel="1" collapsed="false">
      <c r="A1445" s="2211" t="s">
        <v>3826</v>
      </c>
      <c r="B1445" s="1958" t="s">
        <v>820</v>
      </c>
      <c r="C1445" s="2064" t="n">
        <f aca="false">C1459</f>
        <v>94.7321893085902</v>
      </c>
      <c r="D1445" s="2174"/>
      <c r="E1445" s="2229"/>
      <c r="F1445" s="1747"/>
      <c r="G1445" s="2200"/>
      <c r="H1445" s="2200"/>
      <c r="I1445" s="2230"/>
      <c r="J1445" s="1708"/>
      <c r="K1445" s="1708"/>
      <c r="L1445" s="1708"/>
      <c r="M1445" s="1708"/>
      <c r="N1445" s="1708"/>
      <c r="O1445" s="1708"/>
      <c r="P1445" s="1708"/>
      <c r="Q1445" s="1708"/>
      <c r="R1445" s="1708"/>
      <c r="S1445" s="1708"/>
      <c r="T1445" s="1708"/>
      <c r="U1445" s="1708"/>
      <c r="V1445" s="1708"/>
      <c r="W1445" s="1708"/>
      <c r="X1445" s="1708"/>
      <c r="Y1445" s="1708"/>
    </row>
    <row r="1446" customFormat="false" ht="15.75" hidden="true" customHeight="true" outlineLevel="1" collapsed="false">
      <c r="A1446" s="2211" t="s">
        <v>3827</v>
      </c>
      <c r="B1446" s="1958" t="s">
        <v>15</v>
      </c>
      <c r="C1446" s="2064" t="n">
        <f aca="false">C1367+C1368</f>
        <v>92.5</v>
      </c>
      <c r="D1446" s="2174"/>
      <c r="E1446" s="2229"/>
      <c r="F1446" s="1747"/>
      <c r="G1446" s="2200"/>
      <c r="H1446" s="2200"/>
      <c r="I1446" s="2230"/>
      <c r="J1446" s="1708"/>
      <c r="K1446" s="1708"/>
      <c r="L1446" s="1708"/>
      <c r="M1446" s="1708"/>
      <c r="N1446" s="1708"/>
      <c r="O1446" s="1708"/>
      <c r="P1446" s="1708"/>
      <c r="Q1446" s="1708"/>
      <c r="R1446" s="1708"/>
      <c r="S1446" s="1708"/>
      <c r="T1446" s="1708"/>
      <c r="U1446" s="1708"/>
      <c r="V1446" s="1708"/>
      <c r="W1446" s="1708"/>
      <c r="X1446" s="1708"/>
      <c r="Y1446" s="1708"/>
    </row>
    <row r="1447" customFormat="false" ht="15.75" hidden="true" customHeight="true" outlineLevel="1" collapsed="false">
      <c r="A1447" s="2211" t="s">
        <v>3828</v>
      </c>
      <c r="B1447" s="1958" t="s">
        <v>15</v>
      </c>
      <c r="C1447" s="2030" t="n">
        <v>0</v>
      </c>
      <c r="D1447" s="2174" t="n">
        <f aca="false">(C1427*D1427+C1428*D1428)*C1447/3</f>
        <v>0</v>
      </c>
      <c r="E1447" s="2229" t="n">
        <f aca="false">D1447*(C1427*D1427+C1428*D1428)</f>
        <v>0</v>
      </c>
      <c r="F1447" s="1747"/>
      <c r="G1447" s="2200" t="n">
        <f aca="false">((C1319+D1319+C1319+D1319)*B1319+D1229*C1275*E1274*C1232+D1229*C1233*C1275*E1274)</f>
        <v>64</v>
      </c>
      <c r="H1447" s="2200"/>
      <c r="I1447" s="2230"/>
      <c r="J1447" s="1708"/>
      <c r="K1447" s="1708"/>
      <c r="L1447" s="1708"/>
      <c r="M1447" s="1708"/>
      <c r="N1447" s="1708"/>
      <c r="O1447" s="1708"/>
      <c r="P1447" s="1708"/>
      <c r="Q1447" s="1708"/>
      <c r="R1447" s="1708"/>
      <c r="S1447" s="1708"/>
      <c r="T1447" s="1708"/>
      <c r="U1447" s="1708"/>
      <c r="V1447" s="1708"/>
      <c r="W1447" s="1708"/>
      <c r="X1447" s="1708"/>
      <c r="Y1447" s="1708"/>
    </row>
    <row r="1448" customFormat="false" ht="15.75" hidden="true" customHeight="true" outlineLevel="1" collapsed="false">
      <c r="A1448" s="2211" t="s">
        <v>3829</v>
      </c>
      <c r="B1448" s="1958" t="s">
        <v>15</v>
      </c>
      <c r="C1448" s="2030" t="n">
        <v>0</v>
      </c>
      <c r="D1448" s="2174" t="n">
        <f aca="false">C1448*(C1429*D1429+C1430*D1430)/3</f>
        <v>0</v>
      </c>
      <c r="E1448" s="2229" t="n">
        <f aca="false">D1448*(C1429*D1429+C1430*D1430)</f>
        <v>0</v>
      </c>
      <c r="F1448" s="1747" t="n">
        <f aca="false">(C1321*D1321+C1322*D1322+C1323*D1323+C1329*D1329+C1330*D1330+C1331*D1331+C1332*D1332)+(N1321*O1321+N1322*O1322+N1323*O1323+N1329*O1329+N1330*O1330+N1331*O1331+C1324*D1324+N1324*O1324+N1332*O1332)*(B1319-1)</f>
        <v>28.5</v>
      </c>
      <c r="G1448" s="2200"/>
      <c r="H1448" s="2200"/>
      <c r="I1448" s="2230"/>
      <c r="J1448" s="1708"/>
      <c r="K1448" s="1708"/>
      <c r="L1448" s="1708"/>
      <c r="M1448" s="1708"/>
      <c r="N1448" s="1708"/>
      <c r="O1448" s="1708"/>
      <c r="P1448" s="1708"/>
      <c r="Q1448" s="1708"/>
      <c r="R1448" s="1708"/>
      <c r="S1448" s="1708"/>
      <c r="T1448" s="1708"/>
      <c r="U1448" s="1708"/>
      <c r="V1448" s="1708"/>
      <c r="W1448" s="1708"/>
      <c r="X1448" s="1708"/>
      <c r="Y1448" s="1708"/>
    </row>
    <row r="1449" customFormat="false" ht="15.75" hidden="true" customHeight="true" outlineLevel="1" collapsed="false">
      <c r="A1449" s="2211" t="s">
        <v>3830</v>
      </c>
      <c r="B1449" s="1958" t="s">
        <v>15</v>
      </c>
      <c r="C1449" s="2030" t="n">
        <v>0</v>
      </c>
      <c r="D1449" s="2174" t="n">
        <f aca="false">C1449*(C1431)</f>
        <v>0</v>
      </c>
      <c r="E1449" s="2229" t="n">
        <f aca="false">D1449*(C1431*D1431)</f>
        <v>0</v>
      </c>
      <c r="F1449" s="1747" t="n">
        <f aca="false">(C1325*D1325+C1326*D1326+C1327*D1327+C1328*D1328+C1333*D1333+C1334*D1334+C1335*D1335)+(C1336*D1336+N1325*O1325+N1326*O1326+N1327*O1327+N1328*O1328+N1333*O1333+N1334*O1334+N1335*O1335+N1336*O1336)*(B1319-1)</f>
        <v>7.8</v>
      </c>
      <c r="G1449" s="2200"/>
      <c r="H1449" s="2200"/>
      <c r="I1449" s="2230"/>
      <c r="J1449" s="1708"/>
      <c r="K1449" s="1708"/>
      <c r="L1449" s="1708"/>
      <c r="M1449" s="1708"/>
      <c r="N1449" s="1708"/>
      <c r="O1449" s="1708"/>
      <c r="P1449" s="1708"/>
      <c r="Q1449" s="1708"/>
      <c r="R1449" s="1708"/>
      <c r="S1449" s="1708"/>
      <c r="T1449" s="1708"/>
      <c r="U1449" s="1708"/>
      <c r="V1449" s="1708"/>
      <c r="W1449" s="1708"/>
      <c r="X1449" s="1708"/>
      <c r="Y1449" s="1708"/>
    </row>
    <row r="1450" customFormat="false" ht="15.75" hidden="true" customHeight="true" outlineLevel="1" collapsed="false">
      <c r="A1450" s="2211" t="s">
        <v>3831</v>
      </c>
      <c r="B1450" s="1958" t="s">
        <v>15</v>
      </c>
      <c r="C1450" s="2030" t="n">
        <f aca="false">Спецификация!F745</f>
        <v>0</v>
      </c>
      <c r="D1450" s="2174"/>
      <c r="E1450" s="2229"/>
      <c r="F1450" s="1747"/>
      <c r="G1450" s="2200"/>
      <c r="H1450" s="2200"/>
      <c r="I1450" s="2230"/>
      <c r="J1450" s="1708"/>
      <c r="K1450" s="1708"/>
      <c r="L1450" s="1708"/>
      <c r="M1450" s="1708"/>
      <c r="N1450" s="1708"/>
      <c r="O1450" s="1708"/>
      <c r="P1450" s="1708"/>
      <c r="Q1450" s="1708"/>
      <c r="R1450" s="1708"/>
      <c r="S1450" s="1708"/>
      <c r="T1450" s="1708"/>
      <c r="U1450" s="1708"/>
      <c r="V1450" s="1708"/>
      <c r="W1450" s="1708"/>
      <c r="X1450" s="1708"/>
      <c r="Y1450" s="1708"/>
    </row>
    <row r="1451" customFormat="false" ht="15.75" hidden="true" customHeight="true" outlineLevel="1" collapsed="false">
      <c r="A1451" s="2211" t="s">
        <v>3832</v>
      </c>
      <c r="B1451" s="1958"/>
      <c r="C1451" s="2030" t="n">
        <f aca="false">Спецификация!F746</f>
        <v>0</v>
      </c>
      <c r="D1451" s="2174"/>
      <c r="E1451" s="2229"/>
      <c r="F1451" s="1747"/>
      <c r="G1451" s="2200"/>
      <c r="H1451" s="2200"/>
      <c r="I1451" s="2230"/>
      <c r="J1451" s="1708"/>
      <c r="K1451" s="1708"/>
      <c r="L1451" s="1708"/>
      <c r="M1451" s="1708"/>
      <c r="N1451" s="1708"/>
      <c r="O1451" s="1708"/>
      <c r="P1451" s="1708"/>
      <c r="Q1451" s="1708"/>
      <c r="R1451" s="1708"/>
      <c r="S1451" s="1708"/>
      <c r="T1451" s="1708"/>
      <c r="U1451" s="1708"/>
      <c r="V1451" s="1708"/>
      <c r="W1451" s="1708"/>
      <c r="X1451" s="1708"/>
      <c r="Y1451" s="1708"/>
    </row>
    <row r="1452" customFormat="false" ht="15.75" hidden="true" customHeight="true" outlineLevel="1" collapsed="false">
      <c r="A1452" s="2211" t="s">
        <v>3833</v>
      </c>
      <c r="B1452" s="1958" t="s">
        <v>15</v>
      </c>
      <c r="C1452" s="2030" t="n">
        <f aca="false">Спецификация!F747</f>
        <v>0</v>
      </c>
      <c r="D1452" s="2174"/>
      <c r="E1452" s="2229"/>
      <c r="F1452" s="1747"/>
      <c r="G1452" s="2200"/>
      <c r="H1452" s="2200"/>
      <c r="I1452" s="2230"/>
      <c r="J1452" s="1708"/>
      <c r="K1452" s="1708"/>
      <c r="L1452" s="1708"/>
      <c r="M1452" s="1708"/>
      <c r="N1452" s="1708"/>
      <c r="O1452" s="1708"/>
      <c r="P1452" s="1708"/>
      <c r="Q1452" s="1708"/>
      <c r="R1452" s="1708"/>
      <c r="S1452" s="1708"/>
      <c r="T1452" s="1708"/>
      <c r="U1452" s="1708"/>
      <c r="V1452" s="1708"/>
      <c r="W1452" s="1708"/>
      <c r="X1452" s="1708"/>
      <c r="Y1452" s="1708"/>
    </row>
    <row r="1453" customFormat="false" ht="15.75" hidden="true" customHeight="true" outlineLevel="1" collapsed="false">
      <c r="A1453" s="2211" t="s">
        <v>3781</v>
      </c>
      <c r="B1453" s="1958" t="s">
        <v>820</v>
      </c>
      <c r="C1453" s="2213" t="n">
        <f aca="false">связи1!C150</f>
        <v>0</v>
      </c>
      <c r="D1453" s="2174"/>
      <c r="E1453" s="2229"/>
      <c r="F1453" s="1747"/>
      <c r="G1453" s="2200"/>
      <c r="H1453" s="2200"/>
      <c r="I1453" s="2230"/>
      <c r="J1453" s="1708"/>
      <c r="K1453" s="1708"/>
      <c r="L1453" s="1708"/>
      <c r="M1453" s="1708"/>
      <c r="N1453" s="1708"/>
      <c r="O1453" s="1708"/>
      <c r="P1453" s="1708"/>
      <c r="Q1453" s="1708"/>
      <c r="R1453" s="1708"/>
      <c r="S1453" s="1708"/>
      <c r="T1453" s="1708"/>
      <c r="U1453" s="1708"/>
      <c r="V1453" s="1708"/>
      <c r="W1453" s="1708"/>
      <c r="X1453" s="1708"/>
      <c r="Y1453" s="1708"/>
    </row>
    <row r="1454" customFormat="false" ht="15.75" hidden="true" customHeight="true" outlineLevel="1" collapsed="false">
      <c r="A1454" s="2211" t="s">
        <v>3834</v>
      </c>
      <c r="B1454" s="1958" t="s">
        <v>820</v>
      </c>
      <c r="C1454" s="2213" t="n">
        <f aca="false">C1453</f>
        <v>0</v>
      </c>
      <c r="D1454" s="2174"/>
      <c r="E1454" s="2229"/>
      <c r="F1454" s="1747"/>
      <c r="G1454" s="2200"/>
      <c r="H1454" s="2200"/>
      <c r="I1454" s="2230"/>
      <c r="J1454" s="1708"/>
      <c r="K1454" s="1708"/>
      <c r="L1454" s="1708"/>
      <c r="M1454" s="1708"/>
      <c r="N1454" s="1708"/>
      <c r="O1454" s="1708"/>
      <c r="P1454" s="1708"/>
      <c r="Q1454" s="1708"/>
      <c r="R1454" s="1708"/>
      <c r="S1454" s="1708"/>
      <c r="T1454" s="1708"/>
      <c r="U1454" s="1708"/>
      <c r="V1454" s="1708"/>
      <c r="W1454" s="1708"/>
      <c r="X1454" s="1708"/>
      <c r="Y1454" s="1708"/>
    </row>
    <row r="1455" customFormat="false" ht="15.75" hidden="true" customHeight="true" outlineLevel="1" collapsed="false">
      <c r="A1455" s="2211" t="s">
        <v>3835</v>
      </c>
      <c r="B1455" s="1958" t="s">
        <v>820</v>
      </c>
      <c r="C1455" s="2213" t="n">
        <f aca="false">связи1!D150</f>
        <v>0</v>
      </c>
      <c r="D1455" s="2174"/>
      <c r="E1455" s="2229"/>
      <c r="F1455" s="1747"/>
      <c r="G1455" s="2200"/>
      <c r="H1455" s="2200"/>
      <c r="I1455" s="2230"/>
      <c r="J1455" s="1708"/>
      <c r="K1455" s="1708"/>
      <c r="L1455" s="1708"/>
      <c r="M1455" s="1708"/>
      <c r="N1455" s="1708"/>
      <c r="O1455" s="1708"/>
      <c r="P1455" s="1708"/>
      <c r="Q1455" s="1708"/>
      <c r="R1455" s="1708"/>
      <c r="S1455" s="1708"/>
      <c r="T1455" s="1708"/>
      <c r="U1455" s="1708"/>
      <c r="V1455" s="1708"/>
      <c r="W1455" s="1708"/>
      <c r="X1455" s="1708"/>
      <c r="Y1455" s="1708"/>
    </row>
    <row r="1456" customFormat="false" ht="15.75" hidden="true" customHeight="true" outlineLevel="1" collapsed="false">
      <c r="A1456" s="2211" t="s">
        <v>3836</v>
      </c>
      <c r="B1456" s="1958"/>
      <c r="C1456" s="2213" t="n">
        <f aca="false">связи1!E150</f>
        <v>0</v>
      </c>
      <c r="D1456" s="2174"/>
      <c r="E1456" s="2229"/>
      <c r="F1456" s="1747"/>
      <c r="G1456" s="2200"/>
      <c r="H1456" s="2200"/>
      <c r="I1456" s="2230"/>
      <c r="J1456" s="1708"/>
      <c r="K1456" s="1708"/>
      <c r="L1456" s="1708"/>
      <c r="M1456" s="1708"/>
      <c r="N1456" s="1708"/>
      <c r="O1456" s="1708"/>
      <c r="P1456" s="1708"/>
      <c r="Q1456" s="1708"/>
      <c r="R1456" s="1708"/>
      <c r="S1456" s="1708"/>
      <c r="T1456" s="1708"/>
      <c r="U1456" s="1708"/>
      <c r="V1456" s="1708"/>
      <c r="W1456" s="1708"/>
      <c r="X1456" s="1708"/>
      <c r="Y1456" s="1708"/>
    </row>
    <row r="1457" customFormat="false" ht="15.75" hidden="true" customHeight="true" outlineLevel="1" collapsed="false">
      <c r="A1457" s="2211" t="s">
        <v>3786</v>
      </c>
      <c r="B1457" s="1958" t="s">
        <v>820</v>
      </c>
      <c r="C1457" s="2213" t="n">
        <f aca="false">C1455+C1456</f>
        <v>0</v>
      </c>
      <c r="D1457" s="2174"/>
      <c r="E1457" s="2174"/>
      <c r="F1457" s="2174"/>
      <c r="G1457" s="1708"/>
      <c r="H1457" s="1708"/>
      <c r="I1457" s="2230"/>
      <c r="J1457" s="1708"/>
      <c r="K1457" s="1708"/>
      <c r="L1457" s="1708"/>
      <c r="M1457" s="1708"/>
      <c r="N1457" s="1708"/>
      <c r="O1457" s="1708"/>
      <c r="P1457" s="1708"/>
      <c r="Q1457" s="1708"/>
      <c r="R1457" s="1708"/>
      <c r="S1457" s="1708"/>
      <c r="T1457" s="1708"/>
      <c r="U1457" s="1708"/>
      <c r="V1457" s="1708"/>
      <c r="W1457" s="1708"/>
      <c r="X1457" s="1708"/>
      <c r="Y1457" s="1708"/>
    </row>
    <row r="1458" customFormat="false" ht="15.75" hidden="true" customHeight="true" outlineLevel="1" collapsed="false">
      <c r="A1458" s="2212" t="s">
        <v>3787</v>
      </c>
      <c r="B1458" s="2213" t="s">
        <v>820</v>
      </c>
      <c r="C1458" s="2213" t="n">
        <f aca="false">J107</f>
        <v>94.7321893085902</v>
      </c>
      <c r="D1458" s="2174"/>
      <c r="E1458" s="2174"/>
      <c r="F1458" s="2174"/>
      <c r="G1458" s="1708"/>
      <c r="H1458" s="1708"/>
      <c r="I1458" s="2230"/>
      <c r="J1458" s="1708"/>
      <c r="K1458" s="1708"/>
      <c r="L1458" s="1708"/>
      <c r="M1458" s="1708"/>
      <c r="N1458" s="1708"/>
      <c r="O1458" s="1708"/>
      <c r="P1458" s="1708"/>
      <c r="Q1458" s="1708"/>
      <c r="R1458" s="1708"/>
      <c r="S1458" s="1708"/>
      <c r="T1458" s="1708"/>
      <c r="U1458" s="1708"/>
      <c r="V1458" s="1708"/>
      <c r="W1458" s="1708"/>
      <c r="X1458" s="1708"/>
      <c r="Y1458" s="1708"/>
    </row>
    <row r="1459" customFormat="false" ht="15.75" hidden="true" customHeight="true" outlineLevel="1" collapsed="false">
      <c r="A1459" s="2212" t="s">
        <v>3837</v>
      </c>
      <c r="B1459" s="2213" t="s">
        <v>820</v>
      </c>
      <c r="C1459" s="2213" t="n">
        <f aca="false">J106</f>
        <v>94.7321893085902</v>
      </c>
      <c r="D1459" s="2174"/>
      <c r="E1459" s="2174"/>
      <c r="F1459" s="2174"/>
      <c r="G1459" s="1708"/>
      <c r="H1459" s="1708"/>
      <c r="I1459" s="2230"/>
      <c r="J1459" s="1708"/>
      <c r="K1459" s="1708"/>
      <c r="L1459" s="1708"/>
      <c r="M1459" s="1708"/>
      <c r="N1459" s="1708"/>
      <c r="O1459" s="1708"/>
      <c r="P1459" s="1708"/>
      <c r="Q1459" s="1708"/>
      <c r="R1459" s="1708"/>
      <c r="S1459" s="1708"/>
      <c r="T1459" s="1708"/>
      <c r="U1459" s="1708"/>
      <c r="V1459" s="1708"/>
      <c r="W1459" s="1708"/>
      <c r="X1459" s="1708"/>
      <c r="Y1459" s="1708"/>
    </row>
    <row r="1460" customFormat="false" ht="15.75" hidden="true" customHeight="true" outlineLevel="1" collapsed="false">
      <c r="A1460" s="2212" t="s">
        <v>3790</v>
      </c>
      <c r="B1460" s="2213" t="s">
        <v>820</v>
      </c>
      <c r="C1460" s="2213" t="n">
        <f aca="false">J91+J96+J101</f>
        <v>64</v>
      </c>
      <c r="D1460" s="2174"/>
      <c r="E1460" s="2174"/>
      <c r="F1460" s="2174"/>
      <c r="G1460" s="1708"/>
      <c r="H1460" s="1708"/>
      <c r="I1460" s="2230"/>
      <c r="J1460" s="1708"/>
      <c r="K1460" s="1708"/>
      <c r="L1460" s="1708"/>
      <c r="M1460" s="1708"/>
      <c r="N1460" s="1708"/>
      <c r="O1460" s="1708"/>
      <c r="P1460" s="1708"/>
      <c r="Q1460" s="1708"/>
      <c r="R1460" s="1708"/>
      <c r="S1460" s="1708"/>
      <c r="T1460" s="1708"/>
      <c r="U1460" s="1708"/>
      <c r="V1460" s="1708"/>
      <c r="W1460" s="1708"/>
      <c r="X1460" s="1708"/>
      <c r="Y1460" s="1708"/>
    </row>
    <row r="1461" customFormat="false" ht="15.75" hidden="true" customHeight="true" outlineLevel="1" collapsed="false">
      <c r="A1461" s="2212" t="s">
        <v>3791</v>
      </c>
      <c r="B1461" s="2213" t="s">
        <v>820</v>
      </c>
      <c r="C1461" s="2213" t="n">
        <f aca="false">J92+J97+J102</f>
        <v>64</v>
      </c>
      <c r="D1461" s="2174"/>
      <c r="E1461" s="2174"/>
      <c r="F1461" s="2174"/>
      <c r="G1461" s="1708"/>
      <c r="H1461" s="1708"/>
      <c r="I1461" s="2230"/>
      <c r="J1461" s="1708"/>
      <c r="K1461" s="1708"/>
      <c r="L1461" s="1708"/>
      <c r="M1461" s="1708"/>
      <c r="N1461" s="1708"/>
      <c r="O1461" s="1708"/>
      <c r="P1461" s="1708"/>
      <c r="Q1461" s="1708"/>
      <c r="R1461" s="1708"/>
      <c r="S1461" s="1708"/>
      <c r="T1461" s="1708"/>
      <c r="U1461" s="1708"/>
      <c r="V1461" s="1708"/>
      <c r="W1461" s="1708"/>
      <c r="X1461" s="1708"/>
      <c r="Y1461" s="1708"/>
    </row>
    <row r="1462" customFormat="false" ht="15.75" hidden="true" customHeight="true" outlineLevel="1" collapsed="false">
      <c r="A1462" s="2212" t="s">
        <v>3792</v>
      </c>
      <c r="B1462" s="2213" t="s">
        <v>820</v>
      </c>
      <c r="C1462" s="2213" t="n">
        <f aca="false">J93+J98+J103</f>
        <v>0</v>
      </c>
      <c r="D1462" s="2174"/>
      <c r="E1462" s="2174"/>
      <c r="F1462" s="2174"/>
      <c r="G1462" s="1708"/>
      <c r="H1462" s="1708"/>
      <c r="I1462" s="2230"/>
      <c r="J1462" s="1708"/>
      <c r="K1462" s="1708"/>
      <c r="L1462" s="1708"/>
      <c r="M1462" s="1708"/>
      <c r="N1462" s="1708"/>
      <c r="O1462" s="1708"/>
      <c r="P1462" s="1708"/>
      <c r="Q1462" s="1708"/>
      <c r="R1462" s="1708"/>
      <c r="S1462" s="1708"/>
      <c r="T1462" s="1708"/>
      <c r="U1462" s="1708"/>
      <c r="V1462" s="1708"/>
      <c r="W1462" s="1708"/>
      <c r="X1462" s="1708"/>
      <c r="Y1462" s="1708"/>
    </row>
    <row r="1463" customFormat="false" ht="15.75" hidden="true" customHeight="true" outlineLevel="1" collapsed="false">
      <c r="A1463" s="2212" t="s">
        <v>3793</v>
      </c>
      <c r="B1463" s="2213" t="s">
        <v>820</v>
      </c>
      <c r="C1463" s="2213" t="n">
        <f aca="false">SUM(C1460:C1462)</f>
        <v>128</v>
      </c>
      <c r="D1463" s="2174" t="n">
        <v>1</v>
      </c>
      <c r="E1463" s="2174" t="n">
        <v>0.4</v>
      </c>
      <c r="F1463" s="2174"/>
      <c r="G1463" s="1708"/>
      <c r="H1463" s="1708"/>
      <c r="I1463" s="2230"/>
      <c r="J1463" s="1708"/>
      <c r="K1463" s="1708"/>
      <c r="L1463" s="1708"/>
      <c r="M1463" s="1708"/>
      <c r="N1463" s="1708"/>
      <c r="O1463" s="1708"/>
      <c r="P1463" s="1708"/>
      <c r="Q1463" s="1708"/>
      <c r="R1463" s="1708"/>
      <c r="S1463" s="1708"/>
      <c r="T1463" s="1708"/>
      <c r="U1463" s="1708"/>
      <c r="V1463" s="1708"/>
      <c r="W1463" s="1708"/>
      <c r="X1463" s="1708"/>
      <c r="Y1463" s="1708"/>
    </row>
    <row r="1464" customFormat="false" ht="15.75" hidden="true" customHeight="true" outlineLevel="1" collapsed="false">
      <c r="A1464" s="2247" t="s">
        <v>3838</v>
      </c>
      <c r="B1464" s="2248"/>
      <c r="C1464" s="2248"/>
      <c r="D1464" s="2250"/>
      <c r="E1464" s="2250"/>
      <c r="F1464" s="2250"/>
      <c r="G1464" s="2250"/>
      <c r="H1464" s="2250"/>
      <c r="I1464" s="2251"/>
      <c r="J1464" s="2250"/>
      <c r="K1464" s="2250"/>
      <c r="L1464" s="2250"/>
      <c r="M1464" s="2250"/>
      <c r="N1464" s="2250"/>
      <c r="O1464" s="2252"/>
      <c r="P1464" s="1734"/>
      <c r="Q1464" s="1734"/>
      <c r="R1464" s="2157"/>
      <c r="S1464" s="1708"/>
      <c r="T1464" s="1708"/>
      <c r="U1464" s="1708"/>
      <c r="V1464" s="1708"/>
      <c r="W1464" s="1708"/>
      <c r="X1464" s="1708"/>
      <c r="Y1464" s="1708"/>
    </row>
    <row r="1465" customFormat="false" ht="15.75" hidden="true" customHeight="true" outlineLevel="1" collapsed="false">
      <c r="A1465" s="2253" t="s">
        <v>2246</v>
      </c>
      <c r="B1465" s="2254" t="s">
        <v>1738</v>
      </c>
      <c r="C1465" s="2254" t="s">
        <v>118</v>
      </c>
      <c r="D1465" s="2254" t="s">
        <v>3839</v>
      </c>
      <c r="E1465" s="2255" t="s">
        <v>2916</v>
      </c>
      <c r="F1465" s="1708"/>
      <c r="G1465" s="1995" t="s">
        <v>3800</v>
      </c>
      <c r="H1465" s="2256"/>
      <c r="I1465" s="2226"/>
      <c r="L1465" s="2257" t="s">
        <v>118</v>
      </c>
      <c r="M1465" s="2257"/>
      <c r="N1465" s="2257"/>
      <c r="O1465" s="2257" t="s">
        <v>2915</v>
      </c>
      <c r="P1465" s="2255" t="s">
        <v>2916</v>
      </c>
      <c r="Q1465" s="1708"/>
      <c r="R1465" s="1708"/>
      <c r="S1465" s="1708"/>
      <c r="T1465" s="1708"/>
      <c r="U1465" s="1708"/>
      <c r="V1465" s="1708"/>
      <c r="W1465" s="1708"/>
      <c r="X1465" s="1708"/>
      <c r="Y1465" s="1708"/>
    </row>
    <row r="1466" customFormat="false" ht="15.75" hidden="true" customHeight="true" outlineLevel="1" collapsed="false">
      <c r="A1466" s="2211" t="str">
        <f aca="false">'Ввод данных'!A1110</f>
        <v>Доска сухая калиброванная, 190*45мм</v>
      </c>
      <c r="B1466" s="2064" t="s">
        <v>1043</v>
      </c>
      <c r="C1466" s="2064" t="n">
        <f aca="false">C1446*G1425*VLOOKUP(A1466,связи1!A202:E211,5,0)</f>
        <v>0.8699625</v>
      </c>
      <c r="D1466" s="2064" t="n">
        <f aca="false">VLOOKUP(A1466,связи1!A202:D211,4,0)</f>
        <v>12500</v>
      </c>
      <c r="E1466" s="1707" t="n">
        <f aca="false">C1466*D1466</f>
        <v>10874.53125</v>
      </c>
      <c r="F1466" s="1708"/>
      <c r="G1466" s="1995" t="s">
        <v>3840</v>
      </c>
      <c r="H1466" s="1995"/>
      <c r="I1466" s="2062"/>
      <c r="J1466" s="1436"/>
      <c r="L1466" s="1707" t="n">
        <f aca="false">G43+I43+J43</f>
        <v>32</v>
      </c>
      <c r="M1466" s="1707"/>
      <c r="N1466" s="1707"/>
      <c r="O1466" s="1707" t="n">
        <f aca="false">'Прайс лист'!G1479</f>
        <v>200</v>
      </c>
      <c r="P1466" s="1707" t="n">
        <f aca="false">L1466*O1466</f>
        <v>6400</v>
      </c>
      <c r="Q1466" s="1708"/>
      <c r="R1466" s="1708"/>
      <c r="S1466" s="1708"/>
      <c r="T1466" s="1708"/>
      <c r="U1466" s="1708"/>
      <c r="V1466" s="1708"/>
      <c r="W1466" s="1708"/>
      <c r="X1466" s="1708"/>
      <c r="Y1466" s="1708"/>
    </row>
    <row r="1467" customFormat="false" ht="15.75" hidden="true" customHeight="true" outlineLevel="1" collapsed="false">
      <c r="A1467" s="2211" t="str">
        <f aca="false">'Прайс лист'!B714</f>
        <v>Болты анкерные с гайкой 12,0 х 280          </v>
      </c>
      <c r="B1467" s="2064" t="s">
        <v>48</v>
      </c>
      <c r="C1467" s="2064" t="n">
        <f aca="false">C1446*G1425</f>
        <v>101.75</v>
      </c>
      <c r="D1467" s="2064" t="n">
        <f aca="false">'Прайс лист'!G714</f>
        <v>27.1</v>
      </c>
      <c r="E1467" s="1707" t="n">
        <f aca="false">C1467*D1467</f>
        <v>2757.425</v>
      </c>
      <c r="F1467" s="1708"/>
      <c r="G1467" s="1995" t="str">
        <f aca="false">'Прайс лист'!B1487</f>
        <v>монтаж стен каркаса</v>
      </c>
      <c r="H1467" s="1995"/>
      <c r="I1467" s="2062"/>
      <c r="J1467" s="1436"/>
      <c r="L1467" s="1707" t="n">
        <f aca="false">C1453</f>
        <v>0</v>
      </c>
      <c r="M1467" s="1707"/>
      <c r="N1467" s="1707"/>
      <c r="O1467" s="1707" t="n">
        <f aca="false">'Прайс лист'!G1487</f>
        <v>400</v>
      </c>
      <c r="P1467" s="1707" t="n">
        <f aca="false">L1467*O1467</f>
        <v>0</v>
      </c>
      <c r="Q1467" s="1708"/>
      <c r="R1467" s="1708"/>
      <c r="S1467" s="1708"/>
      <c r="T1467" s="1708"/>
      <c r="U1467" s="1708"/>
      <c r="V1467" s="1708"/>
      <c r="W1467" s="1708"/>
      <c r="X1467" s="1708"/>
      <c r="Y1467" s="1708"/>
    </row>
    <row r="1468" s="1582" customFormat="true" ht="15.75" hidden="true" customHeight="true" outlineLevel="1" collapsed="false">
      <c r="A1468" s="2211" t="str">
        <f aca="false">'Ввод данных'!A1115</f>
        <v>Доска сухая калиброванная, 145*45мм</v>
      </c>
      <c r="B1468" s="2064" t="s">
        <v>1043</v>
      </c>
      <c r="C1468" s="1692" t="n">
        <f aca="false">(C1450+C1447)*VLOOKUP(A1468,связи1!A407:E415,5,0)*1.1</f>
        <v>0</v>
      </c>
      <c r="D1468" s="2064" t="n">
        <f aca="false">VLOOKUP(A1468,связи1!A407:B415,2,0)</f>
        <v>12500</v>
      </c>
      <c r="E1468" s="1707" t="n">
        <f aca="false">C1469*D1468</f>
        <v>0</v>
      </c>
      <c r="F1468" s="1708"/>
      <c r="G1468" s="1995" t="str">
        <f aca="false">'Прайс лист'!B1488</f>
        <v>Монтаж несущих перегородок</v>
      </c>
      <c r="H1468" s="1734"/>
      <c r="L1468" s="1582" t="n">
        <f aca="false">C1455</f>
        <v>0</v>
      </c>
      <c r="O1468" s="1707" t="n">
        <f aca="false">'Прайс лист'!G1488</f>
        <v>400</v>
      </c>
      <c r="P1468" s="1707" t="n">
        <f aca="false">L1468*O1468</f>
        <v>0</v>
      </c>
      <c r="Q1468" s="1708"/>
      <c r="R1468" s="1708"/>
      <c r="S1468" s="1708"/>
      <c r="T1468" s="1708"/>
      <c r="U1468" s="1708"/>
      <c r="V1468" s="1708"/>
      <c r="W1468" s="1708"/>
      <c r="X1468" s="1708"/>
      <c r="Y1468" s="1708"/>
    </row>
    <row r="1469" s="1582" customFormat="true" ht="15.75" hidden="true" customHeight="true" outlineLevel="1" collapsed="false">
      <c r="A1469" s="1436" t="str">
        <f aca="false">'Ввод данных'!A1117</f>
        <v>Доска сухая калиброванная, 145*45мм</v>
      </c>
      <c r="B1469" s="2064" t="s">
        <v>1043</v>
      </c>
      <c r="C1469" s="2064" t="n">
        <f aca="false">(C1451+C1448)*G1425*VLOOKUP(A1469,связи1!A407:E415,5,0)*1.1</f>
        <v>0</v>
      </c>
      <c r="D1469" s="1436" t="n">
        <f aca="false">VLOOKUP(A1469,связи1!A407:B415,2,0)</f>
        <v>12500</v>
      </c>
      <c r="E1469" s="1707" t="n">
        <f aca="false">C1470*D1469</f>
        <v>0</v>
      </c>
      <c r="F1469" s="1708"/>
      <c r="G1469" s="1995" t="str">
        <f aca="false">'Прайс лист'!B1489</f>
        <v>Монтаж перегородок</v>
      </c>
      <c r="H1469" s="1734"/>
      <c r="L1469" s="1582" t="n">
        <f aca="false">C1456</f>
        <v>0</v>
      </c>
      <c r="O1469" s="1707" t="n">
        <f aca="false">'Прайс лист'!G1489</f>
        <v>400</v>
      </c>
      <c r="P1469" s="1707" t="n">
        <f aca="false">L1469*O1469</f>
        <v>0</v>
      </c>
      <c r="Q1469" s="1708"/>
      <c r="R1469" s="1708"/>
      <c r="S1469" s="1708"/>
      <c r="T1469" s="1708"/>
      <c r="U1469" s="1708"/>
      <c r="V1469" s="1708"/>
      <c r="W1469" s="1708"/>
      <c r="X1469" s="1708"/>
      <c r="Y1469" s="1708"/>
    </row>
    <row r="1470" customFormat="false" ht="15.75" hidden="true" customHeight="true" outlineLevel="1" collapsed="false">
      <c r="A1470" s="1436" t="str">
        <f aca="false">'Ввод данных'!A1119</f>
        <v>Доска сухая калиброванная, 100*45мм</v>
      </c>
      <c r="B1470" s="2064" t="s">
        <v>1043</v>
      </c>
      <c r="C1470" s="1692" t="n">
        <f aca="false">(C1452+C1449)*VLOOKUP(A1470,связи1!A407:E415,5,0)*1.1</f>
        <v>0</v>
      </c>
      <c r="D1470" s="1436" t="n">
        <f aca="false">VLOOKUP(A1470,связи1!A407:B415,2,0)</f>
        <v>12500</v>
      </c>
      <c r="E1470" s="1707" t="n">
        <f aca="false">C1471*D1470</f>
        <v>1302567.60299312</v>
      </c>
      <c r="F1470" s="1708"/>
      <c r="G1470" s="1995" t="str">
        <f aca="false">'Прайс лист'!B1494</f>
        <v>Монтаж вентиляционного зазора</v>
      </c>
      <c r="H1470" s="1995"/>
      <c r="I1470" s="2062"/>
      <c r="J1470" s="1436"/>
      <c r="L1470" s="1707" t="n">
        <f aca="false">C1453*D1438*I1425</f>
        <v>0</v>
      </c>
      <c r="M1470" s="1707"/>
      <c r="N1470" s="1707"/>
      <c r="O1470" s="1707" t="n">
        <f aca="false">'Прайс лист'!G1494</f>
        <v>80</v>
      </c>
      <c r="P1470" s="1707" t="n">
        <f aca="false">L1470*O1470</f>
        <v>0</v>
      </c>
      <c r="Q1470" s="1708"/>
      <c r="R1470" s="1708"/>
      <c r="S1470" s="1708"/>
      <c r="T1470" s="1708"/>
      <c r="U1470" s="1708"/>
      <c r="V1470" s="1708"/>
      <c r="W1470" s="1708"/>
      <c r="X1470" s="1708"/>
      <c r="Y1470" s="1708"/>
    </row>
    <row r="1471" customFormat="false" ht="15.75" hidden="true" customHeight="true" outlineLevel="1" collapsed="false">
      <c r="A1471" s="2211" t="str">
        <f aca="false">'Ввод данных'!A1131</f>
        <v>Фанера Хвойная, марка ФСФ, 21 мм </v>
      </c>
      <c r="B1471" s="2064" t="s">
        <v>820</v>
      </c>
      <c r="C1471" s="2064" t="n">
        <f aca="false">C1459*G1425*D1437</f>
        <v>104.205408239449</v>
      </c>
      <c r="D1471" s="2064" t="n">
        <f aca="false">VLOOKUP(A1471,'Прайс лист'!B863:G907,6,0)</f>
        <v>548.333333333333</v>
      </c>
      <c r="E1471" s="1707" t="n">
        <f aca="false">C1471*D1471</f>
        <v>57139.298851298</v>
      </c>
      <c r="F1471" s="1708"/>
      <c r="G1471" s="1995" t="str">
        <f aca="false">'Прайс лист'!B1495</f>
        <v>Монтаж технологического зазора</v>
      </c>
      <c r="H1471" s="1995"/>
      <c r="I1471" s="2062"/>
      <c r="J1471" s="1436"/>
      <c r="L1471" s="1707" t="n">
        <f aca="false">C1453*D1439*I1425</f>
        <v>0</v>
      </c>
      <c r="M1471" s="1707"/>
      <c r="N1471" s="1707"/>
      <c r="O1471" s="1707" t="n">
        <f aca="false">'Прайс лист'!G1495</f>
        <v>80</v>
      </c>
      <c r="P1471" s="1707" t="n">
        <f aca="false">L1471*O1471</f>
        <v>0</v>
      </c>
      <c r="Q1471" s="1708"/>
      <c r="R1471" s="1708"/>
      <c r="S1471" s="1708"/>
      <c r="T1471" s="1708"/>
      <c r="U1471" s="1708"/>
      <c r="V1471" s="1708"/>
      <c r="W1471" s="1708"/>
      <c r="X1471" s="1708"/>
      <c r="Y1471" s="1708"/>
    </row>
    <row r="1472" customFormat="false" ht="15.75" hidden="true" customHeight="true" outlineLevel="1" collapsed="false">
      <c r="A1472" s="2211" t="str">
        <f aca="false">'Ввод данных'!A1135</f>
        <v>нет</v>
      </c>
      <c r="B1472" s="2064" t="s">
        <v>15</v>
      </c>
      <c r="C1472" s="2064" t="n">
        <f aca="false">C1450*G1425+C1450*G1425</f>
        <v>0</v>
      </c>
      <c r="D1472" s="2064" t="n">
        <f aca="false">VLOOKUP(A1472,связи1!A417:D420,4,0)</f>
        <v>0</v>
      </c>
      <c r="E1472" s="1707" t="n">
        <f aca="false">C1472*D1472</f>
        <v>0</v>
      </c>
      <c r="F1472" s="1708"/>
      <c r="G1472" s="1995" t="str">
        <f aca="false">'Прайс лист'!B1498</f>
        <v>монтаж ветроизоляции стен</v>
      </c>
      <c r="H1472" s="1995"/>
      <c r="I1472" s="2062"/>
      <c r="J1472" s="1436"/>
      <c r="L1472" s="1707" t="n">
        <f aca="false">C1453*D1440*I1425</f>
        <v>0</v>
      </c>
      <c r="M1472" s="1707"/>
      <c r="N1472" s="1707"/>
      <c r="O1472" s="1707" t="n">
        <f aca="false">'Прайс лист'!G1498</f>
        <v>100</v>
      </c>
      <c r="P1472" s="1707" t="n">
        <f aca="false">L1472*O1472</f>
        <v>0</v>
      </c>
      <c r="Q1472" s="1708"/>
      <c r="R1472" s="1708"/>
      <c r="S1472" s="1708"/>
      <c r="T1472" s="1708"/>
      <c r="U1472" s="1708"/>
      <c r="V1472" s="1708"/>
      <c r="W1472" s="1708"/>
      <c r="X1472" s="1708"/>
      <c r="Y1472" s="1708"/>
    </row>
    <row r="1473" customFormat="false" ht="15.75" hidden="true" customHeight="true" outlineLevel="1" collapsed="false">
      <c r="A1473" s="2211" t="str">
        <f aca="false">'Ввод данных'!A1121</f>
        <v>Плитный,28кг/м3, технониколь, 150мм</v>
      </c>
      <c r="B1473" s="2064" t="s">
        <v>1043</v>
      </c>
      <c r="C1473" s="2064" t="n">
        <f aca="false">C1453*G1425*VLOOKUP(A1473,'Прайс лист'!B600:G639,3,0)</f>
        <v>0</v>
      </c>
      <c r="D1473" s="2064" t="n">
        <f aca="false">VLOOKUP(A1473,'Прайс лист'!B600:G639,6,0)</f>
        <v>1700</v>
      </c>
      <c r="E1473" s="1707" t="n">
        <f aca="false">C1473*D1473</f>
        <v>0</v>
      </c>
      <c r="F1473" s="1708"/>
      <c r="G1473" s="1995" t="str">
        <f aca="false">'Прайс лист'!B1499</f>
        <v>монтаж пароизоляции стен</v>
      </c>
      <c r="H1473" s="1995"/>
      <c r="I1473" s="2062"/>
      <c r="J1473" s="1436"/>
      <c r="L1473" s="1707" t="n">
        <f aca="false">C1453*D1441*I1425</f>
        <v>0</v>
      </c>
      <c r="M1473" s="1707"/>
      <c r="N1473" s="1707"/>
      <c r="O1473" s="1707" t="n">
        <f aca="false">'Прайс лист'!G1499</f>
        <v>100</v>
      </c>
      <c r="P1473" s="1707" t="n">
        <f aca="false">L1473*O1473</f>
        <v>0</v>
      </c>
      <c r="Q1473" s="1708"/>
      <c r="R1473" s="1708"/>
      <c r="S1473" s="1708"/>
      <c r="T1473" s="1708"/>
      <c r="U1473" s="1708"/>
      <c r="V1473" s="1708"/>
      <c r="W1473" s="1708"/>
      <c r="X1473" s="1708"/>
      <c r="Y1473" s="1708"/>
    </row>
    <row r="1474" customFormat="false" ht="15.75" hidden="true" customHeight="true" outlineLevel="1" collapsed="false">
      <c r="A1474" s="2211" t="str">
        <f aca="false">'Ввод данных'!A1123</f>
        <v>Плитный,28кг/м3, технониколь, 50мм</v>
      </c>
      <c r="B1474" s="2064" t="s">
        <v>1043</v>
      </c>
      <c r="C1474" s="2064" t="n">
        <f aca="false">C1457*G1425*VLOOKUP(A1474,'Прайс лист'!B600:G639,3,0)</f>
        <v>0</v>
      </c>
      <c r="D1474" s="2064" t="n">
        <f aca="false">VLOOKUP(A1474,'Прайс лист'!B600:G639,6,0)</f>
        <v>1700</v>
      </c>
      <c r="E1474" s="1707" t="n">
        <f aca="false">C1474*D1474</f>
        <v>0</v>
      </c>
      <c r="F1474" s="1708"/>
      <c r="G1474" s="1634" t="str">
        <f aca="false">'Прайс лист'!B1490</f>
        <v>монтаж osb/фанера наруж стены</v>
      </c>
      <c r="H1474" s="1634"/>
      <c r="I1474" s="1436"/>
      <c r="J1474" s="1436"/>
      <c r="L1474" s="1436" t="n">
        <f aca="false">C1454*I1425*D1434</f>
        <v>0</v>
      </c>
      <c r="M1474" s="1436"/>
      <c r="N1474" s="1436"/>
      <c r="O1474" s="1707" t="n">
        <f aca="false">'Прайс лист'!G1490</f>
        <v>200</v>
      </c>
      <c r="P1474" s="1707" t="n">
        <f aca="false">L1474*O1474</f>
        <v>0</v>
      </c>
      <c r="Q1474" s="1708"/>
      <c r="R1474" s="1708"/>
      <c r="S1474" s="1708"/>
      <c r="T1474" s="1708"/>
      <c r="U1474" s="1708"/>
      <c r="V1474" s="1708"/>
      <c r="W1474" s="1708"/>
      <c r="X1474" s="1708"/>
      <c r="Y1474" s="1708"/>
    </row>
    <row r="1475" customFormat="false" ht="15.75" hidden="true" customHeight="true" outlineLevel="1" collapsed="false">
      <c r="A1475" s="2211" t="str">
        <f aca="false">'Ввод данных'!A1125</f>
        <v>нет</v>
      </c>
      <c r="B1475" s="2064" t="s">
        <v>820</v>
      </c>
      <c r="C1475" s="2064" t="n">
        <f aca="false">C1454*G1425*D1434</f>
        <v>0</v>
      </c>
      <c r="D1475" s="2064" t="n">
        <f aca="false">VLOOKUP(A1475,'Прайс лист'!B863:G907,6,0)</f>
        <v>0</v>
      </c>
      <c r="E1475" s="1707" t="n">
        <f aca="false">C1475*D1475</f>
        <v>0</v>
      </c>
      <c r="F1475" s="1708"/>
      <c r="G1475" s="1634" t="str">
        <f aca="false">'Прайс лист'!B1493</f>
        <v>монтаж osb/фанера потолок</v>
      </c>
      <c r="H1475" s="1634"/>
      <c r="I1475" s="1633"/>
      <c r="J1475" s="1436"/>
      <c r="L1475" s="1436" t="n">
        <f aca="false">C1458*I1425*D1436</f>
        <v>0</v>
      </c>
      <c r="M1475" s="1436"/>
      <c r="N1475" s="1436"/>
      <c r="O1475" s="1707" t="n">
        <f aca="false">'Прайс лист'!G1493</f>
        <v>200</v>
      </c>
      <c r="P1475" s="1707" t="n">
        <f aca="false">L1475*O1475</f>
        <v>0</v>
      </c>
      <c r="Q1475" s="1708"/>
      <c r="R1475" s="1708"/>
      <c r="S1475" s="1708"/>
      <c r="T1475" s="1708"/>
      <c r="U1475" s="1708"/>
      <c r="V1475" s="1708"/>
      <c r="W1475" s="1708"/>
      <c r="X1475" s="1708"/>
      <c r="Y1475" s="1708"/>
    </row>
    <row r="1476" customFormat="false" ht="15.75" hidden="true" customHeight="true" outlineLevel="1" collapsed="false">
      <c r="A1476" s="2211" t="str">
        <f aca="false">'Ввод данных'!A1129</f>
        <v>нет</v>
      </c>
      <c r="B1476" s="2064" t="s">
        <v>820</v>
      </c>
      <c r="C1476" s="2064" t="n">
        <f aca="false">C1436*D1436*G1425</f>
        <v>0</v>
      </c>
      <c r="D1476" s="2064" t="n">
        <f aca="false">VLOOKUP(A1476,'Прайс лист'!B863:G907,6,0)</f>
        <v>0</v>
      </c>
      <c r="E1476" s="1707" t="n">
        <f aca="false">C1476*D1476</f>
        <v>0</v>
      </c>
      <c r="F1476" s="1708"/>
      <c r="G1476" s="1707" t="str">
        <f aca="false">'Прайс лист'!B1491</f>
        <v>монтаж osb/фанера перегородки</v>
      </c>
      <c r="H1476" s="1707"/>
      <c r="I1476" s="2062"/>
      <c r="J1476" s="1436"/>
      <c r="L1476" s="1707" t="n">
        <f aca="false">C1457*2*I1425*D1435</f>
        <v>0</v>
      </c>
      <c r="M1476" s="1707"/>
      <c r="N1476" s="1707"/>
      <c r="O1476" s="1436" t="n">
        <f aca="false">'Прайс лист'!G1491</f>
        <v>200</v>
      </c>
      <c r="P1476" s="1707" t="n">
        <f aca="false">L1476*O1476</f>
        <v>0</v>
      </c>
      <c r="Q1476" s="1708"/>
      <c r="R1476" s="1708"/>
      <c r="S1476" s="1708"/>
      <c r="T1476" s="1708"/>
      <c r="U1476" s="1708"/>
      <c r="V1476" s="1708"/>
      <c r="W1476" s="1708"/>
      <c r="X1476" s="1708"/>
      <c r="Y1476" s="1708"/>
    </row>
    <row r="1477" customFormat="false" ht="15.75" hidden="true" customHeight="true" outlineLevel="1" collapsed="false">
      <c r="A1477" s="2211" t="str">
        <f aca="false">'Ввод данных'!A1127</f>
        <v>нет</v>
      </c>
      <c r="B1477" s="2064" t="s">
        <v>820</v>
      </c>
      <c r="C1477" s="2064" t="n">
        <f aca="false">C1435*G1425*D1435</f>
        <v>0</v>
      </c>
      <c r="D1477" s="2064" t="n">
        <f aca="false">VLOOKUP(A1477,'Прайс лист'!B863:G907,6,0)</f>
        <v>0</v>
      </c>
      <c r="E1477" s="1707" t="n">
        <f aca="false">C1477*D1477</f>
        <v>0</v>
      </c>
      <c r="F1477" s="1708"/>
      <c r="G1477" s="1436" t="str">
        <f aca="false">'Прайс лист'!B1492</f>
        <v>монтаж osb/фанера пол</v>
      </c>
      <c r="H1477" s="1436"/>
      <c r="I1477" s="1633"/>
      <c r="J1477" s="1436"/>
      <c r="L1477" s="1436" t="n">
        <f aca="false">C1459*D1437*I1425</f>
        <v>94.7321893085902</v>
      </c>
      <c r="M1477" s="1436"/>
      <c r="N1477" s="1436"/>
      <c r="O1477" s="1436" t="n">
        <f aca="false">'Прайс лист'!G1492</f>
        <v>200</v>
      </c>
      <c r="P1477" s="1707" t="n">
        <f aca="false">L1477*O1477</f>
        <v>18946.437861718</v>
      </c>
      <c r="Q1477" s="1708"/>
      <c r="R1477" s="1708"/>
      <c r="S1477" s="1708"/>
      <c r="T1477" s="1708"/>
      <c r="U1477" s="1708"/>
      <c r="V1477" s="1708"/>
      <c r="W1477" s="1708"/>
      <c r="X1477" s="1708"/>
      <c r="Y1477" s="1708"/>
    </row>
    <row r="1478" customFormat="false" ht="15.75" hidden="true" customHeight="true" outlineLevel="1" collapsed="false">
      <c r="A1478" s="1714" t="str">
        <f aca="false">'Прайс лист'!B725</f>
        <v>Саморезы 3,5 x 25            </v>
      </c>
      <c r="B1478" s="1958" t="s">
        <v>48</v>
      </c>
      <c r="C1478" s="1958" t="n">
        <f aca="false">(C1477+C1475+C1476)*10*G1425</f>
        <v>0</v>
      </c>
      <c r="D1478" s="2064" t="n">
        <f aca="false">'Прайс лист'!F725</f>
        <v>0.2</v>
      </c>
      <c r="E1478" s="1707" t="n">
        <f aca="false">C1478*D1478</f>
        <v>0</v>
      </c>
      <c r="F1478" s="1708"/>
      <c r="G1478" s="1634" t="s">
        <v>3817</v>
      </c>
      <c r="H1478" s="1634"/>
      <c r="I1478" s="1633"/>
      <c r="J1478" s="1436"/>
      <c r="L1478" s="1436" t="n">
        <f aca="false">C1454*I1425*IF(A1473='Прайс лист'!B600,0,1)</f>
        <v>0</v>
      </c>
      <c r="M1478" s="1436"/>
      <c r="N1478" s="1436"/>
      <c r="O1478" s="1436" t="n">
        <f aca="false">'Прайс лист'!G1496</f>
        <v>200</v>
      </c>
      <c r="P1478" s="1707" t="n">
        <f aca="false">L1478*O1478</f>
        <v>0</v>
      </c>
      <c r="Q1478" s="1708"/>
      <c r="R1478" s="1708"/>
      <c r="S1478" s="1708"/>
      <c r="T1478" s="1708"/>
      <c r="U1478" s="1708"/>
      <c r="V1478" s="1708"/>
      <c r="W1478" s="1708"/>
      <c r="X1478" s="1708"/>
      <c r="Y1478" s="1708"/>
    </row>
    <row r="1479" customFormat="false" ht="15.75" hidden="true" customHeight="true" outlineLevel="1" collapsed="false">
      <c r="A1479" s="2211" t="str">
        <f aca="false">'Прайс лист'!B743</f>
        <v>Гвозди ершоные 2,8 х 90            </v>
      </c>
      <c r="B1479" s="2064" t="s">
        <v>434</v>
      </c>
      <c r="C1479" s="2064" t="n">
        <f aca="false">(C1469+C1468+C1470)*2*G1425</f>
        <v>0</v>
      </c>
      <c r="D1479" s="2064" t="n">
        <f aca="false">'Прайс лист'!G743</f>
        <v>76.49</v>
      </c>
      <c r="E1479" s="1707" t="n">
        <f aca="false">C1479*D1479</f>
        <v>0</v>
      </c>
      <c r="F1479" s="1708"/>
      <c r="G1479" s="1634" t="s">
        <v>740</v>
      </c>
      <c r="H1479" s="1634"/>
      <c r="I1479" s="1633"/>
      <c r="J1479" s="1436"/>
      <c r="L1479" s="1436" t="n">
        <f aca="false">C1457*I1425*IF(A1474='Прайс лист'!B600,0,1)</f>
        <v>0</v>
      </c>
      <c r="M1479" s="1436"/>
      <c r="N1479" s="1436"/>
      <c r="O1479" s="1707" t="n">
        <f aca="false">'Прайс лист'!G1497</f>
        <v>200</v>
      </c>
      <c r="P1479" s="1707" t="n">
        <f aca="false">L1479*O1479</f>
        <v>0</v>
      </c>
      <c r="Q1479" s="1708"/>
      <c r="R1479" s="1708"/>
      <c r="S1479" s="1708"/>
      <c r="T1479" s="1708"/>
      <c r="U1479" s="1708"/>
      <c r="V1479" s="1708"/>
      <c r="W1479" s="1708"/>
      <c r="X1479" s="1708"/>
      <c r="Y1479" s="1708"/>
    </row>
    <row r="1480" customFormat="false" ht="15.75" hidden="true" customHeight="true" outlineLevel="1" collapsed="false">
      <c r="A1480" s="2211" t="str">
        <f aca="false">'Прайс лист'!B742</f>
        <v>Гвозди ершоные 3,4 x 60            </v>
      </c>
      <c r="B1480" s="2064" t="s">
        <v>434</v>
      </c>
      <c r="C1480" s="2064" t="n">
        <f aca="false">(C1472)/150</f>
        <v>0</v>
      </c>
      <c r="D1480" s="2064" t="n">
        <f aca="false">'Прайс лист'!G742</f>
        <v>75.51</v>
      </c>
      <c r="E1480" s="1707" t="n">
        <f aca="false">C1480*D1480</f>
        <v>0</v>
      </c>
      <c r="F1480" s="1708"/>
      <c r="G1480" s="2227"/>
      <c r="H1480" s="2258"/>
      <c r="I1480" s="2228"/>
      <c r="L1480" s="2255"/>
      <c r="M1480" s="2255"/>
      <c r="N1480" s="2255"/>
      <c r="O1480" s="2255"/>
      <c r="P1480" s="2255"/>
      <c r="Q1480" s="1708"/>
      <c r="R1480" s="1708"/>
      <c r="S1480" s="1708"/>
      <c r="T1480" s="1708"/>
      <c r="U1480" s="1708"/>
      <c r="V1480" s="1708"/>
      <c r="W1480" s="1708"/>
      <c r="X1480" s="1708"/>
      <c r="Y1480" s="1708"/>
    </row>
    <row r="1481" customFormat="false" ht="15.75" hidden="true" customHeight="true" outlineLevel="1" collapsed="false">
      <c r="A1481" s="2211" t="str">
        <f aca="false">'Ввод данных'!A1137</f>
        <v>Универсальная Optima C</v>
      </c>
      <c r="B1481" s="2064" t="s">
        <v>820</v>
      </c>
      <c r="C1481" s="2064" t="n">
        <f aca="false">C1453*1.1*G1425*D1440</f>
        <v>0</v>
      </c>
      <c r="D1481" s="2064" t="n">
        <f aca="false">VLOOKUP(A1481,'Прайс лист'!B649:G675,6,0)</f>
        <v>19</v>
      </c>
      <c r="E1481" s="1707" t="n">
        <f aca="false">C1481*D1481</f>
        <v>0</v>
      </c>
      <c r="F1481" s="1708"/>
      <c r="G1481" s="2227"/>
      <c r="H1481" s="2258"/>
      <c r="I1481" s="2228"/>
      <c r="L1481" s="2255"/>
      <c r="M1481" s="2255"/>
      <c r="N1481" s="2255"/>
      <c r="O1481" s="2255"/>
      <c r="P1481" s="2255"/>
      <c r="Q1481" s="1708"/>
      <c r="R1481" s="1708"/>
      <c r="S1481" s="1708"/>
      <c r="T1481" s="1708"/>
      <c r="U1481" s="1708"/>
      <c r="V1481" s="1708"/>
      <c r="W1481" s="1708"/>
      <c r="X1481" s="1708"/>
      <c r="Y1481" s="1708"/>
    </row>
    <row r="1482" customFormat="false" ht="15.75" hidden="true" customHeight="true" outlineLevel="1" collapsed="false">
      <c r="A1482" s="2211" t="str">
        <f aca="false">'Ввод данных'!A1139</f>
        <v>Универсальная Optima C</v>
      </c>
      <c r="B1482" s="2064" t="s">
        <v>820</v>
      </c>
      <c r="C1482" s="2064" t="n">
        <f aca="false">C1481*D1441*G1425</f>
        <v>0</v>
      </c>
      <c r="D1482" s="2064" t="n">
        <f aca="false">VLOOKUP(A1482,'Прайс лист'!B676:G687,6,0)</f>
        <v>20</v>
      </c>
      <c r="E1482" s="1707" t="n">
        <f aca="false">C1482*D1482</f>
        <v>0</v>
      </c>
      <c r="F1482" s="1708"/>
      <c r="G1482" s="1995"/>
      <c r="H1482" s="2146"/>
      <c r="I1482" s="2225"/>
      <c r="K1482" s="1707"/>
      <c r="L1482" s="1707"/>
      <c r="M1482" s="1707"/>
      <c r="N1482" s="1707"/>
      <c r="O1482" s="1707"/>
      <c r="P1482" s="1707"/>
      <c r="Q1482" s="1708"/>
      <c r="R1482" s="1708"/>
      <c r="S1482" s="1708"/>
      <c r="T1482" s="1708"/>
      <c r="U1482" s="1708"/>
      <c r="V1482" s="1708"/>
      <c r="W1482" s="1708"/>
      <c r="X1482" s="1708"/>
      <c r="Y1482" s="1708"/>
    </row>
    <row r="1483" customFormat="false" ht="15.75" hidden="true" customHeight="true" outlineLevel="1" collapsed="false">
      <c r="A1483" s="2211" t="str">
        <f aca="false">'Прайс лист'!B688</f>
        <v>Скобы для степлера, 1000шт/уп</v>
      </c>
      <c r="B1483" s="2064" t="s">
        <v>3841</v>
      </c>
      <c r="C1483" s="2064" t="n">
        <f aca="false">5*G1425</f>
        <v>5.5</v>
      </c>
      <c r="D1483" s="2064" t="n">
        <f aca="false">'Прайс лист'!G688</f>
        <v>100</v>
      </c>
      <c r="E1483" s="1707" t="n">
        <f aca="false">C1483*D1483</f>
        <v>550</v>
      </c>
      <c r="F1483" s="1617"/>
      <c r="G1483" s="1995"/>
      <c r="H1483" s="2146"/>
      <c r="I1483" s="2225"/>
      <c r="K1483" s="1707"/>
      <c r="L1483" s="1707"/>
      <c r="M1483" s="1707"/>
      <c r="N1483" s="1707"/>
      <c r="O1483" s="1707"/>
      <c r="P1483" s="1707"/>
      <c r="Q1483" s="1617"/>
      <c r="R1483" s="1617"/>
      <c r="S1483" s="1617"/>
      <c r="T1483" s="1617"/>
      <c r="U1483" s="1617"/>
      <c r="V1483" s="1617"/>
      <c r="W1483" s="1617"/>
      <c r="X1483" s="1617"/>
      <c r="Y1483" s="1617"/>
    </row>
    <row r="1484" customFormat="false" ht="15.75" hidden="true" customHeight="true" outlineLevel="1" collapsed="false">
      <c r="A1484" s="2211" t="str">
        <f aca="false">'Ввод данных'!A1146</f>
        <v>Командировочные расходы</v>
      </c>
      <c r="B1484" s="2064" t="s">
        <v>113</v>
      </c>
      <c r="C1484" s="2064" t="n">
        <f aca="false">1</f>
        <v>1</v>
      </c>
      <c r="D1484" s="2064" t="n">
        <f aca="false">'Ввод данных'!C1147*'Ввод данных'!C1148*'Ввод данных'!C1149*VLOOKUP('Ввод данных'!C1146,связи1!A2:B3,2,0)</f>
        <v>0</v>
      </c>
      <c r="E1484" s="1707" t="n">
        <f aca="false">C1484*D1484</f>
        <v>0</v>
      </c>
      <c r="F1484" s="1617"/>
      <c r="G1484" s="1995"/>
      <c r="H1484" s="2146"/>
      <c r="I1484" s="2225"/>
      <c r="K1484" s="1707"/>
      <c r="L1484" s="1707"/>
      <c r="M1484" s="1707"/>
      <c r="N1484" s="1707"/>
      <c r="O1484" s="1707"/>
      <c r="P1484" s="1707"/>
      <c r="Q1484" s="1617"/>
      <c r="R1484" s="1617"/>
      <c r="S1484" s="1617"/>
      <c r="T1484" s="1617"/>
      <c r="U1484" s="1617"/>
      <c r="V1484" s="1617"/>
      <c r="W1484" s="1617"/>
      <c r="X1484" s="1617"/>
      <c r="Y1484" s="1617"/>
    </row>
    <row r="1485" customFormat="false" ht="15.75" hidden="true" customHeight="true" outlineLevel="1" collapsed="false">
      <c r="A1485" s="2211" t="str">
        <f aca="false">'Ввод данных'!A1144</f>
        <v>расходные материалы каркасный дом</v>
      </c>
      <c r="B1485" s="2064" t="s">
        <v>48</v>
      </c>
      <c r="C1485" s="2064" t="n">
        <f aca="false">1</f>
        <v>1</v>
      </c>
      <c r="D1485" s="2064" t="n">
        <f aca="false">'Ввод данных'!C1144</f>
        <v>3000</v>
      </c>
      <c r="E1485" s="1707" t="n">
        <f aca="false">C1485*D1485</f>
        <v>3000</v>
      </c>
      <c r="F1485" s="1708"/>
      <c r="G1485" s="1995"/>
      <c r="H1485" s="2146"/>
      <c r="I1485" s="2225"/>
      <c r="K1485" s="1707"/>
      <c r="L1485" s="1707"/>
      <c r="M1485" s="1707"/>
      <c r="N1485" s="1707"/>
      <c r="O1485" s="1707"/>
      <c r="P1485" s="1707"/>
      <c r="Q1485" s="1708"/>
      <c r="R1485" s="1708"/>
      <c r="S1485" s="1708"/>
      <c r="T1485" s="1708"/>
      <c r="U1485" s="1708"/>
      <c r="V1485" s="1708"/>
      <c r="W1485" s="1708"/>
      <c r="X1485" s="1708"/>
      <c r="Y1485" s="1708"/>
    </row>
    <row r="1486" customFormat="false" ht="15.75" hidden="true" customHeight="true" outlineLevel="1" collapsed="false">
      <c r="A1486" s="2211" t="str">
        <f aca="false">'Ввод данных'!A1141</f>
        <v>Газель</v>
      </c>
      <c r="B1486" s="2064" t="s">
        <v>48</v>
      </c>
      <c r="C1486" s="2064" t="n">
        <f aca="false">C1442</f>
        <v>0</v>
      </c>
      <c r="D1486" s="2064" t="n">
        <f aca="false">VLOOKUP(A1486,'Прайс лист'!B192:G206,6,0)</f>
        <v>500</v>
      </c>
      <c r="E1486" s="1707" t="n">
        <f aca="false">C1486*D1486</f>
        <v>0</v>
      </c>
      <c r="F1486" s="1708"/>
      <c r="G1486" s="1995"/>
      <c r="H1486" s="2146"/>
      <c r="I1486" s="2225"/>
      <c r="K1486" s="1707"/>
      <c r="L1486" s="1707"/>
      <c r="M1486" s="1707"/>
      <c r="N1486" s="1707"/>
      <c r="O1486" s="1707"/>
      <c r="P1486" s="1707"/>
      <c r="Q1486" s="1708"/>
      <c r="R1486" s="1708"/>
      <c r="S1486" s="1708"/>
      <c r="T1486" s="1708"/>
      <c r="U1486" s="1708"/>
      <c r="V1486" s="1708"/>
      <c r="W1486" s="1708"/>
      <c r="X1486" s="1708"/>
      <c r="Y1486" s="1708"/>
    </row>
    <row r="1487" customFormat="false" ht="15.75" hidden="true" customHeight="true" outlineLevel="1" collapsed="false">
      <c r="A1487" s="2229"/>
      <c r="B1487" s="2174"/>
      <c r="C1487" s="2174"/>
      <c r="D1487" s="2174"/>
      <c r="E1487" s="2062" t="n">
        <f aca="false">SUM(E1466:E1486)</f>
        <v>1376888.85809441</v>
      </c>
      <c r="F1487" s="1708"/>
      <c r="G1487" s="1995"/>
      <c r="H1487" s="2146"/>
      <c r="I1487" s="2225"/>
      <c r="K1487" s="1707"/>
      <c r="L1487" s="1707"/>
      <c r="M1487" s="1707"/>
      <c r="N1487" s="1707"/>
      <c r="O1487" s="1707"/>
      <c r="P1487" s="1707"/>
      <c r="Q1487" s="1708"/>
      <c r="R1487" s="1708"/>
      <c r="S1487" s="1708"/>
      <c r="T1487" s="1708"/>
      <c r="U1487" s="1708"/>
      <c r="V1487" s="1708"/>
      <c r="W1487" s="1708"/>
      <c r="X1487" s="1708"/>
      <c r="Y1487" s="1708"/>
    </row>
    <row r="1488" customFormat="false" ht="15.75" hidden="true" customHeight="true" outlineLevel="1" collapsed="false">
      <c r="F1488" s="1708"/>
      <c r="G1488" s="1708"/>
      <c r="H1488" s="1708"/>
      <c r="I1488" s="2230"/>
      <c r="K1488" s="1708"/>
      <c r="L1488" s="1708"/>
      <c r="M1488" s="1708"/>
      <c r="N1488" s="1708"/>
      <c r="O1488" s="1708"/>
      <c r="P1488" s="1707" t="n">
        <f aca="false">SUM(P1466:P1487)</f>
        <v>25346.437861718</v>
      </c>
      <c r="Q1488" s="1708"/>
      <c r="R1488" s="1708"/>
      <c r="S1488" s="1708"/>
      <c r="T1488" s="1708"/>
      <c r="U1488" s="1708"/>
      <c r="V1488" s="1708"/>
      <c r="W1488" s="1708"/>
      <c r="X1488" s="1708"/>
      <c r="Y1488" s="1708"/>
    </row>
    <row r="1489" customFormat="false" ht="15.75" hidden="true" customHeight="true" outlineLevel="1" collapsed="false">
      <c r="A1489" s="2211" t="s">
        <v>3808</v>
      </c>
      <c r="B1489" s="1564" t="n">
        <f aca="false">E1487</f>
        <v>1376888.85809441</v>
      </c>
      <c r="C1489" s="2231"/>
      <c r="D1489" s="1734"/>
      <c r="E1489" s="1708"/>
      <c r="F1489" s="1708"/>
      <c r="G1489" s="1708"/>
      <c r="H1489" s="1708"/>
      <c r="I1489" s="2230"/>
      <c r="J1489" s="1708"/>
      <c r="K1489" s="1708"/>
      <c r="L1489" s="1708"/>
      <c r="M1489" s="1708"/>
      <c r="N1489" s="1708"/>
      <c r="O1489" s="1708"/>
      <c r="P1489" s="1708"/>
      <c r="Q1489" s="1708"/>
      <c r="R1489" s="1708"/>
      <c r="S1489" s="1708"/>
      <c r="T1489" s="1708"/>
      <c r="U1489" s="1708"/>
      <c r="V1489" s="1708"/>
      <c r="W1489" s="1708"/>
      <c r="X1489" s="1708"/>
      <c r="Y1489" s="1708"/>
    </row>
    <row r="1490" customFormat="false" ht="15.75" hidden="true" customHeight="true" outlineLevel="1" collapsed="false">
      <c r="A1490" s="2211" t="s">
        <v>3809</v>
      </c>
      <c r="B1490" s="1564" t="n">
        <f aca="false">P1488</f>
        <v>25346.437861718</v>
      </c>
      <c r="C1490" s="2231"/>
      <c r="D1490" s="1708"/>
      <c r="E1490" s="1708"/>
      <c r="F1490" s="1708"/>
      <c r="G1490" s="1708"/>
      <c r="H1490" s="1708"/>
      <c r="I1490" s="2230"/>
      <c r="J1490" s="1708"/>
      <c r="K1490" s="1708"/>
      <c r="L1490" s="1708"/>
      <c r="M1490" s="1708"/>
      <c r="N1490" s="1708"/>
      <c r="O1490" s="1708"/>
      <c r="P1490" s="1708"/>
      <c r="Q1490" s="1708"/>
      <c r="R1490" s="1708"/>
      <c r="S1490" s="1708"/>
      <c r="T1490" s="1708"/>
      <c r="U1490" s="1708"/>
      <c r="V1490" s="1708"/>
      <c r="W1490" s="1708"/>
      <c r="X1490" s="1708"/>
      <c r="Y1490" s="1708"/>
    </row>
    <row r="1491" customFormat="false" ht="15.75" hidden="true" customHeight="true" outlineLevel="1" collapsed="false">
      <c r="A1491" s="1707" t="s">
        <v>2922</v>
      </c>
      <c r="B1491" s="1564" t="n">
        <f aca="false">(B1489+B1490)*B1492</f>
        <v>0</v>
      </c>
      <c r="C1491" s="2231"/>
      <c r="D1491" s="1708"/>
      <c r="E1491" s="1708"/>
      <c r="F1491" s="1708"/>
      <c r="G1491" s="1708"/>
      <c r="H1491" s="1708"/>
      <c r="I1491" s="2230"/>
      <c r="J1491" s="1708"/>
      <c r="K1491" s="1708"/>
      <c r="L1491" s="1708"/>
      <c r="M1491" s="1708"/>
      <c r="N1491" s="1708"/>
      <c r="O1491" s="1708"/>
      <c r="P1491" s="1708"/>
      <c r="Q1491" s="1708"/>
      <c r="R1491" s="1708"/>
      <c r="S1491" s="1708"/>
      <c r="T1491" s="1708"/>
      <c r="U1491" s="1708"/>
      <c r="V1491" s="1708"/>
      <c r="W1491" s="1708"/>
      <c r="X1491" s="1708"/>
      <c r="Y1491" s="1708"/>
    </row>
    <row r="1492" customFormat="false" ht="15.75" hidden="false" customHeight="true" outlineLevel="0" collapsed="false">
      <c r="A1492" s="2259" t="s">
        <v>751</v>
      </c>
      <c r="B1492" s="2141"/>
      <c r="C1492" s="2233" t="s">
        <v>3811</v>
      </c>
      <c r="D1492" s="2146"/>
      <c r="E1492" s="2146"/>
      <c r="F1492" s="2147"/>
      <c r="G1492" s="1708"/>
      <c r="H1492" s="1708"/>
      <c r="I1492" s="2230"/>
      <c r="J1492" s="1708"/>
      <c r="K1492" s="1708"/>
      <c r="L1492" s="1708"/>
      <c r="M1492" s="1708"/>
      <c r="N1492" s="1708"/>
      <c r="O1492" s="1708"/>
      <c r="P1492" s="1708"/>
      <c r="Q1492" s="1708"/>
      <c r="R1492" s="1708"/>
      <c r="S1492" s="1708"/>
      <c r="T1492" s="1708"/>
      <c r="U1492" s="1708"/>
      <c r="V1492" s="1708"/>
      <c r="W1492" s="1708"/>
      <c r="X1492" s="1708"/>
      <c r="Y1492" s="1708"/>
    </row>
    <row r="1493" customFormat="false" ht="15.75" hidden="false" customHeight="true" outlineLevel="0" collapsed="false">
      <c r="A1493" s="1708"/>
      <c r="B1493" s="2231"/>
      <c r="C1493" s="2231"/>
      <c r="D1493" s="1708"/>
      <c r="E1493" s="1708"/>
      <c r="F1493" s="1708"/>
      <c r="G1493" s="1708"/>
      <c r="H1493" s="1708"/>
      <c r="I1493" s="2230"/>
      <c r="J1493" s="1708"/>
      <c r="K1493" s="1708"/>
      <c r="L1493" s="1708"/>
      <c r="M1493" s="1708"/>
      <c r="N1493" s="1708"/>
      <c r="O1493" s="1708"/>
      <c r="P1493" s="1708"/>
      <c r="Q1493" s="1708"/>
      <c r="R1493" s="1708"/>
      <c r="S1493" s="1708"/>
      <c r="T1493" s="1708"/>
      <c r="U1493" s="1708"/>
      <c r="V1493" s="1708"/>
      <c r="W1493" s="1708"/>
      <c r="X1493" s="1708"/>
      <c r="Y1493" s="1708"/>
    </row>
    <row r="1494" customFormat="false" ht="15.75" hidden="false" customHeight="true" outlineLevel="1" collapsed="false">
      <c r="A1494" s="2260" t="s">
        <v>3842</v>
      </c>
      <c r="B1494" s="2261"/>
      <c r="C1494" s="2261"/>
      <c r="D1494" s="2262"/>
      <c r="E1494" s="2262"/>
      <c r="F1494" s="2262"/>
      <c r="G1494" s="2262"/>
      <c r="H1494" s="2262"/>
      <c r="I1494" s="2263"/>
      <c r="J1494" s="2262"/>
      <c r="K1494" s="2262"/>
      <c r="L1494" s="2262"/>
      <c r="M1494" s="2262"/>
      <c r="N1494" s="2262"/>
      <c r="O1494" s="2262"/>
      <c r="P1494" s="2264"/>
      <c r="Q1494" s="2055"/>
      <c r="R1494" s="1708"/>
      <c r="S1494" s="1708"/>
      <c r="T1494" s="1708"/>
      <c r="U1494" s="1708"/>
      <c r="V1494" s="1708"/>
      <c r="W1494" s="1708"/>
      <c r="X1494" s="1708"/>
      <c r="Y1494" s="1708"/>
    </row>
    <row r="1495" customFormat="false" ht="15.75" hidden="false" customHeight="true" outlineLevel="1" collapsed="false">
      <c r="A1495" s="2265"/>
      <c r="B1495" s="2266"/>
      <c r="C1495" s="2266"/>
      <c r="D1495" s="2267"/>
      <c r="E1495" s="2267"/>
      <c r="F1495" s="2267"/>
      <c r="G1495" s="2267"/>
      <c r="H1495" s="2267"/>
      <c r="I1495" s="2268"/>
      <c r="J1495" s="2267"/>
      <c r="K1495" s="2267"/>
      <c r="L1495" s="2267"/>
      <c r="M1495" s="2267"/>
      <c r="N1495" s="2267"/>
      <c r="O1495" s="2267"/>
      <c r="P1495" s="2269"/>
      <c r="Q1495" s="2055"/>
      <c r="R1495" s="1708"/>
      <c r="S1495" s="1708"/>
      <c r="T1495" s="1708"/>
      <c r="U1495" s="1708"/>
      <c r="V1495" s="1708"/>
      <c r="W1495" s="1708"/>
      <c r="X1495" s="1708"/>
      <c r="Y1495" s="1708"/>
    </row>
    <row r="1496" customFormat="false" ht="15.75" hidden="false" customHeight="true" outlineLevel="1" collapsed="false">
      <c r="A1496" s="2192" t="s">
        <v>461</v>
      </c>
      <c r="B1496" s="2193"/>
      <c r="C1496" s="2193"/>
      <c r="D1496" s="2194"/>
      <c r="E1496" s="2194"/>
      <c r="F1496" s="2195"/>
      <c r="G1496" s="2244" t="n">
        <f aca="false">'Ввод данных'!D1155</f>
        <v>1.1</v>
      </c>
      <c r="H1496" s="2245"/>
      <c r="J1496" s="2179" t="n">
        <f aca="false">'Ввод данных'!D1156</f>
        <v>1</v>
      </c>
      <c r="K1496" s="2179"/>
      <c r="L1496" s="2179"/>
      <c r="M1496" s="2179"/>
      <c r="N1496" s="2179"/>
      <c r="O1496" s="2179"/>
      <c r="P1496" s="2179"/>
      <c r="Q1496" s="2055"/>
      <c r="R1496" s="1708"/>
      <c r="S1496" s="1708"/>
      <c r="T1496" s="1708"/>
      <c r="U1496" s="1708"/>
      <c r="V1496" s="1708"/>
      <c r="W1496" s="1708"/>
      <c r="X1496" s="1708"/>
      <c r="Y1496" s="1708"/>
    </row>
    <row r="1497" customFormat="false" ht="15.75" hidden="false" customHeight="true" outlineLevel="1" collapsed="false">
      <c r="A1497" s="2051" t="s">
        <v>3843</v>
      </c>
      <c r="B1497" s="1996" t="s">
        <v>48</v>
      </c>
      <c r="C1497" s="1996"/>
      <c r="D1497" s="2270" t="n">
        <f aca="false">IF('Ввод данных'!A19=связи1!A151,1,0)+IF('Ввод данных'!A19=связи1!A169,1,0)+IF('Ввод данных'!A19=связи1!A170,1,0)+IF('Ввод данных'!A19=связи1!A171,1,0)+IF('Ввод данных'!A19=связи1!A172,1,0)+IF('Ввод данных'!A19=связи1!A173,1,0)+IF('Ввод данных'!A19=связи1!A174,1,0)+IF('Ввод данных'!A19=связи1!A175,1,0)+IF('Ввод данных'!A19=связи1!A176,1,0)+IF('Ввод данных'!A19=связи1!A177,1,0)+IF('Ввод данных'!A19=связи1!A168,1,0)</f>
        <v>0</v>
      </c>
      <c r="E1497" s="2179"/>
      <c r="F1497" s="2179"/>
      <c r="G1497" s="2179"/>
      <c r="H1497" s="2179"/>
      <c r="I1497" s="2180"/>
      <c r="J1497" s="2179"/>
      <c r="K1497" s="2179"/>
      <c r="L1497" s="2179"/>
      <c r="M1497" s="2179"/>
      <c r="N1497" s="2179"/>
      <c r="O1497" s="2179"/>
      <c r="P1497" s="2179"/>
      <c r="Q1497" s="2055"/>
      <c r="R1497" s="1708"/>
      <c r="S1497" s="1708"/>
      <c r="T1497" s="1708"/>
      <c r="U1497" s="1708"/>
      <c r="V1497" s="1708"/>
      <c r="W1497" s="1708"/>
      <c r="X1497" s="1708"/>
      <c r="Y1497" s="1708"/>
    </row>
    <row r="1498" customFormat="false" ht="15.75" hidden="false" customHeight="true" outlineLevel="1" collapsed="false">
      <c r="A1498" s="1707" t="s">
        <v>3844</v>
      </c>
      <c r="B1498" s="2064" t="s">
        <v>15</v>
      </c>
      <c r="C1498" s="2141" t="n">
        <f aca="false">VLOOKUP('Ввод данных'!A1159,связи1!A253:F294,3,0)*0.001</f>
        <v>0.3</v>
      </c>
      <c r="D1498" s="1734"/>
      <c r="E1498" s="2185"/>
      <c r="F1498" s="1734"/>
      <c r="G1498" s="1708"/>
      <c r="H1498" s="1708"/>
      <c r="I1498" s="2230"/>
      <c r="J1498" s="1708"/>
      <c r="K1498" s="1708"/>
      <c r="L1498" s="1708"/>
      <c r="M1498" s="1708"/>
      <c r="N1498" s="1708"/>
      <c r="O1498" s="1708"/>
      <c r="P1498" s="1708"/>
      <c r="Q1498" s="1708"/>
      <c r="R1498" s="1708"/>
      <c r="S1498" s="1708"/>
      <c r="T1498" s="1708"/>
      <c r="U1498" s="1708"/>
      <c r="V1498" s="1708"/>
      <c r="W1498" s="1708"/>
      <c r="X1498" s="1708"/>
      <c r="Y1498" s="1708"/>
    </row>
    <row r="1499" customFormat="false" ht="15.75" hidden="false" customHeight="true" outlineLevel="1" collapsed="false">
      <c r="A1499" s="1707" t="s">
        <v>3845</v>
      </c>
      <c r="B1499" s="2064" t="s">
        <v>15</v>
      </c>
      <c r="C1499" s="2141" t="n">
        <f aca="false">VLOOKUP('Ввод данных'!A1161,связи1!A253:F294,3,0)*0.001</f>
        <v>0.2</v>
      </c>
      <c r="D1499" s="1734"/>
      <c r="E1499" s="2185"/>
      <c r="F1499" s="1734"/>
      <c r="G1499" s="1708"/>
      <c r="H1499" s="1708"/>
      <c r="I1499" s="2230"/>
      <c r="J1499" s="1708"/>
      <c r="K1499" s="1708"/>
      <c r="L1499" s="1708"/>
      <c r="M1499" s="1708"/>
      <c r="N1499" s="1708"/>
      <c r="O1499" s="1708"/>
      <c r="P1499" s="1708"/>
      <c r="Q1499" s="1708"/>
      <c r="R1499" s="1708"/>
      <c r="S1499" s="1708"/>
      <c r="T1499" s="1708"/>
      <c r="U1499" s="1708"/>
      <c r="V1499" s="1708"/>
      <c r="W1499" s="1708"/>
      <c r="X1499" s="1708"/>
      <c r="Y1499" s="1708"/>
    </row>
    <row r="1500" customFormat="false" ht="15.75" hidden="false" customHeight="true" outlineLevel="1" collapsed="false">
      <c r="A1500" s="2218" t="s">
        <v>3846</v>
      </c>
      <c r="B1500" s="2064" t="s">
        <v>15</v>
      </c>
      <c r="C1500" s="2141" t="n">
        <f aca="false">VLOOKUP('Ввод данных'!A1163,связи1!A253:F294,3,0)*0.001</f>
        <v>0.1</v>
      </c>
      <c r="D1500" s="2270" t="n">
        <v>1</v>
      </c>
      <c r="E1500" s="2185"/>
      <c r="F1500" s="1734"/>
      <c r="G1500" s="1708"/>
      <c r="H1500" s="1708"/>
      <c r="I1500" s="2230"/>
      <c r="J1500" s="1708"/>
      <c r="K1500" s="1708"/>
      <c r="L1500" s="1708"/>
      <c r="M1500" s="1708"/>
      <c r="N1500" s="1708"/>
      <c r="O1500" s="1708"/>
      <c r="P1500" s="1708"/>
      <c r="Q1500" s="1708"/>
      <c r="R1500" s="1708"/>
      <c r="S1500" s="1708"/>
      <c r="T1500" s="1708"/>
      <c r="U1500" s="1708"/>
      <c r="V1500" s="1708"/>
      <c r="W1500" s="1708"/>
      <c r="X1500" s="1708"/>
      <c r="Y1500" s="1708"/>
    </row>
    <row r="1501" customFormat="false" ht="15.75" hidden="false" customHeight="true" outlineLevel="1" collapsed="false">
      <c r="A1501" s="2218" t="s">
        <v>3847</v>
      </c>
      <c r="B1501" s="2064" t="s">
        <v>15</v>
      </c>
      <c r="C1501" s="2202"/>
      <c r="D1501" s="2270"/>
      <c r="E1501" s="2185"/>
      <c r="F1501" s="1734"/>
      <c r="G1501" s="1708"/>
      <c r="H1501" s="1708"/>
      <c r="I1501" s="2230"/>
      <c r="J1501" s="1708"/>
      <c r="K1501" s="1708"/>
      <c r="L1501" s="1708"/>
      <c r="M1501" s="1708"/>
      <c r="N1501" s="1708"/>
      <c r="O1501" s="1708"/>
      <c r="P1501" s="1708"/>
      <c r="Q1501" s="1708"/>
      <c r="R1501" s="1708"/>
      <c r="S1501" s="1708"/>
      <c r="T1501" s="1708"/>
      <c r="U1501" s="1708"/>
      <c r="V1501" s="1708"/>
      <c r="W1501" s="1708"/>
      <c r="X1501" s="1708"/>
      <c r="Y1501" s="1708"/>
    </row>
    <row r="1502" customFormat="false" ht="15.75" hidden="false" customHeight="true" outlineLevel="1" collapsed="false">
      <c r="A1502" s="2218" t="s">
        <v>3848</v>
      </c>
      <c r="B1502" s="2064" t="s">
        <v>15</v>
      </c>
      <c r="C1502" s="2202"/>
      <c r="D1502" s="2270"/>
      <c r="E1502" s="2185"/>
      <c r="F1502" s="1734"/>
      <c r="G1502" s="1708"/>
      <c r="H1502" s="1708"/>
      <c r="I1502" s="2230"/>
      <c r="J1502" s="1708"/>
      <c r="K1502" s="1708"/>
      <c r="L1502" s="1708"/>
      <c r="M1502" s="1708"/>
      <c r="N1502" s="1708"/>
      <c r="O1502" s="1708"/>
      <c r="P1502" s="1708"/>
      <c r="Q1502" s="1708"/>
      <c r="R1502" s="1708"/>
      <c r="S1502" s="1708"/>
      <c r="T1502" s="1708"/>
      <c r="U1502" s="1708"/>
      <c r="V1502" s="1708"/>
      <c r="W1502" s="1708"/>
      <c r="X1502" s="1708"/>
      <c r="Y1502" s="1708"/>
    </row>
    <row r="1503" customFormat="false" ht="15.75" hidden="false" customHeight="true" outlineLevel="1" collapsed="false">
      <c r="A1503" s="2218" t="s">
        <v>3849</v>
      </c>
      <c r="B1503" s="2064" t="s">
        <v>48</v>
      </c>
      <c r="C1503" s="2141" t="n">
        <v>7</v>
      </c>
      <c r="D1503" s="1919"/>
      <c r="E1503" s="2271"/>
      <c r="F1503" s="1919"/>
      <c r="G1503" s="2272"/>
      <c r="H1503" s="2272"/>
      <c r="I1503" s="2273"/>
      <c r="J1503" s="1708"/>
      <c r="K1503" s="1708"/>
      <c r="L1503" s="1708"/>
      <c r="M1503" s="1708"/>
      <c r="N1503" s="1708"/>
      <c r="O1503" s="1708"/>
      <c r="P1503" s="1708"/>
      <c r="Q1503" s="1708"/>
      <c r="R1503" s="1708"/>
      <c r="S1503" s="1708"/>
      <c r="T1503" s="1708"/>
      <c r="U1503" s="1708"/>
      <c r="V1503" s="1708"/>
      <c r="W1503" s="1708"/>
      <c r="X1503" s="1708"/>
      <c r="Y1503" s="1708"/>
    </row>
    <row r="1504" customFormat="false" ht="15.75" hidden="false" customHeight="true" outlineLevel="1" collapsed="false">
      <c r="A1504" s="2218" t="s">
        <v>3850</v>
      </c>
      <c r="B1504" s="2064" t="s">
        <v>15</v>
      </c>
      <c r="C1504" s="2202" t="n">
        <f aca="false">фундамент!C263</f>
        <v>48</v>
      </c>
      <c r="D1504" s="2274"/>
      <c r="E1504" s="2008"/>
      <c r="F1504" s="1919"/>
      <c r="G1504" s="2272"/>
      <c r="H1504" s="2272"/>
      <c r="I1504" s="2273"/>
      <c r="J1504" s="1708"/>
      <c r="K1504" s="1708"/>
      <c r="L1504" s="1708"/>
      <c r="M1504" s="1708"/>
      <c r="N1504" s="1708"/>
      <c r="O1504" s="1708"/>
      <c r="P1504" s="1708"/>
      <c r="Q1504" s="1708"/>
      <c r="R1504" s="1708"/>
      <c r="S1504" s="1708"/>
      <c r="T1504" s="1708"/>
      <c r="U1504" s="1708"/>
      <c r="V1504" s="1708"/>
      <c r="W1504" s="1708"/>
      <c r="X1504" s="1708"/>
      <c r="Y1504" s="1708"/>
    </row>
    <row r="1505" customFormat="false" ht="15.75" hidden="false" customHeight="true" outlineLevel="1" collapsed="false">
      <c r="A1505" s="2218" t="s">
        <v>3851</v>
      </c>
      <c r="B1505" s="2064" t="s">
        <v>15</v>
      </c>
      <c r="C1505" s="2202" t="e">
        <f aca="false">(C15-1)*(C16+C16+C17+C17+#REF!+#REF!+#REF!+#REF!+#REF!+#REF!+#REF!+#REF!)+пристройка!D2*(пристройка!C5*пристройка!C85*пристройка!C27)+D1229*C1233*E1237*C1275</f>
        <v>#REF!</v>
      </c>
      <c r="D1505" s="2274"/>
      <c r="E1505" s="2275"/>
      <c r="F1505" s="1919"/>
      <c r="G1505" s="2272"/>
      <c r="H1505" s="2272"/>
      <c r="I1505" s="2273"/>
      <c r="J1505" s="1708"/>
      <c r="K1505" s="1708"/>
      <c r="L1505" s="1708"/>
      <c r="M1505" s="1708"/>
      <c r="N1505" s="1708"/>
      <c r="O1505" s="1708"/>
      <c r="P1505" s="1708"/>
      <c r="Q1505" s="1708"/>
      <c r="R1505" s="1708"/>
      <c r="S1505" s="1708"/>
      <c r="T1505" s="1708"/>
      <c r="U1505" s="1708"/>
      <c r="V1505" s="1708"/>
      <c r="W1505" s="1708"/>
      <c r="X1505" s="1708"/>
      <c r="Y1505" s="1708"/>
    </row>
    <row r="1506" customFormat="false" ht="15.75" hidden="false" customHeight="true" outlineLevel="1" collapsed="false">
      <c r="A1506" s="2218"/>
      <c r="B1506" s="2064"/>
      <c r="C1506" s="2202"/>
      <c r="D1506" s="2274" t="s">
        <v>200</v>
      </c>
      <c r="E1506" s="2276" t="s">
        <v>3852</v>
      </c>
      <c r="F1506" s="1436" t="s">
        <v>3853</v>
      </c>
      <c r="G1506" s="2008" t="s">
        <v>3854</v>
      </c>
      <c r="H1506" s="1919"/>
      <c r="I1506" s="2273"/>
      <c r="J1506" s="1708"/>
      <c r="K1506" s="1708"/>
      <c r="L1506" s="1708"/>
      <c r="M1506" s="1708"/>
      <c r="N1506" s="1708"/>
      <c r="O1506" s="1708"/>
      <c r="P1506" s="1708"/>
      <c r="Q1506" s="1708"/>
      <c r="R1506" s="1708"/>
      <c r="S1506" s="1708"/>
      <c r="T1506" s="1708"/>
      <c r="U1506" s="1708"/>
      <c r="V1506" s="1708"/>
      <c r="W1506" s="1708"/>
      <c r="X1506" s="1708"/>
      <c r="Y1506" s="1708"/>
    </row>
    <row r="1507" customFormat="false" ht="15.75" hidden="false" customHeight="true" outlineLevel="1" collapsed="false">
      <c r="A1507" s="2218" t="s">
        <v>3855</v>
      </c>
      <c r="B1507" s="2064" t="s">
        <v>15</v>
      </c>
      <c r="C1507" s="2064" t="n">
        <f aca="false">C1498</f>
        <v>0.3</v>
      </c>
      <c r="D1507" s="2008" t="n">
        <f aca="false">D1319+D1319+(C1319-C1498*2)*2</f>
        <v>30.8</v>
      </c>
      <c r="E1507" s="2276" t="n">
        <f aca="false">D1507*C1507*E1504</f>
        <v>0</v>
      </c>
      <c r="F1507" s="1436" t="n">
        <f aca="false">D1507*(B1319-1)</f>
        <v>30.8</v>
      </c>
      <c r="G1507" s="2008" t="n">
        <f aca="false">D1507*(B1319-1)*C1507*E1505</f>
        <v>0</v>
      </c>
      <c r="H1507" s="1919"/>
      <c r="I1507" s="2273"/>
      <c r="J1507" s="1708"/>
      <c r="K1507" s="1708"/>
      <c r="L1507" s="1708"/>
      <c r="M1507" s="1708"/>
      <c r="N1507" s="1708"/>
      <c r="O1507" s="1708"/>
      <c r="P1507" s="1708"/>
      <c r="Q1507" s="1708"/>
      <c r="R1507" s="1708"/>
      <c r="S1507" s="1708"/>
      <c r="T1507" s="1708"/>
      <c r="U1507" s="1708"/>
      <c r="V1507" s="1708"/>
      <c r="W1507" s="1708"/>
      <c r="X1507" s="1708"/>
      <c r="Y1507" s="1708"/>
    </row>
    <row r="1508" customFormat="false" ht="15.75" hidden="false" customHeight="true" outlineLevel="1" collapsed="false">
      <c r="A1508" s="2218" t="s">
        <v>3856</v>
      </c>
      <c r="B1508" s="2064" t="s">
        <v>15</v>
      </c>
      <c r="C1508" s="2064" t="n">
        <f aca="false">C1499</f>
        <v>0.2</v>
      </c>
      <c r="D1508" s="2008" t="n">
        <f aca="false">C1321*D1321+C1322*D1322+C1323*D1323+C1324*D1324+C1329*D1329+C1330*D1330+C1331*D1331+C1332*D1332</f>
        <v>16</v>
      </c>
      <c r="E1508" s="2276" t="n">
        <f aca="false">D1508*C1508*E1504</f>
        <v>0</v>
      </c>
      <c r="F1508" s="1436" t="n">
        <f aca="false">(N1321*O1321+N1322*O1322+N1323*O1323+N1324*O1324+N1329*O1329+N1330*O1330+N1331*O1331+N1332*O1332)*(B1319-1)</f>
        <v>12.5</v>
      </c>
      <c r="G1508" s="2008" t="n">
        <f aca="false">(N1321*O1321+N1322*O1322+N1323*O1323+N1324*O1324+N1329*O1329+N1330*O1330+N1331*O1331+N1332*O1332)*(B1319-1)*C1508*E1505</f>
        <v>0</v>
      </c>
      <c r="H1508" s="1919"/>
      <c r="I1508" s="2273"/>
      <c r="J1508" s="1708"/>
      <c r="K1508" s="1708"/>
      <c r="L1508" s="1708"/>
      <c r="M1508" s="1708"/>
      <c r="N1508" s="1708"/>
      <c r="O1508" s="1708"/>
      <c r="P1508" s="1708"/>
      <c r="Q1508" s="1708"/>
      <c r="R1508" s="1708"/>
      <c r="S1508" s="1708"/>
      <c r="T1508" s="1708"/>
      <c r="U1508" s="1708"/>
      <c r="V1508" s="1708"/>
      <c r="W1508" s="1708"/>
      <c r="X1508" s="1708"/>
      <c r="Y1508" s="1708"/>
    </row>
    <row r="1509" customFormat="false" ht="15.75" hidden="false" customHeight="true" outlineLevel="1" collapsed="false">
      <c r="A1509" s="2211" t="s">
        <v>3857</v>
      </c>
      <c r="B1509" s="2064" t="s">
        <v>502</v>
      </c>
      <c r="C1509" s="2141" t="n">
        <f aca="false">'Ввод данных'!C1194</f>
        <v>0</v>
      </c>
      <c r="D1509" s="2274" t="n">
        <v>1</v>
      </c>
      <c r="E1509" s="2271"/>
      <c r="F1509" s="1919"/>
      <c r="G1509" s="2272"/>
      <c r="H1509" s="2272"/>
      <c r="I1509" s="2273"/>
      <c r="J1509" s="1708"/>
      <c r="K1509" s="1708"/>
      <c r="L1509" s="1708"/>
      <c r="M1509" s="1708"/>
      <c r="N1509" s="1708"/>
      <c r="O1509" s="1708"/>
      <c r="P1509" s="1708"/>
      <c r="Q1509" s="1708"/>
      <c r="R1509" s="1708"/>
      <c r="S1509" s="1708"/>
      <c r="T1509" s="1708"/>
      <c r="U1509" s="1708"/>
      <c r="V1509" s="1708"/>
      <c r="W1509" s="1708"/>
      <c r="X1509" s="1708"/>
      <c r="Y1509" s="1708"/>
    </row>
    <row r="1510" customFormat="false" ht="15.75" hidden="false" customHeight="true" outlineLevel="1" collapsed="false">
      <c r="A1510" s="2246" t="s">
        <v>3817</v>
      </c>
      <c r="B1510" s="2064" t="s">
        <v>15</v>
      </c>
      <c r="C1510" s="2141" t="n">
        <f aca="false">'Ввод данных'!C1190</f>
        <v>0</v>
      </c>
      <c r="D1510" s="1700" t="n">
        <f aca="false">IF(A1579='Прайс лист'!B600,0,1)</f>
        <v>0</v>
      </c>
      <c r="F1510" s="1708"/>
      <c r="G1510" s="1708"/>
      <c r="H1510" s="1708"/>
      <c r="I1510" s="2230"/>
      <c r="J1510" s="1708"/>
      <c r="K1510" s="1708"/>
      <c r="L1510" s="1708"/>
      <c r="M1510" s="1708"/>
      <c r="N1510" s="1708"/>
      <c r="O1510" s="1708"/>
      <c r="P1510" s="1708"/>
      <c r="Q1510" s="1708"/>
      <c r="R1510" s="1617"/>
      <c r="S1510" s="1617"/>
      <c r="T1510" s="1617"/>
      <c r="U1510" s="1617"/>
      <c r="V1510" s="1617"/>
      <c r="W1510" s="1617"/>
      <c r="X1510" s="1617"/>
      <c r="Y1510" s="1617"/>
    </row>
    <row r="1511" s="1582" customFormat="true" ht="15.75" hidden="false" customHeight="true" outlineLevel="1" collapsed="false">
      <c r="A1511" s="2059" t="s">
        <v>3858</v>
      </c>
      <c r="B1511" s="2064" t="s">
        <v>820</v>
      </c>
      <c r="C1511" s="2064" t="n">
        <f aca="false">C1519*1.15</f>
        <v>0</v>
      </c>
      <c r="D1511" s="2270" t="n">
        <f aca="false">IF(A1581='Прайс лист'!B649,0,1)</f>
        <v>0</v>
      </c>
      <c r="E1511" s="1617"/>
      <c r="F1511" s="1708"/>
      <c r="G1511" s="1708"/>
      <c r="H1511" s="1708"/>
      <c r="W1511" s="1617"/>
      <c r="X1511" s="1617"/>
      <c r="Y1511" s="1617"/>
    </row>
    <row r="1512" s="1582" customFormat="true" ht="15.75" hidden="false" customHeight="true" outlineLevel="1" collapsed="false">
      <c r="A1512" s="2277" t="s">
        <v>3774</v>
      </c>
      <c r="B1512" s="2278"/>
      <c r="C1512" s="2279"/>
      <c r="D1512" s="2174"/>
      <c r="E1512" s="2174"/>
      <c r="F1512" s="2174"/>
      <c r="G1512" s="1734"/>
      <c r="H1512" s="1734"/>
      <c r="W1512" s="1617"/>
      <c r="X1512" s="1617"/>
      <c r="Y1512" s="1617"/>
    </row>
    <row r="1513" s="1582" customFormat="true" ht="15.75" hidden="false" customHeight="true" outlineLevel="1" collapsed="false">
      <c r="A1513" s="2211" t="s">
        <v>3825</v>
      </c>
      <c r="B1513" s="1958" t="s">
        <v>820</v>
      </c>
      <c r="C1513" s="2064" t="n">
        <f aca="false">B1319*C1319*D1319+пристройка!D2*(пристройка!C9*пристройка!C25*пристройка!C3+пристройка!C10*пристройка!C5*пристройка!C26)+D1229*C1235</f>
        <v>128</v>
      </c>
      <c r="D1513" s="2174"/>
      <c r="E1513" s="2174"/>
      <c r="F1513" s="2174"/>
      <c r="G1513" s="2229"/>
      <c r="H1513" s="2229"/>
      <c r="W1513" s="1617"/>
      <c r="X1513" s="1617"/>
      <c r="Y1513" s="1617"/>
    </row>
    <row r="1514" s="1582" customFormat="true" ht="15.75" hidden="false" customHeight="true" outlineLevel="1" collapsed="false">
      <c r="A1514" s="2211" t="s">
        <v>3776</v>
      </c>
      <c r="B1514" s="1958" t="s">
        <v>820</v>
      </c>
      <c r="C1514" s="2064" t="n">
        <f aca="false">C1525</f>
        <v>128</v>
      </c>
      <c r="D1514" s="2174"/>
      <c r="E1514" s="2174"/>
      <c r="F1514" s="2174"/>
      <c r="G1514" s="2229"/>
      <c r="H1514" s="2229"/>
      <c r="W1514" s="1617"/>
      <c r="X1514" s="1617"/>
      <c r="Y1514" s="1617"/>
    </row>
    <row r="1515" s="1582" customFormat="true" ht="15.75" hidden="false" customHeight="true" outlineLevel="1" collapsed="false">
      <c r="A1515" s="2211" t="s">
        <v>3827</v>
      </c>
      <c r="B1515" s="1958" t="s">
        <v>15</v>
      </c>
      <c r="C1515" s="2064" t="n">
        <f aca="false">C1366</f>
        <v>48</v>
      </c>
      <c r="D1515" s="2229"/>
      <c r="E1515" s="2174"/>
      <c r="F1515" s="2174"/>
      <c r="G1515" s="2229"/>
      <c r="H1515" s="2229"/>
      <c r="W1515" s="1617"/>
      <c r="X1515" s="1617"/>
      <c r="Y1515" s="1617"/>
    </row>
    <row r="1516" s="1582" customFormat="true" ht="15.75" hidden="false" customHeight="true" outlineLevel="1" collapsed="false">
      <c r="A1516" s="2211" t="s">
        <v>3859</v>
      </c>
      <c r="B1516" s="1958" t="s">
        <v>15</v>
      </c>
      <c r="C1516" s="2064" t="n">
        <f aca="false">((C1319+D1319+C1319+D1319)*B1319+пристройка!D2*пристройка!C85*пристройка!D84*пристройка!C3+D1229*C1275*E1274*C1232+пристройка!D2*пристройка!C85*пристройка!C5*пристройка!D84+D1229*C1233*C1275*E1274)</f>
        <v>64</v>
      </c>
      <c r="D1516" s="2229" t="n">
        <f aca="false">C1516*C1498</f>
        <v>19.2</v>
      </c>
      <c r="E1516" s="2174"/>
      <c r="F1516" s="2174"/>
      <c r="G1516" s="2229"/>
      <c r="H1516" s="2229"/>
      <c r="W1516" s="1617"/>
      <c r="X1516" s="1617"/>
      <c r="Y1516" s="1617"/>
    </row>
    <row r="1517" s="1582" customFormat="true" ht="15.75" hidden="false" customHeight="true" outlineLevel="1" collapsed="false">
      <c r="A1517" s="2211" t="s">
        <v>3860</v>
      </c>
      <c r="B1517" s="1958" t="s">
        <v>15</v>
      </c>
      <c r="C1517" s="2064" t="n">
        <f aca="false">(C1321*D1321+C1322*D1322+C1323*D1323+C1329*D1329+C1330*D1330+C1331*D1331+C1332*D1332)+(N1321*O1321+N1322*O1322+N1323*O1323+N1329*O1329+N1330*O1330+N1331*O1331+C1324*D1324+N1324*O1324+N1332*O1332)*(B1319-1)</f>
        <v>28.5</v>
      </c>
      <c r="D1517" s="2229" t="n">
        <f aca="false">C1499*C1517</f>
        <v>5.7</v>
      </c>
      <c r="E1517" s="2174"/>
      <c r="F1517" s="2174" t="s">
        <v>3861</v>
      </c>
      <c r="G1517" s="2229" t="n">
        <f aca="false">C1498*C1498*2*E1319+(B1319-1)*F1319*2*C1498*C1498</f>
        <v>0.792</v>
      </c>
      <c r="H1517" s="2229"/>
      <c r="W1517" s="1617"/>
      <c r="X1517" s="1617"/>
      <c r="Y1517" s="1617"/>
    </row>
    <row r="1518" s="1582" customFormat="true" ht="15.75" hidden="false" customHeight="true" outlineLevel="1" collapsed="false">
      <c r="A1518" s="2211" t="s">
        <v>3862</v>
      </c>
      <c r="B1518" s="1958" t="s">
        <v>15</v>
      </c>
      <c r="C1518" s="2064" t="n">
        <f aca="false">(C1325*D1325+C1326*D1326+C1327*D1327+C1328*D1328+C1333*D1333+C1334*D1334+C1335*D1335)+(C1336*D1336+N1325*O1325+N1326*O1326+N1327*O1327+N1328*O1328+N1333*O1333+N1334*O1334+N1335*O1335+N1336*O1336)*(B1319-1)+пристройка!D2*(пристройка!AM38)</f>
        <v>7.8</v>
      </c>
      <c r="D1518" s="2229" t="n">
        <f aca="false">C1518*C1500</f>
        <v>0.78</v>
      </c>
      <c r="E1518" s="2174"/>
      <c r="F1518" s="2174"/>
      <c r="G1518" s="2229"/>
      <c r="H1518" s="2229"/>
      <c r="W1518" s="1617"/>
      <c r="X1518" s="1617"/>
      <c r="Y1518" s="1617"/>
    </row>
    <row r="1519" s="1582" customFormat="true" ht="15.75" hidden="false" customHeight="true" outlineLevel="1" collapsed="false">
      <c r="A1519" s="2211" t="s">
        <v>3781</v>
      </c>
      <c r="B1519" s="1958" t="s">
        <v>820</v>
      </c>
      <c r="C1519" s="2213" t="n">
        <f aca="false">связи1!C151*D1497</f>
        <v>0</v>
      </c>
      <c r="D1519" s="2229" t="n">
        <f aca="false">SUM(D1516:D1518)</f>
        <v>25.68</v>
      </c>
      <c r="E1519" s="2174"/>
      <c r="F1519" s="2174"/>
      <c r="G1519" s="2229"/>
      <c r="H1519" s="2229"/>
      <c r="W1519" s="1617"/>
      <c r="X1519" s="1617"/>
      <c r="Y1519" s="1617"/>
    </row>
    <row r="1520" s="1582" customFormat="true" ht="15.75" hidden="false" customHeight="true" outlineLevel="1" collapsed="false">
      <c r="A1520" s="2211" t="s">
        <v>3834</v>
      </c>
      <c r="B1520" s="1958" t="s">
        <v>820</v>
      </c>
      <c r="C1520" s="2213" t="n">
        <f aca="false">C1519</f>
        <v>0</v>
      </c>
      <c r="D1520" s="1747"/>
      <c r="E1520" s="2174"/>
      <c r="F1520" s="2174"/>
      <c r="G1520" s="2229"/>
      <c r="H1520" s="2229"/>
      <c r="W1520" s="1617"/>
      <c r="X1520" s="1617"/>
      <c r="Y1520" s="1617"/>
    </row>
    <row r="1521" s="1582" customFormat="true" ht="15.75" hidden="false" customHeight="true" outlineLevel="1" collapsed="false">
      <c r="A1521" s="2211" t="s">
        <v>3783</v>
      </c>
      <c r="B1521" s="1958"/>
      <c r="C1521" s="2213" t="n">
        <f aca="false">связи1!D151*D1497</f>
        <v>0</v>
      </c>
      <c r="D1521" s="2229"/>
      <c r="E1521" s="2174"/>
      <c r="F1521" s="2174"/>
      <c r="G1521" s="2229"/>
      <c r="H1521" s="2229"/>
      <c r="W1521" s="1617"/>
      <c r="X1521" s="1617"/>
      <c r="Y1521" s="1617"/>
    </row>
    <row r="1522" customFormat="false" ht="15.75" hidden="false" customHeight="true" outlineLevel="1" collapsed="false">
      <c r="A1522" s="2211" t="s">
        <v>3784</v>
      </c>
      <c r="B1522" s="1958" t="s">
        <v>820</v>
      </c>
      <c r="C1522" s="2213" t="n">
        <f aca="false">связи1!E151*D1497</f>
        <v>0</v>
      </c>
      <c r="D1522" s="2229"/>
      <c r="E1522" s="2174"/>
      <c r="F1522" s="2174"/>
      <c r="G1522" s="2229"/>
      <c r="H1522" s="2229"/>
      <c r="I1522" s="2200"/>
      <c r="J1522" s="1708"/>
      <c r="K1522" s="1708"/>
      <c r="L1522" s="1708"/>
      <c r="M1522" s="1708"/>
      <c r="N1522" s="1708"/>
      <c r="O1522" s="1708"/>
      <c r="P1522" s="1708"/>
      <c r="Q1522" s="1708"/>
      <c r="R1522" s="1617"/>
      <c r="S1522" s="1617"/>
      <c r="T1522" s="1617"/>
      <c r="U1522" s="1617"/>
      <c r="V1522" s="1617"/>
      <c r="W1522" s="1617"/>
      <c r="X1522" s="1617"/>
      <c r="Y1522" s="1617"/>
    </row>
    <row r="1523" customFormat="false" ht="15.75" hidden="false" customHeight="true" outlineLevel="1" collapsed="false">
      <c r="A1523" s="2211" t="s">
        <v>3786</v>
      </c>
      <c r="B1523" s="1958" t="s">
        <v>820</v>
      </c>
      <c r="C1523" s="2213" t="n">
        <f aca="false">(C1521+C1522)</f>
        <v>0</v>
      </c>
      <c r="D1523" s="2229"/>
      <c r="E1523" s="2174"/>
      <c r="F1523" s="2174"/>
      <c r="G1523" s="2229"/>
      <c r="H1523" s="2229"/>
      <c r="I1523" s="2200"/>
      <c r="J1523" s="1708"/>
      <c r="K1523" s="1708"/>
      <c r="L1523" s="1708"/>
      <c r="M1523" s="1708"/>
      <c r="N1523" s="1708"/>
      <c r="O1523" s="1708"/>
      <c r="P1523" s="1708"/>
      <c r="Q1523" s="1708"/>
      <c r="R1523" s="1617"/>
      <c r="S1523" s="1617"/>
      <c r="T1523" s="1617"/>
      <c r="U1523" s="1617"/>
      <c r="V1523" s="1617"/>
      <c r="W1523" s="1617"/>
      <c r="X1523" s="1617"/>
      <c r="Y1523" s="1617"/>
    </row>
    <row r="1524" customFormat="false" ht="15.75" hidden="false" customHeight="true" outlineLevel="1" collapsed="false">
      <c r="A1524" s="2211" t="s">
        <v>3787</v>
      </c>
      <c r="B1524" s="1958" t="s">
        <v>820</v>
      </c>
      <c r="C1524" s="2064" t="n">
        <f aca="false">C16*C17*E44+C16*C17*E45*(C15-1)+B1115*(1-E44)*(E1189+C1189)+I1115*(1-E44)*(F1132*F1133)+(1-E44)*L1115*L1189+(J1215+K1215)*G1202+D1229*(C1236*E1236+C1237*E1237)+(C15-1)*B1115*(C1189+E1189)*(1-E45)+(C15-1)*(F1132*F1133)*I1115*(1-E45)+(C15-1)*L1115*L1189*(1-E45)-F1363+пристройка!L14+пристройка!L15</f>
        <v>150.475100831722</v>
      </c>
      <c r="D1524" s="2229"/>
      <c r="E1524" s="2174"/>
      <c r="F1524" s="2174"/>
      <c r="G1524" s="2229"/>
      <c r="H1524" s="2229"/>
      <c r="I1524" s="2200"/>
      <c r="J1524" s="1708"/>
      <c r="K1524" s="1708"/>
      <c r="L1524" s="1708"/>
      <c r="M1524" s="1708"/>
      <c r="N1524" s="1708"/>
      <c r="O1524" s="1708"/>
      <c r="P1524" s="1708"/>
      <c r="Q1524" s="1708"/>
      <c r="R1524" s="1617"/>
      <c r="S1524" s="1617"/>
      <c r="T1524" s="1617"/>
      <c r="U1524" s="1617"/>
      <c r="V1524" s="1617"/>
      <c r="W1524" s="1617"/>
      <c r="X1524" s="1617"/>
      <c r="Y1524" s="1617"/>
    </row>
    <row r="1525" customFormat="false" ht="15.75" hidden="false" customHeight="true" outlineLevel="1" collapsed="false">
      <c r="A1525" s="2211" t="s">
        <v>3837</v>
      </c>
      <c r="B1525" s="1958" t="s">
        <v>820</v>
      </c>
      <c r="C1525" s="2064" t="n">
        <f aca="false">C15*C16*C17+D1229*C1235+(пристройка!L12+пристройка!L13)*пристройка!D2</f>
        <v>128</v>
      </c>
      <c r="D1525" s="2229"/>
      <c r="E1525" s="2174"/>
      <c r="F1525" s="2174"/>
      <c r="G1525" s="2229"/>
      <c r="H1525" s="2229"/>
      <c r="I1525" s="2200"/>
      <c r="J1525" s="1708"/>
      <c r="K1525" s="1708"/>
      <c r="L1525" s="1708"/>
      <c r="M1525" s="1708"/>
      <c r="N1525" s="1708"/>
      <c r="O1525" s="1708"/>
      <c r="P1525" s="1708"/>
      <c r="Q1525" s="1708"/>
      <c r="R1525" s="1617"/>
      <c r="S1525" s="1617"/>
      <c r="T1525" s="1617"/>
      <c r="U1525" s="1617"/>
      <c r="V1525" s="1617"/>
      <c r="W1525" s="1617"/>
      <c r="X1525" s="1617"/>
      <c r="Y1525" s="1617"/>
    </row>
    <row r="1526" customFormat="false" ht="15.75" hidden="false" customHeight="true" outlineLevel="1" collapsed="false">
      <c r="A1526" s="2211" t="s">
        <v>3790</v>
      </c>
      <c r="B1526" s="1958" t="s">
        <v>820</v>
      </c>
      <c r="C1526" s="2064" t="n">
        <f aca="false">C1319*D1319+пристройка!D2*пристройка!C9+D1229*C1279</f>
        <v>64</v>
      </c>
      <c r="D1526" s="2229"/>
      <c r="E1526" s="2174"/>
      <c r="F1526" s="2174"/>
      <c r="G1526" s="2229"/>
      <c r="H1526" s="2229"/>
      <c r="I1526" s="2200"/>
      <c r="J1526" s="1708"/>
      <c r="K1526" s="1708"/>
      <c r="L1526" s="1708"/>
      <c r="M1526" s="1708"/>
      <c r="N1526" s="1708"/>
      <c r="O1526" s="1708"/>
      <c r="P1526" s="1708"/>
      <c r="Q1526" s="1708"/>
      <c r="R1526" s="1617"/>
      <c r="S1526" s="1617"/>
      <c r="T1526" s="1617"/>
      <c r="U1526" s="1617"/>
      <c r="V1526" s="1617"/>
      <c r="W1526" s="1617"/>
      <c r="X1526" s="1617"/>
      <c r="Y1526" s="1617"/>
    </row>
    <row r="1527" customFormat="false" ht="15.75" hidden="false" customHeight="true" outlineLevel="1" collapsed="false">
      <c r="A1527" s="2211" t="s">
        <v>3791</v>
      </c>
      <c r="B1527" s="1958" t="s">
        <v>820</v>
      </c>
      <c r="C1527" s="2064" t="n">
        <f aca="false">C1319*D1319*E44+пристройка!D2*пристройка!C10+D1229*пристройка!C10*пристройка!C26-(B1319-1)*4</f>
        <v>60</v>
      </c>
      <c r="D1527" s="2229"/>
      <c r="E1527" s="2174"/>
      <c r="F1527" s="2174"/>
      <c r="G1527" s="2229"/>
      <c r="H1527" s="2229"/>
      <c r="I1527" s="2200"/>
      <c r="J1527" s="1708"/>
      <c r="K1527" s="1708"/>
      <c r="L1527" s="1708"/>
      <c r="M1527" s="1708"/>
      <c r="N1527" s="1708"/>
      <c r="O1527" s="1708"/>
      <c r="P1527" s="1708"/>
      <c r="Q1527" s="1708"/>
      <c r="R1527" s="1617"/>
      <c r="S1527" s="1617"/>
      <c r="T1527" s="1617"/>
      <c r="U1527" s="1617"/>
      <c r="V1527" s="1617"/>
      <c r="W1527" s="1617"/>
      <c r="X1527" s="1617"/>
      <c r="Y1527" s="1617"/>
    </row>
    <row r="1528" customFormat="false" ht="15.75" hidden="false" customHeight="true" outlineLevel="1" collapsed="false">
      <c r="A1528" s="2211" t="s">
        <v>3792</v>
      </c>
      <c r="B1528" s="1958" t="s">
        <v>820</v>
      </c>
      <c r="C1528" s="2064" t="n">
        <f aca="false">C16*C17*E45+B1115*C1189*(C15-1)+I1115*F1132*F1133*(C15-1)*(I1115-E45)+L1115*L1189*(C15-1)*(L1115-E45)+пристройка!D2*пристройка!C11+D1229*C1279</f>
        <v>50.7600504158611</v>
      </c>
      <c r="D1528" s="2229"/>
      <c r="E1528" s="2174"/>
      <c r="F1528" s="2174"/>
      <c r="G1528" s="2229"/>
      <c r="H1528" s="2229"/>
      <c r="I1528" s="2200"/>
      <c r="J1528" s="1708"/>
      <c r="K1528" s="1708"/>
      <c r="L1528" s="1708"/>
      <c r="M1528" s="1708"/>
      <c r="N1528" s="1708"/>
      <c r="O1528" s="1708"/>
      <c r="P1528" s="1708"/>
      <c r="Q1528" s="1708"/>
      <c r="R1528" s="1617"/>
      <c r="S1528" s="1617"/>
      <c r="T1528" s="1617"/>
      <c r="U1528" s="1617"/>
      <c r="V1528" s="1617"/>
      <c r="W1528" s="1617"/>
      <c r="X1528" s="1617"/>
      <c r="Y1528" s="1617"/>
    </row>
    <row r="1529" customFormat="false" ht="15.75" hidden="false" customHeight="true" outlineLevel="1" collapsed="false">
      <c r="A1529" s="2211" t="s">
        <v>3793</v>
      </c>
      <c r="B1529" s="1958" t="s">
        <v>820</v>
      </c>
      <c r="C1529" s="2064" t="n">
        <f aca="false">SUM(C1526:C1528)</f>
        <v>174.760050415861</v>
      </c>
      <c r="D1529" s="2229"/>
      <c r="E1529" s="2174"/>
      <c r="F1529" s="2174"/>
      <c r="G1529" s="2229"/>
      <c r="H1529" s="2229"/>
      <c r="I1529" s="2200"/>
      <c r="J1529" s="1708"/>
      <c r="K1529" s="1708"/>
      <c r="L1529" s="1708"/>
      <c r="M1529" s="1708"/>
      <c r="N1529" s="1708"/>
      <c r="O1529" s="1708"/>
      <c r="P1529" s="1708"/>
      <c r="Q1529" s="1708"/>
      <c r="R1529" s="1617"/>
      <c r="S1529" s="1617"/>
      <c r="T1529" s="1617"/>
      <c r="U1529" s="1617"/>
      <c r="V1529" s="1617"/>
      <c r="W1529" s="1617"/>
      <c r="X1529" s="1617"/>
      <c r="Y1529" s="1617"/>
    </row>
    <row r="1530" customFormat="false" ht="15.75" hidden="false" customHeight="true" outlineLevel="1" collapsed="false">
      <c r="A1530" s="2280" t="s">
        <v>2246</v>
      </c>
      <c r="B1530" s="2281" t="s">
        <v>1738</v>
      </c>
      <c r="C1530" s="2281" t="s">
        <v>118</v>
      </c>
      <c r="D1530" s="1436" t="s">
        <v>137</v>
      </c>
      <c r="E1530" s="1436" t="s">
        <v>200</v>
      </c>
      <c r="F1530" s="1633" t="s">
        <v>116</v>
      </c>
      <c r="G1530" s="1436" t="s">
        <v>3863</v>
      </c>
      <c r="H1530" s="1436"/>
      <c r="I1530" s="2281" t="s">
        <v>2915</v>
      </c>
      <c r="J1530" s="2282" t="s">
        <v>2916</v>
      </c>
      <c r="K1530" s="1436" t="s">
        <v>3864</v>
      </c>
      <c r="L1530" s="1436" t="s">
        <v>3865</v>
      </c>
      <c r="M1530" s="1436"/>
      <c r="N1530" s="1436"/>
      <c r="O1530" s="1436" t="s">
        <v>137</v>
      </c>
      <c r="P1530" s="1436" t="s">
        <v>200</v>
      </c>
      <c r="Q1530" s="1633" t="s">
        <v>116</v>
      </c>
      <c r="R1530" s="1436" t="s">
        <v>3864</v>
      </c>
      <c r="S1530" s="1436" t="s">
        <v>3866</v>
      </c>
      <c r="T1530" s="1436" t="s">
        <v>2970</v>
      </c>
    </row>
    <row r="1531" customFormat="false" ht="15.75" hidden="false" customHeight="true" outlineLevel="1" collapsed="false">
      <c r="A1531" s="2211" t="str">
        <f aca="false">'Ввод данных'!A1159</f>
        <v>Газоблок D400 200х300х390 </v>
      </c>
      <c r="B1531" s="2064" t="s">
        <v>1043</v>
      </c>
      <c r="C1531" s="1692" t="n">
        <f aca="false">C1519*C1498-C1534-C1535-C1536</f>
        <v>-4.992</v>
      </c>
      <c r="D1531" s="1436" t="n">
        <f aca="false">VLOOKUP('Ввод данных'!A1159,связи1!A253:D294,2,0)</f>
        <v>200</v>
      </c>
      <c r="E1531" s="1436" t="n">
        <f aca="false">VLOOKUP('Ввод данных'!A1159,связи1!A253:D294,4,0)</f>
        <v>390</v>
      </c>
      <c r="F1531" s="1633" t="n">
        <f aca="false">VLOOKUP('Ввод данных'!A1159,связи1!A253:D294,3,0)</f>
        <v>300</v>
      </c>
      <c r="G1531" s="1436" t="n">
        <f aca="false">C1531/K1531+Q29-C1537-C1538</f>
        <v>-192.545795827375</v>
      </c>
      <c r="H1531" s="1436"/>
      <c r="I1531" s="2283" t="n">
        <f aca="false">VLOOKUP('Ввод данных'!A1159,связи1!A253:F294,6,0)</f>
        <v>4200</v>
      </c>
      <c r="J1531" s="1571" t="n">
        <f aca="false">C1531*I1531</f>
        <v>-20966.4</v>
      </c>
      <c r="K1531" s="2284" t="n">
        <f aca="false">D1531*E1531*F1531/1000000000</f>
        <v>0.0234</v>
      </c>
      <c r="L1531" s="1436" t="n">
        <f aca="false">SQRT(D1531/1000*D1531/1000+E1531/1000*E1531/1000)</f>
        <v>0.438292140016223</v>
      </c>
      <c r="M1531" s="1436"/>
      <c r="N1531" s="1436"/>
      <c r="O1531" s="1436" t="n">
        <f aca="false">D1531-20</f>
        <v>180</v>
      </c>
      <c r="P1531" s="1436" t="n">
        <f aca="false">E1531-20</f>
        <v>370</v>
      </c>
      <c r="Q1531" s="1633" t="n">
        <f aca="false">F1531</f>
        <v>300</v>
      </c>
      <c r="R1531" s="2284" t="n">
        <f aca="false">O1531*P1531*Q1531/1000000000</f>
        <v>0.01998</v>
      </c>
      <c r="S1531" s="1436" t="n">
        <f aca="false">G1531*R1531</f>
        <v>-3.84706500063095</v>
      </c>
      <c r="T1531" s="1436" t="n">
        <f aca="false">C1531-S1531</f>
        <v>-1.14493499936905</v>
      </c>
    </row>
    <row r="1532" customFormat="false" ht="15.75" hidden="false" customHeight="true" outlineLevel="1" collapsed="false">
      <c r="A1532" s="2211" t="str">
        <f aca="false">'Ввод данных'!A1161</f>
        <v>Газоблок D400 200х200х390 </v>
      </c>
      <c r="B1532" s="2064" t="s">
        <v>1043</v>
      </c>
      <c r="C1532" s="1692" t="n">
        <f aca="false">C1521*C1499</f>
        <v>0</v>
      </c>
      <c r="D1532" s="1436" t="n">
        <f aca="false">VLOOKUP('Ввод данных'!A1161,связи1!A253:D294,2,0)</f>
        <v>200</v>
      </c>
      <c r="E1532" s="1436" t="n">
        <f aca="false">VLOOKUP('Ввод данных'!A1161,связи1!A253:D294,4,0)</f>
        <v>390</v>
      </c>
      <c r="F1532" s="1633" t="n">
        <f aca="false">VLOOKUP('Ввод данных'!A1161,связи1!A253:D294,2,0)</f>
        <v>200</v>
      </c>
      <c r="G1532" s="1436" t="n">
        <f aca="false">C1532/K1532</f>
        <v>0</v>
      </c>
      <c r="H1532" s="1436"/>
      <c r="I1532" s="2283" t="n">
        <f aca="false">VLOOKUP('Ввод данных'!A1161,связи1!A253:F294,6,0)</f>
        <v>0</v>
      </c>
      <c r="J1532" s="1571" t="n">
        <f aca="false">C1532*I1532</f>
        <v>0</v>
      </c>
      <c r="K1532" s="2284" t="n">
        <f aca="false">D1532*E1532*F1532/1000000000</f>
        <v>0.0156</v>
      </c>
      <c r="L1532" s="1436"/>
      <c r="M1532" s="1436"/>
      <c r="N1532" s="1436"/>
      <c r="O1532" s="1436" t="n">
        <f aca="false">D1532-20</f>
        <v>180</v>
      </c>
      <c r="P1532" s="1436" t="n">
        <f aca="false">E1532-20</f>
        <v>370</v>
      </c>
      <c r="Q1532" s="1633" t="n">
        <f aca="false">F1532</f>
        <v>200</v>
      </c>
      <c r="R1532" s="2284" t="n">
        <f aca="false">O1532*P1532*Q1532/1000000000</f>
        <v>0.01332</v>
      </c>
      <c r="S1532" s="1436" t="n">
        <f aca="false">G1532*R1532</f>
        <v>0</v>
      </c>
      <c r="T1532" s="1436" t="n">
        <f aca="false">C1532-S1532</f>
        <v>0</v>
      </c>
    </row>
    <row r="1533" customFormat="false" ht="15.75" hidden="false" customHeight="true" outlineLevel="1" collapsed="false">
      <c r="A1533" s="2211" t="str">
        <f aca="false">'Ввод данных'!A1163</f>
        <v>Газоблок D400 200х100х390 </v>
      </c>
      <c r="B1533" s="2064" t="s">
        <v>1043</v>
      </c>
      <c r="C1533" s="1692" t="n">
        <f aca="false">C1522*C1500</f>
        <v>0</v>
      </c>
      <c r="D1533" s="1436" t="n">
        <f aca="false">VLOOKUP('Ввод данных'!A1163,связи1!A253:D294,2,0)</f>
        <v>200</v>
      </c>
      <c r="E1533" s="1436" t="n">
        <f aca="false">VLOOKUP('Ввод данных'!A1163,связи1!A253:D294,4,0)</f>
        <v>390</v>
      </c>
      <c r="F1533" s="1633" t="n">
        <f aca="false">VLOOKUP('Ввод данных'!A1163,связи1!A253:D294,3,0)</f>
        <v>100</v>
      </c>
      <c r="G1533" s="1436" t="n">
        <f aca="false">C1533/K1533</f>
        <v>0</v>
      </c>
      <c r="H1533" s="1436"/>
      <c r="I1533" s="2283" t="n">
        <f aca="false">VLOOKUP('Ввод данных'!A1163,связи1!A253:F294,6,0)</f>
        <v>0</v>
      </c>
      <c r="J1533" s="1571" t="n">
        <f aca="false">C1533*I1533</f>
        <v>0</v>
      </c>
      <c r="K1533" s="2284" t="n">
        <f aca="false">D1533*E1533*F1533/1000000000</f>
        <v>0.0078</v>
      </c>
      <c r="L1533" s="1436"/>
      <c r="M1533" s="1436"/>
      <c r="N1533" s="1436"/>
      <c r="O1533" s="1436" t="n">
        <f aca="false">D1533-20</f>
        <v>180</v>
      </c>
      <c r="P1533" s="1436" t="n">
        <f aca="false">E1533-20</f>
        <v>370</v>
      </c>
      <c r="Q1533" s="1633" t="n">
        <f aca="false">F1533</f>
        <v>100</v>
      </c>
      <c r="R1533" s="2284" t="n">
        <f aca="false">O1533*P1533*Q1533/1000000000</f>
        <v>0.00666</v>
      </c>
      <c r="S1533" s="1436" t="n">
        <f aca="false">G1533*R1533</f>
        <v>0</v>
      </c>
      <c r="T1533" s="1436" t="n">
        <f aca="false">C1533-S1533</f>
        <v>0</v>
      </c>
    </row>
    <row r="1534" customFormat="false" ht="15.75" hidden="false" customHeight="true" outlineLevel="1" collapsed="false">
      <c r="A1534" s="2211" t="str">
        <f aca="false">VLOOKUP('Ввод данных'!A1159,связи1!A253:W294,14,0)</f>
        <v>Газоблок поясной D400 200х300х390 </v>
      </c>
      <c r="B1534" s="2064" t="s">
        <v>1043</v>
      </c>
      <c r="C1534" s="1692" t="n">
        <f aca="false">G1534*K1534</f>
        <v>4.8048</v>
      </c>
      <c r="D1534" s="1436" t="n">
        <f aca="false">VLOOKUP('Ввод данных'!A1159,связи1!A253:W294,17,0)</f>
        <v>200</v>
      </c>
      <c r="E1534" s="1436" t="n">
        <f aca="false">VLOOKUP('Ввод данных'!A1159,связи1!A253:W294,18,0)</f>
        <v>300</v>
      </c>
      <c r="F1534" s="1633" t="n">
        <f aca="false">VLOOKUP('Ввод данных'!A1159,связи1!A253:W294,19,0)</f>
        <v>390</v>
      </c>
      <c r="G1534" s="1436" t="n">
        <f aca="false">J47/E1534*1000-G1535-G1536</f>
        <v>205.333333333333</v>
      </c>
      <c r="H1534" s="1436"/>
      <c r="I1534" s="2285" t="n">
        <f aca="false">VLOOKUP('Ввод данных'!A1159,связи1!A253:W294,21,0)</f>
        <v>4200</v>
      </c>
      <c r="J1534" s="1571" t="n">
        <f aca="false">C1534*I1534</f>
        <v>20180.16</v>
      </c>
      <c r="K1534" s="2284" t="n">
        <f aca="false">D1534*E1534*F1534/1000000000</f>
        <v>0.0234</v>
      </c>
      <c r="L1534" s="1436" t="s">
        <v>3867</v>
      </c>
      <c r="M1534" s="1436"/>
      <c r="N1534" s="1436"/>
      <c r="O1534" s="1436" t="n">
        <f aca="false">IF('Ввод данных'!A1180=связи1!A314,1,0)+IF('Ввод данных'!A1180=связи1!A315,1,0)</f>
        <v>1</v>
      </c>
      <c r="P1534" s="1619"/>
      <c r="Q1534" s="2009"/>
      <c r="R1534" s="2286"/>
      <c r="S1534" s="1619"/>
      <c r="T1534" s="1619"/>
      <c r="U1534" s="2287"/>
      <c r="V1534" s="2288"/>
    </row>
    <row r="1535" customFormat="false" ht="15.75" hidden="false" customHeight="true" outlineLevel="1" collapsed="false">
      <c r="A1535" s="2211" t="str">
        <f aca="false">VLOOKUP('Ввод данных'!A1159,связи1!A253:W294,16,0)</f>
        <v>Поясной 200х300х600 угловой внешний</v>
      </c>
      <c r="B1535" s="2064" t="s">
        <v>1043</v>
      </c>
      <c r="C1535" s="1692" t="n">
        <f aca="false">G1535*K1535</f>
        <v>0.1872</v>
      </c>
      <c r="D1535" s="1436" t="n">
        <f aca="false">VLOOKUP('Ввод данных'!A1159,связи1!A253:W294,17,0)</f>
        <v>200</v>
      </c>
      <c r="E1535" s="1436" t="n">
        <f aca="false">VLOOKUP('Ввод данных'!A1159,связи1!A253:W294,18,0)</f>
        <v>300</v>
      </c>
      <c r="F1535" s="1633" t="n">
        <f aca="false">VLOOKUP('Ввод данных'!A1159,связи1!A253:W294,19,0)</f>
        <v>390</v>
      </c>
      <c r="G1535" s="1436" t="n">
        <f aca="false">L48</f>
        <v>8</v>
      </c>
      <c r="H1535" s="1436"/>
      <c r="I1535" s="2285" t="n">
        <f aca="false">VLOOKUP('Ввод данных'!A1159,связи1!A253:W294,21,0)</f>
        <v>4200</v>
      </c>
      <c r="J1535" s="1571" t="n">
        <f aca="false">C1535*I1535</f>
        <v>786.24</v>
      </c>
      <c r="K1535" s="2284" t="n">
        <f aca="false">D1535*E1535*F1535/1000000000</f>
        <v>0.0234</v>
      </c>
      <c r="L1535" s="1436" t="s">
        <v>3867</v>
      </c>
      <c r="M1535" s="1436"/>
      <c r="N1535" s="1436"/>
      <c r="O1535" s="1436" t="n">
        <f aca="false">IF('Ввод данных'!A1180=связи1!A316,1,0)</f>
        <v>0</v>
      </c>
      <c r="P1535" s="1619"/>
      <c r="Q1535" s="2009"/>
      <c r="R1535" s="2286"/>
      <c r="S1535" s="1619"/>
      <c r="T1535" s="1619"/>
      <c r="U1535" s="2287"/>
      <c r="V1535" s="2288"/>
    </row>
    <row r="1536" customFormat="false" ht="15.75" hidden="false" customHeight="true" outlineLevel="1" collapsed="false">
      <c r="A1536" s="2211" t="str">
        <f aca="false">VLOOKUP('Ввод данных'!A1159,связи1!A253:W294,15,0)</f>
        <v>Поясной 200х300х600 угловой внутренний</v>
      </c>
      <c r="B1536" s="2064" t="s">
        <v>1043</v>
      </c>
      <c r="C1536" s="1692" t="n">
        <f aca="false">G1536*K1536</f>
        <v>0</v>
      </c>
      <c r="D1536" s="1436" t="n">
        <f aca="false">VLOOKUP('Ввод данных'!A1159,связи1!A253:W294,17,0)</f>
        <v>200</v>
      </c>
      <c r="E1536" s="1436" t="n">
        <f aca="false">VLOOKUP('Ввод данных'!A1159,связи1!A253:W294,18,0)</f>
        <v>300</v>
      </c>
      <c r="F1536" s="1633" t="n">
        <f aca="false">VLOOKUP('Ввод данных'!A1159,связи1!A253:W294,19,0)</f>
        <v>390</v>
      </c>
      <c r="G1536" s="1436" t="n">
        <f aca="false">L49</f>
        <v>0</v>
      </c>
      <c r="H1536" s="1436"/>
      <c r="I1536" s="2285" t="n">
        <f aca="false">VLOOKUP('Ввод данных'!A1159,связи1!A253:W294,21,0)</f>
        <v>4200</v>
      </c>
      <c r="J1536" s="1571" t="n">
        <f aca="false">C1536*I1536</f>
        <v>0</v>
      </c>
      <c r="K1536" s="2284" t="n">
        <f aca="false">D1536*E1536*F1536/1000000000</f>
        <v>0.0234</v>
      </c>
      <c r="L1536" s="1436" t="s">
        <v>3867</v>
      </c>
      <c r="M1536" s="1436"/>
      <c r="N1536" s="1436"/>
      <c r="O1536" s="1436" t="n">
        <f aca="false">IF('Ввод данных'!A1180=связи1!A316,1,0)</f>
        <v>0</v>
      </c>
      <c r="P1536" s="1619"/>
      <c r="Q1536" s="2009"/>
      <c r="R1536" s="2286"/>
      <c r="S1536" s="1619"/>
      <c r="T1536" s="1619"/>
      <c r="U1536" s="2287"/>
      <c r="V1536" s="2288"/>
    </row>
    <row r="1537" customFormat="false" ht="15.75" hidden="false" customHeight="true" outlineLevel="1" collapsed="false">
      <c r="A1537" s="2211" t="str">
        <f aca="false">VLOOKUP('Ввод данных'!A1159,связи1!A253:M294,10,0)</f>
        <v>200х300х600 угловой внешний</v>
      </c>
      <c r="B1537" s="2064" t="s">
        <v>1043</v>
      </c>
      <c r="C1537" s="1692" t="n">
        <f aca="false">G1537*K1537</f>
        <v>3.168</v>
      </c>
      <c r="D1537" s="1436" t="n">
        <f aca="false">VLOOKUP('Ввод данных'!A1159,связи1!A253:AD294,11,0)</f>
        <v>200</v>
      </c>
      <c r="E1537" s="1436" t="n">
        <f aca="false">VLOOKUP('Ввод данных'!A1159,связи1!A253:AD294,12,0)</f>
        <v>300</v>
      </c>
      <c r="F1537" s="1633" t="n">
        <f aca="false">VLOOKUP('Ввод данных'!A1159,связи1!A253:AD294,13,0)</f>
        <v>600</v>
      </c>
      <c r="G1537" s="1436" t="n">
        <f aca="false">G39</f>
        <v>88</v>
      </c>
      <c r="H1537" s="1436"/>
      <c r="I1537" s="2285" t="n">
        <f aca="false">VLOOKUP('Ввод данных'!A1159,связи1!A253:W294,21,0)</f>
        <v>4200</v>
      </c>
      <c r="J1537" s="1571" t="n">
        <f aca="false">C1537*I1537</f>
        <v>13305.6</v>
      </c>
      <c r="K1537" s="2284" t="n">
        <f aca="false">D1537*E1537*F1537/1000000000</f>
        <v>0.036</v>
      </c>
      <c r="L1537" s="1436"/>
      <c r="M1537" s="1436"/>
      <c r="N1537" s="1436"/>
      <c r="O1537" s="1436" t="n">
        <f aca="false">O1536</f>
        <v>0</v>
      </c>
      <c r="U1537" s="2287"/>
      <c r="V1537" s="2288"/>
    </row>
    <row r="1538" customFormat="false" ht="15.75" hidden="false" customHeight="true" outlineLevel="1" collapsed="false">
      <c r="A1538" s="2211" t="str">
        <f aca="false">VLOOKUP('Ввод данных'!A1159,связи1!A253:M294,9,0)</f>
        <v>200х300х600 угловой внутренний</v>
      </c>
      <c r="B1538" s="2064" t="s">
        <v>3868</v>
      </c>
      <c r="C1538" s="1692" t="n">
        <f aca="false">G1538*K1538</f>
        <v>0</v>
      </c>
      <c r="D1538" s="1436" t="n">
        <f aca="false">VLOOKUP('Ввод данных'!A1159,связи1!A253:AD294,11,0)</f>
        <v>200</v>
      </c>
      <c r="E1538" s="1436" t="n">
        <f aca="false">VLOOKUP('Ввод данных'!A1159,связи1!A253:AD294,12,0)</f>
        <v>300</v>
      </c>
      <c r="F1538" s="1633" t="n">
        <f aca="false">VLOOKUP('Ввод данных'!A1159,связи1!A253:AD294,13,0)</f>
        <v>600</v>
      </c>
      <c r="G1538" s="1436" t="n">
        <f aca="false">G38</f>
        <v>0</v>
      </c>
      <c r="H1538" s="1436"/>
      <c r="I1538" s="2285" t="n">
        <f aca="false">VLOOKUP('Ввод данных'!A1159,связи1!A253:W294,21,0)</f>
        <v>4200</v>
      </c>
      <c r="J1538" s="1571" t="n">
        <f aca="false">C1538*I1538</f>
        <v>0</v>
      </c>
      <c r="K1538" s="2284" t="n">
        <f aca="false">D1538*E1538*F1538/1000000000</f>
        <v>0.036</v>
      </c>
      <c r="L1538" s="2289" t="s">
        <v>3867</v>
      </c>
      <c r="M1538" s="2289"/>
      <c r="N1538" s="2289"/>
      <c r="O1538" s="1436" t="n">
        <f aca="false">IF('Ввод данных'!A1180=связи1!A317,1,0)+IF('Ввод данных'!A1180=связи1!A318,1,0)+IF('Ввод данных'!A1180=связи1!A319,1,0)+IF('Ввод данных'!A1180=связи1!A320,1,0)</f>
        <v>0</v>
      </c>
      <c r="U1538" s="2287"/>
      <c r="V1538" s="2288"/>
    </row>
    <row r="1539" customFormat="false" ht="15.75" hidden="false" customHeight="true" outlineLevel="1" collapsed="false">
      <c r="A1539" s="2211" t="str">
        <f aca="false">VLOOKUP('Ввод данных'!A1180,связи1!A314:A315,1,0)</f>
        <v>Клей монтажный ВК-100</v>
      </c>
      <c r="B1539" s="2064" t="s">
        <v>1036</v>
      </c>
      <c r="C1539" s="2283" t="n">
        <f aca="false">(C1531+C1532+C1533+C1534+C1535+C1536+C1537+C1538)*2*D1497*G1496*1.05</f>
        <v>0</v>
      </c>
      <c r="D1539" s="1436"/>
      <c r="E1539" s="1436"/>
      <c r="F1539" s="1436"/>
      <c r="G1539" s="1436"/>
      <c r="H1539" s="1436"/>
      <c r="I1539" s="2283" t="n">
        <f aca="false">IF('Ввод данных'!A1180=связи1!A314,связи1!D314,0)+IF('Ввод данных'!A1180=связи1!A315,связи1!D315,0)</f>
        <v>185</v>
      </c>
      <c r="J1539" s="2290" t="n">
        <f aca="false">C1539*I1539</f>
        <v>0</v>
      </c>
      <c r="K1539" s="1436"/>
    </row>
    <row r="1540" customFormat="false" ht="15.75" hidden="false" customHeight="true" outlineLevel="1" collapsed="false">
      <c r="A1540" s="2211" t="e">
        <f aca="false">VLOOKUP('Ввод данных'!A1180,связи1!A316:B316,2,0)</f>
        <v>#N/A</v>
      </c>
      <c r="B1540" s="2064" t="s">
        <v>1036</v>
      </c>
      <c r="C1540" s="1692" t="n">
        <f aca="false">C1541*4*1.05</f>
        <v>-5.77047239682</v>
      </c>
      <c r="D1540" s="1436"/>
      <c r="E1540" s="1436"/>
      <c r="F1540" s="1436"/>
      <c r="G1540" s="1436"/>
      <c r="H1540" s="1436"/>
      <c r="I1540" s="2283" t="n">
        <f aca="false">IF('Ввод данных'!A1180=связи1!A316,'Прайс лист'!G187,0)</f>
        <v>0</v>
      </c>
      <c r="J1540" s="2290" t="n">
        <f aca="false">C1540*O1535*I1540</f>
        <v>0</v>
      </c>
      <c r="K1540" s="1436"/>
      <c r="O1540" s="2277" t="s">
        <v>2007</v>
      </c>
      <c r="P1540" s="2291"/>
      <c r="Q1540" s="1436"/>
      <c r="R1540" s="1692" t="s">
        <v>162</v>
      </c>
      <c r="S1540" s="2282" t="s">
        <v>118</v>
      </c>
      <c r="T1540" s="2282" t="s">
        <v>2915</v>
      </c>
      <c r="U1540" s="2282" t="s">
        <v>2916</v>
      </c>
      <c r="W1540" s="2288"/>
      <c r="X1540" s="2292"/>
      <c r="Y1540" s="1619"/>
      <c r="Z1540" s="2293"/>
      <c r="AA1540" s="2288"/>
      <c r="AB1540" s="2288"/>
      <c r="AC1540" s="2288"/>
    </row>
    <row r="1541" customFormat="false" ht="15.75" hidden="false" customHeight="true" outlineLevel="1" collapsed="false">
      <c r="A1541" s="2211" t="e">
        <f aca="false">VLOOKUP('Ввод данных'!A1180,связи1!A316:C316,3,0)</f>
        <v>#N/A</v>
      </c>
      <c r="B1541" s="2064" t="s">
        <v>1043</v>
      </c>
      <c r="C1541" s="1692" t="n">
        <f aca="false">(T1531+T1532+T1533)*1.2</f>
        <v>-1.37392199924286</v>
      </c>
      <c r="D1541" s="1436"/>
      <c r="E1541" s="1436"/>
      <c r="F1541" s="1436"/>
      <c r="G1541" s="1436"/>
      <c r="H1541" s="1436"/>
      <c r="I1541" s="2283" t="n">
        <f aca="false">IF('Ввод данных'!A1180=связи1!A316,'Прайс лист'!G177,0)</f>
        <v>0</v>
      </c>
      <c r="J1541" s="2290" t="n">
        <f aca="false">C1541*O1536*I1541</f>
        <v>0</v>
      </c>
      <c r="K1541" s="1436"/>
      <c r="O1541" s="2294" t="str">
        <f aca="false">'Прайс лист'!B1501</f>
        <v>кладка газобетона несущие стены</v>
      </c>
      <c r="P1541" s="2295"/>
      <c r="Q1541" s="1436"/>
      <c r="R1541" s="1692" t="s">
        <v>1043</v>
      </c>
      <c r="S1541" s="2290" t="n">
        <f aca="false">C1531</f>
        <v>-4.992</v>
      </c>
      <c r="T1541" s="2290" t="n">
        <f aca="false">'Прайс лист'!G1501</f>
        <v>3500</v>
      </c>
      <c r="U1541" s="2290" t="n">
        <f aca="false">S1541*T1541</f>
        <v>-17472</v>
      </c>
      <c r="W1541" s="2288"/>
      <c r="X1541" s="2292"/>
      <c r="Y1541" s="1619"/>
      <c r="Z1541" s="2293"/>
      <c r="AA1541" s="2288"/>
      <c r="AB1541" s="2288"/>
      <c r="AC1541" s="2288"/>
    </row>
    <row r="1542" customFormat="false" ht="15.75" hidden="false" customHeight="true" outlineLevel="1" collapsed="false">
      <c r="A1542" s="2211" t="s">
        <v>1047</v>
      </c>
      <c r="B1542" s="2064" t="s">
        <v>1048</v>
      </c>
      <c r="C1542" s="1692"/>
      <c r="D1542" s="1436"/>
      <c r="E1542" s="1436"/>
      <c r="F1542" s="1436"/>
      <c r="G1542" s="1436"/>
      <c r="H1542" s="1436"/>
      <c r="I1542" s="2283" t="n">
        <f aca="false">IF('Ввод данных'!A1180=связи1!A316,'Прайс лист'!G178,0)</f>
        <v>0</v>
      </c>
      <c r="J1542" s="2290" t="n">
        <f aca="false">O1537*I1542</f>
        <v>0</v>
      </c>
      <c r="K1542" s="1436"/>
      <c r="O1542" s="2294" t="str">
        <f aca="false">'Прайс лист'!B1502</f>
        <v>кладка газобетона несущие перегородки</v>
      </c>
      <c r="P1542" s="2296"/>
      <c r="Q1542" s="1436"/>
      <c r="R1542" s="1692" t="s">
        <v>1043</v>
      </c>
      <c r="S1542" s="2297" t="n">
        <f aca="false">C1532</f>
        <v>0</v>
      </c>
      <c r="T1542" s="2290" t="n">
        <f aca="false">'Прайс лист'!G1502</f>
        <v>3500</v>
      </c>
      <c r="U1542" s="2290" t="n">
        <f aca="false">S1542*T1542</f>
        <v>0</v>
      </c>
      <c r="W1542" s="2288"/>
      <c r="X1542" s="2292"/>
      <c r="Y1542" s="1619"/>
      <c r="Z1542" s="2293"/>
      <c r="AA1542" s="2288"/>
      <c r="AB1542" s="2288"/>
      <c r="AC1542" s="2288"/>
    </row>
    <row r="1543" customFormat="false" ht="15.75" hidden="false" customHeight="true" outlineLevel="1" collapsed="false">
      <c r="A1543" s="2211" t="e">
        <f aca="false">VLOOKUP('Ввод данных'!A1180,связи1!A317:A320,1,0)</f>
        <v>#N/A</v>
      </c>
      <c r="B1543" s="2064" t="s">
        <v>1043</v>
      </c>
      <c r="C1543" s="1692" t="n">
        <f aca="false">C1541</f>
        <v>-1.37392199924286</v>
      </c>
      <c r="D1543" s="1436"/>
      <c r="E1543" s="1436"/>
      <c r="F1543" s="1436"/>
      <c r="G1543" s="1436"/>
      <c r="H1543" s="1436"/>
      <c r="I1543" s="2283" t="n">
        <f aca="false">IF('Ввод данных'!A1180=связи1!A317,'Прайс лист'!G241,0)+IF('Ввод данных'!A1180=связи1!A318,'Прайс лист'!G242,0)+IF('Ввод данных'!A1180=связи1!A319,'Прайс лист'!G243,0)+IF('Ввод данных'!A1180=связи1!A320,'Прайс лист'!G244,0)</f>
        <v>0</v>
      </c>
      <c r="J1543" s="2290" t="n">
        <f aca="false">C1543*O1538*I1543</f>
        <v>0</v>
      </c>
      <c r="K1543" s="1436"/>
      <c r="O1543" s="2294" t="str">
        <f aca="false">'Прайс лист'!B1503</f>
        <v>кладка газобетона перегородки</v>
      </c>
      <c r="P1543" s="1436"/>
      <c r="Q1543" s="1436"/>
      <c r="R1543" s="1692" t="s">
        <v>820</v>
      </c>
      <c r="S1543" s="1436" t="n">
        <f aca="false">C1522</f>
        <v>0</v>
      </c>
      <c r="T1543" s="2290" t="n">
        <f aca="false">'Прайс лист'!G1503</f>
        <v>500</v>
      </c>
      <c r="U1543" s="2290" t="n">
        <f aca="false">S1543*T1543</f>
        <v>0</v>
      </c>
      <c r="W1543" s="2288"/>
      <c r="X1543" s="2292"/>
      <c r="Y1543" s="1619"/>
      <c r="Z1543" s="2293"/>
      <c r="AA1543" s="2288"/>
      <c r="AB1543" s="2288"/>
      <c r="AC1543" s="2288"/>
    </row>
    <row r="1544" customFormat="false" ht="15.75" hidden="false" customHeight="true" outlineLevel="1" collapsed="false">
      <c r="A1544" s="2211" t="str">
        <f aca="false">'Ввод данных'!A1182</f>
        <v>Арматура М6 каждый 3-й ряд, 2 нити</v>
      </c>
      <c r="B1544" s="2064" t="s">
        <v>15</v>
      </c>
      <c r="C1544" s="2283" t="n">
        <f aca="false">W38</f>
        <v>597.333333333333</v>
      </c>
      <c r="D1544" s="1436"/>
      <c r="E1544" s="1436"/>
      <c r="F1544" s="1436"/>
      <c r="G1544" s="1436"/>
      <c r="H1544" s="1436"/>
      <c r="I1544" s="2283" t="n">
        <f aca="false">VLOOKUP('Ввод данных'!A1182,связи1!A355:F362,6,0)</f>
        <v>0</v>
      </c>
      <c r="J1544" s="2290" t="n">
        <f aca="false">C1544*I1544</f>
        <v>0</v>
      </c>
      <c r="K1544" s="1436"/>
      <c r="O1544" s="1634" t="str">
        <f aca="false">'Прайс лист'!B1509</f>
        <v>изготовление и монтаж перемычек для окон и дверей</v>
      </c>
      <c r="P1544" s="2289"/>
      <c r="Q1544" s="1436"/>
      <c r="R1544" s="1692" t="s">
        <v>15</v>
      </c>
      <c r="S1544" s="1436" t="n">
        <f aca="false">L1574</f>
        <v>10.49</v>
      </c>
      <c r="T1544" s="2290" t="n">
        <f aca="false">'Прайс лист'!G1509</f>
        <v>500</v>
      </c>
      <c r="U1544" s="2290" t="n">
        <f aca="false">S1544*T1544</f>
        <v>5245</v>
      </c>
      <c r="W1544" s="2288"/>
      <c r="X1544" s="2292"/>
      <c r="Y1544" s="1619"/>
      <c r="Z1544" s="2293"/>
      <c r="AA1544" s="2288"/>
      <c r="AB1544" s="2288"/>
      <c r="AC1544" s="2288"/>
    </row>
    <row r="1545" customFormat="false" ht="15.75" hidden="false" customHeight="true" outlineLevel="1" collapsed="false">
      <c r="A1545" s="2211" t="str">
        <f aca="false">'Ввод данных'!A1184</f>
        <v>Арматура М6 каждый 3-й ряд, 2 нити</v>
      </c>
      <c r="B1545" s="2064" t="s">
        <v>15</v>
      </c>
      <c r="C1545" s="2283" t="n">
        <f aca="false">K1068+K616</f>
        <v>100</v>
      </c>
      <c r="D1545" s="1436"/>
      <c r="E1545" s="1436"/>
      <c r="F1545" s="1436"/>
      <c r="G1545" s="1436"/>
      <c r="H1545" s="1436"/>
      <c r="I1545" s="1436" t="n">
        <f aca="false">VLOOKUP('Ввод данных'!A1184,связи1!A355:F362,6,0)</f>
        <v>0</v>
      </c>
      <c r="J1545" s="2290" t="n">
        <f aca="false">C1545*I1545</f>
        <v>0</v>
      </c>
      <c r="K1545" s="2290"/>
      <c r="O1545" s="1634" t="str">
        <f aca="false">'Прайс лист'!B1510</f>
        <v>Замешивание раствора</v>
      </c>
      <c r="P1545" s="2289"/>
      <c r="Q1545" s="1436"/>
      <c r="R1545" s="1692" t="s">
        <v>1043</v>
      </c>
      <c r="S1545" s="1436" t="n">
        <f aca="false">C1541</f>
        <v>-1.37392199924286</v>
      </c>
      <c r="T1545" s="2290" t="n">
        <f aca="false">'Прайс лист'!G1510</f>
        <v>1500</v>
      </c>
      <c r="U1545" s="2290" t="n">
        <f aca="false">S1545*T1545</f>
        <v>-2060.88299886428</v>
      </c>
      <c r="W1545" s="2288"/>
      <c r="X1545" s="2292"/>
      <c r="Y1545" s="1619"/>
      <c r="Z1545" s="2293"/>
      <c r="AA1545" s="2288"/>
      <c r="AB1545" s="2288"/>
      <c r="AC1545" s="2288"/>
    </row>
    <row r="1546" customFormat="false" ht="15.75" hidden="false" customHeight="true" outlineLevel="1" collapsed="false">
      <c r="A1546" s="2211" t="str">
        <f aca="false">связи1!A326</f>
        <v>Перемычка оконная, 1-ый эт. Вариант 1</v>
      </c>
      <c r="B1546" s="2064" t="s">
        <v>15</v>
      </c>
      <c r="C1546" s="2283" t="n">
        <f aca="false">связи1!E326</f>
        <v>1</v>
      </c>
      <c r="D1546" s="1436" t="n">
        <f aca="false">$D$1531/1000</f>
        <v>0.2</v>
      </c>
      <c r="E1546" s="1436" t="n">
        <f aca="false">связи1!F326</f>
        <v>1.4</v>
      </c>
      <c r="F1546" s="1436" t="n">
        <f aca="false">$F$1531</f>
        <v>300</v>
      </c>
      <c r="G1546" s="1436" t="n">
        <f aca="false">C1546*(E1546+0.4)</f>
        <v>1.8</v>
      </c>
      <c r="H1546" s="1436"/>
      <c r="I1546" s="2283" t="n">
        <f aca="false">связи1!J326</f>
        <v>1000</v>
      </c>
      <c r="J1546" s="2290" t="n">
        <f aca="false">I1546*E1546*IF(K1546&gt;0,1,0)</f>
        <v>1400</v>
      </c>
      <c r="K1546" s="1436" t="n">
        <f aca="false">связи1!I326</f>
        <v>0.084</v>
      </c>
      <c r="L1546" s="1582" t="n">
        <f aca="false">E1546*G1546</f>
        <v>2.52</v>
      </c>
      <c r="O1546" s="1634" t="str">
        <f aca="false">'Прайс лист'!B1511</f>
        <v>Армирование стен наружних и перегородок</v>
      </c>
      <c r="P1546" s="2289"/>
      <c r="Q1546" s="1436"/>
      <c r="R1546" s="1692" t="s">
        <v>15</v>
      </c>
      <c r="S1546" s="1436" t="n">
        <f aca="false">(C1544+C1545)/2</f>
        <v>348.666666666667</v>
      </c>
      <c r="T1546" s="2290" t="n">
        <f aca="false">'Прайс лист'!G1511</f>
        <v>70</v>
      </c>
      <c r="U1546" s="2290" t="n">
        <f aca="false">S1546*T1546</f>
        <v>24406.6666666667</v>
      </c>
      <c r="W1546" s="2288"/>
      <c r="X1546" s="2292"/>
      <c r="Y1546" s="1619"/>
      <c r="Z1546" s="2293"/>
      <c r="AA1546" s="2288"/>
      <c r="AB1546" s="2288"/>
      <c r="AC1546" s="2288"/>
    </row>
    <row r="1547" customFormat="false" ht="15.75" hidden="false" customHeight="true" outlineLevel="1" collapsed="false">
      <c r="A1547" s="2211" t="str">
        <f aca="false">связи1!A327</f>
        <v>Перемычка оконная, 1-ый эт. Вариант 2</v>
      </c>
      <c r="B1547" s="2064" t="s">
        <v>15</v>
      </c>
      <c r="C1547" s="2283" t="n">
        <f aca="false">связи1!E327</f>
        <v>0</v>
      </c>
      <c r="D1547" s="1436" t="n">
        <f aca="false">$D$1531/1000</f>
        <v>0.2</v>
      </c>
      <c r="E1547" s="1436" t="n">
        <f aca="false">связи1!F327</f>
        <v>1</v>
      </c>
      <c r="F1547" s="1436" t="n">
        <f aca="false">$F$1531</f>
        <v>300</v>
      </c>
      <c r="G1547" s="1436" t="n">
        <f aca="false">C1547*(E1547+0.4)</f>
        <v>0</v>
      </c>
      <c r="H1547" s="1436"/>
      <c r="I1547" s="2283" t="n">
        <f aca="false">связи1!J327</f>
        <v>1000</v>
      </c>
      <c r="J1547" s="2290" t="n">
        <f aca="false">I1547*E1547*IF(K1547&gt;0,1,0)</f>
        <v>0</v>
      </c>
      <c r="K1547" s="1436" t="n">
        <f aca="false">связи1!I327</f>
        <v>0</v>
      </c>
      <c r="L1547" s="1582" t="n">
        <f aca="false">E1547*G1547</f>
        <v>0</v>
      </c>
      <c r="O1547" s="1634" t="str">
        <f aca="false">'Прайс лист'!B1512</f>
        <v>Установка опалубки для сейсмопояса</v>
      </c>
      <c r="P1547" s="2289"/>
      <c r="Q1547" s="1436"/>
      <c r="R1547" s="1692" t="s">
        <v>15</v>
      </c>
      <c r="S1547" s="1436" t="n">
        <f aca="false">J47+J50+J51</f>
        <v>76.5</v>
      </c>
      <c r="T1547" s="2290" t="n">
        <f aca="false">'Прайс лист'!G1512</f>
        <v>300</v>
      </c>
      <c r="U1547" s="2290" t="n">
        <f aca="false">S1547*T1547</f>
        <v>22950</v>
      </c>
      <c r="W1547" s="2288"/>
      <c r="X1547" s="2292"/>
      <c r="Y1547" s="1619"/>
      <c r="Z1547" s="2293"/>
      <c r="AA1547" s="2288"/>
      <c r="AB1547" s="2288"/>
      <c r="AC1547" s="2288"/>
    </row>
    <row r="1548" customFormat="false" ht="15.75" hidden="false" customHeight="true" outlineLevel="1" collapsed="false">
      <c r="A1548" s="2211" t="str">
        <f aca="false">связи1!A328</f>
        <v>Перемычка оконная, 1-ый эт. Вариант 3</v>
      </c>
      <c r="B1548" s="2254" t="s">
        <v>15</v>
      </c>
      <c r="C1548" s="2298" t="n">
        <f aca="false">связи1!E328</f>
        <v>0</v>
      </c>
      <c r="D1548" s="1582" t="n">
        <f aca="false">$D$1531/1000</f>
        <v>0.2</v>
      </c>
      <c r="E1548" s="2299" t="n">
        <f aca="false">связи1!F328</f>
        <v>1.4</v>
      </c>
      <c r="F1548" s="2299" t="n">
        <f aca="false">$F$1531</f>
        <v>300</v>
      </c>
      <c r="G1548" s="1436" t="n">
        <f aca="false">C1548*(E1548+0.4)</f>
        <v>0</v>
      </c>
      <c r="H1548" s="2299"/>
      <c r="I1548" s="2298" t="n">
        <f aca="false">связи1!J328</f>
        <v>1000</v>
      </c>
      <c r="J1548" s="2300" t="n">
        <f aca="false">I1548*E1548*IF(K1548&gt;0,1,0)</f>
        <v>0</v>
      </c>
      <c r="K1548" s="2299" t="n">
        <f aca="false">связи1!I328</f>
        <v>0</v>
      </c>
      <c r="L1548" s="1582" t="n">
        <f aca="false">E1548*G1548</f>
        <v>0</v>
      </c>
      <c r="O1548" s="1634" t="str">
        <f aca="false">'Прайс лист'!B1513</f>
        <v>Армирование сейсмопояса</v>
      </c>
      <c r="P1548" s="2289"/>
      <c r="Q1548" s="1436"/>
      <c r="R1548" s="1692" t="s">
        <v>15</v>
      </c>
      <c r="S1548" s="1436" t="n">
        <f aca="false">S1547</f>
        <v>76.5</v>
      </c>
      <c r="T1548" s="2290" t="n">
        <f aca="false">'Прайс лист'!G1513</f>
        <v>500</v>
      </c>
      <c r="U1548" s="2290" t="n">
        <f aca="false">S1548*T1548</f>
        <v>38250</v>
      </c>
      <c r="W1548" s="2288"/>
      <c r="X1548" s="2292"/>
      <c r="Y1548" s="1619"/>
      <c r="Z1548" s="2293"/>
      <c r="AA1548" s="2288"/>
      <c r="AB1548" s="2288"/>
      <c r="AC1548" s="2288"/>
    </row>
    <row r="1549" customFormat="false" ht="15.75" hidden="false" customHeight="true" outlineLevel="1" collapsed="false">
      <c r="A1549" s="2211" t="str">
        <f aca="false">связи1!A329</f>
        <v>Перемычка оконная, 1-ый эт. Вариант 4</v>
      </c>
      <c r="B1549" s="2064" t="s">
        <v>15</v>
      </c>
      <c r="C1549" s="2283" t="n">
        <f aca="false">связи1!E329</f>
        <v>0</v>
      </c>
      <c r="D1549" s="1582" t="n">
        <f aca="false">$D$1531/1000</f>
        <v>0.2</v>
      </c>
      <c r="E1549" s="1436" t="n">
        <f aca="false">связи1!F329</f>
        <v>1</v>
      </c>
      <c r="F1549" s="1436" t="n">
        <f aca="false">$F$1531</f>
        <v>300</v>
      </c>
      <c r="G1549" s="1436" t="n">
        <f aca="false">C1549*(E1549+0.4)</f>
        <v>0</v>
      </c>
      <c r="H1549" s="1436"/>
      <c r="I1549" s="2283" t="n">
        <f aca="false">связи1!J329</f>
        <v>1000</v>
      </c>
      <c r="J1549" s="2290" t="n">
        <f aca="false">I1549*E1549*IF(K1549&gt;0,1,0)</f>
        <v>0</v>
      </c>
      <c r="K1549" s="1436" t="n">
        <f aca="false">связи1!I329</f>
        <v>0</v>
      </c>
      <c r="L1549" s="1582" t="n">
        <f aca="false">E1549*G1549</f>
        <v>0</v>
      </c>
      <c r="O1549" s="2294" t="str">
        <f aca="false">'Прайс лист'!B1514</f>
        <v>Заливка бетоном сейсмопояса</v>
      </c>
      <c r="P1549" s="2295"/>
      <c r="Q1549" s="1436"/>
      <c r="R1549" s="1692" t="s">
        <v>15</v>
      </c>
      <c r="S1549" s="2290" t="n">
        <f aca="false">S1547</f>
        <v>76.5</v>
      </c>
      <c r="T1549" s="2290" t="n">
        <f aca="false">'Прайс лист'!G1514</f>
        <v>700</v>
      </c>
      <c r="U1549" s="2290" t="n">
        <f aca="false">S1549*T1549</f>
        <v>53550</v>
      </c>
      <c r="W1549" s="2288"/>
      <c r="X1549" s="2292"/>
      <c r="Y1549" s="1619"/>
      <c r="Z1549" s="2293"/>
      <c r="AA1549" s="2288"/>
      <c r="AB1549" s="2288"/>
      <c r="AC1549" s="2288"/>
    </row>
    <row r="1550" customFormat="false" ht="15.75" hidden="false" customHeight="true" outlineLevel="1" collapsed="false">
      <c r="A1550" s="2211" t="str">
        <f aca="false">связи1!A330</f>
        <v>Перемычка оконная, 1-ый эт. Вариант 5</v>
      </c>
      <c r="B1550" s="2064" t="s">
        <v>15</v>
      </c>
      <c r="C1550" s="2283" t="n">
        <f aca="false">связи1!E330</f>
        <v>0</v>
      </c>
      <c r="D1550" s="1582" t="n">
        <f aca="false">$D$1531/1000</f>
        <v>0.2</v>
      </c>
      <c r="E1550" s="1436" t="n">
        <f aca="false">связи1!F330</f>
        <v>0.9</v>
      </c>
      <c r="F1550" s="1436" t="n">
        <f aca="false">$F$1531</f>
        <v>300</v>
      </c>
      <c r="G1550" s="1436" t="n">
        <f aca="false">C1550*(E1550+0.4)</f>
        <v>0</v>
      </c>
      <c r="H1550" s="1436"/>
      <c r="I1550" s="2283" t="n">
        <f aca="false">связи1!J330</f>
        <v>1000</v>
      </c>
      <c r="J1550" s="2290" t="n">
        <f aca="false">I1550*E1550*IF(K1550&gt;0,1,0)</f>
        <v>0</v>
      </c>
      <c r="K1550" s="1436" t="n">
        <f aca="false">связи1!I330</f>
        <v>0</v>
      </c>
      <c r="L1550" s="1582" t="n">
        <f aca="false">E1550*G1550</f>
        <v>0</v>
      </c>
      <c r="O1550" s="2294" t="str">
        <f aca="false">'Прайс лист'!B1515</f>
        <v>утепление стен снаружи дома</v>
      </c>
      <c r="P1550" s="2295"/>
      <c r="Q1550" s="1436"/>
      <c r="R1550" s="1692" t="s">
        <v>820</v>
      </c>
      <c r="S1550" s="2290" t="n">
        <f aca="false">C1519*D1510*J1496</f>
        <v>0</v>
      </c>
      <c r="T1550" s="2290" t="n">
        <f aca="false">'Прайс лист'!G1515</f>
        <v>350</v>
      </c>
      <c r="U1550" s="2290" t="n">
        <f aca="false">S1550*T1550</f>
        <v>0</v>
      </c>
      <c r="W1550" s="2288"/>
      <c r="X1550" s="2292"/>
      <c r="Y1550" s="1619"/>
      <c r="Z1550" s="2293"/>
      <c r="AA1550" s="2288"/>
      <c r="AB1550" s="2288"/>
      <c r="AC1550" s="2288"/>
    </row>
    <row r="1551" customFormat="false" ht="15.75" hidden="false" customHeight="true" outlineLevel="1" collapsed="false">
      <c r="A1551" s="2211" t="str">
        <f aca="false">связи1!A331</f>
        <v>Перемычка оконная, 2-ый эт. Вариант 6</v>
      </c>
      <c r="B1551" s="2064" t="s">
        <v>15</v>
      </c>
      <c r="C1551" s="2283" t="n">
        <f aca="false">связи1!E331</f>
        <v>0</v>
      </c>
      <c r="D1551" s="1582" t="n">
        <f aca="false">$D$1531/1000</f>
        <v>0.2</v>
      </c>
      <c r="E1551" s="1436" t="n">
        <f aca="false">связи1!F331</f>
        <v>1</v>
      </c>
      <c r="F1551" s="1436" t="n">
        <f aca="false">$F$1531</f>
        <v>300</v>
      </c>
      <c r="G1551" s="1436" t="n">
        <f aca="false">C1551*(E1551+0.4)</f>
        <v>0</v>
      </c>
      <c r="H1551" s="1436"/>
      <c r="I1551" s="2283" t="n">
        <f aca="false">связи1!J331</f>
        <v>1000</v>
      </c>
      <c r="J1551" s="2290" t="n">
        <f aca="false">I1551*E1551*IF(K1551&gt;0,1,0)</f>
        <v>0</v>
      </c>
      <c r="K1551" s="1436" t="n">
        <f aca="false">связи1!I331</f>
        <v>0</v>
      </c>
      <c r="L1551" s="1582" t="n">
        <f aca="false">E1551*G1551</f>
        <v>0</v>
      </c>
      <c r="O1551" s="2294" t="str">
        <f aca="false">'Прайс лист'!B1498</f>
        <v>монтаж ветроизоляции стен</v>
      </c>
      <c r="P1551" s="2295"/>
      <c r="Q1551" s="1436"/>
      <c r="R1551" s="1692" t="s">
        <v>820</v>
      </c>
      <c r="S1551" s="2290" t="n">
        <f aca="false">S1550*D1511</f>
        <v>0</v>
      </c>
      <c r="T1551" s="2290" t="n">
        <f aca="false">'Прайс лист'!G1498</f>
        <v>100</v>
      </c>
      <c r="U1551" s="2290" t="n">
        <f aca="false">S1551*T1551</f>
        <v>0</v>
      </c>
      <c r="W1551" s="2288"/>
      <c r="X1551" s="2292"/>
      <c r="Y1551" s="1619"/>
      <c r="Z1551" s="2293"/>
      <c r="AA1551" s="2288"/>
      <c r="AB1551" s="2288"/>
      <c r="AC1551" s="2288"/>
    </row>
    <row r="1552" customFormat="false" ht="15.75" hidden="false" customHeight="true" outlineLevel="1" collapsed="false">
      <c r="A1552" s="2211" t="str">
        <f aca="false">связи1!A332</f>
        <v>Перемычка оконная, 2-ый эт. Вариант 7</v>
      </c>
      <c r="B1552" s="2064" t="s">
        <v>15</v>
      </c>
      <c r="C1552" s="2283" t="n">
        <f aca="false">связи1!E332</f>
        <v>0</v>
      </c>
      <c r="D1552" s="1582" t="n">
        <f aca="false">$D$1531/1000</f>
        <v>0.2</v>
      </c>
      <c r="E1552" s="1436" t="n">
        <f aca="false">связи1!F332</f>
        <v>1.2</v>
      </c>
      <c r="F1552" s="1436" t="n">
        <f aca="false">$F$1531</f>
        <v>300</v>
      </c>
      <c r="G1552" s="1436" t="n">
        <f aca="false">C1552*(E1552+0.4)</f>
        <v>0</v>
      </c>
      <c r="H1552" s="1436"/>
      <c r="I1552" s="2283" t="n">
        <f aca="false">связи1!J332</f>
        <v>1000</v>
      </c>
      <c r="J1552" s="2290" t="n">
        <f aca="false">I1552*E1552*IF(K1552&gt;0,1,0)</f>
        <v>0</v>
      </c>
      <c r="K1552" s="1436" t="n">
        <f aca="false">связи1!I332</f>
        <v>0</v>
      </c>
      <c r="L1552" s="1582" t="n">
        <f aca="false">E1552*G1552</f>
        <v>0</v>
      </c>
      <c r="O1552" s="2294"/>
      <c r="P1552" s="2295"/>
      <c r="Q1552" s="1436"/>
      <c r="R1552" s="1692"/>
      <c r="S1552" s="2290"/>
      <c r="T1552" s="2290"/>
      <c r="U1552" s="2290"/>
      <c r="W1552" s="2288"/>
      <c r="X1552" s="2292"/>
      <c r="Y1552" s="1619"/>
      <c r="Z1552" s="2293"/>
      <c r="AA1552" s="2288"/>
      <c r="AB1552" s="2288"/>
      <c r="AC1552" s="2288"/>
    </row>
    <row r="1553" customFormat="false" ht="15.75" hidden="false" customHeight="true" outlineLevel="1" collapsed="false">
      <c r="A1553" s="2211" t="str">
        <f aca="false">связи1!A333</f>
        <v>Перемычка оконная, 2-ый эт. Вариант 8</v>
      </c>
      <c r="B1553" s="2064" t="s">
        <v>15</v>
      </c>
      <c r="C1553" s="2283" t="n">
        <f aca="false">связи1!E333</f>
        <v>0</v>
      </c>
      <c r="D1553" s="1582" t="n">
        <f aca="false">$D$1531/1000</f>
        <v>0.2</v>
      </c>
      <c r="E1553" s="1436" t="n">
        <f aca="false">связи1!F333</f>
        <v>1.4</v>
      </c>
      <c r="F1553" s="1436" t="n">
        <f aca="false">$F$1531</f>
        <v>300</v>
      </c>
      <c r="G1553" s="1436" t="n">
        <f aca="false">C1553*(E1553+0.4)</f>
        <v>0</v>
      </c>
      <c r="H1553" s="1436"/>
      <c r="I1553" s="2283" t="n">
        <f aca="false">связи1!J333</f>
        <v>1000</v>
      </c>
      <c r="J1553" s="2290" t="n">
        <f aca="false">I1553*E1553*IF(K1553&gt;0,1,0)</f>
        <v>0</v>
      </c>
      <c r="K1553" s="1436" t="n">
        <f aca="false">связи1!I333</f>
        <v>0</v>
      </c>
      <c r="L1553" s="1582" t="n">
        <f aca="false">E1553*G1553</f>
        <v>0</v>
      </c>
      <c r="O1553" s="2294"/>
      <c r="P1553" s="2295"/>
      <c r="Q1553" s="1436"/>
      <c r="R1553" s="1692"/>
      <c r="S1553" s="2290"/>
      <c r="T1553" s="2290"/>
      <c r="U1553" s="2290"/>
      <c r="W1553" s="2288"/>
      <c r="X1553" s="2292"/>
      <c r="Y1553" s="1619"/>
      <c r="Z1553" s="2293"/>
      <c r="AA1553" s="2288"/>
      <c r="AB1553" s="2288"/>
      <c r="AC1553" s="2288"/>
    </row>
    <row r="1554" customFormat="false" ht="15.75" hidden="false" customHeight="true" outlineLevel="1" collapsed="false">
      <c r="A1554" s="2211" t="str">
        <f aca="false">связи1!A334</f>
        <v>Перемычка оконная, 2-ый эт. Вариант 9</v>
      </c>
      <c r="B1554" s="2064" t="s">
        <v>15</v>
      </c>
      <c r="C1554" s="2283" t="n">
        <f aca="false">связи1!E334</f>
        <v>0</v>
      </c>
      <c r="D1554" s="1582" t="n">
        <f aca="false">$D$1531/1000</f>
        <v>0.2</v>
      </c>
      <c r="E1554" s="1436" t="n">
        <f aca="false">связи1!F334</f>
        <v>5.4</v>
      </c>
      <c r="F1554" s="1436" t="n">
        <f aca="false">$F$1531</f>
        <v>300</v>
      </c>
      <c r="G1554" s="1436" t="n">
        <f aca="false">C1554*(E1554+0.4)</f>
        <v>0</v>
      </c>
      <c r="H1554" s="1436"/>
      <c r="I1554" s="2283" t="n">
        <f aca="false">связи1!J334</f>
        <v>1000</v>
      </c>
      <c r="J1554" s="2290" t="n">
        <f aca="false">I1554*E1554*IF(K1554&gt;0,1,0)</f>
        <v>0</v>
      </c>
      <c r="K1554" s="1436" t="n">
        <f aca="false">связи1!I334</f>
        <v>0</v>
      </c>
      <c r="L1554" s="1582" t="n">
        <f aca="false">E1554*G1554</f>
        <v>0</v>
      </c>
      <c r="O1554" s="2294"/>
      <c r="P1554" s="2295"/>
      <c r="Q1554" s="1436"/>
      <c r="R1554" s="1692"/>
      <c r="S1554" s="2290"/>
      <c r="T1554" s="2290"/>
      <c r="U1554" s="2290"/>
      <c r="W1554" s="2288"/>
      <c r="X1554" s="2292"/>
      <c r="Y1554" s="1619"/>
      <c r="Z1554" s="2293"/>
      <c r="AA1554" s="2288"/>
      <c r="AB1554" s="2288"/>
      <c r="AC1554" s="2288"/>
    </row>
    <row r="1555" customFormat="false" ht="15.75" hidden="false" customHeight="true" outlineLevel="1" collapsed="false">
      <c r="A1555" s="2211" t="str">
        <f aca="false">связи1!A335</f>
        <v>Перемычка оконная, 2-ый эт. Вариант 10</v>
      </c>
      <c r="B1555" s="2064" t="s">
        <v>15</v>
      </c>
      <c r="C1555" s="2283" t="n">
        <f aca="false">связи1!E335</f>
        <v>0</v>
      </c>
      <c r="D1555" s="1582" t="n">
        <f aca="false">$D$1531/1000</f>
        <v>0.2</v>
      </c>
      <c r="E1555" s="1436" t="n">
        <f aca="false">связи1!F335</f>
        <v>6.4</v>
      </c>
      <c r="F1555" s="1436" t="n">
        <f aca="false">$F$1531</f>
        <v>300</v>
      </c>
      <c r="G1555" s="1436" t="n">
        <f aca="false">C1555*(E1555+0.4)</f>
        <v>0</v>
      </c>
      <c r="H1555" s="1436"/>
      <c r="I1555" s="2283" t="n">
        <f aca="false">связи1!J335</f>
        <v>1000</v>
      </c>
      <c r="J1555" s="2290" t="n">
        <f aca="false">I1555*E1555*IF(K1555&gt;0,1,0)</f>
        <v>0</v>
      </c>
      <c r="K1555" s="1436" t="n">
        <f aca="false">связи1!I335</f>
        <v>0</v>
      </c>
      <c r="L1555" s="1582" t="n">
        <f aca="false">E1555*G1555</f>
        <v>0</v>
      </c>
      <c r="O1555" s="2294"/>
      <c r="P1555" s="2295"/>
      <c r="Q1555" s="1436"/>
      <c r="R1555" s="1692"/>
      <c r="S1555" s="2290"/>
      <c r="T1555" s="2290"/>
      <c r="U1555" s="2290"/>
      <c r="W1555" s="2288"/>
      <c r="X1555" s="2292"/>
      <c r="Y1555" s="1619"/>
      <c r="Z1555" s="2293"/>
      <c r="AA1555" s="2288"/>
      <c r="AB1555" s="2288"/>
      <c r="AC1555" s="2288"/>
    </row>
    <row r="1556" customFormat="false" ht="15.75" hidden="false" customHeight="true" outlineLevel="1" collapsed="false">
      <c r="A1556" s="2211" t="str">
        <f aca="false">связи1!A336</f>
        <v>Перемычка дверная, 1-ый эт. Вариант 1</v>
      </c>
      <c r="B1556" s="2064" t="s">
        <v>15</v>
      </c>
      <c r="C1556" s="2283" t="n">
        <f aca="false">связи1!E336</f>
        <v>0</v>
      </c>
      <c r="D1556" s="1582" t="n">
        <f aca="false">$D$1531/1000</f>
        <v>0.2</v>
      </c>
      <c r="E1556" s="1436" t="n">
        <f aca="false">связи1!F336</f>
        <v>1.2</v>
      </c>
      <c r="F1556" s="1436" t="n">
        <f aca="false">$F$1532</f>
        <v>200</v>
      </c>
      <c r="G1556" s="1436" t="n">
        <f aca="false">C1556*(E1556+0.4)</f>
        <v>0</v>
      </c>
      <c r="H1556" s="1436"/>
      <c r="I1556" s="2283" t="n">
        <f aca="false">связи1!J336</f>
        <v>1000</v>
      </c>
      <c r="J1556" s="2290" t="n">
        <f aca="false">I1556*E1556*IF(K1556&gt;0,1,0)</f>
        <v>0</v>
      </c>
      <c r="K1556" s="1436" t="n">
        <f aca="false">связи1!I336</f>
        <v>0</v>
      </c>
      <c r="L1556" s="1582" t="n">
        <f aca="false">E1556*G1556</f>
        <v>0</v>
      </c>
      <c r="O1556" s="2294"/>
      <c r="P1556" s="2295"/>
      <c r="Q1556" s="1436"/>
      <c r="R1556" s="1692"/>
      <c r="S1556" s="2290"/>
      <c r="T1556" s="2290"/>
      <c r="U1556" s="2290"/>
      <c r="W1556" s="2288"/>
      <c r="X1556" s="2292"/>
      <c r="Y1556" s="1619"/>
      <c r="Z1556" s="2293"/>
      <c r="AA1556" s="2288"/>
      <c r="AB1556" s="2288"/>
      <c r="AC1556" s="2288"/>
    </row>
    <row r="1557" customFormat="false" ht="15.75" hidden="false" customHeight="true" outlineLevel="1" collapsed="false">
      <c r="A1557" s="2211" t="str">
        <f aca="false">связи1!A337</f>
        <v>Перемычка дверная, 2-ый эт. Вариант 2</v>
      </c>
      <c r="B1557" s="2064" t="s">
        <v>15</v>
      </c>
      <c r="C1557" s="2283" t="n">
        <f aca="false">связи1!E337</f>
        <v>0</v>
      </c>
      <c r="D1557" s="1582" t="n">
        <f aca="false">$D$1531/1000</f>
        <v>0.2</v>
      </c>
      <c r="E1557" s="1436" t="n">
        <f aca="false">связи1!F337</f>
        <v>1.2</v>
      </c>
      <c r="F1557" s="1436" t="n">
        <f aca="false">$F$1532</f>
        <v>200</v>
      </c>
      <c r="G1557" s="1436" t="n">
        <f aca="false">C1557*(E1557+0.4)</f>
        <v>0</v>
      </c>
      <c r="H1557" s="1436"/>
      <c r="I1557" s="2283" t="n">
        <f aca="false">связи1!J337</f>
        <v>1000</v>
      </c>
      <c r="J1557" s="2290" t="n">
        <f aca="false">I1557*E1557*IF(K1557&gt;0,1,0)</f>
        <v>0</v>
      </c>
      <c r="K1557" s="1436" t="n">
        <f aca="false">связи1!I337</f>
        <v>0</v>
      </c>
      <c r="L1557" s="1582" t="n">
        <f aca="false">E1557*G1557</f>
        <v>0</v>
      </c>
      <c r="O1557" s="2294"/>
      <c r="P1557" s="2295"/>
      <c r="Q1557" s="1436"/>
      <c r="R1557" s="1692"/>
      <c r="S1557" s="2290"/>
      <c r="T1557" s="2290"/>
      <c r="U1557" s="2290"/>
      <c r="W1557" s="2288"/>
      <c r="X1557" s="2292"/>
      <c r="Y1557" s="1619"/>
      <c r="Z1557" s="2293"/>
      <c r="AA1557" s="2288"/>
      <c r="AB1557" s="2288"/>
      <c r="AC1557" s="2288"/>
    </row>
    <row r="1558" customFormat="false" ht="15.75" hidden="false" customHeight="true" outlineLevel="1" collapsed="false">
      <c r="A1558" s="2211" t="str">
        <f aca="false">связи1!A338</f>
        <v>Перемычка оконная 1-ый эт, Вариант 11</v>
      </c>
      <c r="B1558" s="2064" t="s">
        <v>15</v>
      </c>
      <c r="C1558" s="2283" t="n">
        <f aca="false">связи1!E338</f>
        <v>0</v>
      </c>
      <c r="D1558" s="1582" t="n">
        <f aca="false">$D$1531/1000</f>
        <v>0.2</v>
      </c>
      <c r="E1558" s="1436" t="n">
        <f aca="false">связи1!F338</f>
        <v>2.4</v>
      </c>
      <c r="F1558" s="1436" t="n">
        <f aca="false">$F$1532</f>
        <v>200</v>
      </c>
      <c r="G1558" s="1436" t="n">
        <f aca="false">C1558*(E1558+0.4)</f>
        <v>0</v>
      </c>
      <c r="H1558" s="1436"/>
      <c r="I1558" s="2283" t="n">
        <f aca="false">связи1!J338</f>
        <v>1000</v>
      </c>
      <c r="J1558" s="2290" t="n">
        <f aca="false">I1558*E1558*IF(K1558&gt;0,1,0)</f>
        <v>0</v>
      </c>
      <c r="K1558" s="1436" t="n">
        <f aca="false">связи1!I338</f>
        <v>0</v>
      </c>
      <c r="L1558" s="1582" t="n">
        <f aca="false">E1558*G1558</f>
        <v>0</v>
      </c>
      <c r="O1558" s="2294"/>
      <c r="P1558" s="2295"/>
      <c r="Q1558" s="1436"/>
      <c r="R1558" s="1692"/>
      <c r="S1558" s="2290"/>
      <c r="T1558" s="2290"/>
      <c r="U1558" s="2290"/>
      <c r="W1558" s="2288"/>
      <c r="X1558" s="2292"/>
      <c r="Y1558" s="1619"/>
      <c r="Z1558" s="2293"/>
      <c r="AA1558" s="2288"/>
      <c r="AB1558" s="2288"/>
      <c r="AC1558" s="2288"/>
    </row>
    <row r="1559" customFormat="false" ht="15.75" hidden="false" customHeight="true" outlineLevel="1" collapsed="false">
      <c r="A1559" s="2211" t="str">
        <f aca="false">связи1!A339</f>
        <v>Перемычка оконная 1-ый эт, Вариант 12</v>
      </c>
      <c r="B1559" s="2064" t="s">
        <v>15</v>
      </c>
      <c r="C1559" s="2283" t="n">
        <f aca="false">связи1!E339</f>
        <v>0</v>
      </c>
      <c r="D1559" s="1582" t="n">
        <f aca="false">$D$1531/1000</f>
        <v>0.2</v>
      </c>
      <c r="E1559" s="1436" t="n">
        <f aca="false">связи1!F339</f>
        <v>0.4</v>
      </c>
      <c r="F1559" s="1436" t="n">
        <f aca="false">$F$1532</f>
        <v>200</v>
      </c>
      <c r="G1559" s="1436" t="n">
        <f aca="false">C1559*(E1559+0.4)</f>
        <v>0</v>
      </c>
      <c r="H1559" s="1436"/>
      <c r="I1559" s="2283" t="n">
        <f aca="false">связи1!J339</f>
        <v>1000</v>
      </c>
      <c r="J1559" s="2290" t="n">
        <f aca="false">I1559*E1559*IF(K1559&gt;0,1,0)</f>
        <v>0</v>
      </c>
      <c r="K1559" s="1436" t="n">
        <f aca="false">связи1!I339</f>
        <v>0</v>
      </c>
      <c r="L1559" s="1582" t="n">
        <f aca="false">E1559*G1559</f>
        <v>0</v>
      </c>
      <c r="W1559" s="2288"/>
      <c r="X1559" s="2292"/>
      <c r="Y1559" s="1619"/>
      <c r="Z1559" s="2293"/>
      <c r="AA1559" s="2288"/>
      <c r="AB1559" s="2288"/>
      <c r="AC1559" s="2288"/>
    </row>
    <row r="1560" customFormat="false" ht="15.75" hidden="false" customHeight="true" outlineLevel="1" collapsed="false">
      <c r="A1560" s="2211" t="str">
        <f aca="false">связи1!A340</f>
        <v>Перемычка дверная, 1-ый эт. Вариант 4</v>
      </c>
      <c r="B1560" s="2064" t="s">
        <v>15</v>
      </c>
      <c r="C1560" s="2283" t="n">
        <f aca="false">связи1!E340</f>
        <v>3</v>
      </c>
      <c r="D1560" s="1582" t="n">
        <f aca="false">$D$1532/1000</f>
        <v>0.2</v>
      </c>
      <c r="E1560" s="1436" t="n">
        <f aca="false">связи1!F340</f>
        <v>1.2</v>
      </c>
      <c r="F1560" s="1436" t="n">
        <f aca="false">$F$1532</f>
        <v>200</v>
      </c>
      <c r="G1560" s="1436" t="n">
        <f aca="false">C1560*(E1560+0.4)</f>
        <v>4.8</v>
      </c>
      <c r="H1560" s="1436"/>
      <c r="I1560" s="2283" t="n">
        <f aca="false">связи1!J340</f>
        <v>1000</v>
      </c>
      <c r="J1560" s="2290" t="n">
        <f aca="false">I1560*E1560*IF(K1560&gt;0,1,0)</f>
        <v>1200</v>
      </c>
      <c r="K1560" s="1436" t="n">
        <f aca="false">связи1!I340</f>
        <v>0.144</v>
      </c>
      <c r="L1560" s="1582" t="n">
        <f aca="false">E1560*G1560</f>
        <v>5.76</v>
      </c>
      <c r="W1560" s="2288"/>
      <c r="X1560" s="2292"/>
      <c r="Y1560" s="1619"/>
      <c r="Z1560" s="2293"/>
      <c r="AA1560" s="2288"/>
      <c r="AB1560" s="2288"/>
      <c r="AC1560" s="2288"/>
    </row>
    <row r="1561" customFormat="false" ht="15.75" hidden="false" customHeight="true" outlineLevel="1" collapsed="false">
      <c r="A1561" s="2211" t="str">
        <f aca="false">связи1!A341</f>
        <v>Перемычка дверная, 1-ый эт. Вариант 5</v>
      </c>
      <c r="B1561" s="2064" t="s">
        <v>15</v>
      </c>
      <c r="C1561" s="2283" t="n">
        <f aca="false">связи1!E341</f>
        <v>0</v>
      </c>
      <c r="D1561" s="1582" t="n">
        <f aca="false">$D$1532/1000</f>
        <v>0.2</v>
      </c>
      <c r="E1561" s="1436" t="n">
        <f aca="false">связи1!F341</f>
        <v>1</v>
      </c>
      <c r="F1561" s="1436" t="n">
        <f aca="false">$F$1532</f>
        <v>200</v>
      </c>
      <c r="G1561" s="1436" t="n">
        <f aca="false">C1561*(E1561+0.4)</f>
        <v>0</v>
      </c>
      <c r="H1561" s="1436"/>
      <c r="I1561" s="2283" t="n">
        <f aca="false">связи1!J341</f>
        <v>1000</v>
      </c>
      <c r="J1561" s="2290" t="n">
        <f aca="false">I1561*E1561*IF(K1561&gt;0,1,0)</f>
        <v>0</v>
      </c>
      <c r="K1561" s="1436" t="n">
        <f aca="false">связи1!I341</f>
        <v>0</v>
      </c>
      <c r="L1561" s="1582" t="n">
        <f aca="false">E1561*G1561</f>
        <v>0</v>
      </c>
      <c r="W1561" s="2288"/>
      <c r="X1561" s="2292"/>
      <c r="Y1561" s="1619"/>
      <c r="Z1561" s="2293"/>
      <c r="AA1561" s="2288"/>
      <c r="AB1561" s="2288"/>
      <c r="AC1561" s="2288"/>
    </row>
    <row r="1562" customFormat="false" ht="15.75" hidden="false" customHeight="true" outlineLevel="1" collapsed="false">
      <c r="A1562" s="2211" t="str">
        <f aca="false">связи1!A342</f>
        <v>Перемычка дверная, 1-ый эт. Вариант 6</v>
      </c>
      <c r="B1562" s="2064" t="s">
        <v>15</v>
      </c>
      <c r="C1562" s="2283" t="n">
        <f aca="false">связи1!E342</f>
        <v>0</v>
      </c>
      <c r="D1562" s="1582" t="n">
        <f aca="false">$D$1532/1000</f>
        <v>0.2</v>
      </c>
      <c r="E1562" s="1436" t="n">
        <f aca="false">связи1!F342</f>
        <v>1.3</v>
      </c>
      <c r="F1562" s="1436" t="n">
        <f aca="false">$F$1532</f>
        <v>200</v>
      </c>
      <c r="G1562" s="1436" t="n">
        <f aca="false">C1562*(E1562+0.4)</f>
        <v>0</v>
      </c>
      <c r="H1562" s="1436"/>
      <c r="I1562" s="2283" t="n">
        <f aca="false">связи1!J342</f>
        <v>1000</v>
      </c>
      <c r="J1562" s="2290" t="n">
        <f aca="false">I1562*E1562*IF(K1562&gt;0,1,0)</f>
        <v>0</v>
      </c>
      <c r="K1562" s="1436" t="n">
        <f aca="false">связи1!I342</f>
        <v>0</v>
      </c>
      <c r="L1562" s="1582" t="n">
        <f aca="false">E1562*G1562</f>
        <v>0</v>
      </c>
      <c r="O1562" s="2288"/>
      <c r="P1562" s="2292"/>
      <c r="Q1562" s="1619"/>
      <c r="R1562" s="2293"/>
      <c r="S1562" s="2288"/>
      <c r="T1562" s="2288"/>
      <c r="U1562" s="2288"/>
      <c r="W1562" s="2288"/>
      <c r="X1562" s="2292"/>
      <c r="Y1562" s="1619"/>
      <c r="Z1562" s="2293"/>
      <c r="AA1562" s="2288"/>
      <c r="AB1562" s="2288"/>
      <c r="AC1562" s="2288"/>
    </row>
    <row r="1563" customFormat="false" ht="15.75" hidden="false" customHeight="true" outlineLevel="1" collapsed="false">
      <c r="A1563" s="2211" t="str">
        <f aca="false">связи1!A343</f>
        <v>Перемычка дверная, 2-ый эт. Вариант 7</v>
      </c>
      <c r="B1563" s="2064" t="s">
        <v>15</v>
      </c>
      <c r="C1563" s="2283" t="n">
        <f aca="false">связи1!E343</f>
        <v>0</v>
      </c>
      <c r="D1563" s="1582" t="n">
        <f aca="false">$D$1532/1000</f>
        <v>0.2</v>
      </c>
      <c r="E1563" s="1436" t="n">
        <f aca="false">связи1!F343</f>
        <v>1.2</v>
      </c>
      <c r="F1563" s="1436" t="n">
        <f aca="false">$F$1532</f>
        <v>200</v>
      </c>
      <c r="G1563" s="1436" t="n">
        <f aca="false">C1563*(E1563+0.4)</f>
        <v>0</v>
      </c>
      <c r="H1563" s="1436"/>
      <c r="I1563" s="2283" t="n">
        <f aca="false">связи1!J343</f>
        <v>1000</v>
      </c>
      <c r="J1563" s="2290" t="n">
        <f aca="false">I1563*E1563*IF(K1563&gt;0,1,0)</f>
        <v>0</v>
      </c>
      <c r="K1563" s="1436" t="n">
        <f aca="false">связи1!I343</f>
        <v>0</v>
      </c>
      <c r="L1563" s="1582" t="n">
        <f aca="false">E1563*G1563</f>
        <v>0</v>
      </c>
      <c r="O1563" s="2288"/>
      <c r="P1563" s="2292"/>
      <c r="Q1563" s="1619"/>
      <c r="R1563" s="2293"/>
      <c r="S1563" s="2288"/>
      <c r="T1563" s="2288"/>
      <c r="U1563" s="2288"/>
      <c r="W1563" s="2288"/>
      <c r="X1563" s="2292"/>
      <c r="Y1563" s="1619"/>
      <c r="Z1563" s="2293"/>
      <c r="AA1563" s="2288"/>
      <c r="AB1563" s="2288"/>
      <c r="AC1563" s="2288"/>
    </row>
    <row r="1564" customFormat="false" ht="15.75" hidden="false" customHeight="true" outlineLevel="1" collapsed="false">
      <c r="A1564" s="2211" t="str">
        <f aca="false">связи1!A344</f>
        <v>Перемычка дверная, 2-ый эт. Вариант 8</v>
      </c>
      <c r="B1564" s="2064" t="s">
        <v>15</v>
      </c>
      <c r="C1564" s="2283" t="n">
        <f aca="false">связи1!E344</f>
        <v>0</v>
      </c>
      <c r="D1564" s="1582" t="n">
        <f aca="false">$D$1532/1000</f>
        <v>0.2</v>
      </c>
      <c r="E1564" s="1436" t="n">
        <f aca="false">связи1!F344</f>
        <v>1.4</v>
      </c>
      <c r="F1564" s="1436" t="n">
        <f aca="false">$F$1532</f>
        <v>200</v>
      </c>
      <c r="G1564" s="1436" t="n">
        <f aca="false">C1564*(E1564+0.4)</f>
        <v>0</v>
      </c>
      <c r="H1564" s="1436"/>
      <c r="I1564" s="2283" t="n">
        <f aca="false">связи1!J344</f>
        <v>1000</v>
      </c>
      <c r="J1564" s="2290" t="n">
        <f aca="false">I1564*E1564*IF(K1564&gt;0,1,0)</f>
        <v>0</v>
      </c>
      <c r="K1564" s="1436" t="n">
        <f aca="false">связи1!I344</f>
        <v>0</v>
      </c>
      <c r="L1564" s="1582" t="n">
        <f aca="false">E1564*G1564</f>
        <v>0</v>
      </c>
      <c r="O1564" s="2288"/>
      <c r="P1564" s="2292"/>
      <c r="Q1564" s="1619"/>
      <c r="R1564" s="2293"/>
      <c r="S1564" s="2288"/>
      <c r="T1564" s="2288"/>
      <c r="U1564" s="2288"/>
      <c r="W1564" s="2288"/>
      <c r="X1564" s="2292"/>
      <c r="Y1564" s="1619"/>
      <c r="Z1564" s="2293"/>
      <c r="AA1564" s="2288"/>
      <c r="AB1564" s="2288"/>
      <c r="AC1564" s="2288"/>
    </row>
    <row r="1565" customFormat="false" ht="15.75" hidden="false" customHeight="true" outlineLevel="1" collapsed="false">
      <c r="A1565" s="2211" t="str">
        <f aca="false">связи1!A345</f>
        <v>Перемычка дверная, 2-ый эт. Вариант 9</v>
      </c>
      <c r="B1565" s="2064" t="s">
        <v>15</v>
      </c>
      <c r="C1565" s="2064" t="n">
        <f aca="false">связи1!E345</f>
        <v>0</v>
      </c>
      <c r="D1565" s="1582" t="n">
        <f aca="false">$D$1532/1000</f>
        <v>0.2</v>
      </c>
      <c r="E1565" s="1436" t="n">
        <f aca="false">связи1!F345</f>
        <v>1.4</v>
      </c>
      <c r="F1565" s="1436" t="n">
        <f aca="false">$F$1532</f>
        <v>200</v>
      </c>
      <c r="G1565" s="1436" t="n">
        <f aca="false">C1565*(E1565+0.4)</f>
        <v>0</v>
      </c>
      <c r="H1565" s="1436"/>
      <c r="I1565" s="2283" t="n">
        <f aca="false">связи1!J345</f>
        <v>1000</v>
      </c>
      <c r="J1565" s="2290" t="n">
        <f aca="false">I1565*E1565*IF(K1565&gt;0,1,0)</f>
        <v>0</v>
      </c>
      <c r="K1565" s="1436" t="n">
        <f aca="false">связи1!I345</f>
        <v>0</v>
      </c>
      <c r="L1565" s="1582" t="n">
        <f aca="false">E1565*G1565</f>
        <v>0</v>
      </c>
      <c r="O1565" s="2288"/>
      <c r="P1565" s="2292"/>
      <c r="Q1565" s="1619"/>
      <c r="R1565" s="2293"/>
      <c r="S1565" s="2288"/>
      <c r="T1565" s="2288"/>
      <c r="U1565" s="2288"/>
    </row>
    <row r="1566" customFormat="false" ht="15.75" hidden="false" customHeight="true" outlineLevel="1" collapsed="false">
      <c r="A1566" s="2211" t="str">
        <f aca="false">связи1!A346</f>
        <v>Перемычка проема, 1-ый эт. Вариант 10</v>
      </c>
      <c r="B1566" s="2064" t="s">
        <v>15</v>
      </c>
      <c r="C1566" s="2064" t="n">
        <f aca="false">связи1!E346</f>
        <v>0</v>
      </c>
      <c r="D1566" s="1582" t="n">
        <f aca="false">$D$1532/1000</f>
        <v>0.2</v>
      </c>
      <c r="E1566" s="1436" t="n">
        <f aca="false">связи1!F346</f>
        <v>2.4</v>
      </c>
      <c r="F1566" s="1436" t="n">
        <f aca="false">$F$1532</f>
        <v>200</v>
      </c>
      <c r="G1566" s="1436" t="n">
        <f aca="false">C1566*(E1566+0.4)</f>
        <v>0</v>
      </c>
      <c r="H1566" s="1436"/>
      <c r="I1566" s="2283" t="n">
        <f aca="false">связи1!J346</f>
        <v>1000</v>
      </c>
      <c r="J1566" s="2290" t="n">
        <f aca="false">I1566*E1566*IF(K1566&gt;0,1,0)</f>
        <v>0</v>
      </c>
      <c r="K1566" s="1436" t="n">
        <f aca="false">связи1!I346</f>
        <v>0</v>
      </c>
      <c r="L1566" s="1582" t="n">
        <f aca="false">E1566*G1566</f>
        <v>0</v>
      </c>
      <c r="O1566" s="2288"/>
      <c r="P1566" s="2292"/>
      <c r="Q1566" s="1619"/>
      <c r="R1566" s="2293"/>
      <c r="S1566" s="2288"/>
      <c r="T1566" s="2288"/>
      <c r="U1566" s="2288"/>
    </row>
    <row r="1567" customFormat="false" ht="15.75" hidden="false" customHeight="true" outlineLevel="1" collapsed="false">
      <c r="A1567" s="2211" t="str">
        <f aca="false">связи1!A347</f>
        <v>Перемычка проема, 1-ый эт. Вариант 11</v>
      </c>
      <c r="B1567" s="2064" t="s">
        <v>15</v>
      </c>
      <c r="C1567" s="2064" t="n">
        <f aca="false">связи1!E347</f>
        <v>0</v>
      </c>
      <c r="D1567" s="1582" t="n">
        <f aca="false">$D$1532/1000</f>
        <v>0.2</v>
      </c>
      <c r="E1567" s="1436" t="n">
        <f aca="false">связи1!F347</f>
        <v>1.8</v>
      </c>
      <c r="F1567" s="1436" t="n">
        <f aca="false">$F$1532</f>
        <v>200</v>
      </c>
      <c r="G1567" s="1436" t="n">
        <f aca="false">C1567*(E1567+0.4)</f>
        <v>0</v>
      </c>
      <c r="H1567" s="1436"/>
      <c r="I1567" s="2283" t="n">
        <f aca="false">связи1!J347</f>
        <v>1000</v>
      </c>
      <c r="J1567" s="2290" t="n">
        <f aca="false">I1567*E1567*IF(K1567&gt;0,1,0)</f>
        <v>0</v>
      </c>
      <c r="K1567" s="1436" t="n">
        <f aca="false">связи1!I347</f>
        <v>0</v>
      </c>
      <c r="L1567" s="1582" t="n">
        <f aca="false">E1567*G1567</f>
        <v>0</v>
      </c>
      <c r="O1567" s="2288"/>
      <c r="P1567" s="2292"/>
      <c r="Q1567" s="1619"/>
      <c r="R1567" s="2293"/>
      <c r="S1567" s="2288"/>
      <c r="T1567" s="2288"/>
      <c r="U1567" s="2288"/>
    </row>
    <row r="1568" customFormat="false" ht="15.75" hidden="false" customHeight="true" outlineLevel="1" collapsed="false">
      <c r="A1568" s="2211" t="str">
        <f aca="false">связи1!A348</f>
        <v>Перемычка проема, 2-ый эт. Вариант 12</v>
      </c>
      <c r="B1568" s="2064" t="s">
        <v>15</v>
      </c>
      <c r="C1568" s="2064" t="n">
        <f aca="false">связи1!E348</f>
        <v>0</v>
      </c>
      <c r="D1568" s="1582" t="n">
        <f aca="false">$D$1532/1000</f>
        <v>0.2</v>
      </c>
      <c r="E1568" s="1436" t="n">
        <f aca="false">связи1!F348</f>
        <v>2.4</v>
      </c>
      <c r="F1568" s="1436" t="n">
        <f aca="false">$F$1532</f>
        <v>200</v>
      </c>
      <c r="G1568" s="1436" t="n">
        <f aca="false">C1568*(E1568+0.4)</f>
        <v>0</v>
      </c>
      <c r="H1568" s="1436"/>
      <c r="I1568" s="2283" t="n">
        <f aca="false">связи1!J348</f>
        <v>1000</v>
      </c>
      <c r="J1568" s="2290" t="n">
        <f aca="false">I1568*E1568*IF(K1568&gt;0,1,0)</f>
        <v>0</v>
      </c>
      <c r="K1568" s="1436" t="n">
        <f aca="false">связи1!I348</f>
        <v>0</v>
      </c>
      <c r="L1568" s="1582" t="n">
        <f aca="false">E1568*G1568</f>
        <v>0</v>
      </c>
      <c r="O1568" s="2288"/>
      <c r="P1568" s="2292"/>
      <c r="Q1568" s="1619"/>
      <c r="R1568" s="2293"/>
      <c r="S1568" s="2288"/>
      <c r="T1568" s="2288"/>
      <c r="U1568" s="2288"/>
    </row>
    <row r="1569" customFormat="false" ht="15.75" hidden="false" customHeight="true" outlineLevel="1" collapsed="false">
      <c r="A1569" s="2211" t="str">
        <f aca="false">связи1!A349</f>
        <v>Перемычка проема, 2-ый эт. Вариант 13</v>
      </c>
      <c r="B1569" s="2064" t="s">
        <v>15</v>
      </c>
      <c r="C1569" s="2064" t="n">
        <f aca="false">связи1!E349</f>
        <v>0</v>
      </c>
      <c r="D1569" s="1582" t="n">
        <f aca="false">$D$1532/1000</f>
        <v>0.2</v>
      </c>
      <c r="E1569" s="1436" t="n">
        <f aca="false">связи1!F349</f>
        <v>2.4</v>
      </c>
      <c r="F1569" s="1436" t="n">
        <f aca="false">$F$1532</f>
        <v>200</v>
      </c>
      <c r="G1569" s="1436" t="n">
        <f aca="false">C1569*(E1569+0.4)</f>
        <v>0</v>
      </c>
      <c r="H1569" s="1436"/>
      <c r="I1569" s="2283" t="n">
        <f aca="false">связи1!J349</f>
        <v>1000</v>
      </c>
      <c r="J1569" s="2290" t="n">
        <f aca="false">I1569*E1569*IF(K1569&gt;0,1,0)</f>
        <v>0</v>
      </c>
      <c r="K1569" s="1436" t="n">
        <f aca="false">связи1!I349</f>
        <v>0</v>
      </c>
      <c r="L1569" s="1582" t="n">
        <f aca="false">E1569*G1569</f>
        <v>0</v>
      </c>
      <c r="O1569" s="2288"/>
      <c r="P1569" s="2292"/>
      <c r="Q1569" s="1619"/>
      <c r="R1569" s="2293"/>
      <c r="S1569" s="2288"/>
      <c r="T1569" s="2288"/>
      <c r="U1569" s="2288"/>
    </row>
    <row r="1570" customFormat="false" ht="15.75" hidden="false" customHeight="true" outlineLevel="1" collapsed="false">
      <c r="A1570" s="2211" t="str">
        <f aca="false">связи1!A350</f>
        <v>Перемычка дверная, 1-ый эт. Вариант 1</v>
      </c>
      <c r="B1570" s="2064" t="s">
        <v>15</v>
      </c>
      <c r="C1570" s="2064" t="n">
        <f aca="false">связи1!E350</f>
        <v>0</v>
      </c>
      <c r="D1570" s="1582" t="n">
        <f aca="false">$D$1531/1000</f>
        <v>0.2</v>
      </c>
      <c r="E1570" s="1436" t="n">
        <f aca="false">связи1!F350</f>
        <v>1.2</v>
      </c>
      <c r="F1570" s="1436" t="n">
        <f aca="false">$F$1531</f>
        <v>300</v>
      </c>
      <c r="G1570" s="1436" t="n">
        <f aca="false">C1570*(E1570+0.4)</f>
        <v>0</v>
      </c>
      <c r="H1570" s="1436"/>
      <c r="I1570" s="2283" t="n">
        <f aca="false">связи1!J350</f>
        <v>1000</v>
      </c>
      <c r="J1570" s="2290" t="n">
        <f aca="false">I1570*E1570*IF(K1570&gt;0,1,0)</f>
        <v>0</v>
      </c>
      <c r="K1570" s="1436" t="n">
        <f aca="false">связи1!I350</f>
        <v>0</v>
      </c>
      <c r="L1570" s="1582" t="n">
        <f aca="false">E1570*G1570</f>
        <v>0</v>
      </c>
      <c r="O1570" s="2288"/>
      <c r="P1570" s="2292"/>
      <c r="Q1570" s="1619"/>
      <c r="R1570" s="1619"/>
      <c r="S1570" s="2288"/>
      <c r="T1570" s="2288"/>
      <c r="U1570" s="2288"/>
    </row>
    <row r="1571" customFormat="false" ht="15.75" hidden="false" customHeight="true" outlineLevel="1" collapsed="false">
      <c r="A1571" s="2211" t="str">
        <f aca="false">связи1!A351</f>
        <v>Перемычка дверная, 1-ый эт. Вариант 2</v>
      </c>
      <c r="B1571" s="2064" t="s">
        <v>15</v>
      </c>
      <c r="C1571" s="2064" t="n">
        <f aca="false">связи1!E351</f>
        <v>1</v>
      </c>
      <c r="D1571" s="1582" t="n">
        <f aca="false">$D$1531/1000</f>
        <v>0.2</v>
      </c>
      <c r="E1571" s="1436" t="n">
        <f aca="false">связи1!F351</f>
        <v>1.3</v>
      </c>
      <c r="F1571" s="1436" t="n">
        <f aca="false">$F$1531</f>
        <v>300</v>
      </c>
      <c r="G1571" s="1436" t="n">
        <f aca="false">C1571*(E1571+0.4)</f>
        <v>1.7</v>
      </c>
      <c r="H1571" s="1436"/>
      <c r="I1571" s="2283" t="n">
        <f aca="false">связи1!J351</f>
        <v>1000</v>
      </c>
      <c r="J1571" s="2290" t="n">
        <f aca="false">I1571*E1571*IF(K1571&gt;0,1,0)</f>
        <v>1300</v>
      </c>
      <c r="K1571" s="1436" t="n">
        <f aca="false">связи1!I351</f>
        <v>0.078</v>
      </c>
      <c r="L1571" s="1582" t="n">
        <f aca="false">E1571*G1571</f>
        <v>2.21</v>
      </c>
    </row>
    <row r="1572" customFormat="false" ht="15.75" hidden="false" customHeight="true" outlineLevel="1" collapsed="false">
      <c r="A1572" s="2211" t="str">
        <f aca="false">связи1!A352</f>
        <v>Перемычка дверная, 1-ый эт. Вариант 3</v>
      </c>
      <c r="B1572" s="2064" t="s">
        <v>15</v>
      </c>
      <c r="C1572" s="2064" t="n">
        <f aca="false">связи1!E352</f>
        <v>0</v>
      </c>
      <c r="D1572" s="1582" t="n">
        <f aca="false">$D$1531/1000</f>
        <v>0.2</v>
      </c>
      <c r="E1572" s="1436" t="n">
        <f aca="false">связи1!F352</f>
        <v>1.4</v>
      </c>
      <c r="F1572" s="1436" t="n">
        <f aca="false">$F$1531</f>
        <v>300</v>
      </c>
      <c r="G1572" s="1436" t="n">
        <f aca="false">C1572*(E1572+0.4)</f>
        <v>0</v>
      </c>
      <c r="H1572" s="1436"/>
      <c r="I1572" s="2283" t="n">
        <f aca="false">связи1!J352</f>
        <v>1000</v>
      </c>
      <c r="J1572" s="2290" t="n">
        <f aca="false">I1572*E1572*IF(K1572&gt;0,1,0)</f>
        <v>0</v>
      </c>
      <c r="K1572" s="1436" t="n">
        <f aca="false">связи1!I352</f>
        <v>0</v>
      </c>
      <c r="L1572" s="1582" t="n">
        <f aca="false">E1572*G1572</f>
        <v>0</v>
      </c>
    </row>
    <row r="1573" customFormat="false" ht="15.75" hidden="false" customHeight="true" outlineLevel="1" collapsed="false">
      <c r="A1573" s="2211" t="str">
        <f aca="false">'Прайс лист'!B302</f>
        <v>Сосна влаж,200*40мм</v>
      </c>
      <c r="B1573" s="2064" t="s">
        <v>1043</v>
      </c>
      <c r="C1573" s="2064" t="n">
        <f aca="false">(J47+J50*2+J51*2)*1.3*(D1531/1000+0.2)*0.04</f>
        <v>1.8512</v>
      </c>
      <c r="D1573" s="1436"/>
      <c r="E1573" s="1436"/>
      <c r="F1573" s="1436"/>
      <c r="G1573" s="1436"/>
      <c r="H1573" s="1436"/>
      <c r="I1573" s="2283" t="n">
        <f aca="false">'Прайс лист'!G302</f>
        <v>6500</v>
      </c>
      <c r="J1573" s="2290" t="n">
        <f aca="false">C1573*I1573</f>
        <v>12032.8</v>
      </c>
      <c r="K1573" s="1436"/>
    </row>
    <row r="1574" customFormat="false" ht="15.75" hidden="false" customHeight="true" outlineLevel="1" collapsed="false">
      <c r="A1574" s="2211" t="str">
        <f aca="false">'Ввод данных'!A1186</f>
        <v>Сейсмопояс Арматура М10 4 нити</v>
      </c>
      <c r="B1574" s="2064" t="s">
        <v>15</v>
      </c>
      <c r="C1574" s="2064" t="n">
        <f aca="false">J47*4*1.1</f>
        <v>281.6</v>
      </c>
      <c r="D1574" s="1436"/>
      <c r="E1574" s="1436"/>
      <c r="F1574" s="1436"/>
      <c r="G1574" s="1436"/>
      <c r="H1574" s="1436"/>
      <c r="I1574" s="2283" t="n">
        <f aca="false">VLOOKUP('Ввод данных'!A1186,связи1!A364:F371,6,0)</f>
        <v>21.0397</v>
      </c>
      <c r="J1574" s="2290" t="n">
        <f aca="false">C1574*I1574</f>
        <v>5924.77952</v>
      </c>
      <c r="K1574" s="1436"/>
      <c r="L1574" s="1635" t="n">
        <f aca="false">SUM(L1546:L1573)</f>
        <v>10.49</v>
      </c>
      <c r="M1574" s="1730"/>
      <c r="N1574" s="1730"/>
    </row>
    <row r="1575" customFormat="false" ht="15.75" hidden="false" customHeight="true" outlineLevel="1" collapsed="false">
      <c r="A1575" s="2211" t="str">
        <f aca="false">'Ввод данных'!A1188</f>
        <v>Хомут для сейсмопояса Арматура М6, шаг 400мм</v>
      </c>
      <c r="B1575" s="2064" t="s">
        <v>15</v>
      </c>
      <c r="C1575" s="2064" t="n">
        <f aca="false">J47/VLOOKUP('Ввод данных'!A1188,связи1!A373:F378,3,0)*0.9</f>
        <v>144</v>
      </c>
      <c r="D1575" s="1436"/>
      <c r="E1575" s="1436"/>
      <c r="F1575" s="1436"/>
      <c r="G1575" s="1436"/>
      <c r="H1575" s="1436"/>
      <c r="I1575" s="2283" t="n">
        <f aca="false">VLOOKUP('Ввод данных'!A1188,связи1!A373:F378,6,0)</f>
        <v>0</v>
      </c>
      <c r="J1575" s="2290" t="n">
        <f aca="false">C1575*I1575</f>
        <v>0</v>
      </c>
      <c r="K1575" s="1436"/>
    </row>
    <row r="1576" customFormat="false" ht="15.75" hidden="false" customHeight="true" outlineLevel="1" collapsed="false">
      <c r="A1576" s="2211" t="str">
        <f aca="false">'Прайс лист'!B239</f>
        <v>Бетон, м300</v>
      </c>
      <c r="B1576" s="2064" t="s">
        <v>1043</v>
      </c>
      <c r="C1576" s="2064" t="n">
        <f aca="false">((J47)*(D1531/1000)*E1531/2000+J50*D1532/1000*F1532/1000+J51*D1533/1000*F1533/1000)*1.05</f>
        <v>2.8833</v>
      </c>
      <c r="D1576" s="1436"/>
      <c r="E1576" s="1436"/>
      <c r="F1576" s="1436"/>
      <c r="G1576" s="1436"/>
      <c r="H1576" s="1436"/>
      <c r="I1576" s="2283" t="n">
        <f aca="false">'Прайс лист'!G239</f>
        <v>3000</v>
      </c>
      <c r="J1576" s="2290" t="n">
        <f aca="false">C1576*I1576</f>
        <v>8649.9</v>
      </c>
      <c r="K1576" s="1436"/>
    </row>
    <row r="1577" customFormat="false" ht="15.75" hidden="false" customHeight="true" outlineLevel="1" collapsed="false">
      <c r="A1577" s="2211" t="str">
        <f aca="false">'Ввод данных'!A1194</f>
        <v>Нет техники</v>
      </c>
      <c r="B1577" s="2064" t="s">
        <v>502</v>
      </c>
      <c r="C1577" s="2064" t="n">
        <f aca="false">'Ввод данных'!C1194</f>
        <v>0</v>
      </c>
      <c r="D1577" s="1436"/>
      <c r="E1577" s="1436"/>
      <c r="F1577" s="1436"/>
      <c r="G1577" s="1436"/>
      <c r="H1577" s="1436"/>
      <c r="I1577" s="2283" t="n">
        <f aca="false">VLOOKUP(A1577,'Прайс лист'!B192:G206,6,0)</f>
        <v>0</v>
      </c>
      <c r="J1577" s="2290" t="n">
        <f aca="false">C1577*I1577</f>
        <v>0</v>
      </c>
      <c r="K1577" s="1436"/>
    </row>
    <row r="1578" customFormat="false" ht="15.75" hidden="false" customHeight="true" outlineLevel="1" collapsed="false">
      <c r="A1578" s="2211" t="str">
        <f aca="false">'Ввод данных'!A1195</f>
        <v>Нет техники</v>
      </c>
      <c r="B1578" s="2064" t="s">
        <v>502</v>
      </c>
      <c r="C1578" s="2064" t="n">
        <f aca="false">'Ввод данных'!C1195</f>
        <v>0</v>
      </c>
      <c r="D1578" s="1436"/>
      <c r="E1578" s="1436"/>
      <c r="F1578" s="1436"/>
      <c r="G1578" s="1436"/>
      <c r="H1578" s="1436"/>
      <c r="I1578" s="2283" t="n">
        <f aca="false">VLOOKUP(A1578,'Прайс лист'!B192:G206,6,0)</f>
        <v>0</v>
      </c>
      <c r="J1578" s="2290" t="n">
        <f aca="false">C1578*I1578</f>
        <v>0</v>
      </c>
      <c r="K1578" s="1436"/>
    </row>
    <row r="1579" customFormat="false" ht="15.75" hidden="false" customHeight="true" outlineLevel="1" collapsed="false">
      <c r="A1579" s="2211" t="str">
        <f aca="false">'Ввод данных'!A1190</f>
        <v>Нет</v>
      </c>
      <c r="B1579" s="2064" t="s">
        <v>1043</v>
      </c>
      <c r="C1579" s="2064" t="n">
        <f aca="false">C1519*G1496*VLOOKUP(A1579,'Прайс лист'!B600:G639,3,0)</f>
        <v>0</v>
      </c>
      <c r="D1579" s="1436"/>
      <c r="E1579" s="1436"/>
      <c r="F1579" s="1436"/>
      <c r="G1579" s="1436"/>
      <c r="H1579" s="1436"/>
      <c r="I1579" s="2283" t="n">
        <f aca="false">VLOOKUP(A1579,'Прайс лист'!B600:G639,6,0)</f>
        <v>0</v>
      </c>
      <c r="J1579" s="2290" t="n">
        <f aca="false">C1579*I1579</f>
        <v>0</v>
      </c>
      <c r="K1579" s="1436"/>
    </row>
    <row r="1580" customFormat="false" ht="15.75" hidden="false" customHeight="true" outlineLevel="1" collapsed="false">
      <c r="A1580" s="2211" t="str">
        <f aca="false">'Прайс лист'!B639</f>
        <v>Грибок для крепления утеплителя</v>
      </c>
      <c r="B1580" s="2064" t="s">
        <v>48</v>
      </c>
      <c r="C1580" s="2064" t="n">
        <f aca="false">C1519*6*G1496*D1510</f>
        <v>0</v>
      </c>
      <c r="D1580" s="1436"/>
      <c r="E1580" s="1436"/>
      <c r="F1580" s="1436"/>
      <c r="G1580" s="1436"/>
      <c r="H1580" s="1436"/>
      <c r="I1580" s="2283" t="n">
        <f aca="false">'Прайс лист'!G639</f>
        <v>15</v>
      </c>
      <c r="J1580" s="2290" t="n">
        <f aca="false">C1580*I1580</f>
        <v>0</v>
      </c>
      <c r="K1580" s="1436"/>
    </row>
    <row r="1581" customFormat="false" ht="15.75" hidden="false" customHeight="true" outlineLevel="1" collapsed="false">
      <c r="A1581" s="2211" t="str">
        <f aca="false">'Ввод данных'!A1192</f>
        <v>нет ветроизоляции</v>
      </c>
      <c r="B1581" s="2064" t="s">
        <v>820</v>
      </c>
      <c r="C1581" s="2064" t="n">
        <f aca="false">C1511*G1496*D1511</f>
        <v>0</v>
      </c>
      <c r="D1581" s="1436"/>
      <c r="E1581" s="1436"/>
      <c r="F1581" s="1436"/>
      <c r="G1581" s="1436"/>
      <c r="H1581" s="1436"/>
      <c r="I1581" s="2283" t="n">
        <f aca="false">VLOOKUP(A1581,'Прайс лист'!B649:G675,6,0)</f>
        <v>0</v>
      </c>
      <c r="J1581" s="2290" t="n">
        <f aca="false">C1581*I1581</f>
        <v>0</v>
      </c>
      <c r="K1581" s="1436"/>
    </row>
    <row r="1582" customFormat="false" ht="15.75" hidden="false" customHeight="true" outlineLevel="1" collapsed="false">
      <c r="A1582" s="2211" t="str">
        <f aca="false">A1658</f>
        <v>Командировочные расходы</v>
      </c>
      <c r="B1582" s="2064" t="str">
        <f aca="false">B1658</f>
        <v>рублей</v>
      </c>
      <c r="C1582" s="2211" t="n">
        <f aca="false">C1658</f>
        <v>1</v>
      </c>
      <c r="D1582" s="1436"/>
      <c r="E1582" s="1436"/>
      <c r="F1582" s="1436"/>
      <c r="G1582" s="1436"/>
      <c r="H1582" s="1436"/>
      <c r="I1582" s="2283" t="n">
        <f aca="false">'Ввод данных'!C1201*'Ввод данных'!C1202*'Ввод данных'!C1203*VLOOKUP('Ввод данных'!C1200,связи1!A2:B3,2,0)</f>
        <v>0</v>
      </c>
      <c r="J1582" s="2290" t="n">
        <f aca="false">C1582*I1582</f>
        <v>0</v>
      </c>
      <c r="K1582" s="1436"/>
    </row>
    <row r="1583" customFormat="false" ht="15.75" hidden="false" customHeight="true" outlineLevel="1" collapsed="false">
      <c r="A1583" s="2211" t="str">
        <f aca="false">'Ввод данных'!A1198</f>
        <v>расходные материалы каменные дома</v>
      </c>
      <c r="B1583" s="2064" t="s">
        <v>48</v>
      </c>
      <c r="C1583" s="2064" t="n">
        <f aca="false">1</f>
        <v>1</v>
      </c>
      <c r="D1583" s="1436"/>
      <c r="E1583" s="1436"/>
      <c r="F1583" s="1436"/>
      <c r="G1583" s="1436"/>
      <c r="H1583" s="1436"/>
      <c r="I1583" s="2283" t="n">
        <f aca="false">'Ввод данных'!C1198</f>
        <v>3000</v>
      </c>
      <c r="J1583" s="2290" t="n">
        <f aca="false">C1583*I1583</f>
        <v>3000</v>
      </c>
      <c r="K1583" s="1436"/>
    </row>
    <row r="1584" customFormat="false" ht="15.75" hidden="false" customHeight="true" outlineLevel="1" collapsed="false">
      <c r="A1584" s="2211" t="str">
        <f aca="false">'Ввод данных'!A1196</f>
        <v>Нет техники</v>
      </c>
      <c r="B1584" s="2064" t="s">
        <v>48</v>
      </c>
      <c r="C1584" s="2064" t="n">
        <f aca="false">'Ввод данных'!C1196</f>
        <v>0</v>
      </c>
      <c r="D1584" s="1436"/>
      <c r="E1584" s="1436"/>
      <c r="F1584" s="1436"/>
      <c r="G1584" s="1436"/>
      <c r="H1584" s="1436"/>
      <c r="I1584" s="2283" t="n">
        <f aca="false">VLOOKUP(A1584,'Прайс лист'!B192:G206,6,0)</f>
        <v>0</v>
      </c>
      <c r="J1584" s="2290" t="n">
        <f aca="false">C1584*I1584</f>
        <v>0</v>
      </c>
      <c r="K1584" s="1436"/>
    </row>
    <row r="1585" customFormat="false" ht="15.75" hidden="false" customHeight="true" outlineLevel="1" collapsed="false">
      <c r="A1585" s="2229"/>
      <c r="B1585" s="2174"/>
      <c r="C1585" s="2287"/>
      <c r="I1585" s="2287"/>
      <c r="J1585" s="2301" t="n">
        <f aca="false">SUM(V1531:V1586)</f>
        <v>0</v>
      </c>
    </row>
    <row r="1586" customFormat="false" ht="15.75" hidden="false" customHeight="true" outlineLevel="1" collapsed="false"/>
    <row r="1587" customFormat="false" ht="15.75" hidden="false" customHeight="true" outlineLevel="1" collapsed="false"/>
    <row r="1588" customFormat="false" ht="15.75" hidden="false" customHeight="true" outlineLevel="1" collapsed="false">
      <c r="A1588" s="2302" t="s">
        <v>3869</v>
      </c>
      <c r="B1588" s="2174"/>
      <c r="C1588" s="2231"/>
      <c r="D1588" s="1708"/>
      <c r="E1588" s="1708"/>
      <c r="F1588" s="1708"/>
      <c r="G1588" s="1708"/>
      <c r="H1588" s="1708"/>
      <c r="I1588" s="2230"/>
      <c r="J1588" s="1708"/>
      <c r="K1588" s="1708"/>
      <c r="L1588" s="1708"/>
      <c r="M1588" s="1708"/>
      <c r="N1588" s="1708"/>
      <c r="O1588" s="1708"/>
      <c r="P1588" s="1708"/>
      <c r="Q1588" s="1708"/>
      <c r="R1588" s="1708"/>
      <c r="S1588" s="1708"/>
      <c r="T1588" s="1708"/>
      <c r="U1588" s="1708"/>
      <c r="V1588" s="1708"/>
      <c r="W1588" s="1708"/>
      <c r="X1588" s="1708"/>
      <c r="Y1588" s="1708"/>
    </row>
    <row r="1589" customFormat="false" ht="15.75" hidden="false" customHeight="true" outlineLevel="1" collapsed="false">
      <c r="A1589" s="2192" t="s">
        <v>461</v>
      </c>
      <c r="B1589" s="2193"/>
      <c r="C1589" s="2193"/>
      <c r="D1589" s="2194"/>
      <c r="E1589" s="2194"/>
      <c r="F1589" s="2195"/>
      <c r="G1589" s="2244" t="n">
        <f aca="false">'Ввод данных'!D1155</f>
        <v>1.1</v>
      </c>
      <c r="H1589" s="2245"/>
      <c r="J1589" s="2179" t="n">
        <f aca="false">'Ввод данных'!D1156</f>
        <v>1</v>
      </c>
      <c r="K1589" s="2179"/>
      <c r="L1589" s="2179"/>
      <c r="M1589" s="2179"/>
      <c r="N1589" s="2179"/>
      <c r="O1589" s="2179"/>
      <c r="P1589" s="1708"/>
      <c r="Q1589" s="1708"/>
      <c r="R1589" s="1708"/>
      <c r="S1589" s="1708"/>
      <c r="T1589" s="1708"/>
      <c r="U1589" s="1708"/>
      <c r="V1589" s="1708"/>
      <c r="W1589" s="1708"/>
      <c r="X1589" s="1708"/>
      <c r="Y1589" s="1708"/>
    </row>
    <row r="1590" customFormat="false" ht="15.75" hidden="false" customHeight="true" outlineLevel="1" collapsed="false">
      <c r="A1590" s="2051" t="s">
        <v>3870</v>
      </c>
      <c r="B1590" s="1996" t="s">
        <v>48</v>
      </c>
      <c r="C1590" s="1996"/>
      <c r="D1590" s="2270" t="n">
        <f aca="false">IF('Ввод данных'!A19=связи1!A152,1,0)+IF('Ввод данных'!A19=связи1!A160,1,0)+IF('Ввод данных'!A19=связи1!A176,1,0)+IF('Ввод данных'!A19=связи1!A177,1,0)+IF('Ввод данных'!A19=связи1!A178,1,0)+IF('Ввод данных'!A19=связи1!A179,1,0)+IF('Ввод данных'!A19=связи1!A180,1,0)+IF('Ввод данных'!A19=связи1!A181,1,0)+IF('Ввод данных'!A19=связи1!A182,1,0)</f>
        <v>0</v>
      </c>
      <c r="E1590" s="2179"/>
      <c r="F1590" s="2179"/>
      <c r="G1590" s="2179"/>
      <c r="H1590" s="2179"/>
      <c r="I1590" s="2180"/>
      <c r="J1590" s="2179"/>
      <c r="K1590" s="2179"/>
      <c r="L1590" s="2179"/>
      <c r="M1590" s="2179"/>
      <c r="N1590" s="2179"/>
      <c r="O1590" s="2179"/>
      <c r="P1590" s="1708"/>
      <c r="Q1590" s="1708"/>
      <c r="R1590" s="1708"/>
      <c r="S1590" s="1708"/>
      <c r="T1590" s="1708"/>
      <c r="U1590" s="1708"/>
      <c r="V1590" s="1708"/>
      <c r="W1590" s="1708"/>
      <c r="X1590" s="1708"/>
      <c r="Y1590" s="1708"/>
    </row>
    <row r="1591" customFormat="false" ht="15.75" hidden="false" customHeight="true" outlineLevel="1" collapsed="false">
      <c r="A1591" s="1707" t="s">
        <v>3844</v>
      </c>
      <c r="B1591" s="2064" t="s">
        <v>15</v>
      </c>
      <c r="C1591" s="2141" t="n">
        <f aca="false">C1498</f>
        <v>0.3</v>
      </c>
      <c r="D1591" s="1734"/>
      <c r="E1591" s="2185"/>
      <c r="F1591" s="1734"/>
      <c r="G1591" s="1708"/>
      <c r="H1591" s="1708"/>
      <c r="I1591" s="2230"/>
      <c r="J1591" s="1708"/>
      <c r="K1591" s="1708"/>
      <c r="L1591" s="1708"/>
      <c r="M1591" s="1708"/>
      <c r="N1591" s="1708"/>
      <c r="O1591" s="1708"/>
      <c r="P1591" s="1708"/>
      <c r="Q1591" s="1708"/>
      <c r="R1591" s="1708"/>
      <c r="S1591" s="1708"/>
      <c r="T1591" s="1708"/>
      <c r="U1591" s="1708"/>
      <c r="V1591" s="1708"/>
      <c r="W1591" s="1708"/>
      <c r="X1591" s="1708"/>
      <c r="Y1591" s="1708"/>
    </row>
    <row r="1592" customFormat="false" ht="15.75" hidden="false" customHeight="true" outlineLevel="1" collapsed="false">
      <c r="A1592" s="1707" t="s">
        <v>3845</v>
      </c>
      <c r="B1592" s="2064" t="s">
        <v>15</v>
      </c>
      <c r="C1592" s="2141" t="n">
        <f aca="false">C1499</f>
        <v>0.2</v>
      </c>
      <c r="D1592" s="1734"/>
      <c r="E1592" s="2185"/>
      <c r="F1592" s="1734"/>
      <c r="G1592" s="1708"/>
      <c r="H1592" s="1708"/>
      <c r="I1592" s="2230"/>
      <c r="J1592" s="1708"/>
      <c r="K1592" s="1708"/>
      <c r="L1592" s="1708"/>
      <c r="M1592" s="1708"/>
      <c r="N1592" s="1708"/>
      <c r="O1592" s="1708"/>
      <c r="P1592" s="1708"/>
      <c r="Q1592" s="1708"/>
      <c r="R1592" s="1708"/>
      <c r="S1592" s="1708"/>
      <c r="T1592" s="1708"/>
      <c r="U1592" s="1708"/>
      <c r="V1592" s="1708"/>
      <c r="W1592" s="1708"/>
      <c r="X1592" s="1708"/>
      <c r="Y1592" s="1708"/>
    </row>
    <row r="1593" customFormat="false" ht="15.75" hidden="false" customHeight="true" outlineLevel="1" collapsed="false">
      <c r="A1593" s="2218" t="s">
        <v>3846</v>
      </c>
      <c r="B1593" s="2064" t="s">
        <v>15</v>
      </c>
      <c r="C1593" s="2141" t="n">
        <f aca="false">C1500</f>
        <v>0.1</v>
      </c>
      <c r="D1593" s="2270" t="n">
        <f aca="false">D1500</f>
        <v>1</v>
      </c>
      <c r="E1593" s="2185"/>
      <c r="F1593" s="1734"/>
      <c r="G1593" s="1708"/>
      <c r="H1593" s="1708"/>
      <c r="I1593" s="2230"/>
      <c r="J1593" s="1708"/>
      <c r="K1593" s="1708"/>
      <c r="L1593" s="1708"/>
      <c r="M1593" s="1708"/>
      <c r="N1593" s="1708"/>
      <c r="O1593" s="1708"/>
      <c r="P1593" s="1708"/>
      <c r="Q1593" s="1708"/>
      <c r="R1593" s="1708"/>
      <c r="S1593" s="1708"/>
      <c r="T1593" s="1708"/>
      <c r="U1593" s="1708"/>
      <c r="V1593" s="1708"/>
      <c r="W1593" s="1708"/>
      <c r="X1593" s="1708"/>
      <c r="Y1593" s="1708"/>
    </row>
    <row r="1594" customFormat="false" ht="15.75" hidden="false" customHeight="true" outlineLevel="1" collapsed="false">
      <c r="A1594" s="2218" t="s">
        <v>3849</v>
      </c>
      <c r="B1594" s="2064" t="s">
        <v>48</v>
      </c>
      <c r="C1594" s="2141" t="n">
        <f aca="false">C1503</f>
        <v>7</v>
      </c>
      <c r="D1594" s="2270" t="n">
        <f aca="false">D1503</f>
        <v>0</v>
      </c>
      <c r="E1594" s="2271" t="s">
        <v>2491</v>
      </c>
      <c r="F1594" s="1919"/>
      <c r="G1594" s="2272"/>
      <c r="H1594" s="2272"/>
      <c r="I1594" s="2273"/>
      <c r="J1594" s="1708"/>
      <c r="K1594" s="1708"/>
      <c r="L1594" s="1708"/>
      <c r="M1594" s="1708"/>
      <c r="N1594" s="1708"/>
      <c r="O1594" s="1708"/>
      <c r="P1594" s="1708"/>
      <c r="Q1594" s="1708"/>
      <c r="R1594" s="1708"/>
      <c r="S1594" s="1708"/>
      <c r="T1594" s="1708"/>
      <c r="U1594" s="1708"/>
      <c r="V1594" s="1708"/>
      <c r="W1594" s="1708"/>
      <c r="X1594" s="1708"/>
      <c r="Y1594" s="1708"/>
    </row>
    <row r="1595" customFormat="false" ht="15.75" hidden="false" customHeight="true" outlineLevel="1" collapsed="false">
      <c r="A1595" s="2211" t="s">
        <v>3857</v>
      </c>
      <c r="B1595" s="2064" t="s">
        <v>502</v>
      </c>
      <c r="C1595" s="2141" t="n">
        <f aca="false">C1509</f>
        <v>0</v>
      </c>
      <c r="D1595" s="2270" t="n">
        <f aca="false">D1509</f>
        <v>1</v>
      </c>
      <c r="E1595" s="2271"/>
      <c r="F1595" s="1919"/>
      <c r="G1595" s="2272"/>
      <c r="H1595" s="2272"/>
      <c r="I1595" s="2273"/>
      <c r="J1595" s="1708"/>
      <c r="K1595" s="1708"/>
      <c r="L1595" s="1708"/>
      <c r="M1595" s="1708"/>
      <c r="N1595" s="1708"/>
      <c r="O1595" s="1708"/>
      <c r="P1595" s="1708"/>
      <c r="Q1595" s="1708"/>
      <c r="R1595" s="1708"/>
      <c r="S1595" s="1708"/>
      <c r="T1595" s="1708"/>
      <c r="U1595" s="1708"/>
      <c r="V1595" s="1708"/>
      <c r="W1595" s="1708"/>
      <c r="X1595" s="1708"/>
      <c r="Y1595" s="1708"/>
    </row>
    <row r="1596" customFormat="false" ht="15.75" hidden="false" customHeight="true" outlineLevel="1" collapsed="false">
      <c r="A1596" s="2246" t="s">
        <v>3817</v>
      </c>
      <c r="B1596" s="2064" t="s">
        <v>15</v>
      </c>
      <c r="C1596" s="2141" t="n">
        <f aca="false">C1510</f>
        <v>0</v>
      </c>
      <c r="D1596" s="2270" t="n">
        <f aca="false">D1510</f>
        <v>0</v>
      </c>
      <c r="E1596" s="1700" t="n">
        <f aca="false">IF(C1596=0,0,1)</f>
        <v>0</v>
      </c>
      <c r="F1596" s="1708"/>
      <c r="G1596" s="1708"/>
      <c r="H1596" s="1708"/>
      <c r="I1596" s="2230"/>
      <c r="J1596" s="1708"/>
      <c r="K1596" s="1708"/>
      <c r="L1596" s="1708"/>
      <c r="M1596" s="1708"/>
      <c r="N1596" s="1708"/>
      <c r="O1596" s="1708"/>
      <c r="P1596" s="1708"/>
      <c r="Q1596" s="1708"/>
      <c r="R1596" s="1708"/>
      <c r="S1596" s="1708"/>
      <c r="T1596" s="1708"/>
      <c r="U1596" s="1708"/>
      <c r="V1596" s="1708"/>
      <c r="W1596" s="1708"/>
      <c r="X1596" s="1708"/>
      <c r="Y1596" s="1708"/>
    </row>
    <row r="1597" s="1582" customFormat="true" ht="15.75" hidden="false" customHeight="true" outlineLevel="1" collapsed="false">
      <c r="A1597" s="2059" t="s">
        <v>3858</v>
      </c>
      <c r="B1597" s="2064" t="s">
        <v>820</v>
      </c>
      <c r="C1597" s="2141" t="n">
        <f aca="false">C1511</f>
        <v>0</v>
      </c>
      <c r="D1597" s="2270" t="n">
        <f aca="false">D1511</f>
        <v>0</v>
      </c>
      <c r="E1597" s="1617"/>
      <c r="F1597" s="1708"/>
      <c r="G1597" s="1708"/>
      <c r="H1597" s="1708"/>
      <c r="P1597" s="1708"/>
      <c r="Q1597" s="1708"/>
      <c r="R1597" s="1708"/>
      <c r="S1597" s="1708"/>
      <c r="T1597" s="1708"/>
      <c r="U1597" s="1708"/>
      <c r="V1597" s="1708"/>
      <c r="W1597" s="1708"/>
      <c r="X1597" s="1708"/>
      <c r="Y1597" s="1708"/>
    </row>
    <row r="1598" s="1582" customFormat="true" ht="15.75" hidden="false" customHeight="true" outlineLevel="1" collapsed="false">
      <c r="A1598" s="2277" t="s">
        <v>3774</v>
      </c>
      <c r="B1598" s="2278"/>
      <c r="C1598" s="2279"/>
      <c r="D1598" s="2174"/>
      <c r="E1598" s="2174"/>
      <c r="F1598" s="2174"/>
      <c r="G1598" s="1734"/>
      <c r="H1598" s="1734"/>
      <c r="P1598" s="1708"/>
      <c r="Q1598" s="1708"/>
      <c r="R1598" s="1708"/>
      <c r="S1598" s="1708"/>
      <c r="T1598" s="1708"/>
      <c r="U1598" s="1708"/>
      <c r="V1598" s="1708"/>
      <c r="W1598" s="1708"/>
      <c r="X1598" s="1708"/>
      <c r="Y1598" s="1708"/>
    </row>
    <row r="1599" s="1582" customFormat="true" ht="15.75" hidden="false" customHeight="true" outlineLevel="1" collapsed="false">
      <c r="A1599" s="2211" t="s">
        <v>3825</v>
      </c>
      <c r="B1599" s="1958" t="s">
        <v>820</v>
      </c>
      <c r="C1599" s="2064" t="n">
        <f aca="false">C1513</f>
        <v>128</v>
      </c>
      <c r="D1599" s="2174"/>
      <c r="E1599" s="2174"/>
      <c r="F1599" s="2174"/>
      <c r="G1599" s="2229"/>
      <c r="H1599" s="2229"/>
      <c r="P1599" s="1708"/>
      <c r="Q1599" s="1708"/>
      <c r="R1599" s="1708"/>
      <c r="S1599" s="1708"/>
      <c r="T1599" s="1708"/>
      <c r="U1599" s="1708"/>
      <c r="V1599" s="1708"/>
      <c r="W1599" s="1708"/>
      <c r="X1599" s="1708"/>
      <c r="Y1599" s="1708"/>
    </row>
    <row r="1600" s="1582" customFormat="true" ht="15.75" hidden="false" customHeight="true" outlineLevel="1" collapsed="false">
      <c r="A1600" s="2211" t="s">
        <v>3776</v>
      </c>
      <c r="B1600" s="1958" t="s">
        <v>820</v>
      </c>
      <c r="C1600" s="2064" t="n">
        <f aca="false">C1514</f>
        <v>128</v>
      </c>
      <c r="D1600" s="2174"/>
      <c r="E1600" s="2174"/>
      <c r="F1600" s="2174"/>
      <c r="G1600" s="2229"/>
      <c r="H1600" s="2229"/>
      <c r="P1600" s="1708"/>
      <c r="Q1600" s="1708"/>
      <c r="R1600" s="1708"/>
      <c r="S1600" s="1708"/>
      <c r="T1600" s="1708"/>
      <c r="U1600" s="1708"/>
      <c r="V1600" s="1708"/>
      <c r="W1600" s="1708"/>
      <c r="X1600" s="1708"/>
      <c r="Y1600" s="1708"/>
    </row>
    <row r="1601" s="1582" customFormat="true" ht="15.75" hidden="false" customHeight="true" outlineLevel="1" collapsed="false">
      <c r="A1601" s="2211" t="s">
        <v>3827</v>
      </c>
      <c r="B1601" s="1958" t="s">
        <v>15</v>
      </c>
      <c r="C1601" s="2064" t="n">
        <f aca="false">C1515</f>
        <v>48</v>
      </c>
      <c r="D1601" s="2229"/>
      <c r="E1601" s="2174"/>
      <c r="F1601" s="2174"/>
      <c r="G1601" s="2229"/>
      <c r="H1601" s="2229"/>
      <c r="P1601" s="1708"/>
      <c r="Q1601" s="1708"/>
      <c r="R1601" s="1708"/>
      <c r="S1601" s="1708"/>
      <c r="T1601" s="1708"/>
      <c r="U1601" s="1708"/>
      <c r="V1601" s="1708"/>
      <c r="W1601" s="1708"/>
      <c r="X1601" s="1708"/>
      <c r="Y1601" s="1708"/>
    </row>
    <row r="1602" s="1582" customFormat="true" ht="15.75" hidden="false" customHeight="true" outlineLevel="1" collapsed="false">
      <c r="A1602" s="2211" t="s">
        <v>3859</v>
      </c>
      <c r="B1602" s="1958" t="s">
        <v>15</v>
      </c>
      <c r="C1602" s="2064" t="n">
        <f aca="false">C1516</f>
        <v>64</v>
      </c>
      <c r="E1602" s="2229" t="n">
        <f aca="false">C1602*C1591</f>
        <v>19.2</v>
      </c>
      <c r="F1602" s="2174"/>
      <c r="G1602" s="2229"/>
      <c r="H1602" s="2229"/>
      <c r="P1602" s="1708"/>
      <c r="Q1602" s="1708"/>
      <c r="R1602" s="1708"/>
      <c r="S1602" s="1708"/>
      <c r="T1602" s="1708"/>
      <c r="U1602" s="1708"/>
      <c r="V1602" s="1708"/>
      <c r="W1602" s="1708"/>
      <c r="X1602" s="1708"/>
      <c r="Y1602" s="1708"/>
    </row>
    <row r="1603" s="1582" customFormat="true" ht="15.75" hidden="false" customHeight="true" outlineLevel="1" collapsed="false">
      <c r="A1603" s="2211" t="s">
        <v>3860</v>
      </c>
      <c r="B1603" s="1958" t="s">
        <v>15</v>
      </c>
      <c r="C1603" s="2064" t="n">
        <f aca="false">C1517</f>
        <v>28.5</v>
      </c>
      <c r="E1603" s="2229" t="n">
        <f aca="false">C1592*C1603</f>
        <v>5.7</v>
      </c>
      <c r="F1603" s="2174" t="s">
        <v>3861</v>
      </c>
      <c r="G1603" s="2229" t="n">
        <f aca="false">G1517</f>
        <v>0.792</v>
      </c>
      <c r="H1603" s="2229"/>
      <c r="P1603" s="1708"/>
      <c r="Q1603" s="1708"/>
      <c r="R1603" s="1708"/>
      <c r="S1603" s="1708"/>
      <c r="T1603" s="1708"/>
      <c r="U1603" s="1708"/>
      <c r="V1603" s="1708"/>
      <c r="W1603" s="1708"/>
      <c r="X1603" s="1708"/>
      <c r="Y1603" s="1708"/>
    </row>
    <row r="1604" s="1582" customFormat="true" ht="15.75" hidden="false" customHeight="true" outlineLevel="1" collapsed="false">
      <c r="A1604" s="2211" t="s">
        <v>3862</v>
      </c>
      <c r="B1604" s="1958" t="s">
        <v>15</v>
      </c>
      <c r="C1604" s="2064" t="n">
        <f aca="false">C1518</f>
        <v>7.8</v>
      </c>
      <c r="E1604" s="2229" t="n">
        <f aca="false">C1604*C1593</f>
        <v>0.78</v>
      </c>
      <c r="F1604" s="2174"/>
      <c r="G1604" s="2229"/>
      <c r="H1604" s="2229"/>
      <c r="P1604" s="1708"/>
      <c r="Q1604" s="1708"/>
      <c r="R1604" s="1708"/>
      <c r="S1604" s="1708"/>
      <c r="T1604" s="1708"/>
      <c r="U1604" s="1708"/>
      <c r="V1604" s="1708"/>
      <c r="W1604" s="1708"/>
      <c r="X1604" s="1708"/>
      <c r="Y1604" s="1708"/>
    </row>
    <row r="1605" s="1582" customFormat="true" ht="15.75" hidden="false" customHeight="true" outlineLevel="1" collapsed="false">
      <c r="A1605" s="2211" t="s">
        <v>3781</v>
      </c>
      <c r="B1605" s="1958" t="s">
        <v>820</v>
      </c>
      <c r="C1605" s="2213" t="n">
        <f aca="false">связи1!C152</f>
        <v>0</v>
      </c>
      <c r="D1605" s="2303" t="n">
        <f aca="false">VLOOKUP('Ввод данных'!A1166,связи1!A382:F396,4,0)/1000</f>
        <v>0.3</v>
      </c>
      <c r="E1605" s="2229" t="n">
        <f aca="false">SUM(E1602:E1604)</f>
        <v>25.68</v>
      </c>
      <c r="F1605" s="2174"/>
      <c r="G1605" s="2229"/>
      <c r="H1605" s="2229"/>
      <c r="P1605" s="1708"/>
      <c r="Q1605" s="1708"/>
      <c r="R1605" s="1708"/>
      <c r="S1605" s="1708"/>
      <c r="T1605" s="1708"/>
      <c r="U1605" s="1708"/>
      <c r="V1605" s="1708"/>
      <c r="W1605" s="1708"/>
      <c r="X1605" s="1708"/>
      <c r="Y1605" s="1708"/>
    </row>
    <row r="1606" s="1582" customFormat="true" ht="15.75" hidden="false" customHeight="true" outlineLevel="1" collapsed="false">
      <c r="A1606" s="2211" t="s">
        <v>3834</v>
      </c>
      <c r="B1606" s="1958" t="s">
        <v>820</v>
      </c>
      <c r="C1606" s="2213" t="n">
        <f aca="false">C1605</f>
        <v>0</v>
      </c>
      <c r="D1606" s="2304"/>
      <c r="E1606" s="2174"/>
      <c r="F1606" s="2174"/>
      <c r="G1606" s="2229"/>
      <c r="H1606" s="2229"/>
      <c r="P1606" s="1708"/>
      <c r="Q1606" s="1708"/>
      <c r="R1606" s="1708"/>
      <c r="S1606" s="1708"/>
      <c r="T1606" s="1708"/>
      <c r="U1606" s="1708"/>
      <c r="V1606" s="1708"/>
      <c r="W1606" s="1708"/>
      <c r="X1606" s="1708"/>
      <c r="Y1606" s="1708"/>
    </row>
    <row r="1607" s="1582" customFormat="true" ht="15.75" hidden="false" customHeight="true" outlineLevel="1" collapsed="false">
      <c r="A1607" s="2211" t="s">
        <v>3783</v>
      </c>
      <c r="B1607" s="1958"/>
      <c r="C1607" s="2213" t="n">
        <f aca="false">связи1!D152</f>
        <v>0</v>
      </c>
      <c r="D1607" s="2229" t="n">
        <f aca="false">VLOOKUP('Ввод данных'!A1168,связи1!A382:F396,4,0)/1000</f>
        <v>0.15</v>
      </c>
      <c r="E1607" s="2174"/>
      <c r="F1607" s="2174"/>
      <c r="G1607" s="2229"/>
      <c r="H1607" s="2229"/>
      <c r="P1607" s="1708"/>
      <c r="Q1607" s="1708"/>
      <c r="R1607" s="1708"/>
      <c r="S1607" s="1708"/>
      <c r="T1607" s="1708"/>
      <c r="U1607" s="1708"/>
      <c r="V1607" s="1708"/>
      <c r="W1607" s="1708"/>
      <c r="X1607" s="1708"/>
      <c r="Y1607" s="1708"/>
    </row>
    <row r="1608" customFormat="false" ht="15.75" hidden="false" customHeight="true" outlineLevel="1" collapsed="false">
      <c r="A1608" s="2211" t="s">
        <v>3784</v>
      </c>
      <c r="B1608" s="1958" t="s">
        <v>820</v>
      </c>
      <c r="C1608" s="2213" t="n">
        <f aca="false">связи1!E152</f>
        <v>0</v>
      </c>
      <c r="D1608" s="2229" t="n">
        <f aca="false">VLOOKUP('Ввод данных'!A1170,связи1!A382:F396,4,0)/1000</f>
        <v>0.15</v>
      </c>
      <c r="E1608" s="2174"/>
      <c r="F1608" s="2174"/>
      <c r="G1608" s="2229"/>
      <c r="H1608" s="2229"/>
      <c r="I1608" s="2200"/>
      <c r="J1608" s="1708"/>
      <c r="K1608" s="1708"/>
      <c r="L1608" s="1708"/>
      <c r="M1608" s="1708"/>
      <c r="N1608" s="1708"/>
      <c r="O1608" s="1708"/>
      <c r="P1608" s="1708"/>
      <c r="Q1608" s="1708"/>
      <c r="R1608" s="1708"/>
      <c r="S1608" s="1708"/>
      <c r="T1608" s="1708"/>
      <c r="U1608" s="1708"/>
      <c r="V1608" s="1708"/>
      <c r="W1608" s="1708"/>
      <c r="X1608" s="1708"/>
      <c r="Y1608" s="1708"/>
    </row>
    <row r="1609" customFormat="false" ht="15.75" hidden="false" customHeight="true" outlineLevel="1" collapsed="false">
      <c r="A1609" s="2211" t="s">
        <v>3786</v>
      </c>
      <c r="B1609" s="1958" t="s">
        <v>820</v>
      </c>
      <c r="C1609" s="2213" t="n">
        <f aca="false">(C1607+C1608)</f>
        <v>0</v>
      </c>
      <c r="D1609" s="2229"/>
      <c r="E1609" s="2174"/>
      <c r="F1609" s="2174"/>
      <c r="G1609" s="2229"/>
      <c r="H1609" s="2229"/>
      <c r="I1609" s="2200"/>
      <c r="J1609" s="1708"/>
      <c r="K1609" s="1708"/>
      <c r="L1609" s="1708"/>
      <c r="M1609" s="1708"/>
      <c r="N1609" s="1708"/>
      <c r="O1609" s="1708"/>
      <c r="P1609" s="1708"/>
      <c r="Q1609" s="1708"/>
      <c r="R1609" s="1708"/>
      <c r="S1609" s="1708"/>
      <c r="T1609" s="1708"/>
      <c r="U1609" s="1708"/>
      <c r="V1609" s="1708"/>
      <c r="W1609" s="1708"/>
      <c r="X1609" s="1708"/>
      <c r="Y1609" s="1708"/>
    </row>
    <row r="1610" customFormat="false" ht="15.75" hidden="false" customHeight="true" outlineLevel="1" collapsed="false">
      <c r="A1610" s="2211" t="s">
        <v>3787</v>
      </c>
      <c r="B1610" s="1958" t="s">
        <v>820</v>
      </c>
      <c r="C1610" s="2064" t="n">
        <f aca="false">C1524</f>
        <v>150.475100831722</v>
      </c>
      <c r="D1610" s="2229"/>
      <c r="E1610" s="2174"/>
      <c r="F1610" s="2174"/>
      <c r="G1610" s="2229"/>
      <c r="H1610" s="2229"/>
      <c r="I1610" s="2200"/>
      <c r="J1610" s="1708"/>
      <c r="K1610" s="1708"/>
      <c r="L1610" s="1708"/>
      <c r="M1610" s="1708"/>
      <c r="N1610" s="1708"/>
      <c r="O1610" s="1708"/>
      <c r="P1610" s="1708"/>
      <c r="Q1610" s="1708"/>
      <c r="R1610" s="1708"/>
      <c r="S1610" s="1708"/>
      <c r="T1610" s="1708"/>
      <c r="U1610" s="1708"/>
      <c r="V1610" s="1708"/>
      <c r="W1610" s="1708"/>
      <c r="X1610" s="1708"/>
      <c r="Y1610" s="1708"/>
    </row>
    <row r="1611" customFormat="false" ht="15.75" hidden="false" customHeight="true" outlineLevel="1" collapsed="false">
      <c r="A1611" s="2280" t="s">
        <v>2246</v>
      </c>
      <c r="B1611" s="2281" t="s">
        <v>1738</v>
      </c>
      <c r="C1611" s="2281" t="s">
        <v>118</v>
      </c>
      <c r="D1611" s="1180" t="s">
        <v>137</v>
      </c>
      <c r="E1611" s="1180" t="s">
        <v>116</v>
      </c>
      <c r="F1611" s="1180" t="s">
        <v>200</v>
      </c>
      <c r="G1611" s="1180" t="s">
        <v>118</v>
      </c>
      <c r="H1611" s="2305"/>
      <c r="I1611" s="2306" t="s">
        <v>3871</v>
      </c>
      <c r="J1611" s="2307" t="s">
        <v>2916</v>
      </c>
      <c r="K1611" s="1708"/>
      <c r="L1611" s="2277" t="s">
        <v>2007</v>
      </c>
      <c r="M1611" s="2308"/>
      <c r="N1611" s="1436"/>
      <c r="O1611" s="2282" t="s">
        <v>118</v>
      </c>
      <c r="P1611" s="2282" t="s">
        <v>2915</v>
      </c>
      <c r="Q1611" s="2282"/>
      <c r="R1611" s="2282"/>
      <c r="S1611" s="2282" t="s">
        <v>2916</v>
      </c>
      <c r="T1611" s="1708"/>
      <c r="U1611" s="1708"/>
      <c r="V1611" s="1708"/>
      <c r="W1611" s="1708"/>
      <c r="X1611" s="1708"/>
      <c r="Y1611" s="1708"/>
    </row>
    <row r="1612" customFormat="false" ht="15.75" hidden="false" customHeight="true" outlineLevel="1" collapsed="false">
      <c r="A1612" s="2211" t="str">
        <f aca="false">'Ввод данных'!A1166</f>
        <v>Пенобетон 200x300x600</v>
      </c>
      <c r="B1612" s="2064" t="str">
        <f aca="false">B1531</f>
        <v>м3</v>
      </c>
      <c r="C1612" s="1692" t="n">
        <f aca="false">C1605*D1605</f>
        <v>0</v>
      </c>
      <c r="D1612" s="1436" t="n">
        <f aca="false">VLOOKUP(A1612,связи1!A382:F396,3,0)</f>
        <v>200</v>
      </c>
      <c r="E1612" s="1436" t="n">
        <f aca="false">VLOOKUP(A1612,связи1!A382:F396,4,0)</f>
        <v>300</v>
      </c>
      <c r="F1612" s="1436" t="n">
        <f aca="false">VLOOKUP(A1612,связи1!A382:F396,5,0)</f>
        <v>600</v>
      </c>
      <c r="G1612" s="1436" t="n">
        <f aca="false">C1612/(D1612*E1612*F1612/1000000000)</f>
        <v>0</v>
      </c>
      <c r="H1612" s="1436"/>
      <c r="I1612" s="2211" t="n">
        <f aca="false">VLOOKUP('Ввод данных'!A1166,связи1!A382:F396,6,0)</f>
        <v>3650</v>
      </c>
      <c r="J1612" s="2064" t="n">
        <f aca="false">C1612*I1612</f>
        <v>0</v>
      </c>
      <c r="K1612" s="2174"/>
      <c r="L1612" s="2294" t="str">
        <f aca="false">'Прайс лист'!B1504</f>
        <v>кладка пенобетона несущие стены</v>
      </c>
      <c r="M1612" s="2200"/>
      <c r="N1612" s="1707"/>
      <c r="O1612" s="2290" t="n">
        <f aca="false">C1612</f>
        <v>0</v>
      </c>
      <c r="P1612" s="2290" t="n">
        <f aca="false">'Прайс лист'!G1504</f>
        <v>3500</v>
      </c>
      <c r="Q1612" s="2290"/>
      <c r="R1612" s="2290"/>
      <c r="S1612" s="2290" t="n">
        <f aca="false">O1612*P1612</f>
        <v>0</v>
      </c>
      <c r="T1612" s="1708"/>
      <c r="U1612" s="1708"/>
      <c r="V1612" s="1708"/>
      <c r="W1612" s="1708"/>
      <c r="X1612" s="1708"/>
      <c r="Y1612" s="1708"/>
    </row>
    <row r="1613" customFormat="false" ht="15.75" hidden="false" customHeight="true" outlineLevel="1" collapsed="false">
      <c r="A1613" s="2211" t="str">
        <f aca="false">'Ввод данных'!A1168</f>
        <v>Пенобетон 200x150x600</v>
      </c>
      <c r="B1613" s="2064" t="str">
        <f aca="false">B1532</f>
        <v>м3</v>
      </c>
      <c r="C1613" s="1692" t="n">
        <f aca="false">C1607*D1607</f>
        <v>0</v>
      </c>
      <c r="D1613" s="1436" t="n">
        <f aca="false">VLOOKUP(A1613,связи1!A382:F396,3,0)</f>
        <v>200</v>
      </c>
      <c r="E1613" s="1436" t="n">
        <f aca="false">VLOOKUP(A1613,связи1!A382:F396,4,0)</f>
        <v>150</v>
      </c>
      <c r="F1613" s="1436" t="n">
        <f aca="false">VLOOKUP(A1613,связи1!A382:F396,5,0)</f>
        <v>600</v>
      </c>
      <c r="G1613" s="1436" t="n">
        <f aca="false">C1613/(D1613*E1613*F1613/1000000000)</f>
        <v>0</v>
      </c>
      <c r="H1613" s="1436"/>
      <c r="I1613" s="2211" t="n">
        <f aca="false">VLOOKUP('Ввод данных'!A1168,связи1!A382:F396,6,0)</f>
        <v>3950</v>
      </c>
      <c r="J1613" s="2064" t="n">
        <f aca="false">C1613*I1613</f>
        <v>0</v>
      </c>
      <c r="K1613" s="2174"/>
      <c r="L1613" s="2294" t="str">
        <f aca="false">'Прайс лист'!B1505</f>
        <v>кладка пенобетона несущие перегородки</v>
      </c>
      <c r="M1613" s="2200"/>
      <c r="N1613" s="1707"/>
      <c r="O1613" s="2290" t="n">
        <f aca="false">C1613</f>
        <v>0</v>
      </c>
      <c r="P1613" s="2290" t="n">
        <f aca="false">'Прайс лист'!G1505</f>
        <v>3500</v>
      </c>
      <c r="Q1613" s="2290"/>
      <c r="R1613" s="2290"/>
      <c r="S1613" s="2290" t="n">
        <f aca="false">O1613*P1613</f>
        <v>0</v>
      </c>
      <c r="T1613" s="1708"/>
      <c r="U1613" s="1708"/>
      <c r="V1613" s="1708"/>
      <c r="W1613" s="1708"/>
      <c r="X1613" s="1708"/>
      <c r="Y1613" s="1708"/>
    </row>
    <row r="1614" customFormat="false" ht="15.75" hidden="false" customHeight="true" outlineLevel="1" collapsed="false">
      <c r="A1614" s="2211" t="str">
        <f aca="false">'Ввод данных'!A1170</f>
        <v>Пенобетон 200x150x600</v>
      </c>
      <c r="B1614" s="2064" t="str">
        <f aca="false">B1533</f>
        <v>м3</v>
      </c>
      <c r="C1614" s="1692" t="n">
        <f aca="false">C1608*D1608</f>
        <v>0</v>
      </c>
      <c r="D1614" s="1436" t="n">
        <f aca="false">VLOOKUP(A1614,связи1!A382:F396,3,0)</f>
        <v>200</v>
      </c>
      <c r="E1614" s="1436" t="n">
        <f aca="false">VLOOKUP(A1614,связи1!A382:F396,4,0)</f>
        <v>150</v>
      </c>
      <c r="F1614" s="1436" t="n">
        <f aca="false">VLOOKUP(A1614,связи1!A382:F396,5,0)</f>
        <v>600</v>
      </c>
      <c r="G1614" s="1436" t="n">
        <f aca="false">C1614/(D1614*E1614*F1614/1000000000)</f>
        <v>0</v>
      </c>
      <c r="H1614" s="1436"/>
      <c r="I1614" s="2211" t="n">
        <f aca="false">VLOOKUP('Ввод данных'!A1170,связи1!A382:F396,6,0)</f>
        <v>3950</v>
      </c>
      <c r="J1614" s="2064" t="n">
        <f aca="false">C1614*I1614</f>
        <v>0</v>
      </c>
      <c r="K1614" s="2174"/>
      <c r="L1614" s="2294" t="str">
        <f aca="false">'Прайс лист'!B1506</f>
        <v>кладка пенобетона перегородки</v>
      </c>
      <c r="M1614" s="2200"/>
      <c r="N1614" s="1707"/>
      <c r="O1614" s="2290" t="n">
        <f aca="false">C1614</f>
        <v>0</v>
      </c>
      <c r="P1614" s="2290" t="n">
        <f aca="false">'Прайс лист'!G1506</f>
        <v>450</v>
      </c>
      <c r="Q1614" s="2290"/>
      <c r="R1614" s="2290"/>
      <c r="S1614" s="2290" t="n">
        <f aca="false">O1614*P1614</f>
        <v>0</v>
      </c>
      <c r="T1614" s="1708"/>
      <c r="U1614" s="1708"/>
      <c r="V1614" s="1708"/>
      <c r="W1614" s="1708"/>
      <c r="X1614" s="1708"/>
      <c r="Y1614" s="1708"/>
    </row>
    <row r="1615" customFormat="false" ht="15.75" hidden="false" customHeight="true" outlineLevel="1" collapsed="false">
      <c r="A1615" s="2211" t="str">
        <f aca="false">A1539</f>
        <v>Клей монтажный ВК-100</v>
      </c>
      <c r="B1615" s="2064" t="str">
        <f aca="false">B1539</f>
        <v>меш</v>
      </c>
      <c r="C1615" s="1692" t="n">
        <f aca="false">(C1612+C1613+C1614)*2*D1590*G1589</f>
        <v>0</v>
      </c>
      <c r="D1615" s="1436"/>
      <c r="E1615" s="1436"/>
      <c r="F1615" s="1436"/>
      <c r="G1615" s="1436"/>
      <c r="H1615" s="1436"/>
      <c r="I1615" s="2211" t="n">
        <f aca="false">I1539</f>
        <v>185</v>
      </c>
      <c r="J1615" s="2064" t="n">
        <f aca="false">C1615*I1615</f>
        <v>0</v>
      </c>
      <c r="K1615" s="2174"/>
      <c r="L1615" s="1634" t="str">
        <f aca="false">'Прайс лист'!B1509</f>
        <v>изготовление и монтаж перемычек для окон и дверей</v>
      </c>
      <c r="M1615" s="2200"/>
      <c r="N1615" s="1707"/>
      <c r="O1615" s="2290" t="n">
        <f aca="false">S1544</f>
        <v>10.49</v>
      </c>
      <c r="P1615" s="2290" t="n">
        <f aca="false">'Прайс лист'!G1509</f>
        <v>500</v>
      </c>
      <c r="Q1615" s="2290"/>
      <c r="R1615" s="2290"/>
      <c r="S1615" s="2290" t="n">
        <f aca="false">O1615*P1615</f>
        <v>5245</v>
      </c>
      <c r="T1615" s="1708"/>
      <c r="U1615" s="1708"/>
      <c r="V1615" s="1708"/>
      <c r="W1615" s="1708"/>
      <c r="X1615" s="1708"/>
      <c r="Y1615" s="1708"/>
    </row>
    <row r="1616" customFormat="false" ht="15.75" hidden="false" customHeight="true" outlineLevel="1" collapsed="false">
      <c r="A1616" s="2211" t="e">
        <f aca="false">A1540</f>
        <v>#N/A</v>
      </c>
      <c r="B1616" s="2064" t="str">
        <f aca="false">B1540</f>
        <v>меш</v>
      </c>
      <c r="C1616" s="1692" t="n">
        <f aca="false">C1617*4</f>
        <v>0</v>
      </c>
      <c r="D1616" s="1436"/>
      <c r="E1616" s="1436"/>
      <c r="F1616" s="1436"/>
      <c r="G1616" s="1436"/>
      <c r="H1616" s="1436"/>
      <c r="I1616" s="2211" t="n">
        <f aca="false">I1540</f>
        <v>0</v>
      </c>
      <c r="J1616" s="2064" t="n">
        <f aca="false">C1616*I1616</f>
        <v>0</v>
      </c>
      <c r="L1616" s="1634" t="str">
        <f aca="false">'Прайс лист'!B1510</f>
        <v>Замешивание раствора</v>
      </c>
      <c r="N1616" s="1436"/>
      <c r="O1616" s="2290" t="n">
        <f aca="false">C1617</f>
        <v>0</v>
      </c>
      <c r="P1616" s="2290" t="n">
        <f aca="false">'Прайс лист'!G1510</f>
        <v>1500</v>
      </c>
      <c r="Q1616" s="2290"/>
      <c r="R1616" s="2290"/>
      <c r="S1616" s="2290" t="n">
        <f aca="false">O1616*P1616</f>
        <v>0</v>
      </c>
      <c r="T1616" s="1708"/>
      <c r="U1616" s="1708"/>
      <c r="V1616" s="1708"/>
      <c r="W1616" s="1708"/>
      <c r="X1616" s="1708"/>
      <c r="Y1616" s="1708"/>
    </row>
    <row r="1617" s="1709" customFormat="true" ht="15.75" hidden="false" customHeight="true" outlineLevel="1" collapsed="false">
      <c r="A1617" s="2211" t="e">
        <f aca="false">A1541</f>
        <v>#N/A</v>
      </c>
      <c r="B1617" s="2064" t="str">
        <f aca="false">B1541</f>
        <v>м3</v>
      </c>
      <c r="C1617" s="1692" t="n">
        <f aca="false">(C1612+C1613+C1614)*0.2</f>
        <v>0</v>
      </c>
      <c r="D1617" s="1344"/>
      <c r="E1617" s="1344"/>
      <c r="F1617" s="1344"/>
      <c r="G1617" s="1344"/>
      <c r="H1617" s="1344"/>
      <c r="I1617" s="2211" t="n">
        <f aca="false">I1541</f>
        <v>0</v>
      </c>
      <c r="J1617" s="2064" t="n">
        <f aca="false">C1617*I1617</f>
        <v>0</v>
      </c>
      <c r="K1617" s="1708"/>
      <c r="L1617" s="1634" t="str">
        <f aca="false">'Прайс лист'!B1511</f>
        <v>Армирование стен наружних и перегородок</v>
      </c>
      <c r="M1617" s="2152"/>
      <c r="N1617" s="1707"/>
      <c r="O1617" s="2290" t="n">
        <f aca="false">S1546</f>
        <v>348.666666666667</v>
      </c>
      <c r="P1617" s="2290" t="n">
        <f aca="false">'Прайс лист'!G1511</f>
        <v>70</v>
      </c>
      <c r="Q1617" s="2290"/>
      <c r="R1617" s="2290"/>
      <c r="S1617" s="2290" t="n">
        <f aca="false">O1617*P1617</f>
        <v>24406.6666666667</v>
      </c>
      <c r="T1617" s="1708"/>
      <c r="U1617" s="1708"/>
      <c r="V1617" s="1708"/>
      <c r="W1617" s="1708"/>
      <c r="X1617" s="1708"/>
      <c r="Y1617" s="1708"/>
    </row>
    <row r="1618" s="1709" customFormat="true" ht="15.75" hidden="false" customHeight="true" outlineLevel="1" collapsed="false">
      <c r="A1618" s="2211" t="str">
        <f aca="false">A1542</f>
        <v>Доставка песка</v>
      </c>
      <c r="B1618" s="2064" t="str">
        <f aca="false">B1542</f>
        <v>маш</v>
      </c>
      <c r="C1618" s="1692"/>
      <c r="D1618" s="1344"/>
      <c r="E1618" s="1344"/>
      <c r="F1618" s="1344"/>
      <c r="G1618" s="1344"/>
      <c r="H1618" s="1344"/>
      <c r="I1618" s="2211" t="n">
        <f aca="false">I1542</f>
        <v>0</v>
      </c>
      <c r="J1618" s="2064" t="n">
        <f aca="false">C1618*I1618</f>
        <v>0</v>
      </c>
      <c r="K1618" s="1708"/>
      <c r="L1618" s="1634" t="str">
        <f aca="false">'Прайс лист'!B1512</f>
        <v>Установка опалубки для сейсмопояса</v>
      </c>
      <c r="M1618" s="2152"/>
      <c r="N1618" s="1707"/>
      <c r="O1618" s="2290" t="n">
        <f aca="false">S1547</f>
        <v>76.5</v>
      </c>
      <c r="P1618" s="2290" t="n">
        <f aca="false">'Прайс лист'!G1512</f>
        <v>300</v>
      </c>
      <c r="Q1618" s="2290"/>
      <c r="R1618" s="2290"/>
      <c r="S1618" s="2290" t="n">
        <f aca="false">O1618*P1618</f>
        <v>22950</v>
      </c>
      <c r="T1618" s="1708"/>
      <c r="U1618" s="1708"/>
      <c r="V1618" s="1708"/>
      <c r="W1618" s="1708"/>
      <c r="X1618" s="1708"/>
      <c r="Y1618" s="1708"/>
    </row>
    <row r="1619" s="1709" customFormat="true" ht="15.75" hidden="false" customHeight="true" outlineLevel="1" collapsed="false">
      <c r="A1619" s="2211" t="e">
        <f aca="false">A1543</f>
        <v>#N/A</v>
      </c>
      <c r="B1619" s="2064" t="str">
        <f aca="false">B1543</f>
        <v>м3</v>
      </c>
      <c r="C1619" s="1692" t="n">
        <f aca="false">C1617</f>
        <v>0</v>
      </c>
      <c r="D1619" s="1344"/>
      <c r="E1619" s="1344"/>
      <c r="F1619" s="1344"/>
      <c r="G1619" s="1344"/>
      <c r="H1619" s="1344"/>
      <c r="I1619" s="2211" t="n">
        <f aca="false">IF('Ввод данных'!A1180=связи1!A317,'Прайс лист'!G241,0)+IF('Ввод данных'!A1180=связи1!A318,'Прайс лист'!G242,0)+IF('Ввод данных'!A1180=связи1!A319,'Прайс лист'!G243,0)+IF('Ввод данных'!A1180=связи1!A320,'Прайс лист'!G244,0)</f>
        <v>0</v>
      </c>
      <c r="J1619" s="2064" t="n">
        <f aca="false">C1619*I1619</f>
        <v>0</v>
      </c>
      <c r="K1619" s="1708"/>
      <c r="L1619" s="1634" t="str">
        <f aca="false">'Прайс лист'!B1513</f>
        <v>Армирование сейсмопояса</v>
      </c>
      <c r="M1619" s="2152"/>
      <c r="N1619" s="1707"/>
      <c r="O1619" s="2290" t="n">
        <f aca="false">S1548</f>
        <v>76.5</v>
      </c>
      <c r="P1619" s="2290" t="n">
        <f aca="false">'Прайс лист'!G1513</f>
        <v>500</v>
      </c>
      <c r="Q1619" s="2290"/>
      <c r="R1619" s="2290"/>
      <c r="S1619" s="2290" t="n">
        <f aca="false">O1619*P1619</f>
        <v>38250</v>
      </c>
      <c r="T1619" s="1708"/>
      <c r="U1619" s="1708"/>
      <c r="V1619" s="1708"/>
      <c r="W1619" s="1708"/>
      <c r="X1619" s="1708"/>
      <c r="Y1619" s="1708"/>
    </row>
    <row r="1620" s="1709" customFormat="true" ht="15.75" hidden="false" customHeight="true" outlineLevel="1" collapsed="false">
      <c r="A1620" s="2211" t="str">
        <f aca="false">A1544</f>
        <v>Арматура М6 каждый 3-й ряд, 2 нити</v>
      </c>
      <c r="B1620" s="2064" t="str">
        <f aca="false">B1544</f>
        <v>м.п.</v>
      </c>
      <c r="C1620" s="1692" t="n">
        <f aca="false">C1544</f>
        <v>597.333333333333</v>
      </c>
      <c r="D1620" s="1344"/>
      <c r="E1620" s="1344"/>
      <c r="F1620" s="1344"/>
      <c r="G1620" s="1344"/>
      <c r="H1620" s="1344"/>
      <c r="I1620" s="2211" t="n">
        <f aca="false">I1544</f>
        <v>0</v>
      </c>
      <c r="J1620" s="2064" t="n">
        <f aca="false">C1620*I1620</f>
        <v>0</v>
      </c>
      <c r="K1620" s="1708"/>
      <c r="L1620" s="1634" t="str">
        <f aca="false">'Прайс лист'!B1514</f>
        <v>Заливка бетоном сейсмопояса</v>
      </c>
      <c r="M1620" s="2152"/>
      <c r="N1620" s="1707"/>
      <c r="O1620" s="2290" t="n">
        <f aca="false">S1549</f>
        <v>76.5</v>
      </c>
      <c r="P1620" s="2290" t="n">
        <f aca="false">'Прайс лист'!G1514</f>
        <v>700</v>
      </c>
      <c r="Q1620" s="2290"/>
      <c r="R1620" s="2290"/>
      <c r="S1620" s="2290" t="n">
        <f aca="false">O1620*P1620</f>
        <v>53550</v>
      </c>
      <c r="T1620" s="1708"/>
      <c r="U1620" s="1708"/>
      <c r="V1620" s="1708"/>
      <c r="W1620" s="1708"/>
      <c r="X1620" s="1708"/>
      <c r="Y1620" s="1708"/>
    </row>
    <row r="1621" s="1709" customFormat="true" ht="15.75" hidden="false" customHeight="true" outlineLevel="1" collapsed="false">
      <c r="A1621" s="2211" t="str">
        <f aca="false">A1545</f>
        <v>Арматура М6 каждый 3-й ряд, 2 нити</v>
      </c>
      <c r="B1621" s="2064" t="str">
        <f aca="false">B1545</f>
        <v>м.п.</v>
      </c>
      <c r="C1621" s="1692" t="n">
        <f aca="false">C1545</f>
        <v>100</v>
      </c>
      <c r="D1621" s="1344"/>
      <c r="E1621" s="1344"/>
      <c r="F1621" s="1344"/>
      <c r="G1621" s="1344"/>
      <c r="H1621" s="1344"/>
      <c r="I1621" s="2211" t="n">
        <f aca="false">I1545</f>
        <v>0</v>
      </c>
      <c r="J1621" s="2064" t="n">
        <f aca="false">C1621*I1621</f>
        <v>0</v>
      </c>
      <c r="K1621" s="1708"/>
      <c r="L1621" s="1634" t="str">
        <f aca="false">'Прайс лист'!B1515</f>
        <v>утепление стен снаружи дома</v>
      </c>
      <c r="M1621" s="2152"/>
      <c r="N1621" s="1707"/>
      <c r="O1621" s="2290" t="n">
        <f aca="false">C1605*D1596</f>
        <v>0</v>
      </c>
      <c r="P1621" s="2290" t="n">
        <f aca="false">'Прайс лист'!G1515</f>
        <v>350</v>
      </c>
      <c r="Q1621" s="2290"/>
      <c r="R1621" s="2290"/>
      <c r="S1621" s="2290" t="n">
        <f aca="false">O1621*P1621</f>
        <v>0</v>
      </c>
      <c r="T1621" s="1708"/>
      <c r="U1621" s="1708"/>
      <c r="V1621" s="1708"/>
      <c r="W1621" s="1708"/>
      <c r="X1621" s="1708"/>
      <c r="Y1621" s="1708"/>
    </row>
    <row r="1622" s="1709" customFormat="true" ht="15.75" hidden="false" customHeight="true" outlineLevel="1" collapsed="false">
      <c r="A1622" s="2211" t="str">
        <f aca="false">A1546</f>
        <v>Перемычка оконная, 1-ый эт. Вариант 1</v>
      </c>
      <c r="B1622" s="2064" t="str">
        <f aca="false">B1546</f>
        <v>м.п.</v>
      </c>
      <c r="C1622" s="1692" t="n">
        <f aca="false">C1546</f>
        <v>1</v>
      </c>
      <c r="D1622" s="1344" t="n">
        <f aca="false">D1612/1000</f>
        <v>0.2</v>
      </c>
      <c r="E1622" s="1344" t="n">
        <f aca="false">E1546</f>
        <v>1.4</v>
      </c>
      <c r="F1622" s="1344" t="n">
        <f aca="false">F1546</f>
        <v>300</v>
      </c>
      <c r="G1622" s="1344" t="n">
        <f aca="false">G1546</f>
        <v>1.8</v>
      </c>
      <c r="H1622" s="1344"/>
      <c r="I1622" s="2211" t="n">
        <f aca="false">I1546</f>
        <v>1000</v>
      </c>
      <c r="J1622" s="2064" t="n">
        <f aca="false">C1622*I1622</f>
        <v>1000</v>
      </c>
      <c r="K1622" s="1708"/>
      <c r="L1622" s="2294" t="str">
        <f aca="false">'Прайс лист'!B1498</f>
        <v>монтаж ветроизоляции стен</v>
      </c>
      <c r="M1622" s="2152"/>
      <c r="N1622" s="1707"/>
      <c r="O1622" s="2290" t="n">
        <f aca="false">C1605*D1597</f>
        <v>0</v>
      </c>
      <c r="P1622" s="2290" t="n">
        <f aca="false">'Прайс лист'!G1498</f>
        <v>100</v>
      </c>
      <c r="Q1622" s="2290"/>
      <c r="R1622" s="2290"/>
      <c r="S1622" s="2290" t="n">
        <f aca="false">O1622*P1622</f>
        <v>0</v>
      </c>
      <c r="T1622" s="1708"/>
      <c r="U1622" s="1708"/>
      <c r="V1622" s="1708"/>
      <c r="W1622" s="1708"/>
      <c r="X1622" s="1708"/>
      <c r="Y1622" s="1708"/>
    </row>
    <row r="1623" s="1709" customFormat="true" ht="15.75" hidden="false" customHeight="true" outlineLevel="1" collapsed="false">
      <c r="A1623" s="2211" t="str">
        <f aca="false">A1547</f>
        <v>Перемычка оконная, 1-ый эт. Вариант 2</v>
      </c>
      <c r="B1623" s="2064" t="str">
        <f aca="false">B1547</f>
        <v>м.п.</v>
      </c>
      <c r="C1623" s="1692" t="n">
        <f aca="false">C1547</f>
        <v>0</v>
      </c>
      <c r="D1623" s="1344" t="n">
        <f aca="false">$D$1612/1000</f>
        <v>0.2</v>
      </c>
      <c r="E1623" s="1344" t="n">
        <f aca="false">E1547</f>
        <v>1</v>
      </c>
      <c r="F1623" s="1344" t="n">
        <f aca="false">F1547</f>
        <v>300</v>
      </c>
      <c r="G1623" s="1344" t="n">
        <f aca="false">G1547</f>
        <v>0</v>
      </c>
      <c r="H1623" s="1344"/>
      <c r="I1623" s="2211" t="n">
        <f aca="false">I1547</f>
        <v>1000</v>
      </c>
      <c r="J1623" s="2064" t="n">
        <f aca="false">C1623*I1623</f>
        <v>0</v>
      </c>
      <c r="K1623" s="1708"/>
      <c r="L1623" s="1995"/>
      <c r="M1623" s="2225"/>
      <c r="N1623" s="2255"/>
      <c r="O1623" s="2255"/>
      <c r="P1623" s="2255"/>
      <c r="Q1623" s="2255"/>
      <c r="R1623" s="2255"/>
      <c r="S1623" s="2255"/>
      <c r="T1623" s="1708"/>
      <c r="U1623" s="1708"/>
      <c r="V1623" s="1708"/>
      <c r="W1623" s="1708"/>
      <c r="X1623" s="1708"/>
      <c r="Y1623" s="1708"/>
    </row>
    <row r="1624" s="1709" customFormat="true" ht="15.75" hidden="false" customHeight="true" outlineLevel="1" collapsed="false">
      <c r="A1624" s="2211" t="str">
        <f aca="false">A1548</f>
        <v>Перемычка оконная, 1-ый эт. Вариант 3</v>
      </c>
      <c r="B1624" s="2064" t="str">
        <f aca="false">B1548</f>
        <v>м.п.</v>
      </c>
      <c r="C1624" s="1692" t="n">
        <f aca="false">C1548</f>
        <v>0</v>
      </c>
      <c r="D1624" s="1344" t="n">
        <f aca="false">$D$1612/1000</f>
        <v>0.2</v>
      </c>
      <c r="E1624" s="1344" t="n">
        <f aca="false">E1548</f>
        <v>1.4</v>
      </c>
      <c r="F1624" s="1344" t="n">
        <f aca="false">F1548</f>
        <v>300</v>
      </c>
      <c r="G1624" s="1344" t="n">
        <f aca="false">G1548</f>
        <v>0</v>
      </c>
      <c r="H1624" s="1344"/>
      <c r="I1624" s="2211" t="n">
        <f aca="false">I1548</f>
        <v>1000</v>
      </c>
      <c r="J1624" s="2064" t="n">
        <f aca="false">C1624*I1624</f>
        <v>0</v>
      </c>
      <c r="K1624" s="1708"/>
      <c r="L1624" s="1995"/>
      <c r="M1624" s="2225"/>
      <c r="N1624" s="1707"/>
      <c r="O1624" s="1707"/>
      <c r="P1624" s="1707"/>
      <c r="Q1624" s="1707"/>
      <c r="R1624" s="1707"/>
      <c r="S1624" s="1707"/>
      <c r="T1624" s="1708"/>
      <c r="U1624" s="1708"/>
      <c r="V1624" s="1708"/>
      <c r="W1624" s="1708"/>
      <c r="X1624" s="1708"/>
      <c r="Y1624" s="1708"/>
    </row>
    <row r="1625" s="1709" customFormat="true" ht="15.75" hidden="false" customHeight="true" outlineLevel="1" collapsed="false">
      <c r="A1625" s="2211" t="str">
        <f aca="false">A1549</f>
        <v>Перемычка оконная, 1-ый эт. Вариант 4</v>
      </c>
      <c r="B1625" s="2064" t="str">
        <f aca="false">B1549</f>
        <v>м.п.</v>
      </c>
      <c r="C1625" s="1692" t="n">
        <f aca="false">C1549</f>
        <v>0</v>
      </c>
      <c r="D1625" s="1344" t="n">
        <f aca="false">$D$1612/1000</f>
        <v>0.2</v>
      </c>
      <c r="E1625" s="1344" t="n">
        <f aca="false">E1549</f>
        <v>1</v>
      </c>
      <c r="F1625" s="1344" t="n">
        <f aca="false">F1549</f>
        <v>300</v>
      </c>
      <c r="G1625" s="1344" t="n">
        <f aca="false">G1549</f>
        <v>0</v>
      </c>
      <c r="H1625" s="1344"/>
      <c r="I1625" s="2211" t="n">
        <f aca="false">I1549</f>
        <v>1000</v>
      </c>
      <c r="J1625" s="2064" t="n">
        <f aca="false">C1625*I1625</f>
        <v>0</v>
      </c>
      <c r="K1625" s="1708"/>
      <c r="L1625" s="1995"/>
      <c r="M1625" s="2225"/>
      <c r="N1625" s="1707"/>
      <c r="O1625" s="1707"/>
      <c r="P1625" s="1707"/>
      <c r="Q1625" s="1707"/>
      <c r="R1625" s="1707"/>
      <c r="S1625" s="1707"/>
      <c r="T1625" s="1708"/>
      <c r="U1625" s="1708"/>
      <c r="V1625" s="1708"/>
      <c r="W1625" s="1708"/>
      <c r="X1625" s="1708"/>
      <c r="Y1625" s="1708"/>
    </row>
    <row r="1626" s="1709" customFormat="true" ht="15.75" hidden="false" customHeight="true" outlineLevel="1" collapsed="false">
      <c r="A1626" s="2211" t="str">
        <f aca="false">A1550</f>
        <v>Перемычка оконная, 1-ый эт. Вариант 5</v>
      </c>
      <c r="B1626" s="2064" t="str">
        <f aca="false">B1550</f>
        <v>м.п.</v>
      </c>
      <c r="C1626" s="1692" t="n">
        <f aca="false">C1550</f>
        <v>0</v>
      </c>
      <c r="D1626" s="1344" t="n">
        <f aca="false">$D$1612/1000</f>
        <v>0.2</v>
      </c>
      <c r="E1626" s="1344" t="n">
        <f aca="false">E1550</f>
        <v>0.9</v>
      </c>
      <c r="F1626" s="1344" t="n">
        <f aca="false">F1550</f>
        <v>300</v>
      </c>
      <c r="G1626" s="1344" t="n">
        <f aca="false">G1550</f>
        <v>0</v>
      </c>
      <c r="H1626" s="1344"/>
      <c r="I1626" s="2211" t="n">
        <f aca="false">I1550</f>
        <v>1000</v>
      </c>
      <c r="J1626" s="2064" t="n">
        <f aca="false">C1626*I1626</f>
        <v>0</v>
      </c>
      <c r="K1626" s="1708"/>
      <c r="L1626" s="1995"/>
      <c r="M1626" s="2225"/>
      <c r="N1626" s="1707"/>
      <c r="O1626" s="1707"/>
      <c r="P1626" s="1707"/>
      <c r="Q1626" s="1707"/>
      <c r="R1626" s="1707"/>
      <c r="S1626" s="1707"/>
      <c r="T1626" s="1708"/>
      <c r="U1626" s="1708"/>
      <c r="V1626" s="1708"/>
      <c r="W1626" s="1708"/>
      <c r="X1626" s="1708"/>
      <c r="Y1626" s="1708"/>
    </row>
    <row r="1627" s="1709" customFormat="true" ht="15.75" hidden="false" customHeight="true" outlineLevel="1" collapsed="false">
      <c r="A1627" s="2211" t="str">
        <f aca="false">A1551</f>
        <v>Перемычка оконная, 2-ый эт. Вариант 6</v>
      </c>
      <c r="B1627" s="2064" t="str">
        <f aca="false">B1551</f>
        <v>м.п.</v>
      </c>
      <c r="C1627" s="1692" t="n">
        <f aca="false">C1551</f>
        <v>0</v>
      </c>
      <c r="D1627" s="1344" t="n">
        <f aca="false">$D$1612/1000</f>
        <v>0.2</v>
      </c>
      <c r="E1627" s="1344" t="n">
        <f aca="false">E1551</f>
        <v>1</v>
      </c>
      <c r="F1627" s="1344" t="n">
        <f aca="false">F1551</f>
        <v>300</v>
      </c>
      <c r="G1627" s="1344" t="n">
        <f aca="false">G1551</f>
        <v>0</v>
      </c>
      <c r="H1627" s="1344"/>
      <c r="I1627" s="2211" t="n">
        <f aca="false">I1551</f>
        <v>1000</v>
      </c>
      <c r="J1627" s="2064" t="n">
        <f aca="false">C1627*I1627</f>
        <v>0</v>
      </c>
      <c r="K1627" s="1708"/>
      <c r="L1627" s="1995"/>
      <c r="M1627" s="2225"/>
      <c r="N1627" s="1707"/>
      <c r="O1627" s="1707"/>
      <c r="P1627" s="1707"/>
      <c r="Q1627" s="1707"/>
      <c r="R1627" s="1707"/>
      <c r="S1627" s="1707"/>
      <c r="T1627" s="1708"/>
      <c r="U1627" s="1708"/>
      <c r="V1627" s="1708"/>
      <c r="W1627" s="1708"/>
      <c r="X1627" s="1708"/>
      <c r="Y1627" s="1708"/>
    </row>
    <row r="1628" s="1709" customFormat="true" ht="15.75" hidden="false" customHeight="true" outlineLevel="1" collapsed="false">
      <c r="A1628" s="2211" t="str">
        <f aca="false">A1552</f>
        <v>Перемычка оконная, 2-ый эт. Вариант 7</v>
      </c>
      <c r="B1628" s="2064" t="str">
        <f aca="false">B1552</f>
        <v>м.п.</v>
      </c>
      <c r="C1628" s="1692" t="n">
        <f aca="false">C1552</f>
        <v>0</v>
      </c>
      <c r="D1628" s="1344" t="n">
        <f aca="false">$D$1612/1000</f>
        <v>0.2</v>
      </c>
      <c r="E1628" s="1344" t="n">
        <f aca="false">E1552</f>
        <v>1.2</v>
      </c>
      <c r="F1628" s="1344" t="n">
        <f aca="false">F1552</f>
        <v>300</v>
      </c>
      <c r="G1628" s="1344" t="n">
        <f aca="false">G1552</f>
        <v>0</v>
      </c>
      <c r="H1628" s="1344"/>
      <c r="I1628" s="2211" t="n">
        <f aca="false">I1552</f>
        <v>1000</v>
      </c>
      <c r="J1628" s="2064" t="n">
        <f aca="false">C1628*I1628</f>
        <v>0</v>
      </c>
      <c r="K1628" s="1708"/>
      <c r="L1628" s="1995"/>
      <c r="M1628" s="2225"/>
      <c r="N1628" s="1707"/>
      <c r="O1628" s="1707"/>
      <c r="P1628" s="1707"/>
      <c r="Q1628" s="1707"/>
      <c r="R1628" s="1707"/>
      <c r="S1628" s="1707"/>
      <c r="T1628" s="1708"/>
      <c r="U1628" s="1708"/>
      <c r="V1628" s="1708"/>
      <c r="W1628" s="1708"/>
      <c r="X1628" s="1708"/>
      <c r="Y1628" s="1708"/>
    </row>
    <row r="1629" s="1709" customFormat="true" ht="15.75" hidden="false" customHeight="true" outlineLevel="1" collapsed="false">
      <c r="A1629" s="2211" t="str">
        <f aca="false">A1553</f>
        <v>Перемычка оконная, 2-ый эт. Вариант 8</v>
      </c>
      <c r="B1629" s="2064" t="str">
        <f aca="false">B1553</f>
        <v>м.п.</v>
      </c>
      <c r="C1629" s="1692" t="n">
        <f aca="false">C1553</f>
        <v>0</v>
      </c>
      <c r="D1629" s="1344" t="n">
        <f aca="false">$D$1612/1000</f>
        <v>0.2</v>
      </c>
      <c r="E1629" s="1344" t="n">
        <f aca="false">E1553</f>
        <v>1.4</v>
      </c>
      <c r="F1629" s="1344" t="n">
        <f aca="false">F1553</f>
        <v>300</v>
      </c>
      <c r="G1629" s="1344" t="n">
        <f aca="false">G1553</f>
        <v>0</v>
      </c>
      <c r="H1629" s="1344"/>
      <c r="I1629" s="2211" t="n">
        <f aca="false">I1553</f>
        <v>1000</v>
      </c>
      <c r="J1629" s="2064" t="n">
        <f aca="false">C1629*I1629</f>
        <v>0</v>
      </c>
      <c r="K1629" s="1708"/>
      <c r="L1629" s="1995"/>
      <c r="M1629" s="2225"/>
      <c r="N1629" s="1707"/>
      <c r="O1629" s="1707"/>
      <c r="P1629" s="1707"/>
      <c r="Q1629" s="1707"/>
      <c r="R1629" s="1707"/>
      <c r="S1629" s="1707"/>
      <c r="T1629" s="1708"/>
      <c r="U1629" s="1708"/>
      <c r="V1629" s="1708"/>
      <c r="W1629" s="1708"/>
      <c r="X1629" s="1708"/>
      <c r="Y1629" s="1708"/>
    </row>
    <row r="1630" s="1709" customFormat="true" ht="15.75" hidden="false" customHeight="true" outlineLevel="1" collapsed="false">
      <c r="A1630" s="2211" t="str">
        <f aca="false">A1554</f>
        <v>Перемычка оконная, 2-ый эт. Вариант 9</v>
      </c>
      <c r="B1630" s="2064" t="str">
        <f aca="false">B1554</f>
        <v>м.п.</v>
      </c>
      <c r="C1630" s="1692" t="n">
        <f aca="false">C1554</f>
        <v>0</v>
      </c>
      <c r="D1630" s="1344" t="n">
        <f aca="false">$D$1612/1000</f>
        <v>0.2</v>
      </c>
      <c r="E1630" s="1344" t="n">
        <f aca="false">E1554</f>
        <v>5.4</v>
      </c>
      <c r="F1630" s="1344" t="n">
        <f aca="false">F1554</f>
        <v>300</v>
      </c>
      <c r="G1630" s="1344" t="n">
        <f aca="false">G1554</f>
        <v>0</v>
      </c>
      <c r="H1630" s="1344"/>
      <c r="I1630" s="2211" t="n">
        <f aca="false">I1554</f>
        <v>1000</v>
      </c>
      <c r="J1630" s="2064" t="n">
        <f aca="false">C1630*I1630</f>
        <v>0</v>
      </c>
      <c r="K1630" s="1708"/>
      <c r="L1630" s="1995"/>
      <c r="M1630" s="2225"/>
      <c r="N1630" s="1707"/>
      <c r="O1630" s="1707"/>
      <c r="P1630" s="1707"/>
      <c r="Q1630" s="1707"/>
      <c r="R1630" s="1707"/>
      <c r="S1630" s="1707"/>
      <c r="T1630" s="1708"/>
      <c r="U1630" s="1708"/>
      <c r="V1630" s="1708"/>
      <c r="W1630" s="1708"/>
      <c r="X1630" s="1708"/>
      <c r="Y1630" s="1708"/>
    </row>
    <row r="1631" s="1709" customFormat="true" ht="15.75" hidden="false" customHeight="true" outlineLevel="1" collapsed="false">
      <c r="A1631" s="2211" t="str">
        <f aca="false">A1555</f>
        <v>Перемычка оконная, 2-ый эт. Вариант 10</v>
      </c>
      <c r="B1631" s="2064" t="str">
        <f aca="false">B1555</f>
        <v>м.п.</v>
      </c>
      <c r="C1631" s="1692" t="n">
        <f aca="false">C1555</f>
        <v>0</v>
      </c>
      <c r="D1631" s="1344" t="n">
        <f aca="false">$D$1612/1000</f>
        <v>0.2</v>
      </c>
      <c r="E1631" s="1344" t="n">
        <f aca="false">E1555</f>
        <v>6.4</v>
      </c>
      <c r="F1631" s="1344" t="n">
        <f aca="false">F1555</f>
        <v>300</v>
      </c>
      <c r="G1631" s="1344" t="n">
        <f aca="false">G1555</f>
        <v>0</v>
      </c>
      <c r="H1631" s="1344"/>
      <c r="I1631" s="2211" t="n">
        <f aca="false">I1555</f>
        <v>1000</v>
      </c>
      <c r="J1631" s="2064" t="n">
        <f aca="false">C1631*I1631</f>
        <v>0</v>
      </c>
      <c r="K1631" s="1708"/>
      <c r="L1631" s="1995"/>
      <c r="M1631" s="2225"/>
      <c r="N1631" s="1707"/>
      <c r="O1631" s="1707"/>
      <c r="P1631" s="1707"/>
      <c r="Q1631" s="1707"/>
      <c r="R1631" s="1707"/>
      <c r="S1631" s="1707"/>
      <c r="T1631" s="1708"/>
      <c r="U1631" s="1708"/>
      <c r="V1631" s="1708"/>
      <c r="W1631" s="1708"/>
      <c r="X1631" s="1708"/>
      <c r="Y1631" s="1708"/>
    </row>
    <row r="1632" s="1709" customFormat="true" ht="15.75" hidden="false" customHeight="true" outlineLevel="1" collapsed="false">
      <c r="A1632" s="2211" t="str">
        <f aca="false">A1556</f>
        <v>Перемычка дверная, 1-ый эт. Вариант 1</v>
      </c>
      <c r="B1632" s="2064" t="str">
        <f aca="false">B1556</f>
        <v>м.п.</v>
      </c>
      <c r="C1632" s="1692" t="n">
        <f aca="false">C1556</f>
        <v>0</v>
      </c>
      <c r="D1632" s="1344" t="n">
        <f aca="false">$D$1612/1000</f>
        <v>0.2</v>
      </c>
      <c r="E1632" s="1344" t="n">
        <f aca="false">E1556</f>
        <v>1.2</v>
      </c>
      <c r="F1632" s="1344" t="n">
        <f aca="false">F1556</f>
        <v>200</v>
      </c>
      <c r="G1632" s="1344" t="n">
        <f aca="false">G1556</f>
        <v>0</v>
      </c>
      <c r="H1632" s="1344"/>
      <c r="I1632" s="2211" t="n">
        <f aca="false">I1556</f>
        <v>1000</v>
      </c>
      <c r="J1632" s="2064" t="n">
        <f aca="false">C1632*I1632</f>
        <v>0</v>
      </c>
      <c r="K1632" s="1708"/>
      <c r="L1632" s="1995"/>
      <c r="M1632" s="2225"/>
      <c r="N1632" s="1707"/>
      <c r="O1632" s="1707"/>
      <c r="P1632" s="1707"/>
      <c r="Q1632" s="1707"/>
      <c r="R1632" s="1707"/>
      <c r="S1632" s="1707"/>
      <c r="T1632" s="1708"/>
      <c r="U1632" s="1708"/>
      <c r="V1632" s="1708"/>
      <c r="W1632" s="1708"/>
      <c r="X1632" s="1708"/>
      <c r="Y1632" s="1708"/>
    </row>
    <row r="1633" s="1709" customFormat="true" ht="15.75" hidden="false" customHeight="true" outlineLevel="1" collapsed="false">
      <c r="A1633" s="2211" t="str">
        <f aca="false">A1557</f>
        <v>Перемычка дверная, 2-ый эт. Вариант 2</v>
      </c>
      <c r="B1633" s="2064" t="str">
        <f aca="false">B1557</f>
        <v>м.п.</v>
      </c>
      <c r="C1633" s="1692" t="n">
        <f aca="false">C1557</f>
        <v>0</v>
      </c>
      <c r="D1633" s="1344" t="n">
        <f aca="false">$D$1612/1000</f>
        <v>0.2</v>
      </c>
      <c r="E1633" s="1344" t="n">
        <f aca="false">E1557</f>
        <v>1.2</v>
      </c>
      <c r="F1633" s="1344" t="n">
        <f aca="false">F1557</f>
        <v>200</v>
      </c>
      <c r="G1633" s="1344" t="n">
        <f aca="false">G1557</f>
        <v>0</v>
      </c>
      <c r="H1633" s="1344"/>
      <c r="I1633" s="2211" t="n">
        <f aca="false">I1557</f>
        <v>1000</v>
      </c>
      <c r="J1633" s="2064" t="n">
        <f aca="false">C1633*I1633</f>
        <v>0</v>
      </c>
      <c r="K1633" s="1708"/>
      <c r="L1633" s="1995"/>
      <c r="M1633" s="2225"/>
      <c r="N1633" s="1707"/>
      <c r="O1633" s="1707"/>
      <c r="P1633" s="1707"/>
      <c r="Q1633" s="1707"/>
      <c r="R1633" s="1707"/>
      <c r="S1633" s="1707"/>
      <c r="T1633" s="1708"/>
      <c r="U1633" s="1708"/>
      <c r="V1633" s="1708"/>
      <c r="W1633" s="1708"/>
      <c r="X1633" s="1708"/>
      <c r="Y1633" s="1708"/>
    </row>
    <row r="1634" s="1709" customFormat="true" ht="15.75" hidden="false" customHeight="true" outlineLevel="1" collapsed="false">
      <c r="A1634" s="2211" t="str">
        <f aca="false">A1558</f>
        <v>Перемычка оконная 1-ый эт, Вариант 11</v>
      </c>
      <c r="B1634" s="2064" t="str">
        <f aca="false">B1558</f>
        <v>м.п.</v>
      </c>
      <c r="C1634" s="1692" t="n">
        <f aca="false">C1558</f>
        <v>0</v>
      </c>
      <c r="D1634" s="1344" t="n">
        <f aca="false">$D$1612/1000</f>
        <v>0.2</v>
      </c>
      <c r="E1634" s="1344" t="n">
        <f aca="false">E1558</f>
        <v>2.4</v>
      </c>
      <c r="F1634" s="1344" t="n">
        <f aca="false">F1558</f>
        <v>200</v>
      </c>
      <c r="G1634" s="1344" t="n">
        <f aca="false">G1558</f>
        <v>0</v>
      </c>
      <c r="H1634" s="1344"/>
      <c r="I1634" s="2211" t="n">
        <f aca="false">I1558</f>
        <v>1000</v>
      </c>
      <c r="J1634" s="2064" t="n">
        <f aca="false">C1634*I1634</f>
        <v>0</v>
      </c>
      <c r="K1634" s="1708"/>
      <c r="L1634" s="1995"/>
      <c r="M1634" s="2225"/>
      <c r="N1634" s="1707"/>
      <c r="O1634" s="1707"/>
      <c r="P1634" s="1707"/>
      <c r="Q1634" s="1707"/>
      <c r="R1634" s="1707"/>
      <c r="S1634" s="1707"/>
      <c r="T1634" s="1708"/>
      <c r="U1634" s="1708"/>
      <c r="V1634" s="1708"/>
      <c r="W1634" s="1708"/>
      <c r="X1634" s="1708"/>
      <c r="Y1634" s="1708"/>
    </row>
    <row r="1635" s="1709" customFormat="true" ht="15.75" hidden="false" customHeight="true" outlineLevel="1" collapsed="false">
      <c r="A1635" s="2211" t="str">
        <f aca="false">A1559</f>
        <v>Перемычка оконная 1-ый эт, Вариант 12</v>
      </c>
      <c r="B1635" s="2064" t="str">
        <f aca="false">B1559</f>
        <v>м.п.</v>
      </c>
      <c r="C1635" s="1692" t="n">
        <f aca="false">C1559</f>
        <v>0</v>
      </c>
      <c r="D1635" s="1344" t="n">
        <f aca="false">$D$1612/1000</f>
        <v>0.2</v>
      </c>
      <c r="E1635" s="1344" t="n">
        <f aca="false">E1559</f>
        <v>0.4</v>
      </c>
      <c r="F1635" s="1344" t="n">
        <f aca="false">F1559</f>
        <v>200</v>
      </c>
      <c r="G1635" s="1344" t="n">
        <f aca="false">G1559</f>
        <v>0</v>
      </c>
      <c r="H1635" s="1344"/>
      <c r="I1635" s="2211" t="n">
        <f aca="false">I1559</f>
        <v>1000</v>
      </c>
      <c r="J1635" s="2064" t="n">
        <f aca="false">C1635*I1635</f>
        <v>0</v>
      </c>
      <c r="K1635" s="1708"/>
      <c r="L1635" s="1995"/>
      <c r="M1635" s="2225"/>
      <c r="N1635" s="1707"/>
      <c r="O1635" s="1707"/>
      <c r="P1635" s="1707"/>
      <c r="Q1635" s="1707"/>
      <c r="R1635" s="1707"/>
      <c r="S1635" s="1707"/>
      <c r="T1635" s="1708"/>
      <c r="U1635" s="1708"/>
      <c r="V1635" s="1708"/>
      <c r="W1635" s="1708"/>
      <c r="X1635" s="1708"/>
      <c r="Y1635" s="1708"/>
    </row>
    <row r="1636" s="1709" customFormat="true" ht="15.75" hidden="false" customHeight="true" outlineLevel="1" collapsed="false">
      <c r="A1636" s="2211" t="str">
        <f aca="false">A1560</f>
        <v>Перемычка дверная, 1-ый эт. Вариант 4</v>
      </c>
      <c r="B1636" s="2064" t="str">
        <f aca="false">B1560</f>
        <v>м.п.</v>
      </c>
      <c r="C1636" s="1692" t="n">
        <f aca="false">C1560</f>
        <v>3</v>
      </c>
      <c r="D1636" s="1344" t="n">
        <f aca="false">$D$1613/1000</f>
        <v>0.2</v>
      </c>
      <c r="E1636" s="1344" t="n">
        <f aca="false">E1560</f>
        <v>1.2</v>
      </c>
      <c r="F1636" s="1344" t="n">
        <f aca="false">F1560</f>
        <v>200</v>
      </c>
      <c r="G1636" s="1344" t="n">
        <f aca="false">G1560</f>
        <v>4.8</v>
      </c>
      <c r="H1636" s="1344"/>
      <c r="I1636" s="2211" t="n">
        <f aca="false">I1560</f>
        <v>1000</v>
      </c>
      <c r="J1636" s="2064" t="n">
        <f aca="false">C1636*I1636</f>
        <v>3000</v>
      </c>
      <c r="K1636" s="1708"/>
      <c r="L1636" s="1995"/>
      <c r="M1636" s="2225"/>
      <c r="N1636" s="1707"/>
      <c r="O1636" s="1707"/>
      <c r="P1636" s="1707"/>
      <c r="Q1636" s="1707"/>
      <c r="R1636" s="1707"/>
      <c r="S1636" s="1707"/>
      <c r="T1636" s="1708"/>
      <c r="U1636" s="1708"/>
      <c r="V1636" s="1708"/>
      <c r="W1636" s="1708"/>
      <c r="X1636" s="1708"/>
      <c r="Y1636" s="1708"/>
    </row>
    <row r="1637" s="1709" customFormat="true" ht="15.75" hidden="false" customHeight="true" outlineLevel="1" collapsed="false">
      <c r="A1637" s="2211" t="str">
        <f aca="false">A1561</f>
        <v>Перемычка дверная, 1-ый эт. Вариант 5</v>
      </c>
      <c r="B1637" s="2064" t="str">
        <f aca="false">B1561</f>
        <v>м.п.</v>
      </c>
      <c r="C1637" s="1692" t="n">
        <f aca="false">C1561</f>
        <v>0</v>
      </c>
      <c r="D1637" s="1344" t="n">
        <f aca="false">$D$1613/1000</f>
        <v>0.2</v>
      </c>
      <c r="E1637" s="1344" t="n">
        <f aca="false">E1561</f>
        <v>1</v>
      </c>
      <c r="F1637" s="1344" t="n">
        <f aca="false">F1561</f>
        <v>200</v>
      </c>
      <c r="G1637" s="1344" t="n">
        <f aca="false">G1561</f>
        <v>0</v>
      </c>
      <c r="H1637" s="1344"/>
      <c r="I1637" s="2211" t="n">
        <f aca="false">I1561</f>
        <v>1000</v>
      </c>
      <c r="J1637" s="2064" t="n">
        <f aca="false">C1637*I1637</f>
        <v>0</v>
      </c>
      <c r="K1637" s="1708"/>
      <c r="L1637" s="1995"/>
      <c r="M1637" s="2225"/>
      <c r="N1637" s="1707"/>
      <c r="O1637" s="1707"/>
      <c r="P1637" s="1707"/>
      <c r="Q1637" s="1707"/>
      <c r="R1637" s="1707"/>
      <c r="S1637" s="1707"/>
      <c r="T1637" s="1708"/>
      <c r="U1637" s="1708"/>
      <c r="V1637" s="1708"/>
      <c r="W1637" s="1708"/>
      <c r="X1637" s="1708"/>
      <c r="Y1637" s="1708"/>
    </row>
    <row r="1638" s="1709" customFormat="true" ht="15.75" hidden="false" customHeight="true" outlineLevel="1" collapsed="false">
      <c r="A1638" s="2211" t="str">
        <f aca="false">A1562</f>
        <v>Перемычка дверная, 1-ый эт. Вариант 6</v>
      </c>
      <c r="B1638" s="2064" t="str">
        <f aca="false">B1562</f>
        <v>м.п.</v>
      </c>
      <c r="C1638" s="1692" t="n">
        <f aca="false">C1562</f>
        <v>0</v>
      </c>
      <c r="D1638" s="1344" t="n">
        <f aca="false">$D$1613/1000</f>
        <v>0.2</v>
      </c>
      <c r="E1638" s="1344" t="n">
        <f aca="false">E1562</f>
        <v>1.3</v>
      </c>
      <c r="F1638" s="1344" t="n">
        <f aca="false">F1562</f>
        <v>200</v>
      </c>
      <c r="G1638" s="1344" t="n">
        <f aca="false">G1562</f>
        <v>0</v>
      </c>
      <c r="H1638" s="1344"/>
      <c r="I1638" s="2211" t="n">
        <f aca="false">I1562</f>
        <v>1000</v>
      </c>
      <c r="J1638" s="2064" t="n">
        <f aca="false">C1638*I1638</f>
        <v>0</v>
      </c>
      <c r="K1638" s="1708"/>
      <c r="L1638" s="1995"/>
      <c r="M1638" s="2225"/>
      <c r="N1638" s="1707"/>
      <c r="O1638" s="1707"/>
      <c r="P1638" s="1707"/>
      <c r="Q1638" s="1707"/>
      <c r="R1638" s="1707"/>
      <c r="S1638" s="1707"/>
      <c r="T1638" s="1708"/>
      <c r="U1638" s="1708"/>
      <c r="V1638" s="1708"/>
      <c r="W1638" s="1708"/>
      <c r="X1638" s="1708"/>
      <c r="Y1638" s="1708"/>
    </row>
    <row r="1639" s="1709" customFormat="true" ht="15.75" hidden="false" customHeight="true" outlineLevel="1" collapsed="false">
      <c r="A1639" s="2211" t="str">
        <f aca="false">A1563</f>
        <v>Перемычка дверная, 2-ый эт. Вариант 7</v>
      </c>
      <c r="B1639" s="2064" t="str">
        <f aca="false">B1563</f>
        <v>м.п.</v>
      </c>
      <c r="C1639" s="1692" t="n">
        <f aca="false">C1563</f>
        <v>0</v>
      </c>
      <c r="D1639" s="1344" t="n">
        <f aca="false">$D$1613/1000</f>
        <v>0.2</v>
      </c>
      <c r="E1639" s="1344" t="n">
        <f aca="false">E1563</f>
        <v>1.2</v>
      </c>
      <c r="F1639" s="1344" t="n">
        <f aca="false">F1563</f>
        <v>200</v>
      </c>
      <c r="G1639" s="1344" t="n">
        <f aca="false">G1563</f>
        <v>0</v>
      </c>
      <c r="H1639" s="1344"/>
      <c r="I1639" s="2211" t="n">
        <f aca="false">I1563</f>
        <v>1000</v>
      </c>
      <c r="J1639" s="2064" t="n">
        <f aca="false">C1639*I1639</f>
        <v>0</v>
      </c>
      <c r="K1639" s="1708"/>
      <c r="L1639" s="1995"/>
      <c r="M1639" s="2225"/>
      <c r="N1639" s="1707"/>
      <c r="O1639" s="1707"/>
      <c r="P1639" s="1707"/>
      <c r="Q1639" s="1707"/>
      <c r="R1639" s="1707"/>
      <c r="S1639" s="1707"/>
      <c r="T1639" s="1708"/>
      <c r="U1639" s="1708"/>
      <c r="V1639" s="1708"/>
      <c r="W1639" s="1708"/>
      <c r="X1639" s="1708"/>
      <c r="Y1639" s="1708"/>
    </row>
    <row r="1640" s="1709" customFormat="true" ht="15.75" hidden="false" customHeight="true" outlineLevel="1" collapsed="false">
      <c r="A1640" s="2211" t="str">
        <f aca="false">A1564</f>
        <v>Перемычка дверная, 2-ый эт. Вариант 8</v>
      </c>
      <c r="B1640" s="2064" t="str">
        <f aca="false">B1564</f>
        <v>м.п.</v>
      </c>
      <c r="C1640" s="1692" t="n">
        <f aca="false">C1564</f>
        <v>0</v>
      </c>
      <c r="D1640" s="1344" t="n">
        <f aca="false">$D$1613/1000</f>
        <v>0.2</v>
      </c>
      <c r="E1640" s="1344" t="n">
        <f aca="false">E1564</f>
        <v>1.4</v>
      </c>
      <c r="F1640" s="1344" t="n">
        <f aca="false">F1564</f>
        <v>200</v>
      </c>
      <c r="G1640" s="1344" t="n">
        <f aca="false">G1564</f>
        <v>0</v>
      </c>
      <c r="H1640" s="1344"/>
      <c r="I1640" s="2211" t="n">
        <f aca="false">I1564</f>
        <v>1000</v>
      </c>
      <c r="J1640" s="2064" t="n">
        <f aca="false">C1640*I1640</f>
        <v>0</v>
      </c>
      <c r="K1640" s="1708"/>
      <c r="L1640" s="1995"/>
      <c r="M1640" s="2225"/>
      <c r="N1640" s="1707"/>
      <c r="O1640" s="1707"/>
      <c r="P1640" s="1707"/>
      <c r="Q1640" s="1707"/>
      <c r="R1640" s="1707"/>
      <c r="S1640" s="1707"/>
      <c r="T1640" s="1708"/>
      <c r="U1640" s="1708"/>
      <c r="V1640" s="1708"/>
      <c r="W1640" s="1708"/>
      <c r="X1640" s="1708"/>
      <c r="Y1640" s="1708"/>
    </row>
    <row r="1641" s="1709" customFormat="true" ht="15.75" hidden="false" customHeight="true" outlineLevel="1" collapsed="false">
      <c r="A1641" s="2211" t="str">
        <f aca="false">A1565</f>
        <v>Перемычка дверная, 2-ый эт. Вариант 9</v>
      </c>
      <c r="B1641" s="2064" t="str">
        <f aca="false">B1565</f>
        <v>м.п.</v>
      </c>
      <c r="C1641" s="1692" t="n">
        <f aca="false">C1565</f>
        <v>0</v>
      </c>
      <c r="D1641" s="1344" t="n">
        <f aca="false">$D$1613/1000</f>
        <v>0.2</v>
      </c>
      <c r="E1641" s="1344" t="n">
        <f aca="false">E1565</f>
        <v>1.4</v>
      </c>
      <c r="F1641" s="1344" t="n">
        <f aca="false">F1565</f>
        <v>200</v>
      </c>
      <c r="G1641" s="1344" t="n">
        <f aca="false">G1565</f>
        <v>0</v>
      </c>
      <c r="H1641" s="1344"/>
      <c r="I1641" s="2211" t="n">
        <f aca="false">I1565</f>
        <v>1000</v>
      </c>
      <c r="J1641" s="2064" t="n">
        <f aca="false">C1641*I1641</f>
        <v>0</v>
      </c>
      <c r="K1641" s="1708"/>
      <c r="L1641" s="1995"/>
      <c r="M1641" s="2225"/>
      <c r="N1641" s="1707"/>
      <c r="O1641" s="1707"/>
      <c r="P1641" s="1707"/>
      <c r="Q1641" s="1707"/>
      <c r="R1641" s="1707"/>
      <c r="S1641" s="1707"/>
      <c r="T1641" s="1708"/>
      <c r="U1641" s="1708"/>
      <c r="V1641" s="1708"/>
      <c r="W1641" s="1708"/>
      <c r="X1641" s="1708"/>
      <c r="Y1641" s="1708"/>
    </row>
    <row r="1642" s="1709" customFormat="true" ht="15.75" hidden="false" customHeight="true" outlineLevel="1" collapsed="false">
      <c r="A1642" s="2211" t="str">
        <f aca="false">A1566</f>
        <v>Перемычка проема, 1-ый эт. Вариант 10</v>
      </c>
      <c r="B1642" s="2064" t="str">
        <f aca="false">B1566</f>
        <v>м.п.</v>
      </c>
      <c r="C1642" s="1692" t="n">
        <f aca="false">C1566</f>
        <v>0</v>
      </c>
      <c r="D1642" s="1344" t="n">
        <f aca="false">$D$1613/1000</f>
        <v>0.2</v>
      </c>
      <c r="E1642" s="1344" t="n">
        <f aca="false">E1566</f>
        <v>2.4</v>
      </c>
      <c r="F1642" s="1344" t="n">
        <f aca="false">F1566</f>
        <v>200</v>
      </c>
      <c r="G1642" s="1344" t="n">
        <f aca="false">G1566</f>
        <v>0</v>
      </c>
      <c r="H1642" s="1344"/>
      <c r="I1642" s="2211" t="n">
        <f aca="false">I1566</f>
        <v>1000</v>
      </c>
      <c r="J1642" s="2064" t="n">
        <f aca="false">C1642*I1642</f>
        <v>0</v>
      </c>
      <c r="K1642" s="1708"/>
      <c r="L1642" s="1995"/>
      <c r="M1642" s="2225"/>
      <c r="N1642" s="1707"/>
      <c r="O1642" s="1707"/>
      <c r="P1642" s="1707"/>
      <c r="Q1642" s="1707"/>
      <c r="R1642" s="1707"/>
      <c r="S1642" s="1707"/>
      <c r="T1642" s="1708"/>
      <c r="U1642" s="1708"/>
      <c r="V1642" s="1708"/>
      <c r="W1642" s="1708"/>
      <c r="X1642" s="1708"/>
      <c r="Y1642" s="1708"/>
    </row>
    <row r="1643" s="1709" customFormat="true" ht="15.75" hidden="false" customHeight="true" outlineLevel="1" collapsed="false">
      <c r="A1643" s="2211" t="str">
        <f aca="false">A1567</f>
        <v>Перемычка проема, 1-ый эт. Вариант 11</v>
      </c>
      <c r="B1643" s="2064" t="str">
        <f aca="false">B1567</f>
        <v>м.п.</v>
      </c>
      <c r="C1643" s="1692" t="n">
        <f aca="false">C1567</f>
        <v>0</v>
      </c>
      <c r="D1643" s="1344" t="n">
        <f aca="false">$D$1613/1000</f>
        <v>0.2</v>
      </c>
      <c r="E1643" s="1344" t="n">
        <f aca="false">E1567</f>
        <v>1.8</v>
      </c>
      <c r="F1643" s="1344" t="n">
        <f aca="false">F1567</f>
        <v>200</v>
      </c>
      <c r="G1643" s="1344" t="n">
        <f aca="false">G1567</f>
        <v>0</v>
      </c>
      <c r="H1643" s="1344"/>
      <c r="I1643" s="2211" t="n">
        <f aca="false">I1567</f>
        <v>1000</v>
      </c>
      <c r="J1643" s="2064" t="n">
        <f aca="false">C1643*I1643</f>
        <v>0</v>
      </c>
      <c r="K1643" s="1708"/>
      <c r="L1643" s="1995"/>
      <c r="M1643" s="2225"/>
      <c r="N1643" s="1707"/>
      <c r="O1643" s="1707"/>
      <c r="P1643" s="1707"/>
      <c r="Q1643" s="1707"/>
      <c r="R1643" s="1707"/>
      <c r="S1643" s="1707"/>
      <c r="T1643" s="1708"/>
      <c r="U1643" s="1708"/>
      <c r="V1643" s="1708"/>
      <c r="W1643" s="1708"/>
      <c r="X1643" s="1708"/>
      <c r="Y1643" s="1708"/>
    </row>
    <row r="1644" s="1709" customFormat="true" ht="15.75" hidden="false" customHeight="true" outlineLevel="1" collapsed="false">
      <c r="A1644" s="2211" t="str">
        <f aca="false">A1568</f>
        <v>Перемычка проема, 2-ый эт. Вариант 12</v>
      </c>
      <c r="B1644" s="2064" t="str">
        <f aca="false">B1568</f>
        <v>м.п.</v>
      </c>
      <c r="C1644" s="1692" t="n">
        <f aca="false">C1568</f>
        <v>0</v>
      </c>
      <c r="D1644" s="1344" t="n">
        <f aca="false">$D$1613/1000</f>
        <v>0.2</v>
      </c>
      <c r="E1644" s="1344" t="n">
        <f aca="false">E1568</f>
        <v>2.4</v>
      </c>
      <c r="F1644" s="1344" t="n">
        <f aca="false">F1568</f>
        <v>200</v>
      </c>
      <c r="G1644" s="1344" t="n">
        <f aca="false">G1568</f>
        <v>0</v>
      </c>
      <c r="H1644" s="1344"/>
      <c r="I1644" s="2211" t="n">
        <f aca="false">I1568</f>
        <v>1000</v>
      </c>
      <c r="J1644" s="2064" t="n">
        <f aca="false">C1644*I1644</f>
        <v>0</v>
      </c>
      <c r="K1644" s="1708"/>
      <c r="L1644" s="1995"/>
      <c r="M1644" s="2225"/>
      <c r="N1644" s="1707"/>
      <c r="O1644" s="1707"/>
      <c r="P1644" s="1707"/>
      <c r="Q1644" s="1707"/>
      <c r="R1644" s="1707"/>
      <c r="S1644" s="1707"/>
      <c r="T1644" s="1708"/>
      <c r="U1644" s="1708"/>
      <c r="V1644" s="1708"/>
      <c r="W1644" s="1708"/>
      <c r="X1644" s="1708"/>
      <c r="Y1644" s="1708"/>
    </row>
    <row r="1645" s="1709" customFormat="true" ht="15.75" hidden="false" customHeight="true" outlineLevel="1" collapsed="false">
      <c r="A1645" s="2211" t="str">
        <f aca="false">A1569</f>
        <v>Перемычка проема, 2-ый эт. Вариант 13</v>
      </c>
      <c r="B1645" s="2064" t="str">
        <f aca="false">B1569</f>
        <v>м.п.</v>
      </c>
      <c r="C1645" s="1692" t="n">
        <f aca="false">C1569</f>
        <v>0</v>
      </c>
      <c r="D1645" s="1344" t="n">
        <f aca="false">$D$1613/1000</f>
        <v>0.2</v>
      </c>
      <c r="E1645" s="1344" t="n">
        <f aca="false">E1569</f>
        <v>2.4</v>
      </c>
      <c r="F1645" s="1344" t="n">
        <f aca="false">F1569</f>
        <v>200</v>
      </c>
      <c r="G1645" s="1344" t="n">
        <f aca="false">G1569</f>
        <v>0</v>
      </c>
      <c r="H1645" s="1344"/>
      <c r="I1645" s="2211" t="n">
        <f aca="false">I1569</f>
        <v>1000</v>
      </c>
      <c r="J1645" s="2064" t="n">
        <f aca="false">C1645*I1645</f>
        <v>0</v>
      </c>
      <c r="K1645" s="1708"/>
      <c r="L1645" s="1995"/>
      <c r="M1645" s="2225"/>
      <c r="N1645" s="1707"/>
      <c r="O1645" s="1707"/>
      <c r="P1645" s="1707"/>
      <c r="Q1645" s="1707"/>
      <c r="R1645" s="1707"/>
      <c r="S1645" s="1707"/>
      <c r="T1645" s="1708"/>
      <c r="U1645" s="1708"/>
      <c r="V1645" s="1708"/>
      <c r="W1645" s="1708"/>
      <c r="X1645" s="1708"/>
      <c r="Y1645" s="1708"/>
    </row>
    <row r="1646" s="1709" customFormat="true" ht="15.75" hidden="false" customHeight="true" outlineLevel="1" collapsed="false">
      <c r="A1646" s="2211" t="str">
        <f aca="false">A1570</f>
        <v>Перемычка дверная, 1-ый эт. Вариант 1</v>
      </c>
      <c r="B1646" s="2064" t="str">
        <f aca="false">B1570</f>
        <v>м.п.</v>
      </c>
      <c r="C1646" s="1692" t="n">
        <f aca="false">C1570</f>
        <v>0</v>
      </c>
      <c r="D1646" s="1344" t="n">
        <f aca="false">D1612/1000</f>
        <v>0.2</v>
      </c>
      <c r="E1646" s="1344" t="n">
        <f aca="false">E1570</f>
        <v>1.2</v>
      </c>
      <c r="F1646" s="1344" t="n">
        <f aca="false">F1570</f>
        <v>300</v>
      </c>
      <c r="G1646" s="1344" t="n">
        <f aca="false">G1570</f>
        <v>0</v>
      </c>
      <c r="H1646" s="1344"/>
      <c r="I1646" s="2211" t="n">
        <f aca="false">I1570</f>
        <v>1000</v>
      </c>
      <c r="J1646" s="2064" t="n">
        <f aca="false">C1646*I1646</f>
        <v>0</v>
      </c>
      <c r="K1646" s="1708"/>
      <c r="L1646" s="1995"/>
      <c r="M1646" s="2225"/>
      <c r="N1646" s="1707"/>
      <c r="O1646" s="1707"/>
      <c r="P1646" s="1707"/>
      <c r="Q1646" s="1707"/>
      <c r="R1646" s="1707"/>
      <c r="S1646" s="1707"/>
      <c r="T1646" s="1708"/>
      <c r="U1646" s="1708"/>
      <c r="V1646" s="1708"/>
      <c r="W1646" s="1708"/>
      <c r="X1646" s="1708"/>
      <c r="Y1646" s="1708"/>
    </row>
    <row r="1647" s="1709" customFormat="true" ht="15.75" hidden="false" customHeight="true" outlineLevel="1" collapsed="false">
      <c r="A1647" s="2211" t="str">
        <f aca="false">A1571</f>
        <v>Перемычка дверная, 1-ый эт. Вариант 2</v>
      </c>
      <c r="B1647" s="2064" t="str">
        <f aca="false">B1571</f>
        <v>м.п.</v>
      </c>
      <c r="C1647" s="1692" t="n">
        <f aca="false">C1571</f>
        <v>1</v>
      </c>
      <c r="D1647" s="1344" t="n">
        <f aca="false">D1612/1000</f>
        <v>0.2</v>
      </c>
      <c r="E1647" s="1344" t="n">
        <f aca="false">E1571</f>
        <v>1.3</v>
      </c>
      <c r="F1647" s="1344" t="n">
        <f aca="false">F1571</f>
        <v>300</v>
      </c>
      <c r="G1647" s="1344" t="n">
        <f aca="false">G1571</f>
        <v>1.7</v>
      </c>
      <c r="H1647" s="1344"/>
      <c r="I1647" s="2211" t="n">
        <f aca="false">I1571</f>
        <v>1000</v>
      </c>
      <c r="J1647" s="2064" t="n">
        <f aca="false">C1647*I1647</f>
        <v>1000</v>
      </c>
      <c r="K1647" s="1708"/>
      <c r="L1647" s="1995"/>
      <c r="M1647" s="2225"/>
      <c r="N1647" s="1707"/>
      <c r="O1647" s="1707"/>
      <c r="P1647" s="1707"/>
      <c r="Q1647" s="1707"/>
      <c r="R1647" s="1707"/>
      <c r="S1647" s="1707"/>
      <c r="T1647" s="1708"/>
      <c r="U1647" s="1708"/>
      <c r="V1647" s="1708"/>
      <c r="W1647" s="1708"/>
      <c r="X1647" s="1708"/>
      <c r="Y1647" s="1708"/>
    </row>
    <row r="1648" s="1709" customFormat="true" ht="15.75" hidden="false" customHeight="true" outlineLevel="1" collapsed="false">
      <c r="A1648" s="2211" t="str">
        <f aca="false">A1572</f>
        <v>Перемычка дверная, 1-ый эт. Вариант 3</v>
      </c>
      <c r="B1648" s="2064" t="str">
        <f aca="false">B1572</f>
        <v>м.п.</v>
      </c>
      <c r="C1648" s="1692" t="n">
        <f aca="false">C1572</f>
        <v>0</v>
      </c>
      <c r="D1648" s="1344" t="n">
        <f aca="false">D1612/1000</f>
        <v>0.2</v>
      </c>
      <c r="E1648" s="1344" t="n">
        <f aca="false">E1572</f>
        <v>1.4</v>
      </c>
      <c r="F1648" s="1344" t="n">
        <f aca="false">F1572</f>
        <v>300</v>
      </c>
      <c r="G1648" s="1344" t="n">
        <f aca="false">G1572</f>
        <v>0</v>
      </c>
      <c r="H1648" s="1344"/>
      <c r="I1648" s="2211" t="n">
        <f aca="false">I1572</f>
        <v>1000</v>
      </c>
      <c r="J1648" s="2064" t="n">
        <f aca="false">C1648*I1648</f>
        <v>0</v>
      </c>
      <c r="K1648" s="1708"/>
      <c r="L1648" s="1995"/>
      <c r="M1648" s="2225"/>
      <c r="N1648" s="1707"/>
      <c r="O1648" s="1707"/>
      <c r="P1648" s="1707"/>
      <c r="Q1648" s="1707"/>
      <c r="R1648" s="1707"/>
      <c r="S1648" s="1707"/>
      <c r="T1648" s="1708"/>
      <c r="U1648" s="1708"/>
      <c r="V1648" s="1708"/>
      <c r="W1648" s="1708"/>
      <c r="X1648" s="1708"/>
      <c r="Y1648" s="1708"/>
    </row>
    <row r="1649" s="1709" customFormat="true" ht="15.75" hidden="false" customHeight="true" outlineLevel="1" collapsed="false">
      <c r="A1649" s="2211" t="str">
        <f aca="false">A1573</f>
        <v>Сосна влаж,200*40мм</v>
      </c>
      <c r="B1649" s="2064" t="str">
        <f aca="false">B1573</f>
        <v>м3</v>
      </c>
      <c r="C1649" s="1692" t="n">
        <f aca="false">C1573</f>
        <v>1.8512</v>
      </c>
      <c r="I1649" s="2211" t="n">
        <f aca="false">I1573</f>
        <v>6500</v>
      </c>
      <c r="J1649" s="2064" t="n">
        <f aca="false">C1649*I1649</f>
        <v>12032.8</v>
      </c>
      <c r="K1649" s="1708"/>
      <c r="L1649" s="1995"/>
      <c r="M1649" s="2225"/>
      <c r="N1649" s="1707"/>
      <c r="O1649" s="1707"/>
      <c r="P1649" s="1707"/>
      <c r="Q1649" s="1707"/>
      <c r="R1649" s="1707"/>
      <c r="S1649" s="1707"/>
      <c r="T1649" s="1708"/>
      <c r="U1649" s="1708"/>
      <c r="V1649" s="1708"/>
      <c r="W1649" s="1708"/>
      <c r="X1649" s="1708"/>
      <c r="Y1649" s="1708"/>
    </row>
    <row r="1650" s="1709" customFormat="true" ht="15.75" hidden="false" customHeight="true" outlineLevel="1" collapsed="false">
      <c r="A1650" s="2211" t="str">
        <f aca="false">A1574</f>
        <v>Сейсмопояс Арматура М10 4 нити</v>
      </c>
      <c r="B1650" s="2064" t="str">
        <f aca="false">B1574</f>
        <v>м.п.</v>
      </c>
      <c r="C1650" s="1692" t="n">
        <f aca="false">C1574</f>
        <v>281.6</v>
      </c>
      <c r="I1650" s="2211" t="n">
        <f aca="false">I1574</f>
        <v>21.0397</v>
      </c>
      <c r="J1650" s="2064" t="n">
        <f aca="false">C1650*I1650</f>
        <v>5924.77952</v>
      </c>
      <c r="K1650" s="1708"/>
      <c r="L1650" s="1995"/>
      <c r="M1650" s="2225"/>
      <c r="N1650" s="1707"/>
      <c r="O1650" s="1707"/>
      <c r="P1650" s="1707"/>
      <c r="Q1650" s="1707"/>
      <c r="R1650" s="1707"/>
      <c r="S1650" s="1707"/>
      <c r="T1650" s="1708"/>
      <c r="U1650" s="1708"/>
      <c r="V1650" s="1708"/>
      <c r="W1650" s="1708"/>
      <c r="X1650" s="1708"/>
      <c r="Y1650" s="1708"/>
    </row>
    <row r="1651" s="1709" customFormat="true" ht="15.75" hidden="false" customHeight="true" outlineLevel="1" collapsed="false">
      <c r="A1651" s="2211" t="str">
        <f aca="false">A1575</f>
        <v>Хомут для сейсмопояса Арматура М6, шаг 400мм</v>
      </c>
      <c r="B1651" s="2064" t="str">
        <f aca="false">B1575</f>
        <v>м.п.</v>
      </c>
      <c r="C1651" s="1692" t="n">
        <f aca="false">C1575</f>
        <v>144</v>
      </c>
      <c r="I1651" s="2211" t="n">
        <f aca="false">I1575</f>
        <v>0</v>
      </c>
      <c r="J1651" s="2064" t="n">
        <f aca="false">C1651*I1651</f>
        <v>0</v>
      </c>
      <c r="K1651" s="1708"/>
      <c r="L1651" s="1995"/>
      <c r="M1651" s="2225"/>
      <c r="N1651" s="1707"/>
      <c r="O1651" s="1707"/>
      <c r="P1651" s="1707"/>
      <c r="Q1651" s="1707"/>
      <c r="R1651" s="1707"/>
      <c r="S1651" s="1707"/>
      <c r="T1651" s="1708"/>
      <c r="U1651" s="1708"/>
      <c r="V1651" s="1708"/>
      <c r="W1651" s="1708"/>
      <c r="X1651" s="1708"/>
      <c r="Y1651" s="1708"/>
    </row>
    <row r="1652" s="1709" customFormat="true" ht="15.75" hidden="false" customHeight="true" outlineLevel="1" collapsed="false">
      <c r="A1652" s="2211" t="str">
        <f aca="false">A1576</f>
        <v>Бетон, м300</v>
      </c>
      <c r="B1652" s="2064" t="str">
        <f aca="false">B1576</f>
        <v>м3</v>
      </c>
      <c r="C1652" s="1692" t="n">
        <f aca="false">C1576</f>
        <v>2.8833</v>
      </c>
      <c r="I1652" s="2211" t="n">
        <f aca="false">I1576</f>
        <v>3000</v>
      </c>
      <c r="J1652" s="2064" t="n">
        <f aca="false">C1652*I1652</f>
        <v>8649.9</v>
      </c>
      <c r="K1652" s="1708"/>
      <c r="L1652" s="1995"/>
      <c r="M1652" s="2225"/>
      <c r="N1652" s="1707"/>
      <c r="O1652" s="1707"/>
      <c r="P1652" s="1707"/>
      <c r="Q1652" s="1707"/>
      <c r="R1652" s="1707"/>
      <c r="S1652" s="1707"/>
      <c r="T1652" s="1708"/>
      <c r="U1652" s="1708"/>
      <c r="V1652" s="1708"/>
      <c r="W1652" s="1708"/>
      <c r="X1652" s="1708"/>
      <c r="Y1652" s="1708"/>
    </row>
    <row r="1653" s="1709" customFormat="true" ht="15.75" hidden="false" customHeight="true" outlineLevel="1" collapsed="false">
      <c r="A1653" s="2211" t="str">
        <f aca="false">A1577</f>
        <v>Нет техники</v>
      </c>
      <c r="B1653" s="2064" t="str">
        <f aca="false">B1577</f>
        <v>час</v>
      </c>
      <c r="C1653" s="1692" t="n">
        <f aca="false">C1577</f>
        <v>0</v>
      </c>
      <c r="I1653" s="2211" t="n">
        <f aca="false">I1577</f>
        <v>0</v>
      </c>
      <c r="J1653" s="2064" t="n">
        <f aca="false">C1653*I1653</f>
        <v>0</v>
      </c>
      <c r="K1653" s="1708"/>
      <c r="L1653" s="1995"/>
      <c r="M1653" s="2225"/>
      <c r="N1653" s="1707"/>
      <c r="O1653" s="1707"/>
      <c r="P1653" s="1707"/>
      <c r="Q1653" s="1707"/>
      <c r="R1653" s="1707"/>
      <c r="S1653" s="1707"/>
      <c r="T1653" s="1708"/>
      <c r="U1653" s="1708"/>
      <c r="V1653" s="1708"/>
      <c r="W1653" s="1708"/>
      <c r="X1653" s="1708"/>
      <c r="Y1653" s="1708"/>
    </row>
    <row r="1654" s="1709" customFormat="true" ht="15.75" hidden="false" customHeight="true" outlineLevel="1" collapsed="false">
      <c r="A1654" s="2211" t="str">
        <f aca="false">A1578</f>
        <v>Нет техники</v>
      </c>
      <c r="B1654" s="2064" t="str">
        <f aca="false">B1578</f>
        <v>час</v>
      </c>
      <c r="C1654" s="1692" t="n">
        <f aca="false">C1578</f>
        <v>0</v>
      </c>
      <c r="I1654" s="2211" t="n">
        <f aca="false">I1578</f>
        <v>0</v>
      </c>
      <c r="J1654" s="2064" t="n">
        <f aca="false">C1654*I1654</f>
        <v>0</v>
      </c>
      <c r="K1654" s="1708"/>
      <c r="L1654" s="1995"/>
      <c r="M1654" s="2225"/>
      <c r="N1654" s="1707"/>
      <c r="O1654" s="1707"/>
      <c r="P1654" s="1707"/>
      <c r="Q1654" s="1707"/>
      <c r="R1654" s="1707"/>
      <c r="S1654" s="1707"/>
      <c r="T1654" s="1708"/>
      <c r="U1654" s="1708"/>
      <c r="V1654" s="1708"/>
      <c r="W1654" s="1708"/>
      <c r="X1654" s="1708"/>
      <c r="Y1654" s="1708"/>
    </row>
    <row r="1655" s="1709" customFormat="true" ht="15.75" hidden="false" customHeight="true" outlineLevel="1" collapsed="false">
      <c r="A1655" s="2211" t="str">
        <f aca="false">A1579</f>
        <v>Нет</v>
      </c>
      <c r="B1655" s="2064" t="str">
        <f aca="false">B1579</f>
        <v>м3</v>
      </c>
      <c r="C1655" s="1692" t="n">
        <f aca="false">C1605*G1589*VLOOKUP(A1579,'Прайс лист'!B600:G639,3,0)</f>
        <v>0</v>
      </c>
      <c r="I1655" s="2211" t="n">
        <f aca="false">I1579</f>
        <v>0</v>
      </c>
      <c r="J1655" s="2064" t="n">
        <f aca="false">C1655*I1655</f>
        <v>0</v>
      </c>
      <c r="K1655" s="1708"/>
      <c r="L1655" s="1995"/>
      <c r="M1655" s="2225"/>
      <c r="N1655" s="1707"/>
      <c r="O1655" s="1707"/>
      <c r="P1655" s="1707"/>
      <c r="Q1655" s="1707"/>
      <c r="R1655" s="1707"/>
      <c r="S1655" s="1707"/>
      <c r="T1655" s="1708"/>
      <c r="U1655" s="1708"/>
      <c r="V1655" s="1708"/>
      <c r="W1655" s="1708"/>
      <c r="X1655" s="1708"/>
      <c r="Y1655" s="1708"/>
    </row>
    <row r="1656" customFormat="false" ht="15.75" hidden="false" customHeight="true" outlineLevel="1" collapsed="false">
      <c r="A1656" s="2211" t="str">
        <f aca="false">A1580</f>
        <v>Грибок для крепления утеплителя</v>
      </c>
      <c r="B1656" s="2064" t="str">
        <f aca="false">B1580</f>
        <v>шт</v>
      </c>
      <c r="C1656" s="1692" t="n">
        <f aca="false">C1605*6*G1589*D1596</f>
        <v>0</v>
      </c>
      <c r="I1656" s="2211" t="n">
        <f aca="false">I1580</f>
        <v>15</v>
      </c>
      <c r="J1656" s="2064" t="n">
        <f aca="false">C1656*I1656</f>
        <v>0</v>
      </c>
      <c r="K1656" s="2309"/>
      <c r="L1656" s="2294"/>
      <c r="M1656" s="2295"/>
      <c r="N1656" s="2290"/>
      <c r="O1656" s="2290"/>
      <c r="P1656" s="2290"/>
      <c r="Q1656" s="2290"/>
      <c r="R1656" s="2290"/>
      <c r="S1656" s="2290"/>
      <c r="T1656" s="1708"/>
      <c r="U1656" s="1708"/>
      <c r="V1656" s="1708"/>
      <c r="W1656" s="1708"/>
      <c r="X1656" s="1708"/>
      <c r="Y1656" s="1708"/>
    </row>
    <row r="1657" customFormat="false" ht="15.75" hidden="false" customHeight="true" outlineLevel="1" collapsed="false">
      <c r="A1657" s="2211" t="str">
        <f aca="false">A1581</f>
        <v>нет ветроизоляции</v>
      </c>
      <c r="B1657" s="2064" t="str">
        <f aca="false">B1581</f>
        <v>м2</v>
      </c>
      <c r="C1657" s="1692" t="n">
        <f aca="false">C1581</f>
        <v>0</v>
      </c>
      <c r="I1657" s="2211" t="n">
        <f aca="false">I1581</f>
        <v>0</v>
      </c>
      <c r="J1657" s="2064" t="n">
        <f aca="false">C1657*I1657</f>
        <v>0</v>
      </c>
      <c r="K1657" s="2309"/>
      <c r="L1657" s="2297"/>
      <c r="M1657" s="2296"/>
      <c r="N1657" s="2297"/>
      <c r="O1657" s="2290"/>
      <c r="P1657" s="2290"/>
      <c r="Q1657" s="2290"/>
      <c r="R1657" s="2290"/>
      <c r="S1657" s="2290"/>
      <c r="T1657" s="1708"/>
      <c r="U1657" s="1708"/>
      <c r="V1657" s="1708"/>
      <c r="W1657" s="1708"/>
      <c r="X1657" s="1708"/>
      <c r="Y1657" s="1708"/>
    </row>
    <row r="1658" customFormat="false" ht="15.75" hidden="false" customHeight="true" outlineLevel="1" collapsed="false">
      <c r="A1658" s="2211" t="str">
        <f aca="false">'Ввод данных'!A1200</f>
        <v>Командировочные расходы</v>
      </c>
      <c r="B1658" s="2064" t="s">
        <v>113</v>
      </c>
      <c r="C1658" s="1692" t="n">
        <f aca="false">1</f>
        <v>1</v>
      </c>
      <c r="I1658" s="2211" t="n">
        <f aca="false">'Ввод данных'!C1201*'Ввод данных'!C1202*'Ввод данных'!C1203*VLOOKUP('Ввод данных'!C1200,связи1!A2:B3,2,0)</f>
        <v>0</v>
      </c>
      <c r="J1658" s="2064" t="n">
        <f aca="false">C1658*I1658</f>
        <v>0</v>
      </c>
      <c r="K1658" s="2309"/>
      <c r="L1658" s="2310"/>
      <c r="M1658" s="2311"/>
      <c r="N1658" s="2297"/>
      <c r="O1658" s="2290"/>
      <c r="P1658" s="2290"/>
      <c r="Q1658" s="2290"/>
      <c r="R1658" s="2290"/>
      <c r="S1658" s="2290"/>
      <c r="T1658" s="1708"/>
      <c r="U1658" s="1708"/>
      <c r="V1658" s="1708"/>
      <c r="W1658" s="1708"/>
      <c r="X1658" s="1708"/>
      <c r="Y1658" s="1708"/>
    </row>
    <row r="1659" customFormat="false" ht="15.75" hidden="false" customHeight="true" outlineLevel="1" collapsed="false">
      <c r="A1659" s="2211" t="str">
        <f aca="false">'Ввод данных'!A1198</f>
        <v>расходные материалы каменные дома</v>
      </c>
      <c r="B1659" s="2064" t="str">
        <f aca="false">B1583</f>
        <v>шт</v>
      </c>
      <c r="C1659" s="1692" t="n">
        <f aca="false">C1583</f>
        <v>1</v>
      </c>
      <c r="I1659" s="2211" t="n">
        <f aca="false">I1583</f>
        <v>3000</v>
      </c>
      <c r="J1659" s="2064" t="n">
        <f aca="false">C1659*I1659</f>
        <v>3000</v>
      </c>
      <c r="K1659" s="2309"/>
      <c r="L1659" s="2294"/>
      <c r="M1659" s="2295"/>
      <c r="N1659" s="2290"/>
      <c r="O1659" s="2290"/>
      <c r="P1659" s="2290"/>
      <c r="Q1659" s="2290"/>
      <c r="R1659" s="2290"/>
      <c r="S1659" s="2290"/>
      <c r="T1659" s="1708"/>
      <c r="U1659" s="1708"/>
      <c r="V1659" s="1708"/>
      <c r="W1659" s="1708"/>
      <c r="X1659" s="1708"/>
      <c r="Y1659" s="1708"/>
    </row>
    <row r="1660" customFormat="false" ht="15.75" hidden="false" customHeight="true" outlineLevel="1" collapsed="false">
      <c r="A1660" s="2211" t="str">
        <f aca="false">A1584</f>
        <v>Нет техники</v>
      </c>
      <c r="B1660" s="2064" t="str">
        <f aca="false">B1584</f>
        <v>шт</v>
      </c>
      <c r="C1660" s="1692" t="n">
        <f aca="false">C1584</f>
        <v>0</v>
      </c>
      <c r="I1660" s="2211" t="n">
        <f aca="false">I1584</f>
        <v>0</v>
      </c>
      <c r="J1660" s="2064" t="n">
        <f aca="false">C1660*I1660</f>
        <v>0</v>
      </c>
      <c r="K1660" s="2309"/>
      <c r="L1660" s="2312"/>
      <c r="M1660" s="2313"/>
      <c r="N1660" s="2314"/>
      <c r="O1660" s="2314"/>
      <c r="P1660" s="2314"/>
      <c r="Q1660" s="2314"/>
      <c r="R1660" s="2314"/>
      <c r="S1660" s="2314"/>
      <c r="T1660" s="1708"/>
      <c r="U1660" s="1708"/>
      <c r="V1660" s="1708"/>
      <c r="W1660" s="1708"/>
      <c r="X1660" s="1708"/>
      <c r="Y1660" s="1708"/>
    </row>
    <row r="1661" customFormat="false" ht="15.75" hidden="false" customHeight="true" outlineLevel="1" collapsed="false">
      <c r="C1661" s="2315"/>
      <c r="I1661" s="2316"/>
      <c r="J1661" s="2316" t="n">
        <f aca="false">SUM(J1612:J1660)</f>
        <v>34607.47952</v>
      </c>
      <c r="K1661" s="2309"/>
      <c r="L1661" s="2288"/>
      <c r="M1661" s="2292"/>
      <c r="N1661" s="2288"/>
      <c r="O1661" s="2288"/>
      <c r="P1661" s="2288"/>
      <c r="Q1661" s="2288"/>
      <c r="R1661" s="2288"/>
      <c r="S1661" s="2288" t="n">
        <f aca="false">SUM(S1612:S1660)</f>
        <v>144401.666666667</v>
      </c>
      <c r="T1661" s="1708"/>
      <c r="U1661" s="1708"/>
      <c r="V1661" s="1708"/>
      <c r="W1661" s="1708"/>
      <c r="X1661" s="1708"/>
      <c r="Y1661" s="1708"/>
    </row>
    <row r="1662" customFormat="false" ht="15.75" hidden="false" customHeight="true" outlineLevel="1" collapsed="false">
      <c r="F1662" s="1708"/>
      <c r="G1662" s="1734"/>
      <c r="H1662" s="1734"/>
      <c r="I1662" s="2200"/>
      <c r="J1662" s="1734"/>
      <c r="K1662" s="1734"/>
      <c r="L1662" s="1734"/>
      <c r="M1662" s="1734"/>
      <c r="N1662" s="1734"/>
      <c r="O1662" s="1734"/>
      <c r="P1662" s="1708"/>
      <c r="Q1662" s="1708"/>
      <c r="R1662" s="1708"/>
      <c r="S1662" s="1708"/>
      <c r="T1662" s="1708"/>
      <c r="U1662" s="1708"/>
      <c r="V1662" s="1708"/>
      <c r="W1662" s="1708"/>
      <c r="X1662" s="1708"/>
      <c r="Y1662" s="1708"/>
    </row>
    <row r="1663" customFormat="false" ht="15.75" hidden="false" customHeight="true" outlineLevel="0" collapsed="false">
      <c r="A1663" s="2317" t="s">
        <v>3872</v>
      </c>
      <c r="B1663" s="2141"/>
      <c r="C1663" s="2233" t="s">
        <v>3811</v>
      </c>
      <c r="D1663" s="2146"/>
      <c r="E1663" s="2146"/>
      <c r="F1663" s="2147"/>
      <c r="G1663" s="1708"/>
      <c r="H1663" s="1708"/>
      <c r="I1663" s="2230"/>
      <c r="J1663" s="1708"/>
      <c r="K1663" s="1708"/>
      <c r="L1663" s="1708"/>
      <c r="M1663" s="1708"/>
      <c r="N1663" s="1708"/>
      <c r="O1663" s="1708"/>
      <c r="P1663" s="1708"/>
      <c r="Q1663" s="1708"/>
      <c r="R1663" s="1617"/>
      <c r="S1663" s="1617"/>
      <c r="T1663" s="1617"/>
      <c r="U1663" s="1617"/>
      <c r="V1663" s="1617"/>
      <c r="W1663" s="1617"/>
      <c r="X1663" s="1617"/>
      <c r="Y1663" s="1617"/>
    </row>
    <row r="1664" customFormat="false" ht="15.75" hidden="false" customHeight="true" outlineLevel="0" collapsed="false">
      <c r="A1664" s="1617"/>
      <c r="B1664" s="2318"/>
      <c r="C1664" s="2318"/>
      <c r="D1664" s="1617"/>
      <c r="E1664" s="1617"/>
      <c r="F1664" s="1617"/>
      <c r="G1664" s="1617"/>
      <c r="H1664" s="1617"/>
      <c r="I1664" s="2319"/>
      <c r="J1664" s="1617"/>
      <c r="K1664" s="1617"/>
      <c r="L1664" s="1617"/>
      <c r="M1664" s="1617"/>
      <c r="N1664" s="1617"/>
      <c r="O1664" s="1617"/>
      <c r="P1664" s="1617"/>
      <c r="Q1664" s="1617"/>
      <c r="R1664" s="1617"/>
      <c r="S1664" s="1617"/>
      <c r="T1664" s="1617"/>
      <c r="U1664" s="1617"/>
      <c r="V1664" s="1617"/>
      <c r="W1664" s="1617"/>
      <c r="X1664" s="1617"/>
      <c r="Y1664" s="1617"/>
    </row>
    <row r="1665" customFormat="false" ht="15.75" hidden="false" customHeight="true" outlineLevel="1" collapsed="false">
      <c r="A1665" s="2320" t="s">
        <v>3873</v>
      </c>
      <c r="B1665" s="2321"/>
      <c r="C1665" s="2321"/>
      <c r="D1665" s="2322"/>
      <c r="E1665" s="2322"/>
      <c r="F1665" s="2322"/>
      <c r="G1665" s="2322"/>
      <c r="H1665" s="2322"/>
      <c r="I1665" s="2323"/>
      <c r="J1665" s="2322"/>
      <c r="K1665" s="2322"/>
      <c r="L1665" s="2322"/>
      <c r="M1665" s="2322"/>
      <c r="N1665" s="2322"/>
      <c r="O1665" s="2322"/>
      <c r="P1665" s="2324"/>
      <c r="Q1665" s="2055"/>
      <c r="R1665" s="1708"/>
      <c r="S1665" s="1708"/>
      <c r="T1665" s="1708"/>
      <c r="U1665" s="1708"/>
      <c r="V1665" s="1708"/>
      <c r="W1665" s="1708"/>
      <c r="X1665" s="1708"/>
      <c r="Y1665" s="1708"/>
    </row>
    <row r="1666" customFormat="false" ht="15.75" hidden="false" customHeight="true" outlineLevel="1" collapsed="false">
      <c r="A1666" s="2325"/>
      <c r="B1666" s="2326"/>
      <c r="C1666" s="2326"/>
      <c r="D1666" s="2327"/>
      <c r="E1666" s="2327"/>
      <c r="F1666" s="2327"/>
      <c r="G1666" s="2327"/>
      <c r="H1666" s="2327"/>
      <c r="I1666" s="2328"/>
      <c r="J1666" s="2327"/>
      <c r="K1666" s="2327"/>
      <c r="L1666" s="2327"/>
      <c r="M1666" s="2327"/>
      <c r="N1666" s="2327"/>
      <c r="O1666" s="2327"/>
      <c r="P1666" s="2329"/>
      <c r="Q1666" s="2055"/>
      <c r="R1666" s="1708"/>
      <c r="S1666" s="1708"/>
      <c r="T1666" s="1708"/>
      <c r="U1666" s="1708"/>
      <c r="V1666" s="1708"/>
      <c r="W1666" s="1708"/>
      <c r="X1666" s="1708"/>
      <c r="Y1666" s="1708"/>
    </row>
    <row r="1667" customFormat="false" ht="15.75" hidden="false" customHeight="true" outlineLevel="1" collapsed="false">
      <c r="A1667" s="2192" t="s">
        <v>461</v>
      </c>
      <c r="B1667" s="2193"/>
      <c r="C1667" s="2193"/>
      <c r="D1667" s="2194"/>
      <c r="E1667" s="2194"/>
      <c r="F1667" s="2195"/>
      <c r="G1667" s="2244" t="n">
        <f aca="false">'Ввод данных'!D1155</f>
        <v>1.1</v>
      </c>
      <c r="H1667" s="2245"/>
      <c r="J1667" s="2179" t="n">
        <f aca="false">'Ввод данных'!D1156</f>
        <v>1</v>
      </c>
      <c r="K1667" s="2179"/>
      <c r="L1667" s="2179"/>
      <c r="M1667" s="2179"/>
      <c r="N1667" s="2179"/>
      <c r="O1667" s="2179"/>
      <c r="P1667" s="2179"/>
      <c r="Q1667" s="2055"/>
      <c r="R1667" s="1708"/>
      <c r="S1667" s="1708"/>
      <c r="T1667" s="1708"/>
      <c r="U1667" s="1708"/>
      <c r="V1667" s="1708"/>
      <c r="W1667" s="1708"/>
      <c r="X1667" s="1708"/>
      <c r="Y1667" s="1708"/>
    </row>
    <row r="1668" customFormat="false" ht="15.75" hidden="false" customHeight="true" outlineLevel="1" collapsed="false">
      <c r="A1668" s="2330"/>
      <c r="B1668" s="2331"/>
      <c r="C1668" s="2331"/>
      <c r="D1668" s="2332"/>
      <c r="E1668" s="2332"/>
      <c r="F1668" s="2333"/>
      <c r="G1668" s="2334"/>
      <c r="H1668" s="2245"/>
      <c r="I1668" s="2180"/>
      <c r="J1668" s="2179"/>
      <c r="K1668" s="2179"/>
      <c r="L1668" s="2179"/>
      <c r="M1668" s="2179"/>
      <c r="N1668" s="2179"/>
      <c r="O1668" s="2179"/>
      <c r="P1668" s="2179"/>
      <c r="Q1668" s="2055"/>
      <c r="R1668" s="1708"/>
      <c r="S1668" s="1708"/>
      <c r="T1668" s="1708"/>
      <c r="U1668" s="1708"/>
      <c r="V1668" s="1708"/>
      <c r="W1668" s="1708"/>
      <c r="X1668" s="1708"/>
      <c r="Y1668" s="1708"/>
    </row>
    <row r="1669" customFormat="false" ht="15.75" hidden="false" customHeight="true" outlineLevel="1" collapsed="false">
      <c r="A1669" s="1707" t="s">
        <v>3844</v>
      </c>
      <c r="B1669" s="2064" t="s">
        <v>15</v>
      </c>
      <c r="C1669" s="2141" t="n">
        <f aca="false">'Ввод данных'!C1173</f>
        <v>0.4</v>
      </c>
      <c r="D1669" s="1734"/>
      <c r="E1669" s="2185"/>
      <c r="F1669" s="1734"/>
      <c r="G1669" s="1708"/>
      <c r="H1669" s="1708"/>
      <c r="I1669" s="2230"/>
      <c r="J1669" s="1708"/>
      <c r="K1669" s="1708"/>
      <c r="L1669" s="1708"/>
      <c r="M1669" s="1708"/>
      <c r="N1669" s="1708"/>
      <c r="O1669" s="1708"/>
      <c r="P1669" s="1708"/>
      <c r="Q1669" s="1708"/>
      <c r="R1669" s="1708"/>
      <c r="S1669" s="1708"/>
      <c r="T1669" s="1708"/>
      <c r="U1669" s="1708"/>
      <c r="V1669" s="1708"/>
      <c r="W1669" s="1708"/>
      <c r="X1669" s="1708"/>
      <c r="Y1669" s="1708"/>
    </row>
    <row r="1670" customFormat="false" ht="15.75" hidden="false" customHeight="true" outlineLevel="1" collapsed="false">
      <c r="A1670" s="1707" t="s">
        <v>3845</v>
      </c>
      <c r="B1670" s="2064" t="s">
        <v>15</v>
      </c>
      <c r="C1670" s="2141" t="n">
        <f aca="false">'Ввод данных'!C1175</f>
        <v>0.3</v>
      </c>
      <c r="D1670" s="1734"/>
      <c r="E1670" s="2185"/>
      <c r="F1670" s="1734"/>
      <c r="G1670" s="1708"/>
      <c r="H1670" s="1708"/>
      <c r="I1670" s="2230"/>
      <c r="J1670" s="1708"/>
      <c r="K1670" s="1708"/>
      <c r="L1670" s="1708"/>
      <c r="M1670" s="1708"/>
      <c r="N1670" s="1708"/>
      <c r="O1670" s="1708"/>
      <c r="P1670" s="1708"/>
      <c r="Q1670" s="1708"/>
      <c r="R1670" s="1708"/>
      <c r="S1670" s="1708"/>
      <c r="T1670" s="1708"/>
      <c r="U1670" s="1708"/>
      <c r="V1670" s="1708"/>
      <c r="W1670" s="1708"/>
      <c r="X1670" s="1708"/>
      <c r="Y1670" s="1708"/>
    </row>
    <row r="1671" customFormat="false" ht="15.75" hidden="false" customHeight="true" outlineLevel="1" collapsed="false">
      <c r="A1671" s="2218" t="s">
        <v>3846</v>
      </c>
      <c r="B1671" s="2064" t="s">
        <v>15</v>
      </c>
      <c r="C1671" s="2141" t="n">
        <f aca="false">'Ввод данных'!C1177</f>
        <v>0.2</v>
      </c>
      <c r="D1671" s="2142" t="n">
        <f aca="false">D1500</f>
        <v>1</v>
      </c>
      <c r="E1671" s="2185"/>
      <c r="F1671" s="1734"/>
      <c r="G1671" s="1708"/>
      <c r="H1671" s="1708"/>
      <c r="I1671" s="2230"/>
      <c r="J1671" s="1708"/>
      <c r="K1671" s="1708"/>
      <c r="L1671" s="1708"/>
      <c r="M1671" s="1708"/>
      <c r="N1671" s="1708"/>
      <c r="O1671" s="1708"/>
      <c r="P1671" s="1708"/>
      <c r="Q1671" s="1708"/>
      <c r="R1671" s="1708"/>
      <c r="S1671" s="1708"/>
      <c r="T1671" s="1708"/>
      <c r="U1671" s="1708"/>
      <c r="V1671" s="1708"/>
      <c r="W1671" s="1708"/>
      <c r="X1671" s="1708"/>
      <c r="Y1671" s="1708"/>
    </row>
    <row r="1672" customFormat="false" ht="15.75" hidden="false" customHeight="true" outlineLevel="1" collapsed="false">
      <c r="A1672" s="2218" t="s">
        <v>3874</v>
      </c>
      <c r="B1672" s="2064" t="s">
        <v>3875</v>
      </c>
      <c r="C1672" s="2141" t="n">
        <f aca="false">C1503</f>
        <v>7</v>
      </c>
      <c r="D1672" s="1734"/>
      <c r="E1672" s="2185"/>
      <c r="F1672" s="1734"/>
      <c r="G1672" s="1708"/>
      <c r="H1672" s="1708"/>
      <c r="I1672" s="2230"/>
      <c r="J1672" s="1708"/>
      <c r="K1672" s="1708"/>
      <c r="L1672" s="1708"/>
      <c r="M1672" s="1708"/>
      <c r="N1672" s="1708"/>
      <c r="O1672" s="1708"/>
      <c r="P1672" s="1708"/>
      <c r="Q1672" s="1708"/>
      <c r="R1672" s="1708"/>
      <c r="S1672" s="1708"/>
      <c r="T1672" s="1708"/>
      <c r="U1672" s="1708"/>
      <c r="V1672" s="1708"/>
      <c r="W1672" s="1708"/>
      <c r="X1672" s="1708"/>
      <c r="Y1672" s="1708"/>
    </row>
    <row r="1673" customFormat="false" ht="15.75" hidden="false" customHeight="true" outlineLevel="1" collapsed="false">
      <c r="A1673" s="2218" t="s">
        <v>3876</v>
      </c>
      <c r="B1673" s="2064" t="s">
        <v>15</v>
      </c>
      <c r="C1673" s="2141" t="n">
        <f aca="false">C1507</f>
        <v>0.3</v>
      </c>
      <c r="D1673" s="1734"/>
      <c r="E1673" s="2185"/>
      <c r="F1673" s="1734"/>
      <c r="G1673" s="1708"/>
      <c r="H1673" s="1708"/>
      <c r="I1673" s="2230"/>
      <c r="J1673" s="1708"/>
      <c r="K1673" s="1708"/>
      <c r="L1673" s="1708"/>
      <c r="M1673" s="1708"/>
      <c r="N1673" s="1708"/>
      <c r="O1673" s="1708"/>
      <c r="P1673" s="1708"/>
      <c r="Q1673" s="1708"/>
      <c r="R1673" s="1708"/>
      <c r="S1673" s="1708"/>
      <c r="T1673" s="1708"/>
      <c r="U1673" s="1708"/>
      <c r="V1673" s="1708"/>
      <c r="W1673" s="1708"/>
      <c r="X1673" s="1708"/>
      <c r="Y1673" s="1708"/>
    </row>
    <row r="1674" customFormat="false" ht="15.75" hidden="false" customHeight="true" outlineLevel="1" collapsed="false">
      <c r="A1674" s="2218" t="s">
        <v>3877</v>
      </c>
      <c r="B1674" s="2064" t="s">
        <v>15</v>
      </c>
      <c r="C1674" s="2141" t="n">
        <f aca="false">C1508</f>
        <v>0.2</v>
      </c>
      <c r="D1674" s="1734"/>
      <c r="E1674" s="2185"/>
      <c r="F1674" s="1734"/>
      <c r="G1674" s="1708"/>
      <c r="H1674" s="1708"/>
      <c r="I1674" s="2230"/>
      <c r="J1674" s="1708"/>
      <c r="K1674" s="1708"/>
      <c r="L1674" s="1708"/>
      <c r="M1674" s="1708"/>
      <c r="N1674" s="1708"/>
      <c r="O1674" s="1708"/>
      <c r="P1674" s="1708"/>
      <c r="Q1674" s="1708"/>
      <c r="R1674" s="1708"/>
      <c r="S1674" s="1708"/>
      <c r="T1674" s="1708"/>
      <c r="U1674" s="1708"/>
      <c r="V1674" s="1708"/>
      <c r="W1674" s="1708"/>
      <c r="X1674" s="1708"/>
      <c r="Y1674" s="1708"/>
    </row>
    <row r="1675" customFormat="false" ht="15.75" hidden="false" customHeight="true" outlineLevel="1" collapsed="false">
      <c r="A1675" s="2211" t="s">
        <v>3857</v>
      </c>
      <c r="B1675" s="2064" t="s">
        <v>502</v>
      </c>
      <c r="C1675" s="2141" t="n">
        <f aca="false">C1509</f>
        <v>0</v>
      </c>
      <c r="D1675" s="2142" t="n">
        <f aca="false">D1509</f>
        <v>1</v>
      </c>
      <c r="E1675" s="2185"/>
      <c r="F1675" s="1734"/>
      <c r="G1675" s="1708"/>
      <c r="H1675" s="1708"/>
      <c r="I1675" s="2230"/>
      <c r="J1675" s="1708"/>
      <c r="K1675" s="1708"/>
      <c r="L1675" s="1708"/>
      <c r="M1675" s="1708"/>
      <c r="N1675" s="1708"/>
      <c r="O1675" s="1708"/>
      <c r="P1675" s="1708"/>
      <c r="Q1675" s="1708"/>
      <c r="R1675" s="1708"/>
      <c r="S1675" s="1708"/>
      <c r="T1675" s="1708"/>
      <c r="U1675" s="1708"/>
      <c r="V1675" s="1708"/>
      <c r="W1675" s="1708"/>
      <c r="X1675" s="1708"/>
      <c r="Y1675" s="1708"/>
    </row>
    <row r="1676" customFormat="false" ht="15.75" hidden="false" customHeight="true" outlineLevel="1" collapsed="false">
      <c r="A1676" s="2246" t="s">
        <v>3817</v>
      </c>
      <c r="B1676" s="2064" t="s">
        <v>15</v>
      </c>
      <c r="C1676" s="2141" t="n">
        <f aca="false">C1510</f>
        <v>0</v>
      </c>
      <c r="D1676" s="2142" t="n">
        <f aca="false">IF(A1733='Прайс лист'!B600,0,1)</f>
        <v>0</v>
      </c>
      <c r="E1676" s="1617"/>
      <c r="F1676" s="2229"/>
      <c r="G1676" s="2174"/>
      <c r="H1676" s="2174"/>
      <c r="I1676" s="2174"/>
      <c r="J1676" s="2174"/>
      <c r="K1676" s="1734"/>
      <c r="L1676" s="1734"/>
      <c r="M1676" s="1734"/>
      <c r="N1676" s="1734"/>
      <c r="O1676" s="1734"/>
      <c r="P1676" s="1734"/>
      <c r="Q1676" s="2200"/>
      <c r="R1676" s="1734"/>
      <c r="S1676" s="1734"/>
      <c r="T1676" s="1734"/>
      <c r="U1676" s="1617"/>
      <c r="V1676" s="1617"/>
      <c r="W1676" s="1617"/>
      <c r="X1676" s="1617"/>
      <c r="Y1676" s="1617"/>
    </row>
    <row r="1677" customFormat="false" ht="15.75" hidden="false" customHeight="true" outlineLevel="1" collapsed="false">
      <c r="A1677" s="2246" t="s">
        <v>3858</v>
      </c>
      <c r="B1677" s="2064" t="s">
        <v>820</v>
      </c>
      <c r="C1677" s="2141" t="n">
        <f aca="false">C1511</f>
        <v>0</v>
      </c>
      <c r="D1677" s="2142" t="n">
        <f aca="false">D1511</f>
        <v>0</v>
      </c>
      <c r="E1677" s="1617"/>
      <c r="F1677" s="2229"/>
      <c r="G1677" s="2174"/>
      <c r="H1677" s="2174"/>
      <c r="I1677" s="2174"/>
      <c r="J1677" s="2174"/>
      <c r="K1677" s="1734"/>
      <c r="L1677" s="1734"/>
      <c r="M1677" s="1734"/>
      <c r="N1677" s="1734"/>
      <c r="O1677" s="1734"/>
      <c r="P1677" s="1734"/>
      <c r="Q1677" s="1734"/>
      <c r="R1677" s="1747"/>
      <c r="S1677" s="1747"/>
      <c r="T1677" s="1747"/>
      <c r="U1677" s="1617"/>
      <c r="V1677" s="1617"/>
      <c r="W1677" s="1617"/>
      <c r="X1677" s="1617"/>
      <c r="Y1677" s="1617"/>
    </row>
    <row r="1678" customFormat="false" ht="15.75" hidden="false" customHeight="true" outlineLevel="1" collapsed="false">
      <c r="A1678" s="2335" t="s">
        <v>3774</v>
      </c>
      <c r="B1678" s="2336"/>
      <c r="C1678" s="2337"/>
      <c r="D1678" s="2174"/>
      <c r="E1678" s="2174"/>
      <c r="F1678" s="2229"/>
      <c r="G1678" s="2174"/>
      <c r="H1678" s="2174"/>
      <c r="I1678" s="2174"/>
      <c r="J1678" s="2174"/>
      <c r="K1678" s="1734"/>
      <c r="L1678" s="1734"/>
      <c r="M1678" s="1734"/>
      <c r="N1678" s="1734"/>
      <c r="O1678" s="1734"/>
      <c r="P1678" s="1734"/>
      <c r="Q1678" s="1734"/>
      <c r="R1678" s="1747"/>
      <c r="S1678" s="1747"/>
      <c r="T1678" s="1747"/>
      <c r="U1678" s="1617"/>
      <c r="V1678" s="1617"/>
      <c r="W1678" s="1617"/>
      <c r="X1678" s="1617"/>
      <c r="Y1678" s="1617"/>
    </row>
    <row r="1679" customFormat="false" ht="15.75" hidden="false" customHeight="true" outlineLevel="1" collapsed="false">
      <c r="A1679" s="2211" t="s">
        <v>3825</v>
      </c>
      <c r="B1679" s="1958" t="s">
        <v>820</v>
      </c>
      <c r="C1679" s="2064" t="n">
        <f aca="false">B1319*C1319*D1319+пристройка!D2*(пристройка!C9*пристройка!C25*пристройка!C3+пристройка!C10*пристройка!C5*пристройка!C26)+D1229*C1235</f>
        <v>128</v>
      </c>
      <c r="D1679" s="2174"/>
      <c r="E1679" s="2174"/>
      <c r="F1679" s="2229"/>
      <c r="G1679" s="2174"/>
      <c r="H1679" s="2174"/>
      <c r="I1679" s="2174"/>
      <c r="J1679" s="2174"/>
      <c r="K1679" s="1734"/>
      <c r="L1679" s="1734"/>
      <c r="M1679" s="1734"/>
      <c r="N1679" s="1734"/>
      <c r="O1679" s="1734"/>
      <c r="P1679" s="1734"/>
      <c r="Q1679" s="1734"/>
      <c r="R1679" s="1747"/>
      <c r="S1679" s="1747"/>
      <c r="T1679" s="1747"/>
      <c r="U1679" s="1617"/>
      <c r="V1679" s="1617"/>
      <c r="W1679" s="1617"/>
      <c r="X1679" s="1617"/>
      <c r="Y1679" s="1617"/>
    </row>
    <row r="1680" customFormat="false" ht="15.75" hidden="false" customHeight="true" outlineLevel="1" collapsed="false">
      <c r="A1680" s="2211" t="s">
        <v>3776</v>
      </c>
      <c r="B1680" s="1958" t="s">
        <v>820</v>
      </c>
      <c r="C1680" s="2064" t="n">
        <f aca="false">C1691</f>
        <v>128</v>
      </c>
      <c r="D1680" s="2174"/>
      <c r="E1680" s="2174"/>
      <c r="F1680" s="2229"/>
      <c r="G1680" s="2174"/>
      <c r="H1680" s="2174"/>
      <c r="I1680" s="2174"/>
      <c r="J1680" s="2174"/>
      <c r="K1680" s="1734"/>
      <c r="L1680" s="1734"/>
      <c r="M1680" s="1734"/>
      <c r="N1680" s="1734"/>
      <c r="O1680" s="1734"/>
      <c r="P1680" s="1734"/>
      <c r="Q1680" s="1734"/>
      <c r="R1680" s="1747"/>
      <c r="S1680" s="1747"/>
      <c r="T1680" s="1747"/>
      <c r="U1680" s="1617"/>
      <c r="V1680" s="1617"/>
      <c r="W1680" s="1617"/>
      <c r="X1680" s="1617"/>
      <c r="Y1680" s="1617"/>
    </row>
    <row r="1681" customFormat="false" ht="15.75" hidden="false" customHeight="true" outlineLevel="1" collapsed="false">
      <c r="A1681" s="2211" t="s">
        <v>3827</v>
      </c>
      <c r="B1681" s="1958" t="s">
        <v>15</v>
      </c>
      <c r="C1681" s="2064" t="n">
        <f aca="false">C1515</f>
        <v>48</v>
      </c>
      <c r="D1681" s="2174"/>
      <c r="E1681" s="2174"/>
      <c r="F1681" s="2229"/>
      <c r="G1681" s="2174"/>
      <c r="H1681" s="2174"/>
      <c r="I1681" s="2174"/>
      <c r="J1681" s="2174"/>
      <c r="K1681" s="1734"/>
      <c r="L1681" s="1734"/>
      <c r="M1681" s="1734"/>
      <c r="N1681" s="1734"/>
      <c r="O1681" s="1734"/>
      <c r="P1681" s="1734"/>
      <c r="Q1681" s="1734"/>
      <c r="R1681" s="1747"/>
      <c r="S1681" s="1747"/>
      <c r="T1681" s="1747"/>
      <c r="U1681" s="1617"/>
      <c r="V1681" s="1617"/>
      <c r="W1681" s="1617"/>
      <c r="X1681" s="1617"/>
      <c r="Y1681" s="1617"/>
    </row>
    <row r="1682" customFormat="false" ht="15.75" hidden="false" customHeight="true" outlineLevel="1" collapsed="false">
      <c r="A1682" s="2211" t="s">
        <v>3859</v>
      </c>
      <c r="B1682" s="1958" t="s">
        <v>15</v>
      </c>
      <c r="C1682" s="2064" t="n">
        <f aca="false">((C1319+D1319+C1319+D1319)*B1319+пристройка!D2*пристройка!C85*пристройка!D84*пристройка!C3+D1229*C1275*E1274*C1232+пристройка!D2*пристройка!C85*пристройка!C5*пристройка!D84+D1229*C1233*C1275*E1274)</f>
        <v>64</v>
      </c>
      <c r="D1682" s="2174" t="n">
        <f aca="false">D1516</f>
        <v>19.2</v>
      </c>
      <c r="E1682" s="2174"/>
      <c r="F1682" s="2229"/>
      <c r="G1682" s="2174"/>
      <c r="H1682" s="2174"/>
      <c r="I1682" s="2174"/>
      <c r="J1682" s="2174"/>
      <c r="K1682" s="1734"/>
      <c r="L1682" s="1734"/>
      <c r="M1682" s="1734"/>
      <c r="N1682" s="1734"/>
      <c r="O1682" s="1734"/>
      <c r="P1682" s="1734"/>
      <c r="Q1682" s="1734"/>
      <c r="R1682" s="1747"/>
      <c r="S1682" s="1747"/>
      <c r="T1682" s="1747"/>
      <c r="U1682" s="1617"/>
      <c r="V1682" s="1617"/>
      <c r="W1682" s="1617"/>
      <c r="X1682" s="1617"/>
      <c r="Y1682" s="1617"/>
    </row>
    <row r="1683" customFormat="false" ht="15.75" hidden="false" customHeight="true" outlineLevel="1" collapsed="false">
      <c r="A1683" s="2211" t="s">
        <v>3860</v>
      </c>
      <c r="B1683" s="1958" t="s">
        <v>15</v>
      </c>
      <c r="C1683" s="2064" t="n">
        <f aca="false">(C1321*D1321+C1322*D1322+C1323*D1323+C1329*D1329+C1330*D1330+C1331*D1331+C1332*D1332)+(N1321*O1321+N1322*O1322+N1323*O1323+N1329*O1329+N1330*O1330+N1331*O1331+C1324*D1324+N1324*O1324+N1332*O1332)*(B1319-1)</f>
        <v>28.5</v>
      </c>
      <c r="D1683" s="2174" t="n">
        <f aca="false">D1517</f>
        <v>5.7</v>
      </c>
      <c r="E1683" s="2174"/>
      <c r="F1683" s="2174"/>
      <c r="G1683" s="1708"/>
      <c r="H1683" s="1708"/>
      <c r="I1683" s="2230"/>
      <c r="J1683" s="1708"/>
      <c r="K1683" s="1708"/>
      <c r="L1683" s="1708"/>
      <c r="M1683" s="1708"/>
      <c r="N1683" s="1708"/>
      <c r="O1683" s="1708"/>
      <c r="P1683" s="1708"/>
      <c r="Q1683" s="1708"/>
      <c r="R1683" s="1617"/>
      <c r="S1683" s="1617"/>
      <c r="T1683" s="1617"/>
      <c r="U1683" s="1617"/>
      <c r="V1683" s="1617"/>
      <c r="W1683" s="1617"/>
      <c r="X1683" s="1617"/>
      <c r="Y1683" s="1617"/>
    </row>
    <row r="1684" customFormat="false" ht="15.75" hidden="false" customHeight="true" outlineLevel="1" collapsed="false">
      <c r="A1684" s="2211" t="s">
        <v>3862</v>
      </c>
      <c r="B1684" s="1958" t="s">
        <v>15</v>
      </c>
      <c r="C1684" s="2064" t="n">
        <f aca="false">(C1325*D1325+C1326*D1326+C1327*D1327+C1328*D1328+C1333*D1333+C1334*D1334+C1335*D1335)+(C1336*D1336+N1325*O1325+N1326*O1326+N1327*O1327+N1328*O1328+N1333*O1333+N1334*O1334+N1335*O1335+N1336*O1336)*(B1319-1)+пристройка!D2*(пристройка!AM38)</f>
        <v>7.8</v>
      </c>
      <c r="D1684" s="2174" t="n">
        <f aca="false">D1518</f>
        <v>0.78</v>
      </c>
      <c r="E1684" s="2174"/>
      <c r="F1684" s="2174"/>
      <c r="G1684" s="1708"/>
      <c r="H1684" s="1708"/>
      <c r="I1684" s="2230"/>
      <c r="J1684" s="1708"/>
      <c r="K1684" s="1708"/>
      <c r="L1684" s="1708"/>
      <c r="M1684" s="1708"/>
      <c r="N1684" s="1708"/>
      <c r="O1684" s="1708"/>
      <c r="P1684" s="1708"/>
      <c r="Q1684" s="1708"/>
      <c r="R1684" s="1617"/>
      <c r="S1684" s="1617"/>
      <c r="T1684" s="1617"/>
      <c r="U1684" s="1617"/>
      <c r="V1684" s="1617"/>
      <c r="W1684" s="1617"/>
      <c r="X1684" s="1617"/>
      <c r="Y1684" s="1617"/>
    </row>
    <row r="1685" customFormat="false" ht="15.75" hidden="false" customHeight="true" outlineLevel="1" collapsed="false">
      <c r="A1685" s="2211" t="s">
        <v>3781</v>
      </c>
      <c r="B1685" s="1958" t="s">
        <v>820</v>
      </c>
      <c r="C1685" s="2213" t="n">
        <f aca="false">связи1!C153</f>
        <v>174.43</v>
      </c>
      <c r="D1685" s="2174" t="n">
        <f aca="false">SUM(D1682:D1684)</f>
        <v>25.68</v>
      </c>
      <c r="E1685" s="2174"/>
      <c r="F1685" s="2174"/>
      <c r="G1685" s="1708"/>
      <c r="H1685" s="1708"/>
      <c r="I1685" s="2230"/>
      <c r="J1685" s="1708"/>
      <c r="K1685" s="1708"/>
      <c r="L1685" s="1708"/>
      <c r="M1685" s="1708"/>
      <c r="N1685" s="1708"/>
      <c r="O1685" s="1708"/>
      <c r="P1685" s="1708"/>
      <c r="Q1685" s="1708"/>
      <c r="R1685" s="1617"/>
      <c r="S1685" s="1617"/>
      <c r="T1685" s="1617"/>
      <c r="U1685" s="1617"/>
      <c r="V1685" s="1617"/>
      <c r="W1685" s="1617"/>
      <c r="X1685" s="1617"/>
      <c r="Y1685" s="1617"/>
    </row>
    <row r="1686" customFormat="false" ht="15.75" hidden="false" customHeight="true" outlineLevel="1" collapsed="false">
      <c r="A1686" s="2211" t="s">
        <v>3834</v>
      </c>
      <c r="B1686" s="1958" t="s">
        <v>820</v>
      </c>
      <c r="C1686" s="2213" t="n">
        <f aca="false">C1685</f>
        <v>174.43</v>
      </c>
      <c r="D1686" s="2174"/>
      <c r="E1686" s="2174"/>
      <c r="F1686" s="2174"/>
      <c r="G1686" s="1708"/>
      <c r="H1686" s="1708"/>
      <c r="I1686" s="2230"/>
      <c r="J1686" s="1708"/>
      <c r="K1686" s="1708"/>
      <c r="L1686" s="1708"/>
      <c r="M1686" s="1708"/>
      <c r="N1686" s="1708"/>
      <c r="O1686" s="1708"/>
      <c r="P1686" s="1708"/>
      <c r="Q1686" s="1708"/>
      <c r="R1686" s="1617"/>
      <c r="S1686" s="1617"/>
      <c r="T1686" s="1617"/>
      <c r="U1686" s="1617"/>
      <c r="V1686" s="1617"/>
      <c r="W1686" s="1617"/>
      <c r="X1686" s="1617"/>
      <c r="Y1686" s="1617"/>
    </row>
    <row r="1687" customFormat="false" ht="15.75" hidden="false" customHeight="true" outlineLevel="1" collapsed="false">
      <c r="A1687" s="2211" t="s">
        <v>3783</v>
      </c>
      <c r="B1687" s="1958"/>
      <c r="C1687" s="2213" t="n">
        <f aca="false">связи1!D153</f>
        <v>65.335</v>
      </c>
      <c r="D1687" s="2174"/>
      <c r="E1687" s="2174"/>
      <c r="F1687" s="2174"/>
      <c r="G1687" s="1708"/>
      <c r="H1687" s="1708"/>
      <c r="I1687" s="2230"/>
      <c r="J1687" s="1708"/>
      <c r="K1687" s="1708"/>
      <c r="L1687" s="1708"/>
      <c r="M1687" s="1708"/>
      <c r="N1687" s="1708"/>
      <c r="O1687" s="1708"/>
      <c r="P1687" s="1708"/>
      <c r="Q1687" s="1708"/>
      <c r="R1687" s="1617"/>
      <c r="S1687" s="1617"/>
      <c r="T1687" s="1617"/>
      <c r="U1687" s="1617"/>
      <c r="V1687" s="1617"/>
      <c r="W1687" s="1617"/>
      <c r="X1687" s="1617"/>
      <c r="Y1687" s="1617"/>
    </row>
    <row r="1688" customFormat="false" ht="15.75" hidden="false" customHeight="true" outlineLevel="1" collapsed="false">
      <c r="A1688" s="2211" t="s">
        <v>3784</v>
      </c>
      <c r="B1688" s="1958" t="s">
        <v>820</v>
      </c>
      <c r="C1688" s="2213" t="n">
        <f aca="false">связи1!E153</f>
        <v>21.84</v>
      </c>
      <c r="D1688" s="2174"/>
      <c r="E1688" s="2174"/>
      <c r="F1688" s="2174"/>
      <c r="G1688" s="1708"/>
      <c r="H1688" s="1708"/>
      <c r="I1688" s="2230"/>
      <c r="J1688" s="1708"/>
      <c r="K1688" s="1708"/>
      <c r="L1688" s="1708"/>
      <c r="M1688" s="1708"/>
      <c r="N1688" s="1708"/>
      <c r="O1688" s="1708"/>
      <c r="P1688" s="1708"/>
      <c r="Q1688" s="1708"/>
      <c r="R1688" s="1617"/>
      <c r="S1688" s="1617"/>
      <c r="T1688" s="1617"/>
      <c r="U1688" s="1617"/>
      <c r="V1688" s="1617"/>
      <c r="W1688" s="1617"/>
      <c r="X1688" s="1617"/>
      <c r="Y1688" s="1617"/>
    </row>
    <row r="1689" customFormat="false" ht="15.75" hidden="false" customHeight="true" outlineLevel="1" collapsed="false">
      <c r="A1689" s="2211" t="s">
        <v>3786</v>
      </c>
      <c r="B1689" s="1958" t="s">
        <v>820</v>
      </c>
      <c r="C1689" s="2213" t="n">
        <f aca="false">C1687+C1688</f>
        <v>87.175</v>
      </c>
      <c r="D1689" s="2174"/>
      <c r="E1689" s="2174"/>
      <c r="F1689" s="2174"/>
      <c r="G1689" s="1708"/>
      <c r="H1689" s="1708"/>
      <c r="I1689" s="2230"/>
      <c r="J1689" s="1708"/>
      <c r="K1689" s="1708"/>
      <c r="L1689" s="1708"/>
      <c r="M1689" s="1708"/>
      <c r="N1689" s="1708"/>
      <c r="O1689" s="1708"/>
      <c r="P1689" s="1708"/>
      <c r="Q1689" s="1708"/>
      <c r="R1689" s="1617"/>
      <c r="S1689" s="1617"/>
      <c r="T1689" s="1617"/>
      <c r="U1689" s="1617"/>
      <c r="V1689" s="1617"/>
      <c r="W1689" s="1617"/>
      <c r="X1689" s="1617"/>
      <c r="Y1689" s="1617"/>
    </row>
    <row r="1690" customFormat="false" ht="15.75" hidden="false" customHeight="true" outlineLevel="1" collapsed="false">
      <c r="A1690" s="2211" t="s">
        <v>3787</v>
      </c>
      <c r="B1690" s="1958" t="s">
        <v>820</v>
      </c>
      <c r="C1690" s="2064" t="n">
        <f aca="false">C16*C17*E44+C16*C17*E45*(C15-1)+B1115*(1-E44)*(E1189+C1189)+I1115*(1-E44)*(F1132*F1133)+(1-E44)*L1115*L1189+(J1215+K1215)*G1202+D1229*(C1236*E1236+C1237*E1237)+(C15-1)*B1115*(C1189+E1189)*(1-E45)+(C15-1)*(F1132*F1133)*I1115*(1-E45)+(C15-1)*L1115*L1189*(1-E45)-F1363+пристройка!L14+пристройка!L15</f>
        <v>150.475100831722</v>
      </c>
      <c r="D1690" s="2174"/>
      <c r="E1690" s="2174"/>
      <c r="F1690" s="2174"/>
      <c r="G1690" s="1708"/>
      <c r="H1690" s="1708"/>
      <c r="I1690" s="2230"/>
      <c r="J1690" s="1708"/>
      <c r="K1690" s="1708"/>
      <c r="L1690" s="1708"/>
      <c r="M1690" s="1708"/>
      <c r="N1690" s="1708"/>
      <c r="O1690" s="1708"/>
      <c r="P1690" s="1708"/>
      <c r="Q1690" s="1708"/>
      <c r="R1690" s="1617"/>
      <c r="S1690" s="1617"/>
      <c r="T1690" s="1617"/>
      <c r="U1690" s="1617"/>
      <c r="V1690" s="1617"/>
      <c r="W1690" s="1617"/>
      <c r="X1690" s="1617"/>
      <c r="Y1690" s="1617"/>
    </row>
    <row r="1691" customFormat="false" ht="15.75" hidden="false" customHeight="true" outlineLevel="1" collapsed="false">
      <c r="A1691" s="2211" t="s">
        <v>3837</v>
      </c>
      <c r="B1691" s="1958" t="s">
        <v>820</v>
      </c>
      <c r="C1691" s="2064" t="n">
        <f aca="false">C15*C16*C17+D1229*C1235+(пристройка!L12+пристройка!L13)*пристройка!D2</f>
        <v>128</v>
      </c>
      <c r="D1691" s="2174"/>
      <c r="E1691" s="2174"/>
      <c r="F1691" s="2174"/>
      <c r="G1691" s="1708"/>
      <c r="H1691" s="1708"/>
      <c r="I1691" s="2230"/>
      <c r="J1691" s="1708"/>
      <c r="K1691" s="1708"/>
      <c r="L1691" s="1708"/>
      <c r="M1691" s="1708"/>
      <c r="N1691" s="1708"/>
      <c r="O1691" s="1708"/>
      <c r="P1691" s="1708"/>
      <c r="Q1691" s="1708"/>
      <c r="R1691" s="1617"/>
      <c r="S1691" s="1617"/>
      <c r="T1691" s="1617"/>
      <c r="U1691" s="1617"/>
      <c r="V1691" s="1617"/>
      <c r="W1691" s="1617"/>
      <c r="X1691" s="1617"/>
      <c r="Y1691" s="1617"/>
    </row>
    <row r="1692" customFormat="false" ht="15.75" hidden="false" customHeight="true" outlineLevel="1" collapsed="false">
      <c r="A1692" s="2211" t="s">
        <v>3790</v>
      </c>
      <c r="B1692" s="1958" t="s">
        <v>820</v>
      </c>
      <c r="C1692" s="2064" t="n">
        <f aca="false">C1319*D1319+пристройка!D2*пристройка!C9+D1229*C1279</f>
        <v>64</v>
      </c>
      <c r="D1692" s="2174"/>
      <c r="E1692" s="2174"/>
      <c r="F1692" s="2174"/>
      <c r="G1692" s="1708"/>
      <c r="H1692" s="1708"/>
      <c r="I1692" s="2230"/>
      <c r="J1692" s="1708"/>
      <c r="K1692" s="1708"/>
      <c r="L1692" s="1708"/>
      <c r="M1692" s="1708"/>
      <c r="N1692" s="1708"/>
      <c r="O1692" s="1708"/>
      <c r="P1692" s="1708"/>
      <c r="Q1692" s="1708"/>
      <c r="R1692" s="1617"/>
      <c r="S1692" s="1617"/>
      <c r="T1692" s="1617"/>
      <c r="U1692" s="1617"/>
      <c r="V1692" s="1617"/>
      <c r="W1692" s="1617"/>
      <c r="X1692" s="1617"/>
      <c r="Y1692" s="1617"/>
    </row>
    <row r="1693" customFormat="false" ht="15.75" hidden="false" customHeight="true" outlineLevel="1" collapsed="false">
      <c r="A1693" s="2211" t="s">
        <v>3791</v>
      </c>
      <c r="B1693" s="1958" t="s">
        <v>820</v>
      </c>
      <c r="C1693" s="2064" t="n">
        <f aca="false">C1319*D1319*E44+пристройка!D2*пристройка!C10+D1229*пристройка!C10*пристройка!C26-(B1319-1)*4</f>
        <v>60</v>
      </c>
      <c r="D1693" s="2174"/>
      <c r="E1693" s="2174"/>
      <c r="F1693" s="2174"/>
      <c r="G1693" s="1708"/>
      <c r="H1693" s="1708"/>
      <c r="I1693" s="2230"/>
      <c r="J1693" s="1708"/>
      <c r="K1693" s="1708"/>
      <c r="L1693" s="1708"/>
      <c r="M1693" s="1708"/>
      <c r="N1693" s="1708"/>
      <c r="O1693" s="1708"/>
      <c r="P1693" s="1708"/>
      <c r="Q1693" s="1708"/>
      <c r="R1693" s="1617"/>
      <c r="S1693" s="1617"/>
      <c r="T1693" s="1617"/>
      <c r="U1693" s="1617"/>
      <c r="V1693" s="1617"/>
      <c r="W1693" s="1617"/>
      <c r="X1693" s="1617"/>
      <c r="Y1693" s="1617"/>
    </row>
    <row r="1694" customFormat="false" ht="15.75" hidden="false" customHeight="true" outlineLevel="1" collapsed="false">
      <c r="A1694" s="2211" t="s">
        <v>3792</v>
      </c>
      <c r="B1694" s="1958" t="s">
        <v>820</v>
      </c>
      <c r="C1694" s="2064" t="n">
        <f aca="false">C16*C17*E45+B1115*C1189*(C15-1)+I1115*F1132*F1133*(C15-1)*(I1115-E45)+L1115*L1189*(C15-1)*(L1115-E45)+пристройка!D2*пристройка!C11+D1229*C1279</f>
        <v>50.7600504158611</v>
      </c>
      <c r="D1694" s="2174"/>
      <c r="E1694" s="2174"/>
      <c r="F1694" s="2174"/>
      <c r="G1694" s="1708"/>
      <c r="H1694" s="1708"/>
      <c r="I1694" s="2230"/>
      <c r="J1694" s="1708"/>
      <c r="K1694" s="1708"/>
      <c r="L1694" s="1708"/>
      <c r="M1694" s="1708"/>
      <c r="N1694" s="1708"/>
      <c r="O1694" s="1708"/>
      <c r="P1694" s="1708"/>
      <c r="Q1694" s="1708"/>
      <c r="R1694" s="1617"/>
      <c r="S1694" s="1617"/>
      <c r="T1694" s="1617"/>
      <c r="U1694" s="1617"/>
      <c r="V1694" s="1617"/>
      <c r="W1694" s="1617"/>
      <c r="X1694" s="1617"/>
      <c r="Y1694" s="1617"/>
    </row>
    <row r="1695" customFormat="false" ht="15.75" hidden="false" customHeight="true" outlineLevel="1" collapsed="false">
      <c r="A1695" s="2211" t="s">
        <v>3793</v>
      </c>
      <c r="B1695" s="1958" t="s">
        <v>820</v>
      </c>
      <c r="C1695" s="2064" t="n">
        <f aca="false">SUM(C1692:C1694)</f>
        <v>174.760050415861</v>
      </c>
      <c r="D1695" s="2174"/>
      <c r="E1695" s="2174"/>
      <c r="F1695" s="2174"/>
      <c r="G1695" s="1734"/>
      <c r="H1695" s="1734"/>
      <c r="I1695" s="2200"/>
      <c r="J1695" s="1708"/>
      <c r="K1695" s="1708"/>
      <c r="L1695" s="1708"/>
      <c r="M1695" s="1708"/>
      <c r="N1695" s="1708"/>
      <c r="O1695" s="1708"/>
      <c r="P1695" s="1708"/>
      <c r="Q1695" s="1708"/>
      <c r="R1695" s="1617"/>
      <c r="S1695" s="1617"/>
      <c r="T1695" s="1617"/>
      <c r="U1695" s="1617"/>
      <c r="V1695" s="1617"/>
      <c r="W1695" s="1617"/>
      <c r="X1695" s="1617"/>
      <c r="Y1695" s="1617"/>
    </row>
    <row r="1696" customFormat="false" ht="15.75" hidden="false" customHeight="true" outlineLevel="1" collapsed="false">
      <c r="A1696" s="2338" t="s">
        <v>2246</v>
      </c>
      <c r="B1696" s="2339" t="s">
        <v>1738</v>
      </c>
      <c r="C1696" s="2339" t="s">
        <v>118</v>
      </c>
      <c r="D1696" s="1180" t="s">
        <v>137</v>
      </c>
      <c r="E1696" s="1180" t="s">
        <v>116</v>
      </c>
      <c r="F1696" s="1180" t="s">
        <v>200</v>
      </c>
      <c r="G1696" s="1180" t="s">
        <v>118</v>
      </c>
      <c r="H1696" s="1180"/>
      <c r="I1696" s="2339" t="s">
        <v>3871</v>
      </c>
      <c r="J1696" s="1950" t="s">
        <v>2916</v>
      </c>
      <c r="K1696" s="1708"/>
      <c r="L1696" s="2335" t="s">
        <v>2007</v>
      </c>
      <c r="M1696" s="2340"/>
      <c r="N1696" s="1950" t="s">
        <v>118</v>
      </c>
      <c r="O1696" s="1950" t="s">
        <v>2915</v>
      </c>
      <c r="P1696" s="1950"/>
      <c r="Q1696" s="1950"/>
      <c r="R1696" s="1950"/>
      <c r="S1696" s="1950" t="s">
        <v>2916</v>
      </c>
      <c r="T1696" s="1708"/>
      <c r="U1696" s="1708"/>
      <c r="V1696" s="1708"/>
      <c r="W1696" s="1708"/>
      <c r="X1696" s="1708"/>
      <c r="Y1696" s="1708"/>
    </row>
    <row r="1697" customFormat="false" ht="15.75" hidden="false" customHeight="true" outlineLevel="1" collapsed="false">
      <c r="A1697" s="2211" t="str">
        <f aca="false">'Ввод данных'!A1173</f>
        <v>0,7НФ/150/75 Красный</v>
      </c>
      <c r="B1697" s="2064" t="s">
        <v>1043</v>
      </c>
      <c r="C1697" s="2064" t="n">
        <f aca="false">(C1685*C1669*0.8-G1517)*G1667</f>
        <v>60.52816</v>
      </c>
      <c r="D1697" s="1436" t="n">
        <f aca="false">VLOOKUP(A1697,'Прайс лист'!B821:G860,2,0)</f>
        <v>65</v>
      </c>
      <c r="E1697" s="1436" t="n">
        <f aca="false">VLOOKUP(A1697,'Прайс лист'!B821:G860,3,0)</f>
        <v>85</v>
      </c>
      <c r="F1697" s="1436" t="n">
        <f aca="false">VLOOKUP(A1697,'Прайс лист'!B821:G860,4,0)</f>
        <v>250</v>
      </c>
      <c r="G1697" s="1436" t="n">
        <f aca="false">C1697/((D1697*E1697*F1697/1000000000))</f>
        <v>43821.2923076923</v>
      </c>
      <c r="H1697" s="1436"/>
      <c r="I1697" s="2064" t="n">
        <f aca="false">VLOOKUP(A1697,'Прайс лист'!B821:G860,6,0)</f>
        <v>8379.57</v>
      </c>
      <c r="J1697" s="1707" t="n">
        <f aca="false">C1697*I1697</f>
        <v>507199.9536912</v>
      </c>
      <c r="K1697" s="1708"/>
      <c r="L1697" s="1995" t="str">
        <f aca="false">'Прайс лист'!B1507</f>
        <v>кладка кирпича</v>
      </c>
      <c r="M1697" s="2225"/>
      <c r="N1697" s="1707" t="n">
        <f aca="false">(C1697+C1698+C1699)*J1667</f>
        <v>81.62044</v>
      </c>
      <c r="O1697" s="1707" t="n">
        <f aca="false">'Прайс лист'!G1507</f>
        <v>3500</v>
      </c>
      <c r="P1697" s="1707"/>
      <c r="Q1697" s="1707"/>
      <c r="R1697" s="1707"/>
      <c r="S1697" s="1707" t="n">
        <f aca="false">N1697*O1697</f>
        <v>285671.54</v>
      </c>
      <c r="T1697" s="1708"/>
      <c r="U1697" s="1708"/>
      <c r="V1697" s="1708"/>
      <c r="W1697" s="1708"/>
      <c r="X1697" s="1708"/>
      <c r="Y1697" s="1708"/>
    </row>
    <row r="1698" customFormat="false" ht="15.75" hidden="false" customHeight="true" outlineLevel="1" collapsed="false">
      <c r="A1698" s="2211" t="str">
        <f aca="false">'Ввод данных'!A1175</f>
        <v>0,7НФ/150/75 Красный</v>
      </c>
      <c r="B1698" s="2064" t="s">
        <v>1043</v>
      </c>
      <c r="C1698" s="2064" t="n">
        <f aca="false">C1670*C1687*0.8*G1667</f>
        <v>17.24844</v>
      </c>
      <c r="D1698" s="1436" t="n">
        <f aca="false">VLOOKUP(A1698,'Прайс лист'!B821:G860,2,0)</f>
        <v>65</v>
      </c>
      <c r="E1698" s="1436" t="n">
        <f aca="false">VLOOKUP(A1698,'Прайс лист'!B821:G860,3,0)</f>
        <v>85</v>
      </c>
      <c r="F1698" s="1436" t="n">
        <f aca="false">VLOOKUP(A1698,'Прайс лист'!B821:G860,4,0)</f>
        <v>250</v>
      </c>
      <c r="G1698" s="1436" t="n">
        <f aca="false">C1698/((D1698*E1698*F1698/1000000000))</f>
        <v>12487.5583710407</v>
      </c>
      <c r="H1698" s="1436"/>
      <c r="I1698" s="2064" t="n">
        <f aca="false">VLOOKUP(A1698,'Прайс лист'!B821:G860,6,0)</f>
        <v>8379.57</v>
      </c>
      <c r="J1698" s="1707" t="n">
        <f aca="false">C1698*I1698</f>
        <v>144534.5103708</v>
      </c>
      <c r="K1698" s="1708"/>
      <c r="L1698" s="1995" t="str">
        <f aca="false">'Прайс лист'!B1508</f>
        <v>кладка перегородок из кирпича</v>
      </c>
      <c r="M1698" s="1633"/>
      <c r="N1698" s="1436" t="n">
        <f aca="false">C1688</f>
        <v>21.84</v>
      </c>
      <c r="O1698" s="1707" t="n">
        <f aca="false">'Прайс лист'!G1508</f>
        <v>550</v>
      </c>
      <c r="P1698" s="1436"/>
      <c r="Q1698" s="1436"/>
      <c r="R1698" s="1436"/>
      <c r="S1698" s="1707" t="n">
        <f aca="false">N1698*O1698</f>
        <v>12012</v>
      </c>
      <c r="T1698" s="1708" t="n">
        <f aca="false">40*3*0.4</f>
        <v>48</v>
      </c>
      <c r="U1698" s="1708"/>
      <c r="V1698" s="1708"/>
      <c r="W1698" s="1708"/>
      <c r="X1698" s="1708"/>
      <c r="Y1698" s="1708"/>
    </row>
    <row r="1699" customFormat="false" ht="15.75" hidden="false" customHeight="true" outlineLevel="1" collapsed="false">
      <c r="A1699" s="2211" t="str">
        <f aca="false">'Ввод данных'!A1177</f>
        <v>0,7НФ/150/75 Красный</v>
      </c>
      <c r="B1699" s="2064" t="s">
        <v>1043</v>
      </c>
      <c r="C1699" s="2064" t="n">
        <f aca="false">C1688*0.8*C1671*D1671*G1667</f>
        <v>3.84384</v>
      </c>
      <c r="D1699" s="1436" t="n">
        <f aca="false">VLOOKUP(A1699,'Прайс лист'!B821:G860,2,0)</f>
        <v>65</v>
      </c>
      <c r="E1699" s="1436" t="n">
        <f aca="false">VLOOKUP(A1699,'Прайс лист'!B821:G860,3,0)</f>
        <v>85</v>
      </c>
      <c r="F1699" s="1436" t="n">
        <f aca="false">VLOOKUP(A1699,'Прайс лист'!B821:G860,4,0)</f>
        <v>250</v>
      </c>
      <c r="G1699" s="1436" t="n">
        <f aca="false">C1699/((D1699*E1699*F1699/1000000000))</f>
        <v>2782.87058823529</v>
      </c>
      <c r="H1699" s="1436"/>
      <c r="I1699" s="2064" t="n">
        <f aca="false">VLOOKUP(A1699,'Прайс лист'!B821:G860,6,0)</f>
        <v>8379.57</v>
      </c>
      <c r="J1699" s="1707" t="n">
        <f aca="false">C1699*I1699</f>
        <v>32209.7263488</v>
      </c>
      <c r="K1699" s="1708"/>
      <c r="L1699" s="1995" t="str">
        <f aca="false">'Прайс лист'!B1513</f>
        <v>Армирование сейсмопояса</v>
      </c>
      <c r="M1699" s="2225"/>
      <c r="N1699" s="1707" t="n">
        <f aca="false">C1736/2*J1667</f>
        <v>87.681</v>
      </c>
      <c r="O1699" s="1707" t="n">
        <f aca="false">'Прайс лист'!G1513</f>
        <v>500</v>
      </c>
      <c r="P1699" s="1707"/>
      <c r="Q1699" s="1707"/>
      <c r="R1699" s="1707"/>
      <c r="S1699" s="1707" t="n">
        <f aca="false">N1699*O1699</f>
        <v>43840.5</v>
      </c>
      <c r="T1699" s="1708"/>
      <c r="U1699" s="1708"/>
      <c r="V1699" s="1708"/>
      <c r="W1699" s="1708"/>
      <c r="X1699" s="1708"/>
      <c r="Y1699" s="1708"/>
    </row>
    <row r="1700" customFormat="false" ht="15.75" hidden="false" customHeight="true" outlineLevel="1" collapsed="false">
      <c r="A1700" s="2211" t="str">
        <f aca="false">A1622</f>
        <v>Перемычка оконная, 1-ый эт. Вариант 1</v>
      </c>
      <c r="B1700" s="2064" t="str">
        <f aca="false">B1622</f>
        <v>м.п.</v>
      </c>
      <c r="C1700" s="2211" t="n">
        <f aca="false">C1622</f>
        <v>1</v>
      </c>
      <c r="D1700" s="1436" t="n">
        <f aca="false">'Ввод данных'!$C$1173</f>
        <v>0.4</v>
      </c>
      <c r="E1700" s="1436" t="n">
        <f aca="false">E1622</f>
        <v>1.4</v>
      </c>
      <c r="F1700" s="1436" t="n">
        <f aca="false">F1622</f>
        <v>300</v>
      </c>
      <c r="G1700" s="1436" t="n">
        <f aca="false">G1622</f>
        <v>1.8</v>
      </c>
      <c r="H1700" s="1436"/>
      <c r="I1700" s="2211" t="n">
        <f aca="false">I1622</f>
        <v>1000</v>
      </c>
      <c r="J1700" s="1707" t="n">
        <f aca="false">C1700*I1700</f>
        <v>1000</v>
      </c>
      <c r="K1700" s="1708"/>
      <c r="L1700" s="1995" t="str">
        <f aca="false">'Прайс лист'!B1514</f>
        <v>Заливка бетоном сейсмопояса</v>
      </c>
      <c r="M1700" s="2225"/>
      <c r="N1700" s="1707" t="n">
        <f aca="false">C1730</f>
        <v>2.8833</v>
      </c>
      <c r="O1700" s="1707" t="n">
        <f aca="false">'Прайс лист'!G1514</f>
        <v>700</v>
      </c>
      <c r="P1700" s="1707"/>
      <c r="Q1700" s="1707"/>
      <c r="R1700" s="1707"/>
      <c r="S1700" s="1707" t="n">
        <f aca="false">N1700*O1700</f>
        <v>2018.31</v>
      </c>
      <c r="T1700" s="1708"/>
      <c r="U1700" s="1708"/>
      <c r="V1700" s="1708"/>
      <c r="W1700" s="1708"/>
      <c r="X1700" s="1708"/>
      <c r="Y1700" s="1708"/>
    </row>
    <row r="1701" customFormat="false" ht="15.75" hidden="false" customHeight="true" outlineLevel="1" collapsed="false">
      <c r="A1701" s="2211" t="str">
        <f aca="false">A1623</f>
        <v>Перемычка оконная, 1-ый эт. Вариант 2</v>
      </c>
      <c r="B1701" s="2064" t="str">
        <f aca="false">B1623</f>
        <v>м.п.</v>
      </c>
      <c r="C1701" s="2211" t="n">
        <f aca="false">C1623</f>
        <v>0</v>
      </c>
      <c r="D1701" s="1436" t="n">
        <f aca="false">'Ввод данных'!$C$1173</f>
        <v>0.4</v>
      </c>
      <c r="E1701" s="1436" t="n">
        <f aca="false">E1623</f>
        <v>1</v>
      </c>
      <c r="F1701" s="1436" t="n">
        <f aca="false">F1623</f>
        <v>300</v>
      </c>
      <c r="G1701" s="1436" t="n">
        <f aca="false">G1623</f>
        <v>0</v>
      </c>
      <c r="H1701" s="1436"/>
      <c r="I1701" s="2211" t="n">
        <f aca="false">I1623</f>
        <v>1000</v>
      </c>
      <c r="J1701" s="1707" t="n">
        <f aca="false">C1701*I1701</f>
        <v>0</v>
      </c>
      <c r="K1701" s="1708"/>
      <c r="L1701" s="2341" t="str">
        <f aca="false">'Прайс лист'!B1515</f>
        <v>утепление стен снаружи дома</v>
      </c>
      <c r="M1701" s="2225"/>
      <c r="N1701" s="1707" t="n">
        <f aca="false">C1685*D1676</f>
        <v>0</v>
      </c>
      <c r="O1701" s="1707" t="n">
        <f aca="false">'Прайс лист'!G1515</f>
        <v>350</v>
      </c>
      <c r="P1701" s="1707"/>
      <c r="Q1701" s="1707"/>
      <c r="R1701" s="1707"/>
      <c r="S1701" s="1707" t="n">
        <f aca="false">N1701*O1701</f>
        <v>0</v>
      </c>
      <c r="T1701" s="1708"/>
      <c r="U1701" s="1708"/>
      <c r="V1701" s="1708"/>
      <c r="W1701" s="1708"/>
      <c r="X1701" s="1708"/>
      <c r="Y1701" s="1708"/>
    </row>
    <row r="1702" customFormat="false" ht="15.75" hidden="false" customHeight="true" outlineLevel="1" collapsed="false">
      <c r="A1702" s="2211" t="str">
        <f aca="false">A1624</f>
        <v>Перемычка оконная, 1-ый эт. Вариант 3</v>
      </c>
      <c r="B1702" s="2064" t="str">
        <f aca="false">B1624</f>
        <v>м.п.</v>
      </c>
      <c r="C1702" s="2211" t="n">
        <f aca="false">C1624</f>
        <v>0</v>
      </c>
      <c r="D1702" s="1436" t="n">
        <f aca="false">'Ввод данных'!$C$1173</f>
        <v>0.4</v>
      </c>
      <c r="E1702" s="1436" t="n">
        <f aca="false">E1624</f>
        <v>1.4</v>
      </c>
      <c r="F1702" s="1436" t="n">
        <f aca="false">F1624</f>
        <v>300</v>
      </c>
      <c r="G1702" s="1436" t="n">
        <f aca="false">G1624</f>
        <v>0</v>
      </c>
      <c r="H1702" s="1436"/>
      <c r="I1702" s="2211" t="n">
        <f aca="false">I1624</f>
        <v>1000</v>
      </c>
      <c r="J1702" s="1707" t="n">
        <f aca="false">C1702*I1702</f>
        <v>0</v>
      </c>
      <c r="K1702" s="1708"/>
      <c r="L1702" s="2341" t="str">
        <f aca="false">'Прайс лист'!B1498</f>
        <v>монтаж ветроизоляции стен</v>
      </c>
      <c r="M1702" s="2225"/>
      <c r="N1702" s="1707" t="n">
        <f aca="false">C1685*D1677</f>
        <v>0</v>
      </c>
      <c r="O1702" s="1707" t="n">
        <f aca="false">'Прайс лист'!G1498</f>
        <v>100</v>
      </c>
      <c r="P1702" s="1707"/>
      <c r="Q1702" s="1707"/>
      <c r="R1702" s="1707"/>
      <c r="S1702" s="1707" t="n">
        <f aca="false">N1702*O1702</f>
        <v>0</v>
      </c>
      <c r="T1702" s="1708"/>
      <c r="U1702" s="1708"/>
      <c r="V1702" s="1708"/>
      <c r="W1702" s="1708"/>
      <c r="X1702" s="1708"/>
      <c r="Y1702" s="1708"/>
    </row>
    <row r="1703" customFormat="false" ht="15.75" hidden="false" customHeight="true" outlineLevel="1" collapsed="false">
      <c r="A1703" s="2211" t="str">
        <f aca="false">A1625</f>
        <v>Перемычка оконная, 1-ый эт. Вариант 4</v>
      </c>
      <c r="B1703" s="2064" t="str">
        <f aca="false">B1625</f>
        <v>м.п.</v>
      </c>
      <c r="C1703" s="2211" t="n">
        <f aca="false">C1625</f>
        <v>0</v>
      </c>
      <c r="D1703" s="1436" t="n">
        <f aca="false">'Ввод данных'!$C$1173</f>
        <v>0.4</v>
      </c>
      <c r="E1703" s="1436" t="n">
        <f aca="false">E1625</f>
        <v>1</v>
      </c>
      <c r="F1703" s="1436" t="n">
        <f aca="false">F1625</f>
        <v>300</v>
      </c>
      <c r="G1703" s="1436" t="n">
        <f aca="false">G1625</f>
        <v>0</v>
      </c>
      <c r="H1703" s="1436"/>
      <c r="I1703" s="2211" t="n">
        <f aca="false">I1625</f>
        <v>1000</v>
      </c>
      <c r="J1703" s="1707" t="n">
        <f aca="false">C1703*I1703</f>
        <v>0</v>
      </c>
      <c r="K1703" s="1708"/>
      <c r="L1703" s="1995" t="str">
        <f aca="false">'Прайс лист'!B1509</f>
        <v>изготовление и монтаж перемычек для окон и дверей</v>
      </c>
      <c r="M1703" s="2225"/>
      <c r="N1703" s="1707" t="n">
        <f aca="false">SUM(C1700:C1726)</f>
        <v>5</v>
      </c>
      <c r="O1703" s="1707" t="n">
        <f aca="false">'Прайс лист'!G1509</f>
        <v>500</v>
      </c>
      <c r="P1703" s="1707"/>
      <c r="Q1703" s="1707"/>
      <c r="R1703" s="1707"/>
      <c r="S1703" s="1707" t="n">
        <f aca="false">N1703*O1703</f>
        <v>2500</v>
      </c>
      <c r="T1703" s="1708"/>
      <c r="U1703" s="1708"/>
      <c r="V1703" s="1708"/>
      <c r="W1703" s="1708"/>
      <c r="X1703" s="1708"/>
      <c r="Y1703" s="1708"/>
    </row>
    <row r="1704" customFormat="false" ht="15.75" hidden="false" customHeight="true" outlineLevel="1" collapsed="false">
      <c r="A1704" s="2211" t="str">
        <f aca="false">A1626</f>
        <v>Перемычка оконная, 1-ый эт. Вариант 5</v>
      </c>
      <c r="B1704" s="2064" t="str">
        <f aca="false">B1626</f>
        <v>м.п.</v>
      </c>
      <c r="C1704" s="2211" t="n">
        <f aca="false">C1626</f>
        <v>0</v>
      </c>
      <c r="D1704" s="1436" t="n">
        <f aca="false">'Ввод данных'!$C$1173</f>
        <v>0.4</v>
      </c>
      <c r="E1704" s="1436" t="n">
        <f aca="false">E1626</f>
        <v>0.9</v>
      </c>
      <c r="F1704" s="1436" t="n">
        <f aca="false">F1626</f>
        <v>300</v>
      </c>
      <c r="G1704" s="1436" t="n">
        <f aca="false">G1626</f>
        <v>0</v>
      </c>
      <c r="H1704" s="1436"/>
      <c r="I1704" s="2211" t="n">
        <f aca="false">I1626</f>
        <v>1000</v>
      </c>
      <c r="J1704" s="1707" t="n">
        <f aca="false">C1704*I1704</f>
        <v>0</v>
      </c>
      <c r="K1704" s="1708"/>
      <c r="L1704" s="1436" t="str">
        <f aca="false">'Прайс лист'!B1460</f>
        <v>кладка сетки</v>
      </c>
      <c r="M1704" s="2225"/>
      <c r="N1704" s="1707" t="n">
        <f aca="false">C1736</f>
        <v>175.362</v>
      </c>
      <c r="O1704" s="1995" t="n">
        <f aca="false">'Прайс лист'!G1460</f>
        <v>100</v>
      </c>
      <c r="P1704" s="1707"/>
      <c r="Q1704" s="1707"/>
      <c r="R1704" s="1707"/>
      <c r="S1704" s="1707" t="n">
        <f aca="false">N1704*O1704</f>
        <v>17536.2</v>
      </c>
      <c r="T1704" s="1708"/>
      <c r="U1704" s="1708"/>
      <c r="V1704" s="1708"/>
      <c r="W1704" s="1708"/>
      <c r="X1704" s="1708"/>
      <c r="Y1704" s="1708"/>
    </row>
    <row r="1705" customFormat="false" ht="15.75" hidden="false" customHeight="true" outlineLevel="1" collapsed="false">
      <c r="A1705" s="2211" t="str">
        <f aca="false">A1627</f>
        <v>Перемычка оконная, 2-ый эт. Вариант 6</v>
      </c>
      <c r="B1705" s="2064" t="str">
        <f aca="false">B1627</f>
        <v>м.п.</v>
      </c>
      <c r="C1705" s="2211" t="n">
        <f aca="false">C1627</f>
        <v>0</v>
      </c>
      <c r="D1705" s="1436" t="n">
        <f aca="false">'Ввод данных'!$C$1173</f>
        <v>0.4</v>
      </c>
      <c r="E1705" s="1436" t="n">
        <f aca="false">E1627</f>
        <v>1</v>
      </c>
      <c r="F1705" s="1436" t="n">
        <f aca="false">F1627</f>
        <v>300</v>
      </c>
      <c r="G1705" s="1436" t="n">
        <f aca="false">G1627</f>
        <v>0</v>
      </c>
      <c r="H1705" s="1436"/>
      <c r="I1705" s="2211" t="n">
        <f aca="false">I1627</f>
        <v>1000</v>
      </c>
      <c r="J1705" s="1707" t="n">
        <f aca="false">C1705*I1705</f>
        <v>0</v>
      </c>
      <c r="K1705" s="1708"/>
      <c r="L1705" s="1634" t="str">
        <f aca="false">'Прайс лист'!B1510</f>
        <v>Замешивание раствора</v>
      </c>
      <c r="M1705" s="1584"/>
      <c r="N1705" s="1582" t="n">
        <f aca="false">(C1697+C1698+C1699)*0.3*0.7</f>
        <v>17.1402924</v>
      </c>
      <c r="O1705" s="1582" t="n">
        <f aca="false">'Прайс лист'!G1510</f>
        <v>1500</v>
      </c>
      <c r="S1705" s="1707" t="n">
        <f aca="false">N1705*O1705</f>
        <v>25710.4386</v>
      </c>
      <c r="T1705" s="1708"/>
      <c r="U1705" s="1708"/>
      <c r="V1705" s="1708"/>
      <c r="W1705" s="1708"/>
      <c r="X1705" s="1708"/>
      <c r="Y1705" s="1708"/>
    </row>
    <row r="1706" customFormat="false" ht="15.75" hidden="false" customHeight="true" outlineLevel="1" collapsed="false">
      <c r="A1706" s="2211" t="str">
        <f aca="false">A1628</f>
        <v>Перемычка оконная, 2-ый эт. Вариант 7</v>
      </c>
      <c r="B1706" s="2064" t="str">
        <f aca="false">B1628</f>
        <v>м.п.</v>
      </c>
      <c r="C1706" s="2211" t="n">
        <f aca="false">C1628</f>
        <v>0</v>
      </c>
      <c r="D1706" s="1436" t="n">
        <f aca="false">'Ввод данных'!$C$1173</f>
        <v>0.4</v>
      </c>
      <c r="E1706" s="1436" t="n">
        <f aca="false">E1628</f>
        <v>1.2</v>
      </c>
      <c r="F1706" s="1436" t="n">
        <f aca="false">F1628</f>
        <v>300</v>
      </c>
      <c r="G1706" s="1436" t="n">
        <f aca="false">G1628</f>
        <v>0</v>
      </c>
      <c r="H1706" s="1436"/>
      <c r="I1706" s="2211" t="n">
        <f aca="false">I1628</f>
        <v>1000</v>
      </c>
      <c r="J1706" s="1707" t="n">
        <f aca="false">C1706*I1706</f>
        <v>0</v>
      </c>
      <c r="K1706" s="1708"/>
      <c r="L1706" s="1634" t="str">
        <f aca="false">'Прайс лист'!B1512</f>
        <v>Установка опалубки для сейсмопояса</v>
      </c>
      <c r="M1706" s="2225"/>
      <c r="N1706" s="1707" t="n">
        <f aca="false">J47</f>
        <v>64</v>
      </c>
      <c r="O1706" s="1707" t="n">
        <f aca="false">'Прайс лист'!G1512</f>
        <v>300</v>
      </c>
      <c r="P1706" s="1707"/>
      <c r="Q1706" s="1707"/>
      <c r="R1706" s="1707"/>
      <c r="S1706" s="1707" t="n">
        <f aca="false">N1706*O1706</f>
        <v>19200</v>
      </c>
      <c r="T1706" s="1708"/>
      <c r="U1706" s="1708"/>
      <c r="V1706" s="1708"/>
      <c r="W1706" s="1708"/>
      <c r="X1706" s="1708"/>
      <c r="Y1706" s="1708"/>
    </row>
    <row r="1707" customFormat="false" ht="15.75" hidden="false" customHeight="true" outlineLevel="1" collapsed="false">
      <c r="A1707" s="2211" t="str">
        <f aca="false">A1629</f>
        <v>Перемычка оконная, 2-ый эт. Вариант 8</v>
      </c>
      <c r="B1707" s="2064" t="str">
        <f aca="false">B1629</f>
        <v>м.п.</v>
      </c>
      <c r="C1707" s="2211" t="n">
        <f aca="false">C1629</f>
        <v>0</v>
      </c>
      <c r="D1707" s="1436" t="n">
        <f aca="false">'Ввод данных'!$C$1173</f>
        <v>0.4</v>
      </c>
      <c r="E1707" s="1436" t="n">
        <f aca="false">E1629</f>
        <v>1.4</v>
      </c>
      <c r="F1707" s="1436" t="n">
        <f aca="false">F1629</f>
        <v>300</v>
      </c>
      <c r="G1707" s="1436" t="n">
        <f aca="false">G1629</f>
        <v>0</v>
      </c>
      <c r="H1707" s="1436"/>
      <c r="I1707" s="2211" t="n">
        <f aca="false">I1629</f>
        <v>1000</v>
      </c>
      <c r="J1707" s="1707" t="n">
        <f aca="false">C1707*I1707</f>
        <v>0</v>
      </c>
      <c r="K1707" s="1708"/>
      <c r="L1707" s="2294" t="str">
        <f aca="false">'Прайс лист'!B1515</f>
        <v>утепление стен снаружи дома</v>
      </c>
      <c r="M1707" s="2225"/>
      <c r="N1707" s="1707" t="n">
        <f aca="false">C1685</f>
        <v>174.43</v>
      </c>
      <c r="O1707" s="1707" t="n">
        <f aca="false">P1621</f>
        <v>350</v>
      </c>
      <c r="P1707" s="1707"/>
      <c r="Q1707" s="1707"/>
      <c r="R1707" s="1707"/>
      <c r="S1707" s="1707" t="n">
        <f aca="false">N1707*O1707</f>
        <v>61050.5</v>
      </c>
      <c r="T1707" s="1708"/>
      <c r="U1707" s="1708"/>
      <c r="V1707" s="1708"/>
      <c r="W1707" s="1708"/>
      <c r="X1707" s="1708"/>
      <c r="Y1707" s="1708"/>
    </row>
    <row r="1708" customFormat="false" ht="15.75" hidden="false" customHeight="true" outlineLevel="1" collapsed="false">
      <c r="A1708" s="2211" t="str">
        <f aca="false">A1630</f>
        <v>Перемычка оконная, 2-ый эт. Вариант 9</v>
      </c>
      <c r="B1708" s="2064" t="str">
        <f aca="false">B1630</f>
        <v>м.п.</v>
      </c>
      <c r="C1708" s="2211" t="n">
        <f aca="false">C1630</f>
        <v>0</v>
      </c>
      <c r="D1708" s="1436" t="n">
        <f aca="false">'Ввод данных'!$C$1173</f>
        <v>0.4</v>
      </c>
      <c r="E1708" s="1436" t="n">
        <f aca="false">E1630</f>
        <v>5.4</v>
      </c>
      <c r="F1708" s="1436" t="n">
        <f aca="false">F1630</f>
        <v>300</v>
      </c>
      <c r="G1708" s="1436" t="n">
        <f aca="false">G1630</f>
        <v>0</v>
      </c>
      <c r="H1708" s="1436"/>
      <c r="I1708" s="2211" t="n">
        <f aca="false">I1630</f>
        <v>1000</v>
      </c>
      <c r="J1708" s="1707" t="n">
        <f aca="false">C1708*I1708</f>
        <v>0</v>
      </c>
      <c r="K1708" s="1708"/>
      <c r="L1708" s="2294"/>
      <c r="M1708" s="2225"/>
      <c r="N1708" s="1707"/>
      <c r="O1708" s="1707"/>
      <c r="P1708" s="1707"/>
      <c r="Q1708" s="1707"/>
      <c r="R1708" s="1707"/>
      <c r="S1708" s="1707"/>
      <c r="T1708" s="1708"/>
      <c r="U1708" s="1708"/>
      <c r="V1708" s="1708"/>
      <c r="W1708" s="1708"/>
      <c r="X1708" s="1708"/>
      <c r="Y1708" s="1708"/>
    </row>
    <row r="1709" customFormat="false" ht="15.75" hidden="false" customHeight="true" outlineLevel="1" collapsed="false">
      <c r="A1709" s="2211" t="str">
        <f aca="false">A1631</f>
        <v>Перемычка оконная, 2-ый эт. Вариант 10</v>
      </c>
      <c r="B1709" s="2064" t="str">
        <f aca="false">B1631</f>
        <v>м.п.</v>
      </c>
      <c r="C1709" s="2211" t="n">
        <f aca="false">C1631</f>
        <v>0</v>
      </c>
      <c r="D1709" s="1436" t="n">
        <f aca="false">'Ввод данных'!$C$1173</f>
        <v>0.4</v>
      </c>
      <c r="E1709" s="1436" t="n">
        <f aca="false">E1631</f>
        <v>6.4</v>
      </c>
      <c r="F1709" s="1436" t="n">
        <f aca="false">F1631</f>
        <v>300</v>
      </c>
      <c r="G1709" s="1436" t="n">
        <f aca="false">G1631</f>
        <v>0</v>
      </c>
      <c r="H1709" s="1436"/>
      <c r="I1709" s="2211" t="n">
        <f aca="false">I1631</f>
        <v>1000</v>
      </c>
      <c r="J1709" s="1707" t="n">
        <f aca="false">C1709*I1709</f>
        <v>0</v>
      </c>
      <c r="K1709" s="1708"/>
      <c r="L1709" s="1634"/>
      <c r="M1709" s="2225"/>
      <c r="N1709" s="1707"/>
      <c r="O1709" s="1707"/>
      <c r="P1709" s="1707"/>
      <c r="Q1709" s="1707"/>
      <c r="R1709" s="1707"/>
      <c r="S1709" s="1707"/>
      <c r="T1709" s="1708"/>
      <c r="U1709" s="1708"/>
      <c r="V1709" s="1708"/>
      <c r="W1709" s="1708"/>
      <c r="X1709" s="1708"/>
      <c r="Y1709" s="1708"/>
    </row>
    <row r="1710" customFormat="false" ht="15.75" hidden="false" customHeight="true" outlineLevel="1" collapsed="false">
      <c r="A1710" s="2211" t="str">
        <f aca="false">A1632</f>
        <v>Перемычка дверная, 1-ый эт. Вариант 1</v>
      </c>
      <c r="B1710" s="2064" t="str">
        <f aca="false">B1632</f>
        <v>м.п.</v>
      </c>
      <c r="C1710" s="2211" t="n">
        <f aca="false">C1632</f>
        <v>0</v>
      </c>
      <c r="D1710" s="1436" t="n">
        <f aca="false">'Ввод данных'!$C$1173</f>
        <v>0.4</v>
      </c>
      <c r="E1710" s="1436" t="n">
        <f aca="false">E1632</f>
        <v>1.2</v>
      </c>
      <c r="F1710" s="1436" t="n">
        <f aca="false">F1632</f>
        <v>200</v>
      </c>
      <c r="G1710" s="1436" t="n">
        <f aca="false">G1632</f>
        <v>0</v>
      </c>
      <c r="H1710" s="1436"/>
      <c r="I1710" s="2211" t="n">
        <f aca="false">I1632</f>
        <v>1000</v>
      </c>
      <c r="J1710" s="1707" t="n">
        <f aca="false">C1710*I1710</f>
        <v>0</v>
      </c>
      <c r="K1710" s="1708"/>
      <c r="L1710" s="2290"/>
      <c r="M1710" s="2225"/>
      <c r="N1710" s="1707"/>
      <c r="O1710" s="1707"/>
      <c r="P1710" s="1707"/>
      <c r="Q1710" s="1707"/>
      <c r="R1710" s="1707"/>
      <c r="S1710" s="1707"/>
      <c r="T1710" s="1708"/>
      <c r="U1710" s="1708"/>
      <c r="V1710" s="1708"/>
      <c r="W1710" s="1708"/>
      <c r="X1710" s="1708"/>
      <c r="Y1710" s="1708"/>
    </row>
    <row r="1711" customFormat="false" ht="15.75" hidden="false" customHeight="true" outlineLevel="1" collapsed="false">
      <c r="A1711" s="2211" t="str">
        <f aca="false">A1633</f>
        <v>Перемычка дверная, 2-ый эт. Вариант 2</v>
      </c>
      <c r="B1711" s="2064" t="str">
        <f aca="false">B1633</f>
        <v>м.п.</v>
      </c>
      <c r="C1711" s="2211" t="n">
        <f aca="false">C1633</f>
        <v>0</v>
      </c>
      <c r="D1711" s="1436" t="n">
        <f aca="false">'Ввод данных'!$C$1173</f>
        <v>0.4</v>
      </c>
      <c r="E1711" s="1436" t="n">
        <f aca="false">E1633</f>
        <v>1.2</v>
      </c>
      <c r="F1711" s="1436" t="n">
        <f aca="false">F1633</f>
        <v>200</v>
      </c>
      <c r="G1711" s="1436" t="n">
        <f aca="false">G1633</f>
        <v>0</v>
      </c>
      <c r="H1711" s="1436"/>
      <c r="I1711" s="2211" t="n">
        <f aca="false">I1633</f>
        <v>1000</v>
      </c>
      <c r="J1711" s="1707" t="n">
        <f aca="false">C1711*I1711</f>
        <v>0</v>
      </c>
      <c r="K1711" s="1708"/>
      <c r="L1711" s="1436"/>
      <c r="M1711" s="2225"/>
      <c r="N1711" s="1707"/>
      <c r="O1711" s="1707"/>
      <c r="P1711" s="1707"/>
      <c r="Q1711" s="1707"/>
      <c r="R1711" s="1707"/>
      <c r="S1711" s="1707"/>
      <c r="T1711" s="1708"/>
      <c r="U1711" s="1708"/>
      <c r="V1711" s="1708"/>
      <c r="W1711" s="1708"/>
      <c r="X1711" s="1708"/>
      <c r="Y1711" s="1708"/>
    </row>
    <row r="1712" customFormat="false" ht="15.75" hidden="false" customHeight="true" outlineLevel="1" collapsed="false">
      <c r="A1712" s="2211" t="str">
        <f aca="false">A1634</f>
        <v>Перемычка оконная 1-ый эт, Вариант 11</v>
      </c>
      <c r="B1712" s="2064" t="str">
        <f aca="false">B1634</f>
        <v>м.п.</v>
      </c>
      <c r="C1712" s="2211" t="n">
        <f aca="false">C1634</f>
        <v>0</v>
      </c>
      <c r="D1712" s="1436" t="n">
        <f aca="false">'Ввод данных'!$C$1173</f>
        <v>0.4</v>
      </c>
      <c r="E1712" s="1436" t="n">
        <f aca="false">E1634</f>
        <v>2.4</v>
      </c>
      <c r="F1712" s="1436" t="n">
        <f aca="false">F1634</f>
        <v>200</v>
      </c>
      <c r="G1712" s="1436" t="n">
        <f aca="false">G1634</f>
        <v>0</v>
      </c>
      <c r="H1712" s="1436"/>
      <c r="I1712" s="2211" t="n">
        <f aca="false">I1634</f>
        <v>1000</v>
      </c>
      <c r="J1712" s="1707" t="n">
        <f aca="false">C1712*I1712</f>
        <v>0</v>
      </c>
      <c r="K1712" s="1708"/>
      <c r="L1712" s="1436"/>
      <c r="M1712" s="2225"/>
      <c r="N1712" s="1707"/>
      <c r="O1712" s="1707"/>
      <c r="P1712" s="1707"/>
      <c r="Q1712" s="1707"/>
      <c r="R1712" s="1707"/>
      <c r="S1712" s="1707"/>
      <c r="T1712" s="1708"/>
      <c r="U1712" s="1708"/>
      <c r="V1712" s="1708"/>
      <c r="W1712" s="1708"/>
      <c r="X1712" s="1708"/>
      <c r="Y1712" s="1708"/>
    </row>
    <row r="1713" customFormat="false" ht="15.75" hidden="false" customHeight="true" outlineLevel="1" collapsed="false">
      <c r="A1713" s="2211" t="str">
        <f aca="false">A1635</f>
        <v>Перемычка оконная 1-ый эт, Вариант 12</v>
      </c>
      <c r="B1713" s="2064" t="str">
        <f aca="false">B1635</f>
        <v>м.п.</v>
      </c>
      <c r="C1713" s="2211" t="n">
        <f aca="false">C1635</f>
        <v>0</v>
      </c>
      <c r="D1713" s="1436" t="n">
        <f aca="false">'Ввод данных'!$C$1173</f>
        <v>0.4</v>
      </c>
      <c r="E1713" s="1436" t="n">
        <f aca="false">E1635</f>
        <v>0.4</v>
      </c>
      <c r="F1713" s="1436" t="n">
        <f aca="false">F1635</f>
        <v>200</v>
      </c>
      <c r="G1713" s="1436" t="n">
        <f aca="false">G1635</f>
        <v>0</v>
      </c>
      <c r="H1713" s="1436"/>
      <c r="I1713" s="2211" t="n">
        <f aca="false">I1635</f>
        <v>1000</v>
      </c>
      <c r="J1713" s="1707" t="n">
        <f aca="false">C1713*I1713</f>
        <v>0</v>
      </c>
      <c r="K1713" s="1708"/>
      <c r="L1713" s="1707"/>
      <c r="M1713" s="2225"/>
      <c r="N1713" s="1707"/>
      <c r="O1713" s="1707"/>
      <c r="P1713" s="1707"/>
      <c r="Q1713" s="1707"/>
      <c r="R1713" s="1707"/>
      <c r="S1713" s="1707"/>
      <c r="T1713" s="1708"/>
      <c r="U1713" s="1708"/>
      <c r="V1713" s="1708"/>
      <c r="W1713" s="1708"/>
      <c r="X1713" s="1708"/>
      <c r="Y1713" s="1708"/>
    </row>
    <row r="1714" customFormat="false" ht="15.75" hidden="false" customHeight="true" outlineLevel="1" collapsed="false">
      <c r="A1714" s="2211" t="str">
        <f aca="false">A1636</f>
        <v>Перемычка дверная, 1-ый эт. Вариант 4</v>
      </c>
      <c r="B1714" s="2064" t="str">
        <f aca="false">B1636</f>
        <v>м.п.</v>
      </c>
      <c r="C1714" s="2211" t="n">
        <f aca="false">C1636</f>
        <v>3</v>
      </c>
      <c r="D1714" s="1436" t="n">
        <f aca="false">'Ввод данных'!$C$1175</f>
        <v>0.3</v>
      </c>
      <c r="E1714" s="1436" t="n">
        <f aca="false">E1636</f>
        <v>1.2</v>
      </c>
      <c r="F1714" s="1436" t="n">
        <f aca="false">F1636</f>
        <v>200</v>
      </c>
      <c r="G1714" s="1436" t="n">
        <f aca="false">G1636</f>
        <v>4.8</v>
      </c>
      <c r="H1714" s="1436"/>
      <c r="I1714" s="2211" t="n">
        <f aca="false">I1636</f>
        <v>1000</v>
      </c>
      <c r="J1714" s="1707" t="n">
        <f aca="false">C1714*I1714</f>
        <v>3000</v>
      </c>
      <c r="K1714" s="1708"/>
      <c r="L1714" s="1707"/>
      <c r="M1714" s="2225"/>
      <c r="N1714" s="1707"/>
      <c r="O1714" s="1707"/>
      <c r="P1714" s="1707"/>
      <c r="Q1714" s="1707"/>
      <c r="R1714" s="1707"/>
      <c r="S1714" s="1707"/>
      <c r="T1714" s="1708"/>
      <c r="U1714" s="1708"/>
      <c r="V1714" s="1708"/>
      <c r="W1714" s="1708"/>
      <c r="X1714" s="1708"/>
      <c r="Y1714" s="1708"/>
    </row>
    <row r="1715" customFormat="false" ht="15.75" hidden="false" customHeight="true" outlineLevel="1" collapsed="false">
      <c r="A1715" s="2211" t="str">
        <f aca="false">A1637</f>
        <v>Перемычка дверная, 1-ый эт. Вариант 5</v>
      </c>
      <c r="B1715" s="2064" t="str">
        <f aca="false">B1637</f>
        <v>м.п.</v>
      </c>
      <c r="C1715" s="2211" t="n">
        <f aca="false">C1637</f>
        <v>0</v>
      </c>
      <c r="D1715" s="1436" t="n">
        <f aca="false">'Ввод данных'!$C$1175</f>
        <v>0.3</v>
      </c>
      <c r="E1715" s="1436" t="n">
        <f aca="false">E1637</f>
        <v>1</v>
      </c>
      <c r="F1715" s="1436" t="n">
        <f aca="false">F1637</f>
        <v>200</v>
      </c>
      <c r="G1715" s="1436" t="n">
        <f aca="false">G1637</f>
        <v>0</v>
      </c>
      <c r="H1715" s="1436"/>
      <c r="I1715" s="2211" t="n">
        <f aca="false">I1637</f>
        <v>1000</v>
      </c>
      <c r="J1715" s="1707" t="n">
        <f aca="false">C1715*I1715</f>
        <v>0</v>
      </c>
      <c r="K1715" s="1708"/>
      <c r="L1715" s="1707"/>
      <c r="M1715" s="2225"/>
      <c r="N1715" s="1707"/>
      <c r="O1715" s="1707"/>
      <c r="P1715" s="1707"/>
      <c r="Q1715" s="1707"/>
      <c r="R1715" s="1707"/>
      <c r="S1715" s="1707"/>
      <c r="T1715" s="1708"/>
      <c r="U1715" s="1708"/>
      <c r="V1715" s="1708"/>
      <c r="W1715" s="1708"/>
      <c r="X1715" s="1708"/>
      <c r="Y1715" s="1708"/>
    </row>
    <row r="1716" customFormat="false" ht="15.75" hidden="false" customHeight="true" outlineLevel="1" collapsed="false">
      <c r="A1716" s="2211" t="str">
        <f aca="false">A1638</f>
        <v>Перемычка дверная, 1-ый эт. Вариант 6</v>
      </c>
      <c r="B1716" s="2064" t="str">
        <f aca="false">B1638</f>
        <v>м.п.</v>
      </c>
      <c r="C1716" s="2211" t="n">
        <f aca="false">C1638</f>
        <v>0</v>
      </c>
      <c r="D1716" s="1436" t="n">
        <f aca="false">'Ввод данных'!$C$1175</f>
        <v>0.3</v>
      </c>
      <c r="E1716" s="1436" t="n">
        <f aca="false">E1638</f>
        <v>1.3</v>
      </c>
      <c r="F1716" s="1436" t="n">
        <f aca="false">F1638</f>
        <v>200</v>
      </c>
      <c r="G1716" s="1436" t="n">
        <f aca="false">G1638</f>
        <v>0</v>
      </c>
      <c r="H1716" s="1436"/>
      <c r="I1716" s="2211" t="n">
        <f aca="false">I1638</f>
        <v>1000</v>
      </c>
      <c r="J1716" s="1707" t="n">
        <f aca="false">C1716*I1716</f>
        <v>0</v>
      </c>
      <c r="K1716" s="1708"/>
      <c r="L1716" s="1707"/>
      <c r="M1716" s="2225"/>
      <c r="N1716" s="1707"/>
      <c r="O1716" s="1707"/>
      <c r="P1716" s="1707"/>
      <c r="Q1716" s="1707"/>
      <c r="R1716" s="1707"/>
      <c r="S1716" s="1707"/>
      <c r="T1716" s="1708"/>
      <c r="U1716" s="1708"/>
      <c r="V1716" s="1708"/>
      <c r="W1716" s="1708"/>
      <c r="X1716" s="1708"/>
      <c r="Y1716" s="1708"/>
    </row>
    <row r="1717" customFormat="false" ht="15.75" hidden="false" customHeight="true" outlineLevel="1" collapsed="false">
      <c r="A1717" s="2211" t="str">
        <f aca="false">A1639</f>
        <v>Перемычка дверная, 2-ый эт. Вариант 7</v>
      </c>
      <c r="B1717" s="2064" t="str">
        <f aca="false">B1639</f>
        <v>м.п.</v>
      </c>
      <c r="C1717" s="2211" t="n">
        <f aca="false">C1639</f>
        <v>0</v>
      </c>
      <c r="D1717" s="1436" t="n">
        <f aca="false">'Ввод данных'!$C$1175</f>
        <v>0.3</v>
      </c>
      <c r="E1717" s="1436" t="n">
        <f aca="false">E1639</f>
        <v>1.2</v>
      </c>
      <c r="F1717" s="1436" t="n">
        <f aca="false">F1639</f>
        <v>200</v>
      </c>
      <c r="G1717" s="1436" t="n">
        <f aca="false">G1639</f>
        <v>0</v>
      </c>
      <c r="H1717" s="1436"/>
      <c r="I1717" s="2211" t="n">
        <f aca="false">I1639</f>
        <v>1000</v>
      </c>
      <c r="J1717" s="1707" t="n">
        <f aca="false">C1717*I1717</f>
        <v>0</v>
      </c>
      <c r="K1717" s="1708"/>
      <c r="L1717" s="1707"/>
      <c r="M1717" s="2225"/>
      <c r="N1717" s="1707"/>
      <c r="O1717" s="1707"/>
      <c r="P1717" s="1707"/>
      <c r="Q1717" s="1707"/>
      <c r="R1717" s="1707"/>
      <c r="S1717" s="1707"/>
      <c r="T1717" s="1708"/>
      <c r="U1717" s="1708"/>
      <c r="V1717" s="1708"/>
      <c r="W1717" s="1708"/>
      <c r="X1717" s="1708"/>
      <c r="Y1717" s="1708"/>
    </row>
    <row r="1718" customFormat="false" ht="15.75" hidden="false" customHeight="true" outlineLevel="1" collapsed="false">
      <c r="A1718" s="2211" t="str">
        <f aca="false">A1640</f>
        <v>Перемычка дверная, 2-ый эт. Вариант 8</v>
      </c>
      <c r="B1718" s="2064" t="str">
        <f aca="false">B1640</f>
        <v>м.п.</v>
      </c>
      <c r="C1718" s="2211" t="n">
        <f aca="false">C1640</f>
        <v>0</v>
      </c>
      <c r="D1718" s="1436" t="n">
        <f aca="false">'Ввод данных'!$C$1175</f>
        <v>0.3</v>
      </c>
      <c r="E1718" s="1436" t="n">
        <f aca="false">E1640</f>
        <v>1.4</v>
      </c>
      <c r="F1718" s="1436" t="n">
        <f aca="false">F1640</f>
        <v>200</v>
      </c>
      <c r="G1718" s="1436" t="n">
        <f aca="false">G1640</f>
        <v>0</v>
      </c>
      <c r="H1718" s="1436"/>
      <c r="I1718" s="2211" t="n">
        <f aca="false">I1640</f>
        <v>1000</v>
      </c>
      <c r="J1718" s="1707" t="n">
        <f aca="false">C1718*I1718</f>
        <v>0</v>
      </c>
      <c r="K1718" s="1708"/>
      <c r="L1718" s="1707"/>
      <c r="M1718" s="2225"/>
      <c r="N1718" s="1707"/>
      <c r="O1718" s="1707"/>
      <c r="P1718" s="1707"/>
      <c r="Q1718" s="1707"/>
      <c r="R1718" s="1707"/>
      <c r="S1718" s="1707"/>
      <c r="T1718" s="1708"/>
      <c r="U1718" s="1708"/>
      <c r="V1718" s="1708"/>
      <c r="W1718" s="1708"/>
      <c r="X1718" s="1708"/>
      <c r="Y1718" s="1708"/>
    </row>
    <row r="1719" customFormat="false" ht="15.75" hidden="false" customHeight="true" outlineLevel="1" collapsed="false">
      <c r="A1719" s="2211" t="str">
        <f aca="false">A1641</f>
        <v>Перемычка дверная, 2-ый эт. Вариант 9</v>
      </c>
      <c r="B1719" s="2064" t="str">
        <f aca="false">B1641</f>
        <v>м.п.</v>
      </c>
      <c r="C1719" s="2211" t="n">
        <f aca="false">C1641</f>
        <v>0</v>
      </c>
      <c r="D1719" s="1436" t="n">
        <f aca="false">'Ввод данных'!$C$1175</f>
        <v>0.3</v>
      </c>
      <c r="E1719" s="1436" t="n">
        <f aca="false">E1641</f>
        <v>1.4</v>
      </c>
      <c r="F1719" s="1436" t="n">
        <f aca="false">F1641</f>
        <v>200</v>
      </c>
      <c r="G1719" s="1436" t="n">
        <f aca="false">G1641</f>
        <v>0</v>
      </c>
      <c r="H1719" s="1436"/>
      <c r="I1719" s="2211" t="n">
        <f aca="false">I1641</f>
        <v>1000</v>
      </c>
      <c r="J1719" s="1707" t="n">
        <f aca="false">C1719*I1719</f>
        <v>0</v>
      </c>
      <c r="K1719" s="1708"/>
      <c r="L1719" s="1707"/>
      <c r="M1719" s="2225"/>
      <c r="N1719" s="1707"/>
      <c r="O1719" s="1707"/>
      <c r="P1719" s="1707"/>
      <c r="Q1719" s="1707"/>
      <c r="R1719" s="1707"/>
      <c r="S1719" s="1707"/>
      <c r="T1719" s="1708"/>
      <c r="U1719" s="1708"/>
      <c r="V1719" s="1708"/>
      <c r="W1719" s="1708"/>
      <c r="X1719" s="1708"/>
      <c r="Y1719" s="1708"/>
    </row>
    <row r="1720" customFormat="false" ht="15.75" hidden="false" customHeight="true" outlineLevel="1" collapsed="false">
      <c r="A1720" s="2211" t="str">
        <f aca="false">A1642</f>
        <v>Перемычка проема, 1-ый эт. Вариант 10</v>
      </c>
      <c r="B1720" s="2064" t="str">
        <f aca="false">B1642</f>
        <v>м.п.</v>
      </c>
      <c r="C1720" s="2211" t="n">
        <f aca="false">C1642</f>
        <v>0</v>
      </c>
      <c r="D1720" s="1436" t="n">
        <f aca="false">'Ввод данных'!$C$1175</f>
        <v>0.3</v>
      </c>
      <c r="E1720" s="1436" t="n">
        <f aca="false">E1642</f>
        <v>2.4</v>
      </c>
      <c r="F1720" s="1436" t="n">
        <f aca="false">F1642</f>
        <v>200</v>
      </c>
      <c r="G1720" s="1436" t="n">
        <f aca="false">G1642</f>
        <v>0</v>
      </c>
      <c r="H1720" s="1436"/>
      <c r="I1720" s="2211" t="n">
        <f aca="false">I1642</f>
        <v>1000</v>
      </c>
      <c r="J1720" s="1707" t="n">
        <f aca="false">C1720*I1720</f>
        <v>0</v>
      </c>
      <c r="K1720" s="1708"/>
      <c r="L1720" s="1707"/>
      <c r="M1720" s="2225"/>
      <c r="N1720" s="1707"/>
      <c r="O1720" s="1707"/>
      <c r="P1720" s="1707"/>
      <c r="Q1720" s="1707"/>
      <c r="R1720" s="1707"/>
      <c r="S1720" s="1707"/>
      <c r="T1720" s="1708"/>
      <c r="U1720" s="1708"/>
      <c r="V1720" s="1708"/>
      <c r="W1720" s="1708"/>
      <c r="X1720" s="1708"/>
      <c r="Y1720" s="1708"/>
    </row>
    <row r="1721" customFormat="false" ht="15.75" hidden="false" customHeight="true" outlineLevel="1" collapsed="false">
      <c r="A1721" s="2211" t="str">
        <f aca="false">A1643</f>
        <v>Перемычка проема, 1-ый эт. Вариант 11</v>
      </c>
      <c r="B1721" s="2064" t="str">
        <f aca="false">B1643</f>
        <v>м.п.</v>
      </c>
      <c r="C1721" s="2211" t="n">
        <f aca="false">C1643</f>
        <v>0</v>
      </c>
      <c r="D1721" s="1436" t="n">
        <f aca="false">'Ввод данных'!$C$1175</f>
        <v>0.3</v>
      </c>
      <c r="E1721" s="1436" t="n">
        <f aca="false">E1643</f>
        <v>1.8</v>
      </c>
      <c r="F1721" s="1436" t="n">
        <f aca="false">F1643</f>
        <v>200</v>
      </c>
      <c r="G1721" s="1436" t="n">
        <f aca="false">G1643</f>
        <v>0</v>
      </c>
      <c r="H1721" s="1436"/>
      <c r="I1721" s="2211" t="n">
        <f aca="false">I1643</f>
        <v>1000</v>
      </c>
      <c r="J1721" s="1707" t="n">
        <f aca="false">C1721*I1721</f>
        <v>0</v>
      </c>
      <c r="K1721" s="1708"/>
      <c r="L1721" s="1707"/>
      <c r="M1721" s="2225"/>
      <c r="N1721" s="1707"/>
      <c r="O1721" s="1707"/>
      <c r="P1721" s="1707"/>
      <c r="Q1721" s="1707"/>
      <c r="R1721" s="1707"/>
      <c r="S1721" s="1707"/>
      <c r="T1721" s="1708"/>
      <c r="U1721" s="1708"/>
      <c r="V1721" s="1708"/>
      <c r="W1721" s="1708"/>
      <c r="X1721" s="1708"/>
      <c r="Y1721" s="1708"/>
    </row>
    <row r="1722" customFormat="false" ht="15.75" hidden="false" customHeight="true" outlineLevel="1" collapsed="false">
      <c r="A1722" s="2211" t="str">
        <f aca="false">A1644</f>
        <v>Перемычка проема, 2-ый эт. Вариант 12</v>
      </c>
      <c r="B1722" s="2064" t="str">
        <f aca="false">B1644</f>
        <v>м.п.</v>
      </c>
      <c r="C1722" s="2211" t="n">
        <f aca="false">C1644</f>
        <v>0</v>
      </c>
      <c r="D1722" s="1436" t="n">
        <f aca="false">'Ввод данных'!$C$1175</f>
        <v>0.3</v>
      </c>
      <c r="E1722" s="1436" t="n">
        <f aca="false">E1644</f>
        <v>2.4</v>
      </c>
      <c r="F1722" s="1436" t="n">
        <f aca="false">F1644</f>
        <v>200</v>
      </c>
      <c r="G1722" s="1436" t="n">
        <f aca="false">G1644</f>
        <v>0</v>
      </c>
      <c r="H1722" s="1436"/>
      <c r="I1722" s="2211" t="n">
        <f aca="false">I1644</f>
        <v>1000</v>
      </c>
      <c r="J1722" s="1707" t="n">
        <f aca="false">C1722*I1722</f>
        <v>0</v>
      </c>
      <c r="K1722" s="1708"/>
      <c r="L1722" s="1707"/>
      <c r="M1722" s="2225"/>
      <c r="N1722" s="1707"/>
      <c r="O1722" s="1707"/>
      <c r="P1722" s="1707"/>
      <c r="Q1722" s="1707"/>
      <c r="R1722" s="1707"/>
      <c r="S1722" s="1707"/>
      <c r="T1722" s="1708"/>
      <c r="U1722" s="1708"/>
      <c r="V1722" s="1708"/>
      <c r="W1722" s="1708"/>
      <c r="X1722" s="1708"/>
      <c r="Y1722" s="1708"/>
    </row>
    <row r="1723" customFormat="false" ht="15.75" hidden="false" customHeight="true" outlineLevel="1" collapsed="false">
      <c r="A1723" s="2211" t="str">
        <f aca="false">A1645</f>
        <v>Перемычка проема, 2-ый эт. Вариант 13</v>
      </c>
      <c r="B1723" s="2064" t="str">
        <f aca="false">B1645</f>
        <v>м.п.</v>
      </c>
      <c r="C1723" s="2211" t="n">
        <f aca="false">C1645</f>
        <v>0</v>
      </c>
      <c r="D1723" s="1436" t="n">
        <f aca="false">'Ввод данных'!$C$1175</f>
        <v>0.3</v>
      </c>
      <c r="E1723" s="1436" t="n">
        <f aca="false">E1645</f>
        <v>2.4</v>
      </c>
      <c r="F1723" s="1436" t="n">
        <f aca="false">F1645</f>
        <v>200</v>
      </c>
      <c r="G1723" s="1436" t="n">
        <f aca="false">G1645</f>
        <v>0</v>
      </c>
      <c r="H1723" s="1436"/>
      <c r="I1723" s="2211" t="n">
        <f aca="false">I1645</f>
        <v>1000</v>
      </c>
      <c r="J1723" s="1707" t="n">
        <f aca="false">C1723*I1723</f>
        <v>0</v>
      </c>
      <c r="K1723" s="1708"/>
      <c r="L1723" s="1707"/>
      <c r="M1723" s="2225"/>
      <c r="N1723" s="1707"/>
      <c r="O1723" s="1707"/>
      <c r="P1723" s="1707"/>
      <c r="Q1723" s="1707"/>
      <c r="R1723" s="1707"/>
      <c r="S1723" s="1707"/>
      <c r="T1723" s="1708"/>
      <c r="U1723" s="1708"/>
      <c r="V1723" s="1708"/>
      <c r="W1723" s="1708"/>
      <c r="X1723" s="1708"/>
      <c r="Y1723" s="1708"/>
    </row>
    <row r="1724" customFormat="false" ht="15.75" hidden="false" customHeight="true" outlineLevel="1" collapsed="false">
      <c r="A1724" s="2211" t="str">
        <f aca="false">A1646</f>
        <v>Перемычка дверная, 1-ый эт. Вариант 1</v>
      </c>
      <c r="B1724" s="2064" t="str">
        <f aca="false">B1646</f>
        <v>м.п.</v>
      </c>
      <c r="C1724" s="2211" t="n">
        <f aca="false">C1646</f>
        <v>0</v>
      </c>
      <c r="D1724" s="1436" t="n">
        <f aca="false">D1700</f>
        <v>0.4</v>
      </c>
      <c r="E1724" s="1436" t="n">
        <f aca="false">E1646</f>
        <v>1.2</v>
      </c>
      <c r="F1724" s="1436" t="n">
        <f aca="false">F1646</f>
        <v>300</v>
      </c>
      <c r="G1724" s="1436" t="n">
        <f aca="false">G1646</f>
        <v>0</v>
      </c>
      <c r="H1724" s="1436"/>
      <c r="I1724" s="2211" t="n">
        <f aca="false">I1646</f>
        <v>1000</v>
      </c>
      <c r="J1724" s="1707" t="n">
        <f aca="false">C1724*I1724</f>
        <v>0</v>
      </c>
      <c r="K1724" s="1708"/>
      <c r="L1724" s="1707"/>
      <c r="M1724" s="2225"/>
      <c r="N1724" s="1707"/>
      <c r="O1724" s="1707"/>
      <c r="P1724" s="1707"/>
      <c r="Q1724" s="1707"/>
      <c r="R1724" s="1707"/>
      <c r="S1724" s="1707"/>
      <c r="T1724" s="1708"/>
      <c r="U1724" s="1708"/>
      <c r="V1724" s="1708"/>
      <c r="W1724" s="1708"/>
      <c r="X1724" s="1708"/>
      <c r="Y1724" s="1708"/>
    </row>
    <row r="1725" customFormat="false" ht="15.75" hidden="false" customHeight="true" outlineLevel="1" collapsed="false">
      <c r="A1725" s="2211" t="str">
        <f aca="false">A1647</f>
        <v>Перемычка дверная, 1-ый эт. Вариант 2</v>
      </c>
      <c r="B1725" s="2064" t="str">
        <f aca="false">B1647</f>
        <v>м.п.</v>
      </c>
      <c r="C1725" s="2211" t="n">
        <f aca="false">C1647</f>
        <v>1</v>
      </c>
      <c r="D1725" s="1436" t="n">
        <f aca="false">D1701</f>
        <v>0.4</v>
      </c>
      <c r="E1725" s="1436" t="n">
        <f aca="false">E1647</f>
        <v>1.3</v>
      </c>
      <c r="F1725" s="1436" t="n">
        <f aca="false">F1647</f>
        <v>300</v>
      </c>
      <c r="G1725" s="1436" t="n">
        <f aca="false">G1647</f>
        <v>1.7</v>
      </c>
      <c r="H1725" s="1436"/>
      <c r="I1725" s="2211" t="n">
        <f aca="false">I1647</f>
        <v>1000</v>
      </c>
      <c r="J1725" s="1707" t="n">
        <f aca="false">C1725*I1725</f>
        <v>1000</v>
      </c>
      <c r="K1725" s="1708"/>
      <c r="L1725" s="1707"/>
      <c r="M1725" s="2225"/>
      <c r="N1725" s="1707"/>
      <c r="O1725" s="1707"/>
      <c r="P1725" s="1707"/>
      <c r="Q1725" s="1707"/>
      <c r="R1725" s="1707"/>
      <c r="S1725" s="1707"/>
      <c r="T1725" s="1708"/>
      <c r="U1725" s="1708"/>
      <c r="V1725" s="1708"/>
      <c r="W1725" s="1708"/>
      <c r="X1725" s="1708"/>
      <c r="Y1725" s="1708"/>
    </row>
    <row r="1726" customFormat="false" ht="15.75" hidden="false" customHeight="true" outlineLevel="1" collapsed="false">
      <c r="A1726" s="2211" t="str">
        <f aca="false">A1648</f>
        <v>Перемычка дверная, 1-ый эт. Вариант 3</v>
      </c>
      <c r="B1726" s="2064" t="str">
        <f aca="false">B1648</f>
        <v>м.п.</v>
      </c>
      <c r="C1726" s="2211" t="n">
        <f aca="false">C1648</f>
        <v>0</v>
      </c>
      <c r="D1726" s="1436" t="n">
        <f aca="false">D1702</f>
        <v>0.4</v>
      </c>
      <c r="E1726" s="1436" t="n">
        <f aca="false">E1648</f>
        <v>1.4</v>
      </c>
      <c r="F1726" s="1436" t="n">
        <f aca="false">F1648</f>
        <v>300</v>
      </c>
      <c r="G1726" s="1436" t="n">
        <f aca="false">G1648</f>
        <v>0</v>
      </c>
      <c r="H1726" s="1436"/>
      <c r="I1726" s="2211" t="n">
        <f aca="false">I1648</f>
        <v>1000</v>
      </c>
      <c r="J1726" s="1707" t="n">
        <f aca="false">C1726*I1726</f>
        <v>0</v>
      </c>
      <c r="K1726" s="1708"/>
      <c r="L1726" s="1707"/>
      <c r="M1726" s="2225"/>
      <c r="N1726" s="1707"/>
      <c r="O1726" s="1707"/>
      <c r="P1726" s="1707"/>
      <c r="Q1726" s="1707"/>
      <c r="R1726" s="1707"/>
      <c r="S1726" s="1707"/>
      <c r="T1726" s="1708"/>
      <c r="U1726" s="1708"/>
      <c r="V1726" s="1708"/>
      <c r="W1726" s="1708"/>
      <c r="X1726" s="1708"/>
      <c r="Y1726" s="1708"/>
    </row>
    <row r="1727" customFormat="false" ht="15.75" hidden="false" customHeight="true" outlineLevel="1" collapsed="false">
      <c r="A1727" s="2211" t="str">
        <f aca="false">A1649</f>
        <v>Сосна влаж,200*40мм</v>
      </c>
      <c r="B1727" s="2064" t="str">
        <f aca="false">B1649</f>
        <v>м3</v>
      </c>
      <c r="C1727" s="2211" t="n">
        <f aca="false">C1649</f>
        <v>1.8512</v>
      </c>
      <c r="I1727" s="2211" t="n">
        <f aca="false">I1649</f>
        <v>6500</v>
      </c>
      <c r="J1727" s="1707" t="n">
        <f aca="false">C1727*I1727</f>
        <v>12032.8</v>
      </c>
      <c r="K1727" s="1708"/>
      <c r="L1727" s="1707"/>
      <c r="M1727" s="2225"/>
      <c r="N1727" s="1707"/>
      <c r="O1727" s="1707"/>
      <c r="P1727" s="1707"/>
      <c r="Q1727" s="1707"/>
      <c r="R1727" s="1707"/>
      <c r="S1727" s="1707"/>
      <c r="T1727" s="1708"/>
      <c r="U1727" s="1708"/>
      <c r="V1727" s="1708"/>
      <c r="W1727" s="1708"/>
      <c r="X1727" s="1708"/>
      <c r="Y1727" s="1708"/>
    </row>
    <row r="1728" customFormat="false" ht="15.75" hidden="false" customHeight="true" outlineLevel="1" collapsed="false">
      <c r="A1728" s="2211" t="str">
        <f aca="false">A1650</f>
        <v>Сейсмопояс Арматура М10 4 нити</v>
      </c>
      <c r="B1728" s="2064" t="str">
        <f aca="false">B1650</f>
        <v>м.п.</v>
      </c>
      <c r="C1728" s="2211" t="n">
        <f aca="false">C1650</f>
        <v>281.6</v>
      </c>
      <c r="I1728" s="2211" t="n">
        <f aca="false">I1650</f>
        <v>21.0397</v>
      </c>
      <c r="J1728" s="1707" t="n">
        <f aca="false">C1728*I1728</f>
        <v>5924.77952</v>
      </c>
      <c r="K1728" s="1708"/>
      <c r="L1728" s="1707"/>
      <c r="M1728" s="2225"/>
      <c r="N1728" s="1707"/>
      <c r="O1728" s="1707"/>
      <c r="P1728" s="1707"/>
      <c r="Q1728" s="1707"/>
      <c r="R1728" s="1707"/>
      <c r="S1728" s="1707"/>
      <c r="T1728" s="1708"/>
      <c r="U1728" s="1708"/>
      <c r="V1728" s="1708"/>
      <c r="W1728" s="1708"/>
      <c r="X1728" s="1708"/>
      <c r="Y1728" s="1708"/>
    </row>
    <row r="1729" customFormat="false" ht="15.75" hidden="false" customHeight="true" outlineLevel="1" collapsed="false">
      <c r="A1729" s="2211" t="str">
        <f aca="false">A1651</f>
        <v>Хомут для сейсмопояса Арматура М6, шаг 400мм</v>
      </c>
      <c r="B1729" s="2064" t="str">
        <f aca="false">B1651</f>
        <v>м.п.</v>
      </c>
      <c r="C1729" s="2211" t="n">
        <f aca="false">C1651</f>
        <v>144</v>
      </c>
      <c r="I1729" s="2211" t="n">
        <f aca="false">I1651</f>
        <v>0</v>
      </c>
      <c r="J1729" s="1707" t="n">
        <f aca="false">C1729*I1729</f>
        <v>0</v>
      </c>
      <c r="K1729" s="1708"/>
      <c r="L1729" s="1707"/>
      <c r="M1729" s="2225"/>
      <c r="N1729" s="1707"/>
      <c r="O1729" s="1707"/>
      <c r="P1729" s="1707"/>
      <c r="Q1729" s="1707"/>
      <c r="R1729" s="1707"/>
      <c r="S1729" s="1707"/>
      <c r="T1729" s="1708"/>
      <c r="U1729" s="1708"/>
      <c r="V1729" s="1708"/>
      <c r="W1729" s="1708"/>
      <c r="X1729" s="1708"/>
      <c r="Y1729" s="1708"/>
    </row>
    <row r="1730" customFormat="false" ht="15.75" hidden="false" customHeight="true" outlineLevel="1" collapsed="false">
      <c r="A1730" s="2211" t="str">
        <f aca="false">A1652</f>
        <v>Бетон, м300</v>
      </c>
      <c r="B1730" s="2064" t="str">
        <f aca="false">B1652</f>
        <v>м3</v>
      </c>
      <c r="C1730" s="2211" t="n">
        <f aca="false">C1652</f>
        <v>2.8833</v>
      </c>
      <c r="I1730" s="2211" t="n">
        <f aca="false">I1652</f>
        <v>3000</v>
      </c>
      <c r="J1730" s="1707" t="n">
        <f aca="false">C1730*I1730</f>
        <v>8649.9</v>
      </c>
      <c r="K1730" s="1708"/>
      <c r="L1730" s="1707"/>
      <c r="M1730" s="2225"/>
      <c r="N1730" s="1707"/>
      <c r="O1730" s="1707"/>
      <c r="P1730" s="1707"/>
      <c r="Q1730" s="1707"/>
      <c r="R1730" s="1707"/>
      <c r="S1730" s="1707"/>
      <c r="T1730" s="1708"/>
      <c r="U1730" s="1708"/>
      <c r="V1730" s="1708"/>
      <c r="W1730" s="1708"/>
      <c r="X1730" s="1708"/>
      <c r="Y1730" s="1708"/>
    </row>
    <row r="1731" customFormat="false" ht="15.75" hidden="false" customHeight="true" outlineLevel="1" collapsed="false">
      <c r="A1731" s="2211" t="str">
        <f aca="false">A1653</f>
        <v>Нет техники</v>
      </c>
      <c r="B1731" s="2064" t="str">
        <f aca="false">B1653</f>
        <v>час</v>
      </c>
      <c r="C1731" s="2211" t="n">
        <f aca="false">'Ввод данных'!C1194</f>
        <v>0</v>
      </c>
      <c r="I1731" s="2211" t="n">
        <f aca="false">I1653</f>
        <v>0</v>
      </c>
      <c r="J1731" s="1707" t="n">
        <f aca="false">C1731*I1731</f>
        <v>0</v>
      </c>
      <c r="K1731" s="1708"/>
      <c r="L1731" s="1707"/>
      <c r="M1731" s="2225"/>
      <c r="N1731" s="1707"/>
      <c r="O1731" s="1707"/>
      <c r="P1731" s="1707"/>
      <c r="Q1731" s="1707"/>
      <c r="R1731" s="1707"/>
      <c r="S1731" s="1707"/>
      <c r="T1731" s="1708"/>
      <c r="U1731" s="1708"/>
      <c r="V1731" s="1708"/>
      <c r="W1731" s="1708"/>
      <c r="X1731" s="1708"/>
      <c r="Y1731" s="1708"/>
    </row>
    <row r="1732" customFormat="false" ht="15.75" hidden="false" customHeight="true" outlineLevel="1" collapsed="false">
      <c r="A1732" s="2211" t="str">
        <f aca="false">A1654</f>
        <v>Нет техники</v>
      </c>
      <c r="B1732" s="2064" t="str">
        <f aca="false">B1654</f>
        <v>час</v>
      </c>
      <c r="C1732" s="2211" t="n">
        <f aca="false">'Ввод данных'!C1195</f>
        <v>0</v>
      </c>
      <c r="I1732" s="2211" t="n">
        <f aca="false">I1654</f>
        <v>0</v>
      </c>
      <c r="J1732" s="1707" t="n">
        <f aca="false">C1732*I1732</f>
        <v>0</v>
      </c>
      <c r="K1732" s="1708"/>
      <c r="L1732" s="1707"/>
      <c r="M1732" s="2225"/>
      <c r="N1732" s="1707"/>
      <c r="O1732" s="1707"/>
      <c r="P1732" s="1707"/>
      <c r="Q1732" s="1707"/>
      <c r="R1732" s="1707"/>
      <c r="S1732" s="1707"/>
      <c r="T1732" s="1708"/>
      <c r="U1732" s="1708"/>
      <c r="V1732" s="1708"/>
      <c r="W1732" s="1708"/>
      <c r="X1732" s="1708"/>
      <c r="Y1732" s="1708"/>
    </row>
    <row r="1733" customFormat="false" ht="15.75" hidden="false" customHeight="true" outlineLevel="1" collapsed="false">
      <c r="A1733" s="2211" t="str">
        <f aca="false">A1655</f>
        <v>Нет</v>
      </c>
      <c r="B1733" s="2064" t="str">
        <f aca="false">B1655</f>
        <v>м3</v>
      </c>
      <c r="C1733" s="2211" t="n">
        <f aca="false">C1685*G1667*VLOOKUP(A1579,'Прайс лист'!B600:G639,3,0)</f>
        <v>0</v>
      </c>
      <c r="I1733" s="2211" t="n">
        <f aca="false">I1655</f>
        <v>0</v>
      </c>
      <c r="J1733" s="1707" t="n">
        <f aca="false">C1733*I1733</f>
        <v>0</v>
      </c>
      <c r="K1733" s="1708"/>
      <c r="L1733" s="1707"/>
      <c r="M1733" s="2225"/>
      <c r="N1733" s="1707"/>
      <c r="O1733" s="1707"/>
      <c r="P1733" s="1707"/>
      <c r="Q1733" s="1707"/>
      <c r="R1733" s="1707"/>
      <c r="S1733" s="1707"/>
      <c r="T1733" s="1708"/>
      <c r="U1733" s="1708"/>
      <c r="V1733" s="1708"/>
      <c r="W1733" s="1708"/>
      <c r="X1733" s="1708"/>
      <c r="Y1733" s="1708"/>
    </row>
    <row r="1734" customFormat="false" ht="15.75" hidden="false" customHeight="true" outlineLevel="1" collapsed="false">
      <c r="A1734" s="2211" t="str">
        <f aca="false">A1656</f>
        <v>Грибок для крепления утеплителя</v>
      </c>
      <c r="B1734" s="2064" t="str">
        <f aca="false">B1656</f>
        <v>шт</v>
      </c>
      <c r="C1734" s="2211" t="n">
        <f aca="false">C1685*6*G1667*D1676</f>
        <v>0</v>
      </c>
      <c r="I1734" s="2211" t="n">
        <f aca="false">I1656</f>
        <v>15</v>
      </c>
      <c r="J1734" s="1707" t="n">
        <f aca="false">C1734*I1734</f>
        <v>0</v>
      </c>
      <c r="K1734" s="1708"/>
      <c r="L1734" s="1707"/>
      <c r="M1734" s="2225"/>
      <c r="N1734" s="1707"/>
      <c r="O1734" s="1707"/>
      <c r="P1734" s="1707"/>
      <c r="Q1734" s="1707"/>
      <c r="R1734" s="1707"/>
      <c r="S1734" s="1707"/>
      <c r="T1734" s="1708"/>
      <c r="U1734" s="1708"/>
      <c r="V1734" s="1708"/>
      <c r="W1734" s="1708"/>
      <c r="X1734" s="1708"/>
      <c r="Y1734" s="1708"/>
    </row>
    <row r="1735" customFormat="false" ht="15.75" hidden="false" customHeight="true" outlineLevel="1" collapsed="false">
      <c r="A1735" s="2211" t="str">
        <f aca="false">A1657</f>
        <v>нет ветроизоляции</v>
      </c>
      <c r="B1735" s="2064" t="str">
        <f aca="false">B1657</f>
        <v>м2</v>
      </c>
      <c r="C1735" s="2211" t="n">
        <f aca="false">C1657</f>
        <v>0</v>
      </c>
      <c r="I1735" s="2211" t="n">
        <f aca="false">I1657</f>
        <v>0</v>
      </c>
      <c r="J1735" s="1707" t="n">
        <f aca="false">C1735*I1735</f>
        <v>0</v>
      </c>
      <c r="K1735" s="1708"/>
      <c r="L1735" s="1707"/>
      <c r="M1735" s="2225"/>
      <c r="N1735" s="1707"/>
      <c r="O1735" s="1707"/>
      <c r="P1735" s="1707"/>
      <c r="Q1735" s="1707"/>
      <c r="R1735" s="1707"/>
      <c r="S1735" s="1707"/>
      <c r="T1735" s="1708"/>
      <c r="U1735" s="1708"/>
      <c r="V1735" s="1708"/>
      <c r="W1735" s="1708"/>
      <c r="X1735" s="1708"/>
      <c r="Y1735" s="1708"/>
    </row>
    <row r="1736" customFormat="false" ht="15.75" hidden="false" customHeight="true" outlineLevel="1" collapsed="false">
      <c r="A1736" s="2211" t="str">
        <f aca="false">'Прайс лист'!B223</f>
        <v>Кладочная сетка, 100*100/150*150/200*200мм</v>
      </c>
      <c r="B1736" s="2064" t="s">
        <v>820</v>
      </c>
      <c r="C1736" s="2064" t="n">
        <f aca="false">(((C1319+D1319+D1319+C1319+C1321*D1321+C1322*D1322+C1323*D1323)*E1319+(C1319+D1319+D1319+C1319+C1321+N1321*O1321+N1322*O1322+N1323*O1323+C1329*D1329+C1330*D1330+C1331*D1331+N1329*O1329+N1330*O1330+N1331*O1331)*G1319)/0.5)*0.3*G1667</f>
        <v>175.362</v>
      </c>
      <c r="I1736" s="2064" t="n">
        <f aca="false">'Прайс лист'!G223</f>
        <v>70</v>
      </c>
      <c r="J1736" s="1707" t="n">
        <f aca="false">C1736*I1736</f>
        <v>12275.34</v>
      </c>
      <c r="K1736" s="1708"/>
      <c r="L1736" s="1436"/>
      <c r="M1736" s="2289"/>
      <c r="N1736" s="1436"/>
      <c r="O1736" s="1436"/>
      <c r="P1736" s="1436"/>
      <c r="Q1736" s="1436"/>
      <c r="R1736" s="1436"/>
      <c r="S1736" s="1436"/>
      <c r="T1736" s="1708"/>
      <c r="U1736" s="1708"/>
      <c r="V1736" s="1708"/>
      <c r="W1736" s="1708"/>
      <c r="X1736" s="1708"/>
      <c r="Y1736" s="1708"/>
    </row>
    <row r="1737" customFormat="false" ht="15.75" hidden="false" customHeight="true" outlineLevel="1" collapsed="false">
      <c r="A1737" s="2211" t="str">
        <f aca="false">'Прайс лист'!B183</f>
        <v>Песок, машина 13м3</v>
      </c>
      <c r="B1737" s="2064" t="s">
        <v>48</v>
      </c>
      <c r="C1737" s="2064" t="n">
        <f aca="false">((C1697+C1698+C1699)*0.3*0.7)/12*G1667</f>
        <v>1.57119347</v>
      </c>
      <c r="I1737" s="2064" t="n">
        <f aca="false">'Прайс лист'!G183</f>
        <v>12000</v>
      </c>
      <c r="J1737" s="1707" t="n">
        <f aca="false">C1737*I1737</f>
        <v>18854.32164</v>
      </c>
      <c r="K1737" s="1708"/>
      <c r="L1737" s="1436"/>
      <c r="M1737" s="2289"/>
      <c r="N1737" s="1436"/>
      <c r="O1737" s="1436"/>
      <c r="P1737" s="1436"/>
      <c r="Q1737" s="1436"/>
      <c r="R1737" s="1436"/>
      <c r="S1737" s="1436"/>
      <c r="T1737" s="1708"/>
      <c r="U1737" s="1708"/>
      <c r="V1737" s="1708"/>
      <c r="W1737" s="1708"/>
      <c r="X1737" s="1708"/>
      <c r="Y1737" s="1708"/>
    </row>
    <row r="1738" customFormat="false" ht="15.75" hidden="false" customHeight="true" outlineLevel="1" collapsed="false">
      <c r="A1738" s="2211" t="str">
        <f aca="false">'Прайс лист'!B187</f>
        <v>Цемент, мешок, 50кг</v>
      </c>
      <c r="B1738" s="2064" t="s">
        <v>1036</v>
      </c>
      <c r="C1738" s="2064" t="n">
        <f aca="false">((C1697+C1698+C1699)*0.3*0.3)*6*G1667</f>
        <v>48.48254136</v>
      </c>
      <c r="I1738" s="2064" t="n">
        <f aca="false">'Прайс лист'!G187</f>
        <v>250</v>
      </c>
      <c r="J1738" s="1707" t="n">
        <f aca="false">C1738*I1738</f>
        <v>12120.63534</v>
      </c>
      <c r="K1738" s="1708"/>
      <c r="L1738" s="1436"/>
      <c r="M1738" s="2289"/>
      <c r="N1738" s="1436"/>
      <c r="O1738" s="1436"/>
      <c r="P1738" s="1436"/>
      <c r="Q1738" s="1436"/>
      <c r="R1738" s="1436"/>
      <c r="S1738" s="1436"/>
      <c r="T1738" s="1708"/>
      <c r="U1738" s="1708"/>
      <c r="V1738" s="1708"/>
      <c r="W1738" s="1708"/>
      <c r="X1738" s="1708"/>
      <c r="Y1738" s="1708"/>
    </row>
    <row r="1739" customFormat="false" ht="15.75" hidden="false" customHeight="true" outlineLevel="1" collapsed="false">
      <c r="A1739" s="2211" t="str">
        <f aca="false">A1658</f>
        <v>Командировочные расходы</v>
      </c>
      <c r="B1739" s="2064" t="str">
        <f aca="false">B1658</f>
        <v>рублей</v>
      </c>
      <c r="C1739" s="2211" t="n">
        <f aca="false">C1658</f>
        <v>1</v>
      </c>
      <c r="I1739" s="2211" t="n">
        <f aca="false">I1658</f>
        <v>0</v>
      </c>
      <c r="J1739" s="2211" t="n">
        <f aca="false">J1658</f>
        <v>0</v>
      </c>
      <c r="K1739" s="1708"/>
      <c r="L1739" s="1634"/>
      <c r="M1739" s="2289"/>
      <c r="N1739" s="1436"/>
      <c r="O1739" s="1436"/>
      <c r="P1739" s="1436"/>
      <c r="Q1739" s="1436"/>
      <c r="R1739" s="1436"/>
      <c r="S1739" s="1436"/>
      <c r="T1739" s="1708"/>
      <c r="U1739" s="1708"/>
      <c r="V1739" s="1708"/>
      <c r="W1739" s="1708"/>
      <c r="X1739" s="1708"/>
      <c r="Y1739" s="1708"/>
    </row>
    <row r="1740" customFormat="false" ht="15.75" hidden="false" customHeight="true" outlineLevel="1" collapsed="false">
      <c r="A1740" s="2211" t="str">
        <f aca="false">'Ввод данных'!A1198</f>
        <v>расходные материалы каменные дома</v>
      </c>
      <c r="B1740" s="2064" t="s">
        <v>48</v>
      </c>
      <c r="C1740" s="2064" t="n">
        <f aca="false">1</f>
        <v>1</v>
      </c>
      <c r="I1740" s="2064" t="n">
        <f aca="false">'Ввод данных'!C1198</f>
        <v>3000</v>
      </c>
      <c r="J1740" s="1707" t="n">
        <f aca="false">C1740*I1740</f>
        <v>3000</v>
      </c>
      <c r="K1740" s="1708"/>
      <c r="L1740" s="1995"/>
      <c r="M1740" s="2225"/>
      <c r="N1740" s="1707"/>
      <c r="O1740" s="1707"/>
      <c r="P1740" s="1707"/>
      <c r="Q1740" s="1707"/>
      <c r="R1740" s="1707"/>
      <c r="S1740" s="1707"/>
      <c r="T1740" s="1708"/>
      <c r="U1740" s="1708"/>
      <c r="V1740" s="1708"/>
      <c r="W1740" s="1708"/>
      <c r="X1740" s="1708"/>
      <c r="Y1740" s="1708"/>
    </row>
    <row r="1741" customFormat="false" ht="15.75" hidden="false" customHeight="true" outlineLevel="1" collapsed="false">
      <c r="A1741" s="2211" t="str">
        <f aca="false">A1660</f>
        <v>Нет техники</v>
      </c>
      <c r="B1741" s="2064" t="s">
        <v>48</v>
      </c>
      <c r="C1741" s="2064" t="n">
        <f aca="false">C1584</f>
        <v>0</v>
      </c>
      <c r="I1741" s="2064" t="n">
        <f aca="false">I1660</f>
        <v>0</v>
      </c>
      <c r="J1741" s="1707" t="n">
        <f aca="false">C1741*I1741</f>
        <v>0</v>
      </c>
      <c r="K1741" s="1708"/>
      <c r="L1741" s="1995"/>
      <c r="M1741" s="2225"/>
      <c r="N1741" s="1707"/>
      <c r="O1741" s="1707"/>
      <c r="P1741" s="1707"/>
      <c r="Q1741" s="1707"/>
      <c r="R1741" s="1707"/>
      <c r="S1741" s="1707"/>
      <c r="T1741" s="1708"/>
      <c r="U1741" s="1708"/>
      <c r="V1741" s="1708"/>
      <c r="W1741" s="1708"/>
      <c r="X1741" s="1708"/>
      <c r="Y1741" s="1708"/>
    </row>
    <row r="1742" customFormat="false" ht="15.75" hidden="false" customHeight="true" outlineLevel="1" collapsed="false">
      <c r="A1742" s="2229"/>
      <c r="B1742" s="2174"/>
      <c r="C1742" s="2174"/>
      <c r="I1742" s="2174"/>
      <c r="J1742" s="2062" t="n">
        <f aca="false">SUM(J1697:J1741)</f>
        <v>761801.9669108</v>
      </c>
      <c r="K1742" s="1708"/>
      <c r="L1742" s="1708"/>
      <c r="M1742" s="2230"/>
      <c r="N1742" s="1708"/>
      <c r="O1742" s="1708"/>
      <c r="P1742" s="1708"/>
      <c r="Q1742" s="1708"/>
      <c r="R1742" s="1708"/>
      <c r="S1742" s="1707" t="n">
        <f aca="false">SUM(S1697:S1741)</f>
        <v>469539.4886</v>
      </c>
      <c r="T1742" s="1708"/>
      <c r="U1742" s="1708"/>
      <c r="V1742" s="1708"/>
      <c r="W1742" s="1708"/>
      <c r="X1742" s="1708"/>
      <c r="Y1742" s="1708"/>
    </row>
    <row r="1743" s="1582" customFormat="true" ht="15.75" hidden="false" customHeight="true" outlineLevel="1" collapsed="false">
      <c r="A1743" s="2211" t="s">
        <v>3878</v>
      </c>
      <c r="B1743" s="2064" t="n">
        <f aca="false">J1742</f>
        <v>761801.9669108</v>
      </c>
      <c r="C1743" s="2231"/>
      <c r="D1743" s="1708"/>
      <c r="E1743" s="1708"/>
      <c r="F1743" s="1708"/>
      <c r="P1743" s="1708"/>
      <c r="Q1743" s="1708"/>
      <c r="R1743" s="1708"/>
      <c r="S1743" s="1708"/>
      <c r="T1743" s="1708"/>
      <c r="U1743" s="1708"/>
      <c r="V1743" s="1708"/>
      <c r="W1743" s="1708"/>
      <c r="X1743" s="1708"/>
      <c r="Y1743" s="1708"/>
    </row>
    <row r="1744" s="1582" customFormat="true" ht="15.75" hidden="false" customHeight="true" outlineLevel="1" collapsed="false">
      <c r="A1744" s="2211" t="s">
        <v>3879</v>
      </c>
      <c r="B1744" s="2064" t="n">
        <f aca="false">S1742</f>
        <v>469539.4886</v>
      </c>
      <c r="C1744" s="2231"/>
      <c r="D1744" s="1708"/>
      <c r="E1744" s="1708"/>
      <c r="F1744" s="1708"/>
      <c r="P1744" s="1708"/>
      <c r="Q1744" s="1708"/>
      <c r="R1744" s="1708"/>
      <c r="S1744" s="1708"/>
      <c r="T1744" s="1708"/>
      <c r="U1744" s="1708"/>
      <c r="V1744" s="1708"/>
      <c r="W1744" s="1708"/>
      <c r="X1744" s="1708"/>
      <c r="Y1744" s="1708"/>
    </row>
    <row r="1745" s="1582" customFormat="true" ht="15.75" hidden="false" customHeight="true" outlineLevel="1" collapsed="false">
      <c r="A1745" s="1707" t="s">
        <v>2922</v>
      </c>
      <c r="B1745" s="2064" t="n">
        <f aca="false">SUM(B1743:B1744)</f>
        <v>1231341.4555108</v>
      </c>
      <c r="C1745" s="2231"/>
      <c r="D1745" s="1708"/>
      <c r="E1745" s="1708"/>
      <c r="F1745" s="1708"/>
      <c r="P1745" s="1708"/>
      <c r="Q1745" s="1708"/>
      <c r="R1745" s="1708"/>
      <c r="S1745" s="1708"/>
      <c r="T1745" s="1708"/>
      <c r="U1745" s="1708"/>
      <c r="V1745" s="1708"/>
      <c r="W1745" s="1708"/>
      <c r="X1745" s="1708"/>
      <c r="Y1745" s="1708"/>
    </row>
    <row r="1746" customFormat="false" ht="15.75" hidden="false" customHeight="true" outlineLevel="1" collapsed="false">
      <c r="F1746" s="1708"/>
      <c r="G1746" s="1708"/>
      <c r="H1746" s="1708"/>
      <c r="I1746" s="2230"/>
      <c r="J1746" s="1708"/>
      <c r="K1746" s="1708"/>
      <c r="L1746" s="1708"/>
      <c r="M1746" s="1708"/>
      <c r="N1746" s="1708"/>
      <c r="O1746" s="1708"/>
      <c r="P1746" s="1708"/>
      <c r="Q1746" s="1708"/>
      <c r="R1746" s="1708"/>
      <c r="S1746" s="1708"/>
      <c r="T1746" s="1708"/>
      <c r="U1746" s="1708"/>
      <c r="V1746" s="1708"/>
      <c r="W1746" s="1708"/>
      <c r="X1746" s="1708"/>
      <c r="Y1746" s="1708"/>
    </row>
    <row r="1747" customFormat="false" ht="15.75" hidden="false" customHeight="true" outlineLevel="0" collapsed="false">
      <c r="A1747" s="2342" t="s">
        <v>3880</v>
      </c>
      <c r="B1747" s="2141"/>
      <c r="C1747" s="2233" t="s">
        <v>3811</v>
      </c>
      <c r="D1747" s="2146"/>
      <c r="E1747" s="2146"/>
      <c r="F1747" s="2147"/>
      <c r="G1747" s="1708"/>
      <c r="H1747" s="1708"/>
      <c r="I1747" s="2230"/>
      <c r="J1747" s="1708"/>
      <c r="K1747" s="1708"/>
      <c r="L1747" s="1708"/>
      <c r="M1747" s="1708"/>
      <c r="N1747" s="1708"/>
      <c r="O1747" s="1708"/>
      <c r="P1747" s="1708"/>
      <c r="Q1747" s="1708"/>
      <c r="R1747" s="1617"/>
      <c r="S1747" s="1617"/>
      <c r="T1747" s="1617"/>
      <c r="U1747" s="1617"/>
      <c r="V1747" s="1617"/>
      <c r="W1747" s="1617"/>
      <c r="X1747" s="1617"/>
      <c r="Y1747" s="1617"/>
    </row>
    <row r="1748" customFormat="false" ht="15.75" hidden="false" customHeight="true" outlineLevel="0" collapsed="false">
      <c r="A1748" s="1617"/>
      <c r="B1748" s="2318"/>
      <c r="C1748" s="2318"/>
      <c r="D1748" s="1617"/>
      <c r="E1748" s="1617"/>
      <c r="F1748" s="1617"/>
      <c r="G1748" s="1617"/>
      <c r="H1748" s="1617"/>
      <c r="I1748" s="2319"/>
      <c r="J1748" s="1617"/>
      <c r="K1748" s="1617"/>
      <c r="L1748" s="1617"/>
      <c r="M1748" s="1617"/>
      <c r="N1748" s="1617"/>
      <c r="O1748" s="1617"/>
      <c r="P1748" s="1617"/>
      <c r="Q1748" s="1617"/>
      <c r="R1748" s="1617"/>
      <c r="S1748" s="1617"/>
      <c r="T1748" s="1617"/>
      <c r="U1748" s="1617"/>
      <c r="V1748" s="1617"/>
      <c r="W1748" s="1617"/>
      <c r="X1748" s="1617"/>
      <c r="Y1748" s="1617"/>
    </row>
    <row r="1749" customFormat="false" ht="15.75" hidden="true" customHeight="true" outlineLevel="1" collapsed="false">
      <c r="A1749" s="2343" t="s">
        <v>3881</v>
      </c>
      <c r="B1749" s="2344"/>
      <c r="C1749" s="2344"/>
      <c r="D1749" s="2345"/>
      <c r="E1749" s="2345"/>
      <c r="F1749" s="2345"/>
      <c r="G1749" s="2345"/>
      <c r="H1749" s="2345"/>
      <c r="I1749" s="2346"/>
      <c r="J1749" s="2345"/>
      <c r="K1749" s="2345"/>
      <c r="L1749" s="2345"/>
      <c r="M1749" s="2345"/>
      <c r="N1749" s="2345"/>
      <c r="O1749" s="2347"/>
      <c r="P1749" s="1617"/>
      <c r="Q1749" s="1617"/>
      <c r="R1749" s="1617"/>
      <c r="S1749" s="1617"/>
      <c r="T1749" s="1617"/>
      <c r="U1749" s="1617"/>
      <c r="V1749" s="1617"/>
      <c r="W1749" s="1617"/>
      <c r="X1749" s="1617"/>
      <c r="Y1749" s="1617"/>
    </row>
    <row r="1750" customFormat="false" ht="15.75" hidden="true" customHeight="true" outlineLevel="1" collapsed="false">
      <c r="A1750" s="2192" t="s">
        <v>461</v>
      </c>
      <c r="B1750" s="2193"/>
      <c r="C1750" s="2193"/>
      <c r="D1750" s="2194"/>
      <c r="E1750" s="2194"/>
      <c r="F1750" s="2195"/>
      <c r="G1750" s="2244" t="n">
        <f aca="false">'Ввод данных'!D978</f>
        <v>1.1</v>
      </c>
      <c r="H1750" s="2245"/>
      <c r="I1750" s="2180" t="n">
        <f aca="false">'Ввод данных'!D979</f>
        <v>1</v>
      </c>
      <c r="J1750" s="2179"/>
      <c r="K1750" s="2179"/>
      <c r="L1750" s="2179"/>
      <c r="M1750" s="2179"/>
      <c r="N1750" s="2179"/>
      <c r="O1750" s="2179"/>
      <c r="P1750" s="1708"/>
      <c r="Q1750" s="1708"/>
      <c r="R1750" s="1708"/>
      <c r="S1750" s="1708"/>
      <c r="T1750" s="1708"/>
      <c r="U1750" s="1708"/>
      <c r="V1750" s="1708"/>
      <c r="W1750" s="1708"/>
      <c r="X1750" s="1708"/>
      <c r="Y1750" s="1708"/>
    </row>
    <row r="1751" customFormat="false" ht="15.75" hidden="true" customHeight="true" outlineLevel="1" collapsed="false">
      <c r="A1751" s="1714" t="s">
        <v>3882</v>
      </c>
      <c r="B1751" s="1958" t="s">
        <v>2968</v>
      </c>
      <c r="C1751" s="2141" t="n">
        <f aca="false">фундамент!C330</f>
        <v>48</v>
      </c>
      <c r="D1751" s="1617"/>
      <c r="E1751" s="1617"/>
      <c r="F1751" s="1617"/>
      <c r="G1751" s="1617"/>
      <c r="H1751" s="1617"/>
      <c r="I1751" s="2319"/>
      <c r="J1751" s="1617"/>
      <c r="K1751" s="1617"/>
      <c r="L1751" s="1617"/>
      <c r="M1751" s="1617"/>
      <c r="N1751" s="1617"/>
      <c r="O1751" s="1617"/>
      <c r="P1751" s="1617"/>
      <c r="Q1751" s="1617"/>
      <c r="R1751" s="1617"/>
      <c r="S1751" s="1617"/>
      <c r="T1751" s="1617"/>
      <c r="U1751" s="1617"/>
      <c r="V1751" s="1617"/>
      <c r="W1751" s="1617"/>
      <c r="X1751" s="1617"/>
      <c r="Y1751" s="1617"/>
    </row>
    <row r="1752" customFormat="false" ht="15.75" hidden="true" customHeight="true" outlineLevel="1" collapsed="false">
      <c r="A1752" s="1714" t="s">
        <v>3883</v>
      </c>
      <c r="B1752" s="1958" t="s">
        <v>15</v>
      </c>
      <c r="C1752" s="2141" t="n">
        <f aca="false">VLOOKUP(A1787,'Прайс лист'!B340:G426,3,0)</f>
        <v>0.2</v>
      </c>
      <c r="D1752" s="1617"/>
      <c r="E1752" s="1617" t="s">
        <v>1825</v>
      </c>
      <c r="F1752" s="1617" t="n">
        <f aca="false">(B1290)*D1290+(B1291)*D1291+(B1292)*D1292+(B1293)*D1293+(B1294)*D1294+(B1295)*D1295+(B1296)*D1296+(B1297)*D1297+(B1298)*D1298+(B1299)*D1299+(B1300)*D1300+(B1301)*D1301+(B1302)*D1302</f>
        <v>1</v>
      </c>
      <c r="G1752" s="1617"/>
      <c r="H1752" s="1617"/>
      <c r="I1752" s="2319"/>
      <c r="J1752" s="1617"/>
      <c r="K1752" s="1617"/>
      <c r="L1752" s="1617"/>
      <c r="M1752" s="1617"/>
      <c r="N1752" s="1617"/>
      <c r="O1752" s="1617"/>
      <c r="P1752" s="1617"/>
      <c r="Q1752" s="1617"/>
      <c r="R1752" s="1617"/>
      <c r="S1752" s="1617"/>
      <c r="T1752" s="1617"/>
      <c r="U1752" s="1617"/>
      <c r="V1752" s="1617"/>
      <c r="W1752" s="1617"/>
      <c r="X1752" s="1617"/>
      <c r="Y1752" s="1617"/>
    </row>
    <row r="1753" customFormat="false" ht="15.75" hidden="true" customHeight="true" outlineLevel="1" collapsed="false">
      <c r="A1753" s="1714" t="s">
        <v>3884</v>
      </c>
      <c r="B1753" s="1958" t="s">
        <v>15</v>
      </c>
      <c r="C1753" s="2141" t="n">
        <f aca="false">VLOOKUP(A1787,'Прайс лист'!B340:G426,4,0)</f>
        <v>0.15</v>
      </c>
      <c r="D1753" s="1617"/>
      <c r="E1753" s="1617" t="s">
        <v>3885</v>
      </c>
      <c r="F1753" s="1617" t="n">
        <f aca="false">(B1290+C1290+C1290)*D1290+(B1291+C1291+C1291)*D1291+(B1292+C1292+C1292)*D1292+(B1293+C1293+C1293)*D1293+(B1294+C1294+C1294)*D1294+(B1295+C1295+C1295)*D1295+(B1296+C1296+C1296)*D1296+(B1297+C1297+C1297)*D1297+(B1298+C1298+C1298)*D1298+(B1299+C1299+C1299)*D1299+(B1300+C1300+C1300)*D1300+(B1301+C1301+C1301)*D1301+(B1302+C1302+C1302)*D1302</f>
        <v>3.4</v>
      </c>
      <c r="G1753" s="1617"/>
      <c r="H1753" s="1617"/>
      <c r="I1753" s="2319"/>
      <c r="J1753" s="1617"/>
      <c r="K1753" s="1617"/>
      <c r="L1753" s="1617"/>
      <c r="M1753" s="1617"/>
      <c r="N1753" s="1617"/>
      <c r="O1753" s="1617"/>
      <c r="P1753" s="1617"/>
      <c r="Q1753" s="1617"/>
      <c r="R1753" s="1617"/>
      <c r="S1753" s="1617"/>
      <c r="T1753" s="1617"/>
      <c r="U1753" s="1617"/>
      <c r="V1753" s="1617"/>
      <c r="W1753" s="1617"/>
      <c r="X1753" s="1617"/>
      <c r="Y1753" s="1617"/>
    </row>
    <row r="1754" customFormat="false" ht="15.75" hidden="true" customHeight="true" outlineLevel="1" collapsed="false">
      <c r="A1754" s="1714" t="s">
        <v>3886</v>
      </c>
      <c r="B1754" s="1958" t="s">
        <v>15</v>
      </c>
      <c r="C1754" s="2064" t="n">
        <f aca="false">VLOOKUP(A1788,'Прайс лист'!B340:G426,3,0)</f>
        <v>0.2</v>
      </c>
      <c r="D1754" s="1617"/>
      <c r="E1754" s="1617" t="s">
        <v>3887</v>
      </c>
      <c r="F1754" s="1617" t="n">
        <f aca="false">(I1290+J1290+J1290)*K1290+(I1291+J1291+J1291)*K1291+(I1292+J1292+J1292)*K1292+(I1293+J1293+J1293)*K1293</f>
        <v>15</v>
      </c>
      <c r="G1754" s="1617"/>
      <c r="H1754" s="1617"/>
      <c r="I1754" s="2319"/>
      <c r="J1754" s="1617"/>
      <c r="K1754" s="1617"/>
      <c r="L1754" s="1617"/>
      <c r="M1754" s="1617"/>
      <c r="N1754" s="1617"/>
      <c r="O1754" s="1617"/>
      <c r="P1754" s="1617"/>
      <c r="Q1754" s="1617"/>
      <c r="R1754" s="1617"/>
      <c r="S1754" s="1617"/>
      <c r="T1754" s="1617"/>
      <c r="U1754" s="1617"/>
      <c r="V1754" s="1617"/>
      <c r="W1754" s="1617"/>
      <c r="X1754" s="1617"/>
      <c r="Y1754" s="1617"/>
    </row>
    <row r="1755" customFormat="false" ht="15.75" hidden="true" customHeight="true" outlineLevel="1" collapsed="false">
      <c r="A1755" s="1714" t="s">
        <v>3888</v>
      </c>
      <c r="B1755" s="1958" t="s">
        <v>15</v>
      </c>
      <c r="C1755" s="2141" t="n">
        <f aca="false">VLOOKUP(A1788,'Прайс лист'!B340:G426,4,0)</f>
        <v>0.15</v>
      </c>
      <c r="D1755" s="1617"/>
      <c r="E1755" s="1617" t="s">
        <v>3889</v>
      </c>
      <c r="F1755" s="1617" t="n">
        <f aca="false">(I1294+J1294+J1294)*K1294+(I1295+J1295+J1295)*K1295+(I1296+J1296+J1296)*K1296</f>
        <v>0</v>
      </c>
      <c r="G1755" s="1617"/>
      <c r="H1755" s="1617"/>
      <c r="I1755" s="2319"/>
      <c r="J1755" s="1617"/>
      <c r="K1755" s="1617"/>
      <c r="L1755" s="1617"/>
      <c r="M1755" s="1617"/>
      <c r="N1755" s="1617"/>
      <c r="O1755" s="1617"/>
      <c r="P1755" s="1617"/>
      <c r="Q1755" s="1617"/>
      <c r="R1755" s="1617"/>
      <c r="S1755" s="1617"/>
      <c r="T1755" s="1617"/>
      <c r="U1755" s="1617"/>
      <c r="V1755" s="1617"/>
      <c r="W1755" s="1617"/>
      <c r="X1755" s="1617"/>
      <c r="Y1755" s="1617"/>
    </row>
    <row r="1756" customFormat="false" ht="15.75" hidden="true" customHeight="true" outlineLevel="1" collapsed="false">
      <c r="A1756" s="1714" t="s">
        <v>3890</v>
      </c>
      <c r="B1756" s="1958" t="s">
        <v>15</v>
      </c>
      <c r="C1756" s="2064" t="n">
        <f aca="false">VLOOKUP(A1789,'Прайс лист'!B340:G426,3,0)</f>
        <v>0.2</v>
      </c>
      <c r="D1756" s="1617"/>
      <c r="E1756" s="1617"/>
      <c r="F1756" s="1617"/>
      <c r="G1756" s="1617"/>
      <c r="H1756" s="1617"/>
      <c r="I1756" s="2319"/>
      <c r="J1756" s="1617"/>
      <c r="K1756" s="1617"/>
      <c r="L1756" s="1617"/>
      <c r="M1756" s="1617"/>
      <c r="N1756" s="1617"/>
      <c r="O1756" s="1617"/>
      <c r="P1756" s="1617"/>
      <c r="Q1756" s="1617"/>
      <c r="R1756" s="1617"/>
      <c r="S1756" s="1617"/>
      <c r="T1756" s="1617"/>
      <c r="U1756" s="1617"/>
      <c r="V1756" s="1617"/>
      <c r="W1756" s="1617"/>
      <c r="X1756" s="1617"/>
      <c r="Y1756" s="1617"/>
    </row>
    <row r="1757" customFormat="false" ht="15.75" hidden="true" customHeight="true" outlineLevel="1" collapsed="false">
      <c r="A1757" s="1714" t="s">
        <v>3891</v>
      </c>
      <c r="B1757" s="1958" t="s">
        <v>15</v>
      </c>
      <c r="C1757" s="2141" t="n">
        <f aca="false">VLOOKUP(A1789,'Прайс лист'!B340:G426,4,0)</f>
        <v>0.1</v>
      </c>
      <c r="D1757" s="1714" t="s">
        <v>3892</v>
      </c>
      <c r="E1757" s="1714" t="s">
        <v>3893</v>
      </c>
      <c r="F1757" s="1714" t="s">
        <v>3894</v>
      </c>
      <c r="G1757" s="1714" t="s">
        <v>3895</v>
      </c>
      <c r="H1757" s="1714" t="s">
        <v>3896</v>
      </c>
      <c r="I1757" s="2319"/>
      <c r="J1757" s="1617"/>
      <c r="K1757" s="1617"/>
      <c r="L1757" s="1617"/>
      <c r="M1757" s="1617"/>
      <c r="N1757" s="1617"/>
      <c r="O1757" s="1617"/>
      <c r="P1757" s="1617"/>
      <c r="Q1757" s="1617"/>
      <c r="R1757" s="1617"/>
      <c r="S1757" s="1617"/>
      <c r="T1757" s="1617"/>
      <c r="U1757" s="1617"/>
      <c r="V1757" s="1617"/>
      <c r="W1757" s="1617"/>
      <c r="X1757" s="1617"/>
      <c r="Y1757" s="1617"/>
    </row>
    <row r="1758" customFormat="false" ht="15.75" hidden="true" customHeight="true" outlineLevel="1" collapsed="false">
      <c r="A1758" s="1714" t="s">
        <v>3897</v>
      </c>
      <c r="B1758" s="1958" t="s">
        <v>15</v>
      </c>
      <c r="C1758" s="1958" t="n">
        <f aca="false">(B1290+C1290+C1290)*D1290+(B1291+C1291+C1291)*D1291+(B1292+C1292+C1292)*D1292+(B1293+C1293+C1293)*D1293+(I1312+J1312+J1312)*K1312+(I1313+J1313+J1313)*K1313+(I1314+J1314+J1314)*K1314+(B1294+C1294+C1294)*D1294+(B1300+C1300+C1300)*D1300+(B1301+C1301+C1301)*D1301+(B1302+C1302+C1302)*D1302</f>
        <v>8.5</v>
      </c>
      <c r="D1758" s="2142" t="n">
        <f aca="false">IF('Ввод данных'!A1015=связи1!A406,0,1)*(IF('Ввод данных'!A19=связи1!A154,1,0)+IF('Ввод данных'!A19=связи1!A183,1,0))</f>
        <v>0</v>
      </c>
      <c r="E1758" s="1436" t="n">
        <f aca="false">IF('Ввод данных'!A1015=связи1!A406,0,1)*(IF('Ввод данных'!A19=связи1!A157,1,0))</f>
        <v>0</v>
      </c>
      <c r="F1758" s="1436" t="n">
        <f aca="false">IF('Ввод данных'!A1015=связи1!A406,0,1)*(IF('Ввод данных'!A19=связи1!A156,1,0))</f>
        <v>0</v>
      </c>
      <c r="G1758" s="1714" t="n">
        <f aca="false">IF('Ввод данных'!A1015=связи1!A406,0,1)*(IF('Ввод данных'!A19=связи1!A159,1,0))</f>
        <v>0</v>
      </c>
      <c r="H1758" s="1714" t="n">
        <f aca="false">IF('Ввод данных'!A1015=связи1!A406,0,1)*(IF('Ввод данных'!A19=связи1!A158,1,0))</f>
        <v>0</v>
      </c>
      <c r="I1758" s="2319"/>
      <c r="J1758" s="1617"/>
      <c r="K1758" s="1617"/>
      <c r="L1758" s="1617"/>
      <c r="M1758" s="1617"/>
      <c r="N1758" s="1617"/>
      <c r="O1758" s="1617"/>
      <c r="P1758" s="2157"/>
      <c r="Q1758" s="2157"/>
      <c r="R1758" s="2157"/>
      <c r="S1758" s="1617"/>
      <c r="T1758" s="1617"/>
      <c r="U1758" s="1617"/>
      <c r="V1758" s="1617"/>
      <c r="W1758" s="1617"/>
      <c r="X1758" s="1617"/>
      <c r="Y1758" s="1617"/>
    </row>
    <row r="1759" customFormat="false" ht="15.75" hidden="true" customHeight="true" outlineLevel="1" collapsed="false">
      <c r="A1759" s="1714" t="s">
        <v>3898</v>
      </c>
      <c r="B1759" s="1958" t="s">
        <v>15</v>
      </c>
      <c r="C1759" s="1958" t="n">
        <f aca="false">(B1295+C1295+C1295)*D1295+(B1296+C1296+C1296)*D1296+(B1297+C1297+C1297)*D1297+(B1298+C1298+C1298)*D1298+(B1299+C1299+C1299)*D1299</f>
        <v>0</v>
      </c>
      <c r="D1759" s="2142" t="n">
        <f aca="false">IF('Ввод данных'!A1015=связи1!A406,0,1)*(IF('Ввод данных'!A19=связи1!A154,1,0)+IF('Ввод данных'!A19=связи1!A161,1,0)+IF('Ввод данных'!A19=связи1!A169,1,0)+IF('Ввод данных'!A19=связи1!A178,1,0))</f>
        <v>0</v>
      </c>
      <c r="E1759" s="1436" t="n">
        <f aca="false">IF('Ввод данных'!A1015=связи1!A406,0,1)*(IF('Ввод данных'!A19=связи1!A157,1,0)+IF('Ввод данных'!A19=связи1!A163,1,0)+IF('Ввод данных'!A19=связи1!A171,1,0)+IF('Ввод данных'!A19=связи1!A179,1,0))</f>
        <v>0</v>
      </c>
      <c r="F1759" s="1436" t="n">
        <f aca="false">IF('Ввод данных'!A1015=связи1!A406,0,1)*(IF('Ввод данных'!A19=связи1!A156,1,0)+IF('Ввод данных'!A19=связи1!A162,1,0)+IF('Ввод данных'!A19=связи1!A170,1,0))</f>
        <v>0</v>
      </c>
      <c r="G1759" s="1714" t="n">
        <f aca="false">IF('Ввод данных'!A1015=связи1!A406,0,1)*(IF('Ввод данных'!A19=связи1!A159,1,0)+IF('Ввод данных'!A19=связи1!A165,1,0)+IF('Ввод данных'!A19=связи1!A173,1,0)+IF('Ввод данных'!A19=связи1!A180,1,0))</f>
        <v>0</v>
      </c>
      <c r="H1759" s="1714" t="n">
        <f aca="false">IF('Ввод данных'!A1015=связи1!A406,0,1)*(IF('Ввод данных'!A19=связи1!A158,1,0)+IF('Ввод данных'!A19=связи1!A164,1,0)+IF('Ввод данных'!A19=связи1!A172,1,0))</f>
        <v>0</v>
      </c>
      <c r="I1759" s="2319"/>
      <c r="J1759" s="1617"/>
      <c r="K1759" s="1617"/>
      <c r="L1759" s="1617"/>
      <c r="M1759" s="1617"/>
      <c r="N1759" s="1617"/>
      <c r="O1759" s="1617"/>
      <c r="P1759" s="2157"/>
      <c r="Q1759" s="2157"/>
      <c r="R1759" s="2157"/>
      <c r="S1759" s="1617"/>
      <c r="T1759" s="1617"/>
      <c r="U1759" s="1617"/>
      <c r="V1759" s="1617"/>
      <c r="W1759" s="1617"/>
      <c r="X1759" s="1617"/>
      <c r="Y1759" s="1617"/>
    </row>
    <row r="1760" customFormat="false" ht="15.75" hidden="true" customHeight="true" outlineLevel="1" collapsed="false">
      <c r="A1760" s="1714" t="s">
        <v>3899</v>
      </c>
      <c r="B1760" s="1958" t="s">
        <v>15</v>
      </c>
      <c r="C1760" s="1958" t="n">
        <f aca="false">I1307</f>
        <v>15</v>
      </c>
      <c r="D1760" s="2142" t="n">
        <f aca="false">IF('Ввод данных'!A1017=связи1!A406,0,1)*(IF('Ввод данных'!A19=связи1!A154,1,0)+IF('Ввод данных'!A19=связи1!A183,1,0))</f>
        <v>0</v>
      </c>
      <c r="E1760" s="1436" t="n">
        <f aca="false">IF('Ввод данных'!A1017=связи1!A406,0,1)*(IF('Ввод данных'!A19=связи1!A157,1,0))</f>
        <v>0</v>
      </c>
      <c r="F1760" s="1436" t="n">
        <f aca="false">IF('Ввод данных'!A1017=связи1!A406,0,1)*(IF('Ввод данных'!A19=связи1!A156,1,0))</f>
        <v>0</v>
      </c>
      <c r="G1760" s="1714" t="n">
        <f aca="false">IF('Ввод данных'!A1017=связи1!A406,0,1)*(IF('Ввод данных'!A19=связи1!A159,1,0))</f>
        <v>0</v>
      </c>
      <c r="H1760" s="1714" t="n">
        <f aca="false">IF('Ввод данных'!A1017=связи1!A406,0,1)*(IF('Ввод данных'!A19=связи1!A158,1,0))</f>
        <v>0</v>
      </c>
      <c r="I1760" s="2319"/>
      <c r="J1760" s="1617"/>
      <c r="K1760" s="1617"/>
      <c r="L1760" s="1617"/>
      <c r="M1760" s="1617"/>
      <c r="N1760" s="1617"/>
      <c r="O1760" s="1617"/>
      <c r="P1760" s="2157"/>
      <c r="Q1760" s="2157"/>
      <c r="R1760" s="2157"/>
      <c r="S1760" s="1617"/>
      <c r="T1760" s="1617"/>
      <c r="U1760" s="1617"/>
      <c r="V1760" s="1617"/>
      <c r="W1760" s="1617"/>
      <c r="X1760" s="1617"/>
      <c r="Y1760" s="1617"/>
    </row>
    <row r="1761" customFormat="false" ht="15.75" hidden="true" customHeight="true" outlineLevel="1" collapsed="false">
      <c r="A1761" s="1714" t="s">
        <v>3900</v>
      </c>
      <c r="B1761" s="1958" t="s">
        <v>15</v>
      </c>
      <c r="C1761" s="2348" t="n">
        <f aca="false">I1308</f>
        <v>0</v>
      </c>
      <c r="D1761" s="2142" t="n">
        <f aca="false">(IF('Ввод данных'!A19=связи1!A154,1,0)+IF('Ввод данных'!A19=связи1!A183,1,0))*IF('Ввод данных'!A1019=связи1!A406,0,1)</f>
        <v>0</v>
      </c>
      <c r="E1761" s="1436" t="n">
        <f aca="false">IF('Ввод данных'!A1019=связи1!A406,0,1)*(IF('Ввод данных'!A19=связи1!A157,1,0))</f>
        <v>0</v>
      </c>
      <c r="F1761" s="1436" t="n">
        <f aca="false">IF('Ввод данных'!A1019=связи1!A406,0,1)*(IF('Ввод данных'!A19=связи1!A156,1,0))</f>
        <v>0</v>
      </c>
      <c r="G1761" s="1714" t="n">
        <f aca="false">IF('Ввод данных'!A1019=связи1!A406,0,1)*(IF('Ввод данных'!A19=связи1!A159,1,0))</f>
        <v>0</v>
      </c>
      <c r="H1761" s="1714" t="n">
        <f aca="false">IF('Ввод данных'!A1019=связи1!A406,0,1)*(IF('Ввод данных'!A19=связи1!A158,1,0))</f>
        <v>0</v>
      </c>
      <c r="I1761" s="2319"/>
      <c r="J1761" s="1617"/>
      <c r="K1761" s="1617"/>
      <c r="L1761" s="1617"/>
      <c r="M1761" s="1617"/>
      <c r="N1761" s="1617"/>
      <c r="O1761" s="1617"/>
      <c r="P1761" s="2157"/>
      <c r="Q1761" s="2157"/>
      <c r="R1761" s="2157"/>
      <c r="S1761" s="1617"/>
      <c r="T1761" s="1617"/>
      <c r="U1761" s="1617"/>
      <c r="V1761" s="1617"/>
      <c r="W1761" s="1617"/>
      <c r="X1761" s="1617"/>
      <c r="Y1761" s="1617"/>
    </row>
    <row r="1762" customFormat="false" ht="15.75" hidden="true" customHeight="true" outlineLevel="1" collapsed="false">
      <c r="A1762" s="1714" t="s">
        <v>3901</v>
      </c>
      <c r="B1762" s="1958" t="s">
        <v>15</v>
      </c>
      <c r="C1762" s="2348" t="n">
        <f aca="false">I1309</f>
        <v>0</v>
      </c>
      <c r="D1762" s="2142" t="n">
        <f aca="false">IF('Ввод данных'!A1017=связи1!A406,0,1)*(IF('Ввод данных'!A19=связи1!A154,1,0)+IF('Ввод данных'!A19=связи1!A161,1,0)+IF('Ввод данных'!A19=связи1!A169,1,0)+IF('Ввод данных'!A19=связи1!A178,1,0))</f>
        <v>0</v>
      </c>
      <c r="E1762" s="1436" t="n">
        <f aca="false">IF('Ввод данных'!A1017=связи1!A406,0,1)*(IF('Ввод данных'!A19=связи1!A157,1,0)+IF('Ввод данных'!A19=связи1!A163,1,0)+IF('Ввод данных'!A19=связи1!A171,1,0)+IF('Ввод данных'!A19=связи1!A179,1,0))</f>
        <v>0</v>
      </c>
      <c r="F1762" s="1436" t="n">
        <f aca="false">IF('Ввод данных'!A1017=связи1!A406,0,1)*(IF('Ввод данных'!A19=связи1!A156,1,0)+IF('Ввод данных'!A19=связи1!A162,1,0)+IF('Ввод данных'!A19=связи1!A170,1,0))</f>
        <v>0</v>
      </c>
      <c r="G1762" s="1714" t="n">
        <f aca="false">IF('Ввод данных'!A1017=связи1!A406,0,1)*(IF('Ввод данных'!A19=связи1!A159,1,0)+IF('Ввод данных'!A19=связи1!A165,1,0)+IF('Ввод данных'!A19=связи1!A173,1,0)+IF('Ввод данных'!A19=связи1!A180,1,0))</f>
        <v>0</v>
      </c>
      <c r="H1762" s="1714" t="n">
        <f aca="false">IF('Ввод данных'!A1017=связи1!A406,0,1)*(IF('Ввод данных'!A19=связи1!A158,1,0)+IF('Ввод данных'!A19=связи1!A164,1,0)+IF('Ввод данных'!A19=связи1!A172,1,0))</f>
        <v>0</v>
      </c>
      <c r="I1762" s="2319"/>
      <c r="J1762" s="1617"/>
      <c r="K1762" s="1617"/>
      <c r="L1762" s="1617"/>
      <c r="M1762" s="1617"/>
      <c r="N1762" s="1617"/>
      <c r="O1762" s="1617"/>
      <c r="P1762" s="2157"/>
      <c r="Q1762" s="2157"/>
      <c r="R1762" s="2157"/>
      <c r="S1762" s="1617"/>
      <c r="T1762" s="1617"/>
      <c r="U1762" s="1617"/>
      <c r="V1762" s="1617"/>
      <c r="W1762" s="1617"/>
      <c r="X1762" s="1617"/>
      <c r="Y1762" s="1617"/>
    </row>
    <row r="1763" customFormat="false" ht="15.75" hidden="true" customHeight="true" outlineLevel="1" collapsed="false">
      <c r="A1763" s="1714" t="s">
        <v>3902</v>
      </c>
      <c r="B1763" s="1958" t="s">
        <v>15</v>
      </c>
      <c r="C1763" s="2348" t="n">
        <f aca="false">I1310</f>
        <v>0</v>
      </c>
      <c r="D1763" s="2142" t="n">
        <f aca="false">IF('Ввод данных'!A1019=связи1!A406,0,1)*(IF('Ввод данных'!A19=связи1!A154,1,0)+IF('Ввод данных'!A19=связи1!A161,1,0)+IF('Ввод данных'!A19=связи1!A169,1,0)+IF('Ввод данных'!A19=связи1!A178,1,0))</f>
        <v>0</v>
      </c>
      <c r="E1763" s="1436" t="n">
        <f aca="false">IF('Ввод данных'!A1017=связи1!A406,0,1)*(IF('Ввод данных'!A19=связи1!A157,1,0)+IF('Ввод данных'!A19=связи1!A163,1,0)+IF('Ввод данных'!A19=связи1!A171,1,0)+IF('Ввод данных'!A19=связи1!A179,1,0))</f>
        <v>0</v>
      </c>
      <c r="F1763" s="1436" t="n">
        <f aca="false">IF('Ввод данных'!A1017=связи1!A406,0,1)*(IF('Ввод данных'!A19=связи1!A156,1,0)+IF('Ввод данных'!A19=связи1!A162,1,0)+IF('Ввод данных'!A19=связи1!A170,1,0))</f>
        <v>0</v>
      </c>
      <c r="G1763" s="1714" t="n">
        <f aca="false">IF('Ввод данных'!A1017=связи1!A406,0,1)*(IF('Ввод данных'!A19=связи1!A159,1,0)+IF('Ввод данных'!A19=связи1!A165,1,0)+IF('Ввод данных'!A19=связи1!A173,1,0)+IF('Ввод данных'!A19=связи1!A180,1,0))</f>
        <v>0</v>
      </c>
      <c r="H1763" s="1714" t="n">
        <f aca="false">IF('Ввод данных'!A1017=связи1!A406,0,1)*(IF('Ввод данных'!A19=связи1!A158,1,0)+IF('Ввод данных'!A19=связи1!A164,1,0)+IF('Ввод данных'!A19=связи1!A172,1,0))</f>
        <v>0</v>
      </c>
      <c r="I1763" s="2319"/>
      <c r="J1763" s="1617"/>
      <c r="K1763" s="1617"/>
      <c r="L1763" s="1617"/>
      <c r="M1763" s="1617"/>
      <c r="N1763" s="1617"/>
      <c r="O1763" s="1617"/>
      <c r="P1763" s="2157"/>
      <c r="Q1763" s="2157"/>
      <c r="R1763" s="2157"/>
      <c r="S1763" s="1617"/>
      <c r="T1763" s="1617"/>
      <c r="U1763" s="1617"/>
      <c r="V1763" s="1617"/>
      <c r="W1763" s="1617"/>
      <c r="X1763" s="1617"/>
      <c r="Y1763" s="1617"/>
    </row>
    <row r="1764" customFormat="false" ht="15.75" hidden="true" customHeight="true" outlineLevel="1" collapsed="false">
      <c r="A1764" s="2349" t="s">
        <v>3774</v>
      </c>
      <c r="B1764" s="2350"/>
      <c r="C1764" s="2351"/>
      <c r="D1764" s="1617"/>
      <c r="E1764" s="1617"/>
      <c r="F1764" s="1617"/>
      <c r="G1764" s="1617"/>
      <c r="H1764" s="1617"/>
      <c r="I1764" s="2319"/>
      <c r="J1764" s="1617"/>
      <c r="K1764" s="1617"/>
      <c r="L1764" s="1617"/>
      <c r="M1764" s="1617"/>
      <c r="N1764" s="1617"/>
      <c r="O1764" s="1617"/>
      <c r="P1764" s="2157"/>
      <c r="Q1764" s="2157"/>
      <c r="R1764" s="2157"/>
      <c r="S1764" s="1617"/>
      <c r="T1764" s="1617"/>
      <c r="U1764" s="1617"/>
      <c r="V1764" s="1617"/>
      <c r="W1764" s="1617"/>
      <c r="X1764" s="1617"/>
      <c r="Y1764" s="1617"/>
    </row>
    <row r="1765" customFormat="false" ht="15.75" hidden="true" customHeight="true" outlineLevel="1" collapsed="false">
      <c r="A1765" s="2211" t="s">
        <v>3903</v>
      </c>
      <c r="B1765" s="2064" t="s">
        <v>820</v>
      </c>
      <c r="C1765" s="2064" t="n">
        <f aca="false">(SUM('Ввод данных'!H997:H1029)*2+SUM('Ввод данных'!R997:R1029)*2+SUM('Ввод данных'!U997:U1029)*2+SUM('Ввод данных'!AH997:AH1029)*2+'Ввод данных'!U979*2+'Ввод данных'!U980*2+'Ввод данных'!U981*2+'Ввод данных'!AH981*2+'Ввод данных'!AH980*2+'Ввод данных'!AH979*2)*D1765</f>
        <v>0</v>
      </c>
      <c r="D1765" s="1708" t="n">
        <f aca="false">IF('Ввод данных'!A1004=связи1!A101,1,0)</f>
        <v>0</v>
      </c>
      <c r="E1765" s="1708"/>
      <c r="F1765" s="1708"/>
      <c r="G1765" s="1708"/>
      <c r="H1765" s="1708"/>
      <c r="I1765" s="2230"/>
      <c r="J1765" s="1708"/>
      <c r="K1765" s="1708"/>
      <c r="L1765" s="1708"/>
      <c r="M1765" s="1708"/>
      <c r="N1765" s="1708"/>
      <c r="O1765" s="1708"/>
      <c r="P1765" s="2157"/>
      <c r="Q1765" s="2157"/>
      <c r="R1765" s="2157"/>
      <c r="S1765" s="1708"/>
      <c r="T1765" s="1708"/>
      <c r="U1765" s="1708"/>
      <c r="V1765" s="1708"/>
      <c r="W1765" s="1708"/>
      <c r="X1765" s="1708"/>
      <c r="Y1765" s="1708"/>
    </row>
    <row r="1766" customFormat="false" ht="15.75" hidden="true" customHeight="true" outlineLevel="1" collapsed="false">
      <c r="A1766" s="2211" t="s">
        <v>3904</v>
      </c>
      <c r="B1766" s="2064" t="s">
        <v>820</v>
      </c>
      <c r="C1766" s="2064" t="n">
        <f aca="false">I38*'Ввод данных'!C1005*D1766</f>
        <v>5</v>
      </c>
      <c r="D1766" s="1708" t="n">
        <f aca="false">IF('Ввод данных'!A1004=связи1!A102,1,0)</f>
        <v>1</v>
      </c>
      <c r="E1766" s="1708"/>
      <c r="F1766" s="1708"/>
      <c r="G1766" s="1708"/>
      <c r="H1766" s="1708"/>
      <c r="I1766" s="2230"/>
      <c r="J1766" s="1708"/>
      <c r="K1766" s="1708"/>
      <c r="L1766" s="1708"/>
      <c r="M1766" s="1708"/>
      <c r="N1766" s="1708"/>
      <c r="O1766" s="1708"/>
      <c r="P1766" s="2157"/>
      <c r="Q1766" s="2157"/>
      <c r="R1766" s="2157"/>
      <c r="S1766" s="1708"/>
      <c r="T1766" s="1708"/>
      <c r="U1766" s="1708"/>
      <c r="V1766" s="1708"/>
      <c r="W1766" s="1708"/>
      <c r="X1766" s="1708"/>
      <c r="Y1766" s="1708"/>
    </row>
    <row r="1767" customFormat="false" ht="15.75" hidden="true" customHeight="true" outlineLevel="1" collapsed="false">
      <c r="A1767" s="2211" t="s">
        <v>2477</v>
      </c>
      <c r="B1767" s="2064"/>
      <c r="C1767" s="1692" t="n">
        <f aca="false">VLOOKUP('Ввод данных'!A1004,связи1!A100:B102,2,0)</f>
        <v>5</v>
      </c>
      <c r="D1767" s="1708"/>
      <c r="E1767" s="1708"/>
      <c r="F1767" s="1708"/>
      <c r="G1767" s="1708"/>
      <c r="H1767" s="1708"/>
      <c r="I1767" s="2230"/>
      <c r="J1767" s="1708"/>
      <c r="K1767" s="1708"/>
      <c r="L1767" s="1708"/>
      <c r="M1767" s="1708"/>
      <c r="N1767" s="1708"/>
      <c r="O1767" s="1708"/>
      <c r="P1767" s="2157"/>
      <c r="Q1767" s="2157"/>
      <c r="R1767" s="2157"/>
      <c r="S1767" s="1708"/>
      <c r="T1767" s="1708"/>
      <c r="U1767" s="1708"/>
      <c r="V1767" s="1708"/>
      <c r="W1767" s="1708"/>
      <c r="X1767" s="1708"/>
      <c r="Y1767" s="1708"/>
    </row>
    <row r="1768" customFormat="false" ht="15.75" hidden="true" customHeight="true" outlineLevel="1" collapsed="false">
      <c r="A1768" s="2211" t="s">
        <v>3825</v>
      </c>
      <c r="B1768" s="1958" t="s">
        <v>820</v>
      </c>
      <c r="C1768" s="2064" t="n">
        <f aca="false">B1319*C1319*D1319+пристройка!D2*(пристройка!C9*пристройка!C25*пристройка!C3+пристройка!C10*пристройка!C5*пристройка!C26)+D1229*C1235</f>
        <v>128</v>
      </c>
      <c r="D1768" s="1617"/>
      <c r="E1768" s="1617" t="n">
        <f aca="false">SUM('Ввод данных'!H997:H1029)</f>
        <v>12.9</v>
      </c>
      <c r="F1768" s="1617"/>
      <c r="G1768" s="1617"/>
      <c r="H1768" s="1617"/>
      <c r="I1768" s="2319"/>
      <c r="J1768" s="1617"/>
      <c r="K1768" s="1617"/>
      <c r="L1768" s="1617"/>
      <c r="M1768" s="1617"/>
      <c r="N1768" s="1617"/>
      <c r="O1768" s="1617"/>
      <c r="P1768" s="2157"/>
      <c r="Q1768" s="2157"/>
      <c r="R1768" s="2157"/>
      <c r="S1768" s="1617"/>
      <c r="T1768" s="1617"/>
      <c r="U1768" s="1617"/>
      <c r="V1768" s="1617"/>
      <c r="W1768" s="1617"/>
      <c r="X1768" s="1617"/>
      <c r="Y1768" s="1617"/>
    </row>
    <row r="1769" customFormat="false" ht="15.75" hidden="true" customHeight="true" outlineLevel="1" collapsed="false">
      <c r="A1769" s="2211" t="s">
        <v>3776</v>
      </c>
      <c r="B1769" s="1958" t="s">
        <v>820</v>
      </c>
      <c r="C1769" s="2064" t="n">
        <f aca="false">C1780</f>
        <v>128</v>
      </c>
      <c r="D1769" s="1617" t="s">
        <v>1043</v>
      </c>
      <c r="E1769" s="1617"/>
      <c r="F1769" s="1617"/>
      <c r="G1769" s="1617"/>
      <c r="H1769" s="1617"/>
      <c r="I1769" s="2319"/>
      <c r="J1769" s="1617"/>
      <c r="K1769" s="1617"/>
      <c r="L1769" s="1617"/>
      <c r="M1769" s="1617"/>
      <c r="N1769" s="1617"/>
      <c r="O1769" s="1617"/>
      <c r="P1769" s="2157"/>
      <c r="Q1769" s="2157"/>
      <c r="R1769" s="2157"/>
      <c r="S1769" s="1617"/>
      <c r="T1769" s="1617"/>
      <c r="U1769" s="1617"/>
      <c r="V1769" s="1617"/>
      <c r="W1769" s="1617"/>
      <c r="X1769" s="1617"/>
      <c r="Y1769" s="1617"/>
    </row>
    <row r="1770" customFormat="false" ht="15.75" hidden="true" customHeight="true" outlineLevel="1" collapsed="false">
      <c r="A1770" s="2211" t="s">
        <v>3827</v>
      </c>
      <c r="B1770" s="1958" t="s">
        <v>15</v>
      </c>
      <c r="C1770" s="2064" t="n">
        <f aca="false">C1515</f>
        <v>48</v>
      </c>
      <c r="D1770" s="1617" t="n">
        <f aca="false">C1770*C1753</f>
        <v>7.2</v>
      </c>
      <c r="E1770" s="1617"/>
      <c r="F1770" s="1617"/>
      <c r="G1770" s="1617"/>
      <c r="H1770" s="1617"/>
      <c r="I1770" s="2319"/>
      <c r="J1770" s="1617"/>
      <c r="K1770" s="1617"/>
      <c r="L1770" s="1617"/>
      <c r="M1770" s="1617"/>
      <c r="N1770" s="1617"/>
      <c r="O1770" s="1617"/>
      <c r="P1770" s="2157"/>
      <c r="Q1770" s="2157"/>
      <c r="R1770" s="2157"/>
      <c r="S1770" s="1617"/>
      <c r="T1770" s="1617"/>
      <c r="U1770" s="1617"/>
      <c r="V1770" s="1617"/>
      <c r="W1770" s="1617"/>
      <c r="X1770" s="1617"/>
      <c r="Y1770" s="1617"/>
    </row>
    <row r="1771" customFormat="false" ht="15.75" hidden="true" customHeight="true" outlineLevel="1" collapsed="false">
      <c r="A1771" s="2211" t="s">
        <v>3859</v>
      </c>
      <c r="B1771" s="1958" t="s">
        <v>15</v>
      </c>
      <c r="C1771" s="2064" t="n">
        <f aca="false">((C1319+D1319+C1319+D1319)*B1319+пристройка!D2*пристройка!C85*пристройка!D84*пристройка!C3+D1229*C1275*E1274*C1232+пристройка!D2*пристройка!C85*пристройка!C5*пристройка!D84+D1229*C1233*C1275*E1274)</f>
        <v>64</v>
      </c>
      <c r="D1771" s="1617" t="n">
        <f aca="false">C1753</f>
        <v>0.15</v>
      </c>
      <c r="E1771" s="1617" t="n">
        <f aca="false">C1771*D1771</f>
        <v>9.6</v>
      </c>
      <c r="F1771" s="1617"/>
      <c r="G1771" s="1617"/>
      <c r="H1771" s="1617"/>
      <c r="I1771" s="2319"/>
      <c r="J1771" s="1617"/>
      <c r="K1771" s="1617"/>
      <c r="L1771" s="1617"/>
      <c r="M1771" s="1617"/>
      <c r="N1771" s="1617"/>
      <c r="O1771" s="1617"/>
      <c r="P1771" s="2157"/>
      <c r="Q1771" s="2157"/>
      <c r="R1771" s="2157"/>
      <c r="S1771" s="1617"/>
      <c r="T1771" s="1617"/>
      <c r="U1771" s="1617"/>
      <c r="V1771" s="1617"/>
      <c r="W1771" s="1617"/>
      <c r="X1771" s="1617"/>
      <c r="Y1771" s="1617"/>
    </row>
    <row r="1772" customFormat="false" ht="15.75" hidden="true" customHeight="true" outlineLevel="1" collapsed="false">
      <c r="A1772" s="2211" t="s">
        <v>3860</v>
      </c>
      <c r="B1772" s="1958" t="s">
        <v>15</v>
      </c>
      <c r="C1772" s="2064" t="n">
        <f aca="false">(C1321*D1321+C1322*D1322+C1323*D1323+C1329*D1329+C1330*D1330+C1331*D1331+C1332*D1332)+(N1321*O1321+N1322*O1322+N1323*O1323+N1329*O1329+N1330*O1330+N1331*O1331+C1324*D1324+N1324*O1324+N1332*O1332)*(B1319-1)</f>
        <v>28.5</v>
      </c>
      <c r="D1772" s="1617" t="n">
        <f aca="false">C1755</f>
        <v>0.15</v>
      </c>
      <c r="E1772" s="1617" t="n">
        <f aca="false">C1772*D1772</f>
        <v>4.275</v>
      </c>
      <c r="F1772" s="1617"/>
      <c r="G1772" s="1617"/>
      <c r="H1772" s="1617"/>
      <c r="I1772" s="2319"/>
      <c r="J1772" s="1617"/>
      <c r="K1772" s="1617"/>
      <c r="L1772" s="1617"/>
      <c r="M1772" s="1617"/>
      <c r="N1772" s="1617"/>
      <c r="O1772" s="1617"/>
      <c r="P1772" s="2157"/>
      <c r="Q1772" s="2157"/>
      <c r="R1772" s="2157"/>
      <c r="S1772" s="1617"/>
      <c r="T1772" s="1617"/>
      <c r="U1772" s="1617"/>
      <c r="V1772" s="1617"/>
      <c r="W1772" s="1617"/>
      <c r="X1772" s="1617"/>
      <c r="Y1772" s="1617"/>
    </row>
    <row r="1773" customFormat="false" ht="15.75" hidden="true" customHeight="true" outlineLevel="1" collapsed="false">
      <c r="A1773" s="2211" t="s">
        <v>3862</v>
      </c>
      <c r="B1773" s="1958" t="s">
        <v>15</v>
      </c>
      <c r="C1773" s="2064" t="n">
        <f aca="false">(C1325*D1325+C1326*D1326+C1327*D1327+C1328*D1328+C1333*D1333+C1334*D1334+C1335*D1335)+(C1336*D1336+N1325*O1325+N1326*O1326+N1327*O1327+N1328*O1328+N1333*O1333+N1334*O1334+N1335*O1335+N1336*O1336)*(B1319-1)+пристройка!D2*(пристройка!AM38)</f>
        <v>7.8</v>
      </c>
      <c r="D1773" s="1617" t="n">
        <f aca="false">C1757</f>
        <v>0.1</v>
      </c>
      <c r="E1773" s="1617" t="n">
        <f aca="false">C1773*D1773</f>
        <v>0.78</v>
      </c>
      <c r="F1773" s="2352" t="s">
        <v>3905</v>
      </c>
      <c r="G1773" s="2352"/>
      <c r="H1773" s="2352"/>
      <c r="I1773" s="2352"/>
      <c r="J1773" s="1617"/>
      <c r="K1773" s="1617"/>
      <c r="L1773" s="1617"/>
      <c r="M1773" s="1617"/>
      <c r="N1773" s="1617"/>
      <c r="O1773" s="1617"/>
      <c r="P1773" s="2157"/>
      <c r="Q1773" s="2157"/>
      <c r="R1773" s="2157"/>
      <c r="S1773" s="1617"/>
      <c r="T1773" s="1617"/>
      <c r="U1773" s="1617"/>
      <c r="V1773" s="1617"/>
      <c r="W1773" s="1617"/>
      <c r="X1773" s="1617"/>
      <c r="Y1773" s="1617"/>
    </row>
    <row r="1774" customFormat="false" ht="15.75" hidden="true" customHeight="true" outlineLevel="1" collapsed="false">
      <c r="A1774" s="2211" t="s">
        <v>3781</v>
      </c>
      <c r="B1774" s="1958" t="s">
        <v>820</v>
      </c>
      <c r="C1774" s="2213" t="n">
        <f aca="false">связи1!C154</f>
        <v>0</v>
      </c>
      <c r="D1774" s="1617"/>
      <c r="E1774" s="1617" t="n">
        <f aca="false">SUM(E1771:E1773)</f>
        <v>14.655</v>
      </c>
      <c r="F1774" s="1617"/>
      <c r="G1774" s="1436" t="n">
        <f aca="false">C1774*I1774+C1774*2</f>
        <v>0</v>
      </c>
      <c r="H1774" s="1436"/>
      <c r="I1774" s="2353" t="n">
        <f aca="false">(1/C1752)*C1753*2</f>
        <v>1.5</v>
      </c>
      <c r="J1774" s="1617"/>
      <c r="K1774" s="1617"/>
      <c r="L1774" s="1617"/>
      <c r="M1774" s="1617"/>
      <c r="N1774" s="1617"/>
      <c r="O1774" s="1617"/>
      <c r="P1774" s="2157"/>
      <c r="Q1774" s="2157"/>
      <c r="R1774" s="2157"/>
      <c r="S1774" s="1617"/>
      <c r="T1774" s="1617"/>
      <c r="U1774" s="1617"/>
      <c r="V1774" s="1617"/>
      <c r="W1774" s="1617"/>
      <c r="X1774" s="1617"/>
      <c r="Y1774" s="1617"/>
    </row>
    <row r="1775" customFormat="false" ht="15.75" hidden="true" customHeight="true" outlineLevel="1" collapsed="false">
      <c r="A1775" s="2211" t="s">
        <v>3834</v>
      </c>
      <c r="B1775" s="1958" t="s">
        <v>820</v>
      </c>
      <c r="C1775" s="2213" t="n">
        <f aca="false">C1774</f>
        <v>0</v>
      </c>
      <c r="D1775" s="1617"/>
      <c r="E1775" s="1617"/>
      <c r="F1775" s="1617"/>
      <c r="G1775" s="1714"/>
      <c r="H1775" s="1714"/>
      <c r="I1775" s="2353"/>
      <c r="J1775" s="1617"/>
      <c r="K1775" s="1617"/>
      <c r="L1775" s="1617"/>
      <c r="M1775" s="1617"/>
      <c r="N1775" s="1617"/>
      <c r="O1775" s="1617"/>
      <c r="P1775" s="2157"/>
      <c r="Q1775" s="2157"/>
      <c r="R1775" s="2157"/>
      <c r="S1775" s="1617"/>
      <c r="T1775" s="1617"/>
      <c r="U1775" s="1617"/>
      <c r="V1775" s="1617"/>
      <c r="W1775" s="1617"/>
      <c r="X1775" s="1617"/>
      <c r="Y1775" s="1617"/>
    </row>
    <row r="1776" customFormat="false" ht="15.75" hidden="true" customHeight="true" outlineLevel="1" collapsed="false">
      <c r="A1776" s="2211" t="s">
        <v>3783</v>
      </c>
      <c r="B1776" s="1958"/>
      <c r="C1776" s="2213" t="n">
        <f aca="false">связи1!D154</f>
        <v>0</v>
      </c>
      <c r="D1776" s="1617"/>
      <c r="E1776" s="1617"/>
      <c r="F1776" s="1617"/>
      <c r="G1776" s="1436" t="n">
        <f aca="false">C1776*I1776+C1776*2</f>
        <v>0</v>
      </c>
      <c r="H1776" s="1436"/>
      <c r="I1776" s="2353" t="n">
        <f aca="false">1/C1754*C1755*2</f>
        <v>1.5</v>
      </c>
      <c r="J1776" s="1617"/>
      <c r="K1776" s="1617"/>
      <c r="L1776" s="1617"/>
      <c r="M1776" s="1617"/>
      <c r="N1776" s="1617"/>
      <c r="O1776" s="1617"/>
      <c r="P1776" s="2157"/>
      <c r="Q1776" s="2157"/>
      <c r="R1776" s="2157"/>
      <c r="S1776" s="1617"/>
      <c r="T1776" s="1617"/>
      <c r="U1776" s="1617"/>
      <c r="V1776" s="1617"/>
      <c r="W1776" s="1617"/>
      <c r="X1776" s="1617"/>
      <c r="Y1776" s="1617"/>
    </row>
    <row r="1777" customFormat="false" ht="15.75" hidden="true" customHeight="true" outlineLevel="1" collapsed="false">
      <c r="A1777" s="2211" t="s">
        <v>3784</v>
      </c>
      <c r="B1777" s="1958" t="s">
        <v>820</v>
      </c>
      <c r="C1777" s="2213" t="n">
        <f aca="false">связи1!E154</f>
        <v>0</v>
      </c>
      <c r="D1777" s="1617"/>
      <c r="E1777" s="1617"/>
      <c r="F1777" s="1617"/>
      <c r="G1777" s="1436" t="n">
        <f aca="false">C1777*I1777+C1777*2</f>
        <v>0</v>
      </c>
      <c r="H1777" s="1436"/>
      <c r="I1777" s="2353" t="n">
        <f aca="false">1/C1756*C1757*2</f>
        <v>1</v>
      </c>
      <c r="J1777" s="1617"/>
      <c r="K1777" s="1617"/>
      <c r="L1777" s="1617"/>
      <c r="M1777" s="1617"/>
      <c r="N1777" s="1617"/>
      <c r="O1777" s="1617"/>
      <c r="P1777" s="2157"/>
      <c r="Q1777" s="2157"/>
      <c r="R1777" s="2157"/>
      <c r="S1777" s="1617"/>
      <c r="T1777" s="1617"/>
      <c r="U1777" s="1617"/>
      <c r="V1777" s="1617"/>
      <c r="W1777" s="1617"/>
      <c r="X1777" s="1617"/>
      <c r="Y1777" s="1617"/>
    </row>
    <row r="1778" customFormat="false" ht="15.75" hidden="true" customHeight="true" outlineLevel="1" collapsed="false">
      <c r="A1778" s="2211" t="s">
        <v>3786</v>
      </c>
      <c r="B1778" s="1958" t="s">
        <v>820</v>
      </c>
      <c r="C1778" s="2213" t="n">
        <f aca="false">C1776+C1777</f>
        <v>0</v>
      </c>
      <c r="D1778" s="1617"/>
      <c r="E1778" s="1617"/>
      <c r="F1778" s="1617"/>
      <c r="G1778" s="1747"/>
      <c r="H1778" s="1747"/>
      <c r="I1778" s="2148"/>
      <c r="J1778" s="1747"/>
      <c r="K1778" s="1747"/>
      <c r="L1778" s="1747"/>
      <c r="M1778" s="1747"/>
      <c r="N1778" s="1747"/>
      <c r="O1778" s="1747"/>
      <c r="P1778" s="2157"/>
      <c r="Q1778" s="2157"/>
      <c r="R1778" s="2157"/>
      <c r="S1778" s="1617"/>
      <c r="T1778" s="1617"/>
      <c r="U1778" s="1617"/>
      <c r="V1778" s="1617"/>
      <c r="W1778" s="1617"/>
      <c r="X1778" s="1617"/>
      <c r="Y1778" s="1617"/>
    </row>
    <row r="1779" customFormat="false" ht="15.75" hidden="true" customHeight="true" outlineLevel="1" collapsed="false">
      <c r="A1779" s="2211" t="s">
        <v>3787</v>
      </c>
      <c r="B1779" s="1958" t="s">
        <v>820</v>
      </c>
      <c r="C1779" s="2064" t="n">
        <f aca="false">C16*C17*E44+C16*C17*E45*(C15-1)+B1115*(1-E44)*(E1189+C1189)+I1115*(1-E44)*(F1132*F1133)+(1-E44)*L1115*L1189+(J1215+K1215)*G1202+D1229*(C1236*E1236+C1237*E1237)+(C15-1)*B1115*(C1189+E1189)*(1-E45)+(C15-1)*(F1132*F1133)*I1115*(1-E45)+(C15-1)*L1115*L1189*(1-E45)-F1363+пристройка!L14+пристройка!L15</f>
        <v>150.475100831722</v>
      </c>
      <c r="D1779" s="1617"/>
      <c r="E1779" s="1617"/>
      <c r="F1779" s="1617"/>
      <c r="G1779" s="1714" t="n">
        <f aca="false">SUM(G1774:G1778)</f>
        <v>0</v>
      </c>
      <c r="H1779" s="1747"/>
      <c r="I1779" s="1747"/>
      <c r="J1779" s="2174"/>
      <c r="K1779" s="2174"/>
      <c r="L1779" s="2174"/>
      <c r="M1779" s="2174"/>
      <c r="N1779" s="2174"/>
      <c r="O1779" s="1734"/>
      <c r="P1779" s="2157"/>
      <c r="Q1779" s="2157"/>
      <c r="R1779" s="2157"/>
      <c r="S1779" s="1617"/>
      <c r="T1779" s="1617"/>
      <c r="U1779" s="1617"/>
      <c r="V1779" s="1617"/>
      <c r="W1779" s="1617"/>
      <c r="X1779" s="1617"/>
      <c r="Y1779" s="1617"/>
    </row>
    <row r="1780" customFormat="false" ht="15.75" hidden="true" customHeight="true" outlineLevel="1" collapsed="false">
      <c r="A1780" s="2211" t="s">
        <v>3837</v>
      </c>
      <c r="B1780" s="1958" t="s">
        <v>820</v>
      </c>
      <c r="C1780" s="2064" t="n">
        <f aca="false">C15*C16*C17+D1229*C1235+(пристройка!L12+пристройка!L13)*пристройка!D2</f>
        <v>128</v>
      </c>
      <c r="D1780" s="1617"/>
      <c r="E1780" s="1617"/>
      <c r="F1780" s="1617"/>
      <c r="G1780" s="1747"/>
      <c r="H1780" s="1747"/>
      <c r="I1780" s="1747"/>
      <c r="J1780" s="2174"/>
      <c r="K1780" s="2174"/>
      <c r="L1780" s="2174"/>
      <c r="M1780" s="2174"/>
      <c r="N1780" s="2174"/>
      <c r="O1780" s="1734"/>
      <c r="P1780" s="2157"/>
      <c r="Q1780" s="2157"/>
      <c r="R1780" s="2157"/>
      <c r="S1780" s="1617"/>
      <c r="T1780" s="1617"/>
      <c r="U1780" s="1617"/>
      <c r="V1780" s="1617"/>
      <c r="W1780" s="1617"/>
      <c r="X1780" s="1617"/>
      <c r="Y1780" s="1617"/>
    </row>
    <row r="1781" customFormat="false" ht="15.75" hidden="true" customHeight="true" outlineLevel="1" collapsed="false">
      <c r="A1781" s="2211" t="s">
        <v>3790</v>
      </c>
      <c r="B1781" s="1958" t="s">
        <v>820</v>
      </c>
      <c r="C1781" s="2064" t="n">
        <f aca="false">C1319*D1319+пристройка!D2*пристройка!C9+D1229*C1279</f>
        <v>64</v>
      </c>
      <c r="D1781" s="1617"/>
      <c r="E1781" s="1617"/>
      <c r="F1781" s="1617"/>
      <c r="G1781" s="1747"/>
      <c r="H1781" s="1747"/>
      <c r="I1781" s="2229"/>
      <c r="J1781" s="2174"/>
      <c r="K1781" s="2174"/>
      <c r="L1781" s="2174"/>
      <c r="M1781" s="2174"/>
      <c r="N1781" s="2174"/>
      <c r="O1781" s="1734"/>
      <c r="P1781" s="2157"/>
      <c r="Q1781" s="2157"/>
      <c r="R1781" s="2157"/>
      <c r="S1781" s="1617"/>
      <c r="T1781" s="1617"/>
      <c r="U1781" s="1617"/>
      <c r="V1781" s="1617"/>
      <c r="W1781" s="1617"/>
      <c r="X1781" s="1617"/>
      <c r="Y1781" s="1617"/>
    </row>
    <row r="1782" customFormat="false" ht="15.75" hidden="true" customHeight="true" outlineLevel="1" collapsed="false">
      <c r="A1782" s="2211" t="s">
        <v>3791</v>
      </c>
      <c r="B1782" s="1958" t="s">
        <v>820</v>
      </c>
      <c r="C1782" s="2064" t="n">
        <f aca="false">C1319*D1319*E44+пристройка!D2*пристройка!C10+D1229*пристройка!C10*пристройка!C26-(B1319-1)*4</f>
        <v>60</v>
      </c>
      <c r="D1782" s="1617"/>
      <c r="E1782" s="1617"/>
      <c r="F1782" s="1617"/>
      <c r="G1782" s="1747"/>
      <c r="H1782" s="1747"/>
      <c r="I1782" s="2229"/>
      <c r="J1782" s="2174"/>
      <c r="K1782" s="2174"/>
      <c r="L1782" s="2174"/>
      <c r="M1782" s="2174"/>
      <c r="N1782" s="2174"/>
      <c r="O1782" s="1734"/>
      <c r="P1782" s="2157"/>
      <c r="Q1782" s="2157"/>
      <c r="R1782" s="2157"/>
      <c r="S1782" s="1617"/>
      <c r="T1782" s="1617"/>
      <c r="U1782" s="1617"/>
      <c r="V1782" s="1617"/>
      <c r="W1782" s="1617"/>
      <c r="X1782" s="1617"/>
      <c r="Y1782" s="1617"/>
    </row>
    <row r="1783" customFormat="false" ht="15.75" hidden="true" customHeight="true" outlineLevel="1" collapsed="false">
      <c r="A1783" s="2211" t="s">
        <v>3792</v>
      </c>
      <c r="B1783" s="1958" t="s">
        <v>820</v>
      </c>
      <c r="C1783" s="2064" t="n">
        <f aca="false">C16*C17*E45+B1115*C1189*(C15-1)+I1115*F1132*F1133*(C15-1)*(I1115-E45)+L1115*L1189*(C15-1)*(L1115-E45)+пристройка!D2*пристройка!C11+D1229*C1279</f>
        <v>50.7600504158611</v>
      </c>
      <c r="D1783" s="1617"/>
      <c r="E1783" s="1617"/>
      <c r="F1783" s="1617"/>
      <c r="G1783" s="1747"/>
      <c r="H1783" s="1747"/>
      <c r="I1783" s="2229"/>
      <c r="J1783" s="2174"/>
      <c r="K1783" s="2174"/>
      <c r="L1783" s="2174"/>
      <c r="M1783" s="2174"/>
      <c r="N1783" s="2174"/>
      <c r="O1783" s="1734"/>
      <c r="P1783" s="2157"/>
      <c r="Q1783" s="2157"/>
      <c r="R1783" s="2157"/>
      <c r="S1783" s="1617"/>
      <c r="T1783" s="1617"/>
      <c r="U1783" s="1617"/>
      <c r="V1783" s="1617"/>
      <c r="W1783" s="1617"/>
      <c r="X1783" s="1617"/>
      <c r="Y1783" s="1617"/>
    </row>
    <row r="1784" customFormat="false" ht="15.75" hidden="true" customHeight="true" outlineLevel="1" collapsed="false">
      <c r="A1784" s="2211" t="s">
        <v>3793</v>
      </c>
      <c r="B1784" s="1958" t="s">
        <v>820</v>
      </c>
      <c r="C1784" s="2064" t="n">
        <f aca="false">SUM(C1781:C1783)</f>
        <v>174.760050415861</v>
      </c>
      <c r="D1784" s="1617"/>
      <c r="E1784" s="1617"/>
      <c r="F1784" s="1617"/>
      <c r="G1784" s="1617"/>
      <c r="H1784" s="1617"/>
      <c r="I1784" s="2319"/>
      <c r="J1784" s="1617"/>
      <c r="K1784" s="1617"/>
      <c r="L1784" s="1617"/>
      <c r="M1784" s="1617"/>
      <c r="N1784" s="1617"/>
      <c r="O1784" s="1617"/>
      <c r="P1784" s="2157"/>
      <c r="Q1784" s="2157"/>
      <c r="R1784" s="2157"/>
      <c r="S1784" s="1617"/>
      <c r="T1784" s="1617"/>
      <c r="U1784" s="1617"/>
      <c r="V1784" s="1617"/>
      <c r="W1784" s="1617"/>
      <c r="X1784" s="1617"/>
      <c r="Y1784" s="1617"/>
    </row>
    <row r="1785" customFormat="false" ht="15.75" hidden="true" customHeight="true" outlineLevel="1" collapsed="false">
      <c r="A1785" s="2354" t="s">
        <v>2246</v>
      </c>
      <c r="B1785" s="2355" t="s">
        <v>1738</v>
      </c>
      <c r="C1785" s="2355" t="s">
        <v>12</v>
      </c>
      <c r="D1785" s="2355" t="s">
        <v>3871</v>
      </c>
      <c r="E1785" s="2356" t="s">
        <v>2916</v>
      </c>
      <c r="F1785" s="1617"/>
      <c r="G1785" s="2349" t="s">
        <v>2007</v>
      </c>
      <c r="H1785" s="2357"/>
      <c r="I1785" s="2358"/>
      <c r="J1785" s="2356" t="s">
        <v>118</v>
      </c>
      <c r="K1785" s="2356" t="s">
        <v>2915</v>
      </c>
      <c r="L1785" s="2356"/>
      <c r="M1785" s="2356"/>
      <c r="N1785" s="2356"/>
      <c r="O1785" s="2356" t="s">
        <v>2916</v>
      </c>
      <c r="P1785" s="1617"/>
      <c r="Q1785" s="1617"/>
      <c r="R1785" s="1617"/>
      <c r="S1785" s="1617"/>
      <c r="T1785" s="1617"/>
      <c r="U1785" s="1617"/>
      <c r="V1785" s="1617"/>
      <c r="W1785" s="1617"/>
      <c r="X1785" s="1617"/>
      <c r="Y1785" s="1617"/>
    </row>
    <row r="1786" customFormat="false" ht="15.75" hidden="true" customHeight="true" outlineLevel="1" collapsed="false">
      <c r="A1786" s="2211" t="str">
        <f aca="false">'Ввод данных'!A989</f>
        <v>Листв. влаж, 200*200мм</v>
      </c>
      <c r="B1786" s="2064" t="s">
        <v>1043</v>
      </c>
      <c r="C1786" s="2064" t="n">
        <f aca="false">(C1771+C1772+C1773)*VLOOKUP(A1786,'Прайс лист'!B340:G426,5,0)</f>
        <v>4.012</v>
      </c>
      <c r="D1786" s="2064" t="n">
        <f aca="false">VLOOKUP(A1786,'Прайс лист'!B340:G426,6,0)</f>
        <v>9000</v>
      </c>
      <c r="E1786" s="1707" t="n">
        <f aca="false">C1786*D1786</f>
        <v>36108</v>
      </c>
      <c r="F1786" s="1617"/>
      <c r="G1786" s="1995" t="s">
        <v>2095</v>
      </c>
      <c r="H1786" s="2146"/>
      <c r="I1786" s="2225"/>
      <c r="J1786" s="1707" t="n">
        <f aca="false">(C1786+C1787+C1788+C1789)*I1750</f>
        <v>0.866249999999999</v>
      </c>
      <c r="K1786" s="1707" t="n">
        <f aca="false">'Прайс лист'!G1518</f>
        <v>4000</v>
      </c>
      <c r="L1786" s="1707"/>
      <c r="M1786" s="1707"/>
      <c r="N1786" s="1707"/>
      <c r="O1786" s="1707" t="n">
        <f aca="false">J1786*K1786</f>
        <v>3465</v>
      </c>
      <c r="P1786" s="1617"/>
      <c r="Q1786" s="1617"/>
      <c r="R1786" s="1617"/>
      <c r="S1786" s="1617"/>
      <c r="T1786" s="1617"/>
      <c r="U1786" s="1617"/>
      <c r="V1786" s="1617"/>
      <c r="W1786" s="1617"/>
      <c r="X1786" s="1617"/>
      <c r="Y1786" s="1617"/>
    </row>
    <row r="1787" customFormat="false" ht="15.75" hidden="true" customHeight="true" outlineLevel="1" collapsed="false">
      <c r="A1787" s="2211" t="str">
        <f aca="false">'Ввод данных'!A983</f>
        <v>Сосна влаж, 200*150мм</v>
      </c>
      <c r="B1787" s="2064" t="s">
        <v>1043</v>
      </c>
      <c r="C1787" s="2064" t="n">
        <f aca="false">((C1775+C1767)*C1753)*1.05*G1750-C1786</f>
        <v>-3.14575</v>
      </c>
      <c r="D1787" s="2064" t="n">
        <f aca="false">VLOOKUP(A1787,'Прайс лист'!B340:G426,6,0)</f>
        <v>6500</v>
      </c>
      <c r="E1787" s="1707" t="n">
        <f aca="false">C1787*D1787</f>
        <v>-20447.375</v>
      </c>
      <c r="F1787" s="1617"/>
      <c r="G1787" s="1995" t="s">
        <v>2097</v>
      </c>
      <c r="H1787" s="2146"/>
      <c r="I1787" s="2225"/>
      <c r="J1787" s="1707" t="n">
        <f aca="false">(C1758*D1758+C1760*D1760+C1759*D1759+C1761*D1761+C1762*D1762+C1763*D1763)*I1750</f>
        <v>0</v>
      </c>
      <c r="K1787" s="1707" t="n">
        <f aca="false">'Прайс лист'!G1520</f>
        <v>150</v>
      </c>
      <c r="L1787" s="1707"/>
      <c r="M1787" s="1707"/>
      <c r="N1787" s="1707"/>
      <c r="O1787" s="1707" t="n">
        <f aca="false">J1787*K1787</f>
        <v>0</v>
      </c>
      <c r="P1787" s="1617"/>
      <c r="Q1787" s="1617"/>
      <c r="R1787" s="1617"/>
      <c r="S1787" s="1617"/>
      <c r="T1787" s="1617"/>
      <c r="U1787" s="1617"/>
      <c r="V1787" s="1617"/>
      <c r="W1787" s="1617"/>
      <c r="X1787" s="1617"/>
      <c r="Y1787" s="1617"/>
    </row>
    <row r="1788" customFormat="false" ht="15.75" hidden="true" customHeight="true" outlineLevel="1" collapsed="false">
      <c r="A1788" s="2211" t="str">
        <f aca="false">'Ввод данных'!A985</f>
        <v>Сосна влаж, 200*150мм</v>
      </c>
      <c r="B1788" s="2064" t="s">
        <v>1043</v>
      </c>
      <c r="C1788" s="2064" t="n">
        <f aca="false">C1776*C1755*G1750</f>
        <v>0</v>
      </c>
      <c r="D1788" s="2064" t="n">
        <f aca="false">VLOOKUP(A1788,'Прайс лист'!B340:G426,6,0)</f>
        <v>6500</v>
      </c>
      <c r="E1788" s="1707" t="n">
        <f aca="false">C1788*D1788</f>
        <v>0</v>
      </c>
      <c r="F1788" s="1617"/>
      <c r="G1788" s="1436" t="str">
        <f aca="false">'Прайс лист'!B1525</f>
        <v>обработка торцов на брусе</v>
      </c>
      <c r="H1788" s="1436"/>
      <c r="I1788" s="1436"/>
      <c r="J1788" s="1436" t="n">
        <f aca="false">I38*I1750</f>
        <v>20</v>
      </c>
      <c r="K1788" s="1436" t="n">
        <f aca="false">'Прайс лист'!G1525</f>
        <v>250</v>
      </c>
      <c r="L1788" s="1436"/>
      <c r="M1788" s="1436"/>
      <c r="N1788" s="1436"/>
      <c r="O1788" s="1707" t="n">
        <f aca="false">J1788*K1788</f>
        <v>5000</v>
      </c>
      <c r="P1788" s="1617"/>
      <c r="Q1788" s="1617"/>
      <c r="R1788" s="1617"/>
      <c r="S1788" s="1617"/>
      <c r="T1788" s="1617"/>
      <c r="U1788" s="1617"/>
      <c r="V1788" s="1617"/>
      <c r="W1788" s="1617"/>
      <c r="X1788" s="1617"/>
      <c r="Y1788" s="1617"/>
    </row>
    <row r="1789" customFormat="false" ht="15.75" hidden="true" customHeight="true" outlineLevel="1" collapsed="false">
      <c r="A1789" s="2211" t="str">
        <f aca="false">'Ввод данных'!A987</f>
        <v>Сосна влаж, 200*100мм</v>
      </c>
      <c r="B1789" s="2064" t="s">
        <v>820</v>
      </c>
      <c r="C1789" s="2064" t="n">
        <f aca="false">C1777*C1757*G1750</f>
        <v>0</v>
      </c>
      <c r="D1789" s="2064" t="n">
        <f aca="false">VLOOKUP(A1789,'Прайс лист'!B340:G426,6,0)</f>
        <v>6500</v>
      </c>
      <c r="E1789" s="1707" t="n">
        <f aca="false">C1789*D1789</f>
        <v>0</v>
      </c>
      <c r="F1789" s="1617"/>
      <c r="G1789" s="1707" t="str">
        <f aca="false">'Прайс лист'!B1527</f>
        <v>Обаботка огнебиозащитой</v>
      </c>
      <c r="H1789" s="1707"/>
      <c r="I1789" s="2062"/>
      <c r="J1789" s="1707" t="n">
        <f aca="false">SUM(C1786:C1789)*IF('Ввод данных'!A1034='Прайс лист'!B584,0,1)</f>
        <v>0.866249999999999</v>
      </c>
      <c r="K1789" s="1707" t="n">
        <f aca="false">'Прайс лист'!G1527</f>
        <v>300</v>
      </c>
      <c r="L1789" s="1707"/>
      <c r="M1789" s="1707"/>
      <c r="N1789" s="1707"/>
      <c r="O1789" s="1707" t="n">
        <f aca="false">J1789*K1789</f>
        <v>259.875</v>
      </c>
      <c r="P1789" s="1617"/>
      <c r="Q1789" s="1617"/>
      <c r="R1789" s="1617"/>
      <c r="S1789" s="1617"/>
      <c r="T1789" s="1617"/>
      <c r="U1789" s="1617"/>
      <c r="V1789" s="1617"/>
      <c r="W1789" s="1617"/>
      <c r="X1789" s="1617"/>
      <c r="Y1789" s="1617"/>
    </row>
    <row r="1790" customFormat="false" ht="15.75" hidden="true" customHeight="true" outlineLevel="1" collapsed="false">
      <c r="A1790" s="2211" t="str">
        <f aca="false">'Ввод данных'!A1027</f>
        <v>Шкант</v>
      </c>
      <c r="B1790" s="2064" t="s">
        <v>48</v>
      </c>
      <c r="C1790" s="2064" t="n">
        <f aca="false">CEILING((C1786+C1787+C1788+C1789)*20*G1750,1)</f>
        <v>20</v>
      </c>
      <c r="D1790" s="2064" t="n">
        <f aca="false">VLOOKUP('Ввод данных'!A1027,связи1!A458:B460,2,0)</f>
        <v>6</v>
      </c>
      <c r="E1790" s="1707" t="n">
        <f aca="false">C1790*D1790</f>
        <v>120</v>
      </c>
      <c r="F1790" s="1617"/>
      <c r="G1790" s="1707" t="str">
        <f aca="false">'Прайс лист'!B1528</f>
        <v>Пропитка стен внешних</v>
      </c>
      <c r="H1790" s="1707"/>
      <c r="I1790" s="2062"/>
      <c r="J1790" s="1707" t="n">
        <f aca="false">C1774*IF('Ввод данных'!A1039='Прайс лист'!B1359,0,1)</f>
        <v>0</v>
      </c>
      <c r="K1790" s="1707" t="n">
        <f aca="false">'Прайс лист'!G1528</f>
        <v>100</v>
      </c>
      <c r="L1790" s="1707"/>
      <c r="M1790" s="1707"/>
      <c r="N1790" s="1707"/>
      <c r="O1790" s="1707" t="n">
        <f aca="false">J1790*K1790</f>
        <v>0</v>
      </c>
      <c r="P1790" s="1617"/>
      <c r="Q1790" s="1617"/>
      <c r="R1790" s="1617"/>
      <c r="S1790" s="1617"/>
      <c r="T1790" s="1617"/>
      <c r="U1790" s="1617"/>
      <c r="V1790" s="1617"/>
      <c r="W1790" s="1617"/>
      <c r="X1790" s="1617"/>
      <c r="Y1790" s="1617"/>
    </row>
    <row r="1791" customFormat="false" ht="15.75" hidden="true" customHeight="true" outlineLevel="1" collapsed="false">
      <c r="A1791" s="2211" t="str">
        <f aca="false">'Ввод данных'!A1024</f>
        <v>Лен-джут 200х5х20000 мм</v>
      </c>
      <c r="B1791" s="2064" t="s">
        <v>48</v>
      </c>
      <c r="C1791" s="2064" t="n">
        <f aca="false">CEILING((C1774+C1776+C1777)/VLOOKUP(A1787,'Прайс лист'!B340:G426,3,0)/20*G1750*1.3,1)</f>
        <v>0</v>
      </c>
      <c r="D1791" s="2064" t="n">
        <f aca="false">VLOOKUP(A1791,связи1!A487:B492,2,0)</f>
        <v>175</v>
      </c>
      <c r="E1791" s="1707" t="n">
        <f aca="false">C1791*D1791</f>
        <v>0</v>
      </c>
      <c r="F1791" s="1617"/>
      <c r="G1791" s="1707" t="str">
        <f aca="false">'Прайс лист'!B1529</f>
        <v>Пропитка внутенних стен</v>
      </c>
      <c r="H1791" s="1707"/>
      <c r="I1791" s="1633"/>
      <c r="J1791" s="1436" t="n">
        <f aca="false">(C1774+C1778*2)*IF('Ввод данных'!A1044='Прайс лист'!B1359,0,1)</f>
        <v>0</v>
      </c>
      <c r="K1791" s="1707" t="n">
        <f aca="false">'Прайс лист'!G1529</f>
        <v>100</v>
      </c>
      <c r="L1791" s="1436"/>
      <c r="M1791" s="1436"/>
      <c r="N1791" s="1436"/>
      <c r="O1791" s="1707" t="n">
        <f aca="false">J1791*K1791</f>
        <v>0</v>
      </c>
      <c r="P1791" s="1617"/>
      <c r="Q1791" s="1617"/>
      <c r="R1791" s="1617"/>
      <c r="S1791" s="1617"/>
      <c r="T1791" s="1617"/>
      <c r="U1791" s="1617"/>
      <c r="V1791" s="1617"/>
      <c r="W1791" s="1617"/>
      <c r="X1791" s="1617"/>
      <c r="Y1791" s="1617"/>
    </row>
    <row r="1792" customFormat="false" ht="15.75" hidden="true" customHeight="true" outlineLevel="1" collapsed="false">
      <c r="A1792" s="2211" t="str">
        <f aca="false">'Прайс лист'!B737</f>
        <v>Гвозди строительные 3,5 x 90            </v>
      </c>
      <c r="B1792" s="2064" t="s">
        <v>48</v>
      </c>
      <c r="C1792" s="2064" t="n">
        <f aca="false">4*G1750</f>
        <v>4.4</v>
      </c>
      <c r="D1792" s="2064" t="n">
        <f aca="false">'Прайс лист'!G737</f>
        <v>70</v>
      </c>
      <c r="E1792" s="1707" t="n">
        <f aca="false">C1792*D1792</f>
        <v>308</v>
      </c>
      <c r="F1792" s="1617"/>
      <c r="G1792" s="1714" t="str">
        <f aca="false">'Ввод данных'!A1049</f>
        <v>Не считать</v>
      </c>
      <c r="H1792" s="1714"/>
      <c r="I1792" s="1633"/>
      <c r="J1792" s="2064" t="n">
        <f aca="false">('Ввод данных'!C1369*3+'Ввод данных'!C1371*3)*IF('Ввод данных'!A1049=связи1!A558,0,1)</f>
        <v>0</v>
      </c>
      <c r="K1792" s="2064" t="n">
        <f aca="false">'Прайс лист'!G1672</f>
        <v>300</v>
      </c>
      <c r="L1792" s="1436"/>
      <c r="M1792" s="1436"/>
      <c r="N1792" s="1436"/>
      <c r="O1792" s="1707" t="n">
        <f aca="false">J1792*K1792</f>
        <v>0</v>
      </c>
      <c r="P1792" s="1617"/>
      <c r="Q1792" s="1617"/>
      <c r="R1792" s="1617"/>
      <c r="S1792" s="1617"/>
      <c r="T1792" s="1617"/>
      <c r="U1792" s="1617"/>
      <c r="V1792" s="1617"/>
      <c r="W1792" s="1617"/>
      <c r="X1792" s="1617"/>
      <c r="Y1792" s="1617"/>
    </row>
    <row r="1793" customFormat="false" ht="15.75" hidden="true" customHeight="true" outlineLevel="1" collapsed="false">
      <c r="A1793" s="1714" t="str">
        <f aca="false">'Ввод данных'!A1015</f>
        <v>нет</v>
      </c>
      <c r="B1793" s="2064" t="s">
        <v>1043</v>
      </c>
      <c r="C1793" s="2064" t="n">
        <f aca="false">((C1758*D1758+C1759*D1759)*G1750*VLOOKUP(A1793,связи1!A406:E415,5,0))</f>
        <v>0</v>
      </c>
      <c r="D1793" s="2064" t="n">
        <f aca="false">VLOOKUP(A1793,связи1!A406:E415,2,0)</f>
        <v>0</v>
      </c>
      <c r="E1793" s="1707" t="n">
        <f aca="false">C1793*D1793</f>
        <v>0</v>
      </c>
      <c r="F1793" s="1617"/>
      <c r="G1793" s="1707" t="str">
        <f aca="false">'Прайс лист'!B1545</f>
        <v>Монтаж наличника</v>
      </c>
      <c r="H1793" s="1707"/>
      <c r="I1793" s="2062"/>
      <c r="J1793" s="1707" t="n">
        <f aca="false">C1803*IF('Ввод данных'!A1052='Прайс лист'!B575,0,1)+дома!C1804*IF('Ввод данных'!A1054='Прайс лист'!B575,0,1)</f>
        <v>0</v>
      </c>
      <c r="K1793" s="1707" t="n">
        <f aca="false">'Прайс лист'!G1545</f>
        <v>80</v>
      </c>
      <c r="L1793" s="1707"/>
      <c r="M1793" s="1707"/>
      <c r="N1793" s="1707"/>
      <c r="O1793" s="1707" t="n">
        <f aca="false">J1793*K1793</f>
        <v>0</v>
      </c>
      <c r="P1793" s="1617"/>
      <c r="Q1793" s="1617"/>
      <c r="R1793" s="1617"/>
      <c r="S1793" s="1617"/>
      <c r="T1793" s="1617"/>
      <c r="U1793" s="1617"/>
      <c r="V1793" s="1617"/>
      <c r="W1793" s="1617"/>
      <c r="X1793" s="1617"/>
      <c r="Y1793" s="1617"/>
    </row>
    <row r="1794" customFormat="false" ht="15.75" hidden="true" customHeight="true" outlineLevel="1" collapsed="false">
      <c r="A1794" s="1714" t="str">
        <f aca="false">'Ввод данных'!A1017</f>
        <v>нет</v>
      </c>
      <c r="B1794" s="2064" t="s">
        <v>1043</v>
      </c>
      <c r="C1794" s="2064" t="n">
        <f aca="false">((C1760*D1760+C1762*D1762)*G1750*VLOOKUP(A1794,связи1!A406:E415,5,0))</f>
        <v>0</v>
      </c>
      <c r="D1794" s="2064" t="n">
        <f aca="false">VLOOKUP(A1794,связи1!A406:E415,2,0)</f>
        <v>0</v>
      </c>
      <c r="E1794" s="1707" t="n">
        <f aca="false">C1794*D1794</f>
        <v>0</v>
      </c>
      <c r="F1794" s="1617"/>
      <c r="G1794" s="1707" t="str">
        <f aca="false">'Прайс лист'!B1530</f>
        <v>Шлифовка стен дома</v>
      </c>
      <c r="H1794" s="1707"/>
      <c r="I1794" s="2062"/>
      <c r="J1794" s="1707" t="n">
        <f aca="false">C1774*IF('Ввод данных'!A1057=связи1!A560,1,0)+(C1774+C1778*2)*IF('Ввод данных'!A1060=связи1!A563,1,0)</f>
        <v>0</v>
      </c>
      <c r="K1794" s="1707" t="n">
        <f aca="false">'Прайс лист'!G1530</f>
        <v>250</v>
      </c>
      <c r="L1794" s="1707"/>
      <c r="M1794" s="1707"/>
      <c r="N1794" s="1707"/>
      <c r="O1794" s="1707" t="n">
        <f aca="false">J1794*K1794</f>
        <v>0</v>
      </c>
      <c r="P1794" s="1617"/>
      <c r="Q1794" s="1617"/>
      <c r="R1794" s="1617"/>
      <c r="S1794" s="1617"/>
      <c r="T1794" s="1617"/>
      <c r="U1794" s="1617"/>
      <c r="V1794" s="1617"/>
      <c r="W1794" s="1617"/>
      <c r="X1794" s="1617"/>
      <c r="Y1794" s="1617"/>
    </row>
    <row r="1795" customFormat="false" ht="15.75" hidden="true" customHeight="true" outlineLevel="1" collapsed="false">
      <c r="A1795" s="1714" t="str">
        <f aca="false">'Ввод данных'!A1019</f>
        <v>нет</v>
      </c>
      <c r="B1795" s="2064" t="s">
        <v>1043</v>
      </c>
      <c r="C1795" s="2064" t="n">
        <f aca="false">VLOOKUP(A1795,связи1!A406:E415,5,0)*(C1761*D1761+C1763*D1763)*G1750</f>
        <v>0</v>
      </c>
      <c r="D1795" s="2064" t="n">
        <f aca="false">VLOOKUP(A1795,связи1!A406:E415,2,0)</f>
        <v>0</v>
      </c>
      <c r="E1795" s="1707" t="n">
        <f aca="false">C1795*D1795</f>
        <v>0</v>
      </c>
      <c r="F1795" s="1617"/>
      <c r="G1795" s="1707"/>
      <c r="H1795" s="1707"/>
      <c r="I1795" s="2062"/>
      <c r="J1795" s="1707"/>
      <c r="K1795" s="1707"/>
      <c r="L1795" s="1707"/>
      <c r="M1795" s="1707"/>
      <c r="N1795" s="1707"/>
      <c r="O1795" s="1707"/>
      <c r="P1795" s="1617"/>
      <c r="Q1795" s="1617"/>
      <c r="R1795" s="1617"/>
      <c r="S1795" s="1617"/>
      <c r="T1795" s="1617"/>
      <c r="U1795" s="1617"/>
      <c r="V1795" s="1617"/>
      <c r="W1795" s="1617"/>
      <c r="X1795" s="1617"/>
      <c r="Y1795" s="1617"/>
    </row>
    <row r="1796" customFormat="false" ht="15.75" hidden="true" customHeight="true" outlineLevel="1" collapsed="false">
      <c r="A1796" s="1714" t="str">
        <f aca="false">'Ввод данных'!A1021</f>
        <v>нет</v>
      </c>
      <c r="B1796" s="2064" t="s">
        <v>15</v>
      </c>
      <c r="C1796" s="2064" t="n">
        <f aca="false">(C1758*D1758+C1760*D1760+C1759*D1759+C1761*D1761+C1762*D1762+C1763*D1763)*G1750*1.2</f>
        <v>0</v>
      </c>
      <c r="D1796" s="2064" t="n">
        <f aca="false">VLOOKUP(A1796,связи1!A417:D420,4,0)</f>
        <v>0</v>
      </c>
      <c r="E1796" s="1707" t="n">
        <f aca="false">C1796*D1796</f>
        <v>0</v>
      </c>
      <c r="F1796" s="1617"/>
      <c r="G1796" s="1707"/>
      <c r="H1796" s="1707"/>
      <c r="I1796" s="2062"/>
      <c r="J1796" s="1707"/>
      <c r="K1796" s="1707"/>
      <c r="L1796" s="1707"/>
      <c r="M1796" s="1707"/>
      <c r="N1796" s="1707"/>
      <c r="O1796" s="1707"/>
      <c r="P1796" s="1617"/>
      <c r="Q1796" s="1617"/>
      <c r="R1796" s="1617"/>
      <c r="S1796" s="1617"/>
      <c r="T1796" s="1617"/>
      <c r="U1796" s="1617"/>
      <c r="V1796" s="1617"/>
      <c r="W1796" s="1617"/>
      <c r="X1796" s="1617"/>
      <c r="Y1796" s="1617"/>
    </row>
    <row r="1797" customFormat="false" ht="15.75" hidden="true" customHeight="true" outlineLevel="1" collapsed="false">
      <c r="A1797" s="1714" t="str">
        <f aca="false">'Прайс лист'!B440</f>
        <v>Бензин для пилы</v>
      </c>
      <c r="B1797" s="2064" t="s">
        <v>699</v>
      </c>
      <c r="C1797" s="2064" t="n">
        <f aca="false">(C1786+C1787+C1788+C1789)/6*G1750</f>
        <v>0.1588125</v>
      </c>
      <c r="D1797" s="2064" t="n">
        <f aca="false">'Прайс лист'!G440</f>
        <v>40</v>
      </c>
      <c r="E1797" s="1707" t="n">
        <f aca="false">C1797*D1797</f>
        <v>6.3525</v>
      </c>
      <c r="F1797" s="1617"/>
      <c r="G1797" s="1707"/>
      <c r="H1797" s="1707"/>
      <c r="I1797" s="2062"/>
      <c r="J1797" s="1707"/>
      <c r="K1797" s="1707"/>
      <c r="L1797" s="1707"/>
      <c r="M1797" s="1707"/>
      <c r="N1797" s="1707"/>
      <c r="O1797" s="1707"/>
      <c r="P1797" s="1617"/>
      <c r="Q1797" s="1617"/>
      <c r="R1797" s="1617"/>
      <c r="S1797" s="1617"/>
      <c r="T1797" s="1617"/>
      <c r="U1797" s="1617"/>
      <c r="V1797" s="1617"/>
      <c r="W1797" s="1617"/>
      <c r="X1797" s="1617"/>
      <c r="Y1797" s="1617"/>
    </row>
    <row r="1798" customFormat="false" ht="15.75" hidden="true" customHeight="true" outlineLevel="1" collapsed="false">
      <c r="A1798" s="1714" t="str">
        <f aca="false">'Прайс лист'!B441</f>
        <v>Масло для пилы</v>
      </c>
      <c r="B1798" s="2064" t="s">
        <v>699</v>
      </c>
      <c r="C1798" s="2064" t="n">
        <f aca="false">C1797*0.1*G1750</f>
        <v>0.017469375</v>
      </c>
      <c r="D1798" s="2064" t="n">
        <f aca="false">'Прайс лист'!G441</f>
        <v>250</v>
      </c>
      <c r="E1798" s="1707" t="n">
        <f aca="false">C1798*D1798</f>
        <v>4.36734375</v>
      </c>
      <c r="F1798" s="1617"/>
      <c r="G1798" s="2211"/>
      <c r="H1798" s="2211"/>
      <c r="I1798" s="2062"/>
      <c r="J1798" s="1707"/>
      <c r="K1798" s="1707"/>
      <c r="L1798" s="1707"/>
      <c r="M1798" s="1707"/>
      <c r="N1798" s="1707"/>
      <c r="O1798" s="1707"/>
      <c r="P1798" s="1617"/>
      <c r="Q1798" s="1617"/>
      <c r="R1798" s="1617"/>
      <c r="S1798" s="1617"/>
      <c r="T1798" s="1617"/>
      <c r="U1798" s="1617"/>
      <c r="V1798" s="1617"/>
      <c r="W1798" s="1617"/>
      <c r="X1798" s="1617"/>
      <c r="Y1798" s="1617"/>
    </row>
    <row r="1799" customFormat="false" ht="15.75" hidden="true" customHeight="true" outlineLevel="1" collapsed="false">
      <c r="A1799" s="1714" t="str">
        <f aca="false">'Прайс лист'!B442</f>
        <v>Цепь для пилы</v>
      </c>
      <c r="B1799" s="2064" t="s">
        <v>699</v>
      </c>
      <c r="C1799" s="2064" t="n">
        <f aca="false">CEILING((SUM(C1786:C1789)/20),1)*G1750</f>
        <v>1.1</v>
      </c>
      <c r="D1799" s="2064" t="n">
        <f aca="false">'Прайс лист'!G442</f>
        <v>800</v>
      </c>
      <c r="E1799" s="1707" t="n">
        <f aca="false">C1799*D1799</f>
        <v>880</v>
      </c>
      <c r="F1799" s="1617"/>
      <c r="G1799" s="2211"/>
      <c r="H1799" s="2211"/>
      <c r="I1799" s="2062"/>
      <c r="J1799" s="1707"/>
      <c r="K1799" s="1707"/>
      <c r="L1799" s="1707"/>
      <c r="M1799" s="1707"/>
      <c r="N1799" s="1707"/>
      <c r="O1799" s="1707"/>
      <c r="P1799" s="1617"/>
      <c r="Q1799" s="1617"/>
      <c r="R1799" s="1617"/>
      <c r="S1799" s="1617"/>
      <c r="T1799" s="1617"/>
      <c r="U1799" s="1617"/>
      <c r="V1799" s="1617"/>
      <c r="W1799" s="1617"/>
      <c r="X1799" s="1617"/>
      <c r="Y1799" s="1617"/>
    </row>
    <row r="1800" customFormat="false" ht="15.75" hidden="true" customHeight="true" outlineLevel="1" collapsed="false">
      <c r="A1800" s="1714" t="str">
        <f aca="false">'Ввод данных'!A1034</f>
        <v>"Профилюкс" Антисептик ОБЗ-1</v>
      </c>
      <c r="B1800" s="2064" t="s">
        <v>699</v>
      </c>
      <c r="C1800" s="2064" t="n">
        <f aca="false">G1779*'Ввод данных'!C1035</f>
        <v>0</v>
      </c>
      <c r="D1800" s="2064" t="n">
        <f aca="false">VLOOKUP(A1800,'Прайс лист'!B584:G593,6,0)</f>
        <v>42</v>
      </c>
      <c r="E1800" s="1707" t="n">
        <f aca="false">C1800*D1800</f>
        <v>0</v>
      </c>
      <c r="F1800" s="1617"/>
      <c r="G1800" s="2211"/>
      <c r="H1800" s="2211"/>
      <c r="I1800" s="2062"/>
      <c r="J1800" s="1707"/>
      <c r="K1800" s="1707"/>
      <c r="L1800" s="1707"/>
      <c r="M1800" s="1707"/>
      <c r="N1800" s="1707"/>
      <c r="O1800" s="1707"/>
      <c r="P1800" s="1617"/>
      <c r="Q1800" s="1617"/>
      <c r="R1800" s="1617"/>
      <c r="S1800" s="1617"/>
      <c r="T1800" s="1617"/>
      <c r="U1800" s="1617"/>
      <c r="V1800" s="1617"/>
      <c r="W1800" s="1617"/>
      <c r="X1800" s="1617"/>
      <c r="Y1800" s="1617"/>
    </row>
    <row r="1801" customFormat="false" ht="15.75" hidden="true" customHeight="true" outlineLevel="1" collapsed="false">
      <c r="A1801" s="1714" t="str">
        <f aca="false">'Ввод данных'!A1039</f>
        <v>Нет пропитки</v>
      </c>
      <c r="B1801" s="2064" t="s">
        <v>699</v>
      </c>
      <c r="C1801" s="2064" t="n">
        <f aca="false">C1774*'Ввод данных'!C1040*'Ввод данных'!C1041</f>
        <v>0</v>
      </c>
      <c r="D1801" s="2064" t="n">
        <f aca="false">VLOOKUP(A1801,'Прайс лист'!B1359:G1386,6,0)</f>
        <v>0</v>
      </c>
      <c r="E1801" s="1707" t="n">
        <f aca="false">C1801*D1801</f>
        <v>0</v>
      </c>
      <c r="F1801" s="1617"/>
      <c r="G1801" s="2211"/>
      <c r="H1801" s="2211"/>
      <c r="I1801" s="2062"/>
      <c r="J1801" s="1707"/>
      <c r="K1801" s="1707"/>
      <c r="L1801" s="1707"/>
      <c r="M1801" s="1707"/>
      <c r="N1801" s="1707"/>
      <c r="O1801" s="1707"/>
      <c r="P1801" s="1617"/>
      <c r="Q1801" s="1617"/>
      <c r="R1801" s="1617"/>
      <c r="S1801" s="1617"/>
      <c r="T1801" s="1617"/>
      <c r="U1801" s="1617"/>
      <c r="V1801" s="1617"/>
      <c r="W1801" s="1617"/>
      <c r="X1801" s="1617"/>
      <c r="Y1801" s="1617"/>
    </row>
    <row r="1802" customFormat="false" ht="15.75" hidden="true" customHeight="true" outlineLevel="1" collapsed="false">
      <c r="A1802" s="1714" t="str">
        <f aca="false">'Ввод данных'!A1044</f>
        <v>Нет пропитки</v>
      </c>
      <c r="B1802" s="2064" t="s">
        <v>699</v>
      </c>
      <c r="C1802" s="2064" t="n">
        <f aca="false">(C1774+C1776*2+C1777*2)*'Ввод данных'!C1045*'Ввод данных'!C1046</f>
        <v>0</v>
      </c>
      <c r="D1802" s="2064" t="n">
        <f aca="false">VLOOKUP(A1802,'Прайс лист'!B1359:G1386,6,0)</f>
        <v>0</v>
      </c>
      <c r="E1802" s="1707" t="n">
        <f aca="false">C1802*D1802</f>
        <v>0</v>
      </c>
      <c r="F1802" s="1617"/>
      <c r="G1802" s="2211"/>
      <c r="H1802" s="2211"/>
      <c r="I1802" s="2062"/>
      <c r="J1802" s="1707"/>
      <c r="K1802" s="1707"/>
      <c r="L1802" s="1707"/>
      <c r="M1802" s="1707"/>
      <c r="N1802" s="1707"/>
      <c r="O1802" s="1707"/>
      <c r="P1802" s="1617"/>
      <c r="Q1802" s="1617"/>
      <c r="R1802" s="1617"/>
      <c r="S1802" s="1617"/>
      <c r="T1802" s="1617"/>
      <c r="U1802" s="1617"/>
      <c r="V1802" s="1617"/>
      <c r="W1802" s="1617"/>
      <c r="X1802" s="1617"/>
      <c r="Y1802" s="1617"/>
    </row>
    <row r="1803" customFormat="false" ht="15.75" hidden="true" customHeight="true" outlineLevel="1" collapsed="false">
      <c r="A1803" s="1714" t="str">
        <f aca="false">'Ввод данных'!A1052</f>
        <v>Нет наличника</v>
      </c>
      <c r="B1803" s="2064" t="s">
        <v>15</v>
      </c>
      <c r="C1803" s="2064" t="n">
        <f aca="false">отделка!C387*1.05</f>
        <v>3.57</v>
      </c>
      <c r="D1803" s="2064" t="n">
        <f aca="false">VLOOKUP(A1803,'Прайс лист'!B575:G581,6,0)</f>
        <v>0</v>
      </c>
      <c r="E1803" s="1707" t="n">
        <f aca="false">C1803*D1803</f>
        <v>0</v>
      </c>
      <c r="F1803" s="1617"/>
      <c r="G1803" s="2211"/>
      <c r="H1803" s="2211"/>
      <c r="I1803" s="2062"/>
      <c r="J1803" s="1707"/>
      <c r="K1803" s="1707"/>
      <c r="L1803" s="1707"/>
      <c r="M1803" s="1707"/>
      <c r="N1803" s="1707"/>
      <c r="O1803" s="1707"/>
      <c r="P1803" s="1617"/>
      <c r="Q1803" s="1617"/>
      <c r="R1803" s="1617"/>
      <c r="S1803" s="1617"/>
      <c r="T1803" s="1617"/>
      <c r="U1803" s="1617"/>
      <c r="V1803" s="1617"/>
      <c r="W1803" s="1617"/>
      <c r="X1803" s="1617"/>
      <c r="Y1803" s="1617"/>
    </row>
    <row r="1804" customFormat="false" ht="15.75" hidden="true" customHeight="true" outlineLevel="1" collapsed="false">
      <c r="A1804" s="1714" t="str">
        <f aca="false">'Ввод данных'!A1054</f>
        <v>Нет наличника</v>
      </c>
      <c r="B1804" s="2064" t="s">
        <v>15</v>
      </c>
      <c r="C1804" s="2064" t="n">
        <f aca="false">C1803</f>
        <v>3.57</v>
      </c>
      <c r="D1804" s="2064" t="n">
        <f aca="false">VLOOKUP(A1804,'Прайс лист'!B575:G581,6,0)</f>
        <v>0</v>
      </c>
      <c r="E1804" s="1707" t="n">
        <f aca="false">C1804*D1804</f>
        <v>0</v>
      </c>
      <c r="F1804" s="1617"/>
      <c r="G1804" s="2211"/>
      <c r="H1804" s="2211"/>
      <c r="I1804" s="2062"/>
      <c r="J1804" s="1707"/>
      <c r="K1804" s="1707"/>
      <c r="L1804" s="1707"/>
      <c r="M1804" s="1707"/>
      <c r="N1804" s="1707"/>
      <c r="O1804" s="1707"/>
      <c r="P1804" s="1617"/>
      <c r="Q1804" s="1617"/>
      <c r="R1804" s="1617"/>
      <c r="S1804" s="1617"/>
      <c r="T1804" s="1617"/>
      <c r="U1804" s="1617"/>
      <c r="V1804" s="1617"/>
      <c r="W1804" s="1617"/>
      <c r="X1804" s="1617"/>
      <c r="Y1804" s="1617"/>
    </row>
    <row r="1805" customFormat="false" ht="15.75" hidden="true" customHeight="true" outlineLevel="1" collapsed="false">
      <c r="A1805" s="1714" t="str">
        <f aca="false">'Ввод данных'!A1058</f>
        <v>Нет наждачной бумаги</v>
      </c>
      <c r="B1805" s="1958" t="str">
        <f aca="false">'Ввод данных'!B1058</f>
        <v>м</v>
      </c>
      <c r="C1805" s="1714" t="n">
        <f aca="false">'Ввод данных'!C1058</f>
        <v>0</v>
      </c>
      <c r="D1805" s="2064" t="n">
        <f aca="false">VLOOKUP(A1805,'Прайс лист'!B1303:G1311,6,0)</f>
        <v>0</v>
      </c>
      <c r="E1805" s="1707" t="n">
        <f aca="false">C1805*D1805</f>
        <v>0</v>
      </c>
      <c r="F1805" s="1617"/>
      <c r="G1805" s="2211"/>
      <c r="H1805" s="2211"/>
      <c r="I1805" s="2062"/>
      <c r="J1805" s="1707"/>
      <c r="K1805" s="1707"/>
      <c r="L1805" s="1707"/>
      <c r="M1805" s="1707"/>
      <c r="N1805" s="1707"/>
      <c r="O1805" s="1707"/>
      <c r="P1805" s="1617"/>
      <c r="Q1805" s="1617"/>
      <c r="R1805" s="1617"/>
      <c r="S1805" s="1617"/>
      <c r="T1805" s="1617"/>
      <c r="U1805" s="1617"/>
      <c r="V1805" s="1617"/>
      <c r="W1805" s="1617"/>
      <c r="X1805" s="1617"/>
      <c r="Y1805" s="1617"/>
    </row>
    <row r="1806" customFormat="false" ht="15.75" hidden="true" customHeight="true" outlineLevel="1" collapsed="false">
      <c r="A1806" s="1714" t="str">
        <f aca="false">'Ввод данных'!A1059</f>
        <v>Нет наждачной бумаги</v>
      </c>
      <c r="B1806" s="1958" t="str">
        <f aca="false">'Ввод данных'!B1059</f>
        <v>м</v>
      </c>
      <c r="C1806" s="1714" t="n">
        <f aca="false">'Ввод данных'!C1059</f>
        <v>0</v>
      </c>
      <c r="D1806" s="2064" t="n">
        <f aca="false">VLOOKUP(A1806,'Прайс лист'!B1303:G1311,6,0)</f>
        <v>0</v>
      </c>
      <c r="E1806" s="1707" t="n">
        <f aca="false">C1806*D1806</f>
        <v>0</v>
      </c>
      <c r="F1806" s="1617"/>
      <c r="G1806" s="2211"/>
      <c r="H1806" s="2211"/>
      <c r="I1806" s="2062"/>
      <c r="J1806" s="1707"/>
      <c r="K1806" s="1707"/>
      <c r="L1806" s="1707"/>
      <c r="M1806" s="1707"/>
      <c r="N1806" s="1707"/>
      <c r="O1806" s="1707"/>
      <c r="P1806" s="1617"/>
      <c r="Q1806" s="1617"/>
      <c r="R1806" s="1617"/>
      <c r="S1806" s="1617"/>
      <c r="T1806" s="1617"/>
      <c r="U1806" s="1617"/>
      <c r="V1806" s="1617"/>
      <c r="W1806" s="1617"/>
      <c r="X1806" s="1617"/>
      <c r="Y1806" s="1617"/>
    </row>
    <row r="1807" customFormat="false" ht="15.75" hidden="true" customHeight="true" outlineLevel="1" collapsed="false">
      <c r="A1807" s="1714" t="str">
        <f aca="false">'Ввод данных'!A1061</f>
        <v>Нет наждачной бумаги</v>
      </c>
      <c r="B1807" s="1958" t="str">
        <f aca="false">'Ввод данных'!B1061</f>
        <v>м</v>
      </c>
      <c r="C1807" s="1714" t="n">
        <f aca="false">'Ввод данных'!C1061</f>
        <v>0</v>
      </c>
      <c r="D1807" s="2064" t="n">
        <f aca="false">VLOOKUP(A1807,'Прайс лист'!B1303:G1311,6,0)</f>
        <v>0</v>
      </c>
      <c r="E1807" s="1707" t="n">
        <f aca="false">C1807*D1807</f>
        <v>0</v>
      </c>
      <c r="F1807" s="1617"/>
      <c r="G1807" s="2211"/>
      <c r="H1807" s="2211"/>
      <c r="I1807" s="2062"/>
      <c r="J1807" s="1707"/>
      <c r="K1807" s="1707"/>
      <c r="L1807" s="1707"/>
      <c r="M1807" s="1707"/>
      <c r="N1807" s="1707"/>
      <c r="O1807" s="1707"/>
      <c r="P1807" s="1617"/>
      <c r="Q1807" s="1617"/>
      <c r="R1807" s="1617"/>
      <c r="S1807" s="1617"/>
      <c r="T1807" s="1617"/>
      <c r="U1807" s="1617"/>
      <c r="V1807" s="1617"/>
      <c r="W1807" s="1617"/>
      <c r="X1807" s="1617"/>
      <c r="Y1807" s="1617"/>
    </row>
    <row r="1808" customFormat="false" ht="15.75" hidden="true" customHeight="true" outlineLevel="1" collapsed="false">
      <c r="A1808" s="1714" t="str">
        <f aca="false">'Ввод данных'!A1062</f>
        <v>Нет наждачной бумаги</v>
      </c>
      <c r="B1808" s="1958" t="str">
        <f aca="false">'Ввод данных'!B1062</f>
        <v>м</v>
      </c>
      <c r="C1808" s="1714" t="n">
        <f aca="false">'Ввод данных'!C1062</f>
        <v>0</v>
      </c>
      <c r="D1808" s="2064" t="n">
        <f aca="false">VLOOKUP(A1808,'Прайс лист'!B1303:G1311,6,0)</f>
        <v>0</v>
      </c>
      <c r="E1808" s="1707" t="n">
        <f aca="false">C1808*D1808</f>
        <v>0</v>
      </c>
      <c r="F1808" s="1617"/>
      <c r="G1808" s="2211"/>
      <c r="H1808" s="2211"/>
      <c r="I1808" s="2062"/>
      <c r="J1808" s="1707"/>
      <c r="K1808" s="1707"/>
      <c r="L1808" s="1707"/>
      <c r="M1808" s="1707"/>
      <c r="N1808" s="1707"/>
      <c r="O1808" s="1707"/>
      <c r="P1808" s="1617"/>
      <c r="Q1808" s="1617"/>
      <c r="R1808" s="1617"/>
      <c r="S1808" s="1617"/>
      <c r="T1808" s="1617"/>
      <c r="U1808" s="1617"/>
      <c r="V1808" s="1617"/>
      <c r="W1808" s="1617"/>
      <c r="X1808" s="1617"/>
      <c r="Y1808" s="1617"/>
    </row>
    <row r="1809" customFormat="false" ht="15.75" hidden="true" customHeight="true" outlineLevel="1" collapsed="false">
      <c r="A1809" s="1714" t="str">
        <f aca="false">'Ввод данных'!A1069</f>
        <v>Командировочные расходы</v>
      </c>
      <c r="B1809" s="2064" t="s">
        <v>113</v>
      </c>
      <c r="C1809" s="2064" t="n">
        <f aca="false">1</f>
        <v>1</v>
      </c>
      <c r="D1809" s="2064" t="n">
        <f aca="false">'Ввод данных'!C1070*'Ввод данных'!C1071*'Ввод данных'!C1072*VLOOKUP('Ввод данных'!C1069,связи1!A2:B3,2,0)</f>
        <v>0</v>
      </c>
      <c r="E1809" s="1707" t="n">
        <f aca="false">C1809*D1809</f>
        <v>0</v>
      </c>
      <c r="F1809" s="1617"/>
      <c r="G1809" s="2211"/>
      <c r="H1809" s="2211"/>
      <c r="I1809" s="2062"/>
      <c r="J1809" s="1707"/>
      <c r="K1809" s="1707"/>
      <c r="L1809" s="1707"/>
      <c r="M1809" s="1707"/>
      <c r="N1809" s="1707"/>
      <c r="O1809" s="1707"/>
      <c r="P1809" s="1617"/>
      <c r="Q1809" s="1617"/>
      <c r="R1809" s="1617"/>
      <c r="S1809" s="1617"/>
      <c r="T1809" s="1617"/>
      <c r="U1809" s="1617"/>
      <c r="V1809" s="1617"/>
      <c r="W1809" s="1617"/>
      <c r="X1809" s="1617"/>
      <c r="Y1809" s="1617"/>
    </row>
    <row r="1810" customFormat="false" ht="15.75" hidden="true" customHeight="true" outlineLevel="1" collapsed="false">
      <c r="A1810" s="2211" t="str">
        <f aca="false">'Ввод данных'!A1067</f>
        <v>расходные материалы дома из леса</v>
      </c>
      <c r="B1810" s="2064" t="s">
        <v>48</v>
      </c>
      <c r="C1810" s="2064" t="n">
        <f aca="false">1</f>
        <v>1</v>
      </c>
      <c r="D1810" s="2064" t="n">
        <f aca="false">'Ввод данных'!C1067</f>
        <v>3000</v>
      </c>
      <c r="E1810" s="1707" t="n">
        <f aca="false">C1810*D1810</f>
        <v>3000</v>
      </c>
      <c r="F1810" s="1617"/>
      <c r="G1810" s="1707"/>
      <c r="H1810" s="1707"/>
      <c r="I1810" s="2062"/>
      <c r="J1810" s="1707"/>
      <c r="K1810" s="1707"/>
      <c r="L1810" s="1707"/>
      <c r="M1810" s="1707"/>
      <c r="N1810" s="1707"/>
      <c r="O1810" s="1707"/>
      <c r="P1810" s="1617"/>
      <c r="Q1810" s="1617"/>
      <c r="R1810" s="1617"/>
      <c r="S1810" s="1617"/>
      <c r="T1810" s="1617"/>
      <c r="U1810" s="1617"/>
      <c r="V1810" s="1617"/>
      <c r="W1810" s="1617"/>
      <c r="X1810" s="1617"/>
      <c r="Y1810" s="1617"/>
    </row>
    <row r="1811" customFormat="false" ht="15.75" hidden="true" customHeight="true" outlineLevel="1" collapsed="false">
      <c r="A1811" s="2211" t="str">
        <f aca="false">'Ввод данных'!A1065</f>
        <v>Нет техники</v>
      </c>
      <c r="B1811" s="2064" t="s">
        <v>48</v>
      </c>
      <c r="C1811" s="2064" t="n">
        <f aca="false">'Ввод данных'!C1065</f>
        <v>0</v>
      </c>
      <c r="D1811" s="2064" t="n">
        <f aca="false">VLOOKUP(A1811,'Прайс лист'!B192:G206,6,0)</f>
        <v>0</v>
      </c>
      <c r="E1811" s="1707" t="n">
        <f aca="false">C1811*D1811</f>
        <v>0</v>
      </c>
      <c r="F1811" s="1617"/>
      <c r="G1811" s="1707"/>
      <c r="H1811" s="1707"/>
      <c r="I1811" s="2062"/>
      <c r="J1811" s="1707"/>
      <c r="K1811" s="1707"/>
      <c r="L1811" s="1707"/>
      <c r="M1811" s="1707"/>
      <c r="N1811" s="1707"/>
      <c r="O1811" s="1707"/>
      <c r="P1811" s="1617"/>
      <c r="Q1811" s="1617"/>
      <c r="R1811" s="1617"/>
      <c r="S1811" s="1617"/>
      <c r="T1811" s="1617"/>
      <c r="U1811" s="1617"/>
      <c r="V1811" s="1617"/>
      <c r="W1811" s="1617"/>
      <c r="X1811" s="1617"/>
      <c r="Y1811" s="1617"/>
    </row>
    <row r="1812" customFormat="false" ht="15.75" hidden="true" customHeight="true" outlineLevel="1" collapsed="false">
      <c r="A1812" s="2211" t="str">
        <f aca="false">'Ввод данных'!A1066</f>
        <v>Нет техники</v>
      </c>
      <c r="B1812" s="2064"/>
      <c r="C1812" s="2064" t="n">
        <f aca="false">'Ввод данных'!C1066</f>
        <v>0</v>
      </c>
      <c r="D1812" s="2064" t="n">
        <f aca="false">VLOOKUP(A1812,'Прайс лист'!B192:G206,6,0)</f>
        <v>0</v>
      </c>
      <c r="E1812" s="1707" t="n">
        <f aca="false">C1812*D1812</f>
        <v>0</v>
      </c>
      <c r="F1812" s="1617"/>
      <c r="G1812" s="1734"/>
      <c r="H1812" s="1734"/>
      <c r="I1812" s="2200"/>
      <c r="J1812" s="1734"/>
      <c r="K1812" s="1734"/>
      <c r="L1812" s="1734"/>
      <c r="M1812" s="1734"/>
      <c r="N1812" s="1734"/>
      <c r="O1812" s="1707"/>
      <c r="P1812" s="1617"/>
      <c r="Q1812" s="1617"/>
      <c r="R1812" s="1617"/>
      <c r="S1812" s="1617"/>
      <c r="T1812" s="1617"/>
      <c r="U1812" s="1617"/>
      <c r="V1812" s="1617"/>
      <c r="W1812" s="1617"/>
      <c r="X1812" s="1617"/>
      <c r="Y1812" s="1617"/>
    </row>
    <row r="1813" customFormat="false" ht="15.75" hidden="true" customHeight="true" outlineLevel="1" collapsed="false">
      <c r="A1813" s="2229"/>
      <c r="B1813" s="2174"/>
      <c r="C1813" s="2174"/>
      <c r="D1813" s="2174"/>
      <c r="E1813" s="2062" t="n">
        <f aca="false">SUM(E1786:E1811)</f>
        <v>19979.34484375</v>
      </c>
      <c r="F1813" s="1617"/>
      <c r="G1813" s="1708"/>
      <c r="H1813" s="1708"/>
      <c r="I1813" s="2230"/>
      <c r="J1813" s="1708"/>
      <c r="K1813" s="1708"/>
      <c r="L1813" s="1708"/>
      <c r="M1813" s="1708"/>
      <c r="N1813" s="1708"/>
      <c r="O1813" s="1707" t="n">
        <f aca="false">SUM(O1786:O1811)</f>
        <v>8724.875</v>
      </c>
      <c r="P1813" s="1617"/>
      <c r="Q1813" s="1617"/>
      <c r="R1813" s="1617"/>
      <c r="S1813" s="1617"/>
      <c r="T1813" s="1617"/>
      <c r="U1813" s="1617"/>
      <c r="V1813" s="1617"/>
      <c r="W1813" s="1617"/>
      <c r="X1813" s="1617"/>
      <c r="Y1813" s="1617"/>
    </row>
    <row r="1814" customFormat="false" ht="15.75" hidden="false" customHeight="true" outlineLevel="0" collapsed="false">
      <c r="A1814" s="2359" t="s">
        <v>3906</v>
      </c>
      <c r="B1814" s="2141"/>
      <c r="C1814" s="2233" t="s">
        <v>3811</v>
      </c>
      <c r="D1814" s="2146"/>
      <c r="E1814" s="2146"/>
      <c r="F1814" s="2147"/>
      <c r="G1814" s="1617"/>
      <c r="H1814" s="1617"/>
      <c r="I1814" s="2319"/>
      <c r="J1814" s="1617"/>
      <c r="K1814" s="1617"/>
      <c r="L1814" s="1617"/>
      <c r="M1814" s="1617"/>
      <c r="N1814" s="1617"/>
      <c r="O1814" s="1617"/>
      <c r="P1814" s="1617"/>
      <c r="Q1814" s="1617"/>
      <c r="R1814" s="1617"/>
      <c r="S1814" s="1617"/>
      <c r="T1814" s="1617"/>
      <c r="U1814" s="1617"/>
      <c r="V1814" s="1617"/>
      <c r="W1814" s="1617"/>
      <c r="X1814" s="1617"/>
      <c r="Y1814" s="1617"/>
    </row>
    <row r="1815" customFormat="false" ht="15.75" hidden="false" customHeight="true" outlineLevel="0" collapsed="false">
      <c r="A1815" s="1617"/>
      <c r="B1815" s="2318"/>
      <c r="C1815" s="2318"/>
      <c r="D1815" s="1617"/>
      <c r="E1815" s="1617"/>
      <c r="F1815" s="1617"/>
      <c r="G1815" s="1617"/>
      <c r="H1815" s="1617"/>
      <c r="I1815" s="2319"/>
      <c r="J1815" s="1617"/>
      <c r="K1815" s="1617"/>
      <c r="L1815" s="1617"/>
      <c r="M1815" s="1617"/>
      <c r="N1815" s="1617"/>
      <c r="O1815" s="1617"/>
      <c r="P1815" s="1617"/>
      <c r="Q1815" s="1617"/>
      <c r="R1815" s="1617"/>
      <c r="S1815" s="1617"/>
      <c r="T1815" s="1617"/>
      <c r="U1815" s="1617"/>
      <c r="V1815" s="1617"/>
      <c r="W1815" s="1617"/>
      <c r="X1815" s="1617"/>
      <c r="Y1815" s="1617"/>
    </row>
    <row r="1816" customFormat="false" ht="15.75" hidden="true" customHeight="true" outlineLevel="1" collapsed="false">
      <c r="A1816" s="2343" t="s">
        <v>3907</v>
      </c>
      <c r="B1816" s="2344"/>
      <c r="C1816" s="2344"/>
      <c r="D1816" s="2345"/>
      <c r="E1816" s="2345"/>
      <c r="F1816" s="2345"/>
      <c r="G1816" s="2345"/>
      <c r="H1816" s="2345"/>
      <c r="I1816" s="2346"/>
      <c r="J1816" s="2345"/>
      <c r="K1816" s="2345"/>
      <c r="L1816" s="2345"/>
      <c r="M1816" s="2345"/>
      <c r="N1816" s="2345"/>
      <c r="O1816" s="2347"/>
      <c r="P1816" s="1617"/>
      <c r="Q1816" s="1617"/>
      <c r="R1816" s="1617"/>
      <c r="S1816" s="1617"/>
      <c r="T1816" s="1617"/>
      <c r="U1816" s="1617"/>
      <c r="V1816" s="1617"/>
      <c r="W1816" s="1617"/>
      <c r="X1816" s="1617"/>
      <c r="Y1816" s="1617"/>
    </row>
    <row r="1817" customFormat="false" ht="15.75" hidden="true" customHeight="true" outlineLevel="1" collapsed="false">
      <c r="A1817" s="2192" t="s">
        <v>461</v>
      </c>
      <c r="B1817" s="2193"/>
      <c r="C1817" s="2193"/>
      <c r="D1817" s="2194"/>
      <c r="E1817" s="2194"/>
      <c r="F1817" s="2195"/>
      <c r="G1817" s="2244" t="n">
        <f aca="false">G1750</f>
        <v>1.1</v>
      </c>
      <c r="H1817" s="2245"/>
      <c r="I1817" s="2180" t="n">
        <f aca="false">I1750</f>
        <v>1</v>
      </c>
      <c r="J1817" s="2179"/>
      <c r="K1817" s="2179"/>
      <c r="L1817" s="2179"/>
      <c r="M1817" s="2179"/>
      <c r="N1817" s="2179"/>
      <c r="O1817" s="2179"/>
      <c r="P1817" s="1708"/>
      <c r="Q1817" s="1708"/>
      <c r="R1817" s="1708"/>
      <c r="S1817" s="1708"/>
      <c r="T1817" s="1708"/>
      <c r="U1817" s="1708"/>
      <c r="V1817" s="1708"/>
      <c r="W1817" s="1708"/>
      <c r="X1817" s="1708"/>
      <c r="Y1817" s="1708"/>
    </row>
    <row r="1818" customFormat="false" ht="15.75" hidden="true" customHeight="true" outlineLevel="1" collapsed="false">
      <c r="A1818" s="2064" t="s">
        <v>2822</v>
      </c>
      <c r="B1818" s="2064"/>
      <c r="C1818" s="2064" t="n">
        <f aca="false">C1767</f>
        <v>5</v>
      </c>
      <c r="D1818" s="1617"/>
      <c r="E1818" s="1617"/>
      <c r="F1818" s="1617"/>
      <c r="G1818" s="1617"/>
      <c r="H1818" s="1617"/>
      <c r="I1818" s="2319"/>
      <c r="J1818" s="1617"/>
      <c r="K1818" s="1617"/>
      <c r="L1818" s="1617"/>
      <c r="M1818" s="1617"/>
      <c r="N1818" s="1617"/>
      <c r="O1818" s="1617"/>
      <c r="P1818" s="1617"/>
      <c r="Q1818" s="1617"/>
      <c r="R1818" s="1617"/>
      <c r="S1818" s="1617"/>
      <c r="T1818" s="1617"/>
      <c r="U1818" s="1617"/>
      <c r="V1818" s="1617"/>
      <c r="W1818" s="1617"/>
      <c r="X1818" s="1617"/>
      <c r="Y1818" s="1617"/>
    </row>
    <row r="1819" customFormat="false" ht="15.75" hidden="true" customHeight="true" outlineLevel="1" collapsed="false">
      <c r="A1819" s="2064" t="s">
        <v>3908</v>
      </c>
      <c r="B1819" s="2064"/>
      <c r="C1819" s="2064" t="n">
        <f aca="false">C1766</f>
        <v>5</v>
      </c>
      <c r="D1819" s="1617"/>
      <c r="E1819" s="1617"/>
      <c r="F1819" s="1617"/>
      <c r="G1819" s="1617"/>
      <c r="H1819" s="1617"/>
      <c r="I1819" s="2319"/>
      <c r="J1819" s="1617"/>
      <c r="K1819" s="1617"/>
      <c r="L1819" s="1617"/>
      <c r="M1819" s="1617"/>
      <c r="N1819" s="1617"/>
      <c r="O1819" s="1617"/>
      <c r="P1819" s="1617"/>
      <c r="Q1819" s="1617"/>
      <c r="R1819" s="1617"/>
      <c r="S1819" s="1617"/>
      <c r="T1819" s="1617"/>
      <c r="U1819" s="1617"/>
      <c r="V1819" s="1617"/>
      <c r="W1819" s="1617"/>
      <c r="X1819" s="1617"/>
      <c r="Y1819" s="1617"/>
    </row>
    <row r="1820" customFormat="false" ht="15.75" hidden="true" customHeight="true" outlineLevel="1" collapsed="false">
      <c r="A1820" s="2211" t="s">
        <v>3825</v>
      </c>
      <c r="B1820" s="1958" t="s">
        <v>820</v>
      </c>
      <c r="C1820" s="2141" t="n">
        <f aca="false">C1768</f>
        <v>128</v>
      </c>
      <c r="D1820" s="1617"/>
      <c r="E1820" s="1617"/>
      <c r="F1820" s="1617"/>
      <c r="G1820" s="1617"/>
      <c r="H1820" s="1617"/>
      <c r="I1820" s="2319"/>
      <c r="J1820" s="1617"/>
      <c r="K1820" s="1617"/>
      <c r="L1820" s="1617"/>
      <c r="M1820" s="1617"/>
      <c r="N1820" s="1617"/>
      <c r="O1820" s="1617"/>
      <c r="P1820" s="1617"/>
      <c r="Q1820" s="1617"/>
      <c r="R1820" s="1617"/>
      <c r="S1820" s="1617"/>
      <c r="T1820" s="1617"/>
      <c r="U1820" s="1617"/>
      <c r="V1820" s="1617"/>
      <c r="W1820" s="1617"/>
      <c r="X1820" s="1617"/>
      <c r="Y1820" s="1617"/>
    </row>
    <row r="1821" customFormat="false" ht="15.75" hidden="true" customHeight="true" outlineLevel="1" collapsed="false">
      <c r="A1821" s="2211" t="s">
        <v>3826</v>
      </c>
      <c r="B1821" s="1958" t="s">
        <v>820</v>
      </c>
      <c r="C1821" s="2141" t="n">
        <f aca="false">C1769</f>
        <v>128</v>
      </c>
      <c r="D1821" s="1617"/>
      <c r="E1821" s="1617"/>
      <c r="F1821" s="1617"/>
      <c r="G1821" s="1617"/>
      <c r="H1821" s="1617"/>
      <c r="I1821" s="2319"/>
      <c r="J1821" s="1617"/>
      <c r="K1821" s="1617"/>
      <c r="L1821" s="1617"/>
      <c r="M1821" s="1617"/>
      <c r="N1821" s="1617"/>
      <c r="O1821" s="1617"/>
      <c r="P1821" s="1617"/>
      <c r="Q1821" s="1617"/>
      <c r="R1821" s="1617"/>
      <c r="S1821" s="1617"/>
      <c r="T1821" s="1617"/>
      <c r="U1821" s="1617"/>
      <c r="V1821" s="1617"/>
      <c r="W1821" s="1617"/>
      <c r="X1821" s="1617"/>
      <c r="Y1821" s="1617"/>
    </row>
    <row r="1822" customFormat="false" ht="15.75" hidden="true" customHeight="true" outlineLevel="1" collapsed="false">
      <c r="A1822" s="2211" t="s">
        <v>3781</v>
      </c>
      <c r="B1822" s="1958" t="s">
        <v>820</v>
      </c>
      <c r="C1822" s="2213" t="n">
        <f aca="false">связи1!C157</f>
        <v>0</v>
      </c>
      <c r="D1822" s="1617"/>
      <c r="E1822" s="1617"/>
      <c r="F1822" s="1617"/>
      <c r="G1822" s="1436" t="n">
        <f aca="false">C1822*I1822+C1822*2</f>
        <v>0</v>
      </c>
      <c r="H1822" s="1436"/>
      <c r="I1822" s="2353" t="n">
        <f aca="false">(1/C1752)*C1753*2</f>
        <v>1.5</v>
      </c>
      <c r="J1822" s="1617"/>
      <c r="K1822" s="1617"/>
      <c r="L1822" s="1617"/>
      <c r="M1822" s="1617"/>
      <c r="N1822" s="1617"/>
      <c r="O1822" s="1617"/>
      <c r="P1822" s="1617"/>
      <c r="Q1822" s="1617"/>
      <c r="R1822" s="1617"/>
      <c r="S1822" s="1617"/>
      <c r="T1822" s="1617"/>
      <c r="U1822" s="1617"/>
      <c r="V1822" s="1617"/>
      <c r="W1822" s="1617"/>
      <c r="X1822" s="1617"/>
      <c r="Y1822" s="1617"/>
    </row>
    <row r="1823" customFormat="false" ht="15.75" hidden="true" customHeight="true" outlineLevel="1" collapsed="false">
      <c r="A1823" s="2211" t="s">
        <v>3834</v>
      </c>
      <c r="B1823" s="1958" t="s">
        <v>820</v>
      </c>
      <c r="C1823" s="2213" t="n">
        <f aca="false">C1822</f>
        <v>0</v>
      </c>
      <c r="D1823" s="1617"/>
      <c r="E1823" s="1617"/>
      <c r="F1823" s="1617"/>
      <c r="G1823" s="1714"/>
      <c r="H1823" s="1714"/>
      <c r="I1823" s="2353"/>
      <c r="J1823" s="1617"/>
      <c r="K1823" s="1617"/>
      <c r="L1823" s="1617"/>
      <c r="M1823" s="1617"/>
      <c r="N1823" s="1617"/>
      <c r="O1823" s="1617"/>
      <c r="P1823" s="1617"/>
      <c r="Q1823" s="1617"/>
      <c r="R1823" s="1617"/>
      <c r="S1823" s="1617"/>
      <c r="T1823" s="1617"/>
      <c r="U1823" s="1617"/>
      <c r="V1823" s="1617"/>
      <c r="W1823" s="1617"/>
      <c r="X1823" s="1617"/>
      <c r="Y1823" s="1617"/>
    </row>
    <row r="1824" customFormat="false" ht="15.75" hidden="true" customHeight="true" outlineLevel="1" collapsed="false">
      <c r="A1824" s="2211" t="s">
        <v>3909</v>
      </c>
      <c r="B1824" s="1958" t="s">
        <v>820</v>
      </c>
      <c r="C1824" s="2213" t="n">
        <f aca="false">C1825+C1826</f>
        <v>0</v>
      </c>
      <c r="D1824" s="1617"/>
      <c r="E1824" s="1617"/>
      <c r="F1824" s="1617"/>
      <c r="G1824" s="1436" t="n">
        <f aca="false">C1824*I1824+C1824*2</f>
        <v>0</v>
      </c>
      <c r="H1824" s="1436"/>
      <c r="I1824" s="2353" t="n">
        <f aca="false">1/C1754*C1755*2</f>
        <v>1.5</v>
      </c>
      <c r="J1824" s="1617"/>
      <c r="K1824" s="1617"/>
      <c r="L1824" s="1617"/>
      <c r="M1824" s="1617"/>
      <c r="N1824" s="1617"/>
      <c r="O1824" s="1617"/>
      <c r="P1824" s="1617"/>
      <c r="Q1824" s="1617"/>
      <c r="R1824" s="1617"/>
      <c r="S1824" s="1617"/>
      <c r="T1824" s="1617"/>
      <c r="U1824" s="1617"/>
      <c r="V1824" s="1617"/>
      <c r="W1824" s="1617"/>
      <c r="X1824" s="1617"/>
      <c r="Y1824" s="1617"/>
    </row>
    <row r="1825" customFormat="false" ht="15.75" hidden="true" customHeight="true" outlineLevel="1" collapsed="false">
      <c r="A1825" s="2211" t="s">
        <v>3910</v>
      </c>
      <c r="B1825" s="1958" t="s">
        <v>820</v>
      </c>
      <c r="C1825" s="2213" t="n">
        <f aca="false">связи1!D157</f>
        <v>0</v>
      </c>
      <c r="D1825" s="1617"/>
      <c r="E1825" s="1617"/>
      <c r="F1825" s="1617"/>
      <c r="G1825" s="1436"/>
      <c r="H1825" s="1436"/>
      <c r="I1825" s="2353" t="n">
        <f aca="false">1/C1756*C1757*2</f>
        <v>1</v>
      </c>
      <c r="J1825" s="1617"/>
      <c r="K1825" s="1617"/>
      <c r="L1825" s="1617"/>
      <c r="M1825" s="1617"/>
      <c r="N1825" s="1617"/>
      <c r="O1825" s="1617"/>
      <c r="P1825" s="1617"/>
      <c r="Q1825" s="1617"/>
      <c r="R1825" s="1617"/>
      <c r="S1825" s="1617"/>
      <c r="T1825" s="1617"/>
      <c r="U1825" s="1617"/>
      <c r="V1825" s="1617"/>
      <c r="W1825" s="1617"/>
      <c r="X1825" s="1617"/>
      <c r="Y1825" s="1617"/>
    </row>
    <row r="1826" customFormat="false" ht="15.75" hidden="true" customHeight="true" outlineLevel="1" collapsed="false">
      <c r="A1826" s="2211" t="s">
        <v>3741</v>
      </c>
      <c r="B1826" s="1958" t="s">
        <v>820</v>
      </c>
      <c r="C1826" s="2213" t="n">
        <f aca="false">связи1!E157</f>
        <v>0</v>
      </c>
      <c r="D1826" s="1617"/>
      <c r="E1826" s="1617"/>
      <c r="F1826" s="1617"/>
      <c r="G1826" s="1436" t="n">
        <f aca="false">C1826*I1826+C1826*2</f>
        <v>0</v>
      </c>
      <c r="H1826" s="1619"/>
      <c r="I1826" s="2148"/>
      <c r="J1826" s="1617"/>
      <c r="K1826" s="1617"/>
      <c r="L1826" s="1617"/>
      <c r="M1826" s="1617"/>
      <c r="N1826" s="1617"/>
      <c r="O1826" s="1617"/>
      <c r="P1826" s="1617"/>
      <c r="Q1826" s="1617"/>
      <c r="R1826" s="1617"/>
      <c r="S1826" s="1617"/>
      <c r="T1826" s="1617"/>
      <c r="U1826" s="1617"/>
      <c r="V1826" s="1617"/>
      <c r="W1826" s="1617"/>
      <c r="X1826" s="1617"/>
      <c r="Y1826" s="1617"/>
    </row>
    <row r="1827" customFormat="false" ht="15.75" hidden="true" customHeight="true" outlineLevel="1" collapsed="false">
      <c r="A1827" s="2211" t="s">
        <v>3786</v>
      </c>
      <c r="B1827" s="1958" t="s">
        <v>820</v>
      </c>
      <c r="C1827" s="2213" t="n">
        <f aca="false">C1824</f>
        <v>0</v>
      </c>
      <c r="D1827" s="1617"/>
      <c r="E1827" s="1617"/>
      <c r="F1827" s="1617"/>
      <c r="G1827" s="1714" t="n">
        <f aca="false">SUM(G1822:G1826)</f>
        <v>0</v>
      </c>
      <c r="H1827" s="1747"/>
      <c r="I1827" s="1747"/>
      <c r="J1827" s="1617"/>
      <c r="K1827" s="1617"/>
      <c r="L1827" s="1617"/>
      <c r="M1827" s="1617"/>
      <c r="N1827" s="1617"/>
      <c r="O1827" s="1617"/>
      <c r="P1827" s="1617"/>
      <c r="Q1827" s="1617"/>
      <c r="R1827" s="1617"/>
      <c r="S1827" s="1617"/>
      <c r="T1827" s="1617"/>
      <c r="U1827" s="1617"/>
      <c r="V1827" s="1617"/>
      <c r="W1827" s="1617"/>
      <c r="X1827" s="1617"/>
      <c r="Y1827" s="1617"/>
    </row>
    <row r="1828" customFormat="false" ht="15.75" hidden="true" customHeight="true" outlineLevel="1" collapsed="false">
      <c r="A1828" s="2211" t="s">
        <v>3911</v>
      </c>
      <c r="B1828" s="1958" t="s">
        <v>820</v>
      </c>
      <c r="C1828" s="2141" t="n">
        <f aca="false">C1777</f>
        <v>0</v>
      </c>
      <c r="D1828" s="1617"/>
      <c r="E1828" s="1617"/>
      <c r="F1828" s="1617"/>
      <c r="G1828" s="1617"/>
      <c r="H1828" s="1617"/>
      <c r="I1828" s="2319"/>
      <c r="J1828" s="1617"/>
      <c r="K1828" s="1617"/>
      <c r="L1828" s="1617"/>
      <c r="M1828" s="1617"/>
      <c r="N1828" s="1617"/>
      <c r="O1828" s="1617"/>
      <c r="P1828" s="1617"/>
      <c r="Q1828" s="1617"/>
      <c r="R1828" s="1617"/>
      <c r="S1828" s="1617"/>
      <c r="T1828" s="1617"/>
      <c r="U1828" s="1617"/>
      <c r="V1828" s="1617"/>
      <c r="W1828" s="1617"/>
      <c r="X1828" s="1617"/>
      <c r="Y1828" s="1617"/>
    </row>
    <row r="1829" customFormat="false" ht="15.75" hidden="true" customHeight="true" outlineLevel="1" collapsed="false">
      <c r="A1829" s="2354" t="s">
        <v>2246</v>
      </c>
      <c r="B1829" s="2355" t="s">
        <v>1738</v>
      </c>
      <c r="C1829" s="2355" t="s">
        <v>12</v>
      </c>
      <c r="D1829" s="2355" t="s">
        <v>3871</v>
      </c>
      <c r="E1829" s="2356" t="s">
        <v>2916</v>
      </c>
      <c r="F1829" s="1617"/>
      <c r="G1829" s="2349" t="s">
        <v>2007</v>
      </c>
      <c r="H1829" s="2357"/>
      <c r="I1829" s="2358"/>
      <c r="J1829" s="2356" t="s">
        <v>118</v>
      </c>
      <c r="K1829" s="2356" t="s">
        <v>2915</v>
      </c>
      <c r="L1829" s="2356"/>
      <c r="M1829" s="2356"/>
      <c r="N1829" s="2356"/>
      <c r="O1829" s="2356" t="s">
        <v>2916</v>
      </c>
      <c r="P1829" s="1617"/>
      <c r="Q1829" s="1617"/>
      <c r="R1829" s="1617"/>
      <c r="S1829" s="1617"/>
      <c r="T1829" s="1617"/>
      <c r="U1829" s="1617"/>
      <c r="V1829" s="1617"/>
      <c r="W1829" s="1617"/>
      <c r="X1829" s="1617"/>
      <c r="Y1829" s="1617"/>
    </row>
    <row r="1830" customFormat="false" ht="15.75" hidden="true" customHeight="true" outlineLevel="1" collapsed="false">
      <c r="A1830" s="2211" t="str">
        <f aca="false">A1786</f>
        <v>Листв. влаж, 200*200мм</v>
      </c>
      <c r="B1830" s="2064" t="str">
        <f aca="false">B1786</f>
        <v>м3</v>
      </c>
      <c r="C1830" s="2211" t="n">
        <f aca="false">C1786</f>
        <v>4.012</v>
      </c>
      <c r="D1830" s="2211" t="n">
        <f aca="false">D1786</f>
        <v>9000</v>
      </c>
      <c r="E1830" s="1707" t="n">
        <f aca="false">C1830*D1830</f>
        <v>36108</v>
      </c>
      <c r="F1830" s="1617"/>
      <c r="G1830" s="1995" t="str">
        <f aca="false">'Прайс лист'!B1523</f>
        <v>кладка Профилированного бруса</v>
      </c>
      <c r="H1830" s="2146"/>
      <c r="I1830" s="2225"/>
      <c r="J1830" s="1707" t="n">
        <f aca="false">(C1830+C1831+C1832+C1833)*I1817</f>
        <v>0.825</v>
      </c>
      <c r="K1830" s="1707" t="n">
        <f aca="false">'Прайс лист'!G1523</f>
        <v>6000</v>
      </c>
      <c r="L1830" s="1707"/>
      <c r="M1830" s="1707"/>
      <c r="N1830" s="1707"/>
      <c r="O1830" s="1707" t="n">
        <f aca="false">J1830*K1830</f>
        <v>4950</v>
      </c>
      <c r="P1830" s="1617"/>
      <c r="Q1830" s="1617"/>
      <c r="R1830" s="1617"/>
      <c r="S1830" s="1617"/>
      <c r="T1830" s="1617"/>
      <c r="U1830" s="1617"/>
      <c r="V1830" s="1617"/>
      <c r="W1830" s="1617"/>
      <c r="X1830" s="1617"/>
      <c r="Y1830" s="1617"/>
    </row>
    <row r="1831" customFormat="false" ht="15.75" hidden="true" customHeight="true" outlineLevel="1" collapsed="false">
      <c r="A1831" s="2211" t="str">
        <f aca="false">A1787</f>
        <v>Сосна влаж, 200*150мм</v>
      </c>
      <c r="B1831" s="2064" t="str">
        <f aca="false">B1787</f>
        <v>м3</v>
      </c>
      <c r="C1831" s="2211" t="n">
        <f aca="false">(C1822+C1818)*C1753*G1750-C1830</f>
        <v>-3.187</v>
      </c>
      <c r="D1831" s="2211" t="n">
        <f aca="false">D1787</f>
        <v>6500</v>
      </c>
      <c r="E1831" s="1707" t="n">
        <f aca="false">C1831*D1831</f>
        <v>-20715.5</v>
      </c>
      <c r="F1831" s="1617"/>
      <c r="G1831" s="1995" t="str">
        <f aca="false">'Прайс лист'!B1520</f>
        <v>окосячка проемов, м.п.</v>
      </c>
      <c r="H1831" s="2146"/>
      <c r="I1831" s="2225"/>
      <c r="J1831" s="1707" t="n">
        <f aca="false">(C1758*E1758+C1759*E1759+C1760*E1760+C1761*E1761+C1762*E1762+C1763*E1763)*I1817</f>
        <v>0</v>
      </c>
      <c r="K1831" s="1707" t="n">
        <f aca="false">'Прайс лист'!G1520</f>
        <v>150</v>
      </c>
      <c r="L1831" s="1707"/>
      <c r="M1831" s="1707"/>
      <c r="N1831" s="1707"/>
      <c r="O1831" s="1707" t="n">
        <f aca="false">J1831*K1831</f>
        <v>0</v>
      </c>
      <c r="P1831" s="1617"/>
      <c r="Q1831" s="1617"/>
      <c r="R1831" s="1617"/>
      <c r="S1831" s="1617"/>
      <c r="T1831" s="1617"/>
      <c r="U1831" s="1617"/>
      <c r="V1831" s="1617"/>
      <c r="W1831" s="1617"/>
      <c r="X1831" s="1617"/>
      <c r="Y1831" s="1617"/>
    </row>
    <row r="1832" customFormat="false" ht="15.75" hidden="true" customHeight="true" outlineLevel="1" collapsed="false">
      <c r="A1832" s="2211" t="str">
        <f aca="false">A1788</f>
        <v>Сосна влаж, 200*150мм</v>
      </c>
      <c r="B1832" s="2064" t="str">
        <f aca="false">B1788</f>
        <v>м3</v>
      </c>
      <c r="C1832" s="2211" t="n">
        <f aca="false">C1825*C1755*G1750</f>
        <v>0</v>
      </c>
      <c r="D1832" s="2211" t="n">
        <f aca="false">D1788</f>
        <v>6500</v>
      </c>
      <c r="E1832" s="1707" t="n">
        <f aca="false">C1832*D1832</f>
        <v>0</v>
      </c>
      <c r="F1832" s="1617"/>
      <c r="G1832" s="1436" t="str">
        <f aca="false">G1788</f>
        <v>обработка торцов на брусе</v>
      </c>
      <c r="H1832" s="1436"/>
      <c r="I1832" s="1436" t="n">
        <f aca="false">I1788</f>
        <v>0</v>
      </c>
      <c r="J1832" s="1436" t="n">
        <f aca="false">J1788</f>
        <v>20</v>
      </c>
      <c r="K1832" s="1436" t="n">
        <f aca="false">K1788</f>
        <v>250</v>
      </c>
      <c r="L1832" s="1436" t="n">
        <f aca="false">L1788</f>
        <v>0</v>
      </c>
      <c r="M1832" s="1436"/>
      <c r="N1832" s="1436"/>
      <c r="O1832" s="1436" t="n">
        <f aca="false">O1788</f>
        <v>5000</v>
      </c>
      <c r="P1832" s="1617"/>
      <c r="Q1832" s="1617"/>
      <c r="R1832" s="1617"/>
      <c r="S1832" s="1617"/>
      <c r="T1832" s="1617"/>
      <c r="U1832" s="1617"/>
      <c r="V1832" s="1617"/>
      <c r="W1832" s="1617"/>
      <c r="X1832" s="1617"/>
      <c r="Y1832" s="1617"/>
    </row>
    <row r="1833" customFormat="false" ht="15.75" hidden="true" customHeight="true" outlineLevel="1" collapsed="false">
      <c r="A1833" s="2211" t="str">
        <f aca="false">A1789</f>
        <v>Сосна влаж, 200*100мм</v>
      </c>
      <c r="B1833" s="2064" t="str">
        <f aca="false">B1789</f>
        <v>м2</v>
      </c>
      <c r="C1833" s="2211" t="n">
        <f aca="false">C1826*C1757*G1750</f>
        <v>0</v>
      </c>
      <c r="D1833" s="2211" t="n">
        <f aca="false">D1789</f>
        <v>6500</v>
      </c>
      <c r="E1833" s="1707" t="n">
        <f aca="false">C1833*D1833</f>
        <v>0</v>
      </c>
      <c r="F1833" s="1617"/>
      <c r="G1833" s="1707" t="str">
        <f aca="false">G1789</f>
        <v>Обаботка огнебиозащитой</v>
      </c>
      <c r="H1833" s="1707"/>
      <c r="I1833" s="2062"/>
      <c r="J1833" s="1707" t="n">
        <f aca="false">SUM(C1830:C1833)*IF(A1844='Прайс лист'!B584,0,1)</f>
        <v>0.825</v>
      </c>
      <c r="K1833" s="1707" t="n">
        <f aca="false">K1789</f>
        <v>300</v>
      </c>
      <c r="L1833" s="1707"/>
      <c r="M1833" s="1707"/>
      <c r="N1833" s="1707"/>
      <c r="O1833" s="1436" t="n">
        <f aca="false">O1789</f>
        <v>259.875</v>
      </c>
      <c r="P1833" s="1617"/>
      <c r="Q1833" s="1617"/>
      <c r="R1833" s="1617"/>
      <c r="S1833" s="1617"/>
      <c r="T1833" s="1617"/>
      <c r="U1833" s="1617"/>
      <c r="V1833" s="1617"/>
      <c r="W1833" s="1617"/>
      <c r="X1833" s="1617"/>
      <c r="Y1833" s="1617"/>
    </row>
    <row r="1834" customFormat="false" ht="15.75" hidden="true" customHeight="true" outlineLevel="1" collapsed="false">
      <c r="A1834" s="2211" t="str">
        <f aca="false">A1790</f>
        <v>Шкант</v>
      </c>
      <c r="B1834" s="2064" t="str">
        <f aca="false">B1790</f>
        <v>шт</v>
      </c>
      <c r="C1834" s="2211" t="n">
        <f aca="false">CEILING((C1830+C1831+C1832+C1833)*20*G1750,1)</f>
        <v>19</v>
      </c>
      <c r="D1834" s="2211" t="n">
        <f aca="false">VLOOKUP('Ввод данных'!A1027,связи1!A458:B460,2,0)</f>
        <v>6</v>
      </c>
      <c r="E1834" s="1707" t="n">
        <f aca="false">C1834*D1834</f>
        <v>114</v>
      </c>
      <c r="F1834" s="1617"/>
      <c r="G1834" s="1707" t="str">
        <f aca="false">G1790</f>
        <v>Пропитка стен внешних</v>
      </c>
      <c r="H1834" s="1707"/>
      <c r="I1834" s="2062"/>
      <c r="J1834" s="1707" t="n">
        <f aca="false">C1822*IF(A1845='Прайс лист'!B1359,0,1)</f>
        <v>0</v>
      </c>
      <c r="K1834" s="1707" t="n">
        <f aca="false">K1790</f>
        <v>100</v>
      </c>
      <c r="L1834" s="1707"/>
      <c r="M1834" s="1707"/>
      <c r="N1834" s="1707"/>
      <c r="O1834" s="1436" t="n">
        <f aca="false">O1790</f>
        <v>0</v>
      </c>
      <c r="P1834" s="1617"/>
      <c r="Q1834" s="1617"/>
      <c r="R1834" s="1617"/>
      <c r="S1834" s="1617"/>
      <c r="T1834" s="1617"/>
      <c r="U1834" s="1617"/>
      <c r="V1834" s="1617"/>
      <c r="W1834" s="1617"/>
      <c r="X1834" s="1617"/>
      <c r="Y1834" s="1617"/>
    </row>
    <row r="1835" customFormat="false" ht="15.75" hidden="true" customHeight="true" outlineLevel="1" collapsed="false">
      <c r="A1835" s="2211" t="str">
        <f aca="false">'Прайс лист'!B433</f>
        <v>Лента уплотнения</v>
      </c>
      <c r="B1835" s="2064" t="str">
        <f aca="false">B1791</f>
        <v>шт</v>
      </c>
      <c r="C1835" s="2211" t="n">
        <f aca="false">CEILING((C1822+C1825+C1826)/VLOOKUP(A1831,'Прайс лист'!B340:G426,3,0)/20*G1750*1.3,1)</f>
        <v>0</v>
      </c>
      <c r="D1835" s="2211" t="n">
        <f aca="false">'Прайс лист'!G433</f>
        <v>130</v>
      </c>
      <c r="E1835" s="1707" t="n">
        <f aca="false">C1835*D1835</f>
        <v>0</v>
      </c>
      <c r="F1835" s="1617"/>
      <c r="G1835" s="1707" t="str">
        <f aca="false">G1791</f>
        <v>Пропитка внутенних стен</v>
      </c>
      <c r="H1835" s="1707"/>
      <c r="I1835" s="1633"/>
      <c r="J1835" s="1436" t="n">
        <f aca="false">(C1822+C1827*2)*IF(A1846='Прайс лист'!B1359,0,1)</f>
        <v>0</v>
      </c>
      <c r="K1835" s="1707" t="n">
        <f aca="false">K1791</f>
        <v>100</v>
      </c>
      <c r="L1835" s="1436"/>
      <c r="M1835" s="1436"/>
      <c r="N1835" s="1436"/>
      <c r="O1835" s="1436" t="n">
        <f aca="false">O1791</f>
        <v>0</v>
      </c>
      <c r="P1835" s="1617"/>
      <c r="Q1835" s="1617"/>
      <c r="R1835" s="1617"/>
      <c r="S1835" s="1617"/>
      <c r="T1835" s="1617"/>
      <c r="U1835" s="1617"/>
      <c r="V1835" s="1617"/>
      <c r="W1835" s="1617"/>
      <c r="X1835" s="1617"/>
      <c r="Y1835" s="1617"/>
    </row>
    <row r="1836" customFormat="false" ht="15.75" hidden="true" customHeight="true" outlineLevel="1" collapsed="false">
      <c r="A1836" s="2211" t="str">
        <f aca="false">A1792</f>
        <v>Гвозди строительные 3,5 x 90            </v>
      </c>
      <c r="B1836" s="2064" t="str">
        <f aca="false">B1792</f>
        <v>шт</v>
      </c>
      <c r="C1836" s="2211" t="n">
        <f aca="false">C1792</f>
        <v>4.4</v>
      </c>
      <c r="D1836" s="2211" t="n">
        <f aca="false">D1792</f>
        <v>70</v>
      </c>
      <c r="E1836" s="1707" t="n">
        <f aca="false">C1836*D1836</f>
        <v>308</v>
      </c>
      <c r="F1836" s="1617"/>
      <c r="G1836" s="1707" t="str">
        <f aca="false">G1792</f>
        <v>Не считать</v>
      </c>
      <c r="H1836" s="1707"/>
      <c r="I1836" s="1707" t="n">
        <f aca="false">I1792</f>
        <v>0</v>
      </c>
      <c r="J1836" s="1707" t="n">
        <f aca="false">J1792</f>
        <v>0</v>
      </c>
      <c r="K1836" s="1707" t="n">
        <f aca="false">K1792</f>
        <v>300</v>
      </c>
      <c r="L1836" s="1707"/>
      <c r="M1836" s="1707"/>
      <c r="N1836" s="1707"/>
      <c r="O1836" s="1707"/>
      <c r="P1836" s="1617"/>
      <c r="Q1836" s="1617"/>
      <c r="R1836" s="1617"/>
      <c r="S1836" s="1617"/>
      <c r="T1836" s="1617"/>
      <c r="U1836" s="1617"/>
      <c r="V1836" s="1617"/>
      <c r="W1836" s="1617"/>
      <c r="X1836" s="1617"/>
      <c r="Y1836" s="1617"/>
    </row>
    <row r="1837" customFormat="false" ht="15.75" hidden="true" customHeight="true" outlineLevel="1" collapsed="false">
      <c r="A1837" s="2211" t="str">
        <f aca="false">A1793</f>
        <v>нет</v>
      </c>
      <c r="B1837" s="2064" t="str">
        <f aca="false">B1793</f>
        <v>м3</v>
      </c>
      <c r="C1837" s="2211" t="n">
        <f aca="false">((C1758*E1758+C1759*E1759)*G1750*VLOOKUP(A1793,связи1!A406:E415,5,0))</f>
        <v>0</v>
      </c>
      <c r="D1837" s="2211" t="n">
        <f aca="false">D1793</f>
        <v>0</v>
      </c>
      <c r="E1837" s="1707" t="n">
        <f aca="false">C1837*D1837</f>
        <v>0</v>
      </c>
      <c r="F1837" s="1617"/>
      <c r="G1837" s="1707" t="str">
        <f aca="false">G1793</f>
        <v>Монтаж наличника</v>
      </c>
      <c r="H1837" s="2147"/>
      <c r="I1837" s="2225"/>
      <c r="J1837" s="1707" t="n">
        <f aca="false">J1793</f>
        <v>0</v>
      </c>
      <c r="K1837" s="1707" t="n">
        <f aca="false">K1793</f>
        <v>80</v>
      </c>
      <c r="L1837" s="1707"/>
      <c r="M1837" s="1707"/>
      <c r="N1837" s="1707"/>
      <c r="O1837" s="1707"/>
      <c r="P1837" s="1617"/>
      <c r="Q1837" s="1617"/>
      <c r="R1837" s="1617"/>
      <c r="S1837" s="1617"/>
      <c r="T1837" s="1617"/>
      <c r="U1837" s="1617"/>
      <c r="V1837" s="1617"/>
      <c r="W1837" s="1617"/>
      <c r="X1837" s="1617"/>
      <c r="Y1837" s="1617"/>
    </row>
    <row r="1838" customFormat="false" ht="15.75" hidden="true" customHeight="true" outlineLevel="1" collapsed="false">
      <c r="A1838" s="2211" t="str">
        <f aca="false">A1794</f>
        <v>нет</v>
      </c>
      <c r="B1838" s="2064" t="str">
        <f aca="false">B1794</f>
        <v>м3</v>
      </c>
      <c r="C1838" s="2211" t="n">
        <f aca="false">((C1760*E1760+C1762*E1762)*G1750*VLOOKUP(A1794,связи1!A406:E415,5,0))</f>
        <v>0</v>
      </c>
      <c r="D1838" s="2211" t="n">
        <f aca="false">D1794</f>
        <v>0</v>
      </c>
      <c r="E1838" s="1707" t="n">
        <f aca="false">C1838*D1838</f>
        <v>0</v>
      </c>
      <c r="F1838" s="1617"/>
      <c r="G1838" s="1995" t="str">
        <f aca="false">G1794</f>
        <v>Шлифовка стен дома</v>
      </c>
      <c r="H1838" s="1995"/>
      <c r="I1838" s="1995" t="n">
        <f aca="false">I1794</f>
        <v>0</v>
      </c>
      <c r="J1838" s="1995" t="n">
        <f aca="false">C1822*IF('Ввод данных'!A1057=связи1!A560,1,0)+(C1822+C1827*2)*IF('Ввод данных'!A1060=связи1!A563,1,0)</f>
        <v>0</v>
      </c>
      <c r="K1838" s="1995" t="n">
        <f aca="false">K1794</f>
        <v>250</v>
      </c>
      <c r="L1838" s="1707"/>
      <c r="M1838" s="1707"/>
      <c r="N1838" s="1707"/>
      <c r="O1838" s="1707"/>
      <c r="P1838" s="1617"/>
      <c r="Q1838" s="1617"/>
      <c r="R1838" s="1617"/>
      <c r="S1838" s="1617"/>
      <c r="T1838" s="1617"/>
      <c r="U1838" s="1617"/>
      <c r="V1838" s="1617"/>
      <c r="W1838" s="1617"/>
      <c r="X1838" s="1617"/>
      <c r="Y1838" s="1617"/>
    </row>
    <row r="1839" customFormat="false" ht="15.75" hidden="true" customHeight="true" outlineLevel="1" collapsed="false">
      <c r="A1839" s="2211" t="str">
        <f aca="false">A1795</f>
        <v>нет</v>
      </c>
      <c r="B1839" s="2064" t="str">
        <f aca="false">B1795</f>
        <v>м3</v>
      </c>
      <c r="C1839" s="2211" t="n">
        <f aca="false">VLOOKUP(A1795,связи1!A406:E415,5,0)*(C1761*E1761+C1763*E1763)*G1750</f>
        <v>0</v>
      </c>
      <c r="D1839" s="2211" t="n">
        <f aca="false">D1795</f>
        <v>0</v>
      </c>
      <c r="E1839" s="1707" t="n">
        <f aca="false">C1839*D1839</f>
        <v>0</v>
      </c>
      <c r="F1839" s="1617"/>
      <c r="G1839" s="1995"/>
      <c r="H1839" s="2146"/>
      <c r="I1839" s="2146"/>
      <c r="J1839" s="1995"/>
      <c r="K1839" s="1995"/>
      <c r="L1839" s="1707"/>
      <c r="M1839" s="1707"/>
      <c r="N1839" s="1707"/>
      <c r="O1839" s="1707"/>
      <c r="P1839" s="1617"/>
      <c r="Q1839" s="1617"/>
      <c r="R1839" s="1617"/>
      <c r="S1839" s="1617"/>
      <c r="T1839" s="1617"/>
      <c r="U1839" s="1617"/>
      <c r="V1839" s="1617"/>
      <c r="W1839" s="1617"/>
      <c r="X1839" s="1617"/>
      <c r="Y1839" s="1617"/>
    </row>
    <row r="1840" customFormat="false" ht="15.75" hidden="true" customHeight="true" outlineLevel="1" collapsed="false">
      <c r="A1840" s="2211" t="str">
        <f aca="false">A1796</f>
        <v>нет</v>
      </c>
      <c r="B1840" s="2064" t="str">
        <f aca="false">B1796</f>
        <v>м.п.</v>
      </c>
      <c r="C1840" s="2211" t="n">
        <f aca="false">C1796</f>
        <v>0</v>
      </c>
      <c r="D1840" s="2211" t="n">
        <f aca="false">D1796</f>
        <v>0</v>
      </c>
      <c r="E1840" s="1707" t="n">
        <f aca="false">C1840*D1840</f>
        <v>0</v>
      </c>
      <c r="F1840" s="1617"/>
      <c r="G1840" s="1995"/>
      <c r="H1840" s="2146"/>
      <c r="I1840" s="2225"/>
      <c r="J1840" s="1707"/>
      <c r="K1840" s="1707"/>
      <c r="L1840" s="1707"/>
      <c r="M1840" s="1707"/>
      <c r="N1840" s="1707"/>
      <c r="O1840" s="1707"/>
      <c r="P1840" s="1617"/>
      <c r="Q1840" s="1617"/>
      <c r="R1840" s="1617"/>
      <c r="S1840" s="1617"/>
      <c r="T1840" s="1617"/>
      <c r="U1840" s="1617"/>
      <c r="V1840" s="1617"/>
      <c r="W1840" s="1617"/>
      <c r="X1840" s="1617"/>
      <c r="Y1840" s="1617"/>
    </row>
    <row r="1841" customFormat="false" ht="15.75" hidden="true" customHeight="true" outlineLevel="1" collapsed="false">
      <c r="A1841" s="2211" t="str">
        <f aca="false">A1797</f>
        <v>Бензин для пилы</v>
      </c>
      <c r="B1841" s="2064" t="str">
        <f aca="false">B1797</f>
        <v>л</v>
      </c>
      <c r="C1841" s="2211" t="n">
        <f aca="false">SUM(C1830:C1833)/5</f>
        <v>0.165</v>
      </c>
      <c r="D1841" s="2211" t="n">
        <f aca="false">D1797</f>
        <v>40</v>
      </c>
      <c r="E1841" s="1707" t="n">
        <f aca="false">C1841*D1841</f>
        <v>6.6</v>
      </c>
      <c r="F1841" s="1617"/>
      <c r="G1841" s="1995"/>
      <c r="H1841" s="2146"/>
      <c r="I1841" s="2225"/>
      <c r="J1841" s="1707"/>
      <c r="K1841" s="1707"/>
      <c r="L1841" s="1707"/>
      <c r="M1841" s="1707"/>
      <c r="N1841" s="1707"/>
      <c r="O1841" s="1707"/>
      <c r="P1841" s="1617"/>
      <c r="Q1841" s="1617"/>
      <c r="R1841" s="1617"/>
      <c r="S1841" s="1617"/>
      <c r="T1841" s="1617"/>
      <c r="U1841" s="1617"/>
      <c r="V1841" s="1617"/>
      <c r="W1841" s="1617"/>
      <c r="X1841" s="1617"/>
      <c r="Y1841" s="1617"/>
    </row>
    <row r="1842" customFormat="false" ht="15.75" hidden="true" customHeight="true" outlineLevel="1" collapsed="false">
      <c r="A1842" s="2211" t="str">
        <f aca="false">A1798</f>
        <v>Масло для пилы</v>
      </c>
      <c r="B1842" s="2064" t="str">
        <f aca="false">B1798</f>
        <v>л</v>
      </c>
      <c r="C1842" s="2211" t="n">
        <f aca="false">C1841/20</f>
        <v>0.00825</v>
      </c>
      <c r="D1842" s="2211" t="n">
        <f aca="false">D1798</f>
        <v>250</v>
      </c>
      <c r="E1842" s="1707" t="n">
        <f aca="false">C1842*D1842</f>
        <v>2.0625</v>
      </c>
      <c r="F1842" s="1617"/>
      <c r="G1842" s="1995"/>
      <c r="H1842" s="2146"/>
      <c r="I1842" s="2225"/>
      <c r="J1842" s="1707"/>
      <c r="K1842" s="1707"/>
      <c r="L1842" s="1707"/>
      <c r="M1842" s="1707"/>
      <c r="N1842" s="1707"/>
      <c r="O1842" s="1707"/>
      <c r="P1842" s="1617"/>
      <c r="Q1842" s="1617"/>
      <c r="R1842" s="1617"/>
      <c r="S1842" s="1617"/>
      <c r="T1842" s="1617"/>
      <c r="U1842" s="1617"/>
      <c r="V1842" s="1617"/>
      <c r="W1842" s="1617"/>
      <c r="X1842" s="1617"/>
      <c r="Y1842" s="1617"/>
    </row>
    <row r="1843" customFormat="false" ht="15.75" hidden="true" customHeight="true" outlineLevel="1" collapsed="false">
      <c r="A1843" s="2211" t="str">
        <f aca="false">A1799</f>
        <v>Цепь для пилы</v>
      </c>
      <c r="B1843" s="2064" t="str">
        <f aca="false">B1799</f>
        <v>л</v>
      </c>
      <c r="C1843" s="2211" t="n">
        <f aca="false">CEILING((SUM(C1830:C1833)/10),1)</f>
        <v>1</v>
      </c>
      <c r="D1843" s="2211" t="n">
        <f aca="false">D1799</f>
        <v>800</v>
      </c>
      <c r="E1843" s="1707" t="n">
        <f aca="false">C1843*D1843</f>
        <v>800</v>
      </c>
      <c r="F1843" s="1617"/>
      <c r="G1843" s="2341"/>
      <c r="H1843" s="2360"/>
      <c r="I1843" s="2225"/>
      <c r="J1843" s="1707"/>
      <c r="K1843" s="1707"/>
      <c r="L1843" s="1707"/>
      <c r="M1843" s="1707"/>
      <c r="N1843" s="1707"/>
      <c r="O1843" s="1707"/>
      <c r="P1843" s="1617"/>
      <c r="Q1843" s="1617"/>
      <c r="R1843" s="1617"/>
      <c r="S1843" s="1617"/>
      <c r="T1843" s="1617"/>
      <c r="U1843" s="1617"/>
      <c r="V1843" s="1617"/>
      <c r="W1843" s="1617"/>
      <c r="X1843" s="1617"/>
      <c r="Y1843" s="1617"/>
    </row>
    <row r="1844" customFormat="false" ht="15.75" hidden="true" customHeight="true" outlineLevel="1" collapsed="false">
      <c r="A1844" s="2211" t="str">
        <f aca="false">A1800</f>
        <v>"Профилюкс" Антисептик ОБЗ-1</v>
      </c>
      <c r="B1844" s="2064" t="str">
        <f aca="false">B1800</f>
        <v>л</v>
      </c>
      <c r="C1844" s="2211" t="n">
        <f aca="false">G1827*'Ввод данных'!C1035*'Ввод данных'!C1036</f>
        <v>0</v>
      </c>
      <c r="D1844" s="2211" t="n">
        <f aca="false">D1800</f>
        <v>42</v>
      </c>
      <c r="E1844" s="1707" t="n">
        <f aca="false">C1844*D1844</f>
        <v>0</v>
      </c>
      <c r="F1844" s="1617"/>
      <c r="G1844" s="2341"/>
      <c r="H1844" s="2360"/>
      <c r="I1844" s="2225"/>
      <c r="J1844" s="1707"/>
      <c r="K1844" s="1707"/>
      <c r="L1844" s="1707"/>
      <c r="M1844" s="1707"/>
      <c r="N1844" s="1707"/>
      <c r="O1844" s="1707"/>
      <c r="P1844" s="1617"/>
      <c r="Q1844" s="1617"/>
      <c r="R1844" s="1617"/>
      <c r="S1844" s="1617"/>
      <c r="T1844" s="1617"/>
      <c r="U1844" s="1617"/>
      <c r="V1844" s="1617"/>
      <c r="W1844" s="1617"/>
      <c r="X1844" s="1617"/>
      <c r="Y1844" s="1617"/>
    </row>
    <row r="1845" customFormat="false" ht="15.75" hidden="true" customHeight="true" outlineLevel="1" collapsed="false">
      <c r="A1845" s="2211" t="str">
        <f aca="false">A1801</f>
        <v>Нет пропитки</v>
      </c>
      <c r="B1845" s="2064" t="str">
        <f aca="false">B1801</f>
        <v>л</v>
      </c>
      <c r="C1845" s="2211" t="n">
        <f aca="false">C1822*'Ввод данных'!C1040*'Ввод данных'!C1041</f>
        <v>0</v>
      </c>
      <c r="D1845" s="2211" t="n">
        <f aca="false">D1801</f>
        <v>0</v>
      </c>
      <c r="E1845" s="1707" t="n">
        <f aca="false">C1845*D1845</f>
        <v>0</v>
      </c>
      <c r="F1845" s="1617"/>
      <c r="G1845" s="2341"/>
      <c r="H1845" s="2360"/>
      <c r="I1845" s="2225"/>
      <c r="J1845" s="1707"/>
      <c r="K1845" s="1707"/>
      <c r="L1845" s="1707"/>
      <c r="M1845" s="1707"/>
      <c r="N1845" s="1707"/>
      <c r="O1845" s="1707"/>
      <c r="P1845" s="1617"/>
      <c r="Q1845" s="1617"/>
      <c r="R1845" s="1617"/>
      <c r="S1845" s="1617"/>
      <c r="T1845" s="1617"/>
      <c r="U1845" s="1617"/>
      <c r="V1845" s="1617"/>
      <c r="W1845" s="1617"/>
      <c r="X1845" s="1617"/>
      <c r="Y1845" s="1617"/>
    </row>
    <row r="1846" customFormat="false" ht="15.75" hidden="true" customHeight="true" outlineLevel="1" collapsed="false">
      <c r="A1846" s="2211" t="str">
        <f aca="false">A1802</f>
        <v>Нет пропитки</v>
      </c>
      <c r="B1846" s="2064" t="str">
        <f aca="false">B1802</f>
        <v>л</v>
      </c>
      <c r="C1846" s="2211" t="n">
        <f aca="false">(C1822+C1827*2)*'Ввод данных'!C1045*'Ввод данных'!C1046</f>
        <v>0</v>
      </c>
      <c r="D1846" s="2211" t="n">
        <f aca="false">D1802</f>
        <v>0</v>
      </c>
      <c r="E1846" s="1707" t="n">
        <f aca="false">C1846*D1846</f>
        <v>0</v>
      </c>
      <c r="F1846" s="1617"/>
      <c r="G1846" s="2341"/>
      <c r="H1846" s="2360"/>
      <c r="I1846" s="2225"/>
      <c r="J1846" s="1707"/>
      <c r="K1846" s="1707"/>
      <c r="L1846" s="1707"/>
      <c r="M1846" s="1707"/>
      <c r="N1846" s="1707"/>
      <c r="O1846" s="1707"/>
      <c r="P1846" s="1617"/>
      <c r="Q1846" s="1617"/>
      <c r="R1846" s="1617"/>
      <c r="S1846" s="1617"/>
      <c r="T1846" s="1617"/>
      <c r="U1846" s="1617"/>
      <c r="V1846" s="1617"/>
      <c r="W1846" s="1617"/>
      <c r="X1846" s="1617"/>
      <c r="Y1846" s="1617"/>
    </row>
    <row r="1847" customFormat="false" ht="15.75" hidden="true" customHeight="true" outlineLevel="1" collapsed="false">
      <c r="A1847" s="2211" t="str">
        <f aca="false">A1803</f>
        <v>Нет наличника</v>
      </c>
      <c r="B1847" s="2064" t="str">
        <f aca="false">B1803</f>
        <v>м.п.</v>
      </c>
      <c r="C1847" s="2211" t="n">
        <f aca="false">C1803</f>
        <v>3.57</v>
      </c>
      <c r="D1847" s="2211" t="n">
        <f aca="false">D1803</f>
        <v>0</v>
      </c>
      <c r="E1847" s="1707" t="n">
        <f aca="false">C1847*D1847</f>
        <v>0</v>
      </c>
      <c r="F1847" s="1617"/>
      <c r="G1847" s="2341"/>
      <c r="H1847" s="2360"/>
      <c r="I1847" s="2225"/>
      <c r="J1847" s="1707"/>
      <c r="K1847" s="1707"/>
      <c r="L1847" s="1707"/>
      <c r="M1847" s="1707"/>
      <c r="N1847" s="1707"/>
      <c r="O1847" s="1707"/>
      <c r="P1847" s="1617"/>
      <c r="Q1847" s="1617"/>
      <c r="R1847" s="1617"/>
      <c r="S1847" s="1617"/>
      <c r="T1847" s="1617"/>
      <c r="U1847" s="1617"/>
      <c r="V1847" s="1617"/>
      <c r="W1847" s="1617"/>
      <c r="X1847" s="1617"/>
      <c r="Y1847" s="1617"/>
    </row>
    <row r="1848" customFormat="false" ht="15.75" hidden="true" customHeight="true" outlineLevel="1" collapsed="false">
      <c r="A1848" s="2211" t="str">
        <f aca="false">A1804</f>
        <v>Нет наличника</v>
      </c>
      <c r="B1848" s="2064" t="str">
        <f aca="false">B1804</f>
        <v>м.п.</v>
      </c>
      <c r="C1848" s="2211" t="n">
        <f aca="false">C1804</f>
        <v>3.57</v>
      </c>
      <c r="D1848" s="2211" t="n">
        <f aca="false">D1804</f>
        <v>0</v>
      </c>
      <c r="E1848" s="1707" t="n">
        <f aca="false">C1848*D1848</f>
        <v>0</v>
      </c>
      <c r="F1848" s="1617"/>
      <c r="G1848" s="2341"/>
      <c r="H1848" s="2360"/>
      <c r="I1848" s="2225"/>
      <c r="J1848" s="1707"/>
      <c r="K1848" s="1707"/>
      <c r="L1848" s="1707"/>
      <c r="M1848" s="1707"/>
      <c r="N1848" s="1707"/>
      <c r="O1848" s="1707"/>
      <c r="P1848" s="1617"/>
      <c r="Q1848" s="1617"/>
      <c r="R1848" s="1617"/>
      <c r="S1848" s="1617"/>
      <c r="T1848" s="1617"/>
      <c r="U1848" s="1617"/>
      <c r="V1848" s="1617"/>
      <c r="W1848" s="1617"/>
      <c r="X1848" s="1617"/>
      <c r="Y1848" s="1617"/>
    </row>
    <row r="1849" customFormat="false" ht="15.75" hidden="true" customHeight="true" outlineLevel="1" collapsed="false">
      <c r="A1849" s="1582" t="str">
        <f aca="false">A1805</f>
        <v>Нет наждачной бумаги</v>
      </c>
      <c r="B1849" s="1582" t="str">
        <f aca="false">B1805</f>
        <v>м</v>
      </c>
      <c r="C1849" s="1582" t="n">
        <f aca="false">C1805</f>
        <v>0</v>
      </c>
      <c r="D1849" s="1582" t="n">
        <f aca="false">D1805</f>
        <v>0</v>
      </c>
      <c r="E1849" s="1707" t="n">
        <f aca="false">C1849*D1849</f>
        <v>0</v>
      </c>
      <c r="F1849" s="1617"/>
      <c r="G1849" s="2341"/>
      <c r="H1849" s="2360"/>
      <c r="I1849" s="2225"/>
      <c r="J1849" s="1707"/>
      <c r="K1849" s="1707"/>
      <c r="L1849" s="1707"/>
      <c r="M1849" s="1707"/>
      <c r="N1849" s="1707"/>
      <c r="O1849" s="1707"/>
      <c r="P1849" s="1617"/>
      <c r="Q1849" s="1617"/>
      <c r="R1849" s="1617"/>
      <c r="S1849" s="1617"/>
      <c r="T1849" s="1617"/>
      <c r="U1849" s="1617"/>
      <c r="V1849" s="1617"/>
      <c r="W1849" s="1617"/>
      <c r="X1849" s="1617"/>
      <c r="Y1849" s="1617"/>
    </row>
    <row r="1850" customFormat="false" ht="15.75" hidden="true" customHeight="true" outlineLevel="1" collapsed="false">
      <c r="A1850" s="1582" t="str">
        <f aca="false">A1806</f>
        <v>Нет наждачной бумаги</v>
      </c>
      <c r="B1850" s="1582" t="str">
        <f aca="false">B1806</f>
        <v>м</v>
      </c>
      <c r="C1850" s="1582" t="n">
        <f aca="false">C1806</f>
        <v>0</v>
      </c>
      <c r="D1850" s="1582" t="n">
        <f aca="false">D1806</f>
        <v>0</v>
      </c>
      <c r="E1850" s="1707" t="n">
        <f aca="false">C1850*D1850</f>
        <v>0</v>
      </c>
      <c r="F1850" s="1617"/>
      <c r="G1850" s="2341"/>
      <c r="H1850" s="2360"/>
      <c r="I1850" s="2225"/>
      <c r="J1850" s="1707"/>
      <c r="K1850" s="1707"/>
      <c r="L1850" s="1707"/>
      <c r="M1850" s="1707"/>
      <c r="N1850" s="1707"/>
      <c r="O1850" s="1707"/>
      <c r="P1850" s="1617"/>
      <c r="Q1850" s="1617"/>
      <c r="R1850" s="1617"/>
      <c r="S1850" s="1617"/>
      <c r="T1850" s="1617"/>
      <c r="U1850" s="1617"/>
      <c r="V1850" s="1617"/>
      <c r="W1850" s="1617"/>
      <c r="X1850" s="1617"/>
      <c r="Y1850" s="1617"/>
    </row>
    <row r="1851" customFormat="false" ht="15.75" hidden="true" customHeight="true" outlineLevel="1" collapsed="false">
      <c r="A1851" s="1582" t="str">
        <f aca="false">A1807</f>
        <v>Нет наждачной бумаги</v>
      </c>
      <c r="B1851" s="1582" t="str">
        <f aca="false">B1807</f>
        <v>м</v>
      </c>
      <c r="C1851" s="1582" t="n">
        <f aca="false">C1807</f>
        <v>0</v>
      </c>
      <c r="D1851" s="1582" t="n">
        <f aca="false">D1807</f>
        <v>0</v>
      </c>
      <c r="E1851" s="1707" t="n">
        <f aca="false">C1851*D1851</f>
        <v>0</v>
      </c>
      <c r="F1851" s="1617"/>
      <c r="G1851" s="2341"/>
      <c r="H1851" s="2360"/>
      <c r="I1851" s="2225"/>
      <c r="J1851" s="1707"/>
      <c r="K1851" s="1707"/>
      <c r="L1851" s="1707"/>
      <c r="M1851" s="1707"/>
      <c r="N1851" s="1707"/>
      <c r="O1851" s="1707"/>
      <c r="P1851" s="1617"/>
      <c r="Q1851" s="1617"/>
      <c r="R1851" s="1617"/>
      <c r="S1851" s="1617"/>
      <c r="T1851" s="1617"/>
      <c r="U1851" s="1617"/>
      <c r="V1851" s="1617"/>
      <c r="W1851" s="1617"/>
      <c r="X1851" s="1617"/>
      <c r="Y1851" s="1617"/>
    </row>
    <row r="1852" customFormat="false" ht="15.75" hidden="true" customHeight="true" outlineLevel="1" collapsed="false">
      <c r="A1852" s="1582" t="str">
        <f aca="false">A1808</f>
        <v>Нет наждачной бумаги</v>
      </c>
      <c r="B1852" s="1582" t="str">
        <f aca="false">B1808</f>
        <v>м</v>
      </c>
      <c r="C1852" s="1582" t="n">
        <f aca="false">C1808</f>
        <v>0</v>
      </c>
      <c r="D1852" s="1582" t="n">
        <f aca="false">D1808</f>
        <v>0</v>
      </c>
      <c r="E1852" s="1707" t="n">
        <f aca="false">C1852*D1852</f>
        <v>0</v>
      </c>
      <c r="F1852" s="1617"/>
      <c r="G1852" s="2341"/>
      <c r="H1852" s="2360"/>
      <c r="I1852" s="2225"/>
      <c r="J1852" s="1707"/>
      <c r="K1852" s="1707"/>
      <c r="L1852" s="1707"/>
      <c r="M1852" s="1707"/>
      <c r="N1852" s="1707"/>
      <c r="O1852" s="1707"/>
      <c r="P1852" s="1617"/>
      <c r="Q1852" s="1617"/>
      <c r="R1852" s="1617"/>
      <c r="S1852" s="1617"/>
      <c r="T1852" s="1617"/>
      <c r="U1852" s="1617"/>
      <c r="V1852" s="1617"/>
      <c r="W1852" s="1617"/>
      <c r="X1852" s="1617"/>
      <c r="Y1852" s="1617"/>
    </row>
    <row r="1853" customFormat="false" ht="15.75" hidden="true" customHeight="true" outlineLevel="1" collapsed="false">
      <c r="A1853" s="1582" t="str">
        <f aca="false">A1809</f>
        <v>Командировочные расходы</v>
      </c>
      <c r="B1853" s="1582" t="str">
        <f aca="false">B1809</f>
        <v>рублей</v>
      </c>
      <c r="C1853" s="1582" t="n">
        <f aca="false">C1809</f>
        <v>1</v>
      </c>
      <c r="D1853" s="1582" t="n">
        <f aca="false">D1809</f>
        <v>0</v>
      </c>
      <c r="E1853" s="1707" t="n">
        <f aca="false">C1853*D1853</f>
        <v>0</v>
      </c>
      <c r="F1853" s="1617"/>
      <c r="G1853" s="2341"/>
      <c r="H1853" s="2360"/>
      <c r="I1853" s="2225"/>
      <c r="J1853" s="1707"/>
      <c r="K1853" s="1707"/>
      <c r="L1853" s="1707"/>
      <c r="M1853" s="1707"/>
      <c r="N1853" s="1707"/>
      <c r="O1853" s="1707"/>
      <c r="P1853" s="1617"/>
      <c r="Q1853" s="1617"/>
      <c r="R1853" s="1617"/>
      <c r="S1853" s="1617"/>
      <c r="T1853" s="1617"/>
      <c r="U1853" s="1617"/>
      <c r="V1853" s="1617"/>
      <c r="W1853" s="1617"/>
      <c r="X1853" s="1617"/>
      <c r="Y1853" s="1617"/>
    </row>
    <row r="1854" customFormat="false" ht="15.75" hidden="true" customHeight="true" outlineLevel="1" collapsed="false">
      <c r="A1854" s="2211" t="str">
        <f aca="false">A1809</f>
        <v>Командировочные расходы</v>
      </c>
      <c r="B1854" s="2064" t="str">
        <f aca="false">B1809</f>
        <v>рублей</v>
      </c>
      <c r="C1854" s="2211" t="n">
        <f aca="false">C1809</f>
        <v>1</v>
      </c>
      <c r="D1854" s="2211" t="n">
        <f aca="false">D1809</f>
        <v>0</v>
      </c>
      <c r="E1854" s="1707" t="n">
        <f aca="false">C1854*D1854</f>
        <v>0</v>
      </c>
      <c r="F1854" s="1617"/>
      <c r="G1854" s="2341"/>
      <c r="H1854" s="2360"/>
      <c r="I1854" s="2225"/>
      <c r="J1854" s="1707"/>
      <c r="K1854" s="1707"/>
      <c r="L1854" s="1707"/>
      <c r="M1854" s="1707"/>
      <c r="N1854" s="1707"/>
      <c r="O1854" s="1707"/>
      <c r="P1854" s="1617"/>
      <c r="Q1854" s="1617"/>
      <c r="R1854" s="1617"/>
      <c r="S1854" s="1617"/>
      <c r="T1854" s="1617"/>
      <c r="U1854" s="1617"/>
      <c r="V1854" s="1617"/>
      <c r="W1854" s="1617"/>
      <c r="X1854" s="1617"/>
      <c r="Y1854" s="1617"/>
    </row>
    <row r="1855" customFormat="false" ht="15.75" hidden="true" customHeight="true" outlineLevel="1" collapsed="false">
      <c r="A1855" s="2211" t="str">
        <f aca="false">A1810</f>
        <v>расходные материалы дома из леса</v>
      </c>
      <c r="B1855" s="2064" t="str">
        <f aca="false">B1810</f>
        <v>шт</v>
      </c>
      <c r="C1855" s="2211" t="n">
        <f aca="false">C1810</f>
        <v>1</v>
      </c>
      <c r="D1855" s="2211" t="n">
        <f aca="false">D1810</f>
        <v>3000</v>
      </c>
      <c r="E1855" s="1707" t="n">
        <f aca="false">C1855*D1855</f>
        <v>3000</v>
      </c>
      <c r="F1855" s="1617"/>
      <c r="G1855" s="2341"/>
      <c r="H1855" s="2360"/>
      <c r="I1855" s="2225"/>
      <c r="J1855" s="1707"/>
      <c r="K1855" s="1707"/>
      <c r="L1855" s="1707"/>
      <c r="M1855" s="1707"/>
      <c r="N1855" s="1707"/>
      <c r="O1855" s="1707"/>
      <c r="P1855" s="1617"/>
      <c r="Q1855" s="1617"/>
      <c r="R1855" s="1617"/>
      <c r="S1855" s="1617"/>
      <c r="T1855" s="1617"/>
      <c r="U1855" s="1617"/>
      <c r="V1855" s="1617"/>
      <c r="W1855" s="1617"/>
      <c r="X1855" s="1617"/>
      <c r="Y1855" s="1617"/>
    </row>
    <row r="1856" customFormat="false" ht="15.75" hidden="true" customHeight="true" outlineLevel="1" collapsed="false">
      <c r="A1856" s="2211" t="str">
        <f aca="false">A1811</f>
        <v>Нет техники</v>
      </c>
      <c r="B1856" s="2064" t="str">
        <f aca="false">B1811</f>
        <v>шт</v>
      </c>
      <c r="C1856" s="2211" t="n">
        <f aca="false">C1811</f>
        <v>0</v>
      </c>
      <c r="D1856" s="2211" t="n">
        <f aca="false">D1811</f>
        <v>0</v>
      </c>
      <c r="E1856" s="1707" t="n">
        <f aca="false">C1856*D1856</f>
        <v>0</v>
      </c>
      <c r="F1856" s="1617"/>
      <c r="G1856" s="2341"/>
      <c r="H1856" s="2360"/>
      <c r="I1856" s="2225"/>
      <c r="J1856" s="1707"/>
      <c r="K1856" s="1707"/>
      <c r="L1856" s="1707"/>
      <c r="M1856" s="1707"/>
      <c r="N1856" s="1707"/>
      <c r="O1856" s="1707"/>
      <c r="P1856" s="1617"/>
      <c r="Q1856" s="1617"/>
      <c r="R1856" s="1617"/>
      <c r="S1856" s="1617"/>
      <c r="T1856" s="1617"/>
      <c r="U1856" s="1617"/>
      <c r="V1856" s="1617"/>
      <c r="W1856" s="1617"/>
      <c r="X1856" s="1617"/>
      <c r="Y1856" s="1617"/>
    </row>
    <row r="1857" customFormat="false" ht="15.75" hidden="true" customHeight="true" outlineLevel="1" collapsed="false">
      <c r="A1857" s="2211" t="str">
        <f aca="false">A1812</f>
        <v>Нет техники</v>
      </c>
      <c r="B1857" s="2064" t="n">
        <f aca="false">B1812</f>
        <v>0</v>
      </c>
      <c r="C1857" s="2211" t="n">
        <f aca="false">C1812</f>
        <v>0</v>
      </c>
      <c r="D1857" s="2211" t="n">
        <f aca="false">D1812</f>
        <v>0</v>
      </c>
      <c r="E1857" s="1707" t="n">
        <f aca="false">C1857*D1857</f>
        <v>0</v>
      </c>
      <c r="F1857" s="1617"/>
      <c r="G1857" s="1995"/>
      <c r="H1857" s="2146"/>
      <c r="I1857" s="2225"/>
      <c r="J1857" s="1707"/>
      <c r="K1857" s="1707"/>
      <c r="L1857" s="1707"/>
      <c r="M1857" s="1707"/>
      <c r="N1857" s="1707"/>
      <c r="O1857" s="1707"/>
      <c r="P1857" s="1617"/>
      <c r="Q1857" s="1617"/>
      <c r="R1857" s="1617"/>
      <c r="S1857" s="1617"/>
      <c r="T1857" s="1617"/>
      <c r="U1857" s="1617"/>
      <c r="V1857" s="1617"/>
      <c r="W1857" s="1617"/>
      <c r="X1857" s="1617"/>
      <c r="Y1857" s="1617"/>
    </row>
    <row r="1858" customFormat="false" ht="15.75" hidden="true" customHeight="true" outlineLevel="1" collapsed="false">
      <c r="A1858" s="2211"/>
      <c r="B1858" s="2064"/>
      <c r="C1858" s="2064"/>
      <c r="D1858" s="2064"/>
      <c r="E1858" s="1707"/>
      <c r="F1858" s="1617"/>
      <c r="G1858" s="1995"/>
      <c r="H1858" s="2146"/>
      <c r="I1858" s="2225"/>
      <c r="J1858" s="1707"/>
      <c r="K1858" s="1707"/>
      <c r="L1858" s="1707"/>
      <c r="M1858" s="1707"/>
      <c r="N1858" s="1707"/>
      <c r="O1858" s="1707"/>
      <c r="P1858" s="1617"/>
      <c r="Q1858" s="1617"/>
      <c r="R1858" s="1617"/>
      <c r="S1858" s="1617"/>
      <c r="T1858" s="1617"/>
      <c r="U1858" s="1617"/>
      <c r="V1858" s="1617"/>
      <c r="W1858" s="1617"/>
      <c r="X1858" s="1617"/>
      <c r="Y1858" s="1617"/>
    </row>
    <row r="1859" customFormat="false" ht="15.75" hidden="true" customHeight="true" outlineLevel="1" collapsed="false">
      <c r="A1859" s="1617"/>
      <c r="B1859" s="1568"/>
      <c r="C1859" s="1568"/>
      <c r="D1859" s="1568"/>
      <c r="E1859" s="2361" t="n">
        <f aca="false">SUM(E1830:E1858)</f>
        <v>19623.1625</v>
      </c>
      <c r="F1859" s="2362"/>
      <c r="G1859" s="2363"/>
      <c r="H1859" s="2363"/>
      <c r="I1859" s="2364"/>
      <c r="J1859" s="2363"/>
      <c r="K1859" s="2363"/>
      <c r="L1859" s="2363"/>
      <c r="M1859" s="2363"/>
      <c r="N1859" s="2363"/>
      <c r="O1859" s="1571" t="n">
        <f aca="false">SUM(O1830:O1858)</f>
        <v>10209.875</v>
      </c>
      <c r="P1859" s="1617"/>
      <c r="Q1859" s="1617"/>
      <c r="R1859" s="1617"/>
      <c r="S1859" s="1617"/>
      <c r="T1859" s="1617"/>
      <c r="U1859" s="1617"/>
      <c r="V1859" s="1617"/>
      <c r="W1859" s="1617"/>
      <c r="X1859" s="1617"/>
      <c r="Y1859" s="1617"/>
    </row>
    <row r="1860" customFormat="false" ht="15.75" hidden="true" customHeight="true" outlineLevel="1" collapsed="false">
      <c r="A1860" s="2211" t="s">
        <v>3808</v>
      </c>
      <c r="B1860" s="1564" t="n">
        <f aca="false">E1859</f>
        <v>19623.1625</v>
      </c>
      <c r="C1860" s="1575"/>
      <c r="D1860" s="2363"/>
      <c r="E1860" s="2363"/>
      <c r="F1860" s="2363"/>
      <c r="G1860" s="2363"/>
      <c r="H1860" s="2363"/>
      <c r="I1860" s="2364"/>
      <c r="J1860" s="2363"/>
      <c r="K1860" s="2363"/>
      <c r="L1860" s="2363"/>
      <c r="M1860" s="2363"/>
      <c r="N1860" s="2363"/>
      <c r="O1860" s="2363"/>
      <c r="P1860" s="1617"/>
      <c r="Q1860" s="1617"/>
      <c r="R1860" s="1617"/>
      <c r="S1860" s="1617"/>
      <c r="T1860" s="1617"/>
      <c r="U1860" s="1617"/>
      <c r="V1860" s="1617"/>
      <c r="W1860" s="1617"/>
      <c r="X1860" s="1617"/>
      <c r="Y1860" s="1617"/>
    </row>
    <row r="1861" customFormat="false" ht="15.75" hidden="true" customHeight="true" outlineLevel="1" collapsed="false">
      <c r="A1861" s="2211" t="s">
        <v>3809</v>
      </c>
      <c r="B1861" s="1564" t="n">
        <f aca="false">O1859</f>
        <v>10209.875</v>
      </c>
      <c r="C1861" s="1575"/>
      <c r="D1861" s="2363"/>
      <c r="E1861" s="2363"/>
      <c r="F1861" s="2363"/>
      <c r="G1861" s="2363"/>
      <c r="H1861" s="2363"/>
      <c r="I1861" s="2364"/>
      <c r="J1861" s="2363"/>
      <c r="K1861" s="2363"/>
      <c r="L1861" s="2363"/>
      <c r="M1861" s="2363"/>
      <c r="N1861" s="2363"/>
      <c r="O1861" s="2363"/>
      <c r="P1861" s="1617"/>
      <c r="Q1861" s="1617"/>
      <c r="R1861" s="1617"/>
      <c r="S1861" s="1617"/>
      <c r="T1861" s="1617"/>
      <c r="U1861" s="1617"/>
      <c r="V1861" s="1617"/>
      <c r="W1861" s="1617"/>
      <c r="X1861" s="1617"/>
      <c r="Y1861" s="1617"/>
    </row>
    <row r="1862" customFormat="false" ht="15.75" hidden="true" customHeight="true" outlineLevel="1" collapsed="false">
      <c r="A1862" s="1707" t="s">
        <v>2922</v>
      </c>
      <c r="B1862" s="1564" t="n">
        <f aca="false">SUM(B1860:B1861)</f>
        <v>29833.0375</v>
      </c>
      <c r="C1862" s="1575"/>
      <c r="D1862" s="2363"/>
      <c r="E1862" s="2363"/>
      <c r="F1862" s="2363"/>
      <c r="G1862" s="2363"/>
      <c r="H1862" s="2363"/>
      <c r="I1862" s="2364"/>
      <c r="J1862" s="2363"/>
      <c r="K1862" s="2363"/>
      <c r="L1862" s="2363"/>
      <c r="M1862" s="2363"/>
      <c r="N1862" s="2363"/>
      <c r="O1862" s="2363"/>
      <c r="P1862" s="1617"/>
      <c r="Q1862" s="1617"/>
      <c r="R1862" s="1617"/>
      <c r="S1862" s="1617"/>
      <c r="T1862" s="1617"/>
      <c r="U1862" s="1617"/>
      <c r="V1862" s="1617"/>
      <c r="W1862" s="1617"/>
      <c r="X1862" s="1617"/>
      <c r="Y1862" s="1617"/>
    </row>
    <row r="1863" customFormat="false" ht="15.75" hidden="false" customHeight="true" outlineLevel="0" collapsed="false">
      <c r="A1863" s="1902" t="s">
        <v>3912</v>
      </c>
      <c r="B1863" s="1694"/>
      <c r="C1863" s="1694"/>
      <c r="D1863" s="1902"/>
      <c r="E1863" s="1902"/>
      <c r="F1863" s="1902"/>
      <c r="G1863" s="1694"/>
      <c r="H1863" s="1694"/>
      <c r="I1863" s="2319"/>
      <c r="J1863" s="1617"/>
      <c r="K1863" s="1617"/>
      <c r="L1863" s="1617"/>
      <c r="M1863" s="1617"/>
      <c r="N1863" s="1617"/>
      <c r="O1863" s="1617"/>
      <c r="P1863" s="1617"/>
      <c r="Q1863" s="1617"/>
      <c r="R1863" s="1617"/>
      <c r="S1863" s="1617"/>
      <c r="T1863" s="1617"/>
      <c r="U1863" s="1617"/>
      <c r="V1863" s="1617"/>
      <c r="W1863" s="1617"/>
      <c r="X1863" s="1617"/>
      <c r="Y1863" s="1617"/>
    </row>
    <row r="1864" customFormat="false" ht="15.75" hidden="false" customHeight="true" outlineLevel="0" collapsed="false">
      <c r="A1864" s="1902"/>
      <c r="B1864" s="1694"/>
      <c r="C1864" s="1694"/>
      <c r="D1864" s="1902"/>
      <c r="E1864" s="1902"/>
      <c r="F1864" s="1902"/>
      <c r="G1864" s="1694"/>
      <c r="H1864" s="1694"/>
      <c r="I1864" s="2319"/>
      <c r="J1864" s="1617"/>
      <c r="K1864" s="1617"/>
      <c r="L1864" s="1617"/>
      <c r="M1864" s="1617"/>
      <c r="N1864" s="1617"/>
      <c r="O1864" s="1617"/>
      <c r="P1864" s="1617"/>
      <c r="Q1864" s="1617"/>
      <c r="R1864" s="1617"/>
      <c r="S1864" s="1617"/>
      <c r="T1864" s="1617"/>
      <c r="U1864" s="1617"/>
      <c r="V1864" s="1617"/>
      <c r="W1864" s="1617"/>
      <c r="X1864" s="1617"/>
      <c r="Y1864" s="1617"/>
    </row>
    <row r="1865" customFormat="false" ht="15.75" hidden="true" customHeight="true" outlineLevel="1" collapsed="false">
      <c r="A1865" s="2343" t="s">
        <v>3913</v>
      </c>
      <c r="B1865" s="2344"/>
      <c r="C1865" s="2344"/>
      <c r="D1865" s="2345"/>
      <c r="E1865" s="2345"/>
      <c r="F1865" s="2345"/>
      <c r="G1865" s="2345"/>
      <c r="H1865" s="2345"/>
      <c r="I1865" s="2346"/>
      <c r="J1865" s="2345"/>
      <c r="K1865" s="2345"/>
      <c r="L1865" s="2345"/>
      <c r="M1865" s="2345"/>
      <c r="N1865" s="2345"/>
      <c r="O1865" s="2347"/>
      <c r="P1865" s="1617"/>
      <c r="Q1865" s="1617"/>
      <c r="R1865" s="1617"/>
      <c r="S1865" s="1617"/>
      <c r="T1865" s="1617"/>
      <c r="U1865" s="1617"/>
      <c r="V1865" s="1617"/>
      <c r="W1865" s="1617"/>
      <c r="X1865" s="1617"/>
      <c r="Y1865" s="1617"/>
    </row>
    <row r="1866" customFormat="false" ht="15.75" hidden="true" customHeight="true" outlineLevel="1" collapsed="false">
      <c r="A1866" s="2192" t="s">
        <v>461</v>
      </c>
      <c r="B1866" s="2193"/>
      <c r="C1866" s="2193"/>
      <c r="D1866" s="2194"/>
      <c r="E1866" s="2194"/>
      <c r="F1866" s="2195"/>
      <c r="G1866" s="2244" t="n">
        <f aca="false">G1750</f>
        <v>1.1</v>
      </c>
      <c r="H1866" s="2245"/>
      <c r="I1866" s="2180" t="n">
        <f aca="false">I1750</f>
        <v>1</v>
      </c>
      <c r="J1866" s="2179"/>
      <c r="K1866" s="2179"/>
      <c r="L1866" s="2179"/>
      <c r="M1866" s="2179"/>
      <c r="N1866" s="2179"/>
      <c r="O1866" s="2179"/>
      <c r="P1866" s="1617"/>
      <c r="Q1866" s="1617"/>
      <c r="R1866" s="1617"/>
      <c r="S1866" s="1617"/>
      <c r="T1866" s="1617"/>
      <c r="U1866" s="1617"/>
      <c r="V1866" s="1617"/>
      <c r="W1866" s="1617"/>
      <c r="X1866" s="1617"/>
      <c r="Y1866" s="1617"/>
    </row>
    <row r="1867" customFormat="false" ht="15.75" hidden="true" customHeight="true" outlineLevel="1" collapsed="false">
      <c r="A1867" s="2349"/>
      <c r="B1867" s="2350"/>
      <c r="C1867" s="2351" t="n">
        <f aca="false">C1818</f>
        <v>5</v>
      </c>
      <c r="D1867" s="1617"/>
      <c r="E1867" s="1617"/>
      <c r="F1867" s="1617"/>
      <c r="G1867" s="1617"/>
      <c r="H1867" s="1617"/>
      <c r="I1867" s="2319"/>
      <c r="J1867" s="1617"/>
      <c r="K1867" s="1617"/>
      <c r="L1867" s="1617"/>
      <c r="M1867" s="1617"/>
      <c r="N1867" s="1617"/>
      <c r="O1867" s="1617"/>
      <c r="P1867" s="1617"/>
      <c r="Q1867" s="1617"/>
      <c r="R1867" s="1617"/>
      <c r="S1867" s="1617"/>
      <c r="T1867" s="1617"/>
      <c r="U1867" s="1617"/>
      <c r="V1867" s="1617"/>
      <c r="W1867" s="1617"/>
      <c r="X1867" s="1617"/>
      <c r="Y1867" s="1617"/>
    </row>
    <row r="1868" customFormat="false" ht="15.75" hidden="true" customHeight="true" outlineLevel="1" collapsed="false">
      <c r="A1868" s="2211" t="s">
        <v>3825</v>
      </c>
      <c r="B1868" s="1958" t="s">
        <v>820</v>
      </c>
      <c r="C1868" s="2141" t="n">
        <f aca="false">C1768</f>
        <v>128</v>
      </c>
      <c r="D1868" s="1617"/>
      <c r="E1868" s="1617"/>
      <c r="F1868" s="1617"/>
      <c r="G1868" s="1617"/>
      <c r="H1868" s="1617"/>
      <c r="I1868" s="2319"/>
      <c r="J1868" s="1617"/>
      <c r="K1868" s="1617"/>
      <c r="L1868" s="1617"/>
      <c r="M1868" s="1617"/>
      <c r="N1868" s="1617"/>
      <c r="O1868" s="1617"/>
      <c r="P1868" s="1617"/>
      <c r="Q1868" s="1617"/>
      <c r="R1868" s="1617"/>
      <c r="S1868" s="1617"/>
      <c r="T1868" s="1617"/>
      <c r="U1868" s="1617"/>
      <c r="V1868" s="1617"/>
      <c r="W1868" s="1617"/>
      <c r="X1868" s="1617"/>
      <c r="Y1868" s="1617"/>
    </row>
    <row r="1869" customFormat="false" ht="15.75" hidden="true" customHeight="true" outlineLevel="1" collapsed="false">
      <c r="A1869" s="2211" t="s">
        <v>3826</v>
      </c>
      <c r="B1869" s="1958" t="s">
        <v>820</v>
      </c>
      <c r="C1869" s="2141" t="n">
        <f aca="false">C1769</f>
        <v>128</v>
      </c>
      <c r="D1869" s="1617"/>
      <c r="E1869" s="1617"/>
      <c r="F1869" s="1617"/>
      <c r="G1869" s="1617"/>
      <c r="H1869" s="1617"/>
      <c r="I1869" s="2319"/>
      <c r="J1869" s="1617"/>
      <c r="K1869" s="1617"/>
      <c r="L1869" s="1617"/>
      <c r="M1869" s="1617"/>
      <c r="N1869" s="1617"/>
      <c r="O1869" s="1617"/>
      <c r="P1869" s="1617"/>
      <c r="Q1869" s="1617"/>
      <c r="R1869" s="1617"/>
      <c r="S1869" s="1617"/>
      <c r="T1869" s="1617"/>
      <c r="U1869" s="1617"/>
      <c r="V1869" s="1617"/>
      <c r="W1869" s="1617"/>
      <c r="X1869" s="1617"/>
      <c r="Y1869" s="1617"/>
    </row>
    <row r="1870" customFormat="false" ht="15.75" hidden="true" customHeight="true" outlineLevel="1" collapsed="false">
      <c r="A1870" s="2211" t="s">
        <v>3781</v>
      </c>
      <c r="B1870" s="1958" t="s">
        <v>820</v>
      </c>
      <c r="C1870" s="2213" t="n">
        <f aca="false">связи1!C156</f>
        <v>0</v>
      </c>
      <c r="D1870" s="1617"/>
      <c r="E1870" s="1617"/>
      <c r="F1870" s="1617"/>
      <c r="G1870" s="1436" t="n">
        <f aca="false">C1870*I1870+C1870*2</f>
        <v>0</v>
      </c>
      <c r="H1870" s="1619"/>
      <c r="I1870" s="2319" t="n">
        <f aca="false">(1/C1752)*C1753*2</f>
        <v>1.5</v>
      </c>
      <c r="J1870" s="1617"/>
      <c r="K1870" s="1617"/>
      <c r="L1870" s="1617"/>
      <c r="M1870" s="1617"/>
      <c r="N1870" s="1617"/>
      <c r="O1870" s="1617"/>
      <c r="P1870" s="1617"/>
      <c r="Q1870" s="1617"/>
      <c r="R1870" s="1617"/>
      <c r="S1870" s="1617"/>
      <c r="T1870" s="1617"/>
      <c r="U1870" s="1617"/>
      <c r="V1870" s="1617"/>
      <c r="W1870" s="1617"/>
      <c r="X1870" s="1617"/>
      <c r="Y1870" s="1617"/>
    </row>
    <row r="1871" customFormat="false" ht="15.75" hidden="true" customHeight="true" outlineLevel="1" collapsed="false">
      <c r="A1871" s="2211" t="s">
        <v>3834</v>
      </c>
      <c r="B1871" s="1958" t="s">
        <v>820</v>
      </c>
      <c r="C1871" s="2213" t="n">
        <f aca="false">C1870</f>
        <v>0</v>
      </c>
      <c r="D1871" s="1617"/>
      <c r="E1871" s="1617"/>
      <c r="F1871" s="1617"/>
      <c r="G1871" s="1617"/>
      <c r="H1871" s="1617"/>
      <c r="I1871" s="2319"/>
      <c r="J1871" s="1617"/>
      <c r="K1871" s="1617"/>
      <c r="L1871" s="1617"/>
      <c r="M1871" s="1617"/>
      <c r="N1871" s="1617"/>
      <c r="O1871" s="1617"/>
      <c r="P1871" s="1617"/>
      <c r="Q1871" s="1617"/>
      <c r="R1871" s="1617"/>
      <c r="S1871" s="1617"/>
      <c r="T1871" s="1617"/>
      <c r="U1871" s="1617"/>
      <c r="V1871" s="1617"/>
      <c r="W1871" s="1617"/>
      <c r="X1871" s="1617"/>
      <c r="Y1871" s="1617"/>
    </row>
    <row r="1872" customFormat="false" ht="15.75" hidden="true" customHeight="true" outlineLevel="1" collapsed="false">
      <c r="A1872" s="2211" t="s">
        <v>3909</v>
      </c>
      <c r="B1872" s="1958" t="s">
        <v>820</v>
      </c>
      <c r="C1872" s="2213" t="n">
        <f aca="false">связи1!D156</f>
        <v>0</v>
      </c>
      <c r="D1872" s="1617"/>
      <c r="E1872" s="1617"/>
      <c r="F1872" s="1617"/>
      <c r="G1872" s="1436" t="n">
        <f aca="false">C1872*I1872+C1872*2</f>
        <v>0</v>
      </c>
      <c r="H1872" s="1619"/>
      <c r="I1872" s="2319" t="n">
        <f aca="false">1/C1754*C1755*2</f>
        <v>1.5</v>
      </c>
      <c r="J1872" s="1617"/>
      <c r="K1872" s="1617"/>
      <c r="L1872" s="1617"/>
      <c r="M1872" s="1617"/>
      <c r="N1872" s="1617"/>
      <c r="O1872" s="1617"/>
      <c r="P1872" s="1617"/>
      <c r="Q1872" s="1617"/>
      <c r="R1872" s="1617"/>
      <c r="S1872" s="1617"/>
      <c r="T1872" s="1617"/>
      <c r="U1872" s="1617"/>
      <c r="V1872" s="1617"/>
      <c r="W1872" s="1617"/>
      <c r="X1872" s="1617"/>
      <c r="Y1872" s="1617"/>
    </row>
    <row r="1873" customFormat="false" ht="15.75" hidden="true" customHeight="true" outlineLevel="1" collapsed="false">
      <c r="A1873" s="2211" t="s">
        <v>3910</v>
      </c>
      <c r="B1873" s="1958" t="s">
        <v>820</v>
      </c>
      <c r="C1873" s="2213" t="n">
        <f aca="false">связи1!D156</f>
        <v>0</v>
      </c>
      <c r="D1873" s="1617"/>
      <c r="E1873" s="1617"/>
      <c r="F1873" s="1617"/>
      <c r="G1873" s="1617"/>
      <c r="H1873" s="1617"/>
      <c r="I1873" s="2319"/>
      <c r="J1873" s="1617"/>
      <c r="K1873" s="1617"/>
      <c r="L1873" s="1617"/>
      <c r="M1873" s="1617"/>
      <c r="N1873" s="1617"/>
      <c r="O1873" s="1617"/>
      <c r="P1873" s="1617"/>
      <c r="Q1873" s="1617"/>
      <c r="R1873" s="1617"/>
      <c r="S1873" s="1617"/>
      <c r="T1873" s="1617"/>
      <c r="U1873" s="1617"/>
      <c r="V1873" s="1617"/>
      <c r="W1873" s="1617"/>
      <c r="X1873" s="1617"/>
      <c r="Y1873" s="1617"/>
    </row>
    <row r="1874" customFormat="false" ht="15.75" hidden="true" customHeight="true" outlineLevel="1" collapsed="false">
      <c r="A1874" s="2211" t="s">
        <v>3741</v>
      </c>
      <c r="B1874" s="1958" t="s">
        <v>820</v>
      </c>
      <c r="C1874" s="2213" t="n">
        <f aca="false">связи1!E156</f>
        <v>0</v>
      </c>
      <c r="D1874" s="1617"/>
      <c r="E1874" s="1617"/>
      <c r="F1874" s="1617"/>
      <c r="G1874" s="1436" t="n">
        <f aca="false">C1874*I1874+C1874*2</f>
        <v>0</v>
      </c>
      <c r="H1874" s="1619"/>
      <c r="I1874" s="2319" t="n">
        <f aca="false">1/C1756*C1757*2</f>
        <v>1</v>
      </c>
      <c r="J1874" s="1617"/>
      <c r="K1874" s="1617"/>
      <c r="L1874" s="1617"/>
      <c r="M1874" s="1617"/>
      <c r="N1874" s="1617"/>
      <c r="O1874" s="1617"/>
      <c r="P1874" s="1617"/>
      <c r="Q1874" s="1617"/>
      <c r="R1874" s="1617"/>
      <c r="S1874" s="1617"/>
      <c r="T1874" s="1617"/>
      <c r="U1874" s="1617"/>
      <c r="V1874" s="1617"/>
      <c r="W1874" s="1617"/>
      <c r="X1874" s="1617"/>
      <c r="Y1874" s="1617"/>
    </row>
    <row r="1875" customFormat="false" ht="15.75" hidden="true" customHeight="true" outlineLevel="1" collapsed="false">
      <c r="A1875" s="2211" t="s">
        <v>3786</v>
      </c>
      <c r="B1875" s="1958" t="s">
        <v>820</v>
      </c>
      <c r="C1875" s="2213" t="n">
        <f aca="false">C1873+C1874</f>
        <v>0</v>
      </c>
      <c r="D1875" s="1617"/>
      <c r="E1875" s="1617"/>
      <c r="F1875" s="1617"/>
      <c r="G1875" s="1617" t="n">
        <f aca="false">SUM(G1870:G1874)</f>
        <v>0</v>
      </c>
      <c r="H1875" s="1617"/>
      <c r="I1875" s="2319"/>
      <c r="J1875" s="1617"/>
      <c r="K1875" s="1617"/>
      <c r="L1875" s="1617"/>
      <c r="M1875" s="1617"/>
      <c r="N1875" s="1617"/>
      <c r="O1875" s="1617"/>
      <c r="P1875" s="1617"/>
      <c r="Q1875" s="1617"/>
      <c r="R1875" s="1617"/>
      <c r="S1875" s="1617"/>
      <c r="T1875" s="1617"/>
      <c r="U1875" s="1617"/>
      <c r="V1875" s="1617"/>
      <c r="W1875" s="1617"/>
      <c r="X1875" s="1617"/>
      <c r="Y1875" s="1617"/>
    </row>
    <row r="1876" customFormat="false" ht="15.75" hidden="true" customHeight="true" outlineLevel="1" collapsed="false">
      <c r="A1876" s="2211" t="s">
        <v>3911</v>
      </c>
      <c r="B1876" s="1958" t="s">
        <v>820</v>
      </c>
      <c r="C1876" s="2141" t="n">
        <f aca="false">C1777</f>
        <v>0</v>
      </c>
      <c r="D1876" s="1617"/>
      <c r="E1876" s="1617"/>
      <c r="F1876" s="1617"/>
      <c r="G1876" s="1617"/>
      <c r="H1876" s="1617"/>
      <c r="I1876" s="2319"/>
      <c r="J1876" s="1617"/>
      <c r="K1876" s="1617"/>
      <c r="L1876" s="1617"/>
      <c r="M1876" s="1617"/>
      <c r="N1876" s="1617"/>
      <c r="O1876" s="1617"/>
      <c r="P1876" s="1617"/>
      <c r="Q1876" s="1617"/>
      <c r="R1876" s="1617"/>
      <c r="S1876" s="1617"/>
      <c r="T1876" s="1617"/>
      <c r="U1876" s="1617"/>
      <c r="V1876" s="1617"/>
      <c r="W1876" s="1617"/>
      <c r="X1876" s="1617"/>
      <c r="Y1876" s="1617"/>
    </row>
    <row r="1877" customFormat="false" ht="15.75" hidden="true" customHeight="true" outlineLevel="1" collapsed="false">
      <c r="A1877" s="2354" t="s">
        <v>2246</v>
      </c>
      <c r="B1877" s="2355" t="s">
        <v>1738</v>
      </c>
      <c r="C1877" s="2355" t="s">
        <v>12</v>
      </c>
      <c r="D1877" s="2355" t="s">
        <v>3871</v>
      </c>
      <c r="E1877" s="2356" t="s">
        <v>2916</v>
      </c>
      <c r="F1877" s="1617"/>
      <c r="G1877" s="2349" t="s">
        <v>2007</v>
      </c>
      <c r="H1877" s="2357"/>
      <c r="I1877" s="2358"/>
      <c r="J1877" s="2356" t="s">
        <v>118</v>
      </c>
      <c r="K1877" s="2356" t="s">
        <v>2915</v>
      </c>
      <c r="L1877" s="2356"/>
      <c r="M1877" s="2356"/>
      <c r="N1877" s="2356"/>
      <c r="O1877" s="2356" t="s">
        <v>2916</v>
      </c>
      <c r="P1877" s="1617"/>
      <c r="Q1877" s="1617"/>
      <c r="R1877" s="1617"/>
      <c r="S1877" s="1617"/>
      <c r="T1877" s="1617"/>
      <c r="U1877" s="1617"/>
      <c r="V1877" s="1617"/>
      <c r="W1877" s="1617"/>
      <c r="X1877" s="1617"/>
      <c r="Y1877" s="1617"/>
    </row>
    <row r="1878" customFormat="false" ht="15.75" hidden="true" customHeight="true" outlineLevel="1" collapsed="false">
      <c r="A1878" s="2211" t="str">
        <f aca="false">A1830</f>
        <v>Листв. влаж, 200*200мм</v>
      </c>
      <c r="B1878" s="2064" t="str">
        <f aca="false">B1830</f>
        <v>м3</v>
      </c>
      <c r="C1878" s="2062" t="n">
        <f aca="false">C1830</f>
        <v>4.012</v>
      </c>
      <c r="D1878" s="2062" t="n">
        <f aca="false">D1830</f>
        <v>9000</v>
      </c>
      <c r="E1878" s="2062" t="n">
        <f aca="false">C1878*D1878</f>
        <v>36108</v>
      </c>
      <c r="F1878" s="1617"/>
      <c r="G1878" s="1995" t="s">
        <v>2095</v>
      </c>
      <c r="H1878" s="2146"/>
      <c r="I1878" s="2225"/>
      <c r="J1878" s="1707" t="n">
        <f aca="false">(C1878+C1879+C1880+C1881)*I1866</f>
        <v>0.825</v>
      </c>
      <c r="K1878" s="1707" t="n">
        <f aca="false">'Прайс лист'!G1524</f>
        <v>6000</v>
      </c>
      <c r="L1878" s="1707"/>
      <c r="M1878" s="1707"/>
      <c r="N1878" s="1707"/>
      <c r="O1878" s="1707" t="n">
        <f aca="false">J1878*K1878</f>
        <v>4950</v>
      </c>
      <c r="P1878" s="1617"/>
      <c r="Q1878" s="1617"/>
      <c r="R1878" s="1617"/>
      <c r="S1878" s="1617"/>
      <c r="T1878" s="1617"/>
      <c r="U1878" s="1617"/>
      <c r="V1878" s="1617"/>
      <c r="W1878" s="1617"/>
      <c r="X1878" s="1617"/>
      <c r="Y1878" s="1617"/>
    </row>
    <row r="1879" customFormat="false" ht="15.75" hidden="true" customHeight="true" outlineLevel="1" collapsed="false">
      <c r="A1879" s="2211" t="str">
        <f aca="false">A1831</f>
        <v>Сосна влаж, 200*150мм</v>
      </c>
      <c r="B1879" s="2064" t="str">
        <f aca="false">B1831</f>
        <v>м3</v>
      </c>
      <c r="C1879" s="2062" t="n">
        <f aca="false">(C1867+C1870)*C1753*G1750-C1878</f>
        <v>-3.187</v>
      </c>
      <c r="D1879" s="2062" t="n">
        <f aca="false">D1831</f>
        <v>6500</v>
      </c>
      <c r="E1879" s="2062" t="n">
        <f aca="false">C1879*D1879</f>
        <v>-20715.5</v>
      </c>
      <c r="F1879" s="1617"/>
      <c r="G1879" s="1995"/>
      <c r="H1879" s="2146"/>
      <c r="I1879" s="2225"/>
      <c r="J1879" s="1707"/>
      <c r="K1879" s="1707"/>
      <c r="L1879" s="1707"/>
      <c r="M1879" s="1707"/>
      <c r="N1879" s="1707"/>
      <c r="O1879" s="1707"/>
      <c r="P1879" s="1617"/>
      <c r="Q1879" s="1617"/>
      <c r="R1879" s="1617"/>
      <c r="S1879" s="1617"/>
      <c r="T1879" s="1617"/>
      <c r="U1879" s="1617"/>
      <c r="V1879" s="1617"/>
      <c r="W1879" s="1617"/>
      <c r="X1879" s="1617"/>
      <c r="Y1879" s="1617"/>
    </row>
    <row r="1880" customFormat="false" ht="15.75" hidden="true" customHeight="true" outlineLevel="1" collapsed="false">
      <c r="A1880" s="2211" t="str">
        <f aca="false">A1832</f>
        <v>Сосна влаж, 200*150мм</v>
      </c>
      <c r="B1880" s="2064" t="str">
        <f aca="false">B1832</f>
        <v>м3</v>
      </c>
      <c r="C1880" s="2062" t="n">
        <f aca="false">C1873*C1755*G1750</f>
        <v>0</v>
      </c>
      <c r="D1880" s="2062" t="n">
        <f aca="false">D1832</f>
        <v>6500</v>
      </c>
      <c r="E1880" s="2062" t="n">
        <f aca="false">C1880*D1880</f>
        <v>0</v>
      </c>
      <c r="F1880" s="1617"/>
      <c r="G1880" s="1995" t="s">
        <v>2097</v>
      </c>
      <c r="H1880" s="2146"/>
      <c r="I1880" s="2225"/>
      <c r="J1880" s="1707" t="n">
        <f aca="false">(C1758*F1758+C1759*F1759+C1760*F1760+C1761*F1761+C1762*F1762+C1763*F1763)*I1750</f>
        <v>0</v>
      </c>
      <c r="K1880" s="1707" t="n">
        <f aca="false">'Прайс лист'!G1520</f>
        <v>150</v>
      </c>
      <c r="L1880" s="1707"/>
      <c r="M1880" s="1707"/>
      <c r="N1880" s="1707"/>
      <c r="O1880" s="1707" t="n">
        <f aca="false">J1880*K1880</f>
        <v>0</v>
      </c>
      <c r="P1880" s="1617"/>
      <c r="Q1880" s="1617"/>
      <c r="R1880" s="1617"/>
      <c r="S1880" s="1617"/>
      <c r="T1880" s="1617"/>
      <c r="U1880" s="1617"/>
      <c r="V1880" s="1617"/>
      <c r="W1880" s="1617"/>
      <c r="X1880" s="1617"/>
      <c r="Y1880" s="1617"/>
    </row>
    <row r="1881" customFormat="false" ht="15.75" hidden="true" customHeight="true" outlineLevel="1" collapsed="false">
      <c r="A1881" s="2211" t="str">
        <f aca="false">A1833</f>
        <v>Сосна влаж, 200*100мм</v>
      </c>
      <c r="B1881" s="2064" t="str">
        <f aca="false">B1833</f>
        <v>м2</v>
      </c>
      <c r="C1881" s="2062" t="n">
        <f aca="false">C1874*C1757*G1750</f>
        <v>0</v>
      </c>
      <c r="D1881" s="2062" t="n">
        <f aca="false">D1833</f>
        <v>6500</v>
      </c>
      <c r="E1881" s="2062" t="n">
        <f aca="false">C1881*D1881</f>
        <v>0</v>
      </c>
      <c r="F1881" s="1617"/>
      <c r="G1881" s="1995" t="str">
        <f aca="false">G1832</f>
        <v>обработка торцов на брусе</v>
      </c>
      <c r="H1881" s="1995"/>
      <c r="I1881" s="1995" t="n">
        <f aca="false">I1832</f>
        <v>0</v>
      </c>
      <c r="J1881" s="1995" t="n">
        <f aca="false">J1832</f>
        <v>20</v>
      </c>
      <c r="K1881" s="1995" t="n">
        <f aca="false">K1832</f>
        <v>250</v>
      </c>
      <c r="L1881" s="1995" t="n">
        <f aca="false">L1832</f>
        <v>0</v>
      </c>
      <c r="M1881" s="1995"/>
      <c r="N1881" s="1995"/>
      <c r="O1881" s="1995" t="n">
        <f aca="false">O1832</f>
        <v>5000</v>
      </c>
      <c r="P1881" s="1617"/>
      <c r="Q1881" s="1617"/>
      <c r="R1881" s="1617"/>
      <c r="S1881" s="1617"/>
      <c r="T1881" s="1617"/>
      <c r="U1881" s="1617"/>
      <c r="V1881" s="1617"/>
      <c r="W1881" s="1617"/>
      <c r="X1881" s="1617"/>
      <c r="Y1881" s="1617"/>
    </row>
    <row r="1882" customFormat="false" ht="15.75" hidden="true" customHeight="true" outlineLevel="1" collapsed="false">
      <c r="A1882" s="2211" t="str">
        <f aca="false">'Ввод данных'!A1027</f>
        <v>Шкант</v>
      </c>
      <c r="B1882" s="2064" t="str">
        <f aca="false">B1834</f>
        <v>шт</v>
      </c>
      <c r="C1882" s="2062" t="n">
        <f aca="false">CEILING((C1878+C1879+C1880+C1881)*20*G1750,1)</f>
        <v>19</v>
      </c>
      <c r="D1882" s="2062" t="n">
        <f aca="false">VLOOKUP('Ввод данных'!A1027,связи1!A458:B460,2,0)</f>
        <v>6</v>
      </c>
      <c r="E1882" s="2062" t="n">
        <f aca="false">C1882*D1882</f>
        <v>114</v>
      </c>
      <c r="F1882" s="1617"/>
      <c r="G1882" s="1995" t="str">
        <f aca="false">G1833</f>
        <v>Обаботка огнебиозащитой</v>
      </c>
      <c r="H1882" s="2146"/>
      <c r="I1882" s="2225"/>
      <c r="J1882" s="1707" t="n">
        <f aca="false">SUM(C1878:C1881)*IF('Ввод данных'!A1034='Прайс лист'!B584,0,1)</f>
        <v>0.825</v>
      </c>
      <c r="K1882" s="1707" t="n">
        <f aca="false">K1833</f>
        <v>300</v>
      </c>
      <c r="L1882" s="1707"/>
      <c r="M1882" s="1707"/>
      <c r="N1882" s="1707"/>
      <c r="O1882" s="1995" t="n">
        <f aca="false">O1833</f>
        <v>259.875</v>
      </c>
      <c r="P1882" s="1617"/>
      <c r="Q1882" s="1617"/>
      <c r="R1882" s="1617"/>
      <c r="S1882" s="1617"/>
      <c r="T1882" s="1617"/>
      <c r="U1882" s="1617"/>
      <c r="V1882" s="1617"/>
      <c r="W1882" s="1617"/>
      <c r="X1882" s="1617"/>
      <c r="Y1882" s="1617"/>
    </row>
    <row r="1883" customFormat="false" ht="15.75" hidden="true" customHeight="true" outlineLevel="1" collapsed="false">
      <c r="A1883" s="2211" t="str">
        <f aca="false">'Прайс лист'!B433</f>
        <v>Лента уплотнения</v>
      </c>
      <c r="B1883" s="2064" t="str">
        <f aca="false">B1835</f>
        <v>шт</v>
      </c>
      <c r="C1883" s="2062" t="n">
        <f aca="false">CEILING((C1870+C1873+C1874)/VLOOKUP(A1879,'Прайс лист'!B340:G426,3,0)/20*G1750*1.3,1)</f>
        <v>0</v>
      </c>
      <c r="D1883" s="2062" t="n">
        <f aca="false">'Прайс лист'!G433</f>
        <v>130</v>
      </c>
      <c r="E1883" s="2062" t="n">
        <f aca="false">C1883*D1883</f>
        <v>0</v>
      </c>
      <c r="F1883" s="1617"/>
      <c r="G1883" s="1995" t="str">
        <f aca="false">G1834</f>
        <v>Пропитка стен внешних</v>
      </c>
      <c r="H1883" s="1995"/>
      <c r="I1883" s="1633"/>
      <c r="J1883" s="1436" t="n">
        <f aca="false">C1870*IF('Ввод данных'!A1039='Прайс лист'!B1359,0,1)</f>
        <v>0</v>
      </c>
      <c r="K1883" s="1707" t="n">
        <f aca="false">K1834</f>
        <v>100</v>
      </c>
      <c r="L1883" s="1436"/>
      <c r="M1883" s="1436"/>
      <c r="N1883" s="1436"/>
      <c r="O1883" s="1995" t="n">
        <f aca="false">O1834</f>
        <v>0</v>
      </c>
      <c r="P1883" s="1617"/>
      <c r="Q1883" s="1617"/>
      <c r="R1883" s="1617"/>
      <c r="S1883" s="1617"/>
      <c r="T1883" s="1617"/>
      <c r="U1883" s="1617"/>
      <c r="V1883" s="1617"/>
      <c r="W1883" s="1617"/>
      <c r="X1883" s="1617"/>
      <c r="Y1883" s="1617"/>
    </row>
    <row r="1884" customFormat="false" ht="15.75" hidden="true" customHeight="true" outlineLevel="1" collapsed="false">
      <c r="A1884" s="2211" t="str">
        <f aca="false">A1836</f>
        <v>Гвозди строительные 3,5 x 90            </v>
      </c>
      <c r="B1884" s="2064" t="str">
        <f aca="false">B1836</f>
        <v>шт</v>
      </c>
      <c r="C1884" s="2062" t="n">
        <f aca="false">C1836</f>
        <v>4.4</v>
      </c>
      <c r="D1884" s="2062" t="n">
        <f aca="false">D1836</f>
        <v>70</v>
      </c>
      <c r="E1884" s="2062" t="n">
        <f aca="false">C1884*D1884</f>
        <v>308</v>
      </c>
      <c r="F1884" s="1617"/>
      <c r="G1884" s="1995" t="str">
        <f aca="false">G1835</f>
        <v>Пропитка внутенних стен</v>
      </c>
      <c r="H1884" s="2146"/>
      <c r="I1884" s="2225"/>
      <c r="J1884" s="1707" t="n">
        <f aca="false">(C1870+C1875*2)*IF('Ввод данных'!A1044='Прайс лист'!B1359,0,1)</f>
        <v>0</v>
      </c>
      <c r="K1884" s="1707" t="n">
        <f aca="false">K1835</f>
        <v>100</v>
      </c>
      <c r="L1884" s="1707"/>
      <c r="M1884" s="1707"/>
      <c r="N1884" s="1707"/>
      <c r="O1884" s="1995" t="n">
        <f aca="false">O1835</f>
        <v>0</v>
      </c>
      <c r="P1884" s="1617"/>
      <c r="Q1884" s="1617"/>
      <c r="R1884" s="1617"/>
      <c r="S1884" s="1617"/>
      <c r="T1884" s="1617"/>
      <c r="U1884" s="1617"/>
      <c r="V1884" s="1617"/>
      <c r="W1884" s="1617"/>
      <c r="X1884" s="1617"/>
      <c r="Y1884" s="1617"/>
    </row>
    <row r="1885" customFormat="false" ht="15.75" hidden="true" customHeight="true" outlineLevel="1" collapsed="false">
      <c r="A1885" s="2211" t="str">
        <f aca="false">A1837</f>
        <v>нет</v>
      </c>
      <c r="B1885" s="2064" t="str">
        <f aca="false">B1837</f>
        <v>м3</v>
      </c>
      <c r="C1885" s="2062" t="n">
        <f aca="false">((C1758*F1758+C1759*F1759)*G1750*VLOOKUP(A1793,связи1!A406:E415,5,0))</f>
        <v>0</v>
      </c>
      <c r="D1885" s="2062" t="n">
        <f aca="false">D1837</f>
        <v>0</v>
      </c>
      <c r="E1885" s="2062" t="n">
        <f aca="false">C1885*D1885</f>
        <v>0</v>
      </c>
      <c r="F1885" s="1617"/>
      <c r="G1885" s="1995" t="str">
        <f aca="false">G1792</f>
        <v>Не считать</v>
      </c>
      <c r="H1885" s="1995"/>
      <c r="I1885" s="1995" t="n">
        <f aca="false">I1792</f>
        <v>0</v>
      </c>
      <c r="J1885" s="1995" t="n">
        <f aca="false">J1792</f>
        <v>0</v>
      </c>
      <c r="K1885" s="1995" t="n">
        <f aca="false">K1792</f>
        <v>300</v>
      </c>
      <c r="L1885" s="1707"/>
      <c r="M1885" s="1707"/>
      <c r="N1885" s="1707"/>
      <c r="O1885" s="1707"/>
      <c r="P1885" s="1617"/>
      <c r="Q1885" s="1617"/>
      <c r="R1885" s="1617"/>
      <c r="S1885" s="1617"/>
      <c r="T1885" s="1617"/>
      <c r="U1885" s="1617"/>
      <c r="V1885" s="1617"/>
      <c r="W1885" s="1617"/>
      <c r="X1885" s="1617"/>
      <c r="Y1885" s="1617"/>
    </row>
    <row r="1886" customFormat="false" ht="15.75" hidden="true" customHeight="true" outlineLevel="1" collapsed="false">
      <c r="A1886" s="2211" t="str">
        <f aca="false">A1838</f>
        <v>нет</v>
      </c>
      <c r="B1886" s="2064" t="str">
        <f aca="false">B1838</f>
        <v>м3</v>
      </c>
      <c r="C1886" s="2062" t="n">
        <f aca="false">((C1760*F1760+C1762*F1762)*G1750*VLOOKUP(A1794,связи1!A406:E415,5,0))</f>
        <v>0</v>
      </c>
      <c r="D1886" s="2062" t="n">
        <f aca="false">D1838</f>
        <v>0</v>
      </c>
      <c r="E1886" s="2062" t="n">
        <f aca="false">C1886*D1886</f>
        <v>0</v>
      </c>
      <c r="F1886" s="1617"/>
      <c r="G1886" s="1995" t="str">
        <f aca="false">G1793</f>
        <v>Монтаж наличника</v>
      </c>
      <c r="H1886" s="2146"/>
      <c r="I1886" s="2225"/>
      <c r="J1886" s="1995" t="n">
        <f aca="false">J1793</f>
        <v>0</v>
      </c>
      <c r="K1886" s="1995" t="n">
        <f aca="false">K1793</f>
        <v>80</v>
      </c>
      <c r="L1886" s="1707"/>
      <c r="M1886" s="1707"/>
      <c r="N1886" s="1707"/>
      <c r="O1886" s="1707"/>
      <c r="P1886" s="1617"/>
      <c r="Q1886" s="1617"/>
      <c r="R1886" s="1617"/>
      <c r="S1886" s="1617"/>
      <c r="T1886" s="1617"/>
      <c r="U1886" s="1617"/>
      <c r="V1886" s="1617"/>
      <c r="W1886" s="1617"/>
      <c r="X1886" s="1617"/>
      <c r="Y1886" s="1617"/>
    </row>
    <row r="1887" customFormat="false" ht="15.75" hidden="true" customHeight="true" outlineLevel="1" collapsed="false">
      <c r="A1887" s="2211" t="str">
        <f aca="false">A1839</f>
        <v>нет</v>
      </c>
      <c r="B1887" s="2064" t="str">
        <f aca="false">B1839</f>
        <v>м3</v>
      </c>
      <c r="C1887" s="2062" t="n">
        <f aca="false">VLOOKUP(A1795,связи1!A406:E415,5,0)*(C1761*F1761+C1763*F1763)*G1750</f>
        <v>0</v>
      </c>
      <c r="D1887" s="2062" t="n">
        <f aca="false">D1839</f>
        <v>0</v>
      </c>
      <c r="E1887" s="2062" t="n">
        <f aca="false">C1887*D1887</f>
        <v>0</v>
      </c>
      <c r="F1887" s="1617"/>
      <c r="G1887" s="1995"/>
      <c r="H1887" s="2146"/>
      <c r="I1887" s="2152"/>
      <c r="J1887" s="1995"/>
      <c r="K1887" s="1995"/>
      <c r="L1887" s="1707"/>
      <c r="M1887" s="1707"/>
      <c r="N1887" s="1707"/>
      <c r="O1887" s="1707"/>
      <c r="P1887" s="1617"/>
      <c r="Q1887" s="1617"/>
      <c r="R1887" s="1617"/>
      <c r="S1887" s="1617"/>
      <c r="T1887" s="1617"/>
      <c r="U1887" s="1617"/>
      <c r="V1887" s="1617"/>
      <c r="W1887" s="1617"/>
      <c r="X1887" s="1617"/>
      <c r="Y1887" s="1617"/>
    </row>
    <row r="1888" customFormat="false" ht="15.75" hidden="true" customHeight="true" outlineLevel="1" collapsed="false">
      <c r="A1888" s="2211" t="str">
        <f aca="false">A1840</f>
        <v>нет</v>
      </c>
      <c r="B1888" s="2064" t="str">
        <f aca="false">B1840</f>
        <v>м.п.</v>
      </c>
      <c r="C1888" s="2062" t="n">
        <f aca="false">C1840</f>
        <v>0</v>
      </c>
      <c r="D1888" s="2062" t="n">
        <f aca="false">D1840</f>
        <v>0</v>
      </c>
      <c r="E1888" s="2062" t="n">
        <f aca="false">C1888*D1888</f>
        <v>0</v>
      </c>
      <c r="F1888" s="1617"/>
      <c r="G1888" s="1995" t="str">
        <f aca="false">G1838</f>
        <v>Шлифовка стен дома</v>
      </c>
      <c r="H1888" s="1995"/>
      <c r="I1888" s="1995" t="n">
        <f aca="false">I1838</f>
        <v>0</v>
      </c>
      <c r="J1888" s="1995" t="n">
        <f aca="false">C1870*IF('Ввод данных'!A1057=связи1!A560,1,0)+(C1870+C1875*2)*IF('Ввод данных'!A1060=связи1!A563,1,0)</f>
        <v>0</v>
      </c>
      <c r="K1888" s="1995" t="n">
        <f aca="false">K1838</f>
        <v>250</v>
      </c>
      <c r="L1888" s="1707"/>
      <c r="M1888" s="1707"/>
      <c r="N1888" s="1707"/>
      <c r="O1888" s="1707"/>
      <c r="P1888" s="1617"/>
      <c r="Q1888" s="1617"/>
      <c r="R1888" s="1617"/>
      <c r="S1888" s="1617"/>
      <c r="T1888" s="1617"/>
      <c r="U1888" s="1617"/>
      <c r="V1888" s="1617"/>
      <c r="W1888" s="1617"/>
      <c r="X1888" s="1617"/>
      <c r="Y1888" s="1617"/>
    </row>
    <row r="1889" customFormat="false" ht="15.75" hidden="true" customHeight="true" outlineLevel="1" collapsed="false">
      <c r="A1889" s="2211" t="str">
        <f aca="false">A1841</f>
        <v>Бензин для пилы</v>
      </c>
      <c r="B1889" s="2064" t="str">
        <f aca="false">B1841</f>
        <v>л</v>
      </c>
      <c r="C1889" s="2062" t="n">
        <f aca="false">SUM(C1878:C1881)/5</f>
        <v>0.165</v>
      </c>
      <c r="D1889" s="2062" t="n">
        <f aca="false">D1841</f>
        <v>40</v>
      </c>
      <c r="E1889" s="2062" t="n">
        <f aca="false">C1889*D1889</f>
        <v>6.6</v>
      </c>
      <c r="F1889" s="1617"/>
      <c r="G1889" s="1995"/>
      <c r="H1889" s="2146"/>
      <c r="I1889" s="2225"/>
      <c r="J1889" s="1707"/>
      <c r="K1889" s="1707"/>
      <c r="L1889" s="1707"/>
      <c r="M1889" s="1707"/>
      <c r="N1889" s="1707"/>
      <c r="O1889" s="1707"/>
      <c r="P1889" s="1617"/>
      <c r="Q1889" s="1617"/>
      <c r="R1889" s="1617"/>
      <c r="S1889" s="1617"/>
      <c r="T1889" s="1617"/>
      <c r="U1889" s="1617"/>
      <c r="V1889" s="1617"/>
      <c r="W1889" s="1617"/>
      <c r="X1889" s="1617"/>
      <c r="Y1889" s="1617"/>
    </row>
    <row r="1890" customFormat="false" ht="15.75" hidden="true" customHeight="true" outlineLevel="1" collapsed="false">
      <c r="A1890" s="2211" t="str">
        <f aca="false">A1842</f>
        <v>Масло для пилы</v>
      </c>
      <c r="B1890" s="2064" t="str">
        <f aca="false">B1842</f>
        <v>л</v>
      </c>
      <c r="C1890" s="2062" t="n">
        <f aca="false">C1889/20</f>
        <v>0.00825</v>
      </c>
      <c r="D1890" s="2062" t="n">
        <f aca="false">D1842</f>
        <v>250</v>
      </c>
      <c r="E1890" s="2062" t="n">
        <f aca="false">C1890*D1890</f>
        <v>2.0625</v>
      </c>
      <c r="F1890" s="1617"/>
      <c r="G1890" s="1995"/>
      <c r="H1890" s="2146"/>
      <c r="I1890" s="2225"/>
      <c r="J1890" s="1707"/>
      <c r="K1890" s="1707"/>
      <c r="L1890" s="1707"/>
      <c r="M1890" s="1707"/>
      <c r="N1890" s="1707"/>
      <c r="O1890" s="1707"/>
      <c r="P1890" s="1617"/>
      <c r="Q1890" s="1617"/>
      <c r="R1890" s="1617"/>
      <c r="S1890" s="1617"/>
      <c r="T1890" s="1617"/>
      <c r="U1890" s="1617"/>
      <c r="V1890" s="1617"/>
      <c r="W1890" s="1617"/>
      <c r="X1890" s="1617"/>
      <c r="Y1890" s="1617"/>
    </row>
    <row r="1891" customFormat="false" ht="15.75" hidden="true" customHeight="true" outlineLevel="1" collapsed="false">
      <c r="A1891" s="2211" t="str">
        <f aca="false">A1843</f>
        <v>Цепь для пилы</v>
      </c>
      <c r="B1891" s="2064" t="str">
        <f aca="false">B1843</f>
        <v>л</v>
      </c>
      <c r="C1891" s="2062" t="n">
        <f aca="false">CEILING((SUM(C1878:C1881)/10),1)</f>
        <v>1</v>
      </c>
      <c r="D1891" s="2062" t="n">
        <f aca="false">D1843</f>
        <v>800</v>
      </c>
      <c r="E1891" s="2062" t="n">
        <f aca="false">C1891*D1891</f>
        <v>800</v>
      </c>
      <c r="F1891" s="1617"/>
      <c r="G1891" s="1995"/>
      <c r="H1891" s="2146"/>
      <c r="I1891" s="2225"/>
      <c r="J1891" s="1707"/>
      <c r="K1891" s="1707"/>
      <c r="L1891" s="1707"/>
      <c r="M1891" s="1707"/>
      <c r="N1891" s="1707"/>
      <c r="O1891" s="1707"/>
      <c r="P1891" s="1617"/>
      <c r="Q1891" s="1617"/>
      <c r="R1891" s="1617"/>
      <c r="S1891" s="1617"/>
      <c r="T1891" s="1617"/>
      <c r="U1891" s="1617"/>
      <c r="V1891" s="1617"/>
      <c r="W1891" s="1617"/>
      <c r="X1891" s="1617"/>
      <c r="Y1891" s="1617"/>
    </row>
    <row r="1892" customFormat="false" ht="15.75" hidden="true" customHeight="true" outlineLevel="1" collapsed="false">
      <c r="A1892" s="2211" t="str">
        <f aca="false">A1844</f>
        <v>"Профилюкс" Антисептик ОБЗ-1</v>
      </c>
      <c r="B1892" s="2064" t="str">
        <f aca="false">B1844</f>
        <v>л</v>
      </c>
      <c r="C1892" s="2062" t="n">
        <f aca="false">G1875*'Ввод данных'!C1035*'Ввод данных'!C1036</f>
        <v>0</v>
      </c>
      <c r="D1892" s="2062" t="n">
        <f aca="false">D1844</f>
        <v>42</v>
      </c>
      <c r="E1892" s="2062" t="n">
        <f aca="false">C1892*D1892</f>
        <v>0</v>
      </c>
      <c r="F1892" s="1617"/>
      <c r="G1892" s="1995"/>
      <c r="H1892" s="2146"/>
      <c r="I1892" s="2225"/>
      <c r="J1892" s="1707"/>
      <c r="K1892" s="1707"/>
      <c r="L1892" s="1707"/>
      <c r="M1892" s="1707"/>
      <c r="N1892" s="1707"/>
      <c r="O1892" s="1707"/>
      <c r="P1892" s="1617"/>
      <c r="Q1892" s="1617"/>
      <c r="R1892" s="1617"/>
      <c r="S1892" s="1617"/>
      <c r="T1892" s="1617"/>
      <c r="U1892" s="1617"/>
      <c r="V1892" s="1617"/>
      <c r="W1892" s="1617"/>
      <c r="X1892" s="1617"/>
      <c r="Y1892" s="1617"/>
    </row>
    <row r="1893" customFormat="false" ht="15.75" hidden="true" customHeight="true" outlineLevel="1" collapsed="false">
      <c r="A1893" s="2211" t="str">
        <f aca="false">A1845</f>
        <v>Нет пропитки</v>
      </c>
      <c r="B1893" s="2064" t="str">
        <f aca="false">B1845</f>
        <v>л</v>
      </c>
      <c r="C1893" s="2062" t="n">
        <f aca="false">C1870*'Ввод данных'!C1040*'Ввод данных'!C1041</f>
        <v>0</v>
      </c>
      <c r="D1893" s="2062" t="n">
        <f aca="false">D1845</f>
        <v>0</v>
      </c>
      <c r="E1893" s="2062" t="n">
        <f aca="false">C1893*D1893</f>
        <v>0</v>
      </c>
      <c r="F1893" s="1617"/>
      <c r="G1893" s="1995"/>
      <c r="H1893" s="2146"/>
      <c r="I1893" s="2225"/>
      <c r="J1893" s="1707"/>
      <c r="K1893" s="1707"/>
      <c r="L1893" s="1707"/>
      <c r="M1893" s="1707"/>
      <c r="N1893" s="1707"/>
      <c r="O1893" s="1707"/>
      <c r="P1893" s="1617"/>
      <c r="Q1893" s="1617"/>
      <c r="R1893" s="1617"/>
      <c r="S1893" s="1617"/>
      <c r="T1893" s="1617"/>
      <c r="U1893" s="1617"/>
      <c r="V1893" s="1617"/>
      <c r="W1893" s="1617"/>
      <c r="X1893" s="1617"/>
      <c r="Y1893" s="1617"/>
    </row>
    <row r="1894" customFormat="false" ht="15.75" hidden="true" customHeight="true" outlineLevel="1" collapsed="false">
      <c r="A1894" s="2211" t="str">
        <f aca="false">A1846</f>
        <v>Нет пропитки</v>
      </c>
      <c r="B1894" s="2064" t="str">
        <f aca="false">B1846</f>
        <v>л</v>
      </c>
      <c r="C1894" s="2062" t="n">
        <f aca="false">(C1870+C1875*2)*'Ввод данных'!C1045*'Ввод данных'!C1046</f>
        <v>0</v>
      </c>
      <c r="D1894" s="2062" t="n">
        <f aca="false">D1846</f>
        <v>0</v>
      </c>
      <c r="E1894" s="2062" t="n">
        <f aca="false">C1894*D1894</f>
        <v>0</v>
      </c>
      <c r="F1894" s="1617"/>
      <c r="G1894" s="1995"/>
      <c r="H1894" s="2146"/>
      <c r="I1894" s="2225"/>
      <c r="J1894" s="1707"/>
      <c r="K1894" s="1707"/>
      <c r="L1894" s="1707"/>
      <c r="M1894" s="1707"/>
      <c r="N1894" s="1707"/>
      <c r="O1894" s="1707"/>
      <c r="P1894" s="1617"/>
      <c r="Q1894" s="1617"/>
      <c r="R1894" s="1617"/>
      <c r="S1894" s="1617"/>
      <c r="T1894" s="1617"/>
      <c r="U1894" s="1617"/>
      <c r="V1894" s="1617"/>
      <c r="W1894" s="1617"/>
      <c r="X1894" s="1617"/>
      <c r="Y1894" s="1617"/>
    </row>
    <row r="1895" customFormat="false" ht="15.75" hidden="true" customHeight="true" outlineLevel="1" collapsed="false">
      <c r="A1895" s="2211" t="str">
        <f aca="false">A1847</f>
        <v>Нет наличника</v>
      </c>
      <c r="B1895" s="2064" t="str">
        <f aca="false">B1847</f>
        <v>м.п.</v>
      </c>
      <c r="C1895" s="2211" t="n">
        <f aca="false">C1847</f>
        <v>3.57</v>
      </c>
      <c r="D1895" s="2211" t="n">
        <f aca="false">D1847</f>
        <v>0</v>
      </c>
      <c r="E1895" s="2062" t="n">
        <f aca="false">C1895*D1895</f>
        <v>0</v>
      </c>
      <c r="F1895" s="1617"/>
      <c r="G1895" s="1995"/>
      <c r="H1895" s="2146"/>
      <c r="I1895" s="2225"/>
      <c r="J1895" s="1707"/>
      <c r="K1895" s="1707"/>
      <c r="L1895" s="1707"/>
      <c r="M1895" s="1707"/>
      <c r="N1895" s="1707"/>
      <c r="O1895" s="1707"/>
      <c r="P1895" s="1617"/>
      <c r="Q1895" s="1617"/>
      <c r="R1895" s="1617"/>
      <c r="S1895" s="1617"/>
      <c r="T1895" s="1617"/>
      <c r="U1895" s="1617"/>
      <c r="V1895" s="1617"/>
      <c r="W1895" s="1617"/>
      <c r="X1895" s="1617"/>
      <c r="Y1895" s="1617"/>
    </row>
    <row r="1896" customFormat="false" ht="15.75" hidden="true" customHeight="true" outlineLevel="1" collapsed="false">
      <c r="A1896" s="2211" t="str">
        <f aca="false">A1848</f>
        <v>Нет наличника</v>
      </c>
      <c r="B1896" s="2064" t="str">
        <f aca="false">B1848</f>
        <v>м.п.</v>
      </c>
      <c r="C1896" s="2211" t="n">
        <f aca="false">C1848</f>
        <v>3.57</v>
      </c>
      <c r="D1896" s="2211" t="n">
        <f aca="false">D1848</f>
        <v>0</v>
      </c>
      <c r="E1896" s="2062" t="n">
        <f aca="false">C1896*D1896</f>
        <v>0</v>
      </c>
      <c r="F1896" s="1617"/>
      <c r="G1896" s="1995"/>
      <c r="H1896" s="2146"/>
      <c r="I1896" s="2225"/>
      <c r="J1896" s="1707"/>
      <c r="K1896" s="1707"/>
      <c r="L1896" s="1707"/>
      <c r="M1896" s="1707"/>
      <c r="N1896" s="1707"/>
      <c r="O1896" s="1707"/>
      <c r="P1896" s="1617"/>
      <c r="Q1896" s="1617"/>
      <c r="R1896" s="1617"/>
      <c r="S1896" s="1617"/>
      <c r="T1896" s="1617"/>
      <c r="U1896" s="1617"/>
      <c r="V1896" s="1617"/>
      <c r="W1896" s="1617"/>
      <c r="X1896" s="1617"/>
      <c r="Y1896" s="1617"/>
    </row>
    <row r="1897" customFormat="false" ht="15.75" hidden="true" customHeight="true" outlineLevel="1" collapsed="false">
      <c r="A1897" s="2211" t="str">
        <f aca="false">A1849</f>
        <v>Нет наждачной бумаги</v>
      </c>
      <c r="B1897" s="2211" t="str">
        <f aca="false">B1849</f>
        <v>м</v>
      </c>
      <c r="C1897" s="2211" t="n">
        <f aca="false">C1849</f>
        <v>0</v>
      </c>
      <c r="D1897" s="2211" t="n">
        <f aca="false">D1849</f>
        <v>0</v>
      </c>
      <c r="E1897" s="2062" t="n">
        <f aca="false">C1897*D1897</f>
        <v>0</v>
      </c>
      <c r="F1897" s="1617"/>
      <c r="G1897" s="1995"/>
      <c r="H1897" s="2146"/>
      <c r="I1897" s="2225"/>
      <c r="J1897" s="1707"/>
      <c r="K1897" s="1707"/>
      <c r="L1897" s="1707"/>
      <c r="M1897" s="1707"/>
      <c r="N1897" s="1707"/>
      <c r="O1897" s="1707"/>
      <c r="P1897" s="1617"/>
      <c r="Q1897" s="1617"/>
      <c r="R1897" s="1617"/>
      <c r="S1897" s="1617"/>
      <c r="T1897" s="1617"/>
      <c r="U1897" s="1617"/>
      <c r="V1897" s="1617"/>
      <c r="W1897" s="1617"/>
      <c r="X1897" s="1617"/>
      <c r="Y1897" s="1617"/>
    </row>
    <row r="1898" customFormat="false" ht="15.75" hidden="true" customHeight="true" outlineLevel="1" collapsed="false">
      <c r="A1898" s="2211" t="str">
        <f aca="false">A1850</f>
        <v>Нет наждачной бумаги</v>
      </c>
      <c r="B1898" s="2211" t="str">
        <f aca="false">B1850</f>
        <v>м</v>
      </c>
      <c r="C1898" s="2211" t="n">
        <f aca="false">C1850</f>
        <v>0</v>
      </c>
      <c r="D1898" s="2211" t="n">
        <f aca="false">D1850</f>
        <v>0</v>
      </c>
      <c r="E1898" s="2062" t="n">
        <f aca="false">C1898*D1898</f>
        <v>0</v>
      </c>
      <c r="F1898" s="1617"/>
      <c r="G1898" s="1995"/>
      <c r="H1898" s="2146"/>
      <c r="I1898" s="2225"/>
      <c r="J1898" s="1707"/>
      <c r="K1898" s="1707"/>
      <c r="L1898" s="1707"/>
      <c r="M1898" s="1707"/>
      <c r="N1898" s="1707"/>
      <c r="O1898" s="1707"/>
      <c r="P1898" s="1617"/>
      <c r="Q1898" s="1617"/>
      <c r="R1898" s="1617"/>
      <c r="S1898" s="1617"/>
      <c r="T1898" s="1617"/>
      <c r="U1898" s="1617"/>
      <c r="V1898" s="1617"/>
      <c r="W1898" s="1617"/>
      <c r="X1898" s="1617"/>
      <c r="Y1898" s="1617"/>
    </row>
    <row r="1899" customFormat="false" ht="15.75" hidden="true" customHeight="true" outlineLevel="1" collapsed="false">
      <c r="A1899" s="2211" t="str">
        <f aca="false">A1851</f>
        <v>Нет наждачной бумаги</v>
      </c>
      <c r="B1899" s="2211" t="str">
        <f aca="false">B1851</f>
        <v>м</v>
      </c>
      <c r="C1899" s="2211" t="n">
        <f aca="false">C1851</f>
        <v>0</v>
      </c>
      <c r="D1899" s="2211" t="n">
        <f aca="false">D1851</f>
        <v>0</v>
      </c>
      <c r="E1899" s="2062" t="n">
        <f aca="false">C1899*D1899</f>
        <v>0</v>
      </c>
      <c r="F1899" s="1617"/>
      <c r="G1899" s="1995"/>
      <c r="H1899" s="2146"/>
      <c r="I1899" s="2225"/>
      <c r="J1899" s="1707"/>
      <c r="K1899" s="1707"/>
      <c r="L1899" s="1707"/>
      <c r="M1899" s="1707"/>
      <c r="N1899" s="1707"/>
      <c r="O1899" s="1707"/>
      <c r="P1899" s="1617"/>
      <c r="Q1899" s="1617"/>
      <c r="R1899" s="1617"/>
      <c r="S1899" s="1617"/>
      <c r="T1899" s="1617"/>
      <c r="U1899" s="1617"/>
      <c r="V1899" s="1617"/>
      <c r="W1899" s="1617"/>
      <c r="X1899" s="1617"/>
      <c r="Y1899" s="1617"/>
    </row>
    <row r="1900" customFormat="false" ht="15.75" hidden="true" customHeight="true" outlineLevel="1" collapsed="false">
      <c r="A1900" s="2211" t="str">
        <f aca="false">A1852</f>
        <v>Нет наждачной бумаги</v>
      </c>
      <c r="B1900" s="2211" t="str">
        <f aca="false">B1852</f>
        <v>м</v>
      </c>
      <c r="C1900" s="2211" t="n">
        <f aca="false">C1852</f>
        <v>0</v>
      </c>
      <c r="D1900" s="2211" t="n">
        <f aca="false">D1852</f>
        <v>0</v>
      </c>
      <c r="E1900" s="2062" t="n">
        <f aca="false">C1900*D1900</f>
        <v>0</v>
      </c>
      <c r="F1900" s="1617"/>
      <c r="G1900" s="1995"/>
      <c r="H1900" s="2146"/>
      <c r="I1900" s="2225"/>
      <c r="J1900" s="1707"/>
      <c r="K1900" s="1707"/>
      <c r="L1900" s="1707"/>
      <c r="M1900" s="1707"/>
      <c r="N1900" s="1707"/>
      <c r="O1900" s="1707"/>
      <c r="P1900" s="1617"/>
      <c r="Q1900" s="1617"/>
      <c r="R1900" s="1617"/>
      <c r="S1900" s="1617"/>
      <c r="T1900" s="1617"/>
      <c r="U1900" s="1617"/>
      <c r="V1900" s="1617"/>
      <c r="W1900" s="1617"/>
      <c r="X1900" s="1617"/>
      <c r="Y1900" s="1617"/>
    </row>
    <row r="1901" customFormat="false" ht="15.75" hidden="true" customHeight="true" outlineLevel="1" collapsed="false">
      <c r="A1901" s="2211" t="str">
        <f aca="false">A1809</f>
        <v>Командировочные расходы</v>
      </c>
      <c r="B1901" s="2064" t="str">
        <f aca="false">B1809</f>
        <v>рублей</v>
      </c>
      <c r="C1901" s="2211" t="n">
        <f aca="false">C1809</f>
        <v>1</v>
      </c>
      <c r="D1901" s="2211" t="n">
        <f aca="false">D1809</f>
        <v>0</v>
      </c>
      <c r="E1901" s="2062" t="n">
        <f aca="false">C1901*D1901</f>
        <v>0</v>
      </c>
      <c r="F1901" s="1617"/>
      <c r="G1901" s="1995"/>
      <c r="H1901" s="2146"/>
      <c r="I1901" s="2225"/>
      <c r="J1901" s="1707"/>
      <c r="K1901" s="1707"/>
      <c r="L1901" s="1707"/>
      <c r="M1901" s="1707"/>
      <c r="N1901" s="1707"/>
      <c r="O1901" s="1707"/>
      <c r="P1901" s="1617"/>
      <c r="Q1901" s="1617"/>
      <c r="R1901" s="1617"/>
      <c r="S1901" s="1617"/>
      <c r="T1901" s="1617"/>
      <c r="U1901" s="1617"/>
      <c r="V1901" s="1617"/>
      <c r="W1901" s="1617"/>
      <c r="X1901" s="1617"/>
      <c r="Y1901" s="1617"/>
    </row>
    <row r="1902" customFormat="false" ht="15.75" hidden="true" customHeight="true" outlineLevel="1" collapsed="false">
      <c r="A1902" s="2211" t="str">
        <f aca="false">A1855</f>
        <v>расходные материалы дома из леса</v>
      </c>
      <c r="B1902" s="2064" t="str">
        <f aca="false">B1855</f>
        <v>шт</v>
      </c>
      <c r="C1902" s="2062" t="n">
        <f aca="false">C1855</f>
        <v>1</v>
      </c>
      <c r="D1902" s="2062" t="n">
        <f aca="false">D1855</f>
        <v>3000</v>
      </c>
      <c r="E1902" s="2062" t="n">
        <f aca="false">C1902*D1902</f>
        <v>3000</v>
      </c>
      <c r="F1902" s="1617"/>
      <c r="G1902" s="1995"/>
      <c r="H1902" s="2146"/>
      <c r="I1902" s="2225"/>
      <c r="J1902" s="1707"/>
      <c r="K1902" s="1707"/>
      <c r="L1902" s="1707"/>
      <c r="M1902" s="1707"/>
      <c r="N1902" s="1707"/>
      <c r="O1902" s="1707"/>
      <c r="P1902" s="1617"/>
      <c r="Q1902" s="1617"/>
      <c r="R1902" s="1617"/>
      <c r="S1902" s="1617"/>
      <c r="T1902" s="1617"/>
      <c r="U1902" s="1617"/>
      <c r="V1902" s="1617"/>
      <c r="W1902" s="1617"/>
      <c r="X1902" s="1617"/>
      <c r="Y1902" s="1617"/>
    </row>
    <row r="1903" customFormat="false" ht="15.75" hidden="true" customHeight="true" outlineLevel="1" collapsed="false">
      <c r="A1903" s="2211" t="str">
        <f aca="false">A1856</f>
        <v>Нет техники</v>
      </c>
      <c r="B1903" s="2064" t="str">
        <f aca="false">B1856</f>
        <v>шт</v>
      </c>
      <c r="C1903" s="2062" t="n">
        <f aca="false">C1856</f>
        <v>0</v>
      </c>
      <c r="D1903" s="2062" t="n">
        <f aca="false">D1856</f>
        <v>0</v>
      </c>
      <c r="E1903" s="2062" t="n">
        <f aca="false">C1903*D1903</f>
        <v>0</v>
      </c>
      <c r="F1903" s="1617"/>
      <c r="G1903" s="2341"/>
      <c r="H1903" s="2360"/>
      <c r="I1903" s="2225"/>
      <c r="J1903" s="1707"/>
      <c r="K1903" s="1707"/>
      <c r="L1903" s="1707"/>
      <c r="M1903" s="1707"/>
      <c r="N1903" s="1707"/>
      <c r="O1903" s="1707"/>
      <c r="P1903" s="1617"/>
      <c r="Q1903" s="1617"/>
      <c r="R1903" s="1617"/>
      <c r="S1903" s="1617"/>
      <c r="T1903" s="1617"/>
      <c r="U1903" s="1617"/>
      <c r="V1903" s="1617"/>
      <c r="W1903" s="1617"/>
      <c r="X1903" s="1617"/>
      <c r="Y1903" s="1617"/>
    </row>
    <row r="1904" customFormat="false" ht="15.75" hidden="true" customHeight="true" outlineLevel="1" collapsed="false">
      <c r="A1904" s="2211" t="str">
        <f aca="false">A1857</f>
        <v>Нет техники</v>
      </c>
      <c r="B1904" s="2064" t="n">
        <f aca="false">B1857</f>
        <v>0</v>
      </c>
      <c r="C1904" s="2062" t="n">
        <f aca="false">C1857</f>
        <v>0</v>
      </c>
      <c r="D1904" s="2062" t="n">
        <f aca="false">D1857</f>
        <v>0</v>
      </c>
      <c r="E1904" s="2062" t="n">
        <f aca="false">C1904*D1904</f>
        <v>0</v>
      </c>
      <c r="F1904" s="1617"/>
      <c r="G1904" s="2341"/>
      <c r="H1904" s="2360"/>
      <c r="I1904" s="2225"/>
      <c r="J1904" s="1707"/>
      <c r="K1904" s="1707"/>
      <c r="L1904" s="1707"/>
      <c r="M1904" s="1707"/>
      <c r="N1904" s="1707"/>
      <c r="O1904" s="1707"/>
      <c r="P1904" s="1617"/>
      <c r="Q1904" s="1617"/>
      <c r="R1904" s="1617"/>
      <c r="S1904" s="1617"/>
      <c r="T1904" s="1617"/>
      <c r="U1904" s="1617"/>
      <c r="V1904" s="1617"/>
      <c r="W1904" s="1617"/>
      <c r="X1904" s="1617"/>
      <c r="Y1904" s="1617"/>
    </row>
    <row r="1905" customFormat="false" ht="15.75" hidden="true" customHeight="true" outlineLevel="1" collapsed="false">
      <c r="A1905" s="1617"/>
      <c r="B1905" s="1568"/>
      <c r="C1905" s="1568"/>
      <c r="D1905" s="1568"/>
      <c r="E1905" s="2361" t="n">
        <f aca="false">SUM(E1878:E1904)</f>
        <v>19623.1625</v>
      </c>
      <c r="F1905" s="2362"/>
      <c r="G1905" s="2363"/>
      <c r="H1905" s="2363"/>
      <c r="I1905" s="2364"/>
      <c r="J1905" s="2363"/>
      <c r="K1905" s="2363"/>
      <c r="L1905" s="2363"/>
      <c r="M1905" s="2363"/>
      <c r="N1905" s="2363"/>
      <c r="O1905" s="1571" t="n">
        <f aca="false">SUM(O1878:O1904)</f>
        <v>10209.875</v>
      </c>
      <c r="P1905" s="1617"/>
      <c r="Q1905" s="1617"/>
      <c r="R1905" s="1617"/>
      <c r="S1905" s="1617"/>
      <c r="T1905" s="1617"/>
      <c r="U1905" s="1617"/>
      <c r="V1905" s="1617"/>
      <c r="W1905" s="1617"/>
      <c r="X1905" s="1617"/>
      <c r="Y1905" s="1617"/>
    </row>
    <row r="1906" customFormat="false" ht="15.75" hidden="true" customHeight="true" outlineLevel="1" collapsed="false">
      <c r="A1906" s="2211" t="s">
        <v>3808</v>
      </c>
      <c r="B1906" s="1564" t="n">
        <f aca="false">E1905</f>
        <v>19623.1625</v>
      </c>
      <c r="C1906" s="1575"/>
      <c r="D1906" s="2363"/>
      <c r="E1906" s="2363"/>
      <c r="F1906" s="2363"/>
      <c r="G1906" s="2363"/>
      <c r="H1906" s="2363"/>
      <c r="I1906" s="2364"/>
      <c r="J1906" s="2363"/>
      <c r="K1906" s="2363"/>
      <c r="L1906" s="2363"/>
      <c r="M1906" s="2363"/>
      <c r="N1906" s="2363"/>
      <c r="O1906" s="2363"/>
      <c r="P1906" s="1617"/>
      <c r="Q1906" s="1617"/>
      <c r="R1906" s="1617"/>
      <c r="S1906" s="1617"/>
      <c r="T1906" s="1617"/>
      <c r="U1906" s="1617"/>
      <c r="V1906" s="1617"/>
      <c r="W1906" s="1617"/>
      <c r="X1906" s="1617"/>
      <c r="Y1906" s="1617"/>
    </row>
    <row r="1907" customFormat="false" ht="15.75" hidden="true" customHeight="true" outlineLevel="1" collapsed="false">
      <c r="A1907" s="2211" t="s">
        <v>3809</v>
      </c>
      <c r="B1907" s="1564" t="n">
        <f aca="false">O1905</f>
        <v>10209.875</v>
      </c>
      <c r="C1907" s="1575"/>
      <c r="D1907" s="2363"/>
      <c r="E1907" s="2363"/>
      <c r="F1907" s="2363"/>
      <c r="G1907" s="2363"/>
      <c r="H1907" s="2363"/>
      <c r="I1907" s="2364"/>
      <c r="J1907" s="2363"/>
      <c r="K1907" s="2363"/>
      <c r="L1907" s="2363"/>
      <c r="M1907" s="2363"/>
      <c r="N1907" s="2363"/>
      <c r="O1907" s="2363"/>
      <c r="P1907" s="1617"/>
      <c r="Q1907" s="1617"/>
      <c r="R1907" s="1617"/>
      <c r="S1907" s="1617"/>
      <c r="T1907" s="1617"/>
      <c r="U1907" s="1617"/>
      <c r="V1907" s="1617"/>
      <c r="W1907" s="1617"/>
      <c r="X1907" s="1617"/>
      <c r="Y1907" s="1617"/>
    </row>
    <row r="1908" customFormat="false" ht="15.75" hidden="true" customHeight="true" outlineLevel="1" collapsed="false">
      <c r="A1908" s="1707" t="s">
        <v>2922</v>
      </c>
      <c r="B1908" s="1564" t="n">
        <f aca="false">SUM(B1906:B1907)</f>
        <v>29833.0375</v>
      </c>
      <c r="C1908" s="1575"/>
      <c r="D1908" s="2363"/>
      <c r="E1908" s="2363"/>
      <c r="F1908" s="2363"/>
      <c r="G1908" s="2363"/>
      <c r="H1908" s="2363"/>
      <c r="I1908" s="2364"/>
      <c r="J1908" s="2363"/>
      <c r="K1908" s="2363"/>
      <c r="L1908" s="2363"/>
      <c r="M1908" s="2363"/>
      <c r="N1908" s="2363"/>
      <c r="O1908" s="2363"/>
      <c r="P1908" s="1617"/>
      <c r="Q1908" s="1617"/>
      <c r="R1908" s="1617"/>
      <c r="S1908" s="1617"/>
      <c r="T1908" s="1617"/>
      <c r="U1908" s="1617"/>
      <c r="V1908" s="1617"/>
      <c r="W1908" s="1617"/>
      <c r="X1908" s="1617"/>
      <c r="Y1908" s="1617"/>
    </row>
    <row r="1909" customFormat="false" ht="15.75" hidden="false" customHeight="true" outlineLevel="0" collapsed="false">
      <c r="A1909" s="25" t="s">
        <v>3914</v>
      </c>
      <c r="B1909" s="1177"/>
      <c r="C1909" s="1177"/>
      <c r="D1909" s="2007"/>
      <c r="E1909" s="2007"/>
      <c r="F1909" s="2007"/>
      <c r="G1909" s="1902"/>
      <c r="H1909" s="1902"/>
      <c r="I1909" s="2319"/>
      <c r="J1909" s="1617"/>
      <c r="K1909" s="1617"/>
      <c r="L1909" s="1617"/>
      <c r="M1909" s="1617"/>
      <c r="N1909" s="1617"/>
      <c r="O1909" s="1617"/>
      <c r="P1909" s="1617"/>
      <c r="Q1909" s="1617"/>
      <c r="R1909" s="1617"/>
      <c r="S1909" s="1617"/>
      <c r="T1909" s="1617"/>
      <c r="U1909" s="1617"/>
      <c r="V1909" s="1617"/>
      <c r="W1909" s="1617"/>
      <c r="X1909" s="1617"/>
      <c r="Y1909" s="1617"/>
    </row>
    <row r="1910" customFormat="false" ht="15.75" hidden="false" customHeight="true" outlineLevel="0" collapsed="false">
      <c r="A1910" s="25"/>
      <c r="B1910" s="1177"/>
      <c r="C1910" s="1177"/>
      <c r="D1910" s="2007"/>
      <c r="E1910" s="2007"/>
      <c r="F1910" s="2007"/>
      <c r="G1910" s="1902"/>
      <c r="H1910" s="1902"/>
      <c r="I1910" s="2319"/>
      <c r="J1910" s="1617"/>
      <c r="K1910" s="1617"/>
      <c r="L1910" s="1617"/>
      <c r="M1910" s="1617"/>
      <c r="N1910" s="1617"/>
      <c r="O1910" s="1617"/>
      <c r="P1910" s="1617"/>
      <c r="Q1910" s="1617"/>
      <c r="R1910" s="1617"/>
      <c r="S1910" s="1617"/>
      <c r="T1910" s="1617"/>
      <c r="U1910" s="1617"/>
      <c r="V1910" s="1617"/>
      <c r="W1910" s="1617"/>
      <c r="X1910" s="1617"/>
      <c r="Y1910" s="1617"/>
    </row>
    <row r="1911" customFormat="false" ht="15.75" hidden="true" customHeight="true" outlineLevel="1" collapsed="false">
      <c r="A1911" s="2343" t="s">
        <v>3915</v>
      </c>
      <c r="B1911" s="2344"/>
      <c r="C1911" s="2344"/>
      <c r="D1911" s="2345"/>
      <c r="E1911" s="2345"/>
      <c r="F1911" s="2345"/>
      <c r="G1911" s="2345"/>
      <c r="H1911" s="2345"/>
      <c r="I1911" s="2346"/>
      <c r="J1911" s="2345"/>
      <c r="K1911" s="2345"/>
      <c r="L1911" s="2345"/>
      <c r="M1911" s="2345"/>
      <c r="N1911" s="2345"/>
      <c r="O1911" s="2347"/>
      <c r="P1911" s="1617"/>
      <c r="Q1911" s="1617"/>
      <c r="R1911" s="1617"/>
      <c r="S1911" s="1617"/>
      <c r="T1911" s="1617"/>
      <c r="U1911" s="1617"/>
      <c r="V1911" s="1617"/>
      <c r="W1911" s="1617"/>
      <c r="X1911" s="1617"/>
      <c r="Y1911" s="1617"/>
    </row>
    <row r="1912" customFormat="false" ht="15.75" hidden="true" customHeight="true" outlineLevel="1" collapsed="false">
      <c r="A1912" s="2192" t="s">
        <v>461</v>
      </c>
      <c r="B1912" s="2193"/>
      <c r="C1912" s="2193"/>
      <c r="D1912" s="2194"/>
      <c r="E1912" s="2194"/>
      <c r="F1912" s="2195"/>
      <c r="G1912" s="2244" t="n">
        <f aca="false">G1750</f>
        <v>1.1</v>
      </c>
      <c r="H1912" s="2245"/>
      <c r="I1912" s="2180" t="n">
        <f aca="false">I1750</f>
        <v>1</v>
      </c>
      <c r="J1912" s="2179"/>
      <c r="K1912" s="2179"/>
      <c r="L1912" s="2179"/>
      <c r="M1912" s="2179"/>
      <c r="N1912" s="2179"/>
      <c r="O1912" s="2179"/>
      <c r="P1912" s="1617"/>
      <c r="Q1912" s="1617"/>
      <c r="R1912" s="1617"/>
      <c r="S1912" s="1617"/>
      <c r="T1912" s="1617"/>
      <c r="U1912" s="1617"/>
      <c r="V1912" s="1617"/>
      <c r="W1912" s="1617"/>
      <c r="X1912" s="1617"/>
      <c r="Y1912" s="1617"/>
    </row>
    <row r="1913" customFormat="false" ht="15.75" hidden="true" customHeight="true" outlineLevel="1" collapsed="false">
      <c r="A1913" s="1714" t="s">
        <v>3882</v>
      </c>
      <c r="B1913" s="1958" t="s">
        <v>2968</v>
      </c>
      <c r="C1913" s="2141" t="n">
        <f aca="false">C1771+C1772+C1773</f>
        <v>100.3</v>
      </c>
      <c r="D1913" s="1617"/>
      <c r="E1913" s="1617"/>
      <c r="F1913" s="1617"/>
      <c r="G1913" s="1617"/>
      <c r="H1913" s="1617"/>
      <c r="I1913" s="2319"/>
      <c r="J1913" s="1617"/>
      <c r="K1913" s="1617"/>
      <c r="L1913" s="1617"/>
      <c r="M1913" s="1617"/>
      <c r="N1913" s="1617"/>
      <c r="O1913" s="1617"/>
      <c r="P1913" s="1617"/>
      <c r="Q1913" s="1617"/>
      <c r="R1913" s="1617"/>
      <c r="S1913" s="1617"/>
      <c r="T1913" s="1617"/>
      <c r="U1913" s="1617"/>
      <c r="V1913" s="1617"/>
      <c r="W1913" s="1617"/>
      <c r="X1913" s="1617"/>
      <c r="Y1913" s="1617"/>
    </row>
    <row r="1914" customFormat="false" ht="15.75" hidden="true" customHeight="true" outlineLevel="1" collapsed="false">
      <c r="A1914" s="1714" t="s">
        <v>3883</v>
      </c>
      <c r="B1914" s="1958" t="s">
        <v>15</v>
      </c>
      <c r="C1914" s="2141" t="n">
        <f aca="false">'Ввод данных'!C991</f>
        <v>0</v>
      </c>
      <c r="D1914" s="1617"/>
      <c r="E1914" s="1617"/>
      <c r="F1914" s="1617"/>
      <c r="G1914" s="1617"/>
      <c r="H1914" s="1617"/>
      <c r="I1914" s="2319"/>
      <c r="J1914" s="1617"/>
      <c r="K1914" s="1617"/>
      <c r="L1914" s="1617"/>
      <c r="M1914" s="1617"/>
      <c r="N1914" s="1617"/>
      <c r="O1914" s="1617"/>
      <c r="P1914" s="1617"/>
      <c r="Q1914" s="1617"/>
      <c r="R1914" s="1617"/>
      <c r="S1914" s="1617"/>
      <c r="T1914" s="1617"/>
      <c r="U1914" s="1617"/>
      <c r="V1914" s="1617"/>
      <c r="W1914" s="1617"/>
      <c r="X1914" s="1617"/>
      <c r="Y1914" s="1617"/>
    </row>
    <row r="1915" customFormat="false" ht="15.75" hidden="true" customHeight="true" outlineLevel="1" collapsed="false">
      <c r="A1915" s="1714" t="s">
        <v>3884</v>
      </c>
      <c r="B1915" s="1958" t="s">
        <v>15</v>
      </c>
      <c r="C1915" s="2141" t="n">
        <f aca="false">'Ввод данных'!C992</f>
        <v>0</v>
      </c>
      <c r="D1915" s="1617"/>
      <c r="E1915" s="1617"/>
      <c r="F1915" s="1617"/>
      <c r="G1915" s="1617"/>
      <c r="H1915" s="1617"/>
      <c r="I1915" s="2319"/>
      <c r="J1915" s="1617"/>
      <c r="K1915" s="1617"/>
      <c r="L1915" s="1617"/>
      <c r="M1915" s="1617"/>
      <c r="N1915" s="1617"/>
      <c r="O1915" s="1617"/>
      <c r="P1915" s="1617"/>
      <c r="Q1915" s="1617"/>
      <c r="R1915" s="1617"/>
      <c r="S1915" s="1617"/>
      <c r="T1915" s="1617"/>
      <c r="U1915" s="1617"/>
      <c r="V1915" s="1617"/>
      <c r="W1915" s="1617"/>
      <c r="X1915" s="1617"/>
      <c r="Y1915" s="1617"/>
    </row>
    <row r="1916" customFormat="false" ht="15.75" hidden="true" customHeight="true" outlineLevel="1" collapsed="false">
      <c r="A1916" s="1714" t="s">
        <v>3886</v>
      </c>
      <c r="B1916" s="1958" t="s">
        <v>15</v>
      </c>
      <c r="C1916" s="2141" t="n">
        <f aca="false">C1914</f>
        <v>0</v>
      </c>
      <c r="D1916" s="1617"/>
      <c r="E1916" s="1617"/>
      <c r="F1916" s="1617"/>
      <c r="G1916" s="1617"/>
      <c r="H1916" s="1617"/>
      <c r="I1916" s="2319"/>
      <c r="J1916" s="1617"/>
      <c r="K1916" s="1617"/>
      <c r="L1916" s="1617"/>
      <c r="M1916" s="1617"/>
      <c r="N1916" s="1617"/>
      <c r="O1916" s="1617"/>
      <c r="P1916" s="1617"/>
      <c r="Q1916" s="1617"/>
      <c r="R1916" s="1617"/>
      <c r="S1916" s="1617"/>
      <c r="T1916" s="1617"/>
      <c r="U1916" s="1617"/>
      <c r="V1916" s="1617"/>
      <c r="W1916" s="1617"/>
      <c r="X1916" s="1617"/>
      <c r="Y1916" s="1617"/>
    </row>
    <row r="1917" customFormat="false" ht="15.75" hidden="true" customHeight="true" outlineLevel="1" collapsed="false">
      <c r="A1917" s="2349" t="s">
        <v>3774</v>
      </c>
      <c r="B1917" s="2350"/>
      <c r="C1917" s="2351"/>
      <c r="D1917" s="1617"/>
      <c r="E1917" s="1617"/>
      <c r="F1917" s="1734"/>
      <c r="G1917" s="2174"/>
      <c r="H1917" s="2174"/>
      <c r="I1917" s="2200"/>
      <c r="J1917" s="1734"/>
      <c r="K1917" s="2229"/>
      <c r="L1917" s="2229"/>
      <c r="M1917" s="2229"/>
      <c r="N1917" s="2229"/>
      <c r="O1917" s="1734"/>
      <c r="P1917" s="2200"/>
      <c r="Q1917" s="1734"/>
      <c r="R1917" s="1617"/>
      <c r="S1917" s="1617"/>
      <c r="T1917" s="1617"/>
      <c r="U1917" s="1617"/>
      <c r="V1917" s="1617"/>
      <c r="W1917" s="1617"/>
      <c r="X1917" s="1617"/>
      <c r="Y1917" s="1617"/>
    </row>
    <row r="1918" customFormat="false" ht="15.75" hidden="true" customHeight="true" outlineLevel="1" collapsed="false">
      <c r="A1918" s="2064" t="s">
        <v>2822</v>
      </c>
      <c r="B1918" s="2064"/>
      <c r="C1918" s="2064" t="n">
        <f aca="false">C1867</f>
        <v>5</v>
      </c>
      <c r="D1918" s="1617"/>
      <c r="E1918" s="1617"/>
      <c r="F1918" s="1734"/>
      <c r="G1918" s="2174"/>
      <c r="H1918" s="2174"/>
      <c r="I1918" s="2200"/>
      <c r="J1918" s="1734"/>
      <c r="K1918" s="2229"/>
      <c r="L1918" s="2229"/>
      <c r="M1918" s="2229"/>
      <c r="N1918" s="2229"/>
      <c r="O1918" s="1734"/>
      <c r="P1918" s="2200"/>
      <c r="Q1918" s="1734"/>
      <c r="R1918" s="1617"/>
      <c r="S1918" s="1617"/>
      <c r="T1918" s="1617"/>
      <c r="U1918" s="1617"/>
      <c r="V1918" s="1617"/>
      <c r="W1918" s="1617"/>
      <c r="X1918" s="1617"/>
      <c r="Y1918" s="1617"/>
    </row>
    <row r="1919" customFormat="false" ht="15.75" hidden="true" customHeight="true" outlineLevel="1" collapsed="false">
      <c r="A1919" s="2064" t="s">
        <v>3908</v>
      </c>
      <c r="B1919" s="2064"/>
      <c r="C1919" s="2064" t="n">
        <f aca="false">C1766</f>
        <v>5</v>
      </c>
      <c r="D1919" s="1617"/>
      <c r="E1919" s="1617"/>
      <c r="F1919" s="1734"/>
      <c r="G1919" s="2174"/>
      <c r="H1919" s="2174"/>
      <c r="I1919" s="2200"/>
      <c r="J1919" s="1734"/>
      <c r="K1919" s="1734"/>
      <c r="L1919" s="1734"/>
      <c r="M1919" s="1734"/>
      <c r="N1919" s="1734"/>
      <c r="O1919" s="1734"/>
      <c r="P1919" s="1734"/>
      <c r="Q1919" s="1734"/>
      <c r="R1919" s="1617"/>
      <c r="S1919" s="1617"/>
      <c r="T1919" s="1617"/>
      <c r="U1919" s="1617"/>
      <c r="V1919" s="1617"/>
      <c r="W1919" s="1617"/>
      <c r="X1919" s="1617"/>
      <c r="Y1919" s="1617"/>
    </row>
    <row r="1920" customFormat="false" ht="15.75" hidden="true" customHeight="true" outlineLevel="1" collapsed="false">
      <c r="A1920" s="2211" t="s">
        <v>3825</v>
      </c>
      <c r="B1920" s="1958" t="s">
        <v>820</v>
      </c>
      <c r="C1920" s="2064" t="n">
        <f aca="false">C1768</f>
        <v>128</v>
      </c>
      <c r="D1920" s="1617"/>
      <c r="E1920" s="1617"/>
      <c r="F1920" s="2229"/>
      <c r="G1920" s="2174"/>
      <c r="H1920" s="2174"/>
      <c r="I1920" s="2200"/>
      <c r="J1920" s="1734"/>
      <c r="K1920" s="1734"/>
      <c r="L1920" s="1734"/>
      <c r="M1920" s="1734"/>
      <c r="N1920" s="1734"/>
      <c r="O1920" s="1734"/>
      <c r="P1920" s="1734"/>
      <c r="Q1920" s="1734"/>
      <c r="R1920" s="1617"/>
      <c r="S1920" s="1617"/>
      <c r="T1920" s="1617"/>
      <c r="U1920" s="1617"/>
      <c r="V1920" s="1617"/>
      <c r="W1920" s="1617"/>
      <c r="X1920" s="1617"/>
      <c r="Y1920" s="1617"/>
    </row>
    <row r="1921" customFormat="false" ht="15.75" hidden="true" customHeight="true" outlineLevel="1" collapsed="false">
      <c r="A1921" s="2211" t="s">
        <v>3776</v>
      </c>
      <c r="B1921" s="1958" t="s">
        <v>820</v>
      </c>
      <c r="C1921" s="2064" t="n">
        <f aca="false">C1769</f>
        <v>128</v>
      </c>
      <c r="D1921" s="1617"/>
      <c r="E1921" s="1617"/>
      <c r="F1921" s="2229"/>
      <c r="G1921" s="2174"/>
      <c r="H1921" s="2174"/>
      <c r="I1921" s="2200"/>
      <c r="J1921" s="1734"/>
      <c r="K1921" s="1734"/>
      <c r="L1921" s="1734"/>
      <c r="M1921" s="1734"/>
      <c r="N1921" s="1734"/>
      <c r="O1921" s="1734"/>
      <c r="P1921" s="1734"/>
      <c r="Q1921" s="1734"/>
      <c r="R1921" s="1617"/>
      <c r="S1921" s="1617"/>
      <c r="T1921" s="1617"/>
      <c r="U1921" s="1617"/>
      <c r="V1921" s="1617"/>
      <c r="W1921" s="1617"/>
      <c r="X1921" s="1617"/>
      <c r="Y1921" s="1617"/>
    </row>
    <row r="1922" customFormat="false" ht="15.75" hidden="true" customHeight="true" outlineLevel="1" collapsed="false">
      <c r="A1922" s="2211" t="s">
        <v>3827</v>
      </c>
      <c r="B1922" s="1958" t="s">
        <v>15</v>
      </c>
      <c r="C1922" s="2064" t="n">
        <f aca="false">C1770</f>
        <v>48</v>
      </c>
      <c r="D1922" s="1617" t="n">
        <f aca="false">C1927+C1929+C1918</f>
        <v>5.99984210526316</v>
      </c>
      <c r="E1922" s="1617"/>
      <c r="F1922" s="1617"/>
      <c r="G1922" s="1617"/>
      <c r="H1922" s="1617"/>
      <c r="I1922" s="2319"/>
      <c r="J1922" s="1617"/>
      <c r="K1922" s="1617"/>
      <c r="L1922" s="1617"/>
      <c r="M1922" s="1617"/>
      <c r="N1922" s="1617"/>
      <c r="O1922" s="1617"/>
      <c r="P1922" s="1617"/>
      <c r="Q1922" s="1617"/>
      <c r="R1922" s="1617"/>
      <c r="S1922" s="1617"/>
      <c r="T1922" s="1617"/>
      <c r="U1922" s="1617"/>
      <c r="V1922" s="1617"/>
      <c r="W1922" s="1617"/>
      <c r="X1922" s="1617"/>
      <c r="Y1922" s="1617"/>
    </row>
    <row r="1923" s="1582" customFormat="true" ht="15.75" hidden="true" customHeight="true" outlineLevel="1" collapsed="false">
      <c r="A1923" s="2211" t="s">
        <v>3859</v>
      </c>
      <c r="B1923" s="1958" t="s">
        <v>15</v>
      </c>
      <c r="C1923" s="2064" t="n">
        <f aca="false">C1771</f>
        <v>64</v>
      </c>
      <c r="D1923" s="1617"/>
      <c r="E1923" s="1617"/>
      <c r="J1923" s="1617"/>
      <c r="K1923" s="1617"/>
      <c r="L1923" s="1617"/>
      <c r="M1923" s="1617"/>
      <c r="N1923" s="1617"/>
      <c r="O1923" s="1617"/>
      <c r="P1923" s="1617"/>
      <c r="Q1923" s="1617"/>
      <c r="R1923" s="1617"/>
      <c r="S1923" s="1617"/>
      <c r="T1923" s="1617"/>
      <c r="U1923" s="1617"/>
      <c r="V1923" s="1617"/>
      <c r="W1923" s="1617"/>
      <c r="X1923" s="1617"/>
      <c r="Y1923" s="1617"/>
    </row>
    <row r="1924" s="1582" customFormat="true" ht="15.75" hidden="true" customHeight="true" outlineLevel="1" collapsed="false">
      <c r="A1924" s="2211" t="s">
        <v>3860</v>
      </c>
      <c r="B1924" s="1958" t="s">
        <v>15</v>
      </c>
      <c r="C1924" s="2064" t="n">
        <f aca="false">C1772</f>
        <v>28.5</v>
      </c>
      <c r="D1924" s="1617"/>
      <c r="E1924" s="1617"/>
      <c r="J1924" s="1617"/>
      <c r="K1924" s="1617"/>
      <c r="L1924" s="1617"/>
      <c r="M1924" s="1617"/>
      <c r="N1924" s="1617"/>
      <c r="O1924" s="1617"/>
      <c r="P1924" s="1617"/>
      <c r="Q1924" s="1617"/>
      <c r="R1924" s="1617"/>
      <c r="S1924" s="1617"/>
      <c r="T1924" s="1617"/>
      <c r="U1924" s="1617"/>
      <c r="V1924" s="1617"/>
      <c r="W1924" s="1617"/>
      <c r="X1924" s="1617"/>
      <c r="Y1924" s="1617"/>
    </row>
    <row r="1925" customFormat="false" ht="15.75" hidden="true" customHeight="true" outlineLevel="1" collapsed="false">
      <c r="A1925" s="2211" t="s">
        <v>3862</v>
      </c>
      <c r="B1925" s="1958" t="s">
        <v>15</v>
      </c>
      <c r="C1925" s="2064" t="n">
        <f aca="false">C1773</f>
        <v>7.8</v>
      </c>
      <c r="D1925" s="1617" t="n">
        <f aca="false">VLOOKUP(A1940,'Прайс лист'!B448:G535,3,0)</f>
        <v>0.22</v>
      </c>
      <c r="E1925" s="1582" t="n">
        <f aca="false">1/(D1925-'Ввод данных'!C1002)</f>
        <v>5.26315789473684</v>
      </c>
      <c r="F1925" s="1268" t="s">
        <v>200</v>
      </c>
      <c r="G1925" s="1582" t="n">
        <f aca="false">3.14*D1925*E1925*(связи1!C159+C1918)</f>
        <v>18.1789473684211</v>
      </c>
      <c r="I1925" s="1582" t="n">
        <f aca="false">3.14*D1925</f>
        <v>0.6908</v>
      </c>
      <c r="J1925" s="1617"/>
      <c r="K1925" s="1617"/>
      <c r="L1925" s="1617"/>
      <c r="M1925" s="1617"/>
      <c r="N1925" s="1617"/>
      <c r="O1925" s="1617"/>
      <c r="P1925" s="1617"/>
      <c r="Q1925" s="1617"/>
      <c r="R1925" s="1617"/>
      <c r="S1925" s="1617"/>
      <c r="T1925" s="1617"/>
      <c r="U1925" s="1617"/>
      <c r="V1925" s="1617"/>
      <c r="W1925" s="1617"/>
      <c r="X1925" s="1617"/>
      <c r="Y1925" s="1617"/>
    </row>
    <row r="1926" s="1582" customFormat="true" ht="15.75" hidden="true" customHeight="true" outlineLevel="1" collapsed="false">
      <c r="A1926" s="2211" t="s">
        <v>3781</v>
      </c>
      <c r="B1926" s="1958" t="s">
        <v>820</v>
      </c>
      <c r="C1926" s="2213" t="n">
        <f aca="false">(связи1!C159+C1918)*D1926</f>
        <v>0.999842105263158</v>
      </c>
      <c r="D1926" s="1714" t="n">
        <f aca="false">3.14*D1925/2*D1925/2*E1925</f>
        <v>0.199968421052632</v>
      </c>
      <c r="E1926" s="1617"/>
      <c r="J1926" s="1617" t="n">
        <f aca="false">C1926/D1926</f>
        <v>5</v>
      </c>
      <c r="K1926" s="1617"/>
      <c r="L1926" s="1617"/>
      <c r="M1926" s="1617"/>
      <c r="N1926" s="1617"/>
      <c r="O1926" s="1617"/>
      <c r="P1926" s="1617"/>
      <c r="Q1926" s="1617"/>
      <c r="R1926" s="1617"/>
      <c r="S1926" s="1617"/>
      <c r="T1926" s="1617"/>
      <c r="U1926" s="1617"/>
      <c r="V1926" s="1617"/>
      <c r="W1926" s="1617"/>
      <c r="X1926" s="1617"/>
      <c r="Y1926" s="1617"/>
    </row>
    <row r="1927" s="1582" customFormat="true" ht="15.75" hidden="true" customHeight="true" outlineLevel="1" collapsed="false">
      <c r="A1927" s="2211" t="s">
        <v>3834</v>
      </c>
      <c r="B1927" s="1958" t="s">
        <v>820</v>
      </c>
      <c r="C1927" s="2213" t="n">
        <f aca="false">C1926</f>
        <v>0.999842105263158</v>
      </c>
      <c r="D1927" s="1617" t="n">
        <f aca="false">VLOOKUP(A1941,'Прайс лист'!B448:G535,3,0)</f>
        <v>0.22</v>
      </c>
      <c r="E1927" s="1582" t="n">
        <f aca="false">1/(D1927-'Ввод данных'!C1002)</f>
        <v>5.26315789473684</v>
      </c>
      <c r="G1927" s="1582" t="n">
        <f aca="false">3.14*D1927*E1927*связи1!D159</f>
        <v>0</v>
      </c>
      <c r="J1927" s="1617" t="n">
        <f aca="false">C1927/D1927</f>
        <v>4.54473684210526</v>
      </c>
      <c r="K1927" s="1617"/>
      <c r="L1927" s="1617"/>
      <c r="M1927" s="1617"/>
      <c r="N1927" s="1617"/>
      <c r="O1927" s="1617"/>
      <c r="P1927" s="1617"/>
      <c r="Q1927" s="1617"/>
      <c r="R1927" s="1617"/>
      <c r="S1927" s="1617"/>
      <c r="T1927" s="1617"/>
      <c r="U1927" s="1617"/>
      <c r="V1927" s="1617"/>
      <c r="W1927" s="1617"/>
      <c r="X1927" s="1617"/>
      <c r="Y1927" s="1617"/>
    </row>
    <row r="1928" s="1582" customFormat="true" ht="15.75" hidden="true" customHeight="true" outlineLevel="1" collapsed="false">
      <c r="A1928" s="2211" t="s">
        <v>3783</v>
      </c>
      <c r="B1928" s="1958"/>
      <c r="C1928" s="2213" t="n">
        <f aca="false">связи1!D159*D1928</f>
        <v>0</v>
      </c>
      <c r="D1928" s="1714" t="n">
        <f aca="false">3.14*D1927/2*D1927/2*E1927</f>
        <v>0.199968421052632</v>
      </c>
      <c r="E1928" s="1617"/>
      <c r="J1928" s="1617" t="n">
        <f aca="false">C1928/D1928</f>
        <v>0</v>
      </c>
      <c r="K1928" s="1617"/>
      <c r="L1928" s="1617"/>
      <c r="M1928" s="1617"/>
      <c r="N1928" s="1617"/>
      <c r="O1928" s="1617"/>
      <c r="P1928" s="1617"/>
      <c r="Q1928" s="1617"/>
      <c r="R1928" s="1617"/>
      <c r="S1928" s="1617"/>
      <c r="T1928" s="1617"/>
      <c r="U1928" s="1617"/>
      <c r="V1928" s="1617"/>
      <c r="W1928" s="1617"/>
      <c r="X1928" s="1617"/>
      <c r="Y1928" s="1617"/>
    </row>
    <row r="1929" s="1582" customFormat="true" ht="15.75" hidden="true" customHeight="true" outlineLevel="1" collapsed="false">
      <c r="A1929" s="2211" t="s">
        <v>3786</v>
      </c>
      <c r="B1929" s="1958" t="s">
        <v>820</v>
      </c>
      <c r="C1929" s="2213" t="n">
        <f aca="false">C1928+C1930</f>
        <v>0</v>
      </c>
      <c r="D1929" s="1714" t="n">
        <f aca="false">3.14*D1930/2*D1930/2*E1930</f>
        <v>0.199968421052632</v>
      </c>
      <c r="E1929" s="1617"/>
      <c r="J1929" s="1617" t="n">
        <f aca="false">C1929/D1929</f>
        <v>0</v>
      </c>
      <c r="K1929" s="1617"/>
      <c r="L1929" s="1617"/>
      <c r="M1929" s="1617"/>
      <c r="N1929" s="1617"/>
      <c r="O1929" s="1617"/>
      <c r="P1929" s="1617"/>
      <c r="Q1929" s="1617"/>
      <c r="R1929" s="1617"/>
      <c r="S1929" s="1617"/>
      <c r="T1929" s="1617"/>
      <c r="U1929" s="1617"/>
      <c r="V1929" s="1617"/>
      <c r="W1929" s="1617"/>
      <c r="X1929" s="1617"/>
      <c r="Y1929" s="1617"/>
    </row>
    <row r="1930" s="1582" customFormat="true" ht="15.75" hidden="true" customHeight="true" outlineLevel="1" collapsed="false">
      <c r="A1930" s="2211" t="s">
        <v>3784</v>
      </c>
      <c r="B1930" s="1958" t="s">
        <v>820</v>
      </c>
      <c r="C1930" s="2213" t="n">
        <f aca="false">связи1!E159*D1929</f>
        <v>0</v>
      </c>
      <c r="D1930" s="1617" t="n">
        <f aca="false">VLOOKUP(A1942,'Прайс лист'!B448:G535,3,0)</f>
        <v>0.22</v>
      </c>
      <c r="E1930" s="1582" t="n">
        <f aca="false">1/(D1930-'Ввод данных'!C1002)</f>
        <v>5.26315789473684</v>
      </c>
      <c r="G1930" s="1582" t="n">
        <f aca="false">3.14*D1930*E1930*связи1!E159</f>
        <v>0</v>
      </c>
      <c r="J1930" s="1617" t="n">
        <f aca="false">C1930/D1930</f>
        <v>0</v>
      </c>
      <c r="K1930" s="1617"/>
      <c r="L1930" s="1617"/>
      <c r="M1930" s="1617"/>
      <c r="N1930" s="1617"/>
      <c r="O1930" s="1617"/>
      <c r="P1930" s="1617"/>
      <c r="Q1930" s="1617"/>
      <c r="R1930" s="1617"/>
      <c r="S1930" s="1617"/>
      <c r="T1930" s="1617"/>
      <c r="U1930" s="1617"/>
      <c r="V1930" s="1617"/>
      <c r="W1930" s="1617"/>
      <c r="X1930" s="1617"/>
      <c r="Y1930" s="1617"/>
    </row>
    <row r="1931" s="1582" customFormat="true" ht="15.75" hidden="true" customHeight="true" outlineLevel="1" collapsed="false">
      <c r="B1931" s="1583"/>
      <c r="E1931" s="1617"/>
      <c r="J1931" s="1617"/>
      <c r="K1931" s="1617"/>
      <c r="L1931" s="1617"/>
      <c r="M1931" s="1617"/>
      <c r="N1931" s="1617"/>
      <c r="O1931" s="1617"/>
      <c r="P1931" s="1617"/>
      <c r="Q1931" s="1617"/>
      <c r="R1931" s="1617"/>
      <c r="S1931" s="1617"/>
      <c r="T1931" s="1617"/>
      <c r="U1931" s="1617"/>
      <c r="V1931" s="1617"/>
      <c r="W1931" s="1617"/>
      <c r="X1931" s="1617"/>
      <c r="Y1931" s="1617"/>
    </row>
    <row r="1932" s="1582" customFormat="true" ht="15.75" hidden="true" customHeight="true" outlineLevel="1" collapsed="false">
      <c r="A1932" s="2211" t="s">
        <v>3787</v>
      </c>
      <c r="B1932" s="1958" t="s">
        <v>820</v>
      </c>
      <c r="C1932" s="2064" t="n">
        <f aca="false">C1779</f>
        <v>150.475100831722</v>
      </c>
      <c r="D1932" s="1617"/>
      <c r="E1932" s="1617"/>
      <c r="G1932" s="1582" t="n">
        <f aca="false">SUM(G1925:G1931)</f>
        <v>18.1789473684211</v>
      </c>
      <c r="J1932" s="1617"/>
      <c r="K1932" s="1617"/>
      <c r="L1932" s="1617"/>
      <c r="M1932" s="1617"/>
      <c r="N1932" s="1617"/>
      <c r="O1932" s="1617"/>
      <c r="P1932" s="1617"/>
      <c r="Q1932" s="1617"/>
      <c r="R1932" s="1617"/>
      <c r="S1932" s="1617"/>
      <c r="T1932" s="1617"/>
      <c r="U1932" s="1617"/>
      <c r="V1932" s="1617"/>
      <c r="W1932" s="1617"/>
      <c r="X1932" s="1617"/>
      <c r="Y1932" s="1617"/>
    </row>
    <row r="1933" s="1582" customFormat="true" ht="15.75" hidden="true" customHeight="true" outlineLevel="1" collapsed="false">
      <c r="A1933" s="2211" t="s">
        <v>3837</v>
      </c>
      <c r="B1933" s="1958" t="s">
        <v>820</v>
      </c>
      <c r="C1933" s="2064" t="n">
        <f aca="false">C1780</f>
        <v>128</v>
      </c>
      <c r="D1933" s="1617"/>
      <c r="E1933" s="1617"/>
      <c r="J1933" s="1617"/>
      <c r="K1933" s="1617"/>
      <c r="L1933" s="1617"/>
      <c r="M1933" s="1617"/>
      <c r="N1933" s="1617"/>
      <c r="O1933" s="1617"/>
      <c r="P1933" s="1617"/>
      <c r="Q1933" s="1617"/>
      <c r="R1933" s="1617"/>
      <c r="S1933" s="1617"/>
      <c r="T1933" s="1617"/>
      <c r="U1933" s="1617"/>
      <c r="V1933" s="1617"/>
      <c r="W1933" s="1617"/>
      <c r="X1933" s="1617"/>
      <c r="Y1933" s="1617"/>
    </row>
    <row r="1934" s="1582" customFormat="true" ht="15.75" hidden="true" customHeight="true" outlineLevel="1" collapsed="false">
      <c r="A1934" s="2211" t="s">
        <v>3790</v>
      </c>
      <c r="B1934" s="1958" t="s">
        <v>820</v>
      </c>
      <c r="C1934" s="2064" t="n">
        <f aca="false">C1781</f>
        <v>64</v>
      </c>
      <c r="D1934" s="1617"/>
      <c r="E1934" s="1617"/>
      <c r="J1934" s="1617"/>
      <c r="K1934" s="1617"/>
      <c r="L1934" s="1617"/>
      <c r="M1934" s="1617"/>
      <c r="N1934" s="1617"/>
      <c r="O1934" s="1617"/>
      <c r="P1934" s="1617"/>
      <c r="Q1934" s="1617"/>
      <c r="R1934" s="1617"/>
      <c r="S1934" s="1617"/>
      <c r="T1934" s="1617"/>
      <c r="U1934" s="1617"/>
      <c r="V1934" s="1617"/>
      <c r="W1934" s="1617"/>
      <c r="X1934" s="1617"/>
      <c r="Y1934" s="1617"/>
    </row>
    <row r="1935" customFormat="false" ht="15.75" hidden="true" customHeight="true" outlineLevel="1" collapsed="false">
      <c r="A1935" s="2211" t="s">
        <v>3791</v>
      </c>
      <c r="B1935" s="1958" t="s">
        <v>820</v>
      </c>
      <c r="C1935" s="2064" t="n">
        <f aca="false">C1782</f>
        <v>60</v>
      </c>
      <c r="D1935" s="1617"/>
      <c r="E1935" s="1617"/>
      <c r="F1935" s="1617"/>
      <c r="G1935" s="1617"/>
      <c r="H1935" s="1617"/>
      <c r="I1935" s="2319"/>
      <c r="J1935" s="1617"/>
      <c r="K1935" s="1617"/>
      <c r="L1935" s="1617"/>
      <c r="M1935" s="1617"/>
      <c r="N1935" s="1617"/>
      <c r="O1935" s="1617"/>
      <c r="P1935" s="1617"/>
      <c r="Q1935" s="1617"/>
      <c r="R1935" s="1617"/>
      <c r="S1935" s="1617"/>
      <c r="T1935" s="1617"/>
      <c r="U1935" s="1617"/>
      <c r="V1935" s="1617"/>
      <c r="W1935" s="1617"/>
      <c r="X1935" s="1617"/>
      <c r="Y1935" s="1617"/>
    </row>
    <row r="1936" customFormat="false" ht="15.75" hidden="true" customHeight="true" outlineLevel="1" collapsed="false">
      <c r="A1936" s="2211" t="s">
        <v>3792</v>
      </c>
      <c r="B1936" s="1958" t="s">
        <v>820</v>
      </c>
      <c r="C1936" s="2064" t="n">
        <f aca="false">C1783</f>
        <v>50.7600504158611</v>
      </c>
      <c r="D1936" s="1617"/>
      <c r="E1936" s="1617"/>
      <c r="F1936" s="1617"/>
      <c r="G1936" s="1617"/>
      <c r="H1936" s="1617"/>
      <c r="I1936" s="2319"/>
      <c r="J1936" s="1617"/>
      <c r="K1936" s="1617"/>
      <c r="L1936" s="1617"/>
      <c r="M1936" s="1617"/>
      <c r="N1936" s="1617"/>
      <c r="O1936" s="1617"/>
      <c r="P1936" s="1617"/>
      <c r="Q1936" s="1617"/>
      <c r="R1936" s="1617"/>
      <c r="S1936" s="1617"/>
      <c r="T1936" s="1617"/>
      <c r="U1936" s="1617"/>
      <c r="V1936" s="1617"/>
      <c r="W1936" s="1617"/>
      <c r="X1936" s="1617"/>
      <c r="Y1936" s="1617"/>
    </row>
    <row r="1937" customFormat="false" ht="15.75" hidden="true" customHeight="true" outlineLevel="1" collapsed="false">
      <c r="A1937" s="2211" t="s">
        <v>3793</v>
      </c>
      <c r="B1937" s="1958" t="s">
        <v>820</v>
      </c>
      <c r="C1937" s="2064" t="n">
        <f aca="false">C1784</f>
        <v>174.760050415861</v>
      </c>
      <c r="D1937" s="1617"/>
      <c r="E1937" s="1617"/>
      <c r="F1937" s="1617"/>
      <c r="G1937" s="1617"/>
      <c r="H1937" s="1617"/>
      <c r="I1937" s="2319"/>
      <c r="J1937" s="1617"/>
      <c r="K1937" s="1617"/>
      <c r="L1937" s="1617"/>
      <c r="M1937" s="1617"/>
      <c r="N1937" s="1617"/>
      <c r="O1937" s="1617"/>
      <c r="P1937" s="1617"/>
      <c r="Q1937" s="1617"/>
      <c r="R1937" s="1617"/>
      <c r="S1937" s="1617"/>
      <c r="T1937" s="1617"/>
      <c r="U1937" s="1617"/>
      <c r="V1937" s="1617"/>
      <c r="W1937" s="1617"/>
      <c r="X1937" s="1617"/>
      <c r="Y1937" s="1617"/>
    </row>
    <row r="1938" customFormat="false" ht="15.75" hidden="true" customHeight="true" outlineLevel="1" collapsed="false">
      <c r="A1938" s="2354" t="s">
        <v>2246</v>
      </c>
      <c r="B1938" s="2355" t="s">
        <v>1738</v>
      </c>
      <c r="C1938" s="2355" t="s">
        <v>12</v>
      </c>
      <c r="D1938" s="2355" t="s">
        <v>3871</v>
      </c>
      <c r="E1938" s="2356" t="s">
        <v>2916</v>
      </c>
      <c r="F1938" s="1617"/>
      <c r="G1938" s="2349" t="s">
        <v>2007</v>
      </c>
      <c r="H1938" s="2357"/>
      <c r="I1938" s="2358"/>
      <c r="J1938" s="2356" t="s">
        <v>118</v>
      </c>
      <c r="K1938" s="2356" t="s">
        <v>2915</v>
      </c>
      <c r="L1938" s="2356"/>
      <c r="M1938" s="2356"/>
      <c r="N1938" s="2356"/>
      <c r="O1938" s="2356" t="s">
        <v>2916</v>
      </c>
      <c r="P1938" s="1617"/>
      <c r="Q1938" s="1617"/>
      <c r="R1938" s="1617"/>
      <c r="S1938" s="1617"/>
      <c r="T1938" s="1617"/>
      <c r="U1938" s="1617"/>
      <c r="V1938" s="1617"/>
      <c r="W1938" s="1617"/>
      <c r="X1938" s="1617"/>
      <c r="Y1938" s="1617"/>
    </row>
    <row r="1939" customFormat="false" ht="15.75" hidden="true" customHeight="true" outlineLevel="1" collapsed="false">
      <c r="A1939" s="2211" t="str">
        <f aca="false">'Ввод данных'!A999</f>
        <v>Оцилиндрованное бревно лиственница 280мм</v>
      </c>
      <c r="B1939" s="2064" t="s">
        <v>1043</v>
      </c>
      <c r="C1939" s="2144" t="n">
        <f aca="false">C1913*3.14*VLOOKUP(A1939,'Прайс лист'!B448:G535,3,0)/2*VLOOKUP(A1939,'Прайс лист'!B448:G535,3,0)/2*G1912</f>
        <v>6.79014952</v>
      </c>
      <c r="D1939" s="2062" t="n">
        <f aca="false">'Прайс лист'!G480</f>
        <v>10000</v>
      </c>
      <c r="E1939" s="1707" t="n">
        <f aca="false">C1939*D1939</f>
        <v>67901.4952</v>
      </c>
      <c r="F1939" s="1617"/>
      <c r="G1939" s="1995" t="str">
        <f aca="false">'Прайс лист'!B1522</f>
        <v>кладка Оцилиндрованного вревна</v>
      </c>
      <c r="H1939" s="2146"/>
      <c r="I1939" s="2225"/>
      <c r="J1939" s="1707" t="n">
        <f aca="false">(C1940+C1939+C1941+C1942)*I1912</f>
        <v>1.09982631578947</v>
      </c>
      <c r="K1939" s="1707" t="n">
        <f aca="false">'Прайс лист'!G1522</f>
        <v>6000</v>
      </c>
      <c r="L1939" s="1707"/>
      <c r="M1939" s="1707"/>
      <c r="N1939" s="1707"/>
      <c r="O1939" s="1707" t="n">
        <f aca="false">J1939*K1939</f>
        <v>6598.95789473684</v>
      </c>
      <c r="P1939" s="1617"/>
      <c r="Q1939" s="1617"/>
      <c r="R1939" s="1617"/>
      <c r="S1939" s="1617"/>
      <c r="T1939" s="1617"/>
      <c r="U1939" s="1617"/>
      <c r="V1939" s="1617"/>
      <c r="W1939" s="1617"/>
      <c r="X1939" s="1617"/>
      <c r="Y1939" s="1617"/>
    </row>
    <row r="1940" customFormat="false" ht="15.75" hidden="true" customHeight="true" outlineLevel="1" collapsed="false">
      <c r="A1940" s="2211" t="str">
        <f aca="false">'Ввод данных'!A993</f>
        <v>Оцилиндрованное бревно сосна 220мм</v>
      </c>
      <c r="B1940" s="2064" t="s">
        <v>1043</v>
      </c>
      <c r="C1940" s="2144" t="n">
        <f aca="false">(C1926)*G1912-C1939</f>
        <v>-5.69032320421053</v>
      </c>
      <c r="D1940" s="2062" t="n">
        <f aca="false">VLOOKUP(A1940,'Прайс лист'!B448:G535,6,0)</f>
        <v>8000</v>
      </c>
      <c r="E1940" s="1707" t="n">
        <f aca="false">C1940*D1940</f>
        <v>-45522.5856336842</v>
      </c>
      <c r="F1940" s="1617"/>
      <c r="G1940" s="1995" t="s">
        <v>2097</v>
      </c>
      <c r="H1940" s="2146"/>
      <c r="I1940" s="2225"/>
      <c r="J1940" s="1707" t="n">
        <f aca="false">C1758*G1758+C1759*G1759+C1760*G1760+C1761*G1761+C1762*G1762+C1763*G1763</f>
        <v>0</v>
      </c>
      <c r="K1940" s="1707" t="n">
        <f aca="false">'Прайс лист'!G1520</f>
        <v>150</v>
      </c>
      <c r="L1940" s="1707"/>
      <c r="M1940" s="1707"/>
      <c r="N1940" s="1707"/>
      <c r="O1940" s="1707" t="n">
        <f aca="false">J1940*K1940</f>
        <v>0</v>
      </c>
      <c r="P1940" s="1617"/>
      <c r="Q1940" s="1617"/>
      <c r="R1940" s="1617"/>
      <c r="S1940" s="1617"/>
      <c r="T1940" s="1617"/>
      <c r="U1940" s="1617"/>
      <c r="V1940" s="1617"/>
      <c r="W1940" s="1617"/>
      <c r="X1940" s="1617"/>
      <c r="Y1940" s="1617"/>
    </row>
    <row r="1941" customFormat="false" ht="15.75" hidden="true" customHeight="true" outlineLevel="1" collapsed="false">
      <c r="A1941" s="2211" t="str">
        <f aca="false">'Ввод данных'!A995</f>
        <v>Оцилиндрованное бревно сосна 220мм</v>
      </c>
      <c r="B1941" s="2064" t="s">
        <v>1043</v>
      </c>
      <c r="C1941" s="2144" t="n">
        <f aca="false">C1928*G1912</f>
        <v>0</v>
      </c>
      <c r="D1941" s="2062" t="n">
        <f aca="false">VLOOKUP(A1941,'Прайс лист'!B448:G535,6,0)</f>
        <v>8000</v>
      </c>
      <c r="E1941" s="1707" t="n">
        <f aca="false">C1941*D1941</f>
        <v>0</v>
      </c>
      <c r="F1941" s="1617"/>
      <c r="G1941" s="1582" t="str">
        <f aca="false">G1788</f>
        <v>обработка торцов на брусе</v>
      </c>
      <c r="I1941" s="1582" t="n">
        <f aca="false">I1788</f>
        <v>0</v>
      </c>
      <c r="J1941" s="1582" t="n">
        <f aca="false">J1788</f>
        <v>20</v>
      </c>
      <c r="K1941" s="1582" t="n">
        <f aca="false">K1788</f>
        <v>250</v>
      </c>
      <c r="L1941" s="1582" t="n">
        <f aca="false">L1788</f>
        <v>0</v>
      </c>
      <c r="O1941" s="1582" t="n">
        <f aca="false">O1788</f>
        <v>5000</v>
      </c>
      <c r="P1941" s="1617"/>
      <c r="Q1941" s="1617"/>
      <c r="R1941" s="1617"/>
      <c r="S1941" s="1617"/>
      <c r="T1941" s="1617"/>
      <c r="U1941" s="1617"/>
      <c r="V1941" s="1617"/>
      <c r="W1941" s="1617"/>
      <c r="X1941" s="1617"/>
      <c r="Y1941" s="1617"/>
    </row>
    <row r="1942" customFormat="false" ht="15.75" hidden="true" customHeight="true" outlineLevel="1" collapsed="false">
      <c r="A1942" s="2211" t="str">
        <f aca="false">'Ввод данных'!A997</f>
        <v>Оцилиндрованное бревно сосна 220мм</v>
      </c>
      <c r="B1942" s="2064" t="s">
        <v>820</v>
      </c>
      <c r="C1942" s="2319" t="n">
        <f aca="false">C1930*G1912</f>
        <v>0</v>
      </c>
      <c r="D1942" s="2062" t="n">
        <f aca="false">VLOOKUP(A1942,'Прайс лист'!B448:G535,6,0)</f>
        <v>8000</v>
      </c>
      <c r="E1942" s="1707" t="n">
        <f aca="false">C1942*D1942</f>
        <v>0</v>
      </c>
      <c r="F1942" s="1617"/>
      <c r="G1942" s="1995" t="str">
        <f aca="false">G1882</f>
        <v>Обаботка огнебиозащитой</v>
      </c>
      <c r="H1942" s="2146"/>
      <c r="I1942" s="2225"/>
      <c r="J1942" s="1707" t="n">
        <f aca="false">SUM(C1939:C1942)*IF('Ввод данных'!A1034='Прайс лист'!B584,0,1)</f>
        <v>1.09982631578947</v>
      </c>
      <c r="K1942" s="1707" t="n">
        <f aca="false">K1882</f>
        <v>300</v>
      </c>
      <c r="L1942" s="1707"/>
      <c r="M1942" s="1707"/>
      <c r="N1942" s="1707"/>
      <c r="P1942" s="1617"/>
      <c r="Q1942" s="1617"/>
      <c r="R1942" s="1617"/>
      <c r="S1942" s="1617"/>
      <c r="T1942" s="1617"/>
      <c r="U1942" s="1617"/>
      <c r="V1942" s="1617"/>
      <c r="W1942" s="1617"/>
      <c r="X1942" s="1617"/>
      <c r="Y1942" s="1617"/>
    </row>
    <row r="1943" customFormat="false" ht="15.75" hidden="true" customHeight="true" outlineLevel="1" collapsed="false">
      <c r="A1943" s="2211" t="str">
        <f aca="false">'Ввод данных'!A1027</f>
        <v>Шкант</v>
      </c>
      <c r="B1943" s="2064" t="s">
        <v>48</v>
      </c>
      <c r="C1943" s="2144" t="n">
        <f aca="false">CEILING((C1940+C1941+C1942+C1939)*20*G1912,1)</f>
        <v>25</v>
      </c>
      <c r="D1943" s="2062" t="n">
        <f aca="false">VLOOKUP('Ввод данных'!A1027,связи1!A458:B460,2,0)</f>
        <v>6</v>
      </c>
      <c r="E1943" s="1707" t="n">
        <f aca="false">C1943*D1943</f>
        <v>150</v>
      </c>
      <c r="F1943" s="1617"/>
      <c r="G1943" s="1995" t="str">
        <f aca="false">G1883</f>
        <v>Пропитка стен внешних</v>
      </c>
      <c r="H1943" s="2146"/>
      <c r="I1943" s="2225"/>
      <c r="J1943" s="1707" t="n">
        <f aca="false">G1925*0.3*IF('Ввод данных'!A1039='Прайс лист'!B1359,0,1)</f>
        <v>0</v>
      </c>
      <c r="K1943" s="1707" t="n">
        <f aca="false">K1883</f>
        <v>100</v>
      </c>
      <c r="L1943" s="1707"/>
      <c r="M1943" s="1707"/>
      <c r="N1943" s="1707"/>
      <c r="P1943" s="1617"/>
      <c r="Q1943" s="1617"/>
      <c r="R1943" s="1617"/>
      <c r="S1943" s="1617"/>
      <c r="T1943" s="1617"/>
      <c r="U1943" s="1617"/>
      <c r="V1943" s="1617"/>
      <c r="W1943" s="1617"/>
      <c r="X1943" s="1617"/>
      <c r="Y1943" s="1617"/>
    </row>
    <row r="1944" customFormat="false" ht="15.75" hidden="true" customHeight="true" outlineLevel="1" collapsed="false">
      <c r="A1944" s="2211" t="str">
        <f aca="false">'Ввод данных'!A1024</f>
        <v>Лен-джут 200х5х20000 мм</v>
      </c>
      <c r="B1944" s="2064" t="s">
        <v>48</v>
      </c>
      <c r="C1944" s="2144" t="n">
        <f aca="false">CEILING(((C1926/D1926+C1928/D1928+C1930/D1929)/VLOOKUP(A1940,'Прайс лист'!B448:G535,3,0)/20*G1912)*1.4,1)</f>
        <v>2</v>
      </c>
      <c r="D1944" s="2062" t="n">
        <f aca="false">VLOOKUP(A1944,'Прайс лист'!B435:G439,6,0)</f>
        <v>175</v>
      </c>
      <c r="E1944" s="1707" t="n">
        <f aca="false">C1944*D1944</f>
        <v>350</v>
      </c>
      <c r="F1944" s="1617"/>
      <c r="G1944" s="1995" t="str">
        <f aca="false">G1884</f>
        <v>Пропитка внутенних стен</v>
      </c>
      <c r="H1944" s="1995"/>
      <c r="I1944" s="1633"/>
      <c r="J1944" s="1436" t="n">
        <f aca="false">(G1925+G1927*2+G1930*2)*0.3*IF('Ввод данных'!A1044='Прайс лист'!B1359,0,1)</f>
        <v>0</v>
      </c>
      <c r="K1944" s="1707" t="n">
        <f aca="false">K1884</f>
        <v>100</v>
      </c>
      <c r="L1944" s="1436"/>
      <c r="M1944" s="1436"/>
      <c r="N1944" s="1436"/>
      <c r="P1944" s="1617"/>
      <c r="Q1944" s="1617"/>
      <c r="R1944" s="1617"/>
      <c r="S1944" s="1617"/>
      <c r="T1944" s="1617"/>
      <c r="U1944" s="1617"/>
      <c r="V1944" s="1617"/>
      <c r="W1944" s="1617"/>
      <c r="X1944" s="1617"/>
      <c r="Y1944" s="1617"/>
    </row>
    <row r="1945" customFormat="false" ht="15.75" hidden="true" customHeight="true" outlineLevel="1" collapsed="false">
      <c r="A1945" s="2211" t="str">
        <f aca="false">'Прайс лист'!B743</f>
        <v>Гвозди ершоные 2,8 х 90            </v>
      </c>
      <c r="B1945" s="2064" t="s">
        <v>48</v>
      </c>
      <c r="C1945" s="2144" t="n">
        <f aca="false">C1836*G1912</f>
        <v>4.84</v>
      </c>
      <c r="D1945" s="2062" t="n">
        <f aca="false">'Прайс лист'!G743</f>
        <v>76.49</v>
      </c>
      <c r="E1945" s="1707" t="n">
        <f aca="false">C1945*D1945</f>
        <v>370.2116</v>
      </c>
      <c r="F1945" s="1617"/>
      <c r="G1945" s="1995" t="str">
        <f aca="false">G1792</f>
        <v>Не считать</v>
      </c>
      <c r="H1945" s="1995"/>
      <c r="I1945" s="1995" t="n">
        <f aca="false">I1792</f>
        <v>0</v>
      </c>
      <c r="J1945" s="1995" t="n">
        <f aca="false">J1792</f>
        <v>0</v>
      </c>
      <c r="K1945" s="1995" t="n">
        <f aca="false">K1792</f>
        <v>300</v>
      </c>
      <c r="L1945" s="1707"/>
      <c r="M1945" s="1707"/>
      <c r="N1945" s="1707"/>
      <c r="O1945" s="1707"/>
      <c r="P1945" s="1617"/>
      <c r="Q1945" s="1617"/>
      <c r="R1945" s="1617"/>
      <c r="S1945" s="1617"/>
      <c r="T1945" s="1617"/>
      <c r="U1945" s="1617"/>
      <c r="V1945" s="1617"/>
      <c r="W1945" s="1617"/>
      <c r="X1945" s="1617"/>
      <c r="Y1945" s="1617"/>
    </row>
    <row r="1946" customFormat="false" ht="15.75" hidden="true" customHeight="true" outlineLevel="1" collapsed="false">
      <c r="A1946" s="1714" t="str">
        <f aca="false">A1885</f>
        <v>нет</v>
      </c>
      <c r="B1946" s="1958" t="str">
        <f aca="false">B1885</f>
        <v>м3</v>
      </c>
      <c r="C1946" s="2353" t="n">
        <f aca="false">((C1758*G1758+C1759*G1759)*G1750*VLOOKUP(A1793,связи1!A406:E415,5,0))</f>
        <v>0</v>
      </c>
      <c r="D1946" s="2353" t="n">
        <f aca="false">D1885</f>
        <v>0</v>
      </c>
      <c r="E1946" s="1707" t="n">
        <f aca="false">C1946*D1946</f>
        <v>0</v>
      </c>
      <c r="F1946" s="1617"/>
      <c r="G1946" s="1995" t="str">
        <f aca="false">G1793</f>
        <v>Монтаж наличника</v>
      </c>
      <c r="H1946" s="2146"/>
      <c r="I1946" s="2225"/>
      <c r="J1946" s="1995" t="n">
        <f aca="false">J1793</f>
        <v>0</v>
      </c>
      <c r="K1946" s="1995" t="n">
        <f aca="false">K1793</f>
        <v>80</v>
      </c>
      <c r="L1946" s="1707"/>
      <c r="M1946" s="1707"/>
      <c r="N1946" s="1707"/>
      <c r="O1946" s="1707"/>
      <c r="P1946" s="1617"/>
      <c r="Q1946" s="1617"/>
      <c r="R1946" s="1617"/>
      <c r="S1946" s="1617"/>
      <c r="T1946" s="1617"/>
      <c r="U1946" s="1617"/>
      <c r="V1946" s="1617"/>
      <c r="W1946" s="1617"/>
      <c r="X1946" s="1617"/>
      <c r="Y1946" s="1617"/>
    </row>
    <row r="1947" customFormat="false" ht="15.75" hidden="true" customHeight="true" outlineLevel="1" collapsed="false">
      <c r="A1947" s="1714" t="str">
        <f aca="false">A1886</f>
        <v>нет</v>
      </c>
      <c r="B1947" s="1958" t="str">
        <f aca="false">B1886</f>
        <v>м3</v>
      </c>
      <c r="C1947" s="2353" t="n">
        <f aca="false">((C1760*G1760+C1762*G1762)*G1750*VLOOKUP(A1794,связи1!A406:E415,5,0))</f>
        <v>0</v>
      </c>
      <c r="D1947" s="2353" t="n">
        <f aca="false">D1886</f>
        <v>0</v>
      </c>
      <c r="E1947" s="1707" t="n">
        <f aca="false">C1947*D1947</f>
        <v>0</v>
      </c>
      <c r="F1947" s="1617"/>
      <c r="G1947" s="1995" t="str">
        <f aca="false">G1888</f>
        <v>Шлифовка стен дома</v>
      </c>
      <c r="H1947" s="1995"/>
      <c r="I1947" s="1995" t="n">
        <f aca="false">I1888</f>
        <v>0</v>
      </c>
      <c r="J1947" s="1995" t="n">
        <f aca="false">J1926*1.1*IF('Ввод данных'!A1057=связи1!A560,1,0)+(J1926+J1929*2)*1.1*IF('Ввод данных'!A1060=связи1!A563,1,0)</f>
        <v>0</v>
      </c>
      <c r="K1947" s="1995" t="n">
        <f aca="false">K1888</f>
        <v>250</v>
      </c>
      <c r="L1947" s="1707"/>
      <c r="M1947" s="1707"/>
      <c r="N1947" s="1707"/>
      <c r="O1947" s="1707"/>
      <c r="P1947" s="1617"/>
      <c r="Q1947" s="1617"/>
      <c r="R1947" s="1617"/>
      <c r="S1947" s="1617"/>
      <c r="T1947" s="1617"/>
      <c r="U1947" s="1617"/>
      <c r="V1947" s="1617"/>
      <c r="W1947" s="1617"/>
      <c r="X1947" s="1617"/>
      <c r="Y1947" s="1617"/>
    </row>
    <row r="1948" customFormat="false" ht="15.75" hidden="true" customHeight="true" outlineLevel="1" collapsed="false">
      <c r="A1948" s="1714" t="str">
        <f aca="false">A1887</f>
        <v>нет</v>
      </c>
      <c r="B1948" s="1958" t="str">
        <f aca="false">B1887</f>
        <v>м3</v>
      </c>
      <c r="C1948" s="2353" t="n">
        <f aca="false">VLOOKUP(A1795,связи1!A406:E415,5,0)*(C1761*G1761+C1763*G1763)*G1750</f>
        <v>0</v>
      </c>
      <c r="D1948" s="2353" t="n">
        <f aca="false">D1887</f>
        <v>0</v>
      </c>
      <c r="E1948" s="1707" t="n">
        <f aca="false">C1948*D1948</f>
        <v>0</v>
      </c>
      <c r="F1948" s="1617"/>
      <c r="G1948" s="1995"/>
      <c r="H1948" s="2146"/>
      <c r="I1948" s="2146"/>
      <c r="J1948" s="1995"/>
      <c r="K1948" s="1995"/>
      <c r="L1948" s="1707"/>
      <c r="M1948" s="1707"/>
      <c r="N1948" s="1707"/>
      <c r="O1948" s="1707"/>
      <c r="P1948" s="1617"/>
      <c r="Q1948" s="1617"/>
      <c r="R1948" s="1617"/>
      <c r="S1948" s="1617"/>
      <c r="T1948" s="1617"/>
      <c r="U1948" s="1617"/>
      <c r="V1948" s="1617"/>
      <c r="W1948" s="1617"/>
      <c r="X1948" s="1617"/>
      <c r="Y1948" s="1617"/>
    </row>
    <row r="1949" customFormat="false" ht="15.75" hidden="true" customHeight="true" outlineLevel="1" collapsed="false">
      <c r="A1949" s="1714" t="str">
        <f aca="false">A1888</f>
        <v>нет</v>
      </c>
      <c r="B1949" s="1958" t="str">
        <f aca="false">B1888</f>
        <v>м.п.</v>
      </c>
      <c r="C1949" s="2353" t="n">
        <f aca="false">C1888</f>
        <v>0</v>
      </c>
      <c r="D1949" s="2353" t="n">
        <f aca="false">D1888</f>
        <v>0</v>
      </c>
      <c r="E1949" s="1707" t="n">
        <f aca="false">C1949*D1949</f>
        <v>0</v>
      </c>
      <c r="F1949" s="1617"/>
      <c r="G1949" s="1995"/>
      <c r="H1949" s="2146"/>
      <c r="I1949" s="2225"/>
      <c r="J1949" s="1707"/>
      <c r="K1949" s="1707"/>
      <c r="L1949" s="1707"/>
      <c r="M1949" s="1707"/>
      <c r="N1949" s="1707"/>
      <c r="O1949" s="1707"/>
      <c r="P1949" s="1617"/>
      <c r="Q1949" s="1617"/>
      <c r="R1949" s="1617"/>
      <c r="S1949" s="1617"/>
      <c r="T1949" s="1617"/>
      <c r="U1949" s="1617"/>
      <c r="V1949" s="1617"/>
      <c r="W1949" s="1617"/>
      <c r="X1949" s="1617"/>
      <c r="Y1949" s="1617"/>
    </row>
    <row r="1950" customFormat="false" ht="15.75" hidden="true" customHeight="true" outlineLevel="1" collapsed="false">
      <c r="A1950" s="1714" t="str">
        <f aca="false">A1889</f>
        <v>Бензин для пилы</v>
      </c>
      <c r="B1950" s="1958" t="str">
        <f aca="false">B1889</f>
        <v>л</v>
      </c>
      <c r="C1950" s="2353" t="n">
        <f aca="false">(C1939+C1940+C1941+C1942)/4</f>
        <v>0.274956578947368</v>
      </c>
      <c r="D1950" s="2353" t="n">
        <f aca="false">D1889</f>
        <v>40</v>
      </c>
      <c r="E1950" s="1707" t="n">
        <f aca="false">C1950*D1950</f>
        <v>10.9982631578947</v>
      </c>
      <c r="F1950" s="1617"/>
      <c r="G1950" s="2341"/>
      <c r="H1950" s="2360"/>
      <c r="I1950" s="2225"/>
      <c r="J1950" s="1707"/>
      <c r="K1950" s="1707"/>
      <c r="L1950" s="1707"/>
      <c r="M1950" s="1707"/>
      <c r="N1950" s="1707"/>
      <c r="O1950" s="1707"/>
      <c r="P1950" s="1617"/>
      <c r="Q1950" s="1617"/>
      <c r="R1950" s="1617"/>
      <c r="S1950" s="1617"/>
      <c r="T1950" s="1617"/>
      <c r="U1950" s="1617"/>
      <c r="V1950" s="1617"/>
      <c r="W1950" s="1617"/>
      <c r="X1950" s="1617"/>
      <c r="Y1950" s="1617"/>
    </row>
    <row r="1951" customFormat="false" ht="15.75" hidden="true" customHeight="true" outlineLevel="1" collapsed="false">
      <c r="A1951" s="1714" t="str">
        <f aca="false">A1890</f>
        <v>Масло для пилы</v>
      </c>
      <c r="B1951" s="1958" t="str">
        <f aca="false">B1890</f>
        <v>л</v>
      </c>
      <c r="C1951" s="2353" t="n">
        <f aca="false">C1950/20</f>
        <v>0.0137478289473684</v>
      </c>
      <c r="D1951" s="2353" t="n">
        <f aca="false">D1890</f>
        <v>250</v>
      </c>
      <c r="E1951" s="1707" t="n">
        <f aca="false">C1951*D1951</f>
        <v>3.43695723684211</v>
      </c>
      <c r="F1951" s="1617"/>
      <c r="G1951" s="2341"/>
      <c r="H1951" s="2360"/>
      <c r="I1951" s="2225"/>
      <c r="J1951" s="1707"/>
      <c r="K1951" s="1707"/>
      <c r="L1951" s="1707"/>
      <c r="M1951" s="1707"/>
      <c r="N1951" s="1707"/>
      <c r="O1951" s="1707"/>
      <c r="P1951" s="1617"/>
      <c r="Q1951" s="1617"/>
      <c r="R1951" s="1617"/>
      <c r="S1951" s="1617"/>
      <c r="T1951" s="1617"/>
      <c r="U1951" s="1617"/>
      <c r="V1951" s="1617"/>
      <c r="W1951" s="1617"/>
      <c r="X1951" s="1617"/>
      <c r="Y1951" s="1617"/>
    </row>
    <row r="1952" customFormat="false" ht="15.75" hidden="true" customHeight="true" outlineLevel="1" collapsed="false">
      <c r="A1952" s="1714" t="str">
        <f aca="false">A1891</f>
        <v>Цепь для пилы</v>
      </c>
      <c r="B1952" s="1958" t="str">
        <f aca="false">B1891</f>
        <v>л</v>
      </c>
      <c r="C1952" s="2353" t="n">
        <f aca="false">CEILING((C1939+C1940+C1941+C1942)/10,1)</f>
        <v>1</v>
      </c>
      <c r="D1952" s="2353" t="n">
        <f aca="false">D1891</f>
        <v>800</v>
      </c>
      <c r="E1952" s="1707" t="n">
        <f aca="false">C1952*D1952</f>
        <v>800</v>
      </c>
      <c r="F1952" s="1617"/>
      <c r="G1952" s="2341"/>
      <c r="H1952" s="2360"/>
      <c r="I1952" s="2225"/>
      <c r="J1952" s="1707"/>
      <c r="K1952" s="1707"/>
      <c r="L1952" s="1707"/>
      <c r="M1952" s="1707"/>
      <c r="N1952" s="1707"/>
      <c r="O1952" s="1707"/>
      <c r="P1952" s="1617"/>
      <c r="Q1952" s="1617"/>
      <c r="R1952" s="1617"/>
      <c r="S1952" s="1617"/>
      <c r="T1952" s="1617"/>
      <c r="U1952" s="1617"/>
      <c r="V1952" s="1617"/>
      <c r="W1952" s="1617"/>
      <c r="X1952" s="1617"/>
      <c r="Y1952" s="1617"/>
    </row>
    <row r="1953" customFormat="false" ht="15.75" hidden="true" customHeight="true" outlineLevel="1" collapsed="false">
      <c r="A1953" s="1714" t="str">
        <f aca="false">A1892</f>
        <v>"Профилюкс" Антисептик ОБЗ-1</v>
      </c>
      <c r="B1953" s="1958" t="str">
        <f aca="false">B1892</f>
        <v>л</v>
      </c>
      <c r="C1953" s="2353" t="n">
        <f aca="false">G1932*'Ввод данных'!C1035*'Ввод данных'!C1036</f>
        <v>1.81789473684211</v>
      </c>
      <c r="D1953" s="2353" t="n">
        <f aca="false">D1892</f>
        <v>42</v>
      </c>
      <c r="E1953" s="1707" t="n">
        <f aca="false">C1953*D1953</f>
        <v>76.3515789473684</v>
      </c>
      <c r="F1953" s="1617"/>
      <c r="G1953" s="2341"/>
      <c r="H1953" s="2360"/>
      <c r="I1953" s="2225"/>
      <c r="J1953" s="1707"/>
      <c r="K1953" s="1707"/>
      <c r="L1953" s="1707"/>
      <c r="M1953" s="1707"/>
      <c r="N1953" s="1707"/>
      <c r="O1953" s="1707"/>
      <c r="P1953" s="1617"/>
      <c r="Q1953" s="1617"/>
      <c r="R1953" s="1617"/>
      <c r="S1953" s="1617"/>
      <c r="T1953" s="1617"/>
      <c r="U1953" s="1617"/>
      <c r="V1953" s="1617"/>
      <c r="W1953" s="1617"/>
      <c r="X1953" s="1617"/>
      <c r="Y1953" s="1617"/>
    </row>
    <row r="1954" customFormat="false" ht="15.75" hidden="true" customHeight="true" outlineLevel="1" collapsed="false">
      <c r="A1954" s="1714" t="str">
        <f aca="false">A1893</f>
        <v>Нет пропитки</v>
      </c>
      <c r="B1954" s="1958" t="str">
        <f aca="false">B1893</f>
        <v>л</v>
      </c>
      <c r="C1954" s="2353" t="n">
        <f aca="false">G1925*0.3*'Ввод данных'!C1040*'Ввод данных'!C1041</f>
        <v>1.09073684210526</v>
      </c>
      <c r="D1954" s="2353" t="n">
        <f aca="false">D1893</f>
        <v>0</v>
      </c>
      <c r="E1954" s="1707" t="n">
        <f aca="false">C1954*D1954</f>
        <v>0</v>
      </c>
      <c r="F1954" s="1617"/>
      <c r="G1954" s="2341"/>
      <c r="H1954" s="2360"/>
      <c r="I1954" s="2225"/>
      <c r="J1954" s="1707"/>
      <c r="K1954" s="1707"/>
      <c r="L1954" s="1707"/>
      <c r="M1954" s="1707"/>
      <c r="N1954" s="1707"/>
      <c r="O1954" s="1707"/>
      <c r="P1954" s="1617"/>
      <c r="Q1954" s="1617"/>
      <c r="R1954" s="1617"/>
      <c r="S1954" s="1617"/>
      <c r="T1954" s="1617"/>
      <c r="U1954" s="1617"/>
      <c r="V1954" s="1617"/>
      <c r="W1954" s="1617"/>
      <c r="X1954" s="1617"/>
      <c r="Y1954" s="1617"/>
    </row>
    <row r="1955" customFormat="false" ht="15.75" hidden="true" customHeight="true" outlineLevel="1" collapsed="false">
      <c r="A1955" s="1714" t="str">
        <f aca="false">A1894</f>
        <v>Нет пропитки</v>
      </c>
      <c r="B1955" s="1958" t="str">
        <f aca="false">B1894</f>
        <v>л</v>
      </c>
      <c r="C1955" s="2353" t="n">
        <f aca="false">(G1925+G1927*2+G1930*2)*0.3*'Ввод данных'!C1045*'Ввод данных'!C1046</f>
        <v>1.09073684210526</v>
      </c>
      <c r="D1955" s="2353" t="n">
        <f aca="false">D1894</f>
        <v>0</v>
      </c>
      <c r="E1955" s="1707" t="n">
        <f aca="false">C1955*D1955</f>
        <v>0</v>
      </c>
      <c r="F1955" s="1617"/>
      <c r="G1955" s="2341"/>
      <c r="H1955" s="2360"/>
      <c r="I1955" s="2225"/>
      <c r="J1955" s="1707"/>
      <c r="K1955" s="1707"/>
      <c r="L1955" s="1707"/>
      <c r="M1955" s="1707"/>
      <c r="N1955" s="1707"/>
      <c r="O1955" s="1707"/>
      <c r="P1955" s="1617"/>
      <c r="Q1955" s="1617"/>
      <c r="R1955" s="1617"/>
      <c r="S1955" s="1617"/>
      <c r="T1955" s="1617"/>
      <c r="U1955" s="1617"/>
      <c r="V1955" s="1617"/>
      <c r="W1955" s="1617"/>
      <c r="X1955" s="1617"/>
      <c r="Y1955" s="1617"/>
    </row>
    <row r="1956" customFormat="false" ht="15.75" hidden="true" customHeight="true" outlineLevel="1" collapsed="false">
      <c r="A1956" s="1714" t="str">
        <f aca="false">A1895</f>
        <v>Нет наличника</v>
      </c>
      <c r="B1956" s="1958" t="str">
        <f aca="false">B1895</f>
        <v>м.п.</v>
      </c>
      <c r="C1956" s="1714" t="n">
        <f aca="false">C1895</f>
        <v>3.57</v>
      </c>
      <c r="D1956" s="1714" t="n">
        <f aca="false">D1895</f>
        <v>0</v>
      </c>
      <c r="E1956" s="1707" t="n">
        <f aca="false">C1956*D1956</f>
        <v>0</v>
      </c>
      <c r="F1956" s="1617"/>
      <c r="G1956" s="2341"/>
      <c r="H1956" s="2360"/>
      <c r="I1956" s="2225"/>
      <c r="J1956" s="1707"/>
      <c r="K1956" s="1707"/>
      <c r="L1956" s="1707"/>
      <c r="M1956" s="1707"/>
      <c r="N1956" s="1707"/>
      <c r="O1956" s="1707"/>
      <c r="P1956" s="1617"/>
      <c r="Q1956" s="1617"/>
      <c r="R1956" s="1617"/>
      <c r="S1956" s="1617"/>
      <c r="T1956" s="1617"/>
      <c r="U1956" s="1617"/>
      <c r="V1956" s="1617"/>
      <c r="W1956" s="1617"/>
      <c r="X1956" s="1617"/>
      <c r="Y1956" s="1617"/>
    </row>
    <row r="1957" customFormat="false" ht="15.75" hidden="true" customHeight="true" outlineLevel="1" collapsed="false">
      <c r="A1957" s="1714" t="str">
        <f aca="false">A1896</f>
        <v>Нет наличника</v>
      </c>
      <c r="B1957" s="1958" t="str">
        <f aca="false">B1896</f>
        <v>м.п.</v>
      </c>
      <c r="C1957" s="1714" t="n">
        <f aca="false">C1896</f>
        <v>3.57</v>
      </c>
      <c r="D1957" s="1714" t="n">
        <f aca="false">D1896</f>
        <v>0</v>
      </c>
      <c r="E1957" s="1707" t="n">
        <f aca="false">C1957*D1957</f>
        <v>0</v>
      </c>
      <c r="F1957" s="1617"/>
      <c r="G1957" s="2341"/>
      <c r="H1957" s="2360"/>
      <c r="I1957" s="2225"/>
      <c r="J1957" s="1707"/>
      <c r="K1957" s="1707"/>
      <c r="L1957" s="1707"/>
      <c r="M1957" s="1707"/>
      <c r="N1957" s="1707"/>
      <c r="O1957" s="1707"/>
      <c r="P1957" s="1617"/>
      <c r="Q1957" s="1617"/>
      <c r="R1957" s="1617"/>
      <c r="S1957" s="1617"/>
      <c r="T1957" s="1617"/>
      <c r="U1957" s="1617"/>
      <c r="V1957" s="1617"/>
      <c r="W1957" s="1617"/>
      <c r="X1957" s="1617"/>
      <c r="Y1957" s="1617"/>
    </row>
    <row r="1958" customFormat="false" ht="15.75" hidden="true" customHeight="true" outlineLevel="1" collapsed="false">
      <c r="A1958" s="1714" t="str">
        <f aca="false">A1897</f>
        <v>Нет наждачной бумаги</v>
      </c>
      <c r="B1958" s="1714" t="str">
        <f aca="false">B1897</f>
        <v>м</v>
      </c>
      <c r="C1958" s="1714" t="n">
        <f aca="false">C1897</f>
        <v>0</v>
      </c>
      <c r="D1958" s="1714" t="n">
        <f aca="false">D1897</f>
        <v>0</v>
      </c>
      <c r="E1958" s="1707" t="n">
        <f aca="false">C1958*D1958</f>
        <v>0</v>
      </c>
      <c r="F1958" s="1617"/>
      <c r="G1958" s="2341"/>
      <c r="H1958" s="2360"/>
      <c r="I1958" s="2225"/>
      <c r="J1958" s="1707"/>
      <c r="K1958" s="1707"/>
      <c r="L1958" s="1707"/>
      <c r="M1958" s="1707"/>
      <c r="N1958" s="1707"/>
      <c r="O1958" s="1707"/>
      <c r="P1958" s="1617"/>
      <c r="Q1958" s="1617"/>
      <c r="R1958" s="1617"/>
      <c r="S1958" s="1617"/>
      <c r="T1958" s="1617"/>
      <c r="U1958" s="1617"/>
      <c r="V1958" s="1617"/>
      <c r="W1958" s="1617"/>
      <c r="X1958" s="1617"/>
      <c r="Y1958" s="1617"/>
    </row>
    <row r="1959" customFormat="false" ht="15.75" hidden="true" customHeight="true" outlineLevel="1" collapsed="false">
      <c r="A1959" s="1714" t="str">
        <f aca="false">A1898</f>
        <v>Нет наждачной бумаги</v>
      </c>
      <c r="B1959" s="1714" t="str">
        <f aca="false">B1898</f>
        <v>м</v>
      </c>
      <c r="C1959" s="1714" t="n">
        <f aca="false">C1898</f>
        <v>0</v>
      </c>
      <c r="D1959" s="1714" t="n">
        <f aca="false">D1898</f>
        <v>0</v>
      </c>
      <c r="E1959" s="1707" t="n">
        <f aca="false">C1959*D1959</f>
        <v>0</v>
      </c>
      <c r="F1959" s="1617"/>
      <c r="G1959" s="2341"/>
      <c r="H1959" s="2360"/>
      <c r="I1959" s="2225"/>
      <c r="J1959" s="1707"/>
      <c r="K1959" s="1707"/>
      <c r="L1959" s="1707"/>
      <c r="M1959" s="1707"/>
      <c r="N1959" s="1707"/>
      <c r="O1959" s="1707"/>
      <c r="P1959" s="1617"/>
      <c r="Q1959" s="1617"/>
      <c r="R1959" s="1617"/>
      <c r="S1959" s="1617"/>
      <c r="T1959" s="1617"/>
      <c r="U1959" s="1617"/>
      <c r="V1959" s="1617"/>
      <c r="W1959" s="1617"/>
      <c r="X1959" s="1617"/>
      <c r="Y1959" s="1617"/>
    </row>
    <row r="1960" customFormat="false" ht="15.75" hidden="true" customHeight="true" outlineLevel="1" collapsed="false">
      <c r="A1960" s="1714" t="str">
        <f aca="false">A1899</f>
        <v>Нет наждачной бумаги</v>
      </c>
      <c r="B1960" s="1714" t="str">
        <f aca="false">B1899</f>
        <v>м</v>
      </c>
      <c r="C1960" s="1714" t="n">
        <f aca="false">C1899</f>
        <v>0</v>
      </c>
      <c r="D1960" s="1714" t="n">
        <f aca="false">D1899</f>
        <v>0</v>
      </c>
      <c r="E1960" s="1707" t="n">
        <f aca="false">C1960*D1960</f>
        <v>0</v>
      </c>
      <c r="F1960" s="1617"/>
      <c r="G1960" s="2341"/>
      <c r="H1960" s="2360"/>
      <c r="I1960" s="2225"/>
      <c r="J1960" s="1707"/>
      <c r="K1960" s="1707"/>
      <c r="L1960" s="1707"/>
      <c r="M1960" s="1707"/>
      <c r="N1960" s="1707"/>
      <c r="O1960" s="1707"/>
      <c r="P1960" s="1617"/>
      <c r="Q1960" s="1617"/>
      <c r="R1960" s="1617"/>
      <c r="S1960" s="1617"/>
      <c r="T1960" s="1617"/>
      <c r="U1960" s="1617"/>
      <c r="V1960" s="1617"/>
      <c r="W1960" s="1617"/>
      <c r="X1960" s="1617"/>
      <c r="Y1960" s="1617"/>
    </row>
    <row r="1961" customFormat="false" ht="15.75" hidden="true" customHeight="true" outlineLevel="1" collapsed="false">
      <c r="A1961" s="1714" t="str">
        <f aca="false">A1900</f>
        <v>Нет наждачной бумаги</v>
      </c>
      <c r="B1961" s="1714" t="str">
        <f aca="false">B1900</f>
        <v>м</v>
      </c>
      <c r="C1961" s="1714" t="n">
        <f aca="false">C1900</f>
        <v>0</v>
      </c>
      <c r="D1961" s="1714" t="n">
        <f aca="false">D1900</f>
        <v>0</v>
      </c>
      <c r="E1961" s="1707" t="n">
        <f aca="false">C1961*D1961</f>
        <v>0</v>
      </c>
      <c r="F1961" s="1617"/>
      <c r="G1961" s="2341"/>
      <c r="H1961" s="2360"/>
      <c r="I1961" s="2225"/>
      <c r="J1961" s="1707"/>
      <c r="K1961" s="1707"/>
      <c r="L1961" s="1707"/>
      <c r="M1961" s="1707"/>
      <c r="N1961" s="1707"/>
      <c r="O1961" s="1707"/>
      <c r="P1961" s="1617"/>
      <c r="Q1961" s="1617"/>
      <c r="R1961" s="1617"/>
      <c r="S1961" s="1617"/>
      <c r="T1961" s="1617"/>
      <c r="U1961" s="1617"/>
      <c r="V1961" s="1617"/>
      <c r="W1961" s="1617"/>
      <c r="X1961" s="1617"/>
      <c r="Y1961" s="1617"/>
    </row>
    <row r="1962" customFormat="false" ht="15.75" hidden="true" customHeight="true" outlineLevel="1" collapsed="false">
      <c r="A1962" s="1714" t="str">
        <f aca="false">A1809</f>
        <v>Командировочные расходы</v>
      </c>
      <c r="B1962" s="1958" t="str">
        <f aca="false">B1809</f>
        <v>рублей</v>
      </c>
      <c r="C1962" s="1714" t="n">
        <f aca="false">C1809</f>
        <v>1</v>
      </c>
      <c r="D1962" s="1714" t="n">
        <f aca="false">D1809</f>
        <v>0</v>
      </c>
      <c r="E1962" s="1714" t="n">
        <f aca="false">E1809</f>
        <v>0</v>
      </c>
      <c r="F1962" s="1617"/>
      <c r="G1962" s="2341"/>
      <c r="H1962" s="2360"/>
      <c r="I1962" s="2225"/>
      <c r="J1962" s="1707"/>
      <c r="K1962" s="1707"/>
      <c r="L1962" s="1707"/>
      <c r="M1962" s="1707"/>
      <c r="N1962" s="1707"/>
      <c r="O1962" s="1707"/>
      <c r="P1962" s="1617"/>
      <c r="Q1962" s="1617"/>
      <c r="R1962" s="1617"/>
      <c r="S1962" s="1617"/>
      <c r="T1962" s="1617"/>
      <c r="U1962" s="1617"/>
      <c r="V1962" s="1617"/>
      <c r="W1962" s="1617"/>
      <c r="X1962" s="1617"/>
      <c r="Y1962" s="1617"/>
    </row>
    <row r="1963" customFormat="false" ht="15.75" hidden="true" customHeight="true" outlineLevel="1" collapsed="false">
      <c r="A1963" s="1714" t="str">
        <f aca="false">A1902</f>
        <v>расходные материалы дома из леса</v>
      </c>
      <c r="B1963" s="1958" t="str">
        <f aca="false">B1902</f>
        <v>шт</v>
      </c>
      <c r="C1963" s="2353" t="n">
        <f aca="false">C1902</f>
        <v>1</v>
      </c>
      <c r="D1963" s="2353" t="n">
        <f aca="false">D1902</f>
        <v>3000</v>
      </c>
      <c r="E1963" s="1707" t="n">
        <f aca="false">C1963*D1963</f>
        <v>3000</v>
      </c>
      <c r="F1963" s="1617"/>
      <c r="G1963" s="1995"/>
      <c r="H1963" s="2146"/>
      <c r="I1963" s="2225"/>
      <c r="J1963" s="1707"/>
      <c r="K1963" s="1707"/>
      <c r="L1963" s="1707"/>
      <c r="M1963" s="1707"/>
      <c r="N1963" s="1707"/>
      <c r="O1963" s="1707"/>
      <c r="P1963" s="1617"/>
      <c r="Q1963" s="1617"/>
      <c r="R1963" s="1617"/>
      <c r="S1963" s="1617"/>
      <c r="T1963" s="1617"/>
      <c r="U1963" s="1617"/>
      <c r="V1963" s="1617"/>
      <c r="W1963" s="1617"/>
      <c r="X1963" s="1617"/>
      <c r="Y1963" s="1617"/>
    </row>
    <row r="1964" customFormat="false" ht="15.75" hidden="true" customHeight="true" outlineLevel="1" collapsed="false">
      <c r="A1964" s="1714" t="str">
        <f aca="false">A1903</f>
        <v>Нет техники</v>
      </c>
      <c r="B1964" s="1958" t="str">
        <f aca="false">B1903</f>
        <v>шт</v>
      </c>
      <c r="C1964" s="2353" t="n">
        <f aca="false">C1903</f>
        <v>0</v>
      </c>
      <c r="D1964" s="2353" t="n">
        <f aca="false">D1903</f>
        <v>0</v>
      </c>
      <c r="E1964" s="1707" t="n">
        <f aca="false">C1964*D1964</f>
        <v>0</v>
      </c>
      <c r="F1964" s="2362"/>
      <c r="G1964" s="2365"/>
      <c r="H1964" s="2365"/>
      <c r="I1964" s="2366"/>
      <c r="J1964" s="2367"/>
      <c r="K1964" s="2367"/>
      <c r="L1964" s="2367"/>
      <c r="M1964" s="2367"/>
      <c r="N1964" s="2367"/>
      <c r="O1964" s="1571"/>
      <c r="P1964" s="1617"/>
      <c r="Q1964" s="1617"/>
      <c r="R1964" s="1617"/>
      <c r="S1964" s="1617"/>
      <c r="T1964" s="1617"/>
      <c r="U1964" s="1617"/>
      <c r="V1964" s="1617"/>
      <c r="W1964" s="1617"/>
      <c r="X1964" s="1617"/>
      <c r="Y1964" s="1617"/>
    </row>
    <row r="1965" customFormat="false" ht="15.75" hidden="true" customHeight="true" outlineLevel="1" collapsed="false">
      <c r="A1965" s="1714" t="str">
        <f aca="false">A1904</f>
        <v>Нет техники</v>
      </c>
      <c r="B1965" s="1958" t="s">
        <v>48</v>
      </c>
      <c r="C1965" s="2353" t="n">
        <f aca="false">C1904</f>
        <v>0</v>
      </c>
      <c r="D1965" s="2353" t="n">
        <f aca="false">D1904</f>
        <v>0</v>
      </c>
      <c r="E1965" s="1707" t="n">
        <f aca="false">C1965*D1965</f>
        <v>0</v>
      </c>
      <c r="F1965" s="2362"/>
      <c r="G1965" s="2365"/>
      <c r="H1965" s="2365"/>
      <c r="I1965" s="2366"/>
      <c r="J1965" s="2367"/>
      <c r="K1965" s="2367"/>
      <c r="L1965" s="2367"/>
      <c r="M1965" s="2367"/>
      <c r="N1965" s="2367"/>
      <c r="O1965" s="1571"/>
      <c r="P1965" s="1617"/>
      <c r="Q1965" s="1617"/>
      <c r="R1965" s="1617"/>
      <c r="S1965" s="1617"/>
      <c r="T1965" s="1617"/>
      <c r="U1965" s="1617"/>
      <c r="V1965" s="1617"/>
      <c r="W1965" s="1617"/>
      <c r="X1965" s="1617"/>
      <c r="Y1965" s="1617"/>
    </row>
    <row r="1966" customFormat="false" ht="15.75" hidden="true" customHeight="true" outlineLevel="1" collapsed="false">
      <c r="A1966" s="2211"/>
      <c r="B1966" s="1568"/>
      <c r="C1966" s="1568"/>
      <c r="D1966" s="1568"/>
      <c r="E1966" s="2361" t="n">
        <f aca="false">SUM(E1939:E1963)</f>
        <v>27139.9079656579</v>
      </c>
      <c r="F1966" s="2362"/>
      <c r="G1966" s="2363"/>
      <c r="H1966" s="2363"/>
      <c r="I1966" s="2364"/>
      <c r="J1966" s="2363"/>
      <c r="K1966" s="2363"/>
      <c r="L1966" s="2363"/>
      <c r="M1966" s="2363"/>
      <c r="N1966" s="2363"/>
      <c r="O1966" s="1571" t="n">
        <f aca="false">SUM(O1939:O1963)</f>
        <v>11598.9578947368</v>
      </c>
      <c r="P1966" s="1617"/>
      <c r="Q1966" s="1617"/>
      <c r="R1966" s="1617"/>
      <c r="S1966" s="1617"/>
      <c r="T1966" s="1617"/>
      <c r="U1966" s="1617"/>
      <c r="V1966" s="1617"/>
      <c r="W1966" s="1617"/>
      <c r="X1966" s="1617"/>
      <c r="Y1966" s="1617"/>
    </row>
    <row r="1967" customFormat="false" ht="15.75" hidden="true" customHeight="true" outlineLevel="1" collapsed="false">
      <c r="A1967" s="2211" t="s">
        <v>3808</v>
      </c>
      <c r="B1967" s="1564" t="n">
        <f aca="false">E1966</f>
        <v>27139.9079656579</v>
      </c>
      <c r="C1967" s="1575"/>
      <c r="D1967" s="2363"/>
      <c r="E1967" s="2363"/>
      <c r="F1967" s="2363"/>
      <c r="G1967" s="2363"/>
      <c r="H1967" s="2363"/>
      <c r="I1967" s="2364"/>
      <c r="J1967" s="2363"/>
      <c r="K1967" s="2363"/>
      <c r="L1967" s="2363"/>
      <c r="M1967" s="2363"/>
      <c r="N1967" s="2363"/>
      <c r="O1967" s="2363"/>
      <c r="P1967" s="1617"/>
      <c r="Q1967" s="1617"/>
      <c r="R1967" s="1617"/>
      <c r="S1967" s="1617"/>
      <c r="T1967" s="1617"/>
      <c r="U1967" s="1617"/>
      <c r="V1967" s="1617"/>
      <c r="W1967" s="1617"/>
      <c r="X1967" s="1617"/>
      <c r="Y1967" s="1617"/>
    </row>
    <row r="1968" customFormat="false" ht="15.75" hidden="true" customHeight="true" outlineLevel="1" collapsed="false">
      <c r="A1968" s="2211" t="s">
        <v>3809</v>
      </c>
      <c r="B1968" s="1564" t="n">
        <f aca="false">O1966</f>
        <v>11598.9578947368</v>
      </c>
      <c r="C1968" s="1575"/>
      <c r="D1968" s="2363"/>
      <c r="E1968" s="2363"/>
      <c r="F1968" s="2363"/>
      <c r="G1968" s="2363"/>
      <c r="H1968" s="2363"/>
      <c r="I1968" s="2364"/>
      <c r="J1968" s="2363"/>
      <c r="K1968" s="2363"/>
      <c r="L1968" s="2363"/>
      <c r="M1968" s="2363"/>
      <c r="N1968" s="2363"/>
      <c r="O1968" s="2363"/>
      <c r="P1968" s="1617"/>
      <c r="Q1968" s="1617"/>
      <c r="R1968" s="1617"/>
      <c r="S1968" s="1617"/>
      <c r="T1968" s="1617"/>
      <c r="U1968" s="1617"/>
      <c r="V1968" s="1617"/>
      <c r="W1968" s="1617"/>
      <c r="X1968" s="1617"/>
      <c r="Y1968" s="1617"/>
    </row>
    <row r="1969" customFormat="false" ht="15.75" hidden="true" customHeight="true" outlineLevel="1" collapsed="false">
      <c r="A1969" s="1707" t="s">
        <v>2922</v>
      </c>
      <c r="B1969" s="1564" t="n">
        <f aca="false">SUM(B1967:B1968)</f>
        <v>38738.8658603947</v>
      </c>
      <c r="C1969" s="1575"/>
      <c r="D1969" s="2363"/>
      <c r="E1969" s="2363"/>
      <c r="F1969" s="2363"/>
      <c r="G1969" s="2363"/>
      <c r="H1969" s="2363"/>
      <c r="I1969" s="2364"/>
      <c r="J1969" s="2363"/>
      <c r="K1969" s="2363"/>
      <c r="L1969" s="2363"/>
      <c r="M1969" s="2363"/>
      <c r="N1969" s="2363"/>
      <c r="O1969" s="2363"/>
      <c r="P1969" s="1617"/>
      <c r="Q1969" s="1617"/>
      <c r="R1969" s="1617"/>
      <c r="S1969" s="1617"/>
      <c r="T1969" s="1617"/>
      <c r="U1969" s="1617"/>
      <c r="V1969" s="1617"/>
      <c r="W1969" s="1617"/>
      <c r="X1969" s="1617"/>
      <c r="Y1969" s="1617"/>
    </row>
    <row r="1970" customFormat="false" ht="15.75" hidden="false" customHeight="true" outlineLevel="0" collapsed="false">
      <c r="A1970" s="1902" t="s">
        <v>3916</v>
      </c>
      <c r="B1970" s="1694"/>
      <c r="C1970" s="1694"/>
      <c r="D1970" s="1902"/>
      <c r="E1970" s="1902"/>
      <c r="F1970" s="1902"/>
      <c r="G1970" s="1902"/>
      <c r="H1970" s="1902"/>
      <c r="I1970" s="2319"/>
      <c r="J1970" s="1617"/>
      <c r="K1970" s="1617"/>
      <c r="L1970" s="1617"/>
      <c r="M1970" s="1617"/>
      <c r="N1970" s="1617"/>
      <c r="O1970" s="1617"/>
      <c r="P1970" s="1617"/>
      <c r="Q1970" s="1617"/>
      <c r="R1970" s="1617"/>
      <c r="S1970" s="1617"/>
      <c r="T1970" s="1617"/>
      <c r="U1970" s="1617"/>
      <c r="V1970" s="1617"/>
      <c r="W1970" s="1617"/>
      <c r="X1970" s="1617"/>
      <c r="Y1970" s="1617"/>
    </row>
    <row r="1971" customFormat="false" ht="15.75" hidden="false" customHeight="true" outlineLevel="0" collapsed="false">
      <c r="A1971" s="1902"/>
      <c r="B1971" s="1694"/>
      <c r="C1971" s="1694"/>
      <c r="D1971" s="1902"/>
      <c r="E1971" s="1902"/>
      <c r="F1971" s="1902"/>
      <c r="G1971" s="1902"/>
      <c r="H1971" s="1902"/>
      <c r="I1971" s="2319"/>
      <c r="J1971" s="1617"/>
      <c r="K1971" s="1617"/>
      <c r="L1971" s="1617"/>
      <c r="M1971" s="1617"/>
      <c r="N1971" s="1617"/>
      <c r="O1971" s="1617"/>
      <c r="P1971" s="1617"/>
      <c r="Q1971" s="1617"/>
      <c r="R1971" s="1617"/>
      <c r="S1971" s="1617"/>
      <c r="T1971" s="1617"/>
      <c r="U1971" s="1617"/>
      <c r="V1971" s="1617"/>
      <c r="W1971" s="1617"/>
      <c r="X1971" s="1617"/>
      <c r="Y1971" s="1617"/>
    </row>
    <row r="1972" customFormat="false" ht="15.75" hidden="true" customHeight="true" outlineLevel="1" collapsed="false">
      <c r="A1972" s="2343" t="s">
        <v>3917</v>
      </c>
      <c r="B1972" s="2344"/>
      <c r="C1972" s="2344"/>
      <c r="D1972" s="2345"/>
      <c r="E1972" s="2345"/>
      <c r="F1972" s="2345"/>
      <c r="G1972" s="2345"/>
      <c r="H1972" s="2345"/>
      <c r="I1972" s="2346"/>
      <c r="J1972" s="2345"/>
      <c r="K1972" s="2345"/>
      <c r="L1972" s="2345"/>
      <c r="M1972" s="2345"/>
      <c r="N1972" s="2345"/>
      <c r="O1972" s="2347"/>
      <c r="P1972" s="1617"/>
      <c r="Q1972" s="1617"/>
      <c r="R1972" s="1617"/>
      <c r="S1972" s="1617"/>
      <c r="T1972" s="1617"/>
      <c r="U1972" s="1617"/>
      <c r="V1972" s="1617"/>
      <c r="W1972" s="1617"/>
      <c r="X1972" s="1617"/>
      <c r="Y1972" s="1617"/>
    </row>
    <row r="1973" customFormat="false" ht="15.75" hidden="true" customHeight="true" outlineLevel="1" collapsed="false">
      <c r="A1973" s="2192" t="s">
        <v>461</v>
      </c>
      <c r="B1973" s="2193"/>
      <c r="C1973" s="2193"/>
      <c r="D1973" s="2194"/>
      <c r="E1973" s="2194"/>
      <c r="F1973" s="2195"/>
      <c r="G1973" s="2244" t="n">
        <f aca="false">G1750</f>
        <v>1.1</v>
      </c>
      <c r="H1973" s="2245"/>
      <c r="I1973" s="2180" t="n">
        <f aca="false">I1750</f>
        <v>1</v>
      </c>
      <c r="J1973" s="2179"/>
      <c r="K1973" s="2179"/>
      <c r="L1973" s="2179"/>
      <c r="M1973" s="2179"/>
      <c r="N1973" s="2179"/>
      <c r="O1973" s="2179"/>
      <c r="P1973" s="1617"/>
      <c r="Q1973" s="1617"/>
      <c r="R1973" s="1617"/>
      <c r="S1973" s="1617"/>
      <c r="T1973" s="1617"/>
      <c r="U1973" s="1617"/>
      <c r="V1973" s="1617"/>
      <c r="W1973" s="1617"/>
      <c r="X1973" s="1617"/>
      <c r="Y1973" s="1617"/>
    </row>
    <row r="1974" customFormat="false" ht="15.75" hidden="true" customHeight="true" outlineLevel="1" collapsed="false">
      <c r="A1974" s="2349"/>
      <c r="B1974" s="2350"/>
      <c r="C1974" s="2351" t="n">
        <f aca="false">C1918</f>
        <v>5</v>
      </c>
      <c r="D1974" s="1617"/>
      <c r="E1974" s="1617"/>
      <c r="F1974" s="1617"/>
      <c r="I1974" s="2319"/>
      <c r="J1974" s="1617"/>
      <c r="K1974" s="1617"/>
      <c r="L1974" s="1617"/>
      <c r="M1974" s="1617"/>
      <c r="N1974" s="1617"/>
      <c r="O1974" s="1617"/>
      <c r="P1974" s="1617"/>
      <c r="Q1974" s="1617"/>
      <c r="R1974" s="1617"/>
      <c r="S1974" s="1617"/>
      <c r="T1974" s="1617"/>
      <c r="U1974" s="1617"/>
      <c r="V1974" s="1617"/>
      <c r="W1974" s="1617"/>
      <c r="X1974" s="1617"/>
      <c r="Y1974" s="1617"/>
    </row>
    <row r="1975" customFormat="false" ht="15.75" hidden="true" customHeight="true" outlineLevel="1" collapsed="false">
      <c r="A1975" s="2211" t="s">
        <v>3825</v>
      </c>
      <c r="B1975" s="1958" t="s">
        <v>820</v>
      </c>
      <c r="C1975" s="2141"/>
      <c r="D1975" s="1617"/>
      <c r="E1975" s="1617" t="n">
        <f aca="false">VLOOKUP(A1986,'Прайс лист'!B448:G535,3,0)</f>
        <v>0.22</v>
      </c>
      <c r="F1975" s="1582" t="n">
        <f aca="false">1/(E1975-'Ввод данных'!C1002)</f>
        <v>5.26315789473684</v>
      </c>
      <c r="G1975" s="1582" t="n">
        <f aca="false">3.14*E1975*F1975*(связи1!C158+C1974)</f>
        <v>18.1789473684211</v>
      </c>
      <c r="I1975" s="2319"/>
      <c r="J1975" s="1617"/>
      <c r="K1975" s="1617"/>
      <c r="L1975" s="1617"/>
      <c r="M1975" s="1617"/>
      <c r="N1975" s="1617"/>
      <c r="O1975" s="1617"/>
      <c r="P1975" s="1617"/>
      <c r="Q1975" s="1617"/>
      <c r="R1975" s="1617"/>
      <c r="S1975" s="1617"/>
      <c r="T1975" s="1617"/>
      <c r="U1975" s="1617"/>
      <c r="V1975" s="1617"/>
      <c r="W1975" s="1617"/>
      <c r="X1975" s="1617"/>
      <c r="Y1975" s="1617"/>
    </row>
    <row r="1976" customFormat="false" ht="15.75" hidden="true" customHeight="true" outlineLevel="1" collapsed="false">
      <c r="A1976" s="2211" t="s">
        <v>3826</v>
      </c>
      <c r="B1976" s="1958" t="s">
        <v>820</v>
      </c>
      <c r="C1976" s="2141" t="n">
        <f aca="false">C1868</f>
        <v>128</v>
      </c>
      <c r="D1976" s="1617"/>
      <c r="E1976" s="1714" t="n">
        <f aca="false">3.14*E1975/2*E1975/2*F1975</f>
        <v>0.199968421052632</v>
      </c>
      <c r="F1976" s="1617"/>
      <c r="I1976" s="2319"/>
      <c r="J1976" s="1617"/>
      <c r="K1976" s="1617"/>
      <c r="L1976" s="1617"/>
      <c r="M1976" s="1617"/>
      <c r="N1976" s="1617"/>
      <c r="O1976" s="1617"/>
      <c r="P1976" s="1617"/>
      <c r="Q1976" s="1617"/>
      <c r="R1976" s="1617"/>
      <c r="S1976" s="1617"/>
      <c r="T1976" s="1617"/>
      <c r="U1976" s="1617"/>
      <c r="V1976" s="1617"/>
      <c r="W1976" s="1617"/>
      <c r="X1976" s="1617"/>
      <c r="Y1976" s="1617"/>
    </row>
    <row r="1977" customFormat="false" ht="15.75" hidden="true" customHeight="true" outlineLevel="1" collapsed="false">
      <c r="A1977" s="2211" t="s">
        <v>3781</v>
      </c>
      <c r="B1977" s="1958" t="s">
        <v>820</v>
      </c>
      <c r="C1977" s="2213" t="n">
        <f aca="false">(связи1!C158+C1974)*E1976</f>
        <v>0.999842105263158</v>
      </c>
      <c r="D1977" s="1617"/>
      <c r="E1977" s="1617" t="n">
        <f aca="false">VLOOKUP(A1987,'Прайс лист'!B448:G535,3,0)</f>
        <v>0.22</v>
      </c>
      <c r="F1977" s="1582" t="n">
        <f aca="false">1/(E1977-'Ввод данных'!C1002)</f>
        <v>5.26315789473684</v>
      </c>
      <c r="G1977" s="1582" t="n">
        <f aca="false">3.14*E1977*F1977*(связи1!D158)</f>
        <v>0</v>
      </c>
      <c r="I1977" s="2319"/>
      <c r="J1977" s="1617" t="n">
        <f aca="false">C1977/E1976</f>
        <v>5</v>
      </c>
      <c r="K1977" s="1617"/>
      <c r="L1977" s="1617"/>
      <c r="M1977" s="1617"/>
      <c r="N1977" s="1617"/>
      <c r="O1977" s="1617"/>
      <c r="P1977" s="1617"/>
      <c r="Q1977" s="1617"/>
      <c r="R1977" s="1617"/>
      <c r="S1977" s="1617"/>
      <c r="T1977" s="1617"/>
      <c r="U1977" s="1617"/>
      <c r="V1977" s="1617"/>
      <c r="W1977" s="1617"/>
      <c r="X1977" s="1617"/>
      <c r="Y1977" s="1617"/>
    </row>
    <row r="1978" customFormat="false" ht="15.75" hidden="true" customHeight="true" outlineLevel="1" collapsed="false">
      <c r="A1978" s="2211" t="s">
        <v>3834</v>
      </c>
      <c r="B1978" s="1958" t="s">
        <v>820</v>
      </c>
      <c r="C1978" s="2213" t="n">
        <f aca="false">C1977</f>
        <v>0.999842105263158</v>
      </c>
      <c r="D1978" s="1617"/>
      <c r="E1978" s="1714" t="n">
        <f aca="false">3.14*E1977/2*E1977/2*F1977</f>
        <v>0.199968421052632</v>
      </c>
      <c r="F1978" s="1617"/>
      <c r="I1978" s="2319"/>
      <c r="J1978" s="1617"/>
      <c r="K1978" s="1617"/>
      <c r="L1978" s="1617"/>
      <c r="M1978" s="1617"/>
      <c r="N1978" s="1617"/>
      <c r="O1978" s="1617"/>
      <c r="P1978" s="1617"/>
      <c r="Q1978" s="1617"/>
      <c r="R1978" s="1617"/>
      <c r="S1978" s="1617"/>
      <c r="T1978" s="1617"/>
      <c r="U1978" s="1617"/>
      <c r="V1978" s="1617"/>
      <c r="W1978" s="1617"/>
      <c r="X1978" s="1617"/>
      <c r="Y1978" s="1617"/>
    </row>
    <row r="1979" customFormat="false" ht="15.75" hidden="true" customHeight="true" outlineLevel="1" collapsed="false">
      <c r="A1979" s="2211" t="s">
        <v>3909</v>
      </c>
      <c r="B1979" s="1958" t="s">
        <v>820</v>
      </c>
      <c r="C1979" s="2213" t="n">
        <f aca="false">связи1!D158+связи1!E158</f>
        <v>0</v>
      </c>
      <c r="D1979" s="1747"/>
      <c r="E1979" s="1617" t="n">
        <f aca="false">VLOOKUP(A1988,'Прайс лист'!B448:G535,3,0)</f>
        <v>0.22</v>
      </c>
      <c r="F1979" s="1582" t="n">
        <f aca="false">1/(E1979-'Ввод данных'!C1002)</f>
        <v>5.26315789473684</v>
      </c>
      <c r="G1979" s="1582" t="n">
        <f aca="false">3.14*E1979*F1979*связи1!E158</f>
        <v>0</v>
      </c>
      <c r="I1979" s="2319"/>
      <c r="J1979" s="1617" t="n">
        <f aca="false">J1980+J1981</f>
        <v>0</v>
      </c>
      <c r="K1979" s="1617"/>
      <c r="L1979" s="1617"/>
      <c r="M1979" s="1617"/>
      <c r="N1979" s="1617"/>
      <c r="O1979" s="1617"/>
      <c r="P1979" s="1617"/>
      <c r="Q1979" s="1617"/>
      <c r="R1979" s="1617"/>
      <c r="S1979" s="1617"/>
      <c r="T1979" s="1617"/>
      <c r="U1979" s="1617"/>
      <c r="V1979" s="1617"/>
      <c r="W1979" s="1617"/>
      <c r="X1979" s="1617"/>
      <c r="Y1979" s="1617"/>
    </row>
    <row r="1980" customFormat="false" ht="15.75" hidden="true" customHeight="true" outlineLevel="1" collapsed="false">
      <c r="A1980" s="2211" t="s">
        <v>3910</v>
      </c>
      <c r="B1980" s="1958" t="s">
        <v>820</v>
      </c>
      <c r="C1980" s="2213" t="n">
        <f aca="false">связи1!D158*E1978</f>
        <v>0</v>
      </c>
      <c r="D1980" s="1747"/>
      <c r="E1980" s="1714" t="n">
        <f aca="false">3.14*E1979/2*E1979/2*F1979</f>
        <v>0.199968421052632</v>
      </c>
      <c r="F1980" s="1617"/>
      <c r="I1980" s="2319"/>
      <c r="J1980" s="1617" t="n">
        <f aca="false">C1980/E1978</f>
        <v>0</v>
      </c>
      <c r="K1980" s="1617"/>
      <c r="L1980" s="1617"/>
      <c r="M1980" s="1617"/>
      <c r="N1980" s="1617"/>
      <c r="O1980" s="1617"/>
      <c r="P1980" s="1617"/>
      <c r="Q1980" s="1617"/>
      <c r="R1980" s="1617"/>
      <c r="S1980" s="1617"/>
      <c r="T1980" s="1617"/>
      <c r="U1980" s="1617"/>
      <c r="V1980" s="1617"/>
      <c r="W1980" s="1617"/>
      <c r="X1980" s="1617"/>
      <c r="Y1980" s="1617"/>
    </row>
    <row r="1981" customFormat="false" ht="15.75" hidden="true" customHeight="true" outlineLevel="1" collapsed="false">
      <c r="A1981" s="2211" t="s">
        <v>3741</v>
      </c>
      <c r="B1981" s="1958" t="s">
        <v>820</v>
      </c>
      <c r="C1981" s="2213" t="n">
        <f aca="false">связи1!E158*E1980</f>
        <v>0</v>
      </c>
      <c r="D1981" s="1747"/>
      <c r="E1981" s="1617"/>
      <c r="G1981" s="1617"/>
      <c r="H1981" s="1617"/>
      <c r="I1981" s="2319"/>
      <c r="J1981" s="1617" t="n">
        <f aca="false">C1981/E1980</f>
        <v>0</v>
      </c>
      <c r="K1981" s="1617"/>
      <c r="L1981" s="1617"/>
      <c r="M1981" s="1617"/>
      <c r="N1981" s="1617"/>
      <c r="O1981" s="1617"/>
      <c r="P1981" s="1617"/>
      <c r="Q1981" s="1617"/>
      <c r="R1981" s="1617"/>
      <c r="S1981" s="1617"/>
      <c r="T1981" s="1617"/>
      <c r="U1981" s="1617"/>
      <c r="V1981" s="1617"/>
      <c r="W1981" s="1617"/>
      <c r="X1981" s="1617"/>
      <c r="Y1981" s="1617"/>
    </row>
    <row r="1982" customFormat="false" ht="15.75" hidden="true" customHeight="true" outlineLevel="1" collapsed="false">
      <c r="A1982" s="2211" t="s">
        <v>3786</v>
      </c>
      <c r="B1982" s="1958" t="s">
        <v>820</v>
      </c>
      <c r="C1982" s="2141" t="n">
        <f aca="false">C1980+C1981</f>
        <v>0</v>
      </c>
      <c r="D1982" s="1747"/>
      <c r="E1982" s="1617"/>
      <c r="G1982" s="1617" t="n">
        <f aca="false">SUM(G1975:G1981)</f>
        <v>18.1789473684211</v>
      </c>
      <c r="H1982" s="1617"/>
      <c r="I1982" s="2319"/>
      <c r="J1982" s="1617"/>
      <c r="K1982" s="1617"/>
      <c r="L1982" s="1617"/>
      <c r="M1982" s="1617"/>
      <c r="N1982" s="1617"/>
      <c r="O1982" s="1617"/>
      <c r="P1982" s="1617"/>
      <c r="Q1982" s="1617"/>
      <c r="R1982" s="1617"/>
      <c r="S1982" s="1617"/>
      <c r="T1982" s="1617"/>
      <c r="U1982" s="1617"/>
      <c r="V1982" s="1617"/>
      <c r="W1982" s="1617"/>
      <c r="X1982" s="1617"/>
      <c r="Y1982" s="1617"/>
    </row>
    <row r="1983" customFormat="false" ht="15.75" hidden="true" customHeight="true" outlineLevel="1" collapsed="false">
      <c r="A1983" s="2211" t="s">
        <v>3911</v>
      </c>
      <c r="B1983" s="1958" t="s">
        <v>820</v>
      </c>
      <c r="C1983" s="2141" t="n">
        <f aca="false">C1875</f>
        <v>0</v>
      </c>
      <c r="D1983" s="1747"/>
      <c r="E1983" s="1617"/>
      <c r="G1983" s="1617"/>
      <c r="H1983" s="1617"/>
      <c r="I1983" s="2319"/>
      <c r="J1983" s="1617"/>
      <c r="K1983" s="1617"/>
      <c r="L1983" s="1617"/>
      <c r="M1983" s="1617"/>
      <c r="N1983" s="1617"/>
      <c r="O1983" s="1617"/>
      <c r="P1983" s="1617"/>
      <c r="Q1983" s="1617"/>
      <c r="R1983" s="1617"/>
      <c r="S1983" s="1617"/>
      <c r="T1983" s="1617"/>
      <c r="U1983" s="1617"/>
      <c r="V1983" s="1617"/>
      <c r="W1983" s="1617"/>
      <c r="X1983" s="1617"/>
      <c r="Y1983" s="1617"/>
    </row>
    <row r="1984" customFormat="false" ht="15.75" hidden="true" customHeight="true" outlineLevel="1" collapsed="false">
      <c r="A1984" s="2354" t="s">
        <v>2246</v>
      </c>
      <c r="B1984" s="2355" t="s">
        <v>1738</v>
      </c>
      <c r="C1984" s="2355" t="s">
        <v>12</v>
      </c>
      <c r="D1984" s="2355" t="s">
        <v>3871</v>
      </c>
      <c r="E1984" s="2356" t="s">
        <v>2916</v>
      </c>
      <c r="F1984" s="1617"/>
      <c r="G1984" s="2349" t="s">
        <v>2007</v>
      </c>
      <c r="H1984" s="2357"/>
      <c r="I1984" s="2358"/>
      <c r="J1984" s="2356" t="s">
        <v>118</v>
      </c>
      <c r="K1984" s="2356" t="s">
        <v>2915</v>
      </c>
      <c r="L1984" s="2356"/>
      <c r="M1984" s="2356"/>
      <c r="N1984" s="2356"/>
      <c r="O1984" s="2356" t="s">
        <v>2916</v>
      </c>
      <c r="P1984" s="1617"/>
      <c r="Q1984" s="1617"/>
      <c r="R1984" s="1617"/>
      <c r="S1984" s="1617"/>
      <c r="T1984" s="1617"/>
      <c r="U1984" s="1617"/>
      <c r="V1984" s="1617"/>
      <c r="W1984" s="1617"/>
      <c r="X1984" s="1617"/>
      <c r="Y1984" s="1617"/>
    </row>
    <row r="1985" customFormat="false" ht="15.75" hidden="true" customHeight="true" outlineLevel="1" collapsed="false">
      <c r="A1985" s="2211" t="str">
        <f aca="false">A1939</f>
        <v>Оцилиндрованное бревно лиственница 280мм</v>
      </c>
      <c r="B1985" s="2064" t="str">
        <f aca="false">B1939</f>
        <v>м3</v>
      </c>
      <c r="C1985" s="2062" t="n">
        <f aca="false">C1913*3.14*E1975/2*E1975/2*G1912</f>
        <v>4.19187802</v>
      </c>
      <c r="D1985" s="2062" t="n">
        <f aca="false">D1939</f>
        <v>10000</v>
      </c>
      <c r="E1985" s="2062" t="n">
        <f aca="false">C1985*D1985</f>
        <v>41918.7802</v>
      </c>
      <c r="F1985" s="1617"/>
      <c r="G1985" s="1995" t="str">
        <f aca="false">'Прайс лист'!B1521</f>
        <v>кладка Дикого леса</v>
      </c>
      <c r="H1985" s="2146"/>
      <c r="I1985" s="2225"/>
      <c r="J1985" s="1707" t="n">
        <f aca="false">(C1985+C1986+C1987)*I1973</f>
        <v>1.09982631578947</v>
      </c>
      <c r="K1985" s="1707" t="n">
        <f aca="false">'Прайс лист'!G1521</f>
        <v>6000</v>
      </c>
      <c r="L1985" s="1707"/>
      <c r="M1985" s="1707"/>
      <c r="N1985" s="1707"/>
      <c r="O1985" s="1707" t="n">
        <f aca="false">J1985*K1985</f>
        <v>6598.95789473684</v>
      </c>
      <c r="P1985" s="1617"/>
      <c r="Q1985" s="1617"/>
      <c r="R1985" s="1617"/>
      <c r="S1985" s="1617"/>
      <c r="T1985" s="1617"/>
      <c r="U1985" s="1617"/>
      <c r="V1985" s="1617"/>
      <c r="W1985" s="1617"/>
      <c r="X1985" s="1617"/>
      <c r="Y1985" s="1617"/>
    </row>
    <row r="1986" customFormat="false" ht="15.75" hidden="true" customHeight="true" outlineLevel="1" collapsed="false">
      <c r="A1986" s="2211" t="str">
        <f aca="false">A1940</f>
        <v>Оцилиндрованное бревно сосна 220мм</v>
      </c>
      <c r="B1986" s="2064" t="str">
        <f aca="false">B1940</f>
        <v>м3</v>
      </c>
      <c r="C1986" s="2062" t="n">
        <f aca="false">C1977*G1973-C1985</f>
        <v>-3.09205170421053</v>
      </c>
      <c r="D1986" s="2062" t="n">
        <f aca="false">D1940</f>
        <v>8000</v>
      </c>
      <c r="E1986" s="2062" t="n">
        <f aca="false">C1986*D1986</f>
        <v>-24736.4136336842</v>
      </c>
      <c r="F1986" s="1617"/>
      <c r="G1986" s="1995" t="s">
        <v>2097</v>
      </c>
      <c r="H1986" s="2146"/>
      <c r="I1986" s="2225"/>
      <c r="J1986" s="1707" t="n">
        <f aca="false">C1758*H1758+C1759*H1759+C1760*H1760+C1761*H1761+C1762*H1762+C1763*H1763</f>
        <v>0</v>
      </c>
      <c r="K1986" s="1707" t="n">
        <f aca="false">'Прайс лист'!G1520</f>
        <v>150</v>
      </c>
      <c r="L1986" s="1707"/>
      <c r="M1986" s="1707"/>
      <c r="N1986" s="1707"/>
      <c r="O1986" s="1707" t="n">
        <f aca="false">J1986*K1986</f>
        <v>0</v>
      </c>
      <c r="P1986" s="1617"/>
      <c r="Q1986" s="1617"/>
      <c r="R1986" s="1617"/>
      <c r="S1986" s="1617"/>
      <c r="T1986" s="1617"/>
      <c r="U1986" s="1617"/>
      <c r="V1986" s="1617"/>
      <c r="W1986" s="1617"/>
      <c r="X1986" s="1617"/>
      <c r="Y1986" s="1617"/>
    </row>
    <row r="1987" customFormat="false" ht="15.75" hidden="true" customHeight="true" outlineLevel="1" collapsed="false">
      <c r="A1987" s="2211" t="str">
        <f aca="false">A1941</f>
        <v>Оцилиндрованное бревно сосна 220мм</v>
      </c>
      <c r="B1987" s="2064" t="str">
        <f aca="false">B1941</f>
        <v>м3</v>
      </c>
      <c r="C1987" s="2062" t="n">
        <f aca="false">C1980</f>
        <v>0</v>
      </c>
      <c r="D1987" s="2062" t="n">
        <f aca="false">D1941</f>
        <v>8000</v>
      </c>
      <c r="E1987" s="2062" t="n">
        <f aca="false">C1987*D1987</f>
        <v>0</v>
      </c>
      <c r="F1987" s="1617"/>
      <c r="G1987" s="1436" t="str">
        <f aca="false">G1788</f>
        <v>обработка торцов на брусе</v>
      </c>
      <c r="H1987" s="1436"/>
      <c r="I1987" s="1436" t="n">
        <f aca="false">I1788</f>
        <v>0</v>
      </c>
      <c r="J1987" s="1436" t="n">
        <f aca="false">J1788</f>
        <v>20</v>
      </c>
      <c r="K1987" s="1436" t="n">
        <f aca="false">K1788</f>
        <v>250</v>
      </c>
      <c r="L1987" s="1436" t="n">
        <f aca="false">L1788</f>
        <v>0</v>
      </c>
      <c r="M1987" s="1436"/>
      <c r="N1987" s="1436"/>
      <c r="O1987" s="1436" t="n">
        <f aca="false">O1788</f>
        <v>5000</v>
      </c>
      <c r="P1987" s="1617"/>
      <c r="Q1987" s="1617"/>
      <c r="R1987" s="1617"/>
      <c r="S1987" s="1617"/>
      <c r="T1987" s="1617"/>
      <c r="U1987" s="1617"/>
      <c r="V1987" s="1617"/>
      <c r="W1987" s="1617"/>
      <c r="X1987" s="1617"/>
      <c r="Y1987" s="1617"/>
    </row>
    <row r="1988" customFormat="false" ht="15.75" hidden="true" customHeight="true" outlineLevel="1" collapsed="false">
      <c r="A1988" s="2211" t="str">
        <f aca="false">A1942</f>
        <v>Оцилиндрованное бревно сосна 220мм</v>
      </c>
      <c r="B1988" s="2064" t="str">
        <f aca="false">B1942</f>
        <v>м2</v>
      </c>
      <c r="C1988" s="2062" t="n">
        <f aca="false">C1981</f>
        <v>0</v>
      </c>
      <c r="D1988" s="2062" t="n">
        <f aca="false">D1942</f>
        <v>8000</v>
      </c>
      <c r="E1988" s="2062" t="n">
        <f aca="false">C1988*D1988</f>
        <v>0</v>
      </c>
      <c r="F1988" s="1617"/>
      <c r="G1988" s="1707" t="str">
        <f aca="false">G1942</f>
        <v>Обаботка огнебиозащитой</v>
      </c>
      <c r="H1988" s="1707"/>
      <c r="I1988" s="2062"/>
      <c r="J1988" s="1707" t="n">
        <f aca="false">IF('Ввод данных'!A1034='Прайс лист'!B584,0,1)*SUM(C1985:C1988)</f>
        <v>1.09982631578947</v>
      </c>
      <c r="K1988" s="1707" t="n">
        <f aca="false">K1942</f>
        <v>300</v>
      </c>
      <c r="L1988" s="1707"/>
      <c r="M1988" s="1707"/>
      <c r="N1988" s="1707"/>
      <c r="O1988" s="1707"/>
      <c r="P1988" s="1617"/>
      <c r="Q1988" s="1617"/>
      <c r="R1988" s="1617"/>
      <c r="S1988" s="1617"/>
      <c r="T1988" s="1617"/>
      <c r="U1988" s="1617"/>
      <c r="V1988" s="1617"/>
      <c r="W1988" s="1617"/>
      <c r="X1988" s="1617"/>
      <c r="Y1988" s="1617"/>
    </row>
    <row r="1989" customFormat="false" ht="15.75" hidden="true" customHeight="true" outlineLevel="1" collapsed="false">
      <c r="A1989" s="2211" t="str">
        <f aca="false">'Ввод данных'!A1027</f>
        <v>Шкант</v>
      </c>
      <c r="B1989" s="2064" t="str">
        <f aca="false">B1943</f>
        <v>шт</v>
      </c>
      <c r="C1989" s="2062" t="n">
        <f aca="false">(C1977+C1979+C1980)/VLOOKUP(A1986,'Прайс лист'!B448:G535,3,0)/20*G1973*1.4</f>
        <v>0.349944736842105</v>
      </c>
      <c r="D1989" s="2062" t="n">
        <f aca="false">VLOOKUP('Ввод данных'!A1027,связи1!A458:B460,2,0)</f>
        <v>6</v>
      </c>
      <c r="E1989" s="2062" t="n">
        <f aca="false">C1989*D1989</f>
        <v>2.09966842105263</v>
      </c>
      <c r="F1989" s="1617"/>
      <c r="G1989" s="1707" t="str">
        <f aca="false">G1943</f>
        <v>Пропитка стен внешних</v>
      </c>
      <c r="H1989" s="1707"/>
      <c r="I1989" s="2062"/>
      <c r="J1989" s="1707" t="n">
        <f aca="false">IF('Ввод данных'!A1039='Прайс лист'!B1359,0,1)*G1975*0.3</f>
        <v>0</v>
      </c>
      <c r="K1989" s="1707" t="n">
        <f aca="false">K1943</f>
        <v>100</v>
      </c>
      <c r="L1989" s="1707"/>
      <c r="M1989" s="1707"/>
      <c r="N1989" s="1707"/>
      <c r="O1989" s="1707"/>
      <c r="P1989" s="1617"/>
      <c r="Q1989" s="1617"/>
      <c r="R1989" s="1617"/>
      <c r="S1989" s="1617"/>
      <c r="T1989" s="1617"/>
      <c r="U1989" s="1617"/>
      <c r="V1989" s="1617"/>
      <c r="W1989" s="1617"/>
      <c r="X1989" s="1617"/>
      <c r="Y1989" s="1617"/>
    </row>
    <row r="1990" customFormat="false" ht="15.75" hidden="true" customHeight="true" outlineLevel="1" collapsed="false">
      <c r="A1990" s="2211" t="str">
        <f aca="false">A1944</f>
        <v>Лен-джут 200х5х20000 мм</v>
      </c>
      <c r="B1990" s="2064" t="str">
        <f aca="false">B1944</f>
        <v>шт</v>
      </c>
      <c r="C1990" s="2062" t="n">
        <f aca="false">CEILING(((C1977/E1976+C1980/E1978+C1981/E1980)/VLOOKUP(A1986,'Прайс лист'!B448:G535,3,0)/20*G1973)*1.4,1)</f>
        <v>2</v>
      </c>
      <c r="D1990" s="2062" t="n">
        <f aca="false">D1944</f>
        <v>175</v>
      </c>
      <c r="E1990" s="2062" t="n">
        <f aca="false">C1990*D1990</f>
        <v>350</v>
      </c>
      <c r="F1990" s="1617"/>
      <c r="G1990" s="1707" t="str">
        <f aca="false">G1944</f>
        <v>Пропитка внутенних стен</v>
      </c>
      <c r="H1990" s="1707"/>
      <c r="I1990" s="1436"/>
      <c r="J1990" s="1436" t="n">
        <f aca="false">IF('Ввод данных'!A1044='Прайс лист'!B1359,0,1)*(G1982*0.3)</f>
        <v>0</v>
      </c>
      <c r="K1990" s="1707" t="n">
        <f aca="false">K1944</f>
        <v>100</v>
      </c>
      <c r="L1990" s="1436"/>
      <c r="M1990" s="1436"/>
      <c r="N1990" s="1436"/>
      <c r="O1990" s="1436"/>
      <c r="P1990" s="1617"/>
      <c r="Q1990" s="1617"/>
      <c r="R1990" s="1617"/>
      <c r="S1990" s="1617"/>
      <c r="T1990" s="1617"/>
      <c r="U1990" s="1617"/>
      <c r="V1990" s="1617"/>
      <c r="W1990" s="1617"/>
      <c r="X1990" s="1617"/>
      <c r="Y1990" s="1617"/>
    </row>
    <row r="1991" customFormat="false" ht="15.75" hidden="true" customHeight="true" outlineLevel="1" collapsed="false">
      <c r="A1991" s="2211" t="str">
        <f aca="false">A1945</f>
        <v>Гвозди ершоные 2,8 х 90            </v>
      </c>
      <c r="B1991" s="2064" t="str">
        <f aca="false">B1945</f>
        <v>шт</v>
      </c>
      <c r="C1991" s="2062" t="n">
        <f aca="false">C1945</f>
        <v>4.84</v>
      </c>
      <c r="D1991" s="2062" t="n">
        <f aca="false">D1945</f>
        <v>76.49</v>
      </c>
      <c r="E1991" s="2062" t="n">
        <f aca="false">C1991*D1991</f>
        <v>370.2116</v>
      </c>
      <c r="F1991" s="1617"/>
      <c r="G1991" s="1436" t="str">
        <f aca="false">G1792</f>
        <v>Не считать</v>
      </c>
      <c r="H1991" s="1436"/>
      <c r="I1991" s="1436" t="n">
        <f aca="false">I1792</f>
        <v>0</v>
      </c>
      <c r="J1991" s="1436" t="n">
        <f aca="false">J1792</f>
        <v>0</v>
      </c>
      <c r="K1991" s="1436" t="n">
        <f aca="false">K1792</f>
        <v>300</v>
      </c>
      <c r="L1991" s="1436"/>
      <c r="M1991" s="1436"/>
      <c r="N1991" s="1436"/>
      <c r="O1991" s="1436"/>
      <c r="P1991" s="1617"/>
      <c r="Q1991" s="1617"/>
      <c r="R1991" s="1617"/>
      <c r="S1991" s="1617"/>
      <c r="T1991" s="1617"/>
      <c r="U1991" s="1617"/>
      <c r="V1991" s="1617"/>
      <c r="W1991" s="1617"/>
      <c r="X1991" s="1617"/>
      <c r="Y1991" s="1617"/>
    </row>
    <row r="1992" customFormat="false" ht="15.75" hidden="true" customHeight="true" outlineLevel="1" collapsed="false">
      <c r="A1992" s="2211" t="str">
        <f aca="false">A1946</f>
        <v>нет</v>
      </c>
      <c r="B1992" s="2064" t="str">
        <f aca="false">B1946</f>
        <v>м3</v>
      </c>
      <c r="C1992" s="2062" t="n">
        <f aca="false">((C1758*H1758+C1759*H1759)*G1750*VLOOKUP(A1793,связи1!A406:E415,5,0))</f>
        <v>0</v>
      </c>
      <c r="D1992" s="2062" t="n">
        <f aca="false">D1946</f>
        <v>0</v>
      </c>
      <c r="E1992" s="2062" t="n">
        <f aca="false">C1992*D1992</f>
        <v>0</v>
      </c>
      <c r="F1992" s="1617"/>
      <c r="G1992" s="1436" t="str">
        <f aca="false">G1793</f>
        <v>Монтаж наличника</v>
      </c>
      <c r="H1992" s="1436"/>
      <c r="I1992" s="2353"/>
      <c r="J1992" s="1436" t="n">
        <f aca="false">J1793</f>
        <v>0</v>
      </c>
      <c r="K1992" s="1436" t="n">
        <f aca="false">K1793</f>
        <v>80</v>
      </c>
      <c r="L1992" s="1714"/>
      <c r="M1992" s="1714"/>
      <c r="N1992" s="1714"/>
      <c r="O1992" s="1714"/>
      <c r="P1992" s="1617"/>
      <c r="Q1992" s="1617"/>
      <c r="R1992" s="1617"/>
      <c r="S1992" s="1617"/>
      <c r="T1992" s="1617"/>
      <c r="U1992" s="1617"/>
      <c r="V1992" s="1617"/>
      <c r="W1992" s="1617"/>
      <c r="X1992" s="1617"/>
      <c r="Y1992" s="1617"/>
    </row>
    <row r="1993" customFormat="false" ht="15.75" hidden="true" customHeight="true" outlineLevel="1" collapsed="false">
      <c r="A1993" s="2211" t="str">
        <f aca="false">A1947</f>
        <v>нет</v>
      </c>
      <c r="B1993" s="2064" t="str">
        <f aca="false">B1947</f>
        <v>м3</v>
      </c>
      <c r="C1993" s="2062" t="n">
        <f aca="false">((C1760*H1760+C1762*H1762)*G1750*VLOOKUP(A1794,связи1!A406:E415,5,0))</f>
        <v>0</v>
      </c>
      <c r="D1993" s="2062" t="n">
        <f aca="false">D1947</f>
        <v>0</v>
      </c>
      <c r="E1993" s="2062" t="n">
        <f aca="false">C1993*D1993</f>
        <v>0</v>
      </c>
      <c r="F1993" s="1617"/>
      <c r="G1993" s="1714" t="str">
        <f aca="false">G1947</f>
        <v>Шлифовка стен дома</v>
      </c>
      <c r="H1993" s="1714"/>
      <c r="I1993" s="1714" t="n">
        <f aca="false">I1947</f>
        <v>0</v>
      </c>
      <c r="J1993" s="1714" t="n">
        <f aca="false">J1977*1.1*IF('Ввод данных'!A1057=связи1!A560,1,0)+(J1977+J1979*2)*1.1*IF('Ввод данных'!A1060=связи1!A563,1,0)</f>
        <v>0</v>
      </c>
      <c r="K1993" s="1714" t="n">
        <f aca="false">K1947</f>
        <v>250</v>
      </c>
      <c r="L1993" s="1714"/>
      <c r="M1993" s="1714"/>
      <c r="N1993" s="1714"/>
      <c r="O1993" s="1714"/>
      <c r="P1993" s="1617"/>
      <c r="Q1993" s="1617"/>
      <c r="R1993" s="1617"/>
      <c r="S1993" s="1617"/>
      <c r="T1993" s="1617"/>
      <c r="U1993" s="1617"/>
      <c r="V1993" s="1617"/>
      <c r="W1993" s="1617"/>
      <c r="X1993" s="1617"/>
      <c r="Y1993" s="1617"/>
    </row>
    <row r="1994" customFormat="false" ht="15.75" hidden="true" customHeight="true" outlineLevel="1" collapsed="false">
      <c r="A1994" s="2211" t="str">
        <f aca="false">A1948</f>
        <v>нет</v>
      </c>
      <c r="B1994" s="2064" t="str">
        <f aca="false">B1948</f>
        <v>м3</v>
      </c>
      <c r="C1994" s="2062" t="n">
        <f aca="false">VLOOKUP(A1795,связи1!A406:E415,5,0)*(C1761*H1761+C1763*H1763)*G1750</f>
        <v>0</v>
      </c>
      <c r="D1994" s="2062" t="n">
        <f aca="false">D1948</f>
        <v>0</v>
      </c>
      <c r="E1994" s="2062" t="n">
        <f aca="false">C1994*D1994</f>
        <v>0</v>
      </c>
      <c r="F1994" s="1617"/>
      <c r="G1994" s="1714"/>
      <c r="H1994" s="1714"/>
      <c r="I1994" s="1714"/>
      <c r="J1994" s="1714"/>
      <c r="K1994" s="1714"/>
      <c r="L1994" s="1714"/>
      <c r="M1994" s="1714"/>
      <c r="N1994" s="1714"/>
      <c r="O1994" s="1714"/>
      <c r="P1994" s="1617"/>
      <c r="Q1994" s="1617"/>
      <c r="R1994" s="1617"/>
      <c r="S1994" s="1617"/>
      <c r="T1994" s="1617"/>
      <c r="U1994" s="1617"/>
      <c r="V1994" s="1617"/>
      <c r="W1994" s="1617"/>
      <c r="X1994" s="1617"/>
      <c r="Y1994" s="1617"/>
    </row>
    <row r="1995" customFormat="false" ht="15.75" hidden="true" customHeight="true" outlineLevel="1" collapsed="false">
      <c r="A1995" s="2211" t="str">
        <f aca="false">A1949</f>
        <v>нет</v>
      </c>
      <c r="B1995" s="2064" t="str">
        <f aca="false">B1949</f>
        <v>м.п.</v>
      </c>
      <c r="C1995" s="2062" t="n">
        <f aca="false">C1949</f>
        <v>0</v>
      </c>
      <c r="D1995" s="2062" t="n">
        <f aca="false">D1949</f>
        <v>0</v>
      </c>
      <c r="E1995" s="2062" t="n">
        <f aca="false">C1995*D1995</f>
        <v>0</v>
      </c>
      <c r="F1995" s="1617"/>
      <c r="G1995" s="1714"/>
      <c r="H1995" s="1714"/>
      <c r="I1995" s="2353"/>
      <c r="J1995" s="1714"/>
      <c r="K1995" s="1714"/>
      <c r="L1995" s="1714"/>
      <c r="M1995" s="1714"/>
      <c r="N1995" s="1714"/>
      <c r="O1995" s="1714"/>
      <c r="P1995" s="1617"/>
      <c r="Q1995" s="1617"/>
      <c r="R1995" s="1617"/>
      <c r="S1995" s="1617"/>
      <c r="T1995" s="1617"/>
      <c r="U1995" s="1617"/>
      <c r="V1995" s="1617"/>
      <c r="W1995" s="1617"/>
      <c r="X1995" s="1617"/>
      <c r="Y1995" s="1617"/>
    </row>
    <row r="1996" customFormat="false" ht="15.75" hidden="true" customHeight="true" outlineLevel="1" collapsed="false">
      <c r="A1996" s="2211" t="str">
        <f aca="false">A1950</f>
        <v>Бензин для пилы</v>
      </c>
      <c r="B1996" s="2064" t="str">
        <f aca="false">B1950</f>
        <v>л</v>
      </c>
      <c r="C1996" s="2062" t="n">
        <f aca="false">SUM(C1985:C1988)/5</f>
        <v>0.219965263157895</v>
      </c>
      <c r="D1996" s="2062" t="n">
        <f aca="false">D1950</f>
        <v>40</v>
      </c>
      <c r="E1996" s="2062" t="n">
        <f aca="false">C1996*D1996</f>
        <v>8.79861052631579</v>
      </c>
      <c r="F1996" s="1617"/>
      <c r="G1996" s="1714"/>
      <c r="H1996" s="1714"/>
      <c r="I1996" s="2353"/>
      <c r="J1996" s="1714"/>
      <c r="K1996" s="1714"/>
      <c r="L1996" s="1714"/>
      <c r="M1996" s="1714"/>
      <c r="N1996" s="1714"/>
      <c r="O1996" s="1714"/>
      <c r="P1996" s="1617"/>
      <c r="Q1996" s="1617"/>
      <c r="R1996" s="1617"/>
      <c r="S1996" s="1617"/>
      <c r="T1996" s="1617"/>
      <c r="U1996" s="1617"/>
      <c r="V1996" s="1617"/>
      <c r="W1996" s="1617"/>
      <c r="X1996" s="1617"/>
      <c r="Y1996" s="1617"/>
    </row>
    <row r="1997" customFormat="false" ht="15.75" hidden="true" customHeight="true" outlineLevel="1" collapsed="false">
      <c r="A1997" s="2211" t="str">
        <f aca="false">A1951</f>
        <v>Масло для пилы</v>
      </c>
      <c r="B1997" s="2064" t="str">
        <f aca="false">B1951</f>
        <v>л</v>
      </c>
      <c r="C1997" s="2062" t="n">
        <f aca="false">C1996/20</f>
        <v>0.0109982631578947</v>
      </c>
      <c r="D1997" s="2062" t="n">
        <f aca="false">D1951</f>
        <v>250</v>
      </c>
      <c r="E1997" s="2062" t="n">
        <f aca="false">C1997*D1997</f>
        <v>2.74956578947368</v>
      </c>
      <c r="F1997" s="1617"/>
      <c r="G1997" s="1714"/>
      <c r="H1997" s="1714"/>
      <c r="I1997" s="2353"/>
      <c r="J1997" s="1714"/>
      <c r="K1997" s="1714"/>
      <c r="L1997" s="1714"/>
      <c r="M1997" s="1714"/>
      <c r="N1997" s="1714"/>
      <c r="O1997" s="1714"/>
      <c r="P1997" s="1617"/>
      <c r="Q1997" s="1617"/>
      <c r="R1997" s="1617"/>
      <c r="S1997" s="1617"/>
      <c r="T1997" s="1617"/>
      <c r="U1997" s="1617"/>
      <c r="V1997" s="1617"/>
      <c r="W1997" s="1617"/>
      <c r="X1997" s="1617"/>
      <c r="Y1997" s="1617"/>
    </row>
    <row r="1998" customFormat="false" ht="15.75" hidden="true" customHeight="true" outlineLevel="1" collapsed="false">
      <c r="A1998" s="2211" t="str">
        <f aca="false">A1952</f>
        <v>Цепь для пилы</v>
      </c>
      <c r="B1998" s="2064" t="str">
        <f aca="false">B1952</f>
        <v>л</v>
      </c>
      <c r="C1998" s="2062" t="n">
        <f aca="false">CEILING((SUM(C1985:C1988)/10),1)</f>
        <v>1</v>
      </c>
      <c r="D1998" s="2062" t="n">
        <f aca="false">D1952</f>
        <v>800</v>
      </c>
      <c r="E1998" s="2062" t="n">
        <f aca="false">C1998*D1998</f>
        <v>800</v>
      </c>
      <c r="F1998" s="1617"/>
      <c r="G1998" s="1714"/>
      <c r="H1998" s="1714"/>
      <c r="I1998" s="2353"/>
      <c r="J1998" s="1714"/>
      <c r="K1998" s="1714"/>
      <c r="L1998" s="1714"/>
      <c r="M1998" s="1714"/>
      <c r="N1998" s="1714"/>
      <c r="O1998" s="1714"/>
      <c r="P1998" s="1617"/>
      <c r="Q1998" s="1617"/>
      <c r="R1998" s="1617"/>
      <c r="S1998" s="1617"/>
      <c r="T1998" s="1617"/>
      <c r="U1998" s="1617"/>
      <c r="V1998" s="1617"/>
      <c r="W1998" s="1617"/>
      <c r="X1998" s="1617"/>
      <c r="Y1998" s="1617"/>
    </row>
    <row r="1999" customFormat="false" ht="15.75" hidden="true" customHeight="true" outlineLevel="1" collapsed="false">
      <c r="A1999" s="2211" t="str">
        <f aca="false">A1953</f>
        <v>"Профилюкс" Антисептик ОБЗ-1</v>
      </c>
      <c r="B1999" s="2064" t="str">
        <f aca="false">B1953</f>
        <v>л</v>
      </c>
      <c r="C1999" s="2062" t="n">
        <f aca="false">G1982*'Ввод данных'!C1035*'Ввод данных'!C1036</f>
        <v>1.81789473684211</v>
      </c>
      <c r="D1999" s="2062" t="n">
        <f aca="false">D1953</f>
        <v>42</v>
      </c>
      <c r="E1999" s="2062" t="n">
        <f aca="false">C1999*D1999</f>
        <v>76.3515789473684</v>
      </c>
      <c r="F1999" s="1617"/>
      <c r="G1999" s="1714"/>
      <c r="H1999" s="1714"/>
      <c r="I1999" s="2353"/>
      <c r="J1999" s="1714"/>
      <c r="K1999" s="1714"/>
      <c r="L1999" s="1714"/>
      <c r="M1999" s="1714"/>
      <c r="N1999" s="1714"/>
      <c r="O1999" s="1714"/>
      <c r="P1999" s="1617"/>
      <c r="Q1999" s="1617"/>
      <c r="R1999" s="1617"/>
      <c r="S1999" s="1617"/>
      <c r="T1999" s="1617"/>
      <c r="U1999" s="1617"/>
      <c r="V1999" s="1617"/>
      <c r="W1999" s="1617"/>
      <c r="X1999" s="1617"/>
      <c r="Y1999" s="1617"/>
    </row>
    <row r="2000" customFormat="false" ht="15.75" hidden="true" customHeight="true" outlineLevel="1" collapsed="false">
      <c r="A2000" s="2211" t="str">
        <f aca="false">A1954</f>
        <v>Нет пропитки</v>
      </c>
      <c r="B2000" s="2064" t="str">
        <f aca="false">B1954</f>
        <v>л</v>
      </c>
      <c r="C2000" s="2062" t="n">
        <f aca="false">G1975*0.3*'Ввод данных'!C1040*'Ввод данных'!C1041</f>
        <v>1.09073684210526</v>
      </c>
      <c r="D2000" s="2062" t="n">
        <f aca="false">D1954</f>
        <v>0</v>
      </c>
      <c r="E2000" s="2062" t="n">
        <f aca="false">C2000*D2000</f>
        <v>0</v>
      </c>
      <c r="F2000" s="1617"/>
      <c r="G2000" s="1714"/>
      <c r="H2000" s="1714"/>
      <c r="I2000" s="2353"/>
      <c r="J2000" s="1714"/>
      <c r="K2000" s="1714"/>
      <c r="L2000" s="1714"/>
      <c r="M2000" s="1714"/>
      <c r="N2000" s="1714"/>
      <c r="O2000" s="1714"/>
      <c r="P2000" s="1617"/>
      <c r="Q2000" s="1617"/>
      <c r="R2000" s="1617"/>
      <c r="S2000" s="1617"/>
      <c r="T2000" s="1617"/>
      <c r="U2000" s="1617"/>
      <c r="V2000" s="1617"/>
      <c r="W2000" s="1617"/>
      <c r="X2000" s="1617"/>
      <c r="Y2000" s="1617"/>
    </row>
    <row r="2001" customFormat="false" ht="15.75" hidden="true" customHeight="true" outlineLevel="1" collapsed="false">
      <c r="A2001" s="2211" t="str">
        <f aca="false">A1955</f>
        <v>Нет пропитки</v>
      </c>
      <c r="B2001" s="2064" t="str">
        <f aca="false">B1955</f>
        <v>л</v>
      </c>
      <c r="C2001" s="2062" t="n">
        <f aca="false">(G1982*0.3)*'Ввод данных'!C1045*'Ввод данных'!C1046</f>
        <v>1.09073684210526</v>
      </c>
      <c r="D2001" s="2062" t="n">
        <f aca="false">D1955</f>
        <v>0</v>
      </c>
      <c r="E2001" s="2062" t="n">
        <f aca="false">C2001*D2001</f>
        <v>0</v>
      </c>
      <c r="F2001" s="1617"/>
      <c r="G2001" s="1714"/>
      <c r="H2001" s="1714"/>
      <c r="I2001" s="2353"/>
      <c r="J2001" s="1714"/>
      <c r="K2001" s="1714"/>
      <c r="L2001" s="1714"/>
      <c r="M2001" s="1714"/>
      <c r="N2001" s="1714"/>
      <c r="O2001" s="1714"/>
      <c r="P2001" s="1617"/>
      <c r="Q2001" s="1617"/>
      <c r="R2001" s="1617"/>
      <c r="S2001" s="1617"/>
      <c r="T2001" s="1617"/>
      <c r="U2001" s="1617"/>
      <c r="V2001" s="1617"/>
      <c r="W2001" s="1617"/>
      <c r="X2001" s="1617"/>
      <c r="Y2001" s="1617"/>
    </row>
    <row r="2002" customFormat="false" ht="15.75" hidden="true" customHeight="true" outlineLevel="1" collapsed="false">
      <c r="A2002" s="2211" t="str">
        <f aca="false">A1956</f>
        <v>Нет наличника</v>
      </c>
      <c r="B2002" s="2064" t="str">
        <f aca="false">B1956</f>
        <v>м.п.</v>
      </c>
      <c r="C2002" s="2211" t="n">
        <f aca="false">C1956</f>
        <v>3.57</v>
      </c>
      <c r="D2002" s="2211" t="n">
        <f aca="false">D1956</f>
        <v>0</v>
      </c>
      <c r="E2002" s="2062" t="n">
        <f aca="false">C2002*D2002</f>
        <v>0</v>
      </c>
      <c r="F2002" s="1617"/>
      <c r="G2002" s="1714"/>
      <c r="H2002" s="1714"/>
      <c r="I2002" s="2353"/>
      <c r="J2002" s="1714"/>
      <c r="K2002" s="1714"/>
      <c r="L2002" s="1714"/>
      <c r="M2002" s="1714"/>
      <c r="N2002" s="1714"/>
      <c r="O2002" s="1714"/>
      <c r="P2002" s="1617"/>
      <c r="Q2002" s="1617"/>
      <c r="R2002" s="1617"/>
      <c r="S2002" s="1617"/>
      <c r="T2002" s="1617"/>
      <c r="U2002" s="1617"/>
      <c r="V2002" s="1617"/>
      <c r="W2002" s="1617"/>
      <c r="X2002" s="1617"/>
      <c r="Y2002" s="1617"/>
    </row>
    <row r="2003" customFormat="false" ht="15.75" hidden="true" customHeight="true" outlineLevel="1" collapsed="false">
      <c r="A2003" s="2211" t="str">
        <f aca="false">A1957</f>
        <v>Нет наличника</v>
      </c>
      <c r="B2003" s="2064" t="str">
        <f aca="false">B1957</f>
        <v>м.п.</v>
      </c>
      <c r="C2003" s="2211" t="n">
        <f aca="false">C1957</f>
        <v>3.57</v>
      </c>
      <c r="D2003" s="2211" t="n">
        <f aca="false">D1957</f>
        <v>0</v>
      </c>
      <c r="E2003" s="2062" t="n">
        <f aca="false">C2003*D2003</f>
        <v>0</v>
      </c>
      <c r="F2003" s="1617"/>
      <c r="G2003" s="1714"/>
      <c r="H2003" s="1714"/>
      <c r="I2003" s="2353"/>
      <c r="J2003" s="1714"/>
      <c r="K2003" s="1714"/>
      <c r="L2003" s="1714"/>
      <c r="M2003" s="1714"/>
      <c r="N2003" s="1714"/>
      <c r="O2003" s="1714"/>
      <c r="P2003" s="1617"/>
      <c r="Q2003" s="1617"/>
      <c r="R2003" s="1617"/>
      <c r="S2003" s="1617"/>
      <c r="T2003" s="1617"/>
      <c r="U2003" s="1617"/>
      <c r="V2003" s="1617"/>
      <c r="W2003" s="1617"/>
      <c r="X2003" s="1617"/>
      <c r="Y2003" s="1617"/>
    </row>
    <row r="2004" customFormat="false" ht="15.75" hidden="true" customHeight="true" outlineLevel="1" collapsed="false">
      <c r="A2004" s="2211" t="str">
        <f aca="false">A1958</f>
        <v>Нет наждачной бумаги</v>
      </c>
      <c r="B2004" s="2211" t="str">
        <f aca="false">B1958</f>
        <v>м</v>
      </c>
      <c r="C2004" s="2211" t="n">
        <f aca="false">C1958</f>
        <v>0</v>
      </c>
      <c r="D2004" s="2211" t="n">
        <f aca="false">D1958</f>
        <v>0</v>
      </c>
      <c r="E2004" s="2062" t="n">
        <f aca="false">C2004*D2004</f>
        <v>0</v>
      </c>
      <c r="F2004" s="1617"/>
      <c r="G2004" s="1714"/>
      <c r="H2004" s="1714"/>
      <c r="I2004" s="2353"/>
      <c r="J2004" s="1714"/>
      <c r="K2004" s="1714"/>
      <c r="L2004" s="1714"/>
      <c r="M2004" s="1714"/>
      <c r="N2004" s="1714"/>
      <c r="O2004" s="1714"/>
      <c r="P2004" s="1617"/>
      <c r="Q2004" s="1617"/>
      <c r="R2004" s="1617"/>
      <c r="S2004" s="1617"/>
      <c r="T2004" s="1617"/>
      <c r="U2004" s="1617"/>
      <c r="V2004" s="1617"/>
      <c r="W2004" s="1617"/>
      <c r="X2004" s="1617"/>
      <c r="Y2004" s="1617"/>
    </row>
    <row r="2005" customFormat="false" ht="15.75" hidden="true" customHeight="true" outlineLevel="1" collapsed="false">
      <c r="A2005" s="2211" t="str">
        <f aca="false">A1959</f>
        <v>Нет наждачной бумаги</v>
      </c>
      <c r="B2005" s="2211" t="str">
        <f aca="false">B1959</f>
        <v>м</v>
      </c>
      <c r="C2005" s="2211" t="n">
        <f aca="false">C1959</f>
        <v>0</v>
      </c>
      <c r="D2005" s="2211" t="n">
        <f aca="false">D1959</f>
        <v>0</v>
      </c>
      <c r="E2005" s="2062" t="n">
        <f aca="false">C2005*D2005</f>
        <v>0</v>
      </c>
      <c r="F2005" s="1617"/>
      <c r="G2005" s="1714"/>
      <c r="H2005" s="1714"/>
      <c r="I2005" s="2353"/>
      <c r="J2005" s="1714"/>
      <c r="K2005" s="1714"/>
      <c r="L2005" s="1714"/>
      <c r="M2005" s="1714"/>
      <c r="N2005" s="1714"/>
      <c r="O2005" s="1714"/>
      <c r="P2005" s="1617"/>
      <c r="Q2005" s="1617"/>
      <c r="R2005" s="1617"/>
      <c r="S2005" s="1617"/>
      <c r="T2005" s="1617"/>
      <c r="U2005" s="1617"/>
      <c r="V2005" s="1617"/>
      <c r="W2005" s="1617"/>
      <c r="X2005" s="1617"/>
      <c r="Y2005" s="1617"/>
    </row>
    <row r="2006" customFormat="false" ht="15.75" hidden="true" customHeight="true" outlineLevel="1" collapsed="false">
      <c r="A2006" s="2211" t="str">
        <f aca="false">A1960</f>
        <v>Нет наждачной бумаги</v>
      </c>
      <c r="B2006" s="2211" t="str">
        <f aca="false">B1960</f>
        <v>м</v>
      </c>
      <c r="C2006" s="2211" t="n">
        <f aca="false">C1960</f>
        <v>0</v>
      </c>
      <c r="D2006" s="2211" t="n">
        <f aca="false">D1960</f>
        <v>0</v>
      </c>
      <c r="E2006" s="2062" t="n">
        <f aca="false">C2006*D2006</f>
        <v>0</v>
      </c>
      <c r="F2006" s="1617"/>
      <c r="G2006" s="1714"/>
      <c r="H2006" s="1714"/>
      <c r="I2006" s="2353"/>
      <c r="J2006" s="1714"/>
      <c r="K2006" s="1714"/>
      <c r="L2006" s="1714"/>
      <c r="M2006" s="1714"/>
      <c r="N2006" s="1714"/>
      <c r="O2006" s="1714"/>
      <c r="P2006" s="1617"/>
      <c r="Q2006" s="1617"/>
      <c r="R2006" s="1617"/>
      <c r="S2006" s="1617"/>
      <c r="T2006" s="1617"/>
      <c r="U2006" s="1617"/>
      <c r="V2006" s="1617"/>
      <c r="W2006" s="1617"/>
      <c r="X2006" s="1617"/>
      <c r="Y2006" s="1617"/>
    </row>
    <row r="2007" customFormat="false" ht="15.75" hidden="true" customHeight="true" outlineLevel="1" collapsed="false">
      <c r="A2007" s="2211" t="str">
        <f aca="false">A1961</f>
        <v>Нет наждачной бумаги</v>
      </c>
      <c r="B2007" s="2211" t="str">
        <f aca="false">B1961</f>
        <v>м</v>
      </c>
      <c r="C2007" s="2211" t="n">
        <f aca="false">C1961</f>
        <v>0</v>
      </c>
      <c r="D2007" s="2211" t="n">
        <f aca="false">D1961</f>
        <v>0</v>
      </c>
      <c r="E2007" s="2062" t="n">
        <f aca="false">C2007*D2007</f>
        <v>0</v>
      </c>
      <c r="F2007" s="1617"/>
      <c r="G2007" s="1714"/>
      <c r="H2007" s="1714"/>
      <c r="I2007" s="2353"/>
      <c r="J2007" s="1714"/>
      <c r="K2007" s="1714"/>
      <c r="L2007" s="1714"/>
      <c r="M2007" s="1714"/>
      <c r="N2007" s="1714"/>
      <c r="O2007" s="1714"/>
      <c r="P2007" s="1617"/>
      <c r="Q2007" s="1617"/>
      <c r="R2007" s="1617"/>
      <c r="S2007" s="1617"/>
      <c r="T2007" s="1617"/>
      <c r="U2007" s="1617"/>
      <c r="V2007" s="1617"/>
      <c r="W2007" s="1617"/>
      <c r="X2007" s="1617"/>
      <c r="Y2007" s="1617"/>
    </row>
    <row r="2008" customFormat="false" ht="15.75" hidden="true" customHeight="true" outlineLevel="1" collapsed="false">
      <c r="A2008" s="2211" t="str">
        <f aca="false">A1809</f>
        <v>Командировочные расходы</v>
      </c>
      <c r="B2008" s="2064" t="str">
        <f aca="false">B1809</f>
        <v>рублей</v>
      </c>
      <c r="C2008" s="2211" t="n">
        <f aca="false">C1809</f>
        <v>1</v>
      </c>
      <c r="D2008" s="2211" t="n">
        <f aca="false">D1809</f>
        <v>0</v>
      </c>
      <c r="E2008" s="2211" t="n">
        <f aca="false">E1809</f>
        <v>0</v>
      </c>
      <c r="F2008" s="1617"/>
      <c r="G2008" s="1714"/>
      <c r="H2008" s="1714"/>
      <c r="I2008" s="2353"/>
      <c r="J2008" s="1714"/>
      <c r="K2008" s="1714"/>
      <c r="L2008" s="1714"/>
      <c r="M2008" s="1714"/>
      <c r="N2008" s="1714"/>
      <c r="O2008" s="1714"/>
      <c r="P2008" s="1617"/>
      <c r="Q2008" s="1617"/>
      <c r="R2008" s="1617"/>
      <c r="S2008" s="1617"/>
      <c r="T2008" s="1617"/>
      <c r="U2008" s="1617"/>
      <c r="V2008" s="1617"/>
      <c r="W2008" s="1617"/>
      <c r="X2008" s="1617"/>
      <c r="Y2008" s="1617"/>
    </row>
    <row r="2009" customFormat="false" ht="15.75" hidden="true" customHeight="true" outlineLevel="1" collapsed="false">
      <c r="A2009" s="2211" t="str">
        <f aca="false">A1963</f>
        <v>расходные материалы дома из леса</v>
      </c>
      <c r="B2009" s="2064" t="str">
        <f aca="false">B1963</f>
        <v>шт</v>
      </c>
      <c r="C2009" s="2062" t="n">
        <f aca="false">C1963</f>
        <v>1</v>
      </c>
      <c r="D2009" s="2062" t="n">
        <f aca="false">D1963</f>
        <v>3000</v>
      </c>
      <c r="E2009" s="2062" t="n">
        <f aca="false">C2009*D2009</f>
        <v>3000</v>
      </c>
      <c r="F2009" s="1617"/>
      <c r="G2009" s="2211"/>
      <c r="H2009" s="2211"/>
      <c r="I2009" s="2062"/>
      <c r="J2009" s="1707"/>
      <c r="K2009" s="1707"/>
      <c r="L2009" s="1707"/>
      <c r="M2009" s="1707"/>
      <c r="N2009" s="1707"/>
      <c r="O2009" s="1707"/>
      <c r="P2009" s="1617"/>
      <c r="Q2009" s="1617"/>
      <c r="R2009" s="1617"/>
      <c r="S2009" s="1617"/>
      <c r="T2009" s="1617"/>
      <c r="U2009" s="1617"/>
      <c r="V2009" s="1617"/>
      <c r="W2009" s="1617"/>
      <c r="X2009" s="1617"/>
      <c r="Y2009" s="1617"/>
    </row>
    <row r="2010" customFormat="false" ht="15.75" hidden="true" customHeight="true" outlineLevel="1" collapsed="false">
      <c r="A2010" s="2211" t="str">
        <f aca="false">A1964</f>
        <v>Нет техники</v>
      </c>
      <c r="B2010" s="2064" t="str">
        <f aca="false">B1964</f>
        <v>шт</v>
      </c>
      <c r="C2010" s="2062" t="n">
        <f aca="false">C1964</f>
        <v>0</v>
      </c>
      <c r="D2010" s="2062" t="n">
        <f aca="false">D1964</f>
        <v>0</v>
      </c>
      <c r="E2010" s="2062" t="n">
        <f aca="false">C2010*D2010</f>
        <v>0</v>
      </c>
      <c r="F2010" s="1617"/>
      <c r="G2010" s="2211"/>
      <c r="H2010" s="2211"/>
      <c r="I2010" s="2062"/>
      <c r="J2010" s="1707"/>
      <c r="K2010" s="1707"/>
      <c r="L2010" s="1707"/>
      <c r="M2010" s="1707"/>
      <c r="N2010" s="1707"/>
      <c r="O2010" s="1707"/>
      <c r="P2010" s="1617"/>
      <c r="Q2010" s="1617"/>
      <c r="R2010" s="1617"/>
      <c r="S2010" s="1617"/>
      <c r="T2010" s="1617"/>
      <c r="U2010" s="1617"/>
      <c r="V2010" s="1617"/>
      <c r="W2010" s="1617"/>
      <c r="X2010" s="1617"/>
      <c r="Y2010" s="1617"/>
    </row>
    <row r="2011" customFormat="false" ht="15.75" hidden="true" customHeight="true" outlineLevel="1" collapsed="false">
      <c r="A2011" s="2211" t="str">
        <f aca="false">A1965</f>
        <v>Нет техники</v>
      </c>
      <c r="B2011" s="2064" t="str">
        <f aca="false">B1965</f>
        <v>шт</v>
      </c>
      <c r="C2011" s="2062" t="n">
        <f aca="false">C1965</f>
        <v>0</v>
      </c>
      <c r="D2011" s="2062" t="n">
        <f aca="false">D1965</f>
        <v>0</v>
      </c>
      <c r="E2011" s="2062" t="n">
        <f aca="false">C2011*D2011</f>
        <v>0</v>
      </c>
      <c r="F2011" s="1617"/>
      <c r="G2011" s="2211"/>
      <c r="H2011" s="2211"/>
      <c r="I2011" s="2062"/>
      <c r="J2011" s="1707"/>
      <c r="K2011" s="1707"/>
      <c r="L2011" s="1707"/>
      <c r="M2011" s="1707"/>
      <c r="N2011" s="1707"/>
      <c r="O2011" s="1707"/>
      <c r="P2011" s="1617"/>
      <c r="Q2011" s="1617"/>
      <c r="R2011" s="1617"/>
      <c r="S2011" s="1617"/>
      <c r="T2011" s="1617"/>
      <c r="U2011" s="1617"/>
      <c r="V2011" s="1617"/>
      <c r="W2011" s="1617"/>
      <c r="X2011" s="1617"/>
      <c r="Y2011" s="1617"/>
    </row>
    <row r="2012" customFormat="false" ht="15.75" hidden="true" customHeight="true" outlineLevel="1" collapsed="false">
      <c r="A2012" s="2229"/>
      <c r="B2012" s="2174"/>
      <c r="C2012" s="2174"/>
      <c r="D2012" s="2174"/>
      <c r="E2012" s="2062" t="n">
        <f aca="false">SUM(E1985:E2011)</f>
        <v>21792.57759</v>
      </c>
      <c r="F2012" s="1617"/>
      <c r="G2012" s="1708"/>
      <c r="H2012" s="1708"/>
      <c r="I2012" s="2230"/>
      <c r="J2012" s="1708"/>
      <c r="K2012" s="1708"/>
      <c r="L2012" s="1708"/>
      <c r="M2012" s="1708"/>
      <c r="N2012" s="1708"/>
      <c r="O2012" s="1707" t="n">
        <f aca="false">SUM(O1985:O2011)</f>
        <v>11598.9578947368</v>
      </c>
      <c r="P2012" s="1617"/>
      <c r="Q2012" s="1617"/>
      <c r="R2012" s="1617"/>
      <c r="S2012" s="1617"/>
      <c r="T2012" s="1617"/>
      <c r="U2012" s="1617"/>
      <c r="V2012" s="1617"/>
      <c r="W2012" s="1617"/>
      <c r="X2012" s="1617"/>
      <c r="Y2012" s="1617"/>
    </row>
    <row r="2013" customFormat="false" ht="15.75" hidden="true" customHeight="true" outlineLevel="1" collapsed="false">
      <c r="A2013" s="2211" t="s">
        <v>3808</v>
      </c>
      <c r="B2013" s="2064" t="n">
        <f aca="false">E2012</f>
        <v>21792.57759</v>
      </c>
      <c r="C2013" s="2231"/>
      <c r="D2013" s="1708"/>
      <c r="E2013" s="1708"/>
      <c r="F2013" s="1708"/>
      <c r="G2013" s="1708"/>
      <c r="H2013" s="1708"/>
      <c r="I2013" s="2230"/>
      <c r="J2013" s="1708"/>
      <c r="K2013" s="1708"/>
      <c r="L2013" s="1708"/>
      <c r="M2013" s="1708"/>
      <c r="N2013" s="1708"/>
      <c r="O2013" s="1708"/>
      <c r="P2013" s="1617"/>
      <c r="Q2013" s="1617"/>
      <c r="R2013" s="1617"/>
      <c r="S2013" s="1617"/>
      <c r="T2013" s="1617"/>
      <c r="U2013" s="1617"/>
      <c r="V2013" s="1617"/>
      <c r="W2013" s="1617"/>
      <c r="X2013" s="1617"/>
      <c r="Y2013" s="1617"/>
    </row>
    <row r="2014" customFormat="false" ht="15.75" hidden="true" customHeight="true" outlineLevel="1" collapsed="false">
      <c r="A2014" s="2211" t="s">
        <v>3809</v>
      </c>
      <c r="B2014" s="2064" t="n">
        <f aca="false">O2012</f>
        <v>11598.9578947368</v>
      </c>
      <c r="C2014" s="2231"/>
      <c r="D2014" s="1708"/>
      <c r="E2014" s="1708"/>
      <c r="F2014" s="1708"/>
      <c r="G2014" s="1708"/>
      <c r="H2014" s="1708"/>
      <c r="I2014" s="2230"/>
      <c r="J2014" s="1708"/>
      <c r="K2014" s="1708"/>
      <c r="L2014" s="1708"/>
      <c r="M2014" s="1708"/>
      <c r="N2014" s="1708"/>
      <c r="O2014" s="1708"/>
      <c r="P2014" s="1617"/>
      <c r="Q2014" s="1617"/>
      <c r="R2014" s="1617"/>
      <c r="S2014" s="1617"/>
      <c r="T2014" s="1617"/>
      <c r="U2014" s="1617"/>
      <c r="V2014" s="1617"/>
      <c r="W2014" s="1617"/>
      <c r="X2014" s="1617"/>
      <c r="Y2014" s="1617"/>
    </row>
    <row r="2015" customFormat="false" ht="15.75" hidden="true" customHeight="true" outlineLevel="1" collapsed="false">
      <c r="A2015" s="1707" t="s">
        <v>2922</v>
      </c>
      <c r="B2015" s="2064" t="n">
        <f aca="false">SUM(B2013:B2014)</f>
        <v>33391.5354847368</v>
      </c>
      <c r="C2015" s="2231"/>
      <c r="D2015" s="1708"/>
      <c r="E2015" s="1708"/>
      <c r="F2015" s="1708"/>
      <c r="G2015" s="1708"/>
      <c r="H2015" s="1708"/>
      <c r="I2015" s="2230"/>
      <c r="J2015" s="1708"/>
      <c r="K2015" s="1708"/>
      <c r="L2015" s="1708"/>
      <c r="M2015" s="1708"/>
      <c r="N2015" s="1708"/>
      <c r="O2015" s="1708"/>
      <c r="P2015" s="1617"/>
      <c r="Q2015" s="1617"/>
      <c r="R2015" s="1617"/>
      <c r="S2015" s="1617"/>
      <c r="T2015" s="1617"/>
      <c r="U2015" s="1617"/>
      <c r="V2015" s="1617"/>
      <c r="W2015" s="1617"/>
      <c r="X2015" s="1617"/>
      <c r="Y2015" s="1617"/>
    </row>
    <row r="2016" customFormat="false" ht="15.75" hidden="false" customHeight="true" outlineLevel="0" collapsed="false">
      <c r="A2016" s="1617" t="s">
        <v>3918</v>
      </c>
      <c r="B2016" s="2318"/>
      <c r="C2016" s="2318"/>
      <c r="D2016" s="1617"/>
      <c r="E2016" s="1617"/>
      <c r="F2016" s="1617"/>
      <c r="G2016" s="1617"/>
      <c r="H2016" s="1617"/>
      <c r="I2016" s="2319"/>
      <c r="J2016" s="1617"/>
      <c r="K2016" s="1617"/>
      <c r="L2016" s="1617"/>
      <c r="M2016" s="1617"/>
      <c r="N2016" s="1617"/>
      <c r="O2016" s="1617"/>
      <c r="P2016" s="1617"/>
      <c r="Q2016" s="1617"/>
      <c r="R2016" s="1617"/>
      <c r="S2016" s="1617"/>
      <c r="T2016" s="1617"/>
      <c r="U2016" s="1617"/>
      <c r="V2016" s="1617"/>
      <c r="W2016" s="1617"/>
      <c r="X2016" s="1617"/>
      <c r="Y2016" s="1617"/>
    </row>
    <row r="2017" customFormat="false" ht="15.75" hidden="false" customHeight="true" outlineLevel="0" collapsed="false">
      <c r="A2017" s="1734"/>
      <c r="B2017" s="2318"/>
      <c r="C2017" s="2318"/>
      <c r="D2017" s="1617"/>
      <c r="E2017" s="1617"/>
      <c r="F2017" s="1617"/>
      <c r="G2017" s="1617"/>
      <c r="H2017" s="1617"/>
      <c r="I2017" s="2319"/>
      <c r="J2017" s="1617"/>
      <c r="K2017" s="1617"/>
      <c r="L2017" s="1617"/>
      <c r="M2017" s="1617"/>
      <c r="N2017" s="1617"/>
      <c r="O2017" s="1617"/>
      <c r="P2017" s="1617"/>
      <c r="Q2017" s="1617"/>
      <c r="R2017" s="1617"/>
      <c r="S2017" s="1617"/>
      <c r="T2017" s="1617"/>
      <c r="U2017" s="1617"/>
      <c r="V2017" s="1617"/>
      <c r="W2017" s="1617"/>
      <c r="X2017" s="1617"/>
      <c r="Y2017" s="1617"/>
    </row>
    <row r="2018" customFormat="false" ht="15.75" hidden="false" customHeight="true" outlineLevel="0" collapsed="false">
      <c r="A2018" s="1617"/>
      <c r="B2018" s="2318"/>
      <c r="C2018" s="2318"/>
      <c r="D2018" s="1617"/>
      <c r="E2018" s="1617"/>
      <c r="F2018" s="1617"/>
      <c r="G2018" s="1617"/>
      <c r="H2018" s="1617"/>
      <c r="I2018" s="2319"/>
      <c r="J2018" s="1617"/>
      <c r="K2018" s="1617"/>
      <c r="L2018" s="1617"/>
      <c r="M2018" s="1617"/>
      <c r="N2018" s="1617"/>
      <c r="O2018" s="1617"/>
      <c r="P2018" s="1617"/>
      <c r="Q2018" s="1617"/>
      <c r="R2018" s="1617"/>
      <c r="S2018" s="1617"/>
      <c r="T2018" s="1617"/>
      <c r="U2018" s="1617"/>
      <c r="V2018" s="1617"/>
      <c r="W2018" s="1617"/>
      <c r="X2018" s="1617"/>
      <c r="Y2018" s="1617"/>
    </row>
    <row r="2019" customFormat="false" ht="15.75" hidden="true" customHeight="true" outlineLevel="1" collapsed="false">
      <c r="A2019" s="2368" t="s">
        <v>3919</v>
      </c>
      <c r="B2019" s="2369" t="s">
        <v>12</v>
      </c>
      <c r="C2019" s="1991" t="s">
        <v>13</v>
      </c>
      <c r="D2019" s="1350" t="n">
        <f aca="false">VLOOKUP('Ввод данных'!F702,связи1!A2:B3,2,0)</f>
        <v>0</v>
      </c>
      <c r="E2019" s="1902" t="s">
        <v>3920</v>
      </c>
      <c r="F2019" s="1902"/>
      <c r="G2019" s="1617"/>
      <c r="H2019" s="1617"/>
      <c r="I2019" s="2319"/>
      <c r="J2019" s="1617"/>
      <c r="K2019" s="1617"/>
      <c r="L2019" s="1617"/>
      <c r="M2019" s="1617"/>
      <c r="N2019" s="1617"/>
      <c r="O2019" s="1617"/>
      <c r="P2019" s="1617"/>
      <c r="Q2019" s="1617"/>
      <c r="R2019" s="1617"/>
      <c r="S2019" s="1617"/>
      <c r="T2019" s="1617"/>
      <c r="U2019" s="1617"/>
      <c r="V2019" s="1617"/>
      <c r="W2019" s="1617"/>
      <c r="X2019" s="1617"/>
      <c r="Y2019" s="1617"/>
    </row>
    <row r="2020" customFormat="false" ht="15.75" hidden="true" customHeight="true" outlineLevel="1" collapsed="false">
      <c r="A2020" s="1604" t="s">
        <v>303</v>
      </c>
      <c r="B2020" s="1605" t="s">
        <v>48</v>
      </c>
      <c r="C2020" s="2370" t="n">
        <v>1</v>
      </c>
      <c r="D2020" s="1994"/>
      <c r="E2020" s="1902"/>
      <c r="F2020" s="1902"/>
      <c r="G2020" s="1617"/>
      <c r="H2020" s="1617"/>
      <c r="I2020" s="2319"/>
      <c r="J2020" s="1617"/>
      <c r="K2020" s="1617"/>
      <c r="L2020" s="1617"/>
      <c r="M2020" s="1617"/>
      <c r="N2020" s="1617"/>
      <c r="O2020" s="1617"/>
      <c r="P2020" s="1617"/>
      <c r="Q2020" s="1617"/>
      <c r="R2020" s="1617"/>
      <c r="S2020" s="1617"/>
      <c r="T2020" s="1617"/>
      <c r="U2020" s="1617"/>
      <c r="V2020" s="1617"/>
      <c r="W2020" s="1617"/>
      <c r="X2020" s="1617"/>
      <c r="Y2020" s="1617"/>
    </row>
    <row r="2021" customFormat="false" ht="15.75" hidden="true" customHeight="true" outlineLevel="1" collapsed="false">
      <c r="A2021" s="1604" t="s">
        <v>3921</v>
      </c>
      <c r="B2021" s="1605" t="s">
        <v>48</v>
      </c>
      <c r="C2021" s="2370" t="n">
        <f aca="false">IF('Ввод данных'!C606=2,1,0)</f>
        <v>0</v>
      </c>
      <c r="D2021" s="1994"/>
      <c r="E2021" s="1902"/>
      <c r="F2021" s="1902"/>
      <c r="G2021" s="1617"/>
      <c r="H2021" s="1617"/>
      <c r="I2021" s="2319"/>
      <c r="J2021" s="1617"/>
      <c r="K2021" s="1617"/>
      <c r="L2021" s="1617"/>
      <c r="M2021" s="1617"/>
      <c r="N2021" s="1617"/>
      <c r="O2021" s="1617"/>
      <c r="P2021" s="1617"/>
      <c r="Q2021" s="1617"/>
      <c r="R2021" s="1617"/>
      <c r="S2021" s="1617"/>
      <c r="T2021" s="1617"/>
      <c r="U2021" s="1617"/>
      <c r="V2021" s="1617"/>
      <c r="W2021" s="1617"/>
      <c r="X2021" s="1617"/>
      <c r="Y2021" s="1617"/>
    </row>
    <row r="2022" customFormat="false" ht="15.75" hidden="true" customHeight="true" outlineLevel="1" collapsed="false">
      <c r="A2022" s="1662" t="s">
        <v>161</v>
      </c>
      <c r="B2022" s="1661" t="s">
        <v>12</v>
      </c>
      <c r="C2022" s="1661" t="s">
        <v>116</v>
      </c>
      <c r="D2022" s="1662" t="s">
        <v>137</v>
      </c>
      <c r="E2022" s="1601"/>
      <c r="F2022" s="1601"/>
      <c r="G2022" s="1617"/>
      <c r="H2022" s="1617"/>
      <c r="I2022" s="2319"/>
      <c r="J2022" s="1617"/>
      <c r="K2022" s="1617"/>
      <c r="L2022" s="1617"/>
      <c r="M2022" s="1617"/>
      <c r="N2022" s="1617"/>
      <c r="O2022" s="1617"/>
      <c r="P2022" s="1617"/>
      <c r="Q2022" s="1617"/>
      <c r="R2022" s="1617"/>
      <c r="S2022" s="1617"/>
      <c r="T2022" s="1617"/>
      <c r="U2022" s="1617"/>
      <c r="V2022" s="1617"/>
      <c r="W2022" s="1617"/>
      <c r="X2022" s="1617"/>
      <c r="Y2022" s="1617"/>
    </row>
    <row r="2023" customFormat="false" ht="15.75" hidden="true" customHeight="true" outlineLevel="1" collapsed="false">
      <c r="A2023" s="1604" t="s">
        <v>302</v>
      </c>
      <c r="B2023" s="1605" t="s">
        <v>48</v>
      </c>
      <c r="C2023" s="1605"/>
      <c r="D2023" s="1350"/>
      <c r="E2023" s="2370" t="n">
        <f aca="false">C2020</f>
        <v>1</v>
      </c>
      <c r="F2023" s="1902" t="s">
        <v>3668</v>
      </c>
      <c r="G2023" s="1617"/>
      <c r="H2023" s="1617"/>
      <c r="I2023" s="2319"/>
      <c r="J2023" s="1617"/>
      <c r="K2023" s="1617"/>
      <c r="L2023" s="1617"/>
      <c r="M2023" s="1617"/>
      <c r="N2023" s="1617"/>
      <c r="O2023" s="1617"/>
      <c r="P2023" s="1617"/>
      <c r="Q2023" s="1617"/>
      <c r="R2023" s="1617"/>
      <c r="S2023" s="1617"/>
      <c r="T2023" s="1617"/>
      <c r="U2023" s="1617"/>
      <c r="V2023" s="1617"/>
      <c r="W2023" s="1617"/>
      <c r="X2023" s="1617"/>
      <c r="Y2023" s="1617"/>
    </row>
    <row r="2024" customFormat="false" ht="15.75" hidden="true" customHeight="true" outlineLevel="1" collapsed="false">
      <c r="A2024" s="1604" t="s">
        <v>2758</v>
      </c>
      <c r="B2024" s="1605" t="s">
        <v>48</v>
      </c>
      <c r="C2024" s="1605"/>
      <c r="D2024" s="1350"/>
      <c r="E2024" s="2370" t="n">
        <f aca="false">C2020</f>
        <v>1</v>
      </c>
      <c r="F2024" s="1902" t="s">
        <v>3669</v>
      </c>
      <c r="G2024" s="1617"/>
      <c r="H2024" s="1617"/>
      <c r="I2024" s="2319"/>
      <c r="J2024" s="1617"/>
      <c r="K2024" s="1617"/>
      <c r="L2024" s="1617"/>
      <c r="M2024" s="1617"/>
      <c r="N2024" s="1617"/>
      <c r="O2024" s="1617"/>
      <c r="P2024" s="1617"/>
      <c r="Q2024" s="1617"/>
      <c r="R2024" s="1617"/>
      <c r="S2024" s="1617"/>
      <c r="T2024" s="1617"/>
      <c r="U2024" s="1617"/>
      <c r="V2024" s="1617"/>
      <c r="W2024" s="1617"/>
      <c r="X2024" s="1617"/>
      <c r="Y2024" s="1617"/>
    </row>
    <row r="2025" customFormat="false" ht="15.75" hidden="true" customHeight="true" outlineLevel="1" collapsed="false">
      <c r="A2025" s="1604" t="s">
        <v>2759</v>
      </c>
      <c r="B2025" s="1605" t="s">
        <v>48</v>
      </c>
      <c r="C2025" s="1605"/>
      <c r="D2025" s="1350"/>
      <c r="E2025" s="1637" t="n">
        <f aca="false">C2021</f>
        <v>0</v>
      </c>
      <c r="F2025" s="1902" t="s">
        <v>3670</v>
      </c>
      <c r="G2025" s="1617"/>
      <c r="H2025" s="1617"/>
      <c r="I2025" s="2319"/>
      <c r="J2025" s="1617"/>
      <c r="K2025" s="1617"/>
      <c r="L2025" s="1617"/>
      <c r="M2025" s="1617"/>
      <c r="N2025" s="1617"/>
      <c r="O2025" s="1617"/>
      <c r="P2025" s="1617"/>
      <c r="Q2025" s="1617"/>
      <c r="R2025" s="1617"/>
      <c r="S2025" s="1617"/>
      <c r="T2025" s="1617"/>
      <c r="U2025" s="1617"/>
      <c r="V2025" s="1617"/>
      <c r="W2025" s="1617"/>
      <c r="X2025" s="1617"/>
      <c r="Y2025" s="1617"/>
    </row>
    <row r="2026" customFormat="false" ht="15.75" hidden="true" customHeight="true" outlineLevel="1" collapsed="false">
      <c r="A2026" s="2002" t="s">
        <v>392</v>
      </c>
      <c r="B2026" s="1603" t="s">
        <v>15</v>
      </c>
      <c r="C2026" s="1957" t="n">
        <f aca="false">'Ввод данных'!C607</f>
        <v>3</v>
      </c>
      <c r="D2026" s="1999"/>
      <c r="E2026" s="1902"/>
      <c r="F2026" s="1902"/>
      <c r="G2026" s="1617"/>
      <c r="H2026" s="1617"/>
      <c r="I2026" s="2319"/>
      <c r="J2026" s="1617"/>
      <c r="K2026" s="1617"/>
      <c r="L2026" s="1617"/>
      <c r="M2026" s="1617"/>
      <c r="N2026" s="1617"/>
      <c r="O2026" s="1617"/>
      <c r="P2026" s="1617"/>
      <c r="Q2026" s="1617"/>
      <c r="R2026" s="1617"/>
      <c r="S2026" s="1617"/>
      <c r="T2026" s="1617"/>
      <c r="U2026" s="1617"/>
      <c r="V2026" s="1617"/>
      <c r="W2026" s="1617"/>
      <c r="X2026" s="1617"/>
      <c r="Y2026" s="1617"/>
    </row>
    <row r="2027" customFormat="false" ht="15.75" hidden="true" customHeight="true" outlineLevel="1" collapsed="false">
      <c r="A2027" s="2002" t="s">
        <v>393</v>
      </c>
      <c r="B2027" s="1603" t="s">
        <v>15</v>
      </c>
      <c r="C2027" s="1957" t="n">
        <f aca="false">'Ввод данных'!C608</f>
        <v>3</v>
      </c>
      <c r="D2027" s="1999" t="n">
        <f aca="false">C2026+C2027+C2027</f>
        <v>9</v>
      </c>
      <c r="E2027" s="1902" t="s">
        <v>2773</v>
      </c>
      <c r="F2027" s="1902"/>
      <c r="G2027" s="1617"/>
      <c r="H2027" s="1617"/>
      <c r="I2027" s="2319"/>
      <c r="J2027" s="1617"/>
      <c r="K2027" s="1617"/>
      <c r="L2027" s="1617"/>
      <c r="M2027" s="1617"/>
      <c r="N2027" s="1617"/>
      <c r="O2027" s="1617"/>
      <c r="P2027" s="1617"/>
      <c r="Q2027" s="1617"/>
      <c r="R2027" s="1617"/>
      <c r="S2027" s="1617"/>
      <c r="T2027" s="1617"/>
      <c r="U2027" s="1617"/>
      <c r="V2027" s="1617"/>
      <c r="W2027" s="1617"/>
      <c r="X2027" s="1617"/>
      <c r="Y2027" s="1617"/>
    </row>
    <row r="2028" customFormat="false" ht="15.75" hidden="true" customHeight="true" outlineLevel="1" collapsed="false">
      <c r="A2028" s="2002" t="s">
        <v>3922</v>
      </c>
      <c r="B2028" s="1603" t="s">
        <v>15</v>
      </c>
      <c r="C2028" s="1957" t="n">
        <f aca="false">'Ввод данных'!C609</f>
        <v>2.7</v>
      </c>
      <c r="D2028" s="1177"/>
      <c r="E2028" s="1902"/>
      <c r="F2028" s="1902"/>
      <c r="G2028" s="1617"/>
      <c r="H2028" s="1617"/>
      <c r="I2028" s="2319"/>
      <c r="J2028" s="1617"/>
      <c r="K2028" s="1617"/>
      <c r="L2028" s="1617"/>
      <c r="M2028" s="1617"/>
      <c r="N2028" s="1617"/>
      <c r="O2028" s="1617"/>
      <c r="P2028" s="1617"/>
      <c r="Q2028" s="1617"/>
      <c r="R2028" s="1617"/>
      <c r="S2028" s="1617"/>
      <c r="T2028" s="1617"/>
      <c r="U2028" s="1617"/>
      <c r="V2028" s="1617"/>
      <c r="W2028" s="1617"/>
      <c r="X2028" s="1617"/>
      <c r="Y2028" s="1617"/>
    </row>
    <row r="2029" customFormat="false" ht="15.75" hidden="true" customHeight="true" outlineLevel="1" collapsed="false">
      <c r="A2029" s="2371" t="s">
        <v>3923</v>
      </c>
      <c r="B2029" s="2372" t="s">
        <v>15</v>
      </c>
      <c r="C2029" s="2373" t="n">
        <f aca="false">'Ввод данных'!C610</f>
        <v>2.7</v>
      </c>
      <c r="D2029" s="1177"/>
      <c r="E2029" s="1902"/>
      <c r="F2029" s="1902"/>
      <c r="G2029" s="1617"/>
      <c r="H2029" s="1617"/>
      <c r="I2029" s="2319"/>
      <c r="J2029" s="1617"/>
      <c r="K2029" s="1617"/>
      <c r="L2029" s="1617"/>
      <c r="M2029" s="1617"/>
      <c r="N2029" s="1617"/>
      <c r="O2029" s="1617"/>
      <c r="P2029" s="1617"/>
      <c r="Q2029" s="1617"/>
      <c r="R2029" s="1617"/>
      <c r="S2029" s="1617"/>
      <c r="T2029" s="1617"/>
      <c r="U2029" s="1617"/>
      <c r="V2029" s="1617"/>
      <c r="W2029" s="1617"/>
      <c r="X2029" s="1617"/>
      <c r="Y2029" s="1617"/>
    </row>
    <row r="2030" customFormat="false" ht="15.75" hidden="true" customHeight="true" outlineLevel="1" collapsed="false">
      <c r="A2030" s="2371" t="str">
        <f aca="false">'Ввод данных'!A611</f>
        <v>высота от перекрытия 0 этажа до конька, Е</v>
      </c>
      <c r="B2030" s="2372" t="str">
        <f aca="false">'Ввод данных'!B611</f>
        <v>м.п.</v>
      </c>
      <c r="C2030" s="2371" t="n">
        <f aca="false">'Ввод данных'!C611</f>
        <v>4.5</v>
      </c>
      <c r="D2030" s="1177"/>
      <c r="E2030" s="1902"/>
      <c r="F2030" s="1902"/>
      <c r="G2030" s="1617"/>
      <c r="H2030" s="1617"/>
      <c r="I2030" s="2319"/>
      <c r="J2030" s="1617"/>
      <c r="K2030" s="1617"/>
      <c r="L2030" s="1617"/>
      <c r="M2030" s="1617"/>
      <c r="N2030" s="1617"/>
      <c r="O2030" s="1617"/>
      <c r="P2030" s="1617"/>
      <c r="Q2030" s="1617"/>
      <c r="R2030" s="1617"/>
      <c r="S2030" s="1617"/>
      <c r="T2030" s="1617"/>
      <c r="U2030" s="1617"/>
      <c r="V2030" s="1617"/>
      <c r="W2030" s="1617"/>
      <c r="X2030" s="1617"/>
      <c r="Y2030" s="1617"/>
    </row>
    <row r="2031" customFormat="false" ht="15.75" hidden="true" customHeight="true" outlineLevel="1" collapsed="false">
      <c r="A2031" s="2371" t="str">
        <f aca="false">'Ввод данных'!A642</f>
        <v>Выпуск кровли карниз</v>
      </c>
      <c r="B2031" s="2372" t="str">
        <f aca="false">'Ввод данных'!B642</f>
        <v>м.п.</v>
      </c>
      <c r="C2031" s="2371" t="n">
        <f aca="false">'Ввод данных'!C642</f>
        <v>0.5</v>
      </c>
      <c r="D2031" s="1177"/>
      <c r="E2031" s="1902"/>
      <c r="F2031" s="1902"/>
      <c r="G2031" s="1617"/>
      <c r="H2031" s="1617"/>
      <c r="I2031" s="2319"/>
      <c r="J2031" s="1617"/>
      <c r="K2031" s="1617"/>
      <c r="L2031" s="1617"/>
      <c r="M2031" s="1617"/>
      <c r="N2031" s="1617"/>
      <c r="O2031" s="1617"/>
      <c r="P2031" s="1617"/>
      <c r="Q2031" s="1617"/>
      <c r="R2031" s="1617"/>
      <c r="S2031" s="1617"/>
      <c r="T2031" s="1617"/>
      <c r="U2031" s="1617"/>
      <c r="V2031" s="1617"/>
      <c r="W2031" s="1617"/>
      <c r="X2031" s="1617"/>
      <c r="Y2031" s="1617"/>
    </row>
    <row r="2032" customFormat="false" ht="15.75" hidden="true" customHeight="true" outlineLevel="1" collapsed="false">
      <c r="A2032" s="2371" t="str">
        <f aca="false">'Ввод данных'!A643</f>
        <v>Выпуск кровли фронтон</v>
      </c>
      <c r="B2032" s="2372" t="str">
        <f aca="false">'Ввод данных'!B643</f>
        <v>м.п.</v>
      </c>
      <c r="C2032" s="2371" t="n">
        <f aca="false">'Ввод данных'!C643</f>
        <v>0.8</v>
      </c>
      <c r="D2032" s="1177"/>
      <c r="E2032" s="1902"/>
      <c r="F2032" s="1902"/>
      <c r="G2032" s="1617"/>
      <c r="H2032" s="1617"/>
      <c r="I2032" s="2319"/>
      <c r="J2032" s="1617"/>
      <c r="K2032" s="1617"/>
      <c r="L2032" s="1617"/>
      <c r="M2032" s="1617"/>
      <c r="N2032" s="1617"/>
      <c r="O2032" s="1617"/>
      <c r="P2032" s="1617"/>
      <c r="Q2032" s="1617"/>
      <c r="R2032" s="1617"/>
      <c r="S2032" s="1617"/>
      <c r="T2032" s="1617"/>
      <c r="U2032" s="1617"/>
      <c r="V2032" s="1617"/>
      <c r="W2032" s="1617"/>
      <c r="X2032" s="1617"/>
      <c r="Y2032" s="1617"/>
    </row>
    <row r="2033" customFormat="false" ht="15.75" hidden="true" customHeight="true" outlineLevel="1" collapsed="false">
      <c r="A2033" s="2371" t="s">
        <v>66</v>
      </c>
      <c r="B2033" s="2372"/>
      <c r="C2033" s="2371"/>
      <c r="D2033" s="1177"/>
      <c r="E2033" s="1902"/>
      <c r="F2033" s="1902"/>
      <c r="G2033" s="1617"/>
      <c r="H2033" s="1617"/>
      <c r="I2033" s="2319"/>
      <c r="J2033" s="1617"/>
      <c r="K2033" s="1617"/>
      <c r="L2033" s="1617"/>
      <c r="M2033" s="1617"/>
      <c r="N2033" s="1617"/>
      <c r="O2033" s="1617"/>
      <c r="P2033" s="1617"/>
      <c r="Q2033" s="1617"/>
      <c r="R2033" s="1617"/>
      <c r="S2033" s="1617"/>
      <c r="T2033" s="1617"/>
      <c r="U2033" s="1617"/>
      <c r="V2033" s="1617"/>
      <c r="W2033" s="1617"/>
      <c r="X2033" s="1617"/>
      <c r="Y2033" s="1617"/>
    </row>
    <row r="2034" customFormat="false" ht="15.75" hidden="true" customHeight="true" outlineLevel="1" collapsed="false">
      <c r="A2034" s="2371" t="s">
        <v>76</v>
      </c>
      <c r="B2034" s="2372"/>
      <c r="C2034" s="2371"/>
      <c r="D2034" s="1177"/>
      <c r="E2034" s="1902"/>
      <c r="F2034" s="1902"/>
      <c r="G2034" s="1617"/>
      <c r="H2034" s="1617"/>
      <c r="I2034" s="2319"/>
      <c r="J2034" s="1617"/>
      <c r="K2034" s="1617"/>
      <c r="L2034" s="1617"/>
      <c r="M2034" s="1617"/>
      <c r="N2034" s="1617"/>
      <c r="O2034" s="1617"/>
      <c r="P2034" s="1617"/>
      <c r="Q2034" s="1617"/>
      <c r="R2034" s="1617"/>
      <c r="S2034" s="1617"/>
      <c r="T2034" s="1617"/>
      <c r="U2034" s="1617"/>
      <c r="V2034" s="1617"/>
      <c r="W2034" s="1617"/>
      <c r="X2034" s="1617"/>
      <c r="Y2034" s="1617"/>
    </row>
    <row r="2035" customFormat="false" ht="15.75" hidden="true" customHeight="true" outlineLevel="1" collapsed="false">
      <c r="A2035" s="2371"/>
      <c r="B2035" s="2372"/>
      <c r="C2035" s="2371"/>
      <c r="D2035" s="1177"/>
      <c r="E2035" s="1902"/>
      <c r="F2035" s="1902"/>
      <c r="G2035" s="1617"/>
      <c r="H2035" s="1617"/>
      <c r="I2035" s="2319"/>
      <c r="J2035" s="1617"/>
      <c r="K2035" s="1617"/>
      <c r="L2035" s="1617"/>
      <c r="M2035" s="1617"/>
      <c r="N2035" s="1617"/>
      <c r="O2035" s="1617"/>
      <c r="P2035" s="1617"/>
      <c r="Q2035" s="1617"/>
      <c r="R2035" s="1617"/>
      <c r="S2035" s="1617"/>
      <c r="T2035" s="1617"/>
      <c r="U2035" s="1617"/>
      <c r="V2035" s="1617"/>
      <c r="W2035" s="1617"/>
      <c r="X2035" s="1617"/>
      <c r="Y2035" s="1617"/>
    </row>
    <row r="2036" customFormat="false" ht="15.75" hidden="true" customHeight="true" outlineLevel="1" collapsed="false">
      <c r="A2036" s="1707" t="s">
        <v>2821</v>
      </c>
      <c r="B2036" s="2372"/>
      <c r="C2036" s="2371"/>
      <c r="D2036" s="1177"/>
      <c r="E2036" s="1902"/>
      <c r="F2036" s="1902"/>
      <c r="G2036" s="1617"/>
      <c r="H2036" s="1617"/>
      <c r="I2036" s="2319"/>
      <c r="J2036" s="1617"/>
      <c r="K2036" s="1617"/>
      <c r="L2036" s="1617"/>
      <c r="M2036" s="1617"/>
      <c r="N2036" s="1617"/>
      <c r="O2036" s="1617"/>
      <c r="P2036" s="1617"/>
      <c r="Q2036" s="1617"/>
      <c r="R2036" s="1617"/>
      <c r="S2036" s="1617"/>
      <c r="T2036" s="1617"/>
      <c r="U2036" s="1617"/>
      <c r="V2036" s="1617"/>
      <c r="W2036" s="1617"/>
      <c r="X2036" s="1617"/>
      <c r="Y2036" s="1617"/>
    </row>
    <row r="2037" customFormat="false" ht="15.75" hidden="true" customHeight="true" outlineLevel="1" collapsed="false">
      <c r="A2037" s="1707" t="s">
        <v>249</v>
      </c>
      <c r="B2037" s="2372"/>
      <c r="C2037" s="2371"/>
      <c r="D2037" s="1177"/>
      <c r="E2037" s="1902"/>
      <c r="F2037" s="1902"/>
      <c r="G2037" s="1617"/>
      <c r="H2037" s="1617"/>
      <c r="I2037" s="2319"/>
      <c r="J2037" s="1617"/>
      <c r="K2037" s="1617"/>
      <c r="L2037" s="1617"/>
      <c r="M2037" s="1617"/>
      <c r="N2037" s="1617"/>
      <c r="O2037" s="1617"/>
      <c r="P2037" s="1617"/>
      <c r="Q2037" s="1617"/>
      <c r="R2037" s="1617"/>
      <c r="S2037" s="1617"/>
      <c r="T2037" s="1617"/>
      <c r="U2037" s="1617"/>
      <c r="V2037" s="1617"/>
      <c r="W2037" s="1617"/>
      <c r="X2037" s="1617"/>
      <c r="Y2037" s="1617"/>
    </row>
    <row r="2038" customFormat="false" ht="15.75" hidden="true" customHeight="true" outlineLevel="1" collapsed="false">
      <c r="A2038" s="1707" t="s">
        <v>3647</v>
      </c>
      <c r="B2038" s="2372"/>
      <c r="C2038" s="2371"/>
      <c r="D2038" s="1177"/>
      <c r="E2038" s="1902"/>
      <c r="F2038" s="1902"/>
      <c r="G2038" s="1617"/>
      <c r="H2038" s="1617"/>
      <c r="I2038" s="2319"/>
      <c r="J2038" s="1617"/>
      <c r="K2038" s="1617"/>
      <c r="L2038" s="1617"/>
      <c r="M2038" s="1617"/>
      <c r="N2038" s="1617"/>
      <c r="O2038" s="1617"/>
      <c r="P2038" s="1617"/>
      <c r="Q2038" s="1617"/>
      <c r="R2038" s="1617"/>
      <c r="S2038" s="1617"/>
      <c r="T2038" s="1617"/>
      <c r="U2038" s="1617"/>
      <c r="V2038" s="1617"/>
      <c r="W2038" s="1617"/>
      <c r="X2038" s="1617"/>
      <c r="Y2038" s="1617"/>
    </row>
    <row r="2039" customFormat="false" ht="15.75" hidden="true" customHeight="true" outlineLevel="1" collapsed="false">
      <c r="A2039" s="1662" t="s">
        <v>161</v>
      </c>
      <c r="B2039" s="1991" t="s">
        <v>12</v>
      </c>
      <c r="C2039" s="1958" t="s">
        <v>116</v>
      </c>
      <c r="D2039" s="1714" t="s">
        <v>116</v>
      </c>
      <c r="E2039" s="1617"/>
      <c r="F2039" s="1617"/>
      <c r="G2039" s="1617"/>
      <c r="H2039" s="1617"/>
      <c r="I2039" s="2319"/>
      <c r="J2039" s="1617"/>
      <c r="K2039" s="1617"/>
      <c r="L2039" s="1617"/>
      <c r="M2039" s="1617"/>
      <c r="N2039" s="1617"/>
      <c r="O2039" s="1617"/>
      <c r="P2039" s="1617"/>
      <c r="Q2039" s="1617"/>
      <c r="R2039" s="1617"/>
      <c r="S2039" s="1617"/>
      <c r="T2039" s="1617"/>
      <c r="U2039" s="1617"/>
      <c r="V2039" s="1617"/>
      <c r="W2039" s="1617"/>
      <c r="X2039" s="1617"/>
      <c r="Y2039" s="1617"/>
    </row>
    <row r="2040" customFormat="false" ht="15.75" hidden="true" customHeight="true" outlineLevel="1" collapsed="false">
      <c r="A2040" s="1617"/>
      <c r="B2040" s="2318"/>
      <c r="C2040" s="2318"/>
      <c r="D2040" s="1617" t="s">
        <v>486</v>
      </c>
      <c r="E2040" s="1617" t="n">
        <f aca="false">VLOOKUP('Ввод данных'!D604,связи1!A2:B3,2,0)</f>
        <v>1</v>
      </c>
      <c r="F2040" s="1902"/>
      <c r="G2040" s="1617"/>
      <c r="H2040" s="1617"/>
      <c r="I2040" s="2319"/>
      <c r="J2040" s="1617"/>
      <c r="K2040" s="1617"/>
      <c r="L2040" s="1617"/>
      <c r="M2040" s="1617"/>
      <c r="N2040" s="1617"/>
      <c r="O2040" s="1617"/>
      <c r="P2040" s="1617"/>
      <c r="Q2040" s="1617"/>
      <c r="R2040" s="1617"/>
      <c r="S2040" s="1617"/>
      <c r="T2040" s="1617"/>
      <c r="U2040" s="1617"/>
      <c r="V2040" s="1617"/>
      <c r="W2040" s="1617"/>
      <c r="X2040" s="1617"/>
      <c r="Y2040" s="1617"/>
    </row>
    <row r="2041" customFormat="false" ht="15.75" hidden="true" customHeight="true" outlineLevel="1" collapsed="false">
      <c r="A2041" s="2354" t="s">
        <v>2246</v>
      </c>
      <c r="B2041" s="2355" t="s">
        <v>1738</v>
      </c>
      <c r="C2041" s="2355" t="s">
        <v>118</v>
      </c>
      <c r="D2041" s="2355" t="s">
        <v>3871</v>
      </c>
      <c r="E2041" s="2356" t="s">
        <v>2916</v>
      </c>
      <c r="F2041" s="1617"/>
      <c r="G2041" s="2349" t="s">
        <v>2007</v>
      </c>
      <c r="H2041" s="2357"/>
      <c r="I2041" s="2358"/>
      <c r="J2041" s="2356" t="s">
        <v>118</v>
      </c>
      <c r="K2041" s="2356" t="s">
        <v>2915</v>
      </c>
      <c r="L2041" s="2356" t="s">
        <v>2916</v>
      </c>
      <c r="M2041" s="2356"/>
      <c r="N2041" s="2356"/>
      <c r="P2041" s="1708"/>
      <c r="Q2041" s="1708"/>
      <c r="R2041" s="1708"/>
      <c r="S2041" s="1708"/>
      <c r="T2041" s="1708"/>
      <c r="U2041" s="1708"/>
      <c r="V2041" s="1708"/>
      <c r="W2041" s="1708"/>
      <c r="X2041" s="1708"/>
      <c r="Y2041" s="1708"/>
    </row>
    <row r="2042" customFormat="false" ht="15.75" hidden="true" customHeight="true" outlineLevel="1" collapsed="false">
      <c r="A2042" s="2374" t="str">
        <f aca="false">'Ввод данных'!A627</f>
        <v>Листв. влаж, 200*200мм</v>
      </c>
      <c r="B2042" s="1786" t="s">
        <v>1043</v>
      </c>
      <c r="C2042" s="1786" t="n">
        <f aca="false">(C2026+C2027+C2027)*D2019*VLOOKUP(A2042,'Прайс лист'!B340:G426,5,0)</f>
        <v>0</v>
      </c>
      <c r="D2042" s="1786" t="n">
        <f aca="false">VLOOKUP(A2042,'Прайс лист'!B340:G426,6,0)</f>
        <v>9000</v>
      </c>
      <c r="E2042" s="1444" t="n">
        <f aca="false">C2042*D2042*$E$2040</f>
        <v>0</v>
      </c>
      <c r="F2042" s="1902"/>
      <c r="G2042" s="1707" t="s">
        <v>3924</v>
      </c>
      <c r="H2042" s="1707"/>
      <c r="I2042" s="2062"/>
      <c r="J2042" s="1707" t="n">
        <f aca="false">C2026*C2027*C2020+C2027*C2026*C2021</f>
        <v>9</v>
      </c>
      <c r="K2042" s="1707" t="n">
        <f aca="false">'Прайс лист'!G1704</f>
        <v>1500</v>
      </c>
      <c r="L2042" s="1707" t="n">
        <f aca="false">J2042*K2042*$E$2040</f>
        <v>13500</v>
      </c>
      <c r="M2042" s="1707"/>
      <c r="N2042" s="1707"/>
      <c r="P2042" s="1708"/>
      <c r="Q2042" s="1708"/>
      <c r="R2042" s="1708"/>
      <c r="S2042" s="1708"/>
      <c r="T2042" s="1708"/>
      <c r="U2042" s="1708"/>
      <c r="V2042" s="1708"/>
      <c r="W2042" s="1708"/>
      <c r="X2042" s="1708"/>
      <c r="Y2042" s="1708"/>
    </row>
    <row r="2043" customFormat="false" ht="15.75" hidden="true" customHeight="true" outlineLevel="1" collapsed="false">
      <c r="A2043" s="1582" t="str">
        <f aca="false">'Ввод данных'!A629</f>
        <v>Листв. влаж, 200*150мм</v>
      </c>
      <c r="B2043" s="1692" t="s">
        <v>1043</v>
      </c>
      <c r="C2043" s="1436" t="n">
        <f aca="false">((C2026+C2027+C2027)*2*C2020+(C2026+C2027+C2027)*2*C2021)*VLOOKUP(A2043,'Прайс лист'!B340:G426,5,0)</f>
        <v>0.54</v>
      </c>
      <c r="D2043" s="1436" t="n">
        <f aca="false">VLOOKUP(A2043,'Прайс лист'!B340:G426,6,0)</f>
        <v>8500</v>
      </c>
      <c r="E2043" s="1444" t="n">
        <f aca="false">C2043*D2043*$E$2040</f>
        <v>4590</v>
      </c>
      <c r="F2043" s="1902"/>
      <c r="G2043" s="1707" t="s">
        <v>3925</v>
      </c>
      <c r="H2043" s="1707"/>
      <c r="I2043" s="2062"/>
      <c r="J2043" s="1707" t="n">
        <f aca="false">J2042</f>
        <v>9</v>
      </c>
      <c r="K2043" s="1707" t="n">
        <f aca="false">'Прайс лист'!G1705</f>
        <v>300</v>
      </c>
      <c r="L2043" s="1707" t="n">
        <f aca="false">J2043*K2043*$E$2040</f>
        <v>2700</v>
      </c>
      <c r="M2043" s="1707"/>
      <c r="N2043" s="1707"/>
      <c r="P2043" s="1708"/>
      <c r="Q2043" s="1708"/>
      <c r="R2043" s="1708"/>
      <c r="S2043" s="1708"/>
      <c r="T2043" s="1708"/>
      <c r="U2043" s="1708"/>
      <c r="V2043" s="1708"/>
      <c r="W2043" s="1708"/>
      <c r="X2043" s="1708"/>
      <c r="Y2043" s="1708"/>
    </row>
    <row r="2044" customFormat="false" ht="15.75" hidden="true" customHeight="true" outlineLevel="1" collapsed="false">
      <c r="A2044" s="1444" t="str">
        <f aca="false">'Прайс лист'!B646</f>
        <v>Рубероид</v>
      </c>
      <c r="B2044" s="1868" t="s">
        <v>15</v>
      </c>
      <c r="C2044" s="1868" t="n">
        <f aca="false">D2027*1.2*D2019</f>
        <v>0</v>
      </c>
      <c r="D2044" s="1786" t="n">
        <f aca="false">'Прайс лист'!G646</f>
        <v>30</v>
      </c>
      <c r="E2044" s="1444" t="n">
        <f aca="false">C2044*D2044*$E$2040</f>
        <v>0</v>
      </c>
      <c r="F2044" s="1902"/>
      <c r="G2044" s="1714" t="str">
        <f aca="false">'Прайс лист'!B1526</f>
        <v>Монтаж накладки на перила</v>
      </c>
      <c r="H2044" s="1714"/>
      <c r="I2044" s="2353"/>
      <c r="J2044" s="1714" t="n">
        <f aca="false">C2050</f>
        <v>9</v>
      </c>
      <c r="K2044" s="1714" t="n">
        <f aca="false">'Прайс лист'!G1526*IF('Ввод данных'!A637='Прайс лист'!B427,0,1)</f>
        <v>0</v>
      </c>
      <c r="L2044" s="1707" t="n">
        <f aca="false">J2044*K2044*$E$2040</f>
        <v>0</v>
      </c>
      <c r="M2044" s="1714"/>
      <c r="N2044" s="1714"/>
      <c r="P2044" s="1617"/>
      <c r="Q2044" s="1617"/>
      <c r="R2044" s="1617"/>
      <c r="S2044" s="1617"/>
      <c r="T2044" s="1617"/>
      <c r="U2044" s="1617"/>
      <c r="V2044" s="1617"/>
      <c r="W2044" s="1617"/>
      <c r="X2044" s="1617"/>
      <c r="Y2044" s="1617"/>
    </row>
    <row r="2045" customFormat="false" ht="15.75" hidden="true" customHeight="true" outlineLevel="1" collapsed="false">
      <c r="A2045" s="1444" t="str">
        <f aca="false">'Ввод данных'!A625</f>
        <v>Листв. влаж, 200*150мм</v>
      </c>
      <c r="B2045" s="1868" t="s">
        <v>1043</v>
      </c>
      <c r="C2045" s="1868" t="n">
        <f aca="false">(C2026/0.6*VLOOKUP(A2045,'Прайс лист'!B340:G426,5,0)*E2023*C2027+VLOOKUP(A2045,'Прайс лист'!B340:G426,5,0)*E2024*C2027+VLOOKUP(A2045,'Прайс лист'!B340:G426,5,0)*E2025*C2027)*D2019</f>
        <v>0</v>
      </c>
      <c r="D2045" s="1786" t="n">
        <f aca="false">VLOOKUP(A2045,'Прайс лист'!B340:G426,6,0)</f>
        <v>8500</v>
      </c>
      <c r="E2045" s="1444" t="n">
        <f aca="false">C2045*D2045*$E$2040</f>
        <v>0</v>
      </c>
      <c r="F2045" s="1902"/>
      <c r="G2045" s="1714" t="str">
        <f aca="false">'Прайс лист'!B1707</f>
        <v>Монтаж перил</v>
      </c>
      <c r="H2045" s="1714"/>
      <c r="I2045" s="2353"/>
      <c r="J2045" s="1714" t="n">
        <f aca="false">J2044</f>
        <v>9</v>
      </c>
      <c r="K2045" s="1714" t="n">
        <f aca="false">'Прайс лист'!G1707</f>
        <v>500</v>
      </c>
      <c r="L2045" s="1707" t="n">
        <f aca="false">J2045*K2045*$E$2040</f>
        <v>4500</v>
      </c>
      <c r="M2045" s="1714"/>
      <c r="N2045" s="1714"/>
      <c r="P2045" s="1617"/>
      <c r="Q2045" s="1617"/>
      <c r="R2045" s="1617"/>
      <c r="S2045" s="1617"/>
      <c r="T2045" s="1617"/>
      <c r="U2045" s="1617"/>
      <c r="V2045" s="1617"/>
      <c r="W2045" s="1617"/>
      <c r="X2045" s="1617"/>
      <c r="Y2045" s="1617"/>
    </row>
    <row r="2046" customFormat="false" ht="15.75" hidden="true" customHeight="true" outlineLevel="1" collapsed="false">
      <c r="A2046" s="1444" t="str">
        <f aca="false">'Ввод данных'!A631</f>
        <v>Проф.брус вл. 200*150мм</v>
      </c>
      <c r="B2046" s="1868" t="s">
        <v>1043</v>
      </c>
      <c r="C2046" s="1868" t="n">
        <f aca="false">((C2026/2+1+C2027/2*2+1)*C2028*C2020+(C2026/2+1+C2027/2*2+1)*C2029*C2021)*VLOOKUP(A2046,'Прайс лист'!B340:G426,5,0)</f>
        <v>0.5265</v>
      </c>
      <c r="D2046" s="1786" t="n">
        <f aca="false">VLOOKUP(A2046,'Прайс лист'!B340:G426,6,0)</f>
        <v>9300</v>
      </c>
      <c r="E2046" s="1444" t="n">
        <f aca="false">C2046*D2046*$E$2040</f>
        <v>4896.45</v>
      </c>
      <c r="F2046" s="1902"/>
      <c r="G2046" s="1714"/>
      <c r="H2046" s="1714"/>
      <c r="I2046" s="2353"/>
      <c r="J2046" s="1714"/>
      <c r="K2046" s="1714"/>
      <c r="L2046" s="1707"/>
      <c r="M2046" s="1714"/>
      <c r="N2046" s="1714"/>
      <c r="P2046" s="1617"/>
      <c r="Q2046" s="1617"/>
      <c r="R2046" s="1617"/>
      <c r="S2046" s="1617"/>
      <c r="T2046" s="1617"/>
      <c r="U2046" s="1617"/>
      <c r="V2046" s="1617"/>
      <c r="W2046" s="1617"/>
      <c r="X2046" s="1617"/>
      <c r="Y2046" s="1617"/>
    </row>
    <row r="2047" customFormat="false" ht="15.75" hidden="true" customHeight="true" outlineLevel="1" collapsed="false">
      <c r="A2047" s="1444" t="str">
        <f aca="false">'Ввод данных'!A633</f>
        <v>Брус клееный проф 2 ламель кедр Шир. 240 выс. 140</v>
      </c>
      <c r="B2047" s="1868" t="s">
        <v>1043</v>
      </c>
      <c r="C2047" s="1868" t="n">
        <f aca="false">((C2026+C2027+C2027)*C2020+(C2026+C2027+C2027)*C2021)*VLOOKUP(A2047,'Прайс лист'!B340:G426,5,0)</f>
        <v>0.3024</v>
      </c>
      <c r="D2047" s="1786" t="n">
        <f aca="false">VLOOKUP(A2047,'Прайс лист'!B340:G426,6,0)</f>
        <v>24000</v>
      </c>
      <c r="E2047" s="1444" t="n">
        <f aca="false">C2047*D2047*$E$2040</f>
        <v>7257.6</v>
      </c>
      <c r="F2047" s="1617"/>
      <c r="G2047" s="1714"/>
      <c r="H2047" s="1714"/>
      <c r="I2047" s="2353"/>
      <c r="J2047" s="1714"/>
      <c r="K2047" s="1714"/>
      <c r="L2047" s="1707"/>
      <c r="M2047" s="1714"/>
      <c r="N2047" s="1714"/>
      <c r="P2047" s="1617"/>
      <c r="Q2047" s="1617"/>
      <c r="R2047" s="1617"/>
      <c r="S2047" s="1617"/>
      <c r="T2047" s="1617"/>
      <c r="U2047" s="1617"/>
      <c r="V2047" s="1617"/>
      <c r="W2047" s="1617"/>
      <c r="X2047" s="1617"/>
      <c r="Y2047" s="1617"/>
    </row>
    <row r="2048" customFormat="false" ht="15.75" hidden="true" customHeight="true" outlineLevel="1" collapsed="false">
      <c r="A2048" s="1444" t="str">
        <f aca="false">'Ввод данных'!A635</f>
        <v>Брус клееный проф 1 ламель кедр Шир. 240 выс. 140</v>
      </c>
      <c r="B2048" s="1868" t="s">
        <v>1043</v>
      </c>
      <c r="C2048" s="1868" t="n">
        <f aca="false">((C2026/0.3+C2027/0.3+C2027/0.3)*C2020+(C2026/0.3+C2027/0.3+C2027/0.3)*C2021)*VLOOKUP(A2048,'Прайс лист'!B340:G426,5,0)</f>
        <v>1.008</v>
      </c>
      <c r="D2048" s="1786" t="n">
        <f aca="false">VLOOKUP(A2048,'Прайс лист'!B340:G426,6,0)</f>
        <v>24000</v>
      </c>
      <c r="E2048" s="1444" t="n">
        <f aca="false">C2048*D2048*$E$2040</f>
        <v>24192</v>
      </c>
      <c r="F2048" s="1617"/>
      <c r="G2048" s="1714"/>
      <c r="H2048" s="1714"/>
      <c r="I2048" s="2353"/>
      <c r="J2048" s="1714"/>
      <c r="K2048" s="1714"/>
      <c r="L2048" s="1707"/>
      <c r="M2048" s="1714"/>
      <c r="N2048" s="1714"/>
      <c r="P2048" s="1617"/>
      <c r="Q2048" s="1617"/>
      <c r="R2048" s="1617"/>
      <c r="S2048" s="1617"/>
      <c r="T2048" s="1617"/>
      <c r="U2048" s="1617"/>
      <c r="V2048" s="1617"/>
      <c r="W2048" s="1617"/>
      <c r="X2048" s="1617"/>
      <c r="Y2048" s="1617"/>
    </row>
    <row r="2049" customFormat="false" ht="15.75" hidden="true" customHeight="true" outlineLevel="1" collapsed="false">
      <c r="A2049" s="1714" t="str">
        <f aca="false">'Ввод данных'!A639</f>
        <v>Проф.брус вл. 200*180мм</v>
      </c>
      <c r="B2049" s="1958" t="s">
        <v>1043</v>
      </c>
      <c r="C2049" s="1958" t="n">
        <f aca="false">VLOOKUP(A2049,'Прайс лист'!B340:G426,5,0)*('Ввод данных'!C639*'Ввод данных'!D639+'Ввод данных'!C640*'Ввод данных'!D640)</f>
        <v>0.504</v>
      </c>
      <c r="D2049" s="1786" t="n">
        <f aca="false">VLOOKUP(A2049,'Прайс лист'!B340:G426,6,0)</f>
        <v>9300</v>
      </c>
      <c r="E2049" s="1444" t="n">
        <f aca="false">C2049*D2049*$E$2040</f>
        <v>4687.2</v>
      </c>
      <c r="F2049" s="1617"/>
      <c r="G2049" s="1714"/>
      <c r="H2049" s="1714"/>
      <c r="I2049" s="2353"/>
      <c r="J2049" s="1714"/>
      <c r="K2049" s="1714"/>
      <c r="L2049" s="1707"/>
      <c r="M2049" s="1714"/>
      <c r="N2049" s="1714"/>
      <c r="P2049" s="1617"/>
      <c r="Q2049" s="1617"/>
      <c r="R2049" s="1617"/>
      <c r="S2049" s="1617"/>
      <c r="T2049" s="1617"/>
      <c r="U2049" s="1617"/>
      <c r="V2049" s="1617"/>
      <c r="W2049" s="1617"/>
      <c r="X2049" s="1617"/>
      <c r="Y2049" s="1617"/>
    </row>
    <row r="2050" customFormat="false" ht="15.75" hidden="true" customHeight="true" outlineLevel="1" collapsed="false">
      <c r="A2050" s="1714" t="str">
        <f aca="false">'Ввод данных'!A637</f>
        <v>Нет накладки</v>
      </c>
      <c r="B2050" s="1958" t="s">
        <v>15</v>
      </c>
      <c r="C2050" s="1958" t="n">
        <f aca="false">((C2026+C2027+C2027)*C2020+(C2026+C2027+C2027)*C2021)</f>
        <v>9</v>
      </c>
      <c r="D2050" s="1786" t="n">
        <f aca="false">VLOOKUP(A2050,'Прайс лист'!B427:G431,6,0)</f>
        <v>0</v>
      </c>
      <c r="E2050" s="1444" t="n">
        <f aca="false">C2050*D2050*$E$2040</f>
        <v>0</v>
      </c>
      <c r="F2050" s="1617"/>
      <c r="G2050" s="1714"/>
      <c r="H2050" s="1714"/>
      <c r="I2050" s="2353"/>
      <c r="J2050" s="1714"/>
      <c r="K2050" s="1714"/>
      <c r="L2050" s="1707"/>
      <c r="M2050" s="1714"/>
      <c r="N2050" s="1714"/>
      <c r="P2050" s="1617"/>
      <c r="Q2050" s="1617"/>
      <c r="R2050" s="1617"/>
      <c r="S2050" s="1617"/>
      <c r="T2050" s="1617"/>
      <c r="U2050" s="1617"/>
      <c r="V2050" s="1617"/>
      <c r="W2050" s="1617"/>
      <c r="X2050" s="1617"/>
      <c r="Y2050" s="1617"/>
    </row>
    <row r="2051" customFormat="false" ht="15.75" hidden="true" customHeight="true" outlineLevel="1" collapsed="false">
      <c r="A2051" s="1714" t="str">
        <f aca="false">'Прайс лист'!B537</f>
        <v>Гидрокомпенсатор</v>
      </c>
      <c r="B2051" s="1958" t="s">
        <v>48</v>
      </c>
      <c r="C2051" s="1958" t="n">
        <f aca="false">CEILING(((C2026/2+1+C2027/2*2+1)*C2028*C2020+(C2026/2+1+C2027/2*2+1)*C2029*C2021)/2,1)</f>
        <v>9</v>
      </c>
      <c r="D2051" s="1786" t="n">
        <f aca="false">'Прайс лист'!G537</f>
        <v>450</v>
      </c>
      <c r="E2051" s="1444" t="n">
        <f aca="false">C2051*D2051*$E$2040</f>
        <v>4050</v>
      </c>
      <c r="F2051" s="1617"/>
      <c r="G2051" s="1714"/>
      <c r="H2051" s="1714"/>
      <c r="I2051" s="2353"/>
      <c r="J2051" s="1714"/>
      <c r="K2051" s="1714"/>
      <c r="L2051" s="1707"/>
      <c r="M2051" s="1714"/>
      <c r="N2051" s="1714"/>
      <c r="P2051" s="1617"/>
      <c r="Q2051" s="1617"/>
      <c r="R2051" s="1617"/>
      <c r="S2051" s="1617"/>
      <c r="T2051" s="1617"/>
      <c r="U2051" s="1617"/>
      <c r="V2051" s="1617"/>
      <c r="W2051" s="1617"/>
      <c r="X2051" s="1617"/>
      <c r="Y2051" s="1617"/>
    </row>
    <row r="2052" customFormat="false" ht="15.75" hidden="true" customHeight="true" outlineLevel="1" collapsed="false">
      <c r="A2052" s="1714" t="str">
        <f aca="false">'Ввод данных'!A686</f>
        <v>Уголок усиленный 90х70х55х2,5        </v>
      </c>
      <c r="B2052" s="1958" t="str">
        <f aca="false">'Ввод данных'!B686</f>
        <v>шт</v>
      </c>
      <c r="C2052" s="1714" t="n">
        <f aca="false">'Ввод данных'!C686</f>
        <v>0</v>
      </c>
      <c r="D2052" s="1786" t="n">
        <f aca="false">VLOOKUP(A2052,'Прайс лист'!B692:G695,6,0)</f>
        <v>30</v>
      </c>
      <c r="E2052" s="1444" t="n">
        <f aca="false">C2052*D2052*$E$2040</f>
        <v>0</v>
      </c>
      <c r="F2052" s="1617"/>
      <c r="G2052" s="1714"/>
      <c r="H2052" s="1714"/>
      <c r="I2052" s="2353"/>
      <c r="J2052" s="1714"/>
      <c r="K2052" s="1714"/>
      <c r="L2052" s="1707"/>
      <c r="M2052" s="1714"/>
      <c r="N2052" s="1714"/>
      <c r="P2052" s="1617"/>
      <c r="Q2052" s="1617"/>
      <c r="R2052" s="1617"/>
      <c r="S2052" s="1617"/>
      <c r="T2052" s="1617"/>
      <c r="U2052" s="1617"/>
      <c r="V2052" s="1617"/>
      <c r="W2052" s="1617"/>
      <c r="X2052" s="1617"/>
      <c r="Y2052" s="1617"/>
    </row>
    <row r="2053" customFormat="false" ht="15.75" hidden="true" customHeight="true" outlineLevel="1" collapsed="false">
      <c r="A2053" s="1714" t="str">
        <f aca="false">'Ввод данных'!A687</f>
        <v>Нет уголков</v>
      </c>
      <c r="B2053" s="1958" t="str">
        <f aca="false">'Ввод данных'!B687</f>
        <v>шт</v>
      </c>
      <c r="C2053" s="1714" t="n">
        <f aca="false">'Ввод данных'!C687</f>
        <v>0</v>
      </c>
      <c r="D2053" s="1786" t="n">
        <f aca="false">VLOOKUP(A2053,'Прайс лист'!B692:G695,6,0)</f>
        <v>0</v>
      </c>
      <c r="E2053" s="1444" t="n">
        <f aca="false">C2053*D2053*$E$2040</f>
        <v>0</v>
      </c>
      <c r="F2053" s="1617"/>
      <c r="G2053" s="1714"/>
      <c r="H2053" s="1714"/>
      <c r="I2053" s="2353"/>
      <c r="J2053" s="1714"/>
      <c r="K2053" s="1714"/>
      <c r="L2053" s="1707"/>
      <c r="M2053" s="1714"/>
      <c r="N2053" s="1714"/>
      <c r="P2053" s="1617"/>
      <c r="Q2053" s="1617"/>
      <c r="R2053" s="1617"/>
      <c r="S2053" s="1617"/>
      <c r="T2053" s="1617"/>
      <c r="U2053" s="1617"/>
      <c r="V2053" s="1617"/>
      <c r="W2053" s="1617"/>
      <c r="X2053" s="1617"/>
      <c r="Y2053" s="1617"/>
    </row>
    <row r="2054" customFormat="false" ht="15.75" hidden="true" customHeight="true" outlineLevel="1" collapsed="false">
      <c r="A2054" s="1714" t="str">
        <f aca="false">'Ввод данных'!A688</f>
        <v>Пластина соеденительная 100х240х2           </v>
      </c>
      <c r="B2054" s="1958" t="str">
        <f aca="false">'Ввод данных'!B688</f>
        <v>шт</v>
      </c>
      <c r="C2054" s="1714" t="n">
        <f aca="false">'Ввод данных'!C688</f>
        <v>0</v>
      </c>
      <c r="D2054" s="1786" t="n">
        <f aca="false">VLOOKUP(A2054,'Прайс лист'!B698:G701,6,0)</f>
        <v>31.54</v>
      </c>
      <c r="E2054" s="1444" t="n">
        <f aca="false">C2054*D2054*$E$2040</f>
        <v>0</v>
      </c>
      <c r="F2054" s="1617"/>
      <c r="G2054" s="1714"/>
      <c r="H2054" s="1714"/>
      <c r="I2054" s="2353"/>
      <c r="J2054" s="1714"/>
      <c r="K2054" s="1714"/>
      <c r="L2054" s="1707"/>
      <c r="M2054" s="1714"/>
      <c r="N2054" s="1714"/>
      <c r="P2054" s="1617"/>
      <c r="Q2054" s="1617"/>
      <c r="R2054" s="1617"/>
      <c r="S2054" s="1617"/>
      <c r="T2054" s="1617"/>
      <c r="U2054" s="1617"/>
      <c r="V2054" s="1617"/>
      <c r="W2054" s="1617"/>
      <c r="X2054" s="1617"/>
      <c r="Y2054" s="1617"/>
    </row>
    <row r="2055" customFormat="false" ht="15.75" hidden="true" customHeight="true" outlineLevel="1" collapsed="false">
      <c r="A2055" s="1714" t="str">
        <f aca="false">'Ввод данных'!A689</f>
        <v>Нет пластин</v>
      </c>
      <c r="B2055" s="1958" t="str">
        <f aca="false">'Ввод данных'!B689</f>
        <v>шт</v>
      </c>
      <c r="C2055" s="1714" t="n">
        <f aca="false">'Ввод данных'!C689</f>
        <v>0</v>
      </c>
      <c r="D2055" s="1786" t="n">
        <f aca="false">VLOOKUP(A2055,'Прайс лист'!B698:G701,6,0)</f>
        <v>0</v>
      </c>
      <c r="E2055" s="1444" t="n">
        <f aca="false">C2055*D2055*$E$2040</f>
        <v>0</v>
      </c>
      <c r="F2055" s="1617"/>
      <c r="G2055" s="1714"/>
      <c r="H2055" s="1714"/>
      <c r="I2055" s="2353"/>
      <c r="J2055" s="1714"/>
      <c r="K2055" s="1714"/>
      <c r="L2055" s="1707"/>
      <c r="M2055" s="1714"/>
      <c r="N2055" s="1714"/>
      <c r="P2055" s="1617"/>
      <c r="Q2055" s="1617"/>
      <c r="R2055" s="1617"/>
      <c r="S2055" s="1617"/>
      <c r="T2055" s="1617"/>
      <c r="U2055" s="1617"/>
      <c r="V2055" s="1617"/>
      <c r="W2055" s="1617"/>
      <c r="X2055" s="1617"/>
      <c r="Y2055" s="1617"/>
    </row>
    <row r="2056" customFormat="false" ht="15.75" hidden="true" customHeight="true" outlineLevel="1" collapsed="false">
      <c r="A2056" s="1714" t="str">
        <f aca="false">'Ввод данных'!A690</f>
        <v>Болты анкерные с гайкой 12,0 x 100          </v>
      </c>
      <c r="B2056" s="1958" t="str">
        <f aca="false">'Ввод данных'!B690</f>
        <v>шт</v>
      </c>
      <c r="C2056" s="1714" t="n">
        <f aca="false">'Ввод данных'!C690</f>
        <v>0</v>
      </c>
      <c r="D2056" s="1786" t="n">
        <f aca="false">VLOOKUP(A2056,'Прайс лист'!B708:G720,6,0)</f>
        <v>11.2</v>
      </c>
      <c r="E2056" s="1444" t="n">
        <f aca="false">C2056*D2056*$E$2040</f>
        <v>0</v>
      </c>
      <c r="F2056" s="1617"/>
      <c r="G2056" s="1714"/>
      <c r="H2056" s="1714"/>
      <c r="I2056" s="2353"/>
      <c r="J2056" s="1714"/>
      <c r="K2056" s="1714"/>
      <c r="L2056" s="1707"/>
      <c r="M2056" s="1714"/>
      <c r="N2056" s="1714"/>
      <c r="P2056" s="1617"/>
      <c r="Q2056" s="1617"/>
      <c r="R2056" s="1617"/>
      <c r="S2056" s="1617"/>
      <c r="T2056" s="1617"/>
      <c r="U2056" s="1617"/>
      <c r="V2056" s="1617"/>
      <c r="W2056" s="1617"/>
      <c r="X2056" s="1617"/>
      <c r="Y2056" s="1617"/>
    </row>
    <row r="2057" customFormat="false" ht="15.75" hidden="true" customHeight="true" outlineLevel="1" collapsed="false">
      <c r="A2057" s="1714" t="str">
        <f aca="false">'Ввод данных'!A691</f>
        <v>Нет анкерных болтов</v>
      </c>
      <c r="B2057" s="1958" t="str">
        <f aca="false">'Ввод данных'!B691</f>
        <v>шт</v>
      </c>
      <c r="C2057" s="1714" t="n">
        <f aca="false">'Ввод данных'!C691</f>
        <v>0</v>
      </c>
      <c r="D2057" s="1786" t="n">
        <f aca="false">VLOOKUP(A2057,'Прайс лист'!B708:G720,6,0)</f>
        <v>0</v>
      </c>
      <c r="E2057" s="1444" t="n">
        <f aca="false">C2057*D2057*$E$2040</f>
        <v>0</v>
      </c>
      <c r="F2057" s="1617"/>
      <c r="G2057" s="1714"/>
      <c r="H2057" s="1714"/>
      <c r="I2057" s="2353"/>
      <c r="J2057" s="1714"/>
      <c r="K2057" s="1714"/>
      <c r="L2057" s="1707"/>
      <c r="M2057" s="1714"/>
      <c r="N2057" s="1714"/>
      <c r="P2057" s="1617"/>
      <c r="Q2057" s="1617"/>
      <c r="R2057" s="1617"/>
      <c r="S2057" s="1617"/>
      <c r="T2057" s="1617"/>
      <c r="U2057" s="1617"/>
      <c r="V2057" s="1617"/>
      <c r="W2057" s="1617"/>
      <c r="X2057" s="1617"/>
      <c r="Y2057" s="1617"/>
    </row>
    <row r="2058" customFormat="false" ht="15.75" hidden="true" customHeight="true" outlineLevel="1" collapsed="false">
      <c r="A2058" s="1714" t="str">
        <f aca="false">'Ввод данных'!A692</f>
        <v>Саморезы 3,5 x 45            </v>
      </c>
      <c r="B2058" s="1958" t="str">
        <f aca="false">'Ввод данных'!B692</f>
        <v>кг</v>
      </c>
      <c r="C2058" s="1714" t="n">
        <f aca="false">'Ввод данных'!C692</f>
        <v>0</v>
      </c>
      <c r="D2058" s="1786" t="n">
        <f aca="false">VLOOKUP(A2058,'Прайс лист'!B724:G730,6,0)</f>
        <v>105.62</v>
      </c>
      <c r="E2058" s="1444" t="n">
        <f aca="false">C2058*D2058*$E$2040</f>
        <v>0</v>
      </c>
      <c r="F2058" s="1617"/>
      <c r="G2058" s="1714"/>
      <c r="H2058" s="1714"/>
      <c r="I2058" s="2353"/>
      <c r="J2058" s="1714"/>
      <c r="K2058" s="1714"/>
      <c r="L2058" s="1707"/>
      <c r="M2058" s="1714"/>
      <c r="N2058" s="1714"/>
      <c r="P2058" s="1617"/>
      <c r="Q2058" s="1617"/>
      <c r="R2058" s="1617"/>
      <c r="S2058" s="1617"/>
      <c r="T2058" s="1617"/>
      <c r="U2058" s="1617"/>
      <c r="V2058" s="1617"/>
      <c r="W2058" s="1617"/>
      <c r="X2058" s="1617"/>
      <c r="Y2058" s="1617"/>
    </row>
    <row r="2059" customFormat="false" ht="15.75" hidden="true" customHeight="true" outlineLevel="1" collapsed="false">
      <c r="A2059" s="1714" t="str">
        <f aca="false">'Ввод данных'!A693</f>
        <v>Нет саморезов</v>
      </c>
      <c r="B2059" s="1958" t="str">
        <f aca="false">'Ввод данных'!B693</f>
        <v>кг</v>
      </c>
      <c r="C2059" s="1714" t="n">
        <f aca="false">'Ввод данных'!C693</f>
        <v>0</v>
      </c>
      <c r="D2059" s="1786" t="n">
        <f aca="false">VLOOKUP(A2059,'Прайс лист'!B724:G730,6,0)</f>
        <v>0</v>
      </c>
      <c r="E2059" s="1444" t="n">
        <f aca="false">C2059*D2059*$E$2040</f>
        <v>0</v>
      </c>
      <c r="F2059" s="1617"/>
      <c r="G2059" s="1714"/>
      <c r="H2059" s="1714"/>
      <c r="I2059" s="2353"/>
      <c r="J2059" s="1714"/>
      <c r="K2059" s="1714"/>
      <c r="L2059" s="1707"/>
      <c r="M2059" s="1714"/>
      <c r="N2059" s="1714"/>
      <c r="P2059" s="1617"/>
      <c r="Q2059" s="1617"/>
      <c r="R2059" s="1617"/>
      <c r="S2059" s="1617"/>
      <c r="T2059" s="1617"/>
      <c r="U2059" s="1617"/>
      <c r="V2059" s="1617"/>
      <c r="W2059" s="1617"/>
      <c r="X2059" s="1617"/>
      <c r="Y2059" s="1617"/>
    </row>
    <row r="2060" customFormat="false" ht="15.75" hidden="true" customHeight="true" outlineLevel="1" collapsed="false">
      <c r="A2060" s="1714" t="str">
        <f aca="false">'Ввод данных'!A694</f>
        <v>Гвозди строительные 2,5 x 60            </v>
      </c>
      <c r="B2060" s="1958" t="str">
        <f aca="false">'Ввод данных'!B694</f>
        <v>кг</v>
      </c>
      <c r="C2060" s="1714" t="n">
        <f aca="false">'Ввод данных'!C694</f>
        <v>0</v>
      </c>
      <c r="D2060" s="1786" t="n">
        <f aca="false">VLOOKUP(A2060,'Прайс лист'!B735:G738,6,0)</f>
        <v>70</v>
      </c>
      <c r="E2060" s="1444" t="n">
        <f aca="false">C2060*D2060*$E$2040</f>
        <v>0</v>
      </c>
      <c r="F2060" s="1617"/>
      <c r="G2060" s="1714"/>
      <c r="H2060" s="1714"/>
      <c r="I2060" s="2353"/>
      <c r="J2060" s="1714"/>
      <c r="K2060" s="1714"/>
      <c r="L2060" s="1707"/>
      <c r="M2060" s="1714"/>
      <c r="N2060" s="1714"/>
      <c r="P2060" s="1617"/>
      <c r="Q2060" s="1617"/>
      <c r="R2060" s="1617"/>
      <c r="S2060" s="1617"/>
      <c r="T2060" s="1617"/>
      <c r="U2060" s="1617"/>
      <c r="V2060" s="1617"/>
      <c r="W2060" s="1617"/>
      <c r="X2060" s="1617"/>
      <c r="Y2060" s="1617"/>
    </row>
    <row r="2061" customFormat="false" ht="15.75" hidden="true" customHeight="true" outlineLevel="1" collapsed="false">
      <c r="A2061" s="1714" t="str">
        <f aca="false">'Ввод данных'!A695</f>
        <v>Гвозди ершоные 3,4 x 60            </v>
      </c>
      <c r="B2061" s="1958" t="str">
        <f aca="false">'Ввод данных'!B695</f>
        <v>кг</v>
      </c>
      <c r="C2061" s="1714" t="n">
        <f aca="false">'Ввод данных'!C695</f>
        <v>0</v>
      </c>
      <c r="D2061" s="1786" t="n">
        <f aca="false">VLOOKUP(A2061,'Прайс лист'!B741:G743,6,0)</f>
        <v>75.51</v>
      </c>
      <c r="E2061" s="1444" t="n">
        <f aca="false">C2061*D2061*$E$2040</f>
        <v>0</v>
      </c>
      <c r="F2061" s="1617"/>
      <c r="G2061" s="1714"/>
      <c r="H2061" s="1714"/>
      <c r="I2061" s="2353"/>
      <c r="J2061" s="1714"/>
      <c r="K2061" s="1714"/>
      <c r="L2061" s="1707"/>
      <c r="M2061" s="1714"/>
      <c r="N2061" s="1714"/>
      <c r="P2061" s="1617"/>
      <c r="Q2061" s="1617"/>
      <c r="R2061" s="1617"/>
      <c r="S2061" s="1617"/>
      <c r="T2061" s="1617"/>
      <c r="U2061" s="1617"/>
      <c r="V2061" s="1617"/>
      <c r="W2061" s="1617"/>
      <c r="X2061" s="1617"/>
      <c r="Y2061" s="1617"/>
    </row>
    <row r="2062" customFormat="false" ht="15.75" hidden="true" customHeight="true" outlineLevel="1" collapsed="false">
      <c r="A2062" s="1714" t="str">
        <f aca="false">'Ввод данных'!A698</f>
        <v>Нет техники</v>
      </c>
      <c r="B2062" s="1958" t="str">
        <f aca="false">'Ввод данных'!B698</f>
        <v>ед.</v>
      </c>
      <c r="C2062" s="1714" t="n">
        <f aca="false">'Ввод данных'!C698</f>
        <v>1</v>
      </c>
      <c r="D2062" s="1786" t="n">
        <f aca="false">VLOOKUP(A2062,'Прайс лист'!B192:G206,6,0)</f>
        <v>0</v>
      </c>
      <c r="E2062" s="1444" t="n">
        <f aca="false">C2062*D2062</f>
        <v>0</v>
      </c>
      <c r="F2062" s="1617"/>
      <c r="G2062" s="1714"/>
      <c r="H2062" s="1714"/>
      <c r="I2062" s="2353"/>
      <c r="J2062" s="1714"/>
      <c r="K2062" s="1714"/>
      <c r="L2062" s="1707"/>
      <c r="M2062" s="1714"/>
      <c r="N2062" s="1714"/>
      <c r="P2062" s="1617"/>
      <c r="Q2062" s="1617"/>
      <c r="R2062" s="1617"/>
      <c r="S2062" s="1617"/>
      <c r="T2062" s="1617"/>
      <c r="U2062" s="1617"/>
      <c r="V2062" s="1617"/>
      <c r="W2062" s="1617"/>
      <c r="X2062" s="1617"/>
      <c r="Y2062" s="1617"/>
    </row>
    <row r="2063" customFormat="false" ht="15.75" hidden="true" customHeight="true" outlineLevel="1" collapsed="false">
      <c r="A2063" s="1714" t="str">
        <f aca="false">'Ввод данных'!A699</f>
        <v>Нет техники</v>
      </c>
      <c r="B2063" s="1958" t="str">
        <f aca="false">'Ввод данных'!B699</f>
        <v>ед.</v>
      </c>
      <c r="C2063" s="1714" t="n">
        <f aca="false">'Ввод данных'!C699</f>
        <v>0</v>
      </c>
      <c r="D2063" s="1786" t="n">
        <f aca="false">VLOOKUP(A2063,'Прайс лист'!B192:G206,6,0)</f>
        <v>0</v>
      </c>
      <c r="E2063" s="1444" t="n">
        <f aca="false">C2063*D2063</f>
        <v>0</v>
      </c>
      <c r="F2063" s="1617"/>
      <c r="G2063" s="1714"/>
      <c r="H2063" s="1714"/>
      <c r="I2063" s="2353"/>
      <c r="J2063" s="1714"/>
      <c r="K2063" s="1714"/>
      <c r="L2063" s="1707"/>
      <c r="M2063" s="1714"/>
      <c r="N2063" s="1714"/>
      <c r="P2063" s="1617"/>
      <c r="Q2063" s="1617"/>
      <c r="R2063" s="1617"/>
      <c r="S2063" s="1617"/>
      <c r="T2063" s="1617"/>
      <c r="U2063" s="1617"/>
      <c r="V2063" s="1617"/>
      <c r="W2063" s="1617"/>
      <c r="X2063" s="1617"/>
      <c r="Y2063" s="1617"/>
    </row>
    <row r="2064" customFormat="false" ht="15.75" hidden="true" customHeight="true" outlineLevel="1" collapsed="false">
      <c r="A2064" s="1714" t="str">
        <f aca="false">'Ввод данных'!A701</f>
        <v>расходные материалы веранда</v>
      </c>
      <c r="B2064" s="1958" t="str">
        <f aca="false">'Ввод данных'!B701</f>
        <v>рублей</v>
      </c>
      <c r="C2064" s="1714" t="n">
        <f aca="false">1</f>
        <v>1</v>
      </c>
      <c r="D2064" s="1786" t="n">
        <f aca="false">'Ввод данных'!C701</f>
        <v>0</v>
      </c>
      <c r="E2064" s="1444" t="n">
        <f aca="false">C2064*D2064</f>
        <v>0</v>
      </c>
      <c r="F2064" s="1617"/>
      <c r="G2064" s="1714"/>
      <c r="H2064" s="1714"/>
      <c r="I2064" s="2353"/>
      <c r="J2064" s="1714"/>
      <c r="K2064" s="1714"/>
      <c r="L2064" s="1707"/>
      <c r="M2064" s="1714"/>
      <c r="N2064" s="1714"/>
      <c r="P2064" s="1617"/>
      <c r="Q2064" s="1617"/>
      <c r="R2064" s="1617"/>
      <c r="S2064" s="1617"/>
      <c r="T2064" s="1617"/>
      <c r="U2064" s="1617"/>
      <c r="V2064" s="1617"/>
      <c r="W2064" s="1617"/>
      <c r="X2064" s="1617"/>
      <c r="Y2064" s="1617"/>
    </row>
    <row r="2065" s="1582" customFormat="true" ht="15.75" hidden="true" customHeight="true" outlineLevel="1" collapsed="false">
      <c r="F2065" s="1617"/>
      <c r="G2065" s="1747"/>
      <c r="H2065" s="1747"/>
      <c r="I2065" s="2148"/>
      <c r="J2065" s="1747"/>
      <c r="K2065" s="1747"/>
      <c r="L2065" s="1734"/>
      <c r="M2065" s="1747"/>
      <c r="N2065" s="1747"/>
      <c r="P2065" s="1617"/>
      <c r="Q2065" s="1617"/>
      <c r="R2065" s="1617"/>
      <c r="S2065" s="1617"/>
      <c r="T2065" s="1617"/>
      <c r="U2065" s="1617"/>
      <c r="V2065" s="1617"/>
      <c r="W2065" s="1617"/>
      <c r="X2065" s="1617"/>
      <c r="Y2065" s="1617"/>
    </row>
    <row r="2066" customFormat="false" ht="15.75" hidden="true" customHeight="true" outlineLevel="1" collapsed="false">
      <c r="A2066" s="1747"/>
      <c r="B2066" s="2352"/>
      <c r="C2066" s="2352"/>
      <c r="D2066" s="1177"/>
      <c r="E2066" s="1902"/>
      <c r="F2066" s="1617"/>
      <c r="G2066" s="1747"/>
      <c r="H2066" s="1747"/>
      <c r="I2066" s="2148"/>
      <c r="J2066" s="1747"/>
      <c r="K2066" s="1747"/>
      <c r="L2066" s="1734"/>
      <c r="M2066" s="1747"/>
      <c r="N2066" s="1747"/>
      <c r="P2066" s="1617"/>
      <c r="Q2066" s="1617"/>
      <c r="R2066" s="1617"/>
      <c r="S2066" s="1617"/>
      <c r="T2066" s="1617"/>
      <c r="U2066" s="1617"/>
      <c r="V2066" s="1617"/>
      <c r="W2066" s="1617"/>
      <c r="X2066" s="1617"/>
      <c r="Y2066" s="1617"/>
    </row>
    <row r="2067" customFormat="false" ht="15.75" hidden="true" customHeight="true" outlineLevel="1" collapsed="false">
      <c r="A2067" s="1617" t="str">
        <f aca="false">'Ввод данных'!A667</f>
        <v>Длина Н14</v>
      </c>
      <c r="B2067" s="2318" t="str">
        <f aca="false">'Ввод данных'!B667</f>
        <v>м.п.</v>
      </c>
      <c r="C2067" s="1617" t="n">
        <f aca="false">'Ввод данных'!C667</f>
        <v>2</v>
      </c>
      <c r="D2067" s="1617"/>
      <c r="E2067" s="1617"/>
      <c r="F2067" s="1617"/>
      <c r="G2067" s="1617"/>
      <c r="H2067" s="1617"/>
      <c r="I2067" s="2319"/>
      <c r="J2067" s="1617"/>
      <c r="K2067" s="1617"/>
      <c r="L2067" s="1617"/>
      <c r="M2067" s="1617"/>
      <c r="N2067" s="1617"/>
      <c r="P2067" s="1617"/>
      <c r="Q2067" s="1617"/>
      <c r="R2067" s="1617"/>
      <c r="S2067" s="1617"/>
      <c r="T2067" s="1617"/>
      <c r="U2067" s="1617"/>
      <c r="V2067" s="1617"/>
      <c r="W2067" s="1617"/>
      <c r="X2067" s="1617"/>
      <c r="Y2067" s="1617"/>
    </row>
    <row r="2068" customFormat="false" ht="15.75" hidden="true" customHeight="true" outlineLevel="1" collapsed="false">
      <c r="A2068" s="1617" t="str">
        <f aca="false">'Ввод данных'!A668</f>
        <v>Ширина Н15</v>
      </c>
      <c r="B2068" s="2318" t="str">
        <f aca="false">'Ввод данных'!B668</f>
        <v>м.п.</v>
      </c>
      <c r="C2068" s="1617" t="n">
        <f aca="false">'Ввод данных'!C668</f>
        <v>1.6</v>
      </c>
      <c r="D2068" s="1617"/>
      <c r="E2068" s="1617"/>
      <c r="F2068" s="1617"/>
      <c r="G2068" s="1617"/>
      <c r="H2068" s="1617"/>
      <c r="I2068" s="2319"/>
      <c r="J2068" s="1617"/>
      <c r="K2068" s="1617"/>
      <c r="L2068" s="1617"/>
      <c r="M2068" s="1617"/>
      <c r="N2068" s="1617"/>
      <c r="O2068" s="1617"/>
      <c r="P2068" s="1617"/>
      <c r="Q2068" s="1617"/>
      <c r="R2068" s="1617"/>
      <c r="S2068" s="1617"/>
      <c r="T2068" s="1617"/>
      <c r="U2068" s="1617"/>
      <c r="V2068" s="1617"/>
      <c r="W2068" s="1617"/>
      <c r="X2068" s="1617"/>
      <c r="Y2068" s="1617"/>
    </row>
    <row r="2069" customFormat="false" ht="15.75" hidden="true" customHeight="true" outlineLevel="1" collapsed="false">
      <c r="A2069" s="1617" t="str">
        <f aca="false">'Ввод данных'!A669</f>
        <v>Высота перил </v>
      </c>
      <c r="B2069" s="2318" t="str">
        <f aca="false">'Ввод данных'!B669</f>
        <v>м.п.</v>
      </c>
      <c r="C2069" s="1617" t="n">
        <f aca="false">'Ввод данных'!C669</f>
        <v>0.9</v>
      </c>
      <c r="D2069" s="1617"/>
      <c r="E2069" s="1617"/>
      <c r="F2069" s="1617"/>
      <c r="G2069" s="1617"/>
      <c r="H2069" s="1617"/>
      <c r="I2069" s="2319"/>
      <c r="J2069" s="1617"/>
      <c r="K2069" s="1617"/>
      <c r="L2069" s="1617"/>
      <c r="M2069" s="1617"/>
      <c r="N2069" s="1617"/>
      <c r="O2069" s="1617"/>
      <c r="P2069" s="1617"/>
      <c r="Q2069" s="1617"/>
      <c r="R2069" s="1617"/>
      <c r="S2069" s="1617"/>
      <c r="T2069" s="1617"/>
      <c r="U2069" s="1617"/>
      <c r="V2069" s="1617"/>
      <c r="W2069" s="1617"/>
      <c r="X2069" s="1617"/>
      <c r="Y2069" s="1617"/>
    </row>
    <row r="2070" customFormat="false" ht="15.75" hidden="true" customHeight="true" outlineLevel="1" collapsed="false">
      <c r="A2070" s="1734"/>
      <c r="B2070" s="2174"/>
      <c r="C2070" s="2318"/>
      <c r="D2070" s="1617"/>
      <c r="E2070" s="1617"/>
      <c r="F2070" s="1617"/>
      <c r="G2070" s="1617"/>
      <c r="H2070" s="1617"/>
      <c r="I2070" s="2319"/>
      <c r="J2070" s="1617"/>
      <c r="K2070" s="1617"/>
      <c r="L2070" s="1617"/>
      <c r="M2070" s="1617"/>
      <c r="N2070" s="1617"/>
      <c r="O2070" s="1617"/>
      <c r="P2070" s="1617"/>
      <c r="Q2070" s="1617"/>
      <c r="R2070" s="1617"/>
      <c r="S2070" s="1617"/>
      <c r="T2070" s="1617"/>
      <c r="U2070" s="1617"/>
      <c r="V2070" s="1617"/>
      <c r="W2070" s="1617"/>
      <c r="X2070" s="1617"/>
      <c r="Y2070" s="1617"/>
    </row>
    <row r="2071" customFormat="false" ht="15.75" hidden="true" customHeight="true" outlineLevel="1" collapsed="false">
      <c r="A2071" s="1617" t="s">
        <v>3926</v>
      </c>
      <c r="B2071" s="2318" t="s">
        <v>15</v>
      </c>
      <c r="C2071" s="2318" t="n">
        <f aca="false">'Ввод данных'!C11</f>
        <v>2.8</v>
      </c>
      <c r="D2071" s="1617"/>
      <c r="E2071" s="1617"/>
      <c r="F2071" s="1617"/>
      <c r="G2071" s="1617"/>
      <c r="H2071" s="1617"/>
      <c r="I2071" s="2319"/>
      <c r="J2071" s="1617"/>
      <c r="K2071" s="1617"/>
      <c r="L2071" s="1617"/>
      <c r="M2071" s="1617"/>
      <c r="N2071" s="1617"/>
      <c r="O2071" s="1617"/>
      <c r="P2071" s="1617"/>
      <c r="Q2071" s="1617"/>
      <c r="R2071" s="1617"/>
      <c r="S2071" s="1617"/>
      <c r="T2071" s="1617"/>
      <c r="U2071" s="1617"/>
      <c r="V2071" s="1617"/>
      <c r="W2071" s="1617"/>
      <c r="X2071" s="1617"/>
      <c r="Y2071" s="1617"/>
    </row>
    <row r="2072" customFormat="false" ht="15.75" hidden="true" customHeight="true" outlineLevel="1" collapsed="false">
      <c r="A2072" s="1617" t="s">
        <v>3927</v>
      </c>
      <c r="B2072" s="2318"/>
      <c r="C2072" s="2375" t="n">
        <f aca="false">C2067*C2068*E2075</f>
        <v>0</v>
      </c>
      <c r="D2072" s="1617"/>
      <c r="E2072" s="1617"/>
      <c r="F2072" s="1617"/>
      <c r="G2072" s="1617"/>
      <c r="H2072" s="1617"/>
      <c r="I2072" s="2319"/>
      <c r="J2072" s="1617"/>
      <c r="K2072" s="1617"/>
      <c r="L2072" s="1617"/>
      <c r="M2072" s="1617"/>
      <c r="N2072" s="1617"/>
      <c r="O2072" s="1617"/>
      <c r="P2072" s="1617"/>
      <c r="Q2072" s="1617"/>
      <c r="R2072" s="1617"/>
      <c r="S2072" s="1617"/>
      <c r="T2072" s="1617"/>
      <c r="U2072" s="1617"/>
      <c r="V2072" s="1617"/>
      <c r="W2072" s="1617"/>
      <c r="X2072" s="1617"/>
      <c r="Y2072" s="1617"/>
    </row>
    <row r="2073" customFormat="false" ht="15.75" hidden="true" customHeight="true" outlineLevel="1" collapsed="false">
      <c r="A2073" s="1617" t="s">
        <v>3928</v>
      </c>
      <c r="B2073" s="2318"/>
      <c r="C2073" s="2318" t="n">
        <f aca="false">C2067+C2068</f>
        <v>3.6</v>
      </c>
      <c r="D2073" s="1617"/>
      <c r="E2073" s="1617"/>
      <c r="F2073" s="1617"/>
      <c r="G2073" s="1617"/>
      <c r="H2073" s="1617"/>
      <c r="I2073" s="2319"/>
      <c r="J2073" s="1617"/>
      <c r="K2073" s="1617"/>
      <c r="L2073" s="1617"/>
      <c r="M2073" s="1617"/>
      <c r="N2073" s="1617"/>
      <c r="O2073" s="1617"/>
      <c r="P2073" s="1617"/>
      <c r="Q2073" s="1617"/>
      <c r="R2073" s="1617"/>
      <c r="S2073" s="1617"/>
      <c r="T2073" s="1617"/>
      <c r="U2073" s="1617"/>
      <c r="V2073" s="1617"/>
      <c r="W2073" s="1617"/>
      <c r="X2073" s="1617"/>
      <c r="Y2073" s="1617"/>
    </row>
    <row r="2074" customFormat="false" ht="15.75" hidden="true" customHeight="true" outlineLevel="1" collapsed="false">
      <c r="A2074" s="1617" t="s">
        <v>3929</v>
      </c>
      <c r="B2074" s="2318"/>
      <c r="C2074" s="2318" t="n">
        <f aca="false">'Ввод данных'!C670</f>
        <v>3</v>
      </c>
      <c r="D2074" s="1617"/>
      <c r="E2074" s="1617"/>
      <c r="F2074" s="1617"/>
      <c r="G2074" s="1617"/>
      <c r="H2074" s="1617"/>
      <c r="I2074" s="2319"/>
      <c r="J2074" s="1617"/>
      <c r="K2074" s="1617"/>
      <c r="L2074" s="1617"/>
      <c r="M2074" s="1617"/>
      <c r="N2074" s="1617"/>
      <c r="O2074" s="1617"/>
      <c r="P2074" s="1617"/>
      <c r="Q2074" s="1617"/>
      <c r="R2074" s="1617"/>
      <c r="S2074" s="1617"/>
      <c r="T2074" s="1617"/>
      <c r="U2074" s="1617"/>
      <c r="V2074" s="1617"/>
      <c r="W2074" s="1617"/>
      <c r="X2074" s="1617"/>
      <c r="Y2074" s="1617"/>
    </row>
    <row r="2075" customFormat="false" ht="15.75" hidden="true" customHeight="true" outlineLevel="1" collapsed="false">
      <c r="A2075" s="1617"/>
      <c r="B2075" s="2318"/>
      <c r="C2075" s="2318"/>
      <c r="D2075" s="1617"/>
      <c r="E2075" s="1617" t="n">
        <f aca="false">VLOOKUP('Ввод данных'!D663,связи1!A2:B3,2,0)</f>
        <v>0</v>
      </c>
      <c r="F2075" s="1617"/>
      <c r="G2075" s="1617"/>
      <c r="H2075" s="1617"/>
      <c r="I2075" s="2319"/>
      <c r="J2075" s="1617"/>
      <c r="K2075" s="1617"/>
      <c r="L2075" s="1617"/>
      <c r="M2075" s="1617"/>
      <c r="N2075" s="1617"/>
      <c r="O2075" s="1617"/>
      <c r="P2075" s="1617"/>
      <c r="Q2075" s="1617"/>
      <c r="R2075" s="1617"/>
      <c r="S2075" s="1617"/>
      <c r="T2075" s="1617"/>
      <c r="U2075" s="1617"/>
      <c r="V2075" s="1617"/>
      <c r="W2075" s="1617"/>
      <c r="X2075" s="1617"/>
      <c r="Y2075" s="1617"/>
    </row>
    <row r="2076" customFormat="false" ht="15.75" hidden="true" customHeight="true" outlineLevel="1" collapsed="false">
      <c r="A2076" s="1714" t="str">
        <f aca="false">'Ввод данных'!A673</f>
        <v>Гидроизоляция жидкая резина 1</v>
      </c>
      <c r="B2076" s="1958" t="s">
        <v>434</v>
      </c>
      <c r="C2076" s="1958" t="n">
        <f aca="false">C2072</f>
        <v>0</v>
      </c>
      <c r="D2076" s="1714" t="n">
        <f aca="false">VLOOKUP(A2076,'Прайс лист'!B1214:G1217,6,0)</f>
        <v>150</v>
      </c>
      <c r="E2076" s="1714" t="n">
        <f aca="false">C2076*D2076*$E$2075</f>
        <v>0</v>
      </c>
      <c r="F2076" s="1617"/>
      <c r="G2076" s="1714" t="str">
        <f aca="false">G2203</f>
        <v>Гидроизоляция рулонная</v>
      </c>
      <c r="H2076" s="1714"/>
      <c r="I2076" s="1714" t="n">
        <f aca="false">C2072*IF(A2076='Прайс лист'!B1214,0,1)</f>
        <v>0</v>
      </c>
      <c r="J2076" s="1714" t="n">
        <f aca="false">J2203</f>
        <v>250</v>
      </c>
      <c r="K2076" s="1714" t="n">
        <f aca="false">I2076*J2076*$E$2075</f>
        <v>0</v>
      </c>
      <c r="L2076" s="1714"/>
      <c r="M2076" s="1714"/>
      <c r="N2076" s="1617"/>
      <c r="O2076" s="1617"/>
      <c r="P2076" s="1617"/>
      <c r="Q2076" s="1617"/>
      <c r="R2076" s="1617"/>
      <c r="S2076" s="1617"/>
      <c r="T2076" s="1617"/>
      <c r="U2076" s="1617"/>
      <c r="V2076" s="1617"/>
      <c r="W2076" s="1617"/>
      <c r="X2076" s="1617"/>
      <c r="Y2076" s="1617"/>
    </row>
    <row r="2077" customFormat="false" ht="15.75" hidden="true" customHeight="true" outlineLevel="1" collapsed="false">
      <c r="A2077" s="1714" t="str">
        <f aca="false">'Ввод данных'!A675</f>
        <v>Kronospan - OSB-3, 22мм</v>
      </c>
      <c r="B2077" s="1958" t="s">
        <v>820</v>
      </c>
      <c r="C2077" s="1958" t="n">
        <f aca="false">C2072*1.1</f>
        <v>0</v>
      </c>
      <c r="D2077" s="1714" t="n">
        <f aca="false">VLOOKUP(A2077,'Прайс лист'!B863:G907,6,0)</f>
        <v>526.666666666667</v>
      </c>
      <c r="E2077" s="1714" t="n">
        <f aca="false">C2077*D2077*$E$2075</f>
        <v>0</v>
      </c>
      <c r="F2077" s="1617"/>
      <c r="G2077" s="1714" t="str">
        <f aca="false">G2204</f>
        <v>монтаж OSB пол</v>
      </c>
      <c r="H2077" s="1714"/>
      <c r="I2077" s="1714" t="n">
        <f aca="false">C2072*IF(A2077='Прайс лист'!B863,0,1)</f>
        <v>0</v>
      </c>
      <c r="J2077" s="1714" t="n">
        <f aca="false">J2204</f>
        <v>250</v>
      </c>
      <c r="K2077" s="1714" t="n">
        <f aca="false">I2077*J2077*$E$2075</f>
        <v>0</v>
      </c>
      <c r="L2077" s="1714"/>
      <c r="M2077" s="1714"/>
      <c r="N2077" s="1617"/>
      <c r="O2077" s="1617"/>
      <c r="P2077" s="1617"/>
      <c r="Q2077" s="1617"/>
      <c r="R2077" s="1617"/>
      <c r="S2077" s="1617"/>
      <c r="T2077" s="1617"/>
      <c r="U2077" s="1617"/>
      <c r="V2077" s="1617"/>
      <c r="W2077" s="1617"/>
      <c r="X2077" s="1617"/>
      <c r="Y2077" s="1617"/>
    </row>
    <row r="2078" customFormat="false" ht="15.75" hidden="true" customHeight="true" outlineLevel="1" collapsed="false">
      <c r="A2078" s="1714" t="str">
        <f aca="false">'Ввод данных'!A677</f>
        <v>Проф.брус вл. 200*150мм</v>
      </c>
      <c r="B2078" s="1958" t="s">
        <v>1043</v>
      </c>
      <c r="C2078" s="1958" t="n">
        <f aca="false">C2074*VLOOKUP(A2078,'Прайс лист'!B340:G426,5,0)</f>
        <v>0.09</v>
      </c>
      <c r="D2078" s="1714" t="n">
        <f aca="false">VLOOKUP(A2078,'Прайс лист'!B340:G426,6,0)</f>
        <v>9300</v>
      </c>
      <c r="E2078" s="1714" t="n">
        <f aca="false">C2078*D2078*$E$2075</f>
        <v>0</v>
      </c>
      <c r="F2078" s="1617"/>
      <c r="G2078" s="1714" t="str">
        <f aca="false">G2205</f>
        <v>Монтаж перил</v>
      </c>
      <c r="H2078" s="1714"/>
      <c r="I2078" s="1714" t="n">
        <f aca="false">C2073</f>
        <v>3.6</v>
      </c>
      <c r="J2078" s="1714" t="n">
        <f aca="false">J2205</f>
        <v>500</v>
      </c>
      <c r="K2078" s="1714" t="n">
        <f aca="false">I2078*J2078*$E$2075</f>
        <v>0</v>
      </c>
      <c r="L2078" s="1714"/>
      <c r="M2078" s="1714"/>
      <c r="N2078" s="1617"/>
      <c r="O2078" s="1617"/>
      <c r="P2078" s="1617"/>
      <c r="Q2078" s="1617"/>
      <c r="R2078" s="1617"/>
      <c r="S2078" s="1617"/>
      <c r="T2078" s="1617"/>
      <c r="U2078" s="1617"/>
      <c r="V2078" s="1617"/>
      <c r="W2078" s="1617"/>
      <c r="X2078" s="1617"/>
      <c r="Y2078" s="1617"/>
    </row>
    <row r="2079" customFormat="false" ht="15.75" hidden="true" customHeight="true" outlineLevel="1" collapsed="false">
      <c r="A2079" s="1714" t="str">
        <f aca="false">'Ввод данных'!A679</f>
        <v>Брус клееный проф 2 ламель кедр Шир. 240 выс. 140</v>
      </c>
      <c r="B2079" s="1958" t="s">
        <v>1043</v>
      </c>
      <c r="C2079" s="1958" t="n">
        <f aca="false">C2073*VLOOKUP(A2079,'Прайс лист'!B340:G426,5,0)</f>
        <v>0.12096</v>
      </c>
      <c r="D2079" s="1714" t="n">
        <f aca="false">VLOOKUP(A2079,'Прайс лист'!B340:G426,6,0)</f>
        <v>24000</v>
      </c>
      <c r="E2079" s="1714" t="n">
        <f aca="false">C2079*D2079*$E$2075</f>
        <v>0</v>
      </c>
      <c r="F2079" s="1617"/>
      <c r="G2079" s="1714" t="str">
        <f aca="false">G2206</f>
        <v>Монтаж накладки на перила</v>
      </c>
      <c r="H2079" s="1714"/>
      <c r="I2079" s="1714" t="n">
        <f aca="false">C2073</f>
        <v>3.6</v>
      </c>
      <c r="J2079" s="1714" t="n">
        <f aca="false">J2206</f>
        <v>0</v>
      </c>
      <c r="K2079" s="1714" t="n">
        <f aca="false">I2079*J2079*$E$2075</f>
        <v>0</v>
      </c>
      <c r="L2079" s="1714"/>
      <c r="M2079" s="1714"/>
      <c r="N2079" s="1617"/>
      <c r="O2079" s="1617"/>
      <c r="P2079" s="1617"/>
      <c r="Q2079" s="1617"/>
      <c r="R2079" s="1617"/>
      <c r="S2079" s="1617"/>
      <c r="T2079" s="1617"/>
      <c r="U2079" s="1617"/>
      <c r="V2079" s="1617"/>
      <c r="W2079" s="1617"/>
      <c r="X2079" s="1617"/>
      <c r="Y2079" s="1617"/>
    </row>
    <row r="2080" customFormat="false" ht="15.75" hidden="true" customHeight="true" outlineLevel="1" collapsed="false">
      <c r="A2080" s="1714" t="str">
        <f aca="false">'Ввод данных'!A681</f>
        <v>Брус клееный проф 1 ламель кедр Шир. 240 выс. 140</v>
      </c>
      <c r="B2080" s="1958" t="s">
        <v>1043</v>
      </c>
      <c r="C2080" s="1958" t="n">
        <f aca="false">(C2073/0.3+1)*VLOOKUP(A2080,'Прайс лист'!B340:G426,5,0)</f>
        <v>0.4368</v>
      </c>
      <c r="D2080" s="1714" t="n">
        <f aca="false">VLOOKUP(A2080,'Прайс лист'!B340:G426,6,0)</f>
        <v>24000</v>
      </c>
      <c r="E2080" s="1714" t="n">
        <f aca="false">C2080*D2080*$E$2075</f>
        <v>0</v>
      </c>
      <c r="F2080" s="1617"/>
      <c r="G2080" s="1714" t="str">
        <f aca="false">'Прайс лист'!B1704</f>
        <v>монтаж веранды/крыльцо</v>
      </c>
      <c r="H2080" s="1714"/>
      <c r="I2080" s="2353" t="n">
        <f aca="false">C2072</f>
        <v>0</v>
      </c>
      <c r="J2080" s="1714" t="n">
        <f aca="false">'Прайс лист'!G1704</f>
        <v>1500</v>
      </c>
      <c r="K2080" s="1714" t="n">
        <f aca="false">I2080*J2080*$E$2075</f>
        <v>0</v>
      </c>
      <c r="L2080" s="1714"/>
      <c r="M2080" s="1714"/>
      <c r="N2080" s="1617"/>
      <c r="O2080" s="1617"/>
      <c r="P2080" s="1617"/>
      <c r="Q2080" s="1617"/>
      <c r="R2080" s="1617"/>
      <c r="S2080" s="1617"/>
      <c r="T2080" s="1617"/>
      <c r="U2080" s="1617"/>
      <c r="V2080" s="1617"/>
      <c r="W2080" s="1617"/>
      <c r="X2080" s="1617"/>
      <c r="Y2080" s="1617"/>
    </row>
    <row r="2081" customFormat="false" ht="15.75" hidden="true" customHeight="true" outlineLevel="1" collapsed="false">
      <c r="A2081" s="1714" t="str">
        <f aca="false">'Ввод данных'!A683</f>
        <v>Клееная накладка на перила шир 240мм</v>
      </c>
      <c r="B2081" s="1958" t="s">
        <v>15</v>
      </c>
      <c r="C2081" s="1958" t="n">
        <f aca="false">C2073</f>
        <v>3.6</v>
      </c>
      <c r="D2081" s="1714" t="n">
        <f aca="false">VLOOKUP(A2081,'Прайс лист'!B427:G431,6,0)</f>
        <v>400</v>
      </c>
      <c r="E2081" s="1714" t="n">
        <f aca="false">C2081*D2081*$E$2075</f>
        <v>0</v>
      </c>
      <c r="F2081" s="1617"/>
      <c r="G2081" s="1714"/>
      <c r="H2081" s="1714"/>
      <c r="I2081" s="2353"/>
      <c r="K2081" s="1714"/>
      <c r="L2081" s="1714"/>
      <c r="M2081" s="1714"/>
      <c r="N2081" s="1617"/>
      <c r="O2081" s="1617"/>
      <c r="P2081" s="1617"/>
      <c r="Q2081" s="1617"/>
      <c r="R2081" s="1617"/>
      <c r="S2081" s="1617"/>
      <c r="T2081" s="1617"/>
      <c r="U2081" s="1617"/>
      <c r="V2081" s="1617"/>
      <c r="W2081" s="1617"/>
      <c r="X2081" s="1617"/>
      <c r="Y2081" s="1617"/>
    </row>
    <row r="2082" customFormat="false" ht="15.75" hidden="true" customHeight="true" outlineLevel="1" collapsed="false">
      <c r="A2082" s="1617"/>
      <c r="B2082" s="2318"/>
      <c r="C2082" s="2318"/>
      <c r="D2082" s="1617"/>
      <c r="E2082" s="1617"/>
      <c r="F2082" s="1617"/>
      <c r="G2082" s="1617"/>
      <c r="H2082" s="1617"/>
      <c r="I2082" s="2319"/>
      <c r="J2082" s="1617"/>
      <c r="K2082" s="1617"/>
      <c r="L2082" s="1617"/>
      <c r="M2082" s="1617"/>
      <c r="N2082" s="1617"/>
      <c r="O2082" s="1617"/>
      <c r="P2082" s="1617"/>
      <c r="Q2082" s="1617"/>
      <c r="R2082" s="1617"/>
      <c r="S2082" s="1617"/>
      <c r="T2082" s="1617"/>
      <c r="U2082" s="1617"/>
      <c r="V2082" s="1617"/>
      <c r="W2082" s="1617"/>
      <c r="X2082" s="1617"/>
      <c r="Y2082" s="1617"/>
    </row>
    <row r="2083" customFormat="false" ht="15.75" hidden="true" customHeight="true" outlineLevel="1" collapsed="false">
      <c r="A2083" s="1617"/>
      <c r="B2083" s="2318"/>
      <c r="C2083" s="2318"/>
      <c r="D2083" s="1617"/>
      <c r="E2083" s="1617"/>
      <c r="F2083" s="1617"/>
      <c r="G2083" s="1617"/>
      <c r="H2083" s="1617"/>
      <c r="I2083" s="2319"/>
      <c r="J2083" s="1617"/>
      <c r="K2083" s="1617"/>
      <c r="L2083" s="1617"/>
      <c r="M2083" s="1617"/>
      <c r="N2083" s="1617"/>
      <c r="O2083" s="1617"/>
      <c r="P2083" s="1617"/>
      <c r="Q2083" s="1617"/>
      <c r="R2083" s="1617"/>
      <c r="S2083" s="1617"/>
      <c r="T2083" s="1617"/>
      <c r="U2083" s="1617"/>
      <c r="V2083" s="1617"/>
      <c r="W2083" s="1617"/>
      <c r="X2083" s="1617"/>
      <c r="Y2083" s="1617"/>
    </row>
    <row r="2084" customFormat="false" ht="15.75" hidden="true" customHeight="true" outlineLevel="1" collapsed="false">
      <c r="A2084" s="1617"/>
      <c r="B2084" s="2318"/>
      <c r="C2084" s="2318"/>
      <c r="D2084" s="1617"/>
      <c r="E2084" s="1617"/>
      <c r="F2084" s="1617"/>
      <c r="G2084" s="1617"/>
      <c r="H2084" s="1617"/>
      <c r="I2084" s="2319"/>
      <c r="J2084" s="1617"/>
      <c r="K2084" s="1617"/>
      <c r="L2084" s="1617"/>
      <c r="M2084" s="1617"/>
      <c r="N2084" s="1617"/>
      <c r="O2084" s="1617"/>
      <c r="P2084" s="1617"/>
      <c r="Q2084" s="1617"/>
      <c r="R2084" s="1617"/>
      <c r="S2084" s="1617"/>
      <c r="T2084" s="1617"/>
      <c r="U2084" s="1617"/>
      <c r="V2084" s="1617"/>
      <c r="W2084" s="1617"/>
      <c r="X2084" s="1617"/>
      <c r="Y2084" s="1617"/>
    </row>
    <row r="2085" customFormat="false" ht="15.75" hidden="true" customHeight="true" outlineLevel="1" collapsed="false">
      <c r="A2085" s="1617"/>
      <c r="B2085" s="2318"/>
      <c r="C2085" s="2318"/>
      <c r="D2085" s="1617"/>
      <c r="E2085" s="1617"/>
      <c r="F2085" s="1617"/>
      <c r="G2085" s="1617"/>
      <c r="H2085" s="1617"/>
      <c r="I2085" s="2319"/>
      <c r="J2085" s="1617"/>
      <c r="K2085" s="1617"/>
      <c r="L2085" s="1617"/>
      <c r="M2085" s="1617"/>
      <c r="N2085" s="1617"/>
      <c r="O2085" s="1617"/>
      <c r="P2085" s="1617"/>
      <c r="Q2085" s="1617"/>
      <c r="R2085" s="1617"/>
      <c r="S2085" s="1617"/>
      <c r="T2085" s="1617"/>
      <c r="U2085" s="1617"/>
      <c r="V2085" s="1617"/>
      <c r="W2085" s="1617"/>
      <c r="X2085" s="1617"/>
      <c r="Y2085" s="1617"/>
    </row>
    <row r="2086" customFormat="false" ht="15.75" hidden="true" customHeight="true" outlineLevel="1" collapsed="false">
      <c r="A2086" s="1617"/>
      <c r="B2086" s="2318"/>
      <c r="C2086" s="2318"/>
      <c r="D2086" s="1617"/>
      <c r="E2086" s="1617"/>
      <c r="F2086" s="1617"/>
      <c r="G2086" s="1617"/>
      <c r="H2086" s="1617"/>
      <c r="I2086" s="2319"/>
      <c r="J2086" s="1617"/>
      <c r="K2086" s="1617"/>
      <c r="L2086" s="1617"/>
      <c r="M2086" s="1617"/>
      <c r="N2086" s="1617"/>
      <c r="O2086" s="1617"/>
      <c r="P2086" s="1617"/>
      <c r="Q2086" s="1617"/>
      <c r="R2086" s="1617"/>
      <c r="S2086" s="1617"/>
      <c r="T2086" s="1617"/>
      <c r="U2086" s="1617"/>
      <c r="V2086" s="1617"/>
      <c r="W2086" s="1617"/>
      <c r="X2086" s="1617"/>
      <c r="Y2086" s="1617"/>
    </row>
    <row r="2087" customFormat="false" ht="15.75" hidden="true" customHeight="true" outlineLevel="1" collapsed="false">
      <c r="A2087" s="1617"/>
      <c r="B2087" s="2318"/>
      <c r="C2087" s="2318"/>
      <c r="D2087" s="1617"/>
      <c r="E2087" s="1617"/>
      <c r="F2087" s="1617"/>
      <c r="G2087" s="1617"/>
      <c r="H2087" s="1617"/>
      <c r="I2087" s="2319"/>
      <c r="J2087" s="1617"/>
      <c r="K2087" s="1617"/>
      <c r="L2087" s="1617"/>
      <c r="M2087" s="1617"/>
      <c r="N2087" s="1617"/>
      <c r="O2087" s="1617"/>
      <c r="P2087" s="1617"/>
      <c r="Q2087" s="1617"/>
      <c r="R2087" s="1617"/>
      <c r="S2087" s="1617"/>
      <c r="T2087" s="1617"/>
      <c r="U2087" s="1617"/>
      <c r="V2087" s="1617"/>
      <c r="W2087" s="1617"/>
      <c r="X2087" s="1617"/>
      <c r="Y2087" s="1617"/>
    </row>
    <row r="2088" customFormat="false" ht="15.75" hidden="true" customHeight="true" outlineLevel="1" collapsed="false">
      <c r="A2088" s="1617"/>
      <c r="B2088" s="2318"/>
      <c r="C2088" s="2318"/>
      <c r="D2088" s="1617"/>
      <c r="E2088" s="1617"/>
      <c r="F2088" s="1617"/>
      <c r="G2088" s="1617"/>
      <c r="H2088" s="1617"/>
      <c r="I2088" s="2319"/>
      <c r="J2088" s="1617"/>
      <c r="K2088" s="1617"/>
      <c r="L2088" s="1617"/>
      <c r="M2088" s="1617"/>
      <c r="N2088" s="1617"/>
      <c r="O2088" s="1617"/>
      <c r="P2088" s="1617"/>
      <c r="Q2088" s="1617"/>
      <c r="R2088" s="1617"/>
      <c r="S2088" s="1617"/>
      <c r="T2088" s="1617"/>
      <c r="U2088" s="1617"/>
      <c r="V2088" s="1617"/>
      <c r="W2088" s="1617"/>
      <c r="X2088" s="1617"/>
      <c r="Y2088" s="1617"/>
    </row>
    <row r="2089" customFormat="false" ht="15.75" hidden="true" customHeight="true" outlineLevel="1" collapsed="false">
      <c r="A2089" s="1617"/>
      <c r="B2089" s="2318"/>
      <c r="C2089" s="2318"/>
      <c r="D2089" s="1617"/>
      <c r="E2089" s="1617"/>
      <c r="F2089" s="1617"/>
      <c r="G2089" s="1617"/>
      <c r="H2089" s="1617"/>
      <c r="I2089" s="2319"/>
      <c r="J2089" s="1617"/>
      <c r="K2089" s="1617"/>
      <c r="L2089" s="1617"/>
      <c r="M2089" s="1617"/>
      <c r="N2089" s="1617"/>
      <c r="O2089" s="1617"/>
      <c r="P2089" s="1617"/>
      <c r="Q2089" s="1617"/>
      <c r="R2089" s="1617"/>
      <c r="S2089" s="1617"/>
      <c r="T2089" s="1617"/>
      <c r="U2089" s="1617"/>
      <c r="V2089" s="1617"/>
      <c r="W2089" s="1617"/>
      <c r="X2089" s="1617"/>
      <c r="Y2089" s="1617"/>
    </row>
    <row r="2090" customFormat="false" ht="15.75" hidden="true" customHeight="true" outlineLevel="1" collapsed="false">
      <c r="A2090" s="1617"/>
      <c r="B2090" s="2318"/>
      <c r="C2090" s="2318"/>
      <c r="D2090" s="1617"/>
      <c r="E2090" s="1617"/>
      <c r="F2090" s="1617"/>
      <c r="G2090" s="1617"/>
      <c r="H2090" s="1617"/>
      <c r="I2090" s="2319"/>
      <c r="J2090" s="1617"/>
      <c r="K2090" s="1617"/>
      <c r="L2090" s="1617"/>
      <c r="M2090" s="1617"/>
      <c r="N2090" s="1617"/>
      <c r="O2090" s="1617"/>
      <c r="P2090" s="1617"/>
      <c r="Q2090" s="1617"/>
      <c r="R2090" s="1617"/>
      <c r="S2090" s="1617"/>
      <c r="T2090" s="1617"/>
      <c r="U2090" s="1617"/>
      <c r="V2090" s="1617"/>
      <c r="W2090" s="1617"/>
      <c r="X2090" s="1617"/>
      <c r="Y2090" s="1617"/>
    </row>
    <row r="2091" customFormat="false" ht="15.75" hidden="true" customHeight="true" outlineLevel="1" collapsed="false">
      <c r="A2091" s="1617"/>
      <c r="B2091" s="2318"/>
      <c r="C2091" s="2318"/>
      <c r="D2091" s="1617"/>
      <c r="E2091" s="1617"/>
      <c r="F2091" s="1617"/>
      <c r="G2091" s="1617"/>
      <c r="H2091" s="1617"/>
      <c r="I2091" s="2319"/>
      <c r="J2091" s="1617"/>
      <c r="K2091" s="1617"/>
      <c r="L2091" s="1617"/>
      <c r="M2091" s="1617"/>
      <c r="N2091" s="1617"/>
      <c r="O2091" s="1617"/>
      <c r="P2091" s="1617"/>
      <c r="Q2091" s="1617"/>
      <c r="R2091" s="1617"/>
      <c r="S2091" s="1617"/>
      <c r="T2091" s="1617"/>
      <c r="U2091" s="1617"/>
      <c r="V2091" s="1617"/>
      <c r="W2091" s="1617"/>
      <c r="X2091" s="1617"/>
      <c r="Y2091" s="1617"/>
    </row>
    <row r="2092" customFormat="false" ht="15.75" hidden="true" customHeight="true" outlineLevel="1" collapsed="false">
      <c r="A2092" s="1617"/>
      <c r="B2092" s="2318"/>
      <c r="C2092" s="2318"/>
      <c r="D2092" s="1617"/>
      <c r="E2092" s="1617"/>
      <c r="F2092" s="1617"/>
      <c r="G2092" s="1617"/>
      <c r="H2092" s="1617"/>
      <c r="I2092" s="2319"/>
      <c r="J2092" s="1617"/>
      <c r="K2092" s="1617"/>
      <c r="L2092" s="1617"/>
      <c r="M2092" s="1617"/>
      <c r="N2092" s="1617"/>
      <c r="O2092" s="1617"/>
      <c r="P2092" s="1617"/>
      <c r="Q2092" s="1617"/>
      <c r="R2092" s="1617"/>
      <c r="S2092" s="1617"/>
      <c r="T2092" s="1617"/>
      <c r="U2092" s="1617"/>
      <c r="V2092" s="1617"/>
      <c r="W2092" s="1617"/>
      <c r="X2092" s="1617"/>
      <c r="Y2092" s="1617"/>
    </row>
    <row r="2093" customFormat="false" ht="15.75" hidden="true" customHeight="true" outlineLevel="1" collapsed="false">
      <c r="A2093" s="1956" t="s">
        <v>229</v>
      </c>
      <c r="B2093" s="2376"/>
      <c r="C2093" s="2376"/>
      <c r="D2093" s="2377"/>
      <c r="E2093" s="2377"/>
      <c r="F2093" s="2378"/>
      <c r="G2093" s="1610" t="n">
        <v>1</v>
      </c>
      <c r="H2093" s="1998"/>
      <c r="I2093" s="1964" t="s">
        <v>3930</v>
      </c>
      <c r="J2093" s="1994"/>
      <c r="K2093" s="1994"/>
      <c r="L2093" s="1994"/>
      <c r="M2093" s="1994"/>
      <c r="N2093" s="1994"/>
      <c r="O2093" s="1617"/>
      <c r="P2093" s="1617"/>
      <c r="Q2093" s="1617"/>
      <c r="R2093" s="1617"/>
      <c r="S2093" s="1617"/>
      <c r="T2093" s="1617"/>
      <c r="U2093" s="1617"/>
      <c r="V2093" s="1617"/>
      <c r="W2093" s="1617"/>
      <c r="X2093" s="1617"/>
      <c r="Y2093" s="1617"/>
    </row>
    <row r="2094" customFormat="false" ht="15.75" hidden="true" customHeight="true" outlineLevel="1" collapsed="false">
      <c r="A2094" s="1585" t="s">
        <v>2928</v>
      </c>
      <c r="B2094" s="2379"/>
      <c r="C2094" s="2379"/>
      <c r="D2094" s="1588"/>
      <c r="E2094" s="1589"/>
      <c r="F2094" s="1586" t="n">
        <v>1</v>
      </c>
      <c r="G2094" s="25"/>
      <c r="H2094" s="25"/>
      <c r="I2094" s="1964"/>
      <c r="J2094" s="1994"/>
      <c r="K2094" s="1994"/>
      <c r="L2094" s="1994"/>
      <c r="M2094" s="1994"/>
      <c r="N2094" s="1994"/>
      <c r="O2094" s="1617"/>
      <c r="P2094" s="1617"/>
      <c r="Q2094" s="1617"/>
      <c r="R2094" s="1617"/>
      <c r="S2094" s="1617"/>
      <c r="T2094" s="1617"/>
      <c r="U2094" s="1617"/>
      <c r="V2094" s="1617"/>
      <c r="W2094" s="1617"/>
      <c r="X2094" s="1617"/>
      <c r="Y2094" s="1617"/>
    </row>
    <row r="2095" customFormat="false" ht="15.75" hidden="true" customHeight="true" outlineLevel="1" collapsed="false">
      <c r="A2095" s="2380" t="s">
        <v>2934</v>
      </c>
      <c r="B2095" s="1969"/>
      <c r="C2095" s="2381"/>
      <c r="D2095" s="2382"/>
      <c r="E2095" s="1970" t="n">
        <f aca="false">J2095</f>
        <v>4</v>
      </c>
      <c r="F2095" s="2383"/>
      <c r="G2095" s="25" t="s">
        <v>205</v>
      </c>
      <c r="H2095" s="25"/>
      <c r="I2095" s="1964" t="n">
        <f aca="false">'Ввод данных'!C608</f>
        <v>3</v>
      </c>
      <c r="J2095" s="1994" t="n">
        <f aca="false">'Ввод данных'!AY611</f>
        <v>4</v>
      </c>
      <c r="K2095" s="2384" t="s">
        <v>233</v>
      </c>
      <c r="L2095" s="2384"/>
      <c r="M2095" s="2384"/>
      <c r="N2095" s="2384"/>
      <c r="O2095" s="1617"/>
      <c r="P2095" s="1617"/>
      <c r="Q2095" s="1617"/>
      <c r="R2095" s="1617"/>
      <c r="S2095" s="1617"/>
      <c r="T2095" s="1617"/>
      <c r="U2095" s="1617"/>
      <c r="V2095" s="1617"/>
      <c r="W2095" s="1617"/>
      <c r="X2095" s="1617"/>
      <c r="Y2095" s="1617"/>
    </row>
    <row r="2096" customFormat="false" ht="15.75" hidden="true" customHeight="true" outlineLevel="1" collapsed="false">
      <c r="A2096" s="2380" t="s">
        <v>2935</v>
      </c>
      <c r="B2096" s="1969"/>
      <c r="C2096" s="2381"/>
      <c r="D2096" s="2382"/>
      <c r="E2096" s="1970" t="n">
        <f aca="false">J2097</f>
        <v>4.2</v>
      </c>
      <c r="F2096" s="2383"/>
      <c r="G2096" s="25"/>
      <c r="H2096" s="25"/>
      <c r="I2096" s="1964"/>
      <c r="J2096" s="1994" t="n">
        <f aca="false">'Ввод данных'!AY609</f>
        <v>4.5</v>
      </c>
      <c r="K2096" s="2384" t="s">
        <v>235</v>
      </c>
      <c r="L2096" s="2384"/>
      <c r="M2096" s="2384"/>
      <c r="N2096" s="2384"/>
      <c r="O2096" s="1617"/>
      <c r="P2096" s="1617"/>
      <c r="Q2096" s="1617"/>
      <c r="R2096" s="1617"/>
      <c r="S2096" s="1617"/>
      <c r="T2096" s="1617"/>
      <c r="U2096" s="1617"/>
      <c r="V2096" s="1617"/>
      <c r="W2096" s="1617"/>
      <c r="X2096" s="1617"/>
      <c r="Y2096" s="1617"/>
    </row>
    <row r="2097" customFormat="false" ht="15.75" hidden="true" customHeight="true" outlineLevel="1" collapsed="false">
      <c r="A2097" s="2380" t="s">
        <v>3931</v>
      </c>
      <c r="B2097" s="1969"/>
      <c r="C2097" s="2381"/>
      <c r="D2097" s="2382"/>
      <c r="E2097" s="1970" t="n">
        <f aca="false">J2099</f>
        <v>7</v>
      </c>
      <c r="F2097" s="2383"/>
      <c r="G2097" s="25"/>
      <c r="H2097" s="25"/>
      <c r="I2097" s="1964"/>
      <c r="J2097" s="1994" t="n">
        <f aca="false">'Ввод данных'!AY612</f>
        <v>4.2</v>
      </c>
      <c r="K2097" s="2384" t="s">
        <v>237</v>
      </c>
      <c r="L2097" s="2384"/>
      <c r="M2097" s="2384"/>
      <c r="N2097" s="2384"/>
      <c r="O2097" s="1617"/>
      <c r="P2097" s="1617"/>
      <c r="Q2097" s="1617"/>
      <c r="R2097" s="1617"/>
      <c r="S2097" s="1617"/>
      <c r="T2097" s="1617"/>
      <c r="U2097" s="1617"/>
      <c r="V2097" s="1617"/>
      <c r="W2097" s="1617"/>
      <c r="X2097" s="1617"/>
      <c r="Y2097" s="1617"/>
    </row>
    <row r="2098" customFormat="false" ht="15.75" hidden="true" customHeight="true" outlineLevel="1" collapsed="false">
      <c r="A2098" s="1594" t="s">
        <v>2939</v>
      </c>
      <c r="B2098" s="2385"/>
      <c r="C2098" s="2386"/>
      <c r="D2098" s="1595" t="s">
        <v>241</v>
      </c>
      <c r="E2098" s="1970" t="n">
        <f aca="false">J2101</f>
        <v>60</v>
      </c>
      <c r="F2098" s="2383" t="s">
        <v>3578</v>
      </c>
      <c r="G2098" s="25" t="n">
        <f aca="false">E2098*(3.14/180)</f>
        <v>1.04666666666667</v>
      </c>
      <c r="H2098" s="25"/>
      <c r="I2098" s="1964"/>
      <c r="J2098" s="1994" t="n">
        <f aca="false">J2099-J2096</f>
        <v>2.5</v>
      </c>
      <c r="K2098" s="1994" t="s">
        <v>238</v>
      </c>
      <c r="L2098" s="1994"/>
      <c r="M2098" s="1994"/>
      <c r="N2098" s="1994"/>
      <c r="O2098" s="1617"/>
      <c r="P2098" s="1617"/>
      <c r="Q2098" s="1617"/>
      <c r="R2098" s="1617"/>
      <c r="S2098" s="1617"/>
      <c r="T2098" s="1617"/>
      <c r="U2098" s="1617"/>
      <c r="V2098" s="1617"/>
      <c r="W2098" s="1617"/>
      <c r="X2098" s="1617"/>
      <c r="Y2098" s="1617"/>
    </row>
    <row r="2099" customFormat="false" ht="15.75" hidden="true" customHeight="true" outlineLevel="1" collapsed="false">
      <c r="A2099" s="2387" t="s">
        <v>161</v>
      </c>
      <c r="B2099" s="2388"/>
      <c r="C2099" s="2389"/>
      <c r="D2099" s="2390" t="s">
        <v>3582</v>
      </c>
      <c r="E2099" s="2390" t="s">
        <v>13</v>
      </c>
      <c r="F2099" s="1617"/>
      <c r="G2099" s="1617"/>
      <c r="H2099" s="1617"/>
      <c r="I2099" s="1964"/>
      <c r="J2099" s="1994" t="n">
        <f aca="false">'Ввод данных'!AY613</f>
        <v>7</v>
      </c>
      <c r="K2099" s="2384" t="s">
        <v>239</v>
      </c>
      <c r="L2099" s="2384"/>
      <c r="M2099" s="2384"/>
      <c r="N2099" s="2384"/>
      <c r="O2099" s="1617"/>
      <c r="P2099" s="1617"/>
      <c r="Q2099" s="1617"/>
      <c r="R2099" s="1617"/>
      <c r="S2099" s="1617"/>
      <c r="T2099" s="1617"/>
      <c r="U2099" s="1617"/>
      <c r="V2099" s="1617"/>
      <c r="W2099" s="1617"/>
      <c r="X2099" s="1617"/>
      <c r="Y2099" s="1617"/>
    </row>
    <row r="2100" customFormat="false" ht="15.75" hidden="true" customHeight="true" outlineLevel="1" collapsed="false">
      <c r="A2100" s="2391" t="s">
        <v>486</v>
      </c>
      <c r="B2100" s="2392"/>
      <c r="C2100" s="2392"/>
      <c r="D2100" s="2393"/>
      <c r="E2100" s="2394" t="n">
        <f aca="false">IF('Ввод данных'!A645=связи1!A107,1,0)</f>
        <v>1</v>
      </c>
      <c r="F2100" s="2395"/>
      <c r="G2100" s="1965" t="n">
        <f aca="false">IF('Ввод данных'!A645=связи1!A106,1,0)</f>
        <v>0</v>
      </c>
      <c r="H2100" s="1966"/>
      <c r="I2100" s="1964"/>
      <c r="J2100" s="1994"/>
      <c r="K2100" s="2384"/>
      <c r="L2100" s="2384"/>
      <c r="M2100" s="2384"/>
      <c r="N2100" s="2384"/>
      <c r="O2100" s="1617"/>
      <c r="P2100" s="1617"/>
      <c r="Q2100" s="1617"/>
      <c r="R2100" s="1617"/>
      <c r="S2100" s="1617"/>
      <c r="T2100" s="1617"/>
      <c r="U2100" s="1617"/>
      <c r="V2100" s="1617"/>
      <c r="W2100" s="1617"/>
      <c r="X2100" s="1617"/>
      <c r="Y2100" s="1617"/>
    </row>
    <row r="2101" customFormat="false" ht="15.75" hidden="true" customHeight="true" outlineLevel="1" collapsed="false">
      <c r="A2101" s="1972" t="s">
        <v>2756</v>
      </c>
      <c r="B2101" s="2392"/>
      <c r="C2101" s="2396"/>
      <c r="D2101" s="2394" t="s">
        <v>15</v>
      </c>
      <c r="E2101" s="1992" t="n">
        <f aca="false">'Ввод данных'!C609*IF('Ввод данных'!C606=1,1,1)</f>
        <v>2.7</v>
      </c>
      <c r="F2101" s="1902"/>
      <c r="G2101" s="1186" t="n">
        <f aca="false">E2101</f>
        <v>2.7</v>
      </c>
      <c r="H2101" s="25"/>
      <c r="I2101" s="1953"/>
      <c r="J2101" s="1994" t="n">
        <f aca="false">'Ввод данных'!AY614</f>
        <v>60</v>
      </c>
      <c r="K2101" s="2384" t="s">
        <v>240</v>
      </c>
      <c r="L2101" s="2384"/>
      <c r="M2101" s="2384"/>
      <c r="N2101" s="2384"/>
      <c r="O2101" s="1617"/>
      <c r="P2101" s="1617"/>
      <c r="Q2101" s="1617"/>
      <c r="R2101" s="1617"/>
      <c r="S2101" s="1617"/>
      <c r="T2101" s="1617"/>
      <c r="U2101" s="1617"/>
      <c r="V2101" s="1617"/>
      <c r="W2101" s="1617"/>
      <c r="X2101" s="1617"/>
      <c r="Y2101" s="1617"/>
    </row>
    <row r="2102" customFormat="false" ht="15.75" hidden="true" customHeight="true" outlineLevel="1" collapsed="false">
      <c r="A2102" s="2391" t="s">
        <v>3932</v>
      </c>
      <c r="B2102" s="2392"/>
      <c r="C2102" s="2392"/>
      <c r="D2102" s="2394" t="s">
        <v>15</v>
      </c>
      <c r="E2102" s="1992" t="n">
        <f aca="false">'Ввод данных'!C610*IF('Ввод данных'!C606=2,1,0)</f>
        <v>0</v>
      </c>
      <c r="F2102" s="1902"/>
      <c r="G2102" s="1186" t="n">
        <f aca="false">E2102</f>
        <v>0</v>
      </c>
      <c r="H2102" s="25"/>
      <c r="I2102" s="1953"/>
      <c r="J2102" s="1994"/>
      <c r="K2102" s="2384"/>
      <c r="L2102" s="2384"/>
      <c r="M2102" s="2384"/>
      <c r="N2102" s="2384"/>
      <c r="O2102" s="1617"/>
      <c r="P2102" s="1617"/>
      <c r="Q2102" s="1617"/>
      <c r="R2102" s="1617"/>
      <c r="S2102" s="1617"/>
      <c r="T2102" s="1617"/>
      <c r="U2102" s="1617"/>
      <c r="V2102" s="1617"/>
      <c r="W2102" s="1617"/>
      <c r="X2102" s="1617"/>
      <c r="Y2102" s="1617"/>
    </row>
    <row r="2103" customFormat="false" ht="15.75" hidden="true" customHeight="true" outlineLevel="1" collapsed="false">
      <c r="A2103" s="2397" t="str">
        <f aca="false">'Ввод данных'!A611</f>
        <v>высота от перекрытия 0 этажа до конька, Е</v>
      </c>
      <c r="B2103" s="2398"/>
      <c r="C2103" s="2398"/>
      <c r="D2103" s="2399"/>
      <c r="E2103" s="1965" t="n">
        <f aca="false">'Ввод данных'!C611</f>
        <v>4.5</v>
      </c>
      <c r="F2103" s="25"/>
      <c r="G2103" s="1992" t="n">
        <f aca="false">E2103</f>
        <v>4.5</v>
      </c>
      <c r="H2103" s="2400"/>
      <c r="I2103" s="1953"/>
      <c r="J2103" s="1994"/>
      <c r="K2103" s="1994"/>
      <c r="L2103" s="1994"/>
      <c r="M2103" s="1994"/>
      <c r="N2103" s="1994"/>
      <c r="O2103" s="1617"/>
      <c r="P2103" s="1617"/>
      <c r="Q2103" s="1617"/>
      <c r="R2103" s="1617"/>
      <c r="S2103" s="1617"/>
      <c r="T2103" s="1617"/>
      <c r="U2103" s="1617"/>
      <c r="V2103" s="1617"/>
      <c r="W2103" s="1617"/>
      <c r="X2103" s="1617"/>
      <c r="Y2103" s="1617"/>
    </row>
    <row r="2104" customFormat="false" ht="15.75" hidden="true" customHeight="true" outlineLevel="1" collapsed="false">
      <c r="A2104" s="2401" t="s">
        <v>3585</v>
      </c>
      <c r="B2104" s="2402"/>
      <c r="C2104" s="2052"/>
      <c r="D2104" s="1438" t="s">
        <v>15</v>
      </c>
      <c r="E2104" s="1438" t="n">
        <f aca="false">'Ввод данных'!C607</f>
        <v>3</v>
      </c>
      <c r="F2104" s="2400"/>
      <c r="G2104" s="1965" t="n">
        <f aca="false">E2104</f>
        <v>3</v>
      </c>
      <c r="H2104" s="1966"/>
      <c r="I2104" s="1953"/>
      <c r="J2104" s="1994"/>
      <c r="K2104" s="1994"/>
      <c r="L2104" s="1994"/>
      <c r="M2104" s="1994"/>
      <c r="N2104" s="1994"/>
      <c r="O2104" s="1617"/>
      <c r="P2104" s="1617"/>
      <c r="Q2104" s="1617"/>
      <c r="R2104" s="1617"/>
      <c r="S2104" s="1617"/>
      <c r="T2104" s="1617"/>
      <c r="U2104" s="1617"/>
      <c r="V2104" s="1617"/>
      <c r="W2104" s="1617"/>
      <c r="X2104" s="1617"/>
      <c r="Y2104" s="1617"/>
    </row>
    <row r="2105" customFormat="false" ht="15.75" hidden="true" customHeight="true" outlineLevel="1" collapsed="false">
      <c r="A2105" s="2401" t="s">
        <v>205</v>
      </c>
      <c r="B2105" s="2402"/>
      <c r="C2105" s="2052"/>
      <c r="D2105" s="1438"/>
      <c r="E2105" s="1438" t="n">
        <f aca="false">'Ввод данных'!C608</f>
        <v>3</v>
      </c>
      <c r="F2105" s="2400"/>
      <c r="G2105" s="1965" t="n">
        <f aca="false">E2105</f>
        <v>3</v>
      </c>
      <c r="H2105" s="1966"/>
      <c r="I2105" s="1953"/>
      <c r="J2105" s="1994"/>
      <c r="K2105" s="1994"/>
      <c r="L2105" s="1994"/>
      <c r="M2105" s="1994"/>
      <c r="N2105" s="1994"/>
      <c r="O2105" s="1617"/>
      <c r="P2105" s="1617"/>
      <c r="Q2105" s="1617"/>
      <c r="R2105" s="1617"/>
      <c r="S2105" s="1617"/>
      <c r="T2105" s="1617"/>
      <c r="U2105" s="1617"/>
      <c r="V2105" s="1617"/>
      <c r="W2105" s="1617"/>
      <c r="X2105" s="1617"/>
      <c r="Y2105" s="1617"/>
    </row>
    <row r="2106" customFormat="false" ht="15.75" hidden="true" customHeight="true" outlineLevel="1" collapsed="false">
      <c r="A2106" s="2401" t="s">
        <v>2798</v>
      </c>
      <c r="B2106" s="2402"/>
      <c r="C2106" s="2052"/>
      <c r="D2106" s="1438" t="s">
        <v>15</v>
      </c>
      <c r="E2106" s="1438" t="n">
        <f aca="false">SQRT((E2104+E2107*2)/2*(E2104+E2107*2)/2+(E2103-(E2101+E2102+0.2))*(E2103-(E2101+E2102+0.2)))</f>
        <v>2.56124969497314</v>
      </c>
      <c r="F2106" s="2400"/>
      <c r="G2106" s="1992" t="n">
        <f aca="false">SQRT((E2105+E2107*2)/2*(E2105+E2107*2)/2+(E2103-(E2101+E2102+0.2))*(E2103-(E2101+E2102+0.2)))</f>
        <v>2.56124969497314</v>
      </c>
      <c r="H2106" s="2400"/>
      <c r="I2106" s="1953"/>
      <c r="J2106" s="2403"/>
      <c r="K2106" s="1994"/>
      <c r="L2106" s="1994"/>
      <c r="M2106" s="1994"/>
      <c r="N2106" s="1994"/>
      <c r="O2106" s="1617"/>
      <c r="P2106" s="1617"/>
      <c r="Q2106" s="1617"/>
      <c r="R2106" s="1617"/>
      <c r="S2106" s="1617"/>
      <c r="T2106" s="1617"/>
      <c r="U2106" s="1617"/>
      <c r="V2106" s="1617"/>
      <c r="W2106" s="1617"/>
      <c r="X2106" s="1617"/>
      <c r="Y2106" s="1617"/>
    </row>
    <row r="2107" customFormat="false" ht="15.75" hidden="true" customHeight="true" outlineLevel="1" collapsed="false">
      <c r="A2107" s="2401" t="s">
        <v>231</v>
      </c>
      <c r="B2107" s="2402"/>
      <c r="C2107" s="2052"/>
      <c r="D2107" s="1438" t="s">
        <v>15</v>
      </c>
      <c r="E2107" s="1319" t="n">
        <f aca="false">'Ввод данных'!C642</f>
        <v>0.5</v>
      </c>
      <c r="F2107" s="2404"/>
      <c r="G2107" s="1992"/>
      <c r="H2107" s="2400"/>
      <c r="I2107" s="1953"/>
      <c r="J2107" s="2403"/>
      <c r="K2107" s="1994"/>
      <c r="L2107" s="1994"/>
      <c r="M2107" s="1994"/>
      <c r="N2107" s="1994"/>
      <c r="O2107" s="1617"/>
      <c r="P2107" s="1617"/>
      <c r="Q2107" s="1617"/>
      <c r="R2107" s="1617"/>
      <c r="S2107" s="1617"/>
      <c r="T2107" s="1617"/>
      <c r="U2107" s="1617"/>
      <c r="V2107" s="1617"/>
      <c r="W2107" s="1617"/>
      <c r="X2107" s="1617"/>
      <c r="Y2107" s="1617"/>
    </row>
    <row r="2108" customFormat="false" ht="15.75" hidden="true" customHeight="true" outlineLevel="1" collapsed="false">
      <c r="A2108" s="2401" t="s">
        <v>197</v>
      </c>
      <c r="B2108" s="2402"/>
      <c r="C2108" s="2052"/>
      <c r="D2108" s="1438" t="s">
        <v>15</v>
      </c>
      <c r="E2108" s="1319" t="n">
        <f aca="false">'Ввод данных'!C643</f>
        <v>0.8</v>
      </c>
      <c r="F2108" s="2404"/>
      <c r="G2108" s="2011"/>
      <c r="H2108" s="2405"/>
      <c r="I2108" s="1953"/>
      <c r="J2108" s="1994"/>
      <c r="K2108" s="1994"/>
      <c r="L2108" s="1994"/>
      <c r="M2108" s="1994"/>
      <c r="N2108" s="1994"/>
      <c r="O2108" s="1617"/>
      <c r="P2108" s="1617"/>
      <c r="Q2108" s="1617"/>
      <c r="R2108" s="1617"/>
      <c r="S2108" s="1617"/>
      <c r="T2108" s="1617"/>
      <c r="U2108" s="1617"/>
      <c r="V2108" s="1617"/>
      <c r="W2108" s="1617"/>
      <c r="X2108" s="1617"/>
      <c r="Y2108" s="1617"/>
    </row>
    <row r="2109" customFormat="false" ht="15.75" hidden="true" customHeight="true" outlineLevel="1" collapsed="false">
      <c r="A2109" s="2406" t="s">
        <v>3933</v>
      </c>
      <c r="B2109" s="2398"/>
      <c r="C2109" s="2407"/>
      <c r="D2109" s="1965" t="s">
        <v>15</v>
      </c>
      <c r="E2109" s="1965"/>
      <c r="F2109" s="1994"/>
      <c r="G2109" s="2011"/>
      <c r="H2109" s="2405"/>
      <c r="I2109" s="1953"/>
      <c r="J2109" s="1994"/>
      <c r="K2109" s="1994"/>
      <c r="L2109" s="1994"/>
      <c r="M2109" s="1994"/>
      <c r="N2109" s="1994"/>
      <c r="O2109" s="1617"/>
      <c r="P2109" s="1617"/>
      <c r="Q2109" s="1617"/>
      <c r="R2109" s="1617"/>
      <c r="S2109" s="1617"/>
      <c r="T2109" s="1617"/>
      <c r="U2109" s="1617"/>
      <c r="V2109" s="1617"/>
      <c r="W2109" s="1617"/>
      <c r="X2109" s="1617"/>
      <c r="Y2109" s="1617"/>
    </row>
    <row r="2110" customFormat="false" ht="15.75" hidden="true" customHeight="true" outlineLevel="1" collapsed="false">
      <c r="A2110" s="2406" t="s">
        <v>3934</v>
      </c>
      <c r="B2110" s="2398"/>
      <c r="C2110" s="2407"/>
      <c r="D2110" s="1965" t="s">
        <v>15</v>
      </c>
      <c r="E2110" s="1965" t="n">
        <f aca="false">E2105+E2108</f>
        <v>3.8</v>
      </c>
      <c r="F2110" s="1617"/>
      <c r="G2110" s="1965" t="n">
        <f aca="false">E2104+E2108+E2108</f>
        <v>4.6</v>
      </c>
      <c r="H2110" s="1966"/>
      <c r="I2110" s="1953" t="n">
        <f aca="false">E2110*E2100</f>
        <v>3.8</v>
      </c>
      <c r="J2110" s="1994"/>
      <c r="K2110" s="1994"/>
      <c r="L2110" s="1994"/>
      <c r="M2110" s="1994"/>
      <c r="N2110" s="1994"/>
      <c r="O2110" s="1617"/>
      <c r="P2110" s="1617"/>
      <c r="Q2110" s="1617"/>
      <c r="R2110" s="1617"/>
      <c r="S2110" s="1617"/>
      <c r="T2110" s="1617"/>
      <c r="U2110" s="1617"/>
      <c r="V2110" s="1617"/>
      <c r="W2110" s="1617"/>
      <c r="X2110" s="1617"/>
      <c r="Y2110" s="1617"/>
    </row>
    <row r="2111" customFormat="false" ht="15.75" hidden="true" customHeight="true" outlineLevel="1" collapsed="false">
      <c r="A2111" s="2401" t="s">
        <v>3935</v>
      </c>
      <c r="B2111" s="2402"/>
      <c r="C2111" s="2052"/>
      <c r="D2111" s="1438" t="s">
        <v>820</v>
      </c>
      <c r="E2111" s="1438" t="n">
        <f aca="false">E2106*E2110*2</f>
        <v>19.4654976817959</v>
      </c>
      <c r="F2111" s="1617"/>
      <c r="G2111" s="1965" t="n">
        <f aca="false">G2110*G2106</f>
        <v>11.7817485968764</v>
      </c>
      <c r="H2111" s="1966"/>
      <c r="I2111" s="1953"/>
      <c r="J2111" s="2404"/>
      <c r="K2111" s="1994"/>
      <c r="L2111" s="1994"/>
      <c r="M2111" s="1994"/>
      <c r="N2111" s="1994"/>
      <c r="O2111" s="1617"/>
      <c r="P2111" s="1617"/>
      <c r="Q2111" s="1617"/>
      <c r="R2111" s="1617"/>
      <c r="S2111" s="1617"/>
      <c r="T2111" s="1617"/>
      <c r="U2111" s="1617"/>
      <c r="V2111" s="1617"/>
      <c r="W2111" s="1617"/>
      <c r="X2111" s="1617"/>
      <c r="Y2111" s="1617"/>
    </row>
    <row r="2112" customFormat="false" ht="15.75" hidden="true" customHeight="true" outlineLevel="1" collapsed="false">
      <c r="A2112" s="2401" t="s">
        <v>3662</v>
      </c>
      <c r="B2112" s="2402"/>
      <c r="C2112" s="2052"/>
      <c r="D2112" s="1438" t="s">
        <v>820</v>
      </c>
      <c r="E2112" s="1438"/>
      <c r="F2112" s="2037"/>
      <c r="G2112" s="2011"/>
      <c r="H2112" s="2405"/>
      <c r="I2112" s="1953"/>
      <c r="J2112" s="1994"/>
      <c r="K2112" s="1994"/>
      <c r="L2112" s="1994"/>
      <c r="M2112" s="1994"/>
      <c r="N2112" s="1994"/>
      <c r="O2112" s="1617"/>
      <c r="P2112" s="1617"/>
      <c r="Q2112" s="1617"/>
      <c r="R2112" s="1617"/>
      <c r="S2112" s="1617"/>
      <c r="T2112" s="1617"/>
      <c r="U2112" s="1617"/>
      <c r="V2112" s="1617"/>
      <c r="W2112" s="1617"/>
      <c r="X2112" s="1617"/>
      <c r="Y2112" s="1617"/>
    </row>
    <row r="2113" customFormat="false" ht="15.75" hidden="true" customHeight="true" outlineLevel="1" collapsed="false">
      <c r="A2113" s="2401" t="s">
        <v>3936</v>
      </c>
      <c r="B2113" s="2402"/>
      <c r="C2113" s="2052"/>
      <c r="D2113" s="1438" t="s">
        <v>820</v>
      </c>
      <c r="E2113" s="1438" t="n">
        <f aca="false">E2111</f>
        <v>19.4654976817959</v>
      </c>
      <c r="F2113" s="1617"/>
      <c r="G2113" s="1438" t="n">
        <f aca="false">G2111</f>
        <v>11.7817485968764</v>
      </c>
      <c r="H2113" s="2037"/>
      <c r="I2113" s="1953"/>
      <c r="J2113" s="2037"/>
      <c r="K2113" s="1994"/>
      <c r="L2113" s="1994"/>
      <c r="M2113" s="1994"/>
      <c r="N2113" s="1994"/>
      <c r="O2113" s="1617"/>
      <c r="P2113" s="1617"/>
      <c r="Q2113" s="1617"/>
      <c r="R2113" s="1617"/>
      <c r="S2113" s="1617"/>
      <c r="T2113" s="1617"/>
      <c r="U2113" s="1617"/>
      <c r="V2113" s="1617"/>
      <c r="W2113" s="1617"/>
      <c r="X2113" s="1617"/>
      <c r="Y2113" s="1617"/>
    </row>
    <row r="2114" customFormat="false" ht="15.75" hidden="true" customHeight="true" outlineLevel="1" collapsed="false">
      <c r="A2114" s="1965" t="s">
        <v>3937</v>
      </c>
      <c r="B2114" s="1603"/>
      <c r="C2114" s="1603"/>
      <c r="D2114" s="1965" t="s">
        <v>820</v>
      </c>
      <c r="E2114" s="1965"/>
      <c r="F2114" s="1994"/>
      <c r="G2114" s="1438"/>
      <c r="H2114" s="2037"/>
      <c r="I2114" s="1953" t="n">
        <f aca="false">E2113*E2100+G2113*G2100</f>
        <v>19.4654976817959</v>
      </c>
      <c r="J2114" s="1994" t="s">
        <v>2821</v>
      </c>
      <c r="K2114" s="1994"/>
      <c r="L2114" s="1994"/>
      <c r="M2114" s="1994"/>
      <c r="N2114" s="1994"/>
      <c r="O2114" s="1617"/>
      <c r="P2114" s="1617"/>
      <c r="Q2114" s="1617"/>
      <c r="R2114" s="1617"/>
      <c r="S2114" s="1617"/>
      <c r="T2114" s="1617"/>
      <c r="U2114" s="1617"/>
      <c r="V2114" s="1617"/>
      <c r="W2114" s="1617"/>
      <c r="X2114" s="1617"/>
      <c r="Y2114" s="1617"/>
    </row>
    <row r="2115" customFormat="false" ht="15.75" hidden="true" customHeight="true" outlineLevel="1" collapsed="false">
      <c r="A2115" s="2406" t="s">
        <v>2826</v>
      </c>
      <c r="B2115" s="2398"/>
      <c r="C2115" s="2407"/>
      <c r="D2115" s="1965" t="s">
        <v>486</v>
      </c>
      <c r="E2115" s="1965"/>
      <c r="F2115" s="1350"/>
      <c r="G2115" s="1965"/>
      <c r="H2115" s="1966"/>
      <c r="I2115" s="1953" t="n">
        <f aca="false">I2114*1.2</f>
        <v>23.358597218155</v>
      </c>
      <c r="J2115" s="1994" t="s">
        <v>3938</v>
      </c>
      <c r="K2115" s="1994"/>
      <c r="L2115" s="1994"/>
      <c r="M2115" s="1994"/>
      <c r="N2115" s="1994"/>
      <c r="O2115" s="1617"/>
      <c r="P2115" s="1617"/>
      <c r="Q2115" s="1617"/>
      <c r="R2115" s="1617"/>
      <c r="S2115" s="1617"/>
      <c r="T2115" s="1617"/>
      <c r="U2115" s="1617"/>
      <c r="V2115" s="1617"/>
      <c r="W2115" s="1617"/>
      <c r="X2115" s="1617"/>
      <c r="Y2115" s="1617"/>
    </row>
    <row r="2116" customFormat="false" ht="15.75" hidden="true" customHeight="true" outlineLevel="1" collapsed="false">
      <c r="A2116" s="2065" t="s">
        <v>3665</v>
      </c>
      <c r="B2116" s="2408"/>
      <c r="C2116" s="2409"/>
      <c r="D2116" s="1438" t="s">
        <v>15</v>
      </c>
      <c r="E2116" s="1438" t="n">
        <v>0.15</v>
      </c>
      <c r="F2116" s="1350"/>
      <c r="G2116" s="1994"/>
      <c r="H2116" s="1994"/>
      <c r="I2116" s="1953" t="n">
        <f aca="false">E2110*2*E2100+G2110*G2100</f>
        <v>7.6</v>
      </c>
      <c r="J2116" s="1994" t="s">
        <v>3939</v>
      </c>
      <c r="K2116" s="1994"/>
      <c r="L2116" s="1994"/>
      <c r="M2116" s="1994"/>
      <c r="N2116" s="1994"/>
      <c r="O2116" s="1617"/>
      <c r="P2116" s="1617"/>
      <c r="Q2116" s="1617"/>
      <c r="R2116" s="1617"/>
      <c r="S2116" s="1617"/>
      <c r="T2116" s="1617"/>
      <c r="U2116" s="1617"/>
      <c r="V2116" s="1617"/>
      <c r="W2116" s="1617"/>
      <c r="X2116" s="1617"/>
      <c r="Y2116" s="1617"/>
    </row>
    <row r="2117" customFormat="false" ht="15.75" hidden="true" customHeight="true" outlineLevel="1" collapsed="false">
      <c r="A2117" s="2410"/>
      <c r="B2117" s="2411"/>
      <c r="C2117" s="2412"/>
      <c r="D2117" s="1438" t="s">
        <v>15</v>
      </c>
      <c r="E2117" s="1438" t="n">
        <v>0.2</v>
      </c>
      <c r="F2117" s="1350"/>
      <c r="G2117" s="2056"/>
      <c r="H2117" s="2056"/>
      <c r="I2117" s="1953" t="n">
        <f aca="false">E2110*2*E2100*2+G2110*G2100*2</f>
        <v>15.2</v>
      </c>
      <c r="J2117" s="2056" t="s">
        <v>3663</v>
      </c>
      <c r="K2117" s="2056"/>
      <c r="L2117" s="2056"/>
      <c r="M2117" s="2056"/>
      <c r="N2117" s="2056"/>
      <c r="O2117" s="1617"/>
      <c r="P2117" s="1617"/>
      <c r="Q2117" s="1617"/>
      <c r="R2117" s="1617"/>
      <c r="S2117" s="1617"/>
      <c r="T2117" s="1617"/>
      <c r="U2117" s="1617"/>
      <c r="V2117" s="1617"/>
      <c r="W2117" s="1617"/>
      <c r="X2117" s="1617"/>
      <c r="Y2117" s="1617"/>
    </row>
    <row r="2118" customFormat="false" ht="15.75" hidden="true" customHeight="true" outlineLevel="1" collapsed="false">
      <c r="A2118" s="2065" t="s">
        <v>2830</v>
      </c>
      <c r="B2118" s="2408"/>
      <c r="C2118" s="2409"/>
      <c r="D2118" s="1438" t="s">
        <v>15</v>
      </c>
      <c r="E2118" s="1438" t="n">
        <v>0.15</v>
      </c>
      <c r="F2118" s="1350"/>
      <c r="G2118" s="2056"/>
      <c r="H2118" s="2056"/>
      <c r="I2118" s="1953" t="n">
        <f aca="false">E2106*4*1.1*E2100+G2106*1.1*2*G2100</f>
        <v>11.2694986578818</v>
      </c>
      <c r="J2118" s="2056" t="s">
        <v>2135</v>
      </c>
      <c r="K2118" s="2056"/>
      <c r="L2118" s="2056"/>
      <c r="M2118" s="2056"/>
      <c r="N2118" s="2056"/>
      <c r="O2118" s="1617"/>
      <c r="P2118" s="1617"/>
      <c r="Q2118" s="1617"/>
      <c r="R2118" s="1617"/>
      <c r="S2118" s="1617"/>
      <c r="T2118" s="1617"/>
      <c r="U2118" s="1617"/>
      <c r="V2118" s="1617"/>
      <c r="W2118" s="1617"/>
      <c r="X2118" s="1617"/>
      <c r="Y2118" s="1617"/>
    </row>
    <row r="2119" customFormat="false" ht="15.75" hidden="true" customHeight="true" outlineLevel="1" collapsed="false">
      <c r="A2119" s="2410"/>
      <c r="B2119" s="2411"/>
      <c r="C2119" s="2412"/>
      <c r="D2119" s="1438" t="s">
        <v>15</v>
      </c>
      <c r="E2119" s="1438" t="n">
        <v>0.2</v>
      </c>
      <c r="F2119" s="1350"/>
      <c r="G2119" s="2056"/>
      <c r="H2119" s="2056"/>
      <c r="I2119" s="1953" t="n">
        <f aca="false">E2101+E2102+1</f>
        <v>3.7</v>
      </c>
      <c r="J2119" s="2056" t="s">
        <v>1728</v>
      </c>
      <c r="K2119" s="2056"/>
      <c r="L2119" s="2056"/>
      <c r="M2119" s="2056"/>
      <c r="N2119" s="2056"/>
      <c r="O2119" s="1617"/>
      <c r="P2119" s="1617"/>
      <c r="Q2119" s="1617"/>
      <c r="R2119" s="1617"/>
      <c r="S2119" s="1617"/>
      <c r="T2119" s="1617"/>
      <c r="U2119" s="1617"/>
      <c r="V2119" s="1617"/>
      <c r="W2119" s="1617"/>
      <c r="X2119" s="1617"/>
      <c r="Y2119" s="1617"/>
    </row>
    <row r="2120" customFormat="false" ht="15.75" hidden="true" customHeight="true" outlineLevel="1" collapsed="false">
      <c r="A2120" s="2056"/>
      <c r="B2120" s="2413"/>
      <c r="C2120" s="2413"/>
      <c r="D2120" s="2056"/>
      <c r="E2120" s="2056"/>
      <c r="F2120" s="2056"/>
      <c r="G2120" s="2403"/>
      <c r="H2120" s="2403"/>
      <c r="I2120" s="2414"/>
      <c r="J2120" s="2056"/>
      <c r="K2120" s="2056"/>
      <c r="L2120" s="2056"/>
      <c r="M2120" s="2056"/>
      <c r="N2120" s="2056"/>
      <c r="O2120" s="1617"/>
      <c r="P2120" s="1617"/>
      <c r="Q2120" s="1617"/>
      <c r="R2120" s="1617"/>
      <c r="S2120" s="1617"/>
      <c r="T2120" s="1617"/>
      <c r="U2120" s="1617"/>
      <c r="V2120" s="1617"/>
      <c r="W2120" s="1617"/>
      <c r="X2120" s="1617"/>
      <c r="Y2120" s="1617"/>
    </row>
    <row r="2121" customFormat="false" ht="15.75" hidden="true" customHeight="true" outlineLevel="1" collapsed="false">
      <c r="A2121" s="2056"/>
      <c r="B2121" s="2413"/>
      <c r="C2121" s="2413"/>
      <c r="D2121" s="2056"/>
      <c r="E2121" s="2056"/>
      <c r="F2121" s="2056"/>
      <c r="G2121" s="2056"/>
      <c r="H2121" s="2056"/>
      <c r="I2121" s="1953"/>
      <c r="J2121" s="2056"/>
      <c r="K2121" s="2056"/>
      <c r="L2121" s="2056"/>
      <c r="M2121" s="2056"/>
      <c r="N2121" s="2056"/>
      <c r="O2121" s="1617"/>
      <c r="P2121" s="1617"/>
      <c r="Q2121" s="1617"/>
      <c r="R2121" s="1617"/>
      <c r="S2121" s="1617"/>
      <c r="T2121" s="1617"/>
      <c r="U2121" s="1617"/>
      <c r="V2121" s="1617"/>
      <c r="W2121" s="1617"/>
      <c r="X2121" s="1617"/>
      <c r="Y2121" s="1617"/>
    </row>
    <row r="2122" customFormat="false" ht="15.75" hidden="true" customHeight="true" outlineLevel="1" collapsed="false">
      <c r="A2122" s="2415" t="s">
        <v>3940</v>
      </c>
      <c r="B2122" s="2416"/>
      <c r="C2122" s="2416"/>
      <c r="D2122" s="2417"/>
      <c r="E2122" s="2417"/>
      <c r="F2122" s="2417"/>
      <c r="G2122" s="2417"/>
      <c r="H2122" s="2417"/>
      <c r="I2122" s="2418"/>
      <c r="J2122" s="2417"/>
      <c r="K2122" s="2417"/>
      <c r="L2122" s="2417"/>
      <c r="M2122" s="2417"/>
      <c r="N2122" s="2417"/>
      <c r="O2122" s="2417"/>
      <c r="P2122" s="2419"/>
      <c r="Q2122" s="1617"/>
      <c r="R2122" s="1617"/>
      <c r="S2122" s="1617"/>
      <c r="T2122" s="1617"/>
      <c r="U2122" s="1617"/>
      <c r="V2122" s="1617"/>
      <c r="W2122" s="1617"/>
      <c r="X2122" s="1617"/>
      <c r="Y2122" s="1617"/>
    </row>
    <row r="2123" customFormat="false" ht="15.75" hidden="true" customHeight="true" outlineLevel="1" collapsed="false">
      <c r="A2123" s="2192" t="s">
        <v>461</v>
      </c>
      <c r="B2123" s="2193"/>
      <c r="C2123" s="2193"/>
      <c r="D2123" s="2194"/>
      <c r="E2123" s="2194"/>
      <c r="F2123" s="2195"/>
      <c r="G2123" s="2244" t="n">
        <f aca="false">'Ввод данных'!E601</f>
        <v>1</v>
      </c>
      <c r="H2123" s="2245"/>
      <c r="I2123" s="2420" t="n">
        <f aca="false">'Ввод данных'!E602</f>
        <v>1.1</v>
      </c>
      <c r="J2123" s="2421"/>
      <c r="K2123" s="2421"/>
      <c r="L2123" s="2421"/>
      <c r="M2123" s="2421"/>
      <c r="N2123" s="2421"/>
      <c r="O2123" s="2421"/>
      <c r="P2123" s="2421"/>
      <c r="Q2123" s="1617"/>
      <c r="R2123" s="1617"/>
      <c r="S2123" s="1617"/>
      <c r="T2123" s="1617"/>
      <c r="U2123" s="1617"/>
      <c r="V2123" s="1617"/>
      <c r="W2123" s="1617"/>
      <c r="X2123" s="1617"/>
      <c r="Y2123" s="1617"/>
    </row>
    <row r="2124" customFormat="false" ht="15.75" hidden="true" customHeight="true" outlineLevel="1" collapsed="false">
      <c r="A2124" s="2422" t="s">
        <v>2902</v>
      </c>
      <c r="B2124" s="2423" t="s">
        <v>15</v>
      </c>
      <c r="C2124" s="2423" t="n">
        <f aca="false">E2101</f>
        <v>2.7</v>
      </c>
      <c r="D2124" s="2424" t="n">
        <v>1</v>
      </c>
      <c r="E2124" s="2425"/>
      <c r="F2124" s="2425"/>
      <c r="G2124" s="2425"/>
      <c r="H2124" s="2425"/>
      <c r="I2124" s="2420"/>
      <c r="J2124" s="2421"/>
      <c r="K2124" s="2421"/>
      <c r="L2124" s="2421"/>
      <c r="M2124" s="2421"/>
      <c r="N2124" s="2421"/>
      <c r="O2124" s="2421"/>
      <c r="P2124" s="2421"/>
      <c r="Q2124" s="1617"/>
      <c r="R2124" s="1617"/>
      <c r="S2124" s="1617"/>
      <c r="T2124" s="1617"/>
      <c r="U2124" s="1617"/>
      <c r="V2124" s="1617"/>
      <c r="W2124" s="1617"/>
      <c r="X2124" s="1617"/>
      <c r="Y2124" s="1617"/>
    </row>
    <row r="2125" customFormat="false" ht="15.75" hidden="true" customHeight="true" outlineLevel="1" collapsed="false">
      <c r="A2125" s="2422" t="s">
        <v>3941</v>
      </c>
      <c r="B2125" s="2423" t="s">
        <v>15</v>
      </c>
      <c r="C2125" s="2423" t="n">
        <v>0.1</v>
      </c>
      <c r="D2125" s="2426"/>
      <c r="E2125" s="2425"/>
      <c r="F2125" s="2425"/>
      <c r="G2125" s="2425"/>
      <c r="H2125" s="2425"/>
      <c r="I2125" s="2420"/>
      <c r="J2125" s="2421"/>
      <c r="K2125" s="2421"/>
      <c r="L2125" s="2421"/>
      <c r="M2125" s="2421"/>
      <c r="N2125" s="2421"/>
      <c r="O2125" s="2421"/>
      <c r="P2125" s="2421"/>
      <c r="Q2125" s="1617"/>
      <c r="R2125" s="1617"/>
      <c r="S2125" s="1617"/>
      <c r="T2125" s="1617"/>
      <c r="U2125" s="1617"/>
      <c r="V2125" s="1617"/>
      <c r="W2125" s="1617"/>
      <c r="X2125" s="1617"/>
      <c r="Y2125" s="1617"/>
    </row>
    <row r="2126" customFormat="false" ht="15.75" hidden="true" customHeight="true" outlineLevel="1" collapsed="false">
      <c r="A2126" s="2422" t="s">
        <v>3942</v>
      </c>
      <c r="B2126" s="2423" t="s">
        <v>15</v>
      </c>
      <c r="C2126" s="2423" t="n">
        <v>0.15</v>
      </c>
      <c r="D2126" s="2426"/>
      <c r="E2126" s="2425"/>
      <c r="F2126" s="2425"/>
      <c r="G2126" s="2425"/>
      <c r="H2126" s="2425"/>
      <c r="I2126" s="2420"/>
      <c r="J2126" s="2421"/>
      <c r="K2126" s="2421"/>
      <c r="L2126" s="2421"/>
      <c r="M2126" s="2421"/>
      <c r="N2126" s="2421"/>
      <c r="O2126" s="2421"/>
      <c r="P2126" s="2421"/>
      <c r="Q2126" s="1617"/>
      <c r="R2126" s="1617"/>
      <c r="S2126" s="1617"/>
      <c r="T2126" s="1617"/>
      <c r="U2126" s="1617"/>
      <c r="V2126" s="1617"/>
      <c r="W2126" s="1617"/>
      <c r="X2126" s="1617"/>
      <c r="Y2126" s="1617"/>
    </row>
    <row r="2127" customFormat="false" ht="15.75" hidden="true" customHeight="true" outlineLevel="1" collapsed="false">
      <c r="A2127" s="1438" t="s">
        <v>3943</v>
      </c>
      <c r="B2127" s="2254" t="s">
        <v>48</v>
      </c>
      <c r="C2127" s="2213" t="n">
        <f aca="false">IF('Ввод данных'!A647=связи1!A6,1,0)</f>
        <v>1</v>
      </c>
      <c r="D2127" s="1617"/>
      <c r="E2127" s="2174"/>
      <c r="F2127" s="2174"/>
      <c r="G2127" s="1734"/>
      <c r="H2127" s="1734"/>
      <c r="I2127" s="2200"/>
      <c r="J2127" s="2157"/>
      <c r="K2127" s="1734"/>
      <c r="L2127" s="1734"/>
      <c r="M2127" s="1734"/>
      <c r="N2127" s="1734"/>
      <c r="O2127" s="1734"/>
      <c r="P2127" s="1734"/>
      <c r="Q2127" s="1617"/>
      <c r="R2127" s="1617"/>
      <c r="S2127" s="1617"/>
      <c r="T2127" s="1617"/>
      <c r="U2127" s="1617"/>
      <c r="V2127" s="1617"/>
      <c r="W2127" s="1617"/>
      <c r="X2127" s="1617"/>
      <c r="Y2127" s="1617"/>
    </row>
    <row r="2128" customFormat="false" ht="15.75" hidden="true" customHeight="true" outlineLevel="1" collapsed="false">
      <c r="A2128" s="2059" t="s">
        <v>3944</v>
      </c>
      <c r="B2128" s="2064" t="s">
        <v>48</v>
      </c>
      <c r="C2128" s="2213" t="n">
        <f aca="false">IF('Ввод данных'!A647=связи1!A7,1,0)</f>
        <v>0</v>
      </c>
      <c r="D2128" s="1617"/>
      <c r="E2128" s="2174"/>
      <c r="F2128" s="2174"/>
      <c r="G2128" s="1734"/>
      <c r="H2128" s="1734"/>
      <c r="I2128" s="2200"/>
      <c r="J2128" s="2157"/>
      <c r="K2128" s="1734"/>
      <c r="L2128" s="1734"/>
      <c r="M2128" s="1734"/>
      <c r="N2128" s="1734"/>
      <c r="O2128" s="1734"/>
      <c r="P2128" s="1734"/>
      <c r="Q2128" s="1617"/>
      <c r="R2128" s="1617"/>
      <c r="S2128" s="1617"/>
      <c r="T2128" s="1617"/>
      <c r="U2128" s="1617"/>
      <c r="V2128" s="1617"/>
      <c r="W2128" s="1617"/>
      <c r="X2128" s="1617"/>
      <c r="Y2128" s="1617"/>
    </row>
    <row r="2129" customFormat="false" ht="15.75" hidden="true" customHeight="true" outlineLevel="1" collapsed="false">
      <c r="A2129" s="2059" t="s">
        <v>3945</v>
      </c>
      <c r="B2129" s="2064" t="s">
        <v>48</v>
      </c>
      <c r="C2129" s="2213" t="n">
        <f aca="false">IF('Ввод данных'!A647=связи1!A8,1,0)</f>
        <v>0</v>
      </c>
      <c r="D2129" s="1617"/>
      <c r="E2129" s="2174"/>
      <c r="F2129" s="2427"/>
      <c r="G2129" s="1734"/>
      <c r="H2129" s="1734"/>
      <c r="I2129" s="2200"/>
      <c r="J2129" s="2157"/>
      <c r="K2129" s="1734"/>
      <c r="L2129" s="1734"/>
      <c r="M2129" s="1734"/>
      <c r="N2129" s="1734"/>
      <c r="O2129" s="1734"/>
      <c r="P2129" s="1734"/>
      <c r="Q2129" s="1617"/>
      <c r="R2129" s="1617"/>
      <c r="S2129" s="1617"/>
      <c r="T2129" s="1617"/>
      <c r="U2129" s="1617"/>
      <c r="V2129" s="1617"/>
      <c r="W2129" s="1617"/>
      <c r="X2129" s="1617"/>
      <c r="Y2129" s="1617"/>
    </row>
    <row r="2130" customFormat="false" ht="15.75" hidden="true" customHeight="true" outlineLevel="1" collapsed="false">
      <c r="A2130" s="1707" t="s">
        <v>2821</v>
      </c>
      <c r="B2130" s="2064" t="s">
        <v>820</v>
      </c>
      <c r="C2130" s="2064" t="n">
        <f aca="false">I2114</f>
        <v>19.4654976817959</v>
      </c>
      <c r="D2130" s="2174"/>
      <c r="E2130" s="2174"/>
      <c r="F2130" s="2174"/>
      <c r="G2130" s="1734"/>
      <c r="H2130" s="1734"/>
      <c r="I2130" s="2200"/>
      <c r="J2130" s="2157"/>
      <c r="K2130" s="1734"/>
      <c r="L2130" s="1734"/>
      <c r="M2130" s="1734"/>
      <c r="N2130" s="1734"/>
      <c r="O2130" s="1734"/>
      <c r="P2130" s="1734"/>
      <c r="Q2130" s="1617"/>
      <c r="R2130" s="1617"/>
      <c r="S2130" s="1617"/>
      <c r="T2130" s="1617"/>
      <c r="U2130" s="1617"/>
      <c r="V2130" s="1617"/>
      <c r="W2130" s="1617"/>
      <c r="X2130" s="1617"/>
      <c r="Y2130" s="1617"/>
    </row>
    <row r="2131" customFormat="false" ht="15.75" hidden="true" customHeight="true" outlineLevel="1" collapsed="false">
      <c r="A2131" s="1707" t="s">
        <v>249</v>
      </c>
      <c r="B2131" s="2064" t="s">
        <v>15</v>
      </c>
      <c r="C2131" s="2064" t="n">
        <f aca="false">I2110</f>
        <v>3.8</v>
      </c>
      <c r="D2131" s="2174"/>
      <c r="E2131" s="2174"/>
      <c r="F2131" s="2174"/>
      <c r="G2131" s="1734"/>
      <c r="H2131" s="1734"/>
      <c r="I2131" s="2200"/>
      <c r="J2131" s="2157"/>
      <c r="K2131" s="1734"/>
      <c r="L2131" s="1734"/>
      <c r="M2131" s="1734"/>
      <c r="N2131" s="1734"/>
      <c r="O2131" s="1734"/>
      <c r="P2131" s="1734"/>
      <c r="Q2131" s="1617"/>
      <c r="R2131" s="1617"/>
      <c r="S2131" s="1617"/>
      <c r="T2131" s="1617"/>
      <c r="U2131" s="1617"/>
      <c r="V2131" s="1617"/>
      <c r="W2131" s="1617"/>
      <c r="X2131" s="1617"/>
      <c r="Y2131" s="1617"/>
    </row>
    <row r="2132" customFormat="false" ht="15.75" hidden="true" customHeight="true" outlineLevel="1" collapsed="false">
      <c r="A2132" s="1707" t="s">
        <v>3647</v>
      </c>
      <c r="B2132" s="2064" t="s">
        <v>15</v>
      </c>
      <c r="C2132" s="2064" t="n">
        <f aca="false">E2106*E2100+G2106*G2100</f>
        <v>2.56124969497314</v>
      </c>
      <c r="D2132" s="2174"/>
      <c r="E2132" s="2174"/>
      <c r="F2132" s="2174"/>
      <c r="G2132" s="1734"/>
      <c r="H2132" s="1734"/>
      <c r="I2132" s="2200"/>
      <c r="J2132" s="2157"/>
      <c r="K2132" s="1734"/>
      <c r="L2132" s="1734"/>
      <c r="M2132" s="1734"/>
      <c r="N2132" s="1734"/>
      <c r="O2132" s="1734"/>
      <c r="P2132" s="1734"/>
      <c r="Q2132" s="1617"/>
      <c r="R2132" s="1617"/>
      <c r="S2132" s="1617"/>
      <c r="T2132" s="1617"/>
      <c r="U2132" s="1617"/>
      <c r="V2132" s="1617"/>
      <c r="W2132" s="1617"/>
      <c r="X2132" s="1617"/>
      <c r="Y2132" s="1617"/>
    </row>
    <row r="2133" customFormat="false" ht="15.75" hidden="true" customHeight="true" outlineLevel="1" collapsed="false">
      <c r="A2133" s="1707" t="s">
        <v>273</v>
      </c>
      <c r="B2133" s="2064" t="s">
        <v>15</v>
      </c>
      <c r="C2133" s="2141" t="n">
        <f aca="false">E2107</f>
        <v>0.5</v>
      </c>
      <c r="D2133" s="2174"/>
      <c r="E2133" s="2174"/>
      <c r="F2133" s="2174"/>
      <c r="G2133" s="1734"/>
      <c r="H2133" s="1734"/>
      <c r="I2133" s="2200"/>
      <c r="J2133" s="2157"/>
      <c r="K2133" s="1734"/>
      <c r="L2133" s="1734"/>
      <c r="M2133" s="1734"/>
      <c r="N2133" s="1734"/>
      <c r="O2133" s="1734"/>
      <c r="P2133" s="1734"/>
      <c r="Q2133" s="1617"/>
      <c r="R2133" s="1617"/>
      <c r="S2133" s="1617"/>
      <c r="T2133" s="1617"/>
      <c r="U2133" s="1617"/>
      <c r="V2133" s="1617"/>
      <c r="W2133" s="1617"/>
      <c r="X2133" s="1617"/>
      <c r="Y2133" s="1617"/>
    </row>
    <row r="2134" customFormat="false" ht="15.75" hidden="true" customHeight="true" outlineLevel="1" collapsed="false">
      <c r="A2134" s="2218" t="s">
        <v>276</v>
      </c>
      <c r="B2134" s="2205" t="s">
        <v>15</v>
      </c>
      <c r="C2134" s="2141" t="n">
        <f aca="false">E2108</f>
        <v>0.8</v>
      </c>
      <c r="D2134" s="2174"/>
      <c r="E2134" s="2174"/>
      <c r="F2134" s="2174"/>
      <c r="G2134" s="1734"/>
      <c r="H2134" s="1734"/>
      <c r="I2134" s="2200"/>
      <c r="J2134" s="2157"/>
      <c r="K2134" s="1734"/>
      <c r="L2134" s="1734"/>
      <c r="M2134" s="1734"/>
      <c r="N2134" s="1734"/>
      <c r="O2134" s="1734"/>
      <c r="P2134" s="1734"/>
      <c r="Q2134" s="1617"/>
      <c r="R2134" s="1617"/>
      <c r="S2134" s="1617"/>
      <c r="T2134" s="1617"/>
      <c r="U2134" s="1617"/>
      <c r="V2134" s="1617"/>
      <c r="W2134" s="1617"/>
      <c r="X2134" s="1617"/>
      <c r="Y2134" s="1617"/>
    </row>
    <row r="2135" customFormat="false" ht="15.75" hidden="true" customHeight="true" outlineLevel="1" collapsed="false">
      <c r="A2135" s="2356" t="s">
        <v>2246</v>
      </c>
      <c r="B2135" s="2355" t="s">
        <v>1738</v>
      </c>
      <c r="C2135" s="2355" t="s">
        <v>118</v>
      </c>
      <c r="D2135" s="2356" t="s">
        <v>2915</v>
      </c>
      <c r="E2135" s="2356" t="s">
        <v>2916</v>
      </c>
      <c r="F2135" s="1708"/>
      <c r="G2135" s="2349" t="s">
        <v>2007</v>
      </c>
      <c r="H2135" s="2357"/>
      <c r="I2135" s="2358"/>
      <c r="J2135" s="2356" t="s">
        <v>1738</v>
      </c>
      <c r="K2135" s="2356" t="s">
        <v>118</v>
      </c>
      <c r="L2135" s="2356" t="s">
        <v>2190</v>
      </c>
      <c r="M2135" s="2356"/>
      <c r="N2135" s="2356"/>
      <c r="O2135" s="2356" t="s">
        <v>2916</v>
      </c>
      <c r="Q2135" s="1617"/>
      <c r="R2135" s="1617"/>
      <c r="S2135" s="1617"/>
      <c r="T2135" s="1617"/>
      <c r="U2135" s="1617"/>
      <c r="V2135" s="1617"/>
      <c r="W2135" s="1617"/>
      <c r="X2135" s="1617"/>
      <c r="Y2135" s="1617"/>
    </row>
    <row r="2136" customFormat="false" ht="15.75" hidden="true" customHeight="true" outlineLevel="1" collapsed="false">
      <c r="A2136" s="1707" t="str">
        <f aca="false">'Ввод данных'!A649</f>
        <v>Доска сухая, 200*50мм</v>
      </c>
      <c r="B2136" s="2064" t="s">
        <v>1043</v>
      </c>
      <c r="C2136" s="2064" t="n">
        <f aca="false">((E2110/0.6+2)*2*E2106+E2110*2)*VLOOKUP(A2136,связи1!A406:E415,5,0)*D2019*E2100+G2100*((G2110/0.6+2)*G2106+G2110)*VLOOKUP(A2136,связи1!A406:E415,5,0)*D2019</f>
        <v>0</v>
      </c>
      <c r="D2136" s="1707" t="n">
        <f aca="false">VLOOKUP(A2136,связи1!A406:E415,2,0)</f>
        <v>9000</v>
      </c>
      <c r="E2136" s="1707" t="n">
        <f aca="false">C2136*D2136</f>
        <v>0</v>
      </c>
      <c r="F2136" s="1708"/>
      <c r="G2136" s="1995" t="str">
        <f aca="false">'Прайс лист'!B1561</f>
        <v>монтаж стропил</v>
      </c>
      <c r="H2136" s="2146"/>
      <c r="I2136" s="2225"/>
      <c r="J2136" s="1707" t="s">
        <v>820</v>
      </c>
      <c r="K2136" s="1707" t="n">
        <f aca="false">C2130*(C2127+C2128+C2129)*D2019*I2123*IF(A2136=связи1!A406,0,1)</f>
        <v>0</v>
      </c>
      <c r="L2136" s="1707" t="n">
        <f aca="false">'Прайс лист'!G1561</f>
        <v>450</v>
      </c>
      <c r="M2136" s="1707"/>
      <c r="N2136" s="1707"/>
      <c r="O2136" s="1707" t="n">
        <f aca="false">K2136*L2136</f>
        <v>0</v>
      </c>
      <c r="Q2136" s="1617"/>
      <c r="R2136" s="1617"/>
      <c r="S2136" s="1617"/>
      <c r="T2136" s="1617"/>
      <c r="U2136" s="1617"/>
      <c r="V2136" s="1617"/>
      <c r="W2136" s="1617"/>
      <c r="X2136" s="1617"/>
      <c r="Y2136" s="1617"/>
    </row>
    <row r="2137" customFormat="false" ht="15.75" hidden="true" customHeight="true" outlineLevel="1" collapsed="false">
      <c r="A2137" s="1707" t="str">
        <f aca="false">'Ввод данных'!A651</f>
        <v>Сосна влаж,100*25мм</v>
      </c>
      <c r="B2137" s="2064" t="s">
        <v>1043</v>
      </c>
      <c r="C2137" s="2064" t="n">
        <f aca="false">I2114*3.5*D2019*VLOOKUP(A2137,связи1!A431:F439,5,0)</f>
        <v>0</v>
      </c>
      <c r="D2137" s="1707" t="n">
        <f aca="false">VLOOKUP(A2137,связи1!A431:F439,6,0)</f>
        <v>6500</v>
      </c>
      <c r="E2137" s="1707" t="n">
        <f aca="false">C2137*D2137</f>
        <v>0</v>
      </c>
      <c r="F2137" s="1708"/>
      <c r="G2137" s="1995" t="str">
        <f aca="false">'Прайс лист'!B1562</f>
        <v>обрешетка</v>
      </c>
      <c r="H2137" s="2146"/>
      <c r="I2137" s="2225"/>
      <c r="J2137" s="1707" t="s">
        <v>820</v>
      </c>
      <c r="K2137" s="1707" t="n">
        <f aca="false">C2130*(C2127+C2128+C2129)*D2019*I2123*IF(A2137=связи1!A431,0,1)</f>
        <v>0</v>
      </c>
      <c r="L2137" s="1707" t="n">
        <f aca="false">'Прайс лист'!G1562</f>
        <v>100</v>
      </c>
      <c r="M2137" s="1707"/>
      <c r="N2137" s="1707"/>
      <c r="O2137" s="1707" t="n">
        <f aca="false">K2137*L2137</f>
        <v>0</v>
      </c>
      <c r="Q2137" s="1617"/>
      <c r="R2137" s="1617"/>
      <c r="S2137" s="1617"/>
      <c r="T2137" s="1617"/>
      <c r="U2137" s="1617"/>
      <c r="V2137" s="1617"/>
      <c r="W2137" s="1617"/>
      <c r="X2137" s="1617"/>
      <c r="Y2137" s="1617"/>
    </row>
    <row r="2138" customFormat="false" ht="15.75" hidden="true" customHeight="true" outlineLevel="1" collapsed="false">
      <c r="A2138" s="1707" t="str">
        <f aca="false">'Ввод данных'!A653</f>
        <v>Доска сухая, калибр., 35*45мм</v>
      </c>
      <c r="B2138" s="2064" t="s">
        <v>48</v>
      </c>
      <c r="C2138" s="2064" t="n">
        <f aca="false">I2114*3*D2019*VLOOKUP(A2138,связи1!A417:E420,5,0)</f>
        <v>0</v>
      </c>
      <c r="D2138" s="1707" t="n">
        <f aca="false">VLOOKUP(A2138,связи1!A417:D420,2,0)</f>
        <v>12500</v>
      </c>
      <c r="E2138" s="1707" t="n">
        <f aca="false">C2138*D2138</f>
        <v>0</v>
      </c>
      <c r="F2138" s="1708"/>
      <c r="G2138" s="1995" t="str">
        <f aca="false">'Прайс лист'!B1563</f>
        <v>контробеш</v>
      </c>
      <c r="H2138" s="2146"/>
      <c r="I2138" s="2225"/>
      <c r="J2138" s="1707" t="s">
        <v>820</v>
      </c>
      <c r="K2138" s="1707" t="n">
        <f aca="false">C2130*(C2127+C2128+C2129)*D2019*I2123*IF(A2138=связи1!A417,0,1)</f>
        <v>0</v>
      </c>
      <c r="L2138" s="1707" t="n">
        <f aca="false">'Прайс лист'!G1563</f>
        <v>100</v>
      </c>
      <c r="M2138" s="1707"/>
      <c r="N2138" s="1707"/>
      <c r="O2138" s="1707" t="n">
        <f aca="false">K2138*L2138</f>
        <v>0</v>
      </c>
      <c r="Q2138" s="1617"/>
      <c r="R2138" s="1617"/>
      <c r="S2138" s="1617"/>
      <c r="T2138" s="1617"/>
      <c r="U2138" s="1617"/>
      <c r="V2138" s="1617"/>
      <c r="W2138" s="1617"/>
      <c r="X2138" s="1617"/>
      <c r="Y2138" s="1617"/>
    </row>
    <row r="2139" customFormat="false" ht="15.75" hidden="true" customHeight="true" outlineLevel="1" collapsed="false">
      <c r="A2139" s="1707" t="str">
        <f aca="false">'Ввод данных'!A659</f>
        <v>нет ветроизоляции</v>
      </c>
      <c r="B2139" s="2064" t="s">
        <v>820</v>
      </c>
      <c r="C2139" s="2064" t="n">
        <f aca="false">I2114*1.2*D2019</f>
        <v>0</v>
      </c>
      <c r="D2139" s="1707" t="n">
        <f aca="false">VLOOKUP(A2139,'Прайс лист'!B649:G675,6,0)</f>
        <v>0</v>
      </c>
      <c r="E2139" s="1707" t="n">
        <f aca="false">C2139*D2139</f>
        <v>0</v>
      </c>
      <c r="F2139" s="1708"/>
      <c r="G2139" s="1995" t="str">
        <f aca="false">'Прайс лист'!B1564</f>
        <v>мембрана</v>
      </c>
      <c r="H2139" s="2146"/>
      <c r="I2139" s="2225"/>
      <c r="J2139" s="1707" t="s">
        <v>820</v>
      </c>
      <c r="K2139" s="1707" t="n">
        <f aca="false">C2130*(C2127+C2128+C2129)*D2019*I2123*IF(A2139='Прайс лист'!B649,0,1)</f>
        <v>0</v>
      </c>
      <c r="L2139" s="1707" t="n">
        <f aca="false">'Прайс лист'!G1564</f>
        <v>100</v>
      </c>
      <c r="M2139" s="1707"/>
      <c r="N2139" s="1707"/>
      <c r="O2139" s="1707" t="n">
        <f aca="false">K2139*L2139</f>
        <v>0</v>
      </c>
      <c r="Q2139" s="1617"/>
      <c r="R2139" s="1617"/>
      <c r="S2139" s="1617"/>
      <c r="T2139" s="1617"/>
      <c r="U2139" s="1617"/>
      <c r="V2139" s="1617"/>
      <c r="W2139" s="1617"/>
      <c r="X2139" s="1617"/>
      <c r="Y2139" s="1617"/>
    </row>
    <row r="2140" customFormat="false" ht="15.75" hidden="true" customHeight="true" outlineLevel="1" collapsed="false">
      <c r="A2140" s="1707" t="s">
        <v>2918</v>
      </c>
      <c r="B2140" s="2064" t="s">
        <v>820</v>
      </c>
      <c r="C2140" s="2064" t="n">
        <f aca="false">C2130*1.1*G2123*C2127*D2019</f>
        <v>0</v>
      </c>
      <c r="D2140" s="1707" t="n">
        <f aca="false">'Прайс лист'!G956</f>
        <v>250</v>
      </c>
      <c r="E2140" s="1707" t="n">
        <f aca="false">C2140*D2140</f>
        <v>0</v>
      </c>
      <c r="F2140" s="1708"/>
      <c r="G2140" s="1995" t="str">
        <f aca="false">'Прайс лист'!B1567</f>
        <v>Монтаж металлочерепицы</v>
      </c>
      <c r="H2140" s="2146"/>
      <c r="I2140" s="2225"/>
      <c r="J2140" s="1707" t="s">
        <v>820</v>
      </c>
      <c r="K2140" s="1707" t="n">
        <f aca="false">C2130*(C2127+C2128+C2129)*D2019*I2123</f>
        <v>0</v>
      </c>
      <c r="L2140" s="1707" t="n">
        <f aca="false">'Прайс лист'!G1567</f>
        <v>300</v>
      </c>
      <c r="M2140" s="1707"/>
      <c r="N2140" s="1707"/>
      <c r="O2140" s="1707" t="n">
        <f aca="false">K2140*L2140</f>
        <v>0</v>
      </c>
      <c r="Q2140" s="1617"/>
      <c r="R2140" s="1617"/>
      <c r="S2140" s="1617"/>
      <c r="T2140" s="1617"/>
      <c r="U2140" s="1617"/>
      <c r="V2140" s="1617"/>
      <c r="W2140" s="1617"/>
      <c r="X2140" s="1617"/>
      <c r="Y2140" s="1617"/>
    </row>
    <row r="2141" customFormat="false" ht="15.75" hidden="true" customHeight="true" outlineLevel="1" collapsed="false">
      <c r="A2141" s="1707" t="s">
        <v>2134</v>
      </c>
      <c r="B2141" s="2064" t="s">
        <v>15</v>
      </c>
      <c r="C2141" s="2064" t="n">
        <f aca="false">I2117*G2123*(C2127+C2129)*D2019</f>
        <v>0</v>
      </c>
      <c r="D2141" s="1707" t="n">
        <f aca="false">'Прайс лист'!G957</f>
        <v>200</v>
      </c>
      <c r="E2141" s="1707" t="n">
        <f aca="false">C2141*D2141</f>
        <v>0</v>
      </c>
      <c r="F2141" s="1708"/>
      <c r="G2141" s="1995" t="str">
        <f aca="false">'Прайс лист'!B1569</f>
        <v>карнизная планка</v>
      </c>
      <c r="H2141" s="2146"/>
      <c r="I2141" s="2225"/>
      <c r="J2141" s="1707" t="s">
        <v>820</v>
      </c>
      <c r="K2141" s="1707" t="n">
        <f aca="false">C2141*D2019*I2123</f>
        <v>0</v>
      </c>
      <c r="L2141" s="1707" t="n">
        <f aca="false">'Прайс лист'!G1569</f>
        <v>100</v>
      </c>
      <c r="M2141" s="1707"/>
      <c r="N2141" s="1707"/>
      <c r="O2141" s="1707" t="n">
        <f aca="false">K2141*L2141</f>
        <v>0</v>
      </c>
      <c r="Q2141" s="1617"/>
      <c r="R2141" s="1617"/>
      <c r="S2141" s="1617"/>
      <c r="T2141" s="1617"/>
      <c r="U2141" s="1617"/>
      <c r="V2141" s="1617"/>
      <c r="W2141" s="1617"/>
      <c r="X2141" s="1617"/>
      <c r="Y2141" s="1617"/>
    </row>
    <row r="2142" customFormat="false" ht="15.75" hidden="true" customHeight="true" outlineLevel="1" collapsed="false">
      <c r="A2142" s="1707" t="s">
        <v>2135</v>
      </c>
      <c r="B2142" s="2064" t="s">
        <v>15</v>
      </c>
      <c r="C2142" s="2064" t="n">
        <f aca="false">I2118*G2123*(C2127+C2129)*D2019</f>
        <v>0</v>
      </c>
      <c r="D2142" s="1707" t="n">
        <f aca="false">'Прайс лист'!G958</f>
        <v>200</v>
      </c>
      <c r="E2142" s="1707" t="n">
        <f aca="false">C2142*D2142</f>
        <v>0</v>
      </c>
      <c r="F2142" s="1708"/>
      <c r="G2142" s="1995" t="str">
        <f aca="false">'Прайс лист'!B1570</f>
        <v>торцевая планка</v>
      </c>
      <c r="H2142" s="2146"/>
      <c r="I2142" s="2225"/>
      <c r="J2142" s="1707" t="s">
        <v>820</v>
      </c>
      <c r="K2142" s="1707" t="n">
        <f aca="false">C2142*D2019*I2123</f>
        <v>0</v>
      </c>
      <c r="L2142" s="1707" t="n">
        <f aca="false">'Прайс лист'!G1570</f>
        <v>100</v>
      </c>
      <c r="M2142" s="1707"/>
      <c r="N2142" s="1707"/>
      <c r="O2142" s="1707" t="n">
        <f aca="false">K2142*L2142</f>
        <v>0</v>
      </c>
      <c r="Q2142" s="1617"/>
      <c r="R2142" s="1617"/>
      <c r="S2142" s="1617"/>
      <c r="T2142" s="1617"/>
      <c r="U2142" s="1617"/>
      <c r="V2142" s="1617"/>
      <c r="W2142" s="1617"/>
      <c r="X2142" s="1617"/>
      <c r="Y2142" s="1617"/>
    </row>
    <row r="2143" customFormat="false" ht="15.75" hidden="true" customHeight="true" outlineLevel="1" collapsed="false">
      <c r="A2143" s="1707" t="s">
        <v>249</v>
      </c>
      <c r="B2143" s="2064" t="s">
        <v>15</v>
      </c>
      <c r="C2143" s="2064" t="n">
        <f aca="false">C2131*G2123*(C2127)*D2019</f>
        <v>0</v>
      </c>
      <c r="D2143" s="1707" t="n">
        <f aca="false">'Прайс лист'!G959</f>
        <v>230</v>
      </c>
      <c r="E2143" s="1707" t="n">
        <f aca="false">C2143*D2143</f>
        <v>0</v>
      </c>
      <c r="F2143" s="1708"/>
      <c r="G2143" s="1995" t="str">
        <f aca="false">'Прайс лист'!B1572</f>
        <v>желоб водосточный</v>
      </c>
      <c r="H2143" s="2146"/>
      <c r="I2143" s="2225"/>
      <c r="J2143" s="1707" t="s">
        <v>15</v>
      </c>
      <c r="K2143" s="1707" t="n">
        <f aca="false">C2163*D2019*I2123</f>
        <v>0</v>
      </c>
      <c r="L2143" s="1707" t="n">
        <f aca="false">'Прайс лист'!G1572</f>
        <v>300</v>
      </c>
      <c r="M2143" s="1707"/>
      <c r="N2143" s="1707"/>
      <c r="O2143" s="1707" t="n">
        <f aca="false">K2143*L2143</f>
        <v>0</v>
      </c>
      <c r="Q2143" s="1617"/>
      <c r="R2143" s="1617"/>
      <c r="S2143" s="1617"/>
      <c r="T2143" s="1617"/>
      <c r="U2143" s="1617"/>
      <c r="V2143" s="1617"/>
      <c r="W2143" s="1617"/>
      <c r="X2143" s="1617"/>
      <c r="Y2143" s="1617"/>
    </row>
    <row r="2144" customFormat="false" ht="15.75" hidden="true" customHeight="true" outlineLevel="1" collapsed="false">
      <c r="A2144" s="1707" t="s">
        <v>2919</v>
      </c>
      <c r="B2144" s="2064" t="s">
        <v>820</v>
      </c>
      <c r="C2144" s="2064" t="n">
        <f aca="false">C2130*1.1*G2123*C2128*D2019</f>
        <v>0</v>
      </c>
      <c r="D2144" s="1707" t="n">
        <f aca="false">'Прайс лист'!G968</f>
        <v>180</v>
      </c>
      <c r="E2144" s="1707" t="n">
        <f aca="false">C2144*D2144</f>
        <v>0</v>
      </c>
      <c r="F2144" s="1708"/>
      <c r="G2144" s="1995" t="str">
        <f aca="false">'Прайс лист'!B1573</f>
        <v>труба водосточная</v>
      </c>
      <c r="H2144" s="2146"/>
      <c r="I2144" s="2225"/>
      <c r="J2144" s="1707" t="s">
        <v>15</v>
      </c>
      <c r="K2144" s="1707" t="n">
        <f aca="false">C2165*D2019*I2123</f>
        <v>0</v>
      </c>
      <c r="L2144" s="1707" t="n">
        <f aca="false">'Прайс лист'!G1573</f>
        <v>300</v>
      </c>
      <c r="M2144" s="1707"/>
      <c r="N2144" s="1707"/>
      <c r="O2144" s="1707" t="n">
        <f aca="false">K2144*L2144</f>
        <v>0</v>
      </c>
      <c r="Q2144" s="1617"/>
      <c r="R2144" s="1617"/>
      <c r="S2144" s="1617"/>
      <c r="T2144" s="1617"/>
      <c r="U2144" s="1617"/>
      <c r="V2144" s="1617"/>
      <c r="W2144" s="1617"/>
      <c r="X2144" s="1617"/>
      <c r="Y2144" s="1617"/>
    </row>
    <row r="2145" customFormat="false" ht="15.75" hidden="true" customHeight="true" outlineLevel="1" collapsed="false">
      <c r="A2145" s="1436" t="str">
        <f aca="false">'Прайс лист'!B969</f>
        <v>Карнизная планка</v>
      </c>
      <c r="B2145" s="1692" t="str">
        <f aca="false">'Прайс лист'!C969</f>
        <v>м.п.</v>
      </c>
      <c r="C2145" s="1436" t="n">
        <f aca="false">I2117*G2123*(C2128)*D2019</f>
        <v>0</v>
      </c>
      <c r="D2145" s="1707" t="n">
        <f aca="false">'Прайс лист'!G969</f>
        <v>190</v>
      </c>
      <c r="E2145" s="1707" t="n">
        <f aca="false">C2145*D2145</f>
        <v>0</v>
      </c>
      <c r="F2145" s="1708"/>
      <c r="G2145" s="1436" t="str">
        <f aca="false">'Прайс лист'!B1568</f>
        <v>Монтаж ондулина</v>
      </c>
      <c r="H2145" s="1436"/>
      <c r="I2145" s="1436"/>
      <c r="J2145" s="1180" t="s">
        <v>820</v>
      </c>
      <c r="K2145" s="1436" t="n">
        <f aca="false">C2130*C2128</f>
        <v>0</v>
      </c>
      <c r="L2145" s="1436" t="n">
        <f aca="false">'Прайс лист'!G1568</f>
        <v>300</v>
      </c>
      <c r="M2145" s="1436"/>
      <c r="N2145" s="1436"/>
      <c r="O2145" s="1707" t="n">
        <f aca="false">K2145*L2145</f>
        <v>0</v>
      </c>
      <c r="Q2145" s="1617"/>
      <c r="R2145" s="1617"/>
      <c r="S2145" s="1617"/>
      <c r="T2145" s="1617"/>
      <c r="U2145" s="1617"/>
      <c r="V2145" s="1617"/>
      <c r="W2145" s="1617"/>
      <c r="X2145" s="1617"/>
      <c r="Y2145" s="1617"/>
    </row>
    <row r="2146" customFormat="false" ht="15.75" hidden="true" customHeight="true" outlineLevel="1" collapsed="false">
      <c r="A2146" s="1436" t="str">
        <f aca="false">'Прайс лист'!B970</f>
        <v>Торцевая планка</v>
      </c>
      <c r="B2146" s="1692" t="str">
        <f aca="false">'Прайс лист'!C970</f>
        <v>м.п.</v>
      </c>
      <c r="C2146" s="2064" t="n">
        <f aca="false">I2118*G2123*(C2128)*D2019</f>
        <v>0</v>
      </c>
      <c r="D2146" s="1707" t="n">
        <f aca="false">'Прайс лист'!G970</f>
        <v>190</v>
      </c>
      <c r="E2146" s="1707" t="n">
        <f aca="false">C2146*D2146</f>
        <v>0</v>
      </c>
      <c r="F2146" s="1708"/>
      <c r="G2146" s="2211" t="str">
        <f aca="false">'Прайс лист'!B1576</f>
        <v>Монтаж фанеры/osb</v>
      </c>
      <c r="H2146" s="2211"/>
      <c r="I2146" s="2062"/>
      <c r="J2146" s="1707" t="s">
        <v>820</v>
      </c>
      <c r="K2146" s="1707" t="n">
        <f aca="false">C2130*IF(A2152='Прайс лист'!B863,0,1)</f>
        <v>0</v>
      </c>
      <c r="L2146" s="1707" t="n">
        <f aca="false">'Прайс лист'!G1576</f>
        <v>200</v>
      </c>
      <c r="M2146" s="1707"/>
      <c r="N2146" s="1707"/>
      <c r="O2146" s="1707" t="n">
        <f aca="false">K2146*L2146</f>
        <v>0</v>
      </c>
      <c r="Q2146" s="1617"/>
      <c r="R2146" s="1617"/>
      <c r="S2146" s="1617"/>
      <c r="T2146" s="1617"/>
      <c r="U2146" s="1617"/>
      <c r="V2146" s="1617"/>
      <c r="W2146" s="1617"/>
      <c r="X2146" s="1617"/>
      <c r="Y2146" s="1617"/>
    </row>
    <row r="2147" customFormat="false" ht="15.75" hidden="true" customHeight="true" outlineLevel="1" collapsed="false">
      <c r="A2147" s="1436" t="str">
        <f aca="false">'Прайс лист'!B971</f>
        <v>Конек</v>
      </c>
      <c r="B2147" s="1692" t="str">
        <f aca="false">'Прайс лист'!C971</f>
        <v>м.п.</v>
      </c>
      <c r="C2147" s="2064" t="n">
        <f aca="false">C2131*G2123*(C2128)*D2019</f>
        <v>0</v>
      </c>
      <c r="D2147" s="1707" t="n">
        <f aca="false">'Прайс лист'!G971</f>
        <v>200</v>
      </c>
      <c r="E2147" s="1707" t="n">
        <f aca="false">C2147*D2147</f>
        <v>0</v>
      </c>
      <c r="F2147" s="1708"/>
      <c r="G2147" s="2211" t="str">
        <f aca="false">'Прайс лист'!B1577</f>
        <v>монтаж подкладочного ковра</v>
      </c>
      <c r="H2147" s="2428"/>
      <c r="I2147" s="2225"/>
      <c r="J2147" s="1707" t="s">
        <v>820</v>
      </c>
      <c r="K2147" s="1707" t="n">
        <f aca="false">C2130*C2129</f>
        <v>0</v>
      </c>
      <c r="L2147" s="1707" t="n">
        <f aca="false">'Прайс лист'!G1577</f>
        <v>150</v>
      </c>
      <c r="M2147" s="1707"/>
      <c r="N2147" s="1707"/>
      <c r="O2147" s="1707" t="n">
        <f aca="false">K2147*L2147</f>
        <v>0</v>
      </c>
      <c r="Q2147" s="1617"/>
      <c r="R2147" s="1617"/>
      <c r="S2147" s="1617"/>
      <c r="T2147" s="1617"/>
      <c r="U2147" s="1617"/>
      <c r="V2147" s="1617"/>
      <c r="W2147" s="1617"/>
      <c r="X2147" s="1617"/>
      <c r="Y2147" s="1617"/>
    </row>
    <row r="2148" customFormat="false" ht="15.75" hidden="true" customHeight="true" outlineLevel="1" collapsed="false">
      <c r="A2148" s="1436" t="str">
        <f aca="false">'Прайс лист'!B972</f>
        <v>Ендова нижняя</v>
      </c>
      <c r="B2148" s="1692" t="str">
        <f aca="false">'Прайс лист'!C972</f>
        <v>м.п.</v>
      </c>
      <c r="C2148" s="2064" t="n">
        <f aca="false">(E2106*E2100*2+G2110*G2100)*1.1*(C2127*C2128*C2129)</f>
        <v>0</v>
      </c>
      <c r="D2148" s="1707" t="n">
        <f aca="false">'Прайс лист'!G972</f>
        <v>160</v>
      </c>
      <c r="E2148" s="1707" t="n">
        <f aca="false">C2148*D2148</f>
        <v>0</v>
      </c>
      <c r="F2148" s="1708"/>
      <c r="G2148" s="2211" t="str">
        <f aca="false">'Прайс лист'!B1578</f>
        <v>Монтаж мягкой кровли</v>
      </c>
      <c r="H2148" s="2428"/>
      <c r="I2148" s="2225"/>
      <c r="J2148" s="1707" t="s">
        <v>820</v>
      </c>
      <c r="K2148" s="1707" t="n">
        <f aca="false">C2130*C2129</f>
        <v>0</v>
      </c>
      <c r="L2148" s="1707" t="n">
        <f aca="false">'Прайс лист'!G1578</f>
        <v>350</v>
      </c>
      <c r="M2148" s="1707"/>
      <c r="N2148" s="1707"/>
      <c r="O2148" s="1707" t="n">
        <f aca="false">K2148*L2148</f>
        <v>0</v>
      </c>
      <c r="Q2148" s="1617"/>
      <c r="R2148" s="1617"/>
      <c r="S2148" s="1617"/>
      <c r="T2148" s="1617"/>
      <c r="U2148" s="1617"/>
      <c r="V2148" s="1617"/>
      <c r="W2148" s="1617"/>
      <c r="X2148" s="1617"/>
      <c r="Y2148" s="1617"/>
    </row>
    <row r="2149" customFormat="false" ht="15.75" hidden="true" customHeight="true" outlineLevel="1" collapsed="false">
      <c r="A2149" s="1436" t="str">
        <f aca="false">'Прайс лист'!B973</f>
        <v>Ендова верхняя</v>
      </c>
      <c r="B2149" s="1692" t="str">
        <f aca="false">'Прайс лист'!C973</f>
        <v>м.п.</v>
      </c>
      <c r="C2149" s="2064"/>
      <c r="D2149" s="1707" t="n">
        <f aca="false">'Прайс лист'!G973</f>
        <v>190</v>
      </c>
      <c r="E2149" s="1707" t="n">
        <f aca="false">C2149*D2149</f>
        <v>0</v>
      </c>
      <c r="F2149" s="1708"/>
      <c r="G2149" s="2341"/>
      <c r="H2149" s="2360"/>
      <c r="I2149" s="2225"/>
      <c r="J2149" s="1707"/>
      <c r="K2149" s="1707"/>
      <c r="L2149" s="1707"/>
      <c r="M2149" s="1707"/>
      <c r="N2149" s="1707"/>
      <c r="O2149" s="1707"/>
      <c r="Q2149" s="1617"/>
      <c r="R2149" s="1617"/>
      <c r="S2149" s="1617"/>
      <c r="T2149" s="1617"/>
      <c r="U2149" s="1617"/>
      <c r="V2149" s="1617"/>
      <c r="W2149" s="1617"/>
      <c r="X2149" s="1617"/>
      <c r="Y2149" s="1617"/>
    </row>
    <row r="2150" customFormat="false" ht="15.75" hidden="true" customHeight="true" outlineLevel="1" collapsed="false">
      <c r="A2150" s="1436" t="str">
        <f aca="false">'Прайс лист'!B974</f>
        <v>Планка примыкания</v>
      </c>
      <c r="B2150" s="1692" t="str">
        <f aca="false">'Прайс лист'!C974</f>
        <v>м.п.</v>
      </c>
      <c r="C2150" s="2064" t="n">
        <f aca="false">C2148</f>
        <v>0</v>
      </c>
      <c r="D2150" s="1707" t="n">
        <f aca="false">'Прайс лист'!G974</f>
        <v>190</v>
      </c>
      <c r="E2150" s="1707" t="n">
        <f aca="false">C2150*D2150</f>
        <v>0</v>
      </c>
      <c r="F2150" s="1708"/>
      <c r="G2150" s="2341"/>
      <c r="H2150" s="2360"/>
      <c r="I2150" s="2225"/>
      <c r="J2150" s="1707"/>
      <c r="K2150" s="1707"/>
      <c r="L2150" s="1707"/>
      <c r="M2150" s="1707"/>
      <c r="N2150" s="1707"/>
      <c r="O2150" s="1707"/>
      <c r="Q2150" s="1617"/>
      <c r="R2150" s="1617"/>
      <c r="S2150" s="1617"/>
      <c r="T2150" s="1617"/>
      <c r="U2150" s="1617"/>
      <c r="V2150" s="1617"/>
      <c r="W2150" s="1617"/>
      <c r="X2150" s="1617"/>
      <c r="Y2150" s="1617"/>
    </row>
    <row r="2151" customFormat="false" ht="15.75" hidden="true" customHeight="true" outlineLevel="1" collapsed="false">
      <c r="A2151" s="1436" t="str">
        <f aca="false">'Прайс лист'!B975</f>
        <v>Крепеж для ондулина</v>
      </c>
      <c r="B2151" s="1692" t="str">
        <f aca="false">'Прайс лист'!C975</f>
        <v>шт</v>
      </c>
      <c r="C2151" s="2064" t="n">
        <f aca="false">C2130*12*(C2128)*D2019</f>
        <v>0</v>
      </c>
      <c r="D2151" s="1707" t="n">
        <f aca="false">'Прайс лист'!G975</f>
        <v>4.5</v>
      </c>
      <c r="E2151" s="1707" t="n">
        <f aca="false">C2151*D2151</f>
        <v>0</v>
      </c>
      <c r="F2151" s="1708"/>
      <c r="G2151" s="2341"/>
      <c r="H2151" s="2360"/>
      <c r="I2151" s="2225"/>
      <c r="J2151" s="1707"/>
      <c r="K2151" s="1707"/>
      <c r="L2151" s="1707"/>
      <c r="M2151" s="1707"/>
      <c r="N2151" s="1707"/>
      <c r="O2151" s="1707"/>
      <c r="Q2151" s="1617"/>
      <c r="R2151" s="1617"/>
      <c r="S2151" s="1617"/>
      <c r="T2151" s="1617"/>
      <c r="U2151" s="1617"/>
      <c r="V2151" s="1617"/>
      <c r="W2151" s="1617"/>
      <c r="X2151" s="1617"/>
      <c r="Y2151" s="1617"/>
    </row>
    <row r="2152" customFormat="false" ht="15.75" hidden="true" customHeight="true" outlineLevel="1" collapsed="false">
      <c r="A2152" s="1436" t="str">
        <f aca="false">'Ввод данных'!A655</f>
        <v>нет</v>
      </c>
      <c r="B2152" s="1692" t="s">
        <v>820</v>
      </c>
      <c r="C2152" s="2064" t="n">
        <f aca="false">C2130*1.1</f>
        <v>21.4120474499754</v>
      </c>
      <c r="D2152" s="1707" t="n">
        <f aca="false">VLOOKUP(A2152,'Прайс лист'!B863:G907,6,0)</f>
        <v>0</v>
      </c>
      <c r="E2152" s="1707" t="n">
        <f aca="false">C2152*D2152</f>
        <v>0</v>
      </c>
      <c r="F2152" s="1708"/>
      <c r="G2152" s="2341"/>
      <c r="H2152" s="2360"/>
      <c r="I2152" s="2225"/>
      <c r="J2152" s="1707"/>
      <c r="K2152" s="1707"/>
      <c r="L2152" s="1707"/>
      <c r="M2152" s="1707"/>
      <c r="N2152" s="1707"/>
      <c r="O2152" s="1707"/>
      <c r="Q2152" s="1617"/>
      <c r="R2152" s="1617"/>
      <c r="S2152" s="1617"/>
      <c r="T2152" s="1617"/>
      <c r="U2152" s="1617"/>
      <c r="V2152" s="1617"/>
      <c r="W2152" s="1617"/>
      <c r="X2152" s="1617"/>
      <c r="Y2152" s="1617"/>
    </row>
    <row r="2153" customFormat="false" ht="15.75" hidden="true" customHeight="true" outlineLevel="1" collapsed="false">
      <c r="A2153" s="1436" t="str">
        <f aca="false">'Прайс лист'!B980</f>
        <v>Рядовая черепица</v>
      </c>
      <c r="B2153" s="1692" t="str">
        <f aca="false">'Прайс лист'!C980</f>
        <v>м2</v>
      </c>
      <c r="C2153" s="2064" t="n">
        <f aca="false">C2130*C2129</f>
        <v>0</v>
      </c>
      <c r="D2153" s="1707" t="n">
        <f aca="false">'Прайс лист'!G980</f>
        <v>360</v>
      </c>
      <c r="E2153" s="1707" t="n">
        <f aca="false">C2153*D2153</f>
        <v>0</v>
      </c>
      <c r="F2153" s="1708"/>
      <c r="G2153" s="2341"/>
      <c r="H2153" s="2360"/>
      <c r="I2153" s="2225"/>
      <c r="J2153" s="1707"/>
      <c r="K2153" s="1707"/>
      <c r="L2153" s="1707"/>
      <c r="M2153" s="1707"/>
      <c r="N2153" s="1707"/>
      <c r="O2153" s="1707"/>
      <c r="Q2153" s="1617"/>
      <c r="R2153" s="1617"/>
      <c r="S2153" s="1617"/>
      <c r="T2153" s="1617"/>
      <c r="U2153" s="1617"/>
      <c r="V2153" s="1617"/>
      <c r="W2153" s="1617"/>
      <c r="X2153" s="1617"/>
      <c r="Y2153" s="1617"/>
    </row>
    <row r="2154" customFormat="false" ht="15.75" hidden="true" customHeight="true" outlineLevel="1" collapsed="false">
      <c r="A2154" s="1436" t="str">
        <f aca="false">'Прайс лист'!B981</f>
        <v>Металл оцинк защита (карниз)</v>
      </c>
      <c r="B2154" s="1692" t="str">
        <f aca="false">'Прайс лист'!C981</f>
        <v>м.п.</v>
      </c>
      <c r="C2154" s="2064" t="n">
        <f aca="false">C2131*2*C2129+C2129*G2110*G2100</f>
        <v>0</v>
      </c>
      <c r="D2154" s="1707" t="n">
        <f aca="false">'Прайс лист'!G981</f>
        <v>200</v>
      </c>
      <c r="E2154" s="1707" t="n">
        <f aca="false">C2154*D2154</f>
        <v>0</v>
      </c>
      <c r="F2154" s="1708"/>
      <c r="G2154" s="2341"/>
      <c r="H2154" s="2360"/>
      <c r="I2154" s="2225"/>
      <c r="J2154" s="1707"/>
      <c r="K2154" s="1707"/>
      <c r="L2154" s="1707"/>
      <c r="M2154" s="1707"/>
      <c r="N2154" s="1707"/>
      <c r="O2154" s="1707"/>
      <c r="Q2154" s="1617"/>
      <c r="R2154" s="1617"/>
      <c r="S2154" s="1617"/>
      <c r="T2154" s="1617"/>
      <c r="U2154" s="1617"/>
      <c r="V2154" s="1617"/>
      <c r="W2154" s="1617"/>
      <c r="X2154" s="1617"/>
      <c r="Y2154" s="1617"/>
    </row>
    <row r="2155" customFormat="false" ht="15.75" hidden="true" customHeight="true" outlineLevel="1" collapsed="false">
      <c r="A2155" s="1436" t="str">
        <f aca="false">'Прайс лист'!B982</f>
        <v>Подкладочный ковер</v>
      </c>
      <c r="B2155" s="1692" t="str">
        <f aca="false">'Прайс лист'!C982</f>
        <v>м.п.</v>
      </c>
      <c r="C2155" s="2064" t="n">
        <f aca="false">C2153*1.1</f>
        <v>0</v>
      </c>
      <c r="D2155" s="1707" t="n">
        <f aca="false">'Прайс лист'!G982</f>
        <v>220</v>
      </c>
      <c r="E2155" s="1707" t="n">
        <f aca="false">C2155*D2155</f>
        <v>0</v>
      </c>
      <c r="F2155" s="1708"/>
      <c r="G2155" s="2341"/>
      <c r="H2155" s="2360"/>
      <c r="I2155" s="2225"/>
      <c r="J2155" s="1707"/>
      <c r="K2155" s="1707"/>
      <c r="L2155" s="1707"/>
      <c r="M2155" s="1707"/>
      <c r="N2155" s="1707"/>
      <c r="O2155" s="1707"/>
      <c r="Q2155" s="1617"/>
      <c r="R2155" s="1617"/>
      <c r="S2155" s="1617"/>
      <c r="T2155" s="1617"/>
      <c r="U2155" s="1617"/>
      <c r="V2155" s="1617"/>
      <c r="W2155" s="1617"/>
      <c r="X2155" s="1617"/>
      <c r="Y2155" s="1617"/>
    </row>
    <row r="2156" customFormat="false" ht="15.75" hidden="true" customHeight="true" outlineLevel="1" collapsed="false">
      <c r="A2156" s="1436" t="str">
        <f aca="false">'Прайс лист'!B983</f>
        <v>Карнизная самоклеющаяся черепица</v>
      </c>
      <c r="B2156" s="1692" t="str">
        <f aca="false">'Прайс лист'!C983</f>
        <v>м.п.</v>
      </c>
      <c r="C2156" s="2064" t="n">
        <f aca="false">C2154</f>
        <v>0</v>
      </c>
      <c r="D2156" s="1707" t="n">
        <f aca="false">'Прайс лист'!G983</f>
        <v>220</v>
      </c>
      <c r="E2156" s="1707" t="n">
        <f aca="false">C2156*D2156</f>
        <v>0</v>
      </c>
      <c r="F2156" s="1708"/>
      <c r="G2156" s="2341"/>
      <c r="H2156" s="2360"/>
      <c r="I2156" s="2225"/>
      <c r="J2156" s="1707"/>
      <c r="K2156" s="1707"/>
      <c r="L2156" s="1707"/>
      <c r="M2156" s="1707"/>
      <c r="N2156" s="1707"/>
      <c r="O2156" s="1707"/>
      <c r="Q2156" s="1617"/>
      <c r="R2156" s="1617"/>
      <c r="S2156" s="1617"/>
      <c r="T2156" s="1617"/>
      <c r="U2156" s="1617"/>
      <c r="V2156" s="1617"/>
      <c r="W2156" s="1617"/>
      <c r="X2156" s="1617"/>
      <c r="Y2156" s="1617"/>
    </row>
    <row r="2157" customFormat="false" ht="15.75" hidden="true" customHeight="true" outlineLevel="1" collapsed="false">
      <c r="A2157" s="1436" t="str">
        <f aca="false">'Прайс лист'!B984</f>
        <v>Спец ковер ендова нижняя</v>
      </c>
      <c r="B2157" s="1692" t="str">
        <f aca="false">'Прайс лист'!C984</f>
        <v>м.п.</v>
      </c>
      <c r="C2157" s="2064" t="n">
        <f aca="false">(E2100*E2106*2+G2100*G2106)*1.1*C2129</f>
        <v>0</v>
      </c>
      <c r="D2157" s="1707" t="n">
        <f aca="false">'Прайс лист'!G984</f>
        <v>200</v>
      </c>
      <c r="E2157" s="1707" t="n">
        <f aca="false">C2157*D2157</f>
        <v>0</v>
      </c>
      <c r="F2157" s="1708"/>
      <c r="G2157" s="2341"/>
      <c r="H2157" s="2360"/>
      <c r="I2157" s="2225"/>
      <c r="J2157" s="1707"/>
      <c r="K2157" s="1707"/>
      <c r="L2157" s="1707"/>
      <c r="M2157" s="1707"/>
      <c r="N2157" s="1707"/>
      <c r="O2157" s="1707"/>
      <c r="Q2157" s="1617"/>
      <c r="R2157" s="1617"/>
      <c r="S2157" s="1617"/>
      <c r="T2157" s="1617"/>
      <c r="U2157" s="1617"/>
      <c r="V2157" s="1617"/>
      <c r="W2157" s="1617"/>
      <c r="X2157" s="1617"/>
      <c r="Y2157" s="1617"/>
    </row>
    <row r="2158" customFormat="false" ht="15.75" hidden="true" customHeight="true" outlineLevel="1" collapsed="false">
      <c r="A2158" s="1436" t="str">
        <f aca="false">'Прайс лист'!B985</f>
        <v>Коньковой элемент</v>
      </c>
      <c r="B2158" s="1692" t="str">
        <f aca="false">'Прайс лист'!C985</f>
        <v>м.п.</v>
      </c>
      <c r="C2158" s="2064" t="n">
        <f aca="false">E2110*E2100*G2123*(C2129)*D2019</f>
        <v>0</v>
      </c>
      <c r="D2158" s="1707" t="n">
        <f aca="false">'Прайс лист'!G985</f>
        <v>250</v>
      </c>
      <c r="E2158" s="1707" t="n">
        <f aca="false">C2158*D2158</f>
        <v>0</v>
      </c>
      <c r="F2158" s="1708"/>
      <c r="G2158" s="2341"/>
      <c r="H2158" s="2360"/>
      <c r="I2158" s="2225"/>
      <c r="J2158" s="1707"/>
      <c r="K2158" s="1707"/>
      <c r="L2158" s="1707"/>
      <c r="M2158" s="1707"/>
      <c r="N2158" s="1707"/>
      <c r="O2158" s="1707"/>
      <c r="Q2158" s="1617"/>
      <c r="R2158" s="1617"/>
      <c r="S2158" s="1617"/>
      <c r="T2158" s="1617"/>
      <c r="U2158" s="1617"/>
      <c r="V2158" s="1617"/>
      <c r="W2158" s="1617"/>
      <c r="X2158" s="1617"/>
      <c r="Y2158" s="1617"/>
    </row>
    <row r="2159" customFormat="false" ht="15.75" hidden="true" customHeight="true" outlineLevel="1" collapsed="false">
      <c r="A2159" s="1436" t="str">
        <f aca="false">'Прайс лист'!B986</f>
        <v>Планка премыкания</v>
      </c>
      <c r="B2159" s="1692" t="str">
        <f aca="false">'Прайс лист'!C986</f>
        <v>м.п.</v>
      </c>
      <c r="C2159" s="2064" t="n">
        <f aca="false">C2157</f>
        <v>0</v>
      </c>
      <c r="D2159" s="1707" t="n">
        <f aca="false">'Прайс лист'!G986</f>
        <v>200</v>
      </c>
      <c r="E2159" s="1707" t="n">
        <f aca="false">C2159*D2159</f>
        <v>0</v>
      </c>
      <c r="F2159" s="1708"/>
      <c r="G2159" s="2341"/>
      <c r="H2159" s="2360"/>
      <c r="I2159" s="2225"/>
      <c r="J2159" s="1707"/>
      <c r="K2159" s="1707"/>
      <c r="L2159" s="1707"/>
      <c r="M2159" s="1707"/>
      <c r="N2159" s="1707"/>
      <c r="O2159" s="1707"/>
      <c r="Q2159" s="1617"/>
      <c r="R2159" s="1617"/>
      <c r="S2159" s="1617"/>
      <c r="T2159" s="1617"/>
      <c r="U2159" s="1617"/>
      <c r="V2159" s="1617"/>
      <c r="W2159" s="1617"/>
      <c r="X2159" s="1617"/>
      <c r="Y2159" s="1617"/>
    </row>
    <row r="2160" customFormat="false" ht="15.75" hidden="true" customHeight="true" outlineLevel="1" collapsed="false">
      <c r="A2160" s="1436" t="str">
        <f aca="false">'Прайс лист'!B987</f>
        <v>Гвозди для крепления подкладочного ковра</v>
      </c>
      <c r="B2160" s="1692" t="str">
        <f aca="false">'Прайс лист'!C987</f>
        <v>шт</v>
      </c>
      <c r="C2160" s="2064" t="n">
        <f aca="false">C2155*12</f>
        <v>0</v>
      </c>
      <c r="D2160" s="1707" t="n">
        <f aca="false">'Прайс лист'!G987</f>
        <v>0.012</v>
      </c>
      <c r="E2160" s="1707" t="n">
        <f aca="false">C2160*D2160</f>
        <v>0</v>
      </c>
      <c r="F2160" s="1708"/>
      <c r="G2160" s="2341"/>
      <c r="H2160" s="2360"/>
      <c r="I2160" s="2225"/>
      <c r="J2160" s="1707"/>
      <c r="K2160" s="1707"/>
      <c r="L2160" s="1707"/>
      <c r="M2160" s="1707"/>
      <c r="N2160" s="1707"/>
      <c r="O2160" s="1707"/>
      <c r="Q2160" s="1617"/>
      <c r="R2160" s="1617"/>
      <c r="S2160" s="1617"/>
      <c r="T2160" s="1617"/>
      <c r="U2160" s="1617"/>
      <c r="V2160" s="1617"/>
      <c r="W2160" s="1617"/>
      <c r="X2160" s="1617"/>
      <c r="Y2160" s="1617"/>
    </row>
    <row r="2161" customFormat="false" ht="15.75" hidden="true" customHeight="true" outlineLevel="1" collapsed="false">
      <c r="A2161" s="1436" t="str">
        <f aca="false">'Прайс лист'!B988</f>
        <v>Гвозди для крепления черепицы</v>
      </c>
      <c r="B2161" s="1692" t="str">
        <f aca="false">'Прайс лист'!C988</f>
        <v>шт</v>
      </c>
      <c r="C2161" s="2064" t="n">
        <f aca="false">C2153*22</f>
        <v>0</v>
      </c>
      <c r="D2161" s="1707" t="n">
        <f aca="false">'Прайс лист'!G988</f>
        <v>0.25</v>
      </c>
      <c r="E2161" s="1707" t="n">
        <f aca="false">C2161*D2161</f>
        <v>0</v>
      </c>
      <c r="F2161" s="1708"/>
      <c r="G2161" s="2341"/>
      <c r="H2161" s="2360"/>
      <c r="I2161" s="2225"/>
      <c r="J2161" s="1707"/>
      <c r="K2161" s="1707"/>
      <c r="L2161" s="1707"/>
      <c r="M2161" s="1707"/>
      <c r="N2161" s="1707"/>
      <c r="O2161" s="1707"/>
      <c r="Q2161" s="1617"/>
      <c r="R2161" s="1617"/>
      <c r="S2161" s="1617"/>
      <c r="T2161" s="1617"/>
      <c r="U2161" s="1617"/>
      <c r="V2161" s="1617"/>
      <c r="W2161" s="1617"/>
      <c r="X2161" s="1617"/>
      <c r="Y2161" s="1617"/>
    </row>
    <row r="2162" customFormat="false" ht="15.75" hidden="true" customHeight="true" outlineLevel="1" collapsed="false">
      <c r="A2162" s="1436" t="str">
        <f aca="false">'Прайс лист'!B989</f>
        <v>Клей для монтажа черепицы</v>
      </c>
      <c r="B2162" s="1692" t="str">
        <f aca="false">'Прайс лист'!C989</f>
        <v>кг</v>
      </c>
      <c r="C2162" s="2064" t="n">
        <f aca="false">C2153</f>
        <v>0</v>
      </c>
      <c r="D2162" s="1707" t="n">
        <f aca="false">'Прайс лист'!G989</f>
        <v>250</v>
      </c>
      <c r="E2162" s="1707" t="n">
        <f aca="false">C2162*D2162</f>
        <v>0</v>
      </c>
      <c r="F2162" s="1708"/>
      <c r="G2162" s="2341"/>
      <c r="H2162" s="2360"/>
      <c r="I2162" s="2225"/>
      <c r="J2162" s="1707"/>
      <c r="K2162" s="1707"/>
      <c r="L2162" s="1707"/>
      <c r="M2162" s="1707"/>
      <c r="N2162" s="1707"/>
      <c r="O2162" s="1707"/>
      <c r="Q2162" s="1617"/>
      <c r="R2162" s="1617"/>
      <c r="S2162" s="1617"/>
      <c r="T2162" s="1617"/>
      <c r="U2162" s="1617"/>
      <c r="V2162" s="1617"/>
      <c r="W2162" s="1617"/>
      <c r="X2162" s="1617"/>
      <c r="Y2162" s="1617"/>
    </row>
    <row r="2163" s="1582" customFormat="true" ht="15.75" hidden="true" customHeight="true" outlineLevel="1" collapsed="false">
      <c r="A2163" s="1707" t="str">
        <f aca="false">'Прайс лист'!B994</f>
        <v>желоб</v>
      </c>
      <c r="B2163" s="2064" t="s">
        <v>2013</v>
      </c>
      <c r="C2163" s="2064" t="n">
        <f aca="false">I2116</f>
        <v>7.6</v>
      </c>
      <c r="D2163" s="1707" t="n">
        <f aca="false">'Прайс лист'!G994</f>
        <v>300</v>
      </c>
      <c r="E2163" s="1707" t="n">
        <f aca="false">C2163*D2163</f>
        <v>2280</v>
      </c>
      <c r="F2163" s="1708"/>
      <c r="Q2163" s="1617"/>
      <c r="R2163" s="1617"/>
      <c r="S2163" s="1617"/>
      <c r="T2163" s="1617"/>
      <c r="U2163" s="1617"/>
      <c r="V2163" s="1617"/>
      <c r="W2163" s="1617"/>
      <c r="X2163" s="1617"/>
      <c r="Y2163" s="1617"/>
    </row>
    <row r="2164" customFormat="false" ht="15.75" hidden="true" customHeight="true" outlineLevel="1" collapsed="false">
      <c r="A2164" s="1707" t="str">
        <f aca="false">'Прайс лист'!B995</f>
        <v>отвод</v>
      </c>
      <c r="B2164" s="2064" t="s">
        <v>48</v>
      </c>
      <c r="C2164" s="2064" t="n">
        <f aca="false">1*D2019</f>
        <v>0</v>
      </c>
      <c r="D2164" s="1707" t="n">
        <f aca="false">'Прайс лист'!G995</f>
        <v>250</v>
      </c>
      <c r="E2164" s="1707" t="n">
        <f aca="false">C2164*D2164</f>
        <v>0</v>
      </c>
      <c r="F2164" s="1708"/>
      <c r="G2164" s="1714"/>
      <c r="H2164" s="1714"/>
      <c r="I2164" s="2353"/>
      <c r="J2164" s="1714"/>
      <c r="K2164" s="1714"/>
      <c r="L2164" s="1714"/>
      <c r="M2164" s="1714"/>
      <c r="N2164" s="1714"/>
      <c r="O2164" s="1714"/>
      <c r="Q2164" s="1617"/>
      <c r="R2164" s="1617"/>
      <c r="S2164" s="1617"/>
      <c r="T2164" s="1617"/>
      <c r="U2164" s="1617"/>
      <c r="V2164" s="1617"/>
      <c r="W2164" s="1617"/>
      <c r="X2164" s="1617"/>
      <c r="Y2164" s="1617"/>
    </row>
    <row r="2165" customFormat="false" ht="15.75" hidden="true" customHeight="true" outlineLevel="1" collapsed="false">
      <c r="A2165" s="1707" t="str">
        <f aca="false">'Прайс лист'!B996</f>
        <v>труба водосточная</v>
      </c>
      <c r="B2165" s="2064" t="s">
        <v>15</v>
      </c>
      <c r="C2165" s="2064" t="n">
        <f aca="false">I2119</f>
        <v>3.7</v>
      </c>
      <c r="D2165" s="1707" t="n">
        <f aca="false">'Прайс лист'!G996</f>
        <v>300</v>
      </c>
      <c r="E2165" s="1707" t="n">
        <f aca="false">C2165*D2165</f>
        <v>1110</v>
      </c>
      <c r="F2165" s="1708"/>
      <c r="G2165" s="1714"/>
      <c r="H2165" s="1714"/>
      <c r="I2165" s="2353"/>
      <c r="J2165" s="1714"/>
      <c r="K2165" s="1714"/>
      <c r="L2165" s="1714"/>
      <c r="M2165" s="1714"/>
      <c r="N2165" s="1714"/>
      <c r="O2165" s="1714"/>
      <c r="Q2165" s="1617"/>
      <c r="R2165" s="1617"/>
      <c r="S2165" s="1617"/>
      <c r="T2165" s="1617"/>
      <c r="U2165" s="1617"/>
      <c r="V2165" s="1617"/>
      <c r="W2165" s="1617"/>
      <c r="X2165" s="1617"/>
      <c r="Y2165" s="1617"/>
    </row>
    <row r="2166" customFormat="false" ht="15.75" hidden="true" customHeight="true" outlineLevel="1" collapsed="false">
      <c r="A2166" s="1707" t="str">
        <f aca="false">'Прайс лист'!B997</f>
        <v>заглушка для желоба</v>
      </c>
      <c r="B2166" s="2064" t="s">
        <v>48</v>
      </c>
      <c r="C2166" s="2064" t="n">
        <f aca="false">C2169*2</f>
        <v>0</v>
      </c>
      <c r="D2166" s="1707" t="n">
        <f aca="false">'Прайс лист'!G997</f>
        <v>190</v>
      </c>
      <c r="E2166" s="1707" t="n">
        <f aca="false">C2166*D2166</f>
        <v>0</v>
      </c>
      <c r="F2166" s="1708"/>
      <c r="G2166" s="2004"/>
      <c r="H2166" s="2150"/>
      <c r="I2166" s="2429"/>
      <c r="J2166" s="1714"/>
      <c r="K2166" s="1707"/>
      <c r="L2166" s="1707"/>
      <c r="M2166" s="1707"/>
      <c r="N2166" s="1707"/>
      <c r="O2166" s="1707"/>
      <c r="Q2166" s="1617"/>
      <c r="R2166" s="1617"/>
      <c r="S2166" s="1617"/>
      <c r="T2166" s="1617"/>
      <c r="U2166" s="1617"/>
      <c r="V2166" s="1617"/>
      <c r="W2166" s="1617"/>
      <c r="X2166" s="1617"/>
      <c r="Y2166" s="1617"/>
    </row>
    <row r="2167" customFormat="false" ht="15.75" hidden="true" customHeight="true" outlineLevel="1" collapsed="false">
      <c r="A2167" s="1707" t="str">
        <f aca="false">'Прайс лист'!B998</f>
        <v>соеденитель для желоба</v>
      </c>
      <c r="B2167" s="2064" t="s">
        <v>48</v>
      </c>
      <c r="C2167" s="2064" t="n">
        <f aca="false">CEILING((C2166/2)*2*D2019,1)</f>
        <v>0</v>
      </c>
      <c r="D2167" s="1707" t="n">
        <f aca="false">'Прайс лист'!G998</f>
        <v>180</v>
      </c>
      <c r="E2167" s="1707" t="n">
        <f aca="false">C2167*D2167</f>
        <v>0</v>
      </c>
      <c r="F2167" s="1708"/>
      <c r="G2167" s="1995"/>
      <c r="H2167" s="2146"/>
      <c r="I2167" s="2225"/>
      <c r="J2167" s="1707"/>
      <c r="K2167" s="1707"/>
      <c r="L2167" s="1707"/>
      <c r="M2167" s="1707"/>
      <c r="N2167" s="1707"/>
      <c r="O2167" s="1707"/>
      <c r="Q2167" s="1617"/>
      <c r="R2167" s="1617"/>
      <c r="S2167" s="1617"/>
      <c r="T2167" s="1617"/>
      <c r="U2167" s="1617"/>
      <c r="V2167" s="1617"/>
      <c r="W2167" s="1617"/>
      <c r="X2167" s="1617"/>
      <c r="Y2167" s="1617"/>
    </row>
    <row r="2168" customFormat="false" ht="15.75" hidden="true" customHeight="true" outlineLevel="1" collapsed="false">
      <c r="A2168" s="1707" t="str">
        <f aca="false">'Прайс лист'!B999</f>
        <v>кронштейн для желоба</v>
      </c>
      <c r="B2168" s="2064" t="s">
        <v>48</v>
      </c>
      <c r="C2168" s="2064" t="n">
        <f aca="false">CEILING((C2163/0.4)*2*1.2*D2019,1)</f>
        <v>0</v>
      </c>
      <c r="D2168" s="1707" t="n">
        <f aca="false">'Прайс лист'!G999</f>
        <v>130</v>
      </c>
      <c r="E2168" s="1707" t="n">
        <f aca="false">C2168*D2168</f>
        <v>0</v>
      </c>
      <c r="F2168" s="1708"/>
      <c r="G2168" s="1995"/>
      <c r="H2168" s="2146"/>
      <c r="I2168" s="2225"/>
      <c r="J2168" s="1707"/>
      <c r="K2168" s="1707"/>
      <c r="L2168" s="1707"/>
      <c r="M2168" s="1707"/>
      <c r="N2168" s="1707"/>
      <c r="O2168" s="1707"/>
      <c r="Q2168" s="1617"/>
      <c r="R2168" s="1617"/>
      <c r="S2168" s="1617"/>
      <c r="T2168" s="1617"/>
      <c r="U2168" s="1617"/>
      <c r="V2168" s="1617"/>
      <c r="W2168" s="1617"/>
      <c r="X2168" s="1617"/>
      <c r="Y2168" s="1617"/>
    </row>
    <row r="2169" customFormat="false" ht="15.75" hidden="true" customHeight="true" outlineLevel="1" collapsed="false">
      <c r="A2169" s="1707" t="str">
        <f aca="false">'Прайс лист'!B1000</f>
        <v>переход из желоба в трубу</v>
      </c>
      <c r="B2169" s="2064" t="s">
        <v>48</v>
      </c>
      <c r="C2169" s="2064" t="n">
        <f aca="false">(1*G2100+E2100*2)*D2019</f>
        <v>0</v>
      </c>
      <c r="D2169" s="1707" t="n">
        <f aca="false">'Прайс лист'!G1000</f>
        <v>350</v>
      </c>
      <c r="E2169" s="1707" t="n">
        <f aca="false">C2169*D2169</f>
        <v>0</v>
      </c>
      <c r="F2169" s="1708"/>
      <c r="G2169" s="1995"/>
      <c r="H2169" s="2146"/>
      <c r="I2169" s="2225"/>
      <c r="J2169" s="1707"/>
      <c r="K2169" s="1707"/>
      <c r="L2169" s="1707"/>
      <c r="M2169" s="1707"/>
      <c r="N2169" s="1707"/>
      <c r="O2169" s="1707"/>
      <c r="Q2169" s="1617"/>
      <c r="R2169" s="1617"/>
      <c r="S2169" s="1617"/>
      <c r="T2169" s="1617"/>
      <c r="U2169" s="1617"/>
      <c r="V2169" s="1617"/>
      <c r="W2169" s="1617"/>
      <c r="X2169" s="1617"/>
      <c r="Y2169" s="1617"/>
    </row>
    <row r="2170" customFormat="false" ht="15.75" hidden="true" customHeight="true" outlineLevel="1" collapsed="false">
      <c r="A2170" s="1707" t="str">
        <f aca="false">'Прайс лист'!B1001</f>
        <v>лента дельта мульти бэнд</v>
      </c>
      <c r="B2170" s="2064" t="s">
        <v>48</v>
      </c>
      <c r="C2170" s="2064" t="n">
        <f aca="false">C2130/12*D2019</f>
        <v>0</v>
      </c>
      <c r="D2170" s="1707" t="n">
        <f aca="false">'Прайс лист'!G1001</f>
        <v>1200</v>
      </c>
      <c r="E2170" s="1707" t="n">
        <f aca="false">C2170*D2170</f>
        <v>0</v>
      </c>
      <c r="F2170" s="1708"/>
      <c r="G2170" s="1995"/>
      <c r="H2170" s="2146"/>
      <c r="I2170" s="2225"/>
      <c r="J2170" s="1707"/>
      <c r="K2170" s="1707"/>
      <c r="L2170" s="1707"/>
      <c r="M2170" s="1707"/>
      <c r="N2170" s="1707"/>
      <c r="O2170" s="1707"/>
      <c r="Q2170" s="1617"/>
      <c r="R2170" s="1617"/>
      <c r="S2170" s="1617"/>
      <c r="T2170" s="1617"/>
      <c r="U2170" s="1617"/>
      <c r="V2170" s="1617"/>
      <c r="W2170" s="1617"/>
      <c r="X2170" s="1617"/>
      <c r="Y2170" s="1617"/>
    </row>
    <row r="2171" customFormat="false" ht="15.75" hidden="true" customHeight="true" outlineLevel="1" collapsed="false">
      <c r="A2171" s="1707" t="str">
        <f aca="false">'Прайс лист'!B1002</f>
        <v>лента дельта sb-60</v>
      </c>
      <c r="B2171" s="2064" t="s">
        <v>48</v>
      </c>
      <c r="C2171" s="2064" t="n">
        <f aca="false">C2130/25*D2019</f>
        <v>0</v>
      </c>
      <c r="D2171" s="1707" t="n">
        <f aca="false">'Прайс лист'!G1002</f>
        <v>1100</v>
      </c>
      <c r="E2171" s="1707" t="n">
        <f aca="false">C2171*D2171</f>
        <v>0</v>
      </c>
      <c r="F2171" s="1708"/>
      <c r="G2171" s="1995"/>
      <c r="H2171" s="2146"/>
      <c r="I2171" s="2225"/>
      <c r="J2171" s="1714"/>
      <c r="K2171" s="1714"/>
      <c r="L2171" s="1707"/>
      <c r="M2171" s="1707"/>
      <c r="N2171" s="1707"/>
      <c r="O2171" s="1707"/>
      <c r="Q2171" s="1617"/>
      <c r="R2171" s="1617"/>
      <c r="S2171" s="1617"/>
      <c r="T2171" s="1617"/>
      <c r="U2171" s="1617"/>
      <c r="V2171" s="1617"/>
      <c r="W2171" s="1617"/>
      <c r="X2171" s="1617"/>
      <c r="Y2171" s="1617"/>
    </row>
    <row r="2172" customFormat="false" ht="15.75" hidden="true" customHeight="true" outlineLevel="1" collapsed="false">
      <c r="A2172" s="1707" t="str">
        <f aca="false">'Прайс лист'!B963</f>
        <v>Кровельный саморез</v>
      </c>
      <c r="B2172" s="2064" t="s">
        <v>48</v>
      </c>
      <c r="C2172" s="2064" t="n">
        <f aca="false">C2130*12*(C2127)*D2019</f>
        <v>0</v>
      </c>
      <c r="D2172" s="1707" t="n">
        <f aca="false">'Прайс лист'!G963</f>
        <v>2</v>
      </c>
      <c r="E2172" s="1707" t="n">
        <f aca="false">C2172*D2172</f>
        <v>0</v>
      </c>
      <c r="F2172" s="1708"/>
      <c r="G2172" s="1995"/>
      <c r="H2172" s="2146"/>
      <c r="I2172" s="2225"/>
      <c r="J2172" s="1714"/>
      <c r="K2172" s="1714"/>
      <c r="L2172" s="1707"/>
      <c r="M2172" s="1707"/>
      <c r="N2172" s="1707"/>
      <c r="O2172" s="1707"/>
      <c r="Q2172" s="1617"/>
      <c r="R2172" s="1617"/>
      <c r="S2172" s="1617"/>
      <c r="T2172" s="1617"/>
      <c r="U2172" s="1617"/>
      <c r="V2172" s="1617"/>
      <c r="W2172" s="1617"/>
      <c r="X2172" s="1617"/>
      <c r="Y2172" s="1617"/>
    </row>
    <row r="2173" customFormat="false" ht="15.75" hidden="true" customHeight="true" outlineLevel="1" collapsed="false">
      <c r="A2173" s="1707" t="str">
        <f aca="false">'Прайс лист'!B742</f>
        <v>Гвозди ершоные 3,4 x 60            </v>
      </c>
      <c r="B2173" s="2064" t="s">
        <v>434</v>
      </c>
      <c r="C2173" s="2064" t="n">
        <f aca="false">C2137*15*D2019</f>
        <v>0</v>
      </c>
      <c r="D2173" s="1707" t="n">
        <f aca="false">'Прайс лист'!G742</f>
        <v>75.51</v>
      </c>
      <c r="E2173" s="1707" t="n">
        <f aca="false">C2173*D2173</f>
        <v>0</v>
      </c>
      <c r="F2173" s="1708"/>
      <c r="G2173" s="1995"/>
      <c r="H2173" s="2146"/>
      <c r="I2173" s="2225"/>
      <c r="J2173" s="1714"/>
      <c r="K2173" s="1714"/>
      <c r="L2173" s="1707"/>
      <c r="M2173" s="1707"/>
      <c r="N2173" s="1707"/>
      <c r="O2173" s="1707"/>
      <c r="Q2173" s="1617"/>
      <c r="R2173" s="1617"/>
      <c r="S2173" s="1617"/>
      <c r="T2173" s="1617"/>
      <c r="U2173" s="1617"/>
      <c r="V2173" s="1617"/>
      <c r="W2173" s="1617"/>
      <c r="X2173" s="1617"/>
      <c r="Y2173" s="1617"/>
    </row>
    <row r="2174" customFormat="false" ht="15.75" hidden="true" customHeight="true" outlineLevel="1" collapsed="false">
      <c r="A2174" s="1707" t="str">
        <f aca="false">'Прайс лист'!B743</f>
        <v>Гвозди ершоные 2,8 х 90            </v>
      </c>
      <c r="B2174" s="2064" t="s">
        <v>48</v>
      </c>
      <c r="C2174" s="2064" t="n">
        <f aca="false">C2130*20/90*D2019</f>
        <v>0</v>
      </c>
      <c r="D2174" s="1707" t="n">
        <f aca="false">'Прайс лист'!G743</f>
        <v>76.49</v>
      </c>
      <c r="E2174" s="1707" t="n">
        <f aca="false">C2174*D2174</f>
        <v>0</v>
      </c>
      <c r="F2174" s="1708"/>
      <c r="G2174" s="1995"/>
      <c r="H2174" s="2146"/>
      <c r="I2174" s="2225"/>
      <c r="J2174" s="1714"/>
      <c r="K2174" s="1714"/>
      <c r="L2174" s="1707"/>
      <c r="M2174" s="1707"/>
      <c r="N2174" s="1707"/>
      <c r="O2174" s="1707"/>
      <c r="Q2174" s="1617"/>
      <c r="R2174" s="1617"/>
      <c r="S2174" s="1617"/>
      <c r="T2174" s="1617"/>
      <c r="U2174" s="1617"/>
      <c r="V2174" s="1617"/>
      <c r="W2174" s="1617"/>
      <c r="X2174" s="1617"/>
      <c r="Y2174" s="1617"/>
    </row>
    <row r="2175" customFormat="false" ht="15.75" hidden="true" customHeight="true" outlineLevel="1" collapsed="false">
      <c r="A2175" s="1707" t="str">
        <f aca="false">'Прайс лист'!B699</f>
        <v>Пластина соеденительная 100х240х2           </v>
      </c>
      <c r="B2175" s="2064" t="s">
        <v>48</v>
      </c>
      <c r="C2175" s="2064" t="n">
        <f aca="false">((C2131/0.6)+1)*2*D2019</f>
        <v>0</v>
      </c>
      <c r="D2175" s="1707" t="n">
        <f aca="false">'Прайс лист'!G699</f>
        <v>31.54</v>
      </c>
      <c r="E2175" s="1707" t="n">
        <f aca="false">C2175*D2175</f>
        <v>0</v>
      </c>
      <c r="F2175" s="1708"/>
      <c r="G2175" s="1995"/>
      <c r="H2175" s="2146"/>
      <c r="I2175" s="2225"/>
      <c r="J2175" s="1714"/>
      <c r="K2175" s="1714"/>
      <c r="L2175" s="1707"/>
      <c r="M2175" s="1707"/>
      <c r="N2175" s="1707"/>
      <c r="O2175" s="1707"/>
      <c r="Q2175" s="1617"/>
      <c r="R2175" s="1617"/>
      <c r="S2175" s="1617"/>
      <c r="T2175" s="1617"/>
      <c r="U2175" s="1617"/>
      <c r="V2175" s="1617"/>
      <c r="W2175" s="1617"/>
      <c r="X2175" s="1617"/>
      <c r="Y2175" s="1617"/>
    </row>
    <row r="2176" customFormat="false" ht="15.75" hidden="true" customHeight="true" outlineLevel="1" collapsed="false">
      <c r="A2176" s="1707" t="str">
        <f aca="false">'Прайс лист'!B693</f>
        <v>Уголок усиленный 90х70х55х2,5        </v>
      </c>
      <c r="B2176" s="2064" t="s">
        <v>48</v>
      </c>
      <c r="C2176" s="2064" t="n">
        <f aca="false">((C2131/0.6)+1)*2*D2019</f>
        <v>0</v>
      </c>
      <c r="D2176" s="1707" t="n">
        <f aca="false">'Прайс лист'!G693</f>
        <v>30</v>
      </c>
      <c r="E2176" s="1707" t="n">
        <f aca="false">C2176*D2176</f>
        <v>0</v>
      </c>
      <c r="F2176" s="1708"/>
      <c r="G2176" s="1995"/>
      <c r="H2176" s="2146"/>
      <c r="I2176" s="2225"/>
      <c r="J2176" s="1714"/>
      <c r="K2176" s="1714"/>
      <c r="L2176" s="1707"/>
      <c r="M2176" s="1707"/>
      <c r="N2176" s="1707"/>
      <c r="O2176" s="1707"/>
      <c r="Q2176" s="1617"/>
      <c r="R2176" s="1617"/>
      <c r="S2176" s="1617"/>
      <c r="T2176" s="1617"/>
      <c r="U2176" s="1617"/>
      <c r="V2176" s="1617"/>
      <c r="W2176" s="1617"/>
      <c r="X2176" s="1617"/>
      <c r="Y2176" s="1617"/>
    </row>
    <row r="2177" customFormat="false" ht="15.75" hidden="true" customHeight="true" outlineLevel="1" collapsed="false">
      <c r="A2177" s="1707" t="str">
        <f aca="false">'Ввод данных'!A698</f>
        <v>Нет техники</v>
      </c>
      <c r="B2177" s="2064" t="str">
        <f aca="false">'Ввод данных'!B698</f>
        <v>ед.</v>
      </c>
      <c r="C2177" s="1707" t="n">
        <f aca="false">'Ввод данных'!C698</f>
        <v>1</v>
      </c>
      <c r="D2177" s="1707" t="n">
        <f aca="false">VLOOKUP(A2177,'Прайс лист'!B192:G206,6,0)</f>
        <v>0</v>
      </c>
      <c r="E2177" s="1707" t="n">
        <f aca="false">C2177*D2177</f>
        <v>0</v>
      </c>
      <c r="F2177" s="1708"/>
      <c r="G2177" s="2256"/>
      <c r="H2177" s="2256"/>
      <c r="I2177" s="2430"/>
      <c r="J2177" s="1747"/>
      <c r="K2177" s="1747"/>
      <c r="L2177" s="1734"/>
      <c r="M2177" s="1734"/>
      <c r="N2177" s="1734"/>
      <c r="O2177" s="1707"/>
      <c r="Q2177" s="1617"/>
      <c r="R2177" s="1617"/>
      <c r="S2177" s="1617"/>
      <c r="T2177" s="1617"/>
      <c r="U2177" s="1617"/>
      <c r="V2177" s="1617"/>
      <c r="W2177" s="1617"/>
      <c r="X2177" s="1617"/>
      <c r="Y2177" s="1617"/>
    </row>
    <row r="2178" customFormat="false" ht="15.75" hidden="true" customHeight="true" outlineLevel="1" collapsed="false">
      <c r="A2178" s="1707" t="str">
        <f aca="false">'Ввод данных'!A699</f>
        <v>Нет техники</v>
      </c>
      <c r="B2178" s="2064" t="str">
        <f aca="false">'Ввод данных'!B699</f>
        <v>ед.</v>
      </c>
      <c r="C2178" s="1707" t="n">
        <f aca="false">'Ввод данных'!C699</f>
        <v>0</v>
      </c>
      <c r="D2178" s="1707" t="n">
        <f aca="false">VLOOKUP(A2178,'Прайс лист'!B192:G206,6,0)</f>
        <v>0</v>
      </c>
      <c r="E2178" s="1707" t="n">
        <f aca="false">C2178*D2178</f>
        <v>0</v>
      </c>
      <c r="F2178" s="1708"/>
      <c r="G2178" s="2256"/>
      <c r="H2178" s="2256"/>
      <c r="I2178" s="2430"/>
      <c r="J2178" s="1747"/>
      <c r="K2178" s="1747"/>
      <c r="L2178" s="1734"/>
      <c r="M2178" s="1734"/>
      <c r="N2178" s="1734"/>
      <c r="O2178" s="1707"/>
      <c r="Q2178" s="1617"/>
      <c r="R2178" s="1617"/>
      <c r="S2178" s="1617"/>
      <c r="T2178" s="1617"/>
      <c r="U2178" s="1617"/>
      <c r="V2178" s="1617"/>
      <c r="W2178" s="1617"/>
      <c r="X2178" s="1617"/>
      <c r="Y2178" s="1617"/>
    </row>
    <row r="2179" customFormat="false" ht="15.75" hidden="true" customHeight="true" outlineLevel="1" collapsed="false">
      <c r="A2179" s="1707" t="str">
        <f aca="false">'Ввод данных'!A701</f>
        <v>расходные материалы веранда</v>
      </c>
      <c r="B2179" s="2064" t="str">
        <f aca="false">'Ввод данных'!B701</f>
        <v>рублей</v>
      </c>
      <c r="C2179" s="2064" t="n">
        <f aca="false">1</f>
        <v>1</v>
      </c>
      <c r="D2179" s="1707" t="n">
        <f aca="false">'Ввод данных'!C701</f>
        <v>0</v>
      </c>
      <c r="E2179" s="1707" t="n">
        <f aca="false">C2179*D2179</f>
        <v>0</v>
      </c>
      <c r="F2179" s="1708"/>
      <c r="G2179" s="2256"/>
      <c r="H2179" s="2256"/>
      <c r="I2179" s="2430"/>
      <c r="J2179" s="1747"/>
      <c r="K2179" s="1747"/>
      <c r="L2179" s="1734"/>
      <c r="M2179" s="1734"/>
      <c r="N2179" s="1734"/>
      <c r="O2179" s="1707"/>
      <c r="Q2179" s="1617"/>
      <c r="R2179" s="1617"/>
      <c r="S2179" s="1617"/>
      <c r="T2179" s="1617"/>
      <c r="U2179" s="1617"/>
      <c r="V2179" s="1617"/>
      <c r="W2179" s="1617"/>
      <c r="X2179" s="1617"/>
      <c r="Y2179" s="1617"/>
    </row>
    <row r="2180" customFormat="false" ht="15.75" hidden="true" customHeight="true" outlineLevel="1" collapsed="false">
      <c r="A2180" s="1617"/>
      <c r="B2180" s="2318"/>
      <c r="C2180" s="2318"/>
      <c r="D2180" s="1617"/>
      <c r="E2180" s="1714" t="n">
        <f aca="false">SUM(E2136:E2176)</f>
        <v>3390</v>
      </c>
      <c r="F2180" s="1708"/>
      <c r="G2180" s="2256"/>
      <c r="H2180" s="2256"/>
      <c r="I2180" s="2430"/>
      <c r="J2180" s="1747"/>
      <c r="K2180" s="1747"/>
      <c r="L2180" s="1734"/>
      <c r="M2180" s="1734"/>
      <c r="N2180" s="1734"/>
      <c r="O2180" s="1707" t="n">
        <f aca="false">SUM(O2136:O2176)</f>
        <v>0</v>
      </c>
      <c r="Q2180" s="1617"/>
      <c r="R2180" s="1617"/>
      <c r="S2180" s="1617"/>
      <c r="T2180" s="1617"/>
      <c r="U2180" s="1617"/>
      <c r="V2180" s="1617"/>
      <c r="W2180" s="1617"/>
      <c r="X2180" s="1617"/>
      <c r="Y2180" s="1617"/>
    </row>
    <row r="2181" customFormat="false" ht="15.75" hidden="true" customHeight="true" outlineLevel="1" collapsed="false">
      <c r="A2181" s="1707" t="s">
        <v>2920</v>
      </c>
      <c r="B2181" s="2064" t="n">
        <f aca="false">E2180</f>
        <v>3390</v>
      </c>
      <c r="C2181" s="2231"/>
      <c r="D2181" s="1708"/>
      <c r="E2181" s="1708"/>
      <c r="F2181" s="1708"/>
      <c r="G2181" s="1708"/>
      <c r="H2181" s="1708"/>
      <c r="I2181" s="2319"/>
      <c r="J2181" s="1617"/>
      <c r="K2181" s="1617"/>
      <c r="L2181" s="1617"/>
      <c r="M2181" s="1617"/>
      <c r="N2181" s="1617"/>
      <c r="O2181" s="1617"/>
      <c r="P2181" s="1617"/>
      <c r="Q2181" s="1617"/>
      <c r="R2181" s="1617"/>
      <c r="S2181" s="1617"/>
      <c r="T2181" s="1617"/>
      <c r="U2181" s="1617"/>
      <c r="V2181" s="1617"/>
      <c r="W2181" s="1617"/>
      <c r="X2181" s="1617"/>
      <c r="Y2181" s="1617"/>
    </row>
    <row r="2182" customFormat="false" ht="15.75" hidden="true" customHeight="true" outlineLevel="1" collapsed="false">
      <c r="A2182" s="1707" t="s">
        <v>2921</v>
      </c>
      <c r="B2182" s="2064" t="n">
        <f aca="false">O2180</f>
        <v>0</v>
      </c>
      <c r="C2182" s="2231"/>
      <c r="D2182" s="1708"/>
      <c r="E2182" s="1708"/>
      <c r="F2182" s="1708"/>
      <c r="G2182" s="1708"/>
      <c r="H2182" s="1708"/>
      <c r="I2182" s="2319"/>
      <c r="J2182" s="1617"/>
      <c r="K2182" s="1617"/>
      <c r="L2182" s="1617"/>
      <c r="M2182" s="1617"/>
      <c r="N2182" s="1617"/>
      <c r="O2182" s="1617"/>
      <c r="P2182" s="1617"/>
      <c r="Q2182" s="1617"/>
      <c r="R2182" s="1617"/>
      <c r="S2182" s="1617"/>
      <c r="T2182" s="1617"/>
      <c r="U2182" s="1617"/>
      <c r="V2182" s="1617"/>
      <c r="W2182" s="1617"/>
      <c r="X2182" s="1617"/>
      <c r="Y2182" s="1617"/>
    </row>
    <row r="2183" customFormat="false" ht="15.75" hidden="true" customHeight="true" outlineLevel="1" collapsed="false">
      <c r="A2183" s="1707" t="s">
        <v>2922</v>
      </c>
      <c r="B2183" s="2064" t="n">
        <f aca="false">B2181+B2182</f>
        <v>3390</v>
      </c>
      <c r="C2183" s="2231"/>
      <c r="D2183" s="1708"/>
      <c r="E2183" s="1708"/>
      <c r="F2183" s="1708"/>
      <c r="G2183" s="1708"/>
      <c r="H2183" s="1708"/>
      <c r="I2183" s="2319"/>
      <c r="J2183" s="1617"/>
      <c r="K2183" s="1617"/>
      <c r="L2183" s="1617"/>
      <c r="M2183" s="1617"/>
      <c r="N2183" s="1617"/>
      <c r="O2183" s="1617"/>
      <c r="P2183" s="1617"/>
      <c r="Q2183" s="1617"/>
      <c r="R2183" s="1617"/>
      <c r="S2183" s="1617"/>
      <c r="T2183" s="1617"/>
      <c r="U2183" s="1617"/>
      <c r="V2183" s="1617"/>
      <c r="W2183" s="1617"/>
      <c r="X2183" s="1617"/>
      <c r="Y2183" s="1617"/>
    </row>
    <row r="2184" customFormat="false" ht="15.75" hidden="false" customHeight="true" outlineLevel="0" collapsed="false">
      <c r="A2184" s="2359" t="s">
        <v>3946</v>
      </c>
      <c r="B2184" s="2141"/>
      <c r="C2184" s="2233" t="s">
        <v>3811</v>
      </c>
      <c r="D2184" s="2146"/>
      <c r="E2184" s="2146"/>
      <c r="F2184" s="2147"/>
      <c r="G2184" s="1617"/>
      <c r="H2184" s="1617"/>
      <c r="I2184" s="2319"/>
      <c r="J2184" s="1617"/>
      <c r="K2184" s="1617"/>
      <c r="L2184" s="1617"/>
      <c r="M2184" s="1617"/>
      <c r="N2184" s="1617"/>
      <c r="O2184" s="1617"/>
      <c r="P2184" s="1617"/>
      <c r="Q2184" s="1617"/>
      <c r="R2184" s="1617"/>
      <c r="S2184" s="1617"/>
      <c r="T2184" s="1617"/>
      <c r="U2184" s="1617"/>
      <c r="V2184" s="1617"/>
      <c r="W2184" s="1617"/>
      <c r="X2184" s="1617"/>
      <c r="Y2184" s="1617"/>
    </row>
    <row r="2185" customFormat="false" ht="15.75" hidden="false" customHeight="true" outlineLevel="0" collapsed="false">
      <c r="A2185" s="1617"/>
      <c r="B2185" s="2318"/>
      <c r="C2185" s="2318"/>
      <c r="D2185" s="1617"/>
      <c r="E2185" s="1617"/>
      <c r="F2185" s="1617"/>
      <c r="G2185" s="1617"/>
      <c r="H2185" s="1617"/>
      <c r="I2185" s="2319"/>
      <c r="J2185" s="1617"/>
      <c r="K2185" s="1617"/>
      <c r="L2185" s="1617"/>
      <c r="M2185" s="1617"/>
      <c r="N2185" s="1617"/>
      <c r="O2185" s="1617"/>
      <c r="P2185" s="1617"/>
      <c r="Q2185" s="1617"/>
      <c r="R2185" s="1617"/>
      <c r="S2185" s="1617"/>
      <c r="T2185" s="1617"/>
      <c r="U2185" s="1617"/>
      <c r="V2185" s="1617"/>
      <c r="W2185" s="1617"/>
      <c r="X2185" s="1617"/>
      <c r="Y2185" s="1617"/>
    </row>
    <row r="2186" customFormat="false" ht="15.75" hidden="false" customHeight="true" outlineLevel="0" collapsed="false">
      <c r="A2186" s="1956" t="s">
        <v>364</v>
      </c>
      <c r="B2186" s="2376"/>
      <c r="C2186" s="2376"/>
      <c r="D2186" s="2377"/>
      <c r="E2186" s="2378"/>
      <c r="F2186" s="1610" t="n">
        <f aca="false">VLOOKUP('Ввод данных'!F597,связи1!A2:B3,2,0)</f>
        <v>0</v>
      </c>
      <c r="G2186" s="1617"/>
      <c r="H2186" s="1617"/>
      <c r="I2186" s="2431" t="n">
        <f aca="false">E1284</f>
        <v>0</v>
      </c>
      <c r="J2186" s="1617"/>
      <c r="K2186" s="1617"/>
      <c r="L2186" s="1617"/>
      <c r="M2186" s="1617"/>
      <c r="N2186" s="1617"/>
      <c r="O2186" s="1617"/>
      <c r="P2186" s="1617"/>
      <c r="Q2186" s="1617"/>
      <c r="R2186" s="1617"/>
      <c r="S2186" s="1617"/>
      <c r="T2186" s="1617"/>
      <c r="U2186" s="1617"/>
      <c r="V2186" s="1617"/>
      <c r="W2186" s="1617"/>
      <c r="X2186" s="1617"/>
      <c r="Y2186" s="1617"/>
    </row>
    <row r="2187" customFormat="false" ht="15.75" hidden="false" customHeight="true" outlineLevel="0" collapsed="false">
      <c r="A2187" s="2383"/>
      <c r="B2187" s="2383"/>
      <c r="C2187" s="2432"/>
      <c r="D2187" s="2432"/>
      <c r="E2187" s="2432"/>
      <c r="F2187" s="2432"/>
      <c r="G2187" s="1617"/>
      <c r="H2187" s="1617"/>
      <c r="I2187" s="2431" t="n">
        <f aca="false">E1285</f>
        <v>1</v>
      </c>
      <c r="J2187" s="1617"/>
      <c r="K2187" s="1617"/>
      <c r="L2187" s="1617"/>
      <c r="M2187" s="1617"/>
      <c r="N2187" s="1617"/>
      <c r="O2187" s="1617"/>
      <c r="P2187" s="1617"/>
      <c r="Q2187" s="1617"/>
      <c r="R2187" s="1617"/>
      <c r="S2187" s="1617"/>
      <c r="T2187" s="1617"/>
      <c r="U2187" s="1617"/>
      <c r="V2187" s="1617"/>
      <c r="W2187" s="1617"/>
      <c r="X2187" s="1617"/>
      <c r="Y2187" s="1617"/>
    </row>
    <row r="2188" customFormat="false" ht="15.75" hidden="false" customHeight="true" outlineLevel="0" collapsed="false">
      <c r="A2188" s="2383" t="s">
        <v>3947</v>
      </c>
      <c r="B2188" s="2383" t="n">
        <f aca="false">VLOOKUP('Ввод данных'!D547,связи1!A2:B3,2,0)</f>
        <v>1</v>
      </c>
      <c r="C2188" s="2432"/>
      <c r="D2188" s="2432"/>
      <c r="E2188" s="2383"/>
      <c r="F2188" s="2383"/>
      <c r="G2188" s="1617"/>
      <c r="H2188" s="1617"/>
      <c r="I2188" s="2431"/>
      <c r="J2188" s="1617"/>
      <c r="K2188" s="1617"/>
      <c r="L2188" s="1617"/>
      <c r="M2188" s="1617"/>
      <c r="N2188" s="1617"/>
      <c r="O2188" s="1617"/>
      <c r="P2188" s="1617"/>
      <c r="Q2188" s="1617"/>
      <c r="R2188" s="1617"/>
      <c r="S2188" s="1617"/>
      <c r="T2188" s="1617"/>
      <c r="U2188" s="1617"/>
      <c r="V2188" s="1617"/>
      <c r="W2188" s="1617"/>
      <c r="X2188" s="1617"/>
      <c r="Y2188" s="1617"/>
    </row>
    <row r="2189" customFormat="false" ht="15.75" hidden="false" customHeight="true" outlineLevel="0" collapsed="false">
      <c r="A2189" s="2433" t="s">
        <v>3948</v>
      </c>
      <c r="B2189" s="2434" t="s">
        <v>12</v>
      </c>
      <c r="C2189" s="1683" t="s">
        <v>350</v>
      </c>
      <c r="D2189" s="1684" t="s">
        <v>3949</v>
      </c>
      <c r="E2189" s="1902" t="s">
        <v>3559</v>
      </c>
      <c r="F2189" s="2435" t="s">
        <v>3092</v>
      </c>
      <c r="G2189" s="1617"/>
      <c r="H2189" s="1617"/>
      <c r="I2189" s="2319"/>
      <c r="J2189" s="1617"/>
      <c r="K2189" s="1617"/>
      <c r="L2189" s="1617"/>
      <c r="M2189" s="1617"/>
      <c r="N2189" s="1617"/>
      <c r="O2189" s="1617"/>
      <c r="P2189" s="1617"/>
      <c r="Q2189" s="1617"/>
      <c r="R2189" s="1617"/>
      <c r="S2189" s="1617"/>
      <c r="T2189" s="1617"/>
      <c r="U2189" s="1617"/>
      <c r="V2189" s="1617"/>
      <c r="W2189" s="1617"/>
      <c r="X2189" s="1617"/>
      <c r="Y2189" s="1617"/>
    </row>
    <row r="2190" customFormat="false" ht="15.75" hidden="false" customHeight="true" outlineLevel="0" collapsed="false">
      <c r="A2190" s="1662" t="s">
        <v>351</v>
      </c>
      <c r="B2190" s="2434" t="s">
        <v>48</v>
      </c>
      <c r="C2190" s="1948" t="n">
        <f aca="false">'Ввод данных'!C550</f>
        <v>1</v>
      </c>
      <c r="D2190" s="2370" t="n">
        <v>1</v>
      </c>
      <c r="E2190" s="1902"/>
      <c r="F2190" s="1694"/>
      <c r="G2190" s="1617"/>
      <c r="H2190" s="1617"/>
      <c r="I2190" s="2319"/>
      <c r="J2190" s="1617"/>
      <c r="K2190" s="1617"/>
      <c r="L2190" s="1617"/>
      <c r="M2190" s="1617"/>
      <c r="N2190" s="1617"/>
      <c r="O2190" s="1617"/>
      <c r="P2190" s="1617"/>
      <c r="Q2190" s="1617"/>
      <c r="R2190" s="1617"/>
      <c r="S2190" s="1617"/>
      <c r="T2190" s="1617"/>
      <c r="U2190" s="1617"/>
      <c r="V2190" s="1617"/>
      <c r="W2190" s="1617"/>
      <c r="X2190" s="1617"/>
      <c r="Y2190" s="1617"/>
    </row>
    <row r="2191" customFormat="false" ht="15.75" hidden="false" customHeight="true" outlineLevel="0" collapsed="false">
      <c r="A2191" s="2436" t="s">
        <v>352</v>
      </c>
      <c r="B2191" s="1683" t="s">
        <v>15</v>
      </c>
      <c r="C2191" s="1948" t="n">
        <f aca="false">'Ввод данных'!C551</f>
        <v>3</v>
      </c>
      <c r="D2191" s="1350"/>
      <c r="E2191" s="1902" t="n">
        <f aca="false">(C2191+C2192+C2192)*C2193</f>
        <v>4.5</v>
      </c>
      <c r="F2191" s="2435" t="n">
        <f aca="false">C2191*C2192</f>
        <v>3</v>
      </c>
      <c r="G2191" s="1617"/>
      <c r="H2191" s="1617"/>
      <c r="I2191" s="2319"/>
      <c r="J2191" s="1617"/>
      <c r="K2191" s="1617"/>
      <c r="L2191" s="1617"/>
      <c r="M2191" s="1617"/>
      <c r="N2191" s="1617"/>
      <c r="O2191" s="1617"/>
      <c r="P2191" s="1617"/>
      <c r="Q2191" s="1617"/>
      <c r="R2191" s="1617"/>
      <c r="S2191" s="1617"/>
      <c r="T2191" s="1617"/>
      <c r="U2191" s="1617"/>
      <c r="V2191" s="1617"/>
      <c r="W2191" s="1617"/>
      <c r="X2191" s="1617"/>
      <c r="Y2191" s="1617"/>
    </row>
    <row r="2192" customFormat="false" ht="15.75" hidden="false" customHeight="true" outlineLevel="0" collapsed="false">
      <c r="A2192" s="2436" t="s">
        <v>353</v>
      </c>
      <c r="B2192" s="1683" t="s">
        <v>15</v>
      </c>
      <c r="C2192" s="1948" t="n">
        <f aca="false">'Ввод данных'!C552</f>
        <v>1</v>
      </c>
      <c r="D2192" s="1350"/>
      <c r="E2192" s="1902"/>
      <c r="F2192" s="2435"/>
      <c r="G2192" s="1617"/>
      <c r="H2192" s="1617"/>
      <c r="I2192" s="2319"/>
      <c r="J2192" s="1617"/>
      <c r="K2192" s="1617"/>
      <c r="L2192" s="1617"/>
      <c r="M2192" s="1617"/>
      <c r="N2192" s="1617"/>
      <c r="O2192" s="1617"/>
      <c r="P2192" s="1617"/>
      <c r="Q2192" s="1617"/>
      <c r="R2192" s="1617"/>
      <c r="S2192" s="1617"/>
      <c r="T2192" s="1617"/>
      <c r="U2192" s="1617"/>
      <c r="V2192" s="1617"/>
      <c r="W2192" s="1617"/>
      <c r="X2192" s="1617"/>
      <c r="Y2192" s="1617"/>
    </row>
    <row r="2193" customFormat="false" ht="15.75" hidden="false" customHeight="true" outlineLevel="0" collapsed="false">
      <c r="A2193" s="1682" t="s">
        <v>3950</v>
      </c>
      <c r="B2193" s="1683" t="s">
        <v>15</v>
      </c>
      <c r="C2193" s="1948" t="n">
        <f aca="false">'Ввод данных'!C553</f>
        <v>0.9</v>
      </c>
      <c r="D2193" s="1350"/>
      <c r="E2193" s="1902"/>
      <c r="F2193" s="2435"/>
      <c r="G2193" s="1617"/>
      <c r="H2193" s="1617"/>
      <c r="I2193" s="2319"/>
      <c r="J2193" s="1617"/>
      <c r="K2193" s="1617"/>
      <c r="L2193" s="1617"/>
      <c r="M2193" s="1617"/>
      <c r="N2193" s="1617"/>
      <c r="O2193" s="1617"/>
      <c r="P2193" s="1617"/>
      <c r="Q2193" s="1617"/>
      <c r="R2193" s="1617"/>
      <c r="S2193" s="1617"/>
      <c r="T2193" s="1617"/>
      <c r="U2193" s="1617"/>
      <c r="V2193" s="1617"/>
      <c r="W2193" s="1617"/>
      <c r="X2193" s="1617"/>
      <c r="Y2193" s="1617"/>
    </row>
    <row r="2194" customFormat="false" ht="15.75" hidden="false" customHeight="true" outlineLevel="0" collapsed="false">
      <c r="A2194" s="2437"/>
      <c r="B2194" s="2438"/>
      <c r="C2194" s="2438"/>
      <c r="D2194" s="1601"/>
      <c r="E2194" s="1601"/>
      <c r="F2194" s="1601"/>
      <c r="G2194" s="1617"/>
      <c r="H2194" s="1617"/>
      <c r="I2194" s="2319"/>
      <c r="J2194" s="1617"/>
      <c r="K2194" s="1617"/>
      <c r="L2194" s="1617"/>
      <c r="M2194" s="1617"/>
      <c r="N2194" s="1617"/>
      <c r="O2194" s="1617"/>
      <c r="P2194" s="1617"/>
      <c r="Q2194" s="1617"/>
      <c r="R2194" s="1617"/>
      <c r="S2194" s="1617"/>
      <c r="T2194" s="1617"/>
      <c r="U2194" s="1617"/>
      <c r="V2194" s="1617"/>
      <c r="W2194" s="1617"/>
      <c r="X2194" s="1617"/>
      <c r="Y2194" s="1617"/>
    </row>
    <row r="2195" customFormat="false" ht="15.75" hidden="false" customHeight="true" outlineLevel="0" collapsed="false">
      <c r="A2195" s="1714" t="s">
        <v>46</v>
      </c>
      <c r="B2195" s="1958"/>
      <c r="C2195" s="1958" t="s">
        <v>118</v>
      </c>
      <c r="D2195" s="1714" t="s">
        <v>1590</v>
      </c>
      <c r="E2195" s="1714" t="s">
        <v>2661</v>
      </c>
      <c r="F2195" s="1617"/>
      <c r="G2195" s="1714" t="s">
        <v>46</v>
      </c>
      <c r="H2195" s="1714"/>
      <c r="I2195" s="1714" t="s">
        <v>118</v>
      </c>
      <c r="J2195" s="1714" t="s">
        <v>1590</v>
      </c>
      <c r="K2195" s="1714" t="s">
        <v>2661</v>
      </c>
      <c r="P2195" s="1617"/>
      <c r="Q2195" s="1617"/>
      <c r="R2195" s="1617"/>
      <c r="S2195" s="1617"/>
      <c r="T2195" s="1617"/>
      <c r="U2195" s="1617"/>
      <c r="V2195" s="1617"/>
      <c r="W2195" s="1617"/>
      <c r="X2195" s="1617"/>
      <c r="Y2195" s="1617"/>
    </row>
    <row r="2196" customFormat="false" ht="15.75" hidden="false" customHeight="true" outlineLevel="0" collapsed="false">
      <c r="A2196" s="1714"/>
      <c r="B2196" s="1958"/>
      <c r="C2196" s="1958"/>
      <c r="D2196" s="1714"/>
      <c r="E2196" s="1714"/>
      <c r="F2196" s="1617"/>
      <c r="G2196" s="1714"/>
      <c r="H2196" s="1714"/>
      <c r="I2196" s="1714"/>
      <c r="J2196" s="1714"/>
      <c r="K2196" s="1714"/>
      <c r="P2196" s="1617"/>
      <c r="Q2196" s="1617"/>
      <c r="R2196" s="1617"/>
      <c r="S2196" s="1617"/>
      <c r="T2196" s="1617"/>
      <c r="U2196" s="1617"/>
      <c r="V2196" s="1617"/>
      <c r="W2196" s="1617"/>
      <c r="X2196" s="1617"/>
      <c r="Y2196" s="1617"/>
    </row>
    <row r="2197" customFormat="false" ht="15.75" hidden="false" customHeight="true" outlineLevel="0" collapsed="false">
      <c r="A2197" s="1714" t="str">
        <f aca="false">'Ввод данных'!A558</f>
        <v>Оцилиндрованное бревно сосна 260мм</v>
      </c>
      <c r="B2197" s="1958" t="s">
        <v>1043</v>
      </c>
      <c r="C2197" s="1958" t="n">
        <f aca="false">(IF('Ввод данных'!A556=связи1!A455,VLOOKUP(A2197,'Прайс лист'!B340:G426,3,0),0)+IF('Ввод данных'!A556=связи1!A456,VLOOKUP(дома!A2197,'Прайс лист'!B448:G535,3,0),0))*(C2191+C2192+C2192)*C2193*B2188</f>
        <v>1.17</v>
      </c>
      <c r="D2197" s="1714" t="n">
        <f aca="false">IF('Ввод данных'!A556=связи1!A455,VLOOKUP(A2197,'Прайс лист'!B340:G426,6,0),0)+IF('Ввод данных'!A556=связи1!A456,VLOOKUP(дома!A2197,'Прайс лист'!B448:G535,6,0),0)</f>
        <v>8500</v>
      </c>
      <c r="E2197" s="1714" t="n">
        <f aca="false">C2197*D2197</f>
        <v>9945</v>
      </c>
      <c r="F2197" s="1617"/>
      <c r="G2197" s="1714" t="str">
        <f aca="false">'Прайс лист'!B1518</f>
        <v>кладка бруса</v>
      </c>
      <c r="H2197" s="1714"/>
      <c r="I2197" s="1714" t="n">
        <f aca="false">C2197*B2188</f>
        <v>1.17</v>
      </c>
      <c r="J2197" s="1714" t="n">
        <f aca="false">'Прайс лист'!G1518</f>
        <v>4000</v>
      </c>
      <c r="K2197" s="1714" t="n">
        <f aca="false">I2197*J2197</f>
        <v>4680</v>
      </c>
      <c r="P2197" s="1617"/>
      <c r="Q2197" s="1617"/>
      <c r="R2197" s="1617"/>
      <c r="S2197" s="1617"/>
      <c r="T2197" s="1617"/>
      <c r="U2197" s="1617"/>
      <c r="V2197" s="1617"/>
      <c r="W2197" s="1617"/>
      <c r="X2197" s="1617"/>
      <c r="Y2197" s="1617"/>
    </row>
    <row r="2198" customFormat="false" ht="15.75" hidden="false" customHeight="true" outlineLevel="0" collapsed="false">
      <c r="A2198" s="1436" t="str">
        <f aca="false">'Ввод данных'!A560</f>
        <v>Доска естественной влажности, 200*50мм</v>
      </c>
      <c r="B2198" s="1692" t="s">
        <v>1043</v>
      </c>
      <c r="C2198" s="1436" t="n">
        <f aca="false">VLOOKUP(A2198,связи1!A202:E211,5,0)*(C2191/0.6+1+C2191)*B2188</f>
        <v>0.09</v>
      </c>
      <c r="D2198" s="1436" t="n">
        <f aca="false">VLOOKUP(A2198,связи1!A202:D211,4,0)</f>
        <v>6500</v>
      </c>
      <c r="E2198" s="1714" t="n">
        <f aca="false">C2198*D2198</f>
        <v>585</v>
      </c>
      <c r="F2198" s="1617"/>
      <c r="G2198" s="1714" t="str">
        <f aca="false">'Прайс лист'!B1431</f>
        <v>Монтаж перекрытий из бруса</v>
      </c>
      <c r="H2198" s="1714"/>
      <c r="I2198" s="1714" t="n">
        <f aca="false">F2191*B2188</f>
        <v>3</v>
      </c>
      <c r="J2198" s="1714" t="n">
        <f aca="false">'Прайс лист'!G1431</f>
        <v>300</v>
      </c>
      <c r="K2198" s="1714" t="n">
        <f aca="false">I2198*J2198</f>
        <v>900</v>
      </c>
      <c r="P2198" s="1617"/>
      <c r="Q2198" s="1617"/>
      <c r="R2198" s="1617"/>
      <c r="S2198" s="1617"/>
      <c r="T2198" s="1617"/>
      <c r="U2198" s="1617"/>
      <c r="V2198" s="1617"/>
      <c r="W2198" s="1617"/>
      <c r="X2198" s="1617"/>
      <c r="Y2198" s="1617"/>
    </row>
    <row r="2199" customFormat="false" ht="15.75" hidden="false" customHeight="true" outlineLevel="0" collapsed="false">
      <c r="A2199" s="1714" t="str">
        <f aca="false">A1797</f>
        <v>Бензин для пилы</v>
      </c>
      <c r="B2199" s="1958" t="str">
        <f aca="false">B1797</f>
        <v>л</v>
      </c>
      <c r="C2199" s="1958" t="n">
        <f aca="false">(C2197+C2198)/2*B2188</f>
        <v>0.63</v>
      </c>
      <c r="D2199" s="1714" t="n">
        <f aca="false">D1797</f>
        <v>40</v>
      </c>
      <c r="E2199" s="1714" t="n">
        <f aca="false">C2199*D2199</f>
        <v>25.2</v>
      </c>
      <c r="F2199" s="1617"/>
      <c r="G2199" s="1714"/>
      <c r="H2199" s="1714"/>
      <c r="I2199" s="1714"/>
      <c r="J2199" s="1714"/>
      <c r="K2199" s="1714"/>
      <c r="P2199" s="1617"/>
      <c r="Q2199" s="1617"/>
      <c r="R2199" s="1617"/>
      <c r="S2199" s="1617"/>
      <c r="T2199" s="1617"/>
      <c r="U2199" s="1617"/>
      <c r="V2199" s="1617"/>
      <c r="W2199" s="1617"/>
      <c r="X2199" s="1617"/>
      <c r="Y2199" s="1617"/>
    </row>
    <row r="2200" customFormat="false" ht="15.75" hidden="false" customHeight="true" outlineLevel="0" collapsed="false">
      <c r="A2200" s="1714" t="str">
        <f aca="false">A1798</f>
        <v>Масло для пилы</v>
      </c>
      <c r="B2200" s="1958" t="str">
        <f aca="false">B1798</f>
        <v>л</v>
      </c>
      <c r="C2200" s="1958" t="n">
        <f aca="false">C2199/12*B2188</f>
        <v>0.0525</v>
      </c>
      <c r="D2200" s="1714" t="n">
        <f aca="false">D1798</f>
        <v>250</v>
      </c>
      <c r="E2200" s="1714" t="n">
        <f aca="false">C2200*D2200</f>
        <v>13.125</v>
      </c>
      <c r="F2200" s="1617"/>
      <c r="G2200" s="1714"/>
      <c r="H2200" s="1714"/>
      <c r="I2200" s="1714"/>
      <c r="J2200" s="1714"/>
      <c r="K2200" s="1714"/>
      <c r="P2200" s="1617"/>
      <c r="Q2200" s="1617"/>
      <c r="R2200" s="1617"/>
      <c r="S2200" s="1617"/>
      <c r="T2200" s="1617"/>
      <c r="U2200" s="1617"/>
      <c r="V2200" s="1617"/>
      <c r="W2200" s="1617"/>
      <c r="X2200" s="1617"/>
      <c r="Y2200" s="1617"/>
    </row>
    <row r="2201" customFormat="false" ht="15.75" hidden="false" customHeight="true" outlineLevel="0" collapsed="false">
      <c r="A2201" s="1714" t="str">
        <f aca="false">A1799</f>
        <v>Цепь для пилы</v>
      </c>
      <c r="B2201" s="1958" t="str">
        <f aca="false">B1799</f>
        <v>л</v>
      </c>
      <c r="C2201" s="1958" t="n">
        <f aca="false">1*B2188</f>
        <v>1</v>
      </c>
      <c r="D2201" s="1714" t="n">
        <f aca="false">D1799</f>
        <v>800</v>
      </c>
      <c r="E2201" s="1714" t="n">
        <f aca="false">C2201*D2201</f>
        <v>800</v>
      </c>
      <c r="F2201" s="1617"/>
      <c r="G2201" s="1714"/>
      <c r="H2201" s="1714"/>
      <c r="I2201" s="1714"/>
      <c r="J2201" s="1714"/>
      <c r="K2201" s="1714"/>
      <c r="P2201" s="1617"/>
      <c r="Q2201" s="1617"/>
      <c r="R2201" s="1617"/>
      <c r="S2201" s="1617"/>
      <c r="T2201" s="1617"/>
      <c r="U2201" s="1617"/>
      <c r="V2201" s="1617"/>
      <c r="W2201" s="1617"/>
      <c r="X2201" s="1617"/>
      <c r="Y2201" s="1617"/>
    </row>
    <row r="2202" customFormat="false" ht="15.75" hidden="false" customHeight="true" outlineLevel="0" collapsed="false">
      <c r="A2202" s="1714"/>
      <c r="B2202" s="1958"/>
      <c r="C2202" s="1958"/>
      <c r="D2202" s="1714"/>
      <c r="E2202" s="1714"/>
      <c r="F2202" s="1617"/>
      <c r="G2202" s="1714"/>
      <c r="H2202" s="1714"/>
      <c r="I2202" s="1714"/>
      <c r="J2202" s="1714"/>
      <c r="K2202" s="1714"/>
      <c r="P2202" s="1617"/>
      <c r="Q2202" s="1617"/>
      <c r="R2202" s="1617"/>
      <c r="S2202" s="1617"/>
      <c r="T2202" s="1617"/>
      <c r="U2202" s="1617"/>
      <c r="V2202" s="1617"/>
      <c r="W2202" s="1617"/>
      <c r="X2202" s="1617"/>
      <c r="Y2202" s="1617"/>
    </row>
    <row r="2203" customFormat="false" ht="15.75" hidden="false" customHeight="true" outlineLevel="0" collapsed="false">
      <c r="A2203" s="1714" t="str">
        <f aca="false">'Ввод данных'!A580</f>
        <v>Гидроизоляция жидкая резина 1</v>
      </c>
      <c r="B2203" s="1958" t="s">
        <v>434</v>
      </c>
      <c r="C2203" s="1958" t="n">
        <f aca="false">I2203*VLOOKUP('Ввод данных'!D566,связи1!A2:B3,2,0)*VLOOKUP('Ввод данных'!F597,связи1!A2:B3,2,0)</f>
        <v>0</v>
      </c>
      <c r="D2203" s="1714" t="n">
        <f aca="false">VLOOKUP(A2203,'Прайс лист'!B1214:G1217,6,0)</f>
        <v>150</v>
      </c>
      <c r="E2203" s="1714" t="n">
        <f aca="false">C2203*D2203</f>
        <v>0</v>
      </c>
      <c r="F2203" s="1617"/>
      <c r="G2203" s="1714" t="str">
        <f aca="false">'Прайс лист'!B1602</f>
        <v>Гидроизоляция рулонная</v>
      </c>
      <c r="H2203" s="1714"/>
      <c r="I2203" s="1714" t="n">
        <f aca="false">'Ввод данных'!C570*'Ввод данных'!C571*VLOOKUP('Ввод данных'!D566,связи1!A2:B3,2,0)*VLOOKUP('Ввод данных'!F597,связи1!A2:B3,2,0)*IF(A2203='Прайс лист'!B1214,0,1)</f>
        <v>0</v>
      </c>
      <c r="J2203" s="1714" t="n">
        <f aca="false">'Прайс лист'!G1602</f>
        <v>250</v>
      </c>
      <c r="K2203" s="1714" t="n">
        <f aca="false">I2203*J2203</f>
        <v>0</v>
      </c>
      <c r="P2203" s="1617"/>
      <c r="Q2203" s="1617"/>
      <c r="R2203" s="1617"/>
      <c r="S2203" s="1617"/>
      <c r="T2203" s="1617"/>
      <c r="U2203" s="1617"/>
      <c r="V2203" s="1617"/>
      <c r="W2203" s="1617"/>
      <c r="X2203" s="1617"/>
      <c r="Y2203" s="1617"/>
    </row>
    <row r="2204" customFormat="false" ht="15.75" hidden="false" customHeight="true" outlineLevel="0" collapsed="false">
      <c r="A2204" s="1714" t="str">
        <f aca="false">'Ввод данных'!A582</f>
        <v>Kronospan - OSB-3, 22мм</v>
      </c>
      <c r="B2204" s="1958" t="s">
        <v>820</v>
      </c>
      <c r="C2204" s="1958" t="n">
        <f aca="false">I2203*VLOOKUP('Ввод данных'!D566,связи1!A2:B3,2,0)*VLOOKUP('Ввод данных'!F597,связи1!A2:B3,2,0)</f>
        <v>0</v>
      </c>
      <c r="D2204" s="1714" t="n">
        <f aca="false">VLOOKUP(A2204,'Прайс лист'!B863:G907,6,0)</f>
        <v>526.666666666667</v>
      </c>
      <c r="E2204" s="1714" t="n">
        <f aca="false">C2204*D2204</f>
        <v>0</v>
      </c>
      <c r="F2204" s="1617"/>
      <c r="G2204" s="1714" t="str">
        <f aca="false">'Прайс лист'!B1706</f>
        <v>монтаж OSB пол</v>
      </c>
      <c r="H2204" s="1714"/>
      <c r="I2204" s="1714" t="n">
        <f aca="false">I2203*VLOOKUP('Ввод данных'!D566,связи1!A2:B3,2,0)*VLOOKUP('Ввод данных'!F597,связи1!A2:B3,2,0)*IF(A2204='Прайс лист'!B863,0,1)</f>
        <v>0</v>
      </c>
      <c r="J2204" s="1714" t="n">
        <f aca="false">'Прайс лист'!G1706</f>
        <v>250</v>
      </c>
      <c r="K2204" s="1714" t="n">
        <f aca="false">I2204*J2204</f>
        <v>0</v>
      </c>
      <c r="P2204" s="1617"/>
      <c r="Q2204" s="1617"/>
      <c r="R2204" s="1617"/>
      <c r="S2204" s="1617"/>
      <c r="T2204" s="1617"/>
      <c r="U2204" s="1617"/>
      <c r="V2204" s="1617"/>
      <c r="W2204" s="1617"/>
      <c r="X2204" s="1617"/>
      <c r="Y2204" s="1617"/>
    </row>
    <row r="2205" customFormat="false" ht="15.75" hidden="false" customHeight="true" outlineLevel="0" collapsed="false">
      <c r="A2205" s="1714" t="str">
        <f aca="false">'Ввод данных'!A584</f>
        <v>Проф.брус вл. 200*150мм</v>
      </c>
      <c r="B2205" s="1958" t="s">
        <v>1043</v>
      </c>
      <c r="C2205" s="1958" t="n">
        <f aca="false">CEILING(C2219/2+1+C2220/2,1)*VLOOKUP(A2205,'Прайс лист'!B340:G426,5,0)*VLOOKUP('Ввод данных'!D566,связи1!A2:B3,2,0)*VLOOKUP('Ввод данных'!F597,связи1!A2:B3,2,0)</f>
        <v>0</v>
      </c>
      <c r="D2205" s="1714" t="n">
        <f aca="false">VLOOKUP(A2205,'Прайс лист'!B340:G426,6,0)</f>
        <v>9300</v>
      </c>
      <c r="E2205" s="1714" t="n">
        <f aca="false">C2205*D2205</f>
        <v>0</v>
      </c>
      <c r="F2205" s="1617"/>
      <c r="G2205" s="1714" t="str">
        <f aca="false">'Прайс лист'!B1707</f>
        <v>Монтаж перил</v>
      </c>
      <c r="H2205" s="1714"/>
      <c r="I2205" s="1714" t="n">
        <f aca="false">(C2219+C2220)*VLOOKUP('Ввод данных'!D566,связи1!A2:B3,2,0)*VLOOKUP('Ввод данных'!F597,связи1!A2:B3,2,0)</f>
        <v>0</v>
      </c>
      <c r="J2205" s="1714" t="n">
        <f aca="false">'Прайс лист'!G1707</f>
        <v>500</v>
      </c>
      <c r="K2205" s="1714" t="n">
        <f aca="false">I2205*J2205</f>
        <v>0</v>
      </c>
      <c r="P2205" s="1617"/>
      <c r="Q2205" s="1617"/>
      <c r="R2205" s="1617"/>
      <c r="S2205" s="1617"/>
      <c r="T2205" s="1617"/>
      <c r="U2205" s="1617"/>
      <c r="V2205" s="1617"/>
      <c r="W2205" s="1617"/>
      <c r="X2205" s="1617"/>
      <c r="Y2205" s="1617"/>
    </row>
    <row r="2206" customFormat="false" ht="15.75" hidden="false" customHeight="true" outlineLevel="0" collapsed="false">
      <c r="A2206" s="1714" t="str">
        <f aca="false">'Ввод данных'!A586</f>
        <v>Брус клееный проф 2 ламель кедр Шир. 240 выс. 140</v>
      </c>
      <c r="B2206" s="1958" t="s">
        <v>1043</v>
      </c>
      <c r="C2206" s="1958" t="n">
        <f aca="false">VLOOKUP(A2206,'Прайс лист'!B340:G426,5,0)*VLOOKUP('Ввод данных'!D566,связи1!A2:B3,2,0)*VLOOKUP('Ввод данных'!F597,связи1!A2:B3,2,0)</f>
        <v>0</v>
      </c>
      <c r="D2206" s="1714" t="n">
        <f aca="false">VLOOKUP(A2206,'Прайс лист'!B340:G426,6,0)</f>
        <v>24000</v>
      </c>
      <c r="E2206" s="1714" t="n">
        <f aca="false">C2206*D2206</f>
        <v>0</v>
      </c>
      <c r="F2206" s="1617"/>
      <c r="G2206" s="1714" t="str">
        <f aca="false">G2044</f>
        <v>Монтаж накладки на перила</v>
      </c>
      <c r="H2206" s="1714"/>
      <c r="I2206" s="1714" t="n">
        <f aca="false">I2205*VLOOKUP('Ввод данных'!D566,связи1!A2:B3,2,0)*VLOOKUP('Ввод данных'!F597,связи1!A2:B3,2,0)*IF(A2208='Прайс лист'!B427,0,1)</f>
        <v>0</v>
      </c>
      <c r="J2206" s="1714" t="n">
        <f aca="false">K2044</f>
        <v>0</v>
      </c>
      <c r="K2206" s="1714" t="n">
        <f aca="false">I2206*J2206</f>
        <v>0</v>
      </c>
      <c r="P2206" s="1617"/>
      <c r="Q2206" s="1617"/>
      <c r="R2206" s="1617"/>
      <c r="S2206" s="1617"/>
      <c r="T2206" s="1617"/>
      <c r="U2206" s="1617"/>
      <c r="V2206" s="1617"/>
      <c r="W2206" s="1617"/>
      <c r="X2206" s="1617"/>
      <c r="Y2206" s="1617"/>
    </row>
    <row r="2207" customFormat="false" ht="15.75" hidden="false" customHeight="true" outlineLevel="0" collapsed="false">
      <c r="A2207" s="1714" t="str">
        <f aca="false">'Ввод данных'!A588</f>
        <v>Брус клееный проф 1 ламель кедр Шир. 240 выс. 140</v>
      </c>
      <c r="B2207" s="1958" t="s">
        <v>1043</v>
      </c>
      <c r="C2207" s="1958" t="n">
        <f aca="false">VLOOKUP(A2207,'Прайс лист'!B340:G426,5,0)*VLOOKUP('Ввод данных'!D566,связи1!A2:B3,2,0)*VLOOKUP('Ввод данных'!F597,связи1!A2:B3,2,0)</f>
        <v>0</v>
      </c>
      <c r="D2207" s="1714" t="n">
        <f aca="false">VLOOKUP(A2207,'Прайс лист'!B340:G426,6,0)</f>
        <v>24000</v>
      </c>
      <c r="E2207" s="1714" t="n">
        <f aca="false">C2207*D2207</f>
        <v>0</v>
      </c>
      <c r="F2207" s="1617"/>
      <c r="G2207" s="1436"/>
      <c r="H2207" s="1436"/>
      <c r="I2207" s="1436"/>
      <c r="J2207" s="1436"/>
      <c r="K2207" s="1714"/>
      <c r="P2207" s="1617"/>
      <c r="Q2207" s="1617"/>
      <c r="R2207" s="1617"/>
      <c r="S2207" s="1617"/>
      <c r="T2207" s="1617"/>
      <c r="U2207" s="1617"/>
      <c r="V2207" s="1617"/>
      <c r="W2207" s="1617"/>
      <c r="X2207" s="1617"/>
      <c r="Y2207" s="1617"/>
    </row>
    <row r="2208" customFormat="false" ht="15.75" hidden="false" customHeight="true" outlineLevel="0" collapsed="false">
      <c r="A2208" s="1714" t="str">
        <f aca="false">'Ввод данных'!A590</f>
        <v>Клееная накладка на перила шир 240мм</v>
      </c>
      <c r="B2208" s="1958" t="s">
        <v>15</v>
      </c>
      <c r="C2208" s="1958" t="n">
        <f aca="false">VLOOKUP('Ввод данных'!D566,связи1!A2:B3,2,0)*VLOOKUP('Ввод данных'!F597,связи1!A2:B3,2,0)</f>
        <v>0</v>
      </c>
      <c r="D2208" s="1714" t="n">
        <f aca="false">VLOOKUP(A2208,'Прайс лист'!B427:G431,6,0)</f>
        <v>400</v>
      </c>
      <c r="E2208" s="1714" t="n">
        <f aca="false">C2208*D2208</f>
        <v>0</v>
      </c>
      <c r="F2208" s="1617"/>
      <c r="G2208" s="1714"/>
      <c r="H2208" s="1714"/>
      <c r="I2208" s="1714"/>
      <c r="J2208" s="1714"/>
      <c r="K2208" s="1714"/>
      <c r="P2208" s="1617"/>
      <c r="Q2208" s="1617"/>
      <c r="R2208" s="1617"/>
      <c r="S2208" s="1617"/>
      <c r="T2208" s="1617"/>
      <c r="U2208" s="1617"/>
      <c r="V2208" s="1617"/>
      <c r="W2208" s="1617"/>
      <c r="X2208" s="1617"/>
      <c r="Y2208" s="1617"/>
    </row>
    <row r="2209" customFormat="false" ht="15.75" hidden="false" customHeight="true" outlineLevel="0" collapsed="false">
      <c r="A2209" s="1714"/>
      <c r="B2209" s="1958"/>
      <c r="C2209" s="1958"/>
      <c r="D2209" s="1714"/>
      <c r="E2209" s="1714"/>
      <c r="F2209" s="1617"/>
      <c r="G2209" s="1714"/>
      <c r="H2209" s="1714"/>
      <c r="I2209" s="1714"/>
      <c r="J2209" s="1714"/>
      <c r="K2209" s="1714"/>
      <c r="P2209" s="1617"/>
      <c r="Q2209" s="1617"/>
      <c r="R2209" s="1617"/>
      <c r="S2209" s="1617"/>
      <c r="T2209" s="1617"/>
      <c r="U2209" s="1617"/>
      <c r="V2209" s="1617"/>
      <c r="W2209" s="1617"/>
      <c r="X2209" s="1617"/>
      <c r="Y2209" s="1617"/>
    </row>
    <row r="2210" customFormat="false" ht="15.75" hidden="false" customHeight="true" outlineLevel="0" collapsed="false">
      <c r="A2210" s="2439" t="str">
        <f aca="false">'Ввод данных'!A593</f>
        <v>Нет техники</v>
      </c>
      <c r="B2210" s="2440" t="str">
        <f aca="false">'Ввод данных'!B593</f>
        <v>ед.</v>
      </c>
      <c r="C2210" s="2439" t="n">
        <f aca="false">'Ввод данных'!C593*F2186</f>
        <v>0</v>
      </c>
      <c r="D2210" s="1714" t="n">
        <f aca="false">VLOOKUP(A2210,'Прайс лист'!B192:G206,6,0)</f>
        <v>0</v>
      </c>
      <c r="E2210" s="1714" t="n">
        <f aca="false">C2210*D2210</f>
        <v>0</v>
      </c>
      <c r="F2210" s="1617"/>
      <c r="G2210" s="1714"/>
      <c r="H2210" s="1714"/>
      <c r="I2210" s="1714"/>
      <c r="J2210" s="1714"/>
      <c r="K2210" s="1714"/>
      <c r="P2210" s="1617"/>
      <c r="Q2210" s="1617"/>
      <c r="R2210" s="1617"/>
      <c r="S2210" s="1617"/>
      <c r="T2210" s="1617"/>
      <c r="U2210" s="1617"/>
      <c r="V2210" s="1617"/>
      <c r="W2210" s="1617"/>
      <c r="X2210" s="1617"/>
      <c r="Y2210" s="1617"/>
    </row>
    <row r="2211" customFormat="false" ht="15.75" hidden="false" customHeight="true" outlineLevel="0" collapsed="false">
      <c r="A2211" s="2439" t="str">
        <f aca="false">'Ввод данных'!A594</f>
        <v>Нет техники</v>
      </c>
      <c r="B2211" s="2440" t="str">
        <f aca="false">'Ввод данных'!B594</f>
        <v>ед.</v>
      </c>
      <c r="C2211" s="2439" t="n">
        <f aca="false">'Ввод данных'!C594*F2186</f>
        <v>0</v>
      </c>
      <c r="D2211" s="1714" t="n">
        <f aca="false">VLOOKUP(A2211,'Прайс лист'!B192:G206,6,0)</f>
        <v>0</v>
      </c>
      <c r="E2211" s="1714" t="n">
        <f aca="false">C2211*D2211</f>
        <v>0</v>
      </c>
      <c r="F2211" s="1617"/>
      <c r="G2211" s="1714"/>
      <c r="H2211" s="1714"/>
      <c r="I2211" s="1714"/>
      <c r="J2211" s="1714"/>
      <c r="K2211" s="1714"/>
      <c r="P2211" s="1617"/>
      <c r="Q2211" s="1617"/>
      <c r="R2211" s="1617"/>
      <c r="S2211" s="1617"/>
      <c r="T2211" s="1617"/>
      <c r="U2211" s="1617"/>
      <c r="V2211" s="1617"/>
      <c r="W2211" s="1617"/>
      <c r="X2211" s="1617"/>
      <c r="Y2211" s="1617"/>
    </row>
    <row r="2212" customFormat="false" ht="15.75" hidden="false" customHeight="true" outlineLevel="0" collapsed="false">
      <c r="A2212" s="1617" t="str">
        <f aca="false">'Ввод данных'!A596</f>
        <v>расходные материалы балкон</v>
      </c>
      <c r="B2212" s="2318" t="str">
        <f aca="false">'Ввод данных'!B596</f>
        <v>рублей</v>
      </c>
      <c r="C2212" s="1617" t="n">
        <f aca="false">1*F2186</f>
        <v>0</v>
      </c>
      <c r="D2212" s="1617" t="n">
        <f aca="false">'Ввод данных'!C596</f>
        <v>0</v>
      </c>
      <c r="E2212" s="1714" t="n">
        <f aca="false">C2212*D2212</f>
        <v>0</v>
      </c>
      <c r="F2212" s="1617"/>
      <c r="G2212" s="1714"/>
      <c r="H2212" s="1714"/>
      <c r="I2212" s="1714"/>
      <c r="J2212" s="1714"/>
      <c r="K2212" s="2151"/>
      <c r="P2212" s="1617"/>
      <c r="Q2212" s="1617"/>
      <c r="R2212" s="1617"/>
      <c r="S2212" s="1617"/>
      <c r="T2212" s="1617"/>
      <c r="U2212" s="1617"/>
      <c r="V2212" s="1617"/>
      <c r="W2212" s="1617"/>
      <c r="X2212" s="1617"/>
      <c r="Y2212" s="1617"/>
    </row>
    <row r="2213" customFormat="false" ht="15.75" hidden="false" customHeight="true" outlineLevel="0" collapsed="false">
      <c r="A2213" s="2441"/>
      <c r="B2213" s="2442"/>
      <c r="C2213" s="2442"/>
      <c r="D2213" s="2441"/>
      <c r="E2213" s="2441"/>
      <c r="F2213" s="1617"/>
      <c r="G2213" s="2441"/>
      <c r="H2213" s="2441"/>
      <c r="I2213" s="2441"/>
      <c r="J2213" s="2441"/>
      <c r="K2213" s="2443"/>
      <c r="P2213" s="1617"/>
      <c r="Q2213" s="1617"/>
      <c r="R2213" s="1617"/>
      <c r="S2213" s="1617"/>
      <c r="T2213" s="1617"/>
      <c r="U2213" s="1617"/>
      <c r="V2213" s="1617"/>
      <c r="W2213" s="1617"/>
      <c r="X2213" s="1617"/>
      <c r="Y2213" s="1617"/>
    </row>
    <row r="2214" customFormat="false" ht="15.75" hidden="false" customHeight="true" outlineLevel="0" collapsed="false">
      <c r="A2214" s="1747" t="s">
        <v>3951</v>
      </c>
      <c r="B2214" s="2352"/>
      <c r="C2214" s="2352" t="s">
        <v>3952</v>
      </c>
      <c r="D2214" s="1747"/>
      <c r="E2214" s="1747" t="s">
        <v>76</v>
      </c>
      <c r="F2214" s="1747"/>
      <c r="G2214" s="1619"/>
      <c r="H2214" s="1619"/>
      <c r="I2214" s="1619" t="s">
        <v>3953</v>
      </c>
      <c r="J2214" s="1747"/>
      <c r="K2214" s="1747" t="s">
        <v>3954</v>
      </c>
      <c r="P2214" s="1617"/>
      <c r="Q2214" s="1617"/>
      <c r="R2214" s="1617"/>
      <c r="S2214" s="1617"/>
      <c r="T2214" s="1617"/>
      <c r="U2214" s="1617"/>
      <c r="V2214" s="1617"/>
      <c r="W2214" s="1617"/>
      <c r="X2214" s="1617"/>
      <c r="Y2214" s="1617"/>
    </row>
    <row r="2215" customFormat="false" ht="15.75" hidden="false" customHeight="true" outlineLevel="0" collapsed="false">
      <c r="A2215" s="1747"/>
      <c r="B2215" s="2352"/>
      <c r="C2215" s="2352"/>
      <c r="D2215" s="1747"/>
      <c r="E2215" s="1747" t="s">
        <v>2768</v>
      </c>
      <c r="F2215" s="1747" t="s">
        <v>2769</v>
      </c>
      <c r="G2215" s="1619"/>
      <c r="H2215" s="1619"/>
      <c r="I2215" s="1619"/>
      <c r="J2215" s="1747"/>
      <c r="K2215" s="1747"/>
      <c r="P2215" s="1617"/>
      <c r="Q2215" s="1617"/>
      <c r="R2215" s="1617"/>
      <c r="S2215" s="1617"/>
      <c r="T2215" s="1617"/>
      <c r="U2215" s="1617"/>
      <c r="V2215" s="1617"/>
      <c r="W2215" s="1617"/>
      <c r="X2215" s="1617"/>
      <c r="Y2215" s="1617"/>
    </row>
    <row r="2216" customFormat="false" ht="15.75" hidden="false" customHeight="true" outlineLevel="0" collapsed="false">
      <c r="A2216" s="1747"/>
      <c r="B2216" s="2352"/>
      <c r="C2216" s="2352"/>
      <c r="D2216" s="1747" t="s">
        <v>3955</v>
      </c>
      <c r="E2216" s="1747" t="n">
        <f aca="false">VLOOKUP('Ввод данных'!B245,связи1!A2:B3,2,0)</f>
        <v>1</v>
      </c>
      <c r="F2216" s="1747" t="n">
        <f aca="false">VLOOKUP('Ввод данных'!C245,связи1!A2:B3,2,0)</f>
        <v>0</v>
      </c>
      <c r="G2216" s="1619"/>
      <c r="H2216" s="1619"/>
      <c r="I2216" s="1619"/>
      <c r="J2216" s="1747"/>
      <c r="K2216" s="1747"/>
      <c r="P2216" s="1617"/>
      <c r="Q2216" s="1617"/>
      <c r="R2216" s="1617"/>
      <c r="S2216" s="1617"/>
      <c r="T2216" s="1617"/>
      <c r="U2216" s="1617"/>
      <c r="V2216" s="1617"/>
      <c r="W2216" s="1617"/>
      <c r="X2216" s="1617"/>
      <c r="Y2216" s="1617"/>
    </row>
    <row r="2217" customFormat="false" ht="15.75" hidden="false" customHeight="true" outlineLevel="0" collapsed="false">
      <c r="A2217" s="1747" t="str">
        <f aca="false">'Ввод данных'!A568</f>
        <v>Размеры балкона</v>
      </c>
      <c r="B2217" s="2352" t="s">
        <v>486</v>
      </c>
      <c r="C2217" s="1747" t="n">
        <f aca="false">IF(связи1!H91=связи1!A2,1,0)</f>
        <v>1</v>
      </c>
      <c r="D2217" s="1747"/>
      <c r="E2217" s="1747" t="n">
        <f aca="false">IF(связи1!H89=связи1!A2,1,0)</f>
        <v>1</v>
      </c>
      <c r="F2217" s="1747" t="n">
        <f aca="false">IF(связи1!H89=связи1!A2,1,0)</f>
        <v>1</v>
      </c>
      <c r="G2217" s="1747"/>
      <c r="H2217" s="1747"/>
      <c r="I2217" s="1747" t="n">
        <f aca="false">IF(связи1!H93=связи1!A2,1,0)</f>
        <v>1</v>
      </c>
      <c r="J2217" s="1747"/>
      <c r="K2217" s="1747" t="n">
        <f aca="false">IF(связи1!H95=связи1!A2,1,0)</f>
        <v>1</v>
      </c>
      <c r="P2217" s="1617"/>
      <c r="Q2217" s="1617"/>
      <c r="R2217" s="1617"/>
      <c r="S2217" s="1617"/>
      <c r="T2217" s="1617"/>
      <c r="U2217" s="1617"/>
      <c r="V2217" s="1617"/>
      <c r="W2217" s="1617"/>
      <c r="X2217" s="1617"/>
      <c r="Y2217" s="1617"/>
    </row>
    <row r="2218" customFormat="false" ht="15.75" hidden="false" customHeight="true" outlineLevel="0" collapsed="false">
      <c r="A2218" s="1747" t="str">
        <f aca="false">'Ввод данных'!A569</f>
        <v>Количество балконов</v>
      </c>
      <c r="B2218" s="2352" t="str">
        <f aca="false">'Ввод данных'!B569</f>
        <v>шт</v>
      </c>
      <c r="C2218" s="1747" t="n">
        <f aca="false">'Ввод данных'!C569*C2217</f>
        <v>1</v>
      </c>
      <c r="D2218" s="1747"/>
      <c r="E2218" s="1747" t="n">
        <f aca="false">'Ввод данных'!C569</f>
        <v>1</v>
      </c>
      <c r="F2218" s="1747" t="n">
        <f aca="false">'Ввод данных'!C569*F2217</f>
        <v>1</v>
      </c>
      <c r="G2218" s="1619"/>
      <c r="H2218" s="1619"/>
      <c r="I2218" s="2009" t="n">
        <f aca="false">'Ввод данных'!C569*I2217</f>
        <v>1</v>
      </c>
      <c r="J2218" s="1619"/>
      <c r="K2218" s="1619" t="n">
        <f aca="false">'Ввод данных'!C569</f>
        <v>1</v>
      </c>
      <c r="P2218" s="1617"/>
      <c r="Q2218" s="1617"/>
      <c r="R2218" s="1617"/>
      <c r="S2218" s="1617"/>
      <c r="T2218" s="1617"/>
      <c r="U2218" s="1617"/>
      <c r="V2218" s="1617"/>
      <c r="W2218" s="1617"/>
      <c r="X2218" s="1617"/>
      <c r="Y2218" s="1617"/>
    </row>
    <row r="2219" customFormat="false" ht="15.75" hidden="false" customHeight="true" outlineLevel="0" collapsed="false">
      <c r="A2219" s="1747" t="str">
        <f aca="false">'Ввод данных'!A570</f>
        <v>Длина Н14</v>
      </c>
      <c r="B2219" s="2352" t="str">
        <f aca="false">'Ввод данных'!B570</f>
        <v>м.п.</v>
      </c>
      <c r="C2219" s="1747" t="n">
        <f aca="false">'Ввод данных'!C570</f>
        <v>2</v>
      </c>
      <c r="D2219" s="1747"/>
      <c r="E2219" s="1747" t="n">
        <f aca="false">'Ввод данных'!C570</f>
        <v>2</v>
      </c>
      <c r="F2219" s="1747" t="n">
        <f aca="false">'Ввод данных'!C570</f>
        <v>2</v>
      </c>
      <c r="G2219" s="1619"/>
      <c r="H2219" s="1619"/>
      <c r="I2219" s="2009" t="n">
        <f aca="false">'Ввод данных'!C570</f>
        <v>2</v>
      </c>
      <c r="J2219" s="1619"/>
      <c r="K2219" s="1619" t="n">
        <f aca="false">'Ввод данных'!C570</f>
        <v>2</v>
      </c>
      <c r="P2219" s="1617"/>
      <c r="Q2219" s="1617"/>
      <c r="R2219" s="1617"/>
      <c r="S2219" s="1617"/>
      <c r="T2219" s="1617"/>
      <c r="U2219" s="1617"/>
      <c r="V2219" s="1617"/>
      <c r="W2219" s="1617"/>
      <c r="X2219" s="1617"/>
      <c r="Y2219" s="1617"/>
    </row>
    <row r="2220" customFormat="false" ht="15.75" hidden="false" customHeight="true" outlineLevel="0" collapsed="false">
      <c r="A2220" s="1747" t="str">
        <f aca="false">'Ввод данных'!A571</f>
        <v>Ширина Н15</v>
      </c>
      <c r="B2220" s="2352" t="str">
        <f aca="false">'Ввод данных'!B571</f>
        <v>м.п.</v>
      </c>
      <c r="C2220" s="1747" t="n">
        <f aca="false">'Ввод данных'!C571</f>
        <v>1.6</v>
      </c>
      <c r="D2220" s="1747"/>
      <c r="E2220" s="1747" t="n">
        <f aca="false">'Ввод данных'!C571</f>
        <v>1.6</v>
      </c>
      <c r="F2220" s="1747" t="n">
        <f aca="false">'Ввод данных'!C571</f>
        <v>1.6</v>
      </c>
      <c r="G2220" s="1619"/>
      <c r="H2220" s="1619"/>
      <c r="I2220" s="2009" t="n">
        <f aca="false">'Ввод данных'!C571</f>
        <v>1.6</v>
      </c>
      <c r="J2220" s="1619"/>
      <c r="K2220" s="1619" t="n">
        <f aca="false">'Ввод данных'!C571</f>
        <v>1.6</v>
      </c>
      <c r="P2220" s="1617"/>
      <c r="Q2220" s="1617"/>
      <c r="R2220" s="1617"/>
      <c r="S2220" s="1617"/>
      <c r="T2220" s="1617"/>
      <c r="U2220" s="1617"/>
      <c r="V2220" s="1617"/>
      <c r="W2220" s="1617"/>
      <c r="X2220" s="1617"/>
      <c r="Y2220" s="1617"/>
    </row>
    <row r="2221" customFormat="false" ht="15.75" hidden="false" customHeight="true" outlineLevel="0" collapsed="false">
      <c r="A2221" s="1747" t="str">
        <f aca="false">'Ввод данных'!A572</f>
        <v>Высота перил балкона</v>
      </c>
      <c r="B2221" s="2352" t="str">
        <f aca="false">'Ввод данных'!B572</f>
        <v>м.п.</v>
      </c>
      <c r="C2221" s="1747" t="n">
        <f aca="false">'Ввод данных'!C572</f>
        <v>0.9</v>
      </c>
      <c r="D2221" s="1747"/>
      <c r="E2221" s="1747" t="n">
        <f aca="false">'Ввод данных'!C572</f>
        <v>0.9</v>
      </c>
      <c r="F2221" s="1617" t="n">
        <f aca="false">'Ввод данных'!C572</f>
        <v>0.9</v>
      </c>
      <c r="I2221" s="1584" t="n">
        <f aca="false">'Ввод данных'!C572</f>
        <v>0.9</v>
      </c>
      <c r="K2221" s="1582" t="n">
        <f aca="false">'Ввод данных'!C572</f>
        <v>0.9</v>
      </c>
      <c r="P2221" s="1617"/>
      <c r="Q2221" s="1617"/>
      <c r="R2221" s="1617"/>
      <c r="S2221" s="1617"/>
      <c r="T2221" s="1617"/>
      <c r="U2221" s="1617"/>
      <c r="V2221" s="1617"/>
      <c r="W2221" s="1617"/>
      <c r="X2221" s="1617"/>
      <c r="Y2221" s="1617"/>
    </row>
    <row r="2222" customFormat="false" ht="15.75" hidden="false" customHeight="true" outlineLevel="0" collapsed="false">
      <c r="A2222" s="1747" t="s">
        <v>3956</v>
      </c>
      <c r="B2222" s="2352" t="s">
        <v>15</v>
      </c>
      <c r="C2222" s="1747" t="n">
        <f aca="false">(IF('Ввод данных'!A114=связи1!A132,'Ввод данных'!C9/2,0)+IF('Ввод данных'!A114=связи1!A133,дома!Z48+Z47,0)*VLOOKUP('Ввод данных'!B576,связи1!A2:B3,2,0)+IF('Ввод данных'!A114=связи1!A133,дома!AA48+AA47,0)*VLOOKUP('Ввод данных'!B577,связи1!A2:B3,2,0))</f>
        <v>4</v>
      </c>
      <c r="D2222" s="1747"/>
      <c r="E2222" s="1747" t="n">
        <f aca="false">(IF('Ввод данных'!A114=связи1!A132,'Ввод данных'!C10,0)+IF('Ввод данных'!A114=связи1!A133,'Ввод данных'!C10,0)*VLOOKUP('Ввод данных'!B576,связи1!A2:B3,2,0)+IF('Ввод данных'!A114=связи1!A133,'Ввод данных'!C10,0)*VLOOKUP('Ввод данных'!B577,связи1!A2:B3,2,0))</f>
        <v>8</v>
      </c>
      <c r="F2222" s="1617" t="n">
        <f aca="false">(IF('Ввод данных'!A114=связи1!A132,'Ввод данных'!C9,0)+IF('Ввод данных'!A114=связи1!A133,дома!Z48+Z47,0)*VLOOKUP('Ввод данных'!B576,связи1!A2:B3,2,0)+IF('Ввод данных'!A114=связи1!A133,дома!AA48+AA47,0)*VLOOKUP('Ввод данных'!B577,связи1!A2:B3,2,0))</f>
        <v>8</v>
      </c>
      <c r="I2222" s="1584" t="n">
        <f aca="false">IF('Ввод данных'!A114=связи1!A132,'Ввод данных'!C9/2,0)+IF('Ввод данных'!A114=связи1!A133,дома!Z48+Z47,0)*VLOOKUP('Ввод данных'!B576,связи1!A2:B3,2,0)+IF('Ввод данных'!A114=связи1!A133,дома!AA48+AA47,0)*VLOOKUP('Ввод данных'!B577,связи1!A2:B3,2,0)</f>
        <v>4</v>
      </c>
      <c r="K2222" s="1582" t="n">
        <f aca="false">IF('Ввод данных'!A114=связи1!A132,'Ввод данных'!C9/2,0)+IF('Ввод данных'!A114=связи1!A133,дома!Z48+Z47,0)*VLOOKUP('Ввод данных'!B576,связи1!A2:B3,2,0)+IF('Ввод данных'!A114=связи1!A133,дома!AA48+AA47,0)*VLOOKUP('Ввод данных'!B577,связи1!A2:B3,2,0)</f>
        <v>4</v>
      </c>
      <c r="P2222" s="1617"/>
      <c r="Q2222" s="1617"/>
      <c r="R2222" s="1617"/>
      <c r="S2222" s="1617"/>
      <c r="T2222" s="1617"/>
      <c r="U2222" s="1617"/>
      <c r="V2222" s="1617"/>
      <c r="W2222" s="1617"/>
      <c r="X2222" s="1617"/>
      <c r="Y2222" s="1617"/>
    </row>
    <row r="2223" customFormat="false" ht="15.75" hidden="false" customHeight="true" outlineLevel="0" collapsed="false">
      <c r="A2223" s="1747" t="str">
        <f aca="false">связи1!A94</f>
        <v>1 полноценный этаж</v>
      </c>
      <c r="B2223" s="2352"/>
      <c r="C2223" s="1747" t="n">
        <f aca="false">IF('Ввод данных'!A17=связи1!A94,0,0)</f>
        <v>0</v>
      </c>
      <c r="D2223" s="1747"/>
      <c r="E2223" s="1747" t="n">
        <f aca="false">IF('Ввод данных'!A17=связи1!A94,0,0)</f>
        <v>0</v>
      </c>
      <c r="F2223" s="1617" t="n">
        <f aca="false">IF('Ввод данных'!A17=связи1!A94,0,0)</f>
        <v>0</v>
      </c>
      <c r="I2223" s="1584" t="n">
        <f aca="false">IF('Ввод данных'!A17=связи1!A94,0,0)</f>
        <v>0</v>
      </c>
      <c r="K2223" s="1582" t="n">
        <f aca="false">IF('Ввод данных'!A17=связи1!A94,0,0)</f>
        <v>0</v>
      </c>
      <c r="P2223" s="1617"/>
      <c r="Q2223" s="1617"/>
      <c r="R2223" s="1617"/>
      <c r="S2223" s="1617"/>
      <c r="T2223" s="1617"/>
      <c r="U2223" s="1617"/>
      <c r="V2223" s="1617"/>
      <c r="W2223" s="1617"/>
      <c r="X2223" s="1617"/>
      <c r="Y2223" s="1617"/>
    </row>
    <row r="2224" customFormat="false" ht="15.75" hidden="false" customHeight="true" outlineLevel="0" collapsed="false">
      <c r="A2224" s="1747" t="str">
        <f aca="false">связи1!A95</f>
        <v>2 полноценных этажа</v>
      </c>
      <c r="B2224" s="2352"/>
      <c r="C2224" s="1747" t="n">
        <f aca="false">IF('Ввод данных'!A17=связи1!A95,'Ввод данных'!C12,0)</f>
        <v>0</v>
      </c>
      <c r="D2224" s="1747"/>
      <c r="E2224" s="1747" t="n">
        <f aca="false">IF('Ввод данных'!A17=связи1!A95,'Ввод данных'!C12,0)</f>
        <v>0</v>
      </c>
      <c r="F2224" s="1617" t="n">
        <f aca="false">IF('Ввод данных'!A17=связи1!A95,'Ввод данных'!C12,0)</f>
        <v>0</v>
      </c>
      <c r="I2224" s="1584" t="n">
        <f aca="false">IF('Ввод данных'!A17=связи1!A95,'Ввод данных'!C12,0)</f>
        <v>0</v>
      </c>
      <c r="K2224" s="1582" t="n">
        <f aca="false">IF('Ввод данных'!A17=связи1!A95,'Ввод данных'!C12,0)</f>
        <v>0</v>
      </c>
      <c r="P2224" s="1617"/>
      <c r="Q2224" s="1617"/>
      <c r="R2224" s="1617"/>
      <c r="S2224" s="1617"/>
      <c r="T2224" s="1617"/>
      <c r="U2224" s="1617"/>
      <c r="V2224" s="1617"/>
      <c r="W2224" s="1617"/>
      <c r="X2224" s="1617"/>
      <c r="Y2224" s="1617"/>
    </row>
    <row r="2225" customFormat="false" ht="15.75" hidden="false" customHeight="true" outlineLevel="0" collapsed="false">
      <c r="A2225" s="1747" t="str">
        <f aca="false">связи1!A96</f>
        <v>1 этаж + 2-ой мансардный</v>
      </c>
      <c r="B2225" s="2352"/>
      <c r="C2225" s="1747" t="n">
        <f aca="false">IF('Ввод данных'!A17=связи1!A96,(IF('Ввод данных'!A101=связи1!A128,C23,0)+IF('Ввод данных'!A101=связи1!A129,'Ввод данных'!C106,0)*VLOOKUP('Ввод данных'!B576,связи1!A2:B3,2,0)+IF('Ввод данных'!A101=связи1!A129,'Ввод данных'!C107,0)*VLOOKUP('Ввод данных'!B577,связи1!A2:B3,2,0)),0)</f>
        <v>1.6</v>
      </c>
      <c r="D2225" s="1747"/>
      <c r="E2225" s="1747" t="n">
        <f aca="false">IF('Ввод данных'!A17=связи1!A96,(IF('Ввод данных'!A101=связи1!A128,C23,0)+IF('Ввод данных'!A101=связи1!A129,'Ввод данных'!C106,0)*VLOOKUP('Ввод данных'!B576,связи1!A2:B3,2,0)+IF('Ввод данных'!A101=связи1!A129,'Ввод данных'!C107,0)*VLOOKUP('Ввод данных'!B577,связи1!A2:B3,2,0)),0)</f>
        <v>1.6</v>
      </c>
      <c r="F2225" s="1617" t="n">
        <f aca="false">IF('Ввод данных'!A17=связи1!A96,(IF('Ввод данных'!A101=связи1!A128,C23,0)+IF('Ввод данных'!A101=связи1!A129,'Ввод данных'!C106,0)*VLOOKUP('Ввод данных'!B576,связи1!A2:B3,2,0)+IF('Ввод данных'!A101=связи1!A129,'Ввод данных'!C107,0)*VLOOKUP('Ввод данных'!B577,связи1!A2:B3,2,0)),0)</f>
        <v>1.6</v>
      </c>
      <c r="I2225" s="1584" t="n">
        <f aca="false">IF('Ввод данных'!A17=связи1!A96,(IF('Ввод данных'!A101=связи1!A128,C23,0)+IF('Ввод данных'!A101=связи1!A129,'Ввод данных'!C106,0)*VLOOKUP('Ввод данных'!B576,связи1!A2:B3,2,0)+IF('Ввод данных'!A101=связи1!A129,'Ввод данных'!C107,0)*VLOOKUP('Ввод данных'!B577,связи1!A2:B3,2,0)),0)</f>
        <v>1.6</v>
      </c>
      <c r="K2225" s="1582" t="n">
        <f aca="false">IF('Ввод данных'!A17=связи1!A96,(IF('Ввод данных'!A101=связи1!A128,C23,0)+IF('Ввод данных'!A101=связи1!A129,'Ввод данных'!C106,0)*VLOOKUP('Ввод данных'!B576,связи1!A2:B3,2,0)+IF('Ввод данных'!A101=связи1!A129,'Ввод данных'!C107,0)*VLOOKUP('Ввод данных'!B577,связи1!A2:B3,2,0)),0)</f>
        <v>1.6</v>
      </c>
      <c r="P2225" s="1617"/>
      <c r="Q2225" s="1617"/>
      <c r="R2225" s="1617"/>
      <c r="S2225" s="1617"/>
      <c r="T2225" s="1617"/>
      <c r="U2225" s="1617"/>
      <c r="V2225" s="1617"/>
      <c r="W2225" s="1617"/>
      <c r="X2225" s="1617"/>
      <c r="Y2225" s="1617"/>
    </row>
    <row r="2226" customFormat="false" ht="15.75" hidden="false" customHeight="true" outlineLevel="0" collapsed="false">
      <c r="A2226" s="1747" t="str">
        <f aca="false">связи1!A97</f>
        <v>1 мансардный этаж</v>
      </c>
      <c r="B2226" s="2352"/>
      <c r="C2226" s="1747" t="n">
        <f aca="false">IF('Ввод данных'!A17=связи1!A97,0,0)</f>
        <v>0</v>
      </c>
      <c r="D2226" s="1747"/>
      <c r="E2226" s="1747" t="n">
        <f aca="false">IF('Ввод данных'!A17=связи1!A97,0,0)</f>
        <v>0</v>
      </c>
      <c r="F2226" s="1617" t="n">
        <f aca="false">IF('Ввод данных'!A17=связи1!A97,0,0)</f>
        <v>0</v>
      </c>
      <c r="I2226" s="1584" t="n">
        <f aca="false">IF('Ввод данных'!A17=связи1!A97,0,0)</f>
        <v>0</v>
      </c>
      <c r="K2226" s="1582" t="n">
        <f aca="false">IF('Ввод данных'!A17=связи1!A97,0,0)</f>
        <v>0</v>
      </c>
      <c r="P2226" s="1617"/>
      <c r="Q2226" s="1617"/>
      <c r="R2226" s="1617"/>
      <c r="S2226" s="1617"/>
      <c r="T2226" s="1617"/>
      <c r="U2226" s="1617"/>
      <c r="V2226" s="1617"/>
      <c r="W2226" s="1617"/>
      <c r="X2226" s="1617"/>
      <c r="Y2226" s="1617"/>
    </row>
    <row r="2227" customFormat="false" ht="15.75" hidden="false" customHeight="true" outlineLevel="0" collapsed="false">
      <c r="A2227" s="1747" t="str">
        <f aca="false">связи1!A98</f>
        <v>1 эт + 2-ой мансарда с перекрытием</v>
      </c>
      <c r="B2227" s="2352"/>
      <c r="C2227" s="1747" t="n">
        <f aca="false">IF('Ввод данных'!A17=связи1!A98,(IF('Ввод данных'!A101=связи1!A128,C23,0)+IF('Ввод данных'!A101=связи1!A129,'Ввод данных'!C106,0)*VLOOKUP('Ввод данных'!B576,связи1!A2:B3,2,0)+IF('Ввод данных'!A101=связи1!A129,'Ввод данных'!C107,0)*VLOOKUP('Ввод данных'!B577,связи1!A2:B3,2,0)),0)</f>
        <v>0</v>
      </c>
      <c r="D2227" s="1747"/>
      <c r="E2227" s="1747" t="n">
        <f aca="false">IF('Ввод данных'!A17=связи1!A98,(IF('Ввод данных'!A101=связи1!A128,C23,0)+IF('Ввод данных'!A101=связи1!A129,'Ввод данных'!C106,0)*VLOOKUP('Ввод данных'!B576,связи1!A2:B3,2,0)+IF('Ввод данных'!A101=связи1!A129,'Ввод данных'!C107,0)*VLOOKUP('Ввод данных'!B577,связи1!A2:B3,2,0)),0)</f>
        <v>0</v>
      </c>
      <c r="F2227" s="1617" t="n">
        <f aca="false">IF('Ввод данных'!A17=связи1!A98,(IF('Ввод данных'!A101=связи1!A128,C23,0)+IF('Ввод данных'!A101=связи1!A129,'Ввод данных'!C106,0)*VLOOKUP('Ввод данных'!B576,связи1!A2:B3,2,0)+IF('Ввод данных'!A101=связи1!A129,'Ввод данных'!C107,0)*VLOOKUP('Ввод данных'!B577,связи1!A2:B3,2,0)),0)</f>
        <v>0</v>
      </c>
      <c r="I2227" s="1584" t="n">
        <f aca="false">IF('Ввод данных'!A17=связи1!A98,(IF('Ввод данных'!A101=связи1!A128,C23,0)+IF('Ввод данных'!A101=связи1!A129,'Ввод данных'!C106,0)*VLOOKUP('Ввод данных'!B576,связи1!A2:B3,2,0)+IF('Ввод данных'!A101=связи1!A129,'Ввод данных'!C107,0)*VLOOKUP('Ввод данных'!B577,связи1!A2:B3,2,0)),0)</f>
        <v>0</v>
      </c>
      <c r="K2227" s="1582" t="n">
        <f aca="false">IF('Ввод данных'!A17=связи1!A98,(IF('Ввод данных'!A101=связи1!A128,C23,0)+IF('Ввод данных'!A101=связи1!A129,'Ввод данных'!C106,0)*VLOOKUP('Ввод данных'!B576,связи1!A2:B3,2,0)+IF('Ввод данных'!A101=связи1!A129,'Ввод данных'!C107,0)*VLOOKUP('Ввод данных'!B577,связи1!A2:B3,2,0)),0)</f>
        <v>0</v>
      </c>
      <c r="P2227" s="1617"/>
      <c r="Q2227" s="1617"/>
      <c r="R2227" s="1617"/>
      <c r="S2227" s="1617"/>
      <c r="T2227" s="1617"/>
      <c r="U2227" s="1617"/>
      <c r="V2227" s="1617"/>
      <c r="W2227" s="1617"/>
      <c r="X2227" s="1617"/>
      <c r="Y2227" s="1617"/>
    </row>
    <row r="2228" customFormat="false" ht="15.75" hidden="false" customHeight="true" outlineLevel="0" collapsed="false">
      <c r="A2228" s="1747" t="s">
        <v>235</v>
      </c>
      <c r="B2228" s="2352"/>
      <c r="C2228" s="1747" t="n">
        <f aca="false">SUM(C2223:C2227)</f>
        <v>1.6</v>
      </c>
      <c r="D2228" s="1747"/>
      <c r="E2228" s="1747" t="n">
        <f aca="false">SUM(E2223:E2227)</f>
        <v>1.6</v>
      </c>
      <c r="F2228" s="1747" t="n">
        <f aca="false">SUM(F2223:F2227)</f>
        <v>1.6</v>
      </c>
      <c r="I2228" s="1747" t="n">
        <f aca="false">SUM(I2223:I2227)</f>
        <v>1.6</v>
      </c>
      <c r="K2228" s="1747" t="n">
        <f aca="false">SUM(K2223:K2227)</f>
        <v>1.6</v>
      </c>
      <c r="P2228" s="1617"/>
      <c r="Q2228" s="1617"/>
      <c r="R2228" s="1617"/>
      <c r="S2228" s="1617"/>
      <c r="T2228" s="1617"/>
      <c r="U2228" s="1617"/>
      <c r="V2228" s="1617"/>
      <c r="W2228" s="1617"/>
      <c r="X2228" s="1617"/>
      <c r="Y2228" s="1617"/>
    </row>
    <row r="2229" customFormat="false" ht="15.75" hidden="false" customHeight="true" outlineLevel="0" collapsed="false">
      <c r="A2229" s="1747" t="s">
        <v>2855</v>
      </c>
      <c r="B2229" s="2352"/>
      <c r="C2229" s="1747" t="n">
        <f aca="false">C22</f>
        <v>5</v>
      </c>
      <c r="D2229" s="1747"/>
      <c r="E2229" s="1747" t="n">
        <f aca="false">C22</f>
        <v>5</v>
      </c>
      <c r="F2229" s="1617" t="n">
        <f aca="false">C22</f>
        <v>5</v>
      </c>
      <c r="I2229" s="1584" t="n">
        <f aca="false">C22</f>
        <v>5</v>
      </c>
      <c r="K2229" s="1582" t="n">
        <f aca="false">C22</f>
        <v>5</v>
      </c>
      <c r="P2229" s="1617"/>
      <c r="Q2229" s="1617"/>
      <c r="R2229" s="1617"/>
      <c r="S2229" s="1617"/>
      <c r="T2229" s="1617"/>
      <c r="U2229" s="1617"/>
      <c r="V2229" s="1617"/>
      <c r="W2229" s="1617"/>
      <c r="X2229" s="1617"/>
      <c r="Y2229" s="1617"/>
    </row>
    <row r="2230" customFormat="false" ht="15.75" hidden="false" customHeight="true" outlineLevel="0" collapsed="false">
      <c r="A2230" s="1747" t="s">
        <v>3957</v>
      </c>
      <c r="B2230" s="2352"/>
      <c r="C2230" s="2148" t="n">
        <f aca="false">(C2229-C2228)</f>
        <v>3.4</v>
      </c>
      <c r="D2230" s="1747"/>
      <c r="E2230" s="2148" t="n">
        <f aca="false">(E2229-E2228)</f>
        <v>3.4</v>
      </c>
      <c r="F2230" s="2148" t="n">
        <f aca="false">(F2229-F2228)</f>
        <v>3.4</v>
      </c>
      <c r="I2230" s="2148" t="n">
        <f aca="false">I2229-I2228</f>
        <v>3.4</v>
      </c>
      <c r="K2230" s="2148" t="n">
        <f aca="false">K2229-K2228</f>
        <v>3.4</v>
      </c>
      <c r="P2230" s="1617"/>
      <c r="Q2230" s="1617"/>
      <c r="R2230" s="1617"/>
      <c r="S2230" s="1617"/>
      <c r="T2230" s="1617"/>
      <c r="U2230" s="1617"/>
      <c r="V2230" s="1617"/>
      <c r="W2230" s="1617"/>
      <c r="X2230" s="1617"/>
      <c r="Y2230" s="1617"/>
    </row>
    <row r="2231" customFormat="false" ht="15.75" hidden="false" customHeight="true" outlineLevel="0" collapsed="false">
      <c r="A2231" s="1747" t="s">
        <v>3958</v>
      </c>
      <c r="B2231" s="2352"/>
      <c r="C2231" s="2148" t="n">
        <f aca="false">(C2222-C2219-IF('Ввод данных'!A101=связи1!A129,Z47,0)*VLOOKUP('Ввод данных'!B576,связи1!A2:B3,2,0)-IF('Ввод данных'!A114=связи1!A133,AA47,0)*VLOOKUP('Ввод данных'!B577,связи1!A2:B3,2,0))</f>
        <v>2</v>
      </c>
      <c r="D2231" s="1747"/>
      <c r="E2231" s="1747" t="n">
        <f aca="false">(E2222-E2220-IF('Ввод данных'!A101=связи1!A129,0,0)*VLOOKUP('Ввод данных'!B576,связи1!A2:B3,2,0)-IF('Ввод данных'!A114=связи1!A133,0,0)*VLOOKUP('Ввод данных'!B577,связи1!A2:B3,2,0))</f>
        <v>6.4</v>
      </c>
      <c r="F2231" s="1617" t="n">
        <f aca="false">(F2222-F2219-IF('Ввод данных'!A101=связи1!A129,Z47,0)*VLOOKUP('Ввод данных'!B576,связи1!A2:B3,2,0)-IF('Ввод данных'!A114=связи1!A133,AA47,0)*VLOOKUP('Ввод данных'!B577,связи1!A2:B3,2,0))</f>
        <v>6</v>
      </c>
      <c r="I2231" s="1584" t="n">
        <f aca="false">I2222-I2219-IF('Ввод данных'!A101=связи1!A129,Z47,0)*VLOOKUP('Ввод данных'!B576,связи1!A2:B3,2,0)-IF('Ввод данных'!A114=связи1!A133,AA47,0)*VLOOKUP('Ввод данных'!B577,связи1!A2:B3,2,0)</f>
        <v>2</v>
      </c>
      <c r="K2231" s="1582" t="n">
        <f aca="false">K2222-K2219-IF('Ввод данных'!A101=связи1!A129,Z47,0)*VLOOKUP('Ввод данных'!B576,связи1!A2:B3,2,0)-IF('Ввод данных'!A114=связи1!A133,AA47,0)*VLOOKUP('Ввод данных'!B577,связи1!A2:B3,2,0)</f>
        <v>2</v>
      </c>
      <c r="P2231" s="1617"/>
      <c r="Q2231" s="1617"/>
      <c r="R2231" s="1617"/>
      <c r="S2231" s="1617"/>
      <c r="T2231" s="1617"/>
      <c r="U2231" s="1617"/>
      <c r="V2231" s="1617"/>
      <c r="W2231" s="1617"/>
      <c r="X2231" s="1617"/>
      <c r="Y2231" s="1617"/>
    </row>
    <row r="2232" customFormat="false" ht="15.75" hidden="false" customHeight="true" outlineLevel="0" collapsed="false">
      <c r="A2232" s="1747" t="s">
        <v>3959</v>
      </c>
      <c r="B2232" s="2352"/>
      <c r="C2232" s="2444" t="n">
        <f aca="false">(C2222)/100</f>
        <v>0.04</v>
      </c>
      <c r="D2232" s="1747"/>
      <c r="E2232" s="1747" t="n">
        <f aca="false">E2222/100</f>
        <v>0.08</v>
      </c>
      <c r="F2232" s="1747" t="n">
        <f aca="false">F2222/100</f>
        <v>0.08</v>
      </c>
      <c r="I2232" s="1584" t="n">
        <f aca="false">I2222/100</f>
        <v>0.04</v>
      </c>
      <c r="K2232" s="1582" t="n">
        <f aca="false">K2222/100</f>
        <v>0.04</v>
      </c>
      <c r="P2232" s="1617"/>
      <c r="Q2232" s="1617"/>
      <c r="R2232" s="1617"/>
      <c r="S2232" s="1617"/>
      <c r="T2232" s="1617"/>
      <c r="U2232" s="1617"/>
      <c r="V2232" s="1617"/>
      <c r="W2232" s="1617"/>
      <c r="X2232" s="1617"/>
      <c r="Y2232" s="1617"/>
    </row>
    <row r="2233" customFormat="false" ht="15.75" hidden="false" customHeight="true" outlineLevel="0" collapsed="false">
      <c r="A2233" s="1747" t="s">
        <v>3960</v>
      </c>
      <c r="B2233" s="2352"/>
      <c r="C2233" s="2148" t="n">
        <f aca="false">C2231/C2232</f>
        <v>50</v>
      </c>
      <c r="D2233" s="1747"/>
      <c r="E2233" s="2148" t="n">
        <f aca="false">E2231/E2232</f>
        <v>80</v>
      </c>
      <c r="F2233" s="2148" t="n">
        <f aca="false">F2231/F2232</f>
        <v>75</v>
      </c>
      <c r="I2233" s="2148" t="n">
        <f aca="false">I2231/I2232</f>
        <v>50</v>
      </c>
      <c r="K2233" s="2148" t="n">
        <f aca="false">K2231/K2232</f>
        <v>50</v>
      </c>
      <c r="P2233" s="1617"/>
      <c r="Q2233" s="1617"/>
      <c r="R2233" s="1617"/>
      <c r="S2233" s="1617"/>
      <c r="T2233" s="1617"/>
      <c r="U2233" s="1617"/>
      <c r="V2233" s="1617"/>
      <c r="W2233" s="1617"/>
      <c r="X2233" s="1617"/>
      <c r="Y2233" s="1617"/>
    </row>
    <row r="2234" customFormat="false" ht="15.75" hidden="false" customHeight="true" outlineLevel="0" collapsed="false">
      <c r="A2234" s="1747" t="s">
        <v>3961</v>
      </c>
      <c r="B2234" s="2352"/>
      <c r="C2234" s="2148" t="n">
        <f aca="false">C2230/100*C2233</f>
        <v>1.7</v>
      </c>
      <c r="D2234" s="1747"/>
      <c r="E2234" s="2148" t="n">
        <f aca="false">E2230/100*E2233</f>
        <v>2.72</v>
      </c>
      <c r="F2234" s="2148" t="n">
        <f aca="false">F2230/100*F2233</f>
        <v>2.55</v>
      </c>
      <c r="I2234" s="2148" t="n">
        <f aca="false">I2230/100*I2233</f>
        <v>1.7</v>
      </c>
      <c r="K2234" s="2148" t="n">
        <f aca="false">K2230/100*K2233</f>
        <v>1.7</v>
      </c>
      <c r="P2234" s="1617"/>
      <c r="Q2234" s="1617"/>
      <c r="R2234" s="1617"/>
      <c r="S2234" s="1617"/>
      <c r="T2234" s="1617"/>
      <c r="U2234" s="1617"/>
      <c r="V2234" s="1617"/>
      <c r="W2234" s="1617"/>
      <c r="X2234" s="1617"/>
      <c r="Y2234" s="1617"/>
    </row>
    <row r="2235" customFormat="false" ht="15.75" hidden="false" customHeight="true" outlineLevel="0" collapsed="false">
      <c r="A2235" s="1747" t="s">
        <v>3962</v>
      </c>
      <c r="B2235" s="2352"/>
      <c r="C2235" s="2148" t="n">
        <f aca="false">C2230-C2234</f>
        <v>1.7</v>
      </c>
      <c r="D2235" s="1747"/>
      <c r="E2235" s="2148" t="n">
        <f aca="false">E2230-E2234</f>
        <v>0.68</v>
      </c>
      <c r="F2235" s="2148" t="n">
        <f aca="false">F2230-F2234</f>
        <v>0.85</v>
      </c>
      <c r="I2235" s="2148" t="n">
        <f aca="false">I2230-I2234</f>
        <v>1.7</v>
      </c>
      <c r="K2235" s="2148" t="n">
        <f aca="false">K2230-K2234</f>
        <v>1.7</v>
      </c>
      <c r="P2235" s="1617"/>
      <c r="Q2235" s="1617"/>
      <c r="R2235" s="1617"/>
      <c r="S2235" s="1617"/>
      <c r="T2235" s="1617"/>
      <c r="U2235" s="1617"/>
      <c r="V2235" s="1617"/>
      <c r="W2235" s="1617"/>
      <c r="X2235" s="1617"/>
      <c r="Y2235" s="1617"/>
    </row>
    <row r="2236" customFormat="false" ht="15.75" hidden="false" customHeight="true" outlineLevel="0" collapsed="false">
      <c r="A2236" s="1747"/>
      <c r="B2236" s="2352"/>
      <c r="C2236" s="2352"/>
      <c r="D2236" s="1747"/>
      <c r="E2236" s="1747"/>
      <c r="F2236" s="1617"/>
      <c r="P2236" s="1617"/>
      <c r="Q2236" s="1617"/>
      <c r="R2236" s="1617"/>
      <c r="S2236" s="1617"/>
      <c r="T2236" s="1617"/>
      <c r="U2236" s="1617"/>
      <c r="V2236" s="1617"/>
      <c r="W2236" s="1617"/>
      <c r="X2236" s="1617"/>
      <c r="Y2236" s="1617"/>
    </row>
    <row r="2237" customFormat="false" ht="15.75" hidden="false" customHeight="true" outlineLevel="0" collapsed="false">
      <c r="A2237" s="1632" t="s">
        <v>3963</v>
      </c>
      <c r="B2237" s="2445"/>
      <c r="C2237" s="1668" t="n">
        <f aca="false">C2235*C2220*C2217*C2218</f>
        <v>2.72</v>
      </c>
      <c r="D2237" s="1632"/>
      <c r="E2237" s="1668" t="n">
        <f aca="false">E2235*E2219*E2217*E2216*E2218</f>
        <v>1.36</v>
      </c>
      <c r="F2237" s="1668" t="n">
        <f aca="false">F2235*F2220*F2217*F2216*F2218</f>
        <v>0</v>
      </c>
      <c r="G2237" s="1372"/>
      <c r="H2237" s="1372"/>
      <c r="I2237" s="1668" t="n">
        <f aca="false">I2235*I2220*I2218*I2217</f>
        <v>2.72</v>
      </c>
      <c r="J2237" s="1372"/>
      <c r="K2237" s="1668" t="n">
        <f aca="false">K2235*K2220*K2217*K2218</f>
        <v>2.72</v>
      </c>
      <c r="L2237" s="1834" t="n">
        <f aca="false">SUM(C2237:K2237)</f>
        <v>9.52</v>
      </c>
      <c r="P2237" s="1617"/>
      <c r="Q2237" s="1617"/>
      <c r="R2237" s="1617"/>
      <c r="S2237" s="1617"/>
      <c r="T2237" s="1617"/>
      <c r="U2237" s="1617"/>
      <c r="V2237" s="1617"/>
      <c r="W2237" s="1617"/>
      <c r="X2237" s="1617"/>
      <c r="Y2237" s="1617"/>
    </row>
    <row r="2238" customFormat="false" ht="15.75" hidden="false" customHeight="true" outlineLevel="0" collapsed="false">
      <c r="A2238" s="2446" t="s">
        <v>3964</v>
      </c>
      <c r="B2238" s="2447"/>
      <c r="C2238" s="2448" t="n">
        <f aca="false">(C2235+C2228)*C2217*C2218</f>
        <v>3.3</v>
      </c>
      <c r="D2238" s="2446"/>
      <c r="E2238" s="2448" t="n">
        <f aca="false">(E2235+E2228)*E2217*E2216*E2218</f>
        <v>2.28</v>
      </c>
      <c r="F2238" s="2448" t="n">
        <f aca="false">(F2235+F2228)*F2217*F2216*F2218</f>
        <v>0</v>
      </c>
      <c r="G2238" s="1772"/>
      <c r="H2238" s="1772"/>
      <c r="I2238" s="2448" t="n">
        <f aca="false">(I2235+I2228)*I2217*I2218*I2217</f>
        <v>3.3</v>
      </c>
      <c r="J2238" s="1772"/>
      <c r="K2238" s="2448" t="n">
        <f aca="false">(K2235+K2228)*K2217*K2218</f>
        <v>3.3</v>
      </c>
      <c r="L2238" s="1834" t="n">
        <f aca="false">SUM(C2238:K2238)</f>
        <v>12.18</v>
      </c>
      <c r="P2238" s="1617"/>
      <c r="Q2238" s="1617"/>
      <c r="R2238" s="1617"/>
      <c r="S2238" s="1617"/>
      <c r="T2238" s="1617"/>
      <c r="U2238" s="1617"/>
      <c r="V2238" s="1617"/>
      <c r="W2238" s="1617"/>
      <c r="X2238" s="1617"/>
      <c r="Y2238" s="1617"/>
    </row>
    <row r="2239" customFormat="false" ht="15.75" hidden="false" customHeight="true" outlineLevel="0" collapsed="false">
      <c r="A2239" s="2446" t="s">
        <v>3965</v>
      </c>
      <c r="B2239" s="2447"/>
      <c r="C2239" s="2448" t="n">
        <f aca="false">C2228*C2217*C2218</f>
        <v>1.6</v>
      </c>
      <c r="D2239" s="2446"/>
      <c r="E2239" s="2448" t="n">
        <f aca="false">E2228*E2217*E2216*E2218</f>
        <v>1.6</v>
      </c>
      <c r="F2239" s="2448" t="n">
        <f aca="false">F2228*F2217*F2216*F2218</f>
        <v>0</v>
      </c>
      <c r="G2239" s="1772"/>
      <c r="H2239" s="1772"/>
      <c r="I2239" s="2448" t="n">
        <f aca="false">I2228*I2217*I2218*I2217</f>
        <v>1.6</v>
      </c>
      <c r="J2239" s="1772"/>
      <c r="K2239" s="2448" t="n">
        <f aca="false">K2228*K2217*K2218</f>
        <v>1.6</v>
      </c>
      <c r="L2239" s="1834" t="n">
        <f aca="false">SUM(C2239:K2239)</f>
        <v>6.4</v>
      </c>
      <c r="P2239" s="1617"/>
      <c r="Q2239" s="1617"/>
      <c r="R2239" s="1617"/>
      <c r="S2239" s="1617"/>
      <c r="T2239" s="1617"/>
      <c r="U2239" s="1617"/>
      <c r="V2239" s="1617"/>
      <c r="W2239" s="1617"/>
      <c r="X2239" s="1617"/>
      <c r="Y2239" s="1617"/>
    </row>
    <row r="2240" customFormat="false" ht="15.75" hidden="false" customHeight="true" outlineLevel="0" collapsed="false">
      <c r="A2240" s="2446" t="s">
        <v>3966</v>
      </c>
      <c r="B2240" s="2447"/>
      <c r="C2240" s="2448" t="n">
        <f aca="false">CEILING(C2220/'Ввод данных'!C1111+1,1)*C2217*C2218</f>
        <v>4</v>
      </c>
      <c r="D2240" s="2446"/>
      <c r="E2240" s="2448" t="n">
        <f aca="false">CEILING(E2219/'Ввод данных'!C1111+1,1)*E2217*E2216*E2218</f>
        <v>5</v>
      </c>
      <c r="F2240" s="2446" t="n">
        <f aca="false">CEILING(E2220/'Ввод данных'!C1111+1,1)*E2217*F2216*F2218</f>
        <v>0</v>
      </c>
      <c r="G2240" s="1772"/>
      <c r="H2240" s="1772"/>
      <c r="I2240" s="1722" t="n">
        <f aca="false">CEILING(I2220/'Ввод данных'!C1111+1,1)*I2217*I2218*I2217</f>
        <v>4</v>
      </c>
      <c r="J2240" s="1772"/>
      <c r="K2240" s="1772" t="n">
        <f aca="false">CEILING(K2220/'Ввод данных'!C1111+1,1)*K2217*K2218</f>
        <v>4</v>
      </c>
      <c r="L2240" s="1834" t="n">
        <f aca="false">SUM(C2240:K2240)</f>
        <v>17</v>
      </c>
      <c r="P2240" s="1617"/>
      <c r="Q2240" s="1617"/>
      <c r="R2240" s="1617"/>
      <c r="S2240" s="1617"/>
      <c r="T2240" s="1617"/>
      <c r="U2240" s="1617"/>
      <c r="V2240" s="1617"/>
      <c r="W2240" s="1617"/>
      <c r="X2240" s="1617"/>
      <c r="Y2240" s="1617"/>
    </row>
    <row r="2241" customFormat="false" ht="15.75" hidden="false" customHeight="true" outlineLevel="0" collapsed="false">
      <c r="A2241" s="1747"/>
      <c r="B2241" s="2352"/>
      <c r="C2241" s="2352"/>
      <c r="D2241" s="1747"/>
      <c r="E2241" s="1747"/>
      <c r="F2241" s="1617"/>
      <c r="P2241" s="1617"/>
      <c r="Q2241" s="1617"/>
      <c r="R2241" s="1617"/>
      <c r="S2241" s="1617"/>
      <c r="T2241" s="1617"/>
      <c r="U2241" s="1617"/>
      <c r="V2241" s="1617"/>
      <c r="W2241" s="1617"/>
      <c r="X2241" s="1617"/>
      <c r="Y2241" s="1617"/>
    </row>
    <row r="2242" customFormat="false" ht="15.75" hidden="false" customHeight="true" outlineLevel="0" collapsed="false">
      <c r="A2242" s="1747"/>
      <c r="B2242" s="2352"/>
      <c r="C2242" s="2352"/>
      <c r="D2242" s="1747"/>
      <c r="E2242" s="1747"/>
      <c r="F2242" s="1617"/>
      <c r="P2242" s="1617"/>
      <c r="Q2242" s="1617"/>
      <c r="R2242" s="1617"/>
      <c r="S2242" s="1617"/>
      <c r="T2242" s="1617"/>
      <c r="U2242" s="1617"/>
      <c r="V2242" s="1617"/>
      <c r="W2242" s="1617"/>
      <c r="X2242" s="1617"/>
      <c r="Y2242" s="1617"/>
    </row>
    <row r="2243" customFormat="false" ht="15.75" hidden="false" customHeight="true" outlineLevel="0" collapsed="false">
      <c r="A2243" s="2100" t="s">
        <v>3967</v>
      </c>
      <c r="B2243" s="2100"/>
      <c r="C2243" s="2100"/>
      <c r="D2243" s="2100"/>
      <c r="E2243" s="2100"/>
      <c r="F2243" s="2100"/>
      <c r="G2243" s="2100"/>
      <c r="H2243" s="2100"/>
      <c r="I2243" s="2100"/>
      <c r="J2243" s="2100"/>
      <c r="K2243" s="2100"/>
      <c r="L2243" s="1617"/>
      <c r="M2243" s="1617"/>
      <c r="N2243" s="1617"/>
      <c r="O2243" s="1617"/>
      <c r="P2243" s="1617"/>
      <c r="Q2243" s="1617"/>
      <c r="R2243" s="1617"/>
      <c r="S2243" s="1617"/>
      <c r="T2243" s="1617"/>
      <c r="U2243" s="1617"/>
      <c r="V2243" s="1617"/>
      <c r="W2243" s="1617"/>
      <c r="X2243" s="1617"/>
      <c r="Y2243" s="1617"/>
    </row>
    <row r="2244" customFormat="false" ht="15.75" hidden="false" customHeight="true" outlineLevel="0" collapsed="false">
      <c r="A2244" s="1436" t="str">
        <f aca="false">'Ввод данных'!A84</f>
        <v>Длина крыльца</v>
      </c>
      <c r="B2244" s="1692" t="str">
        <f aca="false">'Ввод данных'!B84</f>
        <v>м.п.</v>
      </c>
      <c r="C2244" s="1436" t="n">
        <f aca="false">'Ввод данных'!C84</f>
        <v>3</v>
      </c>
      <c r="F2244" s="1617"/>
      <c r="G2244" s="1617"/>
      <c r="H2244" s="1617"/>
      <c r="I2244" s="2319"/>
      <c r="J2244" s="1617"/>
      <c r="K2244" s="1617"/>
      <c r="L2244" s="1617"/>
      <c r="M2244" s="1617"/>
      <c r="N2244" s="1617"/>
      <c r="O2244" s="1617"/>
      <c r="P2244" s="1617"/>
      <c r="Q2244" s="1617"/>
      <c r="R2244" s="1617"/>
      <c r="S2244" s="1617"/>
      <c r="T2244" s="1617"/>
      <c r="U2244" s="1617"/>
      <c r="V2244" s="1617"/>
      <c r="W2244" s="1617"/>
      <c r="X2244" s="1617"/>
      <c r="Y2244" s="1617"/>
    </row>
    <row r="2245" customFormat="false" ht="15.75" hidden="false" customHeight="true" outlineLevel="0" collapsed="false">
      <c r="A2245" s="1436" t="str">
        <f aca="false">'Ввод данных'!A85</f>
        <v>Ширина крыльца</v>
      </c>
      <c r="B2245" s="1692" t="str">
        <f aca="false">'Ввод данных'!B85</f>
        <v>м.п.</v>
      </c>
      <c r="C2245" s="1436" t="n">
        <f aca="false">'Ввод данных'!C85</f>
        <v>1</v>
      </c>
      <c r="F2245" s="1617"/>
      <c r="G2245" s="1617"/>
      <c r="H2245" s="1617"/>
      <c r="I2245" s="2319"/>
      <c r="J2245" s="1617"/>
      <c r="K2245" s="1617"/>
      <c r="L2245" s="1617"/>
      <c r="M2245" s="1617"/>
      <c r="N2245" s="1617"/>
      <c r="O2245" s="1617"/>
      <c r="P2245" s="1617"/>
      <c r="Q2245" s="1617"/>
      <c r="R2245" s="1617"/>
      <c r="S2245" s="1617"/>
      <c r="T2245" s="1617"/>
      <c r="U2245" s="1617"/>
      <c r="V2245" s="1617"/>
      <c r="W2245" s="1617"/>
      <c r="X2245" s="1617"/>
      <c r="Y2245" s="1617"/>
    </row>
    <row r="2246" customFormat="false" ht="15.75" hidden="false" customHeight="true" outlineLevel="0" collapsed="false">
      <c r="A2246" s="1436" t="str">
        <f aca="false">'Ввод данных'!A86</f>
        <v>Высота от пола до конька</v>
      </c>
      <c r="B2246" s="1692" t="str">
        <f aca="false">'Ввод данных'!B86</f>
        <v>м.п.</v>
      </c>
      <c r="C2246" s="1436" t="n">
        <f aca="false">'Ввод данных'!C86</f>
        <v>4</v>
      </c>
      <c r="E2246" s="1617"/>
      <c r="F2246" s="1617"/>
      <c r="G2246" s="1617"/>
      <c r="H2246" s="1617"/>
      <c r="I2246" s="2319"/>
      <c r="J2246" s="1617"/>
      <c r="K2246" s="1617"/>
      <c r="L2246" s="1617"/>
      <c r="M2246" s="1617"/>
      <c r="N2246" s="1617"/>
      <c r="O2246" s="1617"/>
      <c r="P2246" s="1617"/>
      <c r="Q2246" s="1617"/>
      <c r="R2246" s="1617"/>
      <c r="S2246" s="1617"/>
      <c r="T2246" s="1617"/>
      <c r="U2246" s="1617"/>
      <c r="V2246" s="1617"/>
      <c r="W2246" s="1617"/>
      <c r="X2246" s="1617"/>
      <c r="Y2246" s="1617"/>
    </row>
    <row r="2247" customFormat="false" ht="15.75" hidden="false" customHeight="true" outlineLevel="0" collapsed="false">
      <c r="A2247" s="1436" t="str">
        <f aca="false">'Ввод данных'!A87</f>
        <v>Высота столбов</v>
      </c>
      <c r="B2247" s="1692" t="str">
        <f aca="false">'Ввод данных'!B87</f>
        <v>м.п.</v>
      </c>
      <c r="C2247" s="1436" t="n">
        <f aca="false">'Ввод данных'!C87</f>
        <v>2.3</v>
      </c>
      <c r="E2247" s="1617"/>
      <c r="F2247" s="1617"/>
      <c r="G2247" s="1617"/>
      <c r="H2247" s="1617"/>
      <c r="I2247" s="2319"/>
      <c r="J2247" s="1617"/>
      <c r="K2247" s="1617"/>
      <c r="L2247" s="1617"/>
      <c r="M2247" s="1617"/>
      <c r="N2247" s="1617"/>
      <c r="O2247" s="1617"/>
      <c r="P2247" s="1617"/>
      <c r="Q2247" s="1617"/>
      <c r="R2247" s="1617"/>
      <c r="S2247" s="1617"/>
      <c r="T2247" s="1617"/>
      <c r="U2247" s="1617"/>
      <c r="V2247" s="1617"/>
      <c r="W2247" s="1617"/>
      <c r="X2247" s="1617"/>
      <c r="Y2247" s="1617"/>
    </row>
    <row r="2248" customFormat="false" ht="15.75" hidden="false" customHeight="true" outlineLevel="0" collapsed="false">
      <c r="A2248" s="1436" t="str">
        <f aca="false">'Ввод данных'!A713</f>
        <v>Выпуск кровли по карнизу</v>
      </c>
      <c r="B2248" s="1692" t="str">
        <f aca="false">'Ввод данных'!B713</f>
        <v>м.п.</v>
      </c>
      <c r="C2248" s="1436" t="n">
        <f aca="false">'Ввод данных'!C713</f>
        <v>0.4</v>
      </c>
      <c r="E2248" s="1617"/>
      <c r="F2248" s="1617"/>
      <c r="G2248" s="1617"/>
      <c r="H2248" s="1617"/>
      <c r="I2248" s="2319"/>
      <c r="J2248" s="1617"/>
      <c r="K2248" s="1617"/>
      <c r="L2248" s="1617"/>
      <c r="M2248" s="1617"/>
      <c r="N2248" s="1617"/>
      <c r="O2248" s="1617"/>
      <c r="P2248" s="1617"/>
      <c r="Q2248" s="1617"/>
      <c r="R2248" s="1617"/>
      <c r="S2248" s="1617"/>
      <c r="T2248" s="1617"/>
      <c r="U2248" s="1617"/>
      <c r="V2248" s="1617"/>
      <c r="W2248" s="1617"/>
      <c r="X2248" s="1617"/>
      <c r="Y2248" s="1617"/>
    </row>
    <row r="2249" customFormat="false" ht="15.75" hidden="false" customHeight="true" outlineLevel="0" collapsed="false">
      <c r="A2249" s="1436" t="str">
        <f aca="false">'Ввод данных'!A714</f>
        <v>Выпуск кровли по фронтону</v>
      </c>
      <c r="B2249" s="1692" t="str">
        <f aca="false">'Ввод данных'!B714</f>
        <v>м.п.</v>
      </c>
      <c r="C2249" s="1436" t="n">
        <f aca="false">'Ввод данных'!C714</f>
        <v>0.4</v>
      </c>
      <c r="E2249" s="1617"/>
      <c r="F2249" s="1617"/>
      <c r="G2249" s="1617"/>
      <c r="H2249" s="1617"/>
      <c r="I2249" s="2319"/>
      <c r="J2249" s="1617"/>
      <c r="K2249" s="1617"/>
      <c r="L2249" s="1617"/>
      <c r="M2249" s="1617"/>
      <c r="N2249" s="1617"/>
      <c r="O2249" s="1617"/>
      <c r="P2249" s="1617"/>
      <c r="Q2249" s="1617"/>
      <c r="R2249" s="1617"/>
      <c r="S2249" s="1617"/>
      <c r="T2249" s="1617"/>
      <c r="U2249" s="1617"/>
      <c r="V2249" s="1617"/>
      <c r="W2249" s="1617"/>
      <c r="X2249" s="1617"/>
      <c r="Y2249" s="1617"/>
    </row>
    <row r="2250" customFormat="false" ht="15.75" hidden="false" customHeight="true" outlineLevel="0" collapsed="false">
      <c r="A2250" s="1436" t="str">
        <f aca="false">'Ввод данных'!A715</f>
        <v>Длина конька для вальмовой пристройки</v>
      </c>
      <c r="B2250" s="1692" t="str">
        <f aca="false">'Ввод данных'!B715</f>
        <v>м.п.</v>
      </c>
      <c r="C2250" s="1436" t="n">
        <f aca="false">'Ввод данных'!C715</f>
        <v>1</v>
      </c>
      <c r="E2250" s="1617"/>
      <c r="F2250" s="1617"/>
      <c r="G2250" s="1617"/>
      <c r="H2250" s="1617"/>
      <c r="I2250" s="2319"/>
      <c r="J2250" s="1617"/>
      <c r="K2250" s="1617"/>
      <c r="L2250" s="1617"/>
      <c r="M2250" s="1617"/>
      <c r="N2250" s="1617"/>
      <c r="O2250" s="1617"/>
      <c r="P2250" s="1617"/>
      <c r="Q2250" s="1617"/>
      <c r="R2250" s="1617"/>
      <c r="S2250" s="1617"/>
      <c r="T2250" s="1617"/>
      <c r="U2250" s="1617"/>
      <c r="V2250" s="1617"/>
      <c r="W2250" s="1617"/>
      <c r="X2250" s="1617"/>
      <c r="Y2250" s="1617"/>
    </row>
    <row r="2251" customFormat="false" ht="15.75" hidden="false" customHeight="true" outlineLevel="0" collapsed="false">
      <c r="A2251" s="1436" t="str">
        <f aca="false">'Ввод данных'!A716</f>
        <v>Количество ступеней</v>
      </c>
      <c r="B2251" s="2449" t="str">
        <f aca="false">'Ввод данных'!B716</f>
        <v>шт</v>
      </c>
      <c r="C2251" s="1630" t="n">
        <f aca="false">'Ввод данных'!C716</f>
        <v>3</v>
      </c>
      <c r="E2251" s="1617"/>
      <c r="F2251" s="1617"/>
      <c r="G2251" s="1617"/>
      <c r="H2251" s="1617"/>
      <c r="I2251" s="2319"/>
      <c r="J2251" s="1617"/>
      <c r="K2251" s="1617"/>
      <c r="L2251" s="1617"/>
      <c r="M2251" s="1617"/>
      <c r="N2251" s="1617"/>
      <c r="O2251" s="1617"/>
      <c r="P2251" s="1617"/>
      <c r="Q2251" s="1617"/>
      <c r="R2251" s="1617"/>
      <c r="S2251" s="1617"/>
      <c r="T2251" s="1617"/>
      <c r="U2251" s="1617"/>
      <c r="V2251" s="1617"/>
      <c r="W2251" s="1617"/>
      <c r="X2251" s="1617"/>
      <c r="Y2251" s="1617"/>
    </row>
    <row r="2252" customFormat="false" ht="15.75" hidden="false" customHeight="true" outlineLevel="0" collapsed="false">
      <c r="A2252" s="1634" t="str">
        <f aca="false">'Ввод данных'!A717</f>
        <v>Размер ступеней</v>
      </c>
      <c r="B2252" s="1692" t="str">
        <f aca="false">'Ввод данных'!B717</f>
        <v>ед.изм.</v>
      </c>
      <c r="C2252" s="1436" t="str">
        <f aca="false">'Ввод данных'!C717</f>
        <v>высота</v>
      </c>
      <c r="D2252" s="1436" t="str">
        <f aca="false">'Ввод данных'!D717</f>
        <v>ширина</v>
      </c>
      <c r="E2252" s="1617"/>
      <c r="F2252" s="1617"/>
      <c r="G2252" s="1617"/>
      <c r="H2252" s="1617"/>
      <c r="I2252" s="2319"/>
      <c r="J2252" s="1617"/>
      <c r="K2252" s="1617"/>
      <c r="L2252" s="1617"/>
      <c r="M2252" s="1617"/>
      <c r="N2252" s="1617"/>
      <c r="O2252" s="1617"/>
      <c r="P2252" s="1617"/>
      <c r="Q2252" s="1617"/>
      <c r="R2252" s="1617"/>
      <c r="S2252" s="1617"/>
      <c r="T2252" s="1617"/>
      <c r="U2252" s="1617"/>
      <c r="V2252" s="1617"/>
      <c r="W2252" s="1617"/>
      <c r="X2252" s="1617"/>
      <c r="Y2252" s="1617"/>
    </row>
    <row r="2253" customFormat="false" ht="15.75" hidden="false" customHeight="true" outlineLevel="0" collapsed="false">
      <c r="B2253" s="1692" t="str">
        <f aca="false">'Ввод данных'!B718</f>
        <v>м.п.</v>
      </c>
      <c r="C2253" s="1436" t="n">
        <f aca="false">'Ввод данных'!C718</f>
        <v>0.2</v>
      </c>
      <c r="D2253" s="1436" t="n">
        <f aca="false">'Ввод данных'!D718</f>
        <v>0.4</v>
      </c>
      <c r="E2253" s="1617"/>
      <c r="F2253" s="1617"/>
      <c r="G2253" s="1617"/>
      <c r="H2253" s="1617"/>
      <c r="I2253" s="2319"/>
      <c r="J2253" s="1617"/>
      <c r="K2253" s="1617"/>
      <c r="L2253" s="1617"/>
      <c r="M2253" s="1617"/>
      <c r="N2253" s="1617"/>
      <c r="O2253" s="1617"/>
      <c r="P2253" s="1617"/>
      <c r="Q2253" s="1617"/>
      <c r="R2253" s="1617"/>
      <c r="S2253" s="1617"/>
      <c r="T2253" s="1617"/>
      <c r="U2253" s="1617"/>
      <c r="V2253" s="1617"/>
      <c r="W2253" s="1617"/>
      <c r="X2253" s="1617"/>
      <c r="Y2253" s="1617"/>
    </row>
    <row r="2254" customFormat="false" ht="15.75" hidden="false" customHeight="true" outlineLevel="0" collapsed="false">
      <c r="A2254" s="1617"/>
      <c r="B2254" s="1958"/>
      <c r="C2254" s="1180" t="s">
        <v>3968</v>
      </c>
      <c r="E2254" s="1180" t="s">
        <v>3573</v>
      </c>
      <c r="G2254" s="1180" t="s">
        <v>3953</v>
      </c>
      <c r="H2254" s="1619"/>
      <c r="I2254" s="2319"/>
      <c r="J2254" s="1617"/>
      <c r="K2254" s="1617"/>
      <c r="L2254" s="1617"/>
      <c r="M2254" s="1617"/>
      <c r="N2254" s="1617"/>
      <c r="O2254" s="1617"/>
      <c r="P2254" s="1617"/>
      <c r="Q2254" s="1617"/>
      <c r="R2254" s="1617"/>
      <c r="S2254" s="1617"/>
      <c r="T2254" s="1617"/>
      <c r="U2254" s="1617"/>
      <c r="V2254" s="1617"/>
      <c r="W2254" s="1617"/>
      <c r="X2254" s="1617"/>
      <c r="Y2254" s="1617"/>
    </row>
    <row r="2255" customFormat="false" ht="15.75" hidden="false" customHeight="true" outlineLevel="0" collapsed="false">
      <c r="A2255" s="1582" t="str">
        <f aca="false">A2100</f>
        <v>выбор</v>
      </c>
      <c r="B2255" s="1692"/>
      <c r="C2255" s="1436" t="n">
        <f aca="false">IF('Ввод данных'!A92=связи1!A107,1,0)</f>
        <v>0</v>
      </c>
      <c r="E2255" s="1436" t="n">
        <f aca="false">IF('Ввод данных'!A92=связи1!A106,1,0)</f>
        <v>1</v>
      </c>
      <c r="G2255" s="1436" t="n">
        <f aca="false">IF('Ввод данных'!A92=связи1!A108,1,0)</f>
        <v>0</v>
      </c>
      <c r="H2255" s="1619"/>
    </row>
    <row r="2256" customFormat="false" ht="15.75" hidden="false" customHeight="true" outlineLevel="0" collapsed="false">
      <c r="A2256" s="1582" t="str">
        <f aca="false">A2101</f>
        <v>высота 1 этажа</v>
      </c>
      <c r="B2256" s="1692" t="str">
        <f aca="false">D2101</f>
        <v>м.п.</v>
      </c>
      <c r="C2256" s="1436" t="n">
        <f aca="false">дома!C2247</f>
        <v>2.3</v>
      </c>
      <c r="E2256" s="1436" t="n">
        <f aca="false">C2256</f>
        <v>2.3</v>
      </c>
      <c r="G2256" s="1436" t="n">
        <f aca="false">C2256</f>
        <v>2.3</v>
      </c>
      <c r="H2256" s="1619"/>
    </row>
    <row r="2257" customFormat="false" ht="15.75" hidden="false" customHeight="true" outlineLevel="0" collapsed="false">
      <c r="A2257" s="1582" t="str">
        <f aca="false">A2103</f>
        <v>высота от перекрытия 0 этажа до конька, Е</v>
      </c>
      <c r="B2257" s="1692" t="s">
        <v>15</v>
      </c>
      <c r="C2257" s="1436" t="n">
        <f aca="false">C2246</f>
        <v>4</v>
      </c>
      <c r="E2257" s="1436" t="n">
        <f aca="false">C2257</f>
        <v>4</v>
      </c>
      <c r="G2257" s="1436" t="n">
        <f aca="false">C2257</f>
        <v>4</v>
      </c>
      <c r="H2257" s="1619"/>
    </row>
    <row r="2258" customFormat="false" ht="15.75" hidden="false" customHeight="true" outlineLevel="0" collapsed="false">
      <c r="A2258" s="1582" t="str">
        <f aca="false">A2104</f>
        <v>длина дома В</v>
      </c>
      <c r="B2258" s="1692" t="str">
        <f aca="false">D2104</f>
        <v>м.п.</v>
      </c>
      <c r="C2258" s="1436" t="n">
        <f aca="false">C2244</f>
        <v>3</v>
      </c>
      <c r="E2258" s="1436" t="n">
        <f aca="false">C2258</f>
        <v>3</v>
      </c>
      <c r="G2258" s="1436" t="n">
        <f aca="false">C2258</f>
        <v>3</v>
      </c>
      <c r="H2258" s="1619"/>
    </row>
    <row r="2259" customFormat="false" ht="15.75" hidden="false" customHeight="true" outlineLevel="0" collapsed="false">
      <c r="A2259" s="1582" t="str">
        <f aca="false">A2105</f>
        <v>ширина дома</v>
      </c>
      <c r="B2259" s="1692" t="s">
        <v>15</v>
      </c>
      <c r="C2259" s="1436" t="n">
        <f aca="false">C2245</f>
        <v>1</v>
      </c>
      <c r="E2259" s="1436" t="n">
        <f aca="false">C2259</f>
        <v>1</v>
      </c>
      <c r="G2259" s="1436" t="n">
        <f aca="false">C2259</f>
        <v>1</v>
      </c>
      <c r="H2259" s="1619"/>
    </row>
    <row r="2260" customFormat="false" ht="15.75" hidden="false" customHeight="true" outlineLevel="0" collapsed="false">
      <c r="A2260" s="1268" t="s">
        <v>3969</v>
      </c>
      <c r="B2260" s="1692" t="str">
        <f aca="false">D2106</f>
        <v>м.п.</v>
      </c>
      <c r="C2260" s="1436" t="n">
        <f aca="false">SQRT(C2258/2*C2258/2+(C2257-C2256)*(C2257-C2256))+C2263</f>
        <v>2.66715680975093</v>
      </c>
      <c r="E2260" s="1436" t="n">
        <f aca="false">SQRT((E2257-E2256)*(E2257-E2256)+E2259*E2259)+E2263</f>
        <v>2.3723082923316</v>
      </c>
      <c r="G2260" s="1436" t="n">
        <f aca="false">SQRT((G2257-G2256)*(G2257-G2256)+(G2258/2+G2263)*(G2258/2+G2263))</f>
        <v>2.54950975679639</v>
      </c>
      <c r="H2260" s="1619"/>
    </row>
    <row r="2261" customFormat="false" ht="15.75" hidden="false" customHeight="true" outlineLevel="0" collapsed="false">
      <c r="A2261" s="1268" t="s">
        <v>3970</v>
      </c>
      <c r="B2261" s="1692" t="str">
        <f aca="false">D2107</f>
        <v>м.п.</v>
      </c>
      <c r="C2261" s="1436"/>
      <c r="E2261" s="1436"/>
      <c r="G2261" s="1436" t="n">
        <f aca="false">SQRT((G2259+G2263-C2250)*(G2259+G2263-C2250)+(G2257-G2256)*(G2257-G2256))</f>
        <v>1.7464249196573</v>
      </c>
      <c r="H2261" s="1619"/>
    </row>
    <row r="2262" customFormat="false" ht="15.75" hidden="false" customHeight="true" outlineLevel="0" collapsed="false">
      <c r="A2262" s="1268" t="s">
        <v>3971</v>
      </c>
      <c r="B2262" s="1692" t="str">
        <f aca="false">D2108</f>
        <v>м.п.</v>
      </c>
      <c r="C2262" s="1436"/>
      <c r="E2262" s="1436"/>
      <c r="G2262" s="1436" t="n">
        <f aca="false">SQRT(G2261*G2261+(G2258+G2263)/2*(G2258+G2263)/2)</f>
        <v>2.43721152139079</v>
      </c>
      <c r="H2262" s="1619"/>
    </row>
    <row r="2263" customFormat="false" ht="15.75" hidden="false" customHeight="true" outlineLevel="0" collapsed="false">
      <c r="A2263" s="1582" t="str">
        <f aca="false">A2107</f>
        <v>Выпуск кровли карниз, J</v>
      </c>
      <c r="B2263" s="1692" t="str">
        <f aca="false">D2107</f>
        <v>м.п.</v>
      </c>
      <c r="C2263" s="1436" t="n">
        <f aca="false">C2248</f>
        <v>0.4</v>
      </c>
      <c r="E2263" s="1436" t="n">
        <f aca="false">C2263</f>
        <v>0.4</v>
      </c>
      <c r="G2263" s="1436" t="n">
        <f aca="false">E2263</f>
        <v>0.4</v>
      </c>
      <c r="H2263" s="1619"/>
    </row>
    <row r="2264" customFormat="false" ht="15.75" hidden="false" customHeight="true" outlineLevel="0" collapsed="false">
      <c r="A2264" s="1582" t="str">
        <f aca="false">A2108</f>
        <v>Выпуск кровли фронтон, M</v>
      </c>
      <c r="B2264" s="1692" t="str">
        <f aca="false">D2108</f>
        <v>м.п.</v>
      </c>
      <c r="C2264" s="1436" t="n">
        <f aca="false">C2249</f>
        <v>0.4</v>
      </c>
      <c r="E2264" s="1436" t="n">
        <f aca="false">C2264</f>
        <v>0.4</v>
      </c>
      <c r="G2264" s="1436" t="n">
        <f aca="false">E2264</f>
        <v>0.4</v>
      </c>
      <c r="H2264" s="1619"/>
    </row>
    <row r="2265" customFormat="false" ht="15.75" hidden="false" customHeight="true" outlineLevel="0" collapsed="false">
      <c r="A2265" s="1582" t="str">
        <f aca="false">A2110</f>
        <v>Длина конька с выпускам, O</v>
      </c>
      <c r="B2265" s="1692" t="str">
        <f aca="false">D2110</f>
        <v>м.п.</v>
      </c>
      <c r="C2265" s="1436" t="n">
        <f aca="false">C2259+C2264</f>
        <v>1.4</v>
      </c>
      <c r="E2265" s="1436"/>
      <c r="G2265" s="1436" t="n">
        <f aca="false">C2250*1.1</f>
        <v>1.1</v>
      </c>
      <c r="H2265" s="1619"/>
    </row>
    <row r="2266" customFormat="false" ht="15.75" hidden="false" customHeight="true" outlineLevel="0" collapsed="false">
      <c r="A2266" s="1268" t="s">
        <v>2912</v>
      </c>
      <c r="B2266" s="1692" t="str">
        <f aca="false">D2111</f>
        <v>м2</v>
      </c>
      <c r="C2266" s="1436" t="n">
        <f aca="false">(C2260+C2260)*1.1</f>
        <v>5.86774498145204</v>
      </c>
      <c r="E2266" s="1436" t="n">
        <f aca="false">(E2258+E2264+E2264)*1.1</f>
        <v>4.18</v>
      </c>
      <c r="G2266" s="1436" t="n">
        <f aca="false">G2260*2*1.1</f>
        <v>5.60892146495206</v>
      </c>
      <c r="H2266" s="1619"/>
    </row>
    <row r="2267" customFormat="false" ht="15.75" hidden="false" customHeight="true" outlineLevel="0" collapsed="false">
      <c r="A2267" s="2450" t="str">
        <f aca="false">A2113</f>
        <v>S кровли с выпусками</v>
      </c>
      <c r="B2267" s="1883" t="str">
        <f aca="false">D2113</f>
        <v>м2</v>
      </c>
      <c r="C2267" s="1834" t="n">
        <f aca="false">C2260*2*C2265*C2255</f>
        <v>0</v>
      </c>
      <c r="D2267" s="2450"/>
      <c r="E2267" s="1834" t="n">
        <f aca="false">(E2258+E2264+E2264)*E2260*E2255</f>
        <v>9.01477151086009</v>
      </c>
      <c r="F2267" s="2450"/>
      <c r="G2267" s="1834" t="n">
        <f aca="false">(((G2258/2)+G2263)*G2261+G2260*C2250*2+G2260*(G2259+G2264-C2250))*G2255</f>
        <v>0</v>
      </c>
      <c r="H2267" s="2451"/>
      <c r="I2267" s="2452" t="n">
        <f aca="false">G2267+E2267+C2267</f>
        <v>9.01477151086009</v>
      </c>
    </row>
    <row r="2268" customFormat="false" ht="15.75" hidden="false" customHeight="true" outlineLevel="0" collapsed="false">
      <c r="A2268" s="2450" t="s">
        <v>3972</v>
      </c>
      <c r="B2268" s="1883" t="str">
        <f aca="false">D2114</f>
        <v>м2</v>
      </c>
      <c r="C2268" s="1834" t="n">
        <f aca="false">C2267*1.2*C2255</f>
        <v>0</v>
      </c>
      <c r="D2268" s="2450"/>
      <c r="E2268" s="1834" t="n">
        <f aca="false">E2267*1.2</f>
        <v>10.8177258130321</v>
      </c>
      <c r="F2268" s="2450"/>
      <c r="G2268" s="1834" t="n">
        <f aca="false">G2267*1.45*G2255</f>
        <v>0</v>
      </c>
      <c r="H2268" s="2451"/>
      <c r="I2268" s="2452" t="n">
        <f aca="false">G2268+E2268+C2268</f>
        <v>10.8177258130321</v>
      </c>
    </row>
    <row r="2269" customFormat="false" ht="15.75" hidden="false" customHeight="true" outlineLevel="0" collapsed="false">
      <c r="A2269" s="2450" t="s">
        <v>3973</v>
      </c>
      <c r="B2269" s="1883" t="s">
        <v>820</v>
      </c>
      <c r="C2269" s="1834" t="n">
        <f aca="false">C2267*1.1*C2255</f>
        <v>0</v>
      </c>
      <c r="D2269" s="2450"/>
      <c r="E2269" s="1834" t="n">
        <f aca="false">E2267*1.1</f>
        <v>9.9162486619461</v>
      </c>
      <c r="F2269" s="2450"/>
      <c r="G2269" s="1834" t="n">
        <f aca="false">G2267*1.1*G2255</f>
        <v>0</v>
      </c>
      <c r="H2269" s="2451"/>
      <c r="I2269" s="2452" t="n">
        <f aca="false">G2269+E2269+C2269</f>
        <v>9.9162486619461</v>
      </c>
    </row>
    <row r="2270" customFormat="false" ht="15.75" hidden="false" customHeight="true" outlineLevel="0" collapsed="false">
      <c r="A2270" s="2450" t="s">
        <v>1705</v>
      </c>
      <c r="B2270" s="1883"/>
      <c r="C2270" s="1834" t="n">
        <f aca="false">(C2259+C2264)*2*1.1*C2255</f>
        <v>0</v>
      </c>
      <c r="D2270" s="2450"/>
      <c r="E2270" s="1834" t="n">
        <f aca="false">(E2258+E2264+E2264)*1.1*E2255</f>
        <v>4.18</v>
      </c>
      <c r="F2270" s="2450"/>
      <c r="G2270" s="1834" t="n">
        <f aca="false">(G2258+G2263+G2263+G2259+G2259+G2264+G2264)*G2255</f>
        <v>0</v>
      </c>
      <c r="H2270" s="2451"/>
      <c r="I2270" s="2452" t="n">
        <f aca="false">G2270+E2270+C2270</f>
        <v>4.18</v>
      </c>
    </row>
    <row r="2271" customFormat="false" ht="15.75" hidden="false" customHeight="true" outlineLevel="0" collapsed="false">
      <c r="A2271" s="2450" t="s">
        <v>1706</v>
      </c>
      <c r="B2271" s="1883"/>
      <c r="C2271" s="1834" t="n">
        <f aca="false">C2260*2*1.1*C2255</f>
        <v>0</v>
      </c>
      <c r="D2271" s="2450"/>
      <c r="E2271" s="1834" t="n">
        <f aca="false">E2260*2*1.1*E2255</f>
        <v>5.21907824312953</v>
      </c>
      <c r="F2271" s="2450"/>
      <c r="G2271" s="1834"/>
      <c r="H2271" s="2451"/>
      <c r="I2271" s="2452" t="n">
        <f aca="false">G2271+E2271+C2271</f>
        <v>5.21907824312953</v>
      </c>
    </row>
    <row r="2272" customFormat="false" ht="15.75" hidden="false" customHeight="true" outlineLevel="0" collapsed="false">
      <c r="A2272" s="2450" t="s">
        <v>3974</v>
      </c>
      <c r="B2272" s="1883"/>
      <c r="C2272" s="1834" t="n">
        <f aca="false">C2270*C2255</f>
        <v>0</v>
      </c>
      <c r="D2272" s="2450"/>
      <c r="E2272" s="1834" t="n">
        <f aca="false">E2270</f>
        <v>4.18</v>
      </c>
      <c r="F2272" s="2450"/>
      <c r="G2272" s="1834" t="n">
        <f aca="false">G2270</f>
        <v>0</v>
      </c>
      <c r="H2272" s="2451"/>
      <c r="I2272" s="2452" t="n">
        <f aca="false">G2272+E2272+C2272</f>
        <v>4.18</v>
      </c>
    </row>
    <row r="2273" customFormat="false" ht="15.75" hidden="false" customHeight="true" outlineLevel="0" collapsed="false">
      <c r="A2273" s="2450" t="s">
        <v>3975</v>
      </c>
      <c r="B2273" s="1883"/>
      <c r="C2273" s="1834" t="n">
        <f aca="false">C2247*C2255</f>
        <v>0</v>
      </c>
      <c r="D2273" s="2450"/>
      <c r="E2273" s="1834" t="n">
        <f aca="false">C2273*E2255</f>
        <v>0</v>
      </c>
      <c r="F2273" s="2450"/>
      <c r="G2273" s="1834" t="n">
        <f aca="false">C2273*G2255</f>
        <v>0</v>
      </c>
      <c r="H2273" s="2451"/>
      <c r="I2273" s="2452" t="n">
        <f aca="false">G2273+E2273+C2273</f>
        <v>0</v>
      </c>
    </row>
    <row r="2274" customFormat="false" ht="15.75" hidden="false" customHeight="true" outlineLevel="0" collapsed="false">
      <c r="A2274" s="2450" t="s">
        <v>2912</v>
      </c>
      <c r="B2274" s="2453"/>
      <c r="C2274" s="2450" t="n">
        <f aca="false">C2260*2*1.1*C2255</f>
        <v>0</v>
      </c>
      <c r="D2274" s="2450"/>
      <c r="E2274" s="2450" t="n">
        <f aca="false">E2270</f>
        <v>4.18</v>
      </c>
      <c r="F2274" s="2450"/>
      <c r="G2274" s="2450" t="n">
        <f aca="false">G2260*1.1*G2255</f>
        <v>0</v>
      </c>
      <c r="H2274" s="2450"/>
      <c r="I2274" s="2452" t="n">
        <f aca="false">G2274+E2274+C2274</f>
        <v>4.18</v>
      </c>
    </row>
    <row r="2275" customFormat="false" ht="15.75" hidden="false" customHeight="true" outlineLevel="0" collapsed="false">
      <c r="A2275" s="2450" t="s">
        <v>3976</v>
      </c>
      <c r="B2275" s="2453"/>
      <c r="C2275" s="2450" t="n">
        <f aca="false">C2274*C2255</f>
        <v>0</v>
      </c>
      <c r="D2275" s="2450"/>
      <c r="E2275" s="2450" t="n">
        <f aca="false">E2270</f>
        <v>4.18</v>
      </c>
      <c r="F2275" s="2450"/>
      <c r="G2275" s="2450" t="n">
        <f aca="false">G2274</f>
        <v>0</v>
      </c>
      <c r="H2275" s="2450"/>
      <c r="I2275" s="2452" t="n">
        <f aca="false">G2275+E2275+C2275</f>
        <v>4.18</v>
      </c>
    </row>
    <row r="2276" customFormat="false" ht="15.75" hidden="false" customHeight="true" outlineLevel="0" collapsed="false">
      <c r="A2276" s="2450" t="s">
        <v>249</v>
      </c>
      <c r="B2276" s="2453"/>
      <c r="C2276" s="2450" t="n">
        <f aca="false">C2265*C2255</f>
        <v>0</v>
      </c>
      <c r="D2276" s="2450"/>
      <c r="E2276" s="2450"/>
      <c r="F2276" s="2450"/>
      <c r="G2276" s="2450" t="n">
        <f aca="false">(C2250+G2262*2)*G2255</f>
        <v>0</v>
      </c>
      <c r="H2276" s="2450"/>
      <c r="I2276" s="2452" t="n">
        <f aca="false">G2276+E2276+C2276</f>
        <v>0</v>
      </c>
    </row>
    <row r="2277" customFormat="false" ht="15.75" hidden="false" customHeight="true" outlineLevel="0" collapsed="false">
      <c r="A2277" s="2450" t="s">
        <v>3977</v>
      </c>
      <c r="B2277" s="2453"/>
      <c r="C2277" s="2450" t="n">
        <f aca="false">((C2276/0.6+1)*C2260*2+C2260+C2260+C2259+C2259+C2264+C2264)*C2255</f>
        <v>0</v>
      </c>
      <c r="D2277" s="2450"/>
      <c r="E2277" s="2450" t="n">
        <f aca="false">(((E2258+E2264+E2264)/0.6+2)*E2260+(E2258+E2264+E2264)*2)*E2255</f>
        <v>27.36923576943</v>
      </c>
      <c r="F2277" s="2450"/>
      <c r="G2277" s="2450" t="n">
        <f aca="false">(((G2259+G2264)/0.6+1)*G2260+C2250+G2258+G2259+G2259+G2264+G2264+G2263+G2263+(G2259/0.6+1)*G2261++G2260*4)*G2255</f>
        <v>0</v>
      </c>
      <c r="H2277" s="2450"/>
      <c r="I2277" s="2452" t="n">
        <f aca="false">G2277+E2277+C2277</f>
        <v>27.36923576943</v>
      </c>
    </row>
    <row r="2278" customFormat="false" ht="15.75" hidden="false" customHeight="true" outlineLevel="0" collapsed="false">
      <c r="A2278" s="1436" t="str">
        <f aca="false">'Ввод данных'!A732</f>
        <v>Доска сухая, 150*50мм</v>
      </c>
      <c r="B2278" s="1692" t="s">
        <v>1043</v>
      </c>
      <c r="C2278" s="1436" t="n">
        <f aca="false">I2277*VLOOKUP(A2278,связи1!A406:E415,5,0)</f>
        <v>0.205269268270725</v>
      </c>
      <c r="D2278" s="1436" t="n">
        <f aca="false">VLOOKUP(A2278,связи1!A406:E415,2,0)</f>
        <v>9000</v>
      </c>
      <c r="E2278" s="1436" t="n">
        <f aca="false">C2278*D2278*$E$2318*$E$2319</f>
        <v>0</v>
      </c>
      <c r="G2278" s="1436" t="str">
        <f aca="false">G2136</f>
        <v>монтаж стропил</v>
      </c>
      <c r="H2278" s="1436"/>
      <c r="I2278" s="1436"/>
      <c r="J2278" s="1436" t="str">
        <f aca="false">J2136</f>
        <v>м2</v>
      </c>
      <c r="K2278" s="1436" t="n">
        <f aca="false">I2267*IF(A2278=связи1!A406,0,1)</f>
        <v>9.01477151086009</v>
      </c>
      <c r="L2278" s="1436" t="n">
        <f aca="false">L2136</f>
        <v>450</v>
      </c>
      <c r="M2278" s="1436" t="n">
        <f aca="false">K2278*L2278*$M$2318*$E$2319</f>
        <v>0</v>
      </c>
    </row>
    <row r="2279" customFormat="false" ht="15.75" hidden="false" customHeight="true" outlineLevel="0" collapsed="false">
      <c r="A2279" s="1436" t="str">
        <f aca="false">'Ввод данных'!A734</f>
        <v>Сосна влаж,100*25мм</v>
      </c>
      <c r="B2279" s="1692" t="s">
        <v>1043</v>
      </c>
      <c r="C2279" s="1436" t="n">
        <f aca="false">I2267*3*VLOOKUP(A2279,связи1!A431:F439,5,0)</f>
        <v>0.0676107863314507</v>
      </c>
      <c r="D2279" s="1436" t="n">
        <f aca="false">VLOOKUP(A2279,связи1!A431:F439,6,0)</f>
        <v>6500</v>
      </c>
      <c r="E2279" s="1436" t="n">
        <f aca="false">C2279*D2279*$E$2318*$E$2319</f>
        <v>0</v>
      </c>
      <c r="G2279" s="1436" t="str">
        <f aca="false">G2137</f>
        <v>обрешетка</v>
      </c>
      <c r="H2279" s="1436"/>
      <c r="I2279" s="1436"/>
      <c r="J2279" s="1436" t="str">
        <f aca="false">J2137</f>
        <v>м2</v>
      </c>
      <c r="K2279" s="1436" t="n">
        <f aca="false">K2278*IF(A2279=связи1!A431,0,1)</f>
        <v>9.01477151086009</v>
      </c>
      <c r="L2279" s="1436" t="n">
        <f aca="false">L2137</f>
        <v>100</v>
      </c>
      <c r="M2279" s="1436" t="n">
        <f aca="false">K2279*L2279*$M$2318*$E$2319</f>
        <v>0</v>
      </c>
    </row>
    <row r="2280" customFormat="false" ht="15.75" hidden="false" customHeight="true" outlineLevel="0" collapsed="false">
      <c r="A2280" s="1436" t="str">
        <f aca="false">'Ввод данных'!A736</f>
        <v>нет</v>
      </c>
      <c r="B2280" s="1692" t="s">
        <v>820</v>
      </c>
      <c r="C2280" s="1436" t="n">
        <f aca="false">I2267*3*VLOOKUP(A2280,связи1!A417:E420,5,0)</f>
        <v>0</v>
      </c>
      <c r="D2280" s="1436" t="n">
        <f aca="false">VLOOKUP(A2280,связи1!A417:D420,2,0)</f>
        <v>0</v>
      </c>
      <c r="E2280" s="1436" t="n">
        <f aca="false">C2280*D2280*$E$2318*$E$2319</f>
        <v>0</v>
      </c>
      <c r="G2280" s="1436" t="str">
        <f aca="false">G2138</f>
        <v>контробеш</v>
      </c>
      <c r="H2280" s="1436"/>
      <c r="I2280" s="1436"/>
      <c r="J2280" s="1436" t="str">
        <f aca="false">J2138</f>
        <v>м2</v>
      </c>
      <c r="K2280" s="1436" t="n">
        <f aca="false">K2278*IF(A2280=связи1!A417,0,1)</f>
        <v>0</v>
      </c>
      <c r="L2280" s="1436" t="n">
        <f aca="false">L2138</f>
        <v>100</v>
      </c>
      <c r="M2280" s="1436" t="n">
        <f aca="false">K2280*L2280*$M$2318*$E$2319</f>
        <v>0</v>
      </c>
    </row>
    <row r="2281" customFormat="false" ht="15.75" hidden="false" customHeight="true" outlineLevel="0" collapsed="false">
      <c r="A2281" s="1436" t="str">
        <f aca="false">'Ввод данных'!A738</f>
        <v>нет</v>
      </c>
      <c r="B2281" s="1692" t="s">
        <v>820</v>
      </c>
      <c r="C2281" s="1436" t="n">
        <f aca="false">I2267*1.2</f>
        <v>10.8177258130321</v>
      </c>
      <c r="D2281" s="1436" t="n">
        <f aca="false">VLOOKUP(A2281,'Прайс лист'!B863:G907,6,0)</f>
        <v>0</v>
      </c>
      <c r="E2281" s="1436" t="n">
        <f aca="false">C2281*D2281*$E$2318*$E$2319</f>
        <v>0</v>
      </c>
      <c r="F2281" s="1268" t="s">
        <v>3978</v>
      </c>
      <c r="G2281" s="1436" t="str">
        <f aca="false">G2139</f>
        <v>мембрана</v>
      </c>
      <c r="H2281" s="1436"/>
      <c r="I2281" s="1436"/>
      <c r="J2281" s="1436" t="str">
        <f aca="false">J2139</f>
        <v>м2</v>
      </c>
      <c r="K2281" s="1436" t="n">
        <f aca="false">K2278*IF(A2282='Прайс лист'!B649,0,1)</f>
        <v>9.01477151086009</v>
      </c>
      <c r="L2281" s="1436" t="n">
        <f aca="false">L2139</f>
        <v>100</v>
      </c>
      <c r="M2281" s="1436" t="n">
        <f aca="false">K2281*L2281*$M$2318*$E$2319</f>
        <v>0</v>
      </c>
    </row>
    <row r="2282" customFormat="false" ht="15.75" hidden="false" customHeight="true" outlineLevel="0" collapsed="false">
      <c r="A2282" s="1436" t="str">
        <f aca="false">'Ввод данных'!A740</f>
        <v>Мембраны Tyvek Solid</v>
      </c>
      <c r="B2282" s="1692" t="s">
        <v>820</v>
      </c>
      <c r="C2282" s="1436" t="n">
        <f aca="false">I2267*1.2</f>
        <v>10.8177258130321</v>
      </c>
      <c r="D2282" s="1436" t="n">
        <f aca="false">VLOOKUP(A2282,'Прайс лист'!B649:G675,6,0)</f>
        <v>99</v>
      </c>
      <c r="E2282" s="1436" t="n">
        <f aca="false">C2282*D2282*$E$2318*$E$2319</f>
        <v>0</v>
      </c>
      <c r="F2282" s="1582" t="n">
        <f aca="false">IF('Ввод данных'!A94=связи1!A6,1,0)</f>
        <v>1</v>
      </c>
      <c r="G2282" s="1436" t="str">
        <f aca="false">G2140</f>
        <v>Монтаж металлочерепицы</v>
      </c>
      <c r="H2282" s="1436"/>
      <c r="I2282" s="1436"/>
      <c r="J2282" s="1436" t="str">
        <f aca="false">J2140</f>
        <v>м2</v>
      </c>
      <c r="K2282" s="1436" t="n">
        <f aca="false">K2278*F2282</f>
        <v>9.01477151086009</v>
      </c>
      <c r="L2282" s="1436" t="n">
        <f aca="false">L2140</f>
        <v>300</v>
      </c>
      <c r="M2282" s="1436" t="n">
        <f aca="false">K2282*L2282*$M$2318*$E$2319</f>
        <v>0</v>
      </c>
    </row>
    <row r="2283" customFormat="false" ht="15.75" hidden="false" customHeight="true" outlineLevel="0" collapsed="false">
      <c r="A2283" s="1436" t="str">
        <f aca="false">A2140</f>
        <v>металлочерепица</v>
      </c>
      <c r="B2283" s="1692" t="str">
        <f aca="false">B2140</f>
        <v>м2</v>
      </c>
      <c r="C2283" s="1436" t="n">
        <f aca="false">I2268*F2282</f>
        <v>10.8177258130321</v>
      </c>
      <c r="D2283" s="1436" t="n">
        <f aca="false">D2140</f>
        <v>250</v>
      </c>
      <c r="E2283" s="1436" t="n">
        <f aca="false">C2283*D2283*$E$2318*$E$2319</f>
        <v>0</v>
      </c>
      <c r="F2283" s="1268" t="s">
        <v>3979</v>
      </c>
      <c r="G2283" s="1436" t="str">
        <f aca="false">G2141</f>
        <v>карнизная планка</v>
      </c>
      <c r="H2283" s="1436"/>
      <c r="I2283" s="1436"/>
      <c r="J2283" s="1436" t="str">
        <f aca="false">J2141</f>
        <v>м2</v>
      </c>
      <c r="K2283" s="1436" t="n">
        <f aca="false">I2270</f>
        <v>4.18</v>
      </c>
      <c r="L2283" s="1436" t="n">
        <f aca="false">L2141</f>
        <v>100</v>
      </c>
      <c r="M2283" s="1436" t="n">
        <f aca="false">K2283*L2283*$M$2318*$E$2319</f>
        <v>0</v>
      </c>
    </row>
    <row r="2284" customFormat="false" ht="15.75" hidden="false" customHeight="true" outlineLevel="0" collapsed="false">
      <c r="A2284" s="1436" t="str">
        <f aca="false">A2141</f>
        <v>карнизная планка</v>
      </c>
      <c r="B2284" s="1692" t="str">
        <f aca="false">B2141</f>
        <v>м.п.</v>
      </c>
      <c r="C2284" s="1436" t="n">
        <f aca="false">I2270*(F2286+F2282)</f>
        <v>4.18</v>
      </c>
      <c r="D2284" s="1436" t="n">
        <f aca="false">D2141</f>
        <v>200</v>
      </c>
      <c r="E2284" s="1436" t="n">
        <f aca="false">C2284*D2284*$E$2318*$E$2319</f>
        <v>0</v>
      </c>
      <c r="F2284" s="1582" t="n">
        <f aca="false">IF('Ввод данных'!A94=связи1!A7,1,0)</f>
        <v>0</v>
      </c>
      <c r="G2284" s="1436" t="str">
        <f aca="false">G2142</f>
        <v>торцевая планка</v>
      </c>
      <c r="H2284" s="1436"/>
      <c r="I2284" s="1436"/>
      <c r="J2284" s="1436" t="str">
        <f aca="false">J2142</f>
        <v>м2</v>
      </c>
      <c r="K2284" s="1436" t="n">
        <f aca="false">I2271</f>
        <v>5.21907824312953</v>
      </c>
      <c r="L2284" s="1436" t="n">
        <f aca="false">L2142</f>
        <v>100</v>
      </c>
      <c r="M2284" s="1436" t="n">
        <f aca="false">K2284*L2284*$M$2318*$E$2319</f>
        <v>0</v>
      </c>
    </row>
    <row r="2285" customFormat="false" ht="15.75" hidden="false" customHeight="true" outlineLevel="0" collapsed="false">
      <c r="A2285" s="1436" t="str">
        <f aca="false">A2142</f>
        <v>торцевая планка</v>
      </c>
      <c r="B2285" s="1692" t="str">
        <f aca="false">B2142</f>
        <v>м.п.</v>
      </c>
      <c r="C2285" s="1436" t="n">
        <f aca="false">I2271*(F2282+F2286)</f>
        <v>5.21907824312953</v>
      </c>
      <c r="D2285" s="1436" t="n">
        <f aca="false">D2142</f>
        <v>200</v>
      </c>
      <c r="E2285" s="1436" t="n">
        <f aca="false">C2285*D2285*$E$2318*$E$2319</f>
        <v>0</v>
      </c>
      <c r="F2285" s="1268" t="s">
        <v>3980</v>
      </c>
      <c r="G2285" s="1436" t="str">
        <f aca="false">G2143</f>
        <v>желоб водосточный</v>
      </c>
      <c r="H2285" s="1436"/>
      <c r="I2285" s="1436"/>
      <c r="J2285" s="1436" t="str">
        <f aca="false">J2143</f>
        <v>м.п.</v>
      </c>
      <c r="K2285" s="1436" t="n">
        <f aca="false">I2272</f>
        <v>4.18</v>
      </c>
      <c r="L2285" s="1436" t="n">
        <f aca="false">L2143</f>
        <v>300</v>
      </c>
      <c r="M2285" s="1436" t="n">
        <f aca="false">K2285*L2285*$M$2318*$E$2319</f>
        <v>0</v>
      </c>
    </row>
    <row r="2286" customFormat="false" ht="15.75" hidden="false" customHeight="true" outlineLevel="0" collapsed="false">
      <c r="A2286" s="1436" t="str">
        <f aca="false">A2143</f>
        <v>конек</v>
      </c>
      <c r="B2286" s="1692" t="str">
        <f aca="false">B2143</f>
        <v>м.п.</v>
      </c>
      <c r="C2286" s="1436" t="n">
        <f aca="false">I2276*F2282</f>
        <v>0</v>
      </c>
      <c r="D2286" s="1436" t="n">
        <f aca="false">D2143</f>
        <v>230</v>
      </c>
      <c r="E2286" s="1436" t="n">
        <f aca="false">C2286*D2286*$E$2318*$E$2319</f>
        <v>0</v>
      </c>
      <c r="F2286" s="1582" t="n">
        <f aca="false">IF('Ввод данных'!A94=связи1!A8,1,0)</f>
        <v>0</v>
      </c>
      <c r="G2286" s="1436" t="str">
        <f aca="false">G2144</f>
        <v>труба водосточная</v>
      </c>
      <c r="H2286" s="1436"/>
      <c r="I2286" s="1436"/>
      <c r="J2286" s="1436" t="str">
        <f aca="false">J2144</f>
        <v>м.п.</v>
      </c>
      <c r="K2286" s="1436" t="n">
        <f aca="false">I2273</f>
        <v>0</v>
      </c>
      <c r="L2286" s="1436" t="n">
        <f aca="false">L2144</f>
        <v>300</v>
      </c>
      <c r="M2286" s="1436" t="n">
        <f aca="false">K2286*L2286*$M$2318*$E$2319</f>
        <v>0</v>
      </c>
    </row>
    <row r="2287" customFormat="false" ht="15.75" hidden="false" customHeight="true" outlineLevel="0" collapsed="false">
      <c r="A2287" s="1436" t="str">
        <f aca="false">A2144</f>
        <v>ондулин</v>
      </c>
      <c r="B2287" s="1692" t="str">
        <f aca="false">B2144</f>
        <v>м2</v>
      </c>
      <c r="C2287" s="1436" t="n">
        <f aca="false">I2268*F2284</f>
        <v>0</v>
      </c>
      <c r="D2287" s="1436" t="n">
        <f aca="false">D2144</f>
        <v>180</v>
      </c>
      <c r="E2287" s="1436" t="n">
        <f aca="false">C2287*D2287*$E$2318*$E$2319</f>
        <v>0</v>
      </c>
      <c r="G2287" s="1436" t="str">
        <f aca="false">G2145</f>
        <v>Монтаж ондулина</v>
      </c>
      <c r="H2287" s="1436"/>
      <c r="I2287" s="1436"/>
      <c r="J2287" s="1436" t="str">
        <f aca="false">J2145</f>
        <v>м2</v>
      </c>
      <c r="K2287" s="1436" t="n">
        <f aca="false">I2267*F2284</f>
        <v>0</v>
      </c>
      <c r="L2287" s="1436" t="n">
        <f aca="false">L2145</f>
        <v>300</v>
      </c>
      <c r="M2287" s="1436" t="n">
        <f aca="false">K2287*L2287*$M$2318*$E$2319</f>
        <v>0</v>
      </c>
    </row>
    <row r="2288" customFormat="false" ht="15.75" hidden="false" customHeight="true" outlineLevel="0" collapsed="false">
      <c r="A2288" s="1436" t="str">
        <f aca="false">A2145</f>
        <v>Карнизная планка</v>
      </c>
      <c r="B2288" s="1692" t="str">
        <f aca="false">B2145</f>
        <v>м.п.</v>
      </c>
      <c r="C2288" s="1436" t="n">
        <f aca="false">I2270*F2284</f>
        <v>0</v>
      </c>
      <c r="D2288" s="1436" t="n">
        <f aca="false">D2145</f>
        <v>190</v>
      </c>
      <c r="E2288" s="1436" t="n">
        <f aca="false">C2288*D2288*$E$2318*$E$2319</f>
        <v>0</v>
      </c>
      <c r="G2288" s="1436" t="str">
        <f aca="false">G2146</f>
        <v>Монтаж фанеры/osb</v>
      </c>
      <c r="H2288" s="1436"/>
      <c r="I2288" s="1436"/>
      <c r="J2288" s="1436" t="str">
        <f aca="false">J2146</f>
        <v>м2</v>
      </c>
      <c r="K2288" s="1436" t="n">
        <f aca="false">I2267*IF('Ввод данных'!A738='Прайс лист'!B821,0,1)</f>
        <v>0</v>
      </c>
      <c r="L2288" s="1436" t="n">
        <f aca="false">L2146</f>
        <v>200</v>
      </c>
      <c r="M2288" s="1436" t="n">
        <f aca="false">K2288*L2288*$M$2318*$E$2319</f>
        <v>0</v>
      </c>
    </row>
    <row r="2289" customFormat="false" ht="15.75" hidden="false" customHeight="true" outlineLevel="0" collapsed="false">
      <c r="A2289" s="1436" t="str">
        <f aca="false">A2146</f>
        <v>Торцевая планка</v>
      </c>
      <c r="B2289" s="1692" t="str">
        <f aca="false">B2146</f>
        <v>м.п.</v>
      </c>
      <c r="C2289" s="1436" t="n">
        <f aca="false">I2271*F2284</f>
        <v>0</v>
      </c>
      <c r="D2289" s="1436" t="n">
        <f aca="false">D2146</f>
        <v>190</v>
      </c>
      <c r="E2289" s="1436" t="n">
        <f aca="false">C2289*D2289*$E$2318*$E$2319</f>
        <v>0</v>
      </c>
      <c r="G2289" s="1436" t="str">
        <f aca="false">G2147</f>
        <v>монтаж подкладочного ковра</v>
      </c>
      <c r="H2289" s="1436"/>
      <c r="I2289" s="1436"/>
      <c r="J2289" s="1436" t="str">
        <f aca="false">J2147</f>
        <v>м2</v>
      </c>
      <c r="K2289" s="1436" t="n">
        <f aca="false">I2267*F2286</f>
        <v>0</v>
      </c>
      <c r="L2289" s="1436" t="n">
        <f aca="false">L2147</f>
        <v>150</v>
      </c>
      <c r="M2289" s="1436" t="n">
        <f aca="false">K2289*L2289*$M$2318*$E$2319</f>
        <v>0</v>
      </c>
    </row>
    <row r="2290" customFormat="false" ht="15.75" hidden="false" customHeight="true" outlineLevel="0" collapsed="false">
      <c r="A2290" s="1436" t="str">
        <f aca="false">A2147</f>
        <v>Конек</v>
      </c>
      <c r="B2290" s="1692" t="str">
        <f aca="false">B2147</f>
        <v>м.п.</v>
      </c>
      <c r="C2290" s="1436" t="n">
        <f aca="false">I2276*F2284</f>
        <v>0</v>
      </c>
      <c r="D2290" s="1436" t="n">
        <f aca="false">D2147</f>
        <v>200</v>
      </c>
      <c r="E2290" s="1436" t="n">
        <f aca="false">C2290*D2290*$E$2318*$E$2319</f>
        <v>0</v>
      </c>
      <c r="G2290" s="1436" t="str">
        <f aca="false">G2148</f>
        <v>Монтаж мягкой кровли</v>
      </c>
      <c r="H2290" s="1436"/>
      <c r="I2290" s="1436"/>
      <c r="J2290" s="1436" t="str">
        <f aca="false">J2148</f>
        <v>м2</v>
      </c>
      <c r="K2290" s="1436" t="n">
        <f aca="false">I2267*F2286</f>
        <v>0</v>
      </c>
      <c r="L2290" s="1436" t="n">
        <f aca="false">L2148</f>
        <v>350</v>
      </c>
      <c r="M2290" s="1436" t="n">
        <f aca="false">K2290*L2290*$M$2318*$E$2319</f>
        <v>0</v>
      </c>
    </row>
    <row r="2291" customFormat="false" ht="15.75" hidden="false" customHeight="true" outlineLevel="0" collapsed="false">
      <c r="A2291" s="1436" t="str">
        <f aca="false">A2148</f>
        <v>Ендова нижняя</v>
      </c>
      <c r="B2291" s="1692" t="str">
        <f aca="false">B2148</f>
        <v>м.п.</v>
      </c>
      <c r="C2291" s="1436" t="n">
        <f aca="false">I2274*F2284</f>
        <v>0</v>
      </c>
      <c r="D2291" s="1436" t="n">
        <f aca="false">D2148</f>
        <v>160</v>
      </c>
      <c r="E2291" s="1436" t="n">
        <f aca="false">C2291*D2291*$E$2318*$E$2319</f>
        <v>0</v>
      </c>
      <c r="G2291" s="1180" t="s">
        <v>2142</v>
      </c>
      <c r="H2291" s="1180"/>
      <c r="I2291" s="1436"/>
      <c r="J2291" s="1180" t="s">
        <v>15</v>
      </c>
      <c r="K2291" s="1436" t="n">
        <f aca="false">I2275*F2286</f>
        <v>0</v>
      </c>
      <c r="L2291" s="1436" t="n">
        <f aca="false">'Прайс лист'!G1579</f>
        <v>200</v>
      </c>
      <c r="M2291" s="1436" t="n">
        <f aca="false">K2291*L2291*$M$2318*$E$2319</f>
        <v>0</v>
      </c>
    </row>
    <row r="2292" s="1582" customFormat="true" ht="15.75" hidden="false" customHeight="true" outlineLevel="0" collapsed="false">
      <c r="A2292" s="1436" t="str">
        <f aca="false">A2149</f>
        <v>Ендова верхняя</v>
      </c>
      <c r="B2292" s="1692" t="str">
        <f aca="false">B2149</f>
        <v>м.п.</v>
      </c>
      <c r="C2292" s="1180" t="n">
        <f aca="false">0</f>
        <v>0</v>
      </c>
      <c r="D2292" s="1436" t="n">
        <f aca="false">D2149</f>
        <v>190</v>
      </c>
      <c r="E2292" s="1436" t="n">
        <f aca="false">C2292*D2292*$E$2318*$E$2319</f>
        <v>0</v>
      </c>
    </row>
    <row r="2293" s="1582" customFormat="true" ht="15.75" hidden="false" customHeight="true" outlineLevel="0" collapsed="false">
      <c r="A2293" s="1436" t="str">
        <f aca="false">A2150</f>
        <v>Планка примыкания</v>
      </c>
      <c r="B2293" s="1692" t="str">
        <f aca="false">B2150</f>
        <v>м.п.</v>
      </c>
      <c r="C2293" s="1436" t="n">
        <f aca="false">I2275*F2284</f>
        <v>0</v>
      </c>
      <c r="D2293" s="1436" t="n">
        <f aca="false">D2150</f>
        <v>190</v>
      </c>
      <c r="E2293" s="1436" t="n">
        <f aca="false">C2293*D2293*$E$2318*$E$2319</f>
        <v>0</v>
      </c>
    </row>
    <row r="2294" s="1582" customFormat="true" ht="15.75" hidden="false" customHeight="true" outlineLevel="0" collapsed="false">
      <c r="A2294" s="1436" t="str">
        <f aca="false">A2151</f>
        <v>Крепеж для ондулина</v>
      </c>
      <c r="B2294" s="1692" t="str">
        <f aca="false">B2151</f>
        <v>шт</v>
      </c>
      <c r="C2294" s="1436" t="n">
        <f aca="false">I2267*12*F2284</f>
        <v>0</v>
      </c>
      <c r="D2294" s="1436" t="n">
        <f aca="false">D2151</f>
        <v>4.5</v>
      </c>
      <c r="E2294" s="1436" t="n">
        <f aca="false">C2294*D2294*$E$2318*$E$2319</f>
        <v>0</v>
      </c>
    </row>
    <row r="2295" customFormat="false" ht="15.75" hidden="false" customHeight="true" outlineLevel="0" collapsed="false">
      <c r="A2295" s="1436" t="str">
        <f aca="false">A2153</f>
        <v>Рядовая черепица</v>
      </c>
      <c r="B2295" s="1692" t="str">
        <f aca="false">B2153</f>
        <v>м2</v>
      </c>
      <c r="C2295" s="1436" t="n">
        <f aca="false">I2269*F2286</f>
        <v>0</v>
      </c>
      <c r="D2295" s="1436" t="n">
        <f aca="false">D2153</f>
        <v>360</v>
      </c>
      <c r="E2295" s="1436" t="n">
        <f aca="false">C2295*D2295*$E$2318*$E$2319</f>
        <v>0</v>
      </c>
    </row>
    <row r="2296" customFormat="false" ht="15.75" hidden="false" customHeight="true" outlineLevel="0" collapsed="false">
      <c r="A2296" s="1436" t="str">
        <f aca="false">A2154</f>
        <v>Металл оцинк защита (карниз)</v>
      </c>
      <c r="B2296" s="1692" t="str">
        <f aca="false">B2154</f>
        <v>м.п.</v>
      </c>
      <c r="C2296" s="1436" t="n">
        <f aca="false">I2270*F2286</f>
        <v>0</v>
      </c>
      <c r="D2296" s="1436" t="n">
        <f aca="false">D2154</f>
        <v>200</v>
      </c>
      <c r="E2296" s="1436" t="n">
        <f aca="false">C2296*D2296*$E$2318*$E$2319</f>
        <v>0</v>
      </c>
    </row>
    <row r="2297" customFormat="false" ht="15.75" hidden="false" customHeight="true" outlineLevel="0" collapsed="false">
      <c r="A2297" s="1436" t="str">
        <f aca="false">A2155</f>
        <v>Подкладочный ковер</v>
      </c>
      <c r="B2297" s="1692" t="str">
        <f aca="false">B2155</f>
        <v>м.п.</v>
      </c>
      <c r="C2297" s="1436" t="n">
        <f aca="false">I2267*F2286</f>
        <v>0</v>
      </c>
      <c r="D2297" s="1436" t="n">
        <f aca="false">D2155</f>
        <v>220</v>
      </c>
      <c r="E2297" s="1436" t="n">
        <f aca="false">C2297*D2297*$E$2318*$E$2319</f>
        <v>0</v>
      </c>
    </row>
    <row r="2298" customFormat="false" ht="15.75" hidden="false" customHeight="true" outlineLevel="0" collapsed="false">
      <c r="A2298" s="1436" t="str">
        <f aca="false">A2156</f>
        <v>Карнизная самоклеющаяся черепица</v>
      </c>
      <c r="B2298" s="1692" t="str">
        <f aca="false">B2156</f>
        <v>м.п.</v>
      </c>
      <c r="C2298" s="1436" t="n">
        <f aca="false">I2270*0.2*F2286</f>
        <v>0</v>
      </c>
      <c r="D2298" s="1436" t="n">
        <f aca="false">D2156</f>
        <v>220</v>
      </c>
      <c r="E2298" s="1436" t="n">
        <f aca="false">C2298*D2298*$E$2318*$E$2319</f>
        <v>0</v>
      </c>
    </row>
    <row r="2299" customFormat="false" ht="15.75" hidden="false" customHeight="true" outlineLevel="0" collapsed="false">
      <c r="A2299" s="1436" t="str">
        <f aca="false">A2157</f>
        <v>Спец ковер ендова нижняя</v>
      </c>
      <c r="B2299" s="1692" t="str">
        <f aca="false">B2157</f>
        <v>м.п.</v>
      </c>
      <c r="C2299" s="1436" t="n">
        <f aca="false">I2274*F2286</f>
        <v>0</v>
      </c>
      <c r="D2299" s="1436" t="n">
        <f aca="false">D2157</f>
        <v>200</v>
      </c>
      <c r="E2299" s="1436" t="n">
        <f aca="false">C2299*D2299*$E$2318*$E$2319</f>
        <v>0</v>
      </c>
    </row>
    <row r="2300" customFormat="false" ht="15.75" hidden="false" customHeight="true" outlineLevel="0" collapsed="false">
      <c r="A2300" s="1436" t="str">
        <f aca="false">A2158</f>
        <v>Коньковой элемент</v>
      </c>
      <c r="B2300" s="1692" t="str">
        <f aca="false">B2158</f>
        <v>м.п.</v>
      </c>
      <c r="C2300" s="1436" t="n">
        <f aca="false">I2276*F2286</f>
        <v>0</v>
      </c>
      <c r="D2300" s="1436" t="n">
        <f aca="false">D2158</f>
        <v>250</v>
      </c>
      <c r="E2300" s="1436" t="n">
        <f aca="false">C2300*D2300*$E$2318*$E$2319</f>
        <v>0</v>
      </c>
    </row>
    <row r="2301" customFormat="false" ht="15.75" hidden="false" customHeight="true" outlineLevel="0" collapsed="false">
      <c r="A2301" s="1436" t="str">
        <f aca="false">A2159</f>
        <v>Планка премыкания</v>
      </c>
      <c r="B2301" s="1692" t="str">
        <f aca="false">B2159</f>
        <v>м.п.</v>
      </c>
      <c r="C2301" s="1436" t="n">
        <f aca="false">I2275*F2286</f>
        <v>0</v>
      </c>
      <c r="D2301" s="1436" t="n">
        <f aca="false">D2159</f>
        <v>200</v>
      </c>
      <c r="E2301" s="1436" t="n">
        <f aca="false">C2301*D2301*$E$2318*$E$2319</f>
        <v>0</v>
      </c>
    </row>
    <row r="2302" customFormat="false" ht="15.75" hidden="false" customHeight="true" outlineLevel="0" collapsed="false">
      <c r="A2302" s="1436" t="str">
        <f aca="false">A2160</f>
        <v>Гвозди для крепления подкладочного ковра</v>
      </c>
      <c r="B2302" s="1692" t="str">
        <f aca="false">B2160</f>
        <v>шт</v>
      </c>
      <c r="C2302" s="1436" t="n">
        <f aca="false">I2267*20*F2286</f>
        <v>0</v>
      </c>
      <c r="D2302" s="1436" t="n">
        <f aca="false">D2160</f>
        <v>0.012</v>
      </c>
      <c r="E2302" s="1436" t="n">
        <f aca="false">C2302*D2302*$E$2318*$E$2319</f>
        <v>0</v>
      </c>
    </row>
    <row r="2303" customFormat="false" ht="15.75" hidden="false" customHeight="true" outlineLevel="0" collapsed="false">
      <c r="A2303" s="1436" t="str">
        <f aca="false">A2161</f>
        <v>Гвозди для крепления черепицы</v>
      </c>
      <c r="B2303" s="1692" t="str">
        <f aca="false">B2161</f>
        <v>шт</v>
      </c>
      <c r="C2303" s="1436" t="n">
        <f aca="false">I2267*F2286*25</f>
        <v>0</v>
      </c>
      <c r="D2303" s="1436" t="n">
        <f aca="false">D2161</f>
        <v>0.25</v>
      </c>
      <c r="E2303" s="1436" t="n">
        <f aca="false">C2303*D2303*$E$2318*$E$2319</f>
        <v>0</v>
      </c>
    </row>
    <row r="2304" customFormat="false" ht="15.75" hidden="false" customHeight="true" outlineLevel="0" collapsed="false">
      <c r="A2304" s="1436" t="str">
        <f aca="false">A2162</f>
        <v>Клей для монтажа черепицы</v>
      </c>
      <c r="B2304" s="1692" t="str">
        <f aca="false">B2162</f>
        <v>кг</v>
      </c>
      <c r="C2304" s="1436" t="n">
        <f aca="false">I2267*F2286</f>
        <v>0</v>
      </c>
      <c r="D2304" s="1436" t="n">
        <f aca="false">D2162</f>
        <v>250</v>
      </c>
      <c r="E2304" s="1436" t="n">
        <f aca="false">C2304*D2304*$E$2318*$E$2319</f>
        <v>0</v>
      </c>
    </row>
    <row r="2305" customFormat="false" ht="15.75" hidden="false" customHeight="true" outlineLevel="0" collapsed="false">
      <c r="A2305" s="1436" t="str">
        <f aca="false">A2163</f>
        <v>желоб</v>
      </c>
      <c r="B2305" s="1692" t="str">
        <f aca="false">B2163</f>
        <v>м.п</v>
      </c>
      <c r="C2305" s="1436" t="n">
        <f aca="false">I2272</f>
        <v>4.18</v>
      </c>
      <c r="D2305" s="1436" t="n">
        <f aca="false">D2163</f>
        <v>300</v>
      </c>
      <c r="E2305" s="1436" t="n">
        <f aca="false">C2305*D2305*$E$2318*$E$2319</f>
        <v>0</v>
      </c>
    </row>
    <row r="2306" customFormat="false" ht="15.75" hidden="false" customHeight="true" outlineLevel="0" collapsed="false">
      <c r="A2306" s="1436" t="str">
        <f aca="false">A2164</f>
        <v>отвод</v>
      </c>
      <c r="B2306" s="1692" t="str">
        <f aca="false">B2164</f>
        <v>шт</v>
      </c>
      <c r="C2306" s="1436" t="n">
        <f aca="false">2</f>
        <v>2</v>
      </c>
      <c r="D2306" s="1436" t="n">
        <f aca="false">D2164</f>
        <v>250</v>
      </c>
      <c r="E2306" s="1436" t="n">
        <f aca="false">C2306*D2306*$E$2318*$E$2319</f>
        <v>0</v>
      </c>
    </row>
    <row r="2307" customFormat="false" ht="15.75" hidden="false" customHeight="true" outlineLevel="0" collapsed="false">
      <c r="A2307" s="1436" t="str">
        <f aca="false">A2165</f>
        <v>труба водосточная</v>
      </c>
      <c r="B2307" s="1692" t="str">
        <f aca="false">B2165</f>
        <v>м.п.</v>
      </c>
      <c r="C2307" s="1436" t="n">
        <f aca="false">I2273</f>
        <v>0</v>
      </c>
      <c r="D2307" s="1436" t="n">
        <f aca="false">D2165</f>
        <v>300</v>
      </c>
      <c r="E2307" s="1436" t="n">
        <f aca="false">C2307*D2307*$E$2318*$E$2319</f>
        <v>0</v>
      </c>
    </row>
    <row r="2308" customFormat="false" ht="15.75" hidden="false" customHeight="true" outlineLevel="0" collapsed="false">
      <c r="A2308" s="1436" t="str">
        <f aca="false">A2166</f>
        <v>заглушка для желоба</v>
      </c>
      <c r="B2308" s="1692" t="str">
        <f aca="false">B2166</f>
        <v>шт</v>
      </c>
      <c r="C2308" s="1436" t="n">
        <f aca="false">2</f>
        <v>2</v>
      </c>
      <c r="D2308" s="1436" t="n">
        <f aca="false">D2166</f>
        <v>190</v>
      </c>
      <c r="E2308" s="1436" t="n">
        <f aca="false">C2308*D2308*$E$2318*$E$2319</f>
        <v>0</v>
      </c>
    </row>
    <row r="2309" customFormat="false" ht="15.75" hidden="false" customHeight="true" outlineLevel="0" collapsed="false">
      <c r="A2309" s="1436" t="str">
        <f aca="false">A2167</f>
        <v>соеденитель для желоба</v>
      </c>
      <c r="B2309" s="1692" t="str">
        <f aca="false">B2167</f>
        <v>шт</v>
      </c>
      <c r="C2309" s="1436" t="n">
        <f aca="false">2</f>
        <v>2</v>
      </c>
      <c r="D2309" s="1436" t="n">
        <f aca="false">D2167</f>
        <v>180</v>
      </c>
      <c r="E2309" s="1436" t="n">
        <f aca="false">C2309*D2309*$E$2318*$E$2319</f>
        <v>0</v>
      </c>
    </row>
    <row r="2310" customFormat="false" ht="15.75" hidden="false" customHeight="true" outlineLevel="0" collapsed="false">
      <c r="A2310" s="1436" t="str">
        <f aca="false">A2168</f>
        <v>кронштейн для желоба</v>
      </c>
      <c r="B2310" s="1692" t="str">
        <f aca="false">B2168</f>
        <v>шт</v>
      </c>
      <c r="C2310" s="1436" t="n">
        <f aca="false">I2272/0.4</f>
        <v>10.45</v>
      </c>
      <c r="D2310" s="1436" t="n">
        <f aca="false">D2168</f>
        <v>130</v>
      </c>
      <c r="E2310" s="1436" t="n">
        <f aca="false">C2310*D2310*$E$2318*$E$2319</f>
        <v>0</v>
      </c>
    </row>
    <row r="2311" customFormat="false" ht="15.75" hidden="false" customHeight="true" outlineLevel="0" collapsed="false">
      <c r="A2311" s="1436" t="str">
        <f aca="false">A2169</f>
        <v>переход из желоба в трубу</v>
      </c>
      <c r="B2311" s="1692" t="str">
        <f aca="false">B2169</f>
        <v>шт</v>
      </c>
      <c r="C2311" s="1436" t="n">
        <f aca="false">2</f>
        <v>2</v>
      </c>
      <c r="D2311" s="1436" t="n">
        <f aca="false">D2169</f>
        <v>350</v>
      </c>
      <c r="E2311" s="1436" t="n">
        <f aca="false">C2311*D2311*$E$2318*$E$2319</f>
        <v>0</v>
      </c>
    </row>
    <row r="2312" customFormat="false" ht="15.75" hidden="false" customHeight="true" outlineLevel="0" collapsed="false">
      <c r="A2312" s="1436" t="str">
        <f aca="false">A2170</f>
        <v>лента дельта мульти бэнд</v>
      </c>
      <c r="B2312" s="1692" t="str">
        <f aca="false">B2170</f>
        <v>шт</v>
      </c>
      <c r="C2312" s="1436" t="n">
        <f aca="false">I2267/35</f>
        <v>0.257564900310288</v>
      </c>
      <c r="D2312" s="1436" t="n">
        <f aca="false">D2170</f>
        <v>1200</v>
      </c>
      <c r="E2312" s="1436" t="n">
        <f aca="false">C2312*D2312*$E$2318*$E$2319</f>
        <v>0</v>
      </c>
    </row>
    <row r="2313" customFormat="false" ht="15.75" hidden="false" customHeight="true" outlineLevel="0" collapsed="false">
      <c r="A2313" s="1436" t="str">
        <f aca="false">A2171</f>
        <v>лента дельта sb-60</v>
      </c>
      <c r="B2313" s="1692" t="str">
        <f aca="false">B2171</f>
        <v>шт</v>
      </c>
      <c r="C2313" s="1436" t="n">
        <f aca="false">I2267/45</f>
        <v>0.200328255796891</v>
      </c>
      <c r="D2313" s="1436" t="n">
        <f aca="false">D2171</f>
        <v>1100</v>
      </c>
      <c r="E2313" s="1436" t="n">
        <f aca="false">C2313*D2313*$E$2318*$E$2319</f>
        <v>0</v>
      </c>
    </row>
    <row r="2314" customFormat="false" ht="15.75" hidden="false" customHeight="true" outlineLevel="0" collapsed="false">
      <c r="A2314" s="1436" t="str">
        <f aca="false">A2172</f>
        <v>Кровельный саморез</v>
      </c>
      <c r="B2314" s="1692" t="str">
        <f aca="false">B2172</f>
        <v>шт</v>
      </c>
      <c r="C2314" s="1436" t="n">
        <f aca="false">I2267*12</f>
        <v>108.177258130321</v>
      </c>
      <c r="D2314" s="1436" t="n">
        <f aca="false">D2172</f>
        <v>2</v>
      </c>
      <c r="E2314" s="1436" t="n">
        <f aca="false">C2314*D2314*$E$2318*$E$2319</f>
        <v>0</v>
      </c>
    </row>
    <row r="2315" customFormat="false" ht="15.75" hidden="false" customHeight="true" outlineLevel="0" collapsed="false">
      <c r="A2315" s="1436" t="str">
        <f aca="false">'Ввод данных'!A773</f>
        <v>Экскаватор погрузчик, бурение</v>
      </c>
      <c r="B2315" s="1692" t="str">
        <f aca="false">'Ввод данных'!B773</f>
        <v>ед.</v>
      </c>
      <c r="C2315" s="1436" t="n">
        <f aca="false">'Ввод данных'!C773</f>
        <v>0</v>
      </c>
      <c r="D2315" s="1436" t="n">
        <f aca="false">VLOOKUP(A2315,'Прайс лист'!B192:G206,6,0)</f>
        <v>300</v>
      </c>
      <c r="E2315" s="1436" t="n">
        <f aca="false">C2315*D2315*$E$2318*$E$2319</f>
        <v>0</v>
      </c>
    </row>
    <row r="2316" customFormat="false" ht="15.75" hidden="false" customHeight="true" outlineLevel="0" collapsed="false">
      <c r="A2316" s="1436" t="str">
        <f aca="false">'Ввод данных'!A774</f>
        <v>Нет техники</v>
      </c>
      <c r="B2316" s="1692" t="str">
        <f aca="false">'Ввод данных'!B774</f>
        <v>ед.</v>
      </c>
      <c r="C2316" s="1436" t="n">
        <f aca="false">'Ввод данных'!C774</f>
        <v>0</v>
      </c>
      <c r="D2316" s="1436" t="n">
        <f aca="false">VLOOKUP(A2316,'Прайс лист'!B192:G206,6,0)</f>
        <v>0</v>
      </c>
      <c r="E2316" s="1436" t="n">
        <f aca="false">C2316*D2316*$E$2318*$E$2319</f>
        <v>0</v>
      </c>
    </row>
    <row r="2317" customFormat="false" ht="15.75" hidden="false" customHeight="true" outlineLevel="0" collapsed="false">
      <c r="A2317" s="1436" t="str">
        <f aca="false">'Ввод данных'!A775</f>
        <v>Расходные материалы крыльцо</v>
      </c>
      <c r="B2317" s="1692" t="str">
        <f aca="false">'Ввод данных'!B775</f>
        <v>рублей</v>
      </c>
      <c r="C2317" s="1436" t="n">
        <f aca="false">1</f>
        <v>1</v>
      </c>
      <c r="D2317" s="1436" t="n">
        <f aca="false">'Ввод данных'!C775</f>
        <v>1000</v>
      </c>
      <c r="E2317" s="1436" t="n">
        <f aca="false">C2317*D2317*$E$2318*$E$2319</f>
        <v>0</v>
      </c>
    </row>
    <row r="2318" customFormat="false" ht="15.75" hidden="false" customHeight="true" outlineLevel="0" collapsed="false">
      <c r="E2318" s="1436" t="n">
        <f aca="false">'Ввод данных'!E706</f>
        <v>1.1</v>
      </c>
      <c r="M2318" s="1436" t="n">
        <f aca="false">'Ввод данных'!E707</f>
        <v>1.2</v>
      </c>
    </row>
    <row r="2319" customFormat="false" ht="15.75" hidden="false" customHeight="true" outlineLevel="0" collapsed="false">
      <c r="A2319" s="1268" t="s">
        <v>3981</v>
      </c>
      <c r="E2319" s="1436" t="n">
        <f aca="false">VLOOKUP('Ввод данных'!C96,связи1!A2:B3,2,0)</f>
        <v>0</v>
      </c>
    </row>
    <row r="2320" customFormat="false" ht="15.75" hidden="false" customHeight="true" outlineLevel="0" collapsed="false">
      <c r="A2320" s="1436" t="str">
        <f aca="false">'Ввод данных'!A757</f>
        <v>Листв. влаж, 150*150мм</v>
      </c>
      <c r="B2320" s="1692" t="s">
        <v>1043</v>
      </c>
      <c r="C2320" s="1692" t="n">
        <f aca="false">(C2244+C2245+C2245)*VLOOKUP(A2320,'Прайс лист'!B340:G426,5)</f>
        <v>0.084</v>
      </c>
      <c r="D2320" s="1436" t="n">
        <f aca="false">VLOOKUP(A2320,'Прайс лист'!B340:G426,6,0)</f>
        <v>8500</v>
      </c>
      <c r="E2320" s="1436" t="n">
        <f aca="false">C2320*D2320*$E$2319*$E$2318</f>
        <v>0</v>
      </c>
      <c r="G2320" s="1436"/>
      <c r="H2320" s="1436"/>
      <c r="I2320" s="1633" t="str">
        <f aca="false">'Прайс лист'!B1704</f>
        <v>монтаж веранды/крыльцо</v>
      </c>
      <c r="J2320" s="1180" t="s">
        <v>820</v>
      </c>
      <c r="K2320" s="1436" t="n">
        <f aca="false">C2244*C2245</f>
        <v>3</v>
      </c>
      <c r="L2320" s="1436" t="n">
        <f aca="false">'Прайс лист'!G1704</f>
        <v>1500</v>
      </c>
      <c r="M2320" s="1436" t="n">
        <f aca="false">K2320*L2320*E2319*M2318</f>
        <v>0</v>
      </c>
    </row>
    <row r="2321" customFormat="false" ht="15.75" hidden="false" customHeight="true" outlineLevel="0" collapsed="false">
      <c r="A2321" s="1436" t="str">
        <f aca="false">'Ввод данных'!A755</f>
        <v>Листв. влаж, 150*100мм</v>
      </c>
      <c r="B2321" s="1692" t="s">
        <v>1043</v>
      </c>
      <c r="C2321" s="1692" t="n">
        <f aca="false">(C2258/0.6+1)*C2259*VLOOKUP(A2321,'Прайс лист'!B340:G426,5,0)</f>
        <v>0.09</v>
      </c>
      <c r="D2321" s="1436" t="n">
        <f aca="false">VLOOKUP(A2321,'Прайс лист'!B340:G426,6,0)</f>
        <v>8500</v>
      </c>
      <c r="E2321" s="1436" t="n">
        <f aca="false">C2321*D2321*$E$2319*$E$2318</f>
        <v>0</v>
      </c>
    </row>
    <row r="2322" customFormat="false" ht="15.75" hidden="false" customHeight="true" outlineLevel="0" collapsed="false">
      <c r="A2322" s="1436" t="str">
        <f aca="false">'Ввод данных'!A759</f>
        <v>Сосна влаж, 150*100мм</v>
      </c>
      <c r="B2322" s="1692" t="s">
        <v>1043</v>
      </c>
      <c r="C2322" s="1692" t="n">
        <f aca="false">(C2244+C2245+C2245)*VLOOKUP(A2322,'Прайс лист'!B340:G426,5,0)</f>
        <v>0.075</v>
      </c>
      <c r="D2322" s="1436" t="n">
        <f aca="false">VLOOKUP(A2322,'Прайс лист'!B340:G426,6,0)</f>
        <v>6500</v>
      </c>
      <c r="E2322" s="1436" t="n">
        <f aca="false">C2322*D2322*$E$2319*$E$2318</f>
        <v>0</v>
      </c>
    </row>
    <row r="2323" customFormat="false" ht="15.75" hidden="false" customHeight="true" outlineLevel="0" collapsed="false">
      <c r="A2323" s="1436" t="str">
        <f aca="false">'Ввод данных'!A720</f>
        <v>Нет</v>
      </c>
      <c r="B2323" s="1692" t="s">
        <v>1043</v>
      </c>
      <c r="C2323" s="1692" t="n">
        <f aca="false">5*C2247*VLOOKUP(A2323,'Прайс лист'!B340:G426,5,0)</f>
        <v>11.5</v>
      </c>
      <c r="D2323" s="1436" t="n">
        <f aca="false">VLOOKUP(A2323,'Прайс лист'!B340:G426,6,0)</f>
        <v>0</v>
      </c>
      <c r="E2323" s="1436" t="n">
        <f aca="false">C2323*D2323*$E$2319*$E$2318</f>
        <v>0</v>
      </c>
    </row>
    <row r="2324" customFormat="false" ht="15.75" hidden="false" customHeight="true" outlineLevel="0" collapsed="false">
      <c r="A2324" s="1436" t="str">
        <f aca="false">'Ввод данных'!A722</f>
        <v>Листв. влаж, 150*100мм</v>
      </c>
      <c r="B2324" s="1692" t="s">
        <v>1043</v>
      </c>
      <c r="C2324" s="1692" t="n">
        <f aca="false">(C2244+C2245+C2245)*VLOOKUP(A2324,'Прайс лист'!B340:G426,5,0)</f>
        <v>0.075</v>
      </c>
      <c r="D2324" s="1436" t="n">
        <f aca="false">VLOOKUP(A2324,'Прайс лист'!B340:G426,6,0)</f>
        <v>8500</v>
      </c>
      <c r="E2324" s="1436" t="n">
        <f aca="false">C2324*D2324*$E$2319*$E$2318</f>
        <v>0</v>
      </c>
    </row>
    <row r="2325" customFormat="false" ht="15.75" hidden="false" customHeight="true" outlineLevel="0" collapsed="false">
      <c r="A2325" s="1436" t="str">
        <f aca="false">'Ввод данных'!A724</f>
        <v>Листв. влаж, 150*150мм</v>
      </c>
      <c r="B2325" s="1692" t="s">
        <v>1043</v>
      </c>
      <c r="C2325" s="1692" t="n">
        <f aca="false">(C2244+C2245+C2245)/0.5*VLOOKUP(A2325,'Прайс лист'!B340:G426,5,0)</f>
        <v>0.225</v>
      </c>
      <c r="D2325" s="1436" t="n">
        <f aca="false">VLOOKUP(A2325,'Прайс лист'!B340:G426,6,0)</f>
        <v>8500</v>
      </c>
      <c r="E2325" s="1436" t="n">
        <f aca="false">C2325*D2325*$E$2319*$E$2318</f>
        <v>0</v>
      </c>
    </row>
    <row r="2326" customFormat="false" ht="15.75" hidden="false" customHeight="true" outlineLevel="0" collapsed="false">
      <c r="A2326" s="1436" t="str">
        <f aca="false">'Ввод данных'!A726</f>
        <v>Нет накладки</v>
      </c>
      <c r="B2326" s="1692" t="s">
        <v>15</v>
      </c>
      <c r="C2326" s="1692" t="n">
        <f aca="false">(C2244+C2245+C2245)</f>
        <v>5</v>
      </c>
      <c r="D2326" s="1436" t="n">
        <f aca="false">VLOOKUP(A2326,'Прайс лист'!B427:G431,6,0)</f>
        <v>0</v>
      </c>
      <c r="E2326" s="1436" t="n">
        <f aca="false">C2326*D2326*$E$2319*$E$2318</f>
        <v>0</v>
      </c>
    </row>
    <row r="2327" customFormat="false" ht="15.75" hidden="false" customHeight="true" outlineLevel="0" collapsed="false">
      <c r="A2327" s="1436" t="str">
        <f aca="false">'Ввод данных'!A728</f>
        <v>Нет</v>
      </c>
      <c r="B2327" s="1692" t="s">
        <v>1043</v>
      </c>
      <c r="C2327" s="1692" t="n">
        <f aca="false">'Ввод данных'!C728*'Ввод данных'!D728*VLOOKUP(A2327,'Прайс лист'!B340:G426,5,0)</f>
        <v>8</v>
      </c>
      <c r="D2327" s="1436" t="n">
        <f aca="false">VLOOKUP(A2327,'Прайс лист'!B340:G426,6,0)</f>
        <v>0</v>
      </c>
      <c r="E2327" s="1436" t="n">
        <f aca="false">C2327*D2327*$E$2319*$E$2318</f>
        <v>0</v>
      </c>
    </row>
    <row r="2328" customFormat="false" ht="15.75" hidden="false" customHeight="true" outlineLevel="0" collapsed="false">
      <c r="A2328" s="1436" t="str">
        <f aca="false">'Ввод данных'!A762</f>
        <v>Уголок усиленный 90х70х55х2,5        </v>
      </c>
      <c r="B2328" s="1436" t="str">
        <f aca="false">'Ввод данных'!B762</f>
        <v>шт</v>
      </c>
      <c r="C2328" s="1436" t="n">
        <f aca="false">'Ввод данных'!C762</f>
        <v>6</v>
      </c>
      <c r="D2328" s="1436" t="n">
        <f aca="false">VLOOKUP(A2328,'Прайс лист'!B692:G695,6,0)</f>
        <v>30</v>
      </c>
      <c r="E2328" s="1436" t="n">
        <f aca="false">C2328*D2328*$E$2319*$E$2318</f>
        <v>0</v>
      </c>
    </row>
    <row r="2329" customFormat="false" ht="15.75" hidden="false" customHeight="true" outlineLevel="0" collapsed="false">
      <c r="A2329" s="1436" t="str">
        <f aca="false">'Ввод данных'!A763</f>
        <v>Нет уголков</v>
      </c>
      <c r="B2329" s="1436" t="str">
        <f aca="false">'Ввод данных'!B763</f>
        <v>шт</v>
      </c>
      <c r="C2329" s="1436" t="n">
        <f aca="false">'Ввод данных'!C763</f>
        <v>0</v>
      </c>
      <c r="D2329" s="1436" t="n">
        <f aca="false">VLOOKUP(A2329,'Прайс лист'!B692:G695,6,0)</f>
        <v>0</v>
      </c>
      <c r="E2329" s="1436" t="n">
        <f aca="false">C2329*D2329*$E$2319*$E$2318</f>
        <v>0</v>
      </c>
    </row>
    <row r="2330" customFormat="false" ht="15.75" hidden="false" customHeight="true" outlineLevel="0" collapsed="false">
      <c r="A2330" s="1436" t="str">
        <f aca="false">'Ввод данных'!A764</f>
        <v>Пластина соеденительная 100х240х2           </v>
      </c>
      <c r="B2330" s="1436" t="str">
        <f aca="false">'Ввод данных'!B764</f>
        <v>шт</v>
      </c>
      <c r="C2330" s="1436" t="n">
        <f aca="false">'Ввод данных'!C764</f>
        <v>2</v>
      </c>
      <c r="D2330" s="1582" t="n">
        <f aca="false">VLOOKUP(A2330,'Прайс лист'!B698:G701,6,0)</f>
        <v>31.54</v>
      </c>
      <c r="E2330" s="1436" t="n">
        <f aca="false">C2330*D2330*$E$2319*$E$2318</f>
        <v>0</v>
      </c>
    </row>
    <row r="2331" customFormat="false" ht="15.75" hidden="false" customHeight="true" outlineLevel="0" collapsed="false">
      <c r="A2331" s="1436" t="str">
        <f aca="false">'Ввод данных'!A765</f>
        <v>Нет пластин</v>
      </c>
      <c r="B2331" s="1436" t="str">
        <f aca="false">'Ввод данных'!B765</f>
        <v>шт</v>
      </c>
      <c r="C2331" s="1436" t="n">
        <f aca="false">'Ввод данных'!C765</f>
        <v>0</v>
      </c>
      <c r="D2331" s="1582" t="n">
        <f aca="false">VLOOKUP(A2331,'Прайс лист'!B698:G701,6,0)</f>
        <v>0</v>
      </c>
      <c r="E2331" s="1436" t="n">
        <f aca="false">C2331*D2331*$E$2319*$E$2318</f>
        <v>0</v>
      </c>
    </row>
    <row r="2332" customFormat="false" ht="15.75" hidden="false" customHeight="true" outlineLevel="0" collapsed="false">
      <c r="A2332" s="1436" t="str">
        <f aca="false">'Ввод данных'!A766</f>
        <v>Болты анкерные с гайкой 12,0 x 100          </v>
      </c>
      <c r="B2332" s="1436" t="str">
        <f aca="false">'Ввод данных'!B766</f>
        <v>шт</v>
      </c>
      <c r="C2332" s="1436" t="n">
        <f aca="false">'Ввод данных'!C766</f>
        <v>6</v>
      </c>
      <c r="D2332" s="1582" t="n">
        <f aca="false">VLOOKUP(A2332,'Прайс лист'!B708:G720,6,0)</f>
        <v>11.2</v>
      </c>
      <c r="E2332" s="1436" t="n">
        <f aca="false">C2332*D2332*$E$2319*$E$2318</f>
        <v>0</v>
      </c>
    </row>
    <row r="2333" customFormat="false" ht="15.75" hidden="false" customHeight="true" outlineLevel="0" collapsed="false">
      <c r="A2333" s="1436" t="str">
        <f aca="false">'Ввод данных'!A767</f>
        <v>Нет анкерных болтов</v>
      </c>
      <c r="B2333" s="1436" t="str">
        <f aca="false">'Ввод данных'!B767</f>
        <v>шт</v>
      </c>
      <c r="C2333" s="1436" t="n">
        <f aca="false">'Ввод данных'!C767</f>
        <v>0</v>
      </c>
      <c r="D2333" s="1582" t="n">
        <f aca="false">VLOOKUP(A2333,'Прайс лист'!B708:G720,6,0)</f>
        <v>0</v>
      </c>
      <c r="E2333" s="1436" t="n">
        <f aca="false">C2333*D2333*$E$2319*$E$2318</f>
        <v>0</v>
      </c>
    </row>
    <row r="2334" customFormat="false" ht="15.75" hidden="false" customHeight="true" outlineLevel="0" collapsed="false">
      <c r="A2334" s="1436" t="str">
        <f aca="false">'Ввод данных'!A768</f>
        <v>Саморезы 3,5 x 45            </v>
      </c>
      <c r="B2334" s="1436" t="str">
        <f aca="false">'Ввод данных'!B768</f>
        <v>кг</v>
      </c>
      <c r="C2334" s="1436" t="n">
        <f aca="false">'Ввод данных'!C768</f>
        <v>0</v>
      </c>
      <c r="D2334" s="1582" t="n">
        <f aca="false">VLOOKUP(A2334,'Прайс лист'!B724:G730,6,0)</f>
        <v>105.62</v>
      </c>
      <c r="E2334" s="1436" t="n">
        <f aca="false">C2334*D2334*$E$2319*$E$2318</f>
        <v>0</v>
      </c>
    </row>
    <row r="2335" customFormat="false" ht="15.75" hidden="false" customHeight="true" outlineLevel="0" collapsed="false">
      <c r="A2335" s="1436" t="str">
        <f aca="false">'Ввод данных'!A769</f>
        <v>Нет саморезов</v>
      </c>
      <c r="B2335" s="1436" t="str">
        <f aca="false">'Ввод данных'!B769</f>
        <v>кг</v>
      </c>
      <c r="C2335" s="1436" t="n">
        <f aca="false">'Ввод данных'!C769</f>
        <v>0</v>
      </c>
      <c r="D2335" s="1582" t="n">
        <f aca="false">VLOOKUP(A2335,'Прайс лист'!B724:G730,6,0)</f>
        <v>0</v>
      </c>
      <c r="E2335" s="1436" t="n">
        <f aca="false">C2335*D2335*$E$2319*$E$2318</f>
        <v>0</v>
      </c>
    </row>
    <row r="2336" customFormat="false" ht="15.75" hidden="false" customHeight="true" outlineLevel="0" collapsed="false">
      <c r="A2336" s="1436" t="str">
        <f aca="false">'Ввод данных'!A770</f>
        <v>Гвозди строительные 2,5 x 60            </v>
      </c>
      <c r="B2336" s="1436" t="str">
        <f aca="false">'Ввод данных'!B770</f>
        <v>кг</v>
      </c>
      <c r="C2336" s="1436" t="n">
        <f aca="false">'Ввод данных'!C770</f>
        <v>1</v>
      </c>
      <c r="D2336" s="1582" t="n">
        <f aca="false">VLOOKUP(A2336,'Прайс лист'!B735:G738,6,0)</f>
        <v>70</v>
      </c>
      <c r="E2336" s="1436" t="n">
        <f aca="false">C2336*D2336*$E$2319*$E$2318</f>
        <v>0</v>
      </c>
    </row>
    <row r="2337" customFormat="false" ht="15.75" hidden="false" customHeight="true" outlineLevel="0" collapsed="false">
      <c r="A2337" s="1436" t="str">
        <f aca="false">'Ввод данных'!A771</f>
        <v>Гвозди ершоные 3,4 x 60            </v>
      </c>
      <c r="B2337" s="1436" t="str">
        <f aca="false">'Ввод данных'!B771</f>
        <v>кг</v>
      </c>
      <c r="C2337" s="1436" t="n">
        <f aca="false">'Ввод данных'!C771</f>
        <v>1</v>
      </c>
      <c r="D2337" s="1582" t="n">
        <f aca="false">VLOOKUP(A2337,'Прайс лист'!B741:G743,6,0)</f>
        <v>75.51</v>
      </c>
      <c r="E2337" s="1436" t="n">
        <f aca="false">C2337*D2337*$E$2319*$E$2318</f>
        <v>0</v>
      </c>
    </row>
    <row r="2338" customFormat="false" ht="15.75" hidden="false" customHeight="true" outlineLevel="0" collapsed="false">
      <c r="A2338" s="1436" t="n">
        <f aca="false">'Ввод данных'!A772</f>
        <v>0</v>
      </c>
      <c r="B2338" s="1436" t="n">
        <f aca="false">'Ввод данных'!B772</f>
        <v>0</v>
      </c>
      <c r="C2338" s="1436" t="n">
        <f aca="false">'Ввод данных'!C772</f>
        <v>0</v>
      </c>
      <c r="E2338" s="1436" t="n">
        <f aca="false">C2338*D2338*$E$2319*$E$2318</f>
        <v>0</v>
      </c>
    </row>
  </sheetData>
  <mergeCells count="30">
    <mergeCell ref="I89:L89"/>
    <mergeCell ref="F90:G90"/>
    <mergeCell ref="I90:J90"/>
    <mergeCell ref="I95:L95"/>
    <mergeCell ref="P98:S98"/>
    <mergeCell ref="I100:L100"/>
    <mergeCell ref="P101:S101"/>
    <mergeCell ref="I112:J112"/>
    <mergeCell ref="I114:J114"/>
    <mergeCell ref="I116:J116"/>
    <mergeCell ref="I117:J117"/>
    <mergeCell ref="I118:J118"/>
    <mergeCell ref="A375:A378"/>
    <mergeCell ref="A380:A383"/>
    <mergeCell ref="A385:A388"/>
    <mergeCell ref="A390:A393"/>
    <mergeCell ref="U618:V618"/>
    <mergeCell ref="A834:B834"/>
    <mergeCell ref="A836:A839"/>
    <mergeCell ref="A841:A844"/>
    <mergeCell ref="A846:A849"/>
    <mergeCell ref="A851:A854"/>
    <mergeCell ref="J1115:K1115"/>
    <mergeCell ref="K1321:L1324"/>
    <mergeCell ref="K1325:L1328"/>
    <mergeCell ref="K1329:L1332"/>
    <mergeCell ref="K1333:L1336"/>
    <mergeCell ref="F1359:I1360"/>
    <mergeCell ref="F1773:I1773"/>
    <mergeCell ref="A2243:K2243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R815"/>
  <sheetViews>
    <sheetView showFormulas="false" showGridLines="true" showRowColHeaders="true" showZeros="true" rightToLeft="false" tabSelected="false" showOutlineSymbols="true" defaultGridColor="true" view="normal" topLeftCell="A623" colorId="64" zoomScale="100" zoomScaleNormal="100" zoomScalePageLayoutView="100" workbookViewId="0">
      <selection pane="topLeft" activeCell="J630" activeCellId="0" sqref="J630"/>
    </sheetView>
  </sheetViews>
  <sheetFormatPr defaultColWidth="8.6875" defaultRowHeight="15" zeroHeight="false" outlineLevelRow="0" outlineLevelCol="0"/>
  <cols>
    <col collapsed="false" customWidth="true" hidden="false" outlineLevel="0" max="1" min="1" style="0" width="32"/>
    <col collapsed="false" customWidth="true" hidden="false" outlineLevel="0" max="4" min="3" style="0" width="13.86"/>
    <col collapsed="false" customWidth="true" hidden="false" outlineLevel="0" max="5" min="5" style="0" width="14.57"/>
    <col collapsed="false" customWidth="true" hidden="false" outlineLevel="0" max="6" min="6" style="0" width="14.86"/>
    <col collapsed="false" customWidth="true" hidden="false" outlineLevel="0" max="8" min="8" style="0" width="14.15"/>
    <col collapsed="false" customWidth="true" hidden="false" outlineLevel="0" max="12" min="11" style="0" width="12.71"/>
  </cols>
  <sheetData>
    <row r="1" customFormat="false" ht="15.75" hidden="false" customHeight="false" outlineLevel="0" collapsed="false">
      <c r="A1" s="2454" t="s">
        <v>46</v>
      </c>
      <c r="B1" s="2454"/>
      <c r="C1" s="2454"/>
      <c r="D1" s="2455" t="s">
        <v>12</v>
      </c>
      <c r="E1" s="2455" t="s">
        <v>13</v>
      </c>
      <c r="F1" s="2456"/>
      <c r="G1" s="1614"/>
      <c r="H1" s="1614"/>
      <c r="I1" s="1614"/>
      <c r="J1" s="1614"/>
      <c r="K1" s="1580"/>
      <c r="L1" s="1580"/>
      <c r="M1" s="1580"/>
      <c r="N1" s="1580"/>
      <c r="O1" s="1580"/>
      <c r="P1" s="1580"/>
      <c r="Q1" s="1580"/>
      <c r="R1" s="1580"/>
    </row>
    <row r="2" customFormat="false" ht="15.75" hidden="false" customHeight="false" outlineLevel="0" collapsed="false">
      <c r="A2" s="1616" t="s">
        <v>2947</v>
      </c>
      <c r="B2" s="1616"/>
      <c r="C2" s="1616"/>
      <c r="D2" s="2457"/>
      <c r="E2" s="2458" t="e">
        <f aca="false">'ввод данных'!#ref!</f>
        <v>#VALUE!</v>
      </c>
      <c r="F2" s="2459"/>
      <c r="G2" s="2456"/>
      <c r="H2" s="1269"/>
      <c r="I2" s="2435"/>
      <c r="J2" s="2435"/>
      <c r="K2" s="1580"/>
      <c r="L2" s="1580"/>
      <c r="M2" s="1580"/>
      <c r="N2" s="1580"/>
      <c r="O2" s="1580"/>
      <c r="P2" s="1580"/>
      <c r="Q2" s="1580"/>
      <c r="R2" s="1580"/>
    </row>
    <row r="3" customFormat="false" ht="15.75" hidden="false" customHeight="false" outlineLevel="0" collapsed="false">
      <c r="A3" s="1310" t="s">
        <v>2948</v>
      </c>
      <c r="B3" s="1310"/>
      <c r="C3" s="1310"/>
      <c r="D3" s="2457" t="s">
        <v>15</v>
      </c>
      <c r="E3" s="2458" t="n">
        <f aca="false">'Ввод данных'!C9</f>
        <v>8</v>
      </c>
      <c r="F3" s="1269"/>
      <c r="G3" s="2456"/>
      <c r="H3" s="1269"/>
      <c r="I3" s="2435"/>
      <c r="J3" s="2435"/>
      <c r="K3" s="1580"/>
      <c r="L3" s="1580"/>
      <c r="M3" s="1580"/>
      <c r="N3" s="1580"/>
      <c r="O3" s="1580"/>
      <c r="P3" s="1580"/>
      <c r="Q3" s="1580"/>
      <c r="R3" s="1580"/>
    </row>
    <row r="4" customFormat="false" ht="15.75" hidden="false" customHeight="false" outlineLevel="0" collapsed="false">
      <c r="A4" s="1310" t="s">
        <v>2949</v>
      </c>
      <c r="B4" s="1310"/>
      <c r="C4" s="1310"/>
      <c r="D4" s="2457" t="s">
        <v>15</v>
      </c>
      <c r="E4" s="2458" t="n">
        <f aca="false">'Ввод данных'!C10</f>
        <v>8</v>
      </c>
      <c r="F4" s="1269"/>
      <c r="G4" s="1269"/>
      <c r="H4" s="1269"/>
      <c r="I4" s="1417"/>
      <c r="J4" s="1417"/>
      <c r="K4" s="1580"/>
      <c r="L4" s="1580"/>
      <c r="M4" s="1580"/>
      <c r="N4" s="1580"/>
      <c r="O4" s="1580"/>
      <c r="P4" s="1580"/>
      <c r="Q4" s="1580"/>
      <c r="R4" s="1580"/>
    </row>
    <row r="5" customFormat="false" ht="15.75" hidden="false" customHeight="false" outlineLevel="0" collapsed="false">
      <c r="A5" s="1310" t="s">
        <v>2950</v>
      </c>
      <c r="B5" s="1310"/>
      <c r="C5" s="1310"/>
      <c r="D5" s="2457" t="s">
        <v>15</v>
      </c>
      <c r="E5" s="2458" t="n">
        <f aca="false">'Ввод данных'!C11</f>
        <v>2.8</v>
      </c>
      <c r="F5" s="1269"/>
      <c r="G5" s="1269"/>
      <c r="H5" s="1269"/>
      <c r="I5" s="1631"/>
      <c r="J5" s="1631"/>
      <c r="K5" s="1580"/>
      <c r="L5" s="1580"/>
      <c r="M5" s="1580"/>
      <c r="N5" s="1580"/>
      <c r="O5" s="1580"/>
      <c r="P5" s="1580"/>
      <c r="Q5" s="1580"/>
      <c r="R5" s="1580"/>
    </row>
    <row r="6" customFormat="false" ht="15.75" hidden="false" customHeight="false" outlineLevel="0" collapsed="false">
      <c r="A6" s="1310" t="s">
        <v>2957</v>
      </c>
      <c r="B6" s="1310"/>
      <c r="C6" s="1310"/>
      <c r="D6" s="2457" t="s">
        <v>15</v>
      </c>
      <c r="E6" s="2458" t="n">
        <f aca="false">связи1!H236</f>
        <v>1.6</v>
      </c>
      <c r="F6" s="1269"/>
      <c r="G6" s="1269"/>
      <c r="H6" s="1269"/>
      <c r="I6" s="2460"/>
      <c r="J6" s="1631"/>
      <c r="K6" s="1580"/>
      <c r="L6" s="1580"/>
      <c r="M6" s="1580"/>
      <c r="N6" s="1580"/>
      <c r="O6" s="1580"/>
      <c r="P6" s="1580"/>
      <c r="Q6" s="1580"/>
      <c r="R6" s="1580"/>
    </row>
    <row r="7" customFormat="false" ht="15.75" hidden="false" customHeight="false" outlineLevel="0" collapsed="false">
      <c r="A7" s="1310" t="s">
        <v>3982</v>
      </c>
      <c r="B7" s="1310"/>
      <c r="C7" s="1310"/>
      <c r="D7" s="2461" t="s">
        <v>15</v>
      </c>
      <c r="E7" s="2458" t="n">
        <f aca="false">'Ввод данных'!C12</f>
        <v>2.6</v>
      </c>
      <c r="F7" s="1311"/>
      <c r="G7" s="1269"/>
      <c r="H7" s="2460"/>
      <c r="I7" s="2460"/>
      <c r="J7" s="1631"/>
      <c r="K7" s="1580"/>
      <c r="L7" s="1580"/>
      <c r="M7" s="1580"/>
      <c r="N7" s="1580"/>
      <c r="O7" s="1580"/>
      <c r="P7" s="1580"/>
      <c r="Q7" s="1580"/>
      <c r="R7" s="1580"/>
    </row>
    <row r="8" customFormat="false" ht="15.75" hidden="false" customHeight="false" outlineLevel="0" collapsed="false">
      <c r="A8" s="1310" t="s">
        <v>3983</v>
      </c>
      <c r="B8" s="1310"/>
      <c r="C8" s="1310"/>
      <c r="D8" s="2457" t="s">
        <v>15</v>
      </c>
      <c r="E8" s="2458" t="n">
        <f aca="false">связи1!H235</f>
        <v>5</v>
      </c>
      <c r="F8" s="1269"/>
      <c r="G8" s="1311"/>
      <c r="H8" s="2456"/>
      <c r="I8" s="2456"/>
      <c r="J8" s="2456"/>
      <c r="K8" s="1580"/>
      <c r="L8" s="1580"/>
      <c r="M8" s="1580"/>
      <c r="N8" s="1580"/>
      <c r="O8" s="1580"/>
      <c r="P8" s="1580"/>
      <c r="Q8" s="1580"/>
      <c r="R8" s="1580"/>
    </row>
    <row r="9" customFormat="false" ht="15.75" hidden="false" customHeight="false" outlineLevel="0" collapsed="false">
      <c r="A9" s="1316" t="s">
        <v>3984</v>
      </c>
      <c r="B9" s="1316"/>
      <c r="C9" s="1316"/>
      <c r="D9" s="2462" t="s">
        <v>486</v>
      </c>
      <c r="E9" s="2458"/>
      <c r="F9" s="1269" t="s">
        <v>3985</v>
      </c>
      <c r="G9" s="1417"/>
      <c r="H9" s="1269"/>
      <c r="I9" s="1271"/>
      <c r="J9" s="1271"/>
      <c r="K9" s="1580"/>
      <c r="L9" s="1580"/>
      <c r="M9" s="1580"/>
      <c r="N9" s="1580"/>
      <c r="O9" s="1580"/>
      <c r="P9" s="1580"/>
      <c r="Q9" s="1580"/>
      <c r="R9" s="1580"/>
    </row>
    <row r="10" customFormat="false" ht="15.75" hidden="false" customHeight="true" outlineLevel="0" collapsed="false">
      <c r="A10" s="2463" t="s">
        <v>3005</v>
      </c>
      <c r="B10" s="2463"/>
      <c r="C10" s="2463"/>
      <c r="D10" s="2464" t="s">
        <v>12</v>
      </c>
      <c r="E10" s="2465" t="s">
        <v>137</v>
      </c>
      <c r="F10" s="2466"/>
      <c r="G10" s="1417"/>
      <c r="H10" s="1269"/>
      <c r="I10" s="1271"/>
      <c r="J10" s="1271"/>
      <c r="K10" s="1580"/>
      <c r="L10" s="1580"/>
      <c r="M10" s="1580"/>
      <c r="N10" s="1580"/>
      <c r="O10" s="1580"/>
      <c r="P10" s="1580"/>
      <c r="Q10" s="1580"/>
      <c r="R10" s="1580"/>
    </row>
    <row r="11" customFormat="false" ht="15.75" hidden="false" customHeight="false" outlineLevel="0" collapsed="false">
      <c r="A11" s="1310" t="s">
        <v>302</v>
      </c>
      <c r="B11" s="1310"/>
      <c r="C11" s="1310"/>
      <c r="D11" s="1333" t="s">
        <v>15</v>
      </c>
      <c r="E11" s="2458"/>
      <c r="F11" s="2467" t="n">
        <f aca="false">дома!AA38</f>
        <v>6.3</v>
      </c>
      <c r="G11" s="2459" t="s">
        <v>3668</v>
      </c>
      <c r="H11" s="1269"/>
      <c r="I11" s="1271"/>
      <c r="J11" s="1271"/>
      <c r="K11" s="1580"/>
      <c r="L11" s="1580"/>
      <c r="M11" s="1580"/>
      <c r="N11" s="1580"/>
      <c r="O11" s="1580"/>
      <c r="P11" s="1580"/>
      <c r="Q11" s="1580"/>
      <c r="R11" s="1580"/>
    </row>
    <row r="12" customFormat="false" ht="15.75" hidden="false" customHeight="false" outlineLevel="0" collapsed="false">
      <c r="A12" s="1310" t="s">
        <v>2758</v>
      </c>
      <c r="B12" s="1310"/>
      <c r="C12" s="1310"/>
      <c r="D12" s="1333" t="s">
        <v>15</v>
      </c>
      <c r="E12" s="2458"/>
      <c r="F12" s="2467" t="n">
        <f aca="false">дома!AA42</f>
        <v>6.3</v>
      </c>
      <c r="G12" s="2459" t="s">
        <v>3669</v>
      </c>
      <c r="H12" s="1269"/>
      <c r="I12" s="1271"/>
      <c r="J12" s="1271"/>
      <c r="K12" s="1580"/>
      <c r="L12" s="1580"/>
      <c r="M12" s="1580"/>
      <c r="N12" s="1580"/>
      <c r="O12" s="1580"/>
      <c r="P12" s="1580"/>
      <c r="Q12" s="1580"/>
      <c r="R12" s="1580"/>
    </row>
    <row r="13" customFormat="false" ht="15.75" hidden="false" customHeight="false" outlineLevel="0" collapsed="false">
      <c r="A13" s="1310" t="s">
        <v>2759</v>
      </c>
      <c r="B13" s="1310"/>
      <c r="C13" s="1310"/>
      <c r="D13" s="1333" t="s">
        <v>15</v>
      </c>
      <c r="E13" s="2458"/>
      <c r="F13" s="2467" t="n">
        <f aca="false">дома!AA51</f>
        <v>0</v>
      </c>
      <c r="G13" s="2459" t="s">
        <v>3670</v>
      </c>
      <c r="H13" s="1269"/>
      <c r="I13" s="1271"/>
      <c r="J13" s="1271"/>
      <c r="K13" s="1580"/>
      <c r="L13" s="1580"/>
      <c r="M13" s="1580"/>
      <c r="N13" s="1580"/>
      <c r="O13" s="1580"/>
      <c r="P13" s="1580"/>
      <c r="Q13" s="1580"/>
      <c r="R13" s="1580"/>
    </row>
    <row r="14" customFormat="false" ht="15.75" hidden="false" customHeight="false" outlineLevel="0" collapsed="false">
      <c r="A14" s="1613" t="s">
        <v>2108</v>
      </c>
      <c r="B14" s="1613"/>
      <c r="C14" s="1613"/>
      <c r="D14" s="1297" t="s">
        <v>116</v>
      </c>
      <c r="E14" s="1297" t="s">
        <v>137</v>
      </c>
      <c r="F14" s="2465" t="s">
        <v>118</v>
      </c>
      <c r="G14" s="2468" t="s">
        <v>3014</v>
      </c>
      <c r="H14" s="2459"/>
      <c r="I14" s="1271"/>
      <c r="J14" s="1271"/>
      <c r="K14" s="1580"/>
      <c r="L14" s="1580"/>
      <c r="M14" s="1580"/>
      <c r="N14" s="1580"/>
      <c r="O14" s="1580"/>
      <c r="P14" s="1580"/>
      <c r="Q14" s="1580"/>
      <c r="R14" s="1580"/>
    </row>
    <row r="15" customFormat="false" ht="15.75" hidden="false" customHeight="false" outlineLevel="0" collapsed="false">
      <c r="A15" s="1799" t="s">
        <v>3047</v>
      </c>
      <c r="B15" s="1799"/>
      <c r="C15" s="1799"/>
      <c r="D15" s="2469" t="n">
        <f aca="false">'Ввод данных'!C158</f>
        <v>1</v>
      </c>
      <c r="E15" s="2458" t="n">
        <f aca="false">'Ввод данных'!D158</f>
        <v>1.2</v>
      </c>
      <c r="F15" s="2467" t="n">
        <f aca="false">'Ввод данных'!E158</f>
        <v>1</v>
      </c>
      <c r="G15" s="1313" t="n">
        <f aca="false">D15*E15*F15</f>
        <v>1.2</v>
      </c>
      <c r="H15" s="2459"/>
      <c r="I15" s="1271"/>
      <c r="J15" s="1271"/>
      <c r="K15" s="1580"/>
      <c r="L15" s="1580"/>
      <c r="M15" s="1580"/>
      <c r="N15" s="1580"/>
      <c r="O15" s="1580"/>
      <c r="P15" s="1580"/>
      <c r="Q15" s="1580"/>
      <c r="R15" s="1580"/>
    </row>
    <row r="16" customFormat="false" ht="15.75" hidden="false" customHeight="false" outlineLevel="0" collapsed="false">
      <c r="A16" s="1799" t="s">
        <v>3048</v>
      </c>
      <c r="B16" s="1799"/>
      <c r="C16" s="1799"/>
      <c r="D16" s="2469" t="n">
        <f aca="false">'Ввод данных'!C159</f>
        <v>0.6</v>
      </c>
      <c r="E16" s="2458" t="n">
        <f aca="false">'Ввод данных'!D159</f>
        <v>0.6</v>
      </c>
      <c r="F16" s="2467" t="n">
        <f aca="false">'Ввод данных'!E159</f>
        <v>0</v>
      </c>
      <c r="G16" s="1313" t="n">
        <f aca="false">D16*E16*F16</f>
        <v>0</v>
      </c>
      <c r="H16" s="2459"/>
      <c r="I16" s="1271"/>
      <c r="J16" s="1271"/>
      <c r="K16" s="1580"/>
      <c r="L16" s="1580"/>
      <c r="M16" s="1580"/>
      <c r="N16" s="1580"/>
      <c r="O16" s="1580"/>
      <c r="P16" s="1580"/>
      <c r="Q16" s="1580"/>
      <c r="R16" s="1580"/>
    </row>
    <row r="17" customFormat="false" ht="15.75" hidden="false" customHeight="false" outlineLevel="0" collapsed="false">
      <c r="A17" s="1799" t="s">
        <v>3049</v>
      </c>
      <c r="B17" s="1799"/>
      <c r="C17" s="1799"/>
      <c r="D17" s="2469" t="n">
        <f aca="false">'Ввод данных'!C160</f>
        <v>1</v>
      </c>
      <c r="E17" s="2458" t="n">
        <f aca="false">'Ввод данных'!D160</f>
        <v>2</v>
      </c>
      <c r="F17" s="2467" t="n">
        <f aca="false">'Ввод данных'!E160</f>
        <v>0</v>
      </c>
      <c r="G17" s="1313" t="n">
        <f aca="false">D17*E17*F17</f>
        <v>0</v>
      </c>
      <c r="H17" s="2459"/>
      <c r="I17" s="1271"/>
      <c r="J17" s="1271"/>
      <c r="K17" s="1580"/>
      <c r="L17" s="1580"/>
      <c r="M17" s="1580"/>
      <c r="N17" s="1580"/>
      <c r="O17" s="1580"/>
      <c r="P17" s="1580"/>
      <c r="Q17" s="1580"/>
      <c r="R17" s="1580"/>
    </row>
    <row r="18" customFormat="false" ht="15.75" hidden="false" customHeight="false" outlineLevel="0" collapsed="false">
      <c r="A18" s="1799" t="s">
        <v>3039</v>
      </c>
      <c r="B18" s="1799"/>
      <c r="C18" s="1799"/>
      <c r="D18" s="2469" t="n">
        <f aca="false">'Ввод данных'!C163</f>
        <v>0.8</v>
      </c>
      <c r="E18" s="2458" t="n">
        <f aca="false">'Ввод данных'!D163</f>
        <v>2.1</v>
      </c>
      <c r="F18" s="2467" t="n">
        <f aca="false">'Ввод данных'!E163</f>
        <v>0</v>
      </c>
      <c r="G18" s="1313" t="n">
        <f aca="false">D18*E18*F18</f>
        <v>0</v>
      </c>
      <c r="H18" s="2459"/>
      <c r="I18" s="1271"/>
      <c r="J18" s="1271"/>
      <c r="K18" s="1580"/>
      <c r="L18" s="1580"/>
      <c r="M18" s="1580"/>
      <c r="N18" s="1580"/>
      <c r="O18" s="1580"/>
      <c r="P18" s="1580"/>
      <c r="Q18" s="1580"/>
      <c r="R18" s="1580"/>
    </row>
    <row r="19" customFormat="false" ht="15.75" hidden="false" customHeight="false" outlineLevel="0" collapsed="false">
      <c r="A19" s="2470" t="s">
        <v>3043</v>
      </c>
      <c r="B19" s="2470"/>
      <c r="C19" s="2470"/>
      <c r="D19" s="2470"/>
      <c r="E19" s="2470"/>
      <c r="F19" s="2470"/>
      <c r="G19" s="1313" t="n">
        <f aca="false">SUM(G15:G18)</f>
        <v>1.2</v>
      </c>
      <c r="H19" s="2459"/>
      <c r="I19" s="1271"/>
      <c r="J19" s="1271"/>
      <c r="K19" s="1580"/>
      <c r="L19" s="1580"/>
      <c r="M19" s="1580"/>
      <c r="N19" s="1580"/>
      <c r="O19" s="1580"/>
      <c r="P19" s="1580"/>
      <c r="Q19" s="1580"/>
      <c r="R19" s="1580"/>
    </row>
    <row r="20" customFormat="false" ht="15.75" hidden="false" customHeight="true" outlineLevel="0" collapsed="false">
      <c r="A20" s="2471" t="s">
        <v>2791</v>
      </c>
      <c r="B20" s="2471"/>
      <c r="C20" s="2471"/>
      <c r="D20" s="1308" t="s">
        <v>116</v>
      </c>
      <c r="E20" s="1308" t="s">
        <v>137</v>
      </c>
      <c r="F20" s="1308" t="s">
        <v>118</v>
      </c>
      <c r="G20" s="1308" t="s">
        <v>3045</v>
      </c>
      <c r="H20" s="2459"/>
      <c r="I20" s="1271"/>
      <c r="J20" s="1271"/>
      <c r="K20" s="1580"/>
      <c r="L20" s="1580"/>
      <c r="M20" s="1580"/>
      <c r="N20" s="1580"/>
      <c r="O20" s="1580"/>
      <c r="P20" s="1580"/>
      <c r="Q20" s="1580"/>
      <c r="R20" s="1580"/>
    </row>
    <row r="21" customFormat="false" ht="15.75" hidden="false" customHeight="true" outlineLevel="0" collapsed="false">
      <c r="A21" s="2472" t="s">
        <v>3047</v>
      </c>
      <c r="B21" s="2472"/>
      <c r="C21" s="2472"/>
      <c r="D21" s="2469" t="n">
        <f aca="false">'Ввод данных'!C181</f>
        <v>0.8</v>
      </c>
      <c r="E21" s="2458" t="n">
        <f aca="false">'Ввод данных'!D181</f>
        <v>2.1</v>
      </c>
      <c r="F21" s="2467" t="n">
        <f aca="false">'Ввод данных'!E181</f>
        <v>3</v>
      </c>
      <c r="G21" s="1176" t="n">
        <f aca="false">D21*E21*F21</f>
        <v>5.04</v>
      </c>
      <c r="H21" s="2459"/>
      <c r="I21" s="1271"/>
      <c r="J21" s="1271"/>
      <c r="K21" s="1580"/>
      <c r="L21" s="1580"/>
      <c r="M21" s="1580"/>
      <c r="N21" s="1580"/>
      <c r="O21" s="1580"/>
      <c r="P21" s="1580"/>
      <c r="Q21" s="1580"/>
      <c r="R21" s="1580"/>
    </row>
    <row r="22" customFormat="false" ht="15.75" hidden="false" customHeight="true" outlineLevel="0" collapsed="false">
      <c r="A22" s="2472" t="s">
        <v>3048</v>
      </c>
      <c r="B22" s="2472"/>
      <c r="C22" s="2472"/>
      <c r="D22" s="2469" t="n">
        <f aca="false">'Ввод данных'!C182</f>
        <v>0.6</v>
      </c>
      <c r="E22" s="2458" t="n">
        <f aca="false">'Ввод данных'!D182</f>
        <v>2</v>
      </c>
      <c r="F22" s="2467" t="n">
        <f aca="false">'Ввод данных'!E182</f>
        <v>0</v>
      </c>
      <c r="G22" s="1176" t="n">
        <f aca="false">D22*E22*F22</f>
        <v>0</v>
      </c>
      <c r="H22" s="2459"/>
      <c r="I22" s="1271"/>
      <c r="J22" s="1271"/>
      <c r="K22" s="1580"/>
      <c r="L22" s="1580"/>
      <c r="M22" s="1580"/>
      <c r="N22" s="1580"/>
      <c r="O22" s="1580"/>
      <c r="P22" s="1580"/>
      <c r="Q22" s="1580"/>
      <c r="R22" s="1580"/>
    </row>
    <row r="23" customFormat="false" ht="15.75" hidden="false" customHeight="true" outlineLevel="0" collapsed="false">
      <c r="A23" s="2472" t="s">
        <v>3049</v>
      </c>
      <c r="B23" s="2472"/>
      <c r="C23" s="2472"/>
      <c r="D23" s="2469" t="n">
        <f aca="false">'Ввод данных'!C185</f>
        <v>0.9</v>
      </c>
      <c r="E23" s="2458" t="n">
        <f aca="false">'Ввод данных'!D185</f>
        <v>2.1</v>
      </c>
      <c r="F23" s="2467" t="n">
        <f aca="false">'Ввод данных'!E185</f>
        <v>0</v>
      </c>
      <c r="G23" s="1176" t="n">
        <f aca="false">D23*E23*F23</f>
        <v>0</v>
      </c>
      <c r="H23" s="2459"/>
      <c r="I23" s="1271"/>
      <c r="J23" s="1271"/>
      <c r="K23" s="1580"/>
      <c r="L23" s="1580"/>
      <c r="M23" s="1580"/>
      <c r="N23" s="1580"/>
      <c r="O23" s="1580"/>
      <c r="P23" s="1580"/>
      <c r="Q23" s="1580"/>
      <c r="R23" s="1580"/>
    </row>
    <row r="24" customFormat="false" ht="15.75" hidden="false" customHeight="true" outlineLevel="0" collapsed="false">
      <c r="A24" s="2472" t="s">
        <v>3050</v>
      </c>
      <c r="B24" s="2472"/>
      <c r="C24" s="2472"/>
      <c r="D24" s="2469" t="n">
        <f aca="false">'Ввод данных'!C189</f>
        <v>0.8</v>
      </c>
      <c r="E24" s="2458" t="n">
        <f aca="false">'Ввод данных'!D189</f>
        <v>2.1</v>
      </c>
      <c r="F24" s="2467" t="n">
        <f aca="false">'Ввод данных'!E189</f>
        <v>0</v>
      </c>
      <c r="G24" s="1176" t="n">
        <f aca="false">D24*E24*F24</f>
        <v>0</v>
      </c>
      <c r="H24" s="2459"/>
      <c r="I24" s="1271"/>
      <c r="J24" s="1271"/>
      <c r="K24" s="1580"/>
      <c r="L24" s="1580"/>
      <c r="M24" s="1580"/>
      <c r="N24" s="1580"/>
      <c r="O24" s="1580"/>
      <c r="P24" s="1580"/>
      <c r="Q24" s="1580"/>
      <c r="R24" s="1580"/>
    </row>
    <row r="25" customFormat="false" ht="15.75" hidden="false" customHeight="false" outlineLevel="0" collapsed="false">
      <c r="A25" s="2470" t="s">
        <v>3986</v>
      </c>
      <c r="B25" s="2470"/>
      <c r="C25" s="2470"/>
      <c r="D25" s="2470"/>
      <c r="E25" s="2470"/>
      <c r="F25" s="2470"/>
      <c r="G25" s="1176" t="n">
        <f aca="false">SUM(G21:G24)</f>
        <v>5.04</v>
      </c>
      <c r="H25" s="2459"/>
      <c r="I25" s="1271"/>
      <c r="J25" s="1271"/>
      <c r="K25" s="1580"/>
      <c r="L25" s="1580"/>
      <c r="M25" s="1580"/>
      <c r="N25" s="1580"/>
      <c r="O25" s="1580"/>
      <c r="P25" s="1580"/>
      <c r="Q25" s="1580"/>
      <c r="R25" s="1580"/>
    </row>
    <row r="26" customFormat="false" ht="15.75" hidden="false" customHeight="true" outlineLevel="0" collapsed="false">
      <c r="A26" s="2471" t="s">
        <v>1839</v>
      </c>
      <c r="B26" s="2471"/>
      <c r="C26" s="2471"/>
      <c r="D26" s="1308" t="s">
        <v>116</v>
      </c>
      <c r="E26" s="1308" t="s">
        <v>137</v>
      </c>
      <c r="F26" s="1308" t="s">
        <v>118</v>
      </c>
      <c r="G26" s="1308" t="s">
        <v>3045</v>
      </c>
      <c r="H26" s="2459"/>
      <c r="I26" s="1271"/>
      <c r="J26" s="1271"/>
      <c r="K26" s="1580"/>
      <c r="L26" s="1580"/>
      <c r="M26" s="1580"/>
      <c r="N26" s="1580"/>
      <c r="O26" s="1580"/>
      <c r="P26" s="1580"/>
      <c r="Q26" s="1580"/>
      <c r="R26" s="1580"/>
    </row>
    <row r="27" customFormat="false" ht="15.75" hidden="false" customHeight="true" outlineLevel="0" collapsed="false">
      <c r="A27" s="2472" t="s">
        <v>3047</v>
      </c>
      <c r="B27" s="2472"/>
      <c r="C27" s="2472"/>
      <c r="D27" s="2469" t="n">
        <f aca="false">'Ввод данных'!C175</f>
        <v>0.8</v>
      </c>
      <c r="E27" s="2458" t="n">
        <f aca="false">'Ввод данных'!D175</f>
        <v>2</v>
      </c>
      <c r="F27" s="2467" t="n">
        <f aca="false">'Ввод данных'!E175</f>
        <v>0</v>
      </c>
      <c r="G27" s="1176" t="n">
        <f aca="false">D27*E27*F27</f>
        <v>0</v>
      </c>
      <c r="H27" s="2459"/>
      <c r="I27" s="1271"/>
      <c r="J27" s="1271"/>
      <c r="K27" s="1580"/>
      <c r="L27" s="1580"/>
      <c r="M27" s="1580"/>
      <c r="N27" s="1580"/>
      <c r="O27" s="1580"/>
      <c r="P27" s="1580"/>
      <c r="Q27" s="1580"/>
      <c r="R27" s="1580"/>
    </row>
    <row r="28" customFormat="false" ht="15.75" hidden="false" customHeight="true" outlineLevel="0" collapsed="false">
      <c r="A28" s="2472" t="s">
        <v>3048</v>
      </c>
      <c r="B28" s="2472"/>
      <c r="C28" s="2472"/>
      <c r="D28" s="2469" t="n">
        <f aca="false">'Ввод данных'!C176</f>
        <v>0.9</v>
      </c>
      <c r="E28" s="2458" t="n">
        <f aca="false">'Ввод данных'!D176</f>
        <v>2.1</v>
      </c>
      <c r="F28" s="2467" t="n">
        <f aca="false">'Ввод данных'!E176</f>
        <v>1</v>
      </c>
      <c r="G28" s="1176" t="n">
        <f aca="false">D28*E28*F28</f>
        <v>1.89</v>
      </c>
      <c r="H28" s="2459"/>
      <c r="I28" s="1271"/>
      <c r="J28" s="1271"/>
      <c r="K28" s="1580"/>
      <c r="L28" s="1580"/>
      <c r="M28" s="1580"/>
      <c r="N28" s="1580"/>
      <c r="O28" s="1580"/>
      <c r="P28" s="1580"/>
      <c r="Q28" s="1580"/>
      <c r="R28" s="1580"/>
    </row>
    <row r="29" customFormat="false" ht="15.75" hidden="false" customHeight="true" outlineLevel="0" collapsed="false">
      <c r="A29" s="2472" t="s">
        <v>3049</v>
      </c>
      <c r="B29" s="2472"/>
      <c r="C29" s="2472"/>
      <c r="D29" s="2469" t="n">
        <f aca="false">'Ввод данных'!C177</f>
        <v>1</v>
      </c>
      <c r="E29" s="2458" t="n">
        <f aca="false">'Ввод данных'!D177</f>
        <v>2</v>
      </c>
      <c r="F29" s="2467" t="n">
        <f aca="false">'Ввод данных'!E177</f>
        <v>0</v>
      </c>
      <c r="G29" s="1176" t="n">
        <f aca="false">D29*E29*F29</f>
        <v>0</v>
      </c>
      <c r="H29" s="2459"/>
      <c r="I29" s="1271"/>
      <c r="J29" s="1271"/>
      <c r="K29" s="1580"/>
      <c r="L29" s="1580"/>
      <c r="M29" s="1580"/>
      <c r="N29" s="1580"/>
      <c r="O29" s="1580"/>
      <c r="P29" s="1580"/>
      <c r="Q29" s="1580"/>
      <c r="R29" s="1580"/>
    </row>
    <row r="30" customFormat="false" ht="15.75" hidden="false" customHeight="false" outlineLevel="0" collapsed="false">
      <c r="A30" s="2470" t="s">
        <v>3043</v>
      </c>
      <c r="B30" s="2470"/>
      <c r="C30" s="2470"/>
      <c r="D30" s="2470"/>
      <c r="E30" s="2470"/>
      <c r="F30" s="2470"/>
      <c r="G30" s="1176" t="n">
        <f aca="false">SUM(G27:G29)</f>
        <v>1.89</v>
      </c>
      <c r="H30" s="2459"/>
      <c r="I30" s="1271"/>
      <c r="J30" s="1271"/>
      <c r="K30" s="1580"/>
      <c r="L30" s="1580"/>
      <c r="M30" s="1580"/>
      <c r="N30" s="1580"/>
      <c r="O30" s="1580"/>
      <c r="P30" s="1580"/>
      <c r="Q30" s="1580"/>
      <c r="R30" s="1580"/>
    </row>
    <row r="31" customFormat="false" ht="15.75" hidden="false" customHeight="false" outlineLevel="0" collapsed="false">
      <c r="A31" s="2473"/>
      <c r="B31" s="2473"/>
      <c r="C31" s="2473"/>
      <c r="D31" s="2473"/>
      <c r="E31" s="1269"/>
      <c r="F31" s="1269"/>
      <c r="G31" s="1269"/>
      <c r="H31" s="1271"/>
      <c r="I31" s="1271"/>
      <c r="J31" s="1271"/>
      <c r="K31" s="1580"/>
      <c r="L31" s="1580"/>
      <c r="M31" s="1580"/>
      <c r="N31" s="1580"/>
      <c r="O31" s="1580"/>
      <c r="P31" s="1580"/>
      <c r="Q31" s="1580"/>
      <c r="R31" s="1580"/>
    </row>
    <row r="32" customFormat="false" ht="15.75" hidden="false" customHeight="false" outlineLevel="0" collapsed="false">
      <c r="A32" s="1297" t="s">
        <v>161</v>
      </c>
      <c r="B32" s="1297"/>
      <c r="C32" s="2465" t="s">
        <v>162</v>
      </c>
      <c r="D32" s="2465" t="s">
        <v>200</v>
      </c>
      <c r="E32" s="2474" t="s">
        <v>118</v>
      </c>
      <c r="F32" s="1297" t="s">
        <v>200</v>
      </c>
      <c r="G32" s="1269"/>
      <c r="H32" s="1271"/>
      <c r="I32" s="1271"/>
      <c r="J32" s="1271"/>
      <c r="K32" s="1580"/>
      <c r="L32" s="1580"/>
      <c r="M32" s="1580"/>
      <c r="N32" s="1580"/>
      <c r="O32" s="1580"/>
      <c r="P32" s="1580"/>
      <c r="Q32" s="1580"/>
      <c r="R32" s="1580"/>
    </row>
    <row r="33" customFormat="false" ht="15.75" hidden="false" customHeight="true" outlineLevel="0" collapsed="false">
      <c r="A33" s="2475" t="s">
        <v>166</v>
      </c>
      <c r="B33" s="2475"/>
      <c r="C33" s="2476" t="s">
        <v>15</v>
      </c>
      <c r="D33" s="2469" t="n">
        <f aca="false">'Ввод данных'!C202</f>
        <v>6</v>
      </c>
      <c r="E33" s="2458" t="n">
        <f aca="false">'Ввод данных'!D202</f>
        <v>2</v>
      </c>
      <c r="F33" s="1176" t="n">
        <f aca="false">D33*E33</f>
        <v>12</v>
      </c>
      <c r="G33" s="1269"/>
      <c r="H33" s="1271"/>
      <c r="I33" s="1271"/>
      <c r="J33" s="1271"/>
      <c r="K33" s="1580"/>
      <c r="L33" s="1580"/>
      <c r="M33" s="1580"/>
      <c r="N33" s="1580"/>
      <c r="O33" s="1580"/>
      <c r="P33" s="1580"/>
      <c r="Q33" s="1580"/>
      <c r="R33" s="1580"/>
    </row>
    <row r="34" customFormat="false" ht="15.75" hidden="false" customHeight="false" outlineLevel="0" collapsed="false">
      <c r="A34" s="2475"/>
      <c r="B34" s="2475"/>
      <c r="C34" s="2476" t="s">
        <v>15</v>
      </c>
      <c r="D34" s="2469" t="n">
        <f aca="false">'Ввод данных'!C203</f>
        <v>4</v>
      </c>
      <c r="E34" s="2458" t="n">
        <f aca="false">'Ввод данных'!D203</f>
        <v>1</v>
      </c>
      <c r="F34" s="1176" t="n">
        <f aca="false">D34*E34</f>
        <v>4</v>
      </c>
      <c r="G34" s="1269"/>
      <c r="H34" s="1271"/>
      <c r="I34" s="1271"/>
      <c r="J34" s="1271"/>
      <c r="K34" s="1580"/>
      <c r="L34" s="1580"/>
      <c r="M34" s="1580"/>
      <c r="N34" s="1580"/>
      <c r="O34" s="1580"/>
      <c r="P34" s="1580"/>
      <c r="Q34" s="1580"/>
      <c r="R34" s="1580"/>
    </row>
    <row r="35" customFormat="false" ht="15.75" hidden="false" customHeight="false" outlineLevel="0" collapsed="false">
      <c r="A35" s="2475"/>
      <c r="B35" s="2475"/>
      <c r="C35" s="2476" t="s">
        <v>15</v>
      </c>
      <c r="D35" s="2469" t="n">
        <f aca="false">'Ввод данных'!C204</f>
        <v>0</v>
      </c>
      <c r="E35" s="2458" t="n">
        <f aca="false">'Ввод данных'!D204</f>
        <v>0</v>
      </c>
      <c r="F35" s="1176" t="n">
        <f aca="false">D35*E35</f>
        <v>0</v>
      </c>
      <c r="G35" s="1269"/>
      <c r="H35" s="1271"/>
      <c r="I35" s="1271"/>
      <c r="J35" s="1271"/>
      <c r="K35" s="1580"/>
      <c r="L35" s="1580"/>
      <c r="M35" s="1580"/>
      <c r="N35" s="1580"/>
      <c r="O35" s="1580"/>
      <c r="P35" s="1580"/>
      <c r="Q35" s="1580"/>
      <c r="R35" s="1580"/>
    </row>
    <row r="36" customFormat="false" ht="15.75" hidden="false" customHeight="false" outlineLevel="0" collapsed="false">
      <c r="A36" s="2475"/>
      <c r="B36" s="2475"/>
      <c r="C36" s="2476" t="s">
        <v>15</v>
      </c>
      <c r="D36" s="2469" t="n">
        <f aca="false">'Ввод данных'!C205</f>
        <v>0</v>
      </c>
      <c r="E36" s="2458" t="n">
        <f aca="false">'Ввод данных'!D205</f>
        <v>0</v>
      </c>
      <c r="F36" s="1176" t="n">
        <f aca="false">D36*E36</f>
        <v>0</v>
      </c>
      <c r="G36" s="1269"/>
      <c r="H36" s="1271"/>
      <c r="I36" s="1271"/>
      <c r="J36" s="1271"/>
      <c r="K36" s="1580"/>
      <c r="L36" s="1580"/>
      <c r="M36" s="1580"/>
      <c r="N36" s="1580"/>
      <c r="O36" s="1580"/>
      <c r="P36" s="1580"/>
      <c r="Q36" s="1580"/>
      <c r="R36" s="1580"/>
    </row>
    <row r="37" customFormat="false" ht="15.75" hidden="false" customHeight="true" outlineLevel="0" collapsed="false">
      <c r="A37" s="2475" t="s">
        <v>169</v>
      </c>
      <c r="B37" s="2475"/>
      <c r="C37" s="2476" t="s">
        <v>15</v>
      </c>
      <c r="D37" s="2469" t="n">
        <f aca="false">'Ввод данных'!C206</f>
        <v>1.8</v>
      </c>
      <c r="E37" s="2458" t="n">
        <f aca="false">'Ввод данных'!D206</f>
        <v>1</v>
      </c>
      <c r="F37" s="1176" t="n">
        <f aca="false">D37*E37</f>
        <v>1.8</v>
      </c>
      <c r="G37" s="1269"/>
      <c r="H37" s="1271"/>
      <c r="I37" s="1271"/>
      <c r="J37" s="1269"/>
      <c r="K37" s="1580"/>
      <c r="L37" s="1580"/>
      <c r="M37" s="1580"/>
      <c r="N37" s="1580"/>
      <c r="O37" s="1580"/>
      <c r="P37" s="1580"/>
      <c r="Q37" s="1580"/>
      <c r="R37" s="1580"/>
    </row>
    <row r="38" customFormat="false" ht="15.75" hidden="false" customHeight="false" outlineLevel="0" collapsed="false">
      <c r="A38" s="2475"/>
      <c r="B38" s="2475"/>
      <c r="C38" s="2476" t="s">
        <v>15</v>
      </c>
      <c r="D38" s="2469" t="n">
        <f aca="false">'Ввод данных'!C207</f>
        <v>0</v>
      </c>
      <c r="E38" s="2458" t="n">
        <f aca="false">'Ввод данных'!D207</f>
        <v>0</v>
      </c>
      <c r="F38" s="1176" t="n">
        <f aca="false">D38*E38</f>
        <v>0</v>
      </c>
      <c r="G38" s="1269"/>
      <c r="H38" s="1271"/>
      <c r="I38" s="1269"/>
      <c r="J38" s="1269"/>
      <c r="K38" s="1580"/>
      <c r="L38" s="1580"/>
      <c r="M38" s="1580"/>
      <c r="N38" s="1580"/>
      <c r="O38" s="1580"/>
      <c r="P38" s="1580"/>
      <c r="Q38" s="1580"/>
      <c r="R38" s="1580"/>
    </row>
    <row r="39" customFormat="false" ht="15.75" hidden="false" customHeight="false" outlineLevel="0" collapsed="false">
      <c r="A39" s="2475"/>
      <c r="B39" s="2475"/>
      <c r="C39" s="2476" t="s">
        <v>15</v>
      </c>
      <c r="D39" s="2469" t="n">
        <f aca="false">'Ввод данных'!C208</f>
        <v>0</v>
      </c>
      <c r="E39" s="2458" t="n">
        <f aca="false">'Ввод данных'!D208</f>
        <v>0</v>
      </c>
      <c r="F39" s="1176" t="n">
        <f aca="false">D39*E39</f>
        <v>0</v>
      </c>
      <c r="G39" s="1269"/>
      <c r="H39" s="1271"/>
      <c r="I39" s="1271"/>
      <c r="J39" s="1269"/>
      <c r="K39" s="1580"/>
      <c r="L39" s="1580"/>
      <c r="M39" s="1580"/>
      <c r="N39" s="1580"/>
      <c r="O39" s="1580"/>
      <c r="P39" s="1580"/>
      <c r="Q39" s="1580"/>
      <c r="R39" s="1580"/>
    </row>
    <row r="40" customFormat="false" ht="15.75" hidden="false" customHeight="false" outlineLevel="0" collapsed="false">
      <c r="A40" s="2475"/>
      <c r="B40" s="2475"/>
      <c r="C40" s="2476" t="s">
        <v>15</v>
      </c>
      <c r="D40" s="2469" t="n">
        <f aca="false">'Ввод данных'!C209</f>
        <v>0</v>
      </c>
      <c r="E40" s="2458" t="n">
        <f aca="false">'Ввод данных'!D209</f>
        <v>0</v>
      </c>
      <c r="F40" s="1176" t="n">
        <f aca="false">D40*E40</f>
        <v>0</v>
      </c>
      <c r="G40" s="1269"/>
      <c r="H40" s="1271"/>
      <c r="I40" s="1269"/>
      <c r="J40" s="1269"/>
      <c r="K40" s="1580"/>
      <c r="L40" s="1580"/>
      <c r="M40" s="1580"/>
      <c r="N40" s="1580"/>
      <c r="O40" s="1580"/>
      <c r="P40" s="1580"/>
      <c r="Q40" s="1580"/>
      <c r="R40" s="1580"/>
    </row>
    <row r="41" customFormat="false" ht="15.75" hidden="false" customHeight="true" outlineLevel="0" collapsed="false">
      <c r="A41" s="2475" t="s">
        <v>170</v>
      </c>
      <c r="B41" s="2475"/>
      <c r="C41" s="2476" t="s">
        <v>15</v>
      </c>
      <c r="D41" s="2469" t="n">
        <f aca="false">'Ввод данных'!C210</f>
        <v>0</v>
      </c>
      <c r="E41" s="2458" t="n">
        <f aca="false">'Ввод данных'!D210</f>
        <v>0</v>
      </c>
      <c r="F41" s="1176" t="n">
        <f aca="false">D41*E41</f>
        <v>0</v>
      </c>
      <c r="G41" s="1269"/>
      <c r="H41" s="1271"/>
      <c r="I41" s="1269"/>
      <c r="J41" s="1269"/>
      <c r="K41" s="1580"/>
      <c r="L41" s="1580"/>
      <c r="M41" s="1580"/>
      <c r="N41" s="1580"/>
      <c r="O41" s="1580"/>
      <c r="P41" s="1580"/>
      <c r="Q41" s="1580"/>
      <c r="R41" s="1580"/>
    </row>
    <row r="42" customFormat="false" ht="15.75" hidden="false" customHeight="false" outlineLevel="0" collapsed="false">
      <c r="A42" s="2475"/>
      <c r="B42" s="2475"/>
      <c r="C42" s="2476" t="s">
        <v>15</v>
      </c>
      <c r="D42" s="2469" t="n">
        <f aca="false">'Ввод данных'!C211</f>
        <v>0</v>
      </c>
      <c r="E42" s="2458" t="n">
        <f aca="false">'Ввод данных'!D211</f>
        <v>0</v>
      </c>
      <c r="F42" s="1176" t="n">
        <f aca="false">D42*E42</f>
        <v>0</v>
      </c>
      <c r="G42" s="1269"/>
      <c r="H42" s="1271"/>
      <c r="I42" s="1269"/>
      <c r="J42" s="1269"/>
      <c r="K42" s="1580"/>
      <c r="L42" s="1580"/>
      <c r="M42" s="1580"/>
      <c r="N42" s="1580"/>
      <c r="O42" s="1580"/>
      <c r="P42" s="1580"/>
      <c r="Q42" s="1580"/>
      <c r="R42" s="1580"/>
    </row>
    <row r="43" customFormat="false" ht="15.75" hidden="false" customHeight="false" outlineLevel="0" collapsed="false">
      <c r="A43" s="2475"/>
      <c r="B43" s="2475"/>
      <c r="C43" s="2476" t="s">
        <v>15</v>
      </c>
      <c r="D43" s="2469" t="n">
        <f aca="false">'Ввод данных'!C212</f>
        <v>0</v>
      </c>
      <c r="E43" s="2458" t="n">
        <f aca="false">'Ввод данных'!D212</f>
        <v>0</v>
      </c>
      <c r="F43" s="1176" t="n">
        <f aca="false">D43*E43</f>
        <v>0</v>
      </c>
      <c r="G43" s="1269"/>
      <c r="H43" s="1271"/>
      <c r="I43" s="2477"/>
      <c r="J43" s="1269"/>
      <c r="K43" s="1580"/>
      <c r="L43" s="1580"/>
      <c r="M43" s="1580"/>
      <c r="N43" s="1580"/>
      <c r="O43" s="1580"/>
      <c r="P43" s="1580"/>
      <c r="Q43" s="1580"/>
      <c r="R43" s="1580"/>
    </row>
    <row r="44" customFormat="false" ht="15.75" hidden="false" customHeight="false" outlineLevel="0" collapsed="false">
      <c r="A44" s="2475"/>
      <c r="B44" s="2475"/>
      <c r="C44" s="2476" t="s">
        <v>15</v>
      </c>
      <c r="D44" s="2469" t="n">
        <f aca="false">'Ввод данных'!C213</f>
        <v>0</v>
      </c>
      <c r="E44" s="2458" t="n">
        <f aca="false">'Ввод данных'!D213</f>
        <v>0</v>
      </c>
      <c r="F44" s="1176" t="n">
        <f aca="false">D44*E44</f>
        <v>0</v>
      </c>
      <c r="G44" s="1269"/>
      <c r="H44" s="1271"/>
      <c r="I44" s="1269"/>
      <c r="J44" s="1269"/>
      <c r="K44" s="1580"/>
      <c r="L44" s="1580"/>
      <c r="M44" s="1580"/>
      <c r="N44" s="1580"/>
      <c r="O44" s="1580"/>
      <c r="P44" s="1580"/>
      <c r="Q44" s="1580"/>
      <c r="R44" s="1580"/>
    </row>
    <row r="45" customFormat="false" ht="15.75" hidden="false" customHeight="true" outlineLevel="0" collapsed="false">
      <c r="A45" s="2475" t="s">
        <v>172</v>
      </c>
      <c r="B45" s="2475"/>
      <c r="C45" s="2476" t="s">
        <v>15</v>
      </c>
      <c r="D45" s="2469" t="n">
        <f aca="false">'Ввод данных'!C214</f>
        <v>3</v>
      </c>
      <c r="E45" s="2458" t="n">
        <f aca="false">'Ввод данных'!D214</f>
        <v>2</v>
      </c>
      <c r="F45" s="1176" t="n">
        <f aca="false">D45*E45</f>
        <v>6</v>
      </c>
      <c r="G45" s="1269"/>
      <c r="H45" s="1271"/>
      <c r="I45" s="1269"/>
      <c r="J45" s="1269"/>
      <c r="K45" s="1580"/>
      <c r="L45" s="1580"/>
      <c r="M45" s="1580"/>
      <c r="N45" s="1580"/>
      <c r="O45" s="1580"/>
      <c r="P45" s="1580"/>
      <c r="Q45" s="1580"/>
      <c r="R45" s="1580"/>
    </row>
    <row r="46" customFormat="false" ht="15.75" hidden="false" customHeight="false" outlineLevel="0" collapsed="false">
      <c r="A46" s="2475"/>
      <c r="B46" s="2475"/>
      <c r="C46" s="2476" t="s">
        <v>15</v>
      </c>
      <c r="D46" s="2469" t="n">
        <f aca="false">'Ввод данных'!C215</f>
        <v>0</v>
      </c>
      <c r="E46" s="2458" t="n">
        <f aca="false">'Ввод данных'!D215</f>
        <v>0</v>
      </c>
      <c r="F46" s="1176" t="n">
        <f aca="false">D46*E46</f>
        <v>0</v>
      </c>
      <c r="G46" s="1269"/>
      <c r="H46" s="2478"/>
      <c r="I46" s="1269"/>
      <c r="J46" s="1269"/>
      <c r="K46" s="1580"/>
      <c r="L46" s="1580"/>
      <c r="M46" s="1580"/>
      <c r="N46" s="1580"/>
      <c r="O46" s="1580"/>
      <c r="P46" s="1580"/>
      <c r="Q46" s="1580"/>
      <c r="R46" s="1580"/>
    </row>
    <row r="47" customFormat="false" ht="15.75" hidden="false" customHeight="false" outlineLevel="0" collapsed="false">
      <c r="A47" s="2475"/>
      <c r="B47" s="2475"/>
      <c r="C47" s="2476" t="s">
        <v>15</v>
      </c>
      <c r="D47" s="2469" t="n">
        <f aca="false">'Ввод данных'!C216</f>
        <v>0</v>
      </c>
      <c r="E47" s="2458" t="n">
        <f aca="false">'Ввод данных'!D216</f>
        <v>0</v>
      </c>
      <c r="F47" s="1176" t="n">
        <f aca="false">D47*E47</f>
        <v>0</v>
      </c>
      <c r="G47" s="1269"/>
      <c r="H47" s="2478"/>
      <c r="I47" s="1269"/>
      <c r="J47" s="1269"/>
      <c r="K47" s="1580"/>
      <c r="L47" s="1580"/>
      <c r="M47" s="1580"/>
      <c r="N47" s="1580"/>
      <c r="O47" s="1580"/>
      <c r="P47" s="1580"/>
      <c r="Q47" s="1580"/>
      <c r="R47" s="1580"/>
    </row>
    <row r="48" customFormat="false" ht="15.75" hidden="false" customHeight="false" outlineLevel="0" collapsed="false">
      <c r="A48" s="2475"/>
      <c r="B48" s="2475"/>
      <c r="C48" s="2476" t="s">
        <v>15</v>
      </c>
      <c r="D48" s="2469" t="n">
        <f aca="false">'Ввод данных'!C217</f>
        <v>0</v>
      </c>
      <c r="E48" s="2458" t="n">
        <f aca="false">'Ввод данных'!D217</f>
        <v>0</v>
      </c>
      <c r="F48" s="1176" t="n">
        <f aca="false">D48*E48</f>
        <v>0</v>
      </c>
      <c r="G48" s="1269"/>
      <c r="H48" s="2478"/>
      <c r="I48" s="1269"/>
      <c r="J48" s="1269"/>
      <c r="K48" s="1580"/>
      <c r="L48" s="1580"/>
      <c r="M48" s="1580"/>
      <c r="N48" s="1580"/>
      <c r="O48" s="1580"/>
      <c r="P48" s="1580"/>
      <c r="Q48" s="1580"/>
      <c r="R48" s="1580"/>
    </row>
    <row r="49" customFormat="false" ht="15.75" hidden="false" customHeight="true" outlineLevel="0" collapsed="false">
      <c r="A49" s="2475" t="s">
        <v>173</v>
      </c>
      <c r="B49" s="2475"/>
      <c r="C49" s="2476" t="s">
        <v>15</v>
      </c>
      <c r="D49" s="2469" t="n">
        <f aca="false">'Ввод данных'!C218</f>
        <v>3.5</v>
      </c>
      <c r="E49" s="2458" t="n">
        <f aca="false">'Ввод данных'!D218</f>
        <v>1</v>
      </c>
      <c r="F49" s="1176" t="n">
        <f aca="false">D49*E49</f>
        <v>3.5</v>
      </c>
      <c r="G49" s="2479"/>
      <c r="H49" s="2480"/>
      <c r="I49" s="2481" t="s">
        <v>208</v>
      </c>
      <c r="J49" s="1269"/>
      <c r="K49" s="1580"/>
      <c r="L49" s="1580"/>
      <c r="M49" s="1580"/>
      <c r="N49" s="1580"/>
      <c r="O49" s="1580"/>
      <c r="P49" s="1580"/>
      <c r="Q49" s="1580"/>
      <c r="R49" s="1580"/>
    </row>
    <row r="50" customFormat="false" ht="15.75" hidden="false" customHeight="false" outlineLevel="0" collapsed="false">
      <c r="A50" s="2475"/>
      <c r="B50" s="2475"/>
      <c r="C50" s="2476" t="s">
        <v>15</v>
      </c>
      <c r="D50" s="2469" t="n">
        <f aca="false">'Ввод данных'!C219</f>
        <v>0</v>
      </c>
      <c r="E50" s="2458" t="n">
        <f aca="false">'Ввод данных'!D219</f>
        <v>0</v>
      </c>
      <c r="F50" s="1176" t="n">
        <f aca="false">D50*E50</f>
        <v>0</v>
      </c>
      <c r="G50" s="2479"/>
      <c r="H50" s="2480"/>
      <c r="I50" s="2481"/>
      <c r="J50" s="1269"/>
      <c r="K50" s="1580"/>
      <c r="L50" s="1580"/>
      <c r="M50" s="1580"/>
      <c r="N50" s="1580"/>
      <c r="O50" s="1580"/>
      <c r="P50" s="1580"/>
      <c r="Q50" s="1580"/>
      <c r="R50" s="1580"/>
    </row>
    <row r="51" customFormat="false" ht="15.75" hidden="false" customHeight="false" outlineLevel="0" collapsed="false">
      <c r="A51" s="2475"/>
      <c r="B51" s="2475"/>
      <c r="C51" s="2476" t="s">
        <v>15</v>
      </c>
      <c r="D51" s="2469" t="n">
        <f aca="false">'Ввод данных'!C220</f>
        <v>0</v>
      </c>
      <c r="E51" s="2458" t="n">
        <f aca="false">'Ввод данных'!D220</f>
        <v>0</v>
      </c>
      <c r="F51" s="1176" t="n">
        <f aca="false">D51*E51</f>
        <v>0</v>
      </c>
      <c r="G51" s="2479"/>
      <c r="H51" s="2480"/>
      <c r="I51" s="2481"/>
      <c r="J51" s="1269"/>
      <c r="K51" s="1580"/>
      <c r="L51" s="1580"/>
      <c r="M51" s="1580"/>
      <c r="N51" s="1580"/>
      <c r="O51" s="1580"/>
      <c r="P51" s="1580"/>
      <c r="Q51" s="1580"/>
      <c r="R51" s="1580"/>
    </row>
    <row r="52" customFormat="false" ht="15.75" hidden="false" customHeight="false" outlineLevel="0" collapsed="false">
      <c r="A52" s="2475"/>
      <c r="B52" s="2475"/>
      <c r="C52" s="2476" t="s">
        <v>15</v>
      </c>
      <c r="D52" s="2469" t="n">
        <f aca="false">'Ввод данных'!C221</f>
        <v>0</v>
      </c>
      <c r="E52" s="2458" t="n">
        <f aca="false">'Ввод данных'!D221</f>
        <v>0</v>
      </c>
      <c r="F52" s="1176" t="n">
        <f aca="false">D52*E52</f>
        <v>0</v>
      </c>
      <c r="G52" s="2482"/>
      <c r="H52" s="2482"/>
      <c r="I52" s="2481"/>
      <c r="J52" s="1269"/>
      <c r="K52" s="1580"/>
      <c r="L52" s="1580"/>
      <c r="M52" s="1580"/>
      <c r="N52" s="1580"/>
      <c r="O52" s="1580"/>
      <c r="P52" s="1580"/>
      <c r="Q52" s="1580"/>
      <c r="R52" s="1580"/>
    </row>
    <row r="53" customFormat="false" ht="15.75" hidden="false" customHeight="true" outlineLevel="0" collapsed="false">
      <c r="A53" s="2475" t="s">
        <v>175</v>
      </c>
      <c r="B53" s="2475"/>
      <c r="C53" s="2476" t="s">
        <v>15</v>
      </c>
      <c r="D53" s="2469" t="n">
        <f aca="false">'Ввод данных'!C222</f>
        <v>0</v>
      </c>
      <c r="E53" s="2458" t="n">
        <f aca="false">'Ввод данных'!D222</f>
        <v>0</v>
      </c>
      <c r="F53" s="1176" t="n">
        <f aca="false">D53*E53</f>
        <v>0</v>
      </c>
      <c r="G53" s="1269"/>
      <c r="H53" s="2478"/>
      <c r="I53" s="2481"/>
      <c r="J53" s="1269"/>
      <c r="K53" s="1580"/>
      <c r="L53" s="1580"/>
      <c r="M53" s="1580"/>
      <c r="N53" s="1580"/>
      <c r="O53" s="1580"/>
      <c r="P53" s="1580"/>
      <c r="Q53" s="1580"/>
      <c r="R53" s="1580"/>
    </row>
    <row r="54" customFormat="false" ht="15.75" hidden="false" customHeight="false" outlineLevel="0" collapsed="false">
      <c r="A54" s="2475"/>
      <c r="B54" s="2475"/>
      <c r="C54" s="2476" t="s">
        <v>15</v>
      </c>
      <c r="D54" s="2469" t="n">
        <f aca="false">'Ввод данных'!C223</f>
        <v>0</v>
      </c>
      <c r="E54" s="2458" t="n">
        <f aca="false">'Ввод данных'!D223</f>
        <v>0</v>
      </c>
      <c r="F54" s="1176" t="n">
        <f aca="false">D54*E54</f>
        <v>0</v>
      </c>
      <c r="G54" s="1269"/>
      <c r="H54" s="2478"/>
      <c r="I54" s="2481"/>
      <c r="J54" s="1269"/>
      <c r="K54" s="1580"/>
      <c r="L54" s="1580"/>
      <c r="M54" s="1580"/>
      <c r="N54" s="1580"/>
      <c r="O54" s="1580"/>
      <c r="P54" s="1580"/>
      <c r="Q54" s="1580"/>
      <c r="R54" s="1580"/>
    </row>
    <row r="55" customFormat="false" ht="15.75" hidden="false" customHeight="false" outlineLevel="0" collapsed="false">
      <c r="A55" s="2475"/>
      <c r="B55" s="2475"/>
      <c r="C55" s="2476" t="s">
        <v>15</v>
      </c>
      <c r="D55" s="2469" t="n">
        <f aca="false">'Ввод данных'!C224</f>
        <v>0</v>
      </c>
      <c r="E55" s="2458" t="n">
        <f aca="false">'Ввод данных'!D224</f>
        <v>0</v>
      </c>
      <c r="F55" s="1176" t="n">
        <f aca="false">D55*E55</f>
        <v>0</v>
      </c>
      <c r="G55" s="1269"/>
      <c r="H55" s="2478"/>
      <c r="I55" s="2481"/>
      <c r="J55" s="1269"/>
      <c r="K55" s="1580"/>
      <c r="L55" s="1580"/>
      <c r="M55" s="1580"/>
      <c r="N55" s="1580"/>
      <c r="O55" s="1580"/>
      <c r="P55" s="1580"/>
      <c r="Q55" s="1580"/>
      <c r="R55" s="1580"/>
    </row>
    <row r="56" customFormat="false" ht="15.75" hidden="false" customHeight="false" outlineLevel="0" collapsed="false">
      <c r="A56" s="2475"/>
      <c r="B56" s="2475"/>
      <c r="C56" s="2476" t="s">
        <v>15</v>
      </c>
      <c r="D56" s="2469" t="n">
        <f aca="false">'Ввод данных'!C225</f>
        <v>0</v>
      </c>
      <c r="E56" s="2458" t="n">
        <f aca="false">'Ввод данных'!D225</f>
        <v>0</v>
      </c>
      <c r="F56" s="1176" t="n">
        <f aca="false">D56*E56</f>
        <v>0</v>
      </c>
      <c r="G56" s="1269"/>
      <c r="H56" s="2483"/>
      <c r="I56" s="2481"/>
      <c r="J56" s="1269"/>
      <c r="K56" s="1580"/>
      <c r="L56" s="1580"/>
      <c r="M56" s="1580"/>
      <c r="N56" s="1580"/>
      <c r="O56" s="1580"/>
      <c r="P56" s="1580"/>
      <c r="Q56" s="1580"/>
      <c r="R56" s="1580"/>
    </row>
    <row r="57" customFormat="false" ht="15.75" hidden="false" customHeight="true" outlineLevel="0" collapsed="false">
      <c r="A57" s="2475" t="s">
        <v>178</v>
      </c>
      <c r="B57" s="2475"/>
      <c r="C57" s="2476" t="s">
        <v>15</v>
      </c>
      <c r="D57" s="2469" t="n">
        <f aca="false">'Ввод данных'!C226</f>
        <v>4</v>
      </c>
      <c r="E57" s="2458" t="n">
        <f aca="false">'Ввод данных'!D226</f>
        <v>1</v>
      </c>
      <c r="F57" s="1176" t="n">
        <f aca="false">D57*E57</f>
        <v>4</v>
      </c>
      <c r="G57" s="1269"/>
      <c r="H57" s="2483"/>
      <c r="I57" s="1269"/>
      <c r="J57" s="1269"/>
      <c r="K57" s="1580"/>
      <c r="L57" s="1580"/>
      <c r="M57" s="1580"/>
      <c r="N57" s="1580"/>
      <c r="O57" s="1580"/>
      <c r="P57" s="1580"/>
      <c r="Q57" s="1580"/>
      <c r="R57" s="1580"/>
    </row>
    <row r="58" customFormat="false" ht="15.75" hidden="false" customHeight="false" outlineLevel="0" collapsed="false">
      <c r="A58" s="2475"/>
      <c r="B58" s="2475"/>
      <c r="C58" s="2476" t="s">
        <v>15</v>
      </c>
      <c r="D58" s="2469" t="n">
        <f aca="false">'Ввод данных'!C227</f>
        <v>2</v>
      </c>
      <c r="E58" s="2458" t="n">
        <f aca="false">'Ввод данных'!D227</f>
        <v>1</v>
      </c>
      <c r="F58" s="1176" t="n">
        <f aca="false">D58*E58</f>
        <v>2</v>
      </c>
      <c r="G58" s="1269"/>
      <c r="H58" s="2483"/>
      <c r="I58" s="1269"/>
      <c r="J58" s="1269"/>
      <c r="K58" s="1580"/>
      <c r="L58" s="1580"/>
      <c r="M58" s="1580"/>
      <c r="N58" s="1580"/>
      <c r="O58" s="1580"/>
      <c r="P58" s="1580"/>
      <c r="Q58" s="1580"/>
      <c r="R58" s="1580"/>
    </row>
    <row r="59" customFormat="false" ht="15.75" hidden="false" customHeight="false" outlineLevel="0" collapsed="false">
      <c r="A59" s="2475"/>
      <c r="B59" s="2475"/>
      <c r="C59" s="2476" t="s">
        <v>15</v>
      </c>
      <c r="D59" s="2469" t="n">
        <f aca="false">'Ввод данных'!C228</f>
        <v>3</v>
      </c>
      <c r="E59" s="2458" t="n">
        <f aca="false">'Ввод данных'!D228</f>
        <v>1</v>
      </c>
      <c r="F59" s="1176" t="n">
        <f aca="false">D59*E59</f>
        <v>3</v>
      </c>
      <c r="G59" s="1269"/>
      <c r="H59" s="2483"/>
      <c r="I59" s="1269"/>
      <c r="J59" s="1269"/>
      <c r="K59" s="1580"/>
      <c r="L59" s="1580"/>
      <c r="M59" s="1580"/>
      <c r="N59" s="1580"/>
      <c r="O59" s="1580"/>
      <c r="P59" s="1580"/>
      <c r="Q59" s="1580"/>
      <c r="R59" s="1580"/>
    </row>
    <row r="60" customFormat="false" ht="15.75" hidden="false" customHeight="false" outlineLevel="0" collapsed="false">
      <c r="A60" s="2475"/>
      <c r="B60" s="2475"/>
      <c r="C60" s="2476" t="s">
        <v>15</v>
      </c>
      <c r="D60" s="2469" t="n">
        <f aca="false">'Ввод данных'!C229</f>
        <v>0</v>
      </c>
      <c r="E60" s="2458" t="n">
        <f aca="false">'Ввод данных'!D229</f>
        <v>0</v>
      </c>
      <c r="F60" s="1176" t="n">
        <f aca="false">D60*E60</f>
        <v>0</v>
      </c>
      <c r="G60" s="1269"/>
      <c r="H60" s="2483"/>
      <c r="I60" s="2477"/>
      <c r="J60" s="1269"/>
      <c r="K60" s="1580"/>
      <c r="L60" s="1580"/>
      <c r="M60" s="1580"/>
      <c r="N60" s="1580"/>
      <c r="O60" s="1580"/>
      <c r="P60" s="1580"/>
      <c r="Q60" s="1580"/>
      <c r="R60" s="1580"/>
    </row>
    <row r="61" customFormat="false" ht="15.75" hidden="false" customHeight="true" outlineLevel="0" collapsed="false">
      <c r="A61" s="2475" t="s">
        <v>183</v>
      </c>
      <c r="B61" s="2475"/>
      <c r="C61" s="2476" t="s">
        <v>15</v>
      </c>
      <c r="D61" s="2469" t="n">
        <f aca="false">'Ввод данных'!C230</f>
        <v>0</v>
      </c>
      <c r="E61" s="2458" t="n">
        <f aca="false">'Ввод данных'!D230</f>
        <v>0</v>
      </c>
      <c r="F61" s="1176" t="n">
        <f aca="false">D61*E61</f>
        <v>0</v>
      </c>
      <c r="G61" s="1269"/>
      <c r="H61" s="2483"/>
      <c r="I61" s="1269"/>
      <c r="J61" s="2484"/>
      <c r="K61" s="1580"/>
      <c r="L61" s="1580"/>
      <c r="M61" s="1580"/>
      <c r="N61" s="1580"/>
      <c r="O61" s="1580"/>
      <c r="P61" s="1580"/>
      <c r="Q61" s="1580"/>
      <c r="R61" s="1580"/>
    </row>
    <row r="62" customFormat="false" ht="15.75" hidden="false" customHeight="false" outlineLevel="0" collapsed="false">
      <c r="A62" s="2475"/>
      <c r="B62" s="2475"/>
      <c r="C62" s="2476" t="s">
        <v>15</v>
      </c>
      <c r="D62" s="2469" t="n">
        <f aca="false">'Ввод данных'!C231</f>
        <v>0</v>
      </c>
      <c r="E62" s="2458" t="n">
        <f aca="false">'Ввод данных'!D231</f>
        <v>0</v>
      </c>
      <c r="F62" s="1176" t="n">
        <f aca="false">D62*E62</f>
        <v>0</v>
      </c>
      <c r="G62" s="1269"/>
      <c r="H62" s="2483"/>
      <c r="I62" s="2477"/>
      <c r="J62" s="2484"/>
      <c r="K62" s="1580"/>
      <c r="L62" s="1580"/>
      <c r="M62" s="1580"/>
      <c r="N62" s="1580"/>
      <c r="O62" s="1580"/>
      <c r="P62" s="1580"/>
      <c r="Q62" s="1580"/>
      <c r="R62" s="1580"/>
    </row>
    <row r="63" customFormat="false" ht="15.75" hidden="false" customHeight="false" outlineLevel="0" collapsed="false">
      <c r="A63" s="2475"/>
      <c r="B63" s="2475"/>
      <c r="C63" s="2476" t="s">
        <v>15</v>
      </c>
      <c r="D63" s="2469" t="n">
        <f aca="false">'Ввод данных'!C232</f>
        <v>0</v>
      </c>
      <c r="E63" s="2458" t="n">
        <f aca="false">'Ввод данных'!D232</f>
        <v>0</v>
      </c>
      <c r="F63" s="1176" t="n">
        <f aca="false">D63*E63</f>
        <v>0</v>
      </c>
      <c r="G63" s="1269"/>
      <c r="H63" s="2483"/>
      <c r="I63" s="1269"/>
      <c r="J63" s="1269"/>
      <c r="K63" s="1580"/>
      <c r="L63" s="1580"/>
      <c r="M63" s="1580"/>
      <c r="N63" s="1580"/>
      <c r="O63" s="1580"/>
      <c r="P63" s="1580"/>
      <c r="Q63" s="1580"/>
      <c r="R63" s="1580"/>
    </row>
    <row r="64" customFormat="false" ht="15.75" hidden="false" customHeight="false" outlineLevel="0" collapsed="false">
      <c r="A64" s="2475"/>
      <c r="B64" s="2475"/>
      <c r="C64" s="2476" t="s">
        <v>15</v>
      </c>
      <c r="D64" s="2469" t="n">
        <f aca="false">'Ввод данных'!C233</f>
        <v>0</v>
      </c>
      <c r="E64" s="2458" t="n">
        <f aca="false">'Ввод данных'!D233</f>
        <v>0</v>
      </c>
      <c r="F64" s="1176" t="n">
        <f aca="false">D64*E64</f>
        <v>0</v>
      </c>
      <c r="G64" s="1269"/>
      <c r="H64" s="2483"/>
      <c r="I64" s="1269"/>
      <c r="J64" s="1269"/>
      <c r="K64" s="1580"/>
      <c r="L64" s="1580"/>
      <c r="M64" s="1580"/>
      <c r="N64" s="1580"/>
      <c r="O64" s="1580"/>
      <c r="P64" s="1580"/>
      <c r="Q64" s="1580"/>
      <c r="R64" s="1580"/>
    </row>
    <row r="65" customFormat="false" ht="15.75" hidden="false" customHeight="true" outlineLevel="0" collapsed="false">
      <c r="A65" s="2485" t="s">
        <v>3987</v>
      </c>
      <c r="B65" s="2485"/>
      <c r="C65" s="1176" t="s">
        <v>820</v>
      </c>
      <c r="D65" s="1313" t="n">
        <f aca="false">(E3+E4+E3+E4)*E5+(E3+E4+E3+E4)*E6+(E3/2)*E8*2*E9+(E3+E4+E3+E4)*E11*F11+(E3+E4+E3+E4)*E12*F12+(E3+E4+E3+E4)*E13*F13</f>
        <v>140.8</v>
      </c>
      <c r="E65" s="1301"/>
      <c r="F65" s="2484"/>
      <c r="G65" s="1269"/>
      <c r="H65" s="2483"/>
      <c r="I65" s="1269"/>
      <c r="J65" s="1269"/>
      <c r="K65" s="1580"/>
      <c r="L65" s="1580"/>
      <c r="M65" s="1580"/>
      <c r="N65" s="1580"/>
      <c r="O65" s="1580"/>
      <c r="P65" s="1580"/>
      <c r="Q65" s="1580"/>
      <c r="R65" s="1580"/>
    </row>
    <row r="66" customFormat="false" ht="15.75" hidden="false" customHeight="true" outlineLevel="0" collapsed="false">
      <c r="A66" s="2485" t="s">
        <v>3988</v>
      </c>
      <c r="B66" s="2485"/>
      <c r="C66" s="1176" t="s">
        <v>820</v>
      </c>
      <c r="D66" s="1313" t="n">
        <f aca="false">D65-G30-G19</f>
        <v>137.71</v>
      </c>
      <c r="E66" s="1301"/>
      <c r="F66" s="2484"/>
      <c r="G66" s="1269"/>
      <c r="H66" s="2483"/>
      <c r="I66" s="1269"/>
      <c r="J66" s="1269"/>
      <c r="K66" s="1580"/>
      <c r="L66" s="1580"/>
      <c r="M66" s="1580"/>
      <c r="N66" s="1580"/>
      <c r="O66" s="1580"/>
      <c r="P66" s="1580"/>
      <c r="Q66" s="1580"/>
      <c r="R66" s="1580"/>
    </row>
    <row r="67" customFormat="false" ht="15.75" hidden="false" customHeight="true" outlineLevel="0" collapsed="false">
      <c r="A67" s="2485" t="s">
        <v>3053</v>
      </c>
      <c r="B67" s="2485"/>
      <c r="C67" s="1176" t="s">
        <v>820</v>
      </c>
      <c r="D67" s="1313" t="e">
        <f aca="false">(F33+F34+F35+F36+F41+F42+F43+F44)*E5+(F49+F50+F51+F52)*(E2-1)*E7+(F57+F58+F59+F60)*((E6+E7)/1.7)*(E2-1)</f>
        <v>#VALUE!</v>
      </c>
      <c r="E67" s="1301"/>
      <c r="F67" s="2484"/>
      <c r="G67" s="1269"/>
      <c r="H67" s="2483"/>
      <c r="I67" s="1269"/>
      <c r="J67" s="1269"/>
      <c r="K67" s="1580"/>
      <c r="L67" s="1580"/>
      <c r="M67" s="1580"/>
      <c r="N67" s="1580"/>
      <c r="O67" s="1580"/>
      <c r="P67" s="1580"/>
      <c r="Q67" s="1580"/>
      <c r="R67" s="1580"/>
    </row>
    <row r="68" customFormat="false" ht="15.75" hidden="false" customHeight="true" outlineLevel="0" collapsed="false">
      <c r="A68" s="2485" t="s">
        <v>3054</v>
      </c>
      <c r="B68" s="2485"/>
      <c r="C68" s="1176" t="s">
        <v>820</v>
      </c>
      <c r="D68" s="1313" t="e">
        <f aca="false">(F37+F38+F39+F40+F45+F46+F47+F48)*E5+(F53+F54+F55+F56)*(E2-1)*E7+(F61+F62+F63+F64)*((E6+E7)/1.7)*(E2-1)</f>
        <v>#VALUE!</v>
      </c>
      <c r="E68" s="1301"/>
      <c r="F68" s="2484"/>
      <c r="G68" s="1269"/>
      <c r="H68" s="2483"/>
      <c r="I68" s="1269"/>
      <c r="J68" s="1269"/>
      <c r="K68" s="1580"/>
      <c r="L68" s="1580"/>
      <c r="M68" s="1580"/>
      <c r="N68" s="1580"/>
      <c r="O68" s="1580"/>
      <c r="P68" s="1580"/>
      <c r="Q68" s="1580"/>
      <c r="R68" s="1580"/>
    </row>
    <row r="69" customFormat="false" ht="15.75" hidden="false" customHeight="false" outlineLevel="0" collapsed="false">
      <c r="A69" s="1176" t="s">
        <v>3055</v>
      </c>
      <c r="B69" s="1176"/>
      <c r="C69" s="1176" t="s">
        <v>820</v>
      </c>
      <c r="D69" s="1313" t="e">
        <f aca="false">(D68+D67)-G25</f>
        <v>#VALUE!</v>
      </c>
      <c r="E69" s="1301"/>
      <c r="F69" s="2484"/>
      <c r="G69" s="1269"/>
      <c r="H69" s="2483"/>
      <c r="I69" s="1269"/>
      <c r="J69" s="1269"/>
      <c r="K69" s="1580"/>
      <c r="L69" s="1580"/>
      <c r="M69" s="1580"/>
      <c r="N69" s="1580"/>
      <c r="O69" s="1580"/>
      <c r="P69" s="1580"/>
      <c r="Q69" s="1580"/>
      <c r="R69" s="1580"/>
    </row>
    <row r="70" customFormat="false" ht="15.75" hidden="false" customHeight="true" outlineLevel="0" collapsed="false">
      <c r="A70" s="2485" t="s">
        <v>3989</v>
      </c>
      <c r="B70" s="2485"/>
      <c r="C70" s="2486" t="s">
        <v>820</v>
      </c>
      <c r="D70" s="1286" t="e">
        <f aca="false">D66+D69</f>
        <v>#VALUE!</v>
      </c>
      <c r="E70" s="53"/>
      <c r="F70" s="2487"/>
      <c r="G70" s="42"/>
      <c r="H70" s="2483"/>
      <c r="I70" s="42"/>
      <c r="J70" s="42"/>
      <c r="K70" s="1580"/>
      <c r="L70" s="1580"/>
      <c r="M70" s="1580"/>
      <c r="N70" s="1580"/>
      <c r="O70" s="1580"/>
      <c r="P70" s="1580"/>
      <c r="Q70" s="1580"/>
      <c r="R70" s="1580"/>
    </row>
    <row r="71" customFormat="false" ht="15.75" hidden="false" customHeight="false" outlineLevel="0" collapsed="false">
      <c r="A71" s="2488" t="s">
        <v>2833</v>
      </c>
      <c r="B71" s="2488"/>
      <c r="C71" s="2488"/>
      <c r="D71" s="2488"/>
      <c r="E71" s="2488"/>
      <c r="F71" s="2467" t="n">
        <f aca="false">дома!J12</f>
        <v>1</v>
      </c>
      <c r="G71" s="2459" t="s">
        <v>3715</v>
      </c>
      <c r="H71" s="2483"/>
      <c r="I71" s="42"/>
      <c r="J71" s="42"/>
      <c r="K71" s="1580"/>
      <c r="L71" s="1580"/>
      <c r="M71" s="1580"/>
      <c r="N71" s="1580"/>
      <c r="O71" s="1580"/>
      <c r="P71" s="1580"/>
      <c r="Q71" s="1580"/>
      <c r="R71" s="1580"/>
    </row>
    <row r="72" customFormat="false" ht="15.75" hidden="false" customHeight="false" outlineLevel="0" collapsed="false">
      <c r="A72" s="1191" t="s">
        <v>3570</v>
      </c>
      <c r="B72" s="1191"/>
      <c r="C72" s="2489" t="s">
        <v>15</v>
      </c>
      <c r="D72" s="2490" t="n">
        <f aca="false">E3+E3+E4+E4+F33+F34+F35+F36+F41+F42+F43+F44</f>
        <v>48</v>
      </c>
      <c r="E72" s="2459"/>
      <c r="F72" s="2459"/>
      <c r="G72" s="1631"/>
      <c r="H72" s="2483"/>
      <c r="I72" s="42"/>
      <c r="J72" s="42"/>
      <c r="K72" s="1580"/>
      <c r="L72" s="1580"/>
      <c r="M72" s="1580"/>
      <c r="N72" s="1580"/>
      <c r="O72" s="1580"/>
      <c r="P72" s="1580"/>
      <c r="Q72" s="1580"/>
      <c r="R72" s="1580"/>
    </row>
    <row r="73" customFormat="false" ht="15.75" hidden="false" customHeight="false" outlineLevel="0" collapsed="false">
      <c r="A73" s="1191" t="s">
        <v>3571</v>
      </c>
      <c r="B73" s="1191"/>
      <c r="C73" s="1338" t="s">
        <v>820</v>
      </c>
      <c r="D73" s="2491" t="e">
        <f aca="false">E3*E4*E2</f>
        <v>#VALUE!</v>
      </c>
      <c r="E73" s="2459"/>
      <c r="F73" s="2459"/>
      <c r="G73" s="1631"/>
      <c r="H73" s="2483"/>
      <c r="I73" s="42"/>
      <c r="J73" s="42"/>
      <c r="K73" s="1580"/>
      <c r="L73" s="1580"/>
      <c r="M73" s="1580"/>
      <c r="N73" s="1580"/>
      <c r="O73" s="1580"/>
      <c r="P73" s="1580"/>
      <c r="Q73" s="1580"/>
      <c r="R73" s="1580"/>
    </row>
    <row r="74" customFormat="false" ht="15.75" hidden="false" customHeight="false" outlineLevel="0" collapsed="false">
      <c r="A74" s="2492"/>
      <c r="B74" s="2492"/>
      <c r="C74" s="2493"/>
      <c r="D74" s="2459"/>
      <c r="E74" s="2459"/>
      <c r="F74" s="2459"/>
      <c r="G74" s="1631"/>
      <c r="H74" s="2483"/>
      <c r="I74" s="42"/>
      <c r="J74" s="42"/>
      <c r="K74" s="1580"/>
      <c r="L74" s="1580"/>
      <c r="M74" s="1580"/>
      <c r="N74" s="1580"/>
      <c r="O74" s="1580"/>
      <c r="P74" s="1580"/>
      <c r="Q74" s="1580"/>
      <c r="R74" s="1580"/>
    </row>
    <row r="75" customFormat="false" ht="15.75" hidden="false" customHeight="false" outlineLevel="0" collapsed="false">
      <c r="A75" s="2494"/>
      <c r="B75" s="2494"/>
      <c r="C75" s="2487"/>
      <c r="D75" s="53"/>
      <c r="E75" s="53"/>
      <c r="F75" s="2487"/>
      <c r="G75" s="42"/>
      <c r="H75" s="2483"/>
      <c r="I75" s="42"/>
      <c r="J75" s="42"/>
      <c r="K75" s="1580"/>
      <c r="L75" s="1580"/>
      <c r="M75" s="1580"/>
      <c r="N75" s="1580"/>
      <c r="O75" s="1580"/>
      <c r="P75" s="1580"/>
      <c r="Q75" s="1580"/>
      <c r="R75" s="1580"/>
    </row>
    <row r="76" customFormat="false" ht="15.75" hidden="false" customHeight="false" outlineLevel="0" collapsed="false">
      <c r="A76" s="2495" t="s">
        <v>229</v>
      </c>
      <c r="B76" s="2495"/>
      <c r="C76" s="2495"/>
      <c r="D76" s="2495"/>
      <c r="E76" s="2495"/>
      <c r="F76" s="2495"/>
      <c r="G76" s="1348" t="str">
        <f aca="false">связи1!H91</f>
        <v>Считать </v>
      </c>
      <c r="H76" s="42" t="s">
        <v>3930</v>
      </c>
      <c r="I76" s="42"/>
      <c r="J76" s="42"/>
      <c r="K76" s="1580"/>
      <c r="L76" s="1580"/>
      <c r="M76" s="1580"/>
      <c r="N76" s="1580"/>
      <c r="O76" s="1580"/>
      <c r="P76" s="1580"/>
      <c r="Q76" s="1580"/>
      <c r="R76" s="1580"/>
    </row>
    <row r="77" customFormat="false" ht="15.75" hidden="false" customHeight="false" outlineLevel="0" collapsed="false">
      <c r="A77" s="2496" t="s">
        <v>2902</v>
      </c>
      <c r="B77" s="2496"/>
      <c r="C77" s="2496"/>
      <c r="D77" s="2497" t="s">
        <v>15</v>
      </c>
      <c r="E77" s="2497" t="n">
        <f aca="false">E80*4+E79*2</f>
        <v>41.6124969497314</v>
      </c>
      <c r="F77" s="2467"/>
      <c r="G77" s="42"/>
      <c r="H77" s="2478"/>
      <c r="I77" s="42"/>
      <c r="J77" s="42"/>
      <c r="K77" s="1580"/>
      <c r="L77" s="1580"/>
      <c r="M77" s="1580"/>
      <c r="N77" s="1580"/>
      <c r="O77" s="1580"/>
      <c r="P77" s="1580"/>
      <c r="Q77" s="1580"/>
      <c r="R77" s="1580"/>
    </row>
    <row r="78" customFormat="false" ht="15.75" hidden="false" customHeight="false" outlineLevel="0" collapsed="false">
      <c r="A78" s="2498" t="s">
        <v>3586</v>
      </c>
      <c r="B78" s="2498"/>
      <c r="C78" s="2498"/>
      <c r="D78" s="2498"/>
      <c r="E78" s="1965" t="n">
        <f aca="false">E8</f>
        <v>5</v>
      </c>
      <c r="F78" s="42"/>
      <c r="G78" s="42"/>
      <c r="H78" s="2478"/>
      <c r="I78" s="42"/>
      <c r="J78" s="42"/>
      <c r="K78" s="1580"/>
      <c r="L78" s="1580"/>
      <c r="M78" s="1580"/>
      <c r="N78" s="1580"/>
      <c r="O78" s="1580"/>
      <c r="P78" s="1580"/>
      <c r="Q78" s="1580"/>
      <c r="R78" s="1580"/>
    </row>
    <row r="79" customFormat="false" ht="15.75" hidden="false" customHeight="false" outlineLevel="0" collapsed="false">
      <c r="A79" s="861" t="s">
        <v>3585</v>
      </c>
      <c r="B79" s="861"/>
      <c r="C79" s="861"/>
      <c r="D79" s="864" t="s">
        <v>15</v>
      </c>
      <c r="E79" s="864" t="n">
        <f aca="false">E4</f>
        <v>8</v>
      </c>
      <c r="F79" s="2499"/>
      <c r="G79" s="42"/>
      <c r="H79" s="2478"/>
      <c r="I79" s="42"/>
      <c r="J79" s="42"/>
      <c r="K79" s="1580"/>
      <c r="L79" s="1580"/>
      <c r="M79" s="1580"/>
      <c r="N79" s="1580"/>
      <c r="O79" s="1580"/>
      <c r="P79" s="1580"/>
      <c r="Q79" s="1580"/>
      <c r="R79" s="1580"/>
    </row>
    <row r="80" customFormat="false" ht="15.75" hidden="false" customHeight="false" outlineLevel="0" collapsed="false">
      <c r="A80" s="861" t="s">
        <v>2798</v>
      </c>
      <c r="B80" s="861"/>
      <c r="C80" s="861"/>
      <c r="D80" s="864" t="s">
        <v>15</v>
      </c>
      <c r="E80" s="864" t="n">
        <f aca="false">SQRT((E3/2)*(E3/2)+E8*E8)</f>
        <v>6.40312423743285</v>
      </c>
      <c r="F80" s="2499"/>
      <c r="G80" s="42"/>
      <c r="H80" s="2478"/>
      <c r="I80" s="42"/>
      <c r="J80" s="42"/>
      <c r="K80" s="1580"/>
      <c r="L80" s="1580"/>
      <c r="M80" s="1580"/>
      <c r="N80" s="1580"/>
      <c r="O80" s="1580"/>
      <c r="P80" s="1580"/>
      <c r="Q80" s="1580"/>
      <c r="R80" s="1580"/>
    </row>
    <row r="81" customFormat="false" ht="15.75" hidden="false" customHeight="false" outlineLevel="0" collapsed="false">
      <c r="A81" s="861" t="s">
        <v>231</v>
      </c>
      <c r="B81" s="861"/>
      <c r="C81" s="861"/>
      <c r="D81" s="864" t="s">
        <v>15</v>
      </c>
      <c r="E81" s="2458" t="n">
        <f aca="false">'Ввод данных'!C296</f>
        <v>0.5</v>
      </c>
      <c r="F81" s="2500"/>
      <c r="G81" s="42"/>
      <c r="H81" s="2478"/>
      <c r="I81" s="42"/>
      <c r="J81" s="42"/>
      <c r="K81" s="1580"/>
      <c r="L81" s="1580"/>
      <c r="M81" s="1580"/>
      <c r="N81" s="1580"/>
      <c r="O81" s="1580"/>
      <c r="P81" s="1580"/>
      <c r="Q81" s="1580"/>
      <c r="R81" s="1580"/>
    </row>
    <row r="82" customFormat="false" ht="15.75" hidden="false" customHeight="false" outlineLevel="0" collapsed="false">
      <c r="A82" s="861" t="s">
        <v>197</v>
      </c>
      <c r="B82" s="861"/>
      <c r="C82" s="861"/>
      <c r="D82" s="864" t="s">
        <v>15</v>
      </c>
      <c r="E82" s="2458" t="n">
        <f aca="false">'Ввод данных'!C298</f>
        <v>0.5</v>
      </c>
      <c r="F82" s="2500"/>
      <c r="G82" s="42"/>
      <c r="H82" s="2478"/>
      <c r="I82" s="42"/>
      <c r="J82" s="42"/>
      <c r="K82" s="1580"/>
      <c r="L82" s="1580"/>
      <c r="M82" s="1580"/>
      <c r="N82" s="1580"/>
      <c r="O82" s="1580"/>
      <c r="P82" s="1580"/>
      <c r="Q82" s="1580"/>
      <c r="R82" s="1580"/>
    </row>
    <row r="83" customFormat="false" ht="15.75" hidden="false" customHeight="false" outlineLevel="0" collapsed="false">
      <c r="A83" s="1413" t="s">
        <v>3933</v>
      </c>
      <c r="B83" s="1413"/>
      <c r="C83" s="1413"/>
      <c r="D83" s="2486" t="s">
        <v>15</v>
      </c>
      <c r="E83" s="1965" t="n">
        <f aca="false">E80+E82</f>
        <v>6.90312423743285</v>
      </c>
      <c r="F83" s="42"/>
      <c r="G83" s="42"/>
      <c r="H83" s="2478"/>
      <c r="I83" s="42"/>
      <c r="J83" s="42"/>
      <c r="K83" s="1580"/>
      <c r="L83" s="1580"/>
      <c r="M83" s="1580"/>
      <c r="N83" s="1580"/>
      <c r="O83" s="1580"/>
      <c r="P83" s="1580"/>
      <c r="Q83" s="1580"/>
      <c r="R83" s="1580"/>
    </row>
    <row r="84" customFormat="false" ht="15.75" hidden="false" customHeight="false" outlineLevel="0" collapsed="false">
      <c r="A84" s="1413" t="s">
        <v>3934</v>
      </c>
      <c r="B84" s="1413"/>
      <c r="C84" s="1413"/>
      <c r="D84" s="2486" t="s">
        <v>15</v>
      </c>
      <c r="E84" s="1965" t="n">
        <f aca="false">E79+E81+E81</f>
        <v>9</v>
      </c>
      <c r="F84" s="42"/>
      <c r="G84" s="42"/>
      <c r="H84" s="2478"/>
      <c r="I84" s="42"/>
      <c r="J84" s="42"/>
      <c r="K84" s="1580"/>
      <c r="L84" s="1580"/>
      <c r="M84" s="1580"/>
      <c r="N84" s="1580"/>
      <c r="O84" s="1580"/>
      <c r="P84" s="1580"/>
      <c r="Q84" s="1580"/>
      <c r="R84" s="1580"/>
    </row>
    <row r="85" customFormat="false" ht="15.75" hidden="false" customHeight="false" outlineLevel="0" collapsed="false">
      <c r="A85" s="861" t="s">
        <v>3935</v>
      </c>
      <c r="B85" s="861"/>
      <c r="C85" s="861"/>
      <c r="D85" s="864" t="s">
        <v>820</v>
      </c>
      <c r="E85" s="864" t="n">
        <f aca="false">E80*E79*2</f>
        <v>102.449987798926</v>
      </c>
      <c r="F85" s="2500"/>
      <c r="G85" s="42"/>
      <c r="H85" s="2478"/>
      <c r="I85" s="42"/>
      <c r="J85" s="42"/>
      <c r="K85" s="1580"/>
      <c r="L85" s="1580"/>
      <c r="M85" s="1580"/>
      <c r="N85" s="1580"/>
      <c r="O85" s="1580"/>
      <c r="P85" s="1580"/>
      <c r="Q85" s="1580"/>
      <c r="R85" s="1580"/>
    </row>
    <row r="86" customFormat="false" ht="15.75" hidden="false" customHeight="false" outlineLevel="0" collapsed="false">
      <c r="A86" s="861" t="s">
        <v>3662</v>
      </c>
      <c r="B86" s="861"/>
      <c r="C86" s="861"/>
      <c r="D86" s="864" t="s">
        <v>820</v>
      </c>
      <c r="E86" s="864" t="n">
        <f aca="false">(E80*E81)*4+(E79+E81+E81)*E82*2</f>
        <v>21.8062484748657</v>
      </c>
      <c r="F86" s="2501"/>
      <c r="G86" s="42"/>
      <c r="H86" s="2478"/>
      <c r="I86" s="42"/>
      <c r="J86" s="42"/>
      <c r="K86" s="1580"/>
      <c r="L86" s="1580"/>
      <c r="M86" s="1580"/>
      <c r="N86" s="1580"/>
      <c r="O86" s="1580"/>
      <c r="P86" s="1580"/>
      <c r="Q86" s="1580"/>
      <c r="R86" s="1580"/>
    </row>
    <row r="87" customFormat="false" ht="15.75" hidden="false" customHeight="false" outlineLevel="0" collapsed="false">
      <c r="A87" s="861" t="s">
        <v>3936</v>
      </c>
      <c r="B87" s="861"/>
      <c r="C87" s="861"/>
      <c r="D87" s="864" t="s">
        <v>820</v>
      </c>
      <c r="E87" s="864" t="n">
        <f aca="false">E85+E86</f>
        <v>124.256236273791</v>
      </c>
      <c r="F87" s="2501"/>
      <c r="G87" s="42"/>
      <c r="H87" s="2478"/>
      <c r="I87" s="42"/>
      <c r="J87" s="42"/>
      <c r="K87" s="1580"/>
      <c r="L87" s="1580"/>
      <c r="M87" s="1580"/>
      <c r="N87" s="1580"/>
      <c r="O87" s="1580"/>
      <c r="P87" s="1580"/>
      <c r="Q87" s="1580"/>
      <c r="R87" s="1580"/>
    </row>
    <row r="88" customFormat="false" ht="15.75" hidden="false" customHeight="false" outlineLevel="0" collapsed="false">
      <c r="A88" s="2486" t="s">
        <v>3937</v>
      </c>
      <c r="B88" s="2486"/>
      <c r="C88" s="2486"/>
      <c r="D88" s="2486" t="s">
        <v>820</v>
      </c>
      <c r="E88" s="2486" t="n">
        <f aca="false">E87*1.2</f>
        <v>149.10748352855</v>
      </c>
      <c r="F88" s="42"/>
      <c r="G88" s="42"/>
      <c r="H88" s="2478"/>
      <c r="I88" s="42"/>
      <c r="J88" s="42"/>
      <c r="K88" s="1580"/>
      <c r="L88" s="1580"/>
      <c r="M88" s="1580"/>
      <c r="N88" s="1580"/>
      <c r="O88" s="1580"/>
      <c r="P88" s="1580"/>
      <c r="Q88" s="1580"/>
      <c r="R88" s="1580"/>
    </row>
    <row r="89" customFormat="false" ht="15.75" hidden="false" customHeight="false" outlineLevel="0" collapsed="false">
      <c r="A89" s="1184" t="s">
        <v>2826</v>
      </c>
      <c r="B89" s="2502"/>
      <c r="C89" s="2503"/>
      <c r="D89" s="2486" t="s">
        <v>486</v>
      </c>
      <c r="E89" s="2486"/>
      <c r="F89" s="2467"/>
      <c r="G89" s="42"/>
      <c r="H89" s="2478"/>
      <c r="I89" s="42"/>
      <c r="J89" s="42"/>
      <c r="K89" s="1580"/>
      <c r="L89" s="1580"/>
      <c r="M89" s="1580"/>
      <c r="N89" s="1580"/>
      <c r="O89" s="1580"/>
      <c r="P89" s="1580"/>
      <c r="Q89" s="1580"/>
      <c r="R89" s="1580"/>
    </row>
    <row r="90" customFormat="false" ht="15.75" hidden="false" customHeight="false" outlineLevel="0" collapsed="false">
      <c r="A90" s="1442" t="s">
        <v>3665</v>
      </c>
      <c r="B90" s="2504"/>
      <c r="C90" s="2505"/>
      <c r="D90" s="864" t="s">
        <v>15</v>
      </c>
      <c r="E90" s="864" t="n">
        <v>0.15</v>
      </c>
      <c r="F90" s="2467"/>
      <c r="G90" s="42"/>
      <c r="H90" s="2478"/>
      <c r="I90" s="42"/>
      <c r="J90" s="42"/>
      <c r="K90" s="1580"/>
      <c r="L90" s="1580"/>
      <c r="M90" s="1580"/>
      <c r="N90" s="1580"/>
      <c r="O90" s="1580"/>
      <c r="P90" s="1580"/>
      <c r="Q90" s="1580"/>
      <c r="R90" s="1580"/>
    </row>
    <row r="91" customFormat="false" ht="15.75" hidden="false" customHeight="false" outlineLevel="0" collapsed="false">
      <c r="A91" s="1437"/>
      <c r="B91" s="2506"/>
      <c r="C91" s="2507"/>
      <c r="D91" s="864" t="s">
        <v>15</v>
      </c>
      <c r="E91" s="864" t="n">
        <v>0.2</v>
      </c>
      <c r="F91" s="2467"/>
      <c r="G91" s="2508"/>
      <c r="H91" s="2478"/>
      <c r="I91" s="2508"/>
      <c r="J91" s="2508"/>
      <c r="K91" s="1580"/>
      <c r="L91" s="1580"/>
      <c r="M91" s="1580"/>
      <c r="N91" s="1580"/>
      <c r="O91" s="1580"/>
      <c r="P91" s="1580"/>
      <c r="Q91" s="1580"/>
      <c r="R91" s="1580"/>
    </row>
    <row r="92" customFormat="false" ht="15.75" hidden="false" customHeight="false" outlineLevel="0" collapsed="false">
      <c r="A92" s="1442" t="s">
        <v>2830</v>
      </c>
      <c r="B92" s="2504"/>
      <c r="C92" s="2505"/>
      <c r="D92" s="864" t="s">
        <v>15</v>
      </c>
      <c r="E92" s="864" t="n">
        <v>0.15</v>
      </c>
      <c r="F92" s="2467"/>
      <c r="G92" s="2508"/>
      <c r="H92" s="2478"/>
      <c r="I92" s="2508"/>
      <c r="J92" s="2508"/>
      <c r="K92" s="1580"/>
      <c r="L92" s="1580"/>
      <c r="M92" s="1580"/>
      <c r="N92" s="1580"/>
      <c r="O92" s="1580"/>
      <c r="P92" s="1580"/>
      <c r="Q92" s="1580"/>
      <c r="R92" s="1580"/>
    </row>
    <row r="93" customFormat="false" ht="15.75" hidden="false" customHeight="false" outlineLevel="0" collapsed="false">
      <c r="A93" s="1437"/>
      <c r="B93" s="2506"/>
      <c r="C93" s="2507"/>
      <c r="D93" s="864" t="s">
        <v>15</v>
      </c>
      <c r="E93" s="864" t="n">
        <v>0.2</v>
      </c>
      <c r="F93" s="2467"/>
      <c r="G93" s="2508"/>
      <c r="H93" s="2478"/>
      <c r="I93" s="2508"/>
      <c r="J93" s="2508"/>
      <c r="K93" s="1580"/>
      <c r="L93" s="1580"/>
      <c r="M93" s="1580"/>
      <c r="N93" s="1580"/>
      <c r="O93" s="1580"/>
      <c r="P93" s="1580"/>
      <c r="Q93" s="1580"/>
      <c r="R93" s="1580"/>
    </row>
    <row r="94" customFormat="false" ht="15.75" hidden="false" customHeight="false" outlineLevel="0" collapsed="false">
      <c r="A94" s="2508"/>
      <c r="B94" s="2508"/>
      <c r="C94" s="2508"/>
      <c r="D94" s="2508"/>
      <c r="E94" s="2508"/>
      <c r="F94" s="2508"/>
      <c r="G94" s="2508"/>
      <c r="H94" s="2478"/>
      <c r="I94" s="2508"/>
      <c r="J94" s="2508"/>
      <c r="K94" s="1580"/>
      <c r="L94" s="1580"/>
      <c r="M94" s="1580"/>
      <c r="N94" s="1580"/>
      <c r="O94" s="1580"/>
      <c r="P94" s="1580"/>
      <c r="Q94" s="1580"/>
      <c r="R94" s="1580"/>
    </row>
    <row r="95" customFormat="false" ht="15.75" hidden="false" customHeight="false" outlineLevel="0" collapsed="false">
      <c r="A95" s="2508"/>
      <c r="B95" s="2508"/>
      <c r="C95" s="2508"/>
      <c r="D95" s="2508"/>
      <c r="E95" s="2508"/>
      <c r="F95" s="2508"/>
      <c r="G95" s="2508"/>
      <c r="H95" s="2478"/>
      <c r="I95" s="2508"/>
      <c r="J95" s="2508"/>
      <c r="K95" s="1580"/>
      <c r="L95" s="1580"/>
      <c r="M95" s="1580"/>
      <c r="N95" s="1580"/>
      <c r="O95" s="1580"/>
      <c r="P95" s="1580"/>
      <c r="Q95" s="1580"/>
      <c r="R95" s="1580"/>
    </row>
    <row r="96" customFormat="false" ht="15.75" hidden="false" customHeight="false" outlineLevel="0" collapsed="false">
      <c r="A96" s="2495" t="s">
        <v>244</v>
      </c>
      <c r="B96" s="2495"/>
      <c r="C96" s="2495"/>
      <c r="D96" s="2495"/>
      <c r="E96" s="2495"/>
      <c r="F96" s="2495"/>
      <c r="G96" s="1348" t="str">
        <f aca="false">связи1!H93</f>
        <v>Считать </v>
      </c>
      <c r="H96" s="42" t="s">
        <v>3990</v>
      </c>
      <c r="I96" s="2508"/>
      <c r="J96" s="2508"/>
      <c r="K96" s="1580"/>
      <c r="L96" s="1580"/>
      <c r="M96" s="1580"/>
      <c r="N96" s="1580"/>
      <c r="O96" s="1580"/>
      <c r="P96" s="1580"/>
      <c r="Q96" s="1580"/>
      <c r="R96" s="1580"/>
    </row>
    <row r="97" customFormat="false" ht="23.25" hidden="false" customHeight="false" outlineLevel="0" collapsed="false">
      <c r="A97" s="2496" t="s">
        <v>2902</v>
      </c>
      <c r="B97" s="2496"/>
      <c r="C97" s="2496"/>
      <c r="D97" s="2509" t="s">
        <v>15</v>
      </c>
      <c r="E97" s="2510" t="n">
        <f aca="false">E3+E4+E3+E4</f>
        <v>32</v>
      </c>
      <c r="F97" s="2511"/>
      <c r="G97" s="2512"/>
      <c r="H97" s="2478"/>
      <c r="I97" s="2508"/>
      <c r="J97" s="2508"/>
      <c r="K97" s="1580"/>
      <c r="L97" s="1580"/>
      <c r="M97" s="1580"/>
      <c r="N97" s="1580"/>
      <c r="O97" s="1580"/>
      <c r="P97" s="1580"/>
      <c r="Q97" s="1580"/>
      <c r="R97" s="1580"/>
    </row>
    <row r="98" customFormat="false" ht="15.75" hidden="false" customHeight="false" outlineLevel="0" collapsed="false">
      <c r="A98" s="2513" t="s">
        <v>3991</v>
      </c>
      <c r="B98" s="2513"/>
      <c r="C98" s="2513"/>
      <c r="D98" s="2514" t="s">
        <v>15</v>
      </c>
      <c r="E98" s="2515" t="n">
        <f aca="false">E4</f>
        <v>8</v>
      </c>
      <c r="F98" s="2508"/>
      <c r="G98" s="2508"/>
      <c r="H98" s="2516"/>
      <c r="I98" s="2508"/>
      <c r="J98" s="2508"/>
      <c r="K98" s="1580"/>
      <c r="L98" s="1580"/>
      <c r="M98" s="1580"/>
      <c r="N98" s="1580"/>
      <c r="O98" s="1580"/>
      <c r="P98" s="1580"/>
      <c r="Q98" s="1580"/>
      <c r="R98" s="1580"/>
    </row>
    <row r="99" customFormat="false" ht="15.75" hidden="false" customHeight="false" outlineLevel="0" collapsed="false">
      <c r="A99" s="2513" t="s">
        <v>3992</v>
      </c>
      <c r="B99" s="2513"/>
      <c r="C99" s="2513"/>
      <c r="D99" s="2514" t="s">
        <v>15</v>
      </c>
      <c r="E99" s="2515" t="n">
        <f aca="false">E3</f>
        <v>8</v>
      </c>
      <c r="F99" s="2517"/>
      <c r="G99" s="2517"/>
      <c r="H99" s="2516"/>
      <c r="I99" s="2508"/>
      <c r="J99" s="2508"/>
      <c r="K99" s="1580"/>
      <c r="L99" s="1580"/>
      <c r="M99" s="1580"/>
      <c r="N99" s="1580"/>
      <c r="O99" s="1580"/>
      <c r="P99" s="1580"/>
      <c r="Q99" s="1580"/>
      <c r="R99" s="1580"/>
    </row>
    <row r="100" customFormat="false" ht="15.75" hidden="false" customHeight="false" outlineLevel="0" collapsed="false">
      <c r="A100" s="2498" t="s">
        <v>3586</v>
      </c>
      <c r="B100" s="2498"/>
      <c r="C100" s="2498"/>
      <c r="D100" s="2498"/>
      <c r="E100" s="2518" t="n">
        <f aca="false">E8</f>
        <v>5</v>
      </c>
      <c r="F100" s="2517"/>
      <c r="G100" s="2517"/>
      <c r="H100" s="2516"/>
      <c r="I100" s="2508"/>
      <c r="J100" s="2508"/>
      <c r="K100" s="1580"/>
      <c r="L100" s="1580"/>
      <c r="M100" s="1580"/>
      <c r="N100" s="1580"/>
      <c r="O100" s="1580"/>
      <c r="P100" s="1580"/>
      <c r="Q100" s="1580"/>
      <c r="R100" s="1580"/>
    </row>
    <row r="101" customFormat="false" ht="15.75" hidden="false" customHeight="false" outlineLevel="0" collapsed="false">
      <c r="A101" s="861" t="s">
        <v>245</v>
      </c>
      <c r="B101" s="861"/>
      <c r="C101" s="861"/>
      <c r="D101" s="862" t="s">
        <v>15</v>
      </c>
      <c r="E101" s="2458" t="n">
        <f aca="false">'Ввод данных'!C338</f>
        <v>5</v>
      </c>
      <c r="F101" s="2400"/>
      <c r="G101" s="2400"/>
      <c r="H101" s="2516"/>
      <c r="I101" s="2508"/>
      <c r="J101" s="2508"/>
      <c r="K101" s="1580"/>
      <c r="L101" s="1580"/>
      <c r="M101" s="1580"/>
      <c r="N101" s="1580"/>
      <c r="O101" s="1580"/>
      <c r="P101" s="1580"/>
      <c r="Q101" s="1580"/>
      <c r="R101" s="1580"/>
    </row>
    <row r="102" customFormat="false" ht="15.75" hidden="false" customHeight="false" outlineLevel="0" collapsed="false">
      <c r="A102" s="861" t="s">
        <v>3993</v>
      </c>
      <c r="B102" s="861"/>
      <c r="C102" s="861"/>
      <c r="D102" s="862" t="s">
        <v>15</v>
      </c>
      <c r="E102" s="2519" t="n">
        <f aca="false">SQRT(E100*E100+((E99/2)+E104)*((E99/2)+E104))</f>
        <v>6.72681202353686</v>
      </c>
      <c r="F102" s="2400"/>
      <c r="G102" s="2400"/>
      <c r="H102" s="2516"/>
      <c r="I102" s="2508"/>
      <c r="J102" s="2508"/>
      <c r="K102" s="1580"/>
      <c r="L102" s="1580"/>
      <c r="M102" s="1580"/>
      <c r="N102" s="1580"/>
      <c r="O102" s="1580"/>
      <c r="P102" s="1580"/>
      <c r="Q102" s="1580"/>
      <c r="R102" s="1580"/>
    </row>
    <row r="103" customFormat="false" ht="15.75" hidden="false" customHeight="false" outlineLevel="0" collapsed="false">
      <c r="A103" s="861" t="s">
        <v>3994</v>
      </c>
      <c r="B103" s="861"/>
      <c r="C103" s="861"/>
      <c r="D103" s="862" t="s">
        <v>15</v>
      </c>
      <c r="E103" s="2519" t="n">
        <f aca="false">SQRT(E100*E100+((E98-E101)/2)*((E98-E101)/2))</f>
        <v>5.22015325445528</v>
      </c>
      <c r="F103" s="2520"/>
      <c r="G103" s="2521"/>
      <c r="H103" s="2516"/>
      <c r="I103" s="2508"/>
      <c r="J103" s="2508"/>
      <c r="K103" s="1580"/>
      <c r="L103" s="1580"/>
      <c r="M103" s="1580"/>
      <c r="N103" s="1580"/>
      <c r="O103" s="1580"/>
      <c r="P103" s="1580"/>
      <c r="Q103" s="1580"/>
      <c r="R103" s="1580"/>
    </row>
    <row r="104" customFormat="false" ht="15.75" hidden="false" customHeight="false" outlineLevel="0" collapsed="false">
      <c r="A104" s="861" t="s">
        <v>231</v>
      </c>
      <c r="B104" s="861"/>
      <c r="C104" s="861"/>
      <c r="D104" s="862" t="s">
        <v>15</v>
      </c>
      <c r="E104" s="2458" t="n">
        <f aca="false">'Ввод данных'!C339</f>
        <v>0.5</v>
      </c>
      <c r="F104" s="2520"/>
      <c r="G104" s="2521"/>
      <c r="H104" s="2516"/>
      <c r="I104" s="2508"/>
      <c r="J104" s="2508"/>
      <c r="K104" s="1580"/>
      <c r="L104" s="1580"/>
      <c r="M104" s="1580"/>
      <c r="N104" s="1580"/>
      <c r="O104" s="1580"/>
      <c r="P104" s="1580"/>
      <c r="Q104" s="1580"/>
      <c r="R104" s="1580"/>
    </row>
    <row r="105" customFormat="false" ht="15.75" hidden="false" customHeight="false" outlineLevel="0" collapsed="false">
      <c r="A105" s="861" t="s">
        <v>197</v>
      </c>
      <c r="B105" s="861"/>
      <c r="C105" s="861"/>
      <c r="D105" s="862" t="s">
        <v>15</v>
      </c>
      <c r="E105" s="2458" t="n">
        <f aca="false">'Ввод данных'!C340</f>
        <v>0.5</v>
      </c>
      <c r="F105" s="2520"/>
      <c r="G105" s="2521"/>
      <c r="H105" s="2516"/>
      <c r="I105" s="2508"/>
      <c r="J105" s="2508"/>
      <c r="K105" s="1580"/>
      <c r="L105" s="1580"/>
      <c r="M105" s="1580"/>
      <c r="N105" s="1580"/>
      <c r="O105" s="1580"/>
      <c r="P105" s="1580"/>
      <c r="Q105" s="1580"/>
      <c r="R105" s="1580"/>
    </row>
    <row r="106" customFormat="false" ht="15.75" hidden="false" customHeight="false" outlineLevel="0" collapsed="false">
      <c r="A106" s="2513" t="s">
        <v>3995</v>
      </c>
      <c r="B106" s="2513"/>
      <c r="C106" s="2513"/>
      <c r="D106" s="2514" t="s">
        <v>15</v>
      </c>
      <c r="E106" s="2515" t="n">
        <f aca="false">SQRT(G103*G103+((E99/2)+E104)*((E99/2)+E104))</f>
        <v>4.5</v>
      </c>
      <c r="F106" s="2517"/>
      <c r="G106" s="2517"/>
      <c r="H106" s="2516"/>
      <c r="I106" s="2508"/>
      <c r="J106" s="2508"/>
      <c r="K106" s="1580"/>
      <c r="L106" s="1580"/>
      <c r="M106" s="1580"/>
      <c r="N106" s="1580"/>
      <c r="O106" s="1580"/>
      <c r="P106" s="1580"/>
      <c r="Q106" s="1580"/>
      <c r="R106" s="1580"/>
    </row>
    <row r="107" customFormat="false" ht="15.75" hidden="false" customHeight="false" outlineLevel="0" collapsed="false">
      <c r="A107" s="861" t="s">
        <v>3662</v>
      </c>
      <c r="B107" s="861"/>
      <c r="C107" s="861"/>
      <c r="D107" s="862" t="s">
        <v>820</v>
      </c>
      <c r="E107" s="2519" t="n">
        <f aca="false">(E99+E104+E104)*E105*2+E98*2*E104</f>
        <v>17</v>
      </c>
      <c r="F107" s="2522"/>
      <c r="G107" s="2521"/>
      <c r="H107" s="2516"/>
      <c r="I107" s="42"/>
      <c r="J107" s="42"/>
      <c r="K107" s="1580"/>
      <c r="L107" s="1580"/>
      <c r="M107" s="1580"/>
      <c r="N107" s="1580"/>
      <c r="O107" s="1580"/>
      <c r="P107" s="1580"/>
      <c r="Q107" s="1580"/>
      <c r="R107" s="1580"/>
    </row>
    <row r="108" customFormat="false" ht="15.75" hidden="false" customHeight="false" outlineLevel="0" collapsed="false">
      <c r="A108" s="861" t="s">
        <v>3996</v>
      </c>
      <c r="B108" s="861"/>
      <c r="C108" s="861"/>
      <c r="D108" s="2514" t="s">
        <v>820</v>
      </c>
      <c r="E108" s="2515" t="n">
        <f aca="false">((E99/2)+E104)*E103*2+((E98+E105+E105-E101)/2)*((E98+E105+E105-E101)/2)*4+E101*E102*2</f>
        <v>130.249499525466</v>
      </c>
      <c r="F108" s="2508"/>
      <c r="G108" s="2508"/>
      <c r="H108" s="2516"/>
      <c r="I108" s="42"/>
      <c r="J108" s="42"/>
      <c r="K108" s="1580"/>
      <c r="L108" s="1580"/>
      <c r="M108" s="1580"/>
      <c r="N108" s="1580"/>
      <c r="O108" s="1580"/>
      <c r="P108" s="1580"/>
      <c r="Q108" s="1580"/>
      <c r="R108" s="1580"/>
    </row>
    <row r="109" customFormat="false" ht="15.75" hidden="false" customHeight="false" outlineLevel="0" collapsed="false">
      <c r="A109" s="861" t="s">
        <v>3937</v>
      </c>
      <c r="B109" s="861"/>
      <c r="C109" s="861"/>
      <c r="D109" s="862" t="s">
        <v>820</v>
      </c>
      <c r="E109" s="2519" t="n">
        <f aca="false">E108*1.5</f>
        <v>195.374249288199</v>
      </c>
      <c r="F109" s="2467"/>
      <c r="G109" s="2521"/>
      <c r="H109" s="2516"/>
      <c r="I109" s="42"/>
      <c r="J109" s="42"/>
      <c r="K109" s="1580"/>
      <c r="L109" s="1580"/>
      <c r="M109" s="1580"/>
      <c r="N109" s="1580"/>
      <c r="O109" s="1580"/>
      <c r="P109" s="1580"/>
      <c r="Q109" s="1580"/>
      <c r="R109" s="1580"/>
    </row>
    <row r="110" customFormat="false" ht="15.75" hidden="false" customHeight="false" outlineLevel="0" collapsed="false">
      <c r="A110" s="1413" t="s">
        <v>2826</v>
      </c>
      <c r="B110" s="1413"/>
      <c r="C110" s="1413"/>
      <c r="D110" s="1413" t="s">
        <v>486</v>
      </c>
      <c r="E110" s="2518"/>
      <c r="F110" s="2467"/>
      <c r="G110" s="2521"/>
      <c r="H110" s="2516"/>
      <c r="I110" s="42"/>
      <c r="J110" s="42"/>
      <c r="K110" s="1580"/>
      <c r="L110" s="1580"/>
      <c r="M110" s="1580"/>
      <c r="N110" s="1580"/>
      <c r="O110" s="1580"/>
      <c r="P110" s="1580"/>
      <c r="Q110" s="1580"/>
      <c r="R110" s="1580"/>
    </row>
    <row r="111" customFormat="false" ht="15.75" hidden="false" customHeight="false" outlineLevel="0" collapsed="false">
      <c r="A111" s="862" t="s">
        <v>3665</v>
      </c>
      <c r="B111" s="862"/>
      <c r="C111" s="862"/>
      <c r="D111" s="864" t="s">
        <v>15</v>
      </c>
      <c r="E111" s="1438" t="n">
        <v>0.15</v>
      </c>
      <c r="F111" s="2467"/>
      <c r="G111" s="2521"/>
      <c r="H111" s="2516"/>
      <c r="I111" s="42"/>
      <c r="J111" s="42"/>
      <c r="K111" s="1580"/>
      <c r="L111" s="1580"/>
      <c r="M111" s="1580"/>
      <c r="N111" s="1580"/>
      <c r="O111" s="1580"/>
      <c r="P111" s="1580"/>
      <c r="Q111" s="1580"/>
      <c r="R111" s="1580"/>
    </row>
    <row r="112" customFormat="false" ht="15.75" hidden="false" customHeight="false" outlineLevel="0" collapsed="false">
      <c r="A112" s="862"/>
      <c r="B112" s="862"/>
      <c r="C112" s="862"/>
      <c r="D112" s="864" t="s">
        <v>15</v>
      </c>
      <c r="E112" s="1438" t="n">
        <v>0.2</v>
      </c>
      <c r="F112" s="2467"/>
      <c r="G112" s="2521"/>
      <c r="H112" s="2516"/>
      <c r="I112" s="42"/>
      <c r="J112" s="42"/>
      <c r="K112" s="1580"/>
      <c r="L112" s="1580"/>
      <c r="M112" s="1580"/>
      <c r="N112" s="1580"/>
      <c r="O112" s="1580"/>
      <c r="P112" s="1580"/>
      <c r="Q112" s="1580"/>
      <c r="R112" s="1580"/>
    </row>
    <row r="113" customFormat="false" ht="15.75" hidden="false" customHeight="false" outlineLevel="0" collapsed="false">
      <c r="A113" s="862" t="s">
        <v>2830</v>
      </c>
      <c r="B113" s="862"/>
      <c r="C113" s="862"/>
      <c r="D113" s="864" t="s">
        <v>15</v>
      </c>
      <c r="E113" s="1438" t="n">
        <v>0.15</v>
      </c>
      <c r="F113" s="2467"/>
      <c r="G113" s="2521"/>
      <c r="H113" s="2478"/>
      <c r="I113" s="42"/>
      <c r="J113" s="42"/>
      <c r="K113" s="1580"/>
      <c r="L113" s="1580"/>
      <c r="M113" s="1580"/>
      <c r="N113" s="1580"/>
      <c r="O113" s="1580"/>
      <c r="P113" s="1580"/>
      <c r="Q113" s="1580"/>
      <c r="R113" s="1580"/>
    </row>
    <row r="114" customFormat="false" ht="15.75" hidden="false" customHeight="false" outlineLevel="0" collapsed="false">
      <c r="A114" s="862"/>
      <c r="B114" s="862"/>
      <c r="C114" s="862"/>
      <c r="D114" s="864" t="s">
        <v>15</v>
      </c>
      <c r="E114" s="1438" t="n">
        <v>0.2</v>
      </c>
      <c r="F114" s="2467"/>
      <c r="G114" s="2521"/>
      <c r="H114" s="2478"/>
      <c r="I114" s="42"/>
      <c r="J114" s="42"/>
      <c r="K114" s="1580"/>
      <c r="L114" s="1580"/>
      <c r="M114" s="1580"/>
      <c r="N114" s="1580"/>
      <c r="O114" s="1580"/>
      <c r="P114" s="1580"/>
      <c r="Q114" s="1580"/>
      <c r="R114" s="1580"/>
    </row>
    <row r="115" customFormat="false" ht="15.75" hidden="false" customHeight="false" outlineLevel="0" collapsed="false">
      <c r="A115" s="2523"/>
      <c r="B115" s="2523"/>
      <c r="C115" s="2523"/>
      <c r="D115" s="2524"/>
      <c r="E115" s="2037"/>
      <c r="F115" s="2525"/>
      <c r="G115" s="2521"/>
      <c r="H115" s="2478"/>
      <c r="I115" s="42"/>
      <c r="J115" s="42"/>
      <c r="K115" s="1580"/>
      <c r="L115" s="1580"/>
      <c r="M115" s="1580"/>
      <c r="N115" s="1580"/>
      <c r="O115" s="1580"/>
      <c r="P115" s="1580"/>
      <c r="Q115" s="1580"/>
      <c r="R115" s="1580"/>
    </row>
    <row r="116" customFormat="false" ht="15.75" hidden="false" customHeight="false" outlineLevel="0" collapsed="false">
      <c r="A116" s="2523"/>
      <c r="B116" s="2523"/>
      <c r="C116" s="2523"/>
      <c r="D116" s="2524"/>
      <c r="E116" s="2037"/>
      <c r="F116" s="2525"/>
      <c r="G116" s="2521"/>
      <c r="H116" s="2478"/>
      <c r="I116" s="42"/>
      <c r="J116" s="42"/>
      <c r="K116" s="1580"/>
      <c r="L116" s="1580"/>
      <c r="M116" s="1580"/>
      <c r="N116" s="1580"/>
      <c r="O116" s="1580"/>
      <c r="P116" s="1580"/>
      <c r="Q116" s="1580"/>
      <c r="R116" s="1580"/>
    </row>
    <row r="117" customFormat="false" ht="15.75" hidden="false" customHeight="false" outlineLevel="0" collapsed="false">
      <c r="A117" s="42"/>
      <c r="B117" s="42"/>
      <c r="C117" s="42"/>
      <c r="D117" s="42"/>
      <c r="E117" s="42"/>
      <c r="F117" s="42"/>
      <c r="G117" s="2521"/>
      <c r="H117" s="2478"/>
      <c r="I117" s="42"/>
      <c r="J117" s="42"/>
      <c r="K117" s="1580"/>
      <c r="L117" s="1580"/>
      <c r="M117" s="1580"/>
      <c r="N117" s="1580"/>
      <c r="O117" s="1580"/>
      <c r="P117" s="1580"/>
      <c r="Q117" s="1580"/>
      <c r="R117" s="1580"/>
    </row>
    <row r="118" customFormat="false" ht="15.75" hidden="false" customHeight="false" outlineLevel="0" collapsed="false">
      <c r="A118" s="2524"/>
      <c r="B118" s="2524"/>
      <c r="C118" s="918"/>
      <c r="D118" s="2526"/>
      <c r="E118" s="2526"/>
      <c r="F118" s="2487"/>
      <c r="G118" s="42"/>
      <c r="H118" s="2516"/>
      <c r="I118" s="42"/>
      <c r="J118" s="42"/>
      <c r="K118" s="1580"/>
      <c r="L118" s="1580"/>
      <c r="M118" s="1580"/>
      <c r="N118" s="1580"/>
      <c r="O118" s="1580"/>
      <c r="P118" s="1580"/>
      <c r="Q118" s="1580"/>
      <c r="R118" s="1580"/>
    </row>
    <row r="119" customFormat="false" ht="15.75" hidden="false" customHeight="false" outlineLevel="0" collapsed="false">
      <c r="A119" s="2495" t="s">
        <v>266</v>
      </c>
      <c r="B119" s="2495"/>
      <c r="C119" s="2495"/>
      <c r="D119" s="2495"/>
      <c r="E119" s="2495"/>
      <c r="F119" s="2495"/>
      <c r="G119" s="1348" t="str">
        <f aca="false">'Ввод данных'!F443</f>
        <v>Не считать</v>
      </c>
      <c r="H119" s="42" t="s">
        <v>3997</v>
      </c>
      <c r="I119" s="42"/>
      <c r="J119" s="42"/>
      <c r="K119" s="1580"/>
      <c r="L119" s="1580"/>
      <c r="M119" s="1580"/>
      <c r="N119" s="1580"/>
      <c r="O119" s="1580"/>
      <c r="P119" s="1580"/>
      <c r="Q119" s="1580"/>
      <c r="R119" s="1580"/>
    </row>
    <row r="120" customFormat="false" ht="15.75" hidden="false" customHeight="false" outlineLevel="0" collapsed="false">
      <c r="A120" s="2495" t="s">
        <v>161</v>
      </c>
      <c r="B120" s="2495"/>
      <c r="C120" s="2495"/>
      <c r="D120" s="2495" t="s">
        <v>12</v>
      </c>
      <c r="E120" s="2495" t="s">
        <v>118</v>
      </c>
      <c r="F120" s="2495"/>
      <c r="G120" s="53"/>
      <c r="H120" s="42"/>
      <c r="I120" s="42"/>
      <c r="J120" s="42"/>
      <c r="K120" s="1580"/>
      <c r="L120" s="1580"/>
      <c r="M120" s="1580"/>
      <c r="N120" s="1580"/>
      <c r="O120" s="1580"/>
      <c r="P120" s="1580"/>
      <c r="Q120" s="1580"/>
      <c r="R120" s="1580"/>
    </row>
    <row r="121" customFormat="false" ht="15.75" hidden="false" customHeight="false" outlineLevel="0" collapsed="false">
      <c r="A121" s="1413" t="s">
        <v>3047</v>
      </c>
      <c r="B121" s="1413"/>
      <c r="C121" s="1413"/>
      <c r="D121" s="1304" t="s">
        <v>48</v>
      </c>
      <c r="E121" s="2486" t="n">
        <v>1</v>
      </c>
      <c r="F121" s="2467" t="e">
        <f aca="false">'ввод данных'!#ref!</f>
        <v>#VALUE!</v>
      </c>
      <c r="G121" s="42"/>
      <c r="H121" s="42"/>
      <c r="I121" s="42"/>
      <c r="J121" s="42"/>
      <c r="K121" s="1580"/>
      <c r="L121" s="1580"/>
      <c r="M121" s="1580"/>
      <c r="N121" s="1580"/>
      <c r="O121" s="1580"/>
      <c r="P121" s="1580"/>
      <c r="Q121" s="1580"/>
      <c r="R121" s="1580"/>
    </row>
    <row r="122" customFormat="false" ht="23.25" hidden="false" customHeight="false" outlineLevel="0" collapsed="false">
      <c r="A122" s="2422" t="s">
        <v>3048</v>
      </c>
      <c r="B122" s="2422"/>
      <c r="C122" s="2422"/>
      <c r="D122" s="2509" t="s">
        <v>48</v>
      </c>
      <c r="E122" s="2527" t="n">
        <v>1</v>
      </c>
      <c r="F122" s="2467" t="e">
        <f aca="false">'ввод данных'!#ref!</f>
        <v>#VALUE!</v>
      </c>
      <c r="G122" s="2512"/>
      <c r="H122" s="2478"/>
      <c r="I122" s="42"/>
      <c r="J122" s="42"/>
      <c r="K122" s="1580"/>
      <c r="L122" s="1580"/>
      <c r="M122" s="1580"/>
      <c r="N122" s="1580"/>
      <c r="O122" s="1580"/>
      <c r="P122" s="1580"/>
      <c r="Q122" s="1580"/>
      <c r="R122" s="1580"/>
    </row>
    <row r="123" customFormat="false" ht="15.75" hidden="false" customHeight="false" outlineLevel="0" collapsed="false">
      <c r="A123" s="2513" t="s">
        <v>279</v>
      </c>
      <c r="B123" s="2513"/>
      <c r="C123" s="2513"/>
      <c r="D123" s="2514" t="s">
        <v>15</v>
      </c>
      <c r="E123" s="2458" t="n">
        <f aca="false">'Ввод данных'!C421</f>
        <v>1</v>
      </c>
      <c r="F123" s="2508"/>
      <c r="G123" s="2508"/>
      <c r="H123" s="2516"/>
      <c r="I123" s="42"/>
      <c r="J123" s="42"/>
      <c r="K123" s="1580"/>
      <c r="L123" s="1580"/>
      <c r="M123" s="1580"/>
      <c r="N123" s="1580"/>
      <c r="O123" s="1580"/>
      <c r="P123" s="1580"/>
      <c r="Q123" s="1580"/>
      <c r="R123" s="1580"/>
    </row>
    <row r="124" customFormat="false" ht="15.75" hidden="false" customHeight="false" outlineLevel="0" collapsed="false">
      <c r="A124" s="2513" t="s">
        <v>280</v>
      </c>
      <c r="B124" s="2513"/>
      <c r="C124" s="2513"/>
      <c r="D124" s="2514" t="s">
        <v>15</v>
      </c>
      <c r="E124" s="2458" t="n">
        <f aca="false">'Ввод данных'!C422</f>
        <v>2</v>
      </c>
      <c r="F124" s="2517"/>
      <c r="G124" s="2517"/>
      <c r="H124" s="2516"/>
      <c r="I124" s="42"/>
      <c r="J124" s="42"/>
      <c r="K124" s="2456"/>
      <c r="L124" s="1580"/>
      <c r="M124" s="1580"/>
      <c r="N124" s="1580"/>
      <c r="O124" s="1580"/>
      <c r="P124" s="1580"/>
      <c r="Q124" s="1580"/>
      <c r="R124" s="1580"/>
    </row>
    <row r="125" customFormat="false" ht="15.75" hidden="false" customHeight="false" outlineLevel="0" collapsed="false">
      <c r="A125" s="2528" t="s">
        <v>3645</v>
      </c>
      <c r="B125" s="2528"/>
      <c r="C125" s="2528"/>
      <c r="D125" s="1401" t="s">
        <v>15</v>
      </c>
      <c r="E125" s="2458" t="n">
        <f aca="false">'Ввод данных'!C419</f>
        <v>2</v>
      </c>
      <c r="F125" s="2517"/>
      <c r="G125" s="2517"/>
      <c r="H125" s="2516"/>
      <c r="I125" s="42"/>
      <c r="J125" s="42"/>
      <c r="K125" s="2459"/>
      <c r="L125" s="1580"/>
      <c r="M125" s="1580"/>
      <c r="N125" s="1580"/>
      <c r="O125" s="1580"/>
      <c r="P125" s="1580"/>
      <c r="Q125" s="1580"/>
      <c r="R125" s="1580"/>
    </row>
    <row r="126" customFormat="false" ht="15.75" hidden="false" customHeight="false" outlineLevel="0" collapsed="false">
      <c r="A126" s="861" t="s">
        <v>245</v>
      </c>
      <c r="B126" s="861"/>
      <c r="C126" s="861"/>
      <c r="D126" s="862" t="s">
        <v>15</v>
      </c>
      <c r="E126" s="2458" t="n">
        <f aca="false">'Ввод данных'!C423</f>
        <v>2</v>
      </c>
      <c r="F126" s="2400"/>
      <c r="G126" s="2400"/>
      <c r="H126" s="2516"/>
      <c r="I126" s="42"/>
      <c r="J126" s="42"/>
      <c r="K126" s="2459"/>
      <c r="L126" s="1580"/>
      <c r="M126" s="1580"/>
      <c r="N126" s="1580"/>
      <c r="O126" s="1580"/>
      <c r="P126" s="1580"/>
      <c r="Q126" s="1580"/>
      <c r="R126" s="1580"/>
    </row>
    <row r="127" customFormat="false" ht="15.75" hidden="false" customHeight="false" outlineLevel="0" collapsed="false">
      <c r="A127" s="861" t="s">
        <v>3649</v>
      </c>
      <c r="B127" s="861"/>
      <c r="C127" s="861"/>
      <c r="D127" s="862" t="s">
        <v>15</v>
      </c>
      <c r="E127" s="2519" t="n">
        <f aca="false">SQRT((E124/2)*(E124/2)+E125*E125)</f>
        <v>2.23606797749979</v>
      </c>
      <c r="F127" s="2400"/>
      <c r="G127" s="2400"/>
      <c r="H127" s="2516"/>
      <c r="I127" s="42"/>
      <c r="J127" s="42"/>
      <c r="K127" s="2459"/>
      <c r="L127" s="1580"/>
      <c r="M127" s="1580"/>
      <c r="N127" s="1580"/>
      <c r="O127" s="1580"/>
      <c r="P127" s="1580"/>
      <c r="Q127" s="1580"/>
      <c r="R127" s="1580"/>
    </row>
    <row r="128" customFormat="false" ht="15.75" hidden="false" customHeight="false" outlineLevel="0" collapsed="false">
      <c r="A128" s="2529" t="s">
        <v>3650</v>
      </c>
      <c r="B128" s="2530"/>
      <c r="C128" s="2531"/>
      <c r="D128" s="2514" t="s">
        <v>15</v>
      </c>
      <c r="E128" s="2515" t="n">
        <f aca="false">SQRT((E126-E123)*(E126-E123)+E127*E127)</f>
        <v>2.44948974278318</v>
      </c>
      <c r="F128" s="2520"/>
      <c r="G128" s="2521"/>
      <c r="H128" s="2516"/>
      <c r="I128" s="42"/>
      <c r="J128" s="42"/>
      <c r="K128" s="2459"/>
      <c r="L128" s="1580"/>
      <c r="M128" s="1580"/>
      <c r="N128" s="1580"/>
      <c r="O128" s="1580"/>
      <c r="P128" s="1580"/>
      <c r="Q128" s="1580"/>
      <c r="R128" s="1580"/>
    </row>
    <row r="129" customFormat="false" ht="15.75" hidden="false" customHeight="false" outlineLevel="0" collapsed="false">
      <c r="A129" s="2529" t="s">
        <v>3652</v>
      </c>
      <c r="B129" s="2530"/>
      <c r="C129" s="2531"/>
      <c r="D129" s="862" t="s">
        <v>15</v>
      </c>
      <c r="E129" s="2519" t="n">
        <f aca="false">SQRT(E126*E126+E127*E127)</f>
        <v>3</v>
      </c>
      <c r="F129" s="2520"/>
      <c r="G129" s="2521"/>
      <c r="H129" s="2516"/>
      <c r="I129" s="42"/>
      <c r="J129" s="42"/>
      <c r="K129" s="2459"/>
      <c r="L129" s="1580"/>
      <c r="M129" s="1580"/>
      <c r="N129" s="1580"/>
      <c r="O129" s="1580"/>
      <c r="P129" s="1580"/>
      <c r="Q129" s="1580"/>
      <c r="R129" s="1580"/>
    </row>
    <row r="130" customFormat="false" ht="15.75" hidden="false" customHeight="false" outlineLevel="0" collapsed="false">
      <c r="A130" s="861" t="s">
        <v>3654</v>
      </c>
      <c r="B130" s="861"/>
      <c r="C130" s="861"/>
      <c r="D130" s="862" t="s">
        <v>820</v>
      </c>
      <c r="E130" s="2519" t="n">
        <f aca="false">E127*(E126-E123)+E127*E123*2</f>
        <v>6.70820393249937</v>
      </c>
      <c r="F130" s="2520"/>
      <c r="G130" s="2521"/>
      <c r="H130" s="2516"/>
      <c r="I130" s="42"/>
      <c r="J130" s="42"/>
      <c r="K130" s="1301"/>
      <c r="L130" s="1580"/>
      <c r="M130" s="1580"/>
      <c r="N130" s="1580"/>
      <c r="O130" s="1580"/>
      <c r="P130" s="1580"/>
      <c r="Q130" s="1580"/>
      <c r="R130" s="1580"/>
    </row>
    <row r="131" customFormat="false" ht="15.75" hidden="false" customHeight="false" outlineLevel="0" collapsed="false">
      <c r="A131" s="1413" t="s">
        <v>3998</v>
      </c>
      <c r="B131" s="1413"/>
      <c r="C131" s="1413"/>
      <c r="D131" s="1304" t="s">
        <v>820</v>
      </c>
      <c r="E131" s="1965" t="n">
        <f aca="false">E127*E126</f>
        <v>4.47213595499958</v>
      </c>
      <c r="F131" s="2517"/>
      <c r="G131" s="2517"/>
      <c r="H131" s="2516"/>
      <c r="I131" s="42"/>
      <c r="J131" s="42"/>
      <c r="K131" s="2459"/>
      <c r="L131" s="1580"/>
      <c r="M131" s="1580"/>
      <c r="N131" s="1580"/>
      <c r="O131" s="1580"/>
      <c r="P131" s="1580"/>
      <c r="Q131" s="1580"/>
      <c r="R131" s="1580"/>
    </row>
    <row r="132" customFormat="false" ht="15.75" hidden="false" customHeight="false" outlineLevel="0" collapsed="false">
      <c r="A132" s="1413" t="s">
        <v>3656</v>
      </c>
      <c r="B132" s="1413"/>
      <c r="C132" s="1413"/>
      <c r="D132" s="1304" t="s">
        <v>820</v>
      </c>
      <c r="E132" s="2486" t="n">
        <f aca="false">SQRT(E129*E129-(E124/2)*(E124/2))</f>
        <v>2.82842712474619</v>
      </c>
      <c r="F132" s="42"/>
      <c r="G132" s="2521"/>
      <c r="H132" s="2516"/>
      <c r="I132" s="42"/>
      <c r="J132" s="42"/>
      <c r="K132" s="2532"/>
      <c r="L132" s="1580"/>
      <c r="M132" s="1580"/>
      <c r="N132" s="1580"/>
      <c r="O132" s="1580"/>
      <c r="P132" s="1580"/>
      <c r="Q132" s="1580"/>
      <c r="R132" s="1580"/>
    </row>
    <row r="133" customFormat="false" ht="15.75" hidden="false" customHeight="false" outlineLevel="0" collapsed="false">
      <c r="A133" s="861" t="s">
        <v>3658</v>
      </c>
      <c r="B133" s="861"/>
      <c r="C133" s="861"/>
      <c r="D133" s="2486" t="s">
        <v>820</v>
      </c>
      <c r="E133" s="2486" t="n">
        <f aca="false">E130*1.35</f>
        <v>9.05607530887415</v>
      </c>
      <c r="F133" s="42"/>
      <c r="G133" s="2508"/>
      <c r="H133" s="2516"/>
      <c r="I133" s="42"/>
      <c r="J133" s="42"/>
      <c r="K133" s="2466"/>
      <c r="L133" s="1580"/>
      <c r="M133" s="1580"/>
      <c r="N133" s="1580"/>
      <c r="O133" s="1580"/>
      <c r="P133" s="1580"/>
      <c r="Q133" s="1580"/>
      <c r="R133" s="1580"/>
    </row>
    <row r="134" customFormat="false" ht="15.75" hidden="false" customHeight="false" outlineLevel="0" collapsed="false">
      <c r="A134" s="861" t="s">
        <v>3999</v>
      </c>
      <c r="B134" s="861"/>
      <c r="C134" s="861"/>
      <c r="D134" s="1286" t="s">
        <v>820</v>
      </c>
      <c r="E134" s="1286" t="n">
        <f aca="false">E131*1.35</f>
        <v>6.03738353924943</v>
      </c>
      <c r="F134" s="42"/>
      <c r="G134" s="2521"/>
      <c r="H134" s="2516"/>
      <c r="I134" s="42"/>
      <c r="J134" s="42"/>
      <c r="K134" s="2466"/>
      <c r="L134" s="1580"/>
      <c r="M134" s="1580"/>
      <c r="N134" s="1580"/>
      <c r="O134" s="1580"/>
      <c r="P134" s="1580"/>
      <c r="Q134" s="1580"/>
      <c r="R134" s="1580"/>
    </row>
    <row r="135" customFormat="false" ht="15.75" hidden="false" customHeight="false" outlineLevel="0" collapsed="false">
      <c r="A135" s="1413" t="s">
        <v>2826</v>
      </c>
      <c r="B135" s="1413"/>
      <c r="C135" s="1413"/>
      <c r="D135" s="1413" t="s">
        <v>486</v>
      </c>
      <c r="E135" s="2518"/>
      <c r="F135" s="2467"/>
      <c r="G135" s="2521"/>
      <c r="H135" s="2516"/>
      <c r="I135" s="42"/>
      <c r="J135" s="42"/>
      <c r="K135" s="2459"/>
      <c r="L135" s="1580"/>
      <c r="M135" s="1580"/>
      <c r="N135" s="1580"/>
      <c r="O135" s="1580"/>
      <c r="P135" s="1580"/>
      <c r="Q135" s="1580"/>
      <c r="R135" s="1580"/>
    </row>
    <row r="136" customFormat="false" ht="15.75" hidden="false" customHeight="false" outlineLevel="0" collapsed="false">
      <c r="A136" s="862" t="s">
        <v>3665</v>
      </c>
      <c r="B136" s="862"/>
      <c r="C136" s="862"/>
      <c r="D136" s="862" t="s">
        <v>15</v>
      </c>
      <c r="E136" s="1438" t="n">
        <v>0.15</v>
      </c>
      <c r="F136" s="2467"/>
      <c r="G136" s="2521"/>
      <c r="H136" s="2516"/>
      <c r="I136" s="42"/>
      <c r="J136" s="42"/>
      <c r="K136" s="2459"/>
      <c r="L136" s="1580"/>
      <c r="M136" s="1580"/>
      <c r="N136" s="1580"/>
      <c r="O136" s="1580"/>
      <c r="P136" s="1580"/>
      <c r="Q136" s="1580"/>
      <c r="R136" s="1580"/>
    </row>
    <row r="137" customFormat="false" ht="15.75" hidden="false" customHeight="false" outlineLevel="0" collapsed="false">
      <c r="A137" s="862"/>
      <c r="B137" s="862"/>
      <c r="C137" s="862"/>
      <c r="D137" s="862" t="s">
        <v>15</v>
      </c>
      <c r="E137" s="1438" t="n">
        <v>0.2</v>
      </c>
      <c r="F137" s="2467"/>
      <c r="G137" s="2521"/>
      <c r="H137" s="2516"/>
      <c r="I137" s="42"/>
      <c r="J137" s="42"/>
      <c r="K137" s="2459"/>
      <c r="L137" s="1580"/>
      <c r="M137" s="1580"/>
      <c r="N137" s="1580"/>
      <c r="O137" s="1580"/>
      <c r="P137" s="1580"/>
      <c r="Q137" s="1580"/>
      <c r="R137" s="1580"/>
    </row>
    <row r="138" customFormat="false" ht="15.75" hidden="false" customHeight="false" outlineLevel="0" collapsed="false">
      <c r="A138" s="862" t="s">
        <v>2830</v>
      </c>
      <c r="B138" s="862"/>
      <c r="C138" s="862"/>
      <c r="D138" s="862" t="s">
        <v>15</v>
      </c>
      <c r="E138" s="1438" t="n">
        <v>0.15</v>
      </c>
      <c r="F138" s="2467"/>
      <c r="G138" s="42"/>
      <c r="H138" s="2483"/>
      <c r="I138" s="42"/>
      <c r="J138" s="42"/>
      <c r="K138" s="2459"/>
      <c r="L138" s="1580"/>
      <c r="M138" s="1580"/>
      <c r="N138" s="1580"/>
      <c r="O138" s="1580"/>
      <c r="P138" s="1580"/>
      <c r="Q138" s="1580"/>
      <c r="R138" s="1580"/>
    </row>
    <row r="139" customFormat="false" ht="15.75" hidden="false" customHeight="false" outlineLevel="0" collapsed="false">
      <c r="A139" s="862"/>
      <c r="B139" s="862"/>
      <c r="C139" s="862"/>
      <c r="D139" s="862" t="s">
        <v>15</v>
      </c>
      <c r="E139" s="1438" t="n">
        <v>0.2</v>
      </c>
      <c r="F139" s="2467"/>
      <c r="G139" s="42"/>
      <c r="H139" s="2483"/>
      <c r="I139" s="42"/>
      <c r="J139" s="42"/>
      <c r="K139" s="2459"/>
      <c r="L139" s="1580"/>
      <c r="M139" s="1580"/>
      <c r="N139" s="1580"/>
      <c r="O139" s="1580"/>
      <c r="P139" s="1580"/>
      <c r="Q139" s="1580"/>
      <c r="R139" s="1580"/>
    </row>
    <row r="140" customFormat="false" ht="15.75" hidden="false" customHeight="false" outlineLevel="0" collapsed="false">
      <c r="A140" s="42"/>
      <c r="B140" s="42"/>
      <c r="C140" s="42"/>
      <c r="D140" s="42"/>
      <c r="E140" s="42"/>
      <c r="F140" s="2487"/>
      <c r="G140" s="42"/>
      <c r="H140" s="2483"/>
      <c r="I140" s="42"/>
      <c r="J140" s="42"/>
      <c r="K140" s="1417"/>
      <c r="L140" s="1580"/>
      <c r="M140" s="1580"/>
      <c r="N140" s="1580"/>
      <c r="O140" s="1580"/>
      <c r="P140" s="1580"/>
      <c r="Q140" s="1580"/>
      <c r="R140" s="1580"/>
    </row>
    <row r="141" customFormat="false" ht="15.75" hidden="false" customHeight="false" outlineLevel="0" collapsed="false">
      <c r="A141" s="1269"/>
      <c r="B141" s="1269"/>
      <c r="C141" s="1269"/>
      <c r="D141" s="1269"/>
      <c r="E141" s="2459"/>
      <c r="F141" s="2493"/>
      <c r="G141" s="1269"/>
      <c r="H141" s="2483"/>
      <c r="I141" s="2483"/>
      <c r="J141" s="2483"/>
      <c r="K141" s="1417"/>
      <c r="L141" s="1580"/>
      <c r="M141" s="1580"/>
      <c r="N141" s="1580"/>
      <c r="O141" s="1580"/>
      <c r="P141" s="1580"/>
      <c r="Q141" s="1580"/>
      <c r="R141" s="1580"/>
    </row>
    <row r="142" customFormat="false" ht="15.75" hidden="false" customHeight="false" outlineLevel="0" collapsed="false">
      <c r="A142" s="1269"/>
      <c r="B142" s="1269"/>
      <c r="C142" s="1269"/>
      <c r="D142" s="1269"/>
      <c r="E142" s="1269"/>
      <c r="F142" s="1269"/>
      <c r="G142" s="1269"/>
      <c r="H142" s="2483"/>
      <c r="I142" s="2483"/>
      <c r="J142" s="2483"/>
      <c r="K142" s="1417"/>
      <c r="L142" s="1580"/>
      <c r="M142" s="1580"/>
      <c r="N142" s="1580"/>
      <c r="O142" s="1580"/>
      <c r="P142" s="1580"/>
      <c r="Q142" s="1580"/>
      <c r="R142" s="1580"/>
    </row>
    <row r="143" customFormat="false" ht="15.75" hidden="false" customHeight="false" outlineLevel="0" collapsed="false">
      <c r="A143" s="1296" t="s">
        <v>2745</v>
      </c>
      <c r="B143" s="2533"/>
      <c r="C143" s="2465" t="s">
        <v>12</v>
      </c>
      <c r="D143" s="2465" t="s">
        <v>13</v>
      </c>
      <c r="E143" s="2458" t="str">
        <f aca="false">'Ввод данных'!C79</f>
        <v>Не считать</v>
      </c>
      <c r="F143" s="2534" t="s">
        <v>2746</v>
      </c>
      <c r="G143" s="1269"/>
      <c r="H143" s="2483"/>
      <c r="I143" s="2483"/>
      <c r="J143" s="2483"/>
      <c r="K143" s="1417"/>
      <c r="L143" s="1580"/>
      <c r="M143" s="1580"/>
      <c r="N143" s="1580"/>
      <c r="O143" s="1580"/>
      <c r="P143" s="1580"/>
      <c r="Q143" s="1580"/>
      <c r="R143" s="1580"/>
    </row>
    <row r="144" customFormat="false" ht="15.75" hidden="false" customHeight="false" outlineLevel="0" collapsed="false">
      <c r="A144" s="1413" t="s">
        <v>2748</v>
      </c>
      <c r="B144" s="1413"/>
      <c r="C144" s="2503" t="s">
        <v>48</v>
      </c>
      <c r="D144" s="2469"/>
      <c r="E144" s="1269"/>
      <c r="F144" s="1269"/>
      <c r="G144" s="1269"/>
      <c r="H144" s="1269"/>
      <c r="I144" s="1269"/>
      <c r="J144" s="1269"/>
      <c r="K144" s="1301"/>
      <c r="L144" s="1580"/>
      <c r="M144" s="1580"/>
      <c r="N144" s="1580"/>
      <c r="O144" s="1580"/>
      <c r="P144" s="1580"/>
      <c r="Q144" s="1580"/>
      <c r="R144" s="1580"/>
    </row>
    <row r="145" customFormat="false" ht="15.75" hidden="false" customHeight="false" outlineLevel="0" collapsed="false">
      <c r="A145" s="1413" t="s">
        <v>2753</v>
      </c>
      <c r="B145" s="1413"/>
      <c r="C145" s="2503" t="s">
        <v>48</v>
      </c>
      <c r="D145" s="2469" t="n">
        <f aca="false">'Ввод данных'!E448</f>
        <v>1</v>
      </c>
      <c r="E145" s="1269"/>
      <c r="F145" s="1269"/>
      <c r="G145" s="1269"/>
      <c r="H145" s="1269"/>
      <c r="I145" s="1269"/>
      <c r="J145" s="1269"/>
      <c r="K145" s="1301"/>
      <c r="L145" s="1580"/>
      <c r="M145" s="1580"/>
      <c r="N145" s="1580"/>
      <c r="O145" s="1580"/>
      <c r="P145" s="1580"/>
      <c r="Q145" s="1580"/>
      <c r="R145" s="1580"/>
    </row>
    <row r="146" customFormat="false" ht="15.75" hidden="false" customHeight="false" outlineLevel="0" collapsed="false">
      <c r="A146" s="1413" t="s">
        <v>161</v>
      </c>
      <c r="B146" s="1413"/>
      <c r="C146" s="42" t="s">
        <v>12</v>
      </c>
      <c r="D146" s="2486" t="s">
        <v>13</v>
      </c>
      <c r="E146" s="2486" t="s">
        <v>137</v>
      </c>
      <c r="F146" s="2486" t="s">
        <v>486</v>
      </c>
      <c r="G146" s="1269"/>
      <c r="H146" s="1269"/>
      <c r="I146" s="1269"/>
      <c r="J146" s="1269"/>
      <c r="K146" s="1301"/>
      <c r="L146" s="1580"/>
      <c r="M146" s="1580"/>
      <c r="N146" s="1580"/>
      <c r="O146" s="1580"/>
      <c r="P146" s="1580"/>
      <c r="Q146" s="1580"/>
      <c r="R146" s="1580"/>
    </row>
    <row r="147" customFormat="false" ht="15.75" hidden="false" customHeight="false" outlineLevel="0" collapsed="false">
      <c r="A147" s="1413" t="s">
        <v>302</v>
      </c>
      <c r="B147" s="1413"/>
      <c r="C147" s="2502" t="s">
        <v>15</v>
      </c>
      <c r="D147" s="2514" t="e">
        <f aca="false">D150*D151*F147</f>
        <v>#VALUE!</v>
      </c>
      <c r="E147" s="2458" t="str">
        <f aca="false">связи1!E567</f>
        <v>№3</v>
      </c>
      <c r="F147" s="2467" t="e">
        <f aca="false">'ввод данных'!#ref!</f>
        <v>#VALUE!</v>
      </c>
      <c r="G147" s="53" t="s">
        <v>3668</v>
      </c>
      <c r="H147" s="42"/>
      <c r="I147" s="1269"/>
      <c r="J147" s="1269"/>
      <c r="K147" s="1301"/>
      <c r="L147" s="1580"/>
      <c r="M147" s="1580"/>
      <c r="N147" s="1580"/>
      <c r="O147" s="1580"/>
      <c r="P147" s="1580"/>
      <c r="Q147" s="1580"/>
      <c r="R147" s="1580"/>
    </row>
    <row r="148" customFormat="false" ht="15.75" hidden="false" customHeight="false" outlineLevel="0" collapsed="false">
      <c r="A148" s="1413" t="s">
        <v>2758</v>
      </c>
      <c r="B148" s="1413"/>
      <c r="C148" s="2502" t="s">
        <v>15</v>
      </c>
      <c r="D148" s="2514" t="e">
        <f aca="false">D150*D151*F148</f>
        <v>#VALUE!</v>
      </c>
      <c r="E148" s="2458" t="n">
        <f aca="false">связи1!E568</f>
        <v>1</v>
      </c>
      <c r="F148" s="2467" t="e">
        <f aca="false">'ввод данных'!#ref!</f>
        <v>#VALUE!</v>
      </c>
      <c r="G148" s="53" t="s">
        <v>3669</v>
      </c>
      <c r="H148" s="42"/>
      <c r="I148" s="1269"/>
      <c r="J148" s="1269"/>
      <c r="K148" s="1301"/>
      <c r="L148" s="1580"/>
      <c r="M148" s="1580"/>
      <c r="N148" s="1580"/>
      <c r="O148" s="1580"/>
      <c r="P148" s="1580"/>
      <c r="Q148" s="1580"/>
      <c r="R148" s="1580"/>
    </row>
    <row r="149" customFormat="false" ht="15.75" hidden="false" customHeight="false" outlineLevel="0" collapsed="false">
      <c r="A149" s="1310" t="s">
        <v>2759</v>
      </c>
      <c r="B149" s="1310"/>
      <c r="C149" s="1361" t="s">
        <v>15</v>
      </c>
      <c r="D149" s="1338" t="n">
        <f aca="false">D150*D151*F149</f>
        <v>0</v>
      </c>
      <c r="E149" s="2458" t="n">
        <f aca="false">'Ввод данных'!E452</f>
        <v>0</v>
      </c>
      <c r="F149" s="2467" t="n">
        <f aca="false">'Ввод данных'!G456</f>
        <v>0</v>
      </c>
      <c r="G149" s="53" t="s">
        <v>3670</v>
      </c>
      <c r="H149" s="2483"/>
      <c r="I149" s="2483"/>
      <c r="J149" s="2483"/>
      <c r="K149" s="1301"/>
      <c r="L149" s="1580"/>
      <c r="M149" s="1580"/>
      <c r="N149" s="1580"/>
      <c r="O149" s="1580"/>
      <c r="P149" s="1580"/>
      <c r="Q149" s="1580"/>
      <c r="R149" s="1580"/>
    </row>
    <row r="150" customFormat="false" ht="15.75" hidden="false" customHeight="false" outlineLevel="0" collapsed="false">
      <c r="A150" s="1310" t="s">
        <v>366</v>
      </c>
      <c r="B150" s="1310"/>
      <c r="C150" s="2457" t="s">
        <v>15</v>
      </c>
      <c r="D150" s="2469"/>
      <c r="E150" s="1269"/>
      <c r="F150" s="1269"/>
      <c r="G150" s="1269"/>
      <c r="H150" s="2483"/>
      <c r="I150" s="2483"/>
      <c r="J150" s="2483"/>
      <c r="K150" s="1301"/>
      <c r="L150" s="1580"/>
      <c r="M150" s="1580"/>
      <c r="N150" s="1580"/>
      <c r="O150" s="1580"/>
      <c r="P150" s="1580"/>
      <c r="Q150" s="1580"/>
      <c r="R150" s="1580"/>
    </row>
    <row r="151" customFormat="false" ht="15.75" hidden="false" customHeight="false" outlineLevel="0" collapsed="false">
      <c r="A151" s="1310" t="s">
        <v>2774</v>
      </c>
      <c r="B151" s="1310"/>
      <c r="C151" s="2476" t="s">
        <v>15</v>
      </c>
      <c r="D151" s="2469"/>
      <c r="E151" s="1269"/>
      <c r="F151" s="1269"/>
      <c r="G151" s="1269"/>
      <c r="H151" s="2459"/>
      <c r="I151" s="2483"/>
      <c r="J151" s="2483"/>
      <c r="K151" s="1301"/>
      <c r="L151" s="1580"/>
      <c r="M151" s="1580"/>
      <c r="N151" s="1580"/>
      <c r="O151" s="1580"/>
      <c r="P151" s="1580"/>
      <c r="Q151" s="1580"/>
      <c r="R151" s="1580"/>
    </row>
    <row r="152" customFormat="false" ht="15.75" hidden="false" customHeight="false" outlineLevel="0" collapsed="false">
      <c r="A152" s="1310" t="s">
        <v>4000</v>
      </c>
      <c r="B152" s="1310"/>
      <c r="C152" s="2476" t="s">
        <v>15</v>
      </c>
      <c r="D152" s="2469"/>
      <c r="E152" s="1269"/>
      <c r="F152" s="1269"/>
      <c r="G152" s="1269"/>
      <c r="H152" s="2459"/>
      <c r="I152" s="2483"/>
      <c r="J152" s="2483"/>
      <c r="K152" s="1301"/>
      <c r="L152" s="1580"/>
      <c r="M152" s="1580"/>
      <c r="N152" s="1580"/>
      <c r="O152" s="1580"/>
      <c r="P152" s="1580"/>
      <c r="Q152" s="1580"/>
      <c r="R152" s="1580"/>
    </row>
    <row r="153" customFormat="false" ht="15.75" hidden="false" customHeight="false" outlineLevel="0" collapsed="false">
      <c r="A153" s="1310" t="s">
        <v>4001</v>
      </c>
      <c r="B153" s="1310"/>
      <c r="C153" s="2476" t="s">
        <v>15</v>
      </c>
      <c r="D153" s="2469"/>
      <c r="E153" s="1269"/>
      <c r="F153" s="1269"/>
      <c r="G153" s="1269"/>
      <c r="H153" s="2459"/>
      <c r="I153" s="2483"/>
      <c r="J153" s="2483"/>
      <c r="K153" s="1301"/>
      <c r="L153" s="1580"/>
      <c r="M153" s="1580"/>
      <c r="N153" s="1580"/>
      <c r="O153" s="1580"/>
      <c r="P153" s="1580"/>
      <c r="Q153" s="1580"/>
      <c r="R153" s="1580"/>
    </row>
    <row r="154" customFormat="false" ht="15.75" hidden="false" customHeight="false" outlineLevel="0" collapsed="false">
      <c r="A154" s="1310" t="s">
        <v>4002</v>
      </c>
      <c r="B154" s="1310"/>
      <c r="C154" s="2476" t="s">
        <v>15</v>
      </c>
      <c r="D154" s="2469"/>
      <c r="E154" s="1269"/>
      <c r="F154" s="1269"/>
      <c r="G154" s="1269"/>
      <c r="H154" s="1269"/>
      <c r="I154" s="2483"/>
      <c r="J154" s="2483"/>
      <c r="K154" s="1301"/>
      <c r="L154" s="1580"/>
      <c r="M154" s="1580"/>
      <c r="N154" s="1580"/>
      <c r="O154" s="1580"/>
      <c r="P154" s="1580"/>
      <c r="Q154" s="1580"/>
      <c r="R154" s="1580"/>
    </row>
    <row r="155" customFormat="false" ht="15.75" hidden="false" customHeight="false" outlineLevel="0" collapsed="false">
      <c r="A155" s="1316" t="s">
        <v>4003</v>
      </c>
      <c r="B155" s="1316"/>
      <c r="C155" s="2476" t="s">
        <v>15</v>
      </c>
      <c r="D155" s="2491" t="n">
        <f aca="false">D154-D152</f>
        <v>0</v>
      </c>
      <c r="E155" s="1269"/>
      <c r="F155" s="1269"/>
      <c r="G155" s="1269"/>
      <c r="H155" s="1269"/>
      <c r="I155" s="2483"/>
      <c r="J155" s="2483"/>
      <c r="K155" s="1301"/>
      <c r="L155" s="1580"/>
      <c r="M155" s="1580"/>
      <c r="N155" s="1580"/>
      <c r="O155" s="1580"/>
      <c r="P155" s="1580"/>
      <c r="Q155" s="1580"/>
      <c r="R155" s="1580"/>
    </row>
    <row r="156" customFormat="false" ht="15.75" hidden="false" customHeight="false" outlineLevel="0" collapsed="false">
      <c r="A156" s="1310" t="s">
        <v>4004</v>
      </c>
      <c r="B156" s="1310"/>
      <c r="C156" s="2476" t="s">
        <v>15</v>
      </c>
      <c r="D156" s="2476" t="e">
        <f aca="false">(D153+D152+D155+E147+E148+E149)*E143</f>
        <v>#VALUE!</v>
      </c>
      <c r="E156" s="1269"/>
      <c r="F156" s="1269"/>
      <c r="G156" s="1269"/>
      <c r="H156" s="1269"/>
      <c r="I156" s="2483"/>
      <c r="J156" s="2483"/>
      <c r="K156" s="1301"/>
      <c r="L156" s="1580"/>
      <c r="M156" s="1580"/>
      <c r="N156" s="1580"/>
      <c r="O156" s="1580"/>
      <c r="P156" s="1580"/>
      <c r="Q156" s="1580"/>
      <c r="R156" s="1580"/>
    </row>
    <row r="157" customFormat="false" ht="15.75" hidden="false" customHeight="false" outlineLevel="0" collapsed="false">
      <c r="A157" s="1310" t="s">
        <v>46</v>
      </c>
      <c r="B157" s="1310"/>
      <c r="C157" s="1269" t="s">
        <v>12</v>
      </c>
      <c r="D157" s="2535" t="s">
        <v>200</v>
      </c>
      <c r="E157" s="2476" t="s">
        <v>118</v>
      </c>
      <c r="F157" s="2491" t="s">
        <v>200</v>
      </c>
      <c r="G157" s="2491" t="s">
        <v>2749</v>
      </c>
      <c r="H157" s="2459"/>
      <c r="I157" s="2483"/>
      <c r="J157" s="2483"/>
      <c r="K157" s="2536"/>
      <c r="L157" s="1580"/>
      <c r="M157" s="1580"/>
      <c r="N157" s="1580"/>
      <c r="O157" s="1580"/>
      <c r="P157" s="1580"/>
      <c r="Q157" s="1580"/>
      <c r="R157" s="1580"/>
    </row>
    <row r="158" customFormat="false" ht="15.75" hidden="false" customHeight="false" outlineLevel="0" collapsed="false">
      <c r="A158" s="1304" t="s">
        <v>2754</v>
      </c>
      <c r="B158" s="1304"/>
      <c r="C158" s="2476" t="s">
        <v>15</v>
      </c>
      <c r="D158" s="2469" t="n">
        <f aca="false">связи1!D570</f>
        <v>3</v>
      </c>
      <c r="E158" s="2458" t="n">
        <f aca="false">связи1!E570</f>
        <v>3</v>
      </c>
      <c r="F158" s="2491" t="n">
        <f aca="false">D158*E158</f>
        <v>9</v>
      </c>
      <c r="G158" s="2491" t="n">
        <f aca="false">F158*D153</f>
        <v>0</v>
      </c>
      <c r="H158" s="2459"/>
      <c r="I158" s="2483"/>
      <c r="J158" s="2483"/>
      <c r="K158" s="2493"/>
      <c r="L158" s="1580"/>
      <c r="M158" s="1580"/>
      <c r="N158" s="1580"/>
      <c r="O158" s="1580"/>
      <c r="P158" s="1580"/>
      <c r="Q158" s="1580"/>
      <c r="R158" s="1580"/>
    </row>
    <row r="159" customFormat="false" ht="15.75" hidden="false" customHeight="false" outlineLevel="0" collapsed="false">
      <c r="A159" s="1304"/>
      <c r="B159" s="1304"/>
      <c r="C159" s="2476" t="s">
        <v>488</v>
      </c>
      <c r="D159" s="2469" t="n">
        <f aca="false">связи1!D571</f>
        <v>2.9</v>
      </c>
      <c r="E159" s="2458" t="n">
        <f aca="false">связи1!E571</f>
        <v>2.9</v>
      </c>
      <c r="F159" s="2491" t="n">
        <f aca="false">D159*E159</f>
        <v>8.41</v>
      </c>
      <c r="G159" s="2491" t="n">
        <f aca="false">F159*D153</f>
        <v>0</v>
      </c>
      <c r="H159" s="2459"/>
      <c r="I159" s="2483"/>
      <c r="J159" s="2483"/>
      <c r="K159" s="1301"/>
      <c r="L159" s="1580"/>
      <c r="M159" s="1580"/>
      <c r="N159" s="1580"/>
      <c r="O159" s="1580"/>
      <c r="P159" s="1580"/>
      <c r="Q159" s="1580"/>
      <c r="R159" s="1580"/>
    </row>
    <row r="160" customFormat="false" ht="15.75" hidden="false" customHeight="false" outlineLevel="0" collapsed="false">
      <c r="A160" s="1304" t="s">
        <v>2757</v>
      </c>
      <c r="B160" s="1304"/>
      <c r="C160" s="2476" t="s">
        <v>15</v>
      </c>
      <c r="D160" s="2469" t="n">
        <f aca="false">связи1!D574</f>
        <v>2.2</v>
      </c>
      <c r="E160" s="2458" t="n">
        <f aca="false">связи1!E574</f>
        <v>2.2</v>
      </c>
      <c r="F160" s="2491" t="n">
        <f aca="false">D160*E160</f>
        <v>4.84</v>
      </c>
      <c r="G160" s="2491" t="n">
        <f aca="false">F160*D153</f>
        <v>0</v>
      </c>
      <c r="H160" s="2459"/>
      <c r="I160" s="2483"/>
      <c r="J160" s="2483"/>
      <c r="K160" s="1301"/>
      <c r="L160" s="1580"/>
      <c r="M160" s="1580"/>
      <c r="N160" s="1580"/>
      <c r="O160" s="1580"/>
      <c r="P160" s="1580"/>
      <c r="Q160" s="1580"/>
      <c r="R160" s="1580"/>
    </row>
    <row r="161" customFormat="false" ht="15.75" hidden="false" customHeight="false" outlineLevel="0" collapsed="false">
      <c r="A161" s="1304"/>
      <c r="B161" s="1304"/>
      <c r="C161" s="2476" t="s">
        <v>15</v>
      </c>
      <c r="D161" s="2469" t="n">
        <f aca="false">связи1!D575</f>
        <v>1</v>
      </c>
      <c r="E161" s="2458" t="n">
        <f aca="false">связи1!E575</f>
        <v>2.9</v>
      </c>
      <c r="F161" s="2491" t="n">
        <f aca="false">D161*E161</f>
        <v>2.9</v>
      </c>
      <c r="G161" s="2491" t="n">
        <f aca="false">F161*D153</f>
        <v>0</v>
      </c>
      <c r="H161" s="2459"/>
      <c r="I161" s="2483"/>
      <c r="J161" s="2483"/>
      <c r="K161" s="1301"/>
      <c r="L161" s="1580"/>
      <c r="M161" s="1580"/>
      <c r="N161" s="1580"/>
      <c r="O161" s="1580"/>
      <c r="P161" s="1580"/>
      <c r="Q161" s="1580"/>
      <c r="R161" s="1580"/>
    </row>
    <row r="162" customFormat="false" ht="15.75" hidden="false" customHeight="false" outlineLevel="0" collapsed="false">
      <c r="A162" s="1304" t="s">
        <v>2760</v>
      </c>
      <c r="B162" s="1304"/>
      <c r="C162" s="2476" t="s">
        <v>488</v>
      </c>
      <c r="D162" s="2469" t="n">
        <f aca="false">связи1!D576</f>
        <v>2.1</v>
      </c>
      <c r="E162" s="2458"/>
      <c r="F162" s="2491" t="n">
        <f aca="false">D162*E162</f>
        <v>0</v>
      </c>
      <c r="G162" s="2491" t="n">
        <f aca="false">F162*D152*D145</f>
        <v>0</v>
      </c>
      <c r="H162" s="2483"/>
      <c r="I162" s="2483"/>
      <c r="J162" s="2483"/>
      <c r="K162" s="1301"/>
      <c r="L162" s="1580"/>
      <c r="M162" s="1580"/>
      <c r="N162" s="1580"/>
      <c r="O162" s="1580"/>
      <c r="P162" s="1580"/>
      <c r="Q162" s="1580"/>
      <c r="R162" s="1580"/>
    </row>
    <row r="163" customFormat="false" ht="15.75" hidden="false" customHeight="false" outlineLevel="0" collapsed="false">
      <c r="A163" s="1304"/>
      <c r="B163" s="1304"/>
      <c r="C163" s="2476" t="s">
        <v>15</v>
      </c>
      <c r="D163" s="2469" t="e">
        <f aca="false">'ввод данных'!#ref!</f>
        <v>#VALUE!</v>
      </c>
      <c r="E163" s="2458" t="e">
        <f aca="false">'ввод данных'!#ref!</f>
        <v>#VALUE!</v>
      </c>
      <c r="F163" s="2491" t="e">
        <f aca="false">D163*E163</f>
        <v>#VALUE!</v>
      </c>
      <c r="G163" s="2491" t="e">
        <f aca="false">F163*D152*D145</f>
        <v>#VALUE!</v>
      </c>
      <c r="H163" s="2483"/>
      <c r="I163" s="2483"/>
      <c r="J163" s="2483"/>
      <c r="K163" s="1301"/>
      <c r="L163" s="1580"/>
      <c r="M163" s="1580"/>
      <c r="N163" s="1580"/>
      <c r="O163" s="1580"/>
      <c r="P163" s="1580"/>
      <c r="Q163" s="1580"/>
      <c r="R163" s="1580"/>
    </row>
    <row r="164" customFormat="false" ht="15.75" hidden="false" customHeight="false" outlineLevel="0" collapsed="false">
      <c r="A164" s="1304" t="s">
        <v>2760</v>
      </c>
      <c r="B164" s="1304"/>
      <c r="C164" s="2476" t="s">
        <v>15</v>
      </c>
      <c r="D164" s="2469" t="e">
        <f aca="false">'ввод данных'!#ref!</f>
        <v>#VALUE!</v>
      </c>
      <c r="E164" s="2458" t="e">
        <f aca="false">'ввод данных'!#ref!</f>
        <v>#VALUE!</v>
      </c>
      <c r="F164" s="2491" t="e">
        <f aca="false">D164*E164</f>
        <v>#VALUE!</v>
      </c>
      <c r="G164" s="1176" t="e">
        <f aca="false">F164*D152*D145</f>
        <v>#VALUE!</v>
      </c>
      <c r="H164" s="1311"/>
      <c r="I164" s="1311"/>
      <c r="J164" s="2483"/>
      <c r="K164" s="1301"/>
      <c r="L164" s="1580"/>
      <c r="M164" s="1580"/>
      <c r="N164" s="1580"/>
      <c r="O164" s="1580"/>
      <c r="P164" s="1580"/>
      <c r="Q164" s="1580"/>
      <c r="R164" s="1580"/>
    </row>
    <row r="165" customFormat="false" ht="15.75" hidden="false" customHeight="false" outlineLevel="0" collapsed="false">
      <c r="A165" s="1304"/>
      <c r="B165" s="1304"/>
      <c r="C165" s="2476" t="s">
        <v>15</v>
      </c>
      <c r="D165" s="2469" t="e">
        <f aca="false">'ввод данных'!#ref!</f>
        <v>#VALUE!</v>
      </c>
      <c r="E165" s="2458" t="e">
        <f aca="false">'ввод данных'!#ref!</f>
        <v>#VALUE!</v>
      </c>
      <c r="F165" s="2491" t="e">
        <f aca="false">D165*E165</f>
        <v>#VALUE!</v>
      </c>
      <c r="G165" s="1176" t="e">
        <f aca="false">F165*D152*D145</f>
        <v>#VALUE!</v>
      </c>
      <c r="H165" s="1311"/>
      <c r="I165" s="1311"/>
      <c r="J165" s="1619"/>
      <c r="K165" s="1301"/>
      <c r="L165" s="1580"/>
      <c r="M165" s="1580"/>
      <c r="N165" s="1580"/>
      <c r="O165" s="1580"/>
      <c r="P165" s="1580"/>
      <c r="Q165" s="1580"/>
      <c r="R165" s="1580"/>
    </row>
    <row r="166" customFormat="false" ht="15.75" hidden="false" customHeight="false" outlineLevel="0" collapsed="false">
      <c r="A166" s="1359" t="s">
        <v>2778</v>
      </c>
      <c r="B166" s="1359"/>
      <c r="C166" s="1359"/>
      <c r="D166" s="1359"/>
      <c r="E166" s="1359"/>
      <c r="F166" s="2491" t="e">
        <f aca="false">SUM(F158:F165)</f>
        <v>#VALUE!</v>
      </c>
      <c r="G166" s="2491" t="e">
        <f aca="false">SUM(G158:G165)</f>
        <v>#VALUE!</v>
      </c>
      <c r="H166" s="2483"/>
      <c r="I166" s="2483"/>
      <c r="J166" s="1311"/>
      <c r="K166" s="1301"/>
      <c r="L166" s="1580"/>
      <c r="M166" s="1580"/>
      <c r="N166" s="1580"/>
      <c r="O166" s="1580"/>
      <c r="P166" s="1580"/>
      <c r="Q166" s="1580"/>
      <c r="R166" s="1580"/>
    </row>
    <row r="167" customFormat="false" ht="15.75" hidden="false" customHeight="false" outlineLevel="0" collapsed="false">
      <c r="A167" s="1363" t="s">
        <v>548</v>
      </c>
      <c r="B167" s="1364"/>
      <c r="C167" s="1365" t="s">
        <v>12</v>
      </c>
      <c r="D167" s="1365" t="s">
        <v>2779</v>
      </c>
      <c r="E167" s="1365" t="s">
        <v>2780</v>
      </c>
      <c r="F167" s="1365" t="s">
        <v>118</v>
      </c>
      <c r="G167" s="2465" t="s">
        <v>2749</v>
      </c>
      <c r="H167" s="2483"/>
      <c r="I167" s="1429"/>
      <c r="J167" s="1619"/>
      <c r="K167" s="1301"/>
      <c r="L167" s="1580"/>
      <c r="M167" s="1580"/>
      <c r="N167" s="1580"/>
      <c r="O167" s="1580"/>
      <c r="P167" s="1580"/>
      <c r="Q167" s="1580"/>
      <c r="R167" s="1580"/>
    </row>
    <row r="168" customFormat="false" ht="15.75" hidden="false" customHeight="false" outlineLevel="0" collapsed="false">
      <c r="A168" s="1304" t="s">
        <v>550</v>
      </c>
      <c r="B168" s="1304"/>
      <c r="C168" s="1304" t="s">
        <v>15</v>
      </c>
      <c r="D168" s="2469" t="e">
        <f aca="false">'ввод данных'!#ref!</f>
        <v>#VALUE!</v>
      </c>
      <c r="E168" s="2458" t="e">
        <f aca="false">'ввод данных'!#ref!</f>
        <v>#VALUE!</v>
      </c>
      <c r="F168" s="2467" t="n">
        <f aca="false">'Ввод данных'!G467</f>
        <v>0</v>
      </c>
      <c r="G168" s="1368" t="e">
        <f aca="false">D168*E168*F168</f>
        <v>#VALUE!</v>
      </c>
      <c r="H168" s="2483"/>
      <c r="I168" s="1271"/>
      <c r="J168" s="1619"/>
      <c r="K168" s="1301"/>
      <c r="L168" s="1580"/>
      <c r="M168" s="1580"/>
      <c r="N168" s="1580"/>
      <c r="O168" s="1580"/>
      <c r="P168" s="1580"/>
      <c r="Q168" s="1580"/>
      <c r="R168" s="1580"/>
    </row>
    <row r="169" customFormat="false" ht="15.75" hidden="false" customHeight="false" outlineLevel="0" collapsed="false">
      <c r="A169" s="1304"/>
      <c r="B169" s="1304"/>
      <c r="C169" s="1304" t="s">
        <v>15</v>
      </c>
      <c r="D169" s="2469" t="e">
        <f aca="false">'ввод данных'!#ref!</f>
        <v>#VALUE!</v>
      </c>
      <c r="E169" s="2458" t="e">
        <f aca="false">'ввод данных'!#ref!</f>
        <v>#VALUE!</v>
      </c>
      <c r="F169" s="2467" t="n">
        <f aca="false">'Ввод данных'!G468</f>
        <v>0</v>
      </c>
      <c r="G169" s="1368" t="e">
        <f aca="false">D169*E169*F169</f>
        <v>#VALUE!</v>
      </c>
      <c r="H169" s="2483"/>
      <c r="I169" s="1429"/>
      <c r="J169" s="1619"/>
      <c r="K169" s="1301"/>
      <c r="L169" s="1580"/>
      <c r="M169" s="1580"/>
      <c r="N169" s="1580"/>
      <c r="O169" s="1580"/>
      <c r="P169" s="1580"/>
      <c r="Q169" s="1580"/>
      <c r="R169" s="1580"/>
    </row>
    <row r="170" customFormat="false" ht="15.75" hidden="false" customHeight="false" outlineLevel="0" collapsed="false">
      <c r="A170" s="1304"/>
      <c r="B170" s="1304"/>
      <c r="C170" s="1304" t="s">
        <v>15</v>
      </c>
      <c r="D170" s="2469" t="e">
        <f aca="false">'ввод данных'!#ref!</f>
        <v>#VALUE!</v>
      </c>
      <c r="E170" s="2458" t="e">
        <f aca="false">'ввод данных'!#ref!</f>
        <v>#VALUE!</v>
      </c>
      <c r="F170" s="2467" t="n">
        <f aca="false">'Ввод данных'!G469</f>
        <v>0</v>
      </c>
      <c r="G170" s="1368" t="e">
        <f aca="false">D170*E170*F170</f>
        <v>#VALUE!</v>
      </c>
      <c r="H170" s="2537"/>
      <c r="I170" s="1429"/>
      <c r="J170" s="1619"/>
      <c r="K170" s="1301"/>
      <c r="L170" s="1580"/>
      <c r="M170" s="1580"/>
      <c r="N170" s="1580"/>
      <c r="O170" s="1580"/>
      <c r="P170" s="1580"/>
      <c r="Q170" s="1580"/>
      <c r="R170" s="1580"/>
    </row>
    <row r="171" customFormat="false" ht="15.75" hidden="false" customHeight="false" outlineLevel="0" collapsed="false">
      <c r="A171" s="1401" t="s">
        <v>2791</v>
      </c>
      <c r="B171" s="1401"/>
      <c r="C171" s="1304" t="s">
        <v>15</v>
      </c>
      <c r="D171" s="2469" t="e">
        <f aca="false">'ввод данных'!#ref!</f>
        <v>#VALUE!</v>
      </c>
      <c r="E171" s="2458"/>
      <c r="F171" s="2467" t="e">
        <f aca="false">'ввод данных'!#ref!</f>
        <v>#VALUE!</v>
      </c>
      <c r="G171" s="1368" t="e">
        <f aca="false">D171*E171*F171</f>
        <v>#VALUE!</v>
      </c>
      <c r="H171" s="1311"/>
      <c r="I171" s="1429"/>
      <c r="J171" s="1619"/>
      <c r="K171" s="1301"/>
      <c r="L171" s="1580"/>
      <c r="M171" s="1580"/>
      <c r="N171" s="1580"/>
      <c r="O171" s="1580"/>
      <c r="P171" s="1580"/>
      <c r="Q171" s="1580"/>
      <c r="R171" s="1580"/>
    </row>
    <row r="172" customFormat="false" ht="15.75" hidden="false" customHeight="false" outlineLevel="0" collapsed="false">
      <c r="A172" s="1401"/>
      <c r="B172" s="1401"/>
      <c r="C172" s="1304" t="s">
        <v>15</v>
      </c>
      <c r="D172" s="2469"/>
      <c r="E172" s="2458"/>
      <c r="F172" s="2467"/>
      <c r="G172" s="1368" t="n">
        <f aca="false">D172*E172*F172</f>
        <v>0</v>
      </c>
      <c r="H172" s="2537"/>
      <c r="I172" s="1429"/>
      <c r="J172" s="1619"/>
      <c r="K172" s="1301"/>
      <c r="L172" s="1580"/>
      <c r="M172" s="1580"/>
      <c r="N172" s="1580"/>
      <c r="O172" s="1580"/>
      <c r="P172" s="1580"/>
      <c r="Q172" s="1580"/>
      <c r="R172" s="1580"/>
    </row>
    <row r="173" customFormat="false" ht="15.75" hidden="false" customHeight="false" outlineLevel="0" collapsed="false">
      <c r="A173" s="1310" t="s">
        <v>1839</v>
      </c>
      <c r="B173" s="1310"/>
      <c r="C173" s="1334" t="s">
        <v>15</v>
      </c>
      <c r="D173" s="2469" t="n">
        <f aca="false">связи1!D577</f>
        <v>0.6</v>
      </c>
      <c r="E173" s="2458" t="n">
        <f aca="false">связи1!E577</f>
        <v>0.6</v>
      </c>
      <c r="F173" s="2467" t="e">
        <f aca="false">'ввод данных'!#ref!</f>
        <v>#VALUE!</v>
      </c>
      <c r="G173" s="1176" t="e">
        <f aca="false">D173*E173*F173</f>
        <v>#VALUE!</v>
      </c>
      <c r="H173" s="1311"/>
      <c r="I173" s="1311"/>
      <c r="J173" s="1619"/>
      <c r="K173" s="1301"/>
      <c r="L173" s="1580"/>
      <c r="M173" s="1580"/>
      <c r="N173" s="1580"/>
      <c r="O173" s="1580"/>
      <c r="P173" s="1580"/>
      <c r="Q173" s="1580"/>
      <c r="R173" s="1580"/>
    </row>
    <row r="174" customFormat="false" ht="15.75" hidden="false" customHeight="false" outlineLevel="0" collapsed="false">
      <c r="A174" s="1413" t="s">
        <v>553</v>
      </c>
      <c r="B174" s="1413"/>
      <c r="C174" s="1334" t="s">
        <v>15</v>
      </c>
      <c r="D174" s="2469" t="n">
        <f aca="false">связи1!D579</f>
        <v>0.5</v>
      </c>
      <c r="E174" s="2458" t="n">
        <f aca="false">связи1!E579</f>
        <v>0.8</v>
      </c>
      <c r="F174" s="2467" t="n">
        <f aca="false">связи1!F566</f>
        <v>0</v>
      </c>
      <c r="G174" s="1176" t="n">
        <f aca="false">D174*E174*F174</f>
        <v>0</v>
      </c>
      <c r="H174" s="2538"/>
      <c r="I174" s="1619" t="s">
        <v>4005</v>
      </c>
      <c r="J174" s="1619"/>
      <c r="K174" s="1301"/>
      <c r="L174" s="1580"/>
      <c r="M174" s="1580"/>
      <c r="N174" s="1580"/>
      <c r="O174" s="1580"/>
      <c r="P174" s="1580"/>
      <c r="Q174" s="1580"/>
      <c r="R174" s="1580"/>
    </row>
    <row r="175" customFormat="false" ht="15.75" hidden="false" customHeight="false" outlineLevel="0" collapsed="false">
      <c r="A175" s="1343" t="s">
        <v>2797</v>
      </c>
      <c r="B175" s="1415"/>
      <c r="C175" s="1415"/>
      <c r="D175" s="1415"/>
      <c r="E175" s="1415"/>
      <c r="F175" s="1416"/>
      <c r="G175" s="1536" t="e">
        <f aca="false">SUM(G168:G174)*E143</f>
        <v>#VALUE!</v>
      </c>
      <c r="H175" s="2537"/>
      <c r="I175" s="1429"/>
      <c r="J175" s="1619"/>
      <c r="K175" s="1301"/>
      <c r="L175" s="1580"/>
      <c r="M175" s="1580"/>
      <c r="N175" s="1580"/>
      <c r="O175" s="1580"/>
      <c r="P175" s="1580"/>
      <c r="Q175" s="1580"/>
      <c r="R175" s="1580"/>
    </row>
    <row r="176" customFormat="false" ht="15.75" hidden="false" customHeight="false" outlineLevel="0" collapsed="false">
      <c r="A176" s="1176" t="s">
        <v>4006</v>
      </c>
      <c r="B176" s="1176"/>
      <c r="C176" s="1176" t="s">
        <v>820</v>
      </c>
      <c r="D176" s="1176" t="e">
        <f aca="false">G166-G171-G172</f>
        <v>#VALUE!</v>
      </c>
      <c r="E176" s="1311"/>
      <c r="F176" s="1311"/>
      <c r="G176" s="1271"/>
      <c r="H176" s="2537"/>
      <c r="I176" s="1429"/>
      <c r="J176" s="1619"/>
      <c r="K176" s="1301"/>
      <c r="L176" s="1580"/>
      <c r="M176" s="1580"/>
      <c r="N176" s="1580"/>
      <c r="O176" s="1580"/>
      <c r="P176" s="1580"/>
      <c r="Q176" s="1580"/>
      <c r="R176" s="1580"/>
    </row>
    <row r="177" customFormat="false" ht="15.75" hidden="false" customHeight="false" outlineLevel="0" collapsed="false">
      <c r="A177" s="1176" t="s">
        <v>2846</v>
      </c>
      <c r="B177" s="1176"/>
      <c r="C177" s="1176" t="s">
        <v>820</v>
      </c>
      <c r="D177" s="1176" t="e">
        <f aca="false">(D153*D144+D152*D145+E147*F147+E148*F148+E149*F149)*(D151+D151+D150)-G168-G169-G170-G173-G174*H174</f>
        <v>#VALUE!</v>
      </c>
      <c r="E177" s="1311"/>
      <c r="F177" s="1311"/>
      <c r="G177" s="1271"/>
      <c r="H177" s="2537"/>
      <c r="I177" s="1429"/>
      <c r="J177" s="1619"/>
      <c r="K177" s="1301"/>
      <c r="L177" s="1580"/>
      <c r="M177" s="1580"/>
      <c r="N177" s="1580"/>
      <c r="O177" s="1580"/>
      <c r="P177" s="1580"/>
      <c r="Q177" s="1580"/>
      <c r="R177" s="1580"/>
    </row>
    <row r="178" customFormat="false" ht="15.75" hidden="false" customHeight="false" outlineLevel="0" collapsed="false">
      <c r="A178" s="1176" t="s">
        <v>4007</v>
      </c>
      <c r="B178" s="1176"/>
      <c r="C178" s="1176" t="s">
        <v>820</v>
      </c>
      <c r="D178" s="1176" t="e">
        <f aca="false">D176*2+D177</f>
        <v>#VALUE!</v>
      </c>
      <c r="E178" s="1311"/>
      <c r="F178" s="1311"/>
      <c r="G178" s="1271"/>
      <c r="H178" s="2537"/>
      <c r="I178" s="1429"/>
      <c r="J178" s="1619"/>
      <c r="K178" s="1301"/>
      <c r="L178" s="1580"/>
      <c r="M178" s="1580"/>
      <c r="N178" s="1580"/>
      <c r="O178" s="1580"/>
      <c r="P178" s="1580"/>
      <c r="Q178" s="1580"/>
      <c r="R178" s="1580"/>
    </row>
    <row r="179" customFormat="false" ht="15.75" hidden="false" customHeight="false" outlineLevel="0" collapsed="false">
      <c r="A179" s="2539" t="s">
        <v>2790</v>
      </c>
      <c r="B179" s="2540"/>
      <c r="C179" s="2541" t="s">
        <v>12</v>
      </c>
      <c r="D179" s="2541" t="s">
        <v>200</v>
      </c>
      <c r="E179" s="2458" t="n">
        <f aca="false">связи1!E576</f>
        <v>1.5</v>
      </c>
      <c r="F179" s="1272" t="s">
        <v>4008</v>
      </c>
      <c r="G179" s="1271"/>
      <c r="H179" s="2537"/>
      <c r="I179" s="1429"/>
      <c r="J179" s="1619"/>
      <c r="K179" s="1301"/>
      <c r="L179" s="1580"/>
      <c r="M179" s="1580"/>
      <c r="N179" s="1580"/>
      <c r="O179" s="1580"/>
      <c r="P179" s="1580"/>
      <c r="Q179" s="1580"/>
      <c r="R179" s="1580"/>
    </row>
    <row r="180" customFormat="false" ht="15.75" hidden="false" customHeight="false" outlineLevel="0" collapsed="false">
      <c r="A180" s="1402" t="s">
        <v>2980</v>
      </c>
      <c r="B180" s="2542"/>
      <c r="C180" s="1404" t="s">
        <v>15</v>
      </c>
      <c r="D180" s="1404" t="n">
        <f aca="false">SQRT(D151*D151+D155*D155)</f>
        <v>0</v>
      </c>
      <c r="E180" s="1421"/>
      <c r="F180" s="1421"/>
      <c r="G180" s="1271"/>
      <c r="H180" s="2537"/>
      <c r="I180" s="1429"/>
      <c r="J180" s="1619"/>
      <c r="K180" s="1301"/>
      <c r="L180" s="1580"/>
      <c r="M180" s="1580"/>
      <c r="N180" s="1580"/>
      <c r="O180" s="1580"/>
      <c r="P180" s="1580"/>
      <c r="Q180" s="1580"/>
      <c r="R180" s="1580"/>
    </row>
    <row r="181" customFormat="false" ht="15.75" hidden="false" customHeight="false" outlineLevel="0" collapsed="false">
      <c r="A181" s="1402" t="s">
        <v>3692</v>
      </c>
      <c r="B181" s="2542"/>
      <c r="C181" s="1404" t="s">
        <v>15</v>
      </c>
      <c r="D181" s="2469" t="n">
        <f aca="false">связи1!C577</f>
        <v>0.5</v>
      </c>
      <c r="E181" s="1421"/>
      <c r="F181" s="1421"/>
      <c r="G181" s="1271"/>
      <c r="H181" s="2537"/>
      <c r="I181" s="1429"/>
      <c r="J181" s="1619"/>
      <c r="K181" s="1301"/>
      <c r="L181" s="1580"/>
      <c r="M181" s="1580"/>
      <c r="N181" s="1580"/>
      <c r="O181" s="1580"/>
      <c r="P181" s="1580"/>
      <c r="Q181" s="1580"/>
      <c r="R181" s="1580"/>
    </row>
    <row r="182" customFormat="false" ht="15.75" hidden="false" customHeight="false" outlineLevel="0" collapsed="false">
      <c r="A182" s="1402" t="s">
        <v>4009</v>
      </c>
      <c r="B182" s="2542"/>
      <c r="C182" s="1404" t="s">
        <v>15</v>
      </c>
      <c r="D182" s="2469" t="n">
        <f aca="false">связи1!C579</f>
        <v>0.5</v>
      </c>
      <c r="E182" s="1421"/>
      <c r="F182" s="1421"/>
      <c r="G182" s="1271"/>
      <c r="H182" s="1413" t="s">
        <v>2748</v>
      </c>
      <c r="I182" s="1413"/>
      <c r="J182" s="2503" t="s">
        <v>48</v>
      </c>
      <c r="K182" s="2469" t="e">
        <f aca="false">'ввод данных'!#ref!</f>
        <v>#VALUE!</v>
      </c>
      <c r="L182" s="1580"/>
      <c r="M182" s="1580"/>
      <c r="N182" s="1580"/>
      <c r="O182" s="1580"/>
      <c r="P182" s="1580"/>
      <c r="Q182" s="1580"/>
      <c r="R182" s="1580"/>
    </row>
    <row r="183" customFormat="false" ht="15.75" hidden="false" customHeight="false" outlineLevel="0" collapsed="false">
      <c r="A183" s="1402" t="s">
        <v>2807</v>
      </c>
      <c r="B183" s="2543"/>
      <c r="C183" s="1404" t="s">
        <v>820</v>
      </c>
      <c r="D183" s="1404" t="n">
        <f aca="false">D180*D150</f>
        <v>0</v>
      </c>
      <c r="E183" s="1421"/>
      <c r="F183" s="1421"/>
      <c r="G183" s="1271"/>
      <c r="H183" s="1413" t="s">
        <v>2753</v>
      </c>
      <c r="I183" s="1413"/>
      <c r="J183" s="2503" t="s">
        <v>48</v>
      </c>
      <c r="K183" s="2469" t="e">
        <f aca="false">'ввод данных'!#ref!</f>
        <v>#VALUE!</v>
      </c>
      <c r="L183" s="1580"/>
      <c r="M183" s="1580"/>
      <c r="N183" s="1580"/>
      <c r="O183" s="1580"/>
      <c r="P183" s="1580"/>
      <c r="Q183" s="1580"/>
      <c r="R183" s="1580"/>
    </row>
    <row r="184" customFormat="false" ht="15.75" hidden="false" customHeight="false" outlineLevel="0" collapsed="false">
      <c r="A184" s="1402" t="s">
        <v>2808</v>
      </c>
      <c r="B184" s="2543"/>
      <c r="C184" s="1404" t="s">
        <v>820</v>
      </c>
      <c r="D184" s="1404" t="n">
        <f aca="false">(D180+D181)*(D150+D182+D182)</f>
        <v>0.5</v>
      </c>
      <c r="E184" s="1421"/>
      <c r="F184" s="1421"/>
      <c r="G184" s="1271"/>
      <c r="H184" s="1286" t="s">
        <v>2836</v>
      </c>
      <c r="I184" s="2514" t="s">
        <v>820</v>
      </c>
      <c r="J184" s="1286" t="n">
        <f aca="false">K142*K143*K136+K142*K143*K137</f>
        <v>0</v>
      </c>
      <c r="K184" s="1301"/>
      <c r="L184" s="1580"/>
      <c r="M184" s="1580"/>
      <c r="N184" s="1580"/>
      <c r="O184" s="1580"/>
      <c r="P184" s="1580"/>
      <c r="Q184" s="1580"/>
      <c r="R184" s="1580"/>
    </row>
    <row r="185" customFormat="false" ht="15.75" hidden="false" customHeight="false" outlineLevel="0" collapsed="false">
      <c r="A185" s="1413" t="s">
        <v>2826</v>
      </c>
      <c r="B185" s="1413"/>
      <c r="C185" s="1413"/>
      <c r="D185" s="1413" t="s">
        <v>486</v>
      </c>
      <c r="E185" s="2518" t="s">
        <v>137</v>
      </c>
      <c r="F185" s="2467"/>
      <c r="G185" s="1311"/>
      <c r="H185" s="1176" t="s">
        <v>4006</v>
      </c>
      <c r="I185" s="1176"/>
      <c r="J185" s="1176" t="s">
        <v>820</v>
      </c>
      <c r="K185" s="1176" t="n">
        <f aca="false">N175-N180-N181</f>
        <v>0</v>
      </c>
      <c r="L185" s="1580"/>
      <c r="M185" s="1580"/>
      <c r="N185" s="1580"/>
      <c r="O185" s="1580"/>
      <c r="P185" s="1580"/>
      <c r="Q185" s="1580"/>
      <c r="R185" s="1580"/>
    </row>
    <row r="186" customFormat="false" ht="15.75" hidden="false" customHeight="false" outlineLevel="0" collapsed="false">
      <c r="A186" s="862" t="s">
        <v>3665</v>
      </c>
      <c r="B186" s="862"/>
      <c r="C186" s="862"/>
      <c r="D186" s="862" t="s">
        <v>15</v>
      </c>
      <c r="E186" s="1438" t="n">
        <v>0.15</v>
      </c>
      <c r="F186" s="2467" t="n">
        <f aca="false">связи1!F569</f>
        <v>3</v>
      </c>
      <c r="G186" s="1311"/>
      <c r="H186" s="1176" t="s">
        <v>2846</v>
      </c>
      <c r="I186" s="1176"/>
      <c r="J186" s="1176" t="s">
        <v>820</v>
      </c>
      <c r="K186" s="1176" t="n">
        <f aca="false">(K162*K153+K161*K154+L156*M156+L157*M157+L158*M158)*(K160+K160+K159)-N177-N178-N179-N182-N183*O183</f>
        <v>0</v>
      </c>
      <c r="L186" s="1580"/>
      <c r="M186" s="1580"/>
      <c r="N186" s="1580"/>
      <c r="O186" s="1580"/>
      <c r="P186" s="1580"/>
      <c r="Q186" s="1580"/>
      <c r="R186" s="1580"/>
    </row>
    <row r="187" customFormat="false" ht="15.75" hidden="false" customHeight="false" outlineLevel="0" collapsed="false">
      <c r="A187" s="862"/>
      <c r="B187" s="862"/>
      <c r="C187" s="862"/>
      <c r="D187" s="862" t="s">
        <v>15</v>
      </c>
      <c r="E187" s="1438" t="n">
        <v>0.2</v>
      </c>
      <c r="F187" s="2467" t="n">
        <f aca="false">связи1!F570</f>
        <v>5</v>
      </c>
      <c r="G187" s="1311"/>
      <c r="H187" s="1176" t="s">
        <v>4007</v>
      </c>
      <c r="I187" s="1176"/>
      <c r="J187" s="1176" t="s">
        <v>820</v>
      </c>
      <c r="K187" s="1176" t="n">
        <f aca="false">K185*2+K186</f>
        <v>0</v>
      </c>
      <c r="L187" s="1580"/>
      <c r="M187" s="1580"/>
      <c r="N187" s="1580"/>
      <c r="O187" s="1580"/>
      <c r="P187" s="1580"/>
      <c r="Q187" s="1580"/>
      <c r="R187" s="1580"/>
    </row>
    <row r="188" customFormat="false" ht="15.75" hidden="false" customHeight="false" outlineLevel="0" collapsed="false">
      <c r="A188" s="862" t="s">
        <v>2830</v>
      </c>
      <c r="B188" s="862"/>
      <c r="C188" s="862"/>
      <c r="D188" s="862" t="s">
        <v>15</v>
      </c>
      <c r="E188" s="1438" t="n">
        <v>0.15</v>
      </c>
      <c r="F188" s="2467" t="n">
        <f aca="false">связи1!F571</f>
        <v>3</v>
      </c>
      <c r="G188" s="1311"/>
      <c r="H188" s="1343" t="s">
        <v>2797</v>
      </c>
      <c r="I188" s="1415"/>
      <c r="J188" s="1415"/>
      <c r="K188" s="1415"/>
      <c r="L188" s="1580"/>
      <c r="M188" s="1580"/>
      <c r="N188" s="1580"/>
      <c r="O188" s="1580"/>
      <c r="P188" s="1580"/>
      <c r="Q188" s="1580"/>
      <c r="R188" s="1580"/>
    </row>
    <row r="189" customFormat="false" ht="15.75" hidden="false" customHeight="false" outlineLevel="0" collapsed="false">
      <c r="A189" s="862"/>
      <c r="B189" s="862"/>
      <c r="C189" s="862"/>
      <c r="D189" s="862" t="s">
        <v>15</v>
      </c>
      <c r="E189" s="1438" t="n">
        <v>0.2</v>
      </c>
      <c r="F189" s="2467" t="n">
        <f aca="false">связи1!F572</f>
        <v>4</v>
      </c>
      <c r="G189" s="1311"/>
      <c r="H189" s="1310" t="s">
        <v>366</v>
      </c>
      <c r="I189" s="1310"/>
      <c r="J189" s="2457" t="s">
        <v>15</v>
      </c>
      <c r="K189" s="2469"/>
      <c r="L189" s="1580"/>
      <c r="M189" s="1580"/>
      <c r="N189" s="1580"/>
      <c r="O189" s="1580"/>
      <c r="P189" s="1580"/>
      <c r="Q189" s="1580"/>
      <c r="R189" s="1580"/>
    </row>
    <row r="190" customFormat="false" ht="15.75" hidden="false" customHeight="false" outlineLevel="0" collapsed="false">
      <c r="A190" s="2544" t="s">
        <v>2833</v>
      </c>
      <c r="B190" s="2544"/>
      <c r="C190" s="2544"/>
      <c r="D190" s="2544"/>
      <c r="E190" s="2458" t="e">
        <f aca="false">'ввод данных'!#ref!</f>
        <v>#VALUE!</v>
      </c>
      <c r="F190" s="53" t="s">
        <v>3715</v>
      </c>
      <c r="G190" s="1302"/>
      <c r="H190" s="1310" t="s">
        <v>2774</v>
      </c>
      <c r="I190" s="1310"/>
      <c r="J190" s="2476" t="s">
        <v>15</v>
      </c>
      <c r="K190" s="2469"/>
      <c r="L190" s="1580"/>
      <c r="M190" s="1580"/>
      <c r="N190" s="1580"/>
      <c r="O190" s="1580"/>
      <c r="P190" s="1580"/>
      <c r="Q190" s="1580"/>
      <c r="R190" s="1580"/>
    </row>
    <row r="191" customFormat="false" ht="15.75" hidden="false" customHeight="false" outlineLevel="0" collapsed="false">
      <c r="A191" s="1286" t="s">
        <v>2773</v>
      </c>
      <c r="B191" s="2514" t="s">
        <v>15</v>
      </c>
      <c r="C191" s="1286" t="n">
        <f aca="false">D150+D151*2</f>
        <v>0</v>
      </c>
      <c r="D191" s="53"/>
      <c r="E191" s="53"/>
      <c r="F191" s="1421"/>
      <c r="G191" s="1302"/>
      <c r="H191" s="1310" t="s">
        <v>4000</v>
      </c>
      <c r="I191" s="1310"/>
      <c r="J191" s="2476" t="s">
        <v>15</v>
      </c>
      <c r="K191" s="2469"/>
      <c r="L191" s="1580"/>
      <c r="M191" s="1580"/>
      <c r="N191" s="1580"/>
      <c r="O191" s="1580"/>
      <c r="P191" s="1580"/>
      <c r="Q191" s="1580"/>
      <c r="R191" s="1580"/>
    </row>
    <row r="192" customFormat="false" ht="15.75" hidden="false" customHeight="false" outlineLevel="0" collapsed="false">
      <c r="A192" s="1286" t="s">
        <v>2836</v>
      </c>
      <c r="B192" s="2514" t="s">
        <v>820</v>
      </c>
      <c r="C192" s="1286" t="n">
        <f aca="false">D150*D151*D144+D150*D151*D145</f>
        <v>0</v>
      </c>
      <c r="D192" s="53"/>
      <c r="E192" s="53"/>
      <c r="F192" s="1421"/>
      <c r="G192" s="1302"/>
      <c r="H192" s="1310" t="s">
        <v>4001</v>
      </c>
      <c r="I192" s="1310"/>
      <c r="J192" s="2476" t="s">
        <v>15</v>
      </c>
      <c r="K192" s="2469"/>
      <c r="L192" s="1580"/>
      <c r="M192" s="1580"/>
      <c r="N192" s="1580"/>
      <c r="O192" s="1580"/>
      <c r="P192" s="1580"/>
      <c r="Q192" s="1580"/>
      <c r="R192" s="1580"/>
    </row>
    <row r="193" customFormat="false" ht="15.75" hidden="false" customHeight="false" outlineLevel="0" collapsed="false">
      <c r="A193" s="53"/>
      <c r="B193" s="1179"/>
      <c r="C193" s="53"/>
      <c r="D193" s="53"/>
      <c r="E193" s="53"/>
      <c r="F193" s="1421"/>
      <c r="G193" s="1302"/>
      <c r="H193" s="1310" t="s">
        <v>4002</v>
      </c>
      <c r="I193" s="1310"/>
      <c r="J193" s="2476" t="s">
        <v>15</v>
      </c>
      <c r="K193" s="2469"/>
      <c r="L193" s="1580"/>
      <c r="M193" s="1580"/>
      <c r="N193" s="1580"/>
      <c r="O193" s="1580"/>
      <c r="P193" s="1580"/>
      <c r="Q193" s="1580"/>
      <c r="R193" s="1580"/>
    </row>
    <row r="194" customFormat="false" ht="15.75" hidden="false" customHeight="false" outlineLevel="0" collapsed="false">
      <c r="A194" s="53"/>
      <c r="B194" s="1179"/>
      <c r="C194" s="53"/>
      <c r="D194" s="53"/>
      <c r="E194" s="53"/>
      <c r="F194" s="1421"/>
      <c r="G194" s="1302"/>
      <c r="H194" s="1316" t="s">
        <v>4003</v>
      </c>
      <c r="I194" s="1316"/>
      <c r="J194" s="2476" t="s">
        <v>15</v>
      </c>
      <c r="K194" s="2491" t="n">
        <f aca="false">K193-K191</f>
        <v>0</v>
      </c>
      <c r="L194" s="1580"/>
      <c r="M194" s="1580"/>
      <c r="N194" s="1580"/>
      <c r="O194" s="1580"/>
      <c r="P194" s="1580"/>
      <c r="Q194" s="1580"/>
      <c r="R194" s="1580"/>
    </row>
    <row r="195" customFormat="false" ht="15.75" hidden="false" customHeight="false" outlineLevel="0" collapsed="false">
      <c r="A195" s="2544" t="s">
        <v>45</v>
      </c>
      <c r="B195" s="1365" t="s">
        <v>12</v>
      </c>
      <c r="C195" s="1365" t="s">
        <v>13</v>
      </c>
      <c r="D195" s="2469" t="str">
        <f aca="false">'Ввод данных'!C60</f>
        <v>Не считать</v>
      </c>
      <c r="E195" s="2545" t="s">
        <v>3667</v>
      </c>
      <c r="F195" s="2546"/>
      <c r="G195" s="2547"/>
      <c r="H195" s="1413" t="s">
        <v>302</v>
      </c>
      <c r="I195" s="1413"/>
      <c r="J195" s="2502" t="s">
        <v>15</v>
      </c>
      <c r="K195" s="2514" t="n">
        <f aca="false">K198*K199*M195</f>
        <v>0</v>
      </c>
      <c r="L195" s="1580"/>
      <c r="M195" s="1580"/>
      <c r="N195" s="1580"/>
      <c r="O195" s="1580"/>
      <c r="P195" s="1580"/>
      <c r="Q195" s="1580"/>
      <c r="R195" s="1580"/>
    </row>
    <row r="196" customFormat="false" ht="15.75" hidden="false" customHeight="false" outlineLevel="0" collapsed="false">
      <c r="A196" s="2486" t="s">
        <v>2748</v>
      </c>
      <c r="B196" s="2486" t="s">
        <v>48</v>
      </c>
      <c r="C196" s="2548" t="e">
        <f aca="false">'ввод данных'!#ref!</f>
        <v>#VALUE!</v>
      </c>
      <c r="D196" s="42"/>
      <c r="E196" s="42"/>
      <c r="F196" s="42"/>
      <c r="G196" s="42"/>
      <c r="H196" s="1413" t="s">
        <v>2758</v>
      </c>
      <c r="I196" s="1413"/>
      <c r="J196" s="2502" t="s">
        <v>15</v>
      </c>
      <c r="K196" s="2514" t="n">
        <f aca="false">K198*K199*M196</f>
        <v>0</v>
      </c>
      <c r="L196" s="1580"/>
      <c r="M196" s="1580"/>
      <c r="N196" s="1580"/>
      <c r="O196" s="1580"/>
      <c r="P196" s="1580"/>
      <c r="Q196" s="1580"/>
      <c r="R196" s="1580"/>
    </row>
    <row r="197" customFormat="false" ht="15.75" hidden="false" customHeight="false" outlineLevel="0" collapsed="false">
      <c r="A197" s="2486" t="s">
        <v>2753</v>
      </c>
      <c r="B197" s="2486" t="s">
        <v>48</v>
      </c>
      <c r="C197" s="2548" t="e">
        <f aca="false">'ввод данных'!#ref!</f>
        <v>#VALUE!</v>
      </c>
      <c r="D197" s="1311"/>
      <c r="E197" s="42"/>
      <c r="F197" s="42"/>
      <c r="G197" s="42"/>
      <c r="H197" s="1310" t="s">
        <v>2759</v>
      </c>
      <c r="I197" s="1310"/>
      <c r="J197" s="1361" t="s">
        <v>15</v>
      </c>
      <c r="K197" s="1338" t="n">
        <f aca="false">K198*K199*M197</f>
        <v>0</v>
      </c>
      <c r="L197" s="1580"/>
      <c r="M197" s="1580"/>
      <c r="N197" s="1580"/>
      <c r="O197" s="1580"/>
      <c r="P197" s="1580"/>
      <c r="Q197" s="1580"/>
      <c r="R197" s="1580"/>
    </row>
    <row r="198" customFormat="false" ht="15.75" hidden="false" customHeight="false" outlineLevel="0" collapsed="false">
      <c r="A198" s="2546" t="s">
        <v>161</v>
      </c>
      <c r="B198" s="2546" t="s">
        <v>12</v>
      </c>
      <c r="C198" s="2546" t="s">
        <v>2749</v>
      </c>
      <c r="D198" s="2486" t="s">
        <v>2491</v>
      </c>
      <c r="E198" s="1311"/>
      <c r="F198" s="1311"/>
      <c r="G198" s="42"/>
      <c r="H198" s="2483"/>
      <c r="I198" s="1429"/>
      <c r="J198" s="1619"/>
      <c r="K198" s="2459"/>
      <c r="L198" s="1580"/>
      <c r="M198" s="1580"/>
      <c r="N198" s="1580"/>
      <c r="O198" s="1580"/>
      <c r="P198" s="1580"/>
      <c r="Q198" s="1580"/>
      <c r="R198" s="1580"/>
    </row>
    <row r="199" customFormat="false" ht="15.75" hidden="false" customHeight="false" outlineLevel="0" collapsed="false">
      <c r="A199" s="2486" t="s">
        <v>302</v>
      </c>
      <c r="B199" s="2486" t="s">
        <v>48</v>
      </c>
      <c r="C199" s="1176" t="e">
        <f aca="false">(C204*C208+(C207-C204)*C202+(C207-C204)*((C208-C202)/2)*2)*E199</f>
        <v>#VALUE!</v>
      </c>
      <c r="D199" s="2469" t="n">
        <f aca="false">'Ввод данных'!D510</f>
        <v>0</v>
      </c>
      <c r="E199" s="2458" t="e">
        <f aca="false">'ввод данных'!#ref!</f>
        <v>#VALUE!</v>
      </c>
      <c r="F199" s="53" t="s">
        <v>3668</v>
      </c>
      <c r="G199" s="42"/>
      <c r="H199" s="2483"/>
      <c r="I199" s="1429"/>
      <c r="J199" s="1619"/>
      <c r="K199" s="2459"/>
      <c r="L199" s="1580"/>
      <c r="M199" s="1580"/>
      <c r="N199" s="1580"/>
      <c r="O199" s="1580"/>
      <c r="P199" s="1580"/>
      <c r="Q199" s="1580"/>
      <c r="R199" s="1580"/>
    </row>
    <row r="200" customFormat="false" ht="15.75" hidden="false" customHeight="false" outlineLevel="0" collapsed="false">
      <c r="A200" s="2486" t="s">
        <v>2758</v>
      </c>
      <c r="B200" s="2486" t="s">
        <v>48</v>
      </c>
      <c r="C200" s="1176" t="e">
        <f aca="false">(C204*C208+(C207-C204)*C202+(C207-C204)*((C208-C202)/2)*2)*E200</f>
        <v>#VALUE!</v>
      </c>
      <c r="D200" s="2469" t="n">
        <f aca="false">'Ввод данных'!D511</f>
        <v>0</v>
      </c>
      <c r="E200" s="2458" t="e">
        <f aca="false">'ввод данных'!#ref!</f>
        <v>#VALUE!</v>
      </c>
      <c r="F200" s="53" t="s">
        <v>3669</v>
      </c>
      <c r="G200" s="2547"/>
      <c r="H200" s="2483"/>
      <c r="I200" s="1429"/>
      <c r="J200" s="1619"/>
      <c r="K200" s="2459"/>
      <c r="L200" s="1580"/>
      <c r="M200" s="1580"/>
      <c r="N200" s="1580"/>
      <c r="O200" s="1580"/>
      <c r="P200" s="1580"/>
      <c r="Q200" s="1580"/>
      <c r="R200" s="1580"/>
    </row>
    <row r="201" customFormat="false" ht="15.75" hidden="false" customHeight="false" outlineLevel="0" collapsed="false">
      <c r="A201" s="2486" t="s">
        <v>2759</v>
      </c>
      <c r="B201" s="2486" t="s">
        <v>48</v>
      </c>
      <c r="C201" s="1176" t="e">
        <f aca="false">(C204*C208+(C207-C204)*C202+(C207-C204)*((C208-C202)/2)*2)*E201</f>
        <v>#VALUE!</v>
      </c>
      <c r="D201" s="2469" t="n">
        <f aca="false">'Ввод данных'!D512</f>
        <v>0</v>
      </c>
      <c r="E201" s="2458" t="e">
        <f aca="false">'ввод данных'!#ref!</f>
        <v>#VALUE!</v>
      </c>
      <c r="F201" s="53" t="s">
        <v>3670</v>
      </c>
      <c r="G201" s="1271"/>
      <c r="H201" s="2537"/>
      <c r="I201" s="1429"/>
      <c r="J201" s="1619"/>
      <c r="K201" s="2459"/>
      <c r="L201" s="1580"/>
      <c r="M201" s="1580"/>
      <c r="N201" s="1580"/>
      <c r="O201" s="1580"/>
      <c r="P201" s="1580"/>
      <c r="Q201" s="1580"/>
      <c r="R201" s="1580"/>
    </row>
    <row r="202" customFormat="false" ht="15.75" hidden="false" customHeight="false" outlineLevel="0" collapsed="false">
      <c r="A202" s="1413" t="s">
        <v>3671</v>
      </c>
      <c r="B202" s="1304" t="s">
        <v>15</v>
      </c>
      <c r="C202" s="2548"/>
      <c r="D202" s="2546"/>
      <c r="E202" s="2546"/>
      <c r="F202" s="2546"/>
      <c r="G202" s="1271"/>
      <c r="H202" s="2537"/>
      <c r="I202" s="1429"/>
      <c r="J202" s="1619"/>
      <c r="K202" s="2459"/>
      <c r="L202" s="1580"/>
      <c r="M202" s="1580"/>
      <c r="N202" s="1580"/>
      <c r="O202" s="1580"/>
      <c r="P202" s="1580"/>
      <c r="Q202" s="1580"/>
      <c r="R202" s="1580"/>
    </row>
    <row r="203" customFormat="false" ht="15.75" hidden="false" customHeight="false" outlineLevel="0" collapsed="false">
      <c r="A203" s="1413" t="s">
        <v>3672</v>
      </c>
      <c r="B203" s="1304" t="s">
        <v>15</v>
      </c>
      <c r="C203" s="2514" t="n">
        <f aca="false">SQRT((C208-C202)/2*(C208-C202)/2+(C207-C204)*(C207-C204))</f>
        <v>0</v>
      </c>
      <c r="D203" s="2546"/>
      <c r="E203" s="2546"/>
      <c r="F203" s="2546"/>
      <c r="G203" s="1271"/>
      <c r="H203" s="2537"/>
      <c r="I203" s="1429"/>
      <c r="J203" s="1619"/>
      <c r="K203" s="2459"/>
      <c r="L203" s="1580"/>
      <c r="M203" s="1580"/>
      <c r="N203" s="1580"/>
      <c r="O203" s="1580"/>
      <c r="P203" s="1580"/>
      <c r="Q203" s="1580"/>
      <c r="R203" s="1580"/>
    </row>
    <row r="204" customFormat="false" ht="15.75" hidden="false" customHeight="false" outlineLevel="0" collapsed="false">
      <c r="A204" s="1413" t="s">
        <v>3673</v>
      </c>
      <c r="B204" s="1304" t="s">
        <v>15</v>
      </c>
      <c r="C204" s="2548"/>
      <c r="D204" s="2469"/>
      <c r="E204" s="2546"/>
      <c r="F204" s="2546"/>
      <c r="G204" s="1271"/>
      <c r="H204" s="2537"/>
      <c r="I204" s="1429"/>
      <c r="J204" s="1619"/>
      <c r="K204" s="2459"/>
      <c r="L204" s="1580"/>
      <c r="M204" s="1580"/>
      <c r="N204" s="1580"/>
      <c r="O204" s="1580"/>
      <c r="P204" s="1580"/>
      <c r="Q204" s="1580"/>
      <c r="R204" s="1580"/>
    </row>
    <row r="205" customFormat="false" ht="15.75" hidden="false" customHeight="false" outlineLevel="0" collapsed="false">
      <c r="A205" s="1413" t="s">
        <v>4010</v>
      </c>
      <c r="B205" s="1304" t="s">
        <v>15</v>
      </c>
      <c r="C205" s="2548"/>
      <c r="D205" s="1179"/>
      <c r="E205" s="2546"/>
      <c r="F205" s="2546"/>
      <c r="G205" s="1271"/>
      <c r="H205" s="2537"/>
      <c r="I205" s="1429"/>
      <c r="J205" s="1619"/>
      <c r="K205" s="2459"/>
      <c r="L205" s="1580"/>
      <c r="M205" s="1580"/>
      <c r="N205" s="1580"/>
      <c r="O205" s="1580"/>
      <c r="P205" s="1580"/>
      <c r="Q205" s="1580"/>
      <c r="R205" s="1580"/>
    </row>
    <row r="206" customFormat="false" ht="15.75" hidden="false" customHeight="false" outlineLevel="0" collapsed="false">
      <c r="A206" s="1413" t="s">
        <v>3676</v>
      </c>
      <c r="B206" s="1304" t="s">
        <v>15</v>
      </c>
      <c r="C206" s="2548"/>
      <c r="D206" s="1384"/>
      <c r="E206" s="2546"/>
      <c r="F206" s="2546"/>
      <c r="G206" s="1271"/>
      <c r="H206" s="2537"/>
      <c r="I206" s="1429"/>
      <c r="J206" s="1619"/>
      <c r="K206" s="2459"/>
      <c r="L206" s="1580"/>
      <c r="M206" s="1580"/>
      <c r="N206" s="1580"/>
      <c r="O206" s="1580"/>
      <c r="P206" s="1580"/>
      <c r="Q206" s="1580"/>
      <c r="R206" s="1580"/>
    </row>
    <row r="207" customFormat="false" ht="15.75" hidden="false" customHeight="false" outlineLevel="0" collapsed="false">
      <c r="A207" s="2513" t="s">
        <v>3677</v>
      </c>
      <c r="B207" s="1304" t="s">
        <v>15</v>
      </c>
      <c r="C207" s="2548"/>
      <c r="D207" s="2546"/>
      <c r="E207" s="2546"/>
      <c r="F207" s="2546"/>
      <c r="G207" s="1271"/>
      <c r="H207" s="1311"/>
      <c r="I207" s="1429"/>
      <c r="J207" s="1619"/>
      <c r="K207" s="2459"/>
      <c r="L207" s="1580"/>
      <c r="M207" s="1580"/>
      <c r="N207" s="1580"/>
      <c r="O207" s="1580"/>
      <c r="P207" s="1580"/>
      <c r="Q207" s="1580"/>
      <c r="R207" s="1580"/>
    </row>
    <row r="208" customFormat="false" ht="15.75" hidden="false" customHeight="false" outlineLevel="0" collapsed="false">
      <c r="A208" s="2513" t="s">
        <v>3678</v>
      </c>
      <c r="B208" s="1304" t="s">
        <v>15</v>
      </c>
      <c r="C208" s="2548"/>
      <c r="D208" s="2546"/>
      <c r="E208" s="2546"/>
      <c r="F208" s="2546"/>
      <c r="G208" s="1271"/>
      <c r="H208" s="2537"/>
      <c r="I208" s="1429"/>
      <c r="J208" s="1619"/>
      <c r="K208" s="2459"/>
      <c r="L208" s="1580"/>
      <c r="M208" s="1580"/>
      <c r="N208" s="1580"/>
      <c r="O208" s="1580"/>
      <c r="P208" s="1580"/>
      <c r="Q208" s="1580"/>
      <c r="R208" s="1580"/>
    </row>
    <row r="209" customFormat="false" ht="15.75" hidden="false" customHeight="false" outlineLevel="0" collapsed="false">
      <c r="A209" s="2549" t="s">
        <v>4011</v>
      </c>
      <c r="B209" s="2550" t="s">
        <v>15</v>
      </c>
      <c r="C209" s="2548"/>
      <c r="D209" s="1269"/>
      <c r="E209" s="1269"/>
      <c r="F209" s="1269"/>
      <c r="G209" s="1311"/>
      <c r="H209" s="2537"/>
      <c r="I209" s="1429"/>
      <c r="J209" s="1619"/>
      <c r="K209" s="2459"/>
      <c r="L209" s="1580"/>
      <c r="M209" s="1580"/>
      <c r="N209" s="1580"/>
      <c r="O209" s="1580"/>
      <c r="P209" s="1580"/>
      <c r="Q209" s="1580"/>
      <c r="R209" s="1580"/>
    </row>
    <row r="210" customFormat="false" ht="15.75" hidden="false" customHeight="false" outlineLevel="0" collapsed="false">
      <c r="A210" s="2551" t="s">
        <v>161</v>
      </c>
      <c r="B210" s="1365" t="s">
        <v>12</v>
      </c>
      <c r="C210" s="1365" t="s">
        <v>2779</v>
      </c>
      <c r="D210" s="1365" t="s">
        <v>2780</v>
      </c>
      <c r="E210" s="1365" t="s">
        <v>118</v>
      </c>
      <c r="F210" s="1297" t="s">
        <v>4012</v>
      </c>
      <c r="G210" s="1271"/>
      <c r="H210" s="2537"/>
      <c r="I210" s="1429"/>
      <c r="J210" s="1619"/>
      <c r="K210" s="2459"/>
      <c r="L210" s="1580"/>
      <c r="M210" s="1580"/>
      <c r="N210" s="1580"/>
      <c r="O210" s="1580"/>
      <c r="P210" s="1580"/>
      <c r="Q210" s="1580"/>
      <c r="R210" s="1580"/>
    </row>
    <row r="211" customFormat="false" ht="15.75" hidden="false" customHeight="false" outlineLevel="0" collapsed="false">
      <c r="A211" s="2552" t="s">
        <v>550</v>
      </c>
      <c r="B211" s="1304" t="s">
        <v>15</v>
      </c>
      <c r="C211" s="2548" t="n">
        <f aca="false">связи1!K81</f>
        <v>2.7</v>
      </c>
      <c r="D211" s="2469" t="n">
        <f aca="false">'Ввод данных'!D514</f>
        <v>0</v>
      </c>
      <c r="E211" s="2458" t="e">
        <f aca="false">'ввод данных'!#ref!</f>
        <v>#VALUE!</v>
      </c>
      <c r="F211" s="2553" t="e">
        <f aca="false">C211*D211*E211</f>
        <v>#VALUE!</v>
      </c>
      <c r="G211" s="1271"/>
      <c r="H211" s="2537"/>
      <c r="I211" s="1429"/>
      <c r="J211" s="1619"/>
      <c r="K211" s="2459"/>
      <c r="L211" s="1580"/>
      <c r="M211" s="1580"/>
      <c r="N211" s="1580"/>
      <c r="O211" s="1580"/>
      <c r="P211" s="1580"/>
      <c r="Q211" s="1580"/>
      <c r="R211" s="1580"/>
    </row>
    <row r="212" customFormat="false" ht="15.75" hidden="false" customHeight="false" outlineLevel="0" collapsed="false">
      <c r="A212" s="2554"/>
      <c r="B212" s="1304" t="s">
        <v>15</v>
      </c>
      <c r="C212" s="2548"/>
      <c r="D212" s="2469" t="n">
        <f aca="false">'Ввод данных'!D515</f>
        <v>0</v>
      </c>
      <c r="E212" s="2458" t="e">
        <f aca="false">'ввод данных'!#ref!</f>
        <v>#VALUE!</v>
      </c>
      <c r="F212" s="2553" t="e">
        <f aca="false">C212*D212*E212</f>
        <v>#VALUE!</v>
      </c>
      <c r="G212" s="1271"/>
      <c r="H212" s="2537"/>
      <c r="I212" s="1429"/>
      <c r="J212" s="1619"/>
      <c r="K212" s="2459"/>
      <c r="L212" s="1580"/>
      <c r="M212" s="1580"/>
      <c r="N212" s="1580"/>
      <c r="O212" s="1580"/>
      <c r="P212" s="1580"/>
      <c r="Q212" s="1580"/>
      <c r="R212" s="1580"/>
    </row>
    <row r="213" customFormat="false" ht="15.75" hidden="false" customHeight="false" outlineLevel="0" collapsed="false">
      <c r="A213" s="2555"/>
      <c r="B213" s="1304" t="s">
        <v>15</v>
      </c>
      <c r="C213" s="2548"/>
      <c r="D213" s="2469" t="n">
        <f aca="false">'Ввод данных'!D516</f>
        <v>0</v>
      </c>
      <c r="E213" s="2458" t="e">
        <f aca="false">'ввод данных'!#ref!</f>
        <v>#VALUE!</v>
      </c>
      <c r="F213" s="2553" t="e">
        <f aca="false">C213*D213*E213</f>
        <v>#VALUE!</v>
      </c>
      <c r="G213" s="1271"/>
      <c r="H213" s="2537"/>
      <c r="I213" s="1429"/>
      <c r="J213" s="1619"/>
      <c r="K213" s="2459"/>
      <c r="L213" s="1580"/>
      <c r="M213" s="1580"/>
      <c r="N213" s="1580"/>
      <c r="O213" s="1580"/>
      <c r="P213" s="1580"/>
      <c r="Q213" s="1580"/>
      <c r="R213" s="1580"/>
    </row>
    <row r="214" customFormat="false" ht="15.75" hidden="false" customHeight="false" outlineLevel="0" collapsed="false">
      <c r="A214" s="2552" t="s">
        <v>4013</v>
      </c>
      <c r="B214" s="1304" t="s">
        <v>15</v>
      </c>
      <c r="C214" s="2548" t="e">
        <f aca="false">'ввод данных'!#ref!</f>
        <v>#VALUE!</v>
      </c>
      <c r="D214" s="2469" t="n">
        <f aca="false">'Ввод данных'!D517</f>
        <v>0</v>
      </c>
      <c r="E214" s="2458" t="e">
        <f aca="false">'ввод данных'!#ref!</f>
        <v>#VALUE!</v>
      </c>
      <c r="F214" s="2553" t="e">
        <f aca="false">C214*D214*E214</f>
        <v>#VALUE!</v>
      </c>
      <c r="G214" s="1271"/>
      <c r="H214" s="2537"/>
      <c r="I214" s="1429"/>
      <c r="J214" s="1619"/>
      <c r="K214" s="2459"/>
      <c r="L214" s="1580"/>
      <c r="M214" s="1580"/>
      <c r="N214" s="1580"/>
      <c r="O214" s="1580"/>
      <c r="P214" s="1580"/>
      <c r="Q214" s="1580"/>
      <c r="R214" s="1580"/>
    </row>
    <row r="215" customFormat="false" ht="15.75" hidden="false" customHeight="false" outlineLevel="0" collapsed="false">
      <c r="A215" s="2555"/>
      <c r="B215" s="1304" t="s">
        <v>15</v>
      </c>
      <c r="C215" s="2548" t="n">
        <f aca="false">'Ввод данных'!C512</f>
        <v>0</v>
      </c>
      <c r="D215" s="2469" t="n">
        <f aca="false">'Ввод данных'!D518</f>
        <v>0</v>
      </c>
      <c r="E215" s="2458" t="e">
        <f aca="false">'ввод данных'!#ref!</f>
        <v>#VALUE!</v>
      </c>
      <c r="F215" s="2553" t="e">
        <f aca="false">C215*D215*E215</f>
        <v>#VALUE!</v>
      </c>
      <c r="G215" s="1271"/>
      <c r="H215" s="2537"/>
      <c r="I215" s="1429"/>
      <c r="J215" s="1619"/>
      <c r="K215" s="2459"/>
      <c r="L215" s="1580"/>
      <c r="M215" s="1580"/>
      <c r="N215" s="1580"/>
      <c r="O215" s="1580"/>
      <c r="P215" s="1580"/>
      <c r="Q215" s="1580"/>
      <c r="R215" s="1580"/>
    </row>
    <row r="216" customFormat="false" ht="15.75" hidden="false" customHeight="false" outlineLevel="0" collapsed="false">
      <c r="A216" s="1176" t="s">
        <v>4014</v>
      </c>
      <c r="B216" s="1176" t="s">
        <v>820</v>
      </c>
      <c r="C216" s="1176" t="e">
        <f aca="false">F211+F212+F215+F214+F213</f>
        <v>#VALUE!</v>
      </c>
      <c r="D216" s="1311"/>
      <c r="E216" s="1311"/>
      <c r="F216" s="1311"/>
      <c r="G216" s="1271"/>
      <c r="H216" s="2537"/>
      <c r="I216" s="1429"/>
      <c r="J216" s="1619"/>
      <c r="K216" s="2459"/>
      <c r="L216" s="1580"/>
      <c r="M216" s="1580"/>
      <c r="N216" s="1580"/>
      <c r="O216" s="1580"/>
      <c r="P216" s="1580"/>
      <c r="Q216" s="1580"/>
      <c r="R216" s="1580"/>
    </row>
    <row r="217" customFormat="false" ht="15.75" hidden="false" customHeight="false" outlineLevel="0" collapsed="false">
      <c r="A217" s="1176" t="s">
        <v>3688</v>
      </c>
      <c r="B217" s="1176" t="s">
        <v>820</v>
      </c>
      <c r="C217" s="1176" t="e">
        <f aca="false">(C204*2+C203*2+C202)*(C205+C209*C197+D199*E199+D200*E200+D201*E201)</f>
        <v>#VALUE!</v>
      </c>
      <c r="D217" s="1311"/>
      <c r="E217" s="1311"/>
      <c r="F217" s="1311"/>
      <c r="G217" s="1271"/>
      <c r="H217" s="2537"/>
      <c r="I217" s="1429"/>
      <c r="J217" s="1619"/>
      <c r="K217" s="2459"/>
      <c r="L217" s="1580"/>
      <c r="M217" s="1580"/>
      <c r="N217" s="1580"/>
      <c r="O217" s="1580"/>
      <c r="P217" s="1580"/>
      <c r="Q217" s="1580"/>
      <c r="R217" s="1580"/>
    </row>
    <row r="218" customFormat="false" ht="15.75" hidden="false" customHeight="false" outlineLevel="0" collapsed="false">
      <c r="A218" s="1176" t="s">
        <v>3689</v>
      </c>
      <c r="B218" s="1176" t="s">
        <v>820</v>
      </c>
      <c r="C218" s="1176" t="e">
        <f aca="false">C217-C216</f>
        <v>#VALUE!</v>
      </c>
      <c r="D218" s="1311"/>
      <c r="E218" s="1311"/>
      <c r="F218" s="1311"/>
      <c r="G218" s="1271"/>
      <c r="H218" s="2537"/>
      <c r="I218" s="1429"/>
      <c r="J218" s="1619"/>
      <c r="K218" s="2459"/>
      <c r="L218" s="1580"/>
      <c r="M218" s="1580"/>
      <c r="N218" s="1580"/>
      <c r="O218" s="1580"/>
      <c r="P218" s="1580"/>
      <c r="Q218" s="1580"/>
      <c r="R218" s="1580"/>
    </row>
    <row r="219" customFormat="false" ht="15.75" hidden="false" customHeight="false" outlineLevel="0" collapsed="false">
      <c r="A219" s="2556" t="s">
        <v>3690</v>
      </c>
      <c r="B219" s="2556"/>
      <c r="C219" s="2541" t="s">
        <v>12</v>
      </c>
      <c r="D219" s="2541" t="s">
        <v>200</v>
      </c>
      <c r="E219" s="2458" t="e">
        <f aca="false">'ввод данных'!#ref!</f>
        <v>#VALUE!</v>
      </c>
      <c r="F219" s="1272" t="s">
        <v>3702</v>
      </c>
      <c r="G219" s="1271"/>
      <c r="H219" s="2537"/>
      <c r="I219" s="1429"/>
      <c r="J219" s="1619"/>
      <c r="K219" s="2459"/>
      <c r="L219" s="1580"/>
      <c r="M219" s="1580"/>
      <c r="N219" s="1580"/>
      <c r="O219" s="1580"/>
      <c r="P219" s="1580"/>
      <c r="Q219" s="1580"/>
      <c r="R219" s="1580"/>
    </row>
    <row r="220" customFormat="false" ht="15.75" hidden="false" customHeight="false" outlineLevel="0" collapsed="false">
      <c r="A220" s="1315" t="s">
        <v>3691</v>
      </c>
      <c r="B220" s="1316"/>
      <c r="C220" s="1334" t="s">
        <v>15</v>
      </c>
      <c r="D220" s="1176" t="n">
        <f aca="false">SQRT((C208/2)*(C208/2)+C206*C206)</f>
        <v>0</v>
      </c>
      <c r="E220" s="1631"/>
      <c r="F220" s="1631"/>
      <c r="G220" s="1271"/>
      <c r="H220" s="2537"/>
      <c r="I220" s="1429"/>
      <c r="J220" s="1619"/>
      <c r="K220" s="2459"/>
      <c r="L220" s="1580"/>
      <c r="M220" s="1580"/>
      <c r="N220" s="1580"/>
      <c r="O220" s="1580"/>
      <c r="P220" s="1580"/>
      <c r="Q220" s="1580"/>
      <c r="R220" s="1580"/>
    </row>
    <row r="221" customFormat="false" ht="15.75" hidden="false" customHeight="false" outlineLevel="0" collapsed="false">
      <c r="A221" s="1315" t="s">
        <v>3695</v>
      </c>
      <c r="B221" s="1316"/>
      <c r="C221" s="1334" t="s">
        <v>15</v>
      </c>
      <c r="D221" s="1176" t="n">
        <f aca="false">SQRT(D220*D220+C204*C204)</f>
        <v>0</v>
      </c>
      <c r="E221" s="1631"/>
      <c r="F221" s="1631"/>
      <c r="G221" s="1271"/>
      <c r="H221" s="2537"/>
      <c r="I221" s="1429"/>
      <c r="J221" s="1619"/>
      <c r="K221" s="2459"/>
      <c r="L221" s="1580"/>
      <c r="M221" s="1580"/>
      <c r="N221" s="1580"/>
      <c r="O221" s="1580"/>
      <c r="P221" s="1580"/>
      <c r="Q221" s="1580"/>
      <c r="R221" s="1580"/>
    </row>
    <row r="222" customFormat="false" ht="15.75" hidden="false" customHeight="false" outlineLevel="0" collapsed="false">
      <c r="A222" s="1315" t="s">
        <v>3696</v>
      </c>
      <c r="B222" s="1316"/>
      <c r="C222" s="1334" t="s">
        <v>15</v>
      </c>
      <c r="D222" s="1176" t="n">
        <f aca="false">SQRT(D221*D221+C203*C203)</f>
        <v>0</v>
      </c>
      <c r="E222" s="1631"/>
      <c r="F222" s="1631"/>
      <c r="G222" s="1271"/>
      <c r="H222" s="2537"/>
      <c r="I222" s="1429"/>
      <c r="J222" s="1619"/>
      <c r="K222" s="2459"/>
      <c r="L222" s="1580"/>
      <c r="M222" s="1580"/>
      <c r="N222" s="1580"/>
      <c r="O222" s="1580"/>
      <c r="P222" s="1580"/>
      <c r="Q222" s="1580"/>
      <c r="R222" s="1580"/>
    </row>
    <row r="223" customFormat="false" ht="15.75" hidden="false" customHeight="false" outlineLevel="0" collapsed="false">
      <c r="A223" s="2557" t="s">
        <v>2807</v>
      </c>
      <c r="B223" s="2558"/>
      <c r="C223" s="1294" t="s">
        <v>820</v>
      </c>
      <c r="D223" s="1672" t="n">
        <f aca="false">D220*C204+D221*C203*1.1+(C202/2)*SQRT(C207*C207+C206*C206)*2</f>
        <v>0</v>
      </c>
      <c r="E223" s="1631"/>
      <c r="F223" s="1631"/>
      <c r="G223" s="1271"/>
      <c r="H223" s="2537"/>
      <c r="I223" s="1429"/>
      <c r="J223" s="1619"/>
      <c r="K223" s="1179"/>
      <c r="L223" s="1580"/>
      <c r="M223" s="1580"/>
      <c r="N223" s="1580"/>
      <c r="O223" s="1580"/>
      <c r="P223" s="1580"/>
      <c r="Q223" s="1580"/>
      <c r="R223" s="1580"/>
    </row>
    <row r="224" customFormat="false" ht="15.75" hidden="false" customHeight="false" outlineLevel="0" collapsed="false">
      <c r="A224" s="2557" t="s">
        <v>3692</v>
      </c>
      <c r="B224" s="2559"/>
      <c r="C224" s="1294" t="s">
        <v>15</v>
      </c>
      <c r="D224" s="2469" t="n">
        <f aca="false">'Ввод данных'!C511</f>
        <v>0.5</v>
      </c>
      <c r="E224" s="1631"/>
      <c r="F224" s="1631"/>
      <c r="G224" s="1271"/>
      <c r="H224" s="2537"/>
      <c r="I224" s="1429"/>
      <c r="J224" s="1619"/>
      <c r="K224" s="2560"/>
      <c r="L224" s="1580"/>
      <c r="M224" s="1580"/>
      <c r="N224" s="1580"/>
      <c r="O224" s="1580"/>
      <c r="P224" s="1580"/>
      <c r="Q224" s="1580"/>
      <c r="R224" s="1580"/>
    </row>
    <row r="225" customFormat="false" ht="15.75" hidden="false" customHeight="false" outlineLevel="0" collapsed="false">
      <c r="A225" s="1315" t="s">
        <v>3697</v>
      </c>
      <c r="B225" s="1316"/>
      <c r="C225" s="1176" t="s">
        <v>15</v>
      </c>
      <c r="D225" s="1604" t="n">
        <f aca="false">D220+D224</f>
        <v>0.5</v>
      </c>
      <c r="E225" s="1631"/>
      <c r="F225" s="1631"/>
      <c r="G225" s="1271"/>
      <c r="H225" s="2537"/>
      <c r="I225" s="1429"/>
      <c r="J225" s="1619"/>
      <c r="K225" s="2560"/>
      <c r="L225" s="1580"/>
      <c r="M225" s="1580"/>
      <c r="N225" s="1580"/>
      <c r="O225" s="1580"/>
      <c r="P225" s="1580"/>
      <c r="Q225" s="1580"/>
      <c r="R225" s="1580"/>
    </row>
    <row r="226" customFormat="false" ht="15.75" hidden="false" customHeight="false" outlineLevel="0" collapsed="false">
      <c r="A226" s="1315" t="s">
        <v>3699</v>
      </c>
      <c r="B226" s="1316"/>
      <c r="C226" s="1176" t="s">
        <v>15</v>
      </c>
      <c r="D226" s="1604" t="n">
        <f aca="false">D221+D224</f>
        <v>0.5</v>
      </c>
      <c r="E226" s="1631"/>
      <c r="F226" s="1631"/>
      <c r="G226" s="1271"/>
      <c r="H226" s="2537"/>
      <c r="I226" s="1429"/>
      <c r="J226" s="1619"/>
      <c r="K226" s="2560"/>
      <c r="L226" s="1580"/>
      <c r="M226" s="1580"/>
      <c r="N226" s="1580"/>
      <c r="O226" s="1580"/>
      <c r="P226" s="1580"/>
      <c r="Q226" s="1580"/>
      <c r="R226" s="1580"/>
    </row>
    <row r="227" customFormat="false" ht="15.75" hidden="false" customHeight="false" outlineLevel="0" collapsed="false">
      <c r="A227" s="1315" t="s">
        <v>3701</v>
      </c>
      <c r="B227" s="1316"/>
      <c r="C227" s="1176" t="s">
        <v>15</v>
      </c>
      <c r="D227" s="1604" t="n">
        <f aca="false">D222+D224</f>
        <v>0.5</v>
      </c>
      <c r="E227" s="1631"/>
      <c r="F227" s="1631"/>
      <c r="G227" s="1271"/>
      <c r="H227" s="2537"/>
      <c r="I227" s="1429"/>
      <c r="J227" s="1619"/>
      <c r="K227" s="2560"/>
      <c r="L227" s="1580"/>
      <c r="M227" s="1580"/>
      <c r="N227" s="1580"/>
      <c r="O227" s="1580"/>
      <c r="P227" s="1580"/>
      <c r="Q227" s="1580"/>
      <c r="R227" s="1580"/>
    </row>
    <row r="228" customFormat="false" ht="15.75" hidden="false" customHeight="false" outlineLevel="0" collapsed="false">
      <c r="A228" s="2557" t="s">
        <v>2808</v>
      </c>
      <c r="B228" s="2558"/>
      <c r="C228" s="1294" t="s">
        <v>820</v>
      </c>
      <c r="D228" s="1672" t="e">
        <f aca="false">((C204*D224*2+C203*D224*2+C202*D224)*1.1+D223)*E219</f>
        <v>#VALUE!</v>
      </c>
      <c r="E228" s="1631"/>
      <c r="F228" s="1631"/>
      <c r="G228" s="1271"/>
      <c r="H228" s="2537"/>
      <c r="I228" s="1429"/>
      <c r="J228" s="1619"/>
      <c r="K228" s="2560"/>
      <c r="L228" s="1580"/>
      <c r="M228" s="1580"/>
      <c r="N228" s="1580"/>
      <c r="O228" s="1580"/>
      <c r="P228" s="1580"/>
      <c r="Q228" s="1580"/>
      <c r="R228" s="1580"/>
    </row>
    <row r="229" customFormat="false" ht="15.75" hidden="false" customHeight="false" outlineLevel="0" collapsed="false">
      <c r="A229" s="2561" t="s">
        <v>2833</v>
      </c>
      <c r="B229" s="2561"/>
      <c r="C229" s="2561"/>
      <c r="D229" s="2561"/>
      <c r="E229" s="2458" t="e">
        <f aca="false">'ввод данных'!#ref!</f>
        <v>#VALUE!</v>
      </c>
      <c r="F229" s="2459" t="s">
        <v>3715</v>
      </c>
      <c r="G229" s="1271"/>
      <c r="H229" s="2537"/>
      <c r="I229" s="1429"/>
      <c r="J229" s="1619"/>
      <c r="K229" s="1301"/>
      <c r="L229" s="1580"/>
      <c r="M229" s="1580"/>
      <c r="N229" s="1580"/>
      <c r="O229" s="1580"/>
      <c r="P229" s="1580"/>
      <c r="Q229" s="1580"/>
      <c r="R229" s="1580"/>
    </row>
    <row r="230" customFormat="false" ht="15.75" hidden="false" customHeight="false" outlineLevel="0" collapsed="false">
      <c r="A230" s="2562" t="s">
        <v>2773</v>
      </c>
      <c r="B230" s="2489" t="s">
        <v>15</v>
      </c>
      <c r="C230" s="2562" t="n">
        <f aca="false">C204*2+C203*2+C202</f>
        <v>0</v>
      </c>
      <c r="D230" s="2459"/>
      <c r="E230" s="2459"/>
      <c r="F230" s="1631"/>
      <c r="G230" s="1271"/>
      <c r="H230" s="2537"/>
      <c r="I230" s="1429"/>
      <c r="J230" s="1619"/>
      <c r="K230" s="1417"/>
      <c r="L230" s="1580"/>
      <c r="M230" s="1580"/>
      <c r="N230" s="1580"/>
      <c r="O230" s="1580"/>
      <c r="P230" s="1580"/>
      <c r="Q230" s="1580"/>
      <c r="R230" s="1580"/>
    </row>
    <row r="231" customFormat="false" ht="15.75" hidden="false" customHeight="false" outlineLevel="0" collapsed="false">
      <c r="A231" s="2491" t="s">
        <v>3571</v>
      </c>
      <c r="B231" s="1338" t="s">
        <v>820</v>
      </c>
      <c r="C231" s="2491" t="e">
        <f aca="false">C199+C200</f>
        <v>#VALUE!</v>
      </c>
      <c r="D231" s="2459"/>
      <c r="E231" s="2459"/>
      <c r="F231" s="1631"/>
      <c r="G231" s="1271"/>
      <c r="H231" s="2537"/>
      <c r="I231" s="1429"/>
      <c r="J231" s="1619"/>
      <c r="K231" s="1272"/>
      <c r="L231" s="1580"/>
      <c r="M231" s="1580"/>
      <c r="N231" s="1580"/>
      <c r="O231" s="1580"/>
      <c r="P231" s="1580"/>
      <c r="Q231" s="1580"/>
      <c r="R231" s="1580"/>
    </row>
    <row r="232" customFormat="false" ht="15.75" hidden="false" customHeight="false" outlineLevel="0" collapsed="false">
      <c r="A232" s="1311"/>
      <c r="B232" s="1311"/>
      <c r="C232" s="1311"/>
      <c r="D232" s="1311"/>
      <c r="E232" s="1311"/>
      <c r="F232" s="1311"/>
      <c r="G232" s="1271"/>
      <c r="H232" s="2537"/>
      <c r="I232" s="1429"/>
      <c r="J232" s="1619"/>
      <c r="K232" s="1631"/>
      <c r="L232" s="1580"/>
      <c r="M232" s="1580"/>
      <c r="N232" s="1580"/>
      <c r="O232" s="1580"/>
      <c r="P232" s="1580"/>
      <c r="Q232" s="1580"/>
      <c r="R232" s="1580"/>
    </row>
    <row r="233" customFormat="false" ht="15.75" hidden="false" customHeight="false" outlineLevel="0" collapsed="false">
      <c r="A233" s="1311"/>
      <c r="B233" s="1311"/>
      <c r="C233" s="1311"/>
      <c r="D233" s="1311"/>
      <c r="E233" s="1311"/>
      <c r="F233" s="1311"/>
      <c r="G233" s="1271"/>
      <c r="H233" s="2537"/>
      <c r="I233" s="1429"/>
      <c r="J233" s="1619"/>
      <c r="K233" s="1631"/>
      <c r="L233" s="1580"/>
      <c r="M233" s="1580"/>
      <c r="N233" s="1580"/>
      <c r="O233" s="1580"/>
      <c r="P233" s="1580"/>
      <c r="Q233" s="1580"/>
      <c r="R233" s="1580"/>
    </row>
    <row r="234" customFormat="false" ht="15.75" hidden="false" customHeight="false" outlineLevel="0" collapsed="false">
      <c r="A234" s="1311"/>
      <c r="B234" s="1311"/>
      <c r="C234" s="1311"/>
      <c r="D234" s="1311"/>
      <c r="E234" s="1311"/>
      <c r="F234" s="1311"/>
      <c r="G234" s="1271"/>
      <c r="H234" s="2537"/>
      <c r="I234" s="1429"/>
      <c r="J234" s="1619"/>
      <c r="K234" s="1631"/>
      <c r="L234" s="1580"/>
      <c r="M234" s="1580"/>
      <c r="N234" s="1580"/>
      <c r="O234" s="1580"/>
      <c r="P234" s="1580"/>
      <c r="Q234" s="1580"/>
      <c r="R234" s="1580"/>
    </row>
    <row r="235" customFormat="false" ht="15.75" hidden="false" customHeight="false" outlineLevel="0" collapsed="false">
      <c r="A235" s="1311"/>
      <c r="B235" s="1311"/>
      <c r="C235" s="1311"/>
      <c r="D235" s="1311"/>
      <c r="E235" s="1311"/>
      <c r="F235" s="1311"/>
      <c r="G235" s="1271"/>
      <c r="H235" s="2537"/>
      <c r="I235" s="1429"/>
      <c r="J235" s="1619"/>
      <c r="K235" s="1631"/>
      <c r="L235" s="1580"/>
      <c r="M235" s="1580"/>
      <c r="N235" s="1580"/>
      <c r="O235" s="1580"/>
      <c r="P235" s="1580"/>
      <c r="Q235" s="1580"/>
      <c r="R235" s="1580"/>
    </row>
    <row r="236" customFormat="false" ht="15.75" hidden="false" customHeight="false" outlineLevel="0" collapsed="false">
      <c r="A236" s="1272"/>
      <c r="B236" s="1272"/>
      <c r="C236" s="2563"/>
      <c r="D236" s="1631"/>
      <c r="E236" s="1631"/>
      <c r="F236" s="1631"/>
      <c r="G236" s="1271"/>
      <c r="H236" s="2537"/>
      <c r="I236" s="1429"/>
      <c r="J236" s="1619"/>
      <c r="K236" s="1631"/>
      <c r="L236" s="1580"/>
      <c r="M236" s="1580"/>
      <c r="N236" s="1580"/>
      <c r="O236" s="1580"/>
      <c r="P236" s="1580"/>
      <c r="Q236" s="1580"/>
      <c r="R236" s="1580"/>
    </row>
    <row r="237" customFormat="false" ht="15.75" hidden="false" customHeight="false" outlineLevel="0" collapsed="false">
      <c r="A237" s="1311"/>
      <c r="B237" s="1311"/>
      <c r="C237" s="1311"/>
      <c r="D237" s="1311"/>
      <c r="E237" s="53"/>
      <c r="F237" s="2459"/>
      <c r="G237" s="1311"/>
      <c r="H237" s="2537"/>
      <c r="I237" s="1429"/>
      <c r="J237" s="1619"/>
      <c r="K237" s="2459"/>
      <c r="L237" s="1580"/>
      <c r="M237" s="1580"/>
      <c r="N237" s="1580"/>
      <c r="O237" s="1580"/>
      <c r="P237" s="1580"/>
      <c r="Q237" s="1580"/>
      <c r="R237" s="1580"/>
    </row>
    <row r="238" customFormat="false" ht="15.75" hidden="false" customHeight="false" outlineLevel="0" collapsed="false">
      <c r="A238" s="1311"/>
      <c r="B238" s="1311"/>
      <c r="C238" s="1311"/>
      <c r="D238" s="1311"/>
      <c r="E238" s="53"/>
      <c r="F238" s="53"/>
      <c r="G238" s="1269"/>
      <c r="H238" s="2537"/>
      <c r="I238" s="1429"/>
      <c r="J238" s="1619"/>
      <c r="K238" s="1631"/>
      <c r="L238" s="1580"/>
      <c r="M238" s="1580"/>
      <c r="N238" s="1580"/>
      <c r="O238" s="1580"/>
      <c r="P238" s="1580"/>
      <c r="Q238" s="1580"/>
      <c r="R238" s="1580"/>
    </row>
    <row r="239" customFormat="false" ht="15.75" hidden="false" customHeight="false" outlineLevel="0" collapsed="false">
      <c r="A239" s="1311"/>
      <c r="B239" s="1311"/>
      <c r="C239" s="1311"/>
      <c r="D239" s="1311"/>
      <c r="E239" s="53"/>
      <c r="F239" s="53"/>
      <c r="G239" s="1269"/>
      <c r="H239" s="2537"/>
      <c r="I239" s="1429"/>
      <c r="J239" s="1619"/>
      <c r="K239" s="1631"/>
      <c r="L239" s="1580"/>
      <c r="M239" s="1580"/>
      <c r="N239" s="1580"/>
      <c r="O239" s="1580"/>
      <c r="P239" s="1580"/>
      <c r="Q239" s="1580"/>
      <c r="R239" s="1580"/>
    </row>
    <row r="240" customFormat="false" ht="15.75" hidden="false" customHeight="false" outlineLevel="0" collapsed="false">
      <c r="A240" s="1311"/>
      <c r="B240" s="1311"/>
      <c r="C240" s="1311"/>
      <c r="D240" s="1311"/>
      <c r="E240" s="2459"/>
      <c r="F240" s="2459"/>
      <c r="G240" s="1269"/>
      <c r="H240" s="2537"/>
      <c r="I240" s="1429"/>
      <c r="J240" s="1619"/>
      <c r="K240" s="1301"/>
      <c r="L240" s="1580"/>
      <c r="M240" s="1580"/>
      <c r="N240" s="1580"/>
      <c r="O240" s="1580"/>
      <c r="P240" s="1580"/>
      <c r="Q240" s="1580"/>
      <c r="R240" s="1580"/>
    </row>
    <row r="241" customFormat="false" ht="15.75" hidden="false" customHeight="false" outlineLevel="0" collapsed="false">
      <c r="A241" s="2564" t="s">
        <v>364</v>
      </c>
      <c r="B241" s="2565" t="s">
        <v>12</v>
      </c>
      <c r="C241" s="2566" t="s">
        <v>13</v>
      </c>
      <c r="D241" s="2469" t="str">
        <f aca="false">'Ввод данных'!F597</f>
        <v>Не считать</v>
      </c>
      <c r="E241" s="2459" t="s">
        <v>4015</v>
      </c>
      <c r="F241" s="2459"/>
      <c r="G241" s="1269"/>
      <c r="H241" s="2537"/>
      <c r="I241" s="1429"/>
      <c r="J241" s="1619"/>
      <c r="K241" s="1301"/>
      <c r="L241" s="1580"/>
      <c r="M241" s="1580"/>
      <c r="N241" s="1580"/>
      <c r="O241" s="1580"/>
      <c r="P241" s="1580"/>
      <c r="Q241" s="1580"/>
      <c r="R241" s="1580"/>
    </row>
    <row r="242" customFormat="false" ht="15.75" hidden="false" customHeight="false" outlineLevel="0" collapsed="false">
      <c r="A242" s="2491" t="s">
        <v>352</v>
      </c>
      <c r="B242" s="1334" t="s">
        <v>15</v>
      </c>
      <c r="C242" s="2486" t="n">
        <v>3</v>
      </c>
      <c r="D242" s="53"/>
      <c r="E242" s="2459"/>
      <c r="F242" s="2459"/>
      <c r="G242" s="1269"/>
      <c r="H242" s="2537"/>
      <c r="I242" s="1429"/>
      <c r="J242" s="1619"/>
      <c r="K242" s="1179"/>
      <c r="L242" s="1580"/>
      <c r="M242" s="1580"/>
      <c r="N242" s="1580"/>
      <c r="O242" s="1580"/>
      <c r="P242" s="1580"/>
      <c r="Q242" s="1580"/>
      <c r="R242" s="1580"/>
    </row>
    <row r="243" customFormat="false" ht="15.75" hidden="false" customHeight="false" outlineLevel="0" collapsed="false">
      <c r="A243" s="2491" t="s">
        <v>4016</v>
      </c>
      <c r="B243" s="1334" t="s">
        <v>15</v>
      </c>
      <c r="C243" s="2548" t="n">
        <f aca="false">'Ввод данных'!C552</f>
        <v>1</v>
      </c>
      <c r="D243" s="53"/>
      <c r="E243" s="2459"/>
      <c r="F243" s="2459"/>
      <c r="G243" s="1269"/>
      <c r="H243" s="2537"/>
      <c r="I243" s="1429"/>
      <c r="J243" s="1619"/>
      <c r="K243" s="53"/>
      <c r="L243" s="1580"/>
      <c r="M243" s="1580"/>
      <c r="N243" s="1580"/>
      <c r="O243" s="1580"/>
      <c r="P243" s="1580"/>
      <c r="Q243" s="1580"/>
      <c r="R243" s="1580"/>
    </row>
    <row r="244" customFormat="false" ht="15.75" hidden="false" customHeight="false" outlineLevel="0" collapsed="false">
      <c r="A244" s="2476" t="s">
        <v>3950</v>
      </c>
      <c r="B244" s="1334" t="s">
        <v>15</v>
      </c>
      <c r="C244" s="2548" t="n">
        <f aca="false">'Ввод данных'!C553</f>
        <v>0.9</v>
      </c>
      <c r="D244" s="53"/>
      <c r="E244" s="2459"/>
      <c r="F244" s="2459"/>
      <c r="G244" s="2459"/>
      <c r="H244" s="2537"/>
      <c r="I244" s="1429"/>
      <c r="J244" s="1417"/>
      <c r="K244" s="53"/>
      <c r="L244" s="1580"/>
      <c r="M244" s="1580"/>
      <c r="N244" s="1580"/>
      <c r="O244" s="1580"/>
      <c r="P244" s="1580"/>
      <c r="Q244" s="1580"/>
      <c r="R244" s="1580"/>
    </row>
    <row r="245" customFormat="false" ht="15.75" hidden="false" customHeight="false" outlineLevel="0" collapsed="false">
      <c r="A245" s="2491" t="s">
        <v>4017</v>
      </c>
      <c r="B245" s="1338" t="s">
        <v>820</v>
      </c>
      <c r="C245" s="2491" t="n">
        <f aca="false">C242*C243</f>
        <v>3</v>
      </c>
      <c r="D245" s="53"/>
      <c r="E245" s="2459"/>
      <c r="F245" s="2459"/>
      <c r="G245" s="2459"/>
      <c r="H245" s="2537"/>
      <c r="I245" s="1429"/>
      <c r="J245" s="1417"/>
      <c r="K245" s="53"/>
      <c r="L245" s="1580"/>
      <c r="M245" s="1580"/>
      <c r="N245" s="1580"/>
      <c r="O245" s="1580"/>
      <c r="P245" s="1580"/>
      <c r="Q245" s="1580"/>
      <c r="R245" s="1580"/>
    </row>
    <row r="246" customFormat="false" ht="15.75" hidden="false" customHeight="false" outlineLevel="0" collapsed="false">
      <c r="A246" s="1313" t="s">
        <v>4018</v>
      </c>
      <c r="B246" s="1313" t="s">
        <v>820</v>
      </c>
      <c r="C246" s="2491" t="n">
        <f aca="false">(C242+C243+C243)*C244</f>
        <v>4.5</v>
      </c>
      <c r="D246" s="53"/>
      <c r="E246" s="2459"/>
      <c r="F246" s="2459"/>
      <c r="G246" s="2459"/>
      <c r="H246" s="2537"/>
      <c r="I246" s="1429"/>
      <c r="J246" s="1417"/>
      <c r="K246" s="53"/>
      <c r="L246" s="1580"/>
      <c r="M246" s="1580"/>
      <c r="N246" s="1580"/>
      <c r="O246" s="1580"/>
      <c r="P246" s="1580"/>
      <c r="Q246" s="1580"/>
      <c r="R246" s="1580"/>
    </row>
    <row r="247" customFormat="false" ht="15.75" hidden="false" customHeight="false" outlineLevel="0" collapsed="false">
      <c r="A247" s="1311"/>
      <c r="B247" s="1311"/>
      <c r="C247" s="1311"/>
      <c r="D247" s="53"/>
      <c r="E247" s="2459"/>
      <c r="F247" s="2459"/>
      <c r="G247" s="2459"/>
      <c r="H247" s="2537"/>
      <c r="I247" s="1429"/>
      <c r="J247" s="1417"/>
      <c r="K247" s="53"/>
      <c r="L247" s="1580"/>
      <c r="M247" s="1580"/>
      <c r="N247" s="1580"/>
      <c r="O247" s="1580"/>
      <c r="P247" s="1580"/>
      <c r="Q247" s="1580"/>
      <c r="R247" s="1580"/>
    </row>
    <row r="248" customFormat="false" ht="15.75" hidden="false" customHeight="false" outlineLevel="0" collapsed="false">
      <c r="A248" s="2459"/>
      <c r="B248" s="2493"/>
      <c r="C248" s="2459"/>
      <c r="D248" s="2459"/>
      <c r="E248" s="2459"/>
      <c r="F248" s="2459"/>
      <c r="G248" s="2459"/>
      <c r="H248" s="2537"/>
      <c r="I248" s="1429"/>
      <c r="J248" s="1417"/>
      <c r="K248" s="1179"/>
      <c r="L248" s="1580"/>
      <c r="M248" s="1580"/>
      <c r="N248" s="1580"/>
      <c r="O248" s="1580"/>
      <c r="P248" s="1580"/>
      <c r="Q248" s="1580"/>
      <c r="R248" s="1580"/>
    </row>
    <row r="249" customFormat="false" ht="15.75" hidden="false" customHeight="false" outlineLevel="0" collapsed="false">
      <c r="A249" s="2459"/>
      <c r="B249" s="2493"/>
      <c r="C249" s="2459"/>
      <c r="D249" s="2459"/>
      <c r="E249" s="2459"/>
      <c r="F249" s="2459"/>
      <c r="G249" s="2459"/>
      <c r="H249" s="2537"/>
      <c r="I249" s="1429"/>
      <c r="J249" s="1417"/>
      <c r="K249" s="1179"/>
      <c r="L249" s="1580"/>
      <c r="M249" s="1580"/>
      <c r="N249" s="1580"/>
      <c r="O249" s="1580"/>
      <c r="P249" s="1580"/>
      <c r="Q249" s="1580"/>
      <c r="R249" s="1580"/>
    </row>
    <row r="250" customFormat="false" ht="15.75" hidden="false" customHeight="false" outlineLevel="0" collapsed="false">
      <c r="A250" s="2459"/>
      <c r="B250" s="2493"/>
      <c r="C250" s="2459"/>
      <c r="D250" s="2459"/>
      <c r="E250" s="2459"/>
      <c r="F250" s="2459"/>
      <c r="G250" s="2459"/>
      <c r="H250" s="2537"/>
      <c r="I250" s="1429"/>
      <c r="J250" s="1417"/>
      <c r="K250" s="1179"/>
      <c r="L250" s="1580"/>
      <c r="M250" s="1580"/>
      <c r="N250" s="1580"/>
      <c r="O250" s="1580"/>
      <c r="P250" s="1580"/>
      <c r="Q250" s="1580"/>
      <c r="R250" s="1580"/>
    </row>
    <row r="251" customFormat="false" ht="15.75" hidden="false" customHeight="false" outlineLevel="0" collapsed="false">
      <c r="A251" s="2459"/>
      <c r="B251" s="2493"/>
      <c r="C251" s="2459"/>
      <c r="D251" s="2459"/>
      <c r="E251" s="2459"/>
      <c r="F251" s="2459"/>
      <c r="G251" s="2459"/>
      <c r="H251" s="2537"/>
      <c r="I251" s="1429"/>
      <c r="J251" s="1417"/>
      <c r="K251" s="1179"/>
      <c r="L251" s="1580"/>
      <c r="M251" s="1580"/>
      <c r="N251" s="1580"/>
      <c r="O251" s="1580"/>
      <c r="P251" s="1580"/>
      <c r="Q251" s="1580"/>
      <c r="R251" s="1580"/>
    </row>
    <row r="252" customFormat="false" ht="15.75" hidden="false" customHeight="false" outlineLevel="0" collapsed="false">
      <c r="A252" s="2459"/>
      <c r="B252" s="2493"/>
      <c r="C252" s="2459"/>
      <c r="D252" s="2459"/>
      <c r="E252" s="2459"/>
      <c r="F252" s="2459"/>
      <c r="G252" s="2459"/>
      <c r="H252" s="2537"/>
      <c r="I252" s="1429"/>
      <c r="J252" s="1417"/>
      <c r="K252" s="1179"/>
      <c r="L252" s="1580"/>
      <c r="M252" s="1580"/>
      <c r="N252" s="1580"/>
      <c r="O252" s="1580"/>
      <c r="P252" s="1580"/>
      <c r="Q252" s="1580"/>
      <c r="R252" s="1580"/>
    </row>
    <row r="253" customFormat="false" ht="15.75" hidden="false" customHeight="false" outlineLevel="0" collapsed="false">
      <c r="A253" s="2459"/>
      <c r="B253" s="2493"/>
      <c r="C253" s="2459"/>
      <c r="D253" s="2459"/>
      <c r="E253" s="2459"/>
      <c r="F253" s="2459"/>
      <c r="G253" s="2459"/>
      <c r="H253" s="2537"/>
      <c r="I253" s="1429"/>
      <c r="J253" s="1417"/>
      <c r="K253" s="1179"/>
      <c r="L253" s="1580"/>
      <c r="M253" s="1580"/>
      <c r="N253" s="1580"/>
      <c r="O253" s="1580"/>
      <c r="P253" s="1580"/>
      <c r="Q253" s="1580"/>
      <c r="R253" s="1580"/>
    </row>
    <row r="254" customFormat="false" ht="15.75" hidden="false" customHeight="false" outlineLevel="0" collapsed="false">
      <c r="A254" s="2459"/>
      <c r="B254" s="2493"/>
      <c r="C254" s="2459"/>
      <c r="D254" s="2459"/>
      <c r="E254" s="2459"/>
      <c r="F254" s="2459"/>
      <c r="G254" s="2459"/>
      <c r="H254" s="2537"/>
      <c r="I254" s="1429"/>
      <c r="J254" s="1417"/>
      <c r="K254" s="1179"/>
      <c r="L254" s="1580"/>
      <c r="M254" s="1580"/>
      <c r="N254" s="1580"/>
      <c r="O254" s="1580"/>
      <c r="P254" s="1580"/>
      <c r="Q254" s="1580"/>
      <c r="R254" s="1580"/>
    </row>
    <row r="255" customFormat="false" ht="15.75" hidden="false" customHeight="false" outlineLevel="0" collapsed="false">
      <c r="A255" s="2459"/>
      <c r="B255" s="2493"/>
      <c r="C255" s="2459"/>
      <c r="D255" s="2459"/>
      <c r="E255" s="2459"/>
      <c r="F255" s="2459"/>
      <c r="G255" s="2459"/>
      <c r="H255" s="2537"/>
      <c r="I255" s="1429"/>
      <c r="J255" s="1417"/>
      <c r="K255" s="2459"/>
      <c r="L255" s="1580"/>
      <c r="M255" s="1580"/>
      <c r="N255" s="1580"/>
      <c r="O255" s="1580"/>
      <c r="P255" s="1580"/>
      <c r="Q255" s="1580"/>
      <c r="R255" s="1580"/>
    </row>
    <row r="256" customFormat="false" ht="15.75" hidden="false" customHeight="false" outlineLevel="0" collapsed="false">
      <c r="A256" s="2459"/>
      <c r="B256" s="2493"/>
      <c r="C256" s="2459"/>
      <c r="D256" s="2459"/>
      <c r="E256" s="2459"/>
      <c r="F256" s="2459"/>
      <c r="G256" s="2459"/>
      <c r="H256" s="2537"/>
      <c r="I256" s="1429"/>
      <c r="J256" s="1417"/>
      <c r="K256" s="1301"/>
      <c r="L256" s="1580"/>
      <c r="M256" s="1580"/>
      <c r="N256" s="1580"/>
      <c r="O256" s="1580"/>
      <c r="P256" s="1580"/>
      <c r="Q256" s="1580"/>
      <c r="R256" s="1580"/>
    </row>
    <row r="257" customFormat="false" ht="15.75" hidden="false" customHeight="false" outlineLevel="0" collapsed="false">
      <c r="A257" s="1311"/>
      <c r="B257" s="1311"/>
      <c r="C257" s="1311"/>
      <c r="D257" s="1311"/>
      <c r="E257" s="53"/>
      <c r="F257" s="2459"/>
      <c r="G257" s="53"/>
      <c r="H257" s="2537"/>
      <c r="I257" s="1429"/>
      <c r="J257" s="1311"/>
      <c r="K257" s="1301"/>
      <c r="L257" s="1580"/>
      <c r="M257" s="1580"/>
      <c r="N257" s="1580"/>
      <c r="O257" s="1580"/>
      <c r="P257" s="1580"/>
      <c r="Q257" s="1580"/>
      <c r="R257" s="1580"/>
    </row>
    <row r="258" customFormat="false" ht="15.75" hidden="false" customHeight="false" outlineLevel="0" collapsed="false">
      <c r="A258" s="1311"/>
      <c r="B258" s="1311"/>
      <c r="C258" s="1311"/>
      <c r="D258" s="1311"/>
      <c r="E258" s="53"/>
      <c r="F258" s="53"/>
      <c r="G258" s="2459"/>
      <c r="H258" s="2537"/>
      <c r="I258" s="1429"/>
      <c r="J258" s="1311"/>
      <c r="K258" s="1301"/>
      <c r="L258" s="1580"/>
      <c r="M258" s="1580"/>
      <c r="N258" s="1580"/>
      <c r="O258" s="1580"/>
      <c r="P258" s="1580"/>
      <c r="Q258" s="1580"/>
      <c r="R258" s="1580"/>
    </row>
    <row r="259" customFormat="false" ht="15.75" hidden="false" customHeight="false" outlineLevel="0" collapsed="false">
      <c r="A259" s="1311"/>
      <c r="B259" s="1311"/>
      <c r="C259" s="1311"/>
      <c r="D259" s="1311"/>
      <c r="E259" s="53"/>
      <c r="F259" s="53"/>
      <c r="G259" s="2459"/>
      <c r="H259" s="2537"/>
      <c r="I259" s="1429"/>
      <c r="J259" s="1311"/>
      <c r="K259" s="1301"/>
      <c r="L259" s="1580"/>
      <c r="M259" s="1580"/>
      <c r="N259" s="1580"/>
      <c r="O259" s="1580"/>
      <c r="P259" s="1580"/>
      <c r="Q259" s="1580"/>
      <c r="R259" s="1580"/>
    </row>
    <row r="260" customFormat="false" ht="15.75" hidden="false" customHeight="false" outlineLevel="0" collapsed="false">
      <c r="A260" s="1311"/>
      <c r="B260" s="1311"/>
      <c r="C260" s="1311"/>
      <c r="D260" s="1311"/>
      <c r="E260" s="2459"/>
      <c r="F260" s="2459"/>
      <c r="G260" s="2459"/>
      <c r="H260" s="2537"/>
      <c r="I260" s="1429"/>
      <c r="J260" s="1311"/>
      <c r="K260" s="2493"/>
      <c r="L260" s="1580"/>
      <c r="M260" s="1580"/>
      <c r="N260" s="1580"/>
      <c r="O260" s="1580"/>
      <c r="P260" s="1580"/>
      <c r="Q260" s="1580"/>
      <c r="R260" s="1580"/>
    </row>
    <row r="261" customFormat="false" ht="15.75" hidden="false" customHeight="false" outlineLevel="0" collapsed="false">
      <c r="A261" s="1311"/>
      <c r="B261" s="1311"/>
      <c r="C261" s="1311"/>
      <c r="D261" s="1311"/>
      <c r="E261" s="2459"/>
      <c r="F261" s="2459"/>
      <c r="G261" s="2459"/>
      <c r="H261" s="2537"/>
      <c r="I261" s="1429"/>
      <c r="J261" s="1311"/>
      <c r="K261" s="2560"/>
      <c r="L261" s="1580"/>
      <c r="M261" s="1580"/>
      <c r="N261" s="1580"/>
      <c r="O261" s="1580"/>
      <c r="P261" s="1580"/>
      <c r="Q261" s="1580"/>
      <c r="R261" s="1580"/>
    </row>
    <row r="262" customFormat="false" ht="15.75" hidden="false" customHeight="false" outlineLevel="0" collapsed="false">
      <c r="A262" s="1311"/>
      <c r="B262" s="1311"/>
      <c r="C262" s="1311"/>
      <c r="D262" s="1311"/>
      <c r="E262" s="2459"/>
      <c r="F262" s="2459"/>
      <c r="G262" s="2459"/>
      <c r="H262" s="2537"/>
      <c r="I262" s="1429"/>
      <c r="J262" s="1311"/>
      <c r="K262" s="2560"/>
      <c r="L262" s="1580"/>
      <c r="M262" s="1580"/>
      <c r="N262" s="1580"/>
      <c r="O262" s="1580"/>
      <c r="P262" s="1580"/>
      <c r="Q262" s="1580"/>
      <c r="R262" s="1580"/>
    </row>
    <row r="263" customFormat="false" ht="15.75" hidden="false" customHeight="false" outlineLevel="0" collapsed="false">
      <c r="A263" s="2567" t="s">
        <v>3919</v>
      </c>
      <c r="B263" s="2568" t="s">
        <v>12</v>
      </c>
      <c r="C263" s="2565" t="s">
        <v>13</v>
      </c>
      <c r="D263" s="2469" t="str">
        <f aca="false">'Ввод данных'!F702</f>
        <v>Не считать</v>
      </c>
      <c r="E263" s="2459" t="s">
        <v>3920</v>
      </c>
      <c r="F263" s="2459"/>
      <c r="G263" s="2459"/>
      <c r="H263" s="2537"/>
      <c r="I263" s="1429"/>
      <c r="J263" s="1311"/>
      <c r="K263" s="2560"/>
      <c r="L263" s="1580"/>
      <c r="M263" s="1580"/>
      <c r="N263" s="1580"/>
      <c r="O263" s="1580"/>
      <c r="P263" s="1580"/>
      <c r="Q263" s="1580"/>
      <c r="R263" s="1580"/>
    </row>
    <row r="264" customFormat="false" ht="15.75" hidden="false" customHeight="false" outlineLevel="0" collapsed="false">
      <c r="A264" s="1176" t="s">
        <v>303</v>
      </c>
      <c r="B264" s="1176" t="s">
        <v>48</v>
      </c>
      <c r="C264" s="2548" t="n">
        <f aca="false">'Ввод данных'!E605</f>
        <v>0</v>
      </c>
      <c r="D264" s="2484"/>
      <c r="E264" s="2459"/>
      <c r="F264" s="2459"/>
      <c r="G264" s="2459"/>
      <c r="H264" s="2537"/>
      <c r="I264" s="1429"/>
      <c r="J264" s="1311"/>
      <c r="K264" s="2560"/>
      <c r="L264" s="1580"/>
      <c r="M264" s="1580"/>
      <c r="N264" s="1580"/>
      <c r="O264" s="1580"/>
      <c r="P264" s="1580"/>
      <c r="Q264" s="1580"/>
      <c r="R264" s="1580"/>
    </row>
    <row r="265" customFormat="false" ht="15.75" hidden="false" customHeight="false" outlineLevel="0" collapsed="false">
      <c r="A265" s="1176" t="s">
        <v>3921</v>
      </c>
      <c r="B265" s="1176" t="s">
        <v>48</v>
      </c>
      <c r="C265" s="2548" t="n">
        <f aca="false">'Ввод данных'!E606</f>
        <v>0</v>
      </c>
      <c r="D265" s="1176" t="s">
        <v>2491</v>
      </c>
      <c r="E265" s="2459"/>
      <c r="F265" s="2459"/>
      <c r="G265" s="2459"/>
      <c r="H265" s="2537"/>
      <c r="I265" s="1429"/>
      <c r="J265" s="1311"/>
      <c r="K265" s="2560"/>
      <c r="L265" s="1580"/>
      <c r="M265" s="1580"/>
      <c r="N265" s="1580"/>
      <c r="O265" s="1580"/>
      <c r="P265" s="1580"/>
      <c r="Q265" s="1580"/>
      <c r="R265" s="1580"/>
    </row>
    <row r="266" customFormat="false" ht="15.75" hidden="false" customHeight="false" outlineLevel="0" collapsed="false">
      <c r="A266" s="1176" t="s">
        <v>302</v>
      </c>
      <c r="B266" s="1176" t="s">
        <v>48</v>
      </c>
      <c r="C266" s="1176"/>
      <c r="D266" s="2469" t="e">
        <f aca="false">'ввод данных'!#ref!</f>
        <v>#VALUE!</v>
      </c>
      <c r="E266" s="2458" t="e">
        <f aca="false">'ввод данных'!#ref!</f>
        <v>#VALUE!</v>
      </c>
      <c r="F266" s="2459" t="s">
        <v>3668</v>
      </c>
      <c r="G266" s="2459"/>
      <c r="H266" s="2537"/>
      <c r="I266" s="1429"/>
      <c r="J266" s="1311"/>
      <c r="K266" s="1301"/>
      <c r="L266" s="1580"/>
      <c r="M266" s="1580"/>
      <c r="N266" s="1580"/>
      <c r="O266" s="1580"/>
      <c r="P266" s="1580"/>
      <c r="Q266" s="1580"/>
      <c r="R266" s="1580"/>
    </row>
    <row r="267" customFormat="false" ht="15.75" hidden="false" customHeight="false" outlineLevel="0" collapsed="false">
      <c r="A267" s="1176" t="s">
        <v>2758</v>
      </c>
      <c r="B267" s="1176" t="s">
        <v>48</v>
      </c>
      <c r="C267" s="1176"/>
      <c r="D267" s="2469" t="e">
        <f aca="false">'ввод данных'!#ref!</f>
        <v>#VALUE!</v>
      </c>
      <c r="E267" s="2458" t="e">
        <f aca="false">'ввод данных'!#ref!</f>
        <v>#VALUE!</v>
      </c>
      <c r="F267" s="2459" t="s">
        <v>3669</v>
      </c>
      <c r="G267" s="2459"/>
      <c r="H267" s="2537"/>
      <c r="I267" s="1429"/>
      <c r="J267" s="1311"/>
      <c r="K267" s="1301"/>
      <c r="L267" s="1580"/>
      <c r="M267" s="1580"/>
      <c r="N267" s="1580"/>
      <c r="O267" s="1580"/>
      <c r="P267" s="1580"/>
      <c r="Q267" s="1580"/>
      <c r="R267" s="1580"/>
    </row>
    <row r="268" customFormat="false" ht="15.75" hidden="false" customHeight="false" outlineLevel="0" collapsed="false">
      <c r="A268" s="1176" t="s">
        <v>2759</v>
      </c>
      <c r="B268" s="1176" t="s">
        <v>48</v>
      </c>
      <c r="C268" s="1176"/>
      <c r="D268" s="2469" t="e">
        <f aca="false">'ввод данных'!#ref!</f>
        <v>#VALUE!</v>
      </c>
      <c r="E268" s="2458" t="e">
        <f aca="false">'ввод данных'!#ref!</f>
        <v>#VALUE!</v>
      </c>
      <c r="F268" s="2459" t="s">
        <v>3670</v>
      </c>
      <c r="G268" s="2459"/>
      <c r="H268" s="2537"/>
      <c r="I268" s="1429"/>
      <c r="J268" s="1311"/>
      <c r="K268" s="1301"/>
      <c r="L268" s="1580"/>
      <c r="M268" s="1580"/>
      <c r="N268" s="1580"/>
      <c r="O268" s="1580"/>
      <c r="P268" s="1580"/>
      <c r="Q268" s="1580"/>
      <c r="R268" s="1580"/>
    </row>
    <row r="269" customFormat="false" ht="15.75" hidden="false" customHeight="false" outlineLevel="0" collapsed="false">
      <c r="A269" s="1413" t="s">
        <v>392</v>
      </c>
      <c r="B269" s="1304" t="s">
        <v>15</v>
      </c>
      <c r="C269" s="2548" t="n">
        <f aca="false">'Ввод данных'!C607</f>
        <v>3</v>
      </c>
      <c r="D269" s="2546"/>
      <c r="E269" s="2459"/>
      <c r="F269" s="2459"/>
      <c r="G269" s="2459"/>
      <c r="H269" s="2537"/>
      <c r="I269" s="1429"/>
      <c r="J269" s="1311"/>
      <c r="K269" s="1272"/>
      <c r="L269" s="1580"/>
      <c r="M269" s="1580"/>
      <c r="N269" s="1580"/>
      <c r="O269" s="1580"/>
      <c r="P269" s="1580"/>
      <c r="Q269" s="1580"/>
      <c r="R269" s="1580"/>
    </row>
    <row r="270" customFormat="false" ht="15.75" hidden="false" customHeight="false" outlineLevel="0" collapsed="false">
      <c r="A270" s="1413" t="s">
        <v>4019</v>
      </c>
      <c r="B270" s="1304" t="s">
        <v>15</v>
      </c>
      <c r="C270" s="2548" t="n">
        <f aca="false">'Ввод данных'!C608</f>
        <v>3</v>
      </c>
      <c r="D270" s="2546"/>
      <c r="E270" s="2459"/>
      <c r="F270" s="2459"/>
      <c r="G270" s="2459"/>
      <c r="H270" s="2537"/>
      <c r="I270" s="1429"/>
      <c r="J270" s="1311"/>
      <c r="K270" s="1631"/>
      <c r="L270" s="1580"/>
      <c r="M270" s="1580"/>
      <c r="N270" s="1580"/>
      <c r="O270" s="1580"/>
      <c r="P270" s="1580"/>
      <c r="Q270" s="1580"/>
      <c r="R270" s="1580"/>
    </row>
    <row r="271" customFormat="false" ht="15.75" hidden="false" customHeight="false" outlineLevel="0" collapsed="false">
      <c r="A271" s="1413" t="s">
        <v>394</v>
      </c>
      <c r="B271" s="1304" t="s">
        <v>15</v>
      </c>
      <c r="C271" s="2548" t="n">
        <f aca="false">'Ввод данных'!C609</f>
        <v>2.7</v>
      </c>
      <c r="D271" s="1179"/>
      <c r="E271" s="2459"/>
      <c r="F271" s="2459"/>
      <c r="G271" s="2459"/>
      <c r="H271" s="2537"/>
      <c r="I271" s="1429"/>
      <c r="J271" s="1311"/>
      <c r="K271" s="1631"/>
      <c r="L271" s="1580"/>
      <c r="M271" s="1580"/>
      <c r="N271" s="1580"/>
      <c r="O271" s="1580"/>
      <c r="P271" s="1580"/>
      <c r="Q271" s="1580"/>
      <c r="R271" s="1580"/>
    </row>
    <row r="272" customFormat="false" ht="15.75" hidden="false" customHeight="false" outlineLevel="0" collapsed="false">
      <c r="A272" s="1413" t="s">
        <v>395</v>
      </c>
      <c r="B272" s="1304" t="s">
        <v>15</v>
      </c>
      <c r="C272" s="2548" t="n">
        <f aca="false">'Ввод данных'!C610</f>
        <v>2.7</v>
      </c>
      <c r="D272" s="1179"/>
      <c r="E272" s="2459"/>
      <c r="F272" s="2459"/>
      <c r="G272" s="2459"/>
      <c r="H272" s="2537"/>
      <c r="I272" s="1429"/>
      <c r="J272" s="1311"/>
      <c r="K272" s="1631"/>
      <c r="L272" s="1580"/>
      <c r="M272" s="1580"/>
      <c r="N272" s="1580"/>
      <c r="O272" s="1580"/>
      <c r="P272" s="1580"/>
      <c r="Q272" s="1580"/>
      <c r="R272" s="1580"/>
    </row>
    <row r="273" customFormat="false" ht="15.75" hidden="false" customHeight="false" outlineLevel="0" collapsed="false">
      <c r="A273" s="2569" t="s">
        <v>161</v>
      </c>
      <c r="B273" s="2569" t="s">
        <v>12</v>
      </c>
      <c r="C273" s="1308" t="s">
        <v>2749</v>
      </c>
      <c r="D273" s="1311"/>
      <c r="E273" s="2459"/>
      <c r="F273" s="2459"/>
      <c r="G273" s="2459"/>
      <c r="H273" s="2537"/>
      <c r="I273" s="1429"/>
      <c r="J273" s="1311"/>
      <c r="K273" s="1631"/>
      <c r="L273" s="1580"/>
      <c r="M273" s="1580"/>
      <c r="N273" s="1580"/>
      <c r="O273" s="1580"/>
      <c r="P273" s="1580"/>
      <c r="Q273" s="1580"/>
      <c r="R273" s="1580"/>
    </row>
    <row r="274" customFormat="false" ht="15.75" hidden="false" customHeight="false" outlineLevel="0" collapsed="false">
      <c r="A274" s="1176" t="s">
        <v>4020</v>
      </c>
      <c r="B274" s="1333" t="s">
        <v>820</v>
      </c>
      <c r="C274" s="1176" t="e">
        <f aca="false">C269*C270*E266</f>
        <v>#VALUE!</v>
      </c>
      <c r="D274" s="1311"/>
      <c r="E274" s="2459"/>
      <c r="F274" s="2459"/>
      <c r="G274" s="2459"/>
      <c r="H274" s="2537"/>
      <c r="I274" s="1429"/>
      <c r="J274" s="1311"/>
      <c r="K274" s="1631"/>
      <c r="L274" s="1580"/>
      <c r="M274" s="1580"/>
      <c r="N274" s="1580"/>
      <c r="O274" s="1580"/>
      <c r="P274" s="1580"/>
      <c r="Q274" s="1580"/>
      <c r="R274" s="1580"/>
    </row>
    <row r="275" customFormat="false" ht="15.75" hidden="false" customHeight="false" outlineLevel="0" collapsed="false">
      <c r="A275" s="1176" t="s">
        <v>4021</v>
      </c>
      <c r="B275" s="1333" t="s">
        <v>820</v>
      </c>
      <c r="C275" s="1176" t="e">
        <f aca="false">C269*C270*E267</f>
        <v>#VALUE!</v>
      </c>
      <c r="D275" s="1311"/>
      <c r="E275" s="2459"/>
      <c r="F275" s="2459"/>
      <c r="G275" s="2459"/>
      <c r="H275" s="2537"/>
      <c r="I275" s="1429"/>
      <c r="J275" s="1311"/>
      <c r="K275" s="1631"/>
      <c r="L275" s="1580"/>
      <c r="M275" s="1580"/>
      <c r="N275" s="1580"/>
      <c r="O275" s="1580"/>
      <c r="P275" s="1580"/>
      <c r="Q275" s="1580"/>
      <c r="R275" s="1580"/>
    </row>
    <row r="276" customFormat="false" ht="15.75" hidden="false" customHeight="false" outlineLevel="0" collapsed="false">
      <c r="A276" s="1176" t="s">
        <v>4022</v>
      </c>
      <c r="B276" s="1333" t="s">
        <v>820</v>
      </c>
      <c r="C276" s="1176" t="e">
        <f aca="false">C269*C270*E268</f>
        <v>#VALUE!</v>
      </c>
      <c r="D276" s="1311"/>
      <c r="E276" s="2459"/>
      <c r="F276" s="2459"/>
      <c r="G276" s="2459"/>
      <c r="H276" s="2537"/>
      <c r="I276" s="1429"/>
      <c r="J276" s="1311"/>
      <c r="K276" s="1631"/>
      <c r="L276" s="1580"/>
      <c r="M276" s="1580"/>
      <c r="N276" s="1580"/>
      <c r="O276" s="1580"/>
      <c r="P276" s="1580"/>
      <c r="Q276" s="1580"/>
      <c r="R276" s="1580"/>
    </row>
    <row r="277" customFormat="false" ht="15.75" hidden="false" customHeight="false" outlineLevel="0" collapsed="false">
      <c r="A277" s="2561" t="s">
        <v>2833</v>
      </c>
      <c r="B277" s="2561"/>
      <c r="C277" s="2561"/>
      <c r="D277" s="2561"/>
      <c r="E277" s="2458" t="n">
        <f aca="false">'Ввод данных'!D640</f>
        <v>2</v>
      </c>
      <c r="F277" s="2459" t="s">
        <v>3715</v>
      </c>
      <c r="G277" s="2459"/>
      <c r="H277" s="2537"/>
      <c r="I277" s="1429"/>
      <c r="J277" s="1311"/>
      <c r="K277" s="1631"/>
      <c r="L277" s="1580"/>
      <c r="M277" s="1580"/>
      <c r="N277" s="1580"/>
      <c r="O277" s="1580"/>
      <c r="P277" s="1580"/>
      <c r="Q277" s="1580"/>
      <c r="R277" s="1580"/>
    </row>
    <row r="278" customFormat="false" ht="15.75" hidden="false" customHeight="false" outlineLevel="0" collapsed="false">
      <c r="A278" s="2562" t="s">
        <v>2773</v>
      </c>
      <c r="B278" s="2489" t="s">
        <v>15</v>
      </c>
      <c r="C278" s="2562" t="n">
        <f aca="false">(C270+C270+C269)*E277</f>
        <v>18</v>
      </c>
      <c r="D278" s="2459"/>
      <c r="E278" s="2459"/>
      <c r="F278" s="2459"/>
      <c r="G278" s="2459"/>
      <c r="H278" s="2537"/>
      <c r="I278" s="1429"/>
      <c r="J278" s="1311"/>
      <c r="K278" s="1631"/>
      <c r="L278" s="1580"/>
      <c r="M278" s="1580"/>
      <c r="N278" s="1580"/>
      <c r="O278" s="1580"/>
      <c r="P278" s="1580"/>
      <c r="Q278" s="1580"/>
      <c r="R278" s="1580"/>
    </row>
    <row r="279" customFormat="false" ht="15.75" hidden="false" customHeight="false" outlineLevel="0" collapsed="false">
      <c r="A279" s="2491" t="s">
        <v>3571</v>
      </c>
      <c r="B279" s="1338" t="s">
        <v>820</v>
      </c>
      <c r="C279" s="2491" t="n">
        <f aca="false">C269*C270*E277</f>
        <v>18</v>
      </c>
      <c r="D279" s="2459"/>
      <c r="E279" s="2459"/>
      <c r="F279" s="2459"/>
      <c r="G279" s="2459"/>
      <c r="H279" s="2537"/>
      <c r="I279" s="1429"/>
      <c r="J279" s="1311"/>
      <c r="K279" s="1631"/>
      <c r="L279" s="1580"/>
      <c r="M279" s="1580"/>
      <c r="N279" s="1580"/>
      <c r="O279" s="1580"/>
      <c r="P279" s="1580"/>
      <c r="Q279" s="1580"/>
      <c r="R279" s="1580"/>
    </row>
    <row r="280" customFormat="false" ht="15.75" hidden="false" customHeight="false" outlineLevel="0" collapsed="false">
      <c r="A280" s="2459"/>
      <c r="B280" s="2493"/>
      <c r="C280" s="2459"/>
      <c r="D280" s="2459"/>
      <c r="E280" s="2459"/>
      <c r="F280" s="2459"/>
      <c r="G280" s="2459"/>
      <c r="H280" s="2537"/>
      <c r="I280" s="1429"/>
      <c r="J280" s="1311"/>
      <c r="K280" s="1631"/>
      <c r="L280" s="1580"/>
      <c r="M280" s="1580"/>
      <c r="N280" s="1580"/>
      <c r="O280" s="1580"/>
      <c r="P280" s="1580"/>
      <c r="Q280" s="1580"/>
      <c r="R280" s="1580"/>
    </row>
    <row r="281" customFormat="false" ht="15.75" hidden="false" customHeight="false" outlineLevel="0" collapsed="false">
      <c r="A281" s="2459"/>
      <c r="B281" s="2493"/>
      <c r="C281" s="2459"/>
      <c r="D281" s="2459"/>
      <c r="E281" s="2459"/>
      <c r="F281" s="2459"/>
      <c r="G281" s="2459"/>
      <c r="H281" s="2537"/>
      <c r="I281" s="1429"/>
      <c r="J281" s="1311"/>
      <c r="K281" s="1631"/>
      <c r="L281" s="1580"/>
      <c r="M281" s="1580"/>
      <c r="N281" s="1580"/>
      <c r="O281" s="1580"/>
      <c r="P281" s="1580"/>
      <c r="Q281" s="1580"/>
      <c r="R281" s="1580"/>
    </row>
    <row r="282" customFormat="false" ht="15.75" hidden="false" customHeight="false" outlineLevel="0" collapsed="false">
      <c r="A282" s="2459"/>
      <c r="B282" s="2493"/>
      <c r="C282" s="2459"/>
      <c r="D282" s="2459"/>
      <c r="E282" s="2459"/>
      <c r="F282" s="2459"/>
      <c r="G282" s="2459"/>
      <c r="H282" s="2537"/>
      <c r="I282" s="1429"/>
      <c r="J282" s="1311"/>
      <c r="K282" s="1631"/>
      <c r="L282" s="1580"/>
      <c r="M282" s="1580"/>
      <c r="N282" s="1580"/>
      <c r="O282" s="1580"/>
      <c r="P282" s="1580"/>
      <c r="Q282" s="1580"/>
      <c r="R282" s="1580"/>
    </row>
    <row r="283" customFormat="false" ht="15.75" hidden="false" customHeight="false" outlineLevel="0" collapsed="false">
      <c r="A283" s="2459"/>
      <c r="B283" s="2459"/>
      <c r="C283" s="2459"/>
      <c r="D283" s="2459"/>
      <c r="E283" s="2459"/>
      <c r="F283" s="2459"/>
      <c r="G283" s="2459"/>
      <c r="H283" s="2537"/>
      <c r="I283" s="1429"/>
      <c r="J283" s="1311"/>
      <c r="K283" s="1631"/>
      <c r="L283" s="1580"/>
      <c r="M283" s="1580"/>
      <c r="N283" s="1580"/>
      <c r="O283" s="1580"/>
      <c r="P283" s="1580"/>
      <c r="Q283" s="1580"/>
      <c r="R283" s="1580"/>
    </row>
    <row r="284" customFormat="false" ht="15.75" hidden="false" customHeight="false" outlineLevel="0" collapsed="false">
      <c r="A284" s="2570"/>
      <c r="B284" s="53"/>
      <c r="C284" s="53"/>
      <c r="D284" s="53"/>
      <c r="E284" s="53"/>
      <c r="F284" s="2459"/>
      <c r="G284" s="53"/>
      <c r="H284" s="2537"/>
      <c r="I284" s="1429"/>
      <c r="J284" s="1311"/>
      <c r="K284" s="1631"/>
      <c r="L284" s="1580"/>
      <c r="M284" s="1580"/>
      <c r="N284" s="1580"/>
      <c r="O284" s="1580"/>
      <c r="P284" s="1580"/>
      <c r="Q284" s="1580"/>
      <c r="R284" s="1580"/>
    </row>
    <row r="285" customFormat="false" ht="15.75" hidden="false" customHeight="false" outlineLevel="0" collapsed="false">
      <c r="A285" s="53"/>
      <c r="B285" s="1179"/>
      <c r="C285" s="53"/>
      <c r="D285" s="53"/>
      <c r="E285" s="53"/>
      <c r="F285" s="53"/>
      <c r="G285" s="2459"/>
      <c r="H285" s="2537"/>
      <c r="I285" s="1429"/>
      <c r="J285" s="1311"/>
      <c r="K285" s="1631"/>
      <c r="L285" s="1580"/>
      <c r="M285" s="1580"/>
      <c r="N285" s="1580"/>
      <c r="O285" s="1580"/>
      <c r="P285" s="1580"/>
      <c r="Q285" s="1580"/>
      <c r="R285" s="1580"/>
    </row>
    <row r="286" customFormat="false" ht="15.75" hidden="false" customHeight="false" outlineLevel="0" collapsed="false">
      <c r="A286" s="53"/>
      <c r="B286" s="1179"/>
      <c r="C286" s="53"/>
      <c r="D286" s="53"/>
      <c r="E286" s="53"/>
      <c r="F286" s="53"/>
      <c r="G286" s="2459"/>
      <c r="H286" s="2537"/>
      <c r="I286" s="1429"/>
      <c r="J286" s="1417"/>
      <c r="K286" s="1631"/>
      <c r="L286" s="1580"/>
      <c r="M286" s="1580"/>
      <c r="N286" s="1580"/>
      <c r="O286" s="1580"/>
      <c r="P286" s="1580"/>
      <c r="Q286" s="1580"/>
      <c r="R286" s="1580"/>
    </row>
    <row r="287" customFormat="false" ht="15.75" hidden="false" customHeight="false" outlineLevel="0" collapsed="false">
      <c r="A287" s="2459"/>
      <c r="B287" s="2493"/>
      <c r="C287" s="2459"/>
      <c r="D287" s="53"/>
      <c r="E287" s="2459"/>
      <c r="F287" s="2459"/>
      <c r="G287" s="2459"/>
      <c r="H287" s="2537"/>
      <c r="I287" s="1429"/>
      <c r="J287" s="1417"/>
      <c r="K287" s="1631"/>
      <c r="L287" s="1580"/>
      <c r="M287" s="1580"/>
      <c r="N287" s="1580"/>
      <c r="O287" s="1580"/>
      <c r="P287" s="1580"/>
      <c r="Q287" s="1580"/>
      <c r="R287" s="1580"/>
    </row>
    <row r="288" customFormat="false" ht="15.75" hidden="false" customHeight="false" outlineLevel="0" collapsed="false">
      <c r="A288" s="2459"/>
      <c r="B288" s="2493"/>
      <c r="C288" s="2459"/>
      <c r="D288" s="2459"/>
      <c r="E288" s="2459"/>
      <c r="F288" s="2459"/>
      <c r="G288" s="2459"/>
      <c r="H288" s="2537"/>
      <c r="I288" s="1429"/>
      <c r="J288" s="1417"/>
      <c r="K288" s="1631"/>
      <c r="L288" s="1580"/>
      <c r="M288" s="1580"/>
      <c r="N288" s="1580"/>
      <c r="O288" s="1580"/>
      <c r="P288" s="1580"/>
      <c r="Q288" s="1580"/>
      <c r="R288" s="1580"/>
    </row>
    <row r="289" customFormat="false" ht="15.75" hidden="false" customHeight="false" outlineLevel="0" collapsed="false">
      <c r="A289" s="2488" t="s">
        <v>2359</v>
      </c>
      <c r="B289" s="2488"/>
      <c r="C289" s="2488"/>
      <c r="D289" s="2488"/>
      <c r="E289" s="2488"/>
      <c r="F289" s="2467" t="e">
        <f aca="false">'ввод данных'!#ref!</f>
        <v>#VALUE!</v>
      </c>
      <c r="G289" s="2534" t="s">
        <v>4023</v>
      </c>
      <c r="H289" s="2483"/>
      <c r="I289" s="2483"/>
      <c r="J289" s="2483"/>
      <c r="K289" s="1631"/>
      <c r="L289" s="1580"/>
      <c r="M289" s="1580"/>
      <c r="N289" s="1580"/>
      <c r="O289" s="1580"/>
      <c r="P289" s="1580"/>
      <c r="Q289" s="1580"/>
      <c r="R289" s="1580"/>
    </row>
    <row r="290" customFormat="false" ht="15.75" hidden="false" customHeight="false" outlineLevel="0" collapsed="false">
      <c r="A290" s="1297" t="s">
        <v>161</v>
      </c>
      <c r="B290" s="1297"/>
      <c r="C290" s="1308" t="s">
        <v>12</v>
      </c>
      <c r="D290" s="2465" t="s">
        <v>837</v>
      </c>
      <c r="E290" s="2465" t="s">
        <v>486</v>
      </c>
      <c r="F290" s="2459"/>
      <c r="G290" s="2459"/>
      <c r="H290" s="2459"/>
      <c r="I290" s="2459"/>
      <c r="J290" s="1269"/>
      <c r="K290" s="1631"/>
      <c r="L290" s="1580"/>
      <c r="M290" s="1580"/>
      <c r="N290" s="1580"/>
      <c r="O290" s="1580"/>
      <c r="P290" s="1580"/>
      <c r="Q290" s="1580"/>
      <c r="R290" s="1580"/>
    </row>
    <row r="291" customFormat="false" ht="15.75" hidden="false" customHeight="false" outlineLevel="0" collapsed="false">
      <c r="A291" s="1310" t="s">
        <v>542</v>
      </c>
      <c r="B291" s="1310"/>
      <c r="C291" s="2491" t="s">
        <v>15</v>
      </c>
      <c r="D291" s="2469" t="n">
        <f aca="false">'Ввод данных'!C914</f>
        <v>0.6</v>
      </c>
      <c r="E291" s="2458" t="n">
        <f aca="false">'Ввод данных'!D913</f>
        <v>0</v>
      </c>
      <c r="F291" s="2459" t="s">
        <v>4024</v>
      </c>
      <c r="G291" s="2459"/>
      <c r="H291" s="2459"/>
      <c r="I291" s="2459"/>
      <c r="J291" s="1269"/>
      <c r="K291" s="1631"/>
      <c r="L291" s="1580"/>
      <c r="M291" s="1580"/>
      <c r="N291" s="1580"/>
      <c r="O291" s="1580"/>
      <c r="P291" s="1580"/>
      <c r="Q291" s="1580"/>
      <c r="R291" s="1580"/>
    </row>
    <row r="292" customFormat="false" ht="15.75" hidden="false" customHeight="false" outlineLevel="0" collapsed="false">
      <c r="A292" s="1310" t="s">
        <v>4025</v>
      </c>
      <c r="B292" s="1310"/>
      <c r="C292" s="1313" t="s">
        <v>15</v>
      </c>
      <c r="D292" s="2469" t="e">
        <f aca="false">'ввод данных'!#ref!</f>
        <v>#VALUE!</v>
      </c>
      <c r="E292" s="2458" t="n">
        <f aca="false">'Ввод данных'!D914</f>
        <v>0</v>
      </c>
      <c r="F292" s="2459" t="s">
        <v>4026</v>
      </c>
      <c r="G292" s="2459"/>
      <c r="H292" s="2459"/>
      <c r="I292" s="2459"/>
      <c r="J292" s="1269"/>
      <c r="K292" s="1631"/>
      <c r="L292" s="1580"/>
      <c r="M292" s="1580"/>
      <c r="N292" s="1580"/>
      <c r="O292" s="1580"/>
      <c r="P292" s="1580"/>
      <c r="Q292" s="1580"/>
      <c r="R292" s="1580"/>
    </row>
    <row r="293" customFormat="false" ht="15.75" hidden="false" customHeight="false" outlineLevel="0" collapsed="false">
      <c r="A293" s="1310" t="s">
        <v>554</v>
      </c>
      <c r="B293" s="1310"/>
      <c r="C293" s="1313" t="s">
        <v>15</v>
      </c>
      <c r="D293" s="1338"/>
      <c r="E293" s="2458" t="n">
        <f aca="false">'Ввод данных'!D916</f>
        <v>0</v>
      </c>
      <c r="F293" s="2459" t="s">
        <v>4027</v>
      </c>
      <c r="G293" s="2459"/>
      <c r="H293" s="2483"/>
      <c r="I293" s="2483"/>
      <c r="J293" s="2483"/>
      <c r="K293" s="1631"/>
      <c r="L293" s="1580"/>
      <c r="M293" s="1580"/>
      <c r="N293" s="1580"/>
      <c r="O293" s="1580"/>
      <c r="P293" s="1580"/>
      <c r="Q293" s="1580"/>
      <c r="R293" s="1580"/>
    </row>
    <row r="294" customFormat="false" ht="15.75" hidden="false" customHeight="false" outlineLevel="0" collapsed="false">
      <c r="A294" s="1310" t="s">
        <v>543</v>
      </c>
      <c r="B294" s="1310"/>
      <c r="C294" s="2571" t="s">
        <v>15</v>
      </c>
      <c r="D294" s="2469" t="n">
        <f aca="false">'Ввод данных'!C916</f>
        <v>4</v>
      </c>
      <c r="E294" s="1269"/>
      <c r="F294" s="1269"/>
      <c r="G294" s="1269"/>
      <c r="H294" s="2483"/>
      <c r="I294" s="2483"/>
      <c r="J294" s="2483"/>
      <c r="K294" s="1631"/>
      <c r="L294" s="1580"/>
      <c r="M294" s="1580"/>
      <c r="N294" s="1580"/>
      <c r="O294" s="1580"/>
      <c r="P294" s="1580"/>
      <c r="Q294" s="1580"/>
      <c r="R294" s="1580"/>
    </row>
    <row r="295" customFormat="false" ht="15.75" hidden="false" customHeight="false" outlineLevel="0" collapsed="false">
      <c r="A295" s="1310" t="s">
        <v>544</v>
      </c>
      <c r="B295" s="1310"/>
      <c r="C295" s="2476" t="s">
        <v>15</v>
      </c>
      <c r="D295" s="2469" t="n">
        <f aca="false">'Ввод данных'!C917</f>
        <v>5</v>
      </c>
      <c r="E295" s="1269"/>
      <c r="F295" s="1269"/>
      <c r="G295" s="1269"/>
      <c r="H295" s="2459"/>
      <c r="I295" s="2483"/>
      <c r="J295" s="2483"/>
      <c r="K295" s="1631"/>
      <c r="L295" s="1580"/>
      <c r="M295" s="1580"/>
      <c r="N295" s="1580"/>
      <c r="O295" s="1580"/>
      <c r="P295" s="1580"/>
      <c r="Q295" s="1580"/>
      <c r="R295" s="1580"/>
    </row>
    <row r="296" customFormat="false" ht="15.75" hidden="false" customHeight="false" outlineLevel="0" collapsed="false">
      <c r="A296" s="1310" t="s">
        <v>545</v>
      </c>
      <c r="B296" s="1310"/>
      <c r="C296" s="2476" t="s">
        <v>15</v>
      </c>
      <c r="D296" s="2469" t="n">
        <f aca="false">'Ввод данных'!C918</f>
        <v>3</v>
      </c>
      <c r="E296" s="1269"/>
      <c r="F296" s="1269"/>
      <c r="G296" s="1269"/>
      <c r="H296" s="2459"/>
      <c r="I296" s="2483"/>
      <c r="J296" s="2483"/>
      <c r="K296" s="1631"/>
      <c r="L296" s="1580"/>
      <c r="M296" s="1580"/>
      <c r="N296" s="1580"/>
      <c r="O296" s="1580"/>
      <c r="P296" s="1580"/>
      <c r="Q296" s="1580"/>
      <c r="R296" s="1580"/>
    </row>
    <row r="297" customFormat="false" ht="15.75" hidden="false" customHeight="false" outlineLevel="0" collapsed="false">
      <c r="A297" s="1191" t="s">
        <v>4028</v>
      </c>
      <c r="B297" s="1191"/>
      <c r="C297" s="2491" t="s">
        <v>820</v>
      </c>
      <c r="D297" s="2491" t="n">
        <f aca="false">D294*D295</f>
        <v>20</v>
      </c>
      <c r="E297" s="1269"/>
      <c r="F297" s="1269"/>
      <c r="G297" s="1269"/>
      <c r="H297" s="2459"/>
      <c r="I297" s="2483"/>
      <c r="J297" s="2483"/>
      <c r="K297" s="1631"/>
      <c r="L297" s="1580"/>
      <c r="M297" s="1580"/>
      <c r="N297" s="1580"/>
      <c r="O297" s="1580"/>
      <c r="P297" s="1580"/>
      <c r="Q297" s="1580"/>
      <c r="R297" s="1580"/>
    </row>
    <row r="298" customFormat="false" ht="15.75" hidden="false" customHeight="false" outlineLevel="0" collapsed="false">
      <c r="A298" s="1191" t="s">
        <v>4029</v>
      </c>
      <c r="B298" s="1191"/>
      <c r="C298" s="2491" t="s">
        <v>1043</v>
      </c>
      <c r="D298" s="2491" t="n">
        <f aca="false">D294*D295*D296</f>
        <v>60</v>
      </c>
      <c r="E298" s="1269"/>
      <c r="F298" s="1269"/>
      <c r="G298" s="1269"/>
      <c r="H298" s="1269"/>
      <c r="I298" s="2483"/>
      <c r="J298" s="2483"/>
      <c r="K298" s="1631"/>
      <c r="L298" s="1580"/>
      <c r="M298" s="1580"/>
      <c r="N298" s="1580"/>
      <c r="O298" s="1580"/>
      <c r="P298" s="1580"/>
      <c r="Q298" s="1580"/>
      <c r="R298" s="1580"/>
    </row>
    <row r="299" customFormat="false" ht="15.75" hidden="false" customHeight="false" outlineLevel="0" collapsed="false">
      <c r="A299" s="2572" t="s">
        <v>4030</v>
      </c>
      <c r="B299" s="2572"/>
      <c r="C299" s="2491" t="s">
        <v>1043</v>
      </c>
      <c r="D299" s="2491" t="e">
        <f aca="false">(D294+D294+D295+D295)*D296*(D291*E291+D292*E292)</f>
        <v>#VALUE!</v>
      </c>
      <c r="E299" s="1269"/>
      <c r="F299" s="1269"/>
      <c r="G299" s="1269"/>
      <c r="H299" s="1269"/>
      <c r="I299" s="2483"/>
      <c r="J299" s="2483"/>
      <c r="K299" s="1631"/>
      <c r="L299" s="1580"/>
      <c r="M299" s="1580"/>
      <c r="N299" s="1580"/>
      <c r="O299" s="1580"/>
      <c r="P299" s="1580"/>
      <c r="Q299" s="1580"/>
      <c r="R299" s="1580"/>
    </row>
    <row r="300" customFormat="false" ht="15.75" hidden="false" customHeight="false" outlineLevel="0" collapsed="false">
      <c r="A300" s="1297" t="s">
        <v>46</v>
      </c>
      <c r="B300" s="1297"/>
      <c r="C300" s="2573" t="s">
        <v>12</v>
      </c>
      <c r="D300" s="2574" t="s">
        <v>200</v>
      </c>
      <c r="E300" s="2465" t="s">
        <v>118</v>
      </c>
      <c r="F300" s="2465" t="s">
        <v>200</v>
      </c>
      <c r="G300" s="1269"/>
      <c r="H300" s="1269"/>
      <c r="I300" s="2483"/>
      <c r="J300" s="2483"/>
      <c r="K300" s="1631"/>
      <c r="L300" s="1580"/>
      <c r="M300" s="1580"/>
      <c r="N300" s="1580"/>
      <c r="O300" s="1580"/>
      <c r="P300" s="1580"/>
      <c r="Q300" s="1580"/>
      <c r="R300" s="1580"/>
    </row>
    <row r="301" customFormat="false" ht="15.75" hidden="false" customHeight="false" outlineLevel="0" collapsed="false">
      <c r="A301" s="1304" t="s">
        <v>546</v>
      </c>
      <c r="B301" s="1304"/>
      <c r="C301" s="2476" t="s">
        <v>15</v>
      </c>
      <c r="D301" s="2469" t="n">
        <f aca="false">'Ввод данных'!C920</f>
        <v>3</v>
      </c>
      <c r="E301" s="2458" t="n">
        <f aca="false">'Ввод данных'!D920</f>
        <v>0</v>
      </c>
      <c r="F301" s="2491" t="n">
        <f aca="false">D301*E301</f>
        <v>0</v>
      </c>
      <c r="G301" s="2459"/>
      <c r="H301" s="2459"/>
      <c r="I301" s="2483"/>
      <c r="J301" s="2483"/>
      <c r="K301" s="1631"/>
      <c r="L301" s="1580"/>
      <c r="M301" s="1580"/>
      <c r="N301" s="1580"/>
      <c r="O301" s="1580"/>
      <c r="P301" s="1580"/>
      <c r="Q301" s="1580"/>
      <c r="R301" s="1580"/>
    </row>
    <row r="302" customFormat="false" ht="15.75" hidden="false" customHeight="false" outlineLevel="0" collapsed="false">
      <c r="A302" s="1304"/>
      <c r="B302" s="1304"/>
      <c r="C302" s="2476"/>
      <c r="D302" s="2469" t="n">
        <f aca="false">'Ввод данных'!C921</f>
        <v>1</v>
      </c>
      <c r="E302" s="2458" t="n">
        <f aca="false">'Ввод данных'!D921</f>
        <v>0</v>
      </c>
      <c r="F302" s="2491" t="n">
        <f aca="false">D302*E302</f>
        <v>0</v>
      </c>
      <c r="G302" s="2459"/>
      <c r="H302" s="2459"/>
      <c r="I302" s="2483"/>
      <c r="J302" s="2483"/>
      <c r="K302" s="1631"/>
      <c r="L302" s="1580"/>
      <c r="M302" s="1580"/>
      <c r="N302" s="1580"/>
      <c r="O302" s="1580"/>
      <c r="P302" s="1580"/>
      <c r="Q302" s="1580"/>
      <c r="R302" s="1580"/>
    </row>
    <row r="303" customFormat="false" ht="15.75" hidden="false" customHeight="false" outlineLevel="0" collapsed="false">
      <c r="A303" s="1304" t="s">
        <v>547</v>
      </c>
      <c r="B303" s="1304"/>
      <c r="C303" s="2476" t="s">
        <v>15</v>
      </c>
      <c r="D303" s="2469" t="n">
        <f aca="false">'Ввод данных'!C922</f>
        <v>0</v>
      </c>
      <c r="E303" s="2458" t="n">
        <f aca="false">'Ввод данных'!D922</f>
        <v>0</v>
      </c>
      <c r="F303" s="2491" t="n">
        <f aca="false">D303*E303</f>
        <v>0</v>
      </c>
      <c r="G303" s="2459"/>
      <c r="H303" s="2459"/>
      <c r="I303" s="2483"/>
      <c r="J303" s="2483"/>
      <c r="K303" s="1631"/>
      <c r="L303" s="1580"/>
      <c r="M303" s="1580"/>
      <c r="N303" s="1580"/>
      <c r="O303" s="1580"/>
      <c r="P303" s="1580"/>
      <c r="Q303" s="1580"/>
      <c r="R303" s="1580"/>
    </row>
    <row r="304" customFormat="false" ht="15.75" hidden="false" customHeight="false" outlineLevel="0" collapsed="false">
      <c r="A304" s="1304"/>
      <c r="B304" s="1304"/>
      <c r="C304" s="2476"/>
      <c r="D304" s="2469" t="n">
        <f aca="false">'Ввод данных'!C923</f>
        <v>0</v>
      </c>
      <c r="E304" s="2458" t="n">
        <f aca="false">'Ввод данных'!D923</f>
        <v>0</v>
      </c>
      <c r="F304" s="2491" t="n">
        <f aca="false">D304*E304</f>
        <v>0</v>
      </c>
      <c r="G304" s="2459"/>
      <c r="H304" s="2459"/>
      <c r="I304" s="2483"/>
      <c r="J304" s="2483"/>
      <c r="K304" s="1631"/>
      <c r="L304" s="1580"/>
      <c r="M304" s="1580"/>
      <c r="N304" s="1580"/>
      <c r="O304" s="1580"/>
      <c r="P304" s="1580"/>
      <c r="Q304" s="1580"/>
      <c r="R304" s="1580"/>
    </row>
    <row r="305" customFormat="false" ht="15.75" hidden="false" customHeight="false" outlineLevel="0" collapsed="false">
      <c r="A305" s="1413" t="s">
        <v>4031</v>
      </c>
      <c r="B305" s="1413"/>
      <c r="C305" s="1413"/>
      <c r="D305" s="1413"/>
      <c r="E305" s="1413"/>
      <c r="F305" s="2491" t="n">
        <f aca="false">SUM(F301:F304)</f>
        <v>0</v>
      </c>
      <c r="G305" s="2459"/>
      <c r="H305" s="2459"/>
      <c r="I305" s="2483"/>
      <c r="J305" s="2483"/>
      <c r="K305" s="1631"/>
      <c r="L305" s="1580"/>
      <c r="M305" s="1580"/>
      <c r="N305" s="1580"/>
      <c r="O305" s="1580"/>
      <c r="P305" s="1580"/>
      <c r="Q305" s="1580"/>
      <c r="R305" s="1580"/>
    </row>
    <row r="306" customFormat="false" ht="15.75" hidden="false" customHeight="false" outlineLevel="0" collapsed="false">
      <c r="A306" s="2495" t="s">
        <v>548</v>
      </c>
      <c r="B306" s="2495"/>
      <c r="C306" s="1365" t="s">
        <v>12</v>
      </c>
      <c r="D306" s="1365" t="s">
        <v>2779</v>
      </c>
      <c r="E306" s="1365" t="s">
        <v>2780</v>
      </c>
      <c r="F306" s="1365" t="s">
        <v>118</v>
      </c>
      <c r="G306" s="2465" t="s">
        <v>2749</v>
      </c>
      <c r="H306" s="2483"/>
      <c r="I306" s="1429"/>
      <c r="J306" s="2483"/>
      <c r="K306" s="1631"/>
      <c r="L306" s="1580"/>
      <c r="M306" s="1580"/>
      <c r="N306" s="1580"/>
      <c r="O306" s="1580"/>
      <c r="P306" s="1580"/>
      <c r="Q306" s="1580"/>
      <c r="R306" s="1580"/>
    </row>
    <row r="307" customFormat="false" ht="15.75" hidden="false" customHeight="false" outlineLevel="0" collapsed="false">
      <c r="A307" s="1304" t="s">
        <v>550</v>
      </c>
      <c r="B307" s="1304"/>
      <c r="C307" s="1304" t="s">
        <v>15</v>
      </c>
      <c r="D307" s="2469" t="n">
        <f aca="false">'Ввод данных'!C925</f>
        <v>0</v>
      </c>
      <c r="E307" s="2458" t="n">
        <f aca="false">'Ввод данных'!D925</f>
        <v>0</v>
      </c>
      <c r="F307" s="2467" t="n">
        <f aca="false">'Ввод данных'!E925</f>
        <v>0</v>
      </c>
      <c r="G307" s="1368" t="n">
        <f aca="false">D307*E307*F307</f>
        <v>0</v>
      </c>
      <c r="H307" s="2483"/>
      <c r="I307" s="1271"/>
      <c r="J307" s="2483"/>
      <c r="K307" s="1631"/>
      <c r="L307" s="1580"/>
      <c r="M307" s="1580"/>
      <c r="N307" s="1580"/>
      <c r="O307" s="1580"/>
      <c r="P307" s="1580"/>
      <c r="Q307" s="1580"/>
      <c r="R307" s="1580"/>
    </row>
    <row r="308" customFormat="false" ht="15.75" hidden="false" customHeight="false" outlineLevel="0" collapsed="false">
      <c r="A308" s="1304"/>
      <c r="B308" s="1304"/>
      <c r="C308" s="1304" t="s">
        <v>15</v>
      </c>
      <c r="D308" s="2469" t="n">
        <f aca="false">'Ввод данных'!C926</f>
        <v>0</v>
      </c>
      <c r="E308" s="2458" t="n">
        <f aca="false">'Ввод данных'!D926</f>
        <v>0</v>
      </c>
      <c r="F308" s="2467" t="n">
        <f aca="false">'Ввод данных'!E926</f>
        <v>0</v>
      </c>
      <c r="G308" s="1368" t="n">
        <f aca="false">D308*E308*F308</f>
        <v>0</v>
      </c>
      <c r="H308" s="2483"/>
      <c r="I308" s="1429"/>
      <c r="J308" s="2483"/>
      <c r="K308" s="1631"/>
      <c r="L308" s="1580"/>
      <c r="M308" s="1580"/>
      <c r="N308" s="1580"/>
      <c r="O308" s="1580"/>
      <c r="P308" s="1580"/>
      <c r="Q308" s="1580"/>
      <c r="R308" s="1580"/>
    </row>
    <row r="309" customFormat="false" ht="15.75" hidden="false" customHeight="false" outlineLevel="0" collapsed="false">
      <c r="A309" s="1304"/>
      <c r="B309" s="1304"/>
      <c r="C309" s="1304" t="s">
        <v>15</v>
      </c>
      <c r="D309" s="2469" t="n">
        <f aca="false">'Ввод данных'!C927</f>
        <v>0</v>
      </c>
      <c r="E309" s="2458" t="n">
        <f aca="false">'Ввод данных'!D927</f>
        <v>0</v>
      </c>
      <c r="F309" s="2467" t="n">
        <f aca="false">'Ввод данных'!E927</f>
        <v>0</v>
      </c>
      <c r="G309" s="1368" t="n">
        <f aca="false">D309*E309*F309</f>
        <v>0</v>
      </c>
      <c r="H309" s="2537"/>
      <c r="I309" s="1429"/>
      <c r="J309" s="1619"/>
      <c r="K309" s="1631"/>
      <c r="L309" s="1580"/>
      <c r="M309" s="1580"/>
      <c r="N309" s="1580"/>
      <c r="O309" s="1580"/>
      <c r="P309" s="1580"/>
      <c r="Q309" s="1580"/>
      <c r="R309" s="1580"/>
    </row>
    <row r="310" customFormat="false" ht="15.75" hidden="false" customHeight="false" outlineLevel="0" collapsed="false">
      <c r="A310" s="1401" t="s">
        <v>551</v>
      </c>
      <c r="B310" s="1401"/>
      <c r="C310" s="1304" t="s">
        <v>15</v>
      </c>
      <c r="D310" s="2469" t="n">
        <f aca="false">'Ввод данных'!C928</f>
        <v>1</v>
      </c>
      <c r="E310" s="2458" t="n">
        <f aca="false">'Ввод данных'!D928</f>
        <v>2</v>
      </c>
      <c r="F310" s="2467" t="n">
        <f aca="false">'Ввод данных'!E928</f>
        <v>0</v>
      </c>
      <c r="G310" s="1368" t="n">
        <f aca="false">D310*E310*F310</f>
        <v>0</v>
      </c>
      <c r="H310" s="1311"/>
      <c r="I310" s="1429"/>
      <c r="J310" s="1311"/>
      <c r="K310" s="1631"/>
      <c r="L310" s="1580"/>
      <c r="M310" s="1580"/>
      <c r="N310" s="1580"/>
      <c r="O310" s="1580"/>
      <c r="P310" s="1580"/>
      <c r="Q310" s="1580"/>
      <c r="R310" s="1580"/>
    </row>
    <row r="311" customFormat="false" ht="15.75" hidden="false" customHeight="false" outlineLevel="0" collapsed="false">
      <c r="A311" s="1401"/>
      <c r="B311" s="1401"/>
      <c r="C311" s="1304" t="s">
        <v>15</v>
      </c>
      <c r="D311" s="2469" t="n">
        <f aca="false">'Ввод данных'!C929</f>
        <v>0</v>
      </c>
      <c r="E311" s="2458" t="n">
        <f aca="false">'Ввод данных'!D929</f>
        <v>2.7</v>
      </c>
      <c r="F311" s="2467" t="n">
        <f aca="false">'Ввод данных'!E929</f>
        <v>0</v>
      </c>
      <c r="G311" s="1368" t="n">
        <f aca="false">D311*E311*F311</f>
        <v>0</v>
      </c>
      <c r="H311" s="2537"/>
      <c r="I311" s="1429"/>
      <c r="J311" s="1619"/>
      <c r="K311" s="1631"/>
      <c r="L311" s="1580"/>
      <c r="M311" s="1580"/>
      <c r="N311" s="1580"/>
      <c r="O311" s="1580"/>
      <c r="P311" s="1580"/>
      <c r="Q311" s="1580"/>
      <c r="R311" s="1580"/>
    </row>
    <row r="312" customFormat="false" ht="15.75" hidden="false" customHeight="false" outlineLevel="0" collapsed="false">
      <c r="A312" s="1413" t="s">
        <v>553</v>
      </c>
      <c r="B312" s="1413"/>
      <c r="C312" s="1334" t="s">
        <v>15</v>
      </c>
      <c r="D312" s="2469" t="n">
        <f aca="false">'Ввод данных'!C930</f>
        <v>2</v>
      </c>
      <c r="E312" s="2458" t="n">
        <f aca="false">'Ввод данных'!D930</f>
        <v>2</v>
      </c>
      <c r="F312" s="2467" t="n">
        <f aca="false">'Ввод данных'!E930</f>
        <v>0</v>
      </c>
      <c r="G312" s="1176" t="n">
        <f aca="false">D312*E312*F312</f>
        <v>0</v>
      </c>
      <c r="H312" s="2538" t="e">
        <f aca="false">'ввод данных'!#ref!</f>
        <v>#VALUE!</v>
      </c>
      <c r="I312" s="1619" t="s">
        <v>4005</v>
      </c>
      <c r="J312" s="1619"/>
      <c r="K312" s="1631"/>
      <c r="L312" s="1580"/>
      <c r="M312" s="1580"/>
      <c r="N312" s="1580"/>
      <c r="O312" s="1580"/>
      <c r="P312" s="1580"/>
      <c r="Q312" s="1580"/>
      <c r="R312" s="1580"/>
    </row>
    <row r="313" customFormat="false" ht="15.75" hidden="false" customHeight="false" outlineLevel="0" collapsed="false">
      <c r="A313" s="1310" t="s">
        <v>4032</v>
      </c>
      <c r="B313" s="1310"/>
      <c r="C313" s="1176" t="s">
        <v>820</v>
      </c>
      <c r="D313" s="1176" t="n">
        <f aca="false">G307+G308+G309+G310+G311</f>
        <v>0</v>
      </c>
      <c r="E313" s="1311"/>
      <c r="F313" s="1311"/>
      <c r="G313" s="1311"/>
      <c r="H313" s="1311"/>
      <c r="I313" s="1311"/>
      <c r="J313" s="1619"/>
      <c r="K313" s="1631"/>
      <c r="L313" s="1580"/>
      <c r="M313" s="1580"/>
      <c r="N313" s="1580"/>
      <c r="O313" s="1580"/>
      <c r="P313" s="1580"/>
      <c r="Q313" s="1580"/>
      <c r="R313" s="1580"/>
    </row>
    <row r="314" customFormat="false" ht="15.75" hidden="false" customHeight="false" outlineLevel="0" collapsed="false">
      <c r="A314" s="1799" t="s">
        <v>4033</v>
      </c>
      <c r="B314" s="1799"/>
      <c r="C314" s="1344" t="s">
        <v>1043</v>
      </c>
      <c r="D314" s="1344" t="e">
        <f aca="false">D313*(D291*E291+D292*E292)</f>
        <v>#VALUE!</v>
      </c>
      <c r="E314" s="1417"/>
      <c r="F314" s="1417"/>
      <c r="G314" s="1271"/>
      <c r="H314" s="2537"/>
      <c r="I314" s="1429"/>
      <c r="J314" s="1619"/>
      <c r="K314" s="1631"/>
      <c r="L314" s="1580"/>
      <c r="M314" s="1580"/>
      <c r="N314" s="1580"/>
      <c r="O314" s="1580"/>
      <c r="P314" s="1580"/>
      <c r="Q314" s="1580"/>
      <c r="R314" s="1580"/>
    </row>
    <row r="315" customFormat="false" ht="15.75" hidden="false" customHeight="false" outlineLevel="0" collapsed="false">
      <c r="A315" s="1310" t="s">
        <v>4034</v>
      </c>
      <c r="B315" s="1310"/>
      <c r="C315" s="1176" t="s">
        <v>1043</v>
      </c>
      <c r="D315" s="1604" t="e">
        <f aca="false">D299-D314</f>
        <v>#VALUE!</v>
      </c>
      <c r="E315" s="1311"/>
      <c r="F315" s="1311"/>
      <c r="G315" s="1311"/>
      <c r="H315" s="1311"/>
      <c r="I315" s="1311"/>
      <c r="J315" s="1619"/>
      <c r="K315" s="1631"/>
      <c r="L315" s="1580"/>
      <c r="M315" s="1580"/>
      <c r="N315" s="1580"/>
      <c r="O315" s="1580"/>
      <c r="P315" s="1580"/>
      <c r="Q315" s="1580"/>
      <c r="R315" s="1580"/>
    </row>
    <row r="316" customFormat="false" ht="15.75" hidden="false" customHeight="false" outlineLevel="0" collapsed="false">
      <c r="A316" s="2488" t="s">
        <v>2833</v>
      </c>
      <c r="B316" s="2488"/>
      <c r="C316" s="2488"/>
      <c r="D316" s="2488"/>
      <c r="E316" s="2458"/>
      <c r="F316" s="2459" t="s">
        <v>3715</v>
      </c>
      <c r="G316" s="1311"/>
      <c r="H316" s="1311"/>
      <c r="I316" s="1311"/>
      <c r="J316" s="1619"/>
      <c r="K316" s="1631"/>
      <c r="L316" s="1580"/>
      <c r="M316" s="1580"/>
      <c r="N316" s="1580"/>
      <c r="O316" s="1580"/>
      <c r="P316" s="1580"/>
      <c r="Q316" s="1580"/>
      <c r="R316" s="1580"/>
    </row>
    <row r="317" customFormat="false" ht="15.75" hidden="false" customHeight="false" outlineLevel="0" collapsed="false">
      <c r="A317" s="1191" t="s">
        <v>2773</v>
      </c>
      <c r="B317" s="1191"/>
      <c r="C317" s="2489" t="s">
        <v>15</v>
      </c>
      <c r="D317" s="2562" t="n">
        <f aca="false">D294*2+D295*2+F305</f>
        <v>18</v>
      </c>
      <c r="E317" s="2459"/>
      <c r="F317" s="1631"/>
      <c r="G317" s="1271"/>
      <c r="H317" s="2537"/>
      <c r="I317" s="1429"/>
      <c r="J317" s="1619"/>
      <c r="K317" s="1631"/>
      <c r="L317" s="1580"/>
      <c r="M317" s="1580"/>
      <c r="N317" s="1580"/>
      <c r="O317" s="1580"/>
      <c r="P317" s="1580"/>
      <c r="Q317" s="1580"/>
      <c r="R317" s="1580"/>
    </row>
    <row r="318" customFormat="false" ht="15.75" hidden="false" customHeight="false" outlineLevel="0" collapsed="false">
      <c r="A318" s="1191" t="s">
        <v>3571</v>
      </c>
      <c r="B318" s="1191"/>
      <c r="C318" s="2575" t="s">
        <v>820</v>
      </c>
      <c r="D318" s="2576" t="n">
        <f aca="false">D294*D295</f>
        <v>20</v>
      </c>
      <c r="E318" s="2459"/>
      <c r="F318" s="1631"/>
      <c r="G318" s="1271"/>
      <c r="H318" s="2537"/>
      <c r="I318" s="1429"/>
      <c r="J318" s="1619"/>
      <c r="K318" s="1631"/>
      <c r="L318" s="1580"/>
      <c r="M318" s="1580"/>
      <c r="N318" s="1580"/>
      <c r="O318" s="1580"/>
      <c r="P318" s="1580"/>
      <c r="Q318" s="1580"/>
      <c r="R318" s="1580"/>
    </row>
    <row r="319" customFormat="false" ht="15.75" hidden="false" customHeight="false" outlineLevel="0" collapsed="false">
      <c r="A319" s="1310" t="s">
        <v>4035</v>
      </c>
      <c r="B319" s="1310"/>
      <c r="C319" s="1334" t="s">
        <v>820</v>
      </c>
      <c r="D319" s="1672" t="e">
        <f aca="false">D317*(D291*E291+D292*E292)</f>
        <v>#VALUE!</v>
      </c>
      <c r="E319" s="1631"/>
      <c r="F319" s="1631"/>
      <c r="G319" s="1271"/>
      <c r="H319" s="2537"/>
      <c r="I319" s="1429"/>
      <c r="J319" s="1619"/>
      <c r="K319" s="1631"/>
      <c r="L319" s="1580"/>
      <c r="M319" s="1580"/>
      <c r="N319" s="1580"/>
      <c r="O319" s="1580"/>
      <c r="P319" s="1580"/>
      <c r="Q319" s="1580"/>
      <c r="R319" s="1580"/>
    </row>
    <row r="320" customFormat="false" ht="15.75" hidden="false" customHeight="false" outlineLevel="0" collapsed="false">
      <c r="A320" s="1799" t="s">
        <v>4036</v>
      </c>
      <c r="B320" s="1799"/>
      <c r="C320" s="1294" t="s">
        <v>820</v>
      </c>
      <c r="D320" s="1672" t="e">
        <f aca="false">D297-D319</f>
        <v>#VALUE!</v>
      </c>
      <c r="E320" s="1631"/>
      <c r="F320" s="1631"/>
      <c r="G320" s="1271"/>
      <c r="H320" s="2537"/>
      <c r="I320" s="1429"/>
      <c r="J320" s="1619"/>
      <c r="K320" s="1631"/>
      <c r="L320" s="1580"/>
      <c r="M320" s="1580"/>
      <c r="N320" s="1580"/>
      <c r="O320" s="1580"/>
      <c r="P320" s="1580"/>
      <c r="Q320" s="1580"/>
      <c r="R320" s="1580"/>
    </row>
    <row r="321" customFormat="false" ht="15.75" hidden="false" customHeight="false" outlineLevel="0" collapsed="false">
      <c r="A321" s="2577" t="s">
        <v>4037</v>
      </c>
      <c r="B321" s="2577"/>
      <c r="C321" s="2577"/>
      <c r="D321" s="2577"/>
      <c r="E321" s="2577"/>
      <c r="F321" s="2577"/>
      <c r="G321" s="2577"/>
      <c r="H321" s="2577"/>
      <c r="I321" s="2577"/>
      <c r="J321" s="2577"/>
      <c r="K321" s="2577"/>
      <c r="L321" s="2578"/>
      <c r="M321" s="1580"/>
      <c r="N321" s="1580"/>
      <c r="O321" s="1580"/>
      <c r="P321" s="1580"/>
      <c r="Q321" s="1580"/>
      <c r="R321" s="1580"/>
    </row>
    <row r="322" customFormat="false" ht="15.75" hidden="false" customHeight="false" outlineLevel="0" collapsed="false">
      <c r="A322" s="2577"/>
      <c r="B322" s="2577"/>
      <c r="C322" s="2577"/>
      <c r="D322" s="2577"/>
      <c r="E322" s="2577"/>
      <c r="F322" s="2577"/>
      <c r="G322" s="2577"/>
      <c r="H322" s="2577"/>
      <c r="I322" s="2577"/>
      <c r="J322" s="2577"/>
      <c r="K322" s="2577"/>
      <c r="L322" s="2578"/>
      <c r="M322" s="1580"/>
      <c r="N322" s="1580"/>
      <c r="O322" s="1580"/>
      <c r="P322" s="1580"/>
      <c r="Q322" s="1580"/>
      <c r="R322" s="1580"/>
    </row>
    <row r="323" customFormat="false" ht="15.75" hidden="false" customHeight="true" outlineLevel="0" collapsed="false">
      <c r="A323" s="2579" t="s">
        <v>3717</v>
      </c>
      <c r="B323" s="2579"/>
      <c r="C323" s="2579"/>
      <c r="D323" s="2579"/>
      <c r="E323" s="2579"/>
      <c r="F323" s="2579"/>
      <c r="G323" s="2579" t="s">
        <v>3718</v>
      </c>
      <c r="H323" s="2579"/>
      <c r="I323" s="2579"/>
      <c r="J323" s="2579"/>
      <c r="K323" s="2579"/>
      <c r="L323" s="2579"/>
      <c r="M323" s="1580"/>
      <c r="N323" s="1580"/>
      <c r="O323" s="1580"/>
      <c r="P323" s="1580"/>
      <c r="Q323" s="1580"/>
      <c r="R323" s="1580"/>
    </row>
    <row r="324" customFormat="false" ht="47.25" hidden="false" customHeight="false" outlineLevel="0" collapsed="false">
      <c r="A324" s="2580" t="s">
        <v>2108</v>
      </c>
      <c r="B324" s="2581" t="s">
        <v>116</v>
      </c>
      <c r="C324" s="2582" t="s">
        <v>137</v>
      </c>
      <c r="D324" s="2582" t="s">
        <v>118</v>
      </c>
      <c r="E324" s="2581"/>
      <c r="F324" s="2582" t="s">
        <v>3719</v>
      </c>
      <c r="G324" s="2582" t="s">
        <v>2791</v>
      </c>
      <c r="H324" s="2581" t="s">
        <v>116</v>
      </c>
      <c r="I324" s="2581" t="s">
        <v>137</v>
      </c>
      <c r="J324" s="2581" t="s">
        <v>118</v>
      </c>
      <c r="K324" s="2581"/>
      <c r="L324" s="2581" t="s">
        <v>3721</v>
      </c>
      <c r="M324" s="2583"/>
      <c r="N324" s="1580"/>
      <c r="O324" s="1580"/>
      <c r="P324" s="1580"/>
      <c r="Q324" s="1580"/>
      <c r="R324" s="1580"/>
    </row>
    <row r="325" customFormat="false" ht="31.5" hidden="false" customHeight="false" outlineLevel="0" collapsed="false">
      <c r="A325" s="876" t="s">
        <v>3047</v>
      </c>
      <c r="B325" s="2584" t="n">
        <f aca="false">дома!B1290</f>
        <v>1</v>
      </c>
      <c r="C325" s="2585" t="n">
        <f aca="false">дома!C1290</f>
        <v>1.2</v>
      </c>
      <c r="D325" s="2585" t="n">
        <f aca="false">дома!D1290</f>
        <v>1</v>
      </c>
      <c r="E325" s="837"/>
      <c r="F325" s="2586" t="n">
        <f aca="false">B325*C325*D325</f>
        <v>1.2</v>
      </c>
      <c r="G325" s="2586" t="s">
        <v>3047</v>
      </c>
      <c r="H325" s="2584" t="n">
        <f aca="false">дома!I1290</f>
        <v>0.8</v>
      </c>
      <c r="I325" s="2584" t="n">
        <f aca="false">дома!J1290</f>
        <v>2.1</v>
      </c>
      <c r="J325" s="2584" t="n">
        <f aca="false">дома!K1290</f>
        <v>3</v>
      </c>
      <c r="K325" s="837"/>
      <c r="L325" s="837" t="n">
        <f aca="false">H325*I325*J325</f>
        <v>5.04</v>
      </c>
      <c r="M325" s="2583"/>
      <c r="N325" s="1580"/>
      <c r="O325" s="1580"/>
      <c r="P325" s="1580"/>
      <c r="Q325" s="1580"/>
      <c r="R325" s="1580"/>
    </row>
    <row r="326" customFormat="false" ht="31.5" hidden="false" customHeight="false" outlineLevel="0" collapsed="false">
      <c r="A326" s="876" t="s">
        <v>3048</v>
      </c>
      <c r="B326" s="2584" t="n">
        <f aca="false">дома!B1291</f>
        <v>0.6</v>
      </c>
      <c r="C326" s="2585" t="n">
        <f aca="false">дома!C1291</f>
        <v>0.6</v>
      </c>
      <c r="D326" s="2585" t="n">
        <f aca="false">дома!D1291</f>
        <v>0</v>
      </c>
      <c r="E326" s="837"/>
      <c r="F326" s="2586" t="n">
        <f aca="false">B326*C326*D326</f>
        <v>0</v>
      </c>
      <c r="G326" s="2586" t="s">
        <v>3048</v>
      </c>
      <c r="H326" s="2584" t="n">
        <f aca="false">дома!I1291</f>
        <v>0.6</v>
      </c>
      <c r="I326" s="2584" t="n">
        <f aca="false">дома!J1291</f>
        <v>2</v>
      </c>
      <c r="J326" s="2584" t="n">
        <f aca="false">дома!K1291</f>
        <v>0</v>
      </c>
      <c r="K326" s="837"/>
      <c r="L326" s="837" t="n">
        <f aca="false">H326*I326*J326</f>
        <v>0</v>
      </c>
      <c r="M326" s="2583"/>
      <c r="N326" s="1580"/>
      <c r="O326" s="1580"/>
      <c r="P326" s="1580"/>
      <c r="Q326" s="1580"/>
      <c r="R326" s="1580"/>
    </row>
    <row r="327" customFormat="false" ht="31.5" hidden="false" customHeight="false" outlineLevel="0" collapsed="false">
      <c r="A327" s="876" t="s">
        <v>3049</v>
      </c>
      <c r="B327" s="2584" t="n">
        <f aca="false">дома!B1292</f>
        <v>1</v>
      </c>
      <c r="C327" s="2585" t="n">
        <f aca="false">дома!C1292</f>
        <v>2</v>
      </c>
      <c r="D327" s="2585" t="n">
        <f aca="false">дома!D1292</f>
        <v>0</v>
      </c>
      <c r="E327" s="837"/>
      <c r="F327" s="2586" t="n">
        <f aca="false">B327*C327*D327</f>
        <v>0</v>
      </c>
      <c r="G327" s="2586" t="s">
        <v>3049</v>
      </c>
      <c r="H327" s="2584" t="n">
        <f aca="false">дома!I1292</f>
        <v>2</v>
      </c>
      <c r="I327" s="2584" t="n">
        <f aca="false">дома!J1292</f>
        <v>2.3</v>
      </c>
      <c r="J327" s="2584" t="n">
        <f aca="false">дома!K1292</f>
        <v>0</v>
      </c>
      <c r="K327" s="837"/>
      <c r="L327" s="837" t="n">
        <f aca="false">H327*I327*J327</f>
        <v>0</v>
      </c>
      <c r="M327" s="912"/>
      <c r="N327" s="1580"/>
      <c r="O327" s="1580"/>
      <c r="P327" s="1580"/>
      <c r="Q327" s="1580"/>
      <c r="R327" s="1580"/>
    </row>
    <row r="328" customFormat="false" ht="15.75" hidden="false" customHeight="false" outlineLevel="0" collapsed="false">
      <c r="A328" s="876" t="s">
        <v>4038</v>
      </c>
      <c r="B328" s="2584" t="n">
        <f aca="false">дома!B1293</f>
        <v>0.6</v>
      </c>
      <c r="C328" s="2585" t="n">
        <f aca="false">дома!C1293</f>
        <v>1.5</v>
      </c>
      <c r="D328" s="2585" t="n">
        <f aca="false">дома!D1293</f>
        <v>0</v>
      </c>
      <c r="E328" s="837"/>
      <c r="F328" s="2586" t="n">
        <f aca="false">B328*C328*D328</f>
        <v>0</v>
      </c>
      <c r="G328" s="2586"/>
      <c r="H328" s="2584" t="n">
        <f aca="false">дома!I1293</f>
        <v>0.9</v>
      </c>
      <c r="I328" s="2584" t="n">
        <f aca="false">дома!J1293</f>
        <v>2.1</v>
      </c>
      <c r="J328" s="2584" t="n">
        <f aca="false">дома!K1293</f>
        <v>0</v>
      </c>
      <c r="K328" s="837"/>
      <c r="L328" s="837" t="n">
        <f aca="false">H328*I328*J328</f>
        <v>0</v>
      </c>
      <c r="M328" s="912"/>
      <c r="N328" s="1580"/>
      <c r="O328" s="1580"/>
      <c r="P328" s="1580"/>
      <c r="Q328" s="1580"/>
      <c r="R328" s="1580"/>
    </row>
    <row r="329" customFormat="false" ht="15.75" hidden="false" customHeight="false" outlineLevel="0" collapsed="false">
      <c r="A329" s="876"/>
      <c r="B329" s="2584" t="n">
        <f aca="false">дома!B59</f>
        <v>2</v>
      </c>
      <c r="C329" s="2585" t="n">
        <f aca="false">дома!C59</f>
        <v>2</v>
      </c>
      <c r="D329" s="2585" t="n">
        <f aca="false">дома!D59</f>
        <v>0</v>
      </c>
      <c r="E329" s="837"/>
      <c r="F329" s="2586" t="n">
        <f aca="false">B329*C329*D329</f>
        <v>0</v>
      </c>
      <c r="G329" s="2586"/>
      <c r="H329" s="2584"/>
      <c r="I329" s="2584"/>
      <c r="J329" s="2584"/>
      <c r="K329" s="837"/>
      <c r="L329" s="837"/>
      <c r="M329" s="912"/>
      <c r="N329" s="1580"/>
      <c r="O329" s="1580"/>
      <c r="P329" s="1580"/>
      <c r="Q329" s="1580"/>
      <c r="R329" s="1580"/>
    </row>
    <row r="330" customFormat="false" ht="15.75" hidden="false" customHeight="false" outlineLevel="0" collapsed="false">
      <c r="A330" s="876"/>
      <c r="B330" s="2584" t="n">
        <f aca="false">дома!B60</f>
        <v>0</v>
      </c>
      <c r="C330" s="2585" t="n">
        <f aca="false">дома!C60</f>
        <v>3</v>
      </c>
      <c r="D330" s="2585" t="n">
        <f aca="false">дома!D60</f>
        <v>0</v>
      </c>
      <c r="E330" s="837"/>
      <c r="F330" s="2586" t="n">
        <f aca="false">B330*C330*D330</f>
        <v>0</v>
      </c>
      <c r="G330" s="2586"/>
      <c r="H330" s="2584"/>
      <c r="I330" s="2584"/>
      <c r="J330" s="2584"/>
      <c r="K330" s="837"/>
      <c r="L330" s="837"/>
      <c r="M330" s="912"/>
      <c r="N330" s="1580"/>
      <c r="O330" s="1580"/>
      <c r="P330" s="1580"/>
      <c r="Q330" s="1580"/>
      <c r="R330" s="1580"/>
    </row>
    <row r="331" customFormat="false" ht="15.75" hidden="false" customHeight="false" outlineLevel="0" collapsed="false">
      <c r="A331" s="740" t="s">
        <v>3722</v>
      </c>
      <c r="B331" s="740"/>
      <c r="C331" s="740"/>
      <c r="D331" s="740"/>
      <c r="E331" s="740"/>
      <c r="F331" s="2586" t="n">
        <f aca="false">F325+F326+F327</f>
        <v>1.2</v>
      </c>
      <c r="G331" s="740" t="s">
        <v>4039</v>
      </c>
      <c r="H331" s="740"/>
      <c r="I331" s="740"/>
      <c r="J331" s="740"/>
      <c r="K331" s="740"/>
      <c r="L331" s="837" t="n">
        <f aca="false">SUM(L325:L327)</f>
        <v>5.04</v>
      </c>
      <c r="M331" s="916"/>
      <c r="N331" s="1580"/>
      <c r="O331" s="1580"/>
      <c r="P331" s="1580"/>
      <c r="Q331" s="1580"/>
      <c r="R331" s="1580"/>
    </row>
    <row r="332" customFormat="false" ht="47.25" hidden="false" customHeight="false" outlineLevel="0" collapsed="false">
      <c r="A332" s="2580" t="s">
        <v>364</v>
      </c>
      <c r="B332" s="2581" t="s">
        <v>1097</v>
      </c>
      <c r="C332" s="2582" t="s">
        <v>1149</v>
      </c>
      <c r="D332" s="2582" t="s">
        <v>118</v>
      </c>
      <c r="E332" s="2581"/>
      <c r="F332" s="2582" t="s">
        <v>3729</v>
      </c>
      <c r="G332" s="2582" t="s">
        <v>1839</v>
      </c>
      <c r="H332" s="2581" t="s">
        <v>116</v>
      </c>
      <c r="I332" s="2581" t="s">
        <v>137</v>
      </c>
      <c r="J332" s="2581" t="s">
        <v>118</v>
      </c>
      <c r="K332" s="2581"/>
      <c r="L332" s="2581" t="s">
        <v>3721</v>
      </c>
      <c r="M332" s="912"/>
      <c r="N332" s="1580"/>
      <c r="O332" s="1580"/>
      <c r="P332" s="1580"/>
      <c r="Q332" s="1580"/>
      <c r="R332" s="1580"/>
    </row>
    <row r="333" customFormat="false" ht="31.5" hidden="false" customHeight="false" outlineLevel="0" collapsed="false">
      <c r="A333" s="767" t="s">
        <v>364</v>
      </c>
      <c r="B333" s="2584" t="n">
        <v>4</v>
      </c>
      <c r="C333" s="2585" t="n">
        <v>0.9</v>
      </c>
      <c r="D333" s="2585" t="n">
        <v>1</v>
      </c>
      <c r="E333" s="2584"/>
      <c r="F333" s="2586" t="n">
        <f aca="false">B333*C333*D333</f>
        <v>3.6</v>
      </c>
      <c r="G333" s="2586" t="s">
        <v>3730</v>
      </c>
      <c r="H333" s="2584" t="n">
        <f aca="false">дома!I1312</f>
        <v>0.8</v>
      </c>
      <c r="I333" s="2584" t="n">
        <f aca="false">дома!J1312</f>
        <v>2</v>
      </c>
      <c r="J333" s="2584" t="n">
        <f aca="false">дома!K1312</f>
        <v>0</v>
      </c>
      <c r="K333" s="837"/>
      <c r="L333" s="837" t="n">
        <f aca="false">H333*I333*J333</f>
        <v>0</v>
      </c>
      <c r="M333" s="916"/>
      <c r="N333" s="1580"/>
      <c r="O333" s="1580"/>
      <c r="P333" s="1580"/>
      <c r="Q333" s="1580"/>
      <c r="R333" s="1580"/>
    </row>
    <row r="334" customFormat="false" ht="31.5" hidden="false" customHeight="false" outlineLevel="0" collapsed="false">
      <c r="A334" s="767"/>
      <c r="B334" s="2587"/>
      <c r="C334" s="2588"/>
      <c r="D334" s="2588"/>
      <c r="E334" s="2587"/>
      <c r="F334" s="2586"/>
      <c r="G334" s="2586" t="s">
        <v>918</v>
      </c>
      <c r="H334" s="2584" t="n">
        <f aca="false">дома!I1313</f>
        <v>0.9</v>
      </c>
      <c r="I334" s="2584" t="n">
        <f aca="false">дома!J1313</f>
        <v>2.1</v>
      </c>
      <c r="J334" s="2584" t="n">
        <f aca="false">дома!K1313</f>
        <v>1</v>
      </c>
      <c r="K334" s="837"/>
      <c r="L334" s="837" t="n">
        <f aca="false">H334*I334*J334</f>
        <v>1.89</v>
      </c>
      <c r="M334" s="916"/>
      <c r="N334" s="1580"/>
      <c r="O334" s="1580"/>
      <c r="P334" s="1580"/>
      <c r="Q334" s="1580"/>
      <c r="R334" s="1580"/>
    </row>
    <row r="335" customFormat="false" ht="15.75" hidden="false" customHeight="false" outlineLevel="0" collapsed="false">
      <c r="A335" s="767"/>
      <c r="B335" s="2587"/>
      <c r="C335" s="2588"/>
      <c r="D335" s="2588"/>
      <c r="E335" s="2587"/>
      <c r="F335" s="2586"/>
      <c r="G335" s="2586"/>
      <c r="H335" s="2584" t="n">
        <f aca="false">дома!I1314</f>
        <v>1</v>
      </c>
      <c r="I335" s="2584" t="n">
        <f aca="false">дома!J1314</f>
        <v>2</v>
      </c>
      <c r="J335" s="2584" t="n">
        <f aca="false">дома!K1314</f>
        <v>0</v>
      </c>
      <c r="K335" s="837"/>
      <c r="L335" s="837" t="n">
        <f aca="false">H335*I335*J335</f>
        <v>0</v>
      </c>
      <c r="M335" s="916"/>
      <c r="N335" s="1580"/>
      <c r="O335" s="1580"/>
      <c r="P335" s="1580"/>
      <c r="Q335" s="1580"/>
      <c r="R335" s="1580"/>
    </row>
    <row r="336" customFormat="false" ht="15.75" hidden="false" customHeight="false" outlineLevel="0" collapsed="false">
      <c r="A336" s="894" t="s">
        <v>3731</v>
      </c>
      <c r="B336" s="894"/>
      <c r="C336" s="894"/>
      <c r="D336" s="894"/>
      <c r="E336" s="894"/>
      <c r="F336" s="2588" t="n">
        <f aca="false">F333</f>
        <v>3.6</v>
      </c>
      <c r="G336" s="740" t="s">
        <v>3732</v>
      </c>
      <c r="H336" s="740"/>
      <c r="I336" s="740"/>
      <c r="J336" s="740"/>
      <c r="K336" s="740"/>
      <c r="L336" s="837" t="n">
        <f aca="false">SUM(L333:L335)</f>
        <v>1.89</v>
      </c>
      <c r="M336" s="916"/>
      <c r="N336" s="2589"/>
      <c r="O336" s="2589"/>
      <c r="P336" s="2589"/>
      <c r="Q336" s="2589"/>
      <c r="R336" s="2589"/>
    </row>
    <row r="337" customFormat="false" ht="15.75" hidden="false" customHeight="false" outlineLevel="0" collapsed="false">
      <c r="A337" s="2590"/>
      <c r="B337" s="2590"/>
      <c r="C337" s="2591"/>
      <c r="D337" s="2591"/>
      <c r="E337" s="2590"/>
      <c r="F337" s="2592"/>
      <c r="G337" s="2593"/>
      <c r="H337" s="2594"/>
      <c r="I337" s="2594"/>
      <c r="J337" s="2594"/>
      <c r="K337" s="2594"/>
      <c r="L337" s="2595"/>
      <c r="M337" s="916"/>
      <c r="N337" s="2595"/>
      <c r="O337" s="2595"/>
      <c r="P337" s="2595"/>
      <c r="Q337" s="2595"/>
      <c r="R337" s="2595"/>
    </row>
    <row r="338" customFormat="false" ht="15.75" hidden="false" customHeight="true" outlineLevel="0" collapsed="false">
      <c r="A338" s="2579" t="s">
        <v>3734</v>
      </c>
      <c r="B338" s="2579"/>
      <c r="C338" s="2579"/>
      <c r="D338" s="2579"/>
      <c r="E338" s="2579"/>
      <c r="F338" s="2579"/>
      <c r="G338" s="2579"/>
      <c r="H338" s="2579"/>
      <c r="I338" s="2579"/>
      <c r="J338" s="2594"/>
      <c r="K338" s="2594"/>
      <c r="L338" s="2595"/>
      <c r="M338" s="916"/>
      <c r="N338" s="2595"/>
      <c r="O338" s="2595"/>
      <c r="P338" s="2595"/>
      <c r="Q338" s="2595"/>
      <c r="R338" s="2595"/>
    </row>
    <row r="339" customFormat="false" ht="47.25" hidden="false" customHeight="true" outlineLevel="0" collapsed="false">
      <c r="A339" s="2580" t="s">
        <v>46</v>
      </c>
      <c r="B339" s="2581" t="s">
        <v>2406</v>
      </c>
      <c r="C339" s="2582" t="s">
        <v>116</v>
      </c>
      <c r="D339" s="2582" t="s">
        <v>200</v>
      </c>
      <c r="E339" s="2581" t="s">
        <v>293</v>
      </c>
      <c r="F339" s="2582" t="s">
        <v>235</v>
      </c>
      <c r="G339" s="2596" t="s">
        <v>3735</v>
      </c>
      <c r="H339" s="2597" t="s">
        <v>4040</v>
      </c>
      <c r="I339" s="2597"/>
      <c r="J339" s="1580"/>
      <c r="K339" s="2589"/>
      <c r="L339" s="2589"/>
      <c r="M339" s="2583"/>
      <c r="N339" s="2589"/>
      <c r="O339" s="2589"/>
      <c r="P339" s="2589"/>
      <c r="Q339" s="2589"/>
      <c r="R339" s="2589"/>
    </row>
    <row r="340" customFormat="false" ht="15.75" hidden="false" customHeight="false" outlineLevel="0" collapsed="false">
      <c r="A340" s="876" t="s">
        <v>3737</v>
      </c>
      <c r="B340" s="2598" t="n">
        <f aca="false">дома!B1319</f>
        <v>2</v>
      </c>
      <c r="C340" s="2599" t="n">
        <f aca="false">дома!C1319</f>
        <v>8</v>
      </c>
      <c r="D340" s="2599" t="n">
        <f aca="false">дома!D1319</f>
        <v>8</v>
      </c>
      <c r="E340" s="2598" t="n">
        <f aca="false">дома!E1319</f>
        <v>2.8</v>
      </c>
      <c r="F340" s="2599" t="n">
        <f aca="false">дома!F1319</f>
        <v>1.6</v>
      </c>
      <c r="G340" s="2599" t="n">
        <f aca="false">дома!G1319</f>
        <v>2.6</v>
      </c>
      <c r="H340" s="2598" t="n">
        <f aca="false">дома!I1319</f>
        <v>5</v>
      </c>
      <c r="I340" s="2600"/>
      <c r="J340" s="1580"/>
      <c r="K340" s="2589"/>
      <c r="L340" s="2589"/>
      <c r="M340" s="2583"/>
      <c r="N340" s="2589"/>
      <c r="O340" s="2589"/>
      <c r="P340" s="2589"/>
      <c r="Q340" s="2589"/>
      <c r="R340" s="2589"/>
    </row>
    <row r="341" customFormat="false" ht="15.75" hidden="false" customHeight="true" outlineLevel="0" collapsed="false">
      <c r="A341" s="2601" t="s">
        <v>161</v>
      </c>
      <c r="B341" s="2602" t="s">
        <v>12</v>
      </c>
      <c r="C341" s="2603" t="s">
        <v>4041</v>
      </c>
      <c r="D341" s="2603"/>
      <c r="E341" s="2602" t="s">
        <v>118</v>
      </c>
      <c r="F341" s="2604" t="s">
        <v>3739</v>
      </c>
      <c r="G341" s="2605" t="s">
        <v>161</v>
      </c>
      <c r="H341" s="2605"/>
      <c r="I341" s="2602" t="s">
        <v>2240</v>
      </c>
      <c r="J341" s="2602" t="s">
        <v>3742</v>
      </c>
      <c r="K341" s="2602" t="s">
        <v>118</v>
      </c>
      <c r="L341" s="2602" t="s">
        <v>3721</v>
      </c>
      <c r="M341" s="2589"/>
      <c r="N341" s="2589"/>
      <c r="O341" s="2589"/>
      <c r="P341" s="2589"/>
      <c r="Q341" s="2589"/>
      <c r="R341" s="2589"/>
    </row>
    <row r="342" customFormat="false" ht="15.75" hidden="false" customHeight="true" outlineLevel="0" collapsed="false">
      <c r="A342" s="2606" t="s">
        <v>3744</v>
      </c>
      <c r="B342" s="837" t="s">
        <v>15</v>
      </c>
      <c r="C342" s="2607" t="n">
        <f aca="false">дома!C1321</f>
        <v>6</v>
      </c>
      <c r="D342" s="2607"/>
      <c r="E342" s="2584" t="n">
        <f aca="false">дома!D1321</f>
        <v>2</v>
      </c>
      <c r="F342" s="2586" t="n">
        <f aca="false">C342*E342*E340</f>
        <v>33.6</v>
      </c>
      <c r="G342" s="2606" t="s">
        <v>3745</v>
      </c>
      <c r="H342" s="2606"/>
      <c r="I342" s="837" t="s">
        <v>15</v>
      </c>
      <c r="J342" s="2584" t="n">
        <f aca="false">дома!N1321</f>
        <v>3.5</v>
      </c>
      <c r="K342" s="2584" t="n">
        <f aca="false">дома!O1321</f>
        <v>1</v>
      </c>
      <c r="L342" s="837" t="n">
        <f aca="false">J342*K342*G340</f>
        <v>9.1</v>
      </c>
      <c r="M342" s="2589"/>
      <c r="N342" s="2589"/>
      <c r="O342" s="2589"/>
      <c r="P342" s="2589"/>
      <c r="Q342" s="2589"/>
      <c r="R342" s="2589"/>
    </row>
    <row r="343" customFormat="false" ht="15.75" hidden="false" customHeight="false" outlineLevel="0" collapsed="false">
      <c r="A343" s="2606"/>
      <c r="B343" s="837" t="s">
        <v>15</v>
      </c>
      <c r="C343" s="2607" t="n">
        <f aca="false">дома!C1322</f>
        <v>4</v>
      </c>
      <c r="D343" s="2607"/>
      <c r="E343" s="2584" t="n">
        <f aca="false">дома!D1322</f>
        <v>1</v>
      </c>
      <c r="F343" s="2586" t="n">
        <f aca="false">C343*E343*E340</f>
        <v>11.2</v>
      </c>
      <c r="G343" s="2606"/>
      <c r="H343" s="2606"/>
      <c r="I343" s="837" t="s">
        <v>15</v>
      </c>
      <c r="J343" s="2584" t="n">
        <f aca="false">дома!N1322</f>
        <v>0</v>
      </c>
      <c r="K343" s="2584" t="n">
        <f aca="false">дома!O1322</f>
        <v>0</v>
      </c>
      <c r="L343" s="837" t="n">
        <f aca="false">J343*K343*G340</f>
        <v>0</v>
      </c>
      <c r="M343" s="2589"/>
      <c r="N343" s="2589"/>
      <c r="O343" s="2589"/>
      <c r="P343" s="2589"/>
      <c r="Q343" s="2589"/>
      <c r="R343" s="2589"/>
    </row>
    <row r="344" customFormat="false" ht="15.75" hidden="false" customHeight="false" outlineLevel="0" collapsed="false">
      <c r="A344" s="2606"/>
      <c r="B344" s="837" t="s">
        <v>15</v>
      </c>
      <c r="C344" s="2607" t="n">
        <f aca="false">дома!C1323</f>
        <v>0</v>
      </c>
      <c r="D344" s="2607"/>
      <c r="E344" s="2584" t="n">
        <f aca="false">дома!D1323</f>
        <v>0</v>
      </c>
      <c r="F344" s="2586" t="n">
        <f aca="false">C344*E344*E340</f>
        <v>0</v>
      </c>
      <c r="G344" s="2606"/>
      <c r="H344" s="2606"/>
      <c r="I344" s="837" t="s">
        <v>15</v>
      </c>
      <c r="J344" s="2584" t="n">
        <f aca="false">дома!N1323</f>
        <v>0</v>
      </c>
      <c r="K344" s="2584" t="n">
        <f aca="false">дома!O1323</f>
        <v>0</v>
      </c>
      <c r="L344" s="837" t="n">
        <f aca="false">J344*K344*G340</f>
        <v>0</v>
      </c>
      <c r="M344" s="2589"/>
      <c r="N344" s="2589"/>
      <c r="O344" s="2589"/>
      <c r="P344" s="2589"/>
      <c r="Q344" s="2589"/>
      <c r="R344" s="2589"/>
    </row>
    <row r="345" customFormat="false" ht="15.75" hidden="false" customHeight="false" outlineLevel="0" collapsed="false">
      <c r="A345" s="2606"/>
      <c r="B345" s="837"/>
      <c r="C345" s="2607" t="n">
        <f aca="false">дома!C1324</f>
        <v>0</v>
      </c>
      <c r="D345" s="2607"/>
      <c r="E345" s="2584" t="n">
        <f aca="false">дома!D1324</f>
        <v>0</v>
      </c>
      <c r="F345" s="2586" t="n">
        <f aca="false">C345*E345*E340</f>
        <v>0</v>
      </c>
      <c r="G345" s="2606"/>
      <c r="H345" s="2606"/>
      <c r="I345" s="837"/>
      <c r="J345" s="2584" t="n">
        <f aca="false">дома!N1324</f>
        <v>0</v>
      </c>
      <c r="K345" s="2584" t="n">
        <f aca="false">дома!O1324</f>
        <v>0</v>
      </c>
      <c r="L345" s="837" t="n">
        <f aca="false">J345*K345*G340</f>
        <v>0</v>
      </c>
      <c r="M345" s="2589"/>
      <c r="N345" s="2589"/>
      <c r="O345" s="2589"/>
      <c r="P345" s="2589"/>
      <c r="Q345" s="2589"/>
      <c r="R345" s="2589"/>
    </row>
    <row r="346" customFormat="false" ht="15.75" hidden="false" customHeight="true" outlineLevel="0" collapsed="false">
      <c r="A346" s="2606" t="s">
        <v>3746</v>
      </c>
      <c r="B346" s="837"/>
      <c r="C346" s="2607" t="n">
        <f aca="false">дома!C1325</f>
        <v>1.8</v>
      </c>
      <c r="D346" s="2607"/>
      <c r="E346" s="2584" t="n">
        <f aca="false">дома!D1325</f>
        <v>1</v>
      </c>
      <c r="F346" s="2586" t="n">
        <f aca="false">C346*E346*E340</f>
        <v>5.04</v>
      </c>
      <c r="G346" s="2606" t="s">
        <v>3747</v>
      </c>
      <c r="H346" s="2606"/>
      <c r="I346" s="837"/>
      <c r="J346" s="2584" t="n">
        <f aca="false">дома!N1325</f>
        <v>0</v>
      </c>
      <c r="K346" s="2584" t="n">
        <f aca="false">дома!O1325</f>
        <v>0</v>
      </c>
      <c r="L346" s="837" t="n">
        <f aca="false">J346*K346*G340</f>
        <v>0</v>
      </c>
      <c r="M346" s="2589"/>
      <c r="N346" s="2589"/>
      <c r="O346" s="2589"/>
      <c r="P346" s="2589"/>
      <c r="Q346" s="2589"/>
      <c r="R346" s="2589"/>
    </row>
    <row r="347" customFormat="false" ht="15.75" hidden="false" customHeight="false" outlineLevel="0" collapsed="false">
      <c r="A347" s="2606"/>
      <c r="B347" s="837"/>
      <c r="C347" s="2607" t="n">
        <f aca="false">дома!C1326</f>
        <v>0</v>
      </c>
      <c r="D347" s="2607"/>
      <c r="E347" s="2584" t="n">
        <f aca="false">дома!D1326</f>
        <v>0</v>
      </c>
      <c r="F347" s="2586" t="n">
        <f aca="false">C347*E347*E340</f>
        <v>0</v>
      </c>
      <c r="G347" s="2606"/>
      <c r="H347" s="2606"/>
      <c r="I347" s="837"/>
      <c r="J347" s="2584" t="n">
        <f aca="false">дома!N1326</f>
        <v>0</v>
      </c>
      <c r="K347" s="2584" t="n">
        <f aca="false">дома!O1326</f>
        <v>0</v>
      </c>
      <c r="L347" s="837" t="n">
        <f aca="false">J347*K347*G340</f>
        <v>0</v>
      </c>
      <c r="M347" s="2589"/>
      <c r="N347" s="2589"/>
      <c r="O347" s="2589"/>
      <c r="P347" s="2589"/>
      <c r="Q347" s="2589"/>
      <c r="R347" s="2589"/>
    </row>
    <row r="348" customFormat="false" ht="15.75" hidden="false" customHeight="false" outlineLevel="0" collapsed="false">
      <c r="A348" s="2606"/>
      <c r="B348" s="837"/>
      <c r="C348" s="2607" t="n">
        <f aca="false">дома!C1327</f>
        <v>0</v>
      </c>
      <c r="D348" s="2607"/>
      <c r="E348" s="2584" t="n">
        <f aca="false">дома!D1327</f>
        <v>0</v>
      </c>
      <c r="F348" s="2586" t="n">
        <f aca="false">C348*E348*E340</f>
        <v>0</v>
      </c>
      <c r="G348" s="2606"/>
      <c r="H348" s="2606"/>
      <c r="I348" s="837"/>
      <c r="J348" s="2584" t="n">
        <f aca="false">дома!N1327</f>
        <v>0</v>
      </c>
      <c r="K348" s="2584" t="n">
        <f aca="false">дома!O1327</f>
        <v>0</v>
      </c>
      <c r="L348" s="837" t="n">
        <f aca="false">J348*K348*G340</f>
        <v>0</v>
      </c>
      <c r="M348" s="2589"/>
      <c r="N348" s="2589"/>
      <c r="O348" s="2589"/>
      <c r="P348" s="2589"/>
      <c r="Q348" s="2589"/>
      <c r="R348" s="2589"/>
    </row>
    <row r="349" customFormat="false" ht="15.75" hidden="false" customHeight="false" outlineLevel="0" collapsed="false">
      <c r="A349" s="2606"/>
      <c r="B349" s="837"/>
      <c r="C349" s="2607" t="n">
        <f aca="false">дома!C1328</f>
        <v>0</v>
      </c>
      <c r="D349" s="2607"/>
      <c r="E349" s="2584" t="n">
        <f aca="false">дома!D1328</f>
        <v>0</v>
      </c>
      <c r="F349" s="2586" t="n">
        <f aca="false">C349*E349*E340</f>
        <v>0</v>
      </c>
      <c r="G349" s="2606"/>
      <c r="H349" s="2606"/>
      <c r="I349" s="837"/>
      <c r="J349" s="2584" t="n">
        <f aca="false">дома!N1328</f>
        <v>0</v>
      </c>
      <c r="K349" s="2584" t="n">
        <f aca="false">дома!O1328</f>
        <v>0</v>
      </c>
      <c r="L349" s="837" t="n">
        <f aca="false">J349*K349*G340</f>
        <v>0</v>
      </c>
      <c r="M349" s="2589"/>
      <c r="N349" s="2589"/>
      <c r="O349" s="2589"/>
      <c r="P349" s="2589"/>
      <c r="Q349" s="2589"/>
      <c r="R349" s="2589"/>
    </row>
    <row r="350" customFormat="false" ht="15.75" hidden="false" customHeight="true" outlineLevel="0" collapsed="false">
      <c r="A350" s="2606" t="s">
        <v>3748</v>
      </c>
      <c r="B350" s="837" t="s">
        <v>15</v>
      </c>
      <c r="C350" s="2607" t="n">
        <f aca="false">дома!C1329</f>
        <v>0</v>
      </c>
      <c r="D350" s="2607"/>
      <c r="E350" s="2584" t="n">
        <f aca="false">дома!D1329</f>
        <v>0</v>
      </c>
      <c r="F350" s="2586" t="n">
        <f aca="false">C350*E350*E340</f>
        <v>0</v>
      </c>
      <c r="G350" s="2606" t="s">
        <v>3749</v>
      </c>
      <c r="H350" s="2606"/>
      <c r="I350" s="837" t="s">
        <v>15</v>
      </c>
      <c r="J350" s="2584" t="n">
        <f aca="false">дома!N1329</f>
        <v>4</v>
      </c>
      <c r="K350" s="2584" t="n">
        <f aca="false">дома!O1329</f>
        <v>1</v>
      </c>
      <c r="L350" s="837" t="n">
        <f aca="false">J350*K350*(G340+F340)/2</f>
        <v>8.4</v>
      </c>
      <c r="M350" s="2589"/>
      <c r="N350" s="2589"/>
      <c r="O350" s="2589"/>
      <c r="P350" s="2589"/>
      <c r="Q350" s="2589"/>
      <c r="R350" s="2589"/>
    </row>
    <row r="351" customFormat="false" ht="15.75" hidden="false" customHeight="false" outlineLevel="0" collapsed="false">
      <c r="A351" s="2606"/>
      <c r="B351" s="837" t="s">
        <v>15</v>
      </c>
      <c r="C351" s="2607" t="n">
        <f aca="false">дома!C1330</f>
        <v>0</v>
      </c>
      <c r="D351" s="2607"/>
      <c r="E351" s="2584" t="n">
        <f aca="false">дома!D1330</f>
        <v>0</v>
      </c>
      <c r="F351" s="2586" t="n">
        <f aca="false">C351*E351*E340</f>
        <v>0</v>
      </c>
      <c r="G351" s="2606"/>
      <c r="H351" s="2606"/>
      <c r="I351" s="837" t="s">
        <v>15</v>
      </c>
      <c r="J351" s="2584" t="n">
        <f aca="false">дома!N1330</f>
        <v>2</v>
      </c>
      <c r="K351" s="2584" t="n">
        <f aca="false">дома!O1330</f>
        <v>1</v>
      </c>
      <c r="L351" s="837" t="n">
        <f aca="false">J351*K351*(G340+F340)/2</f>
        <v>4.2</v>
      </c>
      <c r="M351" s="2589"/>
      <c r="N351" s="2589"/>
      <c r="O351" s="2589"/>
      <c r="P351" s="2589"/>
      <c r="Q351" s="2589"/>
      <c r="R351" s="2589"/>
    </row>
    <row r="352" customFormat="false" ht="15.75" hidden="false" customHeight="false" outlineLevel="0" collapsed="false">
      <c r="A352" s="2606"/>
      <c r="B352" s="837" t="s">
        <v>15</v>
      </c>
      <c r="C352" s="2607" t="n">
        <f aca="false">дома!C1331</f>
        <v>0</v>
      </c>
      <c r="D352" s="2607"/>
      <c r="E352" s="2584" t="n">
        <f aca="false">дома!D1331</f>
        <v>0</v>
      </c>
      <c r="F352" s="2586" t="n">
        <f aca="false">C352*E352*E340</f>
        <v>0</v>
      </c>
      <c r="G352" s="2606"/>
      <c r="H352" s="2606"/>
      <c r="I352" s="837" t="s">
        <v>15</v>
      </c>
      <c r="J352" s="2584" t="n">
        <f aca="false">дома!N1331</f>
        <v>3</v>
      </c>
      <c r="K352" s="2584" t="n">
        <f aca="false">дома!O1331</f>
        <v>1</v>
      </c>
      <c r="L352" s="837" t="n">
        <f aca="false">J352*K352*(G340+F340)/2</f>
        <v>6.3</v>
      </c>
      <c r="M352" s="2589"/>
      <c r="N352" s="2589"/>
      <c r="O352" s="2589"/>
      <c r="P352" s="2589"/>
      <c r="Q352" s="2589"/>
      <c r="R352" s="2589"/>
    </row>
    <row r="353" customFormat="false" ht="15.75" hidden="false" customHeight="false" outlineLevel="0" collapsed="false">
      <c r="A353" s="2606"/>
      <c r="B353" s="837"/>
      <c r="C353" s="2607" t="n">
        <f aca="false">дома!C1332</f>
        <v>0</v>
      </c>
      <c r="D353" s="2607"/>
      <c r="E353" s="2584" t="n">
        <f aca="false">дома!D1332</f>
        <v>0</v>
      </c>
      <c r="F353" s="2586" t="n">
        <f aca="false">C353*E353*E340</f>
        <v>0</v>
      </c>
      <c r="G353" s="2606"/>
      <c r="H353" s="2606"/>
      <c r="I353" s="837"/>
      <c r="J353" s="2584" t="n">
        <f aca="false">дома!N1332</f>
        <v>0</v>
      </c>
      <c r="K353" s="2584" t="n">
        <f aca="false">дома!O1332</f>
        <v>0</v>
      </c>
      <c r="L353" s="837" t="n">
        <f aca="false">J353*K353*(G340+F340)/2</f>
        <v>0</v>
      </c>
      <c r="M353" s="2589"/>
      <c r="N353" s="2589"/>
      <c r="O353" s="2589"/>
      <c r="P353" s="2589"/>
      <c r="Q353" s="2589"/>
      <c r="R353" s="2589"/>
    </row>
    <row r="354" customFormat="false" ht="15.75" hidden="false" customHeight="true" outlineLevel="0" collapsed="false">
      <c r="A354" s="2606" t="s">
        <v>3750</v>
      </c>
      <c r="B354" s="837"/>
      <c r="C354" s="2607" t="n">
        <f aca="false">дома!C1333</f>
        <v>3</v>
      </c>
      <c r="D354" s="2607"/>
      <c r="E354" s="2584" t="n">
        <f aca="false">дома!D1333</f>
        <v>2</v>
      </c>
      <c r="F354" s="2586" t="n">
        <f aca="false">C354*E354*E340</f>
        <v>16.8</v>
      </c>
      <c r="G354" s="2606" t="s">
        <v>3751</v>
      </c>
      <c r="H354" s="2606"/>
      <c r="I354" s="837"/>
      <c r="J354" s="2584" t="n">
        <f aca="false">дома!N1333</f>
        <v>0</v>
      </c>
      <c r="K354" s="2584" t="n">
        <f aca="false">дома!O1333</f>
        <v>0</v>
      </c>
      <c r="L354" s="837" t="n">
        <f aca="false">J354*K354*(G340+F340)/2</f>
        <v>0</v>
      </c>
      <c r="M354" s="2589"/>
      <c r="N354" s="2589"/>
      <c r="O354" s="2589"/>
      <c r="P354" s="2589"/>
      <c r="Q354" s="2589"/>
      <c r="R354" s="2589"/>
    </row>
    <row r="355" customFormat="false" ht="15.75" hidden="false" customHeight="false" outlineLevel="0" collapsed="false">
      <c r="A355" s="2606"/>
      <c r="B355" s="837"/>
      <c r="C355" s="2607" t="n">
        <f aca="false">дома!C1334</f>
        <v>0</v>
      </c>
      <c r="D355" s="2607"/>
      <c r="E355" s="2584" t="n">
        <f aca="false">дома!D1334</f>
        <v>0</v>
      </c>
      <c r="F355" s="2586" t="n">
        <f aca="false">C355*E355*E340</f>
        <v>0</v>
      </c>
      <c r="G355" s="2606"/>
      <c r="H355" s="2606"/>
      <c r="I355" s="837"/>
      <c r="J355" s="2584" t="n">
        <f aca="false">дома!N1334</f>
        <v>0</v>
      </c>
      <c r="K355" s="2584" t="n">
        <f aca="false">дома!O1334</f>
        <v>0</v>
      </c>
      <c r="L355" s="837" t="n">
        <f aca="false">J355*K355*(G340+F340)/2</f>
        <v>0</v>
      </c>
      <c r="M355" s="2589"/>
      <c r="N355" s="2589"/>
      <c r="O355" s="2589"/>
      <c r="P355" s="2589"/>
      <c r="Q355" s="2589"/>
      <c r="R355" s="2589"/>
    </row>
    <row r="356" customFormat="false" ht="15.75" hidden="false" customHeight="false" outlineLevel="0" collapsed="false">
      <c r="A356" s="2606"/>
      <c r="B356" s="837"/>
      <c r="C356" s="2607" t="n">
        <f aca="false">дома!C1335</f>
        <v>0</v>
      </c>
      <c r="D356" s="2607"/>
      <c r="E356" s="2584" t="n">
        <f aca="false">дома!D1335</f>
        <v>0</v>
      </c>
      <c r="F356" s="2586" t="n">
        <f aca="false">C356*E356*E340</f>
        <v>0</v>
      </c>
      <c r="G356" s="2606"/>
      <c r="H356" s="2606"/>
      <c r="I356" s="837"/>
      <c r="J356" s="2584" t="n">
        <f aca="false">дома!N1335</f>
        <v>0</v>
      </c>
      <c r="K356" s="2584" t="n">
        <f aca="false">дома!O1335</f>
        <v>0</v>
      </c>
      <c r="L356" s="837" t="n">
        <f aca="false">J356*K356*(G340+F340)/2</f>
        <v>0</v>
      </c>
      <c r="M356" s="2589"/>
      <c r="N356" s="2589"/>
      <c r="O356" s="2589"/>
      <c r="P356" s="2589"/>
      <c r="Q356" s="2589"/>
      <c r="R356" s="2589"/>
    </row>
    <row r="357" customFormat="false" ht="15.75" hidden="false" customHeight="false" outlineLevel="0" collapsed="false">
      <c r="A357" s="2606"/>
      <c r="B357" s="837"/>
      <c r="C357" s="2607" t="n">
        <f aca="false">дома!C1336</f>
        <v>0</v>
      </c>
      <c r="D357" s="2607"/>
      <c r="E357" s="2584" t="n">
        <f aca="false">дома!D1336</f>
        <v>0</v>
      </c>
      <c r="F357" s="2586" t="n">
        <f aca="false">C357*E357*E340</f>
        <v>0</v>
      </c>
      <c r="G357" s="2606"/>
      <c r="H357" s="2606"/>
      <c r="I357" s="837"/>
      <c r="J357" s="2584" t="n">
        <f aca="false">дома!N1336</f>
        <v>0</v>
      </c>
      <c r="K357" s="2584" t="n">
        <f aca="false">дома!O1336</f>
        <v>0</v>
      </c>
      <c r="L357" s="837" t="n">
        <f aca="false">J357*K357*(G340+F340)/2</f>
        <v>0</v>
      </c>
      <c r="M357" s="2589"/>
      <c r="N357" s="2589"/>
      <c r="O357" s="2589"/>
      <c r="P357" s="2589"/>
      <c r="Q357" s="2589"/>
      <c r="R357" s="2589"/>
    </row>
    <row r="358" customFormat="false" ht="15.75" hidden="false" customHeight="false" outlineLevel="0" collapsed="false">
      <c r="A358" s="2523"/>
      <c r="B358" s="2589"/>
      <c r="C358" s="2608"/>
      <c r="D358" s="2608"/>
      <c r="E358" s="1549" t="s">
        <v>4042</v>
      </c>
      <c r="F358" s="2609" t="n">
        <f aca="false">SUM(F342:F352)</f>
        <v>49.84</v>
      </c>
      <c r="G358" s="2610"/>
      <c r="H358" s="2610"/>
      <c r="I358" s="2595"/>
      <c r="J358" s="2583"/>
      <c r="K358" s="1549" t="s">
        <v>4042</v>
      </c>
      <c r="L358" s="1549" t="n">
        <f aca="false">SUM(L342:L352)</f>
        <v>28</v>
      </c>
      <c r="M358" s="2589"/>
      <c r="N358" s="2589"/>
      <c r="O358" s="2589"/>
      <c r="P358" s="2589"/>
      <c r="Q358" s="2589"/>
      <c r="R358" s="2589"/>
    </row>
    <row r="359" customFormat="false" ht="15.75" hidden="false" customHeight="false" outlineLevel="0" collapsed="false">
      <c r="A359" s="2611" t="s">
        <v>3774</v>
      </c>
      <c r="B359" s="2611"/>
      <c r="C359" s="2611"/>
      <c r="D359" s="2612"/>
      <c r="E359" s="2612"/>
      <c r="F359" s="2612"/>
      <c r="G359" s="2589"/>
      <c r="H359" s="2589"/>
      <c r="I359" s="2595"/>
      <c r="J359" s="2589"/>
      <c r="K359" s="2589"/>
      <c r="L359" s="2589"/>
      <c r="M359" s="2589"/>
      <c r="N359" s="2589"/>
      <c r="O359" s="2589"/>
      <c r="P359" s="2589"/>
      <c r="Q359" s="2589"/>
      <c r="R359" s="2589"/>
    </row>
    <row r="360" customFormat="false" ht="15.75" hidden="false" customHeight="false" outlineLevel="0" collapsed="false">
      <c r="A360" s="738" t="s">
        <v>3825</v>
      </c>
      <c r="B360" s="2587" t="s">
        <v>820</v>
      </c>
      <c r="C360" s="740" t="n">
        <f aca="false">дома!C1364</f>
        <v>128</v>
      </c>
      <c r="D360" s="2612"/>
      <c r="E360" s="2612"/>
      <c r="F360" s="2612"/>
      <c r="G360" s="2589"/>
      <c r="H360" s="2589"/>
      <c r="I360" s="2595"/>
      <c r="J360" s="2589"/>
      <c r="K360" s="2589"/>
      <c r="L360" s="2589"/>
      <c r="M360" s="2589"/>
      <c r="N360" s="2589"/>
      <c r="O360" s="2589"/>
      <c r="P360" s="2589"/>
      <c r="Q360" s="2589"/>
      <c r="R360" s="2589"/>
    </row>
    <row r="361" customFormat="false" ht="15.75" hidden="false" customHeight="false" outlineLevel="0" collapsed="false">
      <c r="A361" s="738" t="s">
        <v>3776</v>
      </c>
      <c r="B361" s="2587" t="s">
        <v>820</v>
      </c>
      <c r="C361" s="740" t="n">
        <f aca="false">дома!C1365</f>
        <v>0</v>
      </c>
      <c r="D361" s="2612"/>
      <c r="E361" s="2612"/>
      <c r="F361" s="2612"/>
      <c r="G361" s="2589"/>
      <c r="H361" s="2589"/>
      <c r="I361" s="2595"/>
      <c r="J361" s="2589"/>
      <c r="K361" s="2589"/>
      <c r="L361" s="2589"/>
      <c r="M361" s="2589"/>
      <c r="N361" s="2589"/>
      <c r="O361" s="2589"/>
      <c r="P361" s="2589"/>
      <c r="Q361" s="2589"/>
      <c r="R361" s="2589"/>
    </row>
    <row r="362" customFormat="false" ht="15.75" hidden="false" customHeight="false" outlineLevel="0" collapsed="false">
      <c r="A362" s="738" t="s">
        <v>3827</v>
      </c>
      <c r="B362" s="2587" t="s">
        <v>15</v>
      </c>
      <c r="C362" s="740" t="n">
        <f aca="false">дома!C1366</f>
        <v>48</v>
      </c>
      <c r="D362" s="2612"/>
      <c r="E362" s="2612"/>
      <c r="F362" s="2612"/>
      <c r="G362" s="2589"/>
      <c r="H362" s="2589"/>
      <c r="I362" s="2595"/>
      <c r="J362" s="2589"/>
      <c r="K362" s="2589"/>
      <c r="L362" s="2589"/>
      <c r="M362" s="2589"/>
      <c r="N362" s="2589"/>
      <c r="O362" s="2589"/>
      <c r="P362" s="2589"/>
      <c r="Q362" s="2589"/>
      <c r="R362" s="2589"/>
    </row>
    <row r="363" customFormat="false" ht="15.75" hidden="false" customHeight="false" outlineLevel="0" collapsed="false">
      <c r="A363" s="738" t="s">
        <v>3859</v>
      </c>
      <c r="B363" s="2587" t="s">
        <v>15</v>
      </c>
      <c r="C363" s="740" t="n">
        <f aca="false">дома!C1367</f>
        <v>64</v>
      </c>
      <c r="D363" s="2612"/>
      <c r="E363" s="2612"/>
      <c r="F363" s="2612"/>
      <c r="G363" s="2589"/>
      <c r="H363" s="2589"/>
      <c r="I363" s="2595"/>
      <c r="J363" s="2589"/>
      <c r="K363" s="2589"/>
      <c r="L363" s="2589"/>
      <c r="M363" s="2589"/>
      <c r="N363" s="2589"/>
      <c r="O363" s="2589"/>
      <c r="P363" s="2589"/>
      <c r="Q363" s="2589"/>
      <c r="R363" s="2589"/>
    </row>
    <row r="364" customFormat="false" ht="15.75" hidden="false" customHeight="false" outlineLevel="0" collapsed="false">
      <c r="A364" s="738" t="s">
        <v>3862</v>
      </c>
      <c r="B364" s="2587" t="s">
        <v>15</v>
      </c>
      <c r="C364" s="740" t="n">
        <f aca="false">дома!C1368</f>
        <v>28.5</v>
      </c>
      <c r="D364" s="2612"/>
      <c r="E364" s="2612"/>
      <c r="F364" s="2612"/>
      <c r="G364" s="2589"/>
      <c r="H364" s="2589"/>
      <c r="I364" s="2595"/>
      <c r="J364" s="2589"/>
      <c r="K364" s="2589"/>
      <c r="L364" s="2589"/>
      <c r="M364" s="2589"/>
      <c r="N364" s="2589"/>
      <c r="O364" s="2589"/>
      <c r="P364" s="2589"/>
      <c r="Q364" s="2589"/>
      <c r="R364" s="2589"/>
    </row>
    <row r="365" customFormat="false" ht="15.75" hidden="false" customHeight="false" outlineLevel="0" collapsed="false">
      <c r="A365" s="738"/>
      <c r="B365" s="2587"/>
      <c r="C365" s="740" t="n">
        <f aca="false">дома!C1369</f>
        <v>7.8</v>
      </c>
      <c r="D365" s="2612"/>
      <c r="E365" s="2612"/>
      <c r="F365" s="2612"/>
      <c r="G365" s="2589"/>
      <c r="H365" s="2589"/>
      <c r="I365" s="2595"/>
      <c r="J365" s="2589"/>
      <c r="K365" s="2589"/>
      <c r="L365" s="2589"/>
      <c r="M365" s="2589"/>
      <c r="N365" s="2589"/>
      <c r="O365" s="2589"/>
      <c r="P365" s="2589"/>
      <c r="Q365" s="2589"/>
      <c r="R365" s="2589"/>
    </row>
    <row r="366" customFormat="false" ht="15.75" hidden="false" customHeight="false" outlineLevel="0" collapsed="false">
      <c r="A366" s="738" t="s">
        <v>3781</v>
      </c>
      <c r="B366" s="2587" t="s">
        <v>820</v>
      </c>
      <c r="C366" s="740" t="n">
        <f aca="false">дома!C1370</f>
        <v>0</v>
      </c>
      <c r="D366" s="2612"/>
      <c r="E366" s="2612"/>
      <c r="F366" s="2612"/>
      <c r="G366" s="2589"/>
      <c r="H366" s="2589"/>
      <c r="I366" s="2595"/>
      <c r="J366" s="2589"/>
      <c r="K366" s="2589"/>
      <c r="L366" s="2589"/>
      <c r="M366" s="2589"/>
      <c r="N366" s="2589"/>
      <c r="O366" s="2589"/>
      <c r="P366" s="2589"/>
      <c r="Q366" s="2589"/>
      <c r="R366" s="2589"/>
    </row>
    <row r="367" customFormat="false" ht="15.75" hidden="false" customHeight="false" outlineLevel="0" collapsed="false">
      <c r="A367" s="738" t="s">
        <v>4043</v>
      </c>
      <c r="B367" s="2587" t="s">
        <v>820</v>
      </c>
      <c r="C367" s="740" t="e">
        <f aca="false">дома!#REF!</f>
        <v>#VALUE!</v>
      </c>
      <c r="D367" s="2612"/>
      <c r="E367" s="2612"/>
      <c r="F367" s="2612"/>
      <c r="G367" s="2589"/>
      <c r="H367" s="2589"/>
      <c r="I367" s="2595"/>
      <c r="J367" s="2589"/>
      <c r="K367" s="2589"/>
      <c r="L367" s="2589"/>
      <c r="M367" s="2589"/>
      <c r="N367" s="2589"/>
      <c r="O367" s="2589"/>
      <c r="P367" s="2589"/>
      <c r="Q367" s="2589"/>
      <c r="R367" s="2589"/>
    </row>
    <row r="368" customFormat="false" ht="15.75" hidden="false" customHeight="false" outlineLevel="0" collapsed="false">
      <c r="A368" s="738" t="s">
        <v>3834</v>
      </c>
      <c r="B368" s="2587" t="s">
        <v>820</v>
      </c>
      <c r="C368" s="740" t="e">
        <f aca="false">дома!#REF!</f>
        <v>#VALUE!</v>
      </c>
      <c r="D368" s="2612"/>
      <c r="E368" s="2612"/>
      <c r="F368" s="2612"/>
      <c r="G368" s="2589"/>
      <c r="H368" s="2589"/>
      <c r="I368" s="2595"/>
      <c r="J368" s="2589"/>
      <c r="K368" s="2589"/>
      <c r="L368" s="2589"/>
      <c r="M368" s="2589"/>
      <c r="N368" s="2589"/>
      <c r="O368" s="2589"/>
      <c r="P368" s="2589"/>
      <c r="Q368" s="2589"/>
      <c r="R368" s="2589"/>
    </row>
    <row r="369" customFormat="false" ht="15.75" hidden="false" customHeight="false" outlineLevel="0" collapsed="false">
      <c r="A369" s="738" t="s">
        <v>3909</v>
      </c>
      <c r="B369" s="2587" t="s">
        <v>820</v>
      </c>
      <c r="C369" s="740" t="n">
        <f aca="false">дома!C1373</f>
        <v>0</v>
      </c>
      <c r="D369" s="2612"/>
      <c r="E369" s="2612"/>
      <c r="F369" s="2612"/>
      <c r="G369" s="2589"/>
      <c r="H369" s="2589"/>
      <c r="I369" s="2595"/>
      <c r="J369" s="2589"/>
      <c r="K369" s="2589"/>
      <c r="L369" s="2589"/>
      <c r="M369" s="2589"/>
      <c r="N369" s="2589"/>
      <c r="O369" s="2589"/>
      <c r="P369" s="2589"/>
      <c r="Q369" s="2589"/>
      <c r="R369" s="2589"/>
    </row>
    <row r="370" customFormat="false" ht="15.75" hidden="false" customHeight="false" outlineLevel="0" collapsed="false">
      <c r="A370" s="738" t="s">
        <v>4044</v>
      </c>
      <c r="B370" s="2587" t="s">
        <v>820</v>
      </c>
      <c r="C370" s="740" t="e">
        <f aca="false">дома!#REF!</f>
        <v>#VALUE!</v>
      </c>
      <c r="D370" s="2612"/>
      <c r="E370" s="2612"/>
      <c r="F370" s="2612"/>
      <c r="G370" s="2589"/>
      <c r="H370" s="2589"/>
      <c r="I370" s="2595"/>
      <c r="J370" s="2589"/>
      <c r="K370" s="2589"/>
      <c r="L370" s="2589"/>
      <c r="M370" s="2589"/>
      <c r="N370" s="2589"/>
      <c r="O370" s="2589"/>
      <c r="P370" s="2589"/>
      <c r="Q370" s="2589"/>
      <c r="R370" s="2589"/>
    </row>
    <row r="371" customFormat="false" ht="15.75" hidden="false" customHeight="false" outlineLevel="0" collapsed="false">
      <c r="A371" s="738" t="s">
        <v>3786</v>
      </c>
      <c r="B371" s="2587" t="s">
        <v>820</v>
      </c>
      <c r="C371" s="740" t="n">
        <f aca="false">дома!C1375</f>
        <v>0</v>
      </c>
      <c r="D371" s="2612"/>
      <c r="E371" s="2612"/>
      <c r="F371" s="2612"/>
      <c r="G371" s="2589"/>
      <c r="H371" s="2589"/>
      <c r="I371" s="2595"/>
      <c r="J371" s="2589"/>
      <c r="K371" s="2589"/>
      <c r="L371" s="2589"/>
      <c r="M371" s="2589"/>
      <c r="N371" s="2589"/>
      <c r="O371" s="2589"/>
      <c r="P371" s="2589"/>
      <c r="Q371" s="2589"/>
      <c r="R371" s="2589"/>
    </row>
    <row r="372" customFormat="false" ht="15.75" hidden="false" customHeight="false" outlineLevel="0" collapsed="false">
      <c r="A372" s="2613" t="s">
        <v>3793</v>
      </c>
      <c r="B372" s="2587" t="s">
        <v>820</v>
      </c>
      <c r="C372" s="740" t="n">
        <f aca="false">дома!C1382</f>
        <v>0</v>
      </c>
      <c r="D372" s="2612"/>
      <c r="E372" s="2612"/>
      <c r="F372" s="2612"/>
      <c r="G372" s="2589"/>
      <c r="H372" s="2589"/>
      <c r="I372" s="2595"/>
      <c r="J372" s="2589"/>
      <c r="K372" s="2589"/>
      <c r="L372" s="2589"/>
      <c r="M372" s="2589"/>
      <c r="N372" s="2589"/>
      <c r="O372" s="2589"/>
      <c r="P372" s="2589"/>
      <c r="Q372" s="2589"/>
      <c r="R372" s="2589"/>
    </row>
    <row r="373" customFormat="false" ht="15.75" hidden="false" customHeight="true" outlineLevel="0" collapsed="false">
      <c r="A373" s="2614" t="s">
        <v>3690</v>
      </c>
      <c r="B373" s="2614"/>
      <c r="C373" s="2614"/>
      <c r="D373" s="2612"/>
      <c r="E373" s="2612"/>
      <c r="F373" s="2612"/>
      <c r="G373" s="2589"/>
      <c r="H373" s="2589"/>
      <c r="I373" s="2595"/>
      <c r="J373" s="2589"/>
      <c r="K373" s="2589"/>
      <c r="L373" s="2589"/>
      <c r="M373" s="2589"/>
      <c r="N373" s="2589"/>
      <c r="O373" s="2589"/>
      <c r="P373" s="2589"/>
      <c r="Q373" s="2589"/>
      <c r="R373" s="2589"/>
    </row>
    <row r="374" customFormat="false" ht="15.75" hidden="false" customHeight="false" outlineLevel="0" collapsed="false">
      <c r="A374" s="837" t="s">
        <v>2821</v>
      </c>
      <c r="B374" s="837" t="s">
        <v>820</v>
      </c>
      <c r="C374" s="740" t="n">
        <f aca="false">дома!C1384</f>
        <v>105.780913567754</v>
      </c>
      <c r="D374" s="2612"/>
      <c r="E374" s="2612"/>
      <c r="F374" s="2612"/>
      <c r="G374" s="2589"/>
      <c r="H374" s="2589"/>
      <c r="I374" s="2595"/>
      <c r="J374" s="2589"/>
      <c r="K374" s="2589"/>
      <c r="L374" s="2589"/>
      <c r="M374" s="2589"/>
      <c r="N374" s="2589"/>
      <c r="O374" s="2589"/>
      <c r="P374" s="2589"/>
      <c r="Q374" s="2589"/>
      <c r="R374" s="2589"/>
    </row>
    <row r="375" customFormat="false" ht="15.75" hidden="false" customHeight="false" outlineLevel="0" collapsed="false">
      <c r="A375" s="837" t="s">
        <v>249</v>
      </c>
      <c r="B375" s="837" t="s">
        <v>15</v>
      </c>
      <c r="C375" s="740" t="n">
        <f aca="false">дома!C1385</f>
        <v>9</v>
      </c>
      <c r="D375" s="2612"/>
      <c r="E375" s="2612"/>
      <c r="F375" s="2612"/>
      <c r="G375" s="2589"/>
      <c r="H375" s="2589"/>
      <c r="I375" s="2595"/>
      <c r="J375" s="2589"/>
      <c r="K375" s="2589"/>
      <c r="L375" s="2589"/>
      <c r="M375" s="2589"/>
      <c r="N375" s="2589"/>
      <c r="O375" s="2589"/>
      <c r="P375" s="2589"/>
      <c r="Q375" s="2589"/>
      <c r="R375" s="2589"/>
    </row>
    <row r="376" customFormat="false" ht="15.75" hidden="false" customHeight="false" outlineLevel="0" collapsed="false">
      <c r="A376" s="837" t="s">
        <v>3647</v>
      </c>
      <c r="B376" s="837" t="s">
        <v>15</v>
      </c>
      <c r="C376" s="740" t="n">
        <f aca="false">дома!C1389</f>
        <v>4.7169905660283</v>
      </c>
      <c r="D376" s="2612"/>
      <c r="E376" s="2612"/>
      <c r="F376" s="2612"/>
      <c r="G376" s="2589"/>
      <c r="H376" s="2589"/>
      <c r="I376" s="2595"/>
      <c r="J376" s="2589"/>
      <c r="K376" s="2589"/>
      <c r="L376" s="2589"/>
      <c r="M376" s="2589"/>
      <c r="N376" s="2589"/>
      <c r="O376" s="2589"/>
      <c r="P376" s="2589"/>
      <c r="Q376" s="2589"/>
      <c r="R376" s="2589"/>
    </row>
    <row r="377" customFormat="false" ht="15.75" hidden="false" customHeight="false" outlineLevel="0" collapsed="false">
      <c r="A377" s="837" t="s">
        <v>273</v>
      </c>
      <c r="B377" s="837" t="s">
        <v>15</v>
      </c>
      <c r="C377" s="2615" t="n">
        <v>0.5</v>
      </c>
      <c r="D377" s="2612"/>
      <c r="E377" s="2612"/>
      <c r="F377" s="2612"/>
      <c r="G377" s="2589"/>
      <c r="H377" s="2589"/>
      <c r="I377" s="2595"/>
      <c r="J377" s="2589"/>
      <c r="K377" s="2589"/>
      <c r="L377" s="2589"/>
      <c r="M377" s="2589"/>
      <c r="N377" s="2589"/>
      <c r="O377" s="2589"/>
      <c r="P377" s="2589"/>
      <c r="Q377" s="2589"/>
      <c r="R377" s="2589"/>
    </row>
    <row r="378" customFormat="false" ht="15.75" hidden="false" customHeight="false" outlineLevel="0" collapsed="false">
      <c r="A378" s="1555" t="s">
        <v>276</v>
      </c>
      <c r="B378" s="1555" t="s">
        <v>15</v>
      </c>
      <c r="C378" s="2616" t="n">
        <v>0.5</v>
      </c>
      <c r="D378" s="2612"/>
      <c r="E378" s="2612"/>
      <c r="F378" s="2612"/>
      <c r="G378" s="2589"/>
      <c r="H378" s="2589"/>
      <c r="I378" s="2595"/>
      <c r="J378" s="2589"/>
      <c r="K378" s="2589"/>
      <c r="L378" s="2589"/>
      <c r="M378" s="2589"/>
      <c r="N378" s="2589"/>
      <c r="O378" s="2589"/>
      <c r="P378" s="2589"/>
      <c r="Q378" s="2589"/>
      <c r="R378" s="2589"/>
    </row>
    <row r="379" customFormat="false" ht="15.75" hidden="false" customHeight="false" outlineLevel="0" collapsed="false">
      <c r="A379" s="2617" t="s">
        <v>719</v>
      </c>
      <c r="B379" s="2618" t="n">
        <v>1</v>
      </c>
      <c r="C379" s="2619" t="s">
        <v>3811</v>
      </c>
      <c r="D379" s="2619"/>
      <c r="E379" s="2619"/>
      <c r="F379" s="2619"/>
      <c r="G379" s="2620"/>
      <c r="H379" s="1579"/>
      <c r="I379" s="1579"/>
      <c r="J379" s="1579"/>
      <c r="K379" s="1579"/>
      <c r="L379" s="1579"/>
      <c r="M379" s="1579"/>
      <c r="N379" s="1579"/>
      <c r="O379" s="1579"/>
      <c r="P379" s="1579"/>
      <c r="Q379" s="1579"/>
      <c r="R379" s="1579"/>
    </row>
    <row r="380" customFormat="false" ht="23.25" hidden="false" customHeight="false" outlineLevel="0" collapsed="false">
      <c r="A380" s="2621" t="s">
        <v>1822</v>
      </c>
      <c r="B380" s="2621"/>
      <c r="C380" s="2621"/>
      <c r="D380" s="2621"/>
      <c r="E380" s="2621"/>
      <c r="F380" s="2621"/>
      <c r="G380" s="2621"/>
      <c r="H380" s="2621"/>
      <c r="I380" s="2621"/>
      <c r="J380" s="2622"/>
      <c r="K380" s="2622"/>
      <c r="L380" s="2622"/>
      <c r="M380" s="1580"/>
      <c r="N380" s="1580"/>
      <c r="O380" s="1580"/>
      <c r="P380" s="1580"/>
      <c r="Q380" s="1580"/>
      <c r="R380" s="1580"/>
    </row>
    <row r="381" customFormat="false" ht="23.25" hidden="false" customHeight="false" outlineLevel="0" collapsed="false">
      <c r="A381" s="2621"/>
      <c r="B381" s="2621"/>
      <c r="C381" s="2621"/>
      <c r="D381" s="2621"/>
      <c r="E381" s="2621"/>
      <c r="F381" s="2621"/>
      <c r="G381" s="2621"/>
      <c r="H381" s="2621"/>
      <c r="I381" s="2621"/>
      <c r="J381" s="2622"/>
      <c r="K381" s="2622"/>
      <c r="L381" s="2622"/>
      <c r="M381" s="1580"/>
      <c r="N381" s="1580"/>
      <c r="O381" s="1580"/>
      <c r="P381" s="1580"/>
      <c r="Q381" s="1580"/>
      <c r="R381" s="1580"/>
    </row>
    <row r="382" customFormat="false" ht="23.25" hidden="false" customHeight="false" outlineLevel="0" collapsed="false">
      <c r="A382" s="2623" t="s">
        <v>461</v>
      </c>
      <c r="B382" s="2623"/>
      <c r="C382" s="2623"/>
      <c r="D382" s="2623"/>
      <c r="E382" s="2623"/>
      <c r="F382" s="2623"/>
      <c r="G382" s="2624" t="n">
        <f aca="false">'Ввод данных'!D1209</f>
        <v>1</v>
      </c>
      <c r="H382" s="2625" t="n">
        <f aca="false">'Ввод данных'!D1210</f>
        <v>1</v>
      </c>
      <c r="I382" s="2625"/>
      <c r="J382" s="2625"/>
      <c r="K382" s="2625"/>
      <c r="L382" s="2625"/>
      <c r="M382" s="1579"/>
      <c r="N382" s="1579"/>
      <c r="O382" s="1579"/>
      <c r="P382" s="1579"/>
      <c r="Q382" s="1579"/>
      <c r="R382" s="1579"/>
    </row>
    <row r="383" customFormat="false" ht="23.25" hidden="false" customHeight="false" outlineLevel="0" collapsed="false">
      <c r="A383" s="2623"/>
      <c r="B383" s="2623"/>
      <c r="C383" s="2623"/>
      <c r="D383" s="2623"/>
      <c r="E383" s="2623"/>
      <c r="F383" s="2623"/>
      <c r="G383" s="2626"/>
      <c r="H383" s="2625"/>
      <c r="I383" s="2625"/>
      <c r="J383" s="2625"/>
      <c r="K383" s="2625"/>
      <c r="L383" s="2625"/>
      <c r="M383" s="1579"/>
      <c r="N383" s="1579"/>
      <c r="O383" s="1579"/>
      <c r="P383" s="1579"/>
      <c r="Q383" s="1579"/>
      <c r="R383" s="1579"/>
    </row>
    <row r="384" customFormat="false" ht="15.75" hidden="false" customHeight="false" outlineLevel="0" collapsed="false">
      <c r="A384" s="2627" t="s">
        <v>787</v>
      </c>
      <c r="B384" s="2628" t="s">
        <v>820</v>
      </c>
      <c r="C384" s="2629" t="n">
        <f aca="false">дома!E61</f>
        <v>1.2</v>
      </c>
      <c r="D384" s="2588" t="n">
        <f aca="false">VLOOKUP('Ввод данных'!C1219,связи1!A2:B3,2,0)</f>
        <v>1</v>
      </c>
      <c r="E384" s="832" t="s">
        <v>787</v>
      </c>
      <c r="F384" s="2630"/>
      <c r="G384" s="2630"/>
      <c r="H384" s="1580"/>
      <c r="I384" s="1580"/>
      <c r="J384" s="1580"/>
      <c r="K384" s="1580"/>
      <c r="L384" s="1580"/>
      <c r="M384" s="1580"/>
      <c r="N384" s="1580"/>
      <c r="O384" s="1580"/>
      <c r="P384" s="1580"/>
      <c r="Q384" s="1580"/>
      <c r="R384" s="1580"/>
    </row>
    <row r="385" customFormat="false" ht="15.75" hidden="false" customHeight="false" outlineLevel="0" collapsed="false">
      <c r="A385" s="767" t="s">
        <v>788</v>
      </c>
      <c r="B385" s="2587" t="s">
        <v>48</v>
      </c>
      <c r="C385" s="2586" t="n">
        <f aca="false">'Ввод данных'!E163+'Ввод данных'!E172</f>
        <v>0</v>
      </c>
      <c r="D385" s="2588" t="n">
        <f aca="false">VLOOKUP('Ввод данных'!C1220,связи1!A2:B3,2,0)</f>
        <v>1</v>
      </c>
      <c r="E385" s="832" t="s">
        <v>788</v>
      </c>
      <c r="F385" s="2630"/>
      <c r="G385" s="2630"/>
      <c r="H385" s="1580"/>
      <c r="I385" s="1580"/>
      <c r="J385" s="1580"/>
      <c r="K385" s="1580"/>
      <c r="L385" s="1580"/>
      <c r="M385" s="1580"/>
      <c r="N385" s="1580"/>
      <c r="O385" s="1580"/>
      <c r="P385" s="1580"/>
      <c r="Q385" s="1580"/>
      <c r="R385" s="1580"/>
    </row>
    <row r="386" customFormat="false" ht="15.75" hidden="false" customHeight="false" outlineLevel="0" collapsed="false">
      <c r="A386" s="767" t="s">
        <v>789</v>
      </c>
      <c r="B386" s="2587" t="s">
        <v>15</v>
      </c>
      <c r="C386" s="2587" t="n">
        <f aca="false">дома!F1752</f>
        <v>1</v>
      </c>
      <c r="D386" s="2588" t="n">
        <f aca="false">VLOOKUP('Ввод данных'!C1221,связи1!A2:B3,2,0)</f>
        <v>1</v>
      </c>
      <c r="E386" s="832" t="s">
        <v>789</v>
      </c>
      <c r="F386" s="2630"/>
      <c r="G386" s="2630"/>
      <c r="H386" s="1580"/>
      <c r="I386" s="1580"/>
      <c r="J386" s="1580"/>
      <c r="K386" s="1580"/>
      <c r="L386" s="1580"/>
      <c r="M386" s="1580"/>
      <c r="N386" s="1580"/>
      <c r="O386" s="1580"/>
      <c r="P386" s="1580"/>
      <c r="Q386" s="1580"/>
      <c r="R386" s="1580"/>
    </row>
    <row r="387" customFormat="false" ht="15.75" hidden="false" customHeight="false" outlineLevel="0" collapsed="false">
      <c r="A387" s="767" t="s">
        <v>790</v>
      </c>
      <c r="B387" s="2587" t="s">
        <v>15</v>
      </c>
      <c r="C387" s="2587" t="n">
        <f aca="false">дома!F1753</f>
        <v>3.4</v>
      </c>
      <c r="D387" s="2588" t="n">
        <f aca="false">VLOOKUP('Ввод данных'!C1222,связи1!A2:B3,2,0)</f>
        <v>1</v>
      </c>
      <c r="E387" s="832" t="s">
        <v>790</v>
      </c>
      <c r="F387" s="2630"/>
      <c r="G387" s="2630"/>
      <c r="H387" s="1580"/>
      <c r="I387" s="1580"/>
      <c r="J387" s="1580"/>
      <c r="K387" s="1580"/>
      <c r="L387" s="1580"/>
      <c r="M387" s="1580"/>
      <c r="N387" s="1580"/>
      <c r="O387" s="1580"/>
      <c r="P387" s="1580"/>
      <c r="Q387" s="1580"/>
      <c r="R387" s="1580"/>
    </row>
    <row r="388" customFormat="false" ht="15.75" hidden="false" customHeight="false" outlineLevel="0" collapsed="false">
      <c r="A388" s="767" t="s">
        <v>791</v>
      </c>
      <c r="B388" s="2587" t="s">
        <v>15</v>
      </c>
      <c r="C388" s="2587" t="n">
        <f aca="false">C387</f>
        <v>3.4</v>
      </c>
      <c r="D388" s="2588" t="n">
        <f aca="false">VLOOKUP('Ввод данных'!C1223,связи1!A2:B3,2,0)</f>
        <v>0</v>
      </c>
      <c r="E388" s="832" t="s">
        <v>791</v>
      </c>
      <c r="F388" s="2630"/>
      <c r="G388" s="2630"/>
      <c r="H388" s="1580"/>
      <c r="I388" s="1580"/>
      <c r="J388" s="1580"/>
      <c r="K388" s="1580"/>
      <c r="L388" s="1580"/>
      <c r="M388" s="1580"/>
      <c r="N388" s="1580"/>
      <c r="O388" s="1580"/>
      <c r="P388" s="1580"/>
      <c r="Q388" s="1580"/>
      <c r="R388" s="1580"/>
    </row>
    <row r="389" customFormat="false" ht="15.75" hidden="false" customHeight="false" outlineLevel="0" collapsed="false">
      <c r="A389" s="767" t="s">
        <v>792</v>
      </c>
      <c r="B389" s="2587" t="s">
        <v>15</v>
      </c>
      <c r="C389" s="2587" t="n">
        <f aca="false">C386</f>
        <v>1</v>
      </c>
      <c r="D389" s="2588" t="n">
        <f aca="false">VLOOKUP('Ввод данных'!C1224,связи1!A2:B3,2,0)</f>
        <v>0</v>
      </c>
      <c r="E389" s="832" t="s">
        <v>792</v>
      </c>
      <c r="F389" s="2630"/>
      <c r="G389" s="2630"/>
      <c r="H389" s="1580"/>
      <c r="I389" s="1580"/>
      <c r="J389" s="1580"/>
      <c r="K389" s="1580"/>
      <c r="L389" s="1580"/>
      <c r="M389" s="1580"/>
      <c r="N389" s="1580"/>
      <c r="O389" s="1580"/>
      <c r="P389" s="1580"/>
      <c r="Q389" s="1580"/>
      <c r="R389" s="1580"/>
    </row>
    <row r="390" customFormat="false" ht="15.75" hidden="false" customHeight="false" outlineLevel="0" collapsed="false">
      <c r="A390" s="837" t="s">
        <v>1839</v>
      </c>
      <c r="B390" s="2587" t="s">
        <v>48</v>
      </c>
      <c r="C390" s="2587" t="n">
        <f aca="false">дома!K1312+дома!K1313+дома!K1314</f>
        <v>1</v>
      </c>
      <c r="D390" s="2588" t="n">
        <f aca="false">VLOOKUP('Ввод данных'!C1226,связи1!A2:B3,2,0)</f>
        <v>1</v>
      </c>
      <c r="E390" s="832" t="s">
        <v>794</v>
      </c>
      <c r="F390" s="2630"/>
      <c r="G390" s="2630"/>
      <c r="H390" s="1580"/>
      <c r="I390" s="1580"/>
      <c r="J390" s="1580"/>
      <c r="K390" s="1580"/>
      <c r="L390" s="1580"/>
      <c r="M390" s="1580"/>
      <c r="N390" s="1580"/>
      <c r="O390" s="1580"/>
      <c r="P390" s="1580"/>
      <c r="Q390" s="1580"/>
      <c r="R390" s="1580"/>
    </row>
    <row r="391" customFormat="false" ht="15.75" hidden="false" customHeight="false" outlineLevel="0" collapsed="false">
      <c r="A391" s="837" t="s">
        <v>1836</v>
      </c>
      <c r="B391" s="2587" t="s">
        <v>820</v>
      </c>
      <c r="C391" s="2587" t="n">
        <f aca="false">дома!E59+дома!E60</f>
        <v>0</v>
      </c>
      <c r="D391" s="2615" t="n">
        <f aca="false">VLOOKUP('Ввод данных'!C1225,связи1!A2:B3,2,0)</f>
        <v>0</v>
      </c>
      <c r="E391" s="832" t="s">
        <v>4045</v>
      </c>
      <c r="F391" s="2630"/>
      <c r="G391" s="2630"/>
      <c r="H391" s="1580"/>
      <c r="I391" s="1580"/>
      <c r="J391" s="1580"/>
      <c r="K391" s="1580"/>
      <c r="L391" s="1580"/>
      <c r="M391" s="1580"/>
      <c r="N391" s="1580"/>
      <c r="O391" s="1580"/>
      <c r="P391" s="1580"/>
      <c r="Q391" s="1580"/>
      <c r="R391" s="1580"/>
    </row>
    <row r="392" customFormat="false" ht="15.75" hidden="false" customHeight="false" outlineLevel="0" collapsed="false">
      <c r="A392" s="2631" t="s">
        <v>2246</v>
      </c>
      <c r="B392" s="1556" t="s">
        <v>1738</v>
      </c>
      <c r="C392" s="1556" t="s">
        <v>118</v>
      </c>
      <c r="D392" s="1556" t="s">
        <v>3797</v>
      </c>
      <c r="E392" s="1555" t="s">
        <v>2916</v>
      </c>
      <c r="F392" s="2589"/>
      <c r="G392" s="738" t="s">
        <v>3800</v>
      </c>
      <c r="H392" s="738"/>
      <c r="I392" s="739" t="s">
        <v>1738</v>
      </c>
      <c r="J392" s="837" t="s">
        <v>118</v>
      </c>
      <c r="K392" s="837" t="s">
        <v>2915</v>
      </c>
      <c r="L392" s="837" t="s">
        <v>2916</v>
      </c>
      <c r="M392" s="1580"/>
      <c r="N392" s="1580"/>
      <c r="O392" s="1580"/>
      <c r="P392" s="1580"/>
      <c r="Q392" s="1580"/>
      <c r="R392" s="1580"/>
    </row>
    <row r="393" customFormat="false" ht="15.75" hidden="false" customHeight="false" outlineLevel="0" collapsed="false">
      <c r="A393" s="837" t="s">
        <v>1824</v>
      </c>
      <c r="B393" s="739" t="s">
        <v>820</v>
      </c>
      <c r="C393" s="837" t="n">
        <f aca="false">C384*G382</f>
        <v>1.2</v>
      </c>
      <c r="D393" s="837" t="n">
        <f aca="false">'Прайс лист'!G1137</f>
        <v>3500</v>
      </c>
      <c r="E393" s="837" t="n">
        <f aca="false">C393*D393</f>
        <v>4200</v>
      </c>
      <c r="F393" s="2589"/>
      <c r="G393" s="738" t="s">
        <v>2109</v>
      </c>
      <c r="H393" s="738"/>
      <c r="I393" s="739" t="s">
        <v>48</v>
      </c>
      <c r="J393" s="837" t="n">
        <f aca="false">C405*H382</f>
        <v>1</v>
      </c>
      <c r="K393" s="837" t="n">
        <f aca="false">'Прайс лист'!G1531</f>
        <v>1000</v>
      </c>
      <c r="L393" s="837" t="n">
        <f aca="false">J393*K393</f>
        <v>1000</v>
      </c>
      <c r="M393" s="1580"/>
      <c r="N393" s="1580"/>
      <c r="O393" s="1580"/>
      <c r="P393" s="1580"/>
      <c r="Q393" s="1580"/>
      <c r="R393" s="1580"/>
    </row>
    <row r="394" customFormat="false" ht="15.75" hidden="false" customHeight="false" outlineLevel="0" collapsed="false">
      <c r="A394" s="837" t="s">
        <v>1825</v>
      </c>
      <c r="B394" s="739" t="s">
        <v>15</v>
      </c>
      <c r="C394" s="837" t="n">
        <f aca="false">C386*D386*G382</f>
        <v>1</v>
      </c>
      <c r="D394" s="837" t="n">
        <f aca="false">'Прайс лист'!G1138</f>
        <v>200</v>
      </c>
      <c r="E394" s="837" t="n">
        <f aca="false">C394*D394</f>
        <v>200</v>
      </c>
      <c r="F394" s="2589"/>
      <c r="G394" s="738" t="s">
        <v>2110</v>
      </c>
      <c r="H394" s="738"/>
      <c r="I394" s="739" t="s">
        <v>48</v>
      </c>
      <c r="J394" s="837" t="n">
        <f aca="false">C394*H382</f>
        <v>1</v>
      </c>
      <c r="K394" s="837" t="n">
        <f aca="false">'Прайс лист'!G1532</f>
        <v>400</v>
      </c>
      <c r="L394" s="837" t="n">
        <f aca="false">J394*K394</f>
        <v>400</v>
      </c>
      <c r="M394" s="1580"/>
      <c r="N394" s="1580"/>
      <c r="O394" s="1580"/>
      <c r="P394" s="1580"/>
      <c r="Q394" s="1580"/>
      <c r="R394" s="1580"/>
    </row>
    <row r="395" customFormat="false" ht="15.75" hidden="false" customHeight="false" outlineLevel="0" collapsed="false">
      <c r="A395" s="837" t="s">
        <v>1826</v>
      </c>
      <c r="B395" s="739" t="s">
        <v>48</v>
      </c>
      <c r="C395" s="837" t="n">
        <f aca="false">C387*G382*D387</f>
        <v>3.4</v>
      </c>
      <c r="D395" s="837" t="n">
        <f aca="false">'Прайс лист'!G1139</f>
        <v>50</v>
      </c>
      <c r="E395" s="837" t="n">
        <f aca="false">C395*D395</f>
        <v>170</v>
      </c>
      <c r="F395" s="2589"/>
      <c r="G395" s="738" t="s">
        <v>2277</v>
      </c>
      <c r="H395" s="738"/>
      <c r="I395" s="739" t="s">
        <v>48</v>
      </c>
      <c r="J395" s="837" t="n">
        <f aca="false">C396*H382</f>
        <v>3.4</v>
      </c>
      <c r="K395" s="837" t="n">
        <f aca="false">'Прайс лист'!G1533</f>
        <v>150</v>
      </c>
      <c r="L395" s="837" t="n">
        <f aca="false">J395*K395</f>
        <v>510</v>
      </c>
      <c r="M395" s="1580"/>
      <c r="N395" s="1580"/>
      <c r="O395" s="1580"/>
      <c r="P395" s="1580"/>
      <c r="Q395" s="1580"/>
      <c r="R395" s="1580"/>
    </row>
    <row r="396" customFormat="false" ht="15.75" hidden="false" customHeight="false" outlineLevel="0" collapsed="false">
      <c r="A396" s="837" t="s">
        <v>1827</v>
      </c>
      <c r="B396" s="739" t="s">
        <v>48</v>
      </c>
      <c r="C396" s="837" t="n">
        <f aca="false">C387*G382*D387</f>
        <v>3.4</v>
      </c>
      <c r="D396" s="837" t="n">
        <f aca="false">'Прайс лист'!G1140</f>
        <v>100</v>
      </c>
      <c r="E396" s="837" t="n">
        <f aca="false">C396*D396</f>
        <v>340</v>
      </c>
      <c r="F396" s="2589"/>
      <c r="G396" s="738" t="s">
        <v>2278</v>
      </c>
      <c r="H396" s="738"/>
      <c r="I396" s="739" t="s">
        <v>48</v>
      </c>
      <c r="J396" s="837" t="n">
        <f aca="false">C395*H382</f>
        <v>3.4</v>
      </c>
      <c r="K396" s="837" t="n">
        <f aca="false">'Прайс лист'!G1534</f>
        <v>50</v>
      </c>
      <c r="L396" s="837" t="n">
        <f aca="false">J396*K396</f>
        <v>170</v>
      </c>
      <c r="M396" s="1580"/>
      <c r="N396" s="1580"/>
      <c r="O396" s="1580"/>
      <c r="P396" s="1580"/>
      <c r="Q396" s="1580"/>
      <c r="R396" s="1580"/>
    </row>
    <row r="397" customFormat="false" ht="15.75" hidden="false" customHeight="false" outlineLevel="0" collapsed="false">
      <c r="A397" s="837" t="s">
        <v>1828</v>
      </c>
      <c r="B397" s="739" t="s">
        <v>48</v>
      </c>
      <c r="C397" s="837" t="n">
        <f aca="false">C395*D387*G382</f>
        <v>3.4</v>
      </c>
      <c r="D397" s="837" t="n">
        <f aca="false">'Прайс лист'!G1141</f>
        <v>50</v>
      </c>
      <c r="E397" s="837" t="n">
        <f aca="false">C397*D397</f>
        <v>170</v>
      </c>
      <c r="F397" s="2589"/>
      <c r="G397" s="738" t="s">
        <v>2279</v>
      </c>
      <c r="H397" s="738"/>
      <c r="I397" s="739" t="s">
        <v>48</v>
      </c>
      <c r="J397" s="837" t="n">
        <f aca="false">C397*H382</f>
        <v>3.4</v>
      </c>
      <c r="K397" s="837" t="n">
        <f aca="false">'Прайс лист'!G1535</f>
        <v>50</v>
      </c>
      <c r="L397" s="837" t="n">
        <f aca="false">J397*K397</f>
        <v>170</v>
      </c>
      <c r="M397" s="1580"/>
      <c r="N397" s="1580"/>
      <c r="O397" s="1580"/>
      <c r="P397" s="1580"/>
      <c r="Q397" s="1580"/>
      <c r="R397" s="1580"/>
    </row>
    <row r="398" customFormat="false" ht="15.75" hidden="false" customHeight="false" outlineLevel="0" collapsed="false">
      <c r="A398" s="877" t="s">
        <v>1829</v>
      </c>
      <c r="B398" s="739" t="s">
        <v>48</v>
      </c>
      <c r="C398" s="837" t="n">
        <f aca="false">C389*D389*G382</f>
        <v>0</v>
      </c>
      <c r="D398" s="837" t="n">
        <f aca="false">'Прайс лист'!G1142</f>
        <v>130</v>
      </c>
      <c r="E398" s="837" t="n">
        <f aca="false">C398*D398</f>
        <v>0</v>
      </c>
      <c r="F398" s="2589"/>
      <c r="G398" s="738" t="s">
        <v>2114</v>
      </c>
      <c r="H398" s="738"/>
      <c r="I398" s="739" t="s">
        <v>48</v>
      </c>
      <c r="J398" s="837" t="n">
        <f aca="false">C398*H382</f>
        <v>0</v>
      </c>
      <c r="K398" s="837" t="n">
        <f aca="false">'Прайс лист'!G1536</f>
        <v>150</v>
      </c>
      <c r="L398" s="837" t="n">
        <f aca="false">J398*K398</f>
        <v>0</v>
      </c>
      <c r="M398" s="1580"/>
      <c r="N398" s="1580"/>
      <c r="O398" s="1580"/>
      <c r="P398" s="1580"/>
      <c r="Q398" s="1580"/>
      <c r="R398" s="1580"/>
    </row>
    <row r="399" customFormat="false" ht="15.75" hidden="false" customHeight="false" outlineLevel="0" collapsed="false">
      <c r="A399" s="837" t="s">
        <v>1830</v>
      </c>
      <c r="B399" s="739" t="s">
        <v>48</v>
      </c>
      <c r="C399" s="837" t="n">
        <f aca="false">C388*D388*G382</f>
        <v>0</v>
      </c>
      <c r="D399" s="837" t="n">
        <f aca="false">'Прайс лист'!G1143</f>
        <v>150</v>
      </c>
      <c r="E399" s="837" t="n">
        <f aca="false">C399*D399</f>
        <v>0</v>
      </c>
      <c r="F399" s="2589"/>
      <c r="G399" s="738" t="s">
        <v>2280</v>
      </c>
      <c r="H399" s="738"/>
      <c r="I399" s="739" t="s">
        <v>48</v>
      </c>
      <c r="J399" s="837" t="n">
        <f aca="false">C399*H382</f>
        <v>0</v>
      </c>
      <c r="K399" s="837" t="n">
        <f aca="false">'Прайс лист'!G1537</f>
        <v>250</v>
      </c>
      <c r="L399" s="837" t="n">
        <f aca="false">J399*K399</f>
        <v>0</v>
      </c>
      <c r="M399" s="1580"/>
      <c r="N399" s="1580"/>
      <c r="O399" s="1580"/>
      <c r="P399" s="1580"/>
      <c r="Q399" s="1580"/>
      <c r="R399" s="1580"/>
    </row>
    <row r="400" customFormat="false" ht="15.75" hidden="false" customHeight="false" outlineLevel="0" collapsed="false">
      <c r="A400" s="837" t="s">
        <v>1831</v>
      </c>
      <c r="B400" s="739" t="s">
        <v>48</v>
      </c>
      <c r="C400" s="837" t="n">
        <f aca="false">C388*D388*G382</f>
        <v>0</v>
      </c>
      <c r="D400" s="837" t="n">
        <f aca="false">'Прайс лист'!G1144</f>
        <v>80</v>
      </c>
      <c r="E400" s="837" t="n">
        <f aca="false">C400*D400</f>
        <v>0</v>
      </c>
      <c r="F400" s="2589"/>
      <c r="G400" s="738" t="s">
        <v>2281</v>
      </c>
      <c r="H400" s="738"/>
      <c r="I400" s="739" t="s">
        <v>48</v>
      </c>
      <c r="J400" s="837" t="n">
        <f aca="false">C400*H382</f>
        <v>0</v>
      </c>
      <c r="K400" s="837" t="n">
        <f aca="false">'Прайс лист'!G1538</f>
        <v>50</v>
      </c>
      <c r="L400" s="837" t="n">
        <f aca="false">J400*K400</f>
        <v>0</v>
      </c>
      <c r="M400" s="1580"/>
      <c r="N400" s="1580"/>
      <c r="O400" s="1580"/>
      <c r="P400" s="1580"/>
      <c r="Q400" s="1580"/>
      <c r="R400" s="1580"/>
    </row>
    <row r="401" customFormat="false" ht="15.75" hidden="false" customHeight="false" outlineLevel="0" collapsed="false">
      <c r="A401" s="837" t="s">
        <v>1832</v>
      </c>
      <c r="B401" s="739" t="s">
        <v>48</v>
      </c>
      <c r="C401" s="837" t="n">
        <f aca="false">C399*D388*G382</f>
        <v>0</v>
      </c>
      <c r="D401" s="837" t="n">
        <f aca="false">'Прайс лист'!G1145</f>
        <v>60</v>
      </c>
      <c r="E401" s="837" t="n">
        <f aca="false">C401*D401</f>
        <v>0</v>
      </c>
      <c r="F401" s="2589"/>
      <c r="G401" s="738" t="s">
        <v>2282</v>
      </c>
      <c r="H401" s="738"/>
      <c r="I401" s="739" t="s">
        <v>48</v>
      </c>
      <c r="J401" s="837" t="n">
        <f aca="false">C401*H382</f>
        <v>0</v>
      </c>
      <c r="K401" s="837" t="n">
        <f aca="false">'Прайс лист'!G1539</f>
        <v>50</v>
      </c>
      <c r="L401" s="837" t="n">
        <f aca="false">J401*K401</f>
        <v>0</v>
      </c>
      <c r="M401" s="1580"/>
      <c r="N401" s="1580"/>
      <c r="O401" s="1580"/>
      <c r="P401" s="1580"/>
      <c r="Q401" s="1580"/>
      <c r="R401" s="1580"/>
    </row>
    <row r="402" customFormat="false" ht="15.75" hidden="false" customHeight="false" outlineLevel="0" collapsed="false">
      <c r="A402" s="837" t="s">
        <v>1833</v>
      </c>
      <c r="B402" s="739" t="s">
        <v>15</v>
      </c>
      <c r="C402" s="837" t="n">
        <f aca="false">C399*G382</f>
        <v>0</v>
      </c>
      <c r="D402" s="837" t="n">
        <f aca="false">'Прайс лист'!G1146</f>
        <v>40</v>
      </c>
      <c r="E402" s="837" t="n">
        <f aca="false">C402*D402</f>
        <v>0</v>
      </c>
      <c r="F402" s="2589"/>
      <c r="G402" s="738" t="s">
        <v>2118</v>
      </c>
      <c r="H402" s="738"/>
      <c r="I402" s="739" t="s">
        <v>15</v>
      </c>
      <c r="J402" s="837" t="n">
        <f aca="false">C402*H382</f>
        <v>0</v>
      </c>
      <c r="K402" s="837" t="n">
        <f aca="false">'Прайс лист'!G1540</f>
        <v>50</v>
      </c>
      <c r="L402" s="837" t="n">
        <f aca="false">J402*K402</f>
        <v>0</v>
      </c>
      <c r="M402" s="1580"/>
      <c r="N402" s="1580"/>
      <c r="O402" s="1580"/>
      <c r="P402" s="1580"/>
      <c r="Q402" s="1580"/>
      <c r="R402" s="1580"/>
    </row>
    <row r="403" customFormat="false" ht="15.75" hidden="false" customHeight="false" outlineLevel="0" collapsed="false">
      <c r="A403" s="837" t="s">
        <v>1834</v>
      </c>
      <c r="B403" s="739" t="s">
        <v>48</v>
      </c>
      <c r="C403" s="837" t="n">
        <f aca="false">C395*G382</f>
        <v>3.4</v>
      </c>
      <c r="D403" s="837" t="n">
        <f aca="false">'Прайс лист'!G1147</f>
        <v>40</v>
      </c>
      <c r="E403" s="837" t="n">
        <f aca="false">C403*D403</f>
        <v>136</v>
      </c>
      <c r="F403" s="2589"/>
      <c r="G403" s="738" t="s">
        <v>2119</v>
      </c>
      <c r="H403" s="738"/>
      <c r="I403" s="739" t="s">
        <v>15</v>
      </c>
      <c r="J403" s="837" t="n">
        <f aca="false">C403*H382</f>
        <v>3.4</v>
      </c>
      <c r="K403" s="837" t="n">
        <f aca="false">'Прайс лист'!G1541</f>
        <v>50</v>
      </c>
      <c r="L403" s="837" t="n">
        <f aca="false">J403*K403</f>
        <v>170</v>
      </c>
      <c r="M403" s="1580"/>
      <c r="N403" s="1580"/>
      <c r="O403" s="1580"/>
      <c r="P403" s="1580"/>
      <c r="Q403" s="1580"/>
      <c r="R403" s="1580"/>
    </row>
    <row r="404" customFormat="false" ht="15.75" hidden="false" customHeight="false" outlineLevel="0" collapsed="false">
      <c r="A404" s="837" t="s">
        <v>1835</v>
      </c>
      <c r="B404" s="739" t="s">
        <v>48</v>
      </c>
      <c r="C404" s="837" t="n">
        <f aca="false">(D325+D326+D327+D328)*8*G382</f>
        <v>8</v>
      </c>
      <c r="D404" s="837" t="n">
        <f aca="false">'Прайс лист'!G1148</f>
        <v>15</v>
      </c>
      <c r="E404" s="837" t="n">
        <f aca="false">C404*D404</f>
        <v>120</v>
      </c>
      <c r="F404" s="2589"/>
      <c r="G404" s="738" t="str">
        <f aca="false">A410</f>
        <v>Двери входные</v>
      </c>
      <c r="H404" s="738"/>
      <c r="I404" s="739" t="s">
        <v>48</v>
      </c>
      <c r="J404" s="837" t="n">
        <f aca="false">C410*H382</f>
        <v>1</v>
      </c>
      <c r="K404" s="837" t="n">
        <f aca="false">'Прайс лист'!G1542</f>
        <v>2000</v>
      </c>
      <c r="L404" s="837" t="n">
        <f aca="false">J404*K404</f>
        <v>2000</v>
      </c>
      <c r="M404" s="1580"/>
      <c r="N404" s="1580"/>
      <c r="O404" s="1580"/>
      <c r="P404" s="1580"/>
      <c r="Q404" s="1580"/>
      <c r="R404" s="1580"/>
    </row>
    <row r="405" customFormat="false" ht="15.75" hidden="false" customHeight="false" outlineLevel="0" collapsed="false">
      <c r="A405" s="837" t="str">
        <f aca="false">'Прайс лист'!B747</f>
        <v>Пена монтажная, всесезонняя 800мл</v>
      </c>
      <c r="B405" s="739" t="s">
        <v>48</v>
      </c>
      <c r="C405" s="837" t="n">
        <f aca="false">('Ввод данных'!E158+'Ввод данных'!E159+'Ввод данных'!E160+'Ввод данных'!E161+'Ввод данных'!E162+'Ввод данных'!E167+'Ввод данных'!E168+'Ввод данных'!E169+'Ввод данных'!E170+'Ввод данных'!E171)*G382</f>
        <v>1</v>
      </c>
      <c r="D405" s="837" t="n">
        <f aca="false">'Прайс лист'!G747</f>
        <v>300</v>
      </c>
      <c r="E405" s="837" t="n">
        <f aca="false">C405*D405</f>
        <v>300</v>
      </c>
      <c r="F405" s="2589"/>
      <c r="G405" s="2632" t="s">
        <v>2283</v>
      </c>
      <c r="H405" s="2633"/>
      <c r="I405" s="739" t="s">
        <v>48</v>
      </c>
      <c r="J405" s="837" t="n">
        <f aca="false">(D329+D330)*D391*H382</f>
        <v>0</v>
      </c>
      <c r="K405" s="837" t="n">
        <f aca="false">'Прайс лист'!G1544</f>
        <v>4500</v>
      </c>
      <c r="L405" s="837" t="n">
        <f aca="false">J405*K405</f>
        <v>0</v>
      </c>
      <c r="M405" s="1580"/>
      <c r="N405" s="1580"/>
      <c r="O405" s="1580"/>
      <c r="P405" s="1580"/>
      <c r="Q405" s="1580"/>
      <c r="R405" s="1580"/>
    </row>
    <row r="406" customFormat="false" ht="15.75" hidden="false" customHeight="false" outlineLevel="0" collapsed="false">
      <c r="A406" s="837" t="s">
        <v>1836</v>
      </c>
      <c r="B406" s="739" t="s">
        <v>820</v>
      </c>
      <c r="C406" s="837" t="n">
        <f aca="false">C391*D391*G382</f>
        <v>0</v>
      </c>
      <c r="D406" s="837" t="n">
        <f aca="false">'Прайс лист'!G1149</f>
        <v>6000</v>
      </c>
      <c r="E406" s="837" t="n">
        <f aca="false">C406*D406</f>
        <v>0</v>
      </c>
      <c r="F406" s="2589"/>
      <c r="M406" s="1580"/>
      <c r="N406" s="1580"/>
      <c r="O406" s="1580"/>
      <c r="P406" s="1580"/>
      <c r="Q406" s="1580"/>
      <c r="R406" s="1580"/>
    </row>
    <row r="407" customFormat="false" ht="15.75" hidden="false" customHeight="false" outlineLevel="0" collapsed="false">
      <c r="A407" s="837" t="s">
        <v>1837</v>
      </c>
      <c r="B407" s="739" t="s">
        <v>48</v>
      </c>
      <c r="C407" s="837" t="n">
        <f aca="false">((B329*2+C329*2)*D329+(B330*2+C330*2)*D330)/0.4*D391*G382</f>
        <v>0</v>
      </c>
      <c r="D407" s="837" t="n">
        <f aca="false">'Прайс лист'!G1150</f>
        <v>20</v>
      </c>
      <c r="E407" s="837" t="n">
        <f aca="false">C407*D407</f>
        <v>0</v>
      </c>
      <c r="F407" s="2589"/>
      <c r="G407" s="2632"/>
      <c r="H407" s="2633"/>
      <c r="I407" s="739"/>
      <c r="J407" s="837"/>
      <c r="K407" s="837"/>
      <c r="L407" s="837"/>
      <c r="M407" s="1580"/>
      <c r="N407" s="1580"/>
      <c r="O407" s="1580"/>
      <c r="P407" s="1580"/>
      <c r="Q407" s="1580"/>
      <c r="R407" s="1580"/>
    </row>
    <row r="408" customFormat="false" ht="15.75" hidden="false" customHeight="false" outlineLevel="0" collapsed="false">
      <c r="A408" s="837" t="str">
        <f aca="false">A405</f>
        <v>Пена монтажная, всесезонняя 800мл</v>
      </c>
      <c r="B408" s="739" t="s">
        <v>48</v>
      </c>
      <c r="C408" s="837" t="n">
        <f aca="false">(D329+D330)*D391*G382</f>
        <v>0</v>
      </c>
      <c r="D408" s="837" t="n">
        <f aca="false">D405</f>
        <v>300</v>
      </c>
      <c r="E408" s="837" t="n">
        <f aca="false">C408*D408</f>
        <v>0</v>
      </c>
      <c r="F408" s="2589"/>
      <c r="G408" s="2632"/>
      <c r="H408" s="2633"/>
      <c r="I408" s="739"/>
      <c r="J408" s="837"/>
      <c r="K408" s="837"/>
      <c r="L408" s="837"/>
      <c r="M408" s="1580"/>
      <c r="N408" s="1580"/>
      <c r="O408" s="1580"/>
      <c r="P408" s="1580"/>
      <c r="Q408" s="1580"/>
      <c r="R408" s="1580"/>
    </row>
    <row r="409" customFormat="false" ht="15.75" hidden="false" customHeight="false" outlineLevel="0" collapsed="false">
      <c r="A409" s="837" t="s">
        <v>1838</v>
      </c>
      <c r="B409" s="739" t="s">
        <v>48</v>
      </c>
      <c r="C409" s="837" t="n">
        <f aca="false">C407*G382</f>
        <v>0</v>
      </c>
      <c r="D409" s="837" t="n">
        <f aca="false">'Прайс лист'!G1151</f>
        <v>25</v>
      </c>
      <c r="E409" s="837" t="n">
        <f aca="false">C409*D409</f>
        <v>0</v>
      </c>
      <c r="F409" s="2589"/>
      <c r="G409" s="2632"/>
      <c r="H409" s="2633"/>
      <c r="I409" s="739"/>
      <c r="J409" s="837"/>
      <c r="K409" s="837"/>
      <c r="L409" s="837"/>
      <c r="M409" s="1580"/>
      <c r="N409" s="1580"/>
      <c r="O409" s="1580"/>
      <c r="P409" s="1580"/>
      <c r="Q409" s="1580"/>
      <c r="R409" s="1580"/>
    </row>
    <row r="410" customFormat="false" ht="15.75" hidden="false" customHeight="false" outlineLevel="0" collapsed="false">
      <c r="A410" s="837" t="s">
        <v>1839</v>
      </c>
      <c r="B410" s="739" t="s">
        <v>48</v>
      </c>
      <c r="C410" s="837" t="n">
        <f aca="false">C390*G382*D390*G382</f>
        <v>1</v>
      </c>
      <c r="D410" s="837" t="n">
        <f aca="false">'Прайс лист'!G1152</f>
        <v>12000</v>
      </c>
      <c r="E410" s="837" t="n">
        <f aca="false">C410*D410</f>
        <v>12000</v>
      </c>
      <c r="F410" s="2589"/>
      <c r="G410" s="739"/>
      <c r="H410" s="739"/>
      <c r="I410" s="739"/>
      <c r="J410" s="837"/>
      <c r="K410" s="837"/>
      <c r="L410" s="837"/>
      <c r="M410" s="1580"/>
      <c r="N410" s="1580"/>
      <c r="O410" s="1580"/>
      <c r="P410" s="1580"/>
      <c r="Q410" s="1580"/>
      <c r="R410" s="1580"/>
    </row>
    <row r="411" customFormat="false" ht="15.75" hidden="false" customHeight="false" outlineLevel="0" collapsed="false">
      <c r="A411" s="837" t="s">
        <v>4046</v>
      </c>
      <c r="B411" s="739" t="s">
        <v>48</v>
      </c>
      <c r="C411" s="837" t="n">
        <f aca="false">(C410)*6*G382</f>
        <v>6</v>
      </c>
      <c r="D411" s="837" t="n">
        <f aca="false">'Прайс лист'!G1156</f>
        <v>0</v>
      </c>
      <c r="E411" s="837" t="n">
        <f aca="false">C411*D411</f>
        <v>0</v>
      </c>
      <c r="F411" s="2589"/>
      <c r="G411" s="739"/>
      <c r="H411" s="739"/>
      <c r="I411" s="739"/>
      <c r="J411" s="837"/>
      <c r="K411" s="837"/>
      <c r="L411" s="837"/>
      <c r="M411" s="1580"/>
      <c r="N411" s="1580"/>
      <c r="O411" s="1580"/>
      <c r="P411" s="1580"/>
      <c r="Q411" s="1580"/>
      <c r="R411" s="1580"/>
    </row>
    <row r="412" customFormat="false" ht="15.75" hidden="false" customHeight="false" outlineLevel="0" collapsed="false">
      <c r="A412" s="837" t="s">
        <v>1524</v>
      </c>
      <c r="B412" s="739" t="s">
        <v>48</v>
      </c>
      <c r="C412" s="837" t="n">
        <f aca="false">C410*G382</f>
        <v>1</v>
      </c>
      <c r="D412" s="837" t="n">
        <f aca="false">'Прайс лист'!G1157</f>
        <v>0</v>
      </c>
      <c r="E412" s="837" t="n">
        <f aca="false">C412*D412</f>
        <v>0</v>
      </c>
      <c r="F412" s="2589"/>
      <c r="G412" s="739"/>
      <c r="H412" s="739"/>
      <c r="I412" s="739"/>
      <c r="J412" s="837"/>
      <c r="K412" s="837"/>
      <c r="L412" s="837"/>
      <c r="M412" s="1580"/>
      <c r="N412" s="1580"/>
      <c r="O412" s="1580"/>
      <c r="P412" s="1580"/>
      <c r="Q412" s="1580"/>
      <c r="R412" s="1580"/>
    </row>
    <row r="413" customFormat="false" ht="15.75" hidden="false" customHeight="false" outlineLevel="0" collapsed="false">
      <c r="A413" s="837" t="str">
        <f aca="false">'Ввод данных'!A1229</f>
        <v>Нет техники</v>
      </c>
      <c r="B413" s="837" t="str">
        <f aca="false">'Ввод данных'!B1229</f>
        <v>час</v>
      </c>
      <c r="C413" s="837" t="n">
        <f aca="false">'Ввод данных'!C1229</f>
        <v>0</v>
      </c>
      <c r="D413" s="837" t="n">
        <f aca="false">VLOOKUP(A413,'Прайс лист'!B192:G206,6,0)</f>
        <v>0</v>
      </c>
      <c r="E413" s="837" t="n">
        <f aca="false">C413*D413</f>
        <v>0</v>
      </c>
      <c r="F413" s="2589"/>
      <c r="G413" s="2634"/>
      <c r="H413" s="2635"/>
      <c r="I413" s="739"/>
      <c r="J413" s="837"/>
      <c r="K413" s="837"/>
      <c r="L413" s="837"/>
      <c r="M413" s="1580"/>
      <c r="N413" s="1580"/>
      <c r="O413" s="1580"/>
      <c r="P413" s="1580"/>
      <c r="Q413" s="1580"/>
      <c r="R413" s="1580"/>
    </row>
    <row r="414" customFormat="false" ht="15.75" hidden="false" customHeight="false" outlineLevel="0" collapsed="false">
      <c r="A414" s="837" t="str">
        <f aca="false">'Ввод данных'!A1230</f>
        <v>Нет техники</v>
      </c>
      <c r="B414" s="837" t="str">
        <f aca="false">'Ввод данных'!B1230</f>
        <v>шт</v>
      </c>
      <c r="C414" s="837" t="n">
        <f aca="false">'Ввод данных'!C1230</f>
        <v>3</v>
      </c>
      <c r="D414" s="837" t="n">
        <f aca="false">VLOOKUP(A414,'Прайс лист'!B192:G206,6,0)</f>
        <v>0</v>
      </c>
      <c r="E414" s="837" t="n">
        <f aca="false">C414*D414</f>
        <v>0</v>
      </c>
      <c r="F414" s="2589"/>
      <c r="G414" s="2634"/>
      <c r="H414" s="2635"/>
      <c r="I414" s="739"/>
      <c r="J414" s="837"/>
      <c r="K414" s="837"/>
      <c r="L414" s="837"/>
      <c r="M414" s="1580"/>
      <c r="N414" s="1580"/>
      <c r="O414" s="1580"/>
      <c r="P414" s="1580"/>
      <c r="Q414" s="1580"/>
      <c r="R414" s="1580"/>
    </row>
    <row r="415" customFormat="false" ht="15.75" hidden="false" customHeight="false" outlineLevel="0" collapsed="false">
      <c r="A415" s="837" t="str">
        <f aca="false">'Ввод данных'!A1232</f>
        <v>расходные материалы окна</v>
      </c>
      <c r="B415" s="837" t="str">
        <f aca="false">'Ввод данных'!B1232</f>
        <v>рублей</v>
      </c>
      <c r="C415" s="837" t="n">
        <f aca="false">1</f>
        <v>1</v>
      </c>
      <c r="D415" s="837" t="n">
        <f aca="false">'Ввод данных'!C1232</f>
        <v>5000</v>
      </c>
      <c r="E415" s="837" t="n">
        <f aca="false">C415*D415</f>
        <v>5000</v>
      </c>
      <c r="F415" s="2589"/>
      <c r="G415" s="2634"/>
      <c r="H415" s="2635"/>
      <c r="I415" s="739"/>
      <c r="J415" s="837"/>
      <c r="K415" s="837"/>
      <c r="L415" s="837"/>
      <c r="M415" s="1580"/>
      <c r="N415" s="1580"/>
      <c r="O415" s="1580"/>
      <c r="P415" s="1580"/>
      <c r="Q415" s="1580"/>
      <c r="R415" s="1580"/>
    </row>
    <row r="416" customFormat="false" ht="15.75" hidden="false" customHeight="false" outlineLevel="0" collapsed="false">
      <c r="A416" s="1579"/>
      <c r="B416" s="1579"/>
      <c r="C416" s="1579"/>
      <c r="D416" s="1579"/>
      <c r="E416" s="1549" t="n">
        <f aca="false">SUM(E393:E415)</f>
        <v>22636</v>
      </c>
      <c r="F416" s="1579"/>
      <c r="G416" s="2595"/>
      <c r="H416" s="2589"/>
      <c r="I416" s="1579"/>
      <c r="J416" s="1579"/>
      <c r="K416" s="1579"/>
      <c r="L416" s="837" t="n">
        <f aca="false">SUM(L393:L415)</f>
        <v>4420</v>
      </c>
      <c r="M416" s="1580"/>
      <c r="N416" s="1580"/>
      <c r="O416" s="1580"/>
      <c r="P416" s="1580"/>
      <c r="Q416" s="1580"/>
      <c r="R416" s="1580"/>
    </row>
    <row r="417" customFormat="false" ht="15.75" hidden="false" customHeight="false" outlineLevel="0" collapsed="false">
      <c r="A417" s="738" t="s">
        <v>3808</v>
      </c>
      <c r="B417" s="2636" t="n">
        <f aca="false">E416</f>
        <v>22636</v>
      </c>
      <c r="C417" s="1579"/>
      <c r="D417" s="1579"/>
      <c r="E417" s="1579"/>
      <c r="F417" s="1579"/>
      <c r="G417" s="1579"/>
      <c r="H417" s="1579"/>
      <c r="I417" s="1579"/>
      <c r="J417" s="1579"/>
      <c r="K417" s="1579"/>
      <c r="L417" s="1579"/>
      <c r="M417" s="1580"/>
      <c r="N417" s="1580"/>
      <c r="O417" s="1580"/>
      <c r="P417" s="1580"/>
      <c r="Q417" s="1580"/>
      <c r="R417" s="1580"/>
    </row>
    <row r="418" customFormat="false" ht="15.75" hidden="false" customHeight="false" outlineLevel="0" collapsed="false">
      <c r="A418" s="738" t="s">
        <v>3809</v>
      </c>
      <c r="B418" s="2636" t="n">
        <f aca="false">L416</f>
        <v>4420</v>
      </c>
      <c r="C418" s="1579"/>
      <c r="D418" s="1579"/>
      <c r="E418" s="1579"/>
      <c r="F418" s="1579"/>
      <c r="G418" s="1579"/>
      <c r="H418" s="1579"/>
      <c r="I418" s="1579"/>
      <c r="J418" s="1579"/>
      <c r="K418" s="1579"/>
      <c r="L418" s="1579"/>
      <c r="M418" s="1580"/>
      <c r="N418" s="1580"/>
      <c r="O418" s="1580"/>
      <c r="P418" s="1580"/>
      <c r="Q418" s="1580"/>
      <c r="R418" s="1580"/>
    </row>
    <row r="419" customFormat="false" ht="15.75" hidden="false" customHeight="false" outlineLevel="0" collapsed="false">
      <c r="A419" s="837" t="s">
        <v>2922</v>
      </c>
      <c r="B419" s="2636" t="n">
        <f aca="false">(B417+B418)</f>
        <v>27056</v>
      </c>
      <c r="C419" s="1579"/>
      <c r="D419" s="1579"/>
      <c r="E419" s="1579"/>
      <c r="F419" s="1579"/>
      <c r="G419" s="1579"/>
      <c r="H419" s="1579"/>
      <c r="I419" s="1579"/>
      <c r="J419" s="1579"/>
      <c r="K419" s="1579"/>
      <c r="L419" s="1579"/>
      <c r="M419" s="1580"/>
      <c r="N419" s="1580"/>
      <c r="O419" s="1580"/>
      <c r="P419" s="1580"/>
      <c r="Q419" s="1580"/>
      <c r="R419" s="1580"/>
    </row>
    <row r="420" customFormat="false" ht="15.75" hidden="false" customHeight="false" outlineLevel="0" collapsed="false">
      <c r="A420" s="2617" t="s">
        <v>797</v>
      </c>
      <c r="B420" s="2618"/>
      <c r="C420" s="2619" t="s">
        <v>3811</v>
      </c>
      <c r="D420" s="2619"/>
      <c r="E420" s="2619"/>
      <c r="F420" s="2619"/>
      <c r="G420" s="2630"/>
      <c r="H420" s="1580"/>
      <c r="I420" s="1580"/>
      <c r="J420" s="1580"/>
      <c r="K420" s="1580"/>
      <c r="L420" s="1580"/>
      <c r="M420" s="1580"/>
      <c r="N420" s="1580"/>
      <c r="O420" s="1580"/>
      <c r="P420" s="1580"/>
      <c r="Q420" s="1580"/>
      <c r="R420" s="1580"/>
    </row>
    <row r="421" customFormat="false" ht="15.75" hidden="false" customHeight="false" outlineLevel="0" collapsed="false">
      <c r="A421" s="2637"/>
      <c r="B421" s="1580"/>
      <c r="C421" s="2630"/>
      <c r="D421" s="2630"/>
      <c r="E421" s="1580"/>
      <c r="F421" s="2630"/>
      <c r="G421" s="2630"/>
      <c r="H421" s="1580"/>
      <c r="I421" s="1580"/>
      <c r="J421" s="1580"/>
      <c r="K421" s="1580"/>
      <c r="L421" s="1580"/>
      <c r="M421" s="1580"/>
      <c r="N421" s="1580"/>
      <c r="O421" s="1580"/>
      <c r="P421" s="1580"/>
      <c r="Q421" s="1580"/>
      <c r="R421" s="1580"/>
    </row>
    <row r="422" customFormat="false" ht="23.25" hidden="false" customHeight="false" outlineLevel="0" collapsed="false">
      <c r="A422" s="2638" t="s">
        <v>798</v>
      </c>
      <c r="B422" s="2638"/>
      <c r="C422" s="2638"/>
      <c r="D422" s="2638"/>
      <c r="E422" s="2638"/>
      <c r="F422" s="2638"/>
      <c r="G422" s="2638"/>
      <c r="H422" s="2638"/>
      <c r="I422" s="2638"/>
      <c r="J422" s="2622"/>
      <c r="K422" s="2622"/>
      <c r="L422" s="1580"/>
      <c r="M422" s="1580"/>
      <c r="N422" s="1580"/>
      <c r="O422" s="1580"/>
      <c r="P422" s="1580"/>
      <c r="Q422" s="1580"/>
      <c r="R422" s="1580"/>
    </row>
    <row r="423" customFormat="false" ht="23.25" hidden="false" customHeight="false" outlineLevel="0" collapsed="false">
      <c r="A423" s="2638"/>
      <c r="B423" s="2638"/>
      <c r="C423" s="2638"/>
      <c r="D423" s="2638"/>
      <c r="E423" s="2638"/>
      <c r="F423" s="2638"/>
      <c r="G423" s="2638"/>
      <c r="H423" s="2638"/>
      <c r="I423" s="2638"/>
      <c r="J423" s="2622"/>
      <c r="K423" s="2622"/>
      <c r="L423" s="1580"/>
      <c r="M423" s="1580"/>
      <c r="N423" s="1580"/>
      <c r="O423" s="1580"/>
      <c r="P423" s="1580"/>
      <c r="Q423" s="1580"/>
      <c r="R423" s="1580"/>
    </row>
    <row r="424" customFormat="false" ht="15.75" hidden="false" customHeight="false" outlineLevel="0" collapsed="false">
      <c r="A424" s="2639" t="s">
        <v>799</v>
      </c>
      <c r="B424" s="861" t="s">
        <v>48</v>
      </c>
      <c r="C424" s="861" t="n">
        <f aca="false">'Ввод данных'!C1240</f>
        <v>18</v>
      </c>
      <c r="D424" s="2640"/>
      <c r="E424" s="2640"/>
      <c r="F424" s="2640"/>
      <c r="G424" s="2640"/>
      <c r="H424" s="2640"/>
      <c r="I424" s="2640"/>
      <c r="J424" s="2640"/>
      <c r="K424" s="2640"/>
      <c r="L424" s="1579"/>
      <c r="M424" s="1579"/>
      <c r="N424" s="1579"/>
      <c r="O424" s="1579"/>
      <c r="P424" s="1579"/>
      <c r="Q424" s="1579"/>
      <c r="R424" s="1579"/>
    </row>
    <row r="425" customFormat="false" ht="15.75" hidden="false" customHeight="false" outlineLevel="0" collapsed="false">
      <c r="A425" s="2641" t="s">
        <v>161</v>
      </c>
      <c r="B425" s="2641" t="s">
        <v>1738</v>
      </c>
      <c r="C425" s="2641" t="s">
        <v>118</v>
      </c>
      <c r="D425" s="2641" t="s">
        <v>1526</v>
      </c>
      <c r="E425" s="2641" t="s">
        <v>2916</v>
      </c>
      <c r="F425" s="1579"/>
      <c r="G425" s="2641" t="s">
        <v>161</v>
      </c>
      <c r="H425" s="2641" t="s">
        <v>1738</v>
      </c>
      <c r="I425" s="2641" t="s">
        <v>118</v>
      </c>
      <c r="J425" s="2641" t="s">
        <v>1526</v>
      </c>
      <c r="K425" s="2641" t="s">
        <v>2916</v>
      </c>
      <c r="L425" s="1580"/>
      <c r="M425" s="1580"/>
      <c r="N425" s="1580"/>
      <c r="O425" s="1580"/>
      <c r="P425" s="1580"/>
      <c r="Q425" s="1580"/>
      <c r="R425" s="1580"/>
    </row>
    <row r="426" customFormat="false" ht="15.75" hidden="false" customHeight="false" outlineLevel="0" collapsed="false">
      <c r="A426" s="837" t="s">
        <v>1853</v>
      </c>
      <c r="B426" s="837" t="s">
        <v>48</v>
      </c>
      <c r="C426" s="2642" t="n">
        <f aca="false">C424</f>
        <v>18</v>
      </c>
      <c r="D426" s="2642" t="n">
        <f aca="false">'Прайс лист'!G1186</f>
        <v>400</v>
      </c>
      <c r="E426" s="2642" t="n">
        <f aca="false">C426*D426</f>
        <v>7200</v>
      </c>
      <c r="F426" s="1581"/>
      <c r="G426" s="2642" t="str">
        <f aca="false">'Прайс лист'!B1660</f>
        <v>Монтаж лестницы в доме</v>
      </c>
      <c r="H426" s="2642" t="s">
        <v>48</v>
      </c>
      <c r="I426" s="2642" t="n">
        <v>1</v>
      </c>
      <c r="J426" s="2642" t="n">
        <f aca="false">'Прайс лист'!G1660</f>
        <v>20000</v>
      </c>
      <c r="K426" s="2642" t="n">
        <f aca="false">I426*J426</f>
        <v>20000</v>
      </c>
      <c r="L426" s="1580"/>
      <c r="M426" s="1580"/>
      <c r="N426" s="1580"/>
      <c r="O426" s="1580"/>
      <c r="P426" s="1580"/>
      <c r="Q426" s="1580"/>
      <c r="R426" s="1580"/>
    </row>
    <row r="427" customFormat="false" ht="15.75" hidden="false" customHeight="false" outlineLevel="0" collapsed="false">
      <c r="A427" s="837" t="s">
        <v>1854</v>
      </c>
      <c r="B427" s="837" t="s">
        <v>48</v>
      </c>
      <c r="C427" s="2642" t="n">
        <v>1</v>
      </c>
      <c r="D427" s="2642" t="n">
        <f aca="false">'Прайс лист'!G1187</f>
        <v>2000</v>
      </c>
      <c r="E427" s="2642" t="n">
        <f aca="false">SUM(E426)</f>
        <v>7200</v>
      </c>
      <c r="F427" s="1581"/>
      <c r="G427" s="2642"/>
      <c r="H427" s="2642"/>
      <c r="I427" s="2642"/>
      <c r="J427" s="2642"/>
      <c r="K427" s="2642"/>
      <c r="L427" s="1580"/>
      <c r="M427" s="1580"/>
      <c r="N427" s="1580"/>
      <c r="O427" s="1580"/>
      <c r="P427" s="1580"/>
      <c r="Q427" s="1580"/>
      <c r="R427" s="1580"/>
    </row>
    <row r="428" customFormat="false" ht="15.75" hidden="false" customHeight="false" outlineLevel="0" collapsed="false">
      <c r="A428" s="837" t="s">
        <v>1855</v>
      </c>
      <c r="B428" s="837" t="s">
        <v>48</v>
      </c>
      <c r="C428" s="2642" t="n">
        <v>4</v>
      </c>
      <c r="D428" s="2642" t="n">
        <f aca="false">'Прайс лист'!G1188</f>
        <v>1000</v>
      </c>
      <c r="E428" s="2642" t="n">
        <f aca="false">C428*D428</f>
        <v>4000</v>
      </c>
      <c r="F428" s="1581"/>
      <c r="G428" s="2642"/>
      <c r="H428" s="2642"/>
      <c r="I428" s="2642"/>
      <c r="J428" s="2642"/>
      <c r="K428" s="2642"/>
      <c r="L428" s="1580"/>
      <c r="M428" s="1580"/>
      <c r="N428" s="1580"/>
      <c r="O428" s="1580"/>
      <c r="P428" s="1580"/>
      <c r="Q428" s="1580"/>
      <c r="R428" s="1580"/>
    </row>
    <row r="429" customFormat="false" ht="15.75" hidden="false" customHeight="false" outlineLevel="0" collapsed="false">
      <c r="A429" s="837" t="s">
        <v>1856</v>
      </c>
      <c r="B429" s="837" t="s">
        <v>48</v>
      </c>
      <c r="C429" s="2642" t="n">
        <v>1</v>
      </c>
      <c r="D429" s="2642" t="n">
        <f aca="false">'Прайс лист'!G1189</f>
        <v>900</v>
      </c>
      <c r="E429" s="2642" t="n">
        <f aca="false">C429*D429</f>
        <v>900</v>
      </c>
      <c r="F429" s="1581"/>
      <c r="G429" s="2642"/>
      <c r="H429" s="2642"/>
      <c r="I429" s="2642"/>
      <c r="J429" s="2642"/>
      <c r="K429" s="2642"/>
      <c r="L429" s="1580"/>
      <c r="M429" s="1580"/>
      <c r="N429" s="1580"/>
      <c r="O429" s="1580"/>
      <c r="P429" s="1580"/>
      <c r="Q429" s="1580"/>
      <c r="R429" s="1580"/>
    </row>
    <row r="430" customFormat="false" ht="15.75" hidden="false" customHeight="false" outlineLevel="0" collapsed="false">
      <c r="A430" s="837" t="s">
        <v>1857</v>
      </c>
      <c r="B430" s="837" t="s">
        <v>48</v>
      </c>
      <c r="C430" s="2642" t="n">
        <v>2</v>
      </c>
      <c r="D430" s="2642" t="n">
        <f aca="false">'Прайс лист'!G1190</f>
        <v>500</v>
      </c>
      <c r="E430" s="2642" t="n">
        <f aca="false">C430*D430</f>
        <v>1000</v>
      </c>
      <c r="F430" s="1581"/>
      <c r="G430" s="2642"/>
      <c r="H430" s="2642"/>
      <c r="I430" s="2642"/>
      <c r="J430" s="2642"/>
      <c r="K430" s="2642"/>
      <c r="L430" s="1580"/>
      <c r="M430" s="1580"/>
      <c r="N430" s="1580"/>
      <c r="O430" s="1580"/>
      <c r="P430" s="1580"/>
      <c r="Q430" s="1580"/>
      <c r="R430" s="1580"/>
    </row>
    <row r="431" customFormat="false" ht="15.75" hidden="false" customHeight="false" outlineLevel="0" collapsed="false">
      <c r="A431" s="837" t="s">
        <v>1858</v>
      </c>
      <c r="B431" s="837" t="s">
        <v>48</v>
      </c>
      <c r="C431" s="2642" t="n">
        <v>4</v>
      </c>
      <c r="D431" s="2642" t="n">
        <f aca="false">'Прайс лист'!G1191</f>
        <v>1500</v>
      </c>
      <c r="E431" s="2642" t="n">
        <f aca="false">C431*D431</f>
        <v>6000</v>
      </c>
      <c r="F431" s="1581"/>
      <c r="G431" s="2642"/>
      <c r="H431" s="2642"/>
      <c r="I431" s="2642"/>
      <c r="J431" s="2642"/>
      <c r="K431" s="2642"/>
      <c r="L431" s="1580"/>
      <c r="M431" s="1580"/>
      <c r="N431" s="1580"/>
      <c r="O431" s="1580"/>
      <c r="P431" s="1580"/>
      <c r="Q431" s="1580"/>
      <c r="R431" s="1580"/>
    </row>
    <row r="432" customFormat="false" ht="15.75" hidden="false" customHeight="false" outlineLevel="0" collapsed="false">
      <c r="A432" s="837" t="s">
        <v>1859</v>
      </c>
      <c r="B432" s="837" t="s">
        <v>48</v>
      </c>
      <c r="C432" s="2642" t="n">
        <f aca="false">C426*6</f>
        <v>108</v>
      </c>
      <c r="D432" s="2642" t="n">
        <f aca="false">'Прайс лист'!G1192</f>
        <v>15</v>
      </c>
      <c r="E432" s="2642" t="n">
        <f aca="false">C432*D432</f>
        <v>1620</v>
      </c>
      <c r="F432" s="1581"/>
      <c r="G432" s="2642"/>
      <c r="H432" s="2642"/>
      <c r="I432" s="2642"/>
      <c r="J432" s="2642"/>
      <c r="K432" s="2642"/>
      <c r="L432" s="1580"/>
      <c r="M432" s="1580"/>
      <c r="N432" s="1580"/>
      <c r="O432" s="1580"/>
      <c r="P432" s="1580"/>
      <c r="Q432" s="1580"/>
      <c r="R432" s="1580"/>
    </row>
    <row r="433" customFormat="false" ht="15.75" hidden="false" customHeight="false" outlineLevel="0" collapsed="false">
      <c r="A433" s="837" t="s">
        <v>1860</v>
      </c>
      <c r="B433" s="837" t="s">
        <v>48</v>
      </c>
      <c r="C433" s="2642" t="n">
        <v>8</v>
      </c>
      <c r="D433" s="2642" t="n">
        <f aca="false">'Прайс лист'!G1193</f>
        <v>20</v>
      </c>
      <c r="E433" s="2642" t="n">
        <f aca="false">C433*D433</f>
        <v>160</v>
      </c>
      <c r="F433" s="1581"/>
      <c r="G433" s="2642"/>
      <c r="H433" s="2642"/>
      <c r="I433" s="2642"/>
      <c r="J433" s="2642"/>
      <c r="K433" s="2642"/>
      <c r="L433" s="1580"/>
      <c r="M433" s="1580"/>
      <c r="N433" s="1580"/>
      <c r="O433" s="1580"/>
      <c r="P433" s="1580"/>
      <c r="Q433" s="1580"/>
      <c r="R433" s="1580"/>
    </row>
    <row r="434" customFormat="false" ht="15.75" hidden="false" customHeight="false" outlineLevel="0" collapsed="false">
      <c r="A434" s="837" t="s">
        <v>1861</v>
      </c>
      <c r="B434" s="837" t="s">
        <v>48</v>
      </c>
      <c r="C434" s="2642" t="n">
        <v>4</v>
      </c>
      <c r="D434" s="2642" t="n">
        <f aca="false">'Прайс лист'!G1194</f>
        <v>200</v>
      </c>
      <c r="E434" s="2642" t="n">
        <f aca="false">C434*D434</f>
        <v>800</v>
      </c>
      <c r="F434" s="1581"/>
      <c r="G434" s="2642"/>
      <c r="H434" s="2642"/>
      <c r="I434" s="2642"/>
      <c r="J434" s="2642"/>
      <c r="K434" s="2642"/>
      <c r="L434" s="1580"/>
      <c r="M434" s="1580"/>
      <c r="N434" s="1580"/>
      <c r="O434" s="1580"/>
      <c r="P434" s="1580"/>
      <c r="Q434" s="1580"/>
      <c r="R434" s="1580"/>
    </row>
    <row r="435" customFormat="false" ht="15.75" hidden="false" customHeight="false" outlineLevel="0" collapsed="false">
      <c r="A435" s="837" t="s">
        <v>1862</v>
      </c>
      <c r="B435" s="837" t="s">
        <v>48</v>
      </c>
      <c r="C435" s="2642" t="n">
        <f aca="false">25</f>
        <v>25</v>
      </c>
      <c r="D435" s="2642" t="n">
        <f aca="false">'Прайс лист'!G1195</f>
        <v>100</v>
      </c>
      <c r="E435" s="2642" t="n">
        <f aca="false">C435*D435</f>
        <v>2500</v>
      </c>
      <c r="F435" s="1581"/>
      <c r="G435" s="2642"/>
      <c r="H435" s="2642"/>
      <c r="I435" s="2642"/>
      <c r="J435" s="2642"/>
      <c r="K435" s="2642"/>
      <c r="L435" s="1580"/>
      <c r="M435" s="1580"/>
      <c r="N435" s="1580"/>
      <c r="O435" s="1580"/>
      <c r="P435" s="1580"/>
      <c r="Q435" s="1580"/>
      <c r="R435" s="1580"/>
    </row>
    <row r="436" customFormat="false" ht="15.75" hidden="false" customHeight="false" outlineLevel="0" collapsed="false">
      <c r="A436" s="837" t="str">
        <f aca="false">'Ввод данных'!A1242</f>
        <v>Нет техники</v>
      </c>
      <c r="B436" s="837" t="str">
        <f aca="false">'Ввод данных'!B1242</f>
        <v>час</v>
      </c>
      <c r="C436" s="837" t="n">
        <f aca="false">'Ввод данных'!C1242</f>
        <v>0</v>
      </c>
      <c r="D436" s="2642" t="n">
        <f aca="false">VLOOKUP(A436,'Прайс лист'!B192:G206,6,0)</f>
        <v>0</v>
      </c>
      <c r="E436" s="2642" t="n">
        <f aca="false">C436*D436</f>
        <v>0</v>
      </c>
      <c r="F436" s="1581"/>
      <c r="G436" s="2642"/>
      <c r="H436" s="2642"/>
      <c r="I436" s="2642"/>
      <c r="J436" s="2642"/>
      <c r="K436" s="2642"/>
      <c r="L436" s="1580"/>
      <c r="M436" s="1580"/>
      <c r="N436" s="1580"/>
      <c r="O436" s="1580"/>
      <c r="P436" s="1580"/>
      <c r="Q436" s="1580"/>
      <c r="R436" s="1580"/>
    </row>
    <row r="437" customFormat="false" ht="15.75" hidden="false" customHeight="false" outlineLevel="0" collapsed="false">
      <c r="A437" s="837" t="str">
        <f aca="false">'Ввод данных'!A1243</f>
        <v>Нет техники</v>
      </c>
      <c r="B437" s="837" t="str">
        <f aca="false">'Ввод данных'!B1243</f>
        <v>шт</v>
      </c>
      <c r="C437" s="837" t="n">
        <f aca="false">'Ввод данных'!C1243</f>
        <v>3</v>
      </c>
      <c r="D437" s="2642" t="n">
        <f aca="false">VLOOKUP(A437,'Прайс лист'!B192:G206,6,0)</f>
        <v>0</v>
      </c>
      <c r="E437" s="2642" t="n">
        <f aca="false">C437*D437</f>
        <v>0</v>
      </c>
      <c r="F437" s="1581"/>
      <c r="G437" s="2642"/>
      <c r="H437" s="2642"/>
      <c r="I437" s="2642"/>
      <c r="J437" s="2642"/>
      <c r="K437" s="2642"/>
      <c r="L437" s="1580"/>
      <c r="M437" s="1580"/>
      <c r="N437" s="1580"/>
      <c r="O437" s="1580"/>
      <c r="P437" s="1580"/>
      <c r="Q437" s="1580"/>
      <c r="R437" s="1580"/>
    </row>
    <row r="438" customFormat="false" ht="15.75" hidden="false" customHeight="false" outlineLevel="0" collapsed="false">
      <c r="A438" s="837" t="str">
        <f aca="false">'Ввод данных'!A1245</f>
        <v>расходные материалы лестница</v>
      </c>
      <c r="B438" s="837" t="str">
        <f aca="false">'Ввод данных'!B1245</f>
        <v>рублей</v>
      </c>
      <c r="C438" s="837" t="n">
        <f aca="false">1</f>
        <v>1</v>
      </c>
      <c r="D438" s="2642" t="n">
        <f aca="false">'Ввод данных'!C1245</f>
        <v>5000</v>
      </c>
      <c r="E438" s="2642" t="n">
        <f aca="false">C438*D438</f>
        <v>5000</v>
      </c>
      <c r="F438" s="1581"/>
      <c r="G438" s="2643"/>
      <c r="H438" s="2643"/>
      <c r="I438" s="2643"/>
      <c r="J438" s="2643"/>
      <c r="K438" s="2642"/>
      <c r="L438" s="1580"/>
      <c r="M438" s="1580"/>
      <c r="N438" s="1580"/>
      <c r="O438" s="1580"/>
      <c r="P438" s="1580"/>
      <c r="Q438" s="1580"/>
      <c r="R438" s="1580"/>
    </row>
    <row r="439" customFormat="false" ht="15.75" hidden="false" customHeight="false" outlineLevel="0" collapsed="false">
      <c r="A439" s="2589"/>
      <c r="B439" s="2589"/>
      <c r="C439" s="2643"/>
      <c r="D439" s="2643"/>
      <c r="E439" s="2644" t="n">
        <f aca="false">SUM(E428:E437)</f>
        <v>16980</v>
      </c>
      <c r="F439" s="1581"/>
      <c r="G439" s="2643"/>
      <c r="H439" s="2643"/>
      <c r="I439" s="2643"/>
      <c r="J439" s="2643"/>
      <c r="K439" s="2642" t="n">
        <f aca="false">SUM(K426:K437)</f>
        <v>20000</v>
      </c>
      <c r="L439" s="1580"/>
      <c r="M439" s="1580"/>
      <c r="N439" s="1580"/>
      <c r="O439" s="1580"/>
      <c r="P439" s="1580"/>
      <c r="Q439" s="1580"/>
      <c r="R439" s="1580"/>
    </row>
    <row r="440" customFormat="false" ht="15.75" hidden="false" customHeight="false" outlineLevel="0" collapsed="false">
      <c r="A440" s="837" t="s">
        <v>4047</v>
      </c>
      <c r="B440" s="2636" t="n">
        <f aca="false">E439</f>
        <v>16980</v>
      </c>
      <c r="C440" s="1579"/>
      <c r="D440" s="1579"/>
      <c r="E440" s="1579"/>
      <c r="F440" s="1579"/>
      <c r="G440" s="1579"/>
      <c r="H440" s="1579"/>
      <c r="I440" s="1579"/>
      <c r="J440" s="1579"/>
      <c r="K440" s="1579"/>
      <c r="L440" s="1580"/>
      <c r="M440" s="1580"/>
      <c r="N440" s="1580"/>
      <c r="O440" s="1580"/>
      <c r="P440" s="1580"/>
      <c r="Q440" s="1580"/>
      <c r="R440" s="1580"/>
    </row>
    <row r="441" customFormat="false" ht="15.75" hidden="false" customHeight="false" outlineLevel="0" collapsed="false">
      <c r="A441" s="837" t="s">
        <v>4048</v>
      </c>
      <c r="B441" s="2636" t="n">
        <f aca="false">K439</f>
        <v>20000</v>
      </c>
      <c r="C441" s="1579"/>
      <c r="D441" s="1579"/>
      <c r="E441" s="1579"/>
      <c r="F441" s="1579"/>
      <c r="G441" s="1579"/>
      <c r="H441" s="1579"/>
      <c r="I441" s="1579"/>
      <c r="J441" s="1579"/>
      <c r="K441" s="1579"/>
      <c r="L441" s="1580"/>
      <c r="M441" s="1580"/>
      <c r="N441" s="1580"/>
      <c r="O441" s="1580"/>
      <c r="P441" s="1580"/>
      <c r="Q441" s="1580"/>
      <c r="R441" s="1580"/>
    </row>
    <row r="442" customFormat="false" ht="15.75" hidden="false" customHeight="false" outlineLevel="0" collapsed="false">
      <c r="A442" s="837" t="s">
        <v>2922</v>
      </c>
      <c r="B442" s="2636" t="n">
        <f aca="false">(B440+B441)*B443</f>
        <v>0</v>
      </c>
      <c r="C442" s="1579"/>
      <c r="D442" s="1579"/>
      <c r="E442" s="1579"/>
      <c r="F442" s="1579"/>
      <c r="G442" s="1579"/>
      <c r="H442" s="1579"/>
      <c r="I442" s="1579"/>
      <c r="J442" s="1579"/>
      <c r="K442" s="1579"/>
      <c r="L442" s="1580"/>
      <c r="M442" s="1580"/>
      <c r="N442" s="1580"/>
      <c r="O442" s="1580"/>
      <c r="P442" s="1580"/>
      <c r="Q442" s="1580"/>
      <c r="R442" s="1580"/>
    </row>
    <row r="443" customFormat="false" ht="15.75" hidden="false" customHeight="false" outlineLevel="0" collapsed="false">
      <c r="A443" s="2645" t="s">
        <v>801</v>
      </c>
      <c r="B443" s="2618"/>
      <c r="C443" s="2619" t="s">
        <v>3811</v>
      </c>
      <c r="D443" s="2619"/>
      <c r="E443" s="2619"/>
      <c r="F443" s="2619"/>
      <c r="G443" s="2630"/>
      <c r="H443" s="1580"/>
      <c r="I443" s="1580"/>
      <c r="J443" s="1580"/>
      <c r="K443" s="1580"/>
      <c r="L443" s="1580"/>
      <c r="M443" s="1580"/>
      <c r="N443" s="1580"/>
      <c r="O443" s="1580"/>
      <c r="P443" s="1580"/>
      <c r="Q443" s="1580"/>
      <c r="R443" s="1580"/>
    </row>
    <row r="444" customFormat="false" ht="15.75" hidden="false" customHeight="false" outlineLevel="0" collapsed="false">
      <c r="A444" s="2637"/>
      <c r="B444" s="1580"/>
      <c r="C444" s="2630"/>
      <c r="D444" s="2630"/>
      <c r="E444" s="1580"/>
      <c r="F444" s="2630"/>
      <c r="G444" s="2630"/>
      <c r="H444" s="1580"/>
      <c r="I444" s="1580"/>
      <c r="J444" s="1580"/>
      <c r="K444" s="1580"/>
      <c r="L444" s="1580"/>
      <c r="M444" s="1580"/>
      <c r="N444" s="1580"/>
      <c r="O444" s="1580"/>
      <c r="P444" s="1580"/>
      <c r="Q444" s="1580"/>
      <c r="R444" s="1580"/>
    </row>
    <row r="445" customFormat="false" ht="15.75" hidden="false" customHeight="false" outlineLevel="0" collapsed="false">
      <c r="A445" s="2646" t="s">
        <v>802</v>
      </c>
      <c r="B445" s="2646"/>
      <c r="C445" s="2646"/>
      <c r="D445" s="2646"/>
      <c r="E445" s="2646"/>
      <c r="F445" s="2646"/>
      <c r="G445" s="2646"/>
      <c r="H445" s="2646"/>
      <c r="I445" s="2646"/>
      <c r="J445" s="1580"/>
      <c r="K445" s="1580"/>
      <c r="L445" s="1580"/>
      <c r="M445" s="1580"/>
      <c r="N445" s="1580"/>
      <c r="O445" s="1580"/>
      <c r="P445" s="1580"/>
      <c r="Q445" s="1580"/>
      <c r="R445" s="1580"/>
    </row>
    <row r="446" customFormat="false" ht="15.75" hidden="false" customHeight="false" outlineLevel="0" collapsed="false">
      <c r="A446" s="2646"/>
      <c r="B446" s="2646"/>
      <c r="C446" s="2646"/>
      <c r="D446" s="2646"/>
      <c r="E446" s="2646"/>
      <c r="F446" s="2646"/>
      <c r="G446" s="2646"/>
      <c r="H446" s="2646"/>
      <c r="I446" s="2646"/>
      <c r="J446" s="1580"/>
      <c r="K446" s="1580"/>
      <c r="L446" s="1580"/>
      <c r="M446" s="1580"/>
      <c r="N446" s="1580"/>
      <c r="O446" s="1580"/>
      <c r="P446" s="1580"/>
      <c r="Q446" s="1580"/>
      <c r="R446" s="1580"/>
    </row>
    <row r="447" customFormat="false" ht="23.25" hidden="false" customHeight="false" outlineLevel="0" collapsed="false">
      <c r="A447" s="2623" t="s">
        <v>461</v>
      </c>
      <c r="B447" s="2623"/>
      <c r="C447" s="2623"/>
      <c r="D447" s="2623"/>
      <c r="E447" s="2623"/>
      <c r="F447" s="2623"/>
      <c r="G447" s="2647" t="n">
        <f aca="false">'Ввод данных'!D1251</f>
        <v>1</v>
      </c>
      <c r="H447" s="2625" t="n">
        <f aca="false">'Ввод данных'!D1252</f>
        <v>1</v>
      </c>
      <c r="I447" s="1579"/>
      <c r="J447" s="1579"/>
      <c r="K447" s="1579"/>
      <c r="L447" s="1579"/>
      <c r="M447" s="1579"/>
      <c r="N447" s="1579"/>
      <c r="O447" s="1579"/>
      <c r="P447" s="1579"/>
      <c r="Q447" s="1579"/>
      <c r="R447" s="1579"/>
    </row>
    <row r="448" customFormat="false" ht="23.25" hidden="false" customHeight="false" outlineLevel="0" collapsed="false">
      <c r="A448" s="2623"/>
      <c r="B448" s="2623"/>
      <c r="C448" s="2623"/>
      <c r="D448" s="2623"/>
      <c r="E448" s="2623"/>
      <c r="F448" s="2623"/>
      <c r="G448" s="2626"/>
      <c r="H448" s="2625"/>
      <c r="I448" s="1579"/>
      <c r="J448" s="1579"/>
      <c r="K448" s="1579"/>
      <c r="L448" s="1579"/>
      <c r="M448" s="1579"/>
      <c r="N448" s="1579"/>
      <c r="O448" s="1579"/>
      <c r="P448" s="1579"/>
      <c r="Q448" s="1579"/>
      <c r="R448" s="1579"/>
    </row>
    <row r="449" customFormat="false" ht="23.25" hidden="false" customHeight="false" outlineLevel="0" collapsed="false">
      <c r="A449" s="862" t="s">
        <v>836</v>
      </c>
      <c r="B449" s="862" t="s">
        <v>162</v>
      </c>
      <c r="C449" s="862" t="s">
        <v>118</v>
      </c>
      <c r="D449" s="862" t="s">
        <v>486</v>
      </c>
      <c r="E449" s="2625"/>
      <c r="F449" s="2625"/>
      <c r="G449" s="2625"/>
      <c r="H449" s="2625"/>
      <c r="I449" s="1579"/>
      <c r="J449" s="1579"/>
      <c r="K449" s="1579"/>
      <c r="L449" s="1579"/>
      <c r="M449" s="1579"/>
      <c r="N449" s="1579"/>
      <c r="O449" s="1579"/>
      <c r="P449" s="1579"/>
      <c r="Q449" s="1579"/>
      <c r="R449" s="1579"/>
    </row>
    <row r="450" customFormat="false" ht="23.25" hidden="false" customHeight="false" outlineLevel="0" collapsed="false">
      <c r="A450" s="2587" t="s">
        <v>2342</v>
      </c>
      <c r="B450" s="2587" t="s">
        <v>15</v>
      </c>
      <c r="C450" s="2587" t="n">
        <f aca="false">C497*2.05</f>
        <v>357.5815</v>
      </c>
      <c r="D450" s="2584" t="n">
        <f aca="false">IF('Ввод данных'!A1262=связи1!A443,1,0)+IF('Ввод данных'!A1262=связи1!A444,1,0)+IF('Ввод данных'!A1262=связи1!A445,1,0)</f>
        <v>0</v>
      </c>
      <c r="E450" s="2625"/>
      <c r="F450" s="2625"/>
      <c r="G450" s="2625"/>
      <c r="H450" s="2625"/>
      <c r="I450" s="1579"/>
      <c r="J450" s="1579"/>
      <c r="K450" s="1579"/>
      <c r="L450" s="1579"/>
      <c r="M450" s="1579"/>
      <c r="N450" s="1579"/>
      <c r="O450" s="1579"/>
      <c r="P450" s="1579"/>
      <c r="Q450" s="1579"/>
      <c r="R450" s="1579"/>
    </row>
    <row r="451" customFormat="false" ht="23.25" hidden="false" customHeight="false" outlineLevel="0" collapsed="false">
      <c r="A451" s="861" t="s">
        <v>1863</v>
      </c>
      <c r="B451" s="861" t="s">
        <v>820</v>
      </c>
      <c r="C451" s="863" t="n">
        <f aca="false">C497</f>
        <v>174.43</v>
      </c>
      <c r="D451" s="2584" t="n">
        <f aca="false">IF('Ввод данных'!A25=связи1!A19,1,0)</f>
        <v>0</v>
      </c>
      <c r="E451" s="2625"/>
      <c r="F451" s="2625"/>
      <c r="G451" s="2625"/>
      <c r="H451" s="2625"/>
      <c r="I451" s="1579"/>
      <c r="J451" s="1579"/>
      <c r="K451" s="1579"/>
      <c r="L451" s="1579"/>
      <c r="M451" s="1579"/>
      <c r="N451" s="1579"/>
      <c r="O451" s="1579"/>
      <c r="P451" s="1579"/>
      <c r="Q451" s="1579"/>
      <c r="R451" s="1579"/>
    </row>
    <row r="452" customFormat="false" ht="15.75" hidden="false" customHeight="false" outlineLevel="0" collapsed="false">
      <c r="A452" s="767" t="s">
        <v>1864</v>
      </c>
      <c r="B452" s="2587" t="s">
        <v>820</v>
      </c>
      <c r="C452" s="2587" t="n">
        <f aca="false">C497</f>
        <v>174.43</v>
      </c>
      <c r="D452" s="2584" t="n">
        <f aca="false">IF('Ввод данных'!A25=связи1!A20,1,0)</f>
        <v>0</v>
      </c>
      <c r="E452" s="1580"/>
      <c r="F452" s="2630"/>
      <c r="G452" s="2630"/>
      <c r="H452" s="1580"/>
      <c r="I452" s="1580"/>
      <c r="J452" s="1580"/>
      <c r="K452" s="1580"/>
      <c r="L452" s="1580"/>
      <c r="M452" s="1580"/>
      <c r="N452" s="1580"/>
      <c r="O452" s="1580"/>
      <c r="P452" s="1580"/>
      <c r="Q452" s="1580"/>
      <c r="R452" s="1580"/>
    </row>
    <row r="453" customFormat="false" ht="15.75" hidden="false" customHeight="false" outlineLevel="0" collapsed="false">
      <c r="A453" s="2587" t="s">
        <v>1868</v>
      </c>
      <c r="B453" s="2587" t="s">
        <v>820</v>
      </c>
      <c r="C453" s="863" t="n">
        <f aca="false">C497</f>
        <v>174.43</v>
      </c>
      <c r="D453" s="2584" t="n">
        <f aca="false">IF('Ввод данных'!A25=связи1!A21,1,0)</f>
        <v>0</v>
      </c>
      <c r="E453" s="1580"/>
      <c r="F453" s="2630"/>
      <c r="G453" s="2630"/>
      <c r="H453" s="1580"/>
      <c r="I453" s="1580"/>
      <c r="J453" s="1580"/>
      <c r="K453" s="1580"/>
      <c r="L453" s="1580"/>
      <c r="M453" s="1580"/>
      <c r="N453" s="1580"/>
      <c r="O453" s="1580"/>
      <c r="P453" s="1580"/>
      <c r="Q453" s="1580"/>
      <c r="R453" s="1580"/>
    </row>
    <row r="454" customFormat="false" ht="15.75" hidden="false" customHeight="false" outlineLevel="0" collapsed="false">
      <c r="A454" s="2587" t="s">
        <v>843</v>
      </c>
      <c r="B454" s="2587" t="s">
        <v>820</v>
      </c>
      <c r="C454" s="863" t="n">
        <f aca="false">C497</f>
        <v>174.43</v>
      </c>
      <c r="D454" s="2584" t="n">
        <f aca="false">IF('Ввод данных'!A25=связи1!A22,IF('Ввод данных'!A1257='Прайс лист'!B555,1,0)+IF('Ввод данных'!A1257='Прайс лист'!B556,1,0)+IF('Ввод данных'!A1257='Прайс лист'!B557,1,0)+IF('Ввод данных'!A1257='Прайс лист'!B558,1,0)+IF('Ввод данных'!A1257='Прайс лист'!B559,1,0)+IF('Ввод данных'!A1257='Прайс лист'!B560,1,0),0)</f>
        <v>0</v>
      </c>
      <c r="E454" s="1580"/>
      <c r="F454" s="2630"/>
      <c r="G454" s="2630"/>
      <c r="H454" s="1580"/>
      <c r="I454" s="1580"/>
      <c r="J454" s="1580"/>
      <c r="K454" s="1580"/>
      <c r="L454" s="1580"/>
      <c r="M454" s="1580"/>
      <c r="N454" s="1580"/>
      <c r="O454" s="1580"/>
      <c r="P454" s="1580"/>
      <c r="Q454" s="1580"/>
      <c r="R454" s="1580"/>
    </row>
    <row r="455" customFormat="false" ht="15.75" hidden="false" customHeight="false" outlineLevel="0" collapsed="false">
      <c r="A455" s="2587" t="s">
        <v>1870</v>
      </c>
      <c r="B455" s="2587" t="s">
        <v>820</v>
      </c>
      <c r="C455" s="863" t="n">
        <f aca="false">C497</f>
        <v>174.43</v>
      </c>
      <c r="D455" s="2584" t="n">
        <f aca="false">IF('Ввод данных'!A25=связи1!A22,IF('Ввод данных'!A1257='Прайс лист'!B543,1,0)+IF('Ввод данных'!A1257='Прайс лист'!B544,1,0)+IF('Ввод данных'!A1257='Прайс лист'!B545,1,0)+IF('Ввод данных'!A1257='Прайс лист'!B546,1,0)+IF('Ввод данных'!A1257='Прайс лист'!B547,1,0)+IF('Ввод данных'!A1257='Прайс лист'!B548,1,0),0)</f>
        <v>0</v>
      </c>
      <c r="E455" s="1580"/>
      <c r="F455" s="2630"/>
      <c r="G455" s="2630"/>
      <c r="H455" s="1580"/>
      <c r="I455" s="1580"/>
      <c r="J455" s="1580"/>
      <c r="K455" s="1580"/>
      <c r="L455" s="1580"/>
      <c r="M455" s="1580"/>
      <c r="N455" s="1580"/>
      <c r="O455" s="1580"/>
      <c r="P455" s="1580"/>
      <c r="Q455" s="1580"/>
      <c r="R455" s="1580"/>
    </row>
    <row r="456" customFormat="false" ht="15.75" hidden="false" customHeight="false" outlineLevel="0" collapsed="false">
      <c r="A456" s="2587" t="s">
        <v>1871</v>
      </c>
      <c r="B456" s="2587" t="s">
        <v>48</v>
      </c>
      <c r="C456" s="863" t="n">
        <f aca="false">C455*10</f>
        <v>1744.3</v>
      </c>
      <c r="D456" s="2584" t="n">
        <f aca="false">D455</f>
        <v>0</v>
      </c>
      <c r="E456" s="1580"/>
      <c r="F456" s="2630"/>
      <c r="G456" s="2630"/>
      <c r="H456" s="1580"/>
      <c r="I456" s="1580"/>
      <c r="J456" s="1580"/>
      <c r="K456" s="1580"/>
      <c r="L456" s="1580"/>
      <c r="M456" s="1580"/>
      <c r="N456" s="1580"/>
      <c r="O456" s="1580"/>
      <c r="P456" s="1580"/>
      <c r="Q456" s="1580"/>
      <c r="R456" s="1580"/>
    </row>
    <row r="457" customFormat="false" ht="15.75" hidden="false" customHeight="false" outlineLevel="0" collapsed="false">
      <c r="A457" s="2648" t="s">
        <v>4049</v>
      </c>
      <c r="B457" s="2587" t="s">
        <v>820</v>
      </c>
      <c r="C457" s="2587" t="n">
        <f aca="false">C497*1.05</f>
        <v>183.1515</v>
      </c>
      <c r="D457" s="2584" t="n">
        <f aca="false">IF('Ввод данных'!A25=связи1!A24,1,0)</f>
        <v>0</v>
      </c>
      <c r="E457" s="1580"/>
      <c r="F457" s="2630"/>
      <c r="G457" s="2630"/>
      <c r="H457" s="1580"/>
      <c r="I457" s="1580"/>
      <c r="J457" s="1580"/>
      <c r="K457" s="1580"/>
      <c r="L457" s="1580"/>
      <c r="M457" s="1580"/>
      <c r="N457" s="1580"/>
      <c r="O457" s="1580"/>
      <c r="P457" s="1580"/>
      <c r="Q457" s="1580"/>
      <c r="R457" s="1580"/>
    </row>
    <row r="458" customFormat="false" ht="15.75" hidden="false" customHeight="false" outlineLevel="0" collapsed="false">
      <c r="A458" s="2648" t="s">
        <v>2361</v>
      </c>
      <c r="B458" s="2587" t="s">
        <v>820</v>
      </c>
      <c r="C458" s="2587" t="n">
        <f aca="false">C497</f>
        <v>174.43</v>
      </c>
      <c r="D458" s="2584" t="n">
        <f aca="false">IF('Ввод данных'!A25=связи1!A25,1,0)</f>
        <v>1</v>
      </c>
      <c r="E458" s="1580"/>
      <c r="F458" s="2630"/>
      <c r="G458" s="2630"/>
      <c r="H458" s="1580"/>
      <c r="I458" s="1580"/>
      <c r="J458" s="1580"/>
      <c r="K458" s="1580"/>
      <c r="L458" s="1580"/>
      <c r="M458" s="1580"/>
      <c r="N458" s="1580"/>
      <c r="O458" s="1580"/>
      <c r="P458" s="1580"/>
      <c r="Q458" s="1580"/>
      <c r="R458" s="1580"/>
    </row>
    <row r="459" customFormat="false" ht="15.75" hidden="false" customHeight="false" outlineLevel="0" collapsed="false">
      <c r="A459" s="2648" t="s">
        <v>4050</v>
      </c>
      <c r="B459" s="2587" t="s">
        <v>820</v>
      </c>
      <c r="C459" s="2587" t="n">
        <f aca="false">C457</f>
        <v>183.1515</v>
      </c>
      <c r="D459" s="2584" t="n">
        <f aca="false">IF('Ввод данных'!A25=связи1!A18,1,0)</f>
        <v>0</v>
      </c>
      <c r="E459" s="1580"/>
      <c r="F459" s="2630"/>
      <c r="G459" s="2630"/>
      <c r="H459" s="1580"/>
      <c r="I459" s="1580"/>
      <c r="J459" s="1580"/>
      <c r="K459" s="1580"/>
      <c r="L459" s="1580"/>
      <c r="M459" s="1580"/>
      <c r="N459" s="1580"/>
      <c r="O459" s="1580"/>
      <c r="P459" s="1580"/>
      <c r="Q459" s="1580"/>
      <c r="R459" s="1580"/>
    </row>
    <row r="460" customFormat="false" ht="15.75" hidden="false" customHeight="false" outlineLevel="0" collapsed="false">
      <c r="A460" s="2648" t="s">
        <v>4051</v>
      </c>
      <c r="B460" s="2587" t="s">
        <v>820</v>
      </c>
      <c r="C460" s="2587" t="n">
        <f aca="false">C451</f>
        <v>174.43</v>
      </c>
      <c r="D460" s="2584" t="n">
        <f aca="false">IF('Ввод данных'!A25=связи1!A22,IF('Ввод данных'!A1257='Прайс лист'!B549,1,0)+IF('Ввод данных'!A1257='Прайс лист'!B550,1,0)+IF('Ввод данных'!A1257='Прайс лист'!B551,1,0)+IF('Ввод данных'!A1257='Прайс лист'!B552,1,0)+IF('Ввод данных'!A1257='Прайс лист'!B553,1,0)+IF('Ввод данных'!A1257='Прайс лист'!B554,1,0),0)</f>
        <v>0</v>
      </c>
      <c r="E460" s="1580"/>
      <c r="F460" s="2630"/>
      <c r="G460" s="2630"/>
      <c r="H460" s="1580"/>
      <c r="I460" s="1580"/>
      <c r="J460" s="1580"/>
      <c r="K460" s="1580"/>
      <c r="L460" s="1580"/>
      <c r="M460" s="1580"/>
      <c r="N460" s="1580"/>
      <c r="O460" s="1580"/>
      <c r="P460" s="1580"/>
      <c r="Q460" s="1580"/>
      <c r="R460" s="1580"/>
    </row>
    <row r="461" customFormat="false" ht="15.75" hidden="false" customHeight="false" outlineLevel="0" collapsed="false">
      <c r="A461" s="2648" t="s">
        <v>4052</v>
      </c>
      <c r="B461" s="2587" t="s">
        <v>820</v>
      </c>
      <c r="C461" s="2587" t="n">
        <f aca="false">C460</f>
        <v>174.43</v>
      </c>
      <c r="D461" s="2584" t="n">
        <f aca="false">IF('Ввод данных'!A25=связи1!A22,IF('Ввод данных'!A1257='Прайс лист'!B570,1,0)+IF('Ввод данных'!A1257='Прайс лист'!B571,1,0)+IF('Ввод данных'!A1257='Прайс лист'!B572,1,0),0)</f>
        <v>0</v>
      </c>
      <c r="E461" s="1580"/>
      <c r="F461" s="2630"/>
      <c r="G461" s="2630"/>
      <c r="H461" s="1580"/>
      <c r="I461" s="1580"/>
      <c r="J461" s="1580"/>
      <c r="K461" s="1580"/>
      <c r="L461" s="1580"/>
      <c r="M461" s="1580"/>
      <c r="N461" s="1580"/>
      <c r="O461" s="1580"/>
      <c r="P461" s="1580"/>
      <c r="Q461" s="1580"/>
      <c r="R461" s="1580"/>
    </row>
    <row r="462" customFormat="false" ht="15.75" hidden="false" customHeight="false" outlineLevel="0" collapsed="false">
      <c r="A462" s="2648" t="s">
        <v>4053</v>
      </c>
      <c r="B462" s="2587" t="s">
        <v>820</v>
      </c>
      <c r="C462" s="2587" t="n">
        <f aca="false">C461</f>
        <v>174.43</v>
      </c>
      <c r="D462" s="2584" t="n">
        <f aca="false">IF('Ввод данных'!A25=связи1!A22,IF('Ввод данных'!A1257='Прайс лист'!B567,1,0)+IF('Ввод данных'!A1257='Прайс лист'!B568,1,0)+IF('Ввод данных'!A1257='Прайс лист'!B569,1,0),0)</f>
        <v>0</v>
      </c>
      <c r="E462" s="1580"/>
      <c r="F462" s="2630"/>
      <c r="G462" s="2630"/>
      <c r="H462" s="1580"/>
      <c r="I462" s="1580"/>
      <c r="J462" s="1580"/>
      <c r="K462" s="1580"/>
      <c r="L462" s="1580"/>
      <c r="M462" s="1580"/>
      <c r="N462" s="1580"/>
      <c r="O462" s="1580"/>
      <c r="P462" s="1580"/>
      <c r="Q462" s="1580"/>
      <c r="R462" s="1580"/>
    </row>
    <row r="463" customFormat="false" ht="15.75" hidden="false" customHeight="false" outlineLevel="0" collapsed="false">
      <c r="A463" s="2648" t="s">
        <v>4054</v>
      </c>
      <c r="B463" s="2587" t="s">
        <v>820</v>
      </c>
      <c r="C463" s="2587" t="n">
        <f aca="false">C462</f>
        <v>174.43</v>
      </c>
      <c r="D463" s="2584" t="n">
        <f aca="false">IF('Ввод данных'!A25=связи1!A22,IF('Ввод данных'!A1257='Прайс лист'!B561,1,0)+IF('Ввод данных'!A1257='Прайс лист'!B562,1,0)+IF('Ввод данных'!A1257='Прайс лист'!B563,1,0)+IF('Ввод данных'!A1257='Прайс лист'!B564,1,0)+IF('Ввод данных'!A1257='Прайс лист'!B565,1,0)+IF('Ввод данных'!A1257='Прайс лист'!B566,1,0),0)</f>
        <v>0</v>
      </c>
      <c r="E463" s="1580"/>
      <c r="F463" s="2630"/>
      <c r="G463" s="2630"/>
      <c r="H463" s="1580"/>
      <c r="I463" s="1580"/>
      <c r="J463" s="1580"/>
      <c r="K463" s="1580"/>
      <c r="L463" s="1580"/>
      <c r="M463" s="1580"/>
      <c r="N463" s="1580"/>
      <c r="O463" s="1580"/>
      <c r="P463" s="1580"/>
      <c r="Q463" s="1580"/>
      <c r="R463" s="1580"/>
    </row>
    <row r="464" customFormat="false" ht="15.75" hidden="false" customHeight="false" outlineLevel="0" collapsed="false">
      <c r="A464" s="2587" t="s">
        <v>4055</v>
      </c>
      <c r="B464" s="2587"/>
      <c r="C464" s="2587"/>
      <c r="D464" s="2584" t="n">
        <f aca="false">IF('Ввод данных'!A25=связи1!A23,1,0)</f>
        <v>0</v>
      </c>
      <c r="E464" s="1580"/>
      <c r="F464" s="2630"/>
      <c r="G464" s="2630"/>
      <c r="H464" s="1580"/>
      <c r="I464" s="1580"/>
      <c r="J464" s="1580"/>
      <c r="K464" s="1580"/>
      <c r="L464" s="1580"/>
      <c r="M464" s="1580"/>
      <c r="N464" s="1580"/>
      <c r="O464" s="1580"/>
      <c r="P464" s="1580"/>
      <c r="Q464" s="1580"/>
      <c r="R464" s="1580"/>
    </row>
    <row r="465" customFormat="false" ht="15.75" hidden="false" customHeight="false" outlineLevel="0" collapsed="false">
      <c r="A465" s="2587" t="s">
        <v>810</v>
      </c>
      <c r="B465" s="2587" t="s">
        <v>15</v>
      </c>
      <c r="C465" s="2584" t="n">
        <f aca="false">'Ввод данных'!C1266</f>
        <v>0.2</v>
      </c>
      <c r="D465" s="2589"/>
      <c r="E465" s="1580"/>
      <c r="F465" s="2630"/>
      <c r="G465" s="2630"/>
      <c r="H465" s="1580"/>
      <c r="I465" s="1580"/>
      <c r="J465" s="1580"/>
      <c r="K465" s="1580"/>
      <c r="L465" s="1580"/>
      <c r="M465" s="1580"/>
      <c r="N465" s="1580"/>
      <c r="O465" s="1580"/>
      <c r="P465" s="1580"/>
      <c r="Q465" s="1580"/>
      <c r="R465" s="1580"/>
    </row>
    <row r="466" customFormat="false" ht="15.75" hidden="false" customHeight="false" outlineLevel="0" collapsed="false">
      <c r="A466" s="2587" t="s">
        <v>4056</v>
      </c>
      <c r="B466" s="2587" t="s">
        <v>15</v>
      </c>
      <c r="C466" s="837" t="n">
        <f aca="false">E340+(F340*(B340-1))+0.4</f>
        <v>4.8</v>
      </c>
      <c r="D466" s="2589"/>
      <c r="E466" s="1580"/>
      <c r="F466" s="2630"/>
      <c r="G466" s="2630"/>
      <c r="H466" s="1580"/>
      <c r="I466" s="1580"/>
      <c r="J466" s="1580"/>
      <c r="K466" s="1580"/>
      <c r="L466" s="1580"/>
      <c r="M466" s="1580"/>
      <c r="N466" s="1580"/>
      <c r="O466" s="1580"/>
      <c r="P466" s="1580"/>
      <c r="Q466" s="1580"/>
      <c r="R466" s="1580"/>
    </row>
    <row r="467" customFormat="false" ht="15.75" hidden="false" customHeight="false" outlineLevel="0" collapsed="false">
      <c r="A467" s="2587" t="s">
        <v>4057</v>
      </c>
      <c r="B467" s="2587" t="s">
        <v>820</v>
      </c>
      <c r="C467" s="2587" t="n">
        <f aca="false">C466*C465*8</f>
        <v>7.68</v>
      </c>
      <c r="D467" s="2589"/>
      <c r="E467" s="1580"/>
      <c r="F467" s="2630"/>
      <c r="G467" s="2630"/>
      <c r="H467" s="1580"/>
      <c r="I467" s="1580"/>
      <c r="J467" s="1580"/>
      <c r="K467" s="1580"/>
      <c r="L467" s="1580"/>
      <c r="M467" s="1580"/>
      <c r="N467" s="1580"/>
      <c r="O467" s="1580"/>
      <c r="P467" s="1580"/>
      <c r="Q467" s="1580"/>
      <c r="R467" s="1580"/>
    </row>
    <row r="468" customFormat="false" ht="15.75" hidden="false" customHeight="false" outlineLevel="0" collapsed="false">
      <c r="A468" s="2587" t="s">
        <v>4058</v>
      </c>
      <c r="B468" s="2587" t="s">
        <v>820</v>
      </c>
      <c r="C468" s="2587" t="n">
        <f aca="false">C497-C467</f>
        <v>166.75</v>
      </c>
      <c r="D468" s="2589"/>
      <c r="E468" s="1580"/>
      <c r="F468" s="2630"/>
      <c r="G468" s="2630"/>
      <c r="H468" s="1580"/>
      <c r="I468" s="1580"/>
      <c r="J468" s="1580"/>
      <c r="K468" s="1580"/>
      <c r="L468" s="1580"/>
      <c r="M468" s="1580"/>
      <c r="N468" s="1580"/>
      <c r="O468" s="1580"/>
      <c r="P468" s="1580"/>
      <c r="Q468" s="1580"/>
      <c r="R468" s="1580"/>
    </row>
    <row r="469" customFormat="false" ht="15.75" hidden="false" customHeight="false" outlineLevel="0" collapsed="false">
      <c r="A469" s="2587" t="s">
        <v>4059</v>
      </c>
      <c r="B469" s="2587" t="s">
        <v>820</v>
      </c>
      <c r="C469" s="2587" t="n">
        <f aca="false">C467</f>
        <v>7.68</v>
      </c>
      <c r="D469" s="2584" t="n">
        <f aca="false">D464</f>
        <v>0</v>
      </c>
      <c r="E469" s="1580"/>
      <c r="F469" s="2630"/>
      <c r="G469" s="2630"/>
      <c r="H469" s="1580"/>
      <c r="I469" s="1580"/>
      <c r="J469" s="1580"/>
      <c r="K469" s="1580"/>
      <c r="L469" s="1580"/>
      <c r="M469" s="1580"/>
      <c r="N469" s="1580"/>
      <c r="O469" s="1580"/>
      <c r="P469" s="1580"/>
      <c r="Q469" s="1580"/>
      <c r="R469" s="1580"/>
    </row>
    <row r="470" customFormat="false" ht="15.75" hidden="false" customHeight="false" outlineLevel="0" collapsed="false">
      <c r="A470" s="2587" t="s">
        <v>4060</v>
      </c>
      <c r="B470" s="2587" t="s">
        <v>820</v>
      </c>
      <c r="C470" s="2587" t="n">
        <f aca="false">C497</f>
        <v>174.43</v>
      </c>
      <c r="D470" s="2584" t="n">
        <v>0</v>
      </c>
      <c r="E470" s="1580"/>
      <c r="F470" s="2630"/>
      <c r="G470" s="2630"/>
      <c r="H470" s="1580"/>
      <c r="I470" s="1580"/>
      <c r="J470" s="1580"/>
      <c r="K470" s="1580"/>
      <c r="L470" s="1580"/>
      <c r="M470" s="1580"/>
      <c r="N470" s="1580"/>
      <c r="O470" s="1580"/>
      <c r="P470" s="1580"/>
      <c r="Q470" s="1580"/>
      <c r="R470" s="1580"/>
    </row>
    <row r="471" customFormat="false" ht="15.75" hidden="false" customHeight="false" outlineLevel="0" collapsed="false">
      <c r="A471" s="2587" t="s">
        <v>4061</v>
      </c>
      <c r="B471" s="2587" t="s">
        <v>820</v>
      </c>
      <c r="C471" s="2587" t="n">
        <f aca="false">C497</f>
        <v>174.43</v>
      </c>
      <c r="D471" s="2584" t="n">
        <v>0</v>
      </c>
      <c r="E471" s="1580"/>
      <c r="F471" s="2630"/>
      <c r="G471" s="2630"/>
      <c r="H471" s="1580"/>
      <c r="I471" s="1580"/>
      <c r="J471" s="1580"/>
      <c r="K471" s="1580"/>
      <c r="L471" s="1580"/>
      <c r="M471" s="1580"/>
      <c r="N471" s="1580"/>
      <c r="O471" s="1580"/>
      <c r="P471" s="1580"/>
      <c r="Q471" s="1580"/>
      <c r="R471" s="1580"/>
    </row>
    <row r="472" customFormat="false" ht="15.75" hidden="false" customHeight="false" outlineLevel="0" collapsed="false">
      <c r="A472" s="2587" t="s">
        <v>4062</v>
      </c>
      <c r="B472" s="2587" t="s">
        <v>820</v>
      </c>
      <c r="C472" s="2587" t="n">
        <f aca="false">C497</f>
        <v>174.43</v>
      </c>
      <c r="D472" s="2584" t="n">
        <v>0</v>
      </c>
      <c r="E472" s="1580"/>
      <c r="F472" s="2630"/>
      <c r="G472" s="2630"/>
      <c r="H472" s="1580"/>
      <c r="I472" s="1580"/>
      <c r="J472" s="1580"/>
      <c r="K472" s="1580"/>
      <c r="L472" s="1580"/>
      <c r="M472" s="1580"/>
      <c r="N472" s="1580"/>
      <c r="O472" s="1580"/>
      <c r="P472" s="1580"/>
      <c r="Q472" s="1580"/>
      <c r="R472" s="1580"/>
    </row>
    <row r="473" customFormat="false" ht="15.75" hidden="false" customHeight="false" outlineLevel="0" collapsed="false">
      <c r="A473" s="2587" t="s">
        <v>819</v>
      </c>
      <c r="B473" s="2587" t="s">
        <v>820</v>
      </c>
      <c r="C473" s="2587" t="n">
        <f aca="false">C497</f>
        <v>174.43</v>
      </c>
      <c r="D473" s="2584" t="n">
        <f aca="false">VLOOKUP('Ввод данных'!C1275,связи1!A2:B3,2,0)</f>
        <v>0</v>
      </c>
      <c r="E473" s="1580"/>
      <c r="F473" s="2630"/>
      <c r="G473" s="2630"/>
      <c r="H473" s="1580"/>
      <c r="I473" s="1580"/>
      <c r="J473" s="1580"/>
      <c r="K473" s="1580"/>
      <c r="L473" s="1580"/>
      <c r="M473" s="1580"/>
      <c r="N473" s="1580"/>
      <c r="O473" s="1580"/>
      <c r="P473" s="1580"/>
      <c r="Q473" s="1580"/>
      <c r="R473" s="1580"/>
    </row>
    <row r="474" customFormat="false" ht="15.75" hidden="false" customHeight="false" outlineLevel="0" collapsed="false">
      <c r="A474" s="2649" t="s">
        <v>821</v>
      </c>
      <c r="B474" s="2650"/>
      <c r="C474" s="2651"/>
      <c r="D474" s="2651" t="n">
        <f aca="false">VLOOKUP('Ввод данных'!C1277,связи1!A2:B3,2,0)</f>
        <v>0</v>
      </c>
      <c r="E474" s="1580"/>
      <c r="F474" s="2630"/>
      <c r="G474" s="2630"/>
      <c r="H474" s="1580"/>
      <c r="I474" s="1580"/>
      <c r="J474" s="1580"/>
      <c r="K474" s="1580"/>
      <c r="L474" s="1580"/>
      <c r="M474" s="1580"/>
      <c r="N474" s="1580"/>
      <c r="O474" s="1580"/>
      <c r="P474" s="1580"/>
      <c r="Q474" s="1580"/>
      <c r="R474" s="1580"/>
    </row>
    <row r="475" customFormat="false" ht="15.75" hidden="false" customHeight="false" outlineLevel="0" collapsed="false">
      <c r="A475" s="908" t="s">
        <v>827</v>
      </c>
      <c r="B475" s="2587" t="s">
        <v>15</v>
      </c>
      <c r="C475" s="2584" t="n">
        <f aca="false">'Ввод данных'!C1286</f>
        <v>0.4</v>
      </c>
      <c r="D475" s="2652"/>
      <c r="E475" s="1580"/>
      <c r="F475" s="2630"/>
      <c r="G475" s="2630"/>
      <c r="H475" s="1580"/>
      <c r="I475" s="1580"/>
      <c r="J475" s="1580"/>
      <c r="K475" s="1580"/>
      <c r="L475" s="1580"/>
      <c r="M475" s="1580"/>
      <c r="N475" s="1580"/>
      <c r="O475" s="1580"/>
      <c r="P475" s="1580"/>
      <c r="Q475" s="1580"/>
      <c r="R475" s="1580"/>
    </row>
    <row r="476" customFormat="false" ht="15.75" hidden="false" customHeight="false" outlineLevel="0" collapsed="false">
      <c r="A476" s="908" t="s">
        <v>4063</v>
      </c>
      <c r="B476" s="2587" t="s">
        <v>15</v>
      </c>
      <c r="C476" s="2588" t="n">
        <f aca="false">дома!C1113+пристройка!D2*пристройка!C33*2+дома!D1229*(дома!C1238+дома!C1239+дома!C1239+дома!C1240*дома!D1240*2-дома!C1245)</f>
        <v>48</v>
      </c>
      <c r="D476" s="2652"/>
      <c r="E476" s="1580"/>
      <c r="F476" s="2630"/>
      <c r="G476" s="2630"/>
      <c r="H476" s="1580"/>
      <c r="I476" s="1580"/>
      <c r="J476" s="1580"/>
      <c r="K476" s="1580"/>
      <c r="L476" s="1580"/>
      <c r="M476" s="1580"/>
      <c r="N476" s="1580"/>
      <c r="O476" s="1580"/>
      <c r="P476" s="1580"/>
      <c r="Q476" s="1580"/>
      <c r="R476" s="1580"/>
    </row>
    <row r="477" customFormat="false" ht="15.75" hidden="false" customHeight="false" outlineLevel="0" collapsed="false">
      <c r="A477" s="908" t="s">
        <v>828</v>
      </c>
      <c r="B477" s="2587" t="s">
        <v>15</v>
      </c>
      <c r="C477" s="2588" t="n">
        <f aca="false">C476</f>
        <v>48</v>
      </c>
      <c r="D477" s="2584" t="n">
        <f aca="false">VLOOKUP('Ввод данных'!C1287,связи1!A2:B3,2,0)*VLOOKUP('Ввод данных'!C1277,связи1!A2:B3,2,0)</f>
        <v>0</v>
      </c>
      <c r="E477" s="1580"/>
      <c r="F477" s="2630"/>
      <c r="G477" s="2630"/>
      <c r="H477" s="1580"/>
      <c r="I477" s="1580"/>
      <c r="J477" s="1580"/>
      <c r="K477" s="1580"/>
      <c r="L477" s="1580"/>
      <c r="M477" s="1580"/>
      <c r="N477" s="1580"/>
      <c r="O477" s="1580"/>
      <c r="P477" s="1580"/>
      <c r="Q477" s="1580"/>
      <c r="R477" s="1580"/>
    </row>
    <row r="478" customFormat="false" ht="15.75" hidden="false" customHeight="false" outlineLevel="0" collapsed="false">
      <c r="A478" s="767" t="s">
        <v>1868</v>
      </c>
      <c r="B478" s="2587" t="s">
        <v>820</v>
      </c>
      <c r="C478" s="2588" t="n">
        <f aca="false">C476*C475</f>
        <v>19.2</v>
      </c>
      <c r="D478" s="2584" t="n">
        <f aca="false">IF('Ввод данных'!A1279=связи1!A28,1,0)*VLOOKUP('Ввод данных'!C1277,связи1!A2:B3,2,0)</f>
        <v>0</v>
      </c>
      <c r="E478" s="1580"/>
      <c r="F478" s="2630"/>
      <c r="G478" s="2630"/>
      <c r="H478" s="1580"/>
      <c r="I478" s="1580"/>
      <c r="J478" s="1580"/>
      <c r="K478" s="1580"/>
      <c r="L478" s="1580"/>
      <c r="M478" s="1580"/>
      <c r="N478" s="1580"/>
      <c r="O478" s="1580"/>
      <c r="P478" s="1580"/>
      <c r="Q478" s="1580"/>
      <c r="R478" s="1580"/>
    </row>
    <row r="479" customFormat="false" ht="15.75" hidden="false" customHeight="false" outlineLevel="0" collapsed="false">
      <c r="A479" s="767" t="s">
        <v>823</v>
      </c>
      <c r="B479" s="2587" t="s">
        <v>820</v>
      </c>
      <c r="C479" s="2588" t="n">
        <f aca="false">C478</f>
        <v>19.2</v>
      </c>
      <c r="D479" s="2584" t="n">
        <f aca="false">IF('Ввод данных'!A1279=связи1!A29,1,0)*VLOOKUP('Ввод данных'!C1277,связи1!A2:B3,2,0)</f>
        <v>0</v>
      </c>
      <c r="E479" s="1580"/>
      <c r="F479" s="2630"/>
      <c r="G479" s="2630"/>
      <c r="H479" s="1580"/>
      <c r="I479" s="1580"/>
      <c r="J479" s="1580"/>
      <c r="K479" s="1580"/>
      <c r="L479" s="1580"/>
      <c r="M479" s="1580"/>
      <c r="N479" s="1580"/>
      <c r="O479" s="1580"/>
      <c r="P479" s="1580"/>
      <c r="Q479" s="1580"/>
      <c r="R479" s="1580"/>
    </row>
    <row r="480" customFormat="false" ht="15.75" hidden="false" customHeight="false" outlineLevel="0" collapsed="false">
      <c r="A480" s="767" t="s">
        <v>1872</v>
      </c>
      <c r="B480" s="2587" t="s">
        <v>820</v>
      </c>
      <c r="C480" s="2588" t="n">
        <f aca="false">C478</f>
        <v>19.2</v>
      </c>
      <c r="D480" s="2584" t="n">
        <f aca="false">IF('Ввод данных'!A1279=связи1!A30,1,0)*VLOOKUP('Ввод данных'!C1277,связи1!A2:B3,2,0)</f>
        <v>0</v>
      </c>
      <c r="E480" s="1580"/>
      <c r="F480" s="2630"/>
      <c r="G480" s="2630"/>
      <c r="H480" s="1580"/>
      <c r="I480" s="1580"/>
      <c r="J480" s="1580"/>
      <c r="K480" s="1580"/>
      <c r="L480" s="1580"/>
      <c r="M480" s="1580"/>
      <c r="N480" s="1580"/>
      <c r="O480" s="1580"/>
      <c r="P480" s="1580"/>
      <c r="Q480" s="1580"/>
      <c r="R480" s="1580"/>
    </row>
    <row r="481" customFormat="false" ht="15.75" hidden="false" customHeight="false" outlineLevel="0" collapsed="false">
      <c r="A481" s="2587" t="s">
        <v>2342</v>
      </c>
      <c r="B481" s="2587" t="s">
        <v>15</v>
      </c>
      <c r="C481" s="2588" t="n">
        <f aca="false">((C476/0.6)+1)*C475*1.2</f>
        <v>38.88</v>
      </c>
      <c r="D481" s="2584" t="n">
        <f aca="false">IF('Ввод данных'!A1281=связи1!A13,1,0)*VLOOKUP('Ввод данных'!C1277,связи1!A2:B3,2,0)</f>
        <v>0</v>
      </c>
      <c r="E481" s="1580"/>
      <c r="F481" s="2630"/>
      <c r="G481" s="2630"/>
      <c r="H481" s="1580"/>
      <c r="I481" s="1580"/>
      <c r="J481" s="1580"/>
      <c r="K481" s="1580"/>
      <c r="L481" s="1580"/>
      <c r="M481" s="1580"/>
      <c r="N481" s="1580"/>
      <c r="O481" s="1580"/>
      <c r="P481" s="1580"/>
      <c r="Q481" s="1580"/>
      <c r="R481" s="1580"/>
    </row>
    <row r="482" customFormat="false" ht="15.75" hidden="false" customHeight="false" outlineLevel="0" collapsed="false">
      <c r="A482" s="2587" t="s">
        <v>2344</v>
      </c>
      <c r="B482" s="2587" t="s">
        <v>15</v>
      </c>
      <c r="C482" s="2588" t="n">
        <f aca="false">C481</f>
        <v>38.88</v>
      </c>
      <c r="D482" s="2584" t="n">
        <f aca="false">IF('Ввод данных'!A1281=связи1!A14,1,0)*VLOOKUP('Ввод данных'!C1277,связи1!A2:B3,2,0)</f>
        <v>0</v>
      </c>
      <c r="E482" s="1580"/>
      <c r="F482" s="2630"/>
      <c r="G482" s="2630"/>
      <c r="H482" s="1580"/>
      <c r="I482" s="1580"/>
      <c r="J482" s="1580"/>
      <c r="K482" s="1580"/>
      <c r="L482" s="1580"/>
      <c r="M482" s="1580"/>
      <c r="N482" s="1580"/>
      <c r="O482" s="1580"/>
      <c r="P482" s="1580"/>
      <c r="Q482" s="1580"/>
      <c r="R482" s="1580"/>
    </row>
    <row r="483" customFormat="false" ht="15.75" hidden="false" customHeight="false" outlineLevel="0" collapsed="false">
      <c r="A483" s="2587" t="s">
        <v>4064</v>
      </c>
      <c r="B483" s="2587" t="s">
        <v>820</v>
      </c>
      <c r="C483" s="2588" t="n">
        <f aca="false">C478</f>
        <v>19.2</v>
      </c>
      <c r="D483" s="2584" t="n">
        <f aca="false">D480*VLOOKUP('Ввод данных'!C1277,связи1!A2:B3,2,0)</f>
        <v>0</v>
      </c>
      <c r="E483" s="1580"/>
      <c r="F483" s="2630"/>
      <c r="G483" s="2630"/>
      <c r="H483" s="1580"/>
      <c r="I483" s="1580"/>
      <c r="J483" s="1580"/>
      <c r="K483" s="1580"/>
      <c r="L483" s="1580"/>
      <c r="M483" s="1580"/>
      <c r="N483" s="1580"/>
      <c r="O483" s="1580"/>
      <c r="P483" s="1580"/>
      <c r="Q483" s="1580"/>
      <c r="R483" s="1580"/>
    </row>
    <row r="484" customFormat="false" ht="15.75" hidden="false" customHeight="false" outlineLevel="0" collapsed="false">
      <c r="A484" s="2648" t="s">
        <v>4065</v>
      </c>
      <c r="B484" s="2587" t="s">
        <v>15</v>
      </c>
      <c r="C484" s="2587"/>
      <c r="D484" s="2584" t="n">
        <f aca="false">1*VLOOKUP('Ввод данных'!C1277,связи1!A2:B3,2,0)</f>
        <v>0</v>
      </c>
      <c r="E484" s="1580"/>
      <c r="F484" s="2630"/>
      <c r="G484" s="2630"/>
      <c r="H484" s="1580"/>
      <c r="I484" s="1580"/>
      <c r="J484" s="1580"/>
      <c r="K484" s="1580"/>
      <c r="L484" s="1580"/>
      <c r="M484" s="1580"/>
      <c r="N484" s="1580"/>
      <c r="O484" s="1580"/>
      <c r="P484" s="1580"/>
      <c r="Q484" s="1580"/>
      <c r="R484" s="1580"/>
    </row>
    <row r="485" customFormat="false" ht="15.75" hidden="false" customHeight="false" outlineLevel="0" collapsed="false">
      <c r="A485" s="893" t="s">
        <v>4066</v>
      </c>
      <c r="B485" s="2583"/>
      <c r="C485" s="2652"/>
      <c r="D485" s="2653"/>
      <c r="E485" s="1580"/>
      <c r="F485" s="2630"/>
      <c r="G485" s="2630"/>
      <c r="H485" s="1580"/>
      <c r="I485" s="1580"/>
      <c r="J485" s="1580"/>
      <c r="K485" s="1580"/>
      <c r="L485" s="1580"/>
      <c r="M485" s="1580"/>
      <c r="N485" s="1580"/>
      <c r="O485" s="1580"/>
      <c r="P485" s="1580"/>
      <c r="Q485" s="1580"/>
      <c r="R485" s="1580"/>
    </row>
    <row r="486" customFormat="false" ht="15.75" hidden="false" customHeight="false" outlineLevel="0" collapsed="false">
      <c r="A486" s="2654" t="s">
        <v>829</v>
      </c>
      <c r="B486" s="2654" t="s">
        <v>820</v>
      </c>
      <c r="C486" s="2651" t="n">
        <f aca="false">дома!C1387</f>
        <v>15.7534348408615</v>
      </c>
      <c r="D486" s="2654" t="n">
        <f aca="false">VLOOKUP('Ввод данных'!C1289,связи1!A2:B3,2,0)</f>
        <v>0</v>
      </c>
      <c r="E486" s="1580"/>
      <c r="F486" s="2630"/>
      <c r="G486" s="2630"/>
      <c r="H486" s="1580"/>
      <c r="I486" s="1580"/>
      <c r="J486" s="1580"/>
      <c r="K486" s="1580"/>
      <c r="L486" s="1580"/>
      <c r="M486" s="1580"/>
      <c r="N486" s="1580"/>
      <c r="O486" s="1580"/>
      <c r="P486" s="1580"/>
      <c r="Q486" s="1580"/>
      <c r="R486" s="1580"/>
    </row>
    <row r="487" customFormat="false" ht="15.75" hidden="false" customHeight="false" outlineLevel="0" collapsed="false">
      <c r="A487" s="2587" t="s">
        <v>1870</v>
      </c>
      <c r="B487" s="2587" t="s">
        <v>820</v>
      </c>
      <c r="C487" s="2588" t="n">
        <f aca="false">C486</f>
        <v>15.7534348408615</v>
      </c>
      <c r="D487" s="2584" t="n">
        <f aca="false">IF('Ввод данных'!A1291=связи1!H4,1,0)*VLOOKUP('Ввод данных'!C1289,связи1!A2:B3,2,0)</f>
        <v>0</v>
      </c>
      <c r="E487" s="1580"/>
      <c r="F487" s="2630"/>
      <c r="G487" s="2630"/>
      <c r="H487" s="1580"/>
      <c r="I487" s="1580"/>
      <c r="J487" s="1580"/>
      <c r="K487" s="1580"/>
      <c r="L487" s="1580"/>
      <c r="M487" s="1580"/>
      <c r="N487" s="1580"/>
      <c r="O487" s="1580"/>
      <c r="P487" s="1580"/>
      <c r="Q487" s="1580"/>
      <c r="R487" s="1580"/>
    </row>
    <row r="488" customFormat="false" ht="15.75" hidden="false" customHeight="false" outlineLevel="0" collapsed="false">
      <c r="A488" s="2587" t="s">
        <v>2165</v>
      </c>
      <c r="B488" s="2587" t="s">
        <v>820</v>
      </c>
      <c r="C488" s="2588" t="n">
        <f aca="false">C486</f>
        <v>15.7534348408615</v>
      </c>
      <c r="D488" s="2584" t="n">
        <f aca="false">IF('Ввод данных'!A1291=связи1!H5,1,0)*VLOOKUP('Ввод данных'!C1289,связи1!A2:B3,2,0)</f>
        <v>0</v>
      </c>
      <c r="E488" s="1580"/>
      <c r="F488" s="2630"/>
      <c r="G488" s="2630"/>
      <c r="H488" s="1580"/>
      <c r="I488" s="1580"/>
      <c r="J488" s="1580"/>
      <c r="K488" s="1580"/>
      <c r="L488" s="1580"/>
      <c r="M488" s="1580"/>
      <c r="N488" s="1580"/>
      <c r="O488" s="1580"/>
      <c r="P488" s="1580"/>
      <c r="Q488" s="1580"/>
      <c r="R488" s="1580"/>
    </row>
    <row r="489" customFormat="false" ht="15.75" hidden="false" customHeight="false" outlineLevel="0" collapsed="false">
      <c r="A489" s="1546" t="s">
        <v>3774</v>
      </c>
      <c r="B489" s="1546"/>
      <c r="C489" s="1546"/>
      <c r="D489" s="2630"/>
      <c r="E489" s="1580"/>
      <c r="F489" s="2630"/>
      <c r="G489" s="2630"/>
      <c r="H489" s="1580"/>
      <c r="I489" s="1580"/>
      <c r="J489" s="1580"/>
      <c r="K489" s="1580"/>
      <c r="L489" s="1580"/>
      <c r="M489" s="1580"/>
      <c r="N489" s="1580"/>
      <c r="O489" s="1580"/>
      <c r="P489" s="1580"/>
      <c r="Q489" s="1580"/>
      <c r="R489" s="1580"/>
    </row>
    <row r="490" customFormat="false" ht="15.75" hidden="false" customHeight="false" outlineLevel="0" collapsed="false">
      <c r="A490" s="738" t="s">
        <v>3825</v>
      </c>
      <c r="B490" s="2587" t="s">
        <v>820</v>
      </c>
      <c r="C490" s="740" t="n">
        <f aca="false">дома!C1364</f>
        <v>128</v>
      </c>
      <c r="D490" s="2630"/>
      <c r="E490" s="1580"/>
      <c r="F490" s="2630"/>
      <c r="G490" s="2630"/>
      <c r="H490" s="1580"/>
      <c r="I490" s="1580"/>
      <c r="J490" s="1580"/>
      <c r="K490" s="1580"/>
      <c r="L490" s="1580"/>
      <c r="M490" s="1580"/>
      <c r="N490" s="1580"/>
      <c r="O490" s="1580"/>
      <c r="P490" s="1580"/>
      <c r="Q490" s="1580"/>
      <c r="R490" s="1580"/>
    </row>
    <row r="491" customFormat="false" ht="15.75" hidden="false" customHeight="false" outlineLevel="0" collapsed="false">
      <c r="A491" s="738" t="s">
        <v>3776</v>
      </c>
      <c r="B491" s="2587" t="s">
        <v>820</v>
      </c>
      <c r="C491" s="740" t="n">
        <f aca="false">C616</f>
        <v>112.955</v>
      </c>
      <c r="D491" s="2630"/>
      <c r="E491" s="1580"/>
      <c r="F491" s="2630"/>
      <c r="G491" s="2630"/>
      <c r="H491" s="1580"/>
      <c r="I491" s="1580"/>
      <c r="J491" s="1580"/>
      <c r="K491" s="1580"/>
      <c r="L491" s="1580"/>
      <c r="M491" s="1580"/>
      <c r="N491" s="1580"/>
      <c r="O491" s="1580"/>
      <c r="P491" s="1580"/>
      <c r="Q491" s="1580"/>
      <c r="R491" s="1580"/>
    </row>
    <row r="492" customFormat="false" ht="15.75" hidden="false" customHeight="false" outlineLevel="0" collapsed="false">
      <c r="A492" s="738" t="s">
        <v>3827</v>
      </c>
      <c r="B492" s="2587" t="s">
        <v>15</v>
      </c>
      <c r="C492" s="740" t="n">
        <f aca="false">дома!C1366</f>
        <v>48</v>
      </c>
      <c r="D492" s="2630"/>
      <c r="E492" s="1580"/>
      <c r="F492" s="2630"/>
      <c r="G492" s="2630"/>
      <c r="H492" s="1580"/>
      <c r="I492" s="1580"/>
      <c r="J492" s="1580"/>
      <c r="K492" s="1580"/>
      <c r="L492" s="1580"/>
      <c r="M492" s="1580"/>
      <c r="N492" s="1580"/>
      <c r="O492" s="1580"/>
      <c r="P492" s="1580"/>
      <c r="Q492" s="1580"/>
      <c r="R492" s="1580"/>
    </row>
    <row r="493" customFormat="false" ht="15.75" hidden="false" customHeight="false" outlineLevel="0" collapsed="false">
      <c r="A493" s="738" t="s">
        <v>3859</v>
      </c>
      <c r="B493" s="2587" t="s">
        <v>15</v>
      </c>
      <c r="C493" s="740" t="n">
        <f aca="false">дома!C1367</f>
        <v>64</v>
      </c>
      <c r="D493" s="2630"/>
      <c r="E493" s="1580"/>
      <c r="F493" s="2630"/>
      <c r="G493" s="2630"/>
      <c r="H493" s="1580"/>
      <c r="I493" s="1580"/>
      <c r="J493" s="1580"/>
      <c r="K493" s="1580"/>
      <c r="L493" s="1580"/>
      <c r="M493" s="1580"/>
      <c r="N493" s="1580"/>
      <c r="O493" s="1580"/>
      <c r="P493" s="1580"/>
      <c r="Q493" s="1580"/>
      <c r="R493" s="1580"/>
    </row>
    <row r="494" customFormat="false" ht="15.75" hidden="false" customHeight="false" outlineLevel="0" collapsed="false">
      <c r="A494" s="738" t="s">
        <v>3862</v>
      </c>
      <c r="B494" s="2587" t="s">
        <v>15</v>
      </c>
      <c r="C494" s="740" t="n">
        <f aca="false">дома!C1368</f>
        <v>28.5</v>
      </c>
      <c r="D494" s="2630"/>
      <c r="E494" s="1580"/>
      <c r="F494" s="2630"/>
      <c r="G494" s="2630"/>
      <c r="H494" s="1580"/>
      <c r="I494" s="1580"/>
      <c r="J494" s="1580"/>
      <c r="K494" s="1580"/>
      <c r="L494" s="1580"/>
      <c r="M494" s="1580"/>
      <c r="N494" s="1580"/>
      <c r="O494" s="1580"/>
      <c r="P494" s="1580"/>
      <c r="Q494" s="1580"/>
      <c r="R494" s="1580"/>
    </row>
    <row r="495" customFormat="false" ht="15.75" hidden="false" customHeight="false" outlineLevel="0" collapsed="false">
      <c r="A495" s="738"/>
      <c r="B495" s="2587"/>
      <c r="C495" s="740" t="n">
        <f aca="false">дома!C1369</f>
        <v>7.8</v>
      </c>
      <c r="D495" s="2630"/>
      <c r="E495" s="1580"/>
      <c r="F495" s="2630"/>
      <c r="G495" s="2630"/>
      <c r="H495" s="1580"/>
      <c r="I495" s="1580"/>
      <c r="J495" s="1580"/>
      <c r="K495" s="1580"/>
      <c r="L495" s="1580"/>
      <c r="M495" s="1580"/>
      <c r="N495" s="1580"/>
      <c r="O495" s="1580"/>
      <c r="P495" s="1580"/>
      <c r="Q495" s="1580"/>
      <c r="R495" s="1580"/>
    </row>
    <row r="496" customFormat="false" ht="15.75" hidden="false" customHeight="false" outlineLevel="0" collapsed="false">
      <c r="A496" s="738" t="s">
        <v>3781</v>
      </c>
      <c r="B496" s="2587" t="s">
        <v>820</v>
      </c>
      <c r="C496" s="740" t="n">
        <f aca="false">дома!S93</f>
        <v>174.43</v>
      </c>
      <c r="D496" s="2630"/>
      <c r="E496" s="1580"/>
      <c r="F496" s="2630"/>
      <c r="G496" s="2630"/>
      <c r="H496" s="1580"/>
      <c r="I496" s="1580"/>
      <c r="J496" s="1580"/>
      <c r="K496" s="1580"/>
      <c r="L496" s="1580"/>
      <c r="M496" s="1580"/>
      <c r="N496" s="1580"/>
      <c r="O496" s="1580"/>
      <c r="P496" s="1580"/>
      <c r="Q496" s="1580"/>
      <c r="R496" s="1580"/>
    </row>
    <row r="497" customFormat="false" ht="15.75" hidden="false" customHeight="false" outlineLevel="0" collapsed="false">
      <c r="A497" s="738" t="s">
        <v>3834</v>
      </c>
      <c r="B497" s="2587" t="s">
        <v>820</v>
      </c>
      <c r="C497" s="740" t="n">
        <f aca="false">C496</f>
        <v>174.43</v>
      </c>
      <c r="D497" s="2630"/>
      <c r="E497" s="1580"/>
      <c r="F497" s="2630"/>
      <c r="G497" s="2630"/>
      <c r="H497" s="1580"/>
      <c r="I497" s="1580"/>
      <c r="J497" s="1580"/>
      <c r="K497" s="1580"/>
      <c r="L497" s="1580"/>
      <c r="M497" s="1580"/>
      <c r="N497" s="1580"/>
      <c r="O497" s="1580"/>
      <c r="P497" s="1580"/>
      <c r="Q497" s="1580"/>
      <c r="R497" s="1580"/>
    </row>
    <row r="498" customFormat="false" ht="15.75" hidden="false" customHeight="false" outlineLevel="0" collapsed="false">
      <c r="A498" s="738" t="s">
        <v>3909</v>
      </c>
      <c r="B498" s="2587" t="s">
        <v>820</v>
      </c>
      <c r="C498" s="740" t="n">
        <f aca="false">дома!C1373</f>
        <v>0</v>
      </c>
      <c r="D498" s="2630"/>
      <c r="E498" s="1580"/>
      <c r="F498" s="2630"/>
      <c r="G498" s="2630"/>
      <c r="H498" s="1580"/>
      <c r="I498" s="1580"/>
      <c r="J498" s="1580"/>
      <c r="K498" s="1580"/>
      <c r="L498" s="1580"/>
      <c r="M498" s="1580"/>
      <c r="N498" s="1580"/>
      <c r="O498" s="1580"/>
      <c r="P498" s="1580"/>
      <c r="Q498" s="1580"/>
      <c r="R498" s="1580"/>
    </row>
    <row r="499" customFormat="false" ht="15.75" hidden="false" customHeight="false" outlineLevel="0" collapsed="false">
      <c r="A499" s="738" t="s">
        <v>3786</v>
      </c>
      <c r="B499" s="2587" t="s">
        <v>820</v>
      </c>
      <c r="C499" s="740" t="n">
        <f aca="false">дома!C1375</f>
        <v>0</v>
      </c>
      <c r="D499" s="2630"/>
      <c r="E499" s="1580"/>
      <c r="F499" s="2630"/>
      <c r="G499" s="2630"/>
      <c r="H499" s="1580"/>
      <c r="I499" s="1580"/>
      <c r="J499" s="1580"/>
      <c r="K499" s="1580"/>
      <c r="L499" s="1580"/>
      <c r="M499" s="1580"/>
      <c r="N499" s="1580"/>
      <c r="O499" s="1580"/>
      <c r="P499" s="1580"/>
      <c r="Q499" s="1580"/>
      <c r="R499" s="1580"/>
    </row>
    <row r="500" customFormat="false" ht="15.75" hidden="false" customHeight="false" outlineLevel="0" collapsed="false">
      <c r="A500" s="2613" t="s">
        <v>3793</v>
      </c>
      <c r="B500" s="2587" t="s">
        <v>820</v>
      </c>
      <c r="C500" s="740" t="n">
        <f aca="false">дома!C1382</f>
        <v>0</v>
      </c>
      <c r="D500" s="2630"/>
      <c r="E500" s="1580"/>
      <c r="F500" s="2630"/>
      <c r="G500" s="2630"/>
      <c r="H500" s="1580"/>
      <c r="I500" s="1580"/>
      <c r="J500" s="1580"/>
      <c r="K500" s="1580"/>
      <c r="L500" s="1580"/>
      <c r="M500" s="1580"/>
      <c r="N500" s="1580"/>
      <c r="O500" s="1580"/>
      <c r="P500" s="1580"/>
      <c r="Q500" s="1580"/>
      <c r="R500" s="1580"/>
    </row>
    <row r="501" customFormat="false" ht="15.75" hidden="false" customHeight="true" outlineLevel="0" collapsed="false">
      <c r="A501" s="2655" t="s">
        <v>3690</v>
      </c>
      <c r="B501" s="2655"/>
      <c r="C501" s="2655"/>
      <c r="D501" s="2630"/>
      <c r="E501" s="1580"/>
      <c r="F501" s="2630"/>
      <c r="G501" s="2630"/>
      <c r="H501" s="1580"/>
      <c r="I501" s="1580"/>
      <c r="J501" s="1580"/>
      <c r="K501" s="1580"/>
      <c r="L501" s="1580"/>
      <c r="M501" s="1580"/>
      <c r="N501" s="1580"/>
      <c r="O501" s="1580"/>
      <c r="P501" s="1580"/>
      <c r="Q501" s="1580"/>
      <c r="R501" s="1580"/>
    </row>
    <row r="502" customFormat="false" ht="15.75" hidden="false" customHeight="false" outlineLevel="0" collapsed="false">
      <c r="A502" s="837" t="s">
        <v>2821</v>
      </c>
      <c r="B502" s="837" t="s">
        <v>820</v>
      </c>
      <c r="C502" s="740" t="n">
        <f aca="false">дома!C1384</f>
        <v>105.780913567754</v>
      </c>
      <c r="D502" s="2630"/>
      <c r="E502" s="1580"/>
      <c r="F502" s="2630"/>
      <c r="G502" s="2630"/>
      <c r="H502" s="1580"/>
      <c r="I502" s="1580"/>
      <c r="J502" s="1580"/>
      <c r="K502" s="1580"/>
      <c r="L502" s="1580"/>
      <c r="M502" s="1580"/>
      <c r="N502" s="1580"/>
      <c r="O502" s="1580"/>
      <c r="P502" s="1580"/>
      <c r="Q502" s="1580"/>
      <c r="R502" s="1580"/>
    </row>
    <row r="503" customFormat="false" ht="15.75" hidden="false" customHeight="false" outlineLevel="0" collapsed="false">
      <c r="A503" s="837" t="s">
        <v>249</v>
      </c>
      <c r="B503" s="837" t="s">
        <v>15</v>
      </c>
      <c r="C503" s="740" t="n">
        <f aca="false">D340+C506+C506</f>
        <v>8</v>
      </c>
      <c r="D503" s="2630"/>
      <c r="E503" s="1580"/>
      <c r="F503" s="2630"/>
      <c r="G503" s="2630"/>
      <c r="H503" s="1580"/>
      <c r="I503" s="1580"/>
      <c r="J503" s="1580"/>
      <c r="K503" s="1580"/>
      <c r="L503" s="1580"/>
      <c r="M503" s="1580"/>
      <c r="N503" s="1580"/>
      <c r="O503" s="1580"/>
      <c r="P503" s="1580"/>
      <c r="Q503" s="1580"/>
      <c r="R503" s="1580"/>
    </row>
    <row r="504" customFormat="false" ht="15.75" hidden="false" customHeight="false" outlineLevel="0" collapsed="false">
      <c r="A504" s="837" t="s">
        <v>3647</v>
      </c>
      <c r="B504" s="837" t="s">
        <v>15</v>
      </c>
      <c r="C504" s="740" t="n">
        <f aca="false">(SQRT(((C340/2)*(C340/2))+((H340/2)*(H340/2))))+C505</f>
        <v>4.7169905660283</v>
      </c>
      <c r="D504" s="2630"/>
      <c r="E504" s="1580"/>
      <c r="F504" s="2630"/>
      <c r="G504" s="2630"/>
      <c r="H504" s="1580"/>
      <c r="I504" s="1580"/>
      <c r="J504" s="1580"/>
      <c r="K504" s="1580"/>
      <c r="L504" s="1580"/>
      <c r="M504" s="1580"/>
      <c r="N504" s="1580"/>
      <c r="O504" s="1580"/>
      <c r="P504" s="1580"/>
      <c r="Q504" s="1580"/>
      <c r="R504" s="1580"/>
    </row>
    <row r="505" customFormat="false" ht="15.75" hidden="false" customHeight="false" outlineLevel="0" collapsed="false">
      <c r="A505" s="837" t="s">
        <v>273</v>
      </c>
      <c r="B505" s="837" t="s">
        <v>15</v>
      </c>
      <c r="C505" s="740"/>
      <c r="D505" s="2630"/>
      <c r="E505" s="1580"/>
      <c r="F505" s="2630"/>
      <c r="G505" s="2630"/>
      <c r="H505" s="1580"/>
      <c r="I505" s="1580"/>
      <c r="J505" s="1580"/>
      <c r="K505" s="1580"/>
      <c r="L505" s="1580"/>
      <c r="M505" s="1580"/>
      <c r="N505" s="1580"/>
      <c r="O505" s="1580"/>
      <c r="P505" s="1580"/>
      <c r="Q505" s="1580"/>
      <c r="R505" s="1580"/>
    </row>
    <row r="506" customFormat="false" ht="15.75" hidden="false" customHeight="false" outlineLevel="0" collapsed="false">
      <c r="A506" s="837" t="s">
        <v>276</v>
      </c>
      <c r="B506" s="837" t="s">
        <v>15</v>
      </c>
      <c r="C506" s="740"/>
      <c r="D506" s="2630"/>
      <c r="E506" s="1580"/>
      <c r="F506" s="2630"/>
      <c r="G506" s="2630"/>
      <c r="H506" s="1580"/>
      <c r="I506" s="1580"/>
      <c r="J506" s="1580"/>
      <c r="K506" s="1580"/>
      <c r="L506" s="1580"/>
      <c r="M506" s="1580"/>
      <c r="N506" s="1580"/>
      <c r="O506" s="1580"/>
      <c r="P506" s="1580"/>
      <c r="Q506" s="1580"/>
      <c r="R506" s="1580"/>
    </row>
    <row r="507" customFormat="false" ht="15.75" hidden="false" customHeight="false" outlineLevel="0" collapsed="false">
      <c r="A507" s="2656" t="s">
        <v>2246</v>
      </c>
      <c r="B507" s="2657" t="s">
        <v>1738</v>
      </c>
      <c r="C507" s="2657" t="s">
        <v>118</v>
      </c>
      <c r="D507" s="2657" t="s">
        <v>3797</v>
      </c>
      <c r="E507" s="2658" t="s">
        <v>2916</v>
      </c>
      <c r="F507" s="2589"/>
      <c r="G507" s="2659" t="s">
        <v>3800</v>
      </c>
      <c r="H507" s="2659"/>
      <c r="I507" s="1546" t="s">
        <v>1738</v>
      </c>
      <c r="J507" s="2660" t="s">
        <v>118</v>
      </c>
      <c r="K507" s="2660" t="s">
        <v>2915</v>
      </c>
      <c r="L507" s="2660" t="s">
        <v>2916</v>
      </c>
      <c r="M507" s="1580"/>
      <c r="N507" s="1580"/>
      <c r="O507" s="1580"/>
      <c r="P507" s="1580"/>
      <c r="Q507" s="1580"/>
      <c r="R507" s="1580"/>
    </row>
    <row r="508" customFormat="false" ht="15.75" hidden="false" customHeight="false" outlineLevel="0" collapsed="false">
      <c r="A508" s="1556" t="s">
        <v>2285</v>
      </c>
      <c r="B508" s="1556"/>
      <c r="C508" s="1556"/>
      <c r="D508" s="1556"/>
      <c r="E508" s="1555" t="n">
        <f aca="false">C508*D508</f>
        <v>0</v>
      </c>
      <c r="F508" s="2589"/>
      <c r="G508" s="739" t="s">
        <v>837</v>
      </c>
      <c r="H508" s="739"/>
      <c r="I508" s="739"/>
      <c r="J508" s="837"/>
      <c r="K508" s="837" t="n">
        <f aca="false">'Прайс лист'!D1584</f>
        <v>0</v>
      </c>
      <c r="L508" s="837" t="n">
        <f aca="false">J508*K508</f>
        <v>0</v>
      </c>
      <c r="M508" s="1579"/>
      <c r="N508" s="1579"/>
      <c r="O508" s="1579"/>
      <c r="P508" s="1579"/>
      <c r="Q508" s="1579"/>
      <c r="R508" s="1579"/>
    </row>
    <row r="509" customFormat="false" ht="15.75" hidden="false" customHeight="false" outlineLevel="0" collapsed="false">
      <c r="A509" s="2661" t="str">
        <f aca="false">'Ввод данных'!A1262</f>
        <v>нет</v>
      </c>
      <c r="B509" s="1556" t="s">
        <v>15</v>
      </c>
      <c r="C509" s="1556" t="n">
        <f aca="false">C450</f>
        <v>357.5815</v>
      </c>
      <c r="D509" s="1556" t="n">
        <f aca="false">VLOOKUP(A509,связи1!A442:E453,4,0)</f>
        <v>0</v>
      </c>
      <c r="E509" s="1555" t="n">
        <f aca="false">C509*D509</f>
        <v>0</v>
      </c>
      <c r="F509" s="2589"/>
      <c r="G509" s="738" t="s">
        <v>2144</v>
      </c>
      <c r="H509" s="738"/>
      <c r="I509" s="739" t="s">
        <v>820</v>
      </c>
      <c r="J509" s="2636" t="n">
        <f aca="false">C451*D451*H447</f>
        <v>0</v>
      </c>
      <c r="K509" s="837" t="n">
        <f aca="false">'Прайс лист'!G1585</f>
        <v>500</v>
      </c>
      <c r="L509" s="837" t="n">
        <f aca="false">J509*K509</f>
        <v>0</v>
      </c>
      <c r="M509" s="1579"/>
      <c r="N509" s="1579"/>
      <c r="O509" s="1579"/>
      <c r="P509" s="1579"/>
      <c r="Q509" s="1579"/>
      <c r="R509" s="1579"/>
    </row>
    <row r="510" customFormat="false" ht="15.75" hidden="false" customHeight="false" outlineLevel="0" collapsed="false">
      <c r="A510" s="837" t="str">
        <f aca="false">'Ввод данных'!A1264</f>
        <v>Нет кронштейна</v>
      </c>
      <c r="B510" s="1556" t="s">
        <v>48</v>
      </c>
      <c r="C510" s="1556" t="n">
        <f aca="false">(C450*2)*G447*1.2</f>
        <v>858.1956</v>
      </c>
      <c r="D510" s="1556" t="n">
        <f aca="false">VLOOKUP(A510,'Прайс лист'!B1330:G1341,6,0)</f>
        <v>0</v>
      </c>
      <c r="E510" s="1555" t="n">
        <f aca="false">C510*D510</f>
        <v>0</v>
      </c>
      <c r="F510" s="2589"/>
      <c r="G510" s="738" t="s">
        <v>2145</v>
      </c>
      <c r="H510" s="738"/>
      <c r="I510" s="739" t="s">
        <v>820</v>
      </c>
      <c r="J510" s="2636" t="n">
        <f aca="false">C497*H447*IF(A509=связи1!A442,0,1)</f>
        <v>0</v>
      </c>
      <c r="K510" s="837" t="n">
        <f aca="false">'Прайс лист'!G1586</f>
        <v>200</v>
      </c>
      <c r="L510" s="837" t="n">
        <f aca="false">J510*K510</f>
        <v>0</v>
      </c>
      <c r="M510" s="1579"/>
      <c r="N510" s="1579"/>
      <c r="O510" s="1579"/>
      <c r="P510" s="1579"/>
      <c r="Q510" s="1579"/>
      <c r="R510" s="1579"/>
    </row>
    <row r="511" customFormat="false" ht="15.75" hidden="false" customHeight="false" outlineLevel="0" collapsed="false">
      <c r="A511" s="837" t="str">
        <f aca="false">'Прайс лист'!B726</f>
        <v>Саморезы 3,5 x 45            </v>
      </c>
      <c r="B511" s="739" t="s">
        <v>48</v>
      </c>
      <c r="C511" s="837" t="n">
        <f aca="false">C510*2*D450</f>
        <v>0</v>
      </c>
      <c r="D511" s="1556" t="n">
        <f aca="false">'Прайс лист'!F726</f>
        <v>0.25</v>
      </c>
      <c r="E511" s="1555" t="n">
        <f aca="false">C511*D511</f>
        <v>0</v>
      </c>
      <c r="F511" s="2589"/>
      <c r="G511" s="2632" t="s">
        <v>1864</v>
      </c>
      <c r="H511" s="2633"/>
      <c r="I511" s="739" t="s">
        <v>820</v>
      </c>
      <c r="J511" s="2636" t="n">
        <f aca="false">C452*D452*H447</f>
        <v>0</v>
      </c>
      <c r="K511" s="837" t="n">
        <f aca="false">'Прайс лист'!G1587</f>
        <v>300</v>
      </c>
      <c r="L511" s="837" t="n">
        <f aca="false">J511*K511</f>
        <v>0</v>
      </c>
      <c r="M511" s="1579"/>
      <c r="N511" s="1579"/>
      <c r="O511" s="1579"/>
      <c r="P511" s="1579"/>
      <c r="Q511" s="1579"/>
      <c r="R511" s="1579"/>
    </row>
    <row r="512" customFormat="false" ht="15.75" hidden="false" customHeight="false" outlineLevel="0" collapsed="false">
      <c r="A512" s="2587" t="str">
        <f aca="false">'Прайс лист'!B710</f>
        <v>Болты анкерные с гайкой 10,0 х 97           </v>
      </c>
      <c r="B512" s="739" t="s">
        <v>48</v>
      </c>
      <c r="C512" s="837" t="n">
        <f aca="false">C510*2*G447*D450</f>
        <v>0</v>
      </c>
      <c r="D512" s="1556" t="n">
        <f aca="false">'Прайс лист'!G710</f>
        <v>7.4</v>
      </c>
      <c r="E512" s="1555" t="n">
        <f aca="false">C512*D512</f>
        <v>0</v>
      </c>
      <c r="F512" s="2589"/>
      <c r="G512" s="738" t="s">
        <v>2146</v>
      </c>
      <c r="H512" s="738"/>
      <c r="I512" s="739" t="s">
        <v>820</v>
      </c>
      <c r="J512" s="2636" t="n">
        <f aca="false">C453*D453*H447</f>
        <v>0</v>
      </c>
      <c r="K512" s="837" t="n">
        <f aca="false">'Прайс лист'!G1588</f>
        <v>350</v>
      </c>
      <c r="L512" s="837" t="n">
        <f aca="false">J512*K512</f>
        <v>0</v>
      </c>
      <c r="M512" s="1580"/>
      <c r="N512" s="1580"/>
      <c r="O512" s="1580"/>
      <c r="P512" s="1580"/>
      <c r="Q512" s="1580"/>
      <c r="R512" s="1580"/>
    </row>
    <row r="513" customFormat="false" ht="15.75" hidden="false" customHeight="false" outlineLevel="0" collapsed="false">
      <c r="A513" s="837" t="n">
        <f aca="false">IF('Ввод данных'!A25=связи1!A19,'Ввод данных'!A1257,0)</f>
        <v>0</v>
      </c>
      <c r="B513" s="739" t="s">
        <v>820</v>
      </c>
      <c r="C513" s="837" t="n">
        <f aca="false">C451*D451*G447*0.8</f>
        <v>0</v>
      </c>
      <c r="D513" s="1556" t="n">
        <f aca="false">IF('Ввод данных'!A25=связи1!A19,VLOOKUP(A513,связи1!A513:F552,6,0),0)</f>
        <v>0</v>
      </c>
      <c r="E513" s="1555" t="n">
        <f aca="false">C513*D513</f>
        <v>0</v>
      </c>
      <c r="F513" s="2589"/>
      <c r="G513" s="738" t="s">
        <v>1870</v>
      </c>
      <c r="H513" s="738"/>
      <c r="I513" s="739" t="s">
        <v>820</v>
      </c>
      <c r="J513" s="2636" t="n">
        <f aca="false">C455*D455*H447+C468*D464*H447</f>
        <v>0</v>
      </c>
      <c r="K513" s="837" t="n">
        <f aca="false">'Прайс лист'!G1589</f>
        <v>500</v>
      </c>
      <c r="L513" s="837" t="n">
        <f aca="false">J513*K513</f>
        <v>0</v>
      </c>
      <c r="M513" s="1580"/>
      <c r="N513" s="1580"/>
      <c r="O513" s="1580"/>
      <c r="P513" s="1580"/>
      <c r="Q513" s="1580"/>
      <c r="R513" s="1580"/>
    </row>
    <row r="514" customFormat="false" ht="15.75" hidden="false" customHeight="false" outlineLevel="0" collapsed="false">
      <c r="A514" s="837" t="str">
        <f aca="false">'Прайс лист'!B187</f>
        <v>Цемент, мешок, 50кг</v>
      </c>
      <c r="B514" s="739" t="s">
        <v>1036</v>
      </c>
      <c r="C514" s="837" t="n">
        <f aca="false">(C513+C515)/4*D451*G447</f>
        <v>0</v>
      </c>
      <c r="D514" s="1556" t="n">
        <f aca="false">'Прайс лист'!G187</f>
        <v>250</v>
      </c>
      <c r="E514" s="1555" t="n">
        <f aca="false">C514*D514</f>
        <v>0</v>
      </c>
      <c r="F514" s="2589"/>
      <c r="G514" s="738" t="s">
        <v>2147</v>
      </c>
      <c r="H514" s="738"/>
      <c r="I514" s="739" t="s">
        <v>820</v>
      </c>
      <c r="J514" s="2636" t="n">
        <f aca="false">C451*D457*H447</f>
        <v>0</v>
      </c>
      <c r="K514" s="837" t="n">
        <f aca="false">'Прайс лист'!G1590</f>
        <v>600</v>
      </c>
      <c r="L514" s="837" t="n">
        <f aca="false">J514*K514</f>
        <v>0</v>
      </c>
      <c r="M514" s="1580"/>
      <c r="N514" s="1580"/>
      <c r="O514" s="1580"/>
      <c r="P514" s="1580"/>
      <c r="Q514" s="1580"/>
      <c r="R514" s="1580"/>
    </row>
    <row r="515" customFormat="false" ht="15.75" hidden="false" customHeight="false" outlineLevel="0" collapsed="false">
      <c r="A515" s="837" t="str">
        <f aca="false">'Прайс лист'!B177</f>
        <v>Песок, м3</v>
      </c>
      <c r="B515" s="739" t="s">
        <v>1043</v>
      </c>
      <c r="C515" s="837" t="n">
        <f aca="false">(C513/0.75)*0.3*D451*G447</f>
        <v>0</v>
      </c>
      <c r="D515" s="1556" t="n">
        <f aca="false">'Прайс лист'!G177</f>
        <v>250</v>
      </c>
      <c r="E515" s="1555" t="n">
        <f aca="false">C515*D515</f>
        <v>0</v>
      </c>
      <c r="F515" s="2589"/>
      <c r="G515" s="738" t="s">
        <v>2148</v>
      </c>
      <c r="H515" s="738"/>
      <c r="I515" s="739" t="s">
        <v>820</v>
      </c>
      <c r="J515" s="2636" t="n">
        <f aca="false">C497*D470*H447</f>
        <v>0</v>
      </c>
      <c r="K515" s="837" t="n">
        <f aca="false">'Прайс лист'!G1591</f>
        <v>200</v>
      </c>
      <c r="L515" s="837" t="n">
        <f aca="false">J515*K515</f>
        <v>0</v>
      </c>
      <c r="M515" s="1580"/>
      <c r="N515" s="1580"/>
      <c r="O515" s="1580"/>
      <c r="P515" s="1580"/>
      <c r="Q515" s="1580"/>
      <c r="R515" s="1580"/>
    </row>
    <row r="516" customFormat="false" ht="15.75" hidden="false" customHeight="false" outlineLevel="0" collapsed="false">
      <c r="A516" s="837" t="str">
        <f aca="false">'Прайс лист'!B223</f>
        <v>Кладочная сетка, 100*100/150*150/200*200мм</v>
      </c>
      <c r="B516" s="739" t="s">
        <v>820</v>
      </c>
      <c r="C516" s="837" t="n">
        <f aca="false">(C497/0.6)*0.1*D451*G447</f>
        <v>0</v>
      </c>
      <c r="D516" s="1556" t="n">
        <f aca="false">'Прайс лист'!G223</f>
        <v>70</v>
      </c>
      <c r="E516" s="1555" t="n">
        <f aca="false">C516*D516</f>
        <v>0</v>
      </c>
      <c r="F516" s="2589"/>
      <c r="G516" s="738" t="s">
        <v>2149</v>
      </c>
      <c r="H516" s="738"/>
      <c r="I516" s="739" t="s">
        <v>820</v>
      </c>
      <c r="J516" s="2636" t="n">
        <f aca="false">C497*D471*H447</f>
        <v>0</v>
      </c>
      <c r="K516" s="837" t="n">
        <f aca="false">'Прайс лист'!G1592</f>
        <v>300</v>
      </c>
      <c r="L516" s="837" t="n">
        <f aca="false">J516*K516</f>
        <v>0</v>
      </c>
      <c r="M516" s="1580"/>
      <c r="N516" s="1580"/>
      <c r="O516" s="1580"/>
      <c r="P516" s="1580"/>
      <c r="Q516" s="1580"/>
      <c r="R516" s="1580"/>
    </row>
    <row r="517" customFormat="false" ht="15.75" hidden="false" customHeight="false" outlineLevel="0" collapsed="false">
      <c r="A517" s="738" t="s">
        <v>1864</v>
      </c>
      <c r="B517" s="739" t="s">
        <v>820</v>
      </c>
      <c r="C517" s="837" t="n">
        <f aca="false">C497*G447*D452</f>
        <v>0</v>
      </c>
      <c r="D517" s="1556" t="n">
        <f aca="false">'Прайс лист'!G1201</f>
        <v>350</v>
      </c>
      <c r="E517" s="1555" t="n">
        <f aca="false">C517*D517</f>
        <v>0</v>
      </c>
      <c r="F517" s="2589"/>
      <c r="G517" s="738" t="s">
        <v>2150</v>
      </c>
      <c r="H517" s="738"/>
      <c r="I517" s="739" t="s">
        <v>820</v>
      </c>
      <c r="J517" s="2636" t="n">
        <f aca="false">(C459*D459*H447+C469*D469*H447)</f>
        <v>0</v>
      </c>
      <c r="K517" s="837" t="n">
        <f aca="false">'Прайс лист'!G1593</f>
        <v>120</v>
      </c>
      <c r="L517" s="837" t="n">
        <f aca="false">J517*K517</f>
        <v>0</v>
      </c>
      <c r="M517" s="1580"/>
      <c r="N517" s="1580"/>
      <c r="O517" s="1580"/>
      <c r="P517" s="1580"/>
      <c r="Q517" s="1580"/>
      <c r="R517" s="1580"/>
    </row>
    <row r="518" customFormat="false" ht="15.75" hidden="false" customHeight="true" outlineLevel="0" collapsed="false">
      <c r="A518" s="738" t="s">
        <v>1865</v>
      </c>
      <c r="B518" s="739" t="s">
        <v>48</v>
      </c>
      <c r="C518" s="837" t="n">
        <f aca="false">C517*0.15*G447</f>
        <v>0</v>
      </c>
      <c r="D518" s="1556" t="n">
        <f aca="false">'Прайс лист'!G1202</f>
        <v>300</v>
      </c>
      <c r="E518" s="1555" t="n">
        <f aca="false">C518*D518</f>
        <v>0</v>
      </c>
      <c r="F518" s="2589"/>
      <c r="G518" s="2662" t="s">
        <v>843</v>
      </c>
      <c r="H518" s="2662"/>
      <c r="I518" s="2587"/>
      <c r="J518" s="2587" t="n">
        <f aca="false">C497*D454</f>
        <v>0</v>
      </c>
      <c r="K518" s="837" t="n">
        <f aca="false">'Прайс лист'!G1594</f>
        <v>400</v>
      </c>
      <c r="L518" s="837" t="n">
        <f aca="false">J518*K518</f>
        <v>0</v>
      </c>
      <c r="M518" s="1580"/>
      <c r="N518" s="1580"/>
      <c r="O518" s="1580"/>
      <c r="P518" s="1580"/>
      <c r="Q518" s="1580"/>
      <c r="R518" s="1580"/>
    </row>
    <row r="519" customFormat="false" ht="15.75" hidden="false" customHeight="false" outlineLevel="0" collapsed="false">
      <c r="A519" s="885" t="s">
        <v>1868</v>
      </c>
      <c r="B519" s="739" t="s">
        <v>820</v>
      </c>
      <c r="C519" s="837" t="n">
        <f aca="false">C453*D453*G447</f>
        <v>0</v>
      </c>
      <c r="D519" s="1556" t="n">
        <f aca="false">'Прайс лист'!G1205</f>
        <v>550</v>
      </c>
      <c r="E519" s="1555" t="n">
        <f aca="false">C519*D519</f>
        <v>0</v>
      </c>
      <c r="F519" s="2589"/>
      <c r="G519" s="2663" t="s">
        <v>575</v>
      </c>
      <c r="H519" s="2664"/>
      <c r="I519" s="739" t="s">
        <v>820</v>
      </c>
      <c r="J519" s="2636" t="n">
        <f aca="false">C496*IF(A530='Прайс лист'!B600,0,1)</f>
        <v>0</v>
      </c>
      <c r="K519" s="837" t="n">
        <f aca="false">'Прайс лист'!G1496</f>
        <v>200</v>
      </c>
      <c r="L519" s="837" t="n">
        <f aca="false">J519*K519</f>
        <v>0</v>
      </c>
      <c r="M519" s="1580"/>
      <c r="N519" s="1580"/>
      <c r="O519" s="1580"/>
      <c r="P519" s="1580"/>
      <c r="Q519" s="1580"/>
      <c r="R519" s="1580"/>
    </row>
    <row r="520" customFormat="false" ht="15.75" hidden="false" customHeight="false" outlineLevel="0" collapsed="false">
      <c r="A520" s="885" t="s">
        <v>1869</v>
      </c>
      <c r="B520" s="739" t="s">
        <v>48</v>
      </c>
      <c r="C520" s="837" t="n">
        <f aca="false">C519*0.15*G447</f>
        <v>0</v>
      </c>
      <c r="D520" s="1556" t="n">
        <f aca="false">'Прайс лист'!G1206</f>
        <v>350</v>
      </c>
      <c r="E520" s="1555" t="n">
        <f aca="false">C520*D520</f>
        <v>0</v>
      </c>
      <c r="F520" s="2589"/>
      <c r="G520" s="2663" t="str">
        <f aca="false">'Прайс лист'!B1599</f>
        <v>Оштукатуривание поверхности, подготовка</v>
      </c>
      <c r="H520" s="2664"/>
      <c r="I520" s="739" t="s">
        <v>820</v>
      </c>
      <c r="J520" s="2636" t="n">
        <f aca="false">C496*D458</f>
        <v>174.43</v>
      </c>
      <c r="K520" s="837" t="n">
        <f aca="false">'Прайс лист'!G1599</f>
        <v>400</v>
      </c>
      <c r="L520" s="837" t="n">
        <f aca="false">J520*K520</f>
        <v>69772</v>
      </c>
      <c r="M520" s="1580"/>
      <c r="N520" s="1580"/>
      <c r="O520" s="1580"/>
      <c r="P520" s="1580"/>
      <c r="Q520" s="1580"/>
      <c r="R520" s="1580"/>
    </row>
    <row r="521" customFormat="false" ht="15.75" hidden="false" customHeight="false" outlineLevel="0" collapsed="false">
      <c r="A521" s="885" t="n">
        <f aca="false">IF('Ввод данных'!A25=связи1!A22,'Ввод данных'!A1257,0)</f>
        <v>0</v>
      </c>
      <c r="B521" s="739" t="s">
        <v>820</v>
      </c>
      <c r="C521" s="837" t="n">
        <f aca="false">C454*D454*G447</f>
        <v>0</v>
      </c>
      <c r="D521" s="1556" t="n">
        <f aca="false">IF('Ввод данных'!A25=связи1!A22,VLOOKUP(A521,'Прайс лист'!B543:G572,6,0),0)</f>
        <v>0</v>
      </c>
      <c r="E521" s="1555" t="n">
        <f aca="false">C521*D521</f>
        <v>0</v>
      </c>
      <c r="F521" s="2589"/>
      <c r="G521" s="2663" t="str">
        <f aca="false">'Прайс лист'!B1600</f>
        <v>Наклейка сетки</v>
      </c>
      <c r="H521" s="2664"/>
      <c r="I521" s="739" t="s">
        <v>820</v>
      </c>
      <c r="J521" s="2636" t="n">
        <f aca="false">C496*D458</f>
        <v>174.43</v>
      </c>
      <c r="K521" s="837" t="n">
        <f aca="false">'Прайс лист'!G1600</f>
        <v>200</v>
      </c>
      <c r="L521" s="837" t="n">
        <f aca="false">J521*K521</f>
        <v>34886</v>
      </c>
      <c r="M521" s="1580"/>
      <c r="N521" s="1580"/>
      <c r="O521" s="1580"/>
      <c r="P521" s="1580"/>
      <c r="Q521" s="1580"/>
      <c r="R521" s="1580"/>
    </row>
    <row r="522" customFormat="false" ht="15.75" hidden="false" customHeight="false" outlineLevel="0" collapsed="false">
      <c r="A522" s="738"/>
      <c r="B522" s="739"/>
      <c r="C522" s="837"/>
      <c r="D522" s="1556"/>
      <c r="E522" s="1555"/>
      <c r="F522" s="2589"/>
      <c r="G522" s="2663" t="str">
        <f aca="false">'Прайс лист'!B1601</f>
        <v>Нанесение декоративной штукатурки</v>
      </c>
      <c r="H522" s="2664"/>
      <c r="I522" s="739" t="s">
        <v>820</v>
      </c>
      <c r="J522" s="2636" t="n">
        <f aca="false">C496*D458</f>
        <v>174.43</v>
      </c>
      <c r="K522" s="837" t="n">
        <f aca="false">'Прайс лист'!G1601</f>
        <v>600</v>
      </c>
      <c r="L522" s="837" t="n">
        <f aca="false">J522*K522</f>
        <v>104658</v>
      </c>
      <c r="M522" s="1580"/>
      <c r="N522" s="1580"/>
      <c r="O522" s="1580"/>
      <c r="P522" s="1580"/>
      <c r="Q522" s="1580"/>
      <c r="R522" s="1580"/>
    </row>
    <row r="523" customFormat="false" ht="15.75" hidden="false" customHeight="false" outlineLevel="0" collapsed="false">
      <c r="A523" s="837" t="s">
        <v>1871</v>
      </c>
      <c r="B523" s="739" t="s">
        <v>48</v>
      </c>
      <c r="C523" s="837" t="n">
        <f aca="false">C456*D456*G447</f>
        <v>0</v>
      </c>
      <c r="D523" s="1556" t="n">
        <f aca="false">'Прайс лист'!G1209</f>
        <v>15</v>
      </c>
      <c r="E523" s="1555" t="n">
        <f aca="false">C523*D523</f>
        <v>0</v>
      </c>
      <c r="F523" s="2589"/>
      <c r="G523" s="2663" t="s">
        <v>2159</v>
      </c>
      <c r="H523" s="2664"/>
      <c r="I523" s="739"/>
      <c r="J523" s="2636"/>
      <c r="K523" s="837" t="n">
        <f aca="false">'Прайс лист'!G1604</f>
        <v>0</v>
      </c>
      <c r="L523" s="837" t="n">
        <f aca="false">J523*K523</f>
        <v>0</v>
      </c>
      <c r="M523" s="1580"/>
      <c r="N523" s="1580"/>
      <c r="O523" s="1580"/>
      <c r="P523" s="1580"/>
      <c r="Q523" s="1580"/>
      <c r="R523" s="1580"/>
    </row>
    <row r="524" customFormat="false" ht="15.75" hidden="false" customHeight="false" outlineLevel="0" collapsed="false">
      <c r="A524" s="2648" t="n">
        <f aca="false">IF('Ввод данных'!A25=связи1!A24,связи1!A24,0)</f>
        <v>0</v>
      </c>
      <c r="B524" s="739" t="s">
        <v>820</v>
      </c>
      <c r="C524" s="837" t="n">
        <f aca="false">C457*D457*G447+C467*D464*G447</f>
        <v>0</v>
      </c>
      <c r="D524" s="1556" t="n">
        <f aca="false">'Прайс лист'!G1210</f>
        <v>1000</v>
      </c>
      <c r="E524" s="1555" t="n">
        <f aca="false">C524*D524</f>
        <v>0</v>
      </c>
      <c r="F524" s="2589"/>
      <c r="G524" s="2663" t="s">
        <v>2145</v>
      </c>
      <c r="H524" s="2664"/>
      <c r="I524" s="739" t="s">
        <v>820</v>
      </c>
      <c r="J524" s="2636" t="n">
        <f aca="false">C478*H447*IF(A541=связи1!A442,0,1)</f>
        <v>0</v>
      </c>
      <c r="K524" s="837" t="n">
        <f aca="false">'Прайс лист'!G1605</f>
        <v>200</v>
      </c>
      <c r="L524" s="837" t="n">
        <f aca="false">J524*K524</f>
        <v>0</v>
      </c>
      <c r="M524" s="1580"/>
      <c r="N524" s="1580"/>
      <c r="O524" s="1580"/>
      <c r="P524" s="1580"/>
      <c r="Q524" s="1580"/>
      <c r="R524" s="1580"/>
    </row>
    <row r="525" customFormat="false" ht="15.75" hidden="false" customHeight="false" outlineLevel="0" collapsed="false">
      <c r="A525" s="2648" t="n">
        <f aca="false">IF('Ввод данных'!A25=связи1!A18,'Ввод данных'!A1257,0)</f>
        <v>0</v>
      </c>
      <c r="B525" s="739" t="s">
        <v>820</v>
      </c>
      <c r="C525" s="837" t="n">
        <f aca="false">C459*D459*G447+C469*D469*G447</f>
        <v>0</v>
      </c>
      <c r="D525" s="1556" t="n">
        <f aca="false">IF('Ввод данных'!A25=связи1!A18,VLOOKUP('Ввод данных'!A1257,'Прайс лист'!B1346:G1351,6,0),0)</f>
        <v>0</v>
      </c>
      <c r="E525" s="1555" t="n">
        <f aca="false">C525*D525</f>
        <v>0</v>
      </c>
      <c r="F525" s="2589"/>
      <c r="G525" s="2663" t="s">
        <v>2160</v>
      </c>
      <c r="H525" s="2664"/>
      <c r="I525" s="739" t="s">
        <v>15</v>
      </c>
      <c r="J525" s="2636" t="n">
        <f aca="false">C477*D477*H447</f>
        <v>0</v>
      </c>
      <c r="K525" s="837" t="n">
        <f aca="false">'Прайс лист'!G1606</f>
        <v>120</v>
      </c>
      <c r="L525" s="837" t="n">
        <f aca="false">J525*K525</f>
        <v>0</v>
      </c>
      <c r="M525" s="1580"/>
      <c r="N525" s="1580"/>
      <c r="O525" s="1580"/>
      <c r="P525" s="1580"/>
      <c r="Q525" s="1580"/>
      <c r="R525" s="1580"/>
    </row>
    <row r="526" customFormat="false" ht="15.75" hidden="false" customHeight="false" outlineLevel="0" collapsed="false">
      <c r="A526" s="2648" t="s">
        <v>1873</v>
      </c>
      <c r="B526" s="739" t="s">
        <v>1036</v>
      </c>
      <c r="C526" s="837" t="n">
        <f aca="false">C524/4*G447</f>
        <v>0</v>
      </c>
      <c r="D526" s="1556" t="n">
        <f aca="false">'Прайс лист'!G1211</f>
        <v>250</v>
      </c>
      <c r="E526" s="1555" t="n">
        <f aca="false">C526*D526</f>
        <v>0</v>
      </c>
      <c r="F526" s="2589"/>
      <c r="G526" s="2663" t="s">
        <v>2150</v>
      </c>
      <c r="H526" s="2664"/>
      <c r="I526" s="739" t="s">
        <v>820</v>
      </c>
      <c r="J526" s="2636" t="n">
        <f aca="false">C483*H447*IF(A545='Прайс лист'!B1346,0,1)*D483</f>
        <v>0</v>
      </c>
      <c r="K526" s="837" t="n">
        <f aca="false">'Прайс лист'!G1607</f>
        <v>120</v>
      </c>
      <c r="L526" s="837" t="n">
        <f aca="false">J526*K526</f>
        <v>0</v>
      </c>
      <c r="M526" s="1580"/>
      <c r="N526" s="1580"/>
      <c r="O526" s="1580"/>
      <c r="P526" s="1580"/>
      <c r="Q526" s="1580"/>
      <c r="R526" s="1580"/>
    </row>
    <row r="527" customFormat="false" ht="15.75" hidden="false" customHeight="false" outlineLevel="0" collapsed="false">
      <c r="A527" s="2648" t="str">
        <f aca="false">'Ввод данных'!A1270</f>
        <v>Нет грунтовки</v>
      </c>
      <c r="B527" s="739" t="s">
        <v>699</v>
      </c>
      <c r="C527" s="837" t="n">
        <f aca="false">(C521+C522+C524+C513)*G447</f>
        <v>0</v>
      </c>
      <c r="D527" s="1556" t="n">
        <f aca="false">VLOOKUP(A527,'Прайс лист'!B1356:G1358,6,0)</f>
        <v>0</v>
      </c>
      <c r="E527" s="1555" t="n">
        <f aca="false">C527*D527</f>
        <v>0</v>
      </c>
      <c r="F527" s="2589"/>
      <c r="G527" s="2663" t="s">
        <v>2161</v>
      </c>
      <c r="H527" s="2664"/>
      <c r="I527" s="739" t="s">
        <v>820</v>
      </c>
      <c r="J527" s="2636" t="n">
        <f aca="false">C478*D478*H447</f>
        <v>0</v>
      </c>
      <c r="K527" s="837" t="n">
        <f aca="false">'Прайс лист'!G1608</f>
        <v>350</v>
      </c>
      <c r="L527" s="837" t="n">
        <f aca="false">J527*K527</f>
        <v>0</v>
      </c>
      <c r="M527" s="1580"/>
      <c r="N527" s="1580"/>
      <c r="O527" s="1580"/>
      <c r="P527" s="1580"/>
      <c r="Q527" s="1580"/>
      <c r="R527" s="1580"/>
    </row>
    <row r="528" customFormat="false" ht="15.75" hidden="false" customHeight="false" outlineLevel="0" collapsed="false">
      <c r="A528" s="837" t="str">
        <f aca="false">'Ввод данных'!A1272</f>
        <v>Нет пропитки</v>
      </c>
      <c r="B528" s="739" t="s">
        <v>699</v>
      </c>
      <c r="C528" s="837" t="n">
        <f aca="false">(C454*D454+C455*D455+C468*D464)*D470*0.15*G447</f>
        <v>0</v>
      </c>
      <c r="D528" s="1556" t="n">
        <f aca="false">VLOOKUP(A528,'Прайс лист'!B1359:G1386,6,0)</f>
        <v>0</v>
      </c>
      <c r="E528" s="1555" t="n">
        <f aca="false">C528*D528</f>
        <v>0</v>
      </c>
      <c r="F528" s="2589"/>
      <c r="G528" s="2632" t="s">
        <v>2162</v>
      </c>
      <c r="H528" s="2633"/>
      <c r="I528" s="739" t="s">
        <v>820</v>
      </c>
      <c r="J528" s="2636" t="n">
        <f aca="false">C479*D479*H447</f>
        <v>0</v>
      </c>
      <c r="K528" s="837" t="n">
        <f aca="false">'Прайс лист'!G1609</f>
        <v>900</v>
      </c>
      <c r="L528" s="837" t="n">
        <f aca="false">J528*K528</f>
        <v>0</v>
      </c>
      <c r="M528" s="1580"/>
      <c r="N528" s="1580"/>
      <c r="O528" s="1580"/>
      <c r="P528" s="1580"/>
      <c r="Q528" s="1580"/>
      <c r="R528" s="1580"/>
    </row>
    <row r="529" customFormat="false" ht="15.75" hidden="false" customHeight="false" outlineLevel="0" collapsed="false">
      <c r="A529" s="837" t="str">
        <f aca="false">'Ввод данных'!A1274</f>
        <v>Нет лака</v>
      </c>
      <c r="B529" s="739" t="s">
        <v>699</v>
      </c>
      <c r="C529" s="837" t="n">
        <f aca="false">(C454*D454+C455*D455+C468*D464)*D471*0.15*G447</f>
        <v>0</v>
      </c>
      <c r="D529" s="1556" t="n">
        <f aca="false">VLOOKUP(A529,'Прайс лист'!B1387:G1389,6,0)</f>
        <v>0</v>
      </c>
      <c r="E529" s="1555" t="n">
        <f aca="false">C529*D529</f>
        <v>0</v>
      </c>
      <c r="F529" s="2589"/>
      <c r="G529" s="2632" t="s">
        <v>2163</v>
      </c>
      <c r="H529" s="2633"/>
      <c r="I529" s="739" t="s">
        <v>820</v>
      </c>
      <c r="J529" s="2636" t="n">
        <f aca="false">C480*D480*H447</f>
        <v>0</v>
      </c>
      <c r="K529" s="837" t="n">
        <f aca="false">'Прайс лист'!G1610</f>
        <v>800</v>
      </c>
      <c r="L529" s="837" t="n">
        <f aca="false">J529*K529</f>
        <v>0</v>
      </c>
      <c r="M529" s="1580"/>
      <c r="N529" s="1580"/>
      <c r="O529" s="1580"/>
      <c r="P529" s="1580"/>
      <c r="Q529" s="1580"/>
      <c r="R529" s="1580"/>
    </row>
    <row r="530" customFormat="false" ht="15.75" hidden="false" customHeight="false" outlineLevel="0" collapsed="false">
      <c r="A530" s="837" t="str">
        <f aca="false">'Ввод данных'!A1260</f>
        <v>Нет</v>
      </c>
      <c r="B530" s="739" t="s">
        <v>1043</v>
      </c>
      <c r="C530" s="837" t="n">
        <f aca="false">VLOOKUP(A530,'Прайс лист'!B600:G639,3,0)*C496</f>
        <v>0</v>
      </c>
      <c r="D530" s="1556" t="n">
        <f aca="false">VLOOKUP(A530,'Прайс лист'!B600:G639,6,0)</f>
        <v>0</v>
      </c>
      <c r="E530" s="1555" t="n">
        <f aca="false">C530*D530</f>
        <v>0</v>
      </c>
      <c r="F530" s="2589"/>
      <c r="G530" s="2663" t="s">
        <v>2164</v>
      </c>
      <c r="H530" s="2664"/>
      <c r="I530" s="739"/>
      <c r="J530" s="2636"/>
      <c r="K530" s="837" t="n">
        <f aca="false">'Прайс лист'!G1611</f>
        <v>0</v>
      </c>
      <c r="L530" s="837" t="n">
        <f aca="false">J530*K530</f>
        <v>0</v>
      </c>
      <c r="M530" s="1580"/>
      <c r="N530" s="1580"/>
      <c r="O530" s="1580"/>
      <c r="P530" s="1580"/>
      <c r="Q530" s="1580"/>
      <c r="R530" s="1580"/>
    </row>
    <row r="531" customFormat="false" ht="15.75" hidden="false" customHeight="false" outlineLevel="0" collapsed="false">
      <c r="A531" s="837" t="str">
        <f aca="false">IF('Ввод данных'!A25=связи1!A25,'Ввод данных'!A1257,0)</f>
        <v>Декоративная штукатурка кароед 2 мм</v>
      </c>
      <c r="B531" s="739" t="s">
        <v>1036</v>
      </c>
      <c r="C531" s="837" t="n">
        <f aca="false">CEILING(C458*D458/(25/'Ввод данных'!D1258),1)</f>
        <v>23</v>
      </c>
      <c r="D531" s="1556" t="n">
        <f aca="false">IF('Ввод данных'!A25=связи1!A25,VLOOKUP(A531,'Прайс лист'!B1407:G1411,6,0),0)</f>
        <v>470</v>
      </c>
      <c r="E531" s="1555" t="n">
        <f aca="false">C531*D531</f>
        <v>10810</v>
      </c>
      <c r="F531" s="2589"/>
      <c r="G531" s="2663" t="s">
        <v>1870</v>
      </c>
      <c r="H531" s="2664"/>
      <c r="I531" s="739" t="s">
        <v>820</v>
      </c>
      <c r="J531" s="2636" t="n">
        <f aca="false">C487*D487*H447</f>
        <v>0</v>
      </c>
      <c r="K531" s="837" t="n">
        <f aca="false">'Прайс лист'!G1612</f>
        <v>600</v>
      </c>
      <c r="L531" s="837" t="n">
        <f aca="false">J531*K531</f>
        <v>0</v>
      </c>
      <c r="M531" s="1580"/>
      <c r="N531" s="1580"/>
      <c r="O531" s="1580"/>
      <c r="P531" s="1580"/>
      <c r="Q531" s="1580"/>
      <c r="R531" s="1580"/>
    </row>
    <row r="532" customFormat="false" ht="15.75" hidden="false" customHeight="false" outlineLevel="0" collapsed="false">
      <c r="A532" s="837" t="str">
        <f aca="false">'Прайс лист'!B1412</f>
        <v>Сетка штукатурная ПВС 40 Оцинкованная рулон</v>
      </c>
      <c r="B532" s="739" t="s">
        <v>820</v>
      </c>
      <c r="C532" s="837" t="n">
        <f aca="false">C458*D458*1.3</f>
        <v>226.759</v>
      </c>
      <c r="D532" s="1556" t="n">
        <f aca="false">'Прайс лист'!G1412</f>
        <v>15</v>
      </c>
      <c r="E532" s="1555" t="n">
        <f aca="false">C532*D532</f>
        <v>3401.385</v>
      </c>
      <c r="F532" s="2589"/>
      <c r="G532" s="2663" t="s">
        <v>2165</v>
      </c>
      <c r="H532" s="2664"/>
      <c r="I532" s="739" t="s">
        <v>820</v>
      </c>
      <c r="J532" s="2636" t="n">
        <f aca="false">C488*D488*H447</f>
        <v>0</v>
      </c>
      <c r="K532" s="837" t="n">
        <f aca="false">'Прайс лист'!G1613</f>
        <v>500</v>
      </c>
      <c r="L532" s="837" t="n">
        <f aca="false">J532*K532</f>
        <v>0</v>
      </c>
      <c r="M532" s="1580"/>
      <c r="N532" s="1580"/>
      <c r="O532" s="1580"/>
      <c r="P532" s="1580"/>
      <c r="Q532" s="1580"/>
      <c r="R532" s="1580"/>
    </row>
    <row r="533" customFormat="false" ht="15.75" hidden="false" customHeight="false" outlineLevel="0" collapsed="false">
      <c r="A533" s="1555" t="str">
        <f aca="false">'Прайс лист'!B1413</f>
        <v>Штукатурка для наружних работ</v>
      </c>
      <c r="B533" s="1556" t="s">
        <v>820</v>
      </c>
      <c r="C533" s="1555" t="n">
        <f aca="false">CEILING(C458*D458/(25/'Ввод данных'!D1258),1)</f>
        <v>23</v>
      </c>
      <c r="D533" s="1556" t="n">
        <f aca="false">'Прайс лист'!G1413</f>
        <v>390</v>
      </c>
      <c r="E533" s="1555" t="n">
        <f aca="false">C533*D533</f>
        <v>8970</v>
      </c>
      <c r="F533" s="2589"/>
      <c r="G533" s="2663" t="s">
        <v>2166</v>
      </c>
      <c r="H533" s="2664"/>
      <c r="I533" s="739" t="s">
        <v>820</v>
      </c>
      <c r="J533" s="2636" t="n">
        <f aca="false">C473*D473*H447</f>
        <v>0</v>
      </c>
      <c r="K533" s="837" t="n">
        <f aca="false">'Прайс лист'!G1614</f>
        <v>100</v>
      </c>
      <c r="L533" s="837" t="n">
        <f aca="false">J533*K533</f>
        <v>0</v>
      </c>
      <c r="M533" s="1580"/>
      <c r="N533" s="1580"/>
      <c r="O533" s="1580"/>
      <c r="P533" s="1580"/>
      <c r="Q533" s="1580"/>
      <c r="R533" s="1580"/>
    </row>
    <row r="534" customFormat="false" ht="15.75" hidden="false" customHeight="false" outlineLevel="0" collapsed="false">
      <c r="A534" s="739" t="s">
        <v>2159</v>
      </c>
      <c r="B534" s="739"/>
      <c r="C534" s="837" t="n">
        <v>0</v>
      </c>
      <c r="D534" s="1556" t="n">
        <v>1</v>
      </c>
      <c r="E534" s="1555" t="n">
        <f aca="false">C534*D534</f>
        <v>0</v>
      </c>
      <c r="F534" s="2589"/>
      <c r="G534" s="1439" t="str">
        <f aca="false">'Прайс лист'!B1595</f>
        <v>Монтаж евровагонка</v>
      </c>
      <c r="H534" s="1424"/>
      <c r="I534" s="739" t="s">
        <v>820</v>
      </c>
      <c r="J534" s="1424" t="n">
        <f aca="false">C463*D463*H447</f>
        <v>0</v>
      </c>
      <c r="K534" s="1439" t="n">
        <f aca="false">'Прайс лист'!G1595</f>
        <v>400</v>
      </c>
      <c r="L534" s="837" t="n">
        <f aca="false">J534*K534</f>
        <v>0</v>
      </c>
      <c r="M534" s="1580"/>
      <c r="N534" s="1580"/>
      <c r="O534" s="1580"/>
      <c r="P534" s="1580"/>
      <c r="Q534" s="1580"/>
      <c r="R534" s="1580"/>
    </row>
    <row r="535" customFormat="false" ht="15.75" hidden="false" customHeight="false" outlineLevel="0" collapsed="false">
      <c r="A535" s="908" t="s">
        <v>828</v>
      </c>
      <c r="B535" s="739" t="s">
        <v>15</v>
      </c>
      <c r="C535" s="837" t="n">
        <f aca="false">C477*D477*G447*D474</f>
        <v>0</v>
      </c>
      <c r="D535" s="1556" t="n">
        <f aca="false">'Прайс лист'!G1212</f>
        <v>100</v>
      </c>
      <c r="E535" s="1555" t="n">
        <f aca="false">C535*D535</f>
        <v>0</v>
      </c>
      <c r="F535" s="2589"/>
      <c r="G535" s="1439" t="str">
        <f aca="false">'Прайс лист'!B1596</f>
        <v>Монтаж вагонка штиль</v>
      </c>
      <c r="H535" s="1424"/>
      <c r="I535" s="739" t="s">
        <v>820</v>
      </c>
      <c r="J535" s="1424" t="n">
        <f aca="false">C462*D462*H447</f>
        <v>0</v>
      </c>
      <c r="K535" s="1439" t="n">
        <f aca="false">'Прайс лист'!G1596</f>
        <v>400</v>
      </c>
      <c r="L535" s="837" t="n">
        <f aca="false">J535*K535</f>
        <v>0</v>
      </c>
      <c r="M535" s="1580"/>
      <c r="N535" s="1580"/>
      <c r="O535" s="1580"/>
      <c r="P535" s="1580"/>
      <c r="Q535" s="1580"/>
      <c r="R535" s="1580"/>
    </row>
    <row r="536" customFormat="false" ht="15.75" hidden="false" customHeight="false" outlineLevel="0" collapsed="false">
      <c r="A536" s="767" t="s">
        <v>1868</v>
      </c>
      <c r="B536" s="739" t="s">
        <v>820</v>
      </c>
      <c r="C536" s="837" t="n">
        <f aca="false">C478*D478*G447*D474</f>
        <v>0</v>
      </c>
      <c r="D536" s="1556" t="n">
        <f aca="false">D519</f>
        <v>550</v>
      </c>
      <c r="E536" s="1555" t="n">
        <f aca="false">C536*D536</f>
        <v>0</v>
      </c>
      <c r="F536" s="2589"/>
      <c r="G536" s="1439" t="str">
        <f aca="false">'Прайс лист'!B1597</f>
        <v>Монтаж софт лайн</v>
      </c>
      <c r="H536" s="1424"/>
      <c r="I536" s="739" t="s">
        <v>820</v>
      </c>
      <c r="J536" s="1424" t="n">
        <f aca="false">C461*D461</f>
        <v>0</v>
      </c>
      <c r="K536" s="1439" t="n">
        <f aca="false">'Прайс лист'!G1597</f>
        <v>400</v>
      </c>
      <c r="L536" s="837" t="n">
        <f aca="false">J536*K536</f>
        <v>0</v>
      </c>
      <c r="M536" s="1580"/>
      <c r="N536" s="1580"/>
      <c r="O536" s="1580"/>
      <c r="P536" s="1580"/>
      <c r="Q536" s="1580"/>
      <c r="R536" s="1580"/>
    </row>
    <row r="537" customFormat="false" ht="15.75" hidden="false" customHeight="false" outlineLevel="0" collapsed="false">
      <c r="A537" s="767" t="s">
        <v>823</v>
      </c>
      <c r="B537" s="739" t="s">
        <v>820</v>
      </c>
      <c r="C537" s="837" t="n">
        <f aca="false">C479*G447*D479*D474</f>
        <v>0</v>
      </c>
      <c r="D537" s="1556" t="n">
        <f aca="false">'Прайс лист'!G1213</f>
        <v>600</v>
      </c>
      <c r="E537" s="1555" t="n">
        <f aca="false">C537*D537</f>
        <v>0</v>
      </c>
      <c r="F537" s="2589"/>
      <c r="G537" s="1439" t="str">
        <f aca="false">'Прайс лист'!B1598</f>
        <v>Монтаж блокхаус</v>
      </c>
      <c r="H537" s="876"/>
      <c r="I537" s="739" t="s">
        <v>820</v>
      </c>
      <c r="J537" s="2636" t="n">
        <f aca="false">C460*D460</f>
        <v>0</v>
      </c>
      <c r="K537" s="1439" t="n">
        <f aca="false">'Прайс лист'!G1598</f>
        <v>400</v>
      </c>
      <c r="L537" s="837" t="n">
        <f aca="false">J537*K537</f>
        <v>0</v>
      </c>
      <c r="M537" s="1580"/>
      <c r="N537" s="1580"/>
      <c r="O537" s="1580"/>
      <c r="P537" s="1580"/>
      <c r="Q537" s="1580"/>
      <c r="R537" s="1580"/>
    </row>
    <row r="538" customFormat="false" ht="15.75" hidden="false" customHeight="false" outlineLevel="0" collapsed="false">
      <c r="A538" s="767" t="s">
        <v>1872</v>
      </c>
      <c r="B538" s="739" t="s">
        <v>820</v>
      </c>
      <c r="C538" s="837" t="n">
        <f aca="false">C480*G447*D480*D474</f>
        <v>0</v>
      </c>
      <c r="D538" s="1556" t="n">
        <f aca="false">D524</f>
        <v>1000</v>
      </c>
      <c r="E538" s="1555" t="n">
        <f aca="false">C538*D538</f>
        <v>0</v>
      </c>
      <c r="F538" s="2589"/>
      <c r="M538" s="1580"/>
      <c r="N538" s="1580"/>
      <c r="O538" s="1580"/>
      <c r="P538" s="1580"/>
      <c r="Q538" s="1580"/>
      <c r="R538" s="1580"/>
    </row>
    <row r="539" customFormat="false" ht="15.75" hidden="false" customHeight="false" outlineLevel="0" collapsed="false">
      <c r="A539" s="767" t="s">
        <v>1873</v>
      </c>
      <c r="B539" s="739" t="s">
        <v>1036</v>
      </c>
      <c r="C539" s="837" t="n">
        <f aca="false">C537/3*G447*D474</f>
        <v>0</v>
      </c>
      <c r="D539" s="1556" t="n">
        <f aca="false">D526</f>
        <v>250</v>
      </c>
      <c r="E539" s="1555" t="n">
        <f aca="false">C539*D539</f>
        <v>0</v>
      </c>
      <c r="F539" s="2589"/>
      <c r="G539" s="1439"/>
      <c r="H539" s="876"/>
      <c r="I539" s="739"/>
      <c r="J539" s="2636"/>
      <c r="K539" s="837"/>
      <c r="L539" s="837" t="n">
        <f aca="false">J539*K539</f>
        <v>0</v>
      </c>
      <c r="M539" s="1580"/>
      <c r="N539" s="1580"/>
      <c r="O539" s="1580"/>
      <c r="P539" s="1580"/>
      <c r="Q539" s="1580"/>
      <c r="R539" s="1580"/>
    </row>
    <row r="540" customFormat="false" ht="15.75" hidden="false" customHeight="false" outlineLevel="0" collapsed="false">
      <c r="A540" s="767" t="str">
        <f aca="false">A527</f>
        <v>Нет грунтовки</v>
      </c>
      <c r="B540" s="739" t="s">
        <v>699</v>
      </c>
      <c r="C540" s="837" t="n">
        <f aca="false">C538/3*G447*D474</f>
        <v>0</v>
      </c>
      <c r="D540" s="1556" t="n">
        <f aca="false">D527</f>
        <v>0</v>
      </c>
      <c r="E540" s="1555" t="n">
        <f aca="false">C540*D540</f>
        <v>0</v>
      </c>
      <c r="F540" s="2589"/>
      <c r="G540" s="2663"/>
      <c r="H540" s="2664"/>
      <c r="I540" s="739"/>
      <c r="J540" s="2636"/>
      <c r="K540" s="837"/>
      <c r="L540" s="837" t="n">
        <f aca="false">J540*K540</f>
        <v>0</v>
      </c>
      <c r="M540" s="1580"/>
      <c r="N540" s="1580"/>
      <c r="O540" s="1580"/>
      <c r="P540" s="1580"/>
      <c r="Q540" s="1580"/>
      <c r="R540" s="1580"/>
    </row>
    <row r="541" customFormat="false" ht="15.75" hidden="false" customHeight="false" outlineLevel="0" collapsed="false">
      <c r="A541" s="2587" t="str">
        <f aca="false">'Ввод данных'!A1281</f>
        <v>нет</v>
      </c>
      <c r="B541" s="739" t="s">
        <v>15</v>
      </c>
      <c r="C541" s="837" t="n">
        <f aca="false">C481</f>
        <v>38.88</v>
      </c>
      <c r="D541" s="1556" t="n">
        <f aca="false">VLOOKUP(A541,связи1!A442:E453,4,0)</f>
        <v>0</v>
      </c>
      <c r="E541" s="1555" t="n">
        <f aca="false">C541*D541</f>
        <v>0</v>
      </c>
      <c r="F541" s="2589"/>
      <c r="G541" s="739"/>
      <c r="H541" s="739"/>
      <c r="I541" s="739"/>
      <c r="J541" s="2636"/>
      <c r="K541" s="837"/>
      <c r="L541" s="837" t="n">
        <f aca="false">J541*K541</f>
        <v>0</v>
      </c>
      <c r="M541" s="1580"/>
      <c r="N541" s="1580"/>
      <c r="O541" s="1580"/>
      <c r="P541" s="1580"/>
      <c r="Q541" s="1580"/>
      <c r="R541" s="1580"/>
    </row>
    <row r="542" customFormat="false" ht="15.75" hidden="false" customHeight="false" outlineLevel="0" collapsed="false">
      <c r="A542" s="2587" t="str">
        <f aca="false">'Ввод данных'!A1283</f>
        <v>Фасадный кронштейн КК 120</v>
      </c>
      <c r="B542" s="739" t="s">
        <v>48</v>
      </c>
      <c r="C542" s="837" t="n">
        <f aca="false">C476*D484*3*G447*D474</f>
        <v>0</v>
      </c>
      <c r="D542" s="1556" t="n">
        <f aca="false">VLOOKUP(A542,'Прайс лист'!B1330:G1341,6,0)</f>
        <v>19</v>
      </c>
      <c r="E542" s="1555" t="n">
        <f aca="false">C542*D542</f>
        <v>0</v>
      </c>
      <c r="F542" s="2589"/>
      <c r="G542" s="739"/>
      <c r="H542" s="739"/>
      <c r="I542" s="739"/>
      <c r="J542" s="2636"/>
      <c r="K542" s="837"/>
      <c r="L542" s="837" t="n">
        <f aca="false">J542*K542</f>
        <v>0</v>
      </c>
      <c r="M542" s="1580"/>
      <c r="N542" s="1580"/>
      <c r="O542" s="1580"/>
      <c r="P542" s="1580"/>
      <c r="Q542" s="1580"/>
      <c r="R542" s="1580"/>
    </row>
    <row r="543" customFormat="false" ht="15.75" hidden="false" customHeight="false" outlineLevel="0" collapsed="false">
      <c r="A543" s="2587" t="str">
        <f aca="false">A512</f>
        <v>Болты анкерные с гайкой 10,0 х 97           </v>
      </c>
      <c r="B543" s="739" t="s">
        <v>48</v>
      </c>
      <c r="C543" s="837" t="n">
        <f aca="false">C542*2*G447*D474</f>
        <v>0</v>
      </c>
      <c r="D543" s="1556" t="n">
        <f aca="false">D512</f>
        <v>7.4</v>
      </c>
      <c r="E543" s="1555" t="n">
        <f aca="false">C543*D543</f>
        <v>0</v>
      </c>
      <c r="F543" s="2589"/>
      <c r="G543" s="739"/>
      <c r="H543" s="739"/>
      <c r="I543" s="739"/>
      <c r="J543" s="2636"/>
      <c r="K543" s="837"/>
      <c r="L543" s="837" t="n">
        <f aca="false">J543*K543</f>
        <v>0</v>
      </c>
      <c r="M543" s="1580"/>
      <c r="N543" s="1580"/>
      <c r="O543" s="1580"/>
      <c r="P543" s="1580"/>
      <c r="Q543" s="1580"/>
      <c r="R543" s="1580"/>
    </row>
    <row r="544" customFormat="false" ht="15.75" hidden="false" customHeight="false" outlineLevel="0" collapsed="false">
      <c r="A544" s="2587" t="str">
        <f aca="false">A511</f>
        <v>Саморезы 3,5 x 45            </v>
      </c>
      <c r="B544" s="739"/>
      <c r="C544" s="837" t="n">
        <f aca="false">C543</f>
        <v>0</v>
      </c>
      <c r="D544" s="1556" t="n">
        <f aca="false">D511</f>
        <v>0.25</v>
      </c>
      <c r="E544" s="1555" t="n">
        <f aca="false">C544*D544</f>
        <v>0</v>
      </c>
      <c r="F544" s="2589"/>
      <c r="G544" s="739"/>
      <c r="H544" s="739"/>
      <c r="I544" s="739"/>
      <c r="J544" s="2636"/>
      <c r="K544" s="837"/>
      <c r="L544" s="837" t="n">
        <f aca="false">J544*K544</f>
        <v>0</v>
      </c>
      <c r="M544" s="1580"/>
      <c r="N544" s="1580"/>
      <c r="O544" s="1580"/>
      <c r="P544" s="1580"/>
      <c r="Q544" s="1580"/>
      <c r="R544" s="1580"/>
    </row>
    <row r="545" customFormat="false" ht="15.75" hidden="false" customHeight="false" outlineLevel="0" collapsed="false">
      <c r="A545" s="2587" t="str">
        <f aca="false">'Ввод данных'!A1285</f>
        <v>Плоский шифер 8 мм</v>
      </c>
      <c r="B545" s="739" t="s">
        <v>820</v>
      </c>
      <c r="C545" s="837" t="n">
        <f aca="false">C483*G447*D483*D474</f>
        <v>0</v>
      </c>
      <c r="D545" s="1556" t="n">
        <f aca="false">VLOOKUP(A545,'Прайс лист'!B1346:G1351,6,0)</f>
        <v>85</v>
      </c>
      <c r="E545" s="1555" t="n">
        <f aca="false">C545*D545</f>
        <v>0</v>
      </c>
      <c r="F545" s="2589"/>
      <c r="G545" s="2634"/>
      <c r="H545" s="2635"/>
      <c r="I545" s="739"/>
      <c r="J545" s="2636"/>
      <c r="K545" s="837"/>
      <c r="L545" s="837"/>
      <c r="M545" s="1580"/>
      <c r="N545" s="1580"/>
      <c r="O545" s="1580"/>
      <c r="P545" s="1580"/>
      <c r="Q545" s="1580"/>
      <c r="R545" s="1580"/>
    </row>
    <row r="546" customFormat="false" ht="15.75" hidden="false" customHeight="false" outlineLevel="0" collapsed="false">
      <c r="A546" s="739" t="s">
        <v>2286</v>
      </c>
      <c r="B546" s="739"/>
      <c r="C546" s="837" t="n">
        <v>0</v>
      </c>
      <c r="D546" s="1556" t="n">
        <v>1</v>
      </c>
      <c r="E546" s="1555" t="n">
        <f aca="false">C546*D546</f>
        <v>0</v>
      </c>
      <c r="F546" s="2589"/>
      <c r="G546" s="739"/>
      <c r="H546" s="739"/>
      <c r="I546" s="739"/>
      <c r="J546" s="2636"/>
      <c r="K546" s="837"/>
      <c r="L546" s="837" t="n">
        <f aca="false">J546*K546</f>
        <v>0</v>
      </c>
      <c r="M546" s="1580"/>
      <c r="N546" s="1580"/>
      <c r="O546" s="1580"/>
      <c r="P546" s="1580"/>
      <c r="Q546" s="1580"/>
      <c r="R546" s="1580"/>
    </row>
    <row r="547" customFormat="false" ht="15.75" hidden="false" customHeight="false" outlineLevel="0" collapsed="false">
      <c r="A547" s="2587" t="s">
        <v>1870</v>
      </c>
      <c r="B547" s="739" t="s">
        <v>820</v>
      </c>
      <c r="C547" s="837" t="n">
        <f aca="false">C487*D487*G447*D486</f>
        <v>0</v>
      </c>
      <c r="D547" s="1556" t="n">
        <f aca="false">D522</f>
        <v>0</v>
      </c>
      <c r="E547" s="1555" t="n">
        <f aca="false">C547*D547</f>
        <v>0</v>
      </c>
      <c r="F547" s="2589"/>
      <c r="G547" s="739"/>
      <c r="H547" s="739"/>
      <c r="I547" s="739"/>
      <c r="J547" s="2636"/>
      <c r="K547" s="837"/>
      <c r="L547" s="837" t="n">
        <f aca="false">J547*K547</f>
        <v>0</v>
      </c>
      <c r="M547" s="1580"/>
      <c r="N547" s="1580"/>
      <c r="O547" s="1580"/>
      <c r="P547" s="1580"/>
      <c r="Q547" s="1580"/>
      <c r="R547" s="1580"/>
    </row>
    <row r="548" customFormat="false" ht="15.75" hidden="false" customHeight="false" outlineLevel="0" collapsed="false">
      <c r="A548" s="2587" t="str">
        <f aca="false">'Ввод данных'!A1293</f>
        <v>Доска сухая, калибр., 35*45мм</v>
      </c>
      <c r="B548" s="739" t="s">
        <v>15</v>
      </c>
      <c r="C548" s="837" t="n">
        <f aca="false">C476*2*D487*G447*D486</f>
        <v>0</v>
      </c>
      <c r="D548" s="1556" t="n">
        <f aca="false">VLOOKUP(A548,связи1!A417:E420,4,0)</f>
        <v>19.6875</v>
      </c>
      <c r="E548" s="1555" t="n">
        <f aca="false">C548*D548</f>
        <v>0</v>
      </c>
      <c r="F548" s="2589"/>
      <c r="G548" s="739"/>
      <c r="H548" s="739"/>
      <c r="I548" s="739"/>
      <c r="J548" s="2636"/>
      <c r="K548" s="837"/>
      <c r="L548" s="837" t="n">
        <f aca="false">J548*K548</f>
        <v>0</v>
      </c>
      <c r="M548" s="1580"/>
      <c r="N548" s="1580"/>
      <c r="O548" s="1580"/>
      <c r="P548" s="1580"/>
      <c r="Q548" s="1580"/>
      <c r="R548" s="1580"/>
    </row>
    <row r="549" customFormat="false" ht="15.75" hidden="false" customHeight="false" outlineLevel="0" collapsed="false">
      <c r="A549" s="2587" t="s">
        <v>2165</v>
      </c>
      <c r="B549" s="739" t="s">
        <v>820</v>
      </c>
      <c r="C549" s="837" t="n">
        <f aca="false">C488*G447*D488*D486</f>
        <v>0</v>
      </c>
      <c r="D549" s="1556" t="n">
        <f aca="false">D517</f>
        <v>350</v>
      </c>
      <c r="E549" s="1555" t="n">
        <f aca="false">C549*D549</f>
        <v>0</v>
      </c>
      <c r="F549" s="2589"/>
      <c r="G549" s="739"/>
      <c r="H549" s="739"/>
      <c r="I549" s="739"/>
      <c r="J549" s="2636"/>
      <c r="K549" s="837"/>
      <c r="L549" s="837" t="n">
        <f aca="false">J549*K549</f>
        <v>0</v>
      </c>
      <c r="M549" s="1580"/>
      <c r="N549" s="1580"/>
      <c r="O549" s="1580"/>
      <c r="P549" s="1580"/>
      <c r="Q549" s="1580"/>
      <c r="R549" s="1580"/>
    </row>
    <row r="550" customFormat="false" ht="15.75" hidden="false" customHeight="false" outlineLevel="0" collapsed="false">
      <c r="A550" s="2587" t="s">
        <v>1866</v>
      </c>
      <c r="B550" s="739" t="s">
        <v>15</v>
      </c>
      <c r="C550" s="837" t="n">
        <f aca="false">C476*G447*D488*D486</f>
        <v>0</v>
      </c>
      <c r="D550" s="1556" t="n">
        <f aca="false">'Прайс лист'!G1203</f>
        <v>60</v>
      </c>
      <c r="E550" s="1555" t="n">
        <f aca="false">C550*D550</f>
        <v>0</v>
      </c>
      <c r="F550" s="2589"/>
      <c r="G550" s="739"/>
      <c r="H550" s="739"/>
      <c r="I550" s="739"/>
      <c r="J550" s="2636"/>
      <c r="K550" s="837"/>
      <c r="L550" s="837" t="n">
        <f aca="false">J550*K550</f>
        <v>0</v>
      </c>
      <c r="M550" s="1580"/>
      <c r="N550" s="1580"/>
      <c r="O550" s="1580"/>
      <c r="P550" s="1580"/>
      <c r="Q550" s="1580"/>
      <c r="R550" s="1580"/>
    </row>
    <row r="551" customFormat="false" ht="15.75" hidden="false" customHeight="false" outlineLevel="0" collapsed="false">
      <c r="A551" s="2587" t="s">
        <v>1867</v>
      </c>
      <c r="B551" s="739" t="s">
        <v>15</v>
      </c>
      <c r="C551" s="837" t="n">
        <f aca="false">C550*D488*G447*D486</f>
        <v>0</v>
      </c>
      <c r="D551" s="1556" t="n">
        <f aca="false">'Прайс лист'!G1204</f>
        <v>40</v>
      </c>
      <c r="E551" s="1555" t="n">
        <f aca="false">C551*D551</f>
        <v>0</v>
      </c>
      <c r="F551" s="2589"/>
      <c r="G551" s="739"/>
      <c r="H551" s="739"/>
      <c r="I551" s="739"/>
      <c r="J551" s="2636"/>
      <c r="K551" s="837"/>
      <c r="L551" s="837" t="n">
        <f aca="false">J551*K551</f>
        <v>0</v>
      </c>
      <c r="M551" s="1580"/>
      <c r="N551" s="1580"/>
      <c r="O551" s="1580"/>
      <c r="P551" s="1580"/>
      <c r="Q551" s="1580"/>
      <c r="R551" s="1580"/>
    </row>
    <row r="552" customFormat="false" ht="15.75" hidden="false" customHeight="false" outlineLevel="0" collapsed="false">
      <c r="A552" s="2587" t="str">
        <f aca="false">A544</f>
        <v>Саморезы 3,5 x 45            </v>
      </c>
      <c r="B552" s="739" t="s">
        <v>48</v>
      </c>
      <c r="C552" s="837" t="n">
        <f aca="false">(D487+D488)*C476*2*3*G447*D486</f>
        <v>0</v>
      </c>
      <c r="D552" s="1556" t="n">
        <f aca="false">D544</f>
        <v>0.25</v>
      </c>
      <c r="E552" s="1555" t="n">
        <f aca="false">C552*D552</f>
        <v>0</v>
      </c>
      <c r="F552" s="2589"/>
      <c r="G552" s="739"/>
      <c r="H552" s="739"/>
      <c r="I552" s="739"/>
      <c r="J552" s="2636"/>
      <c r="K552" s="837"/>
      <c r="L552" s="837" t="n">
        <f aca="false">J552*K552</f>
        <v>0</v>
      </c>
      <c r="M552" s="1580"/>
      <c r="N552" s="1580"/>
      <c r="O552" s="1580"/>
      <c r="P552" s="1580"/>
      <c r="Q552" s="1580"/>
      <c r="R552" s="1580"/>
    </row>
    <row r="553" customFormat="false" ht="15.75" hidden="false" customHeight="false" outlineLevel="0" collapsed="false">
      <c r="A553" s="2587" t="str">
        <f aca="false">'Прайс лист'!B728</f>
        <v>Саморезы 4,2 х 75            </v>
      </c>
      <c r="B553" s="739" t="s">
        <v>48</v>
      </c>
      <c r="C553" s="837" t="n">
        <f aca="false">(C487*D487+C488*D488)*15*G447*D486</f>
        <v>0</v>
      </c>
      <c r="D553" s="1556" t="n">
        <f aca="false">'Прайс лист'!F728</f>
        <v>0.45</v>
      </c>
      <c r="E553" s="1555" t="n">
        <f aca="false">C553*D553</f>
        <v>0</v>
      </c>
      <c r="F553" s="2589"/>
      <c r="G553" s="739"/>
      <c r="H553" s="739"/>
      <c r="I553" s="739"/>
      <c r="J553" s="2636"/>
      <c r="K553" s="837"/>
      <c r="L553" s="837" t="n">
        <f aca="false">J553*K553</f>
        <v>0</v>
      </c>
      <c r="M553" s="1580"/>
      <c r="N553" s="1580"/>
      <c r="O553" s="1580"/>
      <c r="P553" s="1580"/>
      <c r="Q553" s="1580"/>
      <c r="R553" s="1580"/>
    </row>
    <row r="554" customFormat="false" ht="15.75" hidden="false" customHeight="false" outlineLevel="0" collapsed="false">
      <c r="A554" s="837" t="str">
        <f aca="false">'Ввод данных'!A1295</f>
        <v>Нет техники</v>
      </c>
      <c r="B554" s="837" t="str">
        <f aca="false">'Ввод данных'!B1295</f>
        <v>час</v>
      </c>
      <c r="C554" s="837" t="n">
        <f aca="false">'Ввод данных'!C1295</f>
        <v>0</v>
      </c>
      <c r="D554" s="739" t="n">
        <f aca="false">VLOOKUP(A554,'Прайс лист'!B192:G206,6,0)</f>
        <v>0</v>
      </c>
      <c r="E554" s="1555" t="n">
        <f aca="false">C554*D554</f>
        <v>0</v>
      </c>
      <c r="F554" s="2589"/>
      <c r="G554" s="739"/>
      <c r="H554" s="739"/>
      <c r="I554" s="739"/>
      <c r="J554" s="2636"/>
      <c r="K554" s="837"/>
      <c r="L554" s="837"/>
      <c r="M554" s="1580"/>
      <c r="N554" s="1580"/>
      <c r="O554" s="1580"/>
      <c r="P554" s="1580"/>
      <c r="Q554" s="1580"/>
      <c r="R554" s="1580"/>
    </row>
    <row r="555" customFormat="false" ht="15.75" hidden="false" customHeight="false" outlineLevel="0" collapsed="false">
      <c r="A555" s="837" t="str">
        <f aca="false">'Ввод данных'!A1296</f>
        <v>Нет техники</v>
      </c>
      <c r="B555" s="837" t="str">
        <f aca="false">'Ввод данных'!B1296</f>
        <v>шт</v>
      </c>
      <c r="C555" s="837" t="n">
        <f aca="false">'Ввод данных'!C1296</f>
        <v>0</v>
      </c>
      <c r="D555" s="739" t="n">
        <f aca="false">VLOOKUP(A555,'Прайс лист'!B192:G206,6,0)</f>
        <v>0</v>
      </c>
      <c r="E555" s="1555" t="n">
        <f aca="false">C555*D555</f>
        <v>0</v>
      </c>
      <c r="F555" s="2589"/>
      <c r="G555" s="739"/>
      <c r="H555" s="739"/>
      <c r="I555" s="739"/>
      <c r="J555" s="2636"/>
      <c r="K555" s="837"/>
      <c r="L555" s="837" t="n">
        <f aca="false">J555*K555</f>
        <v>0</v>
      </c>
      <c r="M555" s="1580"/>
      <c r="N555" s="1580"/>
      <c r="O555" s="1580"/>
      <c r="P555" s="1580"/>
      <c r="Q555" s="1580"/>
      <c r="R555" s="1580"/>
    </row>
    <row r="556" customFormat="false" ht="15.75" hidden="false" customHeight="false" outlineLevel="0" collapsed="false">
      <c r="A556" s="837" t="str">
        <f aca="false">'Ввод данных'!A1298</f>
        <v>расходные материалы отделка внешняя</v>
      </c>
      <c r="B556" s="837" t="str">
        <f aca="false">'Ввод данных'!B1298</f>
        <v>рублей</v>
      </c>
      <c r="C556" s="837" t="n">
        <f aca="false">1</f>
        <v>1</v>
      </c>
      <c r="D556" s="739" t="n">
        <f aca="false">'Ввод данных'!C1298</f>
        <v>3000</v>
      </c>
      <c r="E556" s="1555" t="n">
        <f aca="false">C556*D556</f>
        <v>3000</v>
      </c>
      <c r="F556" s="2589"/>
      <c r="G556" s="739"/>
      <c r="H556" s="739"/>
      <c r="I556" s="739"/>
      <c r="J556" s="2636"/>
      <c r="K556" s="837"/>
      <c r="L556" s="837" t="n">
        <f aca="false">J556*K556</f>
        <v>0</v>
      </c>
      <c r="M556" s="1580"/>
      <c r="N556" s="1580"/>
      <c r="O556" s="1580"/>
      <c r="P556" s="1580"/>
      <c r="Q556" s="1580"/>
      <c r="R556" s="1580"/>
    </row>
    <row r="557" customFormat="false" ht="15.75" hidden="false" customHeight="false" outlineLevel="0" collapsed="false">
      <c r="F557" s="2589"/>
      <c r="G557" s="919"/>
      <c r="H557" s="919"/>
      <c r="I557" s="919"/>
      <c r="J557" s="2665"/>
      <c r="K557" s="2589"/>
      <c r="L557" s="837"/>
      <c r="M557" s="1580"/>
      <c r="N557" s="1580"/>
      <c r="O557" s="1580"/>
      <c r="P557" s="1580"/>
      <c r="Q557" s="1580"/>
      <c r="R557" s="1580"/>
    </row>
    <row r="558" customFormat="false" ht="15.75" hidden="false" customHeight="false" outlineLevel="0" collapsed="false">
      <c r="A558" s="1579"/>
      <c r="B558" s="1579"/>
      <c r="C558" s="1579"/>
      <c r="D558" s="1579"/>
      <c r="E558" s="1549" t="n">
        <f aca="false">SUM(E508:E555)</f>
        <v>23181.385</v>
      </c>
      <c r="F558" s="1579"/>
      <c r="G558" s="2595"/>
      <c r="H558" s="2589"/>
      <c r="I558" s="1579"/>
      <c r="J558" s="1579"/>
      <c r="K558" s="1579"/>
      <c r="L558" s="837" t="n">
        <f aca="false">SUM(L508:L556)</f>
        <v>209316</v>
      </c>
      <c r="M558" s="1580"/>
      <c r="N558" s="1580"/>
      <c r="O558" s="1580"/>
      <c r="P558" s="1580"/>
      <c r="Q558" s="1580"/>
      <c r="R558" s="1580"/>
    </row>
    <row r="559" customFormat="false" ht="15.75" hidden="false" customHeight="false" outlineLevel="0" collapsed="false">
      <c r="A559" s="738" t="s">
        <v>3808</v>
      </c>
      <c r="B559" s="2636" t="n">
        <f aca="false">E558</f>
        <v>23181.385</v>
      </c>
      <c r="C559" s="1579"/>
      <c r="D559" s="1579"/>
      <c r="E559" s="1579"/>
      <c r="F559" s="1579"/>
      <c r="G559" s="1579"/>
      <c r="H559" s="1579"/>
      <c r="I559" s="1579"/>
      <c r="J559" s="1579"/>
      <c r="K559" s="1579"/>
      <c r="L559" s="1579"/>
      <c r="M559" s="1580"/>
      <c r="N559" s="1580"/>
      <c r="O559" s="1580"/>
      <c r="P559" s="1580"/>
      <c r="Q559" s="1580"/>
      <c r="R559" s="1580"/>
    </row>
    <row r="560" customFormat="false" ht="15.75" hidden="false" customHeight="false" outlineLevel="0" collapsed="false">
      <c r="A560" s="738" t="s">
        <v>3809</v>
      </c>
      <c r="B560" s="2636" t="n">
        <f aca="false">L558</f>
        <v>209316</v>
      </c>
      <c r="C560" s="1579"/>
      <c r="D560" s="1579"/>
      <c r="E560" s="1579"/>
      <c r="F560" s="1579"/>
      <c r="G560" s="1579"/>
      <c r="H560" s="1579"/>
      <c r="I560" s="1579"/>
      <c r="J560" s="1579"/>
      <c r="K560" s="1579"/>
      <c r="L560" s="1579"/>
      <c r="M560" s="1580"/>
      <c r="N560" s="1580"/>
      <c r="O560" s="1580"/>
      <c r="P560" s="1580"/>
      <c r="Q560" s="1580"/>
      <c r="R560" s="1580"/>
    </row>
    <row r="561" customFormat="false" ht="15.75" hidden="false" customHeight="false" outlineLevel="0" collapsed="false">
      <c r="A561" s="837" t="s">
        <v>2922</v>
      </c>
      <c r="B561" s="2636" t="n">
        <f aca="false">(B559+B560)</f>
        <v>232497.385</v>
      </c>
      <c r="C561" s="1579"/>
      <c r="D561" s="1579"/>
      <c r="E561" s="1579"/>
      <c r="F561" s="1579"/>
      <c r="G561" s="1579"/>
      <c r="H561" s="1579"/>
      <c r="I561" s="1579"/>
      <c r="J561" s="1579"/>
      <c r="K561" s="1579"/>
      <c r="L561" s="1579"/>
      <c r="M561" s="1580"/>
      <c r="N561" s="1580"/>
      <c r="O561" s="1580"/>
      <c r="P561" s="1580"/>
      <c r="Q561" s="1580"/>
      <c r="R561" s="1580"/>
    </row>
    <row r="562" customFormat="false" ht="15.75" hidden="false" customHeight="false" outlineLevel="0" collapsed="false">
      <c r="A562" s="2666" t="s">
        <v>834</v>
      </c>
      <c r="B562" s="2618"/>
      <c r="C562" s="2619" t="s">
        <v>3811</v>
      </c>
      <c r="D562" s="2619"/>
      <c r="E562" s="2619"/>
      <c r="F562" s="2619"/>
      <c r="G562" s="2630"/>
      <c r="H562" s="1580"/>
      <c r="I562" s="1580"/>
      <c r="J562" s="1580"/>
      <c r="K562" s="1580"/>
      <c r="L562" s="1580"/>
      <c r="M562" s="1580"/>
      <c r="N562" s="1580"/>
      <c r="O562" s="1580"/>
      <c r="P562" s="1580"/>
      <c r="Q562" s="1580"/>
      <c r="R562" s="1580"/>
    </row>
    <row r="563" customFormat="false" ht="15.75" hidden="false" customHeight="false" outlineLevel="0" collapsed="false">
      <c r="A563" s="2637"/>
      <c r="B563" s="1580"/>
      <c r="C563" s="2630"/>
      <c r="D563" s="2630"/>
      <c r="E563" s="1580"/>
      <c r="F563" s="2630"/>
      <c r="G563" s="2630"/>
      <c r="H563" s="1580"/>
      <c r="I563" s="1580"/>
      <c r="J563" s="1580"/>
      <c r="K563" s="1580"/>
      <c r="L563" s="1580"/>
      <c r="M563" s="1580"/>
      <c r="N563" s="1580"/>
      <c r="O563" s="1580"/>
      <c r="P563" s="1580"/>
      <c r="Q563" s="1580"/>
      <c r="R563" s="1580"/>
    </row>
    <row r="564" customFormat="false" ht="23.25" hidden="false" customHeight="false" outlineLevel="0" collapsed="false">
      <c r="A564" s="2638" t="s">
        <v>835</v>
      </c>
      <c r="B564" s="2638"/>
      <c r="C564" s="2638"/>
      <c r="D564" s="2638"/>
      <c r="E564" s="2638"/>
      <c r="F564" s="2638"/>
      <c r="G564" s="2638"/>
      <c r="H564" s="2638"/>
      <c r="I564" s="2638"/>
      <c r="J564" s="2622"/>
      <c r="K564" s="2622"/>
      <c r="L564" s="1580"/>
      <c r="M564" s="1580"/>
      <c r="N564" s="1580"/>
      <c r="O564" s="1580"/>
      <c r="P564" s="1580"/>
      <c r="Q564" s="1580"/>
      <c r="R564" s="1580"/>
    </row>
    <row r="565" customFormat="false" ht="23.25" hidden="false" customHeight="false" outlineLevel="0" collapsed="false">
      <c r="A565" s="2638"/>
      <c r="B565" s="2638"/>
      <c r="C565" s="2638"/>
      <c r="D565" s="2638"/>
      <c r="E565" s="2638"/>
      <c r="F565" s="2638"/>
      <c r="G565" s="2638"/>
      <c r="H565" s="2638"/>
      <c r="I565" s="2638"/>
      <c r="J565" s="2622"/>
      <c r="K565" s="2622"/>
      <c r="L565" s="1580"/>
      <c r="M565" s="1580"/>
      <c r="N565" s="1580"/>
      <c r="O565" s="1580"/>
      <c r="P565" s="1580"/>
      <c r="Q565" s="1580"/>
      <c r="R565" s="1580"/>
    </row>
    <row r="566" customFormat="false" ht="23.25" hidden="false" customHeight="false" outlineLevel="0" collapsed="false">
      <c r="A566" s="2623" t="s">
        <v>461</v>
      </c>
      <c r="B566" s="2623"/>
      <c r="C566" s="2623"/>
      <c r="D566" s="2623"/>
      <c r="E566" s="2623"/>
      <c r="F566" s="2623"/>
      <c r="G566" s="2667" t="n">
        <f aca="false">'Ввод данных'!D1304</f>
        <v>1</v>
      </c>
      <c r="H566" s="2625" t="n">
        <f aca="false">'Ввод данных'!D1305</f>
        <v>1</v>
      </c>
      <c r="I566" s="2625"/>
      <c r="J566" s="2625"/>
      <c r="K566" s="2625"/>
      <c r="L566" s="1579"/>
      <c r="M566" s="1579"/>
      <c r="N566" s="1579"/>
      <c r="O566" s="1579"/>
      <c r="P566" s="1579"/>
      <c r="Q566" s="1579"/>
      <c r="R566" s="1579"/>
    </row>
    <row r="567" customFormat="false" ht="23.25" hidden="false" customHeight="false" outlineLevel="0" collapsed="false">
      <c r="A567" s="2623"/>
      <c r="B567" s="2623"/>
      <c r="C567" s="2623"/>
      <c r="D567" s="2623"/>
      <c r="E567" s="2623"/>
      <c r="F567" s="2623"/>
      <c r="G567" s="2626"/>
      <c r="H567" s="2625"/>
      <c r="I567" s="2625"/>
      <c r="J567" s="2625"/>
      <c r="K567" s="2625"/>
      <c r="L567" s="1579"/>
      <c r="M567" s="1579"/>
      <c r="N567" s="1579"/>
      <c r="O567" s="1579"/>
      <c r="P567" s="1579"/>
      <c r="Q567" s="1579"/>
      <c r="R567" s="1579"/>
    </row>
    <row r="568" customFormat="false" ht="23.25" hidden="false" customHeight="false" outlineLevel="0" collapsed="false">
      <c r="A568" s="862" t="s">
        <v>837</v>
      </c>
      <c r="B568" s="862" t="s">
        <v>162</v>
      </c>
      <c r="C568" s="862" t="s">
        <v>118</v>
      </c>
      <c r="D568" s="862" t="n">
        <f aca="false">VLOOKUP('Ввод данных'!C1308,связи1!A2:B3,2,0)</f>
        <v>1</v>
      </c>
      <c r="E568" s="2523"/>
      <c r="F568" s="2523"/>
      <c r="G568" s="2668"/>
      <c r="H568" s="2625"/>
      <c r="I568" s="2625"/>
      <c r="J568" s="2625"/>
      <c r="K568" s="2625"/>
      <c r="L568" s="1579"/>
      <c r="M568" s="1579"/>
      <c r="N568" s="1579"/>
      <c r="O568" s="1579"/>
      <c r="P568" s="1579"/>
      <c r="Q568" s="1579"/>
      <c r="R568" s="1579"/>
    </row>
    <row r="569" customFormat="false" ht="23.25" hidden="false" customHeight="false" outlineLevel="0" collapsed="false">
      <c r="A569" s="861" t="s">
        <v>838</v>
      </c>
      <c r="B569" s="861" t="s">
        <v>820</v>
      </c>
      <c r="C569" s="837" t="n">
        <f aca="false">C624+C626*2-C597</f>
        <v>263.26</v>
      </c>
      <c r="D569" s="2669" t="n">
        <f aca="false">VLOOKUP('Ввод данных'!C1309,связи1!A2:B3,2,0)</f>
        <v>0</v>
      </c>
      <c r="E569" s="2523"/>
      <c r="F569" s="2523"/>
      <c r="G569" s="2668"/>
      <c r="H569" s="2625"/>
      <c r="I569" s="2625"/>
      <c r="J569" s="2625"/>
      <c r="K569" s="2625"/>
      <c r="L569" s="1579"/>
      <c r="M569" s="1579"/>
      <c r="N569" s="1579"/>
      <c r="O569" s="1579"/>
      <c r="P569" s="1579"/>
      <c r="Q569" s="1579"/>
      <c r="R569" s="1579"/>
    </row>
    <row r="570" customFormat="false" ht="23.25" hidden="false" customHeight="false" outlineLevel="0" collapsed="false">
      <c r="A570" s="861" t="s">
        <v>4067</v>
      </c>
      <c r="B570" s="861" t="s">
        <v>820</v>
      </c>
      <c r="C570" s="837" t="n">
        <f aca="false">C623+C626*2*0.9</f>
        <v>250.817</v>
      </c>
      <c r="D570" s="2669" t="n">
        <f aca="false">IF('Ввод данных'!A1310=связи1!H9,1,0)</f>
        <v>0</v>
      </c>
      <c r="E570" s="2523"/>
      <c r="F570" s="2523"/>
      <c r="G570" s="2668"/>
      <c r="H570" s="2625"/>
      <c r="I570" s="2625"/>
      <c r="J570" s="2625"/>
      <c r="K570" s="2625"/>
      <c r="L570" s="1579"/>
      <c r="M570" s="1579"/>
      <c r="N570" s="1579"/>
      <c r="O570" s="1579"/>
      <c r="P570" s="1579"/>
      <c r="Q570" s="1579"/>
      <c r="R570" s="1579"/>
    </row>
    <row r="571" customFormat="false" ht="23.25" hidden="false" customHeight="false" outlineLevel="0" collapsed="false">
      <c r="A571" s="861" t="s">
        <v>840</v>
      </c>
      <c r="B571" s="861" t="s">
        <v>820</v>
      </c>
      <c r="C571" s="837" t="n">
        <f aca="false">C569</f>
        <v>263.26</v>
      </c>
      <c r="D571" s="2669" t="n">
        <f aca="false">VLOOKUP('Ввод данных'!C1311,связи1!A2:B3,2,0)</f>
        <v>0</v>
      </c>
      <c r="E571" s="2523"/>
      <c r="F571" s="2523"/>
      <c r="G571" s="2668"/>
      <c r="H571" s="2625"/>
      <c r="I571" s="2625"/>
      <c r="J571" s="2625"/>
      <c r="K571" s="2625"/>
      <c r="L571" s="1579"/>
      <c r="M571" s="1579"/>
      <c r="N571" s="1579"/>
      <c r="O571" s="1579"/>
      <c r="P571" s="1579"/>
      <c r="Q571" s="1579"/>
      <c r="R571" s="1579"/>
    </row>
    <row r="572" customFormat="false" ht="23.25" hidden="false" customHeight="false" outlineLevel="0" collapsed="false">
      <c r="A572" s="861" t="s">
        <v>841</v>
      </c>
      <c r="B572" s="861" t="s">
        <v>820</v>
      </c>
      <c r="C572" s="837" t="n">
        <f aca="false">C569</f>
        <v>263.26</v>
      </c>
      <c r="D572" s="2669" t="n">
        <f aca="false">VLOOKUP('Ввод данных'!C1312,связи1!A2:B3,2,0)</f>
        <v>0</v>
      </c>
      <c r="E572" s="2523"/>
      <c r="F572" s="2523"/>
      <c r="G572" s="2668"/>
      <c r="H572" s="2625"/>
      <c r="I572" s="2625"/>
      <c r="J572" s="2625"/>
      <c r="K572" s="2625"/>
      <c r="L572" s="1579"/>
      <c r="M572" s="1579"/>
      <c r="N572" s="1579"/>
      <c r="O572" s="1579"/>
      <c r="P572" s="1579"/>
      <c r="Q572" s="1579"/>
      <c r="R572" s="1579"/>
    </row>
    <row r="573" customFormat="false" ht="23.25" hidden="false" customHeight="false" outlineLevel="0" collapsed="false">
      <c r="A573" s="861" t="s">
        <v>842</v>
      </c>
      <c r="B573" s="861" t="s">
        <v>820</v>
      </c>
      <c r="C573" s="837" t="n">
        <f aca="false">C569</f>
        <v>263.26</v>
      </c>
      <c r="D573" s="2669" t="n">
        <f aca="false">VLOOKUP('Ввод данных'!C1313,связи1!A2:B3,2,0)</f>
        <v>0</v>
      </c>
      <c r="E573" s="2523"/>
      <c r="F573" s="2523"/>
      <c r="G573" s="2668"/>
      <c r="H573" s="2625"/>
      <c r="I573" s="2625"/>
      <c r="J573" s="2625"/>
      <c r="K573" s="2625"/>
      <c r="L573" s="1579"/>
      <c r="M573" s="1579"/>
      <c r="N573" s="1579"/>
      <c r="O573" s="1579"/>
      <c r="P573" s="1579"/>
      <c r="Q573" s="1579"/>
      <c r="R573" s="1579"/>
    </row>
    <row r="574" customFormat="false" ht="23.25" hidden="false" customHeight="false" outlineLevel="0" collapsed="false">
      <c r="A574" s="861" t="s">
        <v>843</v>
      </c>
      <c r="B574" s="861" t="s">
        <v>820</v>
      </c>
      <c r="C574" s="837" t="n">
        <f aca="false">C624+C626*2-C597</f>
        <v>263.26</v>
      </c>
      <c r="D574" s="2669" t="n">
        <f aca="false">IF('Ввод данных'!A1314=связи1!H27,1,0)</f>
        <v>1</v>
      </c>
      <c r="E574" s="2523"/>
      <c r="F574" s="2523"/>
      <c r="G574" s="2668"/>
      <c r="H574" s="2625"/>
      <c r="I574" s="2625"/>
      <c r="J574" s="2625"/>
      <c r="K574" s="2625"/>
      <c r="L574" s="1579"/>
      <c r="M574" s="1579"/>
      <c r="N574" s="1579"/>
      <c r="O574" s="1579"/>
      <c r="P574" s="1579"/>
      <c r="Q574" s="1579"/>
      <c r="R574" s="1579"/>
    </row>
    <row r="575" customFormat="false" ht="23.25" hidden="false" customHeight="false" outlineLevel="0" collapsed="false">
      <c r="A575" s="861" t="s">
        <v>1891</v>
      </c>
      <c r="B575" s="861" t="s">
        <v>820</v>
      </c>
      <c r="C575" s="837" t="n">
        <f aca="false">C624+C626*2-C597</f>
        <v>263.26</v>
      </c>
      <c r="D575" s="2669" t="n">
        <f aca="false">IF('Ввод данных'!A1314=связи1!H28,1,0)</f>
        <v>0</v>
      </c>
      <c r="E575" s="2523"/>
      <c r="F575" s="2523"/>
      <c r="G575" s="2668"/>
      <c r="H575" s="2625"/>
      <c r="I575" s="2625"/>
      <c r="J575" s="2625"/>
      <c r="K575" s="2625"/>
      <c r="L575" s="1579"/>
      <c r="M575" s="1579"/>
      <c r="N575" s="1579"/>
      <c r="O575" s="1579"/>
      <c r="P575" s="1579"/>
      <c r="Q575" s="1579"/>
      <c r="R575" s="1579"/>
    </row>
    <row r="576" customFormat="false" ht="23.25" hidden="false" customHeight="false" outlineLevel="0" collapsed="false">
      <c r="A576" s="861" t="s">
        <v>847</v>
      </c>
      <c r="B576" s="861" t="s">
        <v>820</v>
      </c>
      <c r="C576" s="837" t="n">
        <f aca="false">C624+C626*2-C597</f>
        <v>263.26</v>
      </c>
      <c r="D576" s="2669" t="n">
        <f aca="false">IF('Ввод данных'!A1314=связи1!H29,1,0)</f>
        <v>0</v>
      </c>
      <c r="E576" s="2523"/>
      <c r="F576" s="2523"/>
      <c r="G576" s="2668"/>
      <c r="H576" s="2625"/>
      <c r="I576" s="2625"/>
      <c r="J576" s="2625"/>
      <c r="K576" s="2625"/>
      <c r="L576" s="1579"/>
      <c r="M576" s="1579"/>
      <c r="N576" s="1579"/>
      <c r="O576" s="1579"/>
      <c r="P576" s="1579"/>
      <c r="Q576" s="1579"/>
      <c r="R576" s="1579"/>
    </row>
    <row r="577" customFormat="false" ht="23.25" hidden="false" customHeight="false" outlineLevel="0" collapsed="false">
      <c r="A577" s="861" t="s">
        <v>4068</v>
      </c>
      <c r="B577" s="861" t="s">
        <v>820</v>
      </c>
      <c r="C577" s="1549" t="n">
        <f aca="false">C624+C626*2-C597</f>
        <v>263.26</v>
      </c>
      <c r="D577" s="2669" t="n">
        <f aca="false">IF('Ввод данных'!A1310=связи1!H10,1,0)</f>
        <v>0</v>
      </c>
      <c r="E577" s="2523"/>
      <c r="F577" s="2523"/>
      <c r="G577" s="2668"/>
      <c r="H577" s="2625"/>
      <c r="I577" s="2625"/>
      <c r="J577" s="2625"/>
      <c r="K577" s="2625"/>
      <c r="L577" s="1579"/>
      <c r="M577" s="1579"/>
      <c r="N577" s="1579"/>
      <c r="O577" s="1579"/>
      <c r="P577" s="1579"/>
      <c r="Q577" s="1579"/>
      <c r="R577" s="1579"/>
    </row>
    <row r="578" customFormat="false" ht="23.25" hidden="false" customHeight="false" outlineLevel="0" collapsed="false">
      <c r="A578" s="861" t="s">
        <v>1893</v>
      </c>
      <c r="B578" s="861" t="s">
        <v>48</v>
      </c>
      <c r="C578" s="1549" t="n">
        <f aca="false">C577*D578</f>
        <v>0</v>
      </c>
      <c r="D578" s="2669" t="n">
        <f aca="false">D577</f>
        <v>0</v>
      </c>
      <c r="E578" s="2523"/>
      <c r="F578" s="2523"/>
      <c r="G578" s="2668"/>
      <c r="H578" s="2625"/>
      <c r="I578" s="2625"/>
      <c r="J578" s="2625"/>
      <c r="K578" s="2625"/>
      <c r="L578" s="1579"/>
      <c r="M578" s="1579"/>
      <c r="N578" s="1579"/>
      <c r="O578" s="1579"/>
      <c r="P578" s="1579"/>
      <c r="Q578" s="1579"/>
      <c r="R578" s="1579"/>
    </row>
    <row r="579" customFormat="false" ht="23.25" hidden="false" customHeight="false" outlineLevel="0" collapsed="false">
      <c r="A579" s="862" t="s">
        <v>844</v>
      </c>
      <c r="B579" s="861"/>
      <c r="C579" s="1549"/>
      <c r="D579" s="862" t="n">
        <f aca="false">VLOOKUP('Ввод данных'!C1315,связи1!A2:B3,2,0)</f>
        <v>1</v>
      </c>
      <c r="E579" s="2523"/>
      <c r="F579" s="2523"/>
      <c r="G579" s="2668"/>
      <c r="H579" s="2625"/>
      <c r="I579" s="2625"/>
      <c r="J579" s="2625"/>
      <c r="K579" s="2625"/>
      <c r="L579" s="1579"/>
      <c r="M579" s="1579"/>
      <c r="N579" s="1579"/>
      <c r="O579" s="1579"/>
      <c r="P579" s="1579"/>
      <c r="Q579" s="1579"/>
      <c r="R579" s="1579"/>
    </row>
    <row r="580" customFormat="false" ht="23.25" hidden="false" customHeight="false" outlineLevel="0" collapsed="false">
      <c r="A580" s="861" t="s">
        <v>845</v>
      </c>
      <c r="B580" s="861" t="s">
        <v>820</v>
      </c>
      <c r="C580" s="837" t="n">
        <f aca="false">C614</f>
        <v>94.7321893085902</v>
      </c>
      <c r="D580" s="2669" t="n">
        <f aca="false">VLOOKUP('Ввод данных'!C1316,связи1!A2:B3,2,0)</f>
        <v>0</v>
      </c>
      <c r="E580" s="2523"/>
      <c r="F580" s="2523"/>
      <c r="G580" s="2668"/>
      <c r="H580" s="2625"/>
      <c r="I580" s="2625"/>
      <c r="J580" s="2625"/>
      <c r="K580" s="2625"/>
      <c r="L580" s="1579"/>
      <c r="M580" s="1579"/>
      <c r="N580" s="1579"/>
      <c r="O580" s="1579"/>
      <c r="P580" s="1579"/>
      <c r="Q580" s="1579"/>
      <c r="R580" s="1579"/>
    </row>
    <row r="581" customFormat="false" ht="23.25" hidden="false" customHeight="false" outlineLevel="0" collapsed="false">
      <c r="A581" s="861" t="s">
        <v>4067</v>
      </c>
      <c r="B581" s="861" t="s">
        <v>820</v>
      </c>
      <c r="C581" s="837" t="n">
        <f aca="false">C580</f>
        <v>94.7321893085902</v>
      </c>
      <c r="D581" s="2669" t="n">
        <f aca="false">IF('Ввод данных'!A1317=связи1!H9,1,0)</f>
        <v>0</v>
      </c>
      <c r="E581" s="2523"/>
      <c r="F581" s="2523"/>
      <c r="G581" s="2668"/>
      <c r="H581" s="2625"/>
      <c r="I581" s="2625"/>
      <c r="J581" s="2625"/>
      <c r="K581" s="2625"/>
      <c r="L581" s="1579"/>
      <c r="M581" s="1579"/>
      <c r="N581" s="1579"/>
      <c r="O581" s="1579"/>
      <c r="P581" s="1579"/>
      <c r="Q581" s="1579"/>
      <c r="R581" s="1579"/>
    </row>
    <row r="582" customFormat="false" ht="23.25" hidden="false" customHeight="false" outlineLevel="0" collapsed="false">
      <c r="A582" s="861" t="s">
        <v>840</v>
      </c>
      <c r="B582" s="861" t="s">
        <v>820</v>
      </c>
      <c r="C582" s="837" t="n">
        <f aca="false">C580</f>
        <v>94.7321893085902</v>
      </c>
      <c r="D582" s="2669" t="n">
        <f aca="false">VLOOKUP('Ввод данных'!C1318,связи1!A2:B3,2,0)</f>
        <v>0</v>
      </c>
      <c r="E582" s="2523"/>
      <c r="F582" s="2523"/>
      <c r="G582" s="2668"/>
      <c r="H582" s="2625"/>
      <c r="I582" s="2625"/>
      <c r="J582" s="2625"/>
      <c r="K582" s="2625"/>
      <c r="L582" s="1579"/>
      <c r="M582" s="1579"/>
      <c r="N582" s="1579"/>
      <c r="O582" s="1579"/>
      <c r="P582" s="1579"/>
      <c r="Q582" s="1579"/>
      <c r="R582" s="1579"/>
    </row>
    <row r="583" customFormat="false" ht="23.25" hidden="false" customHeight="false" outlineLevel="0" collapsed="false">
      <c r="A583" s="861" t="s">
        <v>842</v>
      </c>
      <c r="B583" s="861" t="s">
        <v>820</v>
      </c>
      <c r="C583" s="837" t="n">
        <f aca="false">C580</f>
        <v>94.7321893085902</v>
      </c>
      <c r="D583" s="2669" t="n">
        <f aca="false">VLOOKUP('Ввод данных'!C1319,связи1!A2:B3,2,0)</f>
        <v>0</v>
      </c>
      <c r="E583" s="2523"/>
      <c r="F583" s="2523"/>
      <c r="G583" s="2668"/>
      <c r="H583" s="2625"/>
      <c r="I583" s="2625"/>
      <c r="J583" s="2625"/>
      <c r="K583" s="2625"/>
      <c r="L583" s="1579"/>
      <c r="M583" s="1579"/>
      <c r="N583" s="1579"/>
      <c r="O583" s="1579"/>
      <c r="P583" s="1579"/>
      <c r="Q583" s="1579"/>
      <c r="R583" s="1579"/>
    </row>
    <row r="584" customFormat="false" ht="23.25" hidden="false" customHeight="false" outlineLevel="0" collapsed="false">
      <c r="A584" s="861" t="s">
        <v>846</v>
      </c>
      <c r="B584" s="861" t="s">
        <v>15</v>
      </c>
      <c r="C584" s="837" t="n">
        <f aca="false">C595</f>
        <v>136.6</v>
      </c>
      <c r="D584" s="2669" t="n">
        <f aca="false">VLOOKUP('Ввод данных'!C1320,связи1!A2:B3,2,0)</f>
        <v>0</v>
      </c>
      <c r="E584" s="2523"/>
      <c r="F584" s="2523"/>
      <c r="G584" s="2668"/>
      <c r="H584" s="2625"/>
      <c r="I584" s="2625"/>
      <c r="J584" s="2625"/>
      <c r="K584" s="2625"/>
      <c r="L584" s="1579"/>
      <c r="M584" s="1579"/>
      <c r="N584" s="1579"/>
      <c r="O584" s="1579"/>
      <c r="P584" s="1579"/>
      <c r="Q584" s="1579"/>
      <c r="R584" s="1579"/>
    </row>
    <row r="585" customFormat="false" ht="23.25" hidden="false" customHeight="false" outlineLevel="0" collapsed="false">
      <c r="A585" s="861" t="s">
        <v>2351</v>
      </c>
      <c r="B585" s="861" t="s">
        <v>820</v>
      </c>
      <c r="C585" s="837" t="n">
        <f aca="false">C580-C599+C605*D605</f>
        <v>88.7321893085902</v>
      </c>
      <c r="D585" s="2669" t="n">
        <f aca="false">IF('Ввод данных'!A1321=связи1!H19,1,0)</f>
        <v>0</v>
      </c>
      <c r="E585" s="2523"/>
      <c r="F585" s="2523"/>
      <c r="G585" s="2668"/>
      <c r="H585" s="2625"/>
      <c r="I585" s="2625"/>
      <c r="J585" s="2625"/>
      <c r="K585" s="2625"/>
      <c r="L585" s="1579"/>
      <c r="M585" s="1579"/>
      <c r="N585" s="1579"/>
      <c r="O585" s="1579"/>
      <c r="P585" s="1579"/>
      <c r="Q585" s="1579"/>
      <c r="R585" s="1579"/>
    </row>
    <row r="586" customFormat="false" ht="23.25" hidden="false" customHeight="false" outlineLevel="0" collapsed="false">
      <c r="A586" s="861" t="s">
        <v>843</v>
      </c>
      <c r="B586" s="861" t="s">
        <v>820</v>
      </c>
      <c r="C586" s="837" t="n">
        <f aca="false">C614-C605*D605-C604*D604-C601*D601</f>
        <v>88.7321893085902</v>
      </c>
      <c r="D586" s="2669" t="n">
        <f aca="false">IF('Ввод данных'!A1321=связи1!H20,1,0)</f>
        <v>0</v>
      </c>
      <c r="E586" s="2523"/>
      <c r="F586" s="2523"/>
      <c r="G586" s="2668"/>
      <c r="H586" s="2625"/>
      <c r="I586" s="2625"/>
      <c r="J586" s="2625"/>
      <c r="K586" s="2625"/>
      <c r="L586" s="1579"/>
      <c r="M586" s="1579"/>
      <c r="N586" s="1579"/>
      <c r="O586" s="1579"/>
      <c r="P586" s="1579"/>
      <c r="Q586" s="1579"/>
      <c r="R586" s="1579"/>
    </row>
    <row r="587" customFormat="false" ht="23.25" hidden="false" customHeight="false" outlineLevel="0" collapsed="false">
      <c r="A587" s="861" t="s">
        <v>1891</v>
      </c>
      <c r="B587" s="861" t="s">
        <v>820</v>
      </c>
      <c r="C587" s="837" t="n">
        <f aca="false">C614-C605*D605-C604*D604-C601*D601</f>
        <v>88.7321893085902</v>
      </c>
      <c r="D587" s="2669" t="n">
        <f aca="false">IF('Ввод данных'!A1321=связи1!H21,1,0)</f>
        <v>0</v>
      </c>
      <c r="E587" s="2523"/>
      <c r="F587" s="2523"/>
      <c r="G587" s="2668"/>
      <c r="H587" s="2625"/>
      <c r="I587" s="2625"/>
      <c r="J587" s="2625"/>
      <c r="K587" s="2625"/>
      <c r="L587" s="1579"/>
      <c r="M587" s="1579"/>
      <c r="N587" s="1579"/>
      <c r="O587" s="1579"/>
      <c r="P587" s="1579"/>
      <c r="Q587" s="1579"/>
      <c r="R587" s="1579"/>
    </row>
    <row r="588" customFormat="false" ht="23.25" hidden="false" customHeight="false" outlineLevel="0" collapsed="false">
      <c r="A588" s="861" t="s">
        <v>847</v>
      </c>
      <c r="B588" s="861" t="s">
        <v>820</v>
      </c>
      <c r="C588" s="837" t="n">
        <f aca="false">C614-C605*D605-C604*D604-C601*D601</f>
        <v>88.7321893085902</v>
      </c>
      <c r="D588" s="2669" t="n">
        <f aca="false">IF('Ввод данных'!A1321=связи1!H22,1,0)</f>
        <v>1</v>
      </c>
      <c r="E588" s="2523"/>
      <c r="F588" s="2523"/>
      <c r="G588" s="2668"/>
      <c r="H588" s="2625"/>
      <c r="I588" s="2625"/>
      <c r="J588" s="2625"/>
      <c r="K588" s="2625"/>
      <c r="L588" s="1579"/>
      <c r="M588" s="1579"/>
      <c r="N588" s="1579"/>
      <c r="O588" s="1579"/>
      <c r="P588" s="1579"/>
      <c r="Q588" s="1579"/>
      <c r="R588" s="1579"/>
    </row>
    <row r="589" customFormat="false" ht="23.25" hidden="false" customHeight="false" outlineLevel="0" collapsed="false">
      <c r="A589" s="861" t="s">
        <v>4069</v>
      </c>
      <c r="B589" s="861" t="s">
        <v>15</v>
      </c>
      <c r="C589" s="837" t="n">
        <f aca="false">C614-C605*D605-C604*D604-C601*D601</f>
        <v>88.7321893085902</v>
      </c>
      <c r="D589" s="2669" t="n">
        <f aca="false">IF('Ввод данных'!A1317=связи1!H10,1,0)</f>
        <v>0</v>
      </c>
      <c r="E589" s="2523"/>
      <c r="F589" s="2523"/>
      <c r="G589" s="2668"/>
      <c r="H589" s="2625"/>
      <c r="I589" s="2625"/>
      <c r="J589" s="2625"/>
      <c r="K589" s="2625"/>
      <c r="L589" s="1579"/>
      <c r="M589" s="1579"/>
      <c r="N589" s="1579"/>
      <c r="O589" s="1579"/>
      <c r="P589" s="1579"/>
      <c r="Q589" s="1579"/>
      <c r="R589" s="1579"/>
    </row>
    <row r="590" customFormat="false" ht="23.25" hidden="false" customHeight="false" outlineLevel="0" collapsed="false">
      <c r="A590" s="861" t="s">
        <v>1893</v>
      </c>
      <c r="B590" s="861" t="s">
        <v>48</v>
      </c>
      <c r="C590" s="837" t="n">
        <f aca="false">C589</f>
        <v>88.7321893085902</v>
      </c>
      <c r="D590" s="2669" t="n">
        <f aca="false">D589</f>
        <v>0</v>
      </c>
      <c r="E590" s="2523"/>
      <c r="F590" s="2523"/>
      <c r="G590" s="2668"/>
      <c r="H590" s="2625"/>
      <c r="I590" s="2625"/>
      <c r="J590" s="2625"/>
      <c r="K590" s="2625"/>
      <c r="L590" s="1579"/>
      <c r="M590" s="1579"/>
      <c r="N590" s="1579"/>
      <c r="O590" s="1579"/>
      <c r="P590" s="1579"/>
      <c r="Q590" s="1579"/>
      <c r="R590" s="1579"/>
    </row>
    <row r="591" customFormat="false" ht="23.25" hidden="false" customHeight="false" outlineLevel="0" collapsed="false">
      <c r="A591" s="862" t="s">
        <v>848</v>
      </c>
      <c r="B591" s="861"/>
      <c r="C591" s="837"/>
      <c r="D591" s="2523" t="n">
        <f aca="false">VLOOKUP('Ввод данных'!C1322,связи1!A2:B3,2,0)</f>
        <v>1</v>
      </c>
      <c r="E591" s="2523"/>
      <c r="F591" s="2523"/>
      <c r="G591" s="2668"/>
      <c r="H591" s="2625"/>
      <c r="I591" s="2625"/>
      <c r="J591" s="2625"/>
      <c r="K591" s="2625"/>
      <c r="L591" s="1579"/>
      <c r="M591" s="1579"/>
      <c r="N591" s="1579"/>
      <c r="O591" s="1579"/>
      <c r="P591" s="1579"/>
      <c r="Q591" s="1579"/>
      <c r="R591" s="1579"/>
    </row>
    <row r="592" customFormat="false" ht="23.25" hidden="false" customHeight="false" outlineLevel="0" collapsed="false">
      <c r="A592" s="861" t="s">
        <v>1906</v>
      </c>
      <c r="B592" s="861" t="s">
        <v>820</v>
      </c>
      <c r="C592" s="837" t="n">
        <f aca="false">C615-C594-C598</f>
        <v>88.7321893085902</v>
      </c>
      <c r="D592" s="2669" t="n">
        <f aca="false">IF('Ввод данных'!A1323=связи1!H14,1,0)</f>
        <v>0</v>
      </c>
      <c r="E592" s="2523"/>
      <c r="F592" s="2523"/>
      <c r="G592" s="2668"/>
      <c r="H592" s="2625"/>
      <c r="I592" s="2625"/>
      <c r="J592" s="2625"/>
      <c r="K592" s="2625"/>
      <c r="L592" s="1579"/>
      <c r="M592" s="1579"/>
      <c r="N592" s="1579"/>
      <c r="O592" s="1579"/>
      <c r="P592" s="1579"/>
      <c r="Q592" s="1579"/>
      <c r="R592" s="1579"/>
    </row>
    <row r="593" customFormat="false" ht="23.25" hidden="false" customHeight="false" outlineLevel="0" collapsed="false">
      <c r="A593" s="861" t="s">
        <v>1907</v>
      </c>
      <c r="B593" s="861" t="s">
        <v>820</v>
      </c>
      <c r="C593" s="837" t="n">
        <f aca="false">C592</f>
        <v>88.7321893085902</v>
      </c>
      <c r="D593" s="2669" t="n">
        <f aca="false">IF('Ввод данных'!A1323=связи1!H15,1,0)</f>
        <v>0</v>
      </c>
      <c r="E593" s="2523"/>
      <c r="F593" s="2523"/>
      <c r="G593" s="2668"/>
      <c r="H593" s="2625"/>
      <c r="I593" s="2625"/>
      <c r="J593" s="2625"/>
      <c r="K593" s="2625"/>
      <c r="L593" s="1579"/>
      <c r="M593" s="1579"/>
      <c r="N593" s="1579"/>
      <c r="O593" s="1579"/>
      <c r="P593" s="1579"/>
      <c r="Q593" s="1579"/>
      <c r="R593" s="1579"/>
    </row>
    <row r="594" customFormat="false" ht="23.25" hidden="false" customHeight="false" outlineLevel="0" collapsed="false">
      <c r="A594" s="861" t="s">
        <v>1910</v>
      </c>
      <c r="B594" s="861" t="s">
        <v>820</v>
      </c>
      <c r="C594" s="2584" t="n">
        <f aca="false">'Ввод данных'!C1324</f>
        <v>0</v>
      </c>
      <c r="D594" s="2669" t="n">
        <v>1</v>
      </c>
      <c r="E594" s="2523"/>
      <c r="F594" s="2523"/>
      <c r="G594" s="2668"/>
      <c r="H594" s="2625"/>
      <c r="I594" s="2625"/>
      <c r="J594" s="2625"/>
      <c r="K594" s="2625"/>
      <c r="L594" s="1579"/>
      <c r="M594" s="1579"/>
      <c r="N594" s="1579"/>
      <c r="O594" s="1579"/>
      <c r="P594" s="1579"/>
      <c r="Q594" s="1579"/>
      <c r="R594" s="1579"/>
    </row>
    <row r="595" customFormat="false" ht="23.25" hidden="false" customHeight="false" outlineLevel="0" collapsed="false">
      <c r="A595" s="861" t="s">
        <v>851</v>
      </c>
      <c r="B595" s="861" t="s">
        <v>15</v>
      </c>
      <c r="C595" s="837" t="n">
        <f aca="false">C618+C619*2+C620*2</f>
        <v>136.6</v>
      </c>
      <c r="D595" s="2669" t="n">
        <f aca="false">VLOOKUP('Ввод данных'!C1325,связи1!A2:B3,2,0)</f>
        <v>0</v>
      </c>
      <c r="E595" s="2523"/>
      <c r="F595" s="2523"/>
      <c r="G595" s="2668"/>
      <c r="H595" s="2625"/>
      <c r="I595" s="2625"/>
      <c r="J595" s="2625"/>
      <c r="K595" s="2625"/>
      <c r="L595" s="1579"/>
      <c r="M595" s="1579"/>
      <c r="N595" s="1579"/>
      <c r="O595" s="1579"/>
      <c r="P595" s="1579"/>
      <c r="Q595" s="1579"/>
      <c r="R595" s="1579"/>
    </row>
    <row r="596" customFormat="false" ht="23.25" hidden="false" customHeight="false" outlineLevel="0" collapsed="false">
      <c r="A596" s="862" t="s">
        <v>852</v>
      </c>
      <c r="B596" s="861"/>
      <c r="C596" s="837"/>
      <c r="D596" s="2523" t="n">
        <f aca="false">VLOOKUP('Ввод данных'!C1326,связи1!A2:B3,2,0)</f>
        <v>0</v>
      </c>
      <c r="E596" s="2523"/>
      <c r="F596" s="2523"/>
      <c r="G596" s="2668"/>
      <c r="H596" s="2625"/>
      <c r="I596" s="2625"/>
      <c r="J596" s="2625"/>
      <c r="K596" s="2625"/>
      <c r="L596" s="1579"/>
      <c r="M596" s="1579"/>
      <c r="N596" s="1579"/>
      <c r="O596" s="1579"/>
      <c r="P596" s="1579"/>
      <c r="Q596" s="1579"/>
      <c r="R596" s="1579"/>
    </row>
    <row r="597" customFormat="false" ht="23.25" hidden="false" customHeight="false" outlineLevel="0" collapsed="false">
      <c r="A597" s="861" t="s">
        <v>853</v>
      </c>
      <c r="B597" s="861" t="s">
        <v>820</v>
      </c>
      <c r="C597" s="2584" t="n">
        <f aca="false">'Ввод данных'!C1327</f>
        <v>6</v>
      </c>
      <c r="D597" s="2523"/>
      <c r="E597" s="2523"/>
      <c r="F597" s="2523"/>
      <c r="G597" s="2668"/>
      <c r="H597" s="2625"/>
      <c r="I597" s="2625"/>
      <c r="J597" s="2625"/>
      <c r="K597" s="2625"/>
      <c r="L597" s="1579"/>
      <c r="M597" s="1579"/>
      <c r="N597" s="1579"/>
      <c r="O597" s="1579"/>
      <c r="P597" s="1579"/>
      <c r="Q597" s="1579"/>
      <c r="R597" s="1579"/>
    </row>
    <row r="598" customFormat="false" ht="23.25" hidden="false" customHeight="false" outlineLevel="0" collapsed="false">
      <c r="A598" s="861" t="s">
        <v>854</v>
      </c>
      <c r="B598" s="861" t="s">
        <v>820</v>
      </c>
      <c r="C598" s="2584" t="n">
        <f aca="false">'Ввод данных'!C1328</f>
        <v>6</v>
      </c>
      <c r="D598" s="2523"/>
      <c r="E598" s="2523"/>
      <c r="F598" s="2523"/>
      <c r="G598" s="2668"/>
      <c r="H598" s="2625"/>
      <c r="I598" s="2625"/>
      <c r="J598" s="2625"/>
      <c r="K598" s="2625"/>
      <c r="L598" s="1579"/>
      <c r="M598" s="1579"/>
      <c r="N598" s="1579"/>
      <c r="O598" s="1579"/>
      <c r="P598" s="1579"/>
      <c r="Q598" s="1579"/>
      <c r="R598" s="1579"/>
    </row>
    <row r="599" customFormat="false" ht="23.25" hidden="false" customHeight="false" outlineLevel="0" collapsed="false">
      <c r="A599" s="861" t="s">
        <v>855</v>
      </c>
      <c r="B599" s="861" t="s">
        <v>820</v>
      </c>
      <c r="C599" s="2584" t="n">
        <f aca="false">'Ввод данных'!C1329</f>
        <v>6</v>
      </c>
      <c r="D599" s="2523"/>
      <c r="E599" s="2523"/>
      <c r="F599" s="2523"/>
      <c r="G599" s="2668"/>
      <c r="H599" s="2625"/>
      <c r="I599" s="2625"/>
      <c r="J599" s="2625"/>
      <c r="K599" s="2625"/>
      <c r="L599" s="1579"/>
      <c r="M599" s="1579"/>
      <c r="N599" s="1579"/>
      <c r="O599" s="1579"/>
      <c r="P599" s="1579"/>
      <c r="Q599" s="1579"/>
      <c r="R599" s="1579"/>
    </row>
    <row r="600" customFormat="false" ht="23.25" hidden="false" customHeight="false" outlineLevel="0" collapsed="false">
      <c r="A600" s="861" t="s">
        <v>1914</v>
      </c>
      <c r="B600" s="861" t="s">
        <v>820</v>
      </c>
      <c r="C600" s="837" t="n">
        <f aca="false">C597</f>
        <v>6</v>
      </c>
      <c r="D600" s="2669" t="n">
        <f aca="false">IF('Ввод данных'!A1330=связи1!H35,1,0)</f>
        <v>1</v>
      </c>
      <c r="E600" s="2523"/>
      <c r="F600" s="2523"/>
      <c r="G600" s="2668"/>
      <c r="H600" s="2625"/>
      <c r="I600" s="2625"/>
      <c r="J600" s="2625"/>
      <c r="K600" s="2625"/>
      <c r="L600" s="1579"/>
      <c r="M600" s="1579"/>
      <c r="N600" s="1579"/>
      <c r="O600" s="1579"/>
      <c r="P600" s="1579"/>
      <c r="Q600" s="1579"/>
      <c r="R600" s="1579"/>
    </row>
    <row r="601" customFormat="false" ht="23.25" hidden="false" customHeight="false" outlineLevel="0" collapsed="false">
      <c r="A601" s="861" t="s">
        <v>1915</v>
      </c>
      <c r="B601" s="861" t="s">
        <v>820</v>
      </c>
      <c r="C601" s="837" t="n">
        <f aca="false">C599</f>
        <v>6</v>
      </c>
      <c r="D601" s="2669" t="n">
        <f aca="false">IF('Ввод данных'!A1331=связи1!H41,1,0)</f>
        <v>1</v>
      </c>
      <c r="E601" s="2523"/>
      <c r="F601" s="2523"/>
      <c r="G601" s="2668"/>
      <c r="H601" s="2625"/>
      <c r="I601" s="2625"/>
      <c r="J601" s="2625"/>
      <c r="K601" s="2625"/>
      <c r="L601" s="1579"/>
      <c r="M601" s="1579"/>
      <c r="N601" s="1579"/>
      <c r="O601" s="1579"/>
      <c r="P601" s="1579"/>
      <c r="Q601" s="1579"/>
      <c r="R601" s="1579"/>
    </row>
    <row r="602" customFormat="false" ht="23.25" hidden="false" customHeight="false" outlineLevel="0" collapsed="false">
      <c r="A602" s="861" t="s">
        <v>1916</v>
      </c>
      <c r="B602" s="861" t="s">
        <v>820</v>
      </c>
      <c r="C602" s="837" t="n">
        <f aca="false">C599</f>
        <v>6</v>
      </c>
      <c r="D602" s="2669" t="n">
        <f aca="false">IF('Ввод данных'!A1332=связи1!H47,1,0)</f>
        <v>1</v>
      </c>
      <c r="E602" s="2523"/>
      <c r="F602" s="2523"/>
      <c r="G602" s="2668"/>
      <c r="H602" s="2625"/>
      <c r="I602" s="2625"/>
      <c r="J602" s="2625"/>
      <c r="K602" s="2625"/>
      <c r="L602" s="1579"/>
      <c r="M602" s="1579"/>
      <c r="N602" s="1579"/>
      <c r="O602" s="1579"/>
      <c r="P602" s="1579"/>
      <c r="Q602" s="1579"/>
      <c r="R602" s="1579"/>
    </row>
    <row r="603" customFormat="false" ht="23.25" hidden="false" customHeight="false" outlineLevel="0" collapsed="false">
      <c r="A603" s="861" t="s">
        <v>4070</v>
      </c>
      <c r="B603" s="861" t="s">
        <v>820</v>
      </c>
      <c r="C603" s="837" t="n">
        <f aca="false">C597</f>
        <v>6</v>
      </c>
      <c r="D603" s="2669" t="n">
        <f aca="false">IF('Ввод данных'!A1330=связи1!H36,1,0)</f>
        <v>0</v>
      </c>
      <c r="E603" s="2523"/>
      <c r="F603" s="2523"/>
      <c r="G603" s="2668"/>
      <c r="H603" s="2625"/>
      <c r="I603" s="2625"/>
      <c r="J603" s="2625"/>
      <c r="K603" s="2625"/>
      <c r="L603" s="1579"/>
      <c r="M603" s="1579"/>
      <c r="N603" s="1579"/>
      <c r="O603" s="1579"/>
      <c r="P603" s="1579"/>
      <c r="Q603" s="1579"/>
      <c r="R603" s="1579"/>
    </row>
    <row r="604" customFormat="false" ht="23.25" hidden="false" customHeight="false" outlineLevel="0" collapsed="false">
      <c r="A604" s="861" t="s">
        <v>4071</v>
      </c>
      <c r="B604" s="861" t="s">
        <v>820</v>
      </c>
      <c r="C604" s="837" t="n">
        <f aca="false">C599</f>
        <v>6</v>
      </c>
      <c r="D604" s="2669" t="n">
        <f aca="false">IF('Ввод данных'!A1331=связи1!H42,1,0)</f>
        <v>0</v>
      </c>
      <c r="E604" s="2523"/>
      <c r="F604" s="2523"/>
      <c r="G604" s="2668"/>
      <c r="H604" s="2625"/>
      <c r="I604" s="2625"/>
      <c r="J604" s="2625"/>
      <c r="K604" s="2625"/>
      <c r="L604" s="1579"/>
      <c r="M604" s="1579"/>
      <c r="N604" s="1579"/>
      <c r="O604" s="1579"/>
      <c r="P604" s="1579"/>
      <c r="Q604" s="1579"/>
      <c r="R604" s="1579"/>
    </row>
    <row r="605" customFormat="false" ht="23.25" hidden="false" customHeight="false" outlineLevel="0" collapsed="false">
      <c r="A605" s="861" t="s">
        <v>1903</v>
      </c>
      <c r="B605" s="861" t="s">
        <v>820</v>
      </c>
      <c r="C605" s="837" t="n">
        <f aca="false">C599</f>
        <v>6</v>
      </c>
      <c r="D605" s="2669" t="n">
        <f aca="false">IF('Ввод данных'!A1331=связи1!H43,1,0)</f>
        <v>0</v>
      </c>
      <c r="E605" s="2523"/>
      <c r="F605" s="2523"/>
      <c r="G605" s="2668"/>
      <c r="H605" s="2625"/>
      <c r="I605" s="2625"/>
      <c r="J605" s="2625"/>
      <c r="K605" s="2625"/>
      <c r="L605" s="1579"/>
      <c r="M605" s="1579"/>
      <c r="N605" s="1579"/>
      <c r="O605" s="1579"/>
      <c r="P605" s="1579"/>
      <c r="Q605" s="1579"/>
      <c r="R605" s="1579"/>
    </row>
    <row r="606" customFormat="false" ht="23.25" hidden="false" customHeight="false" outlineLevel="0" collapsed="false">
      <c r="A606" s="862" t="s">
        <v>4072</v>
      </c>
      <c r="B606" s="861"/>
      <c r="C606" s="837"/>
      <c r="D606" s="862" t="n">
        <f aca="false">VLOOKUP('Ввод данных'!C1333,связи1!A2:B3,2,0)</f>
        <v>0</v>
      </c>
      <c r="E606" s="2523"/>
      <c r="F606" s="2523"/>
      <c r="G606" s="2668"/>
      <c r="H606" s="2625"/>
      <c r="I606" s="2625"/>
      <c r="J606" s="2625"/>
      <c r="K606" s="2625"/>
      <c r="L606" s="1579"/>
      <c r="M606" s="1579"/>
      <c r="N606" s="1579"/>
      <c r="O606" s="1579"/>
      <c r="P606" s="1579"/>
      <c r="Q606" s="1579"/>
      <c r="R606" s="1579"/>
    </row>
    <row r="607" customFormat="false" ht="23.25" hidden="false" customHeight="false" outlineLevel="0" collapsed="false">
      <c r="A607" s="861" t="s">
        <v>859</v>
      </c>
      <c r="B607" s="861" t="s">
        <v>48</v>
      </c>
      <c r="C607" s="837" t="n">
        <f aca="false">дома!D63+дома!D64+дома!D65+дома!D66</f>
        <v>3</v>
      </c>
      <c r="D607" s="1211" t="n">
        <f aca="false">VLOOKUP('Ввод данных'!C1334,связи1!A2:B3,2,0)</f>
        <v>1</v>
      </c>
      <c r="E607" s="2523"/>
      <c r="F607" s="2523"/>
      <c r="G607" s="2668"/>
      <c r="H607" s="2625"/>
      <c r="I607" s="2625"/>
      <c r="J607" s="2625"/>
      <c r="K607" s="2625"/>
      <c r="L607" s="1579"/>
      <c r="M607" s="1579"/>
      <c r="N607" s="1579"/>
      <c r="O607" s="1579"/>
      <c r="P607" s="1579"/>
      <c r="Q607" s="1579"/>
      <c r="R607" s="1579"/>
    </row>
    <row r="608" customFormat="false" ht="23.25" hidden="false" customHeight="false" outlineLevel="0" collapsed="false">
      <c r="A608" s="861" t="s">
        <v>860</v>
      </c>
      <c r="B608" s="861" t="s">
        <v>48</v>
      </c>
      <c r="C608" s="837" t="n">
        <f aca="false">C607</f>
        <v>3</v>
      </c>
      <c r="D608" s="2669" t="n">
        <f aca="false">VLOOKUP('Ввод данных'!C1335,связи1!A2:B3,2,0)</f>
        <v>1</v>
      </c>
      <c r="E608" s="2523"/>
      <c r="F608" s="2523"/>
      <c r="G608" s="2668"/>
      <c r="H608" s="2625"/>
      <c r="I608" s="2625"/>
      <c r="J608" s="2625"/>
      <c r="K608" s="2625"/>
      <c r="L608" s="1579"/>
      <c r="M608" s="1579"/>
      <c r="N608" s="1579"/>
      <c r="O608" s="1579"/>
      <c r="P608" s="1579"/>
      <c r="Q608" s="1579"/>
      <c r="R608" s="1579"/>
    </row>
    <row r="609" customFormat="false" ht="23.25" hidden="false" customHeight="false" outlineLevel="0" collapsed="false">
      <c r="A609" s="861" t="s">
        <v>861</v>
      </c>
      <c r="B609" s="861" t="s">
        <v>48</v>
      </c>
      <c r="C609" s="837" t="n">
        <f aca="false">C607</f>
        <v>3</v>
      </c>
      <c r="D609" s="2669" t="n">
        <f aca="false">VLOOKUP('Ввод данных'!C1336,связи1!A2:B3,2,0)</f>
        <v>1</v>
      </c>
      <c r="E609" s="2523"/>
      <c r="F609" s="2523"/>
      <c r="G609" s="2668"/>
      <c r="H609" s="2625"/>
      <c r="I609" s="2625"/>
      <c r="J609" s="2625"/>
      <c r="K609" s="2625"/>
      <c r="L609" s="1579"/>
      <c r="M609" s="1579"/>
      <c r="N609" s="1579"/>
      <c r="O609" s="1579"/>
      <c r="P609" s="1579"/>
      <c r="Q609" s="1579"/>
      <c r="R609" s="1579"/>
    </row>
    <row r="610" customFormat="false" ht="23.25" hidden="false" customHeight="false" outlineLevel="0" collapsed="false">
      <c r="A610" s="861" t="s">
        <v>862</v>
      </c>
      <c r="B610" s="861" t="s">
        <v>48</v>
      </c>
      <c r="C610" s="837" t="n">
        <f aca="false">C607</f>
        <v>3</v>
      </c>
      <c r="D610" s="2669" t="n">
        <f aca="false">VLOOKUP('Ввод данных'!C1337,связи1!A2:B3,2,0)</f>
        <v>1</v>
      </c>
      <c r="E610" s="2523"/>
      <c r="F610" s="2523"/>
      <c r="G610" s="2668"/>
      <c r="H610" s="2625"/>
      <c r="I610" s="2625"/>
      <c r="J610" s="2625"/>
      <c r="K610" s="2625"/>
      <c r="L610" s="1579"/>
      <c r="M610" s="1579"/>
      <c r="N610" s="1579"/>
      <c r="O610" s="1579"/>
      <c r="P610" s="1579"/>
      <c r="Q610" s="1579"/>
      <c r="R610" s="1579"/>
    </row>
    <row r="611" customFormat="false" ht="23.25" hidden="false" customHeight="false" outlineLevel="0" collapsed="false">
      <c r="A611" s="861" t="s">
        <v>863</v>
      </c>
      <c r="B611" s="861" t="s">
        <v>48</v>
      </c>
      <c r="C611" s="837" t="n">
        <f aca="false">C607</f>
        <v>3</v>
      </c>
      <c r="D611" s="2669" t="n">
        <f aca="false">VLOOKUP('Ввод данных'!C1338,связи1!A2:B3,2,0)</f>
        <v>1</v>
      </c>
      <c r="E611" s="2523"/>
      <c r="F611" s="2523"/>
      <c r="G611" s="2668"/>
      <c r="H611" s="2625"/>
      <c r="I611" s="2625"/>
      <c r="J611" s="2625"/>
      <c r="K611" s="2625"/>
      <c r="L611" s="1579"/>
      <c r="M611" s="1579"/>
      <c r="N611" s="1579"/>
      <c r="O611" s="1579"/>
      <c r="P611" s="1579"/>
      <c r="Q611" s="1579"/>
      <c r="R611" s="1579"/>
    </row>
    <row r="612" customFormat="false" ht="23.25" hidden="false" customHeight="false" outlineLevel="0" collapsed="false">
      <c r="A612" s="2670" t="s">
        <v>3774</v>
      </c>
      <c r="B612" s="2670"/>
      <c r="C612" s="2670"/>
      <c r="D612" s="2671"/>
      <c r="E612" s="2671"/>
      <c r="F612" s="2671"/>
      <c r="G612" s="2625"/>
      <c r="H612" s="2625"/>
      <c r="I612" s="2625"/>
      <c r="J612" s="2625"/>
      <c r="K612" s="2625"/>
      <c r="L612" s="1579"/>
      <c r="M612" s="1579"/>
      <c r="N612" s="1579"/>
      <c r="O612" s="1579"/>
      <c r="P612" s="1579"/>
      <c r="Q612" s="1579"/>
      <c r="R612" s="1579"/>
    </row>
    <row r="613" customFormat="false" ht="23.25" hidden="false" customHeight="false" outlineLevel="0" collapsed="false">
      <c r="A613" s="738" t="s">
        <v>3825</v>
      </c>
      <c r="B613" s="2587" t="s">
        <v>820</v>
      </c>
      <c r="C613" s="740" t="n">
        <f aca="false">дома!J105</f>
        <v>128</v>
      </c>
      <c r="D613" s="2625"/>
      <c r="E613" s="2625"/>
      <c r="F613" s="2625"/>
      <c r="G613" s="2625"/>
      <c r="H613" s="2625"/>
      <c r="I613" s="2625"/>
      <c r="J613" s="2625"/>
      <c r="K613" s="2625"/>
      <c r="L613" s="1579"/>
      <c r="M613" s="1579"/>
      <c r="N613" s="1579"/>
      <c r="O613" s="1579"/>
      <c r="P613" s="1579"/>
      <c r="Q613" s="1579"/>
      <c r="R613" s="1579"/>
    </row>
    <row r="614" customFormat="false" ht="23.25" hidden="false" customHeight="false" outlineLevel="0" collapsed="false">
      <c r="A614" s="738" t="s">
        <v>4073</v>
      </c>
      <c r="B614" s="2587"/>
      <c r="C614" s="740" t="n">
        <f aca="false">дома!J107</f>
        <v>94.7321893085902</v>
      </c>
      <c r="D614" s="2625"/>
      <c r="E614" s="2625"/>
      <c r="F614" s="2625"/>
      <c r="G614" s="2625"/>
      <c r="H614" s="2625"/>
      <c r="I614" s="2625"/>
      <c r="J614" s="2625"/>
      <c r="K614" s="2625"/>
      <c r="L614" s="1579"/>
      <c r="M614" s="1579"/>
      <c r="N614" s="1579"/>
      <c r="O614" s="1579"/>
      <c r="P614" s="1579"/>
      <c r="Q614" s="1579"/>
      <c r="R614" s="1579"/>
    </row>
    <row r="615" customFormat="false" ht="23.25" hidden="false" customHeight="false" outlineLevel="0" collapsed="false">
      <c r="A615" s="738" t="s">
        <v>4074</v>
      </c>
      <c r="B615" s="2587"/>
      <c r="C615" s="740" t="n">
        <f aca="false">дома!J106</f>
        <v>94.7321893085902</v>
      </c>
      <c r="D615" s="2625"/>
      <c r="E615" s="2625"/>
      <c r="F615" s="2625"/>
      <c r="G615" s="2625"/>
      <c r="H615" s="2625"/>
      <c r="I615" s="2625"/>
      <c r="J615" s="2625"/>
      <c r="K615" s="2625"/>
      <c r="L615" s="1579"/>
      <c r="M615" s="1579"/>
      <c r="N615" s="1579"/>
      <c r="O615" s="1579"/>
      <c r="P615" s="1579"/>
      <c r="Q615" s="1579"/>
      <c r="R615" s="1579"/>
    </row>
    <row r="616" customFormat="false" ht="23.25" hidden="false" customHeight="false" outlineLevel="0" collapsed="false">
      <c r="A616" s="738" t="s">
        <v>3776</v>
      </c>
      <c r="B616" s="2587" t="s">
        <v>820</v>
      </c>
      <c r="C616" s="740" t="n">
        <f aca="false">C613-E621</f>
        <v>112.955</v>
      </c>
      <c r="D616" s="862"/>
      <c r="E616" s="2625"/>
      <c r="F616" s="2625"/>
      <c r="G616" s="2625"/>
      <c r="H616" s="2625"/>
      <c r="I616" s="2625"/>
      <c r="J616" s="2625"/>
      <c r="K616" s="2625"/>
      <c r="L616" s="1579"/>
      <c r="M616" s="1579"/>
      <c r="N616" s="1579"/>
      <c r="O616" s="1579"/>
      <c r="P616" s="1579"/>
      <c r="Q616" s="1579"/>
      <c r="R616" s="1579"/>
    </row>
    <row r="617" customFormat="false" ht="23.25" hidden="false" customHeight="false" outlineLevel="0" collapsed="false">
      <c r="A617" s="738" t="s">
        <v>3827</v>
      </c>
      <c r="B617" s="2587" t="s">
        <v>15</v>
      </c>
      <c r="C617" s="740" t="n">
        <f aca="false">дома!C1366</f>
        <v>48</v>
      </c>
      <c r="D617" s="2625"/>
      <c r="E617" s="2625"/>
      <c r="F617" s="2625"/>
      <c r="G617" s="2625"/>
      <c r="H617" s="2625"/>
      <c r="I617" s="2625"/>
      <c r="J617" s="2625"/>
      <c r="K617" s="2625"/>
      <c r="L617" s="1579"/>
      <c r="M617" s="1579"/>
      <c r="N617" s="1579"/>
      <c r="O617" s="1579"/>
      <c r="P617" s="1579"/>
      <c r="Q617" s="1579"/>
      <c r="R617" s="1579"/>
    </row>
    <row r="618" customFormat="false" ht="23.25" hidden="false" customHeight="false" outlineLevel="0" collapsed="false">
      <c r="A618" s="738" t="s">
        <v>3859</v>
      </c>
      <c r="B618" s="2587" t="s">
        <v>15</v>
      </c>
      <c r="C618" s="740" t="n">
        <f aca="false">дома!C1367</f>
        <v>64</v>
      </c>
      <c r="D618" s="862" t="n">
        <v>0.15</v>
      </c>
      <c r="E618" s="862" t="n">
        <f aca="false">C618*D618</f>
        <v>9.6</v>
      </c>
      <c r="F618" s="2625"/>
      <c r="G618" s="2625"/>
      <c r="H618" s="2625"/>
      <c r="I618" s="2625"/>
      <c r="J618" s="2625"/>
      <c r="K618" s="2625"/>
      <c r="L618" s="1579"/>
      <c r="M618" s="1579"/>
      <c r="N618" s="1579"/>
      <c r="O618" s="1579"/>
      <c r="P618" s="1579"/>
      <c r="Q618" s="1579"/>
      <c r="R618" s="1579"/>
    </row>
    <row r="619" customFormat="false" ht="23.25" hidden="false" customHeight="false" outlineLevel="0" collapsed="false">
      <c r="A619" s="738" t="s">
        <v>3862</v>
      </c>
      <c r="B619" s="2587" t="s">
        <v>15</v>
      </c>
      <c r="C619" s="740" t="n">
        <f aca="false">дома!C1368</f>
        <v>28.5</v>
      </c>
      <c r="D619" s="862" t="n">
        <v>0.15</v>
      </c>
      <c r="E619" s="862" t="n">
        <f aca="false">C619*D619</f>
        <v>4.275</v>
      </c>
      <c r="F619" s="2625"/>
      <c r="G619" s="2625"/>
      <c r="H619" s="2625"/>
      <c r="I619" s="2625"/>
      <c r="J619" s="2625"/>
      <c r="K619" s="2625"/>
      <c r="L619" s="1579"/>
      <c r="M619" s="1579"/>
      <c r="N619" s="1579"/>
      <c r="O619" s="1579"/>
      <c r="P619" s="1579"/>
      <c r="Q619" s="1579"/>
      <c r="R619" s="1579"/>
    </row>
    <row r="620" customFormat="false" ht="23.25" hidden="false" customHeight="false" outlineLevel="0" collapsed="false">
      <c r="A620" s="738"/>
      <c r="B620" s="2587"/>
      <c r="C620" s="740" t="n">
        <f aca="false">дома!C1369</f>
        <v>7.8</v>
      </c>
      <c r="D620" s="862" t="n">
        <v>0.15</v>
      </c>
      <c r="E620" s="862" t="n">
        <f aca="false">C620*D620</f>
        <v>1.17</v>
      </c>
      <c r="F620" s="2625"/>
      <c r="G620" s="2625"/>
      <c r="H620" s="2625"/>
      <c r="I620" s="2625"/>
      <c r="J620" s="2625"/>
      <c r="K620" s="2625"/>
      <c r="L620" s="1579"/>
      <c r="M620" s="1579"/>
      <c r="N620" s="1579"/>
      <c r="O620" s="1579"/>
      <c r="P620" s="1579"/>
      <c r="Q620" s="1579"/>
      <c r="R620" s="1579"/>
    </row>
    <row r="621" customFormat="false" ht="23.25" hidden="false" customHeight="false" outlineLevel="0" collapsed="false">
      <c r="A621" s="738" t="s">
        <v>4075</v>
      </c>
      <c r="B621" s="2587"/>
      <c r="C621" s="740"/>
      <c r="D621" s="862"/>
      <c r="E621" s="862" t="n">
        <f aca="false">SUM(E618:E620)</f>
        <v>15.045</v>
      </c>
      <c r="F621" s="2625"/>
      <c r="G621" s="2625"/>
      <c r="H621" s="2625"/>
      <c r="I621" s="2625"/>
      <c r="J621" s="2625"/>
      <c r="K621" s="2625"/>
      <c r="L621" s="1579"/>
      <c r="M621" s="1579"/>
      <c r="N621" s="1579"/>
      <c r="O621" s="1579"/>
      <c r="P621" s="1579"/>
      <c r="Q621" s="1579"/>
      <c r="R621" s="1579"/>
    </row>
    <row r="622" customFormat="false" ht="23.25" hidden="false" customHeight="false" outlineLevel="0" collapsed="false">
      <c r="A622" s="738" t="s">
        <v>3781</v>
      </c>
      <c r="B622" s="2587" t="s">
        <v>820</v>
      </c>
      <c r="C622" s="740" t="n">
        <f aca="false">дома!O110</f>
        <v>84.83</v>
      </c>
      <c r="D622" s="862" t="n">
        <f aca="false">((((C340+C340+D340+D340)+(C342*E342+C343*E343+C344*E344+C345*E345+C346*E346+C347*E347+C348*E348+C349*E349+C350*E350+C351*E351+C352*E352+C353*E353+C354*E354+C355*E355+C356*E356+C357*E357)*2)+((C340+C340+D340+D340)+(J342*K342+J343*K343+J344*K344+J345*K345+J346*K346+J347*K347+J348*K348+J349*K349+J350*K350+J351*K351+J352*K352+J353*K353+J354*K354+J355*K355+J356*K356+J357*K357)*2)*(B340-1)+(пристройка!D2*(пристройка!C85+пристройка!C85*пристройка!C5+пристройка!C34+пристройка!C34*пристройка!C5)+дома!D1229*(дома!C1275+дома!C1275*дома!C1233)))/0.6)*D569</f>
        <v>0</v>
      </c>
      <c r="E622" s="862"/>
      <c r="F622" s="2625"/>
      <c r="G622" s="2625"/>
      <c r="H622" s="2625"/>
      <c r="I622" s="2625"/>
      <c r="J622" s="2625"/>
      <c r="K622" s="2625"/>
      <c r="L622" s="1579"/>
      <c r="M622" s="1579"/>
      <c r="N622" s="1579"/>
      <c r="O622" s="1579"/>
      <c r="P622" s="1579"/>
      <c r="Q622" s="1579"/>
      <c r="R622" s="1579"/>
    </row>
    <row r="623" customFormat="false" ht="23.25" hidden="false" customHeight="false" outlineLevel="0" collapsed="false">
      <c r="A623" s="738" t="s">
        <v>3834</v>
      </c>
      <c r="B623" s="2587" t="s">
        <v>820</v>
      </c>
      <c r="C623" s="740" t="n">
        <f aca="false">C622</f>
        <v>84.83</v>
      </c>
      <c r="D623" s="2625"/>
      <c r="E623" s="2625"/>
      <c r="F623" s="2625"/>
      <c r="G623" s="2625"/>
      <c r="H623" s="2625"/>
      <c r="I623" s="2625"/>
      <c r="J623" s="2625"/>
      <c r="K623" s="2625"/>
      <c r="L623" s="1579"/>
      <c r="M623" s="1579"/>
      <c r="N623" s="1579"/>
      <c r="O623" s="1579"/>
      <c r="P623" s="1579"/>
      <c r="Q623" s="1579"/>
      <c r="R623" s="1579"/>
    </row>
    <row r="624" customFormat="false" ht="23.25" hidden="false" customHeight="false" outlineLevel="0" collapsed="false">
      <c r="A624" s="738" t="s">
        <v>4076</v>
      </c>
      <c r="B624" s="2587"/>
      <c r="C624" s="740" t="n">
        <f aca="false">C622</f>
        <v>84.83</v>
      </c>
      <c r="D624" s="2625"/>
      <c r="E624" s="2625"/>
      <c r="F624" s="2625"/>
      <c r="G624" s="2625"/>
      <c r="H624" s="2625"/>
      <c r="I624" s="2625"/>
      <c r="J624" s="2625"/>
      <c r="K624" s="2625"/>
      <c r="L624" s="1579"/>
      <c r="M624" s="1579"/>
      <c r="N624" s="1579"/>
      <c r="O624" s="1579"/>
      <c r="P624" s="1579"/>
      <c r="Q624" s="1579"/>
      <c r="R624" s="1579"/>
    </row>
    <row r="625" customFormat="false" ht="15.75" hidden="false" customHeight="false" outlineLevel="0" collapsed="false">
      <c r="A625" s="738" t="s">
        <v>3909</v>
      </c>
      <c r="B625" s="2587" t="s">
        <v>820</v>
      </c>
      <c r="C625" s="740" t="n">
        <f aca="false">дома!D1093+дома!E1093</f>
        <v>92.215</v>
      </c>
      <c r="D625" s="2630"/>
      <c r="E625" s="1580"/>
      <c r="F625" s="2630"/>
      <c r="G625" s="2630"/>
      <c r="H625" s="1580"/>
      <c r="I625" s="1580"/>
      <c r="J625" s="1580"/>
      <c r="K625" s="1580"/>
      <c r="L625" s="1580"/>
      <c r="M625" s="1580"/>
      <c r="N625" s="1580"/>
      <c r="O625" s="1580"/>
      <c r="P625" s="1580"/>
      <c r="Q625" s="1580"/>
      <c r="R625" s="1580"/>
    </row>
    <row r="626" customFormat="false" ht="15.75" hidden="false" customHeight="false" outlineLevel="0" collapsed="false">
      <c r="A626" s="738" t="s">
        <v>3786</v>
      </c>
      <c r="B626" s="2587" t="s">
        <v>820</v>
      </c>
      <c r="C626" s="740" t="n">
        <f aca="false">C625</f>
        <v>92.215</v>
      </c>
      <c r="D626" s="2630"/>
      <c r="E626" s="1580"/>
      <c r="F626" s="2630"/>
      <c r="G626" s="2630"/>
      <c r="H626" s="1580"/>
      <c r="I626" s="1580"/>
      <c r="J626" s="1580"/>
      <c r="K626" s="1580"/>
      <c r="L626" s="1580"/>
      <c r="M626" s="1580"/>
      <c r="N626" s="1580"/>
      <c r="O626" s="1580"/>
      <c r="P626" s="1580"/>
      <c r="Q626" s="1580"/>
      <c r="R626" s="1580"/>
    </row>
    <row r="627" customFormat="false" ht="15.75" hidden="false" customHeight="false" outlineLevel="0" collapsed="false">
      <c r="A627" s="2613" t="s">
        <v>3793</v>
      </c>
      <c r="B627" s="2587" t="s">
        <v>820</v>
      </c>
      <c r="C627" s="740" t="n">
        <f aca="false">дома!C1382</f>
        <v>0</v>
      </c>
      <c r="D627" s="2630"/>
      <c r="E627" s="1580"/>
      <c r="F627" s="2630"/>
      <c r="G627" s="2630"/>
      <c r="H627" s="1580"/>
      <c r="I627" s="1580"/>
      <c r="J627" s="1580"/>
      <c r="K627" s="1580"/>
      <c r="L627" s="1580"/>
      <c r="M627" s="1580"/>
      <c r="N627" s="1580"/>
      <c r="O627" s="1580"/>
      <c r="P627" s="1580"/>
      <c r="Q627" s="1580"/>
      <c r="R627" s="1580"/>
    </row>
    <row r="628" customFormat="false" ht="15.75" hidden="false" customHeight="false" outlineLevel="0" collapsed="false">
      <c r="A628" s="2641" t="s">
        <v>2246</v>
      </c>
      <c r="B628" s="2641" t="s">
        <v>1738</v>
      </c>
      <c r="C628" s="2641" t="s">
        <v>118</v>
      </c>
      <c r="D628" s="2641" t="s">
        <v>2190</v>
      </c>
      <c r="E628" s="2641" t="s">
        <v>2916</v>
      </c>
      <c r="F628" s="1579"/>
      <c r="G628" s="2670" t="s">
        <v>2007</v>
      </c>
      <c r="H628" s="2670"/>
      <c r="I628" s="2641" t="s">
        <v>292</v>
      </c>
      <c r="J628" s="2641" t="s">
        <v>118</v>
      </c>
      <c r="K628" s="2641" t="s">
        <v>2915</v>
      </c>
      <c r="L628" s="2641" t="s">
        <v>2661</v>
      </c>
      <c r="M628" s="1580"/>
      <c r="N628" s="1580"/>
      <c r="O628" s="1580"/>
      <c r="P628" s="1580"/>
      <c r="Q628" s="1580"/>
      <c r="R628" s="1580"/>
    </row>
    <row r="629" customFormat="false" ht="15.75" hidden="false" customHeight="false" outlineLevel="0" collapsed="false">
      <c r="A629" s="739" t="s">
        <v>1878</v>
      </c>
      <c r="B629" s="837"/>
      <c r="C629" s="837"/>
      <c r="D629" s="837"/>
      <c r="E629" s="837" t="n">
        <f aca="false">C629*D629</f>
        <v>0</v>
      </c>
      <c r="F629" s="1579"/>
      <c r="G629" s="739" t="s">
        <v>837</v>
      </c>
      <c r="H629" s="739"/>
      <c r="I629" s="837"/>
      <c r="J629" s="837"/>
      <c r="K629" s="837"/>
      <c r="L629" s="837" t="n">
        <f aca="false">J629*K629</f>
        <v>0</v>
      </c>
      <c r="M629" s="1579"/>
      <c r="N629" s="1579"/>
      <c r="O629" s="1579"/>
      <c r="P629" s="1579"/>
      <c r="Q629" s="1579"/>
      <c r="R629" s="1579"/>
    </row>
    <row r="630" customFormat="false" ht="15.75" hidden="false" customHeight="false" outlineLevel="0" collapsed="false">
      <c r="A630" s="837" t="s">
        <v>1879</v>
      </c>
      <c r="B630" s="837" t="s">
        <v>820</v>
      </c>
      <c r="C630" s="837" t="n">
        <f aca="false">C569*G566*D569*1.1*D568</f>
        <v>0</v>
      </c>
      <c r="D630" s="837" t="n">
        <f aca="false">'Прайс лист'!G1222</f>
        <v>90</v>
      </c>
      <c r="E630" s="837" t="n">
        <f aca="false">C630*D630</f>
        <v>0</v>
      </c>
      <c r="F630" s="1579"/>
      <c r="G630" s="738" t="s">
        <v>2168</v>
      </c>
      <c r="H630" s="738"/>
      <c r="I630" s="837" t="s">
        <v>820</v>
      </c>
      <c r="J630" s="837" t="n">
        <f aca="false">C630*0.95*H566*D568</f>
        <v>0</v>
      </c>
      <c r="K630" s="837" t="n">
        <f aca="false">'Прайс лист'!G1617</f>
        <v>100</v>
      </c>
      <c r="L630" s="837" t="n">
        <f aca="false">J630*K630</f>
        <v>0</v>
      </c>
      <c r="M630" s="1579"/>
      <c r="N630" s="1579"/>
      <c r="O630" s="1579"/>
      <c r="P630" s="1579"/>
      <c r="Q630" s="1579"/>
      <c r="R630" s="1579"/>
    </row>
    <row r="631" customFormat="false" ht="15.75" hidden="false" customHeight="false" outlineLevel="0" collapsed="false">
      <c r="A631" s="837" t="s">
        <v>1880</v>
      </c>
      <c r="B631" s="837" t="s">
        <v>48</v>
      </c>
      <c r="C631" s="837" t="n">
        <f aca="false">1/0.6*C569/3*D570*1.1*G566*D568</f>
        <v>0</v>
      </c>
      <c r="D631" s="837" t="n">
        <f aca="false">'Прайс лист'!G1223</f>
        <v>100</v>
      </c>
      <c r="E631" s="837" t="n">
        <f aca="false">C631*D631</f>
        <v>0</v>
      </c>
      <c r="F631" s="1579"/>
      <c r="G631" s="738" t="s">
        <v>2145</v>
      </c>
      <c r="H631" s="738"/>
      <c r="I631" s="837" t="s">
        <v>820</v>
      </c>
      <c r="J631" s="837" t="n">
        <f aca="false">C570*D570*H566*D568</f>
        <v>0</v>
      </c>
      <c r="K631" s="837" t="n">
        <f aca="false">'Прайс лист'!G1618</f>
        <v>90</v>
      </c>
      <c r="L631" s="837" t="n">
        <f aca="false">J631*K631</f>
        <v>0</v>
      </c>
      <c r="M631" s="1579"/>
      <c r="N631" s="1579"/>
      <c r="O631" s="1579"/>
      <c r="P631" s="1579"/>
      <c r="Q631" s="1579"/>
      <c r="R631" s="1579"/>
    </row>
    <row r="632" customFormat="false" ht="15.75" hidden="false" customHeight="false" outlineLevel="0" collapsed="false">
      <c r="A632" s="837" t="s">
        <v>1881</v>
      </c>
      <c r="B632" s="837" t="s">
        <v>48</v>
      </c>
      <c r="C632" s="837" t="n">
        <f aca="false">C595*2/3*1.1*G566*D568*D570</f>
        <v>0</v>
      </c>
      <c r="D632" s="837" t="n">
        <f aca="false">'Прайс лист'!G1224</f>
        <v>100</v>
      </c>
      <c r="E632" s="837" t="n">
        <f aca="false">C632*D632</f>
        <v>0</v>
      </c>
      <c r="F632" s="1579"/>
      <c r="G632" s="738" t="s">
        <v>2169</v>
      </c>
      <c r="H632" s="738"/>
      <c r="I632" s="837" t="s">
        <v>820</v>
      </c>
      <c r="J632" s="837" t="n">
        <f aca="false">C571*D571*H566*D569</f>
        <v>0</v>
      </c>
      <c r="K632" s="837" t="n">
        <f aca="false">'Прайс лист'!G1619</f>
        <v>50</v>
      </c>
      <c r="L632" s="837" t="n">
        <f aca="false">J632*K632</f>
        <v>0</v>
      </c>
      <c r="M632" s="1579"/>
      <c r="N632" s="1579"/>
      <c r="O632" s="1579"/>
      <c r="P632" s="1579"/>
      <c r="Q632" s="1579"/>
      <c r="R632" s="1579"/>
    </row>
    <row r="633" customFormat="false" ht="15.75" hidden="false" customHeight="false" outlineLevel="0" collapsed="false">
      <c r="A633" s="837" t="s">
        <v>1882</v>
      </c>
      <c r="B633" s="837" t="s">
        <v>48</v>
      </c>
      <c r="C633" s="837" t="n">
        <f aca="false">C630*G566*D570*0.8*D568</f>
        <v>0</v>
      </c>
      <c r="D633" s="837" t="n">
        <f aca="false">'Прайс лист'!G1225</f>
        <v>9</v>
      </c>
      <c r="E633" s="837" t="n">
        <f aca="false">C633*D633</f>
        <v>0</v>
      </c>
      <c r="F633" s="1579"/>
      <c r="G633" s="738" t="s">
        <v>2170</v>
      </c>
      <c r="H633" s="738"/>
      <c r="I633" s="837" t="s">
        <v>820</v>
      </c>
      <c r="J633" s="837" t="n">
        <f aca="false">J632*H566*D568</f>
        <v>0</v>
      </c>
      <c r="K633" s="837" t="n">
        <f aca="false">'Прайс лист'!G1620</f>
        <v>100</v>
      </c>
      <c r="L633" s="837" t="n">
        <f aca="false">J633*K633</f>
        <v>0</v>
      </c>
      <c r="M633" s="1579"/>
      <c r="N633" s="1579"/>
      <c r="O633" s="1579"/>
      <c r="P633" s="1579"/>
      <c r="Q633" s="1579"/>
      <c r="R633" s="1579"/>
    </row>
    <row r="634" customFormat="false" ht="15.75" hidden="false" customHeight="false" outlineLevel="0" collapsed="false">
      <c r="A634" s="837" t="s">
        <v>1883</v>
      </c>
      <c r="B634" s="837" t="s">
        <v>48</v>
      </c>
      <c r="C634" s="837" t="n">
        <f aca="false">C633*4*D570*G566*D568</f>
        <v>0</v>
      </c>
      <c r="D634" s="837" t="n">
        <f aca="false">'Прайс лист'!G1226</f>
        <v>0.025</v>
      </c>
      <c r="E634" s="837" t="n">
        <f aca="false">C634*D634</f>
        <v>0</v>
      </c>
      <c r="F634" s="1579"/>
      <c r="G634" s="738" t="s">
        <v>2171</v>
      </c>
      <c r="H634" s="738"/>
      <c r="I634" s="837" t="s">
        <v>820</v>
      </c>
      <c r="J634" s="837" t="n">
        <f aca="false">C572*D572*H566*D568</f>
        <v>0</v>
      </c>
      <c r="K634" s="837" t="n">
        <f aca="false">'Прайс лист'!G1621</f>
        <v>120</v>
      </c>
      <c r="L634" s="837" t="n">
        <f aca="false">J634*K634</f>
        <v>0</v>
      </c>
      <c r="M634" s="1579"/>
      <c r="N634" s="1579"/>
      <c r="O634" s="1579"/>
      <c r="P634" s="1579"/>
      <c r="Q634" s="1579"/>
      <c r="R634" s="1579"/>
    </row>
    <row r="635" customFormat="false" ht="15.75" hidden="false" customHeight="false" outlineLevel="0" collapsed="false">
      <c r="A635" s="837" t="s">
        <v>1884</v>
      </c>
      <c r="B635" s="837" t="s">
        <v>48</v>
      </c>
      <c r="C635" s="837" t="n">
        <f aca="false">C569*10*D569*G566*D568</f>
        <v>0</v>
      </c>
      <c r="D635" s="837" t="n">
        <f aca="false">'Прайс лист'!G1227</f>
        <v>0.025</v>
      </c>
      <c r="E635" s="837" t="n">
        <f aca="false">C635*D635</f>
        <v>0</v>
      </c>
      <c r="F635" s="1579"/>
      <c r="G635" s="738" t="s">
        <v>2172</v>
      </c>
      <c r="H635" s="738"/>
      <c r="I635" s="837" t="s">
        <v>820</v>
      </c>
      <c r="J635" s="837" t="n">
        <f aca="false">C573*D573*H566*D568</f>
        <v>0</v>
      </c>
      <c r="K635" s="837" t="n">
        <f aca="false">'Прайс лист'!G1622</f>
        <v>100</v>
      </c>
      <c r="L635" s="837" t="n">
        <f aca="false">J635*K635</f>
        <v>0</v>
      </c>
      <c r="M635" s="1579"/>
      <c r="N635" s="1579"/>
      <c r="O635" s="1579"/>
      <c r="P635" s="1579"/>
      <c r="Q635" s="1579"/>
      <c r="R635" s="1579"/>
    </row>
    <row r="636" customFormat="false" ht="15.75" hidden="false" customHeight="false" outlineLevel="0" collapsed="false">
      <c r="A636" s="837" t="s">
        <v>1885</v>
      </c>
      <c r="B636" s="837" t="s">
        <v>48</v>
      </c>
      <c r="C636" s="837" t="n">
        <f aca="false">(C571*D571)/50*G566*D568</f>
        <v>0</v>
      </c>
      <c r="D636" s="837" t="n">
        <f aca="false">'Прайс лист'!G1228</f>
        <v>500</v>
      </c>
      <c r="E636" s="837" t="n">
        <f aca="false">C636*D636</f>
        <v>0</v>
      </c>
      <c r="F636" s="1579"/>
      <c r="G636" s="2672" t="s">
        <v>843</v>
      </c>
      <c r="H636" s="2673"/>
      <c r="I636" s="837" t="s">
        <v>820</v>
      </c>
      <c r="J636" s="837" t="n">
        <f aca="false">C574*D574*H566*D568</f>
        <v>263.26</v>
      </c>
      <c r="K636" s="837" t="n">
        <f aca="false">'Прайс лист'!G1623</f>
        <v>400</v>
      </c>
      <c r="L636" s="837" t="n">
        <f aca="false">J636*K636</f>
        <v>105304</v>
      </c>
      <c r="M636" s="1579"/>
      <c r="N636" s="1579"/>
      <c r="O636" s="1579"/>
      <c r="P636" s="1579"/>
      <c r="Q636" s="1579"/>
      <c r="R636" s="1579"/>
    </row>
    <row r="637" customFormat="false" ht="15.75" hidden="false" customHeight="false" outlineLevel="0" collapsed="false">
      <c r="A637" s="837" t="s">
        <v>1886</v>
      </c>
      <c r="B637" s="837" t="s">
        <v>48</v>
      </c>
      <c r="C637" s="837" t="n">
        <f aca="false">(C571*D571)/100*G566*D568</f>
        <v>0</v>
      </c>
      <c r="D637" s="837" t="n">
        <f aca="false">'Прайс лист'!G1229</f>
        <v>500</v>
      </c>
      <c r="E637" s="837" t="n">
        <f aca="false">C637*D637</f>
        <v>0</v>
      </c>
      <c r="F637" s="1579"/>
      <c r="G637" s="2672" t="s">
        <v>1891</v>
      </c>
      <c r="H637" s="2673"/>
      <c r="I637" s="837" t="s">
        <v>820</v>
      </c>
      <c r="J637" s="837" t="n">
        <f aca="false">C575*D575*H566*D568</f>
        <v>0</v>
      </c>
      <c r="K637" s="837" t="n">
        <f aca="false">'Прайс лист'!G1624</f>
        <v>400</v>
      </c>
      <c r="L637" s="837" t="n">
        <f aca="false">J637*K637</f>
        <v>0</v>
      </c>
      <c r="M637" s="1579"/>
      <c r="N637" s="1579"/>
      <c r="O637" s="1579"/>
      <c r="P637" s="1579"/>
      <c r="Q637" s="1579"/>
      <c r="R637" s="1579"/>
    </row>
    <row r="638" customFormat="false" ht="15.75" hidden="false" customHeight="false" outlineLevel="0" collapsed="false">
      <c r="A638" s="837" t="s">
        <v>1887</v>
      </c>
      <c r="B638" s="837" t="s">
        <v>48</v>
      </c>
      <c r="C638" s="837" t="n">
        <f aca="false">(C571*D571)/50*G566*D568</f>
        <v>0</v>
      </c>
      <c r="D638" s="837" t="n">
        <f aca="false">'Прайс лист'!G1230</f>
        <v>400</v>
      </c>
      <c r="E638" s="837" t="n">
        <f aca="false">C638*D638</f>
        <v>0</v>
      </c>
      <c r="F638" s="1579"/>
      <c r="G638" s="2672" t="s">
        <v>847</v>
      </c>
      <c r="H638" s="2673"/>
      <c r="I638" s="837" t="s">
        <v>820</v>
      </c>
      <c r="J638" s="837" t="n">
        <f aca="false">C576*D576*H566*D568</f>
        <v>0</v>
      </c>
      <c r="K638" s="837" t="n">
        <f aca="false">'Прайс лист'!G1625</f>
        <v>400</v>
      </c>
      <c r="L638" s="837" t="n">
        <f aca="false">J638*K638</f>
        <v>0</v>
      </c>
      <c r="M638" s="1579"/>
      <c r="N638" s="1579"/>
      <c r="O638" s="1579"/>
      <c r="P638" s="1579"/>
      <c r="Q638" s="1579"/>
      <c r="R638" s="1579"/>
    </row>
    <row r="639" customFormat="false" ht="15.75" hidden="false" customHeight="false" outlineLevel="0" collapsed="false">
      <c r="A639" s="837" t="s">
        <v>1888</v>
      </c>
      <c r="B639" s="837" t="s">
        <v>48</v>
      </c>
      <c r="C639" s="837" t="n">
        <f aca="false">C571*2/50*G566*D571*D568</f>
        <v>0</v>
      </c>
      <c r="D639" s="837" t="n">
        <f aca="false">'Прайс лист'!G1231</f>
        <v>100</v>
      </c>
      <c r="E639" s="837" t="n">
        <f aca="false">C639*D639</f>
        <v>0</v>
      </c>
      <c r="F639" s="1579"/>
      <c r="G639" s="861" t="s">
        <v>1892</v>
      </c>
      <c r="H639" s="861"/>
      <c r="I639" s="837" t="s">
        <v>820</v>
      </c>
      <c r="J639" s="837" t="n">
        <f aca="false">C577*D577*H566*D568</f>
        <v>0</v>
      </c>
      <c r="K639" s="837" t="n">
        <f aca="false">'Прайс лист'!G1626</f>
        <v>100</v>
      </c>
      <c r="L639" s="837" t="n">
        <f aca="false">J639*K639</f>
        <v>0</v>
      </c>
      <c r="M639" s="1579"/>
      <c r="N639" s="1579"/>
      <c r="O639" s="1579"/>
      <c r="P639" s="1579"/>
      <c r="Q639" s="1579"/>
      <c r="R639" s="1579"/>
    </row>
    <row r="640" customFormat="false" ht="15.75" hidden="false" customHeight="false" outlineLevel="0" collapsed="false">
      <c r="A640" s="837" t="s">
        <v>841</v>
      </c>
      <c r="B640" s="890" t="s">
        <v>820</v>
      </c>
      <c r="C640" s="837" t="n">
        <f aca="false">C572*D572*G566*D568</f>
        <v>0</v>
      </c>
      <c r="D640" s="837" t="n">
        <f aca="false">'Прайс лист'!G1232</f>
        <v>30</v>
      </c>
      <c r="E640" s="837" t="n">
        <f aca="false">C640*D640</f>
        <v>0</v>
      </c>
      <c r="F640" s="1579"/>
      <c r="G640" s="739" t="s">
        <v>844</v>
      </c>
      <c r="H640" s="739"/>
      <c r="I640" s="837"/>
      <c r="J640" s="837"/>
      <c r="K640" s="837" t="n">
        <f aca="false">'Прайс лист'!G1627</f>
        <v>0</v>
      </c>
      <c r="L640" s="837" t="n">
        <f aca="false">J640*K640</f>
        <v>0</v>
      </c>
      <c r="M640" s="1580"/>
      <c r="N640" s="1580"/>
      <c r="O640" s="1580"/>
      <c r="P640" s="1580"/>
      <c r="Q640" s="1580"/>
      <c r="R640" s="1580"/>
    </row>
    <row r="641" customFormat="false" ht="15.75" hidden="false" customHeight="false" outlineLevel="0" collapsed="false">
      <c r="A641" s="837" t="s">
        <v>1889</v>
      </c>
      <c r="B641" s="890" t="s">
        <v>48</v>
      </c>
      <c r="C641" s="837" t="n">
        <f aca="false">C640/40*G566*D568</f>
        <v>0</v>
      </c>
      <c r="D641" s="837" t="n">
        <f aca="false">'Прайс лист'!G1233</f>
        <v>120</v>
      </c>
      <c r="E641" s="837" t="n">
        <f aca="false">C641*D641</f>
        <v>0</v>
      </c>
      <c r="F641" s="1579"/>
      <c r="G641" s="2632" t="s">
        <v>2173</v>
      </c>
      <c r="H641" s="2633"/>
      <c r="I641" s="837" t="s">
        <v>820</v>
      </c>
      <c r="J641" s="837" t="n">
        <f aca="false">C580*D580*H566*D579</f>
        <v>0</v>
      </c>
      <c r="K641" s="837" t="n">
        <f aca="false">'Прайс лист'!G1628</f>
        <v>150</v>
      </c>
      <c r="L641" s="837" t="n">
        <f aca="false">J641*K641</f>
        <v>0</v>
      </c>
      <c r="M641" s="1580"/>
      <c r="N641" s="1580"/>
      <c r="O641" s="1580"/>
      <c r="P641" s="1580"/>
      <c r="Q641" s="1580"/>
      <c r="R641" s="1580"/>
    </row>
    <row r="642" customFormat="false" ht="15.75" hidden="false" customHeight="false" outlineLevel="0" collapsed="false">
      <c r="A642" s="837" t="s">
        <v>1890</v>
      </c>
      <c r="B642" s="890" t="s">
        <v>48</v>
      </c>
      <c r="C642" s="837" t="n">
        <f aca="false">C573*D573/50*G566*D568</f>
        <v>0</v>
      </c>
      <c r="D642" s="837" t="n">
        <f aca="false">'Прайс лист'!G1234</f>
        <v>900</v>
      </c>
      <c r="E642" s="837" t="n">
        <f aca="false">C642*D642</f>
        <v>0</v>
      </c>
      <c r="F642" s="1579"/>
      <c r="G642" s="2632" t="s">
        <v>2145</v>
      </c>
      <c r="H642" s="2633"/>
      <c r="I642" s="837" t="s">
        <v>820</v>
      </c>
      <c r="J642" s="837" t="n">
        <f aca="false">C581*D581*H566*D579</f>
        <v>0</v>
      </c>
      <c r="K642" s="837" t="n">
        <f aca="false">'Прайс лист'!G1629</f>
        <v>120</v>
      </c>
      <c r="L642" s="837" t="n">
        <f aca="false">J642*K642</f>
        <v>0</v>
      </c>
      <c r="M642" s="1580"/>
      <c r="N642" s="1580"/>
      <c r="O642" s="1580"/>
      <c r="P642" s="1580"/>
      <c r="Q642" s="1580"/>
      <c r="R642" s="1580"/>
    </row>
    <row r="643" customFormat="false" ht="15.75" hidden="false" customHeight="false" outlineLevel="0" collapsed="false">
      <c r="A643" s="861" t="s">
        <v>843</v>
      </c>
      <c r="B643" s="890" t="s">
        <v>820</v>
      </c>
      <c r="C643" s="837" t="n">
        <f aca="false">C574*D574*G566*D568</f>
        <v>263.26</v>
      </c>
      <c r="D643" s="837" t="n">
        <f aca="false">'Прайс лист'!G1235</f>
        <v>350</v>
      </c>
      <c r="E643" s="837" t="n">
        <f aca="false">C643*D643</f>
        <v>92141</v>
      </c>
      <c r="F643" s="1579"/>
      <c r="G643" s="2632" t="s">
        <v>2174</v>
      </c>
      <c r="H643" s="2633"/>
      <c r="I643" s="837" t="s">
        <v>820</v>
      </c>
      <c r="J643" s="837" t="n">
        <f aca="false">C582*D582*H566*D579</f>
        <v>0</v>
      </c>
      <c r="K643" s="837" t="n">
        <f aca="false">'Прайс лист'!G1630</f>
        <v>80</v>
      </c>
      <c r="L643" s="837" t="n">
        <f aca="false">J643*K643</f>
        <v>0</v>
      </c>
      <c r="M643" s="1580"/>
      <c r="N643" s="1580"/>
      <c r="O643" s="1580"/>
      <c r="P643" s="1580"/>
      <c r="Q643" s="1580"/>
      <c r="R643" s="1580"/>
    </row>
    <row r="644" customFormat="false" ht="15.75" hidden="false" customHeight="false" outlineLevel="0" collapsed="false">
      <c r="A644" s="861" t="s">
        <v>1891</v>
      </c>
      <c r="B644" s="890" t="s">
        <v>820</v>
      </c>
      <c r="C644" s="837" t="n">
        <f aca="false">C575*D575*G566*D568</f>
        <v>0</v>
      </c>
      <c r="D644" s="837" t="n">
        <f aca="false">'Прайс лист'!G1236</f>
        <v>500</v>
      </c>
      <c r="E644" s="837" t="n">
        <f aca="false">C644*D644</f>
        <v>0</v>
      </c>
      <c r="F644" s="1579"/>
      <c r="G644" s="2632" t="s">
        <v>2175</v>
      </c>
      <c r="H644" s="2633"/>
      <c r="I644" s="837" t="s">
        <v>820</v>
      </c>
      <c r="J644" s="837" t="n">
        <f aca="false">J643*H566*D579</f>
        <v>0</v>
      </c>
      <c r="K644" s="837" t="n">
        <f aca="false">'Прайс лист'!G1631</f>
        <v>100</v>
      </c>
      <c r="L644" s="837" t="n">
        <f aca="false">J644*K644</f>
        <v>0</v>
      </c>
      <c r="M644" s="1580"/>
      <c r="N644" s="1580"/>
      <c r="O644" s="1580"/>
      <c r="P644" s="1580"/>
      <c r="Q644" s="1580"/>
      <c r="R644" s="1580"/>
    </row>
    <row r="645" customFormat="false" ht="15.75" hidden="false" customHeight="false" outlineLevel="0" collapsed="false">
      <c r="A645" s="861" t="s">
        <v>847</v>
      </c>
      <c r="B645" s="890" t="s">
        <v>820</v>
      </c>
      <c r="C645" s="837" t="n">
        <f aca="false">C576*D576*G566*D568</f>
        <v>0</v>
      </c>
      <c r="D645" s="837" t="n">
        <f aca="false">'Прайс лист'!G1237</f>
        <v>250</v>
      </c>
      <c r="E645" s="837" t="n">
        <f aca="false">C645*D645</f>
        <v>0</v>
      </c>
      <c r="F645" s="1579"/>
      <c r="G645" s="2632" t="s">
        <v>2176</v>
      </c>
      <c r="H645" s="2633"/>
      <c r="I645" s="837" t="s">
        <v>820</v>
      </c>
      <c r="J645" s="837" t="n">
        <f aca="false">C583*D583*H566*D579</f>
        <v>0</v>
      </c>
      <c r="K645" s="837" t="n">
        <f aca="false">'Прайс лист'!G1632</f>
        <v>150</v>
      </c>
      <c r="L645" s="837" t="n">
        <f aca="false">J645*K645</f>
        <v>0</v>
      </c>
      <c r="M645" s="1580"/>
      <c r="N645" s="1580"/>
      <c r="O645" s="1580"/>
      <c r="P645" s="1580"/>
      <c r="Q645" s="1580"/>
      <c r="R645" s="1580"/>
    </row>
    <row r="646" customFormat="false" ht="15.75" hidden="false" customHeight="false" outlineLevel="0" collapsed="false">
      <c r="A646" s="861" t="s">
        <v>1892</v>
      </c>
      <c r="B646" s="890" t="s">
        <v>15</v>
      </c>
      <c r="C646" s="837" t="n">
        <f aca="false">C577*G566*D577*D568</f>
        <v>0</v>
      </c>
      <c r="D646" s="837" t="n">
        <f aca="false">'Прайс лист'!G1238</f>
        <v>6</v>
      </c>
      <c r="E646" s="837" t="n">
        <f aca="false">C646*D646</f>
        <v>0</v>
      </c>
      <c r="F646" s="1579"/>
      <c r="G646" s="2632" t="s">
        <v>1903</v>
      </c>
      <c r="H646" s="2633"/>
      <c r="I646" s="837" t="s">
        <v>820</v>
      </c>
      <c r="J646" s="837" t="n">
        <f aca="false">C585*D585*H566*D579</f>
        <v>0</v>
      </c>
      <c r="K646" s="837" t="n">
        <f aca="false">'Прайс лист'!G1633</f>
        <v>300</v>
      </c>
      <c r="L646" s="837" t="n">
        <f aca="false">J646*K646</f>
        <v>0</v>
      </c>
      <c r="M646" s="1580"/>
      <c r="N646" s="1580"/>
      <c r="O646" s="1580"/>
      <c r="P646" s="1580"/>
      <c r="Q646" s="1580"/>
      <c r="R646" s="1580"/>
    </row>
    <row r="647" customFormat="false" ht="15.75" hidden="false" customHeight="false" outlineLevel="0" collapsed="false">
      <c r="A647" s="861" t="s">
        <v>1893</v>
      </c>
      <c r="B647" s="890" t="s">
        <v>48</v>
      </c>
      <c r="C647" s="837" t="n">
        <f aca="false">C578*D578*G566*D568</f>
        <v>0</v>
      </c>
      <c r="D647" s="837" t="n">
        <f aca="false">'Прайс лист'!G1239</f>
        <v>8</v>
      </c>
      <c r="E647" s="837" t="n">
        <f aca="false">C647*D647</f>
        <v>0</v>
      </c>
      <c r="F647" s="1579"/>
      <c r="G647" s="738" t="s">
        <v>2177</v>
      </c>
      <c r="H647" s="738"/>
      <c r="I647" s="837" t="s">
        <v>15</v>
      </c>
      <c r="J647" s="837" t="n">
        <f aca="false">C584*D584*H566*D579</f>
        <v>0</v>
      </c>
      <c r="K647" s="837" t="n">
        <f aca="false">'Прайс лист'!G1634</f>
        <v>50</v>
      </c>
      <c r="L647" s="837" t="n">
        <f aca="false">J647*K647</f>
        <v>0</v>
      </c>
      <c r="M647" s="1580"/>
      <c r="N647" s="1580"/>
      <c r="O647" s="1580"/>
      <c r="P647" s="1580"/>
      <c r="Q647" s="1580"/>
      <c r="R647" s="1580"/>
    </row>
    <row r="648" customFormat="false" ht="15.75" hidden="false" customHeight="false" outlineLevel="0" collapsed="false">
      <c r="A648" s="861" t="s">
        <v>1894</v>
      </c>
      <c r="B648" s="890" t="s">
        <v>48</v>
      </c>
      <c r="C648" s="837" t="n">
        <f aca="false">C646*2*G566*D568</f>
        <v>0</v>
      </c>
      <c r="D648" s="837" t="n">
        <f aca="false">'Прайс лист'!G1240</f>
        <v>0.02</v>
      </c>
      <c r="E648" s="837" t="n">
        <f aca="false">C648*D648</f>
        <v>0</v>
      </c>
      <c r="F648" s="1579"/>
      <c r="G648" s="738" t="s">
        <v>2178</v>
      </c>
      <c r="H648" s="738"/>
      <c r="I648" s="837" t="s">
        <v>15</v>
      </c>
      <c r="J648" s="837" t="n">
        <f aca="false">J647*H566*D579</f>
        <v>0</v>
      </c>
      <c r="K648" s="837" t="n">
        <f aca="false">'Прайс лист'!G1635</f>
        <v>50</v>
      </c>
      <c r="L648" s="837" t="n">
        <f aca="false">J648*K648</f>
        <v>0</v>
      </c>
      <c r="M648" s="1580"/>
      <c r="N648" s="1580"/>
      <c r="O648" s="1580"/>
      <c r="P648" s="1580"/>
      <c r="Q648" s="1580"/>
      <c r="R648" s="1580"/>
    </row>
    <row r="649" customFormat="false" ht="15.75" hidden="false" customHeight="false" outlineLevel="0" collapsed="false">
      <c r="A649" s="837" t="s">
        <v>1895</v>
      </c>
      <c r="B649" s="890" t="s">
        <v>48</v>
      </c>
      <c r="C649" s="837" t="n">
        <f aca="false">(C643+C644+C645)*20*G566*D568</f>
        <v>5265.2</v>
      </c>
      <c r="D649" s="837" t="n">
        <f aca="false">'Прайс лист'!G1241</f>
        <v>0.02</v>
      </c>
      <c r="E649" s="837" t="n">
        <f aca="false">C649*D649</f>
        <v>105.304</v>
      </c>
      <c r="F649" s="1579"/>
      <c r="G649" s="738" t="s">
        <v>2179</v>
      </c>
      <c r="H649" s="738"/>
      <c r="I649" s="837" t="s">
        <v>15</v>
      </c>
      <c r="J649" s="837" t="n">
        <f aca="false">J647*H566*D579</f>
        <v>0</v>
      </c>
      <c r="K649" s="837" t="n">
        <f aca="false">'Прайс лист'!G1636</f>
        <v>50</v>
      </c>
      <c r="L649" s="837" t="n">
        <f aca="false">J649*K649</f>
        <v>0</v>
      </c>
      <c r="M649" s="1580"/>
      <c r="N649" s="1580"/>
      <c r="O649" s="1580"/>
      <c r="P649" s="1580"/>
      <c r="Q649" s="1580"/>
      <c r="R649" s="1580"/>
    </row>
    <row r="650" customFormat="false" ht="15.75" hidden="false" customHeight="false" outlineLevel="0" collapsed="false">
      <c r="A650" s="739" t="s">
        <v>1896</v>
      </c>
      <c r="B650" s="890"/>
      <c r="C650" s="837"/>
      <c r="D650" s="837" t="n">
        <f aca="false">'Прайс лист'!G1242</f>
        <v>0</v>
      </c>
      <c r="E650" s="837" t="n">
        <f aca="false">C650*D650</f>
        <v>0</v>
      </c>
      <c r="F650" s="1579"/>
      <c r="G650" s="2672" t="s">
        <v>843</v>
      </c>
      <c r="H650" s="2673"/>
      <c r="I650" s="837" t="s">
        <v>820</v>
      </c>
      <c r="J650" s="2587" t="n">
        <f aca="false">C586*D586*H566*D579</f>
        <v>0</v>
      </c>
      <c r="K650" s="837" t="n">
        <f aca="false">'Прайс лист'!G1637</f>
        <v>400</v>
      </c>
      <c r="L650" s="837" t="n">
        <f aca="false">J650*K650</f>
        <v>0</v>
      </c>
      <c r="M650" s="1580"/>
      <c r="N650" s="1580"/>
      <c r="O650" s="1580"/>
      <c r="P650" s="1580"/>
      <c r="Q650" s="1580"/>
      <c r="R650" s="1580"/>
    </row>
    <row r="651" customFormat="false" ht="15.75" hidden="false" customHeight="false" outlineLevel="0" collapsed="false">
      <c r="A651" s="837" t="s">
        <v>1897</v>
      </c>
      <c r="B651" s="837" t="s">
        <v>820</v>
      </c>
      <c r="C651" s="837" t="n">
        <f aca="false">C580*D580*G566*1.1*D579</f>
        <v>0</v>
      </c>
      <c r="D651" s="837" t="n">
        <f aca="false">'Прайс лист'!G1243</f>
        <v>80</v>
      </c>
      <c r="E651" s="837" t="n">
        <f aca="false">C651*D651</f>
        <v>0</v>
      </c>
      <c r="F651" s="1579"/>
      <c r="G651" s="2672" t="s">
        <v>1891</v>
      </c>
      <c r="H651" s="2673"/>
      <c r="I651" s="837" t="s">
        <v>820</v>
      </c>
      <c r="J651" s="2587" t="n">
        <f aca="false">C587*D587*H566*D579</f>
        <v>0</v>
      </c>
      <c r="K651" s="837" t="n">
        <f aca="false">'Прайс лист'!G1638</f>
        <v>400</v>
      </c>
      <c r="L651" s="837" t="n">
        <f aca="false">J651*K651</f>
        <v>0</v>
      </c>
      <c r="M651" s="1580"/>
      <c r="N651" s="1580"/>
      <c r="O651" s="1580"/>
      <c r="P651" s="1580"/>
      <c r="Q651" s="1580"/>
      <c r="R651" s="1580"/>
    </row>
    <row r="652" customFormat="false" ht="15.75" hidden="false" customHeight="false" outlineLevel="0" collapsed="false">
      <c r="A652" s="837" t="s">
        <v>1880</v>
      </c>
      <c r="B652" s="837" t="s">
        <v>48</v>
      </c>
      <c r="C652" s="837" t="n">
        <f aca="false">1/0.6*C581*G566*D581/3*1.1*D579</f>
        <v>0</v>
      </c>
      <c r="D652" s="837" t="n">
        <f aca="false">'Прайс лист'!G1244</f>
        <v>100</v>
      </c>
      <c r="E652" s="837" t="n">
        <f aca="false">C652*D652</f>
        <v>0</v>
      </c>
      <c r="F652" s="1579"/>
      <c r="G652" s="2672" t="s">
        <v>847</v>
      </c>
      <c r="H652" s="2673"/>
      <c r="I652" s="837" t="s">
        <v>820</v>
      </c>
      <c r="J652" s="2587" t="n">
        <f aca="false">C588*D588*H566*D579</f>
        <v>88.7321893085902</v>
      </c>
      <c r="K652" s="837" t="n">
        <f aca="false">'Прайс лист'!G1639</f>
        <v>400</v>
      </c>
      <c r="L652" s="837" t="n">
        <f aca="false">J652*K652</f>
        <v>35492.8757234361</v>
      </c>
      <c r="M652" s="1580"/>
      <c r="N652" s="1580"/>
      <c r="O652" s="1580"/>
      <c r="P652" s="1580"/>
      <c r="Q652" s="1580"/>
      <c r="R652" s="1580"/>
    </row>
    <row r="653" customFormat="false" ht="15.75" hidden="false" customHeight="false" outlineLevel="0" collapsed="false">
      <c r="A653" s="837" t="s">
        <v>1881</v>
      </c>
      <c r="B653" s="837" t="s">
        <v>48</v>
      </c>
      <c r="C653" s="837" t="n">
        <f aca="false">C584/3*D581*1.1*G566*D579</f>
        <v>0</v>
      </c>
      <c r="D653" s="837" t="n">
        <f aca="false">'Прайс лист'!G1245</f>
        <v>100</v>
      </c>
      <c r="E653" s="837" t="n">
        <f aca="false">C653*D653</f>
        <v>0</v>
      </c>
      <c r="F653" s="1579"/>
      <c r="G653" s="861" t="s">
        <v>1892</v>
      </c>
      <c r="H653" s="861"/>
      <c r="I653" s="837" t="s">
        <v>820</v>
      </c>
      <c r="J653" s="2587" t="n">
        <f aca="false">C589*D589*H566*D579</f>
        <v>0</v>
      </c>
      <c r="K653" s="837" t="n">
        <f aca="false">'Прайс лист'!G1640</f>
        <v>100</v>
      </c>
      <c r="L653" s="837" t="n">
        <f aca="false">J653*K653</f>
        <v>0</v>
      </c>
      <c r="M653" s="1580"/>
      <c r="N653" s="1580"/>
      <c r="O653" s="1580"/>
      <c r="P653" s="1580"/>
      <c r="Q653" s="1580"/>
      <c r="R653" s="1580"/>
    </row>
    <row r="654" customFormat="false" ht="15.75" hidden="false" customHeight="false" outlineLevel="0" collapsed="false">
      <c r="A654" s="837" t="s">
        <v>1882</v>
      </c>
      <c r="B654" s="837" t="s">
        <v>48</v>
      </c>
      <c r="C654" s="837" t="n">
        <f aca="false">C652*3*G566*D579</f>
        <v>0</v>
      </c>
      <c r="D654" s="837" t="n">
        <f aca="false">'Прайс лист'!G1246</f>
        <v>9</v>
      </c>
      <c r="E654" s="837" t="n">
        <f aca="false">C654*D654</f>
        <v>0</v>
      </c>
      <c r="F654" s="1579"/>
      <c r="G654" s="739" t="s">
        <v>848</v>
      </c>
      <c r="H654" s="739"/>
      <c r="I654" s="837"/>
      <c r="J654" s="837"/>
      <c r="K654" s="837" t="n">
        <f aca="false">'Прайс лист'!G1641</f>
        <v>0</v>
      </c>
      <c r="L654" s="837" t="n">
        <f aca="false">J654*K654</f>
        <v>0</v>
      </c>
      <c r="M654" s="1580"/>
      <c r="N654" s="1580"/>
      <c r="O654" s="1580"/>
      <c r="P654" s="1580"/>
      <c r="Q654" s="1580"/>
      <c r="R654" s="1580"/>
    </row>
    <row r="655" customFormat="false" ht="15.75" hidden="false" customHeight="false" outlineLevel="0" collapsed="false">
      <c r="A655" s="837" t="s">
        <v>1883</v>
      </c>
      <c r="B655" s="837" t="s">
        <v>48</v>
      </c>
      <c r="C655" s="837" t="n">
        <f aca="false">C651*5*G566*D579</f>
        <v>0</v>
      </c>
      <c r="D655" s="837" t="n">
        <f aca="false">'Прайс лист'!G1247</f>
        <v>0.025</v>
      </c>
      <c r="E655" s="837" t="n">
        <f aca="false">C655*D655</f>
        <v>0</v>
      </c>
      <c r="F655" s="1579"/>
      <c r="G655" s="738" t="s">
        <v>2180</v>
      </c>
      <c r="H655" s="738"/>
      <c r="I655" s="837" t="s">
        <v>820</v>
      </c>
      <c r="J655" s="837" t="n">
        <f aca="false">C592*(D592+D593)*H566*D591</f>
        <v>0</v>
      </c>
      <c r="K655" s="837" t="n">
        <f aca="false">'Прайс лист'!G1642</f>
        <v>30</v>
      </c>
      <c r="L655" s="837" t="n">
        <f aca="false">J655*K655</f>
        <v>0</v>
      </c>
      <c r="M655" s="1580"/>
      <c r="N655" s="1580"/>
      <c r="O655" s="1580"/>
      <c r="P655" s="1580"/>
      <c r="Q655" s="1580"/>
      <c r="R655" s="1580"/>
    </row>
    <row r="656" customFormat="false" ht="15.75" hidden="false" customHeight="false" outlineLevel="0" collapsed="false">
      <c r="A656" s="837" t="s">
        <v>1884</v>
      </c>
      <c r="B656" s="837" t="s">
        <v>48</v>
      </c>
      <c r="C656" s="837" t="n">
        <f aca="false">C651*20*G566*D579</f>
        <v>0</v>
      </c>
      <c r="D656" s="837" t="n">
        <f aca="false">'Прайс лист'!G1248</f>
        <v>0.025</v>
      </c>
      <c r="E656" s="837" t="n">
        <f aca="false">C656*D656</f>
        <v>0</v>
      </c>
      <c r="F656" s="1579"/>
      <c r="G656" s="738" t="s">
        <v>1906</v>
      </c>
      <c r="H656" s="738"/>
      <c r="I656" s="837" t="s">
        <v>820</v>
      </c>
      <c r="J656" s="837" t="n">
        <f aca="false">C592*D592*H566*D591</f>
        <v>0</v>
      </c>
      <c r="K656" s="837" t="n">
        <f aca="false">'Прайс лист'!G1643</f>
        <v>150</v>
      </c>
      <c r="L656" s="837" t="n">
        <f aca="false">J656*K656</f>
        <v>0</v>
      </c>
      <c r="M656" s="1580"/>
      <c r="N656" s="1580"/>
      <c r="O656" s="1580"/>
      <c r="P656" s="1580"/>
      <c r="Q656" s="1580"/>
      <c r="R656" s="1580"/>
    </row>
    <row r="657" customFormat="false" ht="15.75" hidden="false" customHeight="false" outlineLevel="0" collapsed="false">
      <c r="A657" s="837" t="s">
        <v>1885</v>
      </c>
      <c r="B657" s="837" t="s">
        <v>48</v>
      </c>
      <c r="C657" s="837" t="n">
        <f aca="false">C582*D582/10*G566*D579</f>
        <v>0</v>
      </c>
      <c r="D657" s="837" t="n">
        <f aca="false">'Прайс лист'!G1249</f>
        <v>500</v>
      </c>
      <c r="E657" s="837" t="n">
        <f aca="false">C657*D657</f>
        <v>0</v>
      </c>
      <c r="F657" s="1579"/>
      <c r="G657" s="738" t="s">
        <v>1907</v>
      </c>
      <c r="H657" s="738"/>
      <c r="I657" s="837" t="s">
        <v>820</v>
      </c>
      <c r="J657" s="837" t="n">
        <f aca="false">C593*D593*H566*D591</f>
        <v>0</v>
      </c>
      <c r="K657" s="837" t="n">
        <f aca="false">'Прайс лист'!G1644</f>
        <v>150</v>
      </c>
      <c r="L657" s="837" t="n">
        <f aca="false">J657*K657</f>
        <v>0</v>
      </c>
      <c r="M657" s="1580"/>
      <c r="N657" s="1580"/>
      <c r="O657" s="1580"/>
      <c r="P657" s="1580"/>
      <c r="Q657" s="1580"/>
      <c r="R657" s="1580"/>
    </row>
    <row r="658" customFormat="false" ht="15.75" hidden="false" customHeight="false" outlineLevel="0" collapsed="false">
      <c r="A658" s="837" t="s">
        <v>1886</v>
      </c>
      <c r="B658" s="837" t="s">
        <v>48</v>
      </c>
      <c r="C658" s="837" t="n">
        <f aca="false">C582*D582/100*G566*D579</f>
        <v>0</v>
      </c>
      <c r="D658" s="837" t="n">
        <f aca="false">'Прайс лист'!G1250</f>
        <v>500</v>
      </c>
      <c r="E658" s="837" t="n">
        <f aca="false">C658*D658</f>
        <v>0</v>
      </c>
      <c r="F658" s="1579"/>
      <c r="G658" s="738" t="s">
        <v>1909</v>
      </c>
      <c r="H658" s="738"/>
      <c r="I658" s="837" t="s">
        <v>15</v>
      </c>
      <c r="J658" s="837" t="n">
        <f aca="false">C595*D595*H566*D591</f>
        <v>0</v>
      </c>
      <c r="K658" s="837" t="n">
        <f aca="false">'Прайс лист'!G1645</f>
        <v>150</v>
      </c>
      <c r="L658" s="837" t="n">
        <f aca="false">J658*K658</f>
        <v>0</v>
      </c>
      <c r="M658" s="1580"/>
      <c r="N658" s="1580"/>
      <c r="O658" s="1580"/>
      <c r="P658" s="1580"/>
      <c r="Q658" s="1580"/>
      <c r="R658" s="1580"/>
    </row>
    <row r="659" customFormat="false" ht="15.75" hidden="false" customHeight="false" outlineLevel="0" collapsed="false">
      <c r="A659" s="837" t="s">
        <v>1887</v>
      </c>
      <c r="B659" s="837" t="s">
        <v>48</v>
      </c>
      <c r="C659" s="837" t="n">
        <f aca="false">C582*D582/50*G566*D579</f>
        <v>0</v>
      </c>
      <c r="D659" s="837" t="n">
        <f aca="false">'Прайс лист'!G1251</f>
        <v>400</v>
      </c>
      <c r="E659" s="837" t="n">
        <f aca="false">C659*D659</f>
        <v>0</v>
      </c>
      <c r="F659" s="1579"/>
      <c r="G659" s="738" t="s">
        <v>1910</v>
      </c>
      <c r="H659" s="738"/>
      <c r="I659" s="837" t="s">
        <v>820</v>
      </c>
      <c r="J659" s="837" t="n">
        <f aca="false">C594*D594*H566*D591</f>
        <v>0</v>
      </c>
      <c r="K659" s="837" t="n">
        <f aca="false">'Прайс лист'!G1646</f>
        <v>600</v>
      </c>
      <c r="L659" s="837" t="n">
        <f aca="false">J659*K659</f>
        <v>0</v>
      </c>
      <c r="M659" s="1580"/>
      <c r="N659" s="1580"/>
      <c r="O659" s="1580"/>
      <c r="P659" s="1580"/>
      <c r="Q659" s="1580"/>
      <c r="R659" s="1580"/>
    </row>
    <row r="660" customFormat="false" ht="15.75" hidden="false" customHeight="false" outlineLevel="0" collapsed="false">
      <c r="A660" s="837" t="s">
        <v>1888</v>
      </c>
      <c r="B660" s="837" t="s">
        <v>48</v>
      </c>
      <c r="C660" s="837" t="n">
        <f aca="false">C582*D582*2/50*G566*D579</f>
        <v>0</v>
      </c>
      <c r="D660" s="837" t="n">
        <f aca="false">'Прайс лист'!G1252</f>
        <v>100</v>
      </c>
      <c r="E660" s="837" t="n">
        <f aca="false">C660*D660</f>
        <v>0</v>
      </c>
      <c r="F660" s="1579"/>
      <c r="G660" s="739" t="s">
        <v>852</v>
      </c>
      <c r="H660" s="739"/>
      <c r="I660" s="1580"/>
      <c r="J660" s="837"/>
      <c r="K660" s="837" t="n">
        <f aca="false">'Прайс лист'!G1647</f>
        <v>0</v>
      </c>
      <c r="L660" s="837" t="n">
        <f aca="false">J660*K660</f>
        <v>0</v>
      </c>
      <c r="M660" s="1580"/>
      <c r="N660" s="1580"/>
      <c r="O660" s="1580"/>
      <c r="P660" s="1580"/>
      <c r="Q660" s="1580"/>
      <c r="R660" s="1580"/>
    </row>
    <row r="661" customFormat="false" ht="15.75" hidden="false" customHeight="false" outlineLevel="0" collapsed="false">
      <c r="A661" s="837" t="s">
        <v>1898</v>
      </c>
      <c r="B661" s="890" t="s">
        <v>48</v>
      </c>
      <c r="C661" s="837" t="n">
        <f aca="false">C583*D583/40*G566*D579</f>
        <v>0</v>
      </c>
      <c r="D661" s="837" t="n">
        <f aca="false">'Прайс лист'!G1253</f>
        <v>1200</v>
      </c>
      <c r="E661" s="837" t="n">
        <f aca="false">C661*D661</f>
        <v>0</v>
      </c>
      <c r="F661" s="1579"/>
      <c r="G661" s="2632" t="s">
        <v>1914</v>
      </c>
      <c r="H661" s="2633"/>
      <c r="I661" s="837" t="s">
        <v>820</v>
      </c>
      <c r="J661" s="837" t="n">
        <f aca="false">C600*D600*H566*D596</f>
        <v>0</v>
      </c>
      <c r="K661" s="837" t="n">
        <f aca="false">'Прайс лист'!G1648</f>
        <v>600</v>
      </c>
      <c r="L661" s="837" t="n">
        <f aca="false">J661*K661</f>
        <v>0</v>
      </c>
      <c r="M661" s="1580"/>
      <c r="N661" s="1580"/>
      <c r="O661" s="1580"/>
      <c r="P661" s="1580"/>
      <c r="Q661" s="1580"/>
      <c r="R661" s="1580"/>
    </row>
    <row r="662" customFormat="false" ht="15.75" hidden="false" customHeight="false" outlineLevel="0" collapsed="false">
      <c r="A662" s="837" t="s">
        <v>1899</v>
      </c>
      <c r="B662" s="890" t="s">
        <v>15</v>
      </c>
      <c r="C662" s="837" t="n">
        <f aca="false">C584*D584*G566*D579</f>
        <v>0</v>
      </c>
      <c r="D662" s="837" t="n">
        <f aca="false">'Прайс лист'!G1254</f>
        <v>10</v>
      </c>
      <c r="E662" s="837" t="n">
        <f aca="false">C662*D662</f>
        <v>0</v>
      </c>
      <c r="F662" s="1579"/>
      <c r="G662" s="2632" t="s">
        <v>1915</v>
      </c>
      <c r="H662" s="2633"/>
      <c r="I662" s="837" t="s">
        <v>820</v>
      </c>
      <c r="J662" s="837" t="n">
        <f aca="false">C601*D601*H566*D596</f>
        <v>0</v>
      </c>
      <c r="K662" s="837" t="n">
        <f aca="false">'Прайс лист'!G1649</f>
        <v>600</v>
      </c>
      <c r="L662" s="837" t="n">
        <f aca="false">J662*K662</f>
        <v>0</v>
      </c>
      <c r="M662" s="1580"/>
      <c r="N662" s="1580"/>
      <c r="O662" s="1580"/>
      <c r="P662" s="1580"/>
      <c r="Q662" s="1580"/>
      <c r="R662" s="1580"/>
    </row>
    <row r="663" customFormat="false" ht="15.75" hidden="false" customHeight="false" outlineLevel="0" collapsed="false">
      <c r="A663" s="837" t="s">
        <v>1900</v>
      </c>
      <c r="B663" s="890" t="s">
        <v>48</v>
      </c>
      <c r="C663" s="837" t="n">
        <f aca="false">C662/100*G566*D579</f>
        <v>0</v>
      </c>
      <c r="D663" s="837" t="n">
        <f aca="false">'Прайс лист'!G1255</f>
        <v>100</v>
      </c>
      <c r="E663" s="837" t="n">
        <f aca="false">C663*D663</f>
        <v>0</v>
      </c>
      <c r="F663" s="1579"/>
      <c r="G663" s="2632" t="s">
        <v>1916</v>
      </c>
      <c r="H663" s="2633"/>
      <c r="I663" s="837" t="s">
        <v>820</v>
      </c>
      <c r="J663" s="837" t="n">
        <f aca="false">C602*D602*H566*D596</f>
        <v>0</v>
      </c>
      <c r="K663" s="837" t="n">
        <f aca="false">'Прайс лист'!G1650</f>
        <v>600</v>
      </c>
      <c r="L663" s="837" t="n">
        <f aca="false">J663*K663</f>
        <v>0</v>
      </c>
      <c r="M663" s="1580"/>
      <c r="N663" s="1580"/>
      <c r="O663" s="1580"/>
      <c r="P663" s="1580"/>
      <c r="Q663" s="1580"/>
      <c r="R663" s="1580"/>
    </row>
    <row r="664" customFormat="false" ht="15.75" hidden="false" customHeight="false" outlineLevel="0" collapsed="false">
      <c r="A664" s="837" t="s">
        <v>1901</v>
      </c>
      <c r="B664" s="890" t="s">
        <v>48</v>
      </c>
      <c r="C664" s="837" t="n">
        <f aca="false">C662/100*G566*D579</f>
        <v>0</v>
      </c>
      <c r="D664" s="837" t="n">
        <f aca="false">'Прайс лист'!G1256</f>
        <v>190</v>
      </c>
      <c r="E664" s="837" t="n">
        <f aca="false">C664*D664</f>
        <v>0</v>
      </c>
      <c r="F664" s="1579"/>
      <c r="G664" s="2632" t="s">
        <v>2181</v>
      </c>
      <c r="H664" s="2633"/>
      <c r="I664" s="837" t="s">
        <v>820</v>
      </c>
      <c r="J664" s="837" t="n">
        <f aca="false">C603*D603*H566*D596</f>
        <v>0</v>
      </c>
      <c r="K664" s="837" t="n">
        <f aca="false">'Прайс лист'!G1651</f>
        <v>150</v>
      </c>
      <c r="L664" s="837" t="n">
        <f aca="false">J664*K664</f>
        <v>0</v>
      </c>
      <c r="M664" s="1580"/>
      <c r="N664" s="1580"/>
      <c r="O664" s="1580"/>
      <c r="P664" s="1580"/>
      <c r="Q664" s="1580"/>
      <c r="R664" s="1580"/>
    </row>
    <row r="665" customFormat="false" ht="15.75" hidden="false" customHeight="false" outlineLevel="0" collapsed="false">
      <c r="A665" s="837" t="s">
        <v>1902</v>
      </c>
      <c r="B665" s="890" t="s">
        <v>820</v>
      </c>
      <c r="C665" s="837" t="n">
        <f aca="false">(C571*D571+C582*D582)/30*G566*D579</f>
        <v>0</v>
      </c>
      <c r="D665" s="837" t="n">
        <f aca="false">'Прайс лист'!G1257</f>
        <v>120</v>
      </c>
      <c r="E665" s="837" t="n">
        <f aca="false">C665*D665</f>
        <v>0</v>
      </c>
      <c r="F665" s="1579"/>
      <c r="G665" s="2632" t="s">
        <v>2182</v>
      </c>
      <c r="H665" s="2633"/>
      <c r="I665" s="837" t="s">
        <v>820</v>
      </c>
      <c r="J665" s="837" t="n">
        <f aca="false">C604*D604*H566*D596</f>
        <v>0</v>
      </c>
      <c r="K665" s="837" t="n">
        <f aca="false">'Прайс лист'!G1652</f>
        <v>150</v>
      </c>
      <c r="L665" s="837" t="n">
        <f aca="false">J665*K665</f>
        <v>0</v>
      </c>
      <c r="M665" s="1580"/>
      <c r="N665" s="1580"/>
      <c r="O665" s="1580"/>
      <c r="P665" s="1580"/>
      <c r="Q665" s="1580"/>
      <c r="R665" s="1580"/>
    </row>
    <row r="666" customFormat="false" ht="15.75" hidden="false" customHeight="false" outlineLevel="0" collapsed="false">
      <c r="A666" s="837" t="s">
        <v>1903</v>
      </c>
      <c r="B666" s="890" t="s">
        <v>820</v>
      </c>
      <c r="C666" s="837" t="n">
        <f aca="false">C585*D585*G566*D579</f>
        <v>0</v>
      </c>
      <c r="D666" s="837" t="n">
        <f aca="false">'Прайс лист'!G1258</f>
        <v>400</v>
      </c>
      <c r="E666" s="837" t="n">
        <f aca="false">C666*D666</f>
        <v>0</v>
      </c>
      <c r="F666" s="1579"/>
      <c r="G666" s="2632" t="s">
        <v>1903</v>
      </c>
      <c r="H666" s="2633"/>
      <c r="I666" s="837" t="s">
        <v>820</v>
      </c>
      <c r="J666" s="837" t="n">
        <f aca="false">C605*D605*H566*D596</f>
        <v>0</v>
      </c>
      <c r="K666" s="837" t="n">
        <f aca="false">'Прайс лист'!G1653</f>
        <v>300</v>
      </c>
      <c r="L666" s="837" t="n">
        <f aca="false">J666*K666</f>
        <v>0</v>
      </c>
      <c r="M666" s="1580"/>
      <c r="N666" s="1580"/>
      <c r="O666" s="1580"/>
      <c r="P666" s="1580"/>
      <c r="Q666" s="1580"/>
      <c r="R666" s="1580"/>
    </row>
    <row r="667" customFormat="false" ht="15.75" hidden="false" customHeight="false" outlineLevel="0" collapsed="false">
      <c r="A667" s="861" t="s">
        <v>843</v>
      </c>
      <c r="B667" s="890" t="s">
        <v>820</v>
      </c>
      <c r="C667" s="837" t="n">
        <f aca="false">C586*D586*G566*D579</f>
        <v>0</v>
      </c>
      <c r="D667" s="837" t="n">
        <f aca="false">'Прайс лист'!G1259</f>
        <v>350</v>
      </c>
      <c r="E667" s="837" t="n">
        <f aca="false">C667*D667</f>
        <v>0</v>
      </c>
      <c r="F667" s="1579"/>
      <c r="G667" s="739" t="s">
        <v>2183</v>
      </c>
      <c r="H667" s="739"/>
      <c r="I667" s="837"/>
      <c r="J667" s="837"/>
      <c r="K667" s="837" t="n">
        <f aca="false">'Прайс лист'!G1654</f>
        <v>0</v>
      </c>
      <c r="L667" s="837" t="n">
        <f aca="false">J667*K667</f>
        <v>0</v>
      </c>
      <c r="M667" s="1580"/>
      <c r="N667" s="1580"/>
      <c r="O667" s="1580"/>
      <c r="P667" s="1580"/>
      <c r="Q667" s="1580"/>
      <c r="R667" s="1580"/>
    </row>
    <row r="668" customFormat="false" ht="15.75" hidden="false" customHeight="false" outlineLevel="0" collapsed="false">
      <c r="A668" s="861" t="s">
        <v>1891</v>
      </c>
      <c r="B668" s="890" t="s">
        <v>820</v>
      </c>
      <c r="C668" s="837" t="n">
        <f aca="false">C587*D587*G566*D579</f>
        <v>0</v>
      </c>
      <c r="D668" s="837" t="n">
        <f aca="false">'Прайс лист'!G1260</f>
        <v>500</v>
      </c>
      <c r="E668" s="837" t="n">
        <f aca="false">C668*D668</f>
        <v>0</v>
      </c>
      <c r="F668" s="1579"/>
      <c r="G668" s="2632" t="s">
        <v>2290</v>
      </c>
      <c r="H668" s="2633"/>
      <c r="I668" s="837" t="s">
        <v>48</v>
      </c>
      <c r="J668" s="837" t="n">
        <f aca="false">C607*D608*H566*D606</f>
        <v>0</v>
      </c>
      <c r="K668" s="837" t="n">
        <f aca="false">'Прайс лист'!G1655</f>
        <v>1200</v>
      </c>
      <c r="L668" s="837" t="n">
        <f aca="false">J668*K668</f>
        <v>0</v>
      </c>
      <c r="M668" s="1580"/>
      <c r="N668" s="1580"/>
      <c r="O668" s="1580"/>
      <c r="P668" s="1580"/>
      <c r="Q668" s="1580"/>
      <c r="R668" s="1580"/>
    </row>
    <row r="669" customFormat="false" ht="15.75" hidden="false" customHeight="false" outlineLevel="0" collapsed="false">
      <c r="A669" s="861" t="s">
        <v>847</v>
      </c>
      <c r="B669" s="890" t="s">
        <v>820</v>
      </c>
      <c r="C669" s="837" t="n">
        <f aca="false">C588*D588*G566*D579</f>
        <v>88.7321893085902</v>
      </c>
      <c r="D669" s="837" t="n">
        <f aca="false">'Прайс лист'!G1261</f>
        <v>250</v>
      </c>
      <c r="E669" s="837" t="n">
        <f aca="false">C669*D669</f>
        <v>22183.0473271476</v>
      </c>
      <c r="F669" s="1579"/>
      <c r="G669" s="2632" t="s">
        <v>2185</v>
      </c>
      <c r="H669" s="2635"/>
      <c r="I669" s="837" t="s">
        <v>48</v>
      </c>
      <c r="J669" s="837" t="n">
        <f aca="false">C609*D609*H566*D606</f>
        <v>0</v>
      </c>
      <c r="K669" s="837" t="n">
        <f aca="false">'Прайс лист'!G1656</f>
        <v>250</v>
      </c>
      <c r="L669" s="837" t="n">
        <f aca="false">J669*K669</f>
        <v>0</v>
      </c>
      <c r="M669" s="1580"/>
      <c r="N669" s="1580"/>
      <c r="O669" s="1580"/>
      <c r="P669" s="1580"/>
      <c r="Q669" s="1580"/>
      <c r="R669" s="1580"/>
    </row>
    <row r="670" customFormat="false" ht="15.75" hidden="false" customHeight="false" outlineLevel="0" collapsed="false">
      <c r="A670" s="861" t="s">
        <v>1892</v>
      </c>
      <c r="B670" s="890" t="s">
        <v>15</v>
      </c>
      <c r="C670" s="837" t="n">
        <f aca="false">C589*D589*G566*D579</f>
        <v>0</v>
      </c>
      <c r="D670" s="837" t="n">
        <f aca="false">'Прайс лист'!G1262</f>
        <v>6</v>
      </c>
      <c r="E670" s="837" t="n">
        <f aca="false">C670*D670</f>
        <v>0</v>
      </c>
      <c r="F670" s="1579"/>
      <c r="G670" s="2632" t="s">
        <v>2186</v>
      </c>
      <c r="H670" s="2633"/>
      <c r="I670" s="837" t="s">
        <v>48</v>
      </c>
      <c r="J670" s="837" t="n">
        <f aca="false">C608*D608*H566*D606</f>
        <v>0</v>
      </c>
      <c r="K670" s="837" t="n">
        <f aca="false">'Прайс лист'!G1657</f>
        <v>250</v>
      </c>
      <c r="L670" s="837" t="n">
        <f aca="false">J670*K670</f>
        <v>0</v>
      </c>
      <c r="M670" s="1580"/>
      <c r="N670" s="1580"/>
      <c r="O670" s="1580"/>
      <c r="P670" s="1580"/>
      <c r="Q670" s="1580"/>
      <c r="R670" s="1580"/>
    </row>
    <row r="671" customFormat="false" ht="15.75" hidden="false" customHeight="false" outlineLevel="0" collapsed="false">
      <c r="A671" s="861" t="s">
        <v>1893</v>
      </c>
      <c r="B671" s="890" t="s">
        <v>48</v>
      </c>
      <c r="C671" s="837" t="n">
        <f aca="false">C590*D590*G566*D579</f>
        <v>0</v>
      </c>
      <c r="D671" s="837" t="n">
        <f aca="false">'Прайс лист'!G1263</f>
        <v>8</v>
      </c>
      <c r="E671" s="837" t="n">
        <f aca="false">C671*D671</f>
        <v>0</v>
      </c>
      <c r="F671" s="1579"/>
      <c r="G671" s="2632" t="s">
        <v>2187</v>
      </c>
      <c r="H671" s="2633"/>
      <c r="I671" s="837" t="s">
        <v>48</v>
      </c>
      <c r="J671" s="837" t="n">
        <f aca="false">C610*D610*H566*D606</f>
        <v>0</v>
      </c>
      <c r="K671" s="837" t="n">
        <f aca="false">'Прайс лист'!G1658</f>
        <v>100</v>
      </c>
      <c r="L671" s="837" t="n">
        <f aca="false">J671*K671</f>
        <v>0</v>
      </c>
      <c r="M671" s="1580"/>
      <c r="N671" s="1580"/>
      <c r="O671" s="1580"/>
      <c r="P671" s="1580"/>
      <c r="Q671" s="1580"/>
      <c r="R671" s="1580"/>
    </row>
    <row r="672" customFormat="false" ht="15.75" hidden="false" customHeight="false" outlineLevel="0" collapsed="false">
      <c r="A672" s="861" t="s">
        <v>1894</v>
      </c>
      <c r="B672" s="890" t="s">
        <v>48</v>
      </c>
      <c r="C672" s="837" t="n">
        <f aca="false">C670*2*G566*D579</f>
        <v>0</v>
      </c>
      <c r="D672" s="837" t="n">
        <f aca="false">'Прайс лист'!G1264</f>
        <v>0.02</v>
      </c>
      <c r="E672" s="837" t="n">
        <f aca="false">C672*D672</f>
        <v>0</v>
      </c>
      <c r="F672" s="1579"/>
      <c r="G672" s="2632" t="s">
        <v>2188</v>
      </c>
      <c r="H672" s="2633"/>
      <c r="I672" s="837" t="s">
        <v>48</v>
      </c>
      <c r="J672" s="837" t="n">
        <f aca="false">C611*D611*H566*D606</f>
        <v>0</v>
      </c>
      <c r="K672" s="837" t="n">
        <f aca="false">'Прайс лист'!G1659</f>
        <v>80</v>
      </c>
      <c r="L672" s="837" t="n">
        <f aca="false">J672*K672</f>
        <v>0</v>
      </c>
      <c r="M672" s="1580"/>
      <c r="N672" s="1580"/>
      <c r="O672" s="1580"/>
      <c r="P672" s="1580"/>
      <c r="Q672" s="1580"/>
      <c r="R672" s="1580"/>
    </row>
    <row r="673" customFormat="false" ht="15.75" hidden="false" customHeight="false" outlineLevel="0" collapsed="false">
      <c r="A673" s="837" t="s">
        <v>1895</v>
      </c>
      <c r="B673" s="890" t="s">
        <v>48</v>
      </c>
      <c r="C673" s="837" t="n">
        <f aca="false">(C667+C668+C669)*20*G566*D579</f>
        <v>1774.6437861718</v>
      </c>
      <c r="D673" s="837" t="n">
        <f aca="false">'Прайс лист'!G1265</f>
        <v>0.02</v>
      </c>
      <c r="E673" s="837" t="n">
        <f aca="false">C673*D673</f>
        <v>35.4928757234361</v>
      </c>
      <c r="F673" s="1579"/>
      <c r="G673" s="739"/>
      <c r="H673" s="739"/>
      <c r="I673" s="2587"/>
      <c r="J673" s="2587"/>
      <c r="K673" s="837"/>
      <c r="L673" s="837" t="n">
        <f aca="false">J667*K673</f>
        <v>0</v>
      </c>
      <c r="M673" s="1580"/>
      <c r="N673" s="1580"/>
      <c r="O673" s="1580"/>
      <c r="P673" s="1580"/>
      <c r="Q673" s="1580"/>
      <c r="R673" s="1580"/>
    </row>
    <row r="674" customFormat="false" ht="15.75" hidden="false" customHeight="false" outlineLevel="0" collapsed="false">
      <c r="A674" s="739" t="s">
        <v>1904</v>
      </c>
      <c r="B674" s="890"/>
      <c r="C674" s="837"/>
      <c r="D674" s="837" t="n">
        <f aca="false">'Прайс лист'!G1266</f>
        <v>0</v>
      </c>
      <c r="E674" s="837" t="n">
        <f aca="false">C674*D674</f>
        <v>0</v>
      </c>
      <c r="F674" s="1579"/>
      <c r="G674" s="739"/>
      <c r="H674" s="739"/>
      <c r="I674" s="2587"/>
      <c r="J674" s="2587"/>
      <c r="K674" s="837"/>
      <c r="L674" s="837" t="n">
        <f aca="false">J668*K674</f>
        <v>0</v>
      </c>
      <c r="M674" s="1580"/>
      <c r="N674" s="1580"/>
      <c r="O674" s="1580"/>
      <c r="P674" s="1580"/>
      <c r="Q674" s="1580"/>
      <c r="R674" s="1580"/>
    </row>
    <row r="675" customFormat="false" ht="15.75" hidden="false" customHeight="false" outlineLevel="0" collapsed="false">
      <c r="A675" s="837" t="s">
        <v>1905</v>
      </c>
      <c r="B675" s="890" t="s">
        <v>820</v>
      </c>
      <c r="C675" s="837" t="n">
        <f aca="false">C592*D592*G566*D591</f>
        <v>0</v>
      </c>
      <c r="D675" s="837" t="n">
        <f aca="false">'Прайс лист'!G1267</f>
        <v>50</v>
      </c>
      <c r="E675" s="837" t="n">
        <f aca="false">C675*D675</f>
        <v>0</v>
      </c>
      <c r="F675" s="1579"/>
      <c r="G675" s="739"/>
      <c r="H675" s="739"/>
      <c r="I675" s="2587"/>
      <c r="J675" s="2587"/>
      <c r="K675" s="837"/>
      <c r="L675" s="837" t="n">
        <f aca="false">J669*K675</f>
        <v>0</v>
      </c>
      <c r="M675" s="1580"/>
      <c r="N675" s="1580"/>
      <c r="O675" s="1580"/>
      <c r="P675" s="1580"/>
      <c r="Q675" s="1580"/>
      <c r="R675" s="1580"/>
    </row>
    <row r="676" customFormat="false" ht="15.75" hidden="false" customHeight="false" outlineLevel="0" collapsed="false">
      <c r="A676" s="837" t="s">
        <v>1906</v>
      </c>
      <c r="B676" s="890" t="s">
        <v>820</v>
      </c>
      <c r="C676" s="837" t="n">
        <f aca="false">C592*D592*G566*D591</f>
        <v>0</v>
      </c>
      <c r="D676" s="837" t="n">
        <f aca="false">'Прайс лист'!G1268</f>
        <v>350</v>
      </c>
      <c r="E676" s="837" t="n">
        <f aca="false">C676*D676</f>
        <v>0</v>
      </c>
      <c r="F676" s="1579"/>
      <c r="G676" s="739"/>
      <c r="H676" s="739"/>
      <c r="I676" s="2587"/>
      <c r="J676" s="2587"/>
      <c r="K676" s="837"/>
      <c r="L676" s="837" t="n">
        <f aca="false">J670*K676</f>
        <v>0</v>
      </c>
      <c r="M676" s="1580"/>
      <c r="N676" s="1580"/>
      <c r="O676" s="1580"/>
      <c r="P676" s="1580"/>
      <c r="Q676" s="1580"/>
      <c r="R676" s="1580"/>
    </row>
    <row r="677" customFormat="false" ht="15.75" hidden="false" customHeight="false" outlineLevel="0" collapsed="false">
      <c r="A677" s="837" t="s">
        <v>1907</v>
      </c>
      <c r="B677" s="890" t="s">
        <v>820</v>
      </c>
      <c r="C677" s="837" t="n">
        <f aca="false">C593*D593*G566*D591</f>
        <v>0</v>
      </c>
      <c r="D677" s="837" t="n">
        <f aca="false">'Прайс лист'!G1269</f>
        <v>450</v>
      </c>
      <c r="E677" s="837" t="n">
        <f aca="false">C677*D677</f>
        <v>0</v>
      </c>
      <c r="F677" s="1579"/>
      <c r="G677" s="739"/>
      <c r="H677" s="739"/>
      <c r="I677" s="2587"/>
      <c r="J677" s="2587"/>
      <c r="K677" s="837"/>
      <c r="L677" s="837" t="n">
        <f aca="false">J671*K677</f>
        <v>0</v>
      </c>
      <c r="M677" s="1580"/>
      <c r="N677" s="1580"/>
      <c r="O677" s="1580"/>
      <c r="P677" s="1580"/>
      <c r="Q677" s="1580"/>
      <c r="R677" s="1580"/>
    </row>
    <row r="678" customFormat="false" ht="15.75" hidden="false" customHeight="false" outlineLevel="0" collapsed="false">
      <c r="A678" s="890" t="s">
        <v>1908</v>
      </c>
      <c r="B678" s="890" t="s">
        <v>48</v>
      </c>
      <c r="C678" s="837" t="n">
        <f aca="false">C595*D595/3*G566*D591</f>
        <v>0</v>
      </c>
      <c r="D678" s="837" t="n">
        <f aca="false">'Прайс лист'!G1270</f>
        <v>35</v>
      </c>
      <c r="E678" s="837" t="n">
        <f aca="false">C678*D678</f>
        <v>0</v>
      </c>
      <c r="F678" s="1579"/>
      <c r="G678" s="739"/>
      <c r="H678" s="739"/>
      <c r="I678" s="2587"/>
      <c r="J678" s="2587"/>
      <c r="K678" s="837"/>
      <c r="L678" s="837" t="n">
        <f aca="false">J672*K678</f>
        <v>0</v>
      </c>
      <c r="M678" s="1580"/>
      <c r="N678" s="1580"/>
      <c r="O678" s="1580"/>
      <c r="P678" s="1580"/>
      <c r="Q678" s="1580"/>
      <c r="R678" s="1580"/>
    </row>
    <row r="679" customFormat="false" ht="15.75" hidden="false" customHeight="false" outlineLevel="0" collapsed="false">
      <c r="A679" s="837" t="s">
        <v>1909</v>
      </c>
      <c r="B679" s="890" t="s">
        <v>15</v>
      </c>
      <c r="C679" s="837" t="n">
        <f aca="false">C595*D595*G566*D591</f>
        <v>0</v>
      </c>
      <c r="D679" s="837" t="n">
        <f aca="false">'Прайс лист'!G1271</f>
        <v>35</v>
      </c>
      <c r="E679" s="837" t="n">
        <f aca="false">C679*D679</f>
        <v>0</v>
      </c>
      <c r="F679" s="1579"/>
      <c r="G679" s="739"/>
      <c r="H679" s="739"/>
      <c r="I679" s="837"/>
      <c r="J679" s="837"/>
      <c r="K679" s="837"/>
      <c r="L679" s="837" t="n">
        <f aca="false">J679*K679</f>
        <v>0</v>
      </c>
      <c r="M679" s="1580"/>
      <c r="N679" s="1580"/>
      <c r="O679" s="1580"/>
      <c r="P679" s="1580"/>
      <c r="Q679" s="1580"/>
      <c r="R679" s="1580"/>
    </row>
    <row r="680" customFormat="false" ht="15.75" hidden="false" customHeight="false" outlineLevel="0" collapsed="false">
      <c r="A680" s="837" t="s">
        <v>1910</v>
      </c>
      <c r="B680" s="890" t="s">
        <v>820</v>
      </c>
      <c r="C680" s="837" t="n">
        <f aca="false">C594*D594*G566*D591</f>
        <v>0</v>
      </c>
      <c r="D680" s="837" t="n">
        <f aca="false">'Прайс лист'!G1272</f>
        <v>500</v>
      </c>
      <c r="E680" s="837" t="n">
        <f aca="false">C680*D680</f>
        <v>0</v>
      </c>
      <c r="F680" s="1579"/>
      <c r="G680" s="739"/>
      <c r="H680" s="739"/>
      <c r="I680" s="837"/>
      <c r="J680" s="837"/>
      <c r="K680" s="837"/>
      <c r="L680" s="837" t="n">
        <f aca="false">J680*K680</f>
        <v>0</v>
      </c>
      <c r="M680" s="1580"/>
      <c r="N680" s="1580"/>
      <c r="O680" s="1580"/>
      <c r="P680" s="1580"/>
      <c r="Q680" s="1580"/>
      <c r="R680" s="1580"/>
    </row>
    <row r="681" customFormat="false" ht="15.75" hidden="false" customHeight="false" outlineLevel="0" collapsed="false">
      <c r="A681" s="837" t="s">
        <v>1911</v>
      </c>
      <c r="B681" s="890" t="s">
        <v>48</v>
      </c>
      <c r="C681" s="837" t="n">
        <f aca="false">C680/4*G566*D591</f>
        <v>0</v>
      </c>
      <c r="D681" s="837" t="n">
        <f aca="false">'Прайс лист'!G1273</f>
        <v>250</v>
      </c>
      <c r="E681" s="837" t="n">
        <f aca="false">C681*D681</f>
        <v>0</v>
      </c>
      <c r="F681" s="1579"/>
      <c r="G681" s="739"/>
      <c r="H681" s="739"/>
      <c r="I681" s="837"/>
      <c r="J681" s="837"/>
      <c r="K681" s="837"/>
      <c r="L681" s="837" t="n">
        <f aca="false">J681*K681</f>
        <v>0</v>
      </c>
      <c r="M681" s="1580"/>
      <c r="N681" s="1580"/>
      <c r="O681" s="1580"/>
      <c r="P681" s="1580"/>
      <c r="Q681" s="1580"/>
      <c r="R681" s="1580"/>
    </row>
    <row r="682" customFormat="false" ht="15.75" hidden="false" customHeight="false" outlineLevel="0" collapsed="false">
      <c r="A682" s="837" t="s">
        <v>1885</v>
      </c>
      <c r="B682" s="890" t="s">
        <v>48</v>
      </c>
      <c r="C682" s="837" t="n">
        <f aca="false">C680/20*G566*D591</f>
        <v>0</v>
      </c>
      <c r="D682" s="837" t="n">
        <f aca="false">'Прайс лист'!G1274</f>
        <v>500</v>
      </c>
      <c r="E682" s="837" t="n">
        <f aca="false">C682*D682</f>
        <v>0</v>
      </c>
      <c r="F682" s="1579"/>
      <c r="G682" s="739"/>
      <c r="H682" s="739"/>
      <c r="I682" s="837"/>
      <c r="J682" s="837"/>
      <c r="K682" s="837"/>
      <c r="L682" s="837" t="n">
        <f aca="false">J682*K682</f>
        <v>0</v>
      </c>
      <c r="M682" s="1580"/>
      <c r="N682" s="1580"/>
      <c r="O682" s="1580"/>
      <c r="P682" s="1580"/>
      <c r="Q682" s="1580"/>
      <c r="R682" s="1580"/>
    </row>
    <row r="683" customFormat="false" ht="15.75" hidden="false" customHeight="false" outlineLevel="0" collapsed="false">
      <c r="A683" s="837" t="s">
        <v>1912</v>
      </c>
      <c r="B683" s="890" t="s">
        <v>48</v>
      </c>
      <c r="C683" s="837" t="n">
        <f aca="false">C680*20/100*G566*D591</f>
        <v>0</v>
      </c>
      <c r="D683" s="837" t="n">
        <f aca="false">'Прайс лист'!G1275</f>
        <v>200</v>
      </c>
      <c r="E683" s="837" t="n">
        <f aca="false">C683*D683</f>
        <v>0</v>
      </c>
      <c r="F683" s="1579"/>
      <c r="G683" s="739"/>
      <c r="H683" s="739"/>
      <c r="I683" s="837"/>
      <c r="J683" s="837"/>
      <c r="K683" s="837"/>
      <c r="L683" s="837" t="n">
        <f aca="false">J683*K683</f>
        <v>0</v>
      </c>
      <c r="M683" s="1580"/>
      <c r="N683" s="1580"/>
      <c r="O683" s="1580"/>
      <c r="P683" s="1580"/>
      <c r="Q683" s="1580"/>
      <c r="R683" s="1580"/>
    </row>
    <row r="684" customFormat="false" ht="15.75" hidden="false" customHeight="false" outlineLevel="0" collapsed="false">
      <c r="A684" s="837" t="s">
        <v>1913</v>
      </c>
      <c r="B684" s="890" t="s">
        <v>48</v>
      </c>
      <c r="C684" s="837" t="n">
        <f aca="false">C680/10*G566*D591</f>
        <v>0</v>
      </c>
      <c r="D684" s="837" t="n">
        <f aca="false">'Прайс лист'!G1276</f>
        <v>400</v>
      </c>
      <c r="E684" s="837" t="n">
        <f aca="false">C684*D684</f>
        <v>0</v>
      </c>
      <c r="F684" s="1579"/>
      <c r="G684" s="739"/>
      <c r="H684" s="739"/>
      <c r="I684" s="837"/>
      <c r="J684" s="837"/>
      <c r="K684" s="837"/>
      <c r="L684" s="837" t="n">
        <f aca="false">J684*K684</f>
        <v>0</v>
      </c>
      <c r="M684" s="1580"/>
      <c r="N684" s="1580"/>
      <c r="O684" s="1580"/>
      <c r="P684" s="1580"/>
      <c r="Q684" s="1580"/>
      <c r="R684" s="1580"/>
    </row>
    <row r="685" customFormat="false" ht="15.75" hidden="false" customHeight="false" outlineLevel="0" collapsed="false">
      <c r="A685" s="739" t="s">
        <v>852</v>
      </c>
      <c r="B685" s="890"/>
      <c r="C685" s="837"/>
      <c r="D685" s="837" t="n">
        <f aca="false">'Прайс лист'!G1277</f>
        <v>0</v>
      </c>
      <c r="E685" s="837" t="n">
        <f aca="false">C685*D685</f>
        <v>0</v>
      </c>
      <c r="F685" s="1579"/>
      <c r="G685" s="739"/>
      <c r="H685" s="739"/>
      <c r="I685" s="837"/>
      <c r="J685" s="837"/>
      <c r="K685" s="837"/>
      <c r="L685" s="837" t="n">
        <f aca="false">J685*K685</f>
        <v>0</v>
      </c>
      <c r="M685" s="1580"/>
      <c r="N685" s="1580"/>
      <c r="O685" s="1580"/>
      <c r="P685" s="1580"/>
      <c r="Q685" s="1580"/>
      <c r="R685" s="1580"/>
    </row>
    <row r="686" customFormat="false" ht="15.75" hidden="false" customHeight="false" outlineLevel="0" collapsed="false">
      <c r="A686" s="837" t="s">
        <v>1914</v>
      </c>
      <c r="B686" s="890" t="s">
        <v>820</v>
      </c>
      <c r="C686" s="837" t="n">
        <f aca="false">C600*D600*G566*D596</f>
        <v>0</v>
      </c>
      <c r="D686" s="837" t="n">
        <f aca="false">'Прайс лист'!G1278</f>
        <v>500</v>
      </c>
      <c r="E686" s="837" t="n">
        <f aca="false">C686*D686</f>
        <v>0</v>
      </c>
      <c r="F686" s="1579"/>
      <c r="G686" s="739"/>
      <c r="H686" s="739"/>
      <c r="I686" s="837"/>
      <c r="J686" s="837"/>
      <c r="K686" s="837"/>
      <c r="L686" s="837" t="n">
        <f aca="false">J686*K686</f>
        <v>0</v>
      </c>
      <c r="M686" s="1580"/>
      <c r="N686" s="1580"/>
      <c r="O686" s="1580"/>
      <c r="P686" s="1580"/>
      <c r="Q686" s="1580"/>
      <c r="R686" s="1580"/>
    </row>
    <row r="687" customFormat="false" ht="15.75" hidden="false" customHeight="false" outlineLevel="0" collapsed="false">
      <c r="A687" s="837" t="s">
        <v>1915</v>
      </c>
      <c r="B687" s="890" t="s">
        <v>820</v>
      </c>
      <c r="C687" s="837" t="n">
        <f aca="false">C601*D601*G566*D596</f>
        <v>0</v>
      </c>
      <c r="D687" s="837" t="n">
        <f aca="false">'Прайс лист'!G1279</f>
        <v>500</v>
      </c>
      <c r="E687" s="837" t="n">
        <f aca="false">C687*D687</f>
        <v>0</v>
      </c>
      <c r="F687" s="1579"/>
      <c r="G687" s="739"/>
      <c r="H687" s="739"/>
      <c r="I687" s="837"/>
      <c r="J687" s="837"/>
      <c r="K687" s="837"/>
      <c r="L687" s="837" t="n">
        <f aca="false">J687*K687</f>
        <v>0</v>
      </c>
      <c r="M687" s="1580"/>
      <c r="N687" s="1580"/>
      <c r="O687" s="1580"/>
      <c r="P687" s="1580"/>
      <c r="Q687" s="1580"/>
      <c r="R687" s="1580"/>
    </row>
    <row r="688" customFormat="false" ht="15.75" hidden="false" customHeight="false" outlineLevel="0" collapsed="false">
      <c r="A688" s="837" t="s">
        <v>1916</v>
      </c>
      <c r="B688" s="890" t="s">
        <v>820</v>
      </c>
      <c r="C688" s="837" t="n">
        <f aca="false">C602*D602*G566*D596</f>
        <v>0</v>
      </c>
      <c r="D688" s="837" t="n">
        <f aca="false">'Прайс лист'!G1280</f>
        <v>500</v>
      </c>
      <c r="E688" s="837" t="n">
        <f aca="false">C688*D688</f>
        <v>0</v>
      </c>
      <c r="F688" s="1579"/>
      <c r="G688" s="739"/>
      <c r="H688" s="739"/>
      <c r="I688" s="837"/>
      <c r="J688" s="837"/>
      <c r="K688" s="837"/>
      <c r="L688" s="837" t="n">
        <f aca="false">J688*K688</f>
        <v>0</v>
      </c>
      <c r="M688" s="1580"/>
      <c r="N688" s="1580"/>
      <c r="O688" s="1580"/>
      <c r="P688" s="1580"/>
      <c r="Q688" s="1580"/>
      <c r="R688" s="1580"/>
    </row>
    <row r="689" customFormat="false" ht="15.75" hidden="false" customHeight="false" outlineLevel="0" collapsed="false">
      <c r="A689" s="837" t="s">
        <v>1911</v>
      </c>
      <c r="B689" s="890" t="s">
        <v>48</v>
      </c>
      <c r="C689" s="837" t="n">
        <f aca="false">(C686+C687+C688)/4*G566*D596</f>
        <v>0</v>
      </c>
      <c r="D689" s="837" t="n">
        <f aca="false">'Прайс лист'!G1281</f>
        <v>250</v>
      </c>
      <c r="E689" s="837" t="n">
        <f aca="false">C689*D689</f>
        <v>0</v>
      </c>
      <c r="F689" s="1579"/>
      <c r="G689" s="739"/>
      <c r="H689" s="739"/>
      <c r="I689" s="837"/>
      <c r="J689" s="837"/>
      <c r="K689" s="837"/>
      <c r="L689" s="837" t="n">
        <f aca="false">J689*K689</f>
        <v>0</v>
      </c>
      <c r="M689" s="1580"/>
      <c r="N689" s="1580"/>
      <c r="O689" s="1580"/>
      <c r="P689" s="1580"/>
      <c r="Q689" s="1580"/>
      <c r="R689" s="1580"/>
    </row>
    <row r="690" customFormat="false" ht="15.75" hidden="false" customHeight="false" outlineLevel="0" collapsed="false">
      <c r="A690" s="837" t="s">
        <v>1885</v>
      </c>
      <c r="B690" s="890" t="s">
        <v>48</v>
      </c>
      <c r="C690" s="837" t="n">
        <f aca="false">(C686+C687+C688)/30*G566*D596</f>
        <v>0</v>
      </c>
      <c r="D690" s="837" t="n">
        <f aca="false">'Прайс лист'!G1282</f>
        <v>500</v>
      </c>
      <c r="E690" s="837" t="n">
        <f aca="false">C690*D690</f>
        <v>0</v>
      </c>
      <c r="F690" s="1579"/>
      <c r="G690" s="739"/>
      <c r="H690" s="739"/>
      <c r="I690" s="837"/>
      <c r="J690" s="837"/>
      <c r="K690" s="837"/>
      <c r="L690" s="837" t="n">
        <f aca="false">J690*K690</f>
        <v>0</v>
      </c>
      <c r="M690" s="1580"/>
      <c r="N690" s="1580"/>
      <c r="O690" s="1580"/>
      <c r="P690" s="1580"/>
      <c r="Q690" s="1580"/>
      <c r="R690" s="1580"/>
    </row>
    <row r="691" customFormat="false" ht="15.75" hidden="false" customHeight="false" outlineLevel="0" collapsed="false">
      <c r="A691" s="837" t="s">
        <v>1917</v>
      </c>
      <c r="B691" s="890" t="s">
        <v>48</v>
      </c>
      <c r="C691" s="837" t="n">
        <f aca="false">(C686+C687+C688)*20/100*G566*D596</f>
        <v>0</v>
      </c>
      <c r="D691" s="837" t="n">
        <f aca="false">'Прайс лист'!G1283</f>
        <v>200</v>
      </c>
      <c r="E691" s="837" t="n">
        <f aca="false">C691*D691</f>
        <v>0</v>
      </c>
      <c r="F691" s="1579"/>
      <c r="G691" s="739"/>
      <c r="H691" s="739"/>
      <c r="I691" s="837"/>
      <c r="J691" s="837"/>
      <c r="K691" s="837"/>
      <c r="L691" s="837" t="n">
        <f aca="false">J691*K691</f>
        <v>0</v>
      </c>
      <c r="M691" s="1580"/>
      <c r="N691" s="1580"/>
      <c r="O691" s="1580"/>
      <c r="P691" s="1580"/>
      <c r="Q691" s="1580"/>
      <c r="R691" s="1580"/>
    </row>
    <row r="692" customFormat="false" ht="15.75" hidden="false" customHeight="false" outlineLevel="0" collapsed="false">
      <c r="A692" s="837" t="s">
        <v>1913</v>
      </c>
      <c r="B692" s="890" t="s">
        <v>48</v>
      </c>
      <c r="C692" s="837" t="n">
        <f aca="false">(C686+C687+C688)/10*G566*D596</f>
        <v>0</v>
      </c>
      <c r="D692" s="837" t="n">
        <f aca="false">'Прайс лист'!G1284</f>
        <v>400</v>
      </c>
      <c r="E692" s="837" t="n">
        <f aca="false">C692*D692</f>
        <v>0</v>
      </c>
      <c r="F692" s="1579"/>
      <c r="G692" s="739"/>
      <c r="H692" s="739"/>
      <c r="I692" s="837"/>
      <c r="J692" s="837"/>
      <c r="K692" s="837"/>
      <c r="L692" s="837" t="n">
        <f aca="false">J692*K692</f>
        <v>0</v>
      </c>
      <c r="M692" s="1580"/>
      <c r="N692" s="1580"/>
      <c r="O692" s="1580"/>
      <c r="P692" s="1580"/>
      <c r="Q692" s="1580"/>
      <c r="R692" s="1580"/>
    </row>
    <row r="693" customFormat="false" ht="15.75" hidden="false" customHeight="false" outlineLevel="0" collapsed="false">
      <c r="A693" s="837" t="s">
        <v>1918</v>
      </c>
      <c r="B693" s="890" t="s">
        <v>820</v>
      </c>
      <c r="C693" s="837" t="n">
        <f aca="false">C603*D603*G566*D596</f>
        <v>0</v>
      </c>
      <c r="D693" s="837" t="n">
        <f aca="false">'Прайс лист'!G1285</f>
        <v>250</v>
      </c>
      <c r="E693" s="837" t="n">
        <f aca="false">C693*D693</f>
        <v>0</v>
      </c>
      <c r="F693" s="1579"/>
      <c r="G693" s="739"/>
      <c r="H693" s="739"/>
      <c r="I693" s="837"/>
      <c r="J693" s="837"/>
      <c r="K693" s="837"/>
      <c r="L693" s="837" t="n">
        <f aca="false">J693*K693</f>
        <v>0</v>
      </c>
      <c r="M693" s="1580"/>
      <c r="N693" s="1580"/>
      <c r="O693" s="1580"/>
      <c r="P693" s="1580"/>
      <c r="Q693" s="1580"/>
      <c r="R693" s="1580"/>
    </row>
    <row r="694" customFormat="false" ht="15.75" hidden="false" customHeight="false" outlineLevel="0" collapsed="false">
      <c r="A694" s="837" t="s">
        <v>1919</v>
      </c>
      <c r="B694" s="890" t="s">
        <v>820</v>
      </c>
      <c r="C694" s="837" t="n">
        <f aca="false">C604*D604*G566*D596</f>
        <v>0</v>
      </c>
      <c r="D694" s="837" t="n">
        <f aca="false">'Прайс лист'!G1286</f>
        <v>250</v>
      </c>
      <c r="E694" s="837" t="n">
        <f aca="false">C694*D694</f>
        <v>0</v>
      </c>
      <c r="F694" s="1579"/>
      <c r="G694" s="739"/>
      <c r="H694" s="739"/>
      <c r="I694" s="837"/>
      <c r="J694" s="837"/>
      <c r="K694" s="837"/>
      <c r="L694" s="837" t="n">
        <f aca="false">J694*K694</f>
        <v>0</v>
      </c>
      <c r="M694" s="1580"/>
      <c r="N694" s="1580"/>
      <c r="O694" s="1580"/>
      <c r="P694" s="1580"/>
      <c r="Q694" s="1580"/>
      <c r="R694" s="1580"/>
    </row>
    <row r="695" customFormat="false" ht="15.75" hidden="false" customHeight="false" outlineLevel="0" collapsed="false">
      <c r="A695" s="837" t="s">
        <v>1920</v>
      </c>
      <c r="B695" s="890" t="s">
        <v>48</v>
      </c>
      <c r="C695" s="837" t="n">
        <f aca="false">(C693+C694)/30*G566*D596</f>
        <v>0</v>
      </c>
      <c r="D695" s="837" t="n">
        <f aca="false">'Прайс лист'!G1287</f>
        <v>120</v>
      </c>
      <c r="E695" s="837" t="n">
        <f aca="false">C695*D695</f>
        <v>0</v>
      </c>
      <c r="F695" s="1579"/>
      <c r="G695" s="739"/>
      <c r="H695" s="739"/>
      <c r="I695" s="837"/>
      <c r="J695" s="837"/>
      <c r="K695" s="837"/>
      <c r="L695" s="837" t="n">
        <f aca="false">J695*K695</f>
        <v>0</v>
      </c>
      <c r="M695" s="1580"/>
      <c r="N695" s="1580"/>
      <c r="O695" s="1580"/>
      <c r="P695" s="1580"/>
      <c r="Q695" s="1580"/>
      <c r="R695" s="1580"/>
    </row>
    <row r="696" customFormat="false" ht="15.75" hidden="false" customHeight="false" outlineLevel="0" collapsed="false">
      <c r="A696" s="837" t="s">
        <v>1903</v>
      </c>
      <c r="B696" s="890" t="s">
        <v>820</v>
      </c>
      <c r="C696" s="837" t="n">
        <f aca="false">C605*D605*G566*D596</f>
        <v>0</v>
      </c>
      <c r="D696" s="837" t="n">
        <f aca="false">'Прайс лист'!G1288</f>
        <v>400</v>
      </c>
      <c r="E696" s="837" t="n">
        <f aca="false">C696*D696</f>
        <v>0</v>
      </c>
      <c r="F696" s="1579"/>
      <c r="G696" s="739"/>
      <c r="H696" s="739"/>
      <c r="I696" s="837"/>
      <c r="J696" s="837"/>
      <c r="K696" s="837"/>
      <c r="L696" s="837" t="n">
        <f aca="false">J696*K696</f>
        <v>0</v>
      </c>
      <c r="M696" s="1580"/>
      <c r="N696" s="1580"/>
      <c r="O696" s="1580"/>
      <c r="P696" s="1580"/>
      <c r="Q696" s="1580"/>
      <c r="R696" s="1580"/>
    </row>
    <row r="697" customFormat="false" ht="15.75" hidden="false" customHeight="false" outlineLevel="0" collapsed="false">
      <c r="A697" s="893" t="s">
        <v>1921</v>
      </c>
      <c r="B697" s="837" t="s">
        <v>15</v>
      </c>
      <c r="C697" s="837"/>
      <c r="D697" s="837" t="n">
        <f aca="false">'Прайс лист'!G1289</f>
        <v>0</v>
      </c>
      <c r="E697" s="837" t="n">
        <f aca="false">C697*D697</f>
        <v>0</v>
      </c>
      <c r="F697" s="1579"/>
      <c r="G697" s="739"/>
      <c r="H697" s="739"/>
      <c r="I697" s="837"/>
      <c r="J697" s="837"/>
      <c r="K697" s="837"/>
      <c r="L697" s="837" t="n">
        <f aca="false">J697*K697</f>
        <v>0</v>
      </c>
      <c r="M697" s="1580"/>
      <c r="N697" s="1580"/>
      <c r="O697" s="1580"/>
      <c r="P697" s="1580"/>
      <c r="Q697" s="1580"/>
      <c r="R697" s="1580"/>
    </row>
    <row r="698" customFormat="false" ht="15.75" hidden="false" customHeight="false" outlineLevel="0" collapsed="false">
      <c r="A698" s="908" t="s">
        <v>1922</v>
      </c>
      <c r="B698" s="837" t="s">
        <v>48</v>
      </c>
      <c r="C698" s="837" t="n">
        <f aca="false">C607*D608*G566*D606</f>
        <v>0</v>
      </c>
      <c r="D698" s="837" t="n">
        <f aca="false">'Прайс лист'!G1290</f>
        <v>1900</v>
      </c>
      <c r="E698" s="837" t="n">
        <f aca="false">C698*D698</f>
        <v>0</v>
      </c>
      <c r="F698" s="1579"/>
      <c r="G698" s="739"/>
      <c r="H698" s="739"/>
      <c r="I698" s="837"/>
      <c r="J698" s="837"/>
      <c r="K698" s="837"/>
      <c r="L698" s="837" t="n">
        <f aca="false">J698*K698</f>
        <v>0</v>
      </c>
      <c r="M698" s="1580"/>
      <c r="N698" s="1580"/>
      <c r="O698" s="1580"/>
      <c r="P698" s="1580"/>
      <c r="Q698" s="1580"/>
      <c r="R698" s="1580"/>
    </row>
    <row r="699" customFormat="false" ht="15.75" hidden="false" customHeight="false" outlineLevel="0" collapsed="false">
      <c r="A699" s="837" t="s">
        <v>1923</v>
      </c>
      <c r="B699" s="837" t="s">
        <v>48</v>
      </c>
      <c r="C699" s="837" t="n">
        <f aca="false">C698*G566*D606</f>
        <v>0</v>
      </c>
      <c r="D699" s="837" t="n">
        <f aca="false">'Прайс лист'!G1291</f>
        <v>250</v>
      </c>
      <c r="E699" s="837" t="n">
        <f aca="false">C699*D699</f>
        <v>0</v>
      </c>
      <c r="F699" s="1579"/>
      <c r="G699" s="739"/>
      <c r="H699" s="739"/>
      <c r="I699" s="837"/>
      <c r="J699" s="837"/>
      <c r="K699" s="837"/>
      <c r="L699" s="837" t="n">
        <f aca="false">J699*K699</f>
        <v>0</v>
      </c>
      <c r="M699" s="1580"/>
      <c r="N699" s="1580"/>
      <c r="O699" s="1580"/>
      <c r="P699" s="1580"/>
      <c r="Q699" s="1580"/>
      <c r="R699" s="1580"/>
    </row>
    <row r="700" customFormat="false" ht="15.75" hidden="false" customHeight="false" outlineLevel="0" collapsed="false">
      <c r="A700" s="837" t="s">
        <v>1924</v>
      </c>
      <c r="B700" s="837" t="s">
        <v>48</v>
      </c>
      <c r="C700" s="837" t="n">
        <f aca="false">C610*D610*G566*D606</f>
        <v>0</v>
      </c>
      <c r="D700" s="837" t="n">
        <f aca="false">'Прайс лист'!G1292</f>
        <v>100</v>
      </c>
      <c r="E700" s="837" t="n">
        <f aca="false">C700*D700</f>
        <v>0</v>
      </c>
      <c r="F700" s="1579"/>
      <c r="G700" s="739"/>
      <c r="H700" s="739"/>
      <c r="I700" s="837"/>
      <c r="J700" s="837"/>
      <c r="K700" s="837"/>
      <c r="L700" s="837" t="n">
        <f aca="false">J700*K700</f>
        <v>0</v>
      </c>
      <c r="M700" s="1580"/>
      <c r="N700" s="1580"/>
      <c r="O700" s="1580"/>
      <c r="P700" s="1580"/>
      <c r="Q700" s="1580"/>
      <c r="R700" s="1580"/>
    </row>
    <row r="701" customFormat="false" ht="15.75" hidden="false" customHeight="false" outlineLevel="0" collapsed="false">
      <c r="A701" s="837" t="s">
        <v>1925</v>
      </c>
      <c r="B701" s="837" t="s">
        <v>48</v>
      </c>
      <c r="C701" s="837" t="n">
        <f aca="false">C611*D611*G566*D606</f>
        <v>0</v>
      </c>
      <c r="D701" s="837" t="n">
        <f aca="false">'Прайс лист'!G1293</f>
        <v>100</v>
      </c>
      <c r="E701" s="837" t="n">
        <f aca="false">C701*D701</f>
        <v>0</v>
      </c>
      <c r="F701" s="1579"/>
      <c r="G701" s="739"/>
      <c r="H701" s="739"/>
      <c r="I701" s="837"/>
      <c r="J701" s="837"/>
      <c r="K701" s="837"/>
      <c r="L701" s="837" t="n">
        <f aca="false">J701*K701</f>
        <v>0</v>
      </c>
      <c r="M701" s="1580"/>
      <c r="N701" s="1580"/>
      <c r="O701" s="1580"/>
      <c r="P701" s="1580"/>
      <c r="Q701" s="1580"/>
      <c r="R701" s="1580"/>
    </row>
    <row r="702" customFormat="false" ht="15.75" hidden="false" customHeight="false" outlineLevel="0" collapsed="false">
      <c r="A702" s="837" t="s">
        <v>1926</v>
      </c>
      <c r="B702" s="837" t="s">
        <v>48</v>
      </c>
      <c r="C702" s="837" t="n">
        <f aca="false">C609*D609*G566*D606</f>
        <v>0</v>
      </c>
      <c r="D702" s="837" t="n">
        <f aca="false">'Прайс лист'!G1294</f>
        <v>250</v>
      </c>
      <c r="E702" s="837" t="n">
        <f aca="false">C702*D702</f>
        <v>0</v>
      </c>
      <c r="F702" s="1579"/>
      <c r="G702" s="739"/>
      <c r="H702" s="739"/>
      <c r="I702" s="837"/>
      <c r="J702" s="837"/>
      <c r="K702" s="837"/>
      <c r="L702" s="837" t="n">
        <f aca="false">J702*K702</f>
        <v>0</v>
      </c>
      <c r="M702" s="1580"/>
      <c r="N702" s="1580"/>
      <c r="O702" s="1580"/>
      <c r="P702" s="1580"/>
      <c r="Q702" s="1580"/>
      <c r="R702" s="1580"/>
    </row>
    <row r="703" customFormat="false" ht="15.75" hidden="false" customHeight="false" outlineLevel="0" collapsed="false">
      <c r="A703" s="837" t="s">
        <v>1927</v>
      </c>
      <c r="B703" s="837" t="s">
        <v>48</v>
      </c>
      <c r="C703" s="837" t="n">
        <f aca="false">C608*D608*G566*D606</f>
        <v>0</v>
      </c>
      <c r="D703" s="837" t="n">
        <f aca="false">'Прайс лист'!G1295</f>
        <v>500</v>
      </c>
      <c r="E703" s="837" t="n">
        <f aca="false">C703*D703</f>
        <v>0</v>
      </c>
      <c r="F703" s="1579"/>
      <c r="G703" s="739"/>
      <c r="H703" s="739"/>
      <c r="I703" s="837"/>
      <c r="J703" s="837"/>
      <c r="K703" s="837"/>
      <c r="L703" s="837" t="n">
        <f aca="false">J703*K703</f>
        <v>0</v>
      </c>
      <c r="M703" s="1580"/>
      <c r="N703" s="1580"/>
      <c r="O703" s="1580"/>
      <c r="P703" s="1580"/>
      <c r="Q703" s="1580"/>
      <c r="R703" s="1580"/>
    </row>
    <row r="704" customFormat="false" ht="15.75" hidden="false" customHeight="false" outlineLevel="0" collapsed="false">
      <c r="A704" s="837" t="str">
        <f aca="false">'Ввод данных'!A1341</f>
        <v>Нет техники</v>
      </c>
      <c r="B704" s="837" t="str">
        <f aca="false">'Ввод данных'!B1341</f>
        <v>час</v>
      </c>
      <c r="C704" s="837" t="n">
        <f aca="false">'Ввод данных'!C1341</f>
        <v>0</v>
      </c>
      <c r="D704" s="837" t="n">
        <f aca="false">VLOOKUP(A704,'Прайс лист'!B192:G206,6,0)</f>
        <v>0</v>
      </c>
      <c r="E704" s="837" t="n">
        <f aca="false">C704*D704</f>
        <v>0</v>
      </c>
      <c r="F704" s="1579"/>
      <c r="G704" s="739"/>
      <c r="H704" s="739"/>
      <c r="I704" s="837"/>
      <c r="J704" s="837"/>
      <c r="K704" s="837"/>
      <c r="L704" s="837" t="n">
        <f aca="false">J704*K704</f>
        <v>0</v>
      </c>
      <c r="M704" s="1580"/>
      <c r="N704" s="1580"/>
      <c r="O704" s="1580"/>
      <c r="P704" s="1580"/>
      <c r="Q704" s="1580"/>
      <c r="R704" s="1580"/>
    </row>
    <row r="705" customFormat="false" ht="15.75" hidden="false" customHeight="false" outlineLevel="0" collapsed="false">
      <c r="A705" s="837" t="str">
        <f aca="false">'Ввод данных'!A1342</f>
        <v>Нет техники</v>
      </c>
      <c r="B705" s="837" t="str">
        <f aca="false">'Ввод данных'!B1342</f>
        <v>шт</v>
      </c>
      <c r="C705" s="837" t="n">
        <f aca="false">'Ввод данных'!C1342</f>
        <v>0</v>
      </c>
      <c r="D705" s="837" t="n">
        <f aca="false">VLOOKUP(A705,'Прайс лист'!B192:G206,6,0)</f>
        <v>0</v>
      </c>
      <c r="E705" s="837" t="n">
        <f aca="false">C705*D705</f>
        <v>0</v>
      </c>
      <c r="F705" s="1579"/>
      <c r="G705" s="739"/>
      <c r="H705" s="739"/>
      <c r="I705" s="837"/>
      <c r="J705" s="837"/>
      <c r="K705" s="837"/>
      <c r="L705" s="837" t="n">
        <f aca="false">J705*K705</f>
        <v>0</v>
      </c>
      <c r="M705" s="1580"/>
      <c r="N705" s="1580"/>
      <c r="O705" s="1580"/>
      <c r="P705" s="1580"/>
      <c r="Q705" s="1580"/>
      <c r="R705" s="1580"/>
    </row>
    <row r="706" customFormat="false" ht="15.75" hidden="false" customHeight="false" outlineLevel="0" collapsed="false">
      <c r="A706" s="837" t="str">
        <f aca="false">'Ввод данных'!A1344</f>
        <v>расходные материалы чистовая отделка</v>
      </c>
      <c r="B706" s="837" t="str">
        <f aca="false">'Ввод данных'!B1344</f>
        <v>рублей</v>
      </c>
      <c r="C706" s="837" t="n">
        <f aca="false">1</f>
        <v>1</v>
      </c>
      <c r="D706" s="837" t="n">
        <f aca="false">'Ввод данных'!C1344</f>
        <v>5000</v>
      </c>
      <c r="E706" s="837" t="n">
        <f aca="false">C706*D706</f>
        <v>5000</v>
      </c>
      <c r="F706" s="1579"/>
      <c r="G706" s="919"/>
      <c r="H706" s="919"/>
      <c r="I706" s="2589"/>
      <c r="J706" s="2589"/>
      <c r="K706" s="2589"/>
      <c r="L706" s="837"/>
      <c r="M706" s="1580"/>
      <c r="N706" s="1580"/>
      <c r="O706" s="1580"/>
      <c r="P706" s="1580"/>
      <c r="Q706" s="1580"/>
      <c r="R706" s="1580"/>
    </row>
    <row r="707" customFormat="false" ht="15.75" hidden="false" customHeight="false" outlineLevel="0" collapsed="false">
      <c r="A707" s="1579"/>
      <c r="B707" s="1579"/>
      <c r="C707" s="1579"/>
      <c r="D707" s="1579"/>
      <c r="E707" s="837" t="n">
        <f aca="false">SUM(E629:E705)</f>
        <v>114464.844202871</v>
      </c>
      <c r="F707" s="1579"/>
      <c r="G707" s="1579"/>
      <c r="H707" s="1580"/>
      <c r="I707" s="1579"/>
      <c r="J707" s="1579"/>
      <c r="K707" s="1579"/>
      <c r="L707" s="837" t="n">
        <f aca="false">SUM(L629:L705)</f>
        <v>140796.875723436</v>
      </c>
      <c r="M707" s="1580"/>
      <c r="N707" s="1580"/>
      <c r="O707" s="1580"/>
      <c r="P707" s="1580"/>
      <c r="Q707" s="1580"/>
      <c r="R707" s="1580"/>
    </row>
    <row r="708" customFormat="false" ht="15.75" hidden="false" customHeight="false" outlineLevel="0" collapsed="false">
      <c r="A708" s="837" t="s">
        <v>4077</v>
      </c>
      <c r="B708" s="2636" t="n">
        <f aca="false">E707</f>
        <v>114464.844202871</v>
      </c>
      <c r="C708" s="1579"/>
      <c r="D708" s="1579"/>
      <c r="E708" s="1579"/>
      <c r="F708" s="1579"/>
      <c r="G708" s="1579"/>
      <c r="H708" s="1579"/>
      <c r="I708" s="1579"/>
      <c r="J708" s="1579"/>
      <c r="K708" s="1579"/>
      <c r="L708" s="1580"/>
      <c r="M708" s="1580"/>
      <c r="N708" s="1580"/>
      <c r="O708" s="1580"/>
      <c r="P708" s="1580"/>
      <c r="Q708" s="1580"/>
      <c r="R708" s="1580"/>
    </row>
    <row r="709" customFormat="false" ht="15.75" hidden="false" customHeight="false" outlineLevel="0" collapsed="false">
      <c r="A709" s="837" t="s">
        <v>4078</v>
      </c>
      <c r="B709" s="2636" t="n">
        <f aca="false">L707</f>
        <v>140796.875723436</v>
      </c>
      <c r="C709" s="1579"/>
      <c r="D709" s="1579"/>
      <c r="E709" s="1579"/>
      <c r="F709" s="1579"/>
      <c r="G709" s="1579"/>
      <c r="H709" s="1579"/>
      <c r="I709" s="1579"/>
      <c r="J709" s="1579"/>
      <c r="K709" s="1579"/>
      <c r="L709" s="1580"/>
      <c r="M709" s="1580"/>
      <c r="N709" s="1580"/>
      <c r="O709" s="1580"/>
      <c r="P709" s="1580"/>
      <c r="Q709" s="1580"/>
      <c r="R709" s="1580"/>
    </row>
    <row r="710" customFormat="false" ht="15.75" hidden="false" customHeight="false" outlineLevel="0" collapsed="false">
      <c r="A710" s="837" t="s">
        <v>2922</v>
      </c>
      <c r="B710" s="837" t="n">
        <f aca="false">SUM(B708:B709)*B711</f>
        <v>0</v>
      </c>
      <c r="C710" s="1579"/>
      <c r="D710" s="1579"/>
      <c r="E710" s="1579"/>
      <c r="F710" s="1579"/>
      <c r="G710" s="1579"/>
      <c r="H710" s="1579"/>
      <c r="I710" s="1579"/>
      <c r="J710" s="1579"/>
      <c r="K710" s="1579"/>
      <c r="L710" s="1580"/>
      <c r="M710" s="1580"/>
      <c r="N710" s="1580"/>
      <c r="O710" s="1580"/>
      <c r="P710" s="1580"/>
      <c r="Q710" s="1580"/>
      <c r="R710" s="1580"/>
    </row>
    <row r="711" customFormat="false" ht="15.75" hidden="false" customHeight="false" outlineLevel="0" collapsed="false">
      <c r="A711" s="2645" t="s">
        <v>4079</v>
      </c>
      <c r="B711" s="2618"/>
      <c r="C711" s="2619" t="s">
        <v>3811</v>
      </c>
      <c r="D711" s="2619"/>
      <c r="E711" s="2619"/>
      <c r="F711" s="2619"/>
      <c r="G711" s="2630"/>
      <c r="H711" s="1580"/>
      <c r="I711" s="1580"/>
      <c r="J711" s="1580"/>
      <c r="K711" s="1580"/>
      <c r="L711" s="1580"/>
      <c r="M711" s="1580"/>
      <c r="N711" s="1580"/>
      <c r="O711" s="1580"/>
      <c r="P711" s="1580"/>
      <c r="Q711" s="1580"/>
      <c r="R711" s="1580"/>
    </row>
    <row r="712" customFormat="false" ht="15.75" hidden="false" customHeight="false" outlineLevel="0" collapsed="false">
      <c r="A712" s="2637"/>
      <c r="B712" s="1580"/>
      <c r="C712" s="2630"/>
      <c r="D712" s="2630"/>
      <c r="E712" s="1580"/>
      <c r="F712" s="2630"/>
      <c r="G712" s="2630"/>
      <c r="H712" s="1580"/>
      <c r="I712" s="1580"/>
      <c r="J712" s="1580"/>
      <c r="K712" s="1580"/>
      <c r="L712" s="1580"/>
      <c r="M712" s="1580"/>
      <c r="N712" s="1580"/>
      <c r="O712" s="1580"/>
      <c r="P712" s="1580"/>
      <c r="Q712" s="1580"/>
      <c r="R712" s="1580"/>
    </row>
    <row r="713" customFormat="false" ht="15.75" hidden="false" customHeight="false" outlineLevel="0" collapsed="false">
      <c r="A713" s="2637" t="s">
        <v>4080</v>
      </c>
      <c r="B713" s="1580"/>
      <c r="C713" s="2630" t="s">
        <v>550</v>
      </c>
      <c r="D713" s="2630" t="s">
        <v>1843</v>
      </c>
      <c r="E713" s="1580" t="s">
        <v>2511</v>
      </c>
      <c r="F713" s="2630" t="s">
        <v>118</v>
      </c>
      <c r="G713" s="2630"/>
      <c r="H713" s="1580"/>
      <c r="I713" s="1580"/>
      <c r="J713" s="1580"/>
      <c r="K713" s="1580"/>
      <c r="L713" s="1580"/>
      <c r="M713" s="1580"/>
      <c r="N713" s="1580"/>
      <c r="O713" s="1580"/>
      <c r="P713" s="1580"/>
      <c r="Q713" s="1580"/>
      <c r="R713" s="1580"/>
    </row>
    <row r="714" customFormat="false" ht="15.75" hidden="false" customHeight="false" outlineLevel="0" collapsed="false">
      <c r="A714" s="2637" t="str">
        <f aca="false">'Ввод данных'!A1213</f>
        <v>MR10 78X160</v>
      </c>
      <c r="B714" s="1580"/>
      <c r="C714" s="2630" t="n">
        <f aca="false">VLOOKUP(A714,'Прайс лист'!B1162:G1173,6,0)</f>
        <v>7353</v>
      </c>
      <c r="D714" s="2630" t="n">
        <f aca="false">VLOOKUP(A714,'Прайс лист'!B1162:G1173,5,0)</f>
        <v>15000</v>
      </c>
      <c r="E714" s="1580" t="n">
        <f aca="false">VLOOKUP(A714,'Прайс лист'!B1547:G1558,6,0)</f>
        <v>4200</v>
      </c>
      <c r="F714" s="2630" t="n">
        <f aca="false">'Ввод данных'!C1213</f>
        <v>1</v>
      </c>
      <c r="G714" s="2630"/>
      <c r="H714" s="1580"/>
      <c r="I714" s="1580"/>
      <c r="J714" s="1580"/>
      <c r="K714" s="1580"/>
      <c r="L714" s="1580"/>
      <c r="M714" s="1580"/>
      <c r="N714" s="1580"/>
      <c r="O714" s="1580"/>
      <c r="P714" s="1580"/>
      <c r="Q714" s="1580"/>
      <c r="R714" s="1580"/>
    </row>
    <row r="715" customFormat="false" ht="15.75" hidden="false" customHeight="false" outlineLevel="0" collapsed="false">
      <c r="A715" s="2637" t="str">
        <f aca="false">'Ввод данных'!A1214</f>
        <v>MR08 78X140</v>
      </c>
      <c r="B715" s="1580"/>
      <c r="C715" s="2630" t="n">
        <f aca="false">VLOOKUP(A715,'Прайс лист'!B1162:G1173,6,0)</f>
        <v>6673</v>
      </c>
      <c r="D715" s="2630" t="n">
        <f aca="false">VLOOKUP(A715,'Прайс лист'!B1162:G1173,5,0)</f>
        <v>14833</v>
      </c>
      <c r="E715" s="1580" t="n">
        <f aca="false">VLOOKUP(A715,'Прайс лист'!B1547:G1558,6,0)</f>
        <v>4000</v>
      </c>
      <c r="F715" s="2630" t="n">
        <f aca="false">'Ввод данных'!C1214</f>
        <v>2</v>
      </c>
      <c r="G715" s="2630"/>
      <c r="H715" s="1580"/>
      <c r="I715" s="1580"/>
      <c r="J715" s="1580"/>
      <c r="K715" s="1580"/>
      <c r="L715" s="1580"/>
      <c r="M715" s="1580"/>
      <c r="N715" s="1580"/>
      <c r="O715" s="1580"/>
      <c r="P715" s="1580"/>
      <c r="Q715" s="1580"/>
      <c r="R715" s="1580"/>
    </row>
    <row r="716" customFormat="false" ht="15.75" hidden="false" customHeight="false" outlineLevel="0" collapsed="false">
      <c r="A716" s="2637" t="str">
        <f aca="false">'Ввод данных'!A1215</f>
        <v>MR10 78X160</v>
      </c>
      <c r="B716" s="1580"/>
      <c r="C716" s="2630" t="n">
        <f aca="false">VLOOKUP(A716,'Прайс лист'!B1162:G1173,6,0)</f>
        <v>7353</v>
      </c>
      <c r="D716" s="2630" t="n">
        <f aca="false">VLOOKUP(A716,'Прайс лист'!B1162:G1173,5,0)</f>
        <v>15000</v>
      </c>
      <c r="E716" s="1580" t="n">
        <f aca="false">VLOOKUP(A716,'Прайс лист'!B1547:G1558,6,0)</f>
        <v>4200</v>
      </c>
      <c r="F716" s="2630" t="n">
        <f aca="false">'Ввод данных'!C1215</f>
        <v>5</v>
      </c>
      <c r="G716" s="2630"/>
      <c r="H716" s="1580"/>
      <c r="I716" s="1580"/>
      <c r="J716" s="1580"/>
      <c r="K716" s="1580"/>
      <c r="L716" s="1580"/>
      <c r="M716" s="1580"/>
      <c r="N716" s="1580"/>
      <c r="O716" s="1580"/>
      <c r="P716" s="1580"/>
      <c r="Q716" s="1580"/>
      <c r="R716" s="1580"/>
    </row>
    <row r="717" customFormat="false" ht="15.75" hidden="false" customHeight="false" outlineLevel="0" collapsed="false">
      <c r="A717" s="2637" t="str">
        <f aca="false">'Ввод данных'!A1216</f>
        <v>MR04 78X98</v>
      </c>
      <c r="B717" s="1580"/>
      <c r="C717" s="2630" t="n">
        <f aca="false">VLOOKUP(A717,'Прайс лист'!B1162:G1173,6,0)</f>
        <v>5993</v>
      </c>
      <c r="D717" s="2630" t="n">
        <f aca="false">VLOOKUP(A717,'Прайс лист'!B1162:G1173,5,0)</f>
        <v>12665</v>
      </c>
      <c r="E717" s="1580" t="n">
        <f aca="false">VLOOKUP(A717,'Прайс лист'!B1547:G1558,6,0)</f>
        <v>3700</v>
      </c>
      <c r="F717" s="2630" t="n">
        <f aca="false">'Ввод данных'!C1216</f>
        <v>0</v>
      </c>
      <c r="G717" s="2630"/>
      <c r="H717" s="1580"/>
      <c r="I717" s="1580"/>
      <c r="J717" s="1580"/>
      <c r="K717" s="1580"/>
      <c r="L717" s="1580"/>
      <c r="M717" s="1580"/>
      <c r="N717" s="1580"/>
      <c r="O717" s="1580"/>
      <c r="P717" s="1580"/>
      <c r="Q717" s="1580"/>
      <c r="R717" s="1580"/>
    </row>
    <row r="718" customFormat="false" ht="15.75" hidden="false" customHeight="false" outlineLevel="0" collapsed="false">
      <c r="A718" s="2637"/>
      <c r="B718" s="1580"/>
      <c r="C718" s="2630"/>
      <c r="D718" s="2630"/>
      <c r="E718" s="1580"/>
      <c r="F718" s="2630"/>
      <c r="G718" s="2630"/>
      <c r="H718" s="1580"/>
      <c r="I718" s="1580"/>
      <c r="J718" s="1580"/>
      <c r="K718" s="1580"/>
      <c r="L718" s="1580"/>
      <c r="M718" s="1580"/>
      <c r="N718" s="1580"/>
      <c r="O718" s="1580"/>
      <c r="P718" s="1580"/>
      <c r="Q718" s="1580"/>
      <c r="R718" s="1580"/>
    </row>
    <row r="719" customFormat="false" ht="15.75" hidden="false" customHeight="false" outlineLevel="0" collapsed="false">
      <c r="A719" s="2637"/>
      <c r="B719" s="1580"/>
      <c r="C719" s="2630"/>
      <c r="D719" s="2630"/>
      <c r="E719" s="1580"/>
      <c r="F719" s="2630"/>
      <c r="G719" s="2630"/>
      <c r="H719" s="1580"/>
      <c r="I719" s="1580"/>
      <c r="J719" s="1580"/>
      <c r="K719" s="1580"/>
      <c r="L719" s="1580"/>
      <c r="M719" s="1580"/>
      <c r="N719" s="1580"/>
      <c r="O719" s="1580"/>
      <c r="P719" s="1580"/>
      <c r="Q719" s="1580"/>
      <c r="R719" s="1580"/>
    </row>
    <row r="720" customFormat="false" ht="31.5" hidden="false" customHeight="false" outlineLevel="0" collapsed="false">
      <c r="A720" s="767" t="s">
        <v>2122</v>
      </c>
      <c r="B720" s="2587" t="s">
        <v>12</v>
      </c>
      <c r="C720" s="2588" t="s">
        <v>118</v>
      </c>
      <c r="D720" s="2588" t="s">
        <v>1590</v>
      </c>
      <c r="E720" s="2587" t="s">
        <v>2661</v>
      </c>
      <c r="F720" s="2630"/>
      <c r="G720" s="2588" t="s">
        <v>4081</v>
      </c>
      <c r="H720" s="2587" t="s">
        <v>12</v>
      </c>
      <c r="I720" s="2588" t="s">
        <v>118</v>
      </c>
      <c r="J720" s="2588" t="s">
        <v>1590</v>
      </c>
      <c r="K720" s="2587" t="s">
        <v>2661</v>
      </c>
      <c r="L720" s="1580"/>
      <c r="M720" s="1580"/>
      <c r="N720" s="1580"/>
      <c r="O720" s="1580"/>
      <c r="P720" s="1580"/>
      <c r="Q720" s="1580"/>
      <c r="R720" s="1580"/>
    </row>
    <row r="721" customFormat="false" ht="31.5" hidden="false" customHeight="false" outlineLevel="0" collapsed="false">
      <c r="A721" s="767" t="str">
        <f aca="false">A714</f>
        <v>MR10 78X160</v>
      </c>
      <c r="B721" s="2587" t="s">
        <v>48</v>
      </c>
      <c r="C721" s="2588" t="n">
        <f aca="false">F714</f>
        <v>1</v>
      </c>
      <c r="D721" s="2588" t="n">
        <f aca="false">C714+D714</f>
        <v>22353</v>
      </c>
      <c r="E721" s="2587" t="n">
        <f aca="false">C721*D721</f>
        <v>22353</v>
      </c>
      <c r="F721" s="2630"/>
      <c r="G721" s="2588" t="str">
        <f aca="false">A714</f>
        <v>MR10 78X160</v>
      </c>
      <c r="H721" s="2587" t="s">
        <v>48</v>
      </c>
      <c r="I721" s="2587" t="n">
        <f aca="false">F714</f>
        <v>1</v>
      </c>
      <c r="J721" s="2587" t="n">
        <f aca="false">E714</f>
        <v>4200</v>
      </c>
      <c r="K721" s="2587" t="n">
        <f aca="false">I721*J721</f>
        <v>4200</v>
      </c>
      <c r="L721" s="1580"/>
      <c r="M721" s="1580"/>
      <c r="N721" s="1580"/>
      <c r="O721" s="1580"/>
      <c r="P721" s="1580"/>
      <c r="Q721" s="1580"/>
      <c r="R721" s="1580"/>
    </row>
    <row r="722" customFormat="false" ht="31.5" hidden="false" customHeight="false" outlineLevel="0" collapsed="false">
      <c r="A722" s="767" t="str">
        <f aca="false">A715</f>
        <v>MR08 78X140</v>
      </c>
      <c r="B722" s="2587" t="s">
        <v>48</v>
      </c>
      <c r="C722" s="2588" t="n">
        <f aca="false">F715</f>
        <v>2</v>
      </c>
      <c r="D722" s="2588" t="n">
        <f aca="false">C715+D715</f>
        <v>21506</v>
      </c>
      <c r="E722" s="2587" t="n">
        <f aca="false">C722*D722</f>
        <v>43012</v>
      </c>
      <c r="F722" s="2630"/>
      <c r="G722" s="2588" t="str">
        <f aca="false">A715</f>
        <v>MR08 78X140</v>
      </c>
      <c r="H722" s="2587" t="s">
        <v>48</v>
      </c>
      <c r="I722" s="2587" t="n">
        <f aca="false">F715</f>
        <v>2</v>
      </c>
      <c r="J722" s="2587" t="n">
        <f aca="false">E715</f>
        <v>4000</v>
      </c>
      <c r="K722" s="2587" t="n">
        <f aca="false">I722*J722</f>
        <v>8000</v>
      </c>
      <c r="L722" s="1580"/>
      <c r="M722" s="1580"/>
      <c r="N722" s="1580"/>
      <c r="O722" s="1580"/>
      <c r="P722" s="1580"/>
      <c r="Q722" s="1580"/>
      <c r="R722" s="1580"/>
    </row>
    <row r="723" customFormat="false" ht="31.5" hidden="false" customHeight="false" outlineLevel="0" collapsed="false">
      <c r="A723" s="767" t="str">
        <f aca="false">A716</f>
        <v>MR10 78X160</v>
      </c>
      <c r="B723" s="2587" t="s">
        <v>48</v>
      </c>
      <c r="C723" s="2588" t="n">
        <f aca="false">F716</f>
        <v>5</v>
      </c>
      <c r="D723" s="2588" t="n">
        <f aca="false">C716+D716</f>
        <v>22353</v>
      </c>
      <c r="E723" s="2587" t="n">
        <f aca="false">C723*D723</f>
        <v>111765</v>
      </c>
      <c r="F723" s="2630"/>
      <c r="G723" s="2588" t="str">
        <f aca="false">A716</f>
        <v>MR10 78X160</v>
      </c>
      <c r="H723" s="2587" t="s">
        <v>48</v>
      </c>
      <c r="I723" s="2587" t="n">
        <f aca="false">F716</f>
        <v>5</v>
      </c>
      <c r="J723" s="2587" t="n">
        <f aca="false">E716</f>
        <v>4200</v>
      </c>
      <c r="K723" s="2587" t="n">
        <f aca="false">I723*J723</f>
        <v>21000</v>
      </c>
      <c r="L723" s="1580"/>
      <c r="M723" s="1580"/>
      <c r="N723" s="1580"/>
      <c r="O723" s="1580"/>
      <c r="P723" s="1580"/>
      <c r="Q723" s="1580"/>
      <c r="R723" s="1580"/>
    </row>
    <row r="724" customFormat="false" ht="31.5" hidden="false" customHeight="false" outlineLevel="0" collapsed="false">
      <c r="A724" s="767" t="str">
        <f aca="false">A717</f>
        <v>MR04 78X98</v>
      </c>
      <c r="B724" s="2587" t="s">
        <v>48</v>
      </c>
      <c r="C724" s="2588" t="n">
        <f aca="false">F717</f>
        <v>0</v>
      </c>
      <c r="D724" s="2588" t="n">
        <f aca="false">C717+D717</f>
        <v>18658</v>
      </c>
      <c r="E724" s="2587" t="n">
        <f aca="false">C724*D724</f>
        <v>0</v>
      </c>
      <c r="F724" s="2630"/>
      <c r="G724" s="2588" t="str">
        <f aca="false">A717</f>
        <v>MR04 78X98</v>
      </c>
      <c r="H724" s="2587" t="s">
        <v>48</v>
      </c>
      <c r="I724" s="2587" t="n">
        <f aca="false">F717</f>
        <v>0</v>
      </c>
      <c r="J724" s="2587" t="n">
        <f aca="false">E717</f>
        <v>3700</v>
      </c>
      <c r="K724" s="2587" t="n">
        <f aca="false">I724*J724</f>
        <v>0</v>
      </c>
      <c r="L724" s="1580"/>
      <c r="M724" s="1580"/>
      <c r="N724" s="1580"/>
      <c r="O724" s="1580"/>
      <c r="P724" s="1580"/>
      <c r="Q724" s="1580"/>
      <c r="R724" s="1580"/>
    </row>
    <row r="725" customFormat="false" ht="15.75" hidden="false" customHeight="false" outlineLevel="0" collapsed="false">
      <c r="A725" s="2637"/>
      <c r="B725" s="1580"/>
      <c r="C725" s="2630"/>
      <c r="D725" s="2630"/>
      <c r="E725" s="1580"/>
      <c r="F725" s="2630"/>
      <c r="G725" s="2630"/>
      <c r="H725" s="1580"/>
      <c r="I725" s="1580"/>
      <c r="J725" s="1580"/>
      <c r="K725" s="1580"/>
      <c r="L725" s="1580"/>
      <c r="M725" s="1580"/>
      <c r="N725" s="1580"/>
      <c r="O725" s="1580"/>
      <c r="P725" s="1580"/>
      <c r="Q725" s="1580"/>
      <c r="R725" s="1580"/>
    </row>
    <row r="726" customFormat="false" ht="15.75" hidden="false" customHeight="false" outlineLevel="0" collapsed="false">
      <c r="A726" s="2637"/>
      <c r="B726" s="1580"/>
      <c r="C726" s="2630"/>
      <c r="D726" s="2630"/>
      <c r="E726" s="1580"/>
      <c r="F726" s="2630"/>
      <c r="G726" s="2630"/>
      <c r="H726" s="1580"/>
      <c r="I726" s="1580"/>
      <c r="J726" s="1580"/>
      <c r="K726" s="1580"/>
      <c r="L726" s="1580"/>
      <c r="M726" s="1580"/>
      <c r="N726" s="1580"/>
      <c r="O726" s="1580"/>
      <c r="P726" s="1580"/>
      <c r="Q726" s="1580"/>
      <c r="R726" s="1580"/>
    </row>
    <row r="727" customFormat="false" ht="15.75" hidden="false" customHeight="false" outlineLevel="0" collapsed="false">
      <c r="A727" s="2637"/>
      <c r="B727" s="1580"/>
      <c r="C727" s="2630"/>
      <c r="D727" s="2630"/>
      <c r="E727" s="1580"/>
      <c r="F727" s="2630"/>
      <c r="G727" s="2630"/>
      <c r="H727" s="1580"/>
      <c r="I727" s="1580"/>
      <c r="J727" s="1580"/>
      <c r="K727" s="1580"/>
      <c r="L727" s="1580"/>
      <c r="M727" s="1580"/>
      <c r="N727" s="1580"/>
      <c r="O727" s="1580"/>
      <c r="P727" s="1580"/>
      <c r="Q727" s="1580"/>
      <c r="R727" s="1580"/>
    </row>
    <row r="728" customFormat="false" ht="15.75" hidden="false" customHeight="false" outlineLevel="0" collapsed="false">
      <c r="A728" s="2637"/>
      <c r="B728" s="1580"/>
      <c r="C728" s="2630"/>
      <c r="D728" s="2630"/>
      <c r="E728" s="1580"/>
      <c r="F728" s="2630"/>
      <c r="G728" s="2630"/>
      <c r="H728" s="1580"/>
      <c r="I728" s="1580"/>
      <c r="J728" s="1580"/>
      <c r="K728" s="1580"/>
      <c r="L728" s="1580"/>
      <c r="M728" s="1580"/>
      <c r="N728" s="1580"/>
      <c r="O728" s="1580"/>
      <c r="P728" s="1580"/>
      <c r="Q728" s="1580"/>
      <c r="R728" s="1580"/>
    </row>
    <row r="729" customFormat="false" ht="15.75" hidden="false" customHeight="false" outlineLevel="0" collapsed="false">
      <c r="A729" s="2637"/>
      <c r="B729" s="1580"/>
      <c r="C729" s="2630"/>
      <c r="D729" s="2630"/>
      <c r="E729" s="1580"/>
      <c r="F729" s="2630"/>
      <c r="G729" s="2630"/>
      <c r="H729" s="1580"/>
      <c r="I729" s="1580"/>
      <c r="J729" s="1580"/>
      <c r="K729" s="1580"/>
      <c r="L729" s="1580"/>
      <c r="M729" s="1580"/>
      <c r="N729" s="1580"/>
      <c r="O729" s="1580"/>
      <c r="P729" s="1580"/>
      <c r="Q729" s="1580"/>
      <c r="R729" s="1580"/>
    </row>
    <row r="730" customFormat="false" ht="15.75" hidden="false" customHeight="false" outlineLevel="0" collapsed="false">
      <c r="A730" s="2637"/>
      <c r="B730" s="1580"/>
      <c r="C730" s="2630"/>
      <c r="D730" s="2630"/>
      <c r="E730" s="1580"/>
      <c r="F730" s="2630"/>
      <c r="G730" s="2630"/>
      <c r="H730" s="1580"/>
      <c r="I730" s="1580"/>
      <c r="J730" s="1580"/>
      <c r="K730" s="1580"/>
      <c r="L730" s="1580"/>
      <c r="M730" s="1580"/>
      <c r="N730" s="1580"/>
      <c r="O730" s="1580"/>
      <c r="P730" s="1580"/>
      <c r="Q730" s="1580"/>
      <c r="R730" s="1580"/>
    </row>
    <row r="731" customFormat="false" ht="15.75" hidden="false" customHeight="false" outlineLevel="0" collapsed="false">
      <c r="A731" s="2637"/>
      <c r="B731" s="1580"/>
      <c r="C731" s="2630"/>
      <c r="D731" s="2630"/>
      <c r="E731" s="1580"/>
      <c r="F731" s="2630"/>
      <c r="G731" s="2630"/>
      <c r="H731" s="1580"/>
      <c r="I731" s="1580"/>
      <c r="J731" s="1580"/>
      <c r="K731" s="1580"/>
      <c r="L731" s="1580"/>
      <c r="M731" s="1580"/>
      <c r="N731" s="1580"/>
      <c r="O731" s="1580"/>
      <c r="P731" s="1580"/>
      <c r="Q731" s="1580"/>
      <c r="R731" s="1580"/>
    </row>
    <row r="732" customFormat="false" ht="15.75" hidden="false" customHeight="false" outlineLevel="0" collapsed="false">
      <c r="A732" s="2637"/>
      <c r="B732" s="1580"/>
      <c r="C732" s="2630"/>
      <c r="D732" s="2630"/>
      <c r="E732" s="1580"/>
      <c r="F732" s="2630"/>
      <c r="G732" s="2630"/>
      <c r="H732" s="1580"/>
      <c r="I732" s="1580"/>
      <c r="J732" s="1580"/>
      <c r="K732" s="1580"/>
      <c r="L732" s="1580"/>
      <c r="M732" s="1580"/>
      <c r="N732" s="1580"/>
      <c r="O732" s="1580"/>
      <c r="P732" s="1580"/>
      <c r="Q732" s="1580"/>
      <c r="R732" s="1580"/>
    </row>
    <row r="733" customFormat="false" ht="15.75" hidden="false" customHeight="false" outlineLevel="0" collapsed="false">
      <c r="A733" s="2637"/>
      <c r="B733" s="1580"/>
      <c r="C733" s="2630"/>
      <c r="D733" s="2630"/>
      <c r="E733" s="1580"/>
      <c r="F733" s="2630"/>
      <c r="G733" s="2630"/>
      <c r="H733" s="1580"/>
      <c r="I733" s="1580"/>
      <c r="J733" s="1580"/>
      <c r="K733" s="1580"/>
      <c r="L733" s="1580"/>
      <c r="M733" s="1580"/>
      <c r="N733" s="1580"/>
      <c r="O733" s="1580"/>
      <c r="P733" s="1580"/>
      <c r="Q733" s="1580"/>
      <c r="R733" s="1580"/>
    </row>
    <row r="734" customFormat="false" ht="15.75" hidden="false" customHeight="false" outlineLevel="0" collapsed="false">
      <c r="A734" s="2637"/>
      <c r="B734" s="1580"/>
      <c r="C734" s="2630"/>
      <c r="D734" s="2630"/>
      <c r="E734" s="1580"/>
      <c r="F734" s="2630"/>
      <c r="G734" s="2630"/>
      <c r="H734" s="1580"/>
      <c r="I734" s="1580"/>
      <c r="J734" s="1580"/>
      <c r="K734" s="1580"/>
      <c r="L734" s="1580"/>
      <c r="M734" s="1580"/>
      <c r="N734" s="1580"/>
      <c r="O734" s="1580"/>
      <c r="P734" s="1580"/>
      <c r="Q734" s="1580"/>
      <c r="R734" s="1580"/>
    </row>
    <row r="735" customFormat="false" ht="15.75" hidden="false" customHeight="false" outlineLevel="0" collapsed="false">
      <c r="A735" s="2637"/>
      <c r="B735" s="1580"/>
      <c r="C735" s="2630"/>
      <c r="D735" s="2630"/>
      <c r="E735" s="1580"/>
      <c r="F735" s="2630"/>
      <c r="G735" s="2630"/>
      <c r="H735" s="1580"/>
      <c r="I735" s="1580"/>
      <c r="J735" s="1580"/>
      <c r="K735" s="1580"/>
      <c r="L735" s="1580"/>
      <c r="M735" s="1580"/>
      <c r="N735" s="1580"/>
      <c r="O735" s="1580"/>
      <c r="P735" s="1580"/>
      <c r="Q735" s="1580"/>
      <c r="R735" s="1580"/>
    </row>
    <row r="736" customFormat="false" ht="15.75" hidden="false" customHeight="false" outlineLevel="0" collapsed="false">
      <c r="A736" s="2637"/>
      <c r="B736" s="1580"/>
      <c r="C736" s="2630"/>
      <c r="D736" s="2630"/>
      <c r="E736" s="1580"/>
      <c r="F736" s="2630"/>
      <c r="G736" s="2630"/>
      <c r="H736" s="1580"/>
      <c r="I736" s="1580"/>
      <c r="J736" s="1580"/>
      <c r="K736" s="1580"/>
      <c r="L736" s="1580"/>
      <c r="M736" s="1580"/>
      <c r="N736" s="1580"/>
      <c r="O736" s="1580"/>
      <c r="P736" s="1580"/>
      <c r="Q736" s="1580"/>
      <c r="R736" s="1580"/>
    </row>
    <row r="737" customFormat="false" ht="15.75" hidden="false" customHeight="false" outlineLevel="0" collapsed="false">
      <c r="A737" s="2637"/>
      <c r="B737" s="1580"/>
      <c r="C737" s="2630"/>
      <c r="D737" s="2630"/>
      <c r="E737" s="1580"/>
      <c r="F737" s="2630"/>
      <c r="G737" s="2630"/>
      <c r="H737" s="1580"/>
      <c r="I737" s="1580"/>
      <c r="J737" s="1580"/>
      <c r="K737" s="1580"/>
      <c r="L737" s="1580"/>
      <c r="M737" s="1580"/>
      <c r="N737" s="1580"/>
      <c r="O737" s="1580"/>
      <c r="P737" s="1580"/>
      <c r="Q737" s="1580"/>
      <c r="R737" s="1580"/>
    </row>
    <row r="738" customFormat="false" ht="15.75" hidden="false" customHeight="false" outlineLevel="0" collapsed="false">
      <c r="A738" s="2637"/>
      <c r="B738" s="1580"/>
      <c r="C738" s="2630"/>
      <c r="D738" s="2630"/>
      <c r="E738" s="1580"/>
      <c r="F738" s="2630"/>
      <c r="G738" s="2630"/>
      <c r="H738" s="1580"/>
      <c r="I738" s="1580"/>
      <c r="J738" s="1580"/>
      <c r="K738" s="1580"/>
      <c r="L738" s="1580"/>
      <c r="M738" s="1580"/>
      <c r="N738" s="1580"/>
      <c r="O738" s="1580"/>
      <c r="P738" s="1580"/>
      <c r="Q738" s="1580"/>
      <c r="R738" s="1580"/>
    </row>
    <row r="739" customFormat="false" ht="15.75" hidden="false" customHeight="false" outlineLevel="0" collapsed="false">
      <c r="A739" s="2637"/>
      <c r="B739" s="1580"/>
      <c r="C739" s="2630"/>
      <c r="D739" s="2630"/>
      <c r="E739" s="1580"/>
      <c r="F739" s="2630"/>
      <c r="G739" s="2630"/>
      <c r="H739" s="1580"/>
      <c r="I739" s="1580"/>
      <c r="J739" s="1580"/>
      <c r="K739" s="1580"/>
      <c r="L739" s="1580"/>
      <c r="M739" s="1580"/>
      <c r="N739" s="1580"/>
      <c r="O739" s="1580"/>
      <c r="P739" s="1580"/>
      <c r="Q739" s="1580"/>
      <c r="R739" s="1580"/>
    </row>
    <row r="740" customFormat="false" ht="15.75" hidden="false" customHeight="false" outlineLevel="0" collapsed="false">
      <c r="A740" s="2637"/>
      <c r="B740" s="1580"/>
      <c r="C740" s="2630"/>
      <c r="D740" s="2630"/>
      <c r="E740" s="1580"/>
      <c r="F740" s="2630"/>
      <c r="G740" s="2630"/>
      <c r="H740" s="1580"/>
      <c r="I740" s="1580"/>
      <c r="J740" s="1580"/>
      <c r="K740" s="1580"/>
      <c r="L740" s="1580"/>
      <c r="M740" s="1580"/>
      <c r="N740" s="1580"/>
      <c r="O740" s="1580"/>
      <c r="P740" s="1580"/>
      <c r="Q740" s="1580"/>
      <c r="R740" s="1580"/>
    </row>
    <row r="741" customFormat="false" ht="15.75" hidden="false" customHeight="false" outlineLevel="0" collapsed="false">
      <c r="A741" s="2637"/>
      <c r="B741" s="1580"/>
      <c r="C741" s="2630"/>
      <c r="D741" s="2630"/>
      <c r="E741" s="1580"/>
      <c r="F741" s="2630"/>
      <c r="G741" s="2630"/>
      <c r="H741" s="1580"/>
      <c r="I741" s="1580"/>
      <c r="J741" s="1580"/>
      <c r="K741" s="1580"/>
      <c r="L741" s="1580"/>
      <c r="M741" s="1580"/>
      <c r="N741" s="1580"/>
      <c r="O741" s="1580"/>
      <c r="P741" s="1580"/>
      <c r="Q741" s="1580"/>
      <c r="R741" s="1580"/>
    </row>
    <row r="742" customFormat="false" ht="15.75" hidden="false" customHeight="false" outlineLevel="0" collapsed="false">
      <c r="A742" s="2637"/>
      <c r="B742" s="1580"/>
      <c r="C742" s="2630"/>
      <c r="D742" s="2630"/>
      <c r="E742" s="1580"/>
      <c r="F742" s="2630"/>
      <c r="G742" s="2630"/>
      <c r="H742" s="1580"/>
      <c r="I742" s="1580"/>
      <c r="J742" s="1580"/>
      <c r="K742" s="1580"/>
      <c r="L742" s="1580"/>
      <c r="M742" s="1580"/>
      <c r="N742" s="1580"/>
      <c r="O742" s="1580"/>
      <c r="P742" s="1580"/>
      <c r="Q742" s="1580"/>
      <c r="R742" s="1580"/>
    </row>
    <row r="743" customFormat="false" ht="15.75" hidden="false" customHeight="false" outlineLevel="0" collapsed="false">
      <c r="A743" s="2637"/>
      <c r="B743" s="1580"/>
      <c r="C743" s="2630"/>
      <c r="D743" s="2630"/>
      <c r="E743" s="1580"/>
      <c r="F743" s="2630"/>
      <c r="G743" s="2630"/>
      <c r="H743" s="1580"/>
      <c r="I743" s="1580"/>
      <c r="J743" s="1580"/>
      <c r="K743" s="1580"/>
      <c r="L743" s="1580"/>
      <c r="M743" s="1580"/>
      <c r="N743" s="1580"/>
      <c r="O743" s="1580"/>
      <c r="P743" s="1580"/>
      <c r="Q743" s="1580"/>
      <c r="R743" s="1580"/>
    </row>
    <row r="744" customFormat="false" ht="15.75" hidden="false" customHeight="false" outlineLevel="0" collapsed="false">
      <c r="A744" s="2637"/>
      <c r="B744" s="1580"/>
      <c r="C744" s="2630"/>
      <c r="D744" s="2630"/>
      <c r="E744" s="1580"/>
      <c r="F744" s="2630"/>
      <c r="G744" s="2630"/>
      <c r="H744" s="1580"/>
      <c r="I744" s="1580"/>
      <c r="J744" s="1580"/>
      <c r="K744" s="1580"/>
      <c r="L744" s="1580"/>
      <c r="M744" s="1580"/>
      <c r="N744" s="1580"/>
      <c r="O744" s="1580"/>
      <c r="P744" s="1580"/>
      <c r="Q744" s="1580"/>
      <c r="R744" s="1580"/>
    </row>
    <row r="745" customFormat="false" ht="15.75" hidden="false" customHeight="false" outlineLevel="0" collapsed="false">
      <c r="A745" s="2637"/>
      <c r="B745" s="1580"/>
      <c r="C745" s="2630"/>
      <c r="D745" s="2630"/>
      <c r="E745" s="1580"/>
      <c r="F745" s="2630"/>
      <c r="G745" s="2630"/>
      <c r="H745" s="1580"/>
      <c r="I745" s="1580"/>
      <c r="J745" s="1580"/>
      <c r="K745" s="1580"/>
      <c r="L745" s="1580"/>
      <c r="M745" s="1580"/>
      <c r="N745" s="1580"/>
      <c r="O745" s="1580"/>
      <c r="P745" s="1580"/>
      <c r="Q745" s="1580"/>
      <c r="R745" s="1580"/>
    </row>
    <row r="746" customFormat="false" ht="15.75" hidden="false" customHeight="false" outlineLevel="0" collapsed="false">
      <c r="A746" s="2637"/>
      <c r="B746" s="1580"/>
      <c r="C746" s="2630"/>
      <c r="D746" s="2630"/>
      <c r="E746" s="1580"/>
      <c r="F746" s="2630"/>
      <c r="G746" s="2630"/>
      <c r="H746" s="1580"/>
      <c r="I746" s="1580"/>
      <c r="J746" s="1580"/>
      <c r="K746" s="1580"/>
      <c r="L746" s="1580"/>
      <c r="M746" s="1580"/>
      <c r="N746" s="1580"/>
      <c r="O746" s="1580"/>
      <c r="P746" s="1580"/>
      <c r="Q746" s="1580"/>
      <c r="R746" s="1580"/>
    </row>
    <row r="747" customFormat="false" ht="15.75" hidden="false" customHeight="false" outlineLevel="0" collapsed="false">
      <c r="A747" s="2637"/>
      <c r="B747" s="1580"/>
      <c r="C747" s="2630"/>
      <c r="D747" s="2630"/>
      <c r="E747" s="1580"/>
      <c r="F747" s="2630"/>
      <c r="G747" s="2630"/>
      <c r="H747" s="1580"/>
      <c r="I747" s="1580"/>
      <c r="J747" s="1580"/>
      <c r="K747" s="1580"/>
      <c r="L747" s="1580"/>
      <c r="M747" s="1580"/>
      <c r="N747" s="1580"/>
      <c r="O747" s="1580"/>
      <c r="P747" s="1580"/>
      <c r="Q747" s="1580"/>
      <c r="R747" s="1580"/>
    </row>
    <row r="748" customFormat="false" ht="15.75" hidden="false" customHeight="false" outlineLevel="0" collapsed="false">
      <c r="A748" s="2637"/>
      <c r="B748" s="1580"/>
      <c r="C748" s="2630"/>
      <c r="D748" s="2630"/>
      <c r="E748" s="1580"/>
      <c r="F748" s="2630"/>
      <c r="G748" s="2630"/>
      <c r="H748" s="1580"/>
      <c r="I748" s="1580"/>
      <c r="J748" s="1580"/>
      <c r="K748" s="1580"/>
      <c r="L748" s="1580"/>
      <c r="M748" s="1580"/>
      <c r="N748" s="1580"/>
      <c r="O748" s="1580"/>
      <c r="P748" s="1580"/>
      <c r="Q748" s="1580"/>
      <c r="R748" s="1580"/>
    </row>
    <row r="749" customFormat="false" ht="15.75" hidden="false" customHeight="false" outlineLevel="0" collapsed="false">
      <c r="A749" s="2637"/>
      <c r="B749" s="1580"/>
      <c r="C749" s="2630"/>
      <c r="D749" s="2630"/>
      <c r="E749" s="1580"/>
      <c r="F749" s="2630"/>
      <c r="G749" s="2630"/>
      <c r="H749" s="1580"/>
      <c r="I749" s="1580"/>
      <c r="J749" s="1580"/>
      <c r="K749" s="1580"/>
      <c r="L749" s="1580"/>
      <c r="M749" s="1580"/>
      <c r="N749" s="1580"/>
      <c r="O749" s="1580"/>
      <c r="P749" s="1580"/>
      <c r="Q749" s="1580"/>
      <c r="R749" s="1580"/>
    </row>
    <row r="750" customFormat="false" ht="15.75" hidden="false" customHeight="false" outlineLevel="0" collapsed="false">
      <c r="A750" s="2637"/>
      <c r="B750" s="1580"/>
      <c r="C750" s="2630"/>
      <c r="D750" s="2630"/>
      <c r="E750" s="1580"/>
      <c r="F750" s="2630"/>
      <c r="G750" s="2630"/>
      <c r="H750" s="1580"/>
      <c r="I750" s="1580"/>
      <c r="J750" s="1580"/>
      <c r="K750" s="1580"/>
      <c r="L750" s="1580"/>
      <c r="M750" s="1580"/>
      <c r="N750" s="1580"/>
      <c r="O750" s="1580"/>
      <c r="P750" s="1580"/>
      <c r="Q750" s="1580"/>
      <c r="R750" s="1580"/>
    </row>
    <row r="751" customFormat="false" ht="15.75" hidden="false" customHeight="false" outlineLevel="0" collapsed="false">
      <c r="A751" s="2637"/>
      <c r="B751" s="1580"/>
      <c r="C751" s="2630"/>
      <c r="D751" s="2630"/>
      <c r="E751" s="1580"/>
      <c r="F751" s="2630"/>
      <c r="G751" s="2630"/>
      <c r="H751" s="1580"/>
      <c r="I751" s="1580"/>
      <c r="J751" s="1580"/>
      <c r="K751" s="1580"/>
      <c r="L751" s="1580"/>
      <c r="M751" s="1580"/>
      <c r="N751" s="1580"/>
      <c r="O751" s="1580"/>
      <c r="P751" s="1580"/>
      <c r="Q751" s="1580"/>
      <c r="R751" s="1580"/>
    </row>
    <row r="752" customFormat="false" ht="15.75" hidden="false" customHeight="false" outlineLevel="0" collapsed="false">
      <c r="A752" s="2637"/>
      <c r="B752" s="1580"/>
      <c r="C752" s="2630"/>
      <c r="D752" s="2630"/>
      <c r="E752" s="1580"/>
      <c r="F752" s="2630"/>
      <c r="G752" s="2630"/>
      <c r="H752" s="1580"/>
      <c r="I752" s="1580"/>
      <c r="J752" s="1580"/>
      <c r="K752" s="1580"/>
      <c r="L752" s="1580"/>
      <c r="M752" s="1580"/>
      <c r="N752" s="1580"/>
      <c r="O752" s="1580"/>
      <c r="P752" s="1580"/>
      <c r="Q752" s="1580"/>
      <c r="R752" s="1580"/>
    </row>
    <row r="753" customFormat="false" ht="15.75" hidden="false" customHeight="false" outlineLevel="0" collapsed="false">
      <c r="A753" s="2637"/>
      <c r="B753" s="1580"/>
      <c r="C753" s="2630"/>
      <c r="D753" s="2630"/>
      <c r="E753" s="1580"/>
      <c r="F753" s="2630"/>
      <c r="G753" s="2630"/>
      <c r="H753" s="1580"/>
      <c r="I753" s="1580"/>
      <c r="J753" s="1580"/>
      <c r="K753" s="1580"/>
      <c r="L753" s="1580"/>
      <c r="M753" s="1580"/>
      <c r="N753" s="1580"/>
      <c r="O753" s="1580"/>
      <c r="P753" s="1580"/>
      <c r="Q753" s="1580"/>
      <c r="R753" s="1580"/>
    </row>
    <row r="754" customFormat="false" ht="15.75" hidden="false" customHeight="false" outlineLevel="0" collapsed="false">
      <c r="A754" s="2637"/>
      <c r="B754" s="1580"/>
      <c r="C754" s="2630"/>
      <c r="D754" s="2630"/>
      <c r="E754" s="1580"/>
      <c r="F754" s="2630"/>
      <c r="G754" s="2630"/>
      <c r="H754" s="1580"/>
      <c r="I754" s="1580"/>
      <c r="J754" s="1580"/>
      <c r="K754" s="1580"/>
      <c r="L754" s="1580"/>
      <c r="M754" s="1580"/>
      <c r="N754" s="1580"/>
      <c r="O754" s="1580"/>
      <c r="P754" s="1580"/>
      <c r="Q754" s="1580"/>
      <c r="R754" s="1580"/>
    </row>
    <row r="755" customFormat="false" ht="15.75" hidden="false" customHeight="false" outlineLevel="0" collapsed="false">
      <c r="A755" s="2637"/>
      <c r="B755" s="1580"/>
      <c r="C755" s="2630"/>
      <c r="D755" s="2630"/>
      <c r="E755" s="1580"/>
      <c r="F755" s="2630"/>
      <c r="G755" s="2630"/>
      <c r="H755" s="1580"/>
      <c r="I755" s="1580"/>
      <c r="J755" s="1580"/>
      <c r="K755" s="1580"/>
      <c r="L755" s="1580"/>
      <c r="M755" s="1580"/>
      <c r="N755" s="1580"/>
      <c r="O755" s="1580"/>
      <c r="P755" s="1580"/>
      <c r="Q755" s="1580"/>
      <c r="R755" s="1580"/>
    </row>
    <row r="756" customFormat="false" ht="15.75" hidden="false" customHeight="false" outlineLevel="0" collapsed="false">
      <c r="A756" s="2637"/>
      <c r="B756" s="1580"/>
      <c r="C756" s="2630"/>
      <c r="D756" s="2630"/>
      <c r="E756" s="1580"/>
      <c r="F756" s="2630"/>
      <c r="G756" s="2630"/>
      <c r="H756" s="1580"/>
      <c r="I756" s="1580"/>
      <c r="J756" s="1580"/>
      <c r="K756" s="1580"/>
      <c r="L756" s="1580"/>
      <c r="M756" s="1580"/>
      <c r="N756" s="1580"/>
      <c r="O756" s="1580"/>
      <c r="P756" s="1580"/>
      <c r="Q756" s="1580"/>
      <c r="R756" s="1580"/>
    </row>
    <row r="757" customFormat="false" ht="15.75" hidden="false" customHeight="false" outlineLevel="0" collapsed="false">
      <c r="A757" s="2637"/>
      <c r="B757" s="1580"/>
      <c r="C757" s="2630"/>
      <c r="D757" s="2630"/>
      <c r="E757" s="1580"/>
      <c r="F757" s="2630"/>
      <c r="G757" s="2630"/>
      <c r="H757" s="1580"/>
      <c r="I757" s="1580"/>
      <c r="J757" s="1580"/>
      <c r="K757" s="1580"/>
      <c r="L757" s="1580"/>
      <c r="M757" s="1580"/>
      <c r="N757" s="1580"/>
      <c r="O757" s="1580"/>
      <c r="P757" s="1580"/>
      <c r="Q757" s="1580"/>
      <c r="R757" s="1580"/>
    </row>
    <row r="758" customFormat="false" ht="15.75" hidden="false" customHeight="false" outlineLevel="0" collapsed="false">
      <c r="A758" s="2637"/>
      <c r="B758" s="1580"/>
      <c r="C758" s="2630"/>
      <c r="D758" s="2630"/>
      <c r="E758" s="1580"/>
      <c r="F758" s="2630"/>
      <c r="G758" s="2630"/>
      <c r="H758" s="1580"/>
      <c r="I758" s="1580"/>
      <c r="J758" s="1580"/>
      <c r="K758" s="1580"/>
      <c r="L758" s="1580"/>
      <c r="M758" s="1580"/>
      <c r="N758" s="1580"/>
      <c r="O758" s="1580"/>
      <c r="P758" s="1580"/>
      <c r="Q758" s="1580"/>
      <c r="R758" s="1580"/>
    </row>
    <row r="759" customFormat="false" ht="15.75" hidden="false" customHeight="false" outlineLevel="0" collapsed="false">
      <c r="A759" s="2637"/>
      <c r="B759" s="1580"/>
      <c r="C759" s="2630"/>
      <c r="D759" s="2630"/>
      <c r="E759" s="1580"/>
      <c r="F759" s="2630"/>
      <c r="G759" s="2630"/>
      <c r="H759" s="1580"/>
      <c r="I759" s="1580"/>
      <c r="J759" s="1580"/>
      <c r="K759" s="1580"/>
      <c r="L759" s="1580"/>
      <c r="M759" s="1580"/>
      <c r="N759" s="1580"/>
      <c r="O759" s="1580"/>
      <c r="P759" s="1580"/>
      <c r="Q759" s="1580"/>
      <c r="R759" s="1580"/>
    </row>
    <row r="760" customFormat="false" ht="15.75" hidden="false" customHeight="false" outlineLevel="0" collapsed="false">
      <c r="A760" s="2637"/>
      <c r="B760" s="1580"/>
      <c r="C760" s="2630"/>
      <c r="D760" s="2630"/>
      <c r="E760" s="1580"/>
      <c r="F760" s="2630"/>
      <c r="G760" s="2630"/>
      <c r="H760" s="1580"/>
      <c r="I760" s="1580"/>
      <c r="J760" s="1580"/>
      <c r="K760" s="1580"/>
      <c r="L760" s="1580"/>
      <c r="M760" s="1580"/>
      <c r="N760" s="1580"/>
      <c r="O760" s="1580"/>
      <c r="P760" s="1580"/>
      <c r="Q760" s="1580"/>
      <c r="R760" s="1580"/>
    </row>
    <row r="761" customFormat="false" ht="15.75" hidden="false" customHeight="false" outlineLevel="0" collapsed="false">
      <c r="A761" s="2637"/>
      <c r="B761" s="1580"/>
      <c r="C761" s="2630"/>
      <c r="D761" s="2630"/>
      <c r="E761" s="1580"/>
      <c r="F761" s="2630"/>
      <c r="G761" s="2630"/>
      <c r="H761" s="1580"/>
      <c r="I761" s="1580"/>
      <c r="J761" s="1580"/>
      <c r="K761" s="1580"/>
      <c r="L761" s="1580"/>
      <c r="M761" s="1580"/>
      <c r="N761" s="1580"/>
      <c r="O761" s="1580"/>
      <c r="P761" s="1580"/>
      <c r="Q761" s="1580"/>
      <c r="R761" s="1580"/>
    </row>
    <row r="762" customFormat="false" ht="15.75" hidden="false" customHeight="false" outlineLevel="0" collapsed="false">
      <c r="A762" s="2637"/>
      <c r="B762" s="1580"/>
      <c r="C762" s="2630"/>
      <c r="D762" s="2630"/>
      <c r="E762" s="1580"/>
      <c r="F762" s="2630"/>
      <c r="G762" s="2630"/>
      <c r="H762" s="1580"/>
      <c r="I762" s="1580"/>
      <c r="J762" s="1580"/>
      <c r="K762" s="1580"/>
      <c r="L762" s="1580"/>
      <c r="M762" s="1580"/>
      <c r="N762" s="1580"/>
      <c r="O762" s="1580"/>
      <c r="P762" s="1580"/>
      <c r="Q762" s="1580"/>
      <c r="R762" s="1580"/>
    </row>
    <row r="763" customFormat="false" ht="15.75" hidden="false" customHeight="false" outlineLevel="0" collapsed="false">
      <c r="A763" s="2637"/>
      <c r="B763" s="1580"/>
      <c r="C763" s="2630"/>
      <c r="D763" s="2630"/>
      <c r="E763" s="1580"/>
      <c r="F763" s="2630"/>
      <c r="G763" s="2630"/>
      <c r="H763" s="1580"/>
      <c r="I763" s="1580"/>
      <c r="J763" s="1580"/>
      <c r="K763" s="1580"/>
      <c r="L763" s="1580"/>
      <c r="M763" s="1580"/>
      <c r="N763" s="1580"/>
      <c r="O763" s="1580"/>
      <c r="P763" s="1580"/>
      <c r="Q763" s="1580"/>
      <c r="R763" s="1580"/>
    </row>
    <row r="764" customFormat="false" ht="15.75" hidden="false" customHeight="false" outlineLevel="0" collapsed="false">
      <c r="A764" s="2637"/>
      <c r="B764" s="1580"/>
      <c r="C764" s="2630"/>
      <c r="D764" s="2630"/>
      <c r="E764" s="1580"/>
      <c r="F764" s="2630"/>
      <c r="G764" s="2630"/>
      <c r="H764" s="1580"/>
      <c r="I764" s="1580"/>
      <c r="J764" s="1580"/>
      <c r="K764" s="1580"/>
      <c r="L764" s="1580"/>
      <c r="M764" s="1580"/>
      <c r="N764" s="1580"/>
      <c r="O764" s="1580"/>
      <c r="P764" s="1580"/>
      <c r="Q764" s="1580"/>
      <c r="R764" s="1580"/>
    </row>
    <row r="765" customFormat="false" ht="15.75" hidden="false" customHeight="false" outlineLevel="0" collapsed="false">
      <c r="A765" s="2637"/>
      <c r="B765" s="1580"/>
      <c r="C765" s="2630"/>
      <c r="D765" s="2630"/>
      <c r="E765" s="1580"/>
      <c r="F765" s="2630"/>
      <c r="G765" s="2630"/>
      <c r="H765" s="1580"/>
      <c r="I765" s="1580"/>
      <c r="J765" s="1580"/>
      <c r="K765" s="1580"/>
      <c r="L765" s="1580"/>
      <c r="M765" s="1580"/>
      <c r="N765" s="1580"/>
      <c r="O765" s="1580"/>
      <c r="P765" s="1580"/>
      <c r="Q765" s="1580"/>
      <c r="R765" s="1580"/>
    </row>
    <row r="766" customFormat="false" ht="15.75" hidden="false" customHeight="false" outlineLevel="0" collapsed="false">
      <c r="A766" s="2637"/>
      <c r="B766" s="1580"/>
      <c r="C766" s="2630"/>
      <c r="D766" s="2630"/>
      <c r="E766" s="1580"/>
      <c r="F766" s="2630"/>
      <c r="G766" s="2630"/>
      <c r="H766" s="1580"/>
      <c r="I766" s="1580"/>
      <c r="J766" s="1580"/>
      <c r="K766" s="1580"/>
      <c r="L766" s="1580"/>
      <c r="M766" s="1580"/>
      <c r="N766" s="1580"/>
      <c r="O766" s="1580"/>
      <c r="P766" s="1580"/>
      <c r="Q766" s="1580"/>
      <c r="R766" s="1580"/>
    </row>
    <row r="767" customFormat="false" ht="15.75" hidden="false" customHeight="false" outlineLevel="0" collapsed="false">
      <c r="A767" s="2637"/>
      <c r="B767" s="1580"/>
      <c r="C767" s="2630"/>
      <c r="D767" s="2630"/>
      <c r="E767" s="1580"/>
      <c r="F767" s="2630"/>
      <c r="G767" s="2630"/>
      <c r="H767" s="1580"/>
      <c r="I767" s="1580"/>
      <c r="J767" s="1580"/>
      <c r="K767" s="1580"/>
      <c r="L767" s="1580"/>
      <c r="M767" s="1580"/>
      <c r="N767" s="1580"/>
      <c r="O767" s="1580"/>
      <c r="P767" s="1580"/>
      <c r="Q767" s="1580"/>
      <c r="R767" s="1580"/>
    </row>
    <row r="768" customFormat="false" ht="15.75" hidden="false" customHeight="false" outlineLevel="0" collapsed="false">
      <c r="A768" s="2637"/>
      <c r="B768" s="1580"/>
      <c r="C768" s="2630"/>
      <c r="D768" s="2630"/>
      <c r="E768" s="1580"/>
      <c r="F768" s="2630"/>
      <c r="G768" s="2630"/>
      <c r="H768" s="1580"/>
      <c r="I768" s="1580"/>
      <c r="J768" s="1580"/>
      <c r="K768" s="1580"/>
      <c r="L768" s="1580"/>
      <c r="M768" s="1580"/>
      <c r="N768" s="1580"/>
      <c r="O768" s="1580"/>
      <c r="P768" s="1580"/>
      <c r="Q768" s="1580"/>
      <c r="R768" s="1580"/>
    </row>
    <row r="769" customFormat="false" ht="15.75" hidden="false" customHeight="false" outlineLevel="0" collapsed="false">
      <c r="A769" s="2637"/>
      <c r="B769" s="1580"/>
      <c r="C769" s="2630"/>
      <c r="D769" s="2630"/>
      <c r="E769" s="1580"/>
      <c r="F769" s="2630"/>
      <c r="G769" s="2630"/>
      <c r="H769" s="1580"/>
      <c r="I769" s="1580"/>
      <c r="J769" s="1580"/>
      <c r="K769" s="1580"/>
      <c r="L769" s="1580"/>
      <c r="M769" s="1580"/>
      <c r="N769" s="1580"/>
      <c r="O769" s="1580"/>
      <c r="P769" s="1580"/>
      <c r="Q769" s="1580"/>
      <c r="R769" s="1580"/>
    </row>
    <row r="770" customFormat="false" ht="15.75" hidden="false" customHeight="false" outlineLevel="0" collapsed="false">
      <c r="A770" s="2637"/>
      <c r="B770" s="1580"/>
      <c r="C770" s="2630"/>
      <c r="D770" s="2630"/>
      <c r="E770" s="1580"/>
      <c r="F770" s="2630"/>
      <c r="G770" s="2630"/>
      <c r="H770" s="1580"/>
      <c r="I770" s="1580"/>
      <c r="J770" s="1580"/>
      <c r="K770" s="1580"/>
      <c r="L770" s="1580"/>
      <c r="M770" s="1580"/>
      <c r="N770" s="1580"/>
      <c r="O770" s="1580"/>
      <c r="P770" s="1580"/>
      <c r="Q770" s="1580"/>
      <c r="R770" s="1580"/>
    </row>
    <row r="771" customFormat="false" ht="15.75" hidden="false" customHeight="false" outlineLevel="0" collapsed="false">
      <c r="A771" s="2637"/>
      <c r="B771" s="1580"/>
      <c r="C771" s="2630"/>
      <c r="D771" s="2630"/>
      <c r="E771" s="1580"/>
      <c r="F771" s="2630"/>
      <c r="G771" s="2630"/>
      <c r="H771" s="1580"/>
      <c r="I771" s="1580"/>
      <c r="J771" s="1580"/>
      <c r="K771" s="1580"/>
      <c r="L771" s="1580"/>
      <c r="M771" s="1580"/>
      <c r="N771" s="1580"/>
      <c r="O771" s="1580"/>
      <c r="P771" s="1580"/>
      <c r="Q771" s="1580"/>
      <c r="R771" s="1580"/>
    </row>
    <row r="772" customFormat="false" ht="15.75" hidden="false" customHeight="false" outlineLevel="0" collapsed="false">
      <c r="A772" s="2637"/>
      <c r="B772" s="1580"/>
      <c r="C772" s="2630"/>
      <c r="D772" s="2630"/>
      <c r="E772" s="1580"/>
      <c r="F772" s="2630"/>
      <c r="G772" s="2630"/>
      <c r="H772" s="1580"/>
      <c r="I772" s="1580"/>
      <c r="J772" s="1580"/>
      <c r="K772" s="1580"/>
      <c r="L772" s="1580"/>
      <c r="M772" s="1580"/>
      <c r="N772" s="1580"/>
      <c r="O772" s="1580"/>
      <c r="P772" s="1580"/>
      <c r="Q772" s="1580"/>
      <c r="R772" s="1580"/>
    </row>
    <row r="773" customFormat="false" ht="15.75" hidden="false" customHeight="false" outlineLevel="0" collapsed="false">
      <c r="A773" s="2637"/>
      <c r="B773" s="1580"/>
      <c r="C773" s="2630"/>
      <c r="D773" s="2630"/>
      <c r="E773" s="1580"/>
      <c r="F773" s="2630"/>
      <c r="G773" s="2630"/>
      <c r="H773" s="1580"/>
      <c r="I773" s="1580"/>
      <c r="J773" s="1580"/>
      <c r="K773" s="1580"/>
      <c r="L773" s="1580"/>
      <c r="M773" s="1580"/>
      <c r="N773" s="1580"/>
      <c r="O773" s="1580"/>
      <c r="P773" s="1580"/>
      <c r="Q773" s="1580"/>
      <c r="R773" s="1580"/>
    </row>
    <row r="774" customFormat="false" ht="15.75" hidden="false" customHeight="false" outlineLevel="0" collapsed="false">
      <c r="A774" s="2637"/>
      <c r="B774" s="1580"/>
      <c r="C774" s="2630"/>
      <c r="D774" s="2630"/>
      <c r="E774" s="1580"/>
      <c r="F774" s="2630"/>
      <c r="G774" s="2630"/>
      <c r="H774" s="1580"/>
      <c r="I774" s="1580"/>
      <c r="J774" s="1580"/>
      <c r="K774" s="1580"/>
      <c r="L774" s="1580"/>
      <c r="M774" s="1580"/>
      <c r="N774" s="1580"/>
      <c r="O774" s="1580"/>
      <c r="P774" s="1580"/>
      <c r="Q774" s="1580"/>
      <c r="R774" s="1580"/>
    </row>
    <row r="775" customFormat="false" ht="15.75" hidden="false" customHeight="false" outlineLevel="0" collapsed="false">
      <c r="A775" s="2637"/>
      <c r="B775" s="1580"/>
      <c r="C775" s="2630"/>
      <c r="D775" s="2630"/>
      <c r="E775" s="1580"/>
      <c r="F775" s="2630"/>
      <c r="G775" s="2630"/>
      <c r="H775" s="1580"/>
      <c r="I775" s="1580"/>
      <c r="J775" s="1580"/>
      <c r="K775" s="1580"/>
      <c r="L775" s="1580"/>
      <c r="M775" s="1580"/>
      <c r="N775" s="1580"/>
      <c r="O775" s="1580"/>
      <c r="P775" s="1580"/>
      <c r="Q775" s="1580"/>
      <c r="R775" s="1580"/>
    </row>
    <row r="776" customFormat="false" ht="15.75" hidden="false" customHeight="false" outlineLevel="0" collapsed="false">
      <c r="A776" s="2637"/>
      <c r="B776" s="1580"/>
      <c r="C776" s="2630"/>
      <c r="D776" s="2630"/>
      <c r="E776" s="1580"/>
      <c r="F776" s="2630"/>
      <c r="G776" s="2630"/>
      <c r="H776" s="1580"/>
      <c r="I776" s="1580"/>
      <c r="J776" s="1580"/>
      <c r="K776" s="1580"/>
      <c r="L776" s="1580"/>
      <c r="M776" s="1580"/>
      <c r="N776" s="1580"/>
      <c r="O776" s="1580"/>
      <c r="P776" s="1580"/>
      <c r="Q776" s="1580"/>
      <c r="R776" s="1580"/>
    </row>
    <row r="777" customFormat="false" ht="15.75" hidden="false" customHeight="false" outlineLevel="0" collapsed="false">
      <c r="A777" s="2637"/>
      <c r="B777" s="1580"/>
      <c r="C777" s="2630"/>
      <c r="D777" s="2630"/>
      <c r="E777" s="1580"/>
      <c r="F777" s="2630"/>
      <c r="G777" s="2630"/>
      <c r="H777" s="1580"/>
      <c r="I777" s="1580"/>
      <c r="J777" s="1580"/>
      <c r="K777" s="1580"/>
      <c r="L777" s="1580"/>
      <c r="M777" s="1580"/>
      <c r="N777" s="1580"/>
      <c r="O777" s="1580"/>
      <c r="P777" s="1580"/>
      <c r="Q777" s="1580"/>
      <c r="R777" s="1580"/>
    </row>
    <row r="778" customFormat="false" ht="15.75" hidden="false" customHeight="false" outlineLevel="0" collapsed="false">
      <c r="A778" s="2637"/>
      <c r="B778" s="1580"/>
      <c r="C778" s="2630"/>
      <c r="D778" s="2630"/>
      <c r="E778" s="1580"/>
      <c r="F778" s="2630"/>
      <c r="G778" s="2630"/>
      <c r="H778" s="1580"/>
      <c r="I778" s="1580"/>
      <c r="J778" s="1580"/>
      <c r="K778" s="1580"/>
      <c r="L778" s="1580"/>
      <c r="M778" s="1580"/>
      <c r="N778" s="1580"/>
      <c r="O778" s="1580"/>
      <c r="P778" s="1580"/>
      <c r="Q778" s="1580"/>
      <c r="R778" s="1580"/>
    </row>
    <row r="779" customFormat="false" ht="15.75" hidden="false" customHeight="false" outlineLevel="0" collapsed="false">
      <c r="A779" s="2637"/>
      <c r="B779" s="1580"/>
      <c r="C779" s="2630"/>
      <c r="D779" s="2630"/>
      <c r="E779" s="1580"/>
      <c r="F779" s="2630"/>
      <c r="G779" s="2630"/>
      <c r="H779" s="1580"/>
      <c r="I779" s="1580"/>
      <c r="J779" s="1580"/>
      <c r="K779" s="1580"/>
      <c r="L779" s="1580"/>
      <c r="M779" s="1580"/>
      <c r="N779" s="1580"/>
      <c r="O779" s="1580"/>
      <c r="P779" s="1580"/>
      <c r="Q779" s="1580"/>
      <c r="R779" s="1580"/>
    </row>
    <row r="780" customFormat="false" ht="15.75" hidden="false" customHeight="false" outlineLevel="0" collapsed="false">
      <c r="A780" s="2637"/>
      <c r="B780" s="1580"/>
      <c r="C780" s="2630"/>
      <c r="D780" s="2630"/>
      <c r="E780" s="1580"/>
      <c r="F780" s="2630"/>
      <c r="G780" s="2630"/>
      <c r="H780" s="1580"/>
      <c r="I780" s="1580"/>
      <c r="J780" s="1580"/>
      <c r="K780" s="1580"/>
      <c r="L780" s="1580"/>
      <c r="M780" s="1580"/>
      <c r="N780" s="1580"/>
      <c r="O780" s="1580"/>
      <c r="P780" s="1580"/>
      <c r="Q780" s="1580"/>
      <c r="R780" s="1580"/>
    </row>
    <row r="781" customFormat="false" ht="15.75" hidden="false" customHeight="false" outlineLevel="0" collapsed="false">
      <c r="A781" s="2637"/>
      <c r="B781" s="1580"/>
      <c r="C781" s="2630"/>
      <c r="D781" s="2630"/>
      <c r="E781" s="1580"/>
      <c r="F781" s="2630"/>
      <c r="G781" s="2630"/>
      <c r="H781" s="1580"/>
      <c r="I781" s="1580"/>
      <c r="J781" s="1580"/>
      <c r="K781" s="1580"/>
      <c r="L781" s="1580"/>
      <c r="M781" s="1580"/>
      <c r="N781" s="1580"/>
      <c r="O781" s="1580"/>
      <c r="P781" s="1580"/>
      <c r="Q781" s="1580"/>
      <c r="R781" s="1580"/>
    </row>
    <row r="782" customFormat="false" ht="15.75" hidden="false" customHeight="false" outlineLevel="0" collapsed="false">
      <c r="A782" s="2637"/>
      <c r="B782" s="1580"/>
      <c r="C782" s="2630"/>
      <c r="D782" s="2630"/>
      <c r="E782" s="1580"/>
      <c r="F782" s="2630"/>
      <c r="G782" s="2630"/>
      <c r="H782" s="1580"/>
      <c r="I782" s="1580"/>
      <c r="J782" s="1580"/>
      <c r="K782" s="1580"/>
      <c r="L782" s="1580"/>
      <c r="M782" s="1580"/>
      <c r="N782" s="1580"/>
      <c r="O782" s="1580"/>
      <c r="P782" s="1580"/>
      <c r="Q782" s="1580"/>
      <c r="R782" s="1580"/>
    </row>
    <row r="783" customFormat="false" ht="15.75" hidden="false" customHeight="false" outlineLevel="0" collapsed="false">
      <c r="A783" s="2637"/>
      <c r="B783" s="1580"/>
      <c r="C783" s="2630"/>
      <c r="D783" s="2630"/>
      <c r="E783" s="1580"/>
      <c r="F783" s="2630"/>
      <c r="G783" s="2630"/>
      <c r="H783" s="1580"/>
      <c r="I783" s="1580"/>
      <c r="J783" s="1580"/>
      <c r="K783" s="1580"/>
      <c r="L783" s="1580"/>
      <c r="M783" s="1580"/>
      <c r="N783" s="1580"/>
      <c r="O783" s="1580"/>
      <c r="P783" s="1580"/>
      <c r="Q783" s="1580"/>
      <c r="R783" s="1580"/>
    </row>
    <row r="784" customFormat="false" ht="15.75" hidden="false" customHeight="false" outlineLevel="0" collapsed="false">
      <c r="A784" s="2637"/>
      <c r="B784" s="1580"/>
      <c r="C784" s="2630"/>
      <c r="D784" s="2630"/>
      <c r="E784" s="1580"/>
      <c r="F784" s="2630"/>
      <c r="G784" s="2630"/>
      <c r="H784" s="1580"/>
      <c r="I784" s="1580"/>
      <c r="J784" s="1580"/>
      <c r="K784" s="1580"/>
      <c r="L784" s="1580"/>
      <c r="M784" s="1580"/>
      <c r="N784" s="1580"/>
      <c r="O784" s="1580"/>
      <c r="P784" s="1580"/>
      <c r="Q784" s="1580"/>
      <c r="R784" s="1580"/>
    </row>
    <row r="785" customFormat="false" ht="15.75" hidden="false" customHeight="false" outlineLevel="0" collapsed="false">
      <c r="A785" s="2637"/>
      <c r="B785" s="1580"/>
      <c r="C785" s="2630"/>
      <c r="D785" s="2630"/>
      <c r="E785" s="1580"/>
      <c r="F785" s="2630"/>
      <c r="G785" s="2630"/>
      <c r="H785" s="1580"/>
      <c r="I785" s="1580"/>
      <c r="J785" s="1580"/>
      <c r="K785" s="1580"/>
      <c r="L785" s="1580"/>
      <c r="M785" s="1580"/>
      <c r="N785" s="1580"/>
      <c r="O785" s="1580"/>
      <c r="P785" s="1580"/>
      <c r="Q785" s="1580"/>
      <c r="R785" s="1580"/>
    </row>
    <row r="786" customFormat="false" ht="15.75" hidden="false" customHeight="false" outlineLevel="0" collapsed="false">
      <c r="A786" s="2637"/>
      <c r="B786" s="1580"/>
      <c r="C786" s="2630"/>
      <c r="D786" s="2630"/>
      <c r="E786" s="1580"/>
      <c r="F786" s="2630"/>
      <c r="G786" s="2630"/>
      <c r="H786" s="1580"/>
      <c r="I786" s="1580"/>
      <c r="J786" s="1580"/>
      <c r="K786" s="1580"/>
      <c r="L786" s="1580"/>
      <c r="M786" s="1580"/>
      <c r="N786" s="1580"/>
      <c r="O786" s="1580"/>
      <c r="P786" s="1580"/>
      <c r="Q786" s="1580"/>
      <c r="R786" s="1580"/>
    </row>
    <row r="787" customFormat="false" ht="15.75" hidden="false" customHeight="false" outlineLevel="0" collapsed="false">
      <c r="A787" s="2637"/>
      <c r="B787" s="1580"/>
      <c r="C787" s="2630"/>
      <c r="D787" s="2630"/>
      <c r="E787" s="1580"/>
      <c r="F787" s="2630"/>
      <c r="G787" s="2630"/>
      <c r="H787" s="1580"/>
      <c r="I787" s="1580"/>
      <c r="J787" s="1580"/>
      <c r="K787" s="1580"/>
      <c r="L787" s="1580"/>
      <c r="M787" s="1580"/>
      <c r="N787" s="1580"/>
      <c r="O787" s="1580"/>
      <c r="P787" s="1580"/>
      <c r="Q787" s="1580"/>
      <c r="R787" s="1580"/>
    </row>
    <row r="788" customFormat="false" ht="15.75" hidden="false" customHeight="false" outlineLevel="0" collapsed="false">
      <c r="A788" s="2637"/>
      <c r="B788" s="1580"/>
      <c r="C788" s="2630"/>
      <c r="D788" s="2630"/>
      <c r="E788" s="1580"/>
      <c r="F788" s="2630"/>
      <c r="G788" s="2630"/>
      <c r="H788" s="1580"/>
      <c r="I788" s="1580"/>
      <c r="J788" s="1580"/>
      <c r="K788" s="1580"/>
      <c r="L788" s="1580"/>
      <c r="M788" s="1580"/>
      <c r="N788" s="1580"/>
      <c r="O788" s="1580"/>
      <c r="P788" s="1580"/>
      <c r="Q788" s="1580"/>
      <c r="R788" s="1580"/>
    </row>
    <row r="789" customFormat="false" ht="15.75" hidden="false" customHeight="false" outlineLevel="0" collapsed="false">
      <c r="A789" s="2637"/>
      <c r="B789" s="1580"/>
      <c r="C789" s="2630"/>
      <c r="D789" s="2630"/>
      <c r="E789" s="1580"/>
      <c r="F789" s="2630"/>
      <c r="G789" s="2630"/>
      <c r="H789" s="1580"/>
      <c r="I789" s="1580"/>
      <c r="J789" s="1580"/>
      <c r="K789" s="1580"/>
      <c r="L789" s="1580"/>
      <c r="M789" s="1580"/>
      <c r="N789" s="1580"/>
      <c r="O789" s="1580"/>
      <c r="P789" s="1580"/>
      <c r="Q789" s="1580"/>
      <c r="R789" s="1580"/>
    </row>
    <row r="790" customFormat="false" ht="15.75" hidden="false" customHeight="false" outlineLevel="0" collapsed="false">
      <c r="A790" s="2637"/>
      <c r="B790" s="1580"/>
      <c r="C790" s="2630"/>
      <c r="D790" s="2630"/>
      <c r="E790" s="1580"/>
      <c r="F790" s="2630"/>
      <c r="G790" s="2630"/>
      <c r="H790" s="1580"/>
      <c r="I790" s="1580"/>
      <c r="J790" s="1580"/>
      <c r="K790" s="1580"/>
      <c r="L790" s="1580"/>
      <c r="M790" s="1580"/>
      <c r="N790" s="1580"/>
      <c r="O790" s="1580"/>
      <c r="P790" s="1580"/>
      <c r="Q790" s="1580"/>
      <c r="R790" s="1580"/>
    </row>
    <row r="791" customFormat="false" ht="15.75" hidden="false" customHeight="false" outlineLevel="0" collapsed="false">
      <c r="A791" s="2637"/>
      <c r="B791" s="1580"/>
      <c r="C791" s="2630"/>
      <c r="D791" s="2630"/>
      <c r="E791" s="1580"/>
      <c r="F791" s="2630"/>
      <c r="G791" s="2630"/>
      <c r="H791" s="1580"/>
      <c r="I791" s="1580"/>
      <c r="J791" s="1580"/>
      <c r="K791" s="1580"/>
      <c r="L791" s="1580"/>
      <c r="M791" s="1580"/>
      <c r="N791" s="1580"/>
      <c r="O791" s="1580"/>
      <c r="P791" s="1580"/>
      <c r="Q791" s="1580"/>
      <c r="R791" s="1580"/>
    </row>
    <row r="792" customFormat="false" ht="15.75" hidden="false" customHeight="false" outlineLevel="0" collapsed="false">
      <c r="A792" s="2637"/>
      <c r="B792" s="1580"/>
      <c r="C792" s="2630"/>
      <c r="D792" s="2630"/>
      <c r="E792" s="1580"/>
      <c r="F792" s="2630"/>
      <c r="G792" s="2630"/>
      <c r="H792" s="1580"/>
      <c r="I792" s="1580"/>
      <c r="J792" s="1580"/>
      <c r="K792" s="1580"/>
      <c r="L792" s="1580"/>
      <c r="M792" s="1580"/>
      <c r="N792" s="1580"/>
      <c r="O792" s="1580"/>
      <c r="P792" s="1580"/>
      <c r="Q792" s="1580"/>
      <c r="R792" s="1580"/>
    </row>
    <row r="793" customFormat="false" ht="15.75" hidden="false" customHeight="false" outlineLevel="0" collapsed="false">
      <c r="A793" s="2637"/>
      <c r="B793" s="1580"/>
      <c r="C793" s="2630"/>
      <c r="D793" s="2630"/>
      <c r="E793" s="1580"/>
      <c r="F793" s="2630"/>
      <c r="G793" s="2630"/>
      <c r="H793" s="1580"/>
      <c r="I793" s="1580"/>
      <c r="J793" s="1580"/>
      <c r="K793" s="1580"/>
      <c r="L793" s="1580"/>
      <c r="M793" s="1580"/>
      <c r="N793" s="1580"/>
      <c r="O793" s="1580"/>
      <c r="P793" s="1580"/>
      <c r="Q793" s="1580"/>
      <c r="R793" s="1580"/>
    </row>
    <row r="794" customFormat="false" ht="15.75" hidden="false" customHeight="false" outlineLevel="0" collapsed="false">
      <c r="A794" s="2637"/>
      <c r="B794" s="1580"/>
      <c r="C794" s="2630"/>
      <c r="D794" s="2630"/>
      <c r="E794" s="1580"/>
      <c r="F794" s="2630"/>
      <c r="G794" s="2630"/>
      <c r="H794" s="1580"/>
      <c r="I794" s="1580"/>
      <c r="J794" s="1580"/>
      <c r="K794" s="1580"/>
      <c r="L794" s="1580"/>
      <c r="M794" s="1580"/>
      <c r="N794" s="1580"/>
      <c r="O794" s="1580"/>
      <c r="P794" s="1580"/>
      <c r="Q794" s="1580"/>
      <c r="R794" s="1580"/>
    </row>
    <row r="795" customFormat="false" ht="15.75" hidden="false" customHeight="false" outlineLevel="0" collapsed="false">
      <c r="A795" s="2637"/>
      <c r="B795" s="1580"/>
      <c r="C795" s="2630"/>
      <c r="D795" s="2630"/>
      <c r="E795" s="1580"/>
      <c r="F795" s="2630"/>
      <c r="G795" s="2630"/>
      <c r="H795" s="1580"/>
      <c r="I795" s="1580"/>
      <c r="J795" s="1580"/>
      <c r="K795" s="1580"/>
      <c r="L795" s="1580"/>
      <c r="M795" s="1580"/>
      <c r="N795" s="1580"/>
      <c r="O795" s="1580"/>
      <c r="P795" s="1580"/>
      <c r="Q795" s="1580"/>
      <c r="R795" s="1580"/>
    </row>
    <row r="796" customFormat="false" ht="15.75" hidden="false" customHeight="false" outlineLevel="0" collapsed="false">
      <c r="A796" s="2637"/>
      <c r="B796" s="1580"/>
      <c r="C796" s="2630"/>
      <c r="D796" s="2630"/>
      <c r="E796" s="1580"/>
      <c r="F796" s="2630"/>
      <c r="G796" s="2630"/>
      <c r="H796" s="1580"/>
      <c r="I796" s="1580"/>
      <c r="J796" s="1580"/>
      <c r="K796" s="1580"/>
      <c r="L796" s="1580"/>
      <c r="M796" s="1580"/>
      <c r="N796" s="1580"/>
      <c r="O796" s="1580"/>
      <c r="P796" s="1580"/>
      <c r="Q796" s="1580"/>
      <c r="R796" s="1580"/>
    </row>
    <row r="797" customFormat="false" ht="15.75" hidden="false" customHeight="false" outlineLevel="0" collapsed="false">
      <c r="A797" s="2637"/>
      <c r="B797" s="1580"/>
      <c r="C797" s="2630"/>
      <c r="D797" s="2630"/>
      <c r="E797" s="1580"/>
      <c r="F797" s="2630"/>
      <c r="G797" s="2630"/>
      <c r="H797" s="1580"/>
      <c r="I797" s="1580"/>
      <c r="J797" s="1580"/>
      <c r="K797" s="1580"/>
      <c r="L797" s="1580"/>
      <c r="M797" s="1580"/>
      <c r="N797" s="1580"/>
      <c r="O797" s="1580"/>
      <c r="P797" s="1580"/>
      <c r="Q797" s="1580"/>
      <c r="R797" s="1580"/>
    </row>
    <row r="798" customFormat="false" ht="15.75" hidden="false" customHeight="false" outlineLevel="0" collapsed="false">
      <c r="A798" s="2637"/>
      <c r="B798" s="1580"/>
      <c r="C798" s="2630"/>
      <c r="D798" s="2630"/>
      <c r="E798" s="1580"/>
      <c r="F798" s="2630"/>
      <c r="G798" s="2630"/>
      <c r="H798" s="1580"/>
      <c r="I798" s="1580"/>
      <c r="J798" s="1580"/>
      <c r="K798" s="1580"/>
      <c r="L798" s="1580"/>
      <c r="M798" s="1580"/>
      <c r="N798" s="1580"/>
      <c r="O798" s="1580"/>
      <c r="P798" s="1580"/>
      <c r="Q798" s="1580"/>
      <c r="R798" s="1580"/>
    </row>
    <row r="799" customFormat="false" ht="15.75" hidden="false" customHeight="false" outlineLevel="0" collapsed="false">
      <c r="A799" s="2637"/>
      <c r="B799" s="1580"/>
      <c r="C799" s="2630"/>
      <c r="D799" s="2630"/>
      <c r="E799" s="1580"/>
      <c r="F799" s="2630"/>
      <c r="G799" s="2630"/>
      <c r="H799" s="1580"/>
      <c r="I799" s="1580"/>
      <c r="J799" s="1580"/>
      <c r="K799" s="1580"/>
      <c r="L799" s="1580"/>
      <c r="M799" s="1580"/>
      <c r="N799" s="1580"/>
      <c r="O799" s="1580"/>
      <c r="P799" s="1580"/>
      <c r="Q799" s="1580"/>
      <c r="R799" s="1580"/>
    </row>
    <row r="800" customFormat="false" ht="15.75" hidden="false" customHeight="false" outlineLevel="0" collapsed="false">
      <c r="A800" s="2637"/>
      <c r="B800" s="1580"/>
      <c r="C800" s="2630"/>
      <c r="D800" s="2630"/>
      <c r="E800" s="1580"/>
      <c r="F800" s="2630"/>
      <c r="G800" s="2630"/>
      <c r="H800" s="1580"/>
      <c r="I800" s="1580"/>
      <c r="J800" s="1580"/>
      <c r="K800" s="1580"/>
      <c r="L800" s="1580"/>
      <c r="M800" s="1580"/>
      <c r="N800" s="1580"/>
      <c r="O800" s="1580"/>
      <c r="P800" s="1580"/>
      <c r="Q800" s="1580"/>
      <c r="R800" s="1580"/>
    </row>
    <row r="801" customFormat="false" ht="15.75" hidden="false" customHeight="false" outlineLevel="0" collapsed="false">
      <c r="A801" s="2637"/>
      <c r="B801" s="1580"/>
      <c r="C801" s="2630"/>
      <c r="D801" s="2630"/>
      <c r="E801" s="1580"/>
      <c r="F801" s="2630"/>
      <c r="G801" s="2630"/>
      <c r="H801" s="1580"/>
      <c r="I801" s="1580"/>
      <c r="J801" s="1580"/>
      <c r="K801" s="1580"/>
      <c r="L801" s="1580"/>
      <c r="M801" s="1580"/>
      <c r="N801" s="1580"/>
      <c r="O801" s="1580"/>
      <c r="P801" s="1580"/>
      <c r="Q801" s="1580"/>
      <c r="R801" s="1580"/>
    </row>
    <row r="802" customFormat="false" ht="15.75" hidden="false" customHeight="false" outlineLevel="0" collapsed="false">
      <c r="A802" s="2637"/>
      <c r="B802" s="1580"/>
      <c r="C802" s="2630"/>
      <c r="D802" s="2630"/>
      <c r="E802" s="1580"/>
      <c r="F802" s="2630"/>
      <c r="G802" s="2630"/>
      <c r="H802" s="1580"/>
      <c r="I802" s="1580"/>
      <c r="J802" s="1580"/>
      <c r="K802" s="1580"/>
      <c r="L802" s="1580"/>
      <c r="M802" s="1580"/>
      <c r="N802" s="1580"/>
      <c r="O802" s="1580"/>
      <c r="P802" s="1580"/>
      <c r="Q802" s="1580"/>
      <c r="R802" s="1580"/>
    </row>
    <row r="803" customFormat="false" ht="15.75" hidden="false" customHeight="false" outlineLevel="0" collapsed="false">
      <c r="A803" s="2637"/>
      <c r="B803" s="1580"/>
      <c r="C803" s="2630"/>
      <c r="D803" s="2630"/>
      <c r="E803" s="1580"/>
      <c r="F803" s="2630"/>
      <c r="G803" s="2630"/>
      <c r="H803" s="1580"/>
      <c r="I803" s="1580"/>
      <c r="J803" s="1580"/>
      <c r="K803" s="1580"/>
      <c r="L803" s="1580"/>
      <c r="M803" s="1580"/>
      <c r="N803" s="1580"/>
      <c r="O803" s="1580"/>
      <c r="P803" s="1580"/>
      <c r="Q803" s="1580"/>
      <c r="R803" s="1580"/>
    </row>
    <row r="804" customFormat="false" ht="15.75" hidden="false" customHeight="false" outlineLevel="0" collapsed="false">
      <c r="A804" s="2637"/>
      <c r="B804" s="1580"/>
      <c r="C804" s="2630"/>
      <c r="D804" s="2630"/>
      <c r="E804" s="1580"/>
      <c r="F804" s="2630"/>
      <c r="G804" s="2630"/>
      <c r="H804" s="1580"/>
      <c r="I804" s="1580"/>
      <c r="J804" s="1580"/>
      <c r="K804" s="1580"/>
      <c r="L804" s="1580"/>
      <c r="M804" s="1580"/>
      <c r="N804" s="1580"/>
      <c r="O804" s="1580"/>
      <c r="P804" s="1580"/>
      <c r="Q804" s="1580"/>
      <c r="R804" s="1580"/>
    </row>
    <row r="805" customFormat="false" ht="15.75" hidden="false" customHeight="false" outlineLevel="0" collapsed="false">
      <c r="A805" s="2637"/>
      <c r="B805" s="1580"/>
      <c r="C805" s="2630"/>
      <c r="D805" s="2630"/>
      <c r="E805" s="1580"/>
      <c r="F805" s="2630"/>
      <c r="G805" s="2630"/>
      <c r="H805" s="1580"/>
      <c r="I805" s="1580"/>
      <c r="J805" s="1580"/>
      <c r="K805" s="1580"/>
      <c r="L805" s="1580"/>
      <c r="M805" s="1580"/>
      <c r="N805" s="1580"/>
      <c r="O805" s="1580"/>
      <c r="P805" s="1580"/>
      <c r="Q805" s="1580"/>
      <c r="R805" s="1580"/>
    </row>
    <row r="806" customFormat="false" ht="15.75" hidden="false" customHeight="false" outlineLevel="0" collapsed="false">
      <c r="A806" s="2637"/>
      <c r="B806" s="1580"/>
      <c r="C806" s="2630"/>
      <c r="D806" s="2630"/>
      <c r="E806" s="1580"/>
      <c r="F806" s="2630"/>
      <c r="G806" s="2630"/>
      <c r="H806" s="1580"/>
      <c r="I806" s="1580"/>
      <c r="J806" s="1580"/>
      <c r="K806" s="1580"/>
      <c r="L806" s="1580"/>
      <c r="M806" s="1580"/>
      <c r="N806" s="1580"/>
      <c r="O806" s="1580"/>
      <c r="P806" s="1580"/>
      <c r="Q806" s="1580"/>
      <c r="R806" s="1580"/>
    </row>
    <row r="807" customFormat="false" ht="15.75" hidden="false" customHeight="false" outlineLevel="0" collapsed="false">
      <c r="A807" s="2637"/>
      <c r="B807" s="1580"/>
      <c r="C807" s="2630"/>
      <c r="D807" s="2630"/>
      <c r="E807" s="1580"/>
      <c r="F807" s="2630"/>
      <c r="G807" s="2630"/>
      <c r="H807" s="1580"/>
      <c r="I807" s="1580"/>
      <c r="J807" s="1580"/>
      <c r="K807" s="1580"/>
      <c r="L807" s="1580"/>
      <c r="M807" s="1580"/>
      <c r="N807" s="1580"/>
      <c r="O807" s="1580"/>
      <c r="P807" s="1580"/>
      <c r="Q807" s="1580"/>
      <c r="R807" s="1580"/>
    </row>
    <row r="808" customFormat="false" ht="15.75" hidden="false" customHeight="false" outlineLevel="0" collapsed="false">
      <c r="A808" s="2637"/>
      <c r="B808" s="1580"/>
      <c r="C808" s="2630"/>
      <c r="D808" s="2630"/>
      <c r="E808" s="1580"/>
      <c r="F808" s="2630"/>
      <c r="G808" s="2630"/>
      <c r="H808" s="1580"/>
      <c r="I808" s="1580"/>
      <c r="J808" s="1580"/>
      <c r="K808" s="1580"/>
      <c r="L808" s="1580"/>
      <c r="M808" s="1580"/>
      <c r="N808" s="1580"/>
      <c r="O808" s="1580"/>
      <c r="P808" s="1580"/>
      <c r="Q808" s="1580"/>
      <c r="R808" s="1580"/>
    </row>
    <row r="809" customFormat="false" ht="15.75" hidden="false" customHeight="false" outlineLevel="0" collapsed="false">
      <c r="A809" s="2637"/>
      <c r="B809" s="1580"/>
      <c r="C809" s="2630"/>
      <c r="D809" s="2630"/>
      <c r="E809" s="1580"/>
      <c r="F809" s="2630"/>
      <c r="G809" s="2630"/>
      <c r="H809" s="1580"/>
      <c r="I809" s="1580"/>
      <c r="J809" s="1580"/>
      <c r="K809" s="1580"/>
      <c r="L809" s="1580"/>
      <c r="M809" s="1580"/>
      <c r="N809" s="1580"/>
      <c r="O809" s="1580"/>
      <c r="P809" s="1580"/>
      <c r="Q809" s="1580"/>
      <c r="R809" s="1580"/>
    </row>
    <row r="810" customFormat="false" ht="15.75" hidden="false" customHeight="false" outlineLevel="0" collapsed="false">
      <c r="A810" s="2637"/>
      <c r="B810" s="1580"/>
      <c r="C810" s="2630"/>
      <c r="D810" s="2630"/>
      <c r="E810" s="1580"/>
      <c r="F810" s="2630"/>
      <c r="G810" s="2630"/>
      <c r="H810" s="1580"/>
      <c r="I810" s="1580"/>
      <c r="J810" s="1580"/>
      <c r="K810" s="1580"/>
      <c r="L810" s="1580"/>
      <c r="M810" s="1580"/>
      <c r="N810" s="1580"/>
      <c r="O810" s="1580"/>
      <c r="P810" s="1580"/>
      <c r="Q810" s="1580"/>
      <c r="R810" s="1580"/>
    </row>
    <row r="811" customFormat="false" ht="15.75" hidden="false" customHeight="false" outlineLevel="0" collapsed="false">
      <c r="A811" s="2637"/>
      <c r="B811" s="1580"/>
      <c r="C811" s="2630"/>
      <c r="D811" s="2630"/>
      <c r="E811" s="1580"/>
      <c r="F811" s="2630"/>
      <c r="G811" s="2630"/>
      <c r="H811" s="1580"/>
      <c r="I811" s="1580"/>
      <c r="J811" s="1580"/>
      <c r="K811" s="1580"/>
      <c r="L811" s="1580"/>
      <c r="M811" s="1580"/>
      <c r="N811" s="1580"/>
      <c r="O811" s="1580"/>
      <c r="P811" s="1580"/>
      <c r="Q811" s="1580"/>
      <c r="R811" s="1580"/>
    </row>
    <row r="812" customFormat="false" ht="15.75" hidden="false" customHeight="false" outlineLevel="0" collapsed="false">
      <c r="A812" s="2637"/>
      <c r="B812" s="1580"/>
      <c r="C812" s="2630"/>
      <c r="D812" s="2630"/>
      <c r="E812" s="1580"/>
      <c r="F812" s="2630"/>
      <c r="G812" s="2630"/>
      <c r="H812" s="1580"/>
      <c r="I812" s="1580"/>
      <c r="J812" s="1580"/>
      <c r="K812" s="1580"/>
      <c r="L812" s="1580"/>
      <c r="M812" s="1580"/>
      <c r="N812" s="1580"/>
      <c r="O812" s="1580"/>
      <c r="P812" s="1580"/>
      <c r="Q812" s="1580"/>
      <c r="R812" s="1580"/>
    </row>
    <row r="813" customFormat="false" ht="15.75" hidden="false" customHeight="false" outlineLevel="0" collapsed="false">
      <c r="A813" s="2637"/>
      <c r="B813" s="1580"/>
      <c r="C813" s="2630"/>
      <c r="D813" s="2630"/>
      <c r="E813" s="1580"/>
      <c r="F813" s="2630"/>
      <c r="G813" s="2630"/>
      <c r="H813" s="1580"/>
      <c r="I813" s="1580"/>
      <c r="J813" s="1580"/>
      <c r="K813" s="1580"/>
      <c r="L813" s="1580"/>
      <c r="M813" s="1580"/>
      <c r="N813" s="1580"/>
      <c r="O813" s="1580"/>
      <c r="P813" s="1580"/>
      <c r="Q813" s="1580"/>
      <c r="R813" s="1580"/>
    </row>
    <row r="814" customFormat="false" ht="15.75" hidden="false" customHeight="false" outlineLevel="0" collapsed="false">
      <c r="A814" s="2637"/>
      <c r="B814" s="1580"/>
      <c r="C814" s="2630"/>
      <c r="D814" s="2630"/>
      <c r="E814" s="1580"/>
      <c r="F814" s="2630"/>
      <c r="G814" s="2630"/>
      <c r="H814" s="1580"/>
      <c r="I814" s="1580"/>
      <c r="J814" s="1580"/>
      <c r="K814" s="1580"/>
      <c r="L814" s="1580"/>
      <c r="M814" s="1580"/>
      <c r="N814" s="1580"/>
      <c r="O814" s="1580"/>
      <c r="P814" s="1580"/>
      <c r="Q814" s="1580"/>
      <c r="R814" s="1580"/>
    </row>
    <row r="815" customFormat="false" ht="15.75" hidden="false" customHeight="false" outlineLevel="0" collapsed="false">
      <c r="A815" s="2637"/>
      <c r="B815" s="1580"/>
      <c r="C815" s="2630"/>
      <c r="D815" s="2630"/>
      <c r="E815" s="1580"/>
      <c r="F815" s="2630"/>
      <c r="G815" s="2630"/>
      <c r="H815" s="1580"/>
      <c r="I815" s="1580"/>
      <c r="J815" s="1580"/>
      <c r="K815" s="1580"/>
      <c r="L815" s="1580"/>
      <c r="M815" s="1580"/>
      <c r="N815" s="1580"/>
      <c r="O815" s="1580"/>
      <c r="P815" s="1580"/>
      <c r="Q815" s="1580"/>
      <c r="R815" s="1580"/>
    </row>
  </sheetData>
  <mergeCells count="308">
    <mergeCell ref="A2:C2"/>
    <mergeCell ref="A3:C3"/>
    <mergeCell ref="A4:C4"/>
    <mergeCell ref="A5:C5"/>
    <mergeCell ref="A6:C6"/>
    <mergeCell ref="A7:C7"/>
    <mergeCell ref="A8:C8"/>
    <mergeCell ref="A9:C9"/>
    <mergeCell ref="A10:C10"/>
    <mergeCell ref="A11:C11"/>
    <mergeCell ref="A12:C12"/>
    <mergeCell ref="A13:C13"/>
    <mergeCell ref="A14:C14"/>
    <mergeCell ref="A15:C15"/>
    <mergeCell ref="A16:C16"/>
    <mergeCell ref="A17:C17"/>
    <mergeCell ref="A18:C18"/>
    <mergeCell ref="A19:F19"/>
    <mergeCell ref="A20:C20"/>
    <mergeCell ref="A21:C21"/>
    <mergeCell ref="A22:C22"/>
    <mergeCell ref="A23:C23"/>
    <mergeCell ref="A24:C24"/>
    <mergeCell ref="A25:F25"/>
    <mergeCell ref="A26:C26"/>
    <mergeCell ref="A27:C27"/>
    <mergeCell ref="A28:C28"/>
    <mergeCell ref="A29:C29"/>
    <mergeCell ref="A30:F30"/>
    <mergeCell ref="A32:B32"/>
    <mergeCell ref="A33:B36"/>
    <mergeCell ref="A37:B40"/>
    <mergeCell ref="A41:B44"/>
    <mergeCell ref="A45:B48"/>
    <mergeCell ref="A49:B52"/>
    <mergeCell ref="I49:I56"/>
    <mergeCell ref="A53:B56"/>
    <mergeCell ref="A57:B60"/>
    <mergeCell ref="A61:B64"/>
    <mergeCell ref="A65:B65"/>
    <mergeCell ref="A66:B66"/>
    <mergeCell ref="A67:B67"/>
    <mergeCell ref="A68:B68"/>
    <mergeCell ref="A69:B69"/>
    <mergeCell ref="A70:B70"/>
    <mergeCell ref="A71:E71"/>
    <mergeCell ref="A72:B72"/>
    <mergeCell ref="A73:B73"/>
    <mergeCell ref="A76:F76"/>
    <mergeCell ref="A77:C77"/>
    <mergeCell ref="A78:D78"/>
    <mergeCell ref="A79:C79"/>
    <mergeCell ref="A80:C80"/>
    <mergeCell ref="A81:C81"/>
    <mergeCell ref="A82:C82"/>
    <mergeCell ref="A83:C83"/>
    <mergeCell ref="A84:C84"/>
    <mergeCell ref="A85:C85"/>
    <mergeCell ref="A86:C86"/>
    <mergeCell ref="A87:C87"/>
    <mergeCell ref="A96:F96"/>
    <mergeCell ref="A97:C97"/>
    <mergeCell ref="A98:C98"/>
    <mergeCell ref="A99:C99"/>
    <mergeCell ref="A100:D100"/>
    <mergeCell ref="A101:C101"/>
    <mergeCell ref="A102:C102"/>
    <mergeCell ref="A103:C103"/>
    <mergeCell ref="A104:C104"/>
    <mergeCell ref="A105:C105"/>
    <mergeCell ref="A106:C106"/>
    <mergeCell ref="A107:C107"/>
    <mergeCell ref="A108:C108"/>
    <mergeCell ref="A109:C109"/>
    <mergeCell ref="A110:C110"/>
    <mergeCell ref="A111:C112"/>
    <mergeCell ref="A113:C114"/>
    <mergeCell ref="A119:F119"/>
    <mergeCell ref="A120:C120"/>
    <mergeCell ref="A121:C121"/>
    <mergeCell ref="A122:C122"/>
    <mergeCell ref="A123:C123"/>
    <mergeCell ref="A124:C124"/>
    <mergeCell ref="A125:C125"/>
    <mergeCell ref="A126:C126"/>
    <mergeCell ref="A127:C127"/>
    <mergeCell ref="A130:C130"/>
    <mergeCell ref="A131:C131"/>
    <mergeCell ref="A132:C132"/>
    <mergeCell ref="A133:C133"/>
    <mergeCell ref="A134:C134"/>
    <mergeCell ref="A135:C135"/>
    <mergeCell ref="A136:C137"/>
    <mergeCell ref="A138:C139"/>
    <mergeCell ref="A144:B144"/>
    <mergeCell ref="A145:B145"/>
    <mergeCell ref="A146:B146"/>
    <mergeCell ref="A147:B147"/>
    <mergeCell ref="A148:B148"/>
    <mergeCell ref="A149:B149"/>
    <mergeCell ref="A150:B150"/>
    <mergeCell ref="A151:B151"/>
    <mergeCell ref="A152:B152"/>
    <mergeCell ref="A153:B153"/>
    <mergeCell ref="A154:B154"/>
    <mergeCell ref="A155:B155"/>
    <mergeCell ref="A156:B156"/>
    <mergeCell ref="A157:B157"/>
    <mergeCell ref="A158:B159"/>
    <mergeCell ref="A160:B161"/>
    <mergeCell ref="A162:B163"/>
    <mergeCell ref="A164:B165"/>
    <mergeCell ref="A166:E166"/>
    <mergeCell ref="A168:B170"/>
    <mergeCell ref="A171:B172"/>
    <mergeCell ref="A173:B173"/>
    <mergeCell ref="A174:B174"/>
    <mergeCell ref="H182:I182"/>
    <mergeCell ref="H183:I183"/>
    <mergeCell ref="A185:C185"/>
    <mergeCell ref="A186:C187"/>
    <mergeCell ref="A188:C189"/>
    <mergeCell ref="H189:I189"/>
    <mergeCell ref="H190:I190"/>
    <mergeCell ref="H191:I191"/>
    <mergeCell ref="H192:I192"/>
    <mergeCell ref="H193:I193"/>
    <mergeCell ref="H194:I194"/>
    <mergeCell ref="H195:I195"/>
    <mergeCell ref="H196:I196"/>
    <mergeCell ref="H197:I197"/>
    <mergeCell ref="A277:D277"/>
    <mergeCell ref="A289:E289"/>
    <mergeCell ref="A290:B290"/>
    <mergeCell ref="A291:B291"/>
    <mergeCell ref="A292:B292"/>
    <mergeCell ref="A293:B293"/>
    <mergeCell ref="A294:B294"/>
    <mergeCell ref="A295:B295"/>
    <mergeCell ref="A296:B296"/>
    <mergeCell ref="A297:B297"/>
    <mergeCell ref="A298:B298"/>
    <mergeCell ref="A299:B299"/>
    <mergeCell ref="A300:B300"/>
    <mergeCell ref="A301:B302"/>
    <mergeCell ref="A303:B304"/>
    <mergeCell ref="A305:E305"/>
    <mergeCell ref="A306:B306"/>
    <mergeCell ref="A307:B309"/>
    <mergeCell ref="A310:B311"/>
    <mergeCell ref="A312:B312"/>
    <mergeCell ref="A313:B313"/>
    <mergeCell ref="A314:B314"/>
    <mergeCell ref="A316:D316"/>
    <mergeCell ref="A317:B317"/>
    <mergeCell ref="A318:B318"/>
    <mergeCell ref="A319:B319"/>
    <mergeCell ref="A320:B320"/>
    <mergeCell ref="A321:K322"/>
    <mergeCell ref="L321:L322"/>
    <mergeCell ref="A323:F323"/>
    <mergeCell ref="G323:L323"/>
    <mergeCell ref="A331:E331"/>
    <mergeCell ref="G331:K331"/>
    <mergeCell ref="A336:E336"/>
    <mergeCell ref="G336:K336"/>
    <mergeCell ref="A338:I338"/>
    <mergeCell ref="H339:I339"/>
    <mergeCell ref="C341:D341"/>
    <mergeCell ref="G341:H341"/>
    <mergeCell ref="A342:A345"/>
    <mergeCell ref="C342:D342"/>
    <mergeCell ref="G342:H345"/>
    <mergeCell ref="C343:D343"/>
    <mergeCell ref="C344:D344"/>
    <mergeCell ref="C345:D345"/>
    <mergeCell ref="A346:A349"/>
    <mergeCell ref="C346:D346"/>
    <mergeCell ref="G346:H349"/>
    <mergeCell ref="C347:D347"/>
    <mergeCell ref="C348:D348"/>
    <mergeCell ref="C349:D349"/>
    <mergeCell ref="A350:A353"/>
    <mergeCell ref="C350:D350"/>
    <mergeCell ref="G350:H353"/>
    <mergeCell ref="C351:D351"/>
    <mergeCell ref="C352:D352"/>
    <mergeCell ref="C353:D353"/>
    <mergeCell ref="A354:A357"/>
    <mergeCell ref="C354:D354"/>
    <mergeCell ref="G354:H357"/>
    <mergeCell ref="C355:D355"/>
    <mergeCell ref="C356:D356"/>
    <mergeCell ref="C357:D357"/>
    <mergeCell ref="A359:C359"/>
    <mergeCell ref="A373:C373"/>
    <mergeCell ref="C379:F379"/>
    <mergeCell ref="A380:I381"/>
    <mergeCell ref="A382:F383"/>
    <mergeCell ref="G392:H392"/>
    <mergeCell ref="G393:H393"/>
    <mergeCell ref="G394:H394"/>
    <mergeCell ref="G395:H395"/>
    <mergeCell ref="G396:H396"/>
    <mergeCell ref="G397:H397"/>
    <mergeCell ref="G398:H398"/>
    <mergeCell ref="G399:H399"/>
    <mergeCell ref="G400:H400"/>
    <mergeCell ref="G401:H401"/>
    <mergeCell ref="G402:H402"/>
    <mergeCell ref="G403:H403"/>
    <mergeCell ref="G404:H404"/>
    <mergeCell ref="G410:H410"/>
    <mergeCell ref="G411:H411"/>
    <mergeCell ref="G412:H412"/>
    <mergeCell ref="C420:F420"/>
    <mergeCell ref="A422:I423"/>
    <mergeCell ref="C443:F443"/>
    <mergeCell ref="A445:I446"/>
    <mergeCell ref="A447:F448"/>
    <mergeCell ref="A489:C489"/>
    <mergeCell ref="A501:C501"/>
    <mergeCell ref="G507:H507"/>
    <mergeCell ref="G508:H508"/>
    <mergeCell ref="G509:H509"/>
    <mergeCell ref="G510:H510"/>
    <mergeCell ref="G512:H512"/>
    <mergeCell ref="G513:H513"/>
    <mergeCell ref="G514:H514"/>
    <mergeCell ref="G515:H515"/>
    <mergeCell ref="G516:H516"/>
    <mergeCell ref="G517:H517"/>
    <mergeCell ref="G518:H518"/>
    <mergeCell ref="G541:H541"/>
    <mergeCell ref="G542:H542"/>
    <mergeCell ref="G543:H543"/>
    <mergeCell ref="G544:H544"/>
    <mergeCell ref="G546:H546"/>
    <mergeCell ref="G547:H547"/>
    <mergeCell ref="G548:H548"/>
    <mergeCell ref="G549:H549"/>
    <mergeCell ref="G550:H550"/>
    <mergeCell ref="G551:H551"/>
    <mergeCell ref="G552:H552"/>
    <mergeCell ref="G553:H553"/>
    <mergeCell ref="G554:H554"/>
    <mergeCell ref="G555:H555"/>
    <mergeCell ref="G556:H556"/>
    <mergeCell ref="C562:F562"/>
    <mergeCell ref="A564:I565"/>
    <mergeCell ref="A566:F567"/>
    <mergeCell ref="A612:C612"/>
    <mergeCell ref="G628:H628"/>
    <mergeCell ref="G629:H629"/>
    <mergeCell ref="G630:H630"/>
    <mergeCell ref="G631:H631"/>
    <mergeCell ref="G632:H632"/>
    <mergeCell ref="G633:H633"/>
    <mergeCell ref="G634:H634"/>
    <mergeCell ref="G635:H635"/>
    <mergeCell ref="G639:H639"/>
    <mergeCell ref="G640:H640"/>
    <mergeCell ref="G647:H647"/>
    <mergeCell ref="G648:H648"/>
    <mergeCell ref="G649:H649"/>
    <mergeCell ref="G653:H653"/>
    <mergeCell ref="G654:H654"/>
    <mergeCell ref="G655:H655"/>
    <mergeCell ref="G656:H656"/>
    <mergeCell ref="G657:H657"/>
    <mergeCell ref="G658:H658"/>
    <mergeCell ref="G659:H659"/>
    <mergeCell ref="G660:H660"/>
    <mergeCell ref="G667:H667"/>
    <mergeCell ref="G673:H673"/>
    <mergeCell ref="G674:H674"/>
    <mergeCell ref="G675:H675"/>
    <mergeCell ref="G676:H676"/>
    <mergeCell ref="G677:H677"/>
    <mergeCell ref="G678:H678"/>
    <mergeCell ref="G679:H679"/>
    <mergeCell ref="G680:H680"/>
    <mergeCell ref="G681:H681"/>
    <mergeCell ref="G682:H682"/>
    <mergeCell ref="G683:H683"/>
    <mergeCell ref="G684:H684"/>
    <mergeCell ref="G685:H685"/>
    <mergeCell ref="G686:H686"/>
    <mergeCell ref="G687:H687"/>
    <mergeCell ref="G688:H688"/>
    <mergeCell ref="G689:H689"/>
    <mergeCell ref="G690:H690"/>
    <mergeCell ref="G691:H691"/>
    <mergeCell ref="G692:H692"/>
    <mergeCell ref="G693:H693"/>
    <mergeCell ref="G694:H694"/>
    <mergeCell ref="G695:H695"/>
    <mergeCell ref="G696:H696"/>
    <mergeCell ref="G697:H697"/>
    <mergeCell ref="G698:H698"/>
    <mergeCell ref="G699:H699"/>
    <mergeCell ref="G700:H700"/>
    <mergeCell ref="G701:H701"/>
    <mergeCell ref="G702:H702"/>
    <mergeCell ref="G703:H703"/>
    <mergeCell ref="G704:H704"/>
    <mergeCell ref="G705:H705"/>
    <mergeCell ref="C711:F711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2:M327"/>
  <sheetViews>
    <sheetView showFormulas="false" showGridLines="true" showRowColHeaders="true" showZeros="true" rightToLeft="false" tabSelected="false" showOutlineSymbols="true" defaultGridColor="true" view="normal" topLeftCell="A177" colorId="64" zoomScale="100" zoomScaleNormal="100" zoomScalePageLayoutView="100" workbookViewId="0">
      <selection pane="topLeft" activeCell="A191" activeCellId="0" sqref="A191"/>
    </sheetView>
  </sheetViews>
  <sheetFormatPr defaultColWidth="9.15625" defaultRowHeight="15.75" zeroHeight="false" outlineLevelRow="0" outlineLevelCol="0"/>
  <cols>
    <col collapsed="false" customWidth="true" hidden="false" outlineLevel="0" max="1" min="1" style="2674" width="49.86"/>
    <col collapsed="false" customWidth="true" hidden="false" outlineLevel="0" max="2" min="2" style="2675" width="9"/>
    <col collapsed="false" customWidth="false" hidden="false" outlineLevel="0" max="3" min="3" style="2674" width="9.14"/>
    <col collapsed="false" customWidth="true" hidden="false" outlineLevel="0" max="5" min="4" style="2674" width="11.57"/>
    <col collapsed="false" customWidth="true" hidden="false" outlineLevel="0" max="6" min="6" style="2674" width="11.86"/>
    <col collapsed="false" customWidth="true" hidden="false" outlineLevel="0" max="7" min="7" style="2674" width="8"/>
    <col collapsed="false" customWidth="true" hidden="false" outlineLevel="0" max="8" min="8" style="2674" width="19.42"/>
    <col collapsed="false" customWidth="true" hidden="false" outlineLevel="0" max="9" min="9" style="2674" width="14.28"/>
    <col collapsed="false" customWidth="true" hidden="false" outlineLevel="0" max="10" min="10" style="2674" width="14.86"/>
    <col collapsed="false" customWidth="true" hidden="false" outlineLevel="0" max="11" min="11" style="2674" width="9.29"/>
    <col collapsed="false" customWidth="true" hidden="false" outlineLevel="0" max="12" min="12" style="2674" width="13.86"/>
    <col collapsed="false" customWidth="true" hidden="false" outlineLevel="0" max="13" min="13" style="2674" width="10.71"/>
    <col collapsed="false" customWidth="false" hidden="false" outlineLevel="0" max="16" min="14" style="2674" width="9.14"/>
    <col collapsed="false" customWidth="true" hidden="false" outlineLevel="0" max="18" min="17" style="2674" width="9.29"/>
    <col collapsed="false" customWidth="true" hidden="false" outlineLevel="0" max="19" min="19" style="2674" width="9.42"/>
    <col collapsed="false" customWidth="false" hidden="false" outlineLevel="0" max="1024" min="20" style="2674" width="9.14"/>
  </cols>
  <sheetData>
    <row r="2" customFormat="false" ht="15.75" hidden="false" customHeight="false" outlineLevel="0" collapsed="false">
      <c r="A2" s="2676" t="s">
        <v>2377</v>
      </c>
      <c r="B2" s="2677"/>
      <c r="C2" s="2678" t="s">
        <v>162</v>
      </c>
      <c r="D2" s="2678" t="s">
        <v>4082</v>
      </c>
      <c r="E2" s="2678" t="s">
        <v>486</v>
      </c>
      <c r="G2" s="2674" t="n">
        <f aca="false">IF('Ввод данных'!A30=связи1!A198,0,1)+IF('Ввод данных'!A35=связи1!A198,0,1)+IF('Ввод данных'!A40=связи1!A198,0,1)</f>
        <v>3</v>
      </c>
    </row>
    <row r="3" customFormat="false" ht="15.75" hidden="false" customHeight="false" outlineLevel="0" collapsed="false">
      <c r="A3" s="2679" t="s">
        <v>4083</v>
      </c>
      <c r="B3" s="1556"/>
      <c r="C3" s="876" t="s">
        <v>820</v>
      </c>
      <c r="D3" s="2664" t="n">
        <f aca="false">дома!F1086*E3</f>
        <v>0</v>
      </c>
      <c r="E3" s="2680" t="n">
        <f aca="false">IF('Ввод данных'!A30=связи1!A220,1,0)</f>
        <v>0</v>
      </c>
      <c r="F3" s="2681"/>
      <c r="G3" s="2682" t="n">
        <f aca="false">IF(G2&gt;0,1,0)</f>
        <v>1</v>
      </c>
      <c r="H3" s="2683"/>
      <c r="I3" s="2684"/>
      <c r="J3" s="2685"/>
    </row>
    <row r="4" customFormat="false" ht="15.75" hidden="false" customHeight="false" outlineLevel="0" collapsed="false">
      <c r="A4" s="2679" t="s">
        <v>4084</v>
      </c>
      <c r="B4" s="1556"/>
      <c r="C4" s="876" t="s">
        <v>820</v>
      </c>
      <c r="D4" s="2664" t="n">
        <f aca="false">дома!F1087*E4</f>
        <v>0</v>
      </c>
      <c r="E4" s="2680" t="n">
        <f aca="false">IF('Ввод данных'!A35=связи1!A220,1,0)</f>
        <v>0</v>
      </c>
      <c r="F4" s="2681"/>
      <c r="G4" s="2682"/>
      <c r="H4" s="2683"/>
      <c r="I4" s="2684"/>
      <c r="J4" s="2685"/>
    </row>
    <row r="5" customFormat="false" ht="15.75" hidden="false" customHeight="false" outlineLevel="0" collapsed="false">
      <c r="A5" s="2679" t="s">
        <v>4085</v>
      </c>
      <c r="B5" s="1556"/>
      <c r="C5" s="876" t="s">
        <v>820</v>
      </c>
      <c r="D5" s="2664" t="n">
        <f aca="false">дома!F1090*E5</f>
        <v>0</v>
      </c>
      <c r="E5" s="2680" t="n">
        <f aca="false">IF('Ввод данных'!A40=связи1!A220,1,0)</f>
        <v>0</v>
      </c>
      <c r="F5" s="2681"/>
      <c r="G5" s="2682"/>
      <c r="H5" s="2683"/>
      <c r="I5" s="2684"/>
      <c r="J5" s="2685"/>
    </row>
    <row r="6" customFormat="false" ht="15.75" hidden="false" customHeight="false" outlineLevel="0" collapsed="false">
      <c r="A6" s="2679" t="s">
        <v>4086</v>
      </c>
      <c r="B6" s="1556"/>
      <c r="C6" s="876" t="s">
        <v>502</v>
      </c>
      <c r="D6" s="2686" t="str">
        <f aca="false">'Ввод данных'!G125</f>
        <v>Работать в расширенных настройках можно только при покупке программы для Менеджеров. В данной программе для Клиентов все настройки установлены по минимальному значению. При покупке Программы для Менеджеров вы получаете расширенные настройки, которые сами можете менять и ставить код. Видео при покупке прилагается.</v>
      </c>
      <c r="E6" s="2680" t="n">
        <f aca="false">IF((E3+E4+E5)&gt;0,1,0)</f>
        <v>0</v>
      </c>
      <c r="F6" s="2681"/>
      <c r="G6" s="2682"/>
      <c r="H6" s="2683"/>
      <c r="I6" s="2684"/>
      <c r="J6" s="2685"/>
    </row>
    <row r="7" customFormat="false" ht="15.75" hidden="false" customHeight="false" outlineLevel="0" collapsed="false">
      <c r="A7" s="2687" t="s">
        <v>4087</v>
      </c>
      <c r="B7" s="2688"/>
      <c r="C7" s="2678" t="s">
        <v>162</v>
      </c>
      <c r="D7" s="2678" t="s">
        <v>4082</v>
      </c>
      <c r="E7" s="2678" t="s">
        <v>486</v>
      </c>
      <c r="F7" s="2689" t="s">
        <v>137</v>
      </c>
      <c r="G7" s="2690" t="s">
        <v>482</v>
      </c>
      <c r="H7" s="2690" t="s">
        <v>815</v>
      </c>
      <c r="I7" s="2691" t="s">
        <v>537</v>
      </c>
      <c r="J7" s="2690"/>
    </row>
    <row r="8" customFormat="false" ht="15.75" hidden="false" customHeight="false" outlineLevel="0" collapsed="false">
      <c r="A8" s="2679" t="s">
        <v>4088</v>
      </c>
      <c r="B8" s="1556"/>
      <c r="C8" s="2692" t="s">
        <v>820</v>
      </c>
      <c r="D8" s="2664" t="n">
        <f aca="false">дома!F1086*E8</f>
        <v>0</v>
      </c>
      <c r="E8" s="2680" t="n">
        <f aca="false">IF('Ввод данных'!A30=связи1!A212,1,0)+IF('Ввод данных'!A30=связи1!A213,1,0)+IF('Ввод данных'!A30=связи1!A214,1,0)+IF('Ввод данных'!A30=связи1!A215,1,0)+IF('Ввод данных'!A30=связи1!A216,1,0)+IF('Ввод данных'!A30=связи1!A217,1,0)+IF('Ввод данных'!A30=связи1!A218,1,0)+IF('Ввод данных'!A30=связи1!A219,1,0)</f>
        <v>0</v>
      </c>
      <c r="F8" s="2693" t="n">
        <f aca="false">IF('Ввод данных'!A30=связи1!A212,0.3,0)+IF('Ввод данных'!A30=связи1!A213,0.3,0)+IF('Ввод данных'!A30=связи1!A214,0.25,0)+IF('Ввод данных'!A30=связи1!A215,0.25,0)+IF('Ввод данных'!A30=связи1!A216,0.2,0)+IF('Ввод данных'!A30=связи1!A217,0.2,0)+IF('Ввод данных'!A30=связи1!A218,0.15,0)+IF('Ввод данных'!A30=связи1!A219,0.15,0)</f>
        <v>0</v>
      </c>
      <c r="G8" s="2694" t="n">
        <f aca="false">'Ввод данных'!E125</f>
        <v>0.15</v>
      </c>
      <c r="H8" s="2694" t="n">
        <f aca="false">IF('Ввод данных'!A30=связи1!A212,2,0)+IF('Ввод данных'!A30=связи1!A213,1,0)+IF('Ввод данных'!A30=связи1!A214,2,0)+IF('Ввод данных'!A30=связи1!A215,1,0)+IF('Ввод данных'!A30=связи1!A216,2,0)+IF('Ввод данных'!A30=связи1!A217,1,0)+IF('Ввод данных'!A30=связи1!A218,2,0)+IF('Ввод данных'!A30=связи1!A219,1,0)</f>
        <v>0</v>
      </c>
      <c r="I8" s="650" t="n">
        <f aca="false">VLOOKUP('Ввод данных'!A32,'Прайс лист'!B600:G638,3,0)</f>
        <v>0</v>
      </c>
      <c r="J8" s="2694" t="n">
        <f aca="false">IF(G8=0,1,G8)</f>
        <v>0.15</v>
      </c>
    </row>
    <row r="9" customFormat="false" ht="15.75" hidden="false" customHeight="false" outlineLevel="0" collapsed="false">
      <c r="A9" s="2679" t="s">
        <v>4089</v>
      </c>
      <c r="B9" s="1556"/>
      <c r="C9" s="2692" t="s">
        <v>820</v>
      </c>
      <c r="D9" s="2664" t="n">
        <f aca="false">дома!F1087*E9</f>
        <v>64</v>
      </c>
      <c r="E9" s="2680" t="n">
        <f aca="false">IF('Ввод данных'!A35=связи1!A212,1,0)+IF('Ввод данных'!A35=связи1!A213,1,0)+IF('Ввод данных'!A35=связи1!A214,1,0)+IF('Ввод данных'!A35=связи1!A215,1,0)+IF('Ввод данных'!A35=связи1!A216,1,0)+IF('Ввод данных'!A35=связи1!A217,1,0)+IF('Ввод данных'!A35=связи1!A218,1,0)+IF('Ввод данных'!A35=связи1!A219,1,0)</f>
        <v>1</v>
      </c>
      <c r="F9" s="2693" t="n">
        <f aca="false">IF('Ввод данных'!A35=связи1!A212,0.3,0)+IF('Ввод данных'!A35=связи1!A213,0.3,0)+IF('Ввод данных'!A35=связи1!A214,0.25,0)+IF('Ввод данных'!A35=связи1!A215,0.25,0)+IF('Ввод данных'!A35=связи1!A216,0.2,0)+IF('Ввод данных'!A35=связи1!A217,0.2,0)+IF('Ввод данных'!A35=связи1!A218,0.15,0)+IF('Ввод данных'!A35=связи1!A219,0.15,0)</f>
        <v>0.2</v>
      </c>
      <c r="G9" s="2694" t="n">
        <f aca="false">'Ввод данных'!E134</f>
        <v>0.2</v>
      </c>
      <c r="H9" s="2694" t="n">
        <f aca="false">IF('Ввод данных'!A35=связи1!A212,2,0)+IF('Ввод данных'!A35=связи1!A213,1,0)+IF('Ввод данных'!A35=связи1!A214,2,0)+IF('Ввод данных'!A35=связи1!A215,1,0)+IF('Ввод данных'!A35=связи1!A216,2,0)+IF('Ввод данных'!A35=связи1!A217,1,0)+IF('Ввод данных'!A35=связи1!A218,2,0)+IF('Ввод данных'!A35=связи1!A219,1,0)</f>
        <v>2</v>
      </c>
      <c r="I9" s="650" t="n">
        <f aca="false">VLOOKUP('Ввод данных'!A37,'Прайс лист'!B600:G638,3,0)</f>
        <v>0.1</v>
      </c>
      <c r="J9" s="2694" t="n">
        <f aca="false">IF(G9=0,1,G9)</f>
        <v>0.2</v>
      </c>
    </row>
    <row r="10" customFormat="false" ht="15.75" hidden="false" customHeight="false" outlineLevel="0" collapsed="false">
      <c r="A10" s="2679" t="s">
        <v>4090</v>
      </c>
      <c r="B10" s="1556"/>
      <c r="C10" s="2692" t="s">
        <v>820</v>
      </c>
      <c r="D10" s="2664" t="n">
        <f aca="false">дома!F1090*E10</f>
        <v>0</v>
      </c>
      <c r="E10" s="2680" t="n">
        <f aca="false">IF('Ввод данных'!A40=связи1!A212,1,0)+IF('Ввод данных'!A40=связи1!A213,1,0)+IF('Ввод данных'!A40=связи1!A214,1,0)+IF('Ввод данных'!A40=связи1!A215,1,0)+IF('Ввод данных'!A40=связи1!A216,1,0)+IF('Ввод данных'!A40=связи1!A217,1,0)+IF('Ввод данных'!A40=связи1!A218,1,0)+IF('Ввод данных'!A40=связи1!A219,1,0)</f>
        <v>0</v>
      </c>
      <c r="F10" s="2693" t="n">
        <f aca="false">IF('Ввод данных'!A40=связи1!A212,0.3,0)+IF('Ввод данных'!A40=связи1!A213,0.3,0)+IF('Ввод данных'!A40=связи1!A214,0.25,0)+IF('Ввод данных'!A40=связи1!A215,0.25,0)+IF('Ввод данных'!A40=связи1!A216,0.2,0)+IF('Ввод данных'!A40=связи1!A217,0.2,0)+IF('Ввод данных'!A40=связи1!A218,0.15,0)+IF('Ввод данных'!A40=связи1!A219,0.15,0)</f>
        <v>0</v>
      </c>
      <c r="G10" s="2694" t="n">
        <f aca="false">'Ввод данных'!E142</f>
        <v>0.25</v>
      </c>
      <c r="H10" s="2694" t="n">
        <f aca="false">IF('Ввод данных'!A40=связи1!A212,2,0)+IF('Ввод данных'!A40=связи1!A213,1,0)+IF('Ввод данных'!A40=связи1!A214,2,0)+IF('Ввод данных'!A40=связи1!A215,1,0)+IF('Ввод данных'!A40=связи1!A216,2,0)+IF('Ввод данных'!A40=связи1!A217,1,0)+IF('Ввод данных'!A40=связи1!A218,2,0)+IF('Ввод данных'!A40=связи1!A219,1,0)</f>
        <v>0</v>
      </c>
      <c r="I10" s="650" t="n">
        <f aca="false">VLOOKUP('Ввод данных'!A42,'Прайс лист'!B600:G638,3,0)</f>
        <v>0</v>
      </c>
      <c r="J10" s="2694" t="n">
        <f aca="false">IF(G10=0,1,G10)</f>
        <v>0.25</v>
      </c>
    </row>
    <row r="11" customFormat="false" ht="15.75" hidden="false" customHeight="false" outlineLevel="0" collapsed="false">
      <c r="A11" s="2679" t="s">
        <v>4091</v>
      </c>
      <c r="B11" s="1556"/>
      <c r="C11" s="2692" t="s">
        <v>48</v>
      </c>
      <c r="D11" s="2664"/>
      <c r="E11" s="2680" t="n">
        <v>1</v>
      </c>
      <c r="F11" s="2681"/>
      <c r="G11" s="2682"/>
      <c r="H11" s="2683"/>
      <c r="I11" s="2695"/>
      <c r="J11" s="2683"/>
    </row>
    <row r="12" customFormat="false" ht="15.75" hidden="false" customHeight="false" outlineLevel="0" collapsed="false">
      <c r="A12" s="738" t="s">
        <v>4092</v>
      </c>
      <c r="B12" s="739"/>
      <c r="C12" s="2692" t="s">
        <v>502</v>
      </c>
      <c r="D12" s="2686" t="e">
        <f aca="false">'ввод данных'!#ref!</f>
        <v>#VALUE!</v>
      </c>
      <c r="E12" s="2680" t="n">
        <f aca="false">IF(SUM(E8:E10)&gt;0,1,0)</f>
        <v>1</v>
      </c>
    </row>
    <row r="13" customFormat="false" ht="15.75" hidden="false" customHeight="false" outlineLevel="0" collapsed="false">
      <c r="A13" s="2696" t="s">
        <v>4093</v>
      </c>
      <c r="B13" s="2688"/>
      <c r="C13" s="2678" t="s">
        <v>162</v>
      </c>
      <c r="D13" s="2678" t="s">
        <v>4082</v>
      </c>
      <c r="E13" s="2678" t="s">
        <v>486</v>
      </c>
      <c r="F13" s="2689" t="s">
        <v>137</v>
      </c>
      <c r="G13" s="2690" t="s">
        <v>116</v>
      </c>
      <c r="H13" s="2690" t="s">
        <v>482</v>
      </c>
      <c r="I13" s="2691" t="s">
        <v>537</v>
      </c>
      <c r="J13" s="2690" t="s">
        <v>4094</v>
      </c>
    </row>
    <row r="14" customFormat="false" ht="15.75" hidden="false" customHeight="false" outlineLevel="0" collapsed="false">
      <c r="A14" s="2679" t="s">
        <v>4095</v>
      </c>
      <c r="B14" s="1556"/>
      <c r="C14" s="2692" t="s">
        <v>820</v>
      </c>
      <c r="D14" s="2664" t="n">
        <f aca="false">дома!F1086*E14</f>
        <v>0</v>
      </c>
      <c r="E14" s="2680" t="n">
        <f aca="false">IF('Ввод данных'!A30=связи1!A202,1,0)+IF('Ввод данных'!A30=связи1!A203,1,0)+IF('Ввод данных'!A30=связи1!A204,1,0)+IF('Ввод данных'!A30=связи1!A205,1,0)+IF('Ввод данных'!A30=связи1!A206,1,0)+IF('Ввод данных'!A30=связи1!A207,1,0)</f>
        <v>0</v>
      </c>
      <c r="F14" s="2693" t="n">
        <f aca="false">IF('Ввод данных'!A30=связи1!A202,0.2,0)+IF('Ввод данных'!A30=связи1!A203,0.15,0)+IF('Ввод данных'!A30=связи1!A204,0.1,0)+IF('Ввод данных'!A30=связи1!A205,0.15,0)+IF('Ввод данных'!A30=связи1!A206,0.2,0)+IF('Ввод данных'!A30=связи1!A207,0.15,0)</f>
        <v>0</v>
      </c>
      <c r="G14" s="2694" t="n">
        <f aca="false">IF('Ввод данных'!A30=связи1!A202,0.1,0)+IF('Ввод данных'!A30=связи1!A203,0.1,0)+IF('Ввод данных'!A30=связи1!A204,0.1,0)+IF('Ввод данных'!A30=связи1!A205,0.15,0)+IF('Ввод данных'!A30=связи1!A206,0.05,0)+IF('Ввод данных'!A30=связи1!A207,0.05,0)</f>
        <v>0</v>
      </c>
      <c r="H14" s="2694" t="n">
        <f aca="false">'Ввод данных'!C125</f>
        <v>0.6</v>
      </c>
      <c r="I14" s="650" t="n">
        <f aca="false">VLOOKUP('Ввод данных'!A32,'Прайс лист'!B600:G638,3,0)</f>
        <v>0</v>
      </c>
      <c r="J14" s="2694" t="n">
        <f aca="false">IF(H14=0,1,H14)</f>
        <v>0.6</v>
      </c>
    </row>
    <row r="15" customFormat="false" ht="15.75" hidden="false" customHeight="false" outlineLevel="0" collapsed="false">
      <c r="A15" s="2679" t="s">
        <v>4096</v>
      </c>
      <c r="B15" s="1556"/>
      <c r="C15" s="2692" t="s">
        <v>820</v>
      </c>
      <c r="D15" s="2664" t="n">
        <f aca="false">дома!F1087*E15</f>
        <v>0</v>
      </c>
      <c r="E15" s="2680" t="n">
        <f aca="false">IF('Ввод данных'!A35=связи1!A202,1,0)+IF('Ввод данных'!A35=связи1!A203,1,0)+IF('Ввод данных'!A35=связи1!A204,1,0)+IF('Ввод данных'!A35=связи1!A205,1,0)+IF('Ввод данных'!A35=связи1!A206,1,0)+IF('Ввод данных'!A35=связи1!A207,1,0)</f>
        <v>0</v>
      </c>
      <c r="F15" s="2693" t="n">
        <f aca="false">IF('Ввод данных'!A35=связи1!A202,0.2,0)+IF('Ввод данных'!A35=связи1!A203,0.15,0)+IF('Ввод данных'!A35=связи1!A204,0.1,0)+IF('Ввод данных'!A35=связи1!A205,0.15,0)+IF('Ввод данных'!A35=связи1!A206,0.2,0)+IF('Ввод данных'!A35=связи1!A207,0.15,0)</f>
        <v>0</v>
      </c>
      <c r="G15" s="2694" t="n">
        <f aca="false">IF('Ввод данных'!A35=связи1!A202,0.1,0)+IF('Ввод данных'!A35=связи1!A203,0.1,0)+IF('Ввод данных'!A35=связи1!A204,0.1,0)+IF('Ввод данных'!A35=связи1!A205,0.15,0)+IF('Ввод данных'!A35=связи1!A206,0.05,0)+IF('Ввод данных'!A35=связи1!A207,0.05,0)</f>
        <v>0</v>
      </c>
      <c r="H15" s="2694" t="n">
        <f aca="false">'Ввод данных'!C134</f>
        <v>0.6</v>
      </c>
      <c r="I15" s="650" t="n">
        <f aca="false">VLOOKUP('Ввод данных'!A37,'Прайс лист'!B600:G638,3,0)</f>
        <v>0.1</v>
      </c>
      <c r="J15" s="2694" t="n">
        <f aca="false">IF(H15=0,1,H15)</f>
        <v>0.6</v>
      </c>
    </row>
    <row r="16" customFormat="false" ht="15.75" hidden="false" customHeight="false" outlineLevel="0" collapsed="false">
      <c r="A16" s="2679" t="s">
        <v>4097</v>
      </c>
      <c r="B16" s="1556"/>
      <c r="C16" s="2692" t="s">
        <v>820</v>
      </c>
      <c r="D16" s="2664" t="n">
        <f aca="false">дома!F1090*E16</f>
        <v>0</v>
      </c>
      <c r="E16" s="2680" t="n">
        <f aca="false">IF('Ввод данных'!A40=связи1!A202,1,0)+IF('Ввод данных'!A40=связи1!A203,1,0)+IF('Ввод данных'!A40=связи1!A204,1,0)+IF('Ввод данных'!A40=связи1!A205,1,0)+IF('Ввод данных'!A40=связи1!A206,1,0)+IF('Ввод данных'!A40=связи1!A207,1,0)</f>
        <v>0</v>
      </c>
      <c r="F16" s="2693" t="n">
        <f aca="false">IF('Ввод данных'!A40=связи1!A202,0.2,0)+IF('Ввод данных'!A40=связи1!A203,0.15,0)+IF('Ввод данных'!A40=связи1!A204,0.1,0)+IF('Ввод данных'!A40=связи1!A205,0.15,0)+IF('Ввод данных'!A40=связи1!A206,0.2,0)+IF('Ввод данных'!A40=связи1!A207,0.15,0)</f>
        <v>0</v>
      </c>
      <c r="G16" s="2694" t="n">
        <f aca="false">IF('Ввод данных'!A40=связи1!A202,0.1,0)+IF('Ввод данных'!A40=связи1!A203,0.1,0)+IF('Ввод данных'!A40=связи1!A204,0.1,0)+IF('Ввод данных'!A40=связи1!A205,0.15,0)+IF('Ввод данных'!A40=связи1!A206,0.05,0)+IF('Ввод данных'!A40=связи1!A207,0.05,0)</f>
        <v>0</v>
      </c>
      <c r="H16" s="2694" t="n">
        <f aca="false">'Ввод данных'!C142</f>
        <v>0.6</v>
      </c>
      <c r="I16" s="650" t="n">
        <f aca="false">VLOOKUP('Ввод данных'!A42,'Прайс лист'!B600:G638,3,0)</f>
        <v>0</v>
      </c>
      <c r="J16" s="2694" t="n">
        <f aca="false">IF(H16=0,1,H16)</f>
        <v>0.6</v>
      </c>
    </row>
    <row r="17" customFormat="false" ht="15.75" hidden="false" customHeight="false" outlineLevel="0" collapsed="false">
      <c r="A17" s="2679"/>
      <c r="B17" s="1556"/>
      <c r="C17" s="2679"/>
      <c r="D17" s="2679"/>
      <c r="F17" s="2697"/>
      <c r="G17" s="2682"/>
      <c r="H17" s="2683"/>
      <c r="I17" s="2684"/>
      <c r="J17" s="2685"/>
    </row>
    <row r="18" customFormat="false" ht="15.75" hidden="false" customHeight="false" outlineLevel="0" collapsed="false">
      <c r="A18" s="2698" t="s">
        <v>4098</v>
      </c>
      <c r="B18" s="2699"/>
      <c r="C18" s="2678" t="s">
        <v>162</v>
      </c>
      <c r="D18" s="2678" t="s">
        <v>4082</v>
      </c>
      <c r="E18" s="2678" t="s">
        <v>486</v>
      </c>
      <c r="F18" s="2689" t="s">
        <v>137</v>
      </c>
      <c r="G18" s="2690" t="s">
        <v>116</v>
      </c>
      <c r="H18" s="2690" t="s">
        <v>482</v>
      </c>
      <c r="I18" s="2691" t="s">
        <v>537</v>
      </c>
      <c r="J18" s="2692"/>
    </row>
    <row r="19" customFormat="false" ht="15.75" hidden="false" customHeight="false" outlineLevel="0" collapsed="false">
      <c r="A19" s="864" t="s">
        <v>4099</v>
      </c>
      <c r="B19" s="862"/>
      <c r="C19" s="2692" t="s">
        <v>15</v>
      </c>
      <c r="D19" s="649" t="n">
        <f aca="false">дома!F1086*E19</f>
        <v>0</v>
      </c>
      <c r="E19" s="2680" t="n">
        <f aca="false">IF('Ввод данных'!A127=связи1!A246,1,0)+IF('Ввод данных'!A127=связи1!A247,1,0)+IF('Ввод данных'!A127=связи1!A248,1,0)</f>
        <v>0</v>
      </c>
      <c r="F19" s="2686" t="n">
        <f aca="false">IF('Ввод данных'!A127=связи1!A246,0.1,0)+IF('Ввод данных'!A127=связи1!A247,0.1,0)+IF('Ввод данных'!A127=связи1!A248,0.1,0)</f>
        <v>0</v>
      </c>
      <c r="G19" s="2686" t="n">
        <f aca="false">IF('Ввод данных'!A127=связи1!A246,0.05,0)+IF('Ввод данных'!A127=связи1!A247,0.05,0)+IF('Ввод данных'!A127=связи1!A248,0.045,0)</f>
        <v>0</v>
      </c>
      <c r="H19" s="876" t="n">
        <f aca="false">'Ввод данных'!C127</f>
        <v>0.4</v>
      </c>
      <c r="I19" s="736"/>
      <c r="J19" s="876"/>
    </row>
    <row r="21" customFormat="false" ht="15.75" hidden="false" customHeight="false" outlineLevel="0" collapsed="false">
      <c r="A21" s="2696" t="s">
        <v>4100</v>
      </c>
      <c r="B21" s="2688"/>
      <c r="C21" s="2678" t="s">
        <v>162</v>
      </c>
      <c r="D21" s="2678" t="s">
        <v>4082</v>
      </c>
      <c r="E21" s="2678" t="s">
        <v>486</v>
      </c>
      <c r="F21" s="2689" t="s">
        <v>137</v>
      </c>
      <c r="G21" s="2690" t="s">
        <v>116</v>
      </c>
      <c r="H21" s="2690" t="s">
        <v>482</v>
      </c>
      <c r="I21" s="2691" t="s">
        <v>537</v>
      </c>
      <c r="J21" s="2690" t="s">
        <v>4094</v>
      </c>
    </row>
    <row r="22" customFormat="false" ht="15.75" hidden="false" customHeight="false" outlineLevel="0" collapsed="false">
      <c r="A22" s="2679" t="s">
        <v>4101</v>
      </c>
      <c r="B22" s="1556"/>
      <c r="C22" s="2692" t="s">
        <v>820</v>
      </c>
      <c r="D22" s="2664" t="n">
        <f aca="false">дома!F1086*E22</f>
        <v>0</v>
      </c>
      <c r="E22" s="2680" t="n">
        <f aca="false">IF('Ввод данных'!A30=связи1!A208,1,0)+IF('Ввод данных'!A30=связи1!A209,1,0)+IF('Ввод данных'!A30=связи1!A210,1,0)+IF('Ввод данных'!A30=связи1!A211,1,0)</f>
        <v>0</v>
      </c>
      <c r="F22" s="2693" t="n">
        <f aca="false">IF('Ввод данных'!A30=связи1!A208,0.2,0)+IF('Ввод данных'!A30=связи1!A209,0.15,0)+IF('Ввод данных'!A30=связи1!A210,0.2,0)+IF('Ввод данных'!A30=связи1!A211,0.15,0)</f>
        <v>0</v>
      </c>
      <c r="G22" s="2694" t="n">
        <f aca="false">IF('Ввод данных'!A30=связи1!A208,0.05,0)+IF('Ввод данных'!A30=связи1!A209,0.05,0)+IF('Ввод данных'!A30=связи1!A210,0.045,0)+IF('Ввод данных'!A30=связи1!A211,0.045,0)</f>
        <v>0</v>
      </c>
      <c r="H22" s="2694" t="n">
        <f aca="false">'Ввод данных'!C125</f>
        <v>0.6</v>
      </c>
      <c r="I22" s="650" t="n">
        <f aca="false">VLOOKUP('Ввод данных'!A32,'Прайс лист'!B600:G638,3,0)</f>
        <v>0</v>
      </c>
      <c r="J22" s="2694" t="n">
        <f aca="false">IF(H22=0,1,H22)</f>
        <v>0.6</v>
      </c>
    </row>
    <row r="23" customFormat="false" ht="15.75" hidden="false" customHeight="false" outlineLevel="0" collapsed="false">
      <c r="A23" s="2679" t="s">
        <v>4096</v>
      </c>
      <c r="B23" s="1556"/>
      <c r="C23" s="2692" t="s">
        <v>820</v>
      </c>
      <c r="D23" s="2664" t="n">
        <f aca="false">дома!F1087*E23</f>
        <v>0</v>
      </c>
      <c r="E23" s="2680" t="n">
        <f aca="false">IF('Ввод данных'!A35=связи1!A208,1,0)+IF('Ввод данных'!A35=связи1!A209,1,0)+IF('Ввод данных'!A35=связи1!A210,1,0)+IF('Ввод данных'!A35=связи1!A211,1,0)</f>
        <v>0</v>
      </c>
      <c r="F23" s="2693" t="n">
        <f aca="false">IF('Ввод данных'!A35=связи1!A208,0.2,0)+IF('Ввод данных'!A35=связи1!A209,0.15,0)+IF('Ввод данных'!A35=связи1!A210,0.2,0)+IF('Ввод данных'!A35=связи1!A211,0.15,0)</f>
        <v>0</v>
      </c>
      <c r="G23" s="2694" t="n">
        <f aca="false">IF('Ввод данных'!A35=связи1!A208,0.05,0)+IF('Ввод данных'!A35=связи1!A209,0.05,0)+IF('Ввод данных'!A35=связи1!A210,0.045,0)+IF('Ввод данных'!A35=связи1!A211,0.045,0)</f>
        <v>0</v>
      </c>
      <c r="H23" s="2694" t="n">
        <f aca="false">'Ввод данных'!C134</f>
        <v>0.6</v>
      </c>
      <c r="I23" s="650" t="n">
        <f aca="false">VLOOKUP('Ввод данных'!A37,'Прайс лист'!B600:G638,3,0)</f>
        <v>0.1</v>
      </c>
      <c r="J23" s="2694" t="n">
        <f aca="false">IF(H23=0,1,H23)</f>
        <v>0.6</v>
      </c>
    </row>
    <row r="24" customFormat="false" ht="15.75" hidden="false" customHeight="false" outlineLevel="0" collapsed="false">
      <c r="A24" s="876" t="s">
        <v>4097</v>
      </c>
      <c r="B24" s="739"/>
      <c r="C24" s="2692" t="s">
        <v>820</v>
      </c>
      <c r="D24" s="2664" t="n">
        <f aca="false">дома!F1090*E24</f>
        <v>0</v>
      </c>
      <c r="E24" s="2680" t="n">
        <f aca="false">IF('Ввод данных'!A40=связи1!A208,1,0)+IF('Ввод данных'!A40=связи1!A209,1,0)+IF('Ввод данных'!A40=связи1!A210,1,0)+IF('Ввод данных'!A40=связи1!A211,1,0)</f>
        <v>1</v>
      </c>
      <c r="F24" s="2693" t="n">
        <f aca="false">IF('Ввод данных'!A40=связи1!A208,0.2,0)+IF('Ввод данных'!A40=связи1!A209,0.15,0)+IF('Ввод данных'!A40=связи1!A210,0.2,0)+IF('Ввод данных'!A40=связи1!A211,0.15,0)</f>
        <v>0.2</v>
      </c>
      <c r="G24" s="2694" t="n">
        <f aca="false">IF('Ввод данных'!A40=связи1!A208,0.05,0)+IF('Ввод данных'!A40=связи1!A209,0.05,0)+IF('Ввод данных'!A40=связи1!A210,0.045,0)+IF('Ввод данных'!A40=связи1!A211,0.045,0)</f>
        <v>0.05</v>
      </c>
      <c r="H24" s="2694" t="n">
        <f aca="false">'Ввод данных'!C142</f>
        <v>0.6</v>
      </c>
      <c r="I24" s="650" t="n">
        <f aca="false">VLOOKUP('Ввод данных'!A42,'Прайс лист'!B600:G638,3,0)</f>
        <v>0</v>
      </c>
      <c r="J24" s="2694" t="n">
        <f aca="false">IF(H24=0,1,H24)</f>
        <v>0.6</v>
      </c>
    </row>
    <row r="26" customFormat="false" ht="15.75" hidden="false" customHeight="false" outlineLevel="0" collapsed="false">
      <c r="A26" s="2696" t="s">
        <v>4100</v>
      </c>
      <c r="B26" s="2688"/>
      <c r="C26" s="2678" t="s">
        <v>162</v>
      </c>
      <c r="D26" s="2678" t="s">
        <v>4082</v>
      </c>
      <c r="E26" s="2678" t="s">
        <v>486</v>
      </c>
      <c r="F26" s="2689" t="s">
        <v>137</v>
      </c>
      <c r="G26" s="2690" t="s">
        <v>116</v>
      </c>
      <c r="H26" s="2690" t="s">
        <v>482</v>
      </c>
      <c r="I26" s="2691" t="s">
        <v>537</v>
      </c>
      <c r="J26" s="2690" t="s">
        <v>4094</v>
      </c>
    </row>
    <row r="27" customFormat="false" ht="15.75" hidden="false" customHeight="false" outlineLevel="0" collapsed="false">
      <c r="A27" s="2679" t="s">
        <v>4102</v>
      </c>
      <c r="B27" s="1556"/>
      <c r="C27" s="2692" t="s">
        <v>820</v>
      </c>
      <c r="D27" s="2664" t="n">
        <f aca="false">дома!F1086*E27</f>
        <v>0</v>
      </c>
      <c r="E27" s="2680" t="n">
        <f aca="false">IF('Ввод данных'!A30=связи1!A210,1,0)+IF('Ввод данных'!A30=связи1!A211,1,0)</f>
        <v>0</v>
      </c>
      <c r="F27" s="2693" t="n">
        <f aca="false">IF('Ввод данных'!A30=связи1!A210,0.19,0)+IF('Ввод данных'!A30=связи1!A211,0.14,0)</f>
        <v>0</v>
      </c>
      <c r="G27" s="2694" t="n">
        <f aca="false">IF('Ввод данных'!A30=связи1!A210,0.045,0)+IF('Ввод данных'!A30=связи1!A211,0.045,0)</f>
        <v>0</v>
      </c>
      <c r="H27" s="2694" t="n">
        <f aca="false">H22</f>
        <v>0.6</v>
      </c>
      <c r="I27" s="650" t="n">
        <f aca="false">VLOOKUP('Ввод данных'!A32,'Прайс лист'!B600:G638,3,0)</f>
        <v>0</v>
      </c>
      <c r="J27" s="2694" t="n">
        <f aca="false">IF(H27=0,1,H27)</f>
        <v>0.6</v>
      </c>
    </row>
    <row r="28" customFormat="false" ht="15.75" hidden="false" customHeight="false" outlineLevel="0" collapsed="false">
      <c r="A28" s="2679" t="s">
        <v>4096</v>
      </c>
      <c r="B28" s="1556"/>
      <c r="C28" s="2692" t="s">
        <v>820</v>
      </c>
      <c r="D28" s="2664" t="n">
        <f aca="false">дома!F1087*E28</f>
        <v>0</v>
      </c>
      <c r="E28" s="2680" t="n">
        <f aca="false">IF('Ввод данных'!A35=связи1!A210,1,0)+IF('Ввод данных'!A35=связи1!A211,1,0)</f>
        <v>0</v>
      </c>
      <c r="F28" s="2693" t="n">
        <f aca="false">IF('Ввод данных'!A35=связи1!A210,0.19,0)+IF('Ввод данных'!A35=связи1!A211,0.14,0)</f>
        <v>0</v>
      </c>
      <c r="G28" s="2694" t="n">
        <f aca="false">IF('Ввод данных'!A35=связи1!A210,0.045,0)+IF('Ввод данных'!A35=связи1!A211,0.045,0)</f>
        <v>0</v>
      </c>
      <c r="H28" s="2694" t="n">
        <f aca="false">H23</f>
        <v>0.6</v>
      </c>
      <c r="I28" s="650" t="n">
        <f aca="false">VLOOKUP('Ввод данных'!A37,'Прайс лист'!B600:G638,3,0)</f>
        <v>0.1</v>
      </c>
      <c r="J28" s="2694" t="n">
        <f aca="false">IF(H28=0,1,H28)</f>
        <v>0.6</v>
      </c>
    </row>
    <row r="29" customFormat="false" ht="15.75" hidden="false" customHeight="false" outlineLevel="0" collapsed="false">
      <c r="A29" s="876" t="s">
        <v>4097</v>
      </c>
      <c r="B29" s="739"/>
      <c r="C29" s="2692" t="s">
        <v>820</v>
      </c>
      <c r="D29" s="2664" t="n">
        <f aca="false">дома!F1090*E29</f>
        <v>0</v>
      </c>
      <c r="E29" s="2680" t="n">
        <f aca="false">IF('Ввод данных'!A40=связи1!A210,1,0)+IF('Ввод данных'!A40=связи1!A211,1,0)</f>
        <v>0</v>
      </c>
      <c r="F29" s="2693" t="n">
        <f aca="false">IF('Ввод данных'!A40=связи1!A210,0.19,0)+IF('Ввод данных'!A40=связи1!A211,0.14,0)</f>
        <v>0</v>
      </c>
      <c r="G29" s="2694" t="n">
        <f aca="false">IF('Ввод данных'!A40=связи1!A210,0.045,0)+IF('Ввод данных'!A40=связи1!A211,0.045,0)</f>
        <v>0</v>
      </c>
      <c r="H29" s="2694" t="n">
        <f aca="false">H24</f>
        <v>0.6</v>
      </c>
      <c r="I29" s="650" t="n">
        <f aca="false">VLOOKUP('Ввод данных'!A42,'Прайс лист'!B600:G638,3,0)</f>
        <v>0</v>
      </c>
      <c r="J29" s="2694" t="n">
        <f aca="false">IF(H29=0,1,H29)</f>
        <v>0.6</v>
      </c>
    </row>
    <row r="31" customFormat="false" ht="15.75" hidden="false" customHeight="false" outlineLevel="0" collapsed="false">
      <c r="A31" s="2696" t="s">
        <v>4103</v>
      </c>
      <c r="B31" s="2688"/>
      <c r="C31" s="2678" t="s">
        <v>162</v>
      </c>
      <c r="D31" s="2678" t="s">
        <v>4082</v>
      </c>
      <c r="E31" s="2678" t="s">
        <v>486</v>
      </c>
      <c r="F31" s="2689" t="s">
        <v>137</v>
      </c>
      <c r="G31" s="2690" t="s">
        <v>482</v>
      </c>
      <c r="I31" s="2691" t="s">
        <v>537</v>
      </c>
      <c r="J31" s="2690" t="s">
        <v>4094</v>
      </c>
    </row>
    <row r="32" customFormat="false" ht="15.75" hidden="false" customHeight="false" outlineLevel="0" collapsed="false">
      <c r="A32" s="2679" t="s">
        <v>4101</v>
      </c>
      <c r="B32" s="1556"/>
      <c r="C32" s="2692" t="s">
        <v>820</v>
      </c>
      <c r="D32" s="2664" t="n">
        <f aca="false">дома!F1086*E32</f>
        <v>64</v>
      </c>
      <c r="E32" s="2680" t="n">
        <f aca="false">IF('Ввод данных'!A30=связи1!A221,1,0)+IF('Ввод данных'!A30=связи1!A222,1,0)+IF('Ввод данных'!A30=связи1!A223,1,0)+IF('Ввод данных'!A30=связи1!A224,1,0)+IF('Ввод данных'!A30=связи1!A225,1,0)+IF('Ввод данных'!A30=связи1!A226,1,0)+IF('Ввод данных'!A30=связи1!A227,1,0)+IF('Ввод данных'!A30=связи1!A228,1,0)+IF('Ввод данных'!A30=связи1!A229,1,0)+IF('Ввод данных'!A30=связи1!A230,1,0)+IF('Ввод данных'!A30=связи1!A231,1,0)+IF('Ввод данных'!A30=связи1!A232,1,0)</f>
        <v>1</v>
      </c>
      <c r="F32" s="2693" t="n">
        <f aca="false">IF('Ввод данных'!A30=связи1!A221,0.4,0)+IF('Ввод данных'!A30=связи1!A222,0.4,0)+IF('Ввод данных'!A30=связи1!A223,0.35,0)+IF('Ввод данных'!A30=связи1!A224,0.35,0)+IF('Ввод данных'!A30=связи1!A225,0.3,0)+IF('Ввод данных'!A30=связи1!A226,0.3,0)+IF('Ввод данных'!A30=связи1!A227,0.24,0)+IF('Ввод данных'!A30=связи1!A228,0.24,0)+IF('Ввод данных'!A30=связи1!A229,0.2,0)+IF('Ввод данных'!A30=связи1!A230,0.2,0)+IF('Ввод данных'!A30=связи1!A231,0.15,0)+IF('Ввод данных'!A30=связи1!A232,0.15,0)</f>
        <v>0.35</v>
      </c>
      <c r="G32" s="2694" t="n">
        <f aca="false">'Ввод данных'!C125</f>
        <v>0.6</v>
      </c>
      <c r="I32" s="650" t="n">
        <f aca="false">VLOOKUP('Ввод данных'!A32,'Прайс лист'!B600:G638,3,0)</f>
        <v>0</v>
      </c>
      <c r="J32" s="2694" t="n">
        <f aca="false">IF(G32=0,1,G32)</f>
        <v>0.6</v>
      </c>
    </row>
    <row r="33" customFormat="false" ht="15.75" hidden="false" customHeight="false" outlineLevel="0" collapsed="false">
      <c r="A33" s="2679" t="s">
        <v>4096</v>
      </c>
      <c r="B33" s="1556"/>
      <c r="C33" s="2692" t="s">
        <v>820</v>
      </c>
      <c r="D33" s="2664" t="n">
        <f aca="false">дома!F1087*E33</f>
        <v>0</v>
      </c>
      <c r="E33" s="2680" t="n">
        <f aca="false">IF('Ввод данных'!A35=связи1!A221,1,0)+IF('Ввод данных'!A35=связи1!A222,1,0)+IF('Ввод данных'!A35=связи1!A223,1,0)+IF('Ввод данных'!A35=связи1!A224,1,0)+IF('Ввод данных'!A35=связи1!A225,1,0)+IF('Ввод данных'!A35=связи1!A226,1,0)+IF('Ввод данных'!A35=связи1!A227,1,0)+IF('Ввод данных'!A35=связи1!A228,1,0)+IF('Ввод данных'!A35=связи1!A229,1,0)+IF('Ввод данных'!A35=связи1!A230,1,0)+IF('Ввод данных'!A35=связи1!A231,1,0)+IF('Ввод данных'!A35=связи1!A232,1,0)</f>
        <v>0</v>
      </c>
      <c r="F33" s="2693" t="n">
        <f aca="false">IF('Ввод данных'!A35=связи1!A221,0.4,0)+IF('Ввод данных'!A35=связи1!A222,0.4,0)+IF('Ввод данных'!A35=связи1!A223,0.35,0)+IF('Ввод данных'!A35=связи1!A224,0.35,0)+IF('Ввод данных'!A35=связи1!A225,0.3,0)+IF('Ввод данных'!A35=связи1!A226,0.3,0)+IF('Ввод данных'!A35=связи1!A227,0.24,0)+IF('Ввод данных'!A35=связи1!A228,0.24,0)+IF('Ввод данных'!A35=связи1!A229,0.2,0)+IF('Ввод данных'!A35=связи1!A230,0.2,0)+IF('Ввод данных'!A35=связи1!A231,0.15,0)+IF('Ввод данных'!A35=связи1!A232,0.15,0)</f>
        <v>0</v>
      </c>
      <c r="G33" s="2694" t="n">
        <f aca="false">'Ввод данных'!C134</f>
        <v>0.6</v>
      </c>
      <c r="I33" s="650" t="n">
        <f aca="false">VLOOKUP('Ввод данных'!A37,'Прайс лист'!B600:G638,3,0)</f>
        <v>0.1</v>
      </c>
      <c r="J33" s="2694" t="n">
        <f aca="false">IF(G33=0,1,G33)</f>
        <v>0.6</v>
      </c>
    </row>
    <row r="34" customFormat="false" ht="15.75" hidden="false" customHeight="false" outlineLevel="0" collapsed="false">
      <c r="A34" s="876" t="s">
        <v>4097</v>
      </c>
      <c r="B34" s="739"/>
      <c r="C34" s="2692" t="s">
        <v>820</v>
      </c>
      <c r="D34" s="2664" t="n">
        <f aca="false">дома!F1090*E34</f>
        <v>0</v>
      </c>
      <c r="E34" s="2680" t="n">
        <f aca="false">IF('Ввод данных'!A40=связи1!A221,1,0)+IF('Ввод данных'!A40=связи1!A222,1,0)+IF('Ввод данных'!A40=связи1!A223,1,0)+IF('Ввод данных'!A40=связи1!A224,1,0)+IF('Ввод данных'!A40=связи1!A225,1,0)+IF('Ввод данных'!A40=связи1!A226,1,0)+IF('Ввод данных'!A40=связи1!A227,1,0)+IF('Ввод данных'!A40=связи1!A228,1,0)+IF('Ввод данных'!A40=связи1!A229,1,0)+IF('Ввод данных'!A40=связи1!A230,1,0)+IF('Ввод данных'!A40=связи1!A231,1,0)+IF('Ввод данных'!A40=связи1!A232,1,0)</f>
        <v>0</v>
      </c>
      <c r="F34" s="2693" t="n">
        <f aca="false">IF('Ввод данных'!A40=связи1!A221,0.4,0)+IF('Ввод данных'!A40=связи1!A222,0.4,0)+IF('Ввод данных'!A40=связи1!A223,0.35,0)+IF('Ввод данных'!A40=связи1!A224,0.35,0)+IF('Ввод данных'!A40=связи1!A225,0.3,0)+IF('Ввод данных'!A40=связи1!A226,0.3,0)+IF('Ввод данных'!A40=связи1!A227,0.24,0)+IF('Ввод данных'!A40=связи1!A228,0.24,0)+IF('Ввод данных'!A40=связи1!A229,0.2,0)+IF('Ввод данных'!A40=связи1!A230,0.2,0)+IF('Ввод данных'!A40=связи1!A231,0.15,0)+IF('Ввод данных'!A40=связи1!A232,0.15,0)</f>
        <v>0</v>
      </c>
      <c r="G34" s="2694" t="n">
        <f aca="false">'Ввод данных'!C142</f>
        <v>0.6</v>
      </c>
      <c r="I34" s="650" t="n">
        <f aca="false">VLOOKUP('Ввод данных'!A42,'Прайс лист'!B600:G638,3,0)</f>
        <v>0</v>
      </c>
      <c r="J34" s="2694" t="n">
        <f aca="false">IF(G34=0,1,G34)</f>
        <v>0.6</v>
      </c>
    </row>
    <row r="36" customFormat="false" ht="15.75" hidden="false" customHeight="false" outlineLevel="0" collapsed="false">
      <c r="A36" s="2676" t="s">
        <v>4104</v>
      </c>
      <c r="B36" s="2677"/>
      <c r="C36" s="2678" t="s">
        <v>162</v>
      </c>
      <c r="D36" s="2678" t="s">
        <v>4082</v>
      </c>
      <c r="E36" s="2678" t="s">
        <v>486</v>
      </c>
      <c r="F36" s="2678" t="s">
        <v>2491</v>
      </c>
      <c r="G36" s="2678" t="s">
        <v>4105</v>
      </c>
      <c r="J36" s="2674" t="s">
        <v>4106</v>
      </c>
    </row>
    <row r="37" customFormat="false" ht="15.75" hidden="false" customHeight="false" outlineLevel="0" collapsed="false">
      <c r="A37" s="864" t="s">
        <v>4107</v>
      </c>
      <c r="B37" s="862"/>
      <c r="C37" s="2692" t="s">
        <v>15</v>
      </c>
      <c r="D37" s="876" t="n">
        <f aca="false">дома!F1086*E37</f>
        <v>0</v>
      </c>
      <c r="E37" s="2686" t="n">
        <f aca="false">IF('Ввод данных'!A30=связи1!A199,1,0)+IF('Ввод данных'!A30=связи1!A200,1,0)+IF('Ввод данных'!A30=связи1!A201,1,0)</f>
        <v>0</v>
      </c>
      <c r="F37" s="876" t="n">
        <f aca="false">IF('Ввод данных'!A30=связи1!A199,0.124,0)+IF('Ввод данных'!A30=связи1!A200,0.174,0)+IF('Ввод данных'!A30=связи1!A201,0.224,0)</f>
        <v>0</v>
      </c>
      <c r="G37" s="649" t="n">
        <f aca="false">IF('Ввод данных'!A30=связи1!A199,0.1,0)+IF('Ввод данных'!A30=связи1!A200,0.15,0)+IF('Ввод данных'!A30=связи1!A201,0.2,0)</f>
        <v>0</v>
      </c>
      <c r="H37" s="2674" t="n">
        <v>0.625</v>
      </c>
      <c r="I37" s="2674" t="n">
        <v>2.5</v>
      </c>
      <c r="J37" s="2674" t="n">
        <f aca="false">H37+H37+I37+I37</f>
        <v>6.25</v>
      </c>
    </row>
    <row r="38" customFormat="false" ht="15.75" hidden="false" customHeight="false" outlineLevel="0" collapsed="false">
      <c r="A38" s="864" t="s">
        <v>4107</v>
      </c>
      <c r="B38" s="862"/>
      <c r="C38" s="2692" t="s">
        <v>15</v>
      </c>
      <c r="D38" s="876" t="n">
        <f aca="false">дома!F1087*E38</f>
        <v>0</v>
      </c>
      <c r="E38" s="2686" t="n">
        <f aca="false">IF('Ввод данных'!A35=связи1!A199,1,0)+IF('Ввод данных'!A35=связи1!A200,1,0)+IF('Ввод данных'!A35=связи1!A201,1,0)</f>
        <v>0</v>
      </c>
      <c r="F38" s="876" t="n">
        <f aca="false">IF('Ввод данных'!A35=связи1!A199,0.124,0)+IF('Ввод данных'!A35=связи1!A200,0.174,0)+IF('Ввод данных'!A35=связи1!A201,0.224,0)</f>
        <v>0</v>
      </c>
      <c r="G38" s="649" t="n">
        <f aca="false">IF('Ввод данных'!A35=связи1!A199,0.1,0)+IF('Ввод данных'!A35=связи1!A200,0.15,0)+IF('Ввод данных'!A35=связи1!A201,0.2,0)</f>
        <v>0</v>
      </c>
      <c r="H38" s="2674" t="s">
        <v>4108</v>
      </c>
      <c r="I38" s="2674" t="n">
        <f aca="false">H37*I37</f>
        <v>1.5625</v>
      </c>
      <c r="J38" s="2674" t="n">
        <f aca="false">J37/I38</f>
        <v>4</v>
      </c>
      <c r="K38" s="2674" t="s">
        <v>15</v>
      </c>
    </row>
    <row r="39" customFormat="false" ht="15.75" hidden="false" customHeight="false" outlineLevel="0" collapsed="false">
      <c r="A39" s="864" t="s">
        <v>4107</v>
      </c>
      <c r="B39" s="862"/>
      <c r="C39" s="2692" t="s">
        <v>15</v>
      </c>
      <c r="D39" s="876" t="n">
        <f aca="false">дома!F1090*E39</f>
        <v>0</v>
      </c>
      <c r="E39" s="2700" t="n">
        <f aca="false">IF('Ввод данных'!A40=связи1!A199,1,0)+IF('Ввод данных'!A40=связи1!A200,1,0)+IF('Ввод данных'!A40=связи1!A201,1,0)</f>
        <v>0</v>
      </c>
      <c r="F39" s="649" t="n">
        <f aca="false">IF('Ввод данных'!A40=связи1!A199,0.124,0)+IF('Ввод данных'!A40=связи1!A200,0.174,0)+IF('Ввод данных'!A40=связи1!A201,0.224,0)</f>
        <v>0</v>
      </c>
      <c r="G39" s="649" t="n">
        <f aca="false">IF('Ввод данных'!A40=связи1!A199,0.1,0)+IF('Ввод данных'!A40=связи1!A200,0.15,0)+IF('Ввод данных'!A40=связи1!A201,0.2,0)</f>
        <v>0</v>
      </c>
      <c r="J39" s="2674" t="s">
        <v>4109</v>
      </c>
    </row>
    <row r="42" customFormat="false" ht="15.75" hidden="false" customHeight="false" outlineLevel="0" collapsed="false">
      <c r="A42" s="738" t="s">
        <v>4110</v>
      </c>
      <c r="B42" s="739" t="s">
        <v>820</v>
      </c>
      <c r="C42" s="649"/>
      <c r="D42" s="740" t="n">
        <f aca="false">(перекрытие!D3*перекрытие!E3)</f>
        <v>0</v>
      </c>
      <c r="E42" s="740" t="n">
        <f aca="false">'Прайс лист'!G173</f>
        <v>1400</v>
      </c>
      <c r="F42" s="740" t="n">
        <f aca="false">D42*E42</f>
        <v>0</v>
      </c>
      <c r="G42" s="2685"/>
      <c r="H42" s="876" t="str">
        <f aca="false">'Прайс лист'!B1422</f>
        <v>Монтаж плит ЖБИ</v>
      </c>
      <c r="I42" s="649"/>
      <c r="J42" s="740" t="n">
        <f aca="false">D42</f>
        <v>0</v>
      </c>
      <c r="K42" s="876" t="n">
        <f aca="false">'Прайс лист'!G1422</f>
        <v>200</v>
      </c>
      <c r="L42" s="876"/>
    </row>
    <row r="43" customFormat="false" ht="15.75" hidden="false" customHeight="false" outlineLevel="0" collapsed="false">
      <c r="A43" s="738" t="str">
        <f aca="false">'Прайс лист'!B242</f>
        <v>Раствор, м250</v>
      </c>
      <c r="B43" s="739" t="s">
        <v>1043</v>
      </c>
      <c r="C43" s="649"/>
      <c r="D43" s="740" t="n">
        <f aca="false">(('Ввод данных'!C9+'Ввод данных'!C9)*0.2*0.15+'Ввод данных'!C9+'Ввод данных'!C9+'Ввод данных'!C10+'Ввод данных'!C10+'Ввод данных'!C202*'Ввод данных'!D202+'Ввод данных'!C203*'Ввод данных'!D203+'Ввод данных'!C204*'Ввод данных'!D204+'Ввод данных'!C205*'Ввод данных'!D205+'Ввод данных'!C210*'Ввод данных'!D210+'Ввод данных'!C211*'Ввод данных'!D211+'Ввод данных'!C212*'Ввод данных'!D212+'Ввод данных'!C213*'Ввод данных'!D213)*0.2*0.02*E3</f>
        <v>0</v>
      </c>
      <c r="E43" s="740" t="n">
        <f aca="false">'Прайс лист'!G242</f>
        <v>2500</v>
      </c>
      <c r="F43" s="740" t="n">
        <f aca="false">D43*E43</f>
        <v>0</v>
      </c>
      <c r="G43" s="2685"/>
      <c r="H43" s="876" t="str">
        <f aca="false">'Прайс лист'!B1423</f>
        <v>Монтаж опалубки</v>
      </c>
      <c r="J43" s="740" t="n">
        <f aca="false">SUM(C44:C51)*SUM(D44:D51)</f>
        <v>0</v>
      </c>
      <c r="K43" s="876" t="n">
        <f aca="false">'Прайс лист'!G1423</f>
        <v>200</v>
      </c>
      <c r="L43" s="876"/>
    </row>
    <row r="44" customFormat="false" ht="15.75" hidden="false" customHeight="false" outlineLevel="0" collapsed="false">
      <c r="A44" s="1653" t="s">
        <v>2496</v>
      </c>
      <c r="B44" s="2701" t="s">
        <v>820</v>
      </c>
      <c r="C44" s="2701" t="n">
        <f aca="false">IF('Ввод данных'!A30=связи1!A212,1,0)</f>
        <v>0</v>
      </c>
      <c r="D44" s="2702" t="n">
        <f aca="false">(перекрытие!D8*перекрытие!E8)*C44</f>
        <v>0</v>
      </c>
      <c r="E44" s="2702" t="n">
        <v>1</v>
      </c>
      <c r="F44" s="2702" t="n">
        <f aca="false">D44*E44</f>
        <v>0</v>
      </c>
      <c r="G44" s="2685"/>
      <c r="H44" s="876" t="str">
        <f aca="false">'Прайс лист'!B1424</f>
        <v>Укладка пленки гидроизоляционной</v>
      </c>
      <c r="I44" s="740"/>
      <c r="J44" s="876" t="n">
        <f aca="false">SUM(C44:C51)*SUM(D44:D51)</f>
        <v>0</v>
      </c>
      <c r="K44" s="876" t="n">
        <f aca="false">'Прайс лист'!G1424</f>
        <v>40</v>
      </c>
      <c r="L44" s="876"/>
    </row>
    <row r="45" customFormat="false" ht="15.75" hidden="false" customHeight="false" outlineLevel="0" collapsed="false">
      <c r="A45" s="1653" t="s">
        <v>2497</v>
      </c>
      <c r="B45" s="2701" t="s">
        <v>820</v>
      </c>
      <c r="C45" s="2701" t="n">
        <f aca="false">IF('Ввод данных'!A30=связи1!A213,1,0)</f>
        <v>0</v>
      </c>
      <c r="D45" s="2702" t="n">
        <f aca="false">(перекрытие!D8*перекрытие!E8)*C45</f>
        <v>0</v>
      </c>
      <c r="E45" s="2702" t="n">
        <v>1</v>
      </c>
      <c r="F45" s="2702" t="n">
        <f aca="false">D45*E45</f>
        <v>0</v>
      </c>
      <c r="G45" s="2685"/>
      <c r="H45" s="876" t="str">
        <f aca="false">'Прайс лист'!B1425</f>
        <v>Армирование перекрытия/плиты</v>
      </c>
      <c r="I45" s="740"/>
      <c r="J45" s="876" t="n">
        <f aca="false">D8*E8</f>
        <v>0</v>
      </c>
      <c r="K45" s="876" t="n">
        <f aca="false">'Прайс лист'!G1425</f>
        <v>300</v>
      </c>
      <c r="L45" s="876"/>
    </row>
    <row r="46" customFormat="false" ht="15.75" hidden="false" customHeight="false" outlineLevel="0" collapsed="false">
      <c r="A46" s="1653" t="s">
        <v>2498</v>
      </c>
      <c r="B46" s="2701" t="s">
        <v>820</v>
      </c>
      <c r="C46" s="2701" t="n">
        <f aca="false">IF('Ввод данных'!A30=связи1!A214,1,0)</f>
        <v>0</v>
      </c>
      <c r="D46" s="2702" t="n">
        <f aca="false">(перекрытие!D8*перекрытие!E8)*C46</f>
        <v>0</v>
      </c>
      <c r="E46" s="2702" t="n">
        <v>1</v>
      </c>
      <c r="F46" s="2702" t="n">
        <f aca="false">D46*E46</f>
        <v>0</v>
      </c>
      <c r="G46" s="2685"/>
      <c r="H46" s="876" t="str">
        <f aca="false">'Прайс лист'!B1430</f>
        <v>Заливка бетоном перекрытия/плиты</v>
      </c>
      <c r="I46" s="740"/>
      <c r="J46" s="876" t="n">
        <f aca="false">J45</f>
        <v>0</v>
      </c>
      <c r="K46" s="876" t="n">
        <f aca="false">'Прайс лист'!G1430</f>
        <v>350</v>
      </c>
      <c r="L46" s="876"/>
    </row>
    <row r="47" customFormat="false" ht="15.75" hidden="false" customHeight="false" outlineLevel="0" collapsed="false">
      <c r="A47" s="1653" t="s">
        <v>2499</v>
      </c>
      <c r="B47" s="2701" t="s">
        <v>820</v>
      </c>
      <c r="C47" s="2701" t="n">
        <f aca="false">IF('Ввод данных'!A30=связи1!A215,1,0)</f>
        <v>0</v>
      </c>
      <c r="D47" s="2702" t="n">
        <f aca="false">(перекрытие!D8*перекрытие!E8)*C47</f>
        <v>0</v>
      </c>
      <c r="E47" s="2702" t="n">
        <v>1</v>
      </c>
      <c r="F47" s="2702" t="n">
        <f aca="false">D47*E47</f>
        <v>0</v>
      </c>
      <c r="G47" s="2685"/>
      <c r="H47" s="876" t="str">
        <f aca="false">'Прайс лист'!B1431</f>
        <v>Монтаж перекрытий из бруса</v>
      </c>
      <c r="I47" s="740"/>
      <c r="J47" s="740" t="n">
        <f aca="false">D14*E14</f>
        <v>0</v>
      </c>
      <c r="K47" s="876" t="n">
        <f aca="false">'Прайс лист'!G1431</f>
        <v>300</v>
      </c>
      <c r="L47" s="876"/>
    </row>
    <row r="48" customFormat="false" ht="15.75" hidden="false" customHeight="false" outlineLevel="0" collapsed="false">
      <c r="A48" s="1653" t="s">
        <v>38</v>
      </c>
      <c r="B48" s="2701" t="s">
        <v>820</v>
      </c>
      <c r="C48" s="2701" t="n">
        <f aca="false">IF('Ввод данных'!A30=связи1!A216,1,0)</f>
        <v>0</v>
      </c>
      <c r="D48" s="2702" t="n">
        <f aca="false">(перекрытие!D8*перекрытие!E8)*C48</f>
        <v>0</v>
      </c>
      <c r="E48" s="2702" t="n">
        <v>1</v>
      </c>
      <c r="F48" s="2702" t="n">
        <f aca="false">D48*E48</f>
        <v>0</v>
      </c>
      <c r="G48" s="2685"/>
      <c r="H48" s="876" t="str">
        <f aca="false">'Прайс лист'!B1432</f>
        <v>Монтаж перекрытий Сип-панели</v>
      </c>
      <c r="I48" s="740"/>
      <c r="J48" s="876" t="n">
        <f aca="false">D37*E37</f>
        <v>0</v>
      </c>
      <c r="K48" s="876" t="n">
        <f aca="false">'Прайс лист'!G1432</f>
        <v>400</v>
      </c>
      <c r="L48" s="876"/>
    </row>
    <row r="49" customFormat="false" ht="15.75" hidden="false" customHeight="false" outlineLevel="0" collapsed="false">
      <c r="A49" s="1653" t="s">
        <v>2500</v>
      </c>
      <c r="B49" s="2701" t="s">
        <v>820</v>
      </c>
      <c r="C49" s="2701" t="n">
        <f aca="false">IF('Ввод данных'!A30=связи1!A217,1,0)</f>
        <v>0</v>
      </c>
      <c r="D49" s="2702" t="n">
        <f aca="false">(перекрытие!D8*перекрытие!E8)*C49</f>
        <v>0</v>
      </c>
      <c r="E49" s="2702" t="n">
        <v>1</v>
      </c>
      <c r="F49" s="2702" t="n">
        <f aca="false">D49*E49</f>
        <v>0</v>
      </c>
      <c r="G49" s="2685"/>
      <c r="H49" s="876" t="str">
        <f aca="false">'Прайс лист'!B1433</f>
        <v>Монтаж перекрытий из сухой доски</v>
      </c>
      <c r="I49" s="740"/>
      <c r="J49" s="876" t="n">
        <f aca="false">D22*E22</f>
        <v>0</v>
      </c>
      <c r="K49" s="876" t="n">
        <f aca="false">'Прайс лист'!G1433</f>
        <v>250</v>
      </c>
      <c r="L49" s="876"/>
    </row>
    <row r="50" customFormat="false" ht="15.75" hidden="false" customHeight="false" outlineLevel="0" collapsed="false">
      <c r="A50" s="1653" t="s">
        <v>2501</v>
      </c>
      <c r="B50" s="2701" t="s">
        <v>820</v>
      </c>
      <c r="C50" s="2701" t="n">
        <f aca="false">IF('Ввод данных'!A30=связи1!A218,1,0)</f>
        <v>0</v>
      </c>
      <c r="D50" s="2702" t="n">
        <f aca="false">(перекрытие!D8*перекрытие!E8)*C50</f>
        <v>0</v>
      </c>
      <c r="E50" s="2702" t="n">
        <v>1</v>
      </c>
      <c r="F50" s="2702" t="n">
        <f aca="false">D50*E50</f>
        <v>0</v>
      </c>
      <c r="G50" s="2685"/>
      <c r="H50" s="876" t="str">
        <f aca="false">'Прайс лист'!B1434</f>
        <v>Монтаж перекрытий из двутавровой балки</v>
      </c>
      <c r="I50" s="740"/>
      <c r="J50" s="876" t="n">
        <f aca="false">D32*E32</f>
        <v>64</v>
      </c>
      <c r="K50" s="876" t="n">
        <f aca="false">'Прайс лист'!G1434</f>
        <v>300</v>
      </c>
      <c r="L50" s="876"/>
    </row>
    <row r="51" customFormat="false" ht="15.75" hidden="false" customHeight="false" outlineLevel="0" collapsed="false">
      <c r="A51" s="1653" t="s">
        <v>2502</v>
      </c>
      <c r="B51" s="2701" t="s">
        <v>820</v>
      </c>
      <c r="C51" s="2701" t="n">
        <f aca="false">IF('Ввод данных'!A30=связи1!A219,1,0)</f>
        <v>0</v>
      </c>
      <c r="D51" s="2702" t="n">
        <f aca="false">(перекрытие!D8*перекрытие!E8)*C51</f>
        <v>0</v>
      </c>
      <c r="E51" s="2702" t="n">
        <v>1</v>
      </c>
      <c r="F51" s="2702" t="n">
        <f aca="false">D51*E51</f>
        <v>0</v>
      </c>
      <c r="G51" s="2685"/>
      <c r="H51" s="876" t="str">
        <f aca="false">'Прайс лист'!B1435</f>
        <v>Монтаж перекрестного пола</v>
      </c>
      <c r="I51" s="740"/>
      <c r="J51" s="876" t="n">
        <f aca="false">D19*E19</f>
        <v>0</v>
      </c>
      <c r="K51" s="876" t="n">
        <f aca="false">'Прайс лист'!G1435</f>
        <v>200</v>
      </c>
      <c r="L51" s="876"/>
    </row>
    <row r="52" customFormat="false" ht="15.75" hidden="false" customHeight="false" outlineLevel="0" collapsed="false">
      <c r="A52" s="738" t="s">
        <v>4111</v>
      </c>
      <c r="B52" s="739" t="s">
        <v>1043</v>
      </c>
      <c r="C52" s="649"/>
      <c r="D52" s="740" t="n">
        <f aca="false">((D8/5+5*2)*перекрытие!E8*перекрытие!F8*2+D8*1.1*E8)*0.05*1.1</f>
        <v>0</v>
      </c>
      <c r="E52" s="740" t="n">
        <f aca="false">'Прайс лист'!G298</f>
        <v>6500</v>
      </c>
      <c r="F52" s="2702" t="n">
        <f aca="false">D52*E52</f>
        <v>0</v>
      </c>
      <c r="G52" s="2685"/>
      <c r="H52" s="876" t="str">
        <f aca="false">'Прайс лист'!B1437</f>
        <v>Монтаж утеплителя перекрытия</v>
      </c>
      <c r="I52" s="649"/>
      <c r="J52" s="649" t="n">
        <f aca="false">C96*дома!F1086</f>
        <v>64</v>
      </c>
      <c r="K52" s="876" t="n">
        <f aca="false">'Прайс лист'!G1437</f>
        <v>200</v>
      </c>
      <c r="L52" s="876"/>
    </row>
    <row r="53" customFormat="false" ht="15.75" hidden="false" customHeight="false" outlineLevel="0" collapsed="false">
      <c r="A53" s="738" t="s">
        <v>4091</v>
      </c>
      <c r="B53" s="739" t="s">
        <v>48</v>
      </c>
      <c r="C53" s="649"/>
      <c r="D53" s="740" t="n">
        <f aca="false">SUM(D44:D51)</f>
        <v>0</v>
      </c>
      <c r="E53" s="740" t="n">
        <v>0</v>
      </c>
      <c r="F53" s="2702" t="n">
        <f aca="false">D53*E53</f>
        <v>0</v>
      </c>
      <c r="G53" s="2685"/>
      <c r="H53" s="876" t="str">
        <f aca="false">'Прайс лист'!B1439</f>
        <v>Монтаж ветроизоляции перекрытий</v>
      </c>
      <c r="I53" s="649"/>
      <c r="J53" s="649" t="n">
        <f aca="false">дома!F1086*C97</f>
        <v>0</v>
      </c>
      <c r="K53" s="876" t="n">
        <f aca="false">'Прайс лист'!G1439</f>
        <v>100</v>
      </c>
      <c r="L53" s="876"/>
    </row>
    <row r="54" customFormat="false" ht="15.75" hidden="false" customHeight="false" outlineLevel="0" collapsed="false">
      <c r="A54" s="738" t="str">
        <f aca="false">'Прайс лист'!B227</f>
        <v>Пленка гидроизоляционная </v>
      </c>
      <c r="B54" s="739" t="s">
        <v>820</v>
      </c>
      <c r="C54" s="649"/>
      <c r="D54" s="740" t="n">
        <f aca="false">(перекрытие!D8*перекрытие!E8*1.3)</f>
        <v>0</v>
      </c>
      <c r="E54" s="740" t="n">
        <f aca="false">'Прайс лист'!G227</f>
        <v>15</v>
      </c>
      <c r="F54" s="2702" t="n">
        <f aca="false">D54*E54</f>
        <v>0</v>
      </c>
      <c r="G54" s="2685"/>
      <c r="H54" s="876" t="str">
        <f aca="false">'Прайс лист'!B1440</f>
        <v>Монтаж пароизоляции перекрытий</v>
      </c>
      <c r="I54" s="649"/>
      <c r="J54" s="649" t="n">
        <f aca="false">дома!F1086*C98</f>
        <v>0</v>
      </c>
      <c r="K54" s="876" t="n">
        <f aca="false">'Прайс лист'!G1440</f>
        <v>100</v>
      </c>
      <c r="L54" s="876"/>
    </row>
    <row r="55" customFormat="false" ht="15.75" hidden="false" customHeight="false" outlineLevel="0" collapsed="false">
      <c r="A55" s="738" t="str">
        <f aca="false">'Ввод данных'!D125</f>
        <v>Арматура М10</v>
      </c>
      <c r="B55" s="739" t="s">
        <v>15</v>
      </c>
      <c r="C55" s="649"/>
      <c r="D55" s="740" t="n">
        <f aca="false">(1/перекрытие!J8*2*перекрытие!H8*перекрытие!E8*перекрытие!D8)</f>
        <v>0</v>
      </c>
      <c r="E55" s="740" t="n">
        <f aca="false">VLOOKUP(A55,связи1!A398:B404,2,0)</f>
        <v>21.0397</v>
      </c>
      <c r="F55" s="2702" t="n">
        <f aca="false">D55*E55</f>
        <v>0</v>
      </c>
      <c r="G55" s="2685"/>
      <c r="H55" s="876" t="str">
        <f aca="false">'Прайс лист'!B1422</f>
        <v>Монтаж плит ЖБИ</v>
      </c>
      <c r="I55" s="649"/>
      <c r="J55" s="740" t="n">
        <f aca="false">D101</f>
        <v>0</v>
      </c>
      <c r="K55" s="876" t="n">
        <f aca="false">K42</f>
        <v>200</v>
      </c>
      <c r="L55" s="876"/>
    </row>
    <row r="56" customFormat="false" ht="15.75" hidden="false" customHeight="false" outlineLevel="0" collapsed="false">
      <c r="A56" s="738" t="str">
        <f aca="false">'Прайс лист'!B224</f>
        <v>Вязальная проволока</v>
      </c>
      <c r="B56" s="739" t="s">
        <v>434</v>
      </c>
      <c r="C56" s="649"/>
      <c r="D56" s="740" t="n">
        <f aca="false">D55/40</f>
        <v>0</v>
      </c>
      <c r="E56" s="740" t="n">
        <f aca="false">'Прайс лист'!G224</f>
        <v>80</v>
      </c>
      <c r="F56" s="2702" t="n">
        <f aca="false">D56*E56</f>
        <v>0</v>
      </c>
      <c r="G56" s="2685"/>
      <c r="H56" s="876" t="str">
        <f aca="false">'Прайс лист'!B1423</f>
        <v>Монтаж опалубки</v>
      </c>
      <c r="I56" s="649"/>
      <c r="J56" s="740" t="n">
        <f aca="false">SUM(C103:C110)*SUM(D103:D110)</f>
        <v>64</v>
      </c>
      <c r="K56" s="876" t="n">
        <f aca="false">K43</f>
        <v>200</v>
      </c>
      <c r="L56" s="876"/>
    </row>
    <row r="57" customFormat="false" ht="15.75" hidden="false" customHeight="false" outlineLevel="0" collapsed="false">
      <c r="A57" s="738" t="str">
        <f aca="false">'Прайс лист'!B226</f>
        <v>Подставка под арматурный каркас</v>
      </c>
      <c r="B57" s="739" t="s">
        <v>48</v>
      </c>
      <c r="C57" s="649"/>
      <c r="D57" s="740" t="n">
        <f aca="false">(перекрытие!D8*перекрытие!E8)*4</f>
        <v>0</v>
      </c>
      <c r="E57" s="740" t="n">
        <f aca="false">'Прайс лист'!G226</f>
        <v>5</v>
      </c>
      <c r="F57" s="2702" t="n">
        <f aca="false">D57*E57</f>
        <v>0</v>
      </c>
      <c r="G57" s="2685"/>
      <c r="H57" s="876" t="str">
        <f aca="false">'Прайс лист'!B1424</f>
        <v>Укладка пленки гидроизоляционной</v>
      </c>
      <c r="I57" s="740"/>
      <c r="J57" s="876" t="n">
        <f aca="false">SUM(C103:C110)*SUM(D103:D110)</f>
        <v>64</v>
      </c>
      <c r="K57" s="876" t="n">
        <f aca="false">K44</f>
        <v>40</v>
      </c>
      <c r="L57" s="876"/>
    </row>
    <row r="58" customFormat="false" ht="15.75" hidden="false" customHeight="false" outlineLevel="0" collapsed="false">
      <c r="A58" s="738" t="s">
        <v>4112</v>
      </c>
      <c r="B58" s="739" t="s">
        <v>1043</v>
      </c>
      <c r="C58" s="649"/>
      <c r="D58" s="740" t="n">
        <f aca="false">(перекрытие!D8*перекрытие!E8*перекрытие!F8)</f>
        <v>0</v>
      </c>
      <c r="E58" s="740" t="n">
        <f aca="false">'Прайс лист'!G240</f>
        <v>3500</v>
      </c>
      <c r="F58" s="2702" t="n">
        <f aca="false">D58*E58</f>
        <v>0</v>
      </c>
      <c r="G58" s="2685"/>
      <c r="H58" s="876" t="str">
        <f aca="false">'Прайс лист'!B1425</f>
        <v>Армирование перекрытия/плиты</v>
      </c>
      <c r="I58" s="740"/>
      <c r="J58" s="876" t="n">
        <f aca="false">D9*E9</f>
        <v>64</v>
      </c>
      <c r="K58" s="876" t="n">
        <f aca="false">K45</f>
        <v>300</v>
      </c>
      <c r="L58" s="876"/>
    </row>
    <row r="59" customFormat="false" ht="15.75" hidden="false" customHeight="false" outlineLevel="0" collapsed="false">
      <c r="A59" s="1372" t="s">
        <v>2493</v>
      </c>
      <c r="B59" s="1546" t="s">
        <v>1043</v>
      </c>
      <c r="C59" s="1546" t="n">
        <f aca="false">IF('Ввод данных'!A30=связи1!A202,1,0)</f>
        <v>0</v>
      </c>
      <c r="D59" s="2703" t="n">
        <f aca="false">((дома!D1319/перекрытие!J14)*(дома!C1319)*перекрытие!F14*перекрытие!G14*перекрытие!E14)*C59</f>
        <v>0</v>
      </c>
      <c r="E59" s="2703" t="n">
        <f aca="false">связи1!D202</f>
        <v>6500</v>
      </c>
      <c r="F59" s="2703" t="n">
        <f aca="false">D59*E59</f>
        <v>0</v>
      </c>
      <c r="G59" s="2685"/>
      <c r="H59" s="876" t="str">
        <f aca="false">'Прайс лист'!B1430</f>
        <v>Заливка бетоном перекрытия/плиты</v>
      </c>
      <c r="I59" s="740"/>
      <c r="J59" s="876" t="n">
        <f aca="false">J58</f>
        <v>64</v>
      </c>
      <c r="K59" s="876" t="n">
        <f aca="false">K46</f>
        <v>350</v>
      </c>
      <c r="L59" s="876"/>
    </row>
    <row r="60" customFormat="false" ht="15.75" hidden="false" customHeight="false" outlineLevel="0" collapsed="false">
      <c r="A60" s="1372" t="s">
        <v>2494</v>
      </c>
      <c r="B60" s="1546" t="s">
        <v>1043</v>
      </c>
      <c r="C60" s="1546" t="n">
        <f aca="false">IF('Ввод данных'!A30=связи1!A203,1,0)</f>
        <v>0</v>
      </c>
      <c r="D60" s="2703" t="n">
        <f aca="false">((дома!D1319/перекрытие!J14)*(дома!C1319)*перекрытие!F14*перекрытие!G14*перекрытие!E14)*C60</f>
        <v>0</v>
      </c>
      <c r="E60" s="2703" t="n">
        <f aca="false">связи1!D203</f>
        <v>6500</v>
      </c>
      <c r="F60" s="2703" t="n">
        <f aca="false">D60*E60</f>
        <v>0</v>
      </c>
      <c r="G60" s="2685"/>
      <c r="H60" s="876" t="str">
        <f aca="false">'Прайс лист'!B1431</f>
        <v>Монтаж перекрытий из бруса</v>
      </c>
      <c r="I60" s="740"/>
      <c r="J60" s="740" t="n">
        <f aca="false">D15*E15</f>
        <v>0</v>
      </c>
      <c r="K60" s="876" t="n">
        <f aca="false">K47</f>
        <v>300</v>
      </c>
      <c r="L60" s="876"/>
    </row>
    <row r="61" customFormat="false" ht="15.75" hidden="false" customHeight="false" outlineLevel="0" collapsed="false">
      <c r="A61" s="1372" t="s">
        <v>268</v>
      </c>
      <c r="B61" s="1546" t="s">
        <v>1043</v>
      </c>
      <c r="C61" s="1546" t="n">
        <f aca="false">IF('Ввод данных'!A30=связи1!A204,1,0)</f>
        <v>0</v>
      </c>
      <c r="D61" s="2703" t="n">
        <f aca="false">((дома!D1319/перекрытие!J14)*(дома!C1319)*перекрытие!F14*перекрытие!G14*перекрытие!E14)*C61</f>
        <v>0</v>
      </c>
      <c r="E61" s="2703" t="n">
        <f aca="false">связи1!D204</f>
        <v>6500</v>
      </c>
      <c r="F61" s="2703" t="n">
        <f aca="false">D61*E61</f>
        <v>0</v>
      </c>
      <c r="G61" s="2685"/>
      <c r="H61" s="876" t="str">
        <f aca="false">'Прайс лист'!B1432</f>
        <v>Монтаж перекрытий Сип-панели</v>
      </c>
      <c r="I61" s="740"/>
      <c r="J61" s="876" t="n">
        <f aca="false">D38*E38</f>
        <v>0</v>
      </c>
      <c r="K61" s="876" t="n">
        <f aca="false">K48</f>
        <v>400</v>
      </c>
      <c r="L61" s="876"/>
    </row>
    <row r="62" customFormat="false" ht="15.75" hidden="false" customHeight="false" outlineLevel="0" collapsed="false">
      <c r="A62" s="1372" t="s">
        <v>721</v>
      </c>
      <c r="B62" s="1546" t="s">
        <v>1043</v>
      </c>
      <c r="C62" s="1546" t="n">
        <f aca="false">IF('Ввод данных'!A30=связи1!A205,1,0)</f>
        <v>0</v>
      </c>
      <c r="D62" s="2703" t="n">
        <f aca="false">((дома!D1319/перекрытие!J14)*(дома!C1319)*перекрытие!F14*перекрытие!G14*перекрытие!E14)*C62</f>
        <v>0</v>
      </c>
      <c r="E62" s="2703" t="n">
        <f aca="false">связи1!D205</f>
        <v>6500</v>
      </c>
      <c r="F62" s="2703" t="n">
        <f aca="false">D62*E62</f>
        <v>0</v>
      </c>
      <c r="G62" s="2685"/>
      <c r="H62" s="876" t="str">
        <f aca="false">'Прайс лист'!B1433</f>
        <v>Монтаж перекрытий из сухой доски</v>
      </c>
      <c r="I62" s="740"/>
      <c r="J62" s="876" t="n">
        <f aca="false">D28*E28</f>
        <v>0</v>
      </c>
      <c r="K62" s="876" t="n">
        <f aca="false">K49</f>
        <v>250</v>
      </c>
      <c r="L62" s="876"/>
    </row>
    <row r="63" customFormat="false" ht="15.75" hidden="false" customHeight="false" outlineLevel="0" collapsed="false">
      <c r="A63" s="1372" t="s">
        <v>363</v>
      </c>
      <c r="B63" s="1546" t="s">
        <v>1043</v>
      </c>
      <c r="C63" s="1546" t="n">
        <f aca="false">IF('Ввод данных'!A30=связи1!A206,1,0)</f>
        <v>0</v>
      </c>
      <c r="D63" s="2703" t="n">
        <f aca="false">((дома!D1319/перекрытие!J14)*(дома!C1319)*перекрытие!F14*перекрытие!G14*перекрытие!E14)*C63</f>
        <v>0</v>
      </c>
      <c r="E63" s="2703" t="n">
        <f aca="false">связи1!D206</f>
        <v>6500</v>
      </c>
      <c r="F63" s="2703" t="n">
        <f aca="false">D63*E63</f>
        <v>0</v>
      </c>
      <c r="G63" s="2685"/>
      <c r="H63" s="876" t="str">
        <f aca="false">'Прайс лист'!B1434</f>
        <v>Монтаж перекрытий из двутавровой балки</v>
      </c>
      <c r="I63" s="740"/>
      <c r="J63" s="876" t="n">
        <f aca="false">D33*E33</f>
        <v>0</v>
      </c>
      <c r="K63" s="876" t="n">
        <f aca="false">K50</f>
        <v>300</v>
      </c>
      <c r="L63" s="876"/>
    </row>
    <row r="64" customFormat="false" ht="15.75" hidden="false" customHeight="false" outlineLevel="0" collapsed="false">
      <c r="A64" s="1372" t="s">
        <v>2495</v>
      </c>
      <c r="B64" s="1546" t="s">
        <v>1043</v>
      </c>
      <c r="C64" s="1546" t="n">
        <f aca="false">IF('Ввод данных'!A30=связи1!A207,1,0)</f>
        <v>0</v>
      </c>
      <c r="D64" s="2703" t="n">
        <f aca="false">((дома!D1319/перекрытие!J14)*(дома!C1319)*перекрытие!F14*перекрытие!G14*перекрытие!E14)*C64</f>
        <v>0</v>
      </c>
      <c r="E64" s="2703" t="n">
        <f aca="false">связи1!D207</f>
        <v>6500</v>
      </c>
      <c r="F64" s="2703" t="n">
        <f aca="false">D64*E64</f>
        <v>0</v>
      </c>
      <c r="G64" s="2685"/>
      <c r="H64" s="876"/>
      <c r="I64" s="740"/>
      <c r="J64" s="876"/>
      <c r="K64" s="876"/>
      <c r="L64" s="876"/>
    </row>
    <row r="65" customFormat="false" ht="15.75" hidden="false" customHeight="false" outlineLevel="0" collapsed="false">
      <c r="A65" s="738" t="str">
        <f aca="false">'Прайс лист'!B704</f>
        <v>Опора бруса          </v>
      </c>
      <c r="B65" s="739" t="s">
        <v>48</v>
      </c>
      <c r="C65" s="739"/>
      <c r="D65" s="740" t="n">
        <f aca="false">CEILING((D14*E14)*1.1,1)</f>
        <v>0</v>
      </c>
      <c r="E65" s="740" t="n">
        <f aca="false">'Прайс лист'!G704</f>
        <v>50</v>
      </c>
      <c r="F65" s="2703" t="n">
        <f aca="false">D65*E65</f>
        <v>0</v>
      </c>
      <c r="G65" s="2685"/>
      <c r="H65" s="876" t="str">
        <f aca="false">'Прайс лист'!B1437</f>
        <v>Монтаж утеплителя перекрытия</v>
      </c>
      <c r="I65" s="649"/>
      <c r="J65" s="649" t="n">
        <f aca="false">C96*дома!F1087</f>
        <v>64</v>
      </c>
      <c r="K65" s="876" t="n">
        <f aca="false">K52</f>
        <v>200</v>
      </c>
      <c r="L65" s="876"/>
    </row>
    <row r="66" customFormat="false" ht="15.75" hidden="false" customHeight="false" outlineLevel="0" collapsed="false">
      <c r="A66" s="738" t="str">
        <f aca="false">'Прайс лист'!B709</f>
        <v>Болты анкерные с гайкой 8,0 x 60           </v>
      </c>
      <c r="B66" s="739" t="s">
        <v>48</v>
      </c>
      <c r="C66" s="739"/>
      <c r="D66" s="740" t="n">
        <f aca="false">D65*4</f>
        <v>0</v>
      </c>
      <c r="E66" s="740" t="n">
        <f aca="false">'Прайс лист'!G709</f>
        <v>4</v>
      </c>
      <c r="F66" s="2703" t="n">
        <f aca="false">D66*E66</f>
        <v>0</v>
      </c>
      <c r="G66" s="2685"/>
      <c r="H66" s="876" t="str">
        <f aca="false">'Прайс лист'!B1439</f>
        <v>Монтаж ветроизоляции перекрытий</v>
      </c>
      <c r="I66" s="649"/>
      <c r="J66" s="649" t="n">
        <f aca="false">дома!F1087*C156</f>
        <v>0</v>
      </c>
      <c r="K66" s="876" t="n">
        <f aca="false">K53</f>
        <v>100</v>
      </c>
      <c r="L66" s="876"/>
    </row>
    <row r="67" customFormat="false" ht="15.75" hidden="false" customHeight="false" outlineLevel="0" collapsed="false">
      <c r="A67" s="1372" t="str">
        <f aca="false">связи1!A199</f>
        <v>Sip панель 2500*625*124мм</v>
      </c>
      <c r="B67" s="1627" t="s">
        <v>820</v>
      </c>
      <c r="C67" s="1546" t="n">
        <f aca="false">IF('Ввод данных'!A30=связи1!A199,1,0)</f>
        <v>0</v>
      </c>
      <c r="D67" s="2703" t="n">
        <f aca="false">D37*E37*C67</f>
        <v>0</v>
      </c>
      <c r="E67" s="2703" t="n">
        <f aca="false">'Прайс лист'!G266</f>
        <v>800</v>
      </c>
      <c r="F67" s="2703" t="n">
        <f aca="false">D67*E67</f>
        <v>0</v>
      </c>
      <c r="G67" s="2685"/>
      <c r="H67" s="876" t="str">
        <f aca="false">'Прайс лист'!B1440</f>
        <v>Монтаж пароизоляции перекрытий</v>
      </c>
      <c r="I67" s="649"/>
      <c r="J67" s="649" t="n">
        <f aca="false">дома!F1087*C157</f>
        <v>0</v>
      </c>
      <c r="K67" s="876" t="n">
        <f aca="false">K54</f>
        <v>100</v>
      </c>
      <c r="L67" s="876"/>
    </row>
    <row r="68" customFormat="false" ht="15.75" hidden="false" customHeight="false" outlineLevel="0" collapsed="false">
      <c r="A68" s="1372" t="str">
        <f aca="false">связи1!A200</f>
        <v>Sip панель 2500*625*174мм</v>
      </c>
      <c r="B68" s="1627" t="s">
        <v>820</v>
      </c>
      <c r="C68" s="1546" t="n">
        <f aca="false">IF('Ввод данных'!A30=связи1!A200,1,0)</f>
        <v>0</v>
      </c>
      <c r="D68" s="2703" t="n">
        <f aca="false">D37*E37*C68</f>
        <v>0</v>
      </c>
      <c r="E68" s="2703" t="n">
        <f aca="false">'Прайс лист'!G267</f>
        <v>1200</v>
      </c>
      <c r="F68" s="2703" t="n">
        <f aca="false">D68*E68</f>
        <v>0</v>
      </c>
      <c r="G68" s="2685"/>
      <c r="H68" s="876" t="str">
        <f aca="false">'Прайс лист'!B1422</f>
        <v>Монтаж плит ЖБИ</v>
      </c>
      <c r="I68" s="649"/>
      <c r="J68" s="740" t="n">
        <f aca="false">D160</f>
        <v>0</v>
      </c>
      <c r="K68" s="876" t="n">
        <f aca="false">K42</f>
        <v>200</v>
      </c>
      <c r="L68" s="876"/>
    </row>
    <row r="69" customFormat="false" ht="15.75" hidden="false" customHeight="false" outlineLevel="0" collapsed="false">
      <c r="A69" s="1372" t="str">
        <f aca="false">связи1!A201</f>
        <v>Sip панель 2500*625*224мм</v>
      </c>
      <c r="B69" s="1627" t="s">
        <v>820</v>
      </c>
      <c r="C69" s="1546" t="n">
        <f aca="false">IF('Ввод данных'!A30=связи1!A201,1,0)</f>
        <v>0</v>
      </c>
      <c r="D69" s="2703" t="n">
        <f aca="false">D37*E37*C69</f>
        <v>0</v>
      </c>
      <c r="E69" s="2703" t="n">
        <f aca="false">'Прайс лист'!G277</f>
        <v>1400</v>
      </c>
      <c r="F69" s="2703" t="n">
        <f aca="false">D69*E69</f>
        <v>0</v>
      </c>
      <c r="G69" s="2685"/>
      <c r="H69" s="876" t="str">
        <f aca="false">'Прайс лист'!B1423</f>
        <v>Монтаж опалубки</v>
      </c>
      <c r="I69" s="740"/>
      <c r="J69" s="740" t="n">
        <f aca="false">SUM(C162:C169)*SUM(D162:D169)</f>
        <v>0</v>
      </c>
      <c r="K69" s="876" t="n">
        <f aca="false">K43</f>
        <v>200</v>
      </c>
      <c r="L69" s="876"/>
    </row>
    <row r="70" customFormat="false" ht="15.75" hidden="false" customHeight="false" outlineLevel="0" collapsed="false">
      <c r="A70" s="1180" t="s">
        <v>2492</v>
      </c>
      <c r="B70" s="1692" t="s">
        <v>15</v>
      </c>
      <c r="C70" s="739"/>
      <c r="D70" s="740" t="n">
        <f aca="false">D67*C67*1.05*4</f>
        <v>0</v>
      </c>
      <c r="E70" s="740" t="n">
        <f aca="false">'Прайс лист'!F326</f>
        <v>45</v>
      </c>
      <c r="F70" s="2703" t="n">
        <f aca="false">D70*E70</f>
        <v>0</v>
      </c>
      <c r="G70" s="2685"/>
      <c r="H70" s="876" t="str">
        <f aca="false">'Прайс лист'!B1424</f>
        <v>Укладка пленки гидроизоляционной</v>
      </c>
      <c r="I70" s="740"/>
      <c r="J70" s="876" t="n">
        <f aca="false">SUM(C162:C169)*SUM(D162:D169)</f>
        <v>0</v>
      </c>
      <c r="K70" s="876" t="n">
        <f aca="false">K44</f>
        <v>40</v>
      </c>
      <c r="L70" s="876"/>
    </row>
    <row r="71" customFormat="false" ht="15.75" hidden="false" customHeight="false" outlineLevel="0" collapsed="false">
      <c r="A71" s="1180" t="s">
        <v>449</v>
      </c>
      <c r="B71" s="1692" t="s">
        <v>15</v>
      </c>
      <c r="C71" s="739"/>
      <c r="D71" s="740" t="n">
        <f aca="false">D68*C68*1.05*4</f>
        <v>0</v>
      </c>
      <c r="E71" s="740" t="n">
        <f aca="false">'Прайс лист'!F325</f>
        <v>67.5</v>
      </c>
      <c r="F71" s="2703" t="n">
        <f aca="false">D71*E71</f>
        <v>0</v>
      </c>
      <c r="G71" s="2685"/>
      <c r="H71" s="876" t="str">
        <f aca="false">'Прайс лист'!B1425</f>
        <v>Армирование перекрытия/плиты</v>
      </c>
      <c r="I71" s="740"/>
      <c r="J71" s="876" t="n">
        <f aca="false">D10*E10</f>
        <v>0</v>
      </c>
      <c r="K71" s="876" t="n">
        <f aca="false">K45</f>
        <v>300</v>
      </c>
      <c r="L71" s="876"/>
    </row>
    <row r="72" customFormat="false" ht="15.75" hidden="false" customHeight="false" outlineLevel="0" collapsed="false">
      <c r="A72" s="1180" t="s">
        <v>42</v>
      </c>
      <c r="B72" s="1692" t="s">
        <v>15</v>
      </c>
      <c r="C72" s="739"/>
      <c r="D72" s="740" t="n">
        <f aca="false">D69*C69*1.05*4</f>
        <v>0</v>
      </c>
      <c r="E72" s="740" t="n">
        <f aca="false">'Прайс лист'!F323</f>
        <v>90</v>
      </c>
      <c r="F72" s="2703" t="n">
        <f aca="false">D72*E72</f>
        <v>0</v>
      </c>
      <c r="G72" s="2685"/>
      <c r="H72" s="876" t="str">
        <f aca="false">'Прайс лист'!B1430</f>
        <v>Заливка бетоном перекрытия/плиты</v>
      </c>
      <c r="I72" s="740"/>
      <c r="J72" s="876" t="n">
        <f aca="false">J71</f>
        <v>0</v>
      </c>
      <c r="K72" s="876" t="n">
        <f aca="false">K46</f>
        <v>350</v>
      </c>
      <c r="L72" s="876"/>
    </row>
    <row r="73" customFormat="false" ht="15.75" hidden="false" customHeight="false" outlineLevel="0" collapsed="false">
      <c r="A73" s="649" t="str">
        <f aca="false">'Прайс лист'!B747</f>
        <v>Пена монтажная, всесезонняя 800мл</v>
      </c>
      <c r="B73" s="891" t="s">
        <v>48</v>
      </c>
      <c r="C73" s="739"/>
      <c r="D73" s="740" t="n">
        <f aca="false">CEILING(SUM(D70:D72)/12,1)</f>
        <v>0</v>
      </c>
      <c r="E73" s="740" t="n">
        <f aca="false">'Прайс лист'!G747</f>
        <v>300</v>
      </c>
      <c r="F73" s="2703" t="n">
        <f aca="false">D73*E73</f>
        <v>0</v>
      </c>
      <c r="G73" s="2685"/>
      <c r="H73" s="876" t="str">
        <f aca="false">'Прайс лист'!B1431</f>
        <v>Монтаж перекрытий из бруса</v>
      </c>
      <c r="I73" s="740"/>
      <c r="J73" s="740" t="n">
        <f aca="false">D16*E16</f>
        <v>0</v>
      </c>
      <c r="K73" s="876" t="n">
        <f aca="false">K47</f>
        <v>300</v>
      </c>
      <c r="L73" s="876"/>
    </row>
    <row r="74" customFormat="false" ht="15.75" hidden="false" customHeight="false" outlineLevel="0" collapsed="false">
      <c r="A74" s="649" t="str">
        <f aca="false">A194</f>
        <v>Гвозди строительные 3,5 x 90            </v>
      </c>
      <c r="B74" s="891" t="s">
        <v>48</v>
      </c>
      <c r="C74" s="739"/>
      <c r="D74" s="740" t="n">
        <f aca="false">SUM(D70:D72)</f>
        <v>0</v>
      </c>
      <c r="E74" s="740" t="n">
        <f aca="false">'Прайс лист'!F737</f>
        <v>45</v>
      </c>
      <c r="F74" s="2703" t="n">
        <f aca="false">D74*E74</f>
        <v>0</v>
      </c>
      <c r="G74" s="2685"/>
      <c r="H74" s="876" t="str">
        <f aca="false">'Прайс лист'!B1432</f>
        <v>Монтаж перекрытий Сип-панели</v>
      </c>
      <c r="I74" s="740"/>
      <c r="J74" s="876" t="n">
        <f aca="false">D39*E39</f>
        <v>0</v>
      </c>
      <c r="K74" s="876" t="n">
        <f aca="false">K48</f>
        <v>400</v>
      </c>
      <c r="L74" s="876"/>
    </row>
    <row r="75" customFormat="false" ht="15.75" hidden="false" customHeight="false" outlineLevel="0" collapsed="false">
      <c r="A75" s="649" t="str">
        <f aca="false">A195</f>
        <v>Саморезы 3,5 x 45            </v>
      </c>
      <c r="B75" s="891" t="s">
        <v>48</v>
      </c>
      <c r="C75" s="739"/>
      <c r="D75" s="740" t="n">
        <f aca="false">SUM(D70:D72)*20</f>
        <v>0</v>
      </c>
      <c r="E75" s="740" t="n">
        <f aca="false">E195</f>
        <v>0.25</v>
      </c>
      <c r="F75" s="2703" t="n">
        <f aca="false">D75*E75</f>
        <v>0</v>
      </c>
      <c r="G75" s="2685"/>
      <c r="H75" s="876" t="str">
        <f aca="false">'Прайс лист'!B1433</f>
        <v>Монтаж перекрытий из сухой доски</v>
      </c>
      <c r="I75" s="740"/>
      <c r="J75" s="876" t="n">
        <f aca="false">D29*E29</f>
        <v>0</v>
      </c>
      <c r="K75" s="876" t="n">
        <f aca="false">K49</f>
        <v>250</v>
      </c>
      <c r="L75" s="876"/>
    </row>
    <row r="76" customFormat="false" ht="15.75" hidden="false" customHeight="false" outlineLevel="0" collapsed="false">
      <c r="A76" s="1443" t="s">
        <v>42</v>
      </c>
      <c r="B76" s="2704" t="s">
        <v>1043</v>
      </c>
      <c r="C76" s="2705" t="n">
        <f aca="false">IF('Ввод данных'!A30=связи1!A208,1,0)</f>
        <v>0</v>
      </c>
      <c r="D76" s="2705" t="n">
        <f aca="false">((дома!D1319/перекрытие!J22)*(дома!C1319)+(CEILING(дома!C1319/2.5-1,1))*дома!D1319)*перекрытие!E22*перекрытие!F22*перекрытие!G22*C76*1.05</f>
        <v>0</v>
      </c>
      <c r="E76" s="2705" t="n">
        <f aca="false">'Прайс лист'!G323</f>
        <v>9000</v>
      </c>
      <c r="F76" s="2706" t="n">
        <f aca="false">D76*E76</f>
        <v>0</v>
      </c>
      <c r="G76" s="2685"/>
      <c r="H76" s="876" t="str">
        <f aca="false">'Прайс лист'!B1434</f>
        <v>Монтаж перекрытий из двутавровой балки</v>
      </c>
      <c r="I76" s="740"/>
      <c r="J76" s="876" t="n">
        <f aca="false">D34*E34</f>
        <v>0</v>
      </c>
      <c r="K76" s="876" t="n">
        <f aca="false">K50</f>
        <v>300</v>
      </c>
      <c r="L76" s="876"/>
    </row>
    <row r="77" customFormat="false" ht="15.75" hidden="false" customHeight="false" outlineLevel="0" collapsed="false">
      <c r="A77" s="1443" t="s">
        <v>449</v>
      </c>
      <c r="B77" s="2704" t="s">
        <v>1043</v>
      </c>
      <c r="C77" s="2705" t="n">
        <f aca="false">IF('Ввод данных'!A30=связи1!A209,1,0)</f>
        <v>0</v>
      </c>
      <c r="D77" s="2705" t="n">
        <f aca="false">((дома!D1319/перекрытие!J22)*(дома!C1319)+(CEILING(дома!C1319/2.5-1,1))*дома!D1319)*перекрытие!E22*перекрытие!F22*перекрытие!G22*C77*1.05</f>
        <v>0</v>
      </c>
      <c r="E77" s="2705" t="n">
        <f aca="false">'Прайс лист'!G325</f>
        <v>9000</v>
      </c>
      <c r="F77" s="2706" t="n">
        <f aca="false">D77*E77</f>
        <v>0</v>
      </c>
      <c r="G77" s="2685"/>
      <c r="H77" s="876"/>
      <c r="I77" s="740"/>
      <c r="J77" s="876"/>
      <c r="K77" s="876"/>
      <c r="L77" s="876"/>
    </row>
    <row r="78" customFormat="false" ht="15.75" hidden="false" customHeight="false" outlineLevel="0" collapsed="false">
      <c r="A78" s="1180" t="str">
        <f aca="false">'Прайс лист'!B743</f>
        <v>Гвозди ершоные 2,8 х 90            </v>
      </c>
      <c r="B78" s="891" t="s">
        <v>434</v>
      </c>
      <c r="C78" s="650"/>
      <c r="D78" s="650" t="n">
        <f aca="false">SUM(D76:D77)*6</f>
        <v>0</v>
      </c>
      <c r="E78" s="650" t="n">
        <f aca="false">'Прайс лист'!G743</f>
        <v>76.49</v>
      </c>
      <c r="F78" s="2706" t="n">
        <f aca="false">(D78*E78)*(C76+C77)</f>
        <v>0</v>
      </c>
      <c r="G78" s="2685"/>
      <c r="H78" s="876" t="str">
        <f aca="false">'Прайс лист'!B1437</f>
        <v>Монтаж утеплителя перекрытия</v>
      </c>
      <c r="I78" s="740"/>
      <c r="J78" s="876" t="n">
        <f aca="false">дома!F1090*перекрытие!C216</f>
        <v>0</v>
      </c>
      <c r="K78" s="876" t="n">
        <f aca="false">K52</f>
        <v>200</v>
      </c>
      <c r="L78" s="876"/>
    </row>
    <row r="79" customFormat="false" ht="15.75" hidden="false" customHeight="false" outlineLevel="0" collapsed="false">
      <c r="A79" s="1407" t="s">
        <v>326</v>
      </c>
      <c r="B79" s="2707" t="s">
        <v>1043</v>
      </c>
      <c r="C79" s="2708" t="n">
        <f aca="false">IF('Ввод данных'!A30=связи1!A210,1,0)</f>
        <v>0</v>
      </c>
      <c r="D79" s="2708" t="n">
        <f aca="false">((дома!D1319/перекрытие!J27)*(дома!C1319)+(CEILING(дома!C1319/2.5-1,1))*дома!D1319)*перекрытие!E27*перекрытие!F27*перекрытие!G27*C79</f>
        <v>0</v>
      </c>
      <c r="E79" s="2708" t="n">
        <f aca="false">'Прайс лист'!G315</f>
        <v>12500</v>
      </c>
      <c r="F79" s="2709" t="n">
        <f aca="false">D79*E79</f>
        <v>0</v>
      </c>
      <c r="G79" s="2685"/>
      <c r="H79" s="876" t="str">
        <f aca="false">'Прайс лист'!B1439</f>
        <v>Монтаж ветроизоляции перекрытий</v>
      </c>
      <c r="I79" s="740"/>
      <c r="J79" s="876" t="n">
        <f aca="false">дома!F1090*C217</f>
        <v>0</v>
      </c>
      <c r="K79" s="876" t="n">
        <f aca="false">K53</f>
        <v>100</v>
      </c>
      <c r="L79" s="876"/>
    </row>
    <row r="80" customFormat="false" ht="15.75" hidden="false" customHeight="false" outlineLevel="0" collapsed="false">
      <c r="A80" s="1407" t="s">
        <v>736</v>
      </c>
      <c r="B80" s="2707" t="s">
        <v>1043</v>
      </c>
      <c r="C80" s="2708" t="n">
        <f aca="false">IF('Ввод данных'!A30=связи1!A210,1,0)</f>
        <v>0</v>
      </c>
      <c r="D80" s="2708" t="n">
        <f aca="false">((дома!D1319/перекрытие!J27)*(дома!C1319)+(CEILING(дома!C1319/2.5-1,1))*дома!D1319)*перекрытие!E27*перекрытие!F27*перекрытие!G27*C80</f>
        <v>0</v>
      </c>
      <c r="E80" s="2708" t="n">
        <f aca="false">'Прайс лист'!G316</f>
        <v>12500</v>
      </c>
      <c r="F80" s="2709" t="n">
        <f aca="false">D80*E80</f>
        <v>0</v>
      </c>
      <c r="G80" s="2685"/>
      <c r="H80" s="876" t="str">
        <f aca="false">'Прайс лист'!B1440</f>
        <v>Монтаж пароизоляции перекрытий</v>
      </c>
      <c r="I80" s="740"/>
      <c r="J80" s="876" t="n">
        <f aca="false">дома!F1090*C218</f>
        <v>0</v>
      </c>
      <c r="K80" s="876" t="n">
        <f aca="false">K54</f>
        <v>100</v>
      </c>
      <c r="L80" s="876"/>
    </row>
    <row r="81" customFormat="false" ht="15.75" hidden="false" customHeight="false" outlineLevel="0" collapsed="false">
      <c r="A81" s="1180" t="str">
        <f aca="false">A78</f>
        <v>Гвозди ершоные 2,8 х 90            </v>
      </c>
      <c r="B81" s="891" t="s">
        <v>434</v>
      </c>
      <c r="C81" s="650"/>
      <c r="D81" s="650" t="n">
        <f aca="false">SUM(D79:D80)*6</f>
        <v>0</v>
      </c>
      <c r="E81" s="650" t="n">
        <f aca="false">E78</f>
        <v>76.49</v>
      </c>
      <c r="F81" s="2709" t="n">
        <f aca="false">(D81*E81)*(C79+C80)</f>
        <v>0</v>
      </c>
      <c r="G81" s="2685"/>
      <c r="H81" s="2674" t="s">
        <v>2022</v>
      </c>
      <c r="J81" s="2674" t="n">
        <f aca="false">дома!F1086*IF(A99=связи1!A245,0,1)</f>
        <v>0</v>
      </c>
      <c r="K81" s="876" t="n">
        <f aca="false">'Прайс лист'!G1435</f>
        <v>200</v>
      </c>
      <c r="L81" s="876" t="n">
        <f aca="false">J81*K81</f>
        <v>0</v>
      </c>
    </row>
    <row r="82" customFormat="false" ht="15.75" hidden="false" customHeight="false" outlineLevel="0" collapsed="false">
      <c r="A82" s="2710" t="s">
        <v>1124</v>
      </c>
      <c r="B82" s="2711" t="s">
        <v>15</v>
      </c>
      <c r="C82" s="2712" t="n">
        <f aca="false">IF('Ввод данных'!$A$30=перекрытие!A82,1,0)</f>
        <v>0</v>
      </c>
      <c r="D82" s="2713" t="n">
        <f aca="false">((дома!D1319/перекрытие!J32+1)*(дома!C1319)+(CEILING(дома!C1319/2.5-1,1))*дома!D1319+(пристройка!C34/перекрытие!J32)*пристройка!C33*пристройка!C32*пристройка!D2+пристройка!D2*пристройка!D32*пристройка!D33*(пристройка!D34/перекрытие!J32)+(пристройка!E34/перекрытие!J32)*пристройка!E33*пристройка!E32*пристройка!D2+пристройка!D2*пристройка!F32*пристройка!F33*(пристройка!F34/перекрытие!J32))*перекрытие!E32*C82</f>
        <v>0</v>
      </c>
      <c r="E82" s="2713" t="n">
        <f aca="false">'Прайс лист'!G281</f>
        <v>303</v>
      </c>
      <c r="F82" s="2713" t="n">
        <f aca="false">D82*E82</f>
        <v>0</v>
      </c>
      <c r="G82" s="2685"/>
    </row>
    <row r="83" customFormat="false" ht="15.75" hidden="false" customHeight="false" outlineLevel="0" collapsed="false">
      <c r="A83" s="2710" t="s">
        <v>1125</v>
      </c>
      <c r="B83" s="2711" t="s">
        <v>15</v>
      </c>
      <c r="C83" s="2712" t="n">
        <f aca="false">IF('Ввод данных'!$A$30=перекрытие!A83,1,0)</f>
        <v>0</v>
      </c>
      <c r="D83" s="2713" t="n">
        <f aca="false">((дома!D1319/перекрытие!J32+1)*(дома!C1319)+(CEILING(дома!C1319/2.5-1,1))*дома!D1319+(пристройка!C34/перекрытие!J32)*пристройка!C33*пристройка!C32*пристройка!D2+пристройка!D2*пристройка!D32*пристройка!D33*(пристройка!D34/перекрытие!J32)+(пристройка!E34/перекрытие!J32)*пристройка!E33*пристройка!E32*пристройка!D2+пристройка!D2*пристройка!F32*пристройка!F33*(пристройка!F34/перекрытие!J32))*перекрытие!E32*C83</f>
        <v>0</v>
      </c>
      <c r="E83" s="2713" t="n">
        <f aca="false">'Прайс лист'!G282</f>
        <v>355</v>
      </c>
      <c r="F83" s="2713" t="n">
        <f aca="false">D83*E83</f>
        <v>0</v>
      </c>
      <c r="G83" s="2685"/>
      <c r="H83" s="876"/>
      <c r="I83" s="740"/>
      <c r="J83" s="876"/>
      <c r="K83" s="876"/>
      <c r="L83" s="876"/>
    </row>
    <row r="84" customFormat="false" ht="15.75" hidden="false" customHeight="false" outlineLevel="0" collapsed="false">
      <c r="A84" s="2710" t="s">
        <v>34</v>
      </c>
      <c r="B84" s="2711" t="s">
        <v>15</v>
      </c>
      <c r="C84" s="2712" t="n">
        <f aca="false">IF('Ввод данных'!$A$30=перекрытие!A84,1,0)</f>
        <v>1</v>
      </c>
      <c r="D84" s="2713" t="n">
        <f aca="false">((дома!D1319/перекрытие!J32+1)*(дома!C1319)+(CEILING(дома!C1319/2.5-1,1))*дома!D1319+(пристройка!C34/перекрытие!J32)*пристройка!C33*пристройка!C32*пристройка!D2+пристройка!D2*пристройка!D32*пристройка!D33*(пристройка!D34/перекрытие!J32)+(пристройка!E34/перекрытие!J32)*пристройка!E33*пристройка!E32*пристройка!D2+пристройка!D2*пристройка!F32*пристройка!F33*(пристройка!F34/перекрытие!J32))*перекрытие!E32*C84</f>
        <v>138.666666666667</v>
      </c>
      <c r="E84" s="2713" t="n">
        <f aca="false">'Прайс лист'!G283</f>
        <v>287</v>
      </c>
      <c r="F84" s="2713" t="n">
        <f aca="false">D84*E84</f>
        <v>39797.3333333333</v>
      </c>
      <c r="G84" s="2685"/>
      <c r="H84" s="876"/>
      <c r="I84" s="740"/>
      <c r="J84" s="876"/>
      <c r="K84" s="876"/>
      <c r="L84" s="876"/>
    </row>
    <row r="85" customFormat="false" ht="15.75" hidden="false" customHeight="false" outlineLevel="0" collapsed="false">
      <c r="A85" s="2710" t="s">
        <v>1126</v>
      </c>
      <c r="B85" s="2711" t="s">
        <v>15</v>
      </c>
      <c r="C85" s="2712" t="n">
        <f aca="false">IF('Ввод данных'!$A$30=перекрытие!A85,1,0)</f>
        <v>0</v>
      </c>
      <c r="D85" s="2713" t="n">
        <f aca="false">((дома!D1319/перекрытие!J32+1)*(дома!C1319)+(CEILING(дома!C1319/2.5-1,1))*дома!D1319+(пристройка!C34/перекрытие!J32)*пристройка!C33*пристройка!C32*пристройка!D2+пристройка!D2*пристройка!D32*пристройка!D33*(пристройка!D34/перекрытие!J32)+(пристройка!E34/перекрытие!J32)*пристройка!E33*пристройка!E32*пристройка!D2+пристройка!D2*пристройка!F32*пристройка!F33*(пристройка!F34/перекрытие!J32))*перекрытие!E32*C85</f>
        <v>0</v>
      </c>
      <c r="E85" s="2713" t="n">
        <f aca="false">'Прайс лист'!G284</f>
        <v>315</v>
      </c>
      <c r="F85" s="2713" t="n">
        <f aca="false">D85*E85</f>
        <v>0</v>
      </c>
      <c r="G85" s="2685"/>
      <c r="H85" s="876"/>
      <c r="I85" s="740"/>
      <c r="J85" s="876"/>
      <c r="K85" s="876"/>
      <c r="L85" s="876"/>
    </row>
    <row r="86" customFormat="false" ht="15.75" hidden="false" customHeight="false" outlineLevel="0" collapsed="false">
      <c r="A86" s="2710" t="s">
        <v>1127</v>
      </c>
      <c r="B86" s="2711" t="s">
        <v>15</v>
      </c>
      <c r="C86" s="2712" t="n">
        <f aca="false">IF('Ввод данных'!$A$30=перекрытие!A86,1,0)</f>
        <v>0</v>
      </c>
      <c r="D86" s="2713" t="n">
        <f aca="false">((дома!D1319/перекрытие!J32+1)*(дома!C1319)+(CEILING(дома!C1319/2.5-1,1))*дома!D1319+(пристройка!C34/перекрытие!J32)*пристройка!C33*пристройка!C32*пристройка!D2+пристройка!D2*пристройка!D32*пристройка!D33*(пристройка!D34/перекрытие!J32)+(пристройка!E34/перекрытие!J32)*пристройка!E33*пристройка!E32*пристройка!D2+пристройка!D2*пристройка!F32*пристройка!F33*(пристройка!F34/перекрытие!J32))*перекрытие!E32*C86</f>
        <v>0</v>
      </c>
      <c r="E86" s="2713" t="n">
        <f aca="false">'Прайс лист'!G285</f>
        <v>273</v>
      </c>
      <c r="F86" s="2713" t="n">
        <f aca="false">D86*E86</f>
        <v>0</v>
      </c>
      <c r="G86" s="2685"/>
      <c r="H86" s="876"/>
      <c r="I86" s="740"/>
      <c r="J86" s="876"/>
      <c r="K86" s="876"/>
      <c r="L86" s="876"/>
    </row>
    <row r="87" customFormat="false" ht="15.75" hidden="false" customHeight="false" outlineLevel="0" collapsed="false">
      <c r="A87" s="2710" t="s">
        <v>1128</v>
      </c>
      <c r="B87" s="2711" t="s">
        <v>15</v>
      </c>
      <c r="C87" s="2712" t="n">
        <f aca="false">IF('Ввод данных'!$A$30=перекрытие!A87,1,0)</f>
        <v>0</v>
      </c>
      <c r="D87" s="2713" t="n">
        <f aca="false">((дома!D1319/перекрытие!J32+1)*(дома!C1319)+(CEILING(дома!C1319/2.5-1,1))*дома!D1319+(пристройка!C34/перекрытие!J32)*пристройка!C33*пристройка!C32*пристройка!D2+пристройка!D2*пристройка!D32*пристройка!D33*(пристройка!D34/перекрытие!J32)+(пристройка!E34/перекрытие!J32)*пристройка!E33*пристройка!E32*пристройка!D2+пристройка!D2*пристройка!F32*пристройка!F33*(пристройка!F34/перекрытие!J32))*перекрытие!E32*C87</f>
        <v>0</v>
      </c>
      <c r="E87" s="2713" t="n">
        <f aca="false">'Прайс лист'!G286</f>
        <v>315</v>
      </c>
      <c r="F87" s="2713" t="n">
        <f aca="false">D87*E87</f>
        <v>0</v>
      </c>
      <c r="G87" s="2685"/>
      <c r="H87" s="876"/>
      <c r="I87" s="740"/>
      <c r="J87" s="876"/>
      <c r="K87" s="876"/>
      <c r="L87" s="876"/>
    </row>
    <row r="88" customFormat="false" ht="15.75" hidden="false" customHeight="false" outlineLevel="0" collapsed="false">
      <c r="A88" s="2710" t="s">
        <v>1129</v>
      </c>
      <c r="B88" s="2711" t="s">
        <v>15</v>
      </c>
      <c r="C88" s="2712" t="n">
        <f aca="false">IF('Ввод данных'!$A$30=перекрытие!A88,1,0)</f>
        <v>0</v>
      </c>
      <c r="D88" s="2713" t="n">
        <f aca="false">((дома!D1319/перекрытие!J32+1)*(дома!C1319)+(CEILING(дома!C1319/2.5-1,1))*дома!D1319+(пристройка!C34/перекрытие!J32)*пристройка!C33*пристройка!C32*пристройка!D2+пристройка!D2*пристройка!D32*пристройка!D33*(пристройка!D34/перекрытие!J32)+(пристройка!E34/перекрытие!J32)*пристройка!E33*пристройка!E32*пристройка!D2+пристройка!D2*пристройка!F32*пристройка!F33*(пристройка!F34/перекрытие!J32))*перекрытие!E32*C88</f>
        <v>0</v>
      </c>
      <c r="E88" s="2713" t="n">
        <f aca="false">'Прайс лист'!G287</f>
        <v>263</v>
      </c>
      <c r="F88" s="2713" t="n">
        <f aca="false">D88*E88</f>
        <v>0</v>
      </c>
      <c r="G88" s="2685"/>
      <c r="H88" s="876"/>
      <c r="I88" s="740"/>
      <c r="J88" s="876"/>
      <c r="K88" s="876"/>
      <c r="L88" s="876"/>
    </row>
    <row r="89" customFormat="false" ht="15.75" hidden="false" customHeight="false" outlineLevel="0" collapsed="false">
      <c r="A89" s="2710" t="s">
        <v>1130</v>
      </c>
      <c r="B89" s="2711" t="s">
        <v>15</v>
      </c>
      <c r="C89" s="2712" t="n">
        <f aca="false">IF('Ввод данных'!$A$30=перекрытие!A89,1,0)</f>
        <v>0</v>
      </c>
      <c r="D89" s="2713" t="n">
        <f aca="false">((дома!D1319/перекрытие!J32+1)*(дома!C1319)+(CEILING(дома!C1319/2.5-1,1))*дома!D1319+(пристройка!C34/перекрытие!J32)*пристройка!C33*пристройка!C32*пристройка!D2+пристройка!D2*пристройка!D32*пристройка!D33*(пристройка!D34/перекрытие!J32)+(пристройка!E34/перекрытие!J32)*пристройка!E33*пристройка!E32*пристройка!D2+пристройка!D2*пристройка!F32*пристройка!F33*(пристройка!F34/перекрытие!J32))*перекрытие!E32*C89</f>
        <v>0</v>
      </c>
      <c r="E89" s="2713" t="n">
        <f aca="false">'Прайс лист'!G288</f>
        <v>291</v>
      </c>
      <c r="F89" s="2713" t="n">
        <f aca="false">D89*E89</f>
        <v>0</v>
      </c>
      <c r="G89" s="2685"/>
      <c r="H89" s="876"/>
      <c r="I89" s="740"/>
      <c r="J89" s="876"/>
      <c r="K89" s="876"/>
      <c r="L89" s="876"/>
    </row>
    <row r="90" customFormat="false" ht="15.75" hidden="false" customHeight="false" outlineLevel="0" collapsed="false">
      <c r="A90" s="2710" t="s">
        <v>1131</v>
      </c>
      <c r="B90" s="2711" t="s">
        <v>15</v>
      </c>
      <c r="C90" s="2712" t="n">
        <f aca="false">IF('Ввод данных'!$A$30=перекрытие!A90,1,0)</f>
        <v>0</v>
      </c>
      <c r="D90" s="2713" t="n">
        <f aca="false">((дома!D1319/перекрытие!J32+1)*(дома!C1319)+(CEILING(дома!C1319/2.5-1,1))*дома!D1319+(пристройка!C34/перекрытие!J32)*пристройка!C33*пристройка!C32*пристройка!D2+пристройка!D2*пристройка!D32*пристройка!D33*(пристройка!D34/перекрытие!J32)+(пристройка!E34/перекрытие!J32)*пристройка!E33*пристройка!E32*пристройка!D2+пристройка!D2*пристройка!F32*пристройка!F33*(пристройка!F34/перекрытие!J32))*перекрытие!E32*C90</f>
        <v>0</v>
      </c>
      <c r="E90" s="2713" t="n">
        <f aca="false">'Прайс лист'!G289</f>
        <v>250</v>
      </c>
      <c r="F90" s="2713" t="n">
        <f aca="false">D90*E90</f>
        <v>0</v>
      </c>
      <c r="G90" s="2685"/>
      <c r="H90" s="876"/>
      <c r="I90" s="740"/>
      <c r="J90" s="876"/>
      <c r="K90" s="876"/>
      <c r="L90" s="876"/>
    </row>
    <row r="91" customFormat="false" ht="15.75" hidden="false" customHeight="false" outlineLevel="0" collapsed="false">
      <c r="A91" s="2710" t="s">
        <v>1132</v>
      </c>
      <c r="B91" s="2711" t="s">
        <v>15</v>
      </c>
      <c r="C91" s="2712" t="n">
        <f aca="false">IF('Ввод данных'!$A$30=перекрытие!A91,1,0)</f>
        <v>0</v>
      </c>
      <c r="D91" s="2713" t="n">
        <f aca="false">((дома!D1319/перекрытие!J32+1)*(дома!C1319)+(CEILING(дома!C1319/2.5-1,1))*дома!D1319+(пристройка!C34/перекрытие!J32)*пристройка!C33*пристройка!C32*пристройка!D2+пристройка!D2*пристройка!D32*пристройка!D33*(пристройка!D34/перекрытие!J32)+(пристройка!E34/перекрытие!J32)*пристройка!E33*пристройка!E32*пристройка!D2+пристройка!D2*пристройка!F32*пристройка!F33*(пристройка!F34/перекрытие!J32))*перекрытие!E32*C91</f>
        <v>0</v>
      </c>
      <c r="E91" s="2713" t="n">
        <f aca="false">'Прайс лист'!G290</f>
        <v>280</v>
      </c>
      <c r="F91" s="2713" t="n">
        <f aca="false">D91*E91</f>
        <v>0</v>
      </c>
      <c r="G91" s="2685"/>
      <c r="H91" s="876"/>
      <c r="I91" s="740"/>
      <c r="J91" s="876"/>
      <c r="K91" s="876"/>
      <c r="L91" s="876"/>
    </row>
    <row r="92" customFormat="false" ht="15.75" hidden="false" customHeight="false" outlineLevel="0" collapsed="false">
      <c r="A92" s="2710" t="s">
        <v>1133</v>
      </c>
      <c r="B92" s="2711" t="s">
        <v>15</v>
      </c>
      <c r="C92" s="2712" t="n">
        <f aca="false">IF('Ввод данных'!$A$30=перекрытие!A92,1,0)</f>
        <v>0</v>
      </c>
      <c r="D92" s="2713" t="n">
        <f aca="false">((дома!D1319/перекрытие!J32+1)*(дома!C1319)+(CEILING(дома!C1319/2.5-1,1))*дома!D1319+(пристройка!C34/перекрытие!J32)*пристройка!C33*пристройка!C32*пристройка!D2+пристройка!D2*пристройка!D32*пристройка!D33*(пристройка!D34/перекрытие!J32)+(пристройка!E34/перекрытие!J32)*пристройка!E33*пристройка!E32*пристройка!D2+пристройка!D2*пристройка!F32*пристройка!F33*(пристройка!F34/перекрытие!J32))*перекрытие!E32*C92</f>
        <v>0</v>
      </c>
      <c r="E92" s="2713" t="n">
        <f aca="false">'Прайс лист'!G291</f>
        <v>220</v>
      </c>
      <c r="F92" s="2713" t="n">
        <f aca="false">D92*E92</f>
        <v>0</v>
      </c>
      <c r="G92" s="2685"/>
      <c r="H92" s="876"/>
      <c r="I92" s="740"/>
      <c r="J92" s="876"/>
      <c r="K92" s="876"/>
      <c r="L92" s="876"/>
    </row>
    <row r="93" customFormat="false" ht="15.75" hidden="false" customHeight="false" outlineLevel="0" collapsed="false">
      <c r="A93" s="2710" t="s">
        <v>1134</v>
      </c>
      <c r="B93" s="2711" t="s">
        <v>15</v>
      </c>
      <c r="C93" s="2712" t="n">
        <f aca="false">IF('Ввод данных'!$A$30=перекрытие!A93,1,0)</f>
        <v>0</v>
      </c>
      <c r="D93" s="2713" t="n">
        <f aca="false">((дома!D1319/перекрытие!J32+1)*(дома!C1319)+(CEILING(дома!C1319/2.5-1,1))*дома!D1319+(пристройка!C34/перекрытие!J32)*пристройка!C33*пристройка!C32*пристройка!D2+пристройка!D2*пристройка!D32*пристройка!D33*(пристройка!D34/перекрытие!J32)+(пристройка!E34/перекрытие!J32)*пристройка!E33*пристройка!E32*пристройка!D2+пристройка!D2*пристройка!F32*пристройка!F33*(пристройка!F34/перекрытие!J32))*перекрытие!E32*C93</f>
        <v>0</v>
      </c>
      <c r="E93" s="2713" t="n">
        <f aca="false">'Прайс лист'!G292</f>
        <v>250</v>
      </c>
      <c r="F93" s="2713" t="n">
        <f aca="false">D93*E93</f>
        <v>0</v>
      </c>
      <c r="G93" s="2685"/>
      <c r="H93" s="876"/>
      <c r="I93" s="740"/>
      <c r="J93" s="876"/>
      <c r="K93" s="876"/>
      <c r="L93" s="876"/>
    </row>
    <row r="94" customFormat="false" ht="15.75" hidden="false" customHeight="false" outlineLevel="0" collapsed="false">
      <c r="A94" s="832" t="str">
        <f aca="false">'Прайс лист'!B693</f>
        <v>Уголок усиленный 90х70х55х2,5        </v>
      </c>
      <c r="B94" s="891" t="s">
        <v>48</v>
      </c>
      <c r="C94" s="762"/>
      <c r="D94" s="704" t="n">
        <f aca="false">CEILING(((IF(G32=0.8,1.6,0)+IF(G32=0.7,2,0)+IF(G32=0.6,2.44,0)+IF(G32=0.5,3.25,0)+IF(G32=0.4,3.67,0)+IF(G32=0.3,4.1,0))*D32*E32),1)</f>
        <v>157</v>
      </c>
      <c r="E94" s="704" t="n">
        <f aca="false">'Прайс лист'!G693</f>
        <v>30</v>
      </c>
      <c r="F94" s="2713" t="n">
        <f aca="false">D94*E94*SUM(C82:C93)</f>
        <v>4710</v>
      </c>
      <c r="G94" s="2685"/>
      <c r="H94" s="876"/>
      <c r="I94" s="740"/>
      <c r="J94" s="876"/>
      <c r="K94" s="876"/>
      <c r="L94" s="876"/>
    </row>
    <row r="95" customFormat="false" ht="15.75" hidden="false" customHeight="false" outlineLevel="0" collapsed="false">
      <c r="A95" s="832" t="str">
        <f aca="false">'Прайс лист'!B727</f>
        <v>Саморезы 3,5 x 55            </v>
      </c>
      <c r="B95" s="891" t="s">
        <v>48</v>
      </c>
      <c r="C95" s="762"/>
      <c r="D95" s="704" t="n">
        <f aca="false">D94*4</f>
        <v>628</v>
      </c>
      <c r="E95" s="704" t="n">
        <f aca="false">'Прайс лист'!F727</f>
        <v>0.3</v>
      </c>
      <c r="F95" s="2713" t="n">
        <f aca="false">D95*E95*SUM(C82:C93)</f>
        <v>188.4</v>
      </c>
      <c r="G95" s="2685"/>
      <c r="H95" s="876"/>
      <c r="I95" s="740"/>
      <c r="J95" s="876"/>
      <c r="K95" s="876"/>
      <c r="L95" s="876"/>
    </row>
    <row r="96" customFormat="false" ht="15.75" hidden="false" customHeight="false" outlineLevel="0" collapsed="false">
      <c r="A96" s="738" t="str">
        <f aca="false">'Ввод данных'!A32</f>
        <v>Нет</v>
      </c>
      <c r="B96" s="739" t="s">
        <v>1043</v>
      </c>
      <c r="C96" s="2674" t="n">
        <f aca="false">IF('Ввод данных'!A37='Прайс лист'!B600,0,1)</f>
        <v>1</v>
      </c>
      <c r="D96" s="649" t="n">
        <f aca="false">дома!F1086*VLOOKUP(A96,'Прайс лист'!B600:G638,3,0)</f>
        <v>0</v>
      </c>
      <c r="E96" s="740" t="n">
        <f aca="false">VLOOKUP(A96,'Прайс лист'!B600:G638,6,0)</f>
        <v>0</v>
      </c>
      <c r="F96" s="740" t="n">
        <f aca="false">D96*E96</f>
        <v>0</v>
      </c>
      <c r="G96" s="2685"/>
      <c r="H96" s="876"/>
      <c r="I96" s="740"/>
      <c r="J96" s="876"/>
      <c r="K96" s="876"/>
      <c r="L96" s="876"/>
    </row>
    <row r="97" customFormat="false" ht="15.75" hidden="false" customHeight="false" outlineLevel="0" collapsed="false">
      <c r="A97" s="738" t="str">
        <f aca="false">'Ввод данных'!A131</f>
        <v>нет ветроизоляции</v>
      </c>
      <c r="B97" s="739" t="s">
        <v>820</v>
      </c>
      <c r="C97" s="649" t="n">
        <f aca="false">IF(A97='Прайс лист'!B649,0,1)</f>
        <v>0</v>
      </c>
      <c r="D97" s="740" t="n">
        <f aca="false">дома!F1086</f>
        <v>64</v>
      </c>
      <c r="E97" s="740" t="n">
        <f aca="false">VLOOKUP(A97,'Прайс лист'!B649:G675,6,0)</f>
        <v>0</v>
      </c>
      <c r="F97" s="740" t="n">
        <f aca="false">D97*E97</f>
        <v>0</v>
      </c>
      <c r="G97" s="2685"/>
      <c r="H97" s="876"/>
      <c r="I97" s="740"/>
      <c r="J97" s="876"/>
      <c r="K97" s="876"/>
      <c r="L97" s="876"/>
    </row>
    <row r="98" customFormat="false" ht="15.75" hidden="false" customHeight="false" outlineLevel="0" collapsed="false">
      <c r="A98" s="738" t="str">
        <f aca="false">'Ввод данных'!A132</f>
        <v>нет пароизоляции</v>
      </c>
      <c r="B98" s="739" t="s">
        <v>820</v>
      </c>
      <c r="C98" s="649" t="n">
        <f aca="false">IF(A98='Прайс лист'!B676,0,1)</f>
        <v>0</v>
      </c>
      <c r="D98" s="740" t="n">
        <f aca="false">дома!F1086</f>
        <v>64</v>
      </c>
      <c r="E98" s="740" t="n">
        <f aca="false">VLOOKUP(A98,'Прайс лист'!B676:G687,6,0)</f>
        <v>0</v>
      </c>
      <c r="F98" s="740" t="n">
        <f aca="false">D98*E98</f>
        <v>0</v>
      </c>
      <c r="G98" s="2685"/>
      <c r="H98" s="876"/>
      <c r="I98" s="740"/>
      <c r="J98" s="876"/>
      <c r="K98" s="876"/>
      <c r="L98" s="876"/>
    </row>
    <row r="99" customFormat="false" ht="15.75" hidden="false" customHeight="false" outlineLevel="0" collapsed="false">
      <c r="A99" s="2714" t="str">
        <f aca="false">'Ввод данных'!A127</f>
        <v>Нет перекрестного пола</v>
      </c>
      <c r="B99" s="2715" t="s">
        <v>1043</v>
      </c>
      <c r="C99" s="2716"/>
      <c r="D99" s="2717" t="n">
        <f aca="false">(дома!D1319/перекрытие!H19*дома!C1319+дома!D1229*(дома!C1245/перекрытие!H19*дома!C1244)+1/перекрытие!H19*дома!J96)*перекрытие!E19*перекрытие!G19*перекрытие!F19</f>
        <v>0</v>
      </c>
      <c r="E99" s="2717" t="n">
        <f aca="false">VLOOKUP('Ввод данных'!A127,связи1!A245:B248,2,0)</f>
        <v>0</v>
      </c>
      <c r="F99" s="2717" t="n">
        <f aca="false">D99*E99</f>
        <v>0</v>
      </c>
      <c r="G99" s="2685"/>
    </row>
    <row r="100" customFormat="false" ht="15.75" hidden="false" customHeight="false" outlineLevel="0" collapsed="false">
      <c r="A100" s="2714" t="str">
        <f aca="false">'Прайс лист'!B737</f>
        <v>Гвозди строительные 3,5 x 90            </v>
      </c>
      <c r="B100" s="2715" t="s">
        <v>434</v>
      </c>
      <c r="C100" s="2716"/>
      <c r="D100" s="2717" t="n">
        <f aca="false">D99*5</f>
        <v>0</v>
      </c>
      <c r="E100" s="2718" t="n">
        <f aca="false">'Прайс лист'!G737</f>
        <v>70</v>
      </c>
      <c r="F100" s="2717" t="n">
        <f aca="false">D100*E100</f>
        <v>0</v>
      </c>
      <c r="G100" s="2685"/>
    </row>
    <row r="101" customFormat="false" ht="15.75" hidden="false" customHeight="false" outlineLevel="0" collapsed="false">
      <c r="A101" s="738" t="s">
        <v>1041</v>
      </c>
      <c r="B101" s="739" t="s">
        <v>820</v>
      </c>
      <c r="C101" s="649"/>
      <c r="D101" s="740" t="n">
        <f aca="false">(перекрытие!D4*перекрытие!E4)</f>
        <v>0</v>
      </c>
      <c r="E101" s="740" t="n">
        <f aca="false">'Прайс лист'!G173</f>
        <v>1400</v>
      </c>
      <c r="F101" s="740" t="n">
        <f aca="false">D101*E101</f>
        <v>0</v>
      </c>
      <c r="G101" s="2685"/>
      <c r="K101" s="876"/>
      <c r="L101" s="876"/>
    </row>
    <row r="102" customFormat="false" ht="15.75" hidden="false" customHeight="false" outlineLevel="0" collapsed="false">
      <c r="A102" s="738" t="str">
        <f aca="false">A43</f>
        <v>Раствор, м250</v>
      </c>
      <c r="B102" s="739" t="s">
        <v>1043</v>
      </c>
      <c r="C102" s="649"/>
      <c r="D102" s="740" t="n">
        <f aca="false">(('Ввод данных'!C9+'Ввод данных'!C9)*0.2*0.15+'Ввод данных'!C9+'Ввод данных'!C9+'Ввод данных'!C10+'Ввод данных'!C10+'Ввод данных'!C202*'Ввод данных'!D202+'Ввод данных'!C203*'Ввод данных'!D203+'Ввод данных'!C204*'Ввод данных'!D204+'Ввод данных'!C205*'Ввод данных'!D205+'Ввод данных'!C210*'Ввод данных'!D210+'Ввод данных'!C211*'Ввод данных'!D211+'Ввод данных'!C212*'Ввод данных'!D212+'Ввод данных'!C213*'Ввод данных'!D213)*0.2*0.02*E4</f>
        <v>0</v>
      </c>
      <c r="E102" s="740" t="n">
        <f aca="false">'Прайс лист'!G242</f>
        <v>2500</v>
      </c>
      <c r="F102" s="740" t="n">
        <f aca="false">D102*E102</f>
        <v>0</v>
      </c>
      <c r="G102" s="2685"/>
      <c r="K102" s="876"/>
      <c r="L102" s="876"/>
    </row>
    <row r="103" customFormat="false" ht="15.75" hidden="false" customHeight="false" outlineLevel="0" collapsed="false">
      <c r="A103" s="1735" t="s">
        <v>2496</v>
      </c>
      <c r="B103" s="1544" t="s">
        <v>820</v>
      </c>
      <c r="C103" s="1544" t="n">
        <f aca="false">IF('Ввод данных'!A35=связи1!A212,1,0)</f>
        <v>0</v>
      </c>
      <c r="D103" s="2719" t="n">
        <f aca="false">(перекрытие!D9*перекрытие!E9)*C103</f>
        <v>0</v>
      </c>
      <c r="E103" s="2719" t="n">
        <v>1</v>
      </c>
      <c r="F103" s="2719" t="n">
        <f aca="false">D103*E103</f>
        <v>0</v>
      </c>
      <c r="G103" s="2685"/>
      <c r="K103" s="876"/>
      <c r="L103" s="876"/>
    </row>
    <row r="104" customFormat="false" ht="15.75" hidden="false" customHeight="false" outlineLevel="0" collapsed="false">
      <c r="A104" s="1735" t="s">
        <v>2497</v>
      </c>
      <c r="B104" s="1544" t="s">
        <v>820</v>
      </c>
      <c r="C104" s="1544" t="n">
        <f aca="false">IF('Ввод данных'!A35=связи1!A213,1,0)</f>
        <v>0</v>
      </c>
      <c r="D104" s="2719" t="n">
        <f aca="false">(перекрытие!D9*перекрытие!E9)*C104</f>
        <v>0</v>
      </c>
      <c r="E104" s="2719" t="n">
        <v>1</v>
      </c>
      <c r="F104" s="2719" t="n">
        <f aca="false">D104*E104</f>
        <v>0</v>
      </c>
      <c r="G104" s="2685"/>
      <c r="K104" s="876"/>
      <c r="L104" s="876"/>
    </row>
    <row r="105" customFormat="false" ht="15.75" hidden="false" customHeight="false" outlineLevel="0" collapsed="false">
      <c r="A105" s="1735" t="s">
        <v>2498</v>
      </c>
      <c r="B105" s="1544" t="s">
        <v>820</v>
      </c>
      <c r="C105" s="1544" t="n">
        <f aca="false">IF('Ввод данных'!A35=связи1!A214,1,0)</f>
        <v>0</v>
      </c>
      <c r="D105" s="2719" t="n">
        <f aca="false">(перекрытие!D9*перекрытие!E9)*C105</f>
        <v>0</v>
      </c>
      <c r="E105" s="2719" t="n">
        <v>1</v>
      </c>
      <c r="F105" s="2719" t="n">
        <f aca="false">D105*E105</f>
        <v>0</v>
      </c>
      <c r="G105" s="2685"/>
      <c r="K105" s="876"/>
      <c r="L105" s="876"/>
    </row>
    <row r="106" customFormat="false" ht="15.75" hidden="false" customHeight="false" outlineLevel="0" collapsed="false">
      <c r="A106" s="1735" t="s">
        <v>2499</v>
      </c>
      <c r="B106" s="1544" t="s">
        <v>820</v>
      </c>
      <c r="C106" s="1544" t="n">
        <f aca="false">IF('Ввод данных'!A35=связи1!A215,1,0)</f>
        <v>0</v>
      </c>
      <c r="D106" s="2719" t="n">
        <f aca="false">(перекрытие!D9*перекрытие!E9)*C106</f>
        <v>0</v>
      </c>
      <c r="E106" s="2719" t="n">
        <v>1</v>
      </c>
      <c r="F106" s="2719" t="n">
        <f aca="false">D106*E106</f>
        <v>0</v>
      </c>
      <c r="G106" s="2685"/>
      <c r="K106" s="876"/>
      <c r="L106" s="876"/>
    </row>
    <row r="107" customFormat="false" ht="15.75" hidden="false" customHeight="false" outlineLevel="0" collapsed="false">
      <c r="A107" s="1735" t="s">
        <v>38</v>
      </c>
      <c r="B107" s="1544" t="s">
        <v>820</v>
      </c>
      <c r="C107" s="1544" t="n">
        <f aca="false">IF('Ввод данных'!A35=связи1!A216,1,0)</f>
        <v>1</v>
      </c>
      <c r="D107" s="2719" t="n">
        <f aca="false">(перекрытие!D9*перекрытие!E9)*C107</f>
        <v>64</v>
      </c>
      <c r="E107" s="2719" t="n">
        <v>1</v>
      </c>
      <c r="F107" s="2719" t="n">
        <f aca="false">D107*E107</f>
        <v>64</v>
      </c>
      <c r="G107" s="2685"/>
      <c r="H107" s="876"/>
      <c r="I107" s="740"/>
      <c r="J107" s="876"/>
      <c r="K107" s="876"/>
      <c r="L107" s="876"/>
    </row>
    <row r="108" customFormat="false" ht="15.75" hidden="false" customHeight="false" outlineLevel="0" collapsed="false">
      <c r="A108" s="1735" t="s">
        <v>2500</v>
      </c>
      <c r="B108" s="1544" t="s">
        <v>820</v>
      </c>
      <c r="C108" s="1544" t="n">
        <f aca="false">IF('Ввод данных'!A35=связи1!A217,1,0)</f>
        <v>0</v>
      </c>
      <c r="D108" s="2719" t="n">
        <f aca="false">(перекрытие!D9*перекрытие!E9)*C108</f>
        <v>0</v>
      </c>
      <c r="E108" s="2719" t="n">
        <v>1</v>
      </c>
      <c r="F108" s="2719" t="n">
        <f aca="false">D108*E108</f>
        <v>0</v>
      </c>
      <c r="G108" s="2685"/>
      <c r="H108" s="876"/>
      <c r="I108" s="740"/>
      <c r="J108" s="876"/>
      <c r="K108" s="876"/>
      <c r="L108" s="876"/>
    </row>
    <row r="109" customFormat="false" ht="15.75" hidden="false" customHeight="false" outlineLevel="0" collapsed="false">
      <c r="A109" s="1735" t="s">
        <v>2501</v>
      </c>
      <c r="B109" s="1544" t="s">
        <v>820</v>
      </c>
      <c r="C109" s="1544" t="n">
        <f aca="false">IF('Ввод данных'!A35=связи1!A218,1,0)</f>
        <v>0</v>
      </c>
      <c r="D109" s="2719" t="n">
        <f aca="false">(перекрытие!D9*перекрытие!E9)*C109</f>
        <v>0</v>
      </c>
      <c r="E109" s="2719" t="n">
        <v>1</v>
      </c>
      <c r="F109" s="2719" t="n">
        <f aca="false">D109*E109</f>
        <v>0</v>
      </c>
      <c r="G109" s="2685"/>
      <c r="H109" s="876"/>
      <c r="I109" s="740"/>
      <c r="J109" s="876"/>
      <c r="K109" s="876"/>
      <c r="L109" s="876"/>
    </row>
    <row r="110" customFormat="false" ht="15.75" hidden="false" customHeight="false" outlineLevel="0" collapsed="false">
      <c r="A110" s="1735" t="s">
        <v>2502</v>
      </c>
      <c r="B110" s="1544" t="s">
        <v>820</v>
      </c>
      <c r="C110" s="1544" t="n">
        <f aca="false">IF('Ввод данных'!A35=связи1!A219,1,0)</f>
        <v>0</v>
      </c>
      <c r="D110" s="2719" t="n">
        <f aca="false">(перекрытие!D9*перекрытие!E9)*C110</f>
        <v>0</v>
      </c>
      <c r="E110" s="2719" t="n">
        <v>1</v>
      </c>
      <c r="F110" s="2719" t="n">
        <f aca="false">D110*E110</f>
        <v>0</v>
      </c>
      <c r="G110" s="2685"/>
      <c r="H110" s="876"/>
      <c r="I110" s="740"/>
      <c r="J110" s="876"/>
      <c r="K110" s="876"/>
      <c r="L110" s="876"/>
    </row>
    <row r="111" customFormat="false" ht="15.75" hidden="false" customHeight="false" outlineLevel="0" collapsed="false">
      <c r="A111" s="738" t="s">
        <v>4111</v>
      </c>
      <c r="B111" s="2720" t="s">
        <v>1043</v>
      </c>
      <c r="C111" s="739"/>
      <c r="D111" s="2721" t="n">
        <f aca="false">((D9/5+5*2)*перекрытие!E9+D9*1.1*E9)*0.05*1.1</f>
        <v>5.126</v>
      </c>
      <c r="E111" s="2721" t="n">
        <f aca="false">'Прайс лист'!G298</f>
        <v>6500</v>
      </c>
      <c r="F111" s="2719" t="n">
        <f aca="false">D111*E111</f>
        <v>33319</v>
      </c>
      <c r="G111" s="2685"/>
      <c r="H111" s="876"/>
      <c r="I111" s="740"/>
      <c r="J111" s="876"/>
      <c r="K111" s="876"/>
      <c r="L111" s="876"/>
    </row>
    <row r="112" customFormat="false" ht="15.75" hidden="false" customHeight="false" outlineLevel="0" collapsed="false">
      <c r="A112" s="738" t="s">
        <v>4091</v>
      </c>
      <c r="B112" s="739" t="s">
        <v>48</v>
      </c>
      <c r="C112" s="739"/>
      <c r="D112" s="740" t="n">
        <f aca="false">SUM(D103:D110)</f>
        <v>64</v>
      </c>
      <c r="E112" s="740" t="n">
        <v>0</v>
      </c>
      <c r="F112" s="2719" t="n">
        <f aca="false">D112*E112</f>
        <v>0</v>
      </c>
      <c r="G112" s="2685"/>
      <c r="H112" s="876"/>
      <c r="I112" s="740"/>
      <c r="J112" s="876"/>
      <c r="K112" s="876"/>
      <c r="L112" s="876"/>
    </row>
    <row r="113" customFormat="false" ht="15.75" hidden="false" customHeight="false" outlineLevel="0" collapsed="false">
      <c r="A113" s="738" t="str">
        <f aca="false">A54</f>
        <v>Пленка гидроизоляционная </v>
      </c>
      <c r="B113" s="739" t="s">
        <v>820</v>
      </c>
      <c r="C113" s="739"/>
      <c r="D113" s="740" t="n">
        <f aca="false">(перекрытие!D9*перекрытие!E9*1.3)</f>
        <v>83.2</v>
      </c>
      <c r="E113" s="740" t="n">
        <f aca="false">E54</f>
        <v>15</v>
      </c>
      <c r="F113" s="2719" t="n">
        <f aca="false">D113*E113</f>
        <v>1248</v>
      </c>
      <c r="G113" s="2685"/>
      <c r="H113" s="876"/>
      <c r="I113" s="740"/>
      <c r="J113" s="876"/>
      <c r="K113" s="876"/>
      <c r="L113" s="876"/>
    </row>
    <row r="114" customFormat="false" ht="15.75" hidden="false" customHeight="false" outlineLevel="0" collapsed="false">
      <c r="A114" s="738" t="str">
        <f aca="false">'Ввод данных'!D134</f>
        <v>Арматура М10</v>
      </c>
      <c r="B114" s="739" t="s">
        <v>15</v>
      </c>
      <c r="C114" s="739"/>
      <c r="D114" s="740" t="n">
        <f aca="false">(1/перекрытие!J9*перекрытие!E9*перекрытие!H9*перекрытие!D9)</f>
        <v>640</v>
      </c>
      <c r="E114" s="740" t="n">
        <f aca="false">VLOOKUP(A114,связи1!A398:B404,2,0)</f>
        <v>21.0397</v>
      </c>
      <c r="F114" s="2719" t="n">
        <f aca="false">D114*E114</f>
        <v>13465.408</v>
      </c>
      <c r="G114" s="2685"/>
      <c r="H114" s="876"/>
      <c r="I114" s="740"/>
      <c r="J114" s="876"/>
      <c r="K114" s="876"/>
      <c r="L114" s="876"/>
    </row>
    <row r="115" customFormat="false" ht="15.75" hidden="false" customHeight="false" outlineLevel="0" collapsed="false">
      <c r="A115" s="738" t="str">
        <f aca="false">A56</f>
        <v>Вязальная проволока</v>
      </c>
      <c r="B115" s="739" t="s">
        <v>434</v>
      </c>
      <c r="C115" s="739"/>
      <c r="D115" s="740" t="n">
        <f aca="false">D114/40</f>
        <v>16</v>
      </c>
      <c r="E115" s="740" t="n">
        <f aca="false">E56</f>
        <v>80</v>
      </c>
      <c r="F115" s="2719" t="n">
        <f aca="false">D115*E115</f>
        <v>1280</v>
      </c>
      <c r="G115" s="2685"/>
      <c r="H115" s="876"/>
      <c r="I115" s="740"/>
      <c r="J115" s="876"/>
      <c r="K115" s="876"/>
      <c r="L115" s="876"/>
    </row>
    <row r="116" customFormat="false" ht="15.75" hidden="false" customHeight="false" outlineLevel="0" collapsed="false">
      <c r="A116" s="738" t="str">
        <f aca="false">A57</f>
        <v>Подставка под арматурный каркас</v>
      </c>
      <c r="B116" s="739" t="s">
        <v>48</v>
      </c>
      <c r="C116" s="739"/>
      <c r="D116" s="740" t="n">
        <f aca="false">(перекрытие!D9*перекрытие!E9)*4</f>
        <v>256</v>
      </c>
      <c r="E116" s="740" t="n">
        <f aca="false">E57</f>
        <v>5</v>
      </c>
      <c r="F116" s="2719" t="n">
        <f aca="false">D116*E116</f>
        <v>1280</v>
      </c>
      <c r="G116" s="2685"/>
      <c r="H116" s="876"/>
      <c r="I116" s="740"/>
      <c r="J116" s="876"/>
      <c r="K116" s="876"/>
      <c r="L116" s="876"/>
    </row>
    <row r="117" customFormat="false" ht="15.75" hidden="false" customHeight="false" outlineLevel="0" collapsed="false">
      <c r="A117" s="738" t="s">
        <v>4112</v>
      </c>
      <c r="B117" s="739" t="s">
        <v>1043</v>
      </c>
      <c r="C117" s="739"/>
      <c r="D117" s="740" t="n">
        <f aca="false">(перекрытие!D9*перекрытие!E9*перекрытие!F9)</f>
        <v>12.8</v>
      </c>
      <c r="E117" s="740" t="n">
        <f aca="false">'Прайс лист'!G240</f>
        <v>3500</v>
      </c>
      <c r="F117" s="2719" t="n">
        <f aca="false">D117*E117</f>
        <v>44800</v>
      </c>
      <c r="G117" s="2685"/>
      <c r="H117" s="876"/>
      <c r="I117" s="740"/>
      <c r="J117" s="876"/>
      <c r="K117" s="876"/>
      <c r="L117" s="876"/>
    </row>
    <row r="118" customFormat="false" ht="15.75" hidden="false" customHeight="false" outlineLevel="0" collapsed="false">
      <c r="A118" s="1412" t="s">
        <v>2493</v>
      </c>
      <c r="B118" s="2722" t="s">
        <v>1043</v>
      </c>
      <c r="C118" s="2722" t="n">
        <f aca="false">IF('Ввод данных'!A35=связи1!A202,1,0)</f>
        <v>0</v>
      </c>
      <c r="D118" s="2723" t="n">
        <f aca="false">((дома!D1319/перекрытие!J15)*(дома!C1319)*перекрытие!F15*перекрытие!G15*перекрытие!E15)*C118</f>
        <v>0</v>
      </c>
      <c r="E118" s="2723" t="n">
        <f aca="false">связи1!D202</f>
        <v>6500</v>
      </c>
      <c r="F118" s="2723" t="n">
        <f aca="false">D118*E118</f>
        <v>0</v>
      </c>
      <c r="G118" s="2685"/>
      <c r="K118" s="876"/>
      <c r="L118" s="876"/>
    </row>
    <row r="119" customFormat="false" ht="15.75" hidden="false" customHeight="false" outlineLevel="0" collapsed="false">
      <c r="A119" s="1412" t="s">
        <v>2494</v>
      </c>
      <c r="B119" s="2722" t="s">
        <v>1043</v>
      </c>
      <c r="C119" s="2722" t="n">
        <f aca="false">IF('Ввод данных'!A35=связи1!A203,1,0)</f>
        <v>0</v>
      </c>
      <c r="D119" s="2723" t="n">
        <f aca="false">((дома!D1319/перекрытие!J15)*(дома!C1319)*перекрытие!F15*перекрытие!G15*перекрытие!E15)*C119</f>
        <v>0</v>
      </c>
      <c r="E119" s="2723" t="n">
        <f aca="false">связи1!D203</f>
        <v>6500</v>
      </c>
      <c r="F119" s="2723" t="n">
        <f aca="false">D119*E119</f>
        <v>0</v>
      </c>
      <c r="G119" s="2685"/>
      <c r="H119" s="876"/>
      <c r="I119" s="740"/>
      <c r="J119" s="876"/>
      <c r="K119" s="876"/>
      <c r="L119" s="876"/>
    </row>
    <row r="120" customFormat="false" ht="15.75" hidden="false" customHeight="false" outlineLevel="0" collapsed="false">
      <c r="A120" s="1412" t="s">
        <v>268</v>
      </c>
      <c r="B120" s="2722" t="s">
        <v>1043</v>
      </c>
      <c r="C120" s="2722" t="n">
        <f aca="false">IF('Ввод данных'!A35=связи1!A204,1,0)</f>
        <v>0</v>
      </c>
      <c r="D120" s="2723" t="n">
        <f aca="false">((дома!D1319/перекрытие!J15)*(дома!C1319)*перекрытие!F15*перекрытие!G15*перекрытие!E15)*C120</f>
        <v>0</v>
      </c>
      <c r="E120" s="2723" t="n">
        <f aca="false">связи1!D204</f>
        <v>6500</v>
      </c>
      <c r="F120" s="2723" t="n">
        <f aca="false">D120*E120</f>
        <v>0</v>
      </c>
      <c r="G120" s="2685"/>
      <c r="H120" s="876"/>
      <c r="I120" s="740"/>
      <c r="J120" s="876"/>
      <c r="K120" s="876"/>
      <c r="L120" s="876"/>
    </row>
    <row r="121" customFormat="false" ht="15.75" hidden="false" customHeight="false" outlineLevel="0" collapsed="false">
      <c r="A121" s="1412" t="s">
        <v>721</v>
      </c>
      <c r="B121" s="2722" t="s">
        <v>1043</v>
      </c>
      <c r="C121" s="2722" t="n">
        <f aca="false">IF('Ввод данных'!A35=связи1!A205,1,0)</f>
        <v>0</v>
      </c>
      <c r="D121" s="2723" t="n">
        <f aca="false">((дома!D1319/перекрытие!J15)*(дома!C1319)*перекрытие!F15*перекрытие!G15*перекрытие!E15)*C121</f>
        <v>0</v>
      </c>
      <c r="E121" s="2723" t="n">
        <f aca="false">связи1!D205</f>
        <v>6500</v>
      </c>
      <c r="F121" s="2723" t="n">
        <f aca="false">D121*E121</f>
        <v>0</v>
      </c>
      <c r="G121" s="2685"/>
      <c r="H121" s="876"/>
      <c r="I121" s="740"/>
      <c r="J121" s="876"/>
      <c r="K121" s="876"/>
      <c r="L121" s="876"/>
    </row>
    <row r="122" customFormat="false" ht="15.75" hidden="false" customHeight="false" outlineLevel="0" collapsed="false">
      <c r="A122" s="1412" t="s">
        <v>363</v>
      </c>
      <c r="B122" s="2722" t="s">
        <v>1043</v>
      </c>
      <c r="C122" s="2722" t="n">
        <f aca="false">IF('Ввод данных'!A35=связи1!A206,1,0)</f>
        <v>0</v>
      </c>
      <c r="D122" s="2723" t="n">
        <f aca="false">((дома!D1319/перекрытие!J15)*(дома!C1319)*перекрытие!F15*перекрытие!G15*перекрытие!E15)*C122</f>
        <v>0</v>
      </c>
      <c r="E122" s="2723" t="n">
        <f aca="false">связи1!D206</f>
        <v>6500</v>
      </c>
      <c r="F122" s="2723" t="n">
        <f aca="false">D122*E122</f>
        <v>0</v>
      </c>
      <c r="G122" s="2685"/>
      <c r="H122" s="876"/>
      <c r="I122" s="740"/>
      <c r="J122" s="876"/>
      <c r="K122" s="876"/>
      <c r="L122" s="876"/>
    </row>
    <row r="123" customFormat="false" ht="15.75" hidden="false" customHeight="false" outlineLevel="0" collapsed="false">
      <c r="A123" s="1412" t="s">
        <v>2495</v>
      </c>
      <c r="B123" s="2722" t="s">
        <v>1043</v>
      </c>
      <c r="C123" s="2722" t="n">
        <f aca="false">IF('Ввод данных'!A35=связи1!A207,1,0)</f>
        <v>0</v>
      </c>
      <c r="D123" s="2723" t="n">
        <f aca="false">((дома!D1319/перекрытие!J15)*(дома!C1319)*перекрытие!F15*перекрытие!G15*перекрытие!E15)*C123</f>
        <v>0</v>
      </c>
      <c r="E123" s="2723" t="n">
        <f aca="false">связи1!D207</f>
        <v>6500</v>
      </c>
      <c r="F123" s="2723" t="n">
        <f aca="false">D123*E123</f>
        <v>0</v>
      </c>
      <c r="G123" s="2685"/>
      <c r="H123" s="876"/>
      <c r="I123" s="740"/>
      <c r="J123" s="876"/>
      <c r="K123" s="876"/>
      <c r="L123" s="876"/>
    </row>
    <row r="124" customFormat="false" ht="15.75" hidden="false" customHeight="false" outlineLevel="0" collapsed="false">
      <c r="A124" s="738" t="str">
        <f aca="false">A65</f>
        <v>Опора бруса          </v>
      </c>
      <c r="B124" s="739" t="s">
        <v>48</v>
      </c>
      <c r="C124" s="739"/>
      <c r="D124" s="740" t="n">
        <f aca="false">CEILING((D15*E15)*1.1,1)</f>
        <v>0</v>
      </c>
      <c r="E124" s="740" t="n">
        <f aca="false">E65</f>
        <v>50</v>
      </c>
      <c r="F124" s="2723" t="n">
        <f aca="false">D124*E124</f>
        <v>0</v>
      </c>
      <c r="G124" s="2685"/>
      <c r="H124" s="876"/>
      <c r="I124" s="740"/>
      <c r="J124" s="876"/>
      <c r="K124" s="876"/>
      <c r="L124" s="876"/>
    </row>
    <row r="125" customFormat="false" ht="15.75" hidden="false" customHeight="false" outlineLevel="0" collapsed="false">
      <c r="A125" s="738" t="str">
        <f aca="false">A66</f>
        <v>Болты анкерные с гайкой 8,0 x 60           </v>
      </c>
      <c r="B125" s="739" t="s">
        <v>48</v>
      </c>
      <c r="C125" s="739"/>
      <c r="D125" s="740" t="n">
        <f aca="false">D124*4</f>
        <v>0</v>
      </c>
      <c r="E125" s="740" t="n">
        <f aca="false">E66</f>
        <v>4</v>
      </c>
      <c r="F125" s="2723" t="n">
        <f aca="false">D125*E125</f>
        <v>0</v>
      </c>
      <c r="G125" s="2685"/>
      <c r="H125" s="876"/>
      <c r="I125" s="740"/>
      <c r="J125" s="876"/>
      <c r="K125" s="876"/>
      <c r="L125" s="876"/>
    </row>
    <row r="126" customFormat="false" ht="15.75" hidden="false" customHeight="false" outlineLevel="0" collapsed="false">
      <c r="A126" s="1443" t="str">
        <f aca="false">связи1!A199</f>
        <v>Sip панель 2500*625*124мм</v>
      </c>
      <c r="B126" s="2704" t="s">
        <v>820</v>
      </c>
      <c r="C126" s="2724" t="n">
        <f aca="false">IF('Ввод данных'!A35=связи1!A199,1,0)</f>
        <v>0</v>
      </c>
      <c r="D126" s="2706" t="n">
        <f aca="false">D38*E38*C126</f>
        <v>0</v>
      </c>
      <c r="E126" s="2706" t="n">
        <f aca="false">'Прайс лист'!G266</f>
        <v>800</v>
      </c>
      <c r="F126" s="2706" t="n">
        <f aca="false">D126*E126</f>
        <v>0</v>
      </c>
      <c r="G126" s="2685"/>
      <c r="K126" s="876"/>
      <c r="L126" s="876"/>
    </row>
    <row r="127" customFormat="false" ht="15.75" hidden="false" customHeight="false" outlineLevel="0" collapsed="false">
      <c r="A127" s="1443" t="str">
        <f aca="false">связи1!A200</f>
        <v>Sip панель 2500*625*174мм</v>
      </c>
      <c r="B127" s="2704" t="s">
        <v>820</v>
      </c>
      <c r="C127" s="2724" t="n">
        <f aca="false">IF('Ввод данных'!A35=связи1!A200,1,0)</f>
        <v>0</v>
      </c>
      <c r="D127" s="2706" t="n">
        <f aca="false">D38*E38*C127</f>
        <v>0</v>
      </c>
      <c r="E127" s="2706" t="n">
        <f aca="false">'Прайс лист'!G267</f>
        <v>1200</v>
      </c>
      <c r="F127" s="2706" t="n">
        <f aca="false">D127*E127</f>
        <v>0</v>
      </c>
      <c r="G127" s="2685"/>
      <c r="K127" s="876"/>
      <c r="L127" s="876"/>
    </row>
    <row r="128" customFormat="false" ht="15.75" hidden="false" customHeight="false" outlineLevel="0" collapsed="false">
      <c r="A128" s="1443" t="str">
        <f aca="false">связи1!A201</f>
        <v>Sip панель 2500*625*224мм</v>
      </c>
      <c r="B128" s="2704" t="s">
        <v>820</v>
      </c>
      <c r="C128" s="2724" t="n">
        <f aca="false">IF('Ввод данных'!A35=связи1!A201,1,0)</f>
        <v>0</v>
      </c>
      <c r="D128" s="2706" t="n">
        <f aca="false">D38*E38*C128</f>
        <v>0</v>
      </c>
      <c r="E128" s="2706" t="n">
        <f aca="false">'Прайс лист'!G277</f>
        <v>1400</v>
      </c>
      <c r="F128" s="2706" t="n">
        <f aca="false">D128*E128</f>
        <v>0</v>
      </c>
      <c r="G128" s="2685"/>
      <c r="K128" s="876"/>
      <c r="L128" s="876"/>
    </row>
    <row r="129" customFormat="false" ht="15.75" hidden="false" customHeight="false" outlineLevel="0" collapsed="false">
      <c r="A129" s="1180" t="s">
        <v>2492</v>
      </c>
      <c r="B129" s="1692" t="s">
        <v>15</v>
      </c>
      <c r="C129" s="739"/>
      <c r="D129" s="740" t="n">
        <f aca="false">D126*C126*4*1.05</f>
        <v>0</v>
      </c>
      <c r="E129" s="740" t="n">
        <f aca="false">E70</f>
        <v>45</v>
      </c>
      <c r="F129" s="2706" t="n">
        <f aca="false">D129*E129</f>
        <v>0</v>
      </c>
      <c r="G129" s="2685"/>
      <c r="K129" s="876"/>
      <c r="L129" s="876"/>
    </row>
    <row r="130" customFormat="false" ht="15.75" hidden="false" customHeight="false" outlineLevel="0" collapsed="false">
      <c r="A130" s="1180" t="s">
        <v>449</v>
      </c>
      <c r="B130" s="1692" t="s">
        <v>15</v>
      </c>
      <c r="C130" s="739"/>
      <c r="D130" s="740" t="n">
        <f aca="false">D127*C127*4*1.05</f>
        <v>0</v>
      </c>
      <c r="E130" s="740" t="n">
        <f aca="false">E71</f>
        <v>67.5</v>
      </c>
      <c r="F130" s="2706" t="n">
        <f aca="false">D130*E130</f>
        <v>0</v>
      </c>
      <c r="G130" s="2685"/>
      <c r="K130" s="876"/>
      <c r="L130" s="876"/>
    </row>
    <row r="131" customFormat="false" ht="15.75" hidden="false" customHeight="false" outlineLevel="0" collapsed="false">
      <c r="A131" s="1180" t="s">
        <v>42</v>
      </c>
      <c r="B131" s="1692" t="s">
        <v>15</v>
      </c>
      <c r="C131" s="739"/>
      <c r="D131" s="740" t="n">
        <f aca="false">D128*C128*4*1.05</f>
        <v>0</v>
      </c>
      <c r="E131" s="740" t="n">
        <f aca="false">E72</f>
        <v>90</v>
      </c>
      <c r="F131" s="2706" t="n">
        <f aca="false">D131*E131</f>
        <v>0</v>
      </c>
      <c r="G131" s="2685"/>
      <c r="K131" s="876"/>
      <c r="L131" s="876"/>
    </row>
    <row r="132" customFormat="false" ht="15.75" hidden="false" customHeight="false" outlineLevel="0" collapsed="false">
      <c r="A132" s="649" t="str">
        <f aca="false">A73</f>
        <v>Пена монтажная, всесезонняя 800мл</v>
      </c>
      <c r="B132" s="891" t="s">
        <v>48</v>
      </c>
      <c r="C132" s="739"/>
      <c r="D132" s="740" t="n">
        <f aca="false">CEILING(SUM(D126:D128)/12,1)</f>
        <v>0</v>
      </c>
      <c r="E132" s="740" t="n">
        <f aca="false">E73</f>
        <v>300</v>
      </c>
      <c r="F132" s="2706" t="n">
        <f aca="false">D132*E132</f>
        <v>0</v>
      </c>
      <c r="G132" s="2685"/>
      <c r="K132" s="876"/>
      <c r="L132" s="876"/>
    </row>
    <row r="133" customFormat="false" ht="15.75" hidden="false" customHeight="false" outlineLevel="0" collapsed="false">
      <c r="A133" s="649" t="str">
        <f aca="false">A74</f>
        <v>Гвозди строительные 3,5 x 90            </v>
      </c>
      <c r="B133" s="891" t="s">
        <v>48</v>
      </c>
      <c r="C133" s="739"/>
      <c r="D133" s="740" t="n">
        <f aca="false">SUM(D129:D131)</f>
        <v>0</v>
      </c>
      <c r="E133" s="740" t="n">
        <f aca="false">E74</f>
        <v>45</v>
      </c>
      <c r="F133" s="2706" t="n">
        <f aca="false">D133*E133</f>
        <v>0</v>
      </c>
      <c r="G133" s="2685"/>
      <c r="K133" s="876"/>
      <c r="L133" s="876"/>
    </row>
    <row r="134" customFormat="false" ht="15.75" hidden="false" customHeight="false" outlineLevel="0" collapsed="false">
      <c r="A134" s="649" t="str">
        <f aca="false">A195</f>
        <v>Саморезы 3,5 x 45            </v>
      </c>
      <c r="B134" s="891" t="s">
        <v>48</v>
      </c>
      <c r="C134" s="739"/>
      <c r="D134" s="740" t="n">
        <f aca="false">SUM(D129:D131)*20</f>
        <v>0</v>
      </c>
      <c r="E134" s="740" t="n">
        <f aca="false">E195</f>
        <v>0.25</v>
      </c>
      <c r="F134" s="2706" t="n">
        <f aca="false">D134*E134</f>
        <v>0</v>
      </c>
      <c r="G134" s="2685"/>
      <c r="K134" s="876"/>
      <c r="L134" s="876"/>
    </row>
    <row r="135" customFormat="false" ht="15.75" hidden="false" customHeight="false" outlineLevel="0" collapsed="false">
      <c r="A135" s="1665" t="s">
        <v>42</v>
      </c>
      <c r="B135" s="2725" t="s">
        <v>1043</v>
      </c>
      <c r="C135" s="2726" t="n">
        <f aca="false">IF('Ввод данных'!A35=связи1!A208,1,0)</f>
        <v>0</v>
      </c>
      <c r="D135" s="2726" t="n">
        <f aca="false">((дома!D1319/перекрытие!J23)*(дома!C1319)+(CEILING(дома!C1319/2.5-1,1))*дома!D1319)*перекрытие!F23*перекрытие!G23*перекрытие!E23*C135*1.05</f>
        <v>0</v>
      </c>
      <c r="E135" s="2726" t="n">
        <f aca="false">'Прайс лист'!G323</f>
        <v>9000</v>
      </c>
      <c r="F135" s="2727" t="n">
        <f aca="false">D135*E135</f>
        <v>0</v>
      </c>
      <c r="G135" s="2685"/>
      <c r="K135" s="876"/>
      <c r="L135" s="876"/>
    </row>
    <row r="136" customFormat="false" ht="15.75" hidden="false" customHeight="false" outlineLevel="0" collapsed="false">
      <c r="A136" s="1665" t="s">
        <v>449</v>
      </c>
      <c r="B136" s="2725" t="s">
        <v>1043</v>
      </c>
      <c r="C136" s="2726" t="n">
        <f aca="false">IF('Ввод данных'!A35=связи1!A209,1,0)</f>
        <v>0</v>
      </c>
      <c r="D136" s="2726" t="n">
        <f aca="false">((дома!D1319/перекрытие!J23)*(дома!C1319)+(CEILING(дома!C1319/2.5-1,1))*дома!D1319)*перекрытие!F23*перекрытие!G23*перекрытие!E23*C136*1.05</f>
        <v>0</v>
      </c>
      <c r="E136" s="2726" t="n">
        <f aca="false">'Прайс лист'!G325</f>
        <v>9000</v>
      </c>
      <c r="F136" s="2727" t="n">
        <f aca="false">D136*E136</f>
        <v>0</v>
      </c>
      <c r="G136" s="2685"/>
      <c r="K136" s="876"/>
      <c r="L136" s="876"/>
    </row>
    <row r="137" customFormat="false" ht="15.75" hidden="false" customHeight="false" outlineLevel="0" collapsed="false">
      <c r="A137" s="1180" t="str">
        <f aca="false">A78</f>
        <v>Гвозди ершоные 2,8 х 90            </v>
      </c>
      <c r="B137" s="891" t="s">
        <v>434</v>
      </c>
      <c r="C137" s="650"/>
      <c r="D137" s="650" t="n">
        <f aca="false">SUM(D135:D136)*6</f>
        <v>0</v>
      </c>
      <c r="E137" s="650" t="n">
        <f aca="false">E78</f>
        <v>76.49</v>
      </c>
      <c r="F137" s="2727" t="n">
        <f aca="false">(D137*E137)*(C135+C136)</f>
        <v>0</v>
      </c>
      <c r="G137" s="2685"/>
      <c r="K137" s="876"/>
      <c r="L137" s="876"/>
    </row>
    <row r="138" customFormat="false" ht="15.75" hidden="false" customHeight="false" outlineLevel="0" collapsed="false">
      <c r="A138" s="2728" t="s">
        <v>326</v>
      </c>
      <c r="B138" s="2729" t="s">
        <v>1043</v>
      </c>
      <c r="C138" s="2730" t="n">
        <f aca="false">IF('Ввод данных'!A35=связи1!A210,1,0)</f>
        <v>0</v>
      </c>
      <c r="D138" s="2730" t="n">
        <f aca="false">((дома!D1319/перекрытие!J28)*(дома!C1319)+(CEILING(дома!C1319/2.5-1,1))*дома!D1319)*перекрытие!F28*перекрытие!G28*перекрытие!E28*C138</f>
        <v>0</v>
      </c>
      <c r="E138" s="2730" t="n">
        <f aca="false">'Прайс лист'!G315</f>
        <v>12500</v>
      </c>
      <c r="F138" s="2717" t="n">
        <f aca="false">D138*E138*C138</f>
        <v>0</v>
      </c>
      <c r="G138" s="2685"/>
      <c r="K138" s="876"/>
      <c r="L138" s="876"/>
    </row>
    <row r="139" customFormat="false" ht="15.75" hidden="false" customHeight="false" outlineLevel="0" collapsed="false">
      <c r="A139" s="2728" t="s">
        <v>736</v>
      </c>
      <c r="B139" s="2729" t="s">
        <v>1043</v>
      </c>
      <c r="C139" s="2730" t="n">
        <f aca="false">IF('Ввод данных'!A35=связи1!A210,1,0)</f>
        <v>0</v>
      </c>
      <c r="D139" s="2730" t="n">
        <f aca="false">((дома!D1319/перекрытие!J28)*(дома!C1319)+(CEILING(дома!C1319/2.5-1,1))*дома!D1319)*перекрытие!F28*перекрытие!G28*перекрытие!E28*C139</f>
        <v>0</v>
      </c>
      <c r="E139" s="2730" t="n">
        <f aca="false">'Прайс лист'!G316</f>
        <v>12500</v>
      </c>
      <c r="F139" s="2717" t="n">
        <f aca="false">D139*E139*C139</f>
        <v>0</v>
      </c>
      <c r="G139" s="2685"/>
      <c r="K139" s="876"/>
      <c r="L139" s="876"/>
    </row>
    <row r="140" customFormat="false" ht="15.75" hidden="false" customHeight="false" outlineLevel="0" collapsed="false">
      <c r="A140" s="1180" t="str">
        <f aca="false">A78</f>
        <v>Гвозди ершоные 2,8 х 90            </v>
      </c>
      <c r="B140" s="891" t="s">
        <v>434</v>
      </c>
      <c r="C140" s="650"/>
      <c r="D140" s="650" t="n">
        <f aca="false">SUM(D138:D139)*6</f>
        <v>0</v>
      </c>
      <c r="E140" s="650" t="n">
        <f aca="false">E78</f>
        <v>76.49</v>
      </c>
      <c r="F140" s="2717" t="n">
        <f aca="false">D140*E140*(C138+C139)</f>
        <v>0</v>
      </c>
      <c r="G140" s="2685"/>
      <c r="H140" s="876"/>
      <c r="I140" s="740"/>
      <c r="J140" s="876"/>
      <c r="K140" s="876"/>
      <c r="L140" s="876"/>
    </row>
    <row r="141" customFormat="false" ht="15.75" hidden="false" customHeight="false" outlineLevel="0" collapsed="false">
      <c r="A141" s="2731" t="s">
        <v>1124</v>
      </c>
      <c r="B141" s="2732" t="s">
        <v>15</v>
      </c>
      <c r="C141" s="2733" t="n">
        <f aca="false">IF('Ввод данных'!$A$35=перекрытие!A141,1,0)</f>
        <v>0</v>
      </c>
      <c r="D141" s="2734" t="n">
        <f aca="false">((дома!D1319/перекрытие!J33+1)*(дома!C1319)+(CEILING(дома!C1319/2.5-1,1))*дома!D1319+(пристройка!C34/перекрытие!J32)*пристройка!C33*пристройка!C32*пристройка!D2*пристройка!C26+пристройка!D26*пристройка!D2*пристройка!D32*пристройка!D33*(пристройка!D34/перекрытие!J32)+(пристройка!E34/перекрытие!J32)*пристройка!E33*пристройка!E32*пристройка!D2*пристройка!E26+пристройка!F26*пристройка!D2*пристройка!F32*пристройка!F33*(пристройка!F34/перекрытие!J32))*перекрытие!E33*C141</f>
        <v>0</v>
      </c>
      <c r="E141" s="2734" t="n">
        <f aca="false">'Прайс лист'!G281</f>
        <v>303</v>
      </c>
      <c r="F141" s="2734" t="n">
        <f aca="false">E141*D141</f>
        <v>0</v>
      </c>
      <c r="G141" s="2685"/>
      <c r="K141" s="876"/>
      <c r="L141" s="876"/>
    </row>
    <row r="142" customFormat="false" ht="15.75" hidden="false" customHeight="false" outlineLevel="0" collapsed="false">
      <c r="A142" s="2731" t="s">
        <v>1125</v>
      </c>
      <c r="B142" s="2732" t="s">
        <v>15</v>
      </c>
      <c r="C142" s="2733" t="n">
        <f aca="false">IF('Ввод данных'!$A$35=перекрытие!A142,1,0)</f>
        <v>0</v>
      </c>
      <c r="D142" s="2734" t="n">
        <f aca="false">((дома!D1319/перекрытие!J33+1)*(дома!C1319)+(CEILING(дома!C1319/2.5-1,1))*дома!D1319+(пристройка!C34/перекрытие!J32)*пристройка!C33*пристройка!C32*пристройка!D2*пристройка!C26+пристройка!D26*пристройка!D2*пристройка!D32*пристройка!D33*(пристройка!D34/перекрытие!J32)+(пристройка!E34/перекрытие!J32)*пристройка!E33*пристройка!E32*пристройка!D2*пристройка!E26+пристройка!F26*пристройка!D2*пристройка!F32*пристройка!F33*(пристройка!F34/перекрытие!J32))*перекрытие!E33*C142</f>
        <v>0</v>
      </c>
      <c r="E142" s="2734" t="n">
        <f aca="false">'Прайс лист'!G282</f>
        <v>355</v>
      </c>
      <c r="F142" s="2734" t="n">
        <f aca="false">E142*D142</f>
        <v>0</v>
      </c>
      <c r="G142" s="2685"/>
      <c r="H142" s="876"/>
      <c r="I142" s="740"/>
      <c r="J142" s="876"/>
      <c r="K142" s="876"/>
      <c r="L142" s="876"/>
    </row>
    <row r="143" customFormat="false" ht="15.75" hidden="false" customHeight="false" outlineLevel="0" collapsed="false">
      <c r="A143" s="2731" t="s">
        <v>34</v>
      </c>
      <c r="B143" s="2732" t="s">
        <v>15</v>
      </c>
      <c r="C143" s="2733" t="n">
        <f aca="false">IF('Ввод данных'!$A$35=перекрытие!A143,1,0)</f>
        <v>0</v>
      </c>
      <c r="D143" s="2734" t="n">
        <f aca="false">((дома!D1319/перекрытие!J33+1)*(дома!C1319)+(CEILING(дома!C1319/2.5-1,1))*дома!D1319+(пристройка!C34/перекрытие!J32)*пристройка!C33*пристройка!C32*пристройка!D2*пристройка!C26+пристройка!D26*пристройка!D2*пристройка!D32*пристройка!D33*(пристройка!D34/перекрытие!J32)+(пристройка!E34/перекрытие!J32)*пристройка!E33*пристройка!E32*пристройка!D2*пристройка!E26+пристройка!F26*пристройка!D2*пристройка!F32*пристройка!F33*(пристройка!F34/перекрытие!J32))*перекрытие!E33*C143</f>
        <v>0</v>
      </c>
      <c r="E143" s="2734" t="n">
        <f aca="false">'Прайс лист'!G283</f>
        <v>287</v>
      </c>
      <c r="F143" s="2734" t="n">
        <f aca="false">E143*D143</f>
        <v>0</v>
      </c>
      <c r="G143" s="2685"/>
      <c r="H143" s="876"/>
      <c r="I143" s="740"/>
      <c r="J143" s="876"/>
      <c r="K143" s="876"/>
      <c r="L143" s="876"/>
    </row>
    <row r="144" customFormat="false" ht="15.75" hidden="false" customHeight="false" outlineLevel="0" collapsed="false">
      <c r="A144" s="2731" t="s">
        <v>1126</v>
      </c>
      <c r="B144" s="2732" t="s">
        <v>15</v>
      </c>
      <c r="C144" s="2733" t="n">
        <f aca="false">IF('Ввод данных'!$A$35=перекрытие!A144,1,0)</f>
        <v>0</v>
      </c>
      <c r="D144" s="2734" t="n">
        <f aca="false">((дома!D1319/перекрытие!J33+1)*(дома!C1319)+(CEILING(дома!C1319/2.5-1,1))*дома!D1319+(пристройка!C34/перекрытие!J32)*пристройка!C33*пристройка!C32*пристройка!D2*пристройка!C26+пристройка!D26*пристройка!D2*пристройка!D32*пристройка!D33*(пристройка!D34/перекрытие!J32)+(пристройка!E34/перекрытие!J32)*пристройка!E33*пристройка!E32*пристройка!D2*пристройка!E26+пристройка!F26*пристройка!D2*пристройка!F32*пристройка!F33*(пристройка!F34/перекрытие!J32))*перекрытие!E33*C144</f>
        <v>0</v>
      </c>
      <c r="E144" s="2734" t="n">
        <f aca="false">'Прайс лист'!G284</f>
        <v>315</v>
      </c>
      <c r="F144" s="2734" t="n">
        <f aca="false">E144*D144</f>
        <v>0</v>
      </c>
      <c r="G144" s="2685"/>
      <c r="H144" s="876"/>
      <c r="I144" s="740"/>
      <c r="J144" s="876"/>
      <c r="K144" s="876"/>
      <c r="L144" s="876"/>
    </row>
    <row r="145" customFormat="false" ht="15.75" hidden="false" customHeight="false" outlineLevel="0" collapsed="false">
      <c r="A145" s="2731" t="s">
        <v>1127</v>
      </c>
      <c r="B145" s="2732" t="s">
        <v>15</v>
      </c>
      <c r="C145" s="2733" t="n">
        <f aca="false">IF('Ввод данных'!$A$35=перекрытие!A145,1,0)</f>
        <v>0</v>
      </c>
      <c r="D145" s="2734" t="n">
        <f aca="false">((дома!D1319/перекрытие!J33+1)*(дома!C1319)+(CEILING(дома!C1319/2.5-1,1))*дома!D1319+(пристройка!C34/перекрытие!J32)*пристройка!C33*пристройка!C32*пристройка!D2*пристройка!C26+пристройка!D26*пристройка!D2*пристройка!D32*пристройка!D33*(пристройка!D34/перекрытие!J32)+(пристройка!E34/перекрытие!J32)*пристройка!E33*пристройка!E32*пристройка!D2*пристройка!E26+пристройка!F26*пристройка!D2*пристройка!F32*пристройка!F33*(пристройка!F34/перекрытие!J32))*перекрытие!E33*C145</f>
        <v>0</v>
      </c>
      <c r="E145" s="2734" t="n">
        <f aca="false">'Прайс лист'!G285</f>
        <v>273</v>
      </c>
      <c r="F145" s="2734" t="n">
        <f aca="false">E145*D145</f>
        <v>0</v>
      </c>
      <c r="G145" s="2685"/>
      <c r="H145" s="876"/>
      <c r="I145" s="740"/>
      <c r="J145" s="876"/>
      <c r="K145" s="876"/>
      <c r="L145" s="876"/>
    </row>
    <row r="146" customFormat="false" ht="15.75" hidden="false" customHeight="false" outlineLevel="0" collapsed="false">
      <c r="A146" s="2731" t="s">
        <v>1128</v>
      </c>
      <c r="B146" s="2732" t="s">
        <v>15</v>
      </c>
      <c r="C146" s="2733" t="n">
        <f aca="false">IF('Ввод данных'!$A$35=перекрытие!A146,1,0)</f>
        <v>0</v>
      </c>
      <c r="D146" s="2734" t="n">
        <f aca="false">((дома!D1319/перекрытие!J33+1)*(дома!C1319)+(CEILING(дома!C1319/2.5-1,1))*дома!D1319+(пристройка!C34/перекрытие!J32)*пристройка!C33*пристройка!C32*пристройка!D2*пристройка!C26+пристройка!D26*пристройка!D2*пристройка!D32*пристройка!D33*(пристройка!D34/перекрытие!J32)+(пристройка!E34/перекрытие!J32)*пристройка!E33*пристройка!E32*пристройка!D2*пристройка!E26+пристройка!F26*пристройка!D2*пристройка!F32*пристройка!F33*(пристройка!F34/перекрытие!J32))*перекрытие!E33*C146</f>
        <v>0</v>
      </c>
      <c r="E146" s="2734" t="n">
        <f aca="false">'Прайс лист'!G286</f>
        <v>315</v>
      </c>
      <c r="F146" s="2734" t="n">
        <f aca="false">E146*D146</f>
        <v>0</v>
      </c>
      <c r="G146" s="2685"/>
      <c r="H146" s="876"/>
      <c r="I146" s="740"/>
      <c r="J146" s="876"/>
      <c r="K146" s="876"/>
      <c r="L146" s="876"/>
    </row>
    <row r="147" customFormat="false" ht="15.75" hidden="false" customHeight="false" outlineLevel="0" collapsed="false">
      <c r="A147" s="2731" t="s">
        <v>1129</v>
      </c>
      <c r="B147" s="2732" t="s">
        <v>15</v>
      </c>
      <c r="C147" s="2733" t="n">
        <f aca="false">IF('Ввод данных'!$A$35=перекрытие!A147,1,0)</f>
        <v>0</v>
      </c>
      <c r="D147" s="2734" t="n">
        <f aca="false">((дома!D1319/перекрытие!J33+1)*(дома!C1319)+(CEILING(дома!C1319/2.5-1,1))*дома!D1319+(пристройка!C34/перекрытие!J32)*пристройка!C33*пристройка!C32*пристройка!D2*пристройка!C26+пристройка!D26*пристройка!D2*пристройка!D32*пристройка!D33*(пристройка!D34/перекрытие!J32)+(пристройка!E34/перекрытие!J32)*пристройка!E33*пристройка!E32*пристройка!D2*пристройка!E26+пристройка!F26*пристройка!D2*пристройка!F32*пристройка!F33*(пристройка!F34/перекрытие!J32))*перекрытие!E33*C147</f>
        <v>0</v>
      </c>
      <c r="E147" s="2734" t="n">
        <f aca="false">'Прайс лист'!G287</f>
        <v>263</v>
      </c>
      <c r="F147" s="2734" t="n">
        <f aca="false">E147*D147</f>
        <v>0</v>
      </c>
      <c r="G147" s="2685"/>
      <c r="H147" s="876"/>
      <c r="I147" s="740"/>
      <c r="J147" s="876"/>
      <c r="K147" s="876"/>
      <c r="L147" s="876"/>
    </row>
    <row r="148" customFormat="false" ht="15.75" hidden="false" customHeight="false" outlineLevel="0" collapsed="false">
      <c r="A148" s="2731" t="s">
        <v>1130</v>
      </c>
      <c r="B148" s="2732" t="s">
        <v>15</v>
      </c>
      <c r="C148" s="2733" t="n">
        <f aca="false">IF('Ввод данных'!$A$35=перекрытие!A148,1,0)</f>
        <v>0</v>
      </c>
      <c r="D148" s="2734" t="n">
        <f aca="false">((дома!D1319/перекрытие!J33+1)*(дома!C1319)+(CEILING(дома!C1319/2.5-1,1))*дома!D1319+(пристройка!C34/перекрытие!J32)*пристройка!C33*пристройка!C32*пристройка!D2*пристройка!C26+пристройка!D26*пристройка!D2*пристройка!D32*пристройка!D33*(пристройка!D34/перекрытие!J32)+(пристройка!E34/перекрытие!J32)*пристройка!E33*пристройка!E32*пристройка!D2*пристройка!E26+пристройка!F26*пристройка!D2*пристройка!F32*пристройка!F33*(пристройка!F34/перекрытие!J32))*перекрытие!E33*C148</f>
        <v>0</v>
      </c>
      <c r="E148" s="2734" t="n">
        <f aca="false">'Прайс лист'!G288</f>
        <v>291</v>
      </c>
      <c r="F148" s="2734" t="n">
        <f aca="false">E148*D148</f>
        <v>0</v>
      </c>
      <c r="G148" s="2685"/>
      <c r="H148" s="876"/>
      <c r="I148" s="740"/>
      <c r="J148" s="876"/>
      <c r="K148" s="876"/>
      <c r="L148" s="876"/>
    </row>
    <row r="149" customFormat="false" ht="15.75" hidden="false" customHeight="false" outlineLevel="0" collapsed="false">
      <c r="A149" s="2731" t="s">
        <v>1131</v>
      </c>
      <c r="B149" s="2732" t="s">
        <v>15</v>
      </c>
      <c r="C149" s="2733" t="n">
        <f aca="false">IF('Ввод данных'!$A$35=перекрытие!A149,1,0)</f>
        <v>0</v>
      </c>
      <c r="D149" s="2734" t="n">
        <f aca="false">((дома!D1319/перекрытие!J33+1)*(дома!C1319)+(CEILING(дома!C1319/2.5-1,1))*дома!D1319+(пристройка!C34/перекрытие!J32)*пристройка!C33*пристройка!C32*пристройка!D2*пристройка!C26+пристройка!D26*пристройка!D2*пристройка!D32*пристройка!D33*(пристройка!D34/перекрытие!J32)+(пристройка!E34/перекрытие!J32)*пристройка!E33*пристройка!E32*пристройка!D2*пристройка!E26+пристройка!F26*пристройка!D2*пристройка!F32*пристройка!F33*(пристройка!F34/перекрытие!J32))*перекрытие!E33*C149</f>
        <v>0</v>
      </c>
      <c r="E149" s="2734" t="n">
        <f aca="false">'Прайс лист'!G289</f>
        <v>250</v>
      </c>
      <c r="F149" s="2734" t="n">
        <f aca="false">E149*D149</f>
        <v>0</v>
      </c>
      <c r="G149" s="2685"/>
      <c r="H149" s="876"/>
      <c r="I149" s="740"/>
      <c r="J149" s="876"/>
      <c r="K149" s="876"/>
      <c r="L149" s="876"/>
    </row>
    <row r="150" customFormat="false" ht="15.75" hidden="false" customHeight="false" outlineLevel="0" collapsed="false">
      <c r="A150" s="2731" t="s">
        <v>1132</v>
      </c>
      <c r="B150" s="2732" t="s">
        <v>15</v>
      </c>
      <c r="C150" s="2733" t="n">
        <f aca="false">IF('Ввод данных'!$A$35=перекрытие!A150,1,0)</f>
        <v>0</v>
      </c>
      <c r="D150" s="2734" t="n">
        <f aca="false">((дома!D1319/перекрытие!J33+1)*(дома!C1319)+(CEILING(дома!C1319/2.5-1,1))*дома!D1319+(пристройка!C34/перекрытие!J32)*пристройка!C33*пристройка!C32*пристройка!D2*пристройка!C26+пристройка!D26*пристройка!D2*пристройка!D32*пристройка!D33*(пристройка!D34/перекрытие!J32)+(пристройка!E34/перекрытие!J32)*пристройка!E33*пристройка!E32*пристройка!D2*пристройка!E26+пристройка!F26*пристройка!D2*пристройка!F32*пристройка!F33*(пристройка!F34/перекрытие!J32))*перекрытие!E33*C150</f>
        <v>0</v>
      </c>
      <c r="E150" s="2734" t="n">
        <f aca="false">'Прайс лист'!G290</f>
        <v>280</v>
      </c>
      <c r="F150" s="2734" t="n">
        <f aca="false">E150*D150</f>
        <v>0</v>
      </c>
      <c r="G150" s="2685"/>
      <c r="H150" s="876"/>
      <c r="I150" s="740"/>
      <c r="J150" s="876"/>
      <c r="K150" s="876"/>
      <c r="L150" s="876"/>
    </row>
    <row r="151" customFormat="false" ht="15.75" hidden="false" customHeight="false" outlineLevel="0" collapsed="false">
      <c r="A151" s="2731" t="s">
        <v>1133</v>
      </c>
      <c r="B151" s="2732" t="s">
        <v>15</v>
      </c>
      <c r="C151" s="2733" t="n">
        <f aca="false">IF('Ввод данных'!$A$35=перекрытие!A151,1,0)</f>
        <v>0</v>
      </c>
      <c r="D151" s="2734" t="n">
        <f aca="false">((дома!D1319/перекрытие!J33+1)*(дома!C1319)+(CEILING(дома!C1319/2.5-1,1))*дома!D1319+(пристройка!C34/перекрытие!J32)*пристройка!C33*пристройка!C32*пристройка!D2*пристройка!C26+пристройка!D26*пристройка!D2*пристройка!D32*пристройка!D33*(пристройка!D34/перекрытие!J32)+(пристройка!E34/перекрытие!J32)*пристройка!E33*пристройка!E32*пристройка!D2*пристройка!E26+пристройка!F26*пристройка!D2*пристройка!F32*пристройка!F33*(пристройка!F34/перекрытие!J32))*перекрытие!E33*C151</f>
        <v>0</v>
      </c>
      <c r="E151" s="2734" t="n">
        <f aca="false">'Прайс лист'!G291</f>
        <v>220</v>
      </c>
      <c r="F151" s="2734" t="n">
        <f aca="false">E151*D151</f>
        <v>0</v>
      </c>
      <c r="G151" s="2685"/>
      <c r="H151" s="876"/>
      <c r="I151" s="740"/>
      <c r="J151" s="876"/>
      <c r="K151" s="876"/>
      <c r="L151" s="876"/>
    </row>
    <row r="152" customFormat="false" ht="15.75" hidden="false" customHeight="false" outlineLevel="0" collapsed="false">
      <c r="A152" s="2731" t="s">
        <v>1134</v>
      </c>
      <c r="B152" s="2732" t="s">
        <v>15</v>
      </c>
      <c r="C152" s="2733" t="n">
        <f aca="false">IF('Ввод данных'!$A$35=перекрытие!A152,1,0)</f>
        <v>0</v>
      </c>
      <c r="D152" s="2734" t="n">
        <f aca="false">((дома!D1319/перекрытие!J33+1)*(дома!C1319)+(CEILING(дома!C1319/2.5-1,1))*дома!D1319+(пристройка!C34/перекрытие!J32)*пристройка!C33*пристройка!C32*пристройка!D2*пристройка!C26+пристройка!D26*пристройка!D2*пристройка!D32*пристройка!D33*(пристройка!D34/перекрытие!J32)+(пристройка!E34/перекрытие!J32)*пристройка!E33*пристройка!E32*пристройка!D2*пристройка!E26+пристройка!F26*пристройка!D2*пристройка!F32*пристройка!F33*(пристройка!F34/перекрытие!J32))*перекрытие!E33*C152</f>
        <v>0</v>
      </c>
      <c r="E152" s="2734" t="n">
        <f aca="false">'Прайс лист'!G292</f>
        <v>250</v>
      </c>
      <c r="F152" s="2734" t="n">
        <f aca="false">E152*D152</f>
        <v>0</v>
      </c>
      <c r="G152" s="2685"/>
      <c r="H152" s="876"/>
      <c r="I152" s="740"/>
      <c r="J152" s="876"/>
      <c r="K152" s="876"/>
      <c r="L152" s="876"/>
    </row>
    <row r="153" customFormat="false" ht="15.75" hidden="false" customHeight="false" outlineLevel="0" collapsed="false">
      <c r="A153" s="832" t="str">
        <f aca="false">'Прайс лист'!B693</f>
        <v>Уголок усиленный 90х70х55х2,5        </v>
      </c>
      <c r="B153" s="891" t="s">
        <v>48</v>
      </c>
      <c r="C153" s="762"/>
      <c r="D153" s="704" t="n">
        <f aca="false">CEILING(((IF(G33=0.8,1.6,0)+IF(G33=0.7,2,0)+IF(G33=0.6,2.44,0)+IF(G33=0.5,3.25,0)+IF(G33=0.4,3.67,0)+IF(G33=0.3,4.1,0))*D33*E33),1)</f>
        <v>0</v>
      </c>
      <c r="E153" s="704" t="n">
        <f aca="false">'Прайс лист'!G693</f>
        <v>30</v>
      </c>
      <c r="F153" s="2734" t="n">
        <f aca="false">E153*D153*SUM(C141:C152)</f>
        <v>0</v>
      </c>
      <c r="G153" s="2685"/>
      <c r="H153" s="876"/>
      <c r="I153" s="740"/>
      <c r="J153" s="876"/>
      <c r="K153" s="876"/>
      <c r="L153" s="876"/>
    </row>
    <row r="154" customFormat="false" ht="15.75" hidden="false" customHeight="false" outlineLevel="0" collapsed="false">
      <c r="A154" s="832" t="str">
        <f aca="false">'Прайс лист'!B727</f>
        <v>Саморезы 3,5 x 55            </v>
      </c>
      <c r="B154" s="891" t="s">
        <v>48</v>
      </c>
      <c r="C154" s="762"/>
      <c r="D154" s="704" t="n">
        <f aca="false">D153*4</f>
        <v>0</v>
      </c>
      <c r="E154" s="704" t="n">
        <f aca="false">'Прайс лист'!F727</f>
        <v>0.3</v>
      </c>
      <c r="F154" s="2734" t="n">
        <f aca="false">E154*D154*SUM(C141:C152)</f>
        <v>0</v>
      </c>
      <c r="G154" s="2685"/>
      <c r="H154" s="876"/>
      <c r="I154" s="740"/>
      <c r="J154" s="876"/>
      <c r="K154" s="876"/>
      <c r="L154" s="876"/>
    </row>
    <row r="155" customFormat="false" ht="15.75" hidden="false" customHeight="false" outlineLevel="0" collapsed="false">
      <c r="A155" s="649" t="str">
        <f aca="false">'Ввод данных'!A37</f>
        <v>Пенопласт ПСБ-С-35, 100мм</v>
      </c>
      <c r="B155" s="891" t="s">
        <v>1043</v>
      </c>
      <c r="C155" s="649" t="n">
        <f aca="false">IF(A155='Прайс лист'!B600,0,1)</f>
        <v>1</v>
      </c>
      <c r="D155" s="649" t="n">
        <f aca="false">дома!F1087*VLOOKUP(A155,'Прайс лист'!B600:G638,3,0)</f>
        <v>6.4</v>
      </c>
      <c r="E155" s="649" t="n">
        <f aca="false">VLOOKUP(A155,'Прайс лист'!B600:G638,6,0)</f>
        <v>3400</v>
      </c>
      <c r="F155" s="649" t="n">
        <f aca="false">D155*E155</f>
        <v>21760</v>
      </c>
      <c r="G155" s="2685"/>
      <c r="H155" s="876"/>
      <c r="I155" s="740"/>
      <c r="J155" s="876"/>
      <c r="K155" s="876"/>
      <c r="L155" s="876"/>
    </row>
    <row r="156" customFormat="false" ht="15.75" hidden="false" customHeight="false" outlineLevel="0" collapsed="false">
      <c r="A156" s="649" t="str">
        <f aca="false">'Ввод данных'!A138</f>
        <v>нет ветроизоляции</v>
      </c>
      <c r="B156" s="891" t="s">
        <v>820</v>
      </c>
      <c r="C156" s="649" t="n">
        <f aca="false">IF(A156='Прайс лист'!B649,0,1)</f>
        <v>0</v>
      </c>
      <c r="D156" s="649" t="n">
        <f aca="false">дома!F1087</f>
        <v>64</v>
      </c>
      <c r="E156" s="649" t="n">
        <f aca="false">VLOOKUP(A156,'Прайс лист'!B649:G675,6,0)</f>
        <v>0</v>
      </c>
      <c r="F156" s="649" t="n">
        <f aca="false">D156*E156</f>
        <v>0</v>
      </c>
      <c r="G156" s="2685"/>
      <c r="H156" s="876"/>
      <c r="I156" s="740"/>
      <c r="J156" s="876"/>
      <c r="K156" s="876"/>
      <c r="L156" s="876"/>
    </row>
    <row r="157" customFormat="false" ht="15.75" hidden="false" customHeight="false" outlineLevel="0" collapsed="false">
      <c r="A157" s="649" t="str">
        <f aca="false">'Ввод данных'!A139</f>
        <v>нет пароизоляции</v>
      </c>
      <c r="B157" s="891" t="s">
        <v>820</v>
      </c>
      <c r="C157" s="649" t="n">
        <f aca="false">IF(A157='Прайс лист'!B676,0,1)</f>
        <v>0</v>
      </c>
      <c r="D157" s="649" t="n">
        <f aca="false">дома!F1087</f>
        <v>64</v>
      </c>
      <c r="E157" s="649" t="n">
        <f aca="false">VLOOKUP(A157,'Прайс лист'!B676:G687,6,0)</f>
        <v>0</v>
      </c>
      <c r="F157" s="649" t="n">
        <f aca="false">D157*E157</f>
        <v>0</v>
      </c>
      <c r="G157" s="2685"/>
      <c r="H157" s="876"/>
      <c r="I157" s="740"/>
      <c r="J157" s="876"/>
      <c r="K157" s="876"/>
      <c r="L157" s="876"/>
    </row>
    <row r="158" s="2674" customFormat="true" ht="15.75" hidden="false" customHeight="false" outlineLevel="0" collapsed="false">
      <c r="G158" s="2685"/>
      <c r="H158" s="876"/>
      <c r="I158" s="740"/>
      <c r="J158" s="876"/>
      <c r="K158" s="876"/>
      <c r="L158" s="876"/>
    </row>
    <row r="159" s="2674" customFormat="true" ht="15.75" hidden="false" customHeight="false" outlineLevel="0" collapsed="false">
      <c r="G159" s="2685"/>
      <c r="H159" s="876"/>
      <c r="I159" s="740"/>
      <c r="J159" s="876"/>
      <c r="K159" s="876"/>
      <c r="L159" s="876"/>
    </row>
    <row r="160" customFormat="false" ht="15.75" hidden="false" customHeight="false" outlineLevel="0" collapsed="false">
      <c r="A160" s="738" t="s">
        <v>4113</v>
      </c>
      <c r="B160" s="739" t="s">
        <v>820</v>
      </c>
      <c r="C160" s="649"/>
      <c r="D160" s="740" t="n">
        <f aca="false">(IF(AND('Ввод данных'!A17=связи1!A98,связи1!H91=связи1!A2),дома!C1191*перекрытие!E5,0)+IF(AND('Ввод данных'!A17=связи1!A98,связи1!H95=связи1!A2),дома!J1191*перекрытие!E5,0)+IF('Ввод данных'!A17=связи1!A95,дома!F1090*перекрытие!E5,0))</f>
        <v>0</v>
      </c>
      <c r="E160" s="740" t="n">
        <f aca="false">'Прайс лист'!G173</f>
        <v>1400</v>
      </c>
      <c r="F160" s="740" t="n">
        <f aca="false">D160*E160</f>
        <v>0</v>
      </c>
      <c r="G160" s="2685"/>
      <c r="K160" s="876"/>
      <c r="L160" s="876"/>
    </row>
    <row r="161" customFormat="false" ht="15.75" hidden="false" customHeight="false" outlineLevel="0" collapsed="false">
      <c r="A161" s="738" t="str">
        <f aca="false">A43</f>
        <v>Раствор, м250</v>
      </c>
      <c r="B161" s="739" t="s">
        <v>1043</v>
      </c>
      <c r="C161" s="649"/>
      <c r="D161" s="740" t="n">
        <f aca="false">(('Ввод данных'!C9+'Ввод данных'!C9)*0.2*0.15+'Ввод данных'!C9+'Ввод данных'!C9+'Ввод данных'!C10+'Ввод данных'!C10+'Ввод данных'!C202*'Ввод данных'!D202+'Ввод данных'!C203*'Ввод данных'!D203+'Ввод данных'!C204*'Ввод данных'!D204+'Ввод данных'!C205*'Ввод данных'!D205+'Ввод данных'!C210*'Ввод данных'!D210+'Ввод данных'!C211*'Ввод данных'!D211+'Ввод данных'!C212*'Ввод данных'!D212+'Ввод данных'!C213*'Ввод данных'!D213)*0.2*0.02*E5</f>
        <v>0</v>
      </c>
      <c r="E161" s="740" t="n">
        <f aca="false">'Прайс лист'!G242</f>
        <v>2500</v>
      </c>
      <c r="F161" s="740" t="n">
        <f aca="false">D161*E161</f>
        <v>0</v>
      </c>
      <c r="G161" s="2685"/>
      <c r="K161" s="876"/>
      <c r="L161" s="876"/>
    </row>
    <row r="162" customFormat="false" ht="15.75" hidden="false" customHeight="false" outlineLevel="0" collapsed="false">
      <c r="A162" s="2735" t="s">
        <v>2496</v>
      </c>
      <c r="B162" s="2736" t="s">
        <v>820</v>
      </c>
      <c r="C162" s="2736" t="n">
        <f aca="false">IF('Ввод данных'!A40=связи1!A212,1,0)</f>
        <v>0</v>
      </c>
      <c r="D162" s="2737" t="n">
        <f aca="false">(IF(AND('Ввод данных'!A17=связи1!A98,связи1!H91=связи1!A2),(дома!C1189*дома!C1115+дома!L1115*дома!L1189+дома!J98)*перекрытие!E10,0)+IF(AND('Ввод данных'!A17=связи1!A98,связи1!H95=связи1!A2),(дома!C1189*дома!C1115+дома!L1115*дома!L1189+дома!J98)*перекрытие!E10,0)+IF('Ввод данных'!A17=связи1!A95,(дома!C1189*дома!C1115+дома!L1115*дома!L1189+дома!J98)*перекрытие!E10,0))*C162</f>
        <v>0</v>
      </c>
      <c r="E162" s="2737" t="n">
        <v>1</v>
      </c>
      <c r="F162" s="2737" t="n">
        <f aca="false">D162*E162</f>
        <v>0</v>
      </c>
      <c r="G162" s="2685"/>
      <c r="K162" s="876"/>
      <c r="L162" s="876"/>
    </row>
    <row r="163" customFormat="false" ht="15.75" hidden="false" customHeight="false" outlineLevel="0" collapsed="false">
      <c r="A163" s="2735" t="s">
        <v>2497</v>
      </c>
      <c r="B163" s="2736" t="s">
        <v>820</v>
      </c>
      <c r="C163" s="2736" t="n">
        <f aca="false">IF('Ввод данных'!A40=связи1!A213,1,0)</f>
        <v>0</v>
      </c>
      <c r="D163" s="2737" t="n">
        <f aca="false">(IF(AND('Ввод данных'!A17=связи1!A98,связи1!H91=связи1!A2),(дома!C1189*дома!C1115+дома!L1115*дома!L1189+дома!J98)*перекрытие!E10,0)+IF(AND('Ввод данных'!A17=связи1!A98,связи1!H95=связи1!A2),(дома!C1189*дома!C1115+дома!L1115*дома!L1189+дома!J98)*перекрытие!E10,0)+IF('Ввод данных'!A17=связи1!A95,(дома!C1189*дома!C1115+дома!L1115*дома!L1189+дома!J98)*перекрытие!E10,0))*C163</f>
        <v>0</v>
      </c>
      <c r="E163" s="2737" t="n">
        <v>1</v>
      </c>
      <c r="F163" s="2737" t="n">
        <f aca="false">D163*E163</f>
        <v>0</v>
      </c>
      <c r="G163" s="2685"/>
      <c r="K163" s="876"/>
      <c r="L163" s="876"/>
    </row>
    <row r="164" customFormat="false" ht="15.75" hidden="false" customHeight="false" outlineLevel="0" collapsed="false">
      <c r="A164" s="2735" t="s">
        <v>2498</v>
      </c>
      <c r="B164" s="2736" t="s">
        <v>820</v>
      </c>
      <c r="C164" s="2736" t="n">
        <f aca="false">IF('Ввод данных'!A40=связи1!A214,1,0)</f>
        <v>0</v>
      </c>
      <c r="D164" s="2737" t="n">
        <f aca="false">(IF(AND('Ввод данных'!A17=связи1!A98,связи1!H91=связи1!A2),(дома!C1189*дома!C1115+дома!L1115*дома!L1189+дома!J98)*перекрытие!E10,0)+IF(AND('Ввод данных'!A17=связи1!A98,связи1!H95=связи1!A2),(дома!C1189*дома!C1115+дома!L1115*дома!L1189+дома!J98)*перекрытие!E10,0)+IF('Ввод данных'!A17=связи1!A95,(дома!C1189*дома!C1115+дома!L1115*дома!L1189+дома!J98)*перекрытие!E10,0))*C164</f>
        <v>0</v>
      </c>
      <c r="E164" s="2737" t="n">
        <v>1</v>
      </c>
      <c r="F164" s="2737" t="n">
        <f aca="false">D164*E164</f>
        <v>0</v>
      </c>
      <c r="G164" s="2685"/>
      <c r="K164" s="876"/>
      <c r="L164" s="876"/>
    </row>
    <row r="165" customFormat="false" ht="15.75" hidden="false" customHeight="false" outlineLevel="0" collapsed="false">
      <c r="A165" s="2735" t="s">
        <v>2499</v>
      </c>
      <c r="B165" s="2736" t="s">
        <v>820</v>
      </c>
      <c r="C165" s="2736" t="n">
        <f aca="false">IF('Ввод данных'!A40=связи1!A215,1,0)</f>
        <v>0</v>
      </c>
      <c r="D165" s="2737" t="n">
        <f aca="false">(IF(AND('Ввод данных'!A17=связи1!A98,связи1!H91=связи1!A2),(дома!C1189*дома!C1115+дома!L1115*дома!L1189+дома!J98)*перекрытие!E10,0)+IF(AND('Ввод данных'!A17=связи1!A98,связи1!H95=связи1!A2),(дома!C1189*дома!C1115+дома!L1115*дома!L1189+дома!J98)*перекрытие!E10,0)+IF('Ввод данных'!A17=связи1!A95,(дома!C1189*дома!C1115+дома!L1115*дома!L1189+дома!J98)*перекрытие!E10,0))*C165</f>
        <v>0</v>
      </c>
      <c r="E165" s="2737" t="n">
        <v>1</v>
      </c>
      <c r="F165" s="2737" t="n">
        <f aca="false">D165*E165</f>
        <v>0</v>
      </c>
      <c r="G165" s="2685"/>
      <c r="K165" s="876"/>
      <c r="L165" s="876"/>
    </row>
    <row r="166" customFormat="false" ht="15.75" hidden="false" customHeight="false" outlineLevel="0" collapsed="false">
      <c r="A166" s="2735" t="s">
        <v>38</v>
      </c>
      <c r="B166" s="2736" t="s">
        <v>820</v>
      </c>
      <c r="C166" s="2736" t="n">
        <f aca="false">IF('Ввод данных'!A40=связи1!A216,1,0)</f>
        <v>0</v>
      </c>
      <c r="D166" s="2737" t="n">
        <f aca="false">(IF(AND('Ввод данных'!A17=связи1!A98,связи1!H91=связи1!A2),(дома!C1189*дома!C1115+дома!L1115*дома!L1189+дома!J98)*перекрытие!E10,0)+IF(AND('Ввод данных'!A17=связи1!A98,связи1!H95=связи1!A2),(дома!C1189*дома!C1115+дома!L1115*дома!L1189+дома!J98)*перекрытие!E10,0)+IF('Ввод данных'!A17=связи1!A95,(дома!C1189*дома!C1115+дома!L1115*дома!L1189+дома!J98)*перекрытие!E10,0))*C166</f>
        <v>0</v>
      </c>
      <c r="E166" s="2737" t="n">
        <v>1</v>
      </c>
      <c r="F166" s="2737" t="n">
        <f aca="false">D166*E166</f>
        <v>0</v>
      </c>
      <c r="G166" s="2685"/>
      <c r="H166" s="876"/>
      <c r="I166" s="740"/>
      <c r="J166" s="876"/>
      <c r="K166" s="876"/>
      <c r="L166" s="876"/>
    </row>
    <row r="167" customFormat="false" ht="15.75" hidden="false" customHeight="false" outlineLevel="0" collapsed="false">
      <c r="A167" s="2735" t="s">
        <v>2500</v>
      </c>
      <c r="B167" s="2736" t="s">
        <v>820</v>
      </c>
      <c r="C167" s="2736" t="n">
        <f aca="false">IF('Ввод данных'!A40=связи1!A217,1,0)</f>
        <v>0</v>
      </c>
      <c r="D167" s="2737" t="n">
        <f aca="false">(IF(AND('Ввод данных'!A17=связи1!A98,связи1!H91=связи1!A2),(дома!C1189*дома!C1115+дома!L1115*дома!L1189+дома!J98)*перекрытие!E10,0)+IF(AND('Ввод данных'!A17=связи1!A98,связи1!H95=связи1!A2),(дома!C1189*дома!C1115+дома!L1115*дома!L1189+дома!J98)*перекрытие!E10,0)+IF('Ввод данных'!A17=связи1!A95,(дома!C1189*дома!C1115+дома!L1115*дома!L1189+дома!J98)*перекрытие!E10,0))*C167</f>
        <v>0</v>
      </c>
      <c r="E167" s="2737" t="n">
        <v>1</v>
      </c>
      <c r="F167" s="2737" t="n">
        <f aca="false">D167*E167</f>
        <v>0</v>
      </c>
      <c r="G167" s="2685"/>
      <c r="H167" s="876"/>
      <c r="I167" s="740"/>
      <c r="J167" s="876"/>
      <c r="K167" s="876"/>
      <c r="L167" s="876"/>
    </row>
    <row r="168" customFormat="false" ht="15.75" hidden="false" customHeight="false" outlineLevel="0" collapsed="false">
      <c r="A168" s="2735" t="s">
        <v>2501</v>
      </c>
      <c r="B168" s="2736" t="s">
        <v>820</v>
      </c>
      <c r="C168" s="2736" t="n">
        <f aca="false">IF('Ввод данных'!A40=связи1!A218,1,0)</f>
        <v>0</v>
      </c>
      <c r="D168" s="2737" t="n">
        <f aca="false">(IF(AND('Ввод данных'!A17=связи1!A98,связи1!H91=связи1!A2),(дома!C1189*дома!C1115+дома!L1115*дома!L1189+дома!J98)*перекрытие!E10,0)+IF(AND('Ввод данных'!A17=связи1!A98,связи1!H95=связи1!A2),(дома!C1189*дома!C1115+дома!L1115*дома!L1189+дома!J98)*перекрытие!E10,0)+IF('Ввод данных'!A17=связи1!A95,(дома!C1189*дома!C1115+дома!L1115*дома!L1189+дома!J98)*перекрытие!E10,0))*C168</f>
        <v>0</v>
      </c>
      <c r="E168" s="2737" t="n">
        <v>1</v>
      </c>
      <c r="F168" s="2737" t="n">
        <f aca="false">D168*E168</f>
        <v>0</v>
      </c>
      <c r="G168" s="2685"/>
      <c r="H168" s="876"/>
      <c r="I168" s="740"/>
      <c r="J168" s="876"/>
      <c r="K168" s="876"/>
      <c r="L168" s="876"/>
    </row>
    <row r="169" customFormat="false" ht="15.75" hidden="false" customHeight="false" outlineLevel="0" collapsed="false">
      <c r="A169" s="2735" t="s">
        <v>2502</v>
      </c>
      <c r="B169" s="2736" t="s">
        <v>820</v>
      </c>
      <c r="C169" s="2736" t="n">
        <f aca="false">IF('Ввод данных'!A40=связи1!A219,1,0)</f>
        <v>0</v>
      </c>
      <c r="D169" s="2737" t="n">
        <f aca="false">(IF(AND('Ввод данных'!A17=связи1!A98,связи1!H91=связи1!A2),(дома!C1189*дома!C1115+дома!L1115*дома!L1189+дома!J98)*перекрытие!E10,0)+IF(AND('Ввод данных'!A17=связи1!A98,связи1!H95=связи1!A2),(дома!C1189*дома!C1115+дома!L1115*дома!L1189+дома!J98)*перекрытие!E10,0)+IF('Ввод данных'!A17=связи1!A95,(дома!C1189*дома!C1115+дома!L1115*дома!L1189+дома!J98)*перекрытие!E10,0))*C169</f>
        <v>0</v>
      </c>
      <c r="E169" s="2737" t="n">
        <v>1</v>
      </c>
      <c r="F169" s="2737" t="n">
        <f aca="false">D169*E169</f>
        <v>0</v>
      </c>
      <c r="G169" s="2685"/>
      <c r="H169" s="876"/>
      <c r="I169" s="740"/>
      <c r="J169" s="876"/>
      <c r="K169" s="876"/>
      <c r="L169" s="876"/>
    </row>
    <row r="170" customFormat="false" ht="15.75" hidden="false" customHeight="false" outlineLevel="0" collapsed="false">
      <c r="A170" s="2738" t="s">
        <v>4111</v>
      </c>
      <c r="B170" s="2720" t="s">
        <v>1043</v>
      </c>
      <c r="C170" s="649"/>
      <c r="D170" s="650" t="n">
        <f aca="false">((D10/5+5*2)*перекрытие!E10*перекрытие!F10*2+D10*E10*1.1)*0.05*1.1</f>
        <v>0</v>
      </c>
      <c r="E170" s="650" t="n">
        <f aca="false">'Прайс лист'!G298</f>
        <v>6500</v>
      </c>
      <c r="F170" s="2737" t="n">
        <f aca="false">D170*E170</f>
        <v>0</v>
      </c>
      <c r="G170" s="2685"/>
      <c r="H170" s="876"/>
      <c r="I170" s="740"/>
      <c r="J170" s="876"/>
      <c r="K170" s="876"/>
      <c r="L170" s="876"/>
    </row>
    <row r="171" customFormat="false" ht="15.75" hidden="false" customHeight="false" outlineLevel="0" collapsed="false">
      <c r="A171" s="738" t="s">
        <v>4091</v>
      </c>
      <c r="B171" s="739" t="s">
        <v>48</v>
      </c>
      <c r="C171" s="649"/>
      <c r="D171" s="650" t="n">
        <f aca="false">SUM(D162:D169)</f>
        <v>0</v>
      </c>
      <c r="E171" s="704" t="n">
        <v>0</v>
      </c>
      <c r="F171" s="2737" t="n">
        <f aca="false">D171*E171</f>
        <v>0</v>
      </c>
      <c r="G171" s="2685"/>
      <c r="H171" s="876"/>
      <c r="I171" s="740"/>
      <c r="J171" s="876"/>
      <c r="K171" s="876"/>
      <c r="L171" s="876"/>
    </row>
    <row r="172" customFormat="false" ht="15.75" hidden="false" customHeight="false" outlineLevel="0" collapsed="false">
      <c r="A172" s="738" t="str">
        <f aca="false">A54</f>
        <v>Пленка гидроизоляционная </v>
      </c>
      <c r="B172" s="739" t="s">
        <v>820</v>
      </c>
      <c r="C172" s="649"/>
      <c r="D172" s="650" t="n">
        <f aca="false">(перекрытие!D10*перекрытие!E10*1.3)</f>
        <v>0</v>
      </c>
      <c r="E172" s="704" t="n">
        <f aca="false">E54</f>
        <v>15</v>
      </c>
      <c r="F172" s="2737" t="n">
        <f aca="false">D172*E172</f>
        <v>0</v>
      </c>
      <c r="G172" s="2685"/>
      <c r="H172" s="876"/>
      <c r="I172" s="740"/>
      <c r="J172" s="876"/>
      <c r="K172" s="876"/>
      <c r="L172" s="876"/>
    </row>
    <row r="173" customFormat="false" ht="15.75" hidden="false" customHeight="false" outlineLevel="0" collapsed="false">
      <c r="A173" s="738" t="str">
        <f aca="false">'Ввод данных'!D142</f>
        <v>Арматура М12</v>
      </c>
      <c r="B173" s="739" t="s">
        <v>15</v>
      </c>
      <c r="C173" s="649"/>
      <c r="D173" s="650" t="n">
        <f aca="false">(1/перекрытие!J10*перекрытие!E10*перекрытие!H10*перекрытие!D10)</f>
        <v>0</v>
      </c>
      <c r="E173" s="704" t="n">
        <f aca="false">VLOOKUP(A173,связи1!A398:B404,2,0)</f>
        <v>29.2152</v>
      </c>
      <c r="F173" s="2737" t="n">
        <f aca="false">D173*E173</f>
        <v>0</v>
      </c>
      <c r="G173" s="2685"/>
      <c r="H173" s="876"/>
      <c r="I173" s="740"/>
      <c r="J173" s="876"/>
      <c r="K173" s="876"/>
      <c r="L173" s="876"/>
    </row>
    <row r="174" customFormat="false" ht="15.75" hidden="false" customHeight="false" outlineLevel="0" collapsed="false">
      <c r="A174" s="738" t="str">
        <f aca="false">'Прайс лист'!B224</f>
        <v>Вязальная проволока</v>
      </c>
      <c r="B174" s="739" t="s">
        <v>434</v>
      </c>
      <c r="C174" s="649"/>
      <c r="D174" s="650" t="n">
        <f aca="false">D173/40</f>
        <v>0</v>
      </c>
      <c r="E174" s="704" t="n">
        <f aca="false">'Прайс лист'!G224</f>
        <v>80</v>
      </c>
      <c r="F174" s="2737" t="n">
        <f aca="false">D174*E174</f>
        <v>0</v>
      </c>
      <c r="G174" s="2685"/>
      <c r="H174" s="876"/>
      <c r="I174" s="740"/>
      <c r="J174" s="876"/>
      <c r="K174" s="876"/>
      <c r="L174" s="876"/>
    </row>
    <row r="175" customFormat="false" ht="15.75" hidden="false" customHeight="false" outlineLevel="0" collapsed="false">
      <c r="A175" s="738" t="str">
        <f aca="false">A57</f>
        <v>Подставка под арматурный каркас</v>
      </c>
      <c r="B175" s="739" t="s">
        <v>48</v>
      </c>
      <c r="C175" s="649"/>
      <c r="D175" s="650" t="n">
        <f aca="false">(перекрытие!D10*перекрытие!E10)*4</f>
        <v>0</v>
      </c>
      <c r="E175" s="704" t="n">
        <f aca="false">E57</f>
        <v>5</v>
      </c>
      <c r="F175" s="2737" t="n">
        <f aca="false">D175*E175</f>
        <v>0</v>
      </c>
      <c r="G175" s="2685"/>
      <c r="H175" s="876"/>
      <c r="I175" s="740"/>
      <c r="J175" s="876"/>
      <c r="K175" s="876"/>
      <c r="L175" s="876"/>
    </row>
    <row r="176" customFormat="false" ht="15.75" hidden="false" customHeight="false" outlineLevel="0" collapsed="false">
      <c r="A176" s="738" t="s">
        <v>4112</v>
      </c>
      <c r="B176" s="739" t="s">
        <v>1043</v>
      </c>
      <c r="C176" s="649"/>
      <c r="D176" s="650" t="n">
        <f aca="false">(перекрытие!D10*перекрытие!E10*перекрытие!F10)</f>
        <v>0</v>
      </c>
      <c r="E176" s="650" t="n">
        <f aca="false">'Прайс лист'!G240</f>
        <v>3500</v>
      </c>
      <c r="F176" s="2737" t="n">
        <f aca="false">D176*E176</f>
        <v>0</v>
      </c>
      <c r="G176" s="2685"/>
      <c r="H176" s="876"/>
      <c r="I176" s="740"/>
      <c r="J176" s="876"/>
      <c r="K176" s="876"/>
      <c r="L176" s="876"/>
    </row>
    <row r="177" customFormat="false" ht="15.75" hidden="false" customHeight="false" outlineLevel="0" collapsed="false">
      <c r="A177" s="2739" t="s">
        <v>2493</v>
      </c>
      <c r="B177" s="2670" t="s">
        <v>1043</v>
      </c>
      <c r="C177" s="2670" t="n">
        <f aca="false">IF('Ввод данных'!A40=связи1!A202,1,0)</f>
        <v>0</v>
      </c>
      <c r="D177" s="2740" t="n">
        <f aca="false">(IF(AND('Ввод данных'!A17=связи1!A98,связи1!H91=связи1!A2),((дома!C1191/перекрытие!J16+1)*(дома!C1319)*перекрытие!E16*перекрытие!F16*перекрытие!G16),0)+IF(AND('Ввод данных'!A17=связи1!A98,связи1!H95=связи1!A2),((дома!J1191/перекрытие!J16+1)*(дома!C1319)*перекрытие!E16*перекрытие!F16*перекрытие!G16),0)+IF('Ввод данных'!A17=связи1!A95,((дома!J1191/перекрытие!J16+1)*(дома!C1319)*перекрытие!E16*перекрытие!F16*перекрытие!G16),0)+1/перекрытие!J16*F16*G16*E16*дома!J98)*C177</f>
        <v>0</v>
      </c>
      <c r="E177" s="2740" t="n">
        <f aca="false">связи1!D202</f>
        <v>6500</v>
      </c>
      <c r="F177" s="2740" t="n">
        <f aca="false">D177*E177</f>
        <v>0</v>
      </c>
      <c r="G177" s="2685"/>
      <c r="K177" s="876"/>
      <c r="L177" s="876"/>
    </row>
    <row r="178" customFormat="false" ht="15.75" hidden="false" customHeight="false" outlineLevel="0" collapsed="false">
      <c r="A178" s="2739" t="s">
        <v>2494</v>
      </c>
      <c r="B178" s="2670" t="s">
        <v>1043</v>
      </c>
      <c r="C178" s="2670" t="n">
        <f aca="false">IF('Ввод данных'!A40=связи1!A203,1,0)</f>
        <v>0</v>
      </c>
      <c r="D178" s="2740" t="n">
        <f aca="false">(IF(AND('Ввод данных'!A17=связи1!A98,связи1!H91=связи1!A2),((дома!C1191/перекрытие!J16+1)*(дома!C1319)*перекрытие!E16*перекрытие!F16*перекрытие!G16),0)+IF(AND('Ввод данных'!A17=связи1!A98,связи1!H95=связи1!A2),((дома!J1191/перекрытие!J16+1)*(дома!C1319)*перекрытие!E16*перекрытие!F16*перекрытие!G16),0)+IF('Ввод данных'!A17=связи1!A95,((дома!J1191/перекрытие!J16+1)*(дома!C1319)*перекрытие!E16*перекрытие!F16*перекрытие!G16),0)+1/перекрытие!J16*F16*G16*E16*дома!J98)*C178</f>
        <v>0</v>
      </c>
      <c r="E178" s="2740" t="n">
        <f aca="false">связи1!D203</f>
        <v>6500</v>
      </c>
      <c r="F178" s="2740" t="n">
        <f aca="false">D178*E178</f>
        <v>0</v>
      </c>
      <c r="G178" s="2685"/>
      <c r="K178" s="876"/>
      <c r="L178" s="876"/>
    </row>
    <row r="179" customFormat="false" ht="15.75" hidden="false" customHeight="false" outlineLevel="0" collapsed="false">
      <c r="A179" s="2739" t="s">
        <v>268</v>
      </c>
      <c r="B179" s="2670" t="s">
        <v>1043</v>
      </c>
      <c r="C179" s="2670" t="n">
        <f aca="false">IF('Ввод данных'!A40=связи1!A204,1,0)</f>
        <v>0</v>
      </c>
      <c r="D179" s="2740" t="n">
        <f aca="false">(IF(AND('Ввод данных'!A17=связи1!A98,связи1!H91=связи1!A2),((дома!C1191/перекрытие!J16+1)*(дома!C1319)*перекрытие!E16*перекрытие!F16*перекрытие!G16),0)+IF(AND('Ввод данных'!A17=связи1!A98,связи1!H95=связи1!A2),((дома!J1191/перекрытие!J16+1)*(дома!C1319)*перекрытие!E16*перекрытие!F16*перекрытие!G16),0)+IF('Ввод данных'!A17=связи1!A95,((дома!J1191/перекрытие!J16+1)*(дома!C1319)*перекрытие!E16*перекрытие!F16*перекрытие!G16),0)+1/перекрытие!J16*F16*G16*E16*дома!J98)*C179</f>
        <v>0</v>
      </c>
      <c r="E179" s="2740" t="n">
        <f aca="false">связи1!D204</f>
        <v>6500</v>
      </c>
      <c r="F179" s="2740" t="n">
        <f aca="false">D179*E179</f>
        <v>0</v>
      </c>
      <c r="G179" s="2685"/>
      <c r="K179" s="876"/>
      <c r="L179" s="876"/>
    </row>
    <row r="180" customFormat="false" ht="15.75" hidden="false" customHeight="false" outlineLevel="0" collapsed="false">
      <c r="A180" s="2739" t="s">
        <v>721</v>
      </c>
      <c r="B180" s="2670" t="s">
        <v>1043</v>
      </c>
      <c r="C180" s="2670" t="n">
        <f aca="false">IF('Ввод данных'!A40=связи1!A205,1,0)</f>
        <v>0</v>
      </c>
      <c r="D180" s="2740" t="n">
        <f aca="false">(IF(AND('Ввод данных'!A17=связи1!A98,связи1!H91=связи1!A2),((дома!C1191/перекрытие!J16+1)*(дома!C1319)*перекрытие!E16*перекрытие!F16*перекрытие!G16),0)+IF(AND('Ввод данных'!A17=связи1!A98,связи1!H95=связи1!A2),((дома!J1191/перекрытие!J16+1)*(дома!C1319)*перекрытие!E16*перекрытие!F16*перекрытие!G16),0)+IF('Ввод данных'!A17=связи1!A95,((дома!J1191/перекрытие!J16+1)*(дома!C1319)*перекрытие!E16*перекрытие!F16*перекрытие!G16),0)+1/перекрытие!J16*F16*G16*E16*дома!J98)*C180</f>
        <v>0</v>
      </c>
      <c r="E180" s="2740" t="n">
        <f aca="false">связи1!D205</f>
        <v>6500</v>
      </c>
      <c r="F180" s="2740" t="n">
        <f aca="false">D180*E180</f>
        <v>0</v>
      </c>
      <c r="G180" s="2685"/>
      <c r="K180" s="876"/>
      <c r="L180" s="876"/>
    </row>
    <row r="181" customFormat="false" ht="15.75" hidden="false" customHeight="false" outlineLevel="0" collapsed="false">
      <c r="A181" s="2739" t="s">
        <v>363</v>
      </c>
      <c r="B181" s="2670" t="s">
        <v>1043</v>
      </c>
      <c r="C181" s="2670" t="n">
        <f aca="false">IF('Ввод данных'!A40=связи1!A206,1,0)</f>
        <v>0</v>
      </c>
      <c r="D181" s="2740" t="n">
        <f aca="false">(IF(AND('Ввод данных'!A17=связи1!A98,связи1!H91=связи1!A2),((дома!C1191/перекрытие!J16+1)*(дома!C1319)*перекрытие!E16*перекрытие!F16*перекрытие!G16),0)+IF(AND('Ввод данных'!A17=связи1!A98,связи1!H95=связи1!A2),((дома!J1191/перекрытие!J16+1)*(дома!C1319)*перекрытие!E16*перекрытие!F16*перекрытие!G16),0)+IF('Ввод данных'!A17=связи1!A95,((дома!J1191/перекрытие!J16+1)*(дома!C1319)*перекрытие!E16*перекрытие!F16*перекрытие!G16),0)+1/перекрытие!J16*F16*G16*E16*дома!J98)*C181</f>
        <v>0</v>
      </c>
      <c r="E181" s="2740" t="n">
        <f aca="false">связи1!D206</f>
        <v>6500</v>
      </c>
      <c r="F181" s="2740" t="n">
        <f aca="false">D181*E181</f>
        <v>0</v>
      </c>
      <c r="G181" s="2685"/>
      <c r="K181" s="876"/>
      <c r="L181" s="876"/>
    </row>
    <row r="182" customFormat="false" ht="15.75" hidden="false" customHeight="false" outlineLevel="0" collapsed="false">
      <c r="A182" s="2739" t="s">
        <v>2495</v>
      </c>
      <c r="B182" s="2670" t="s">
        <v>1043</v>
      </c>
      <c r="C182" s="2670" t="n">
        <f aca="false">IF('Ввод данных'!A40=связи1!A207,1,0)</f>
        <v>0</v>
      </c>
      <c r="D182" s="2740" t="n">
        <f aca="false">(IF(AND('Ввод данных'!A17=связи1!A98,связи1!H91=связи1!A2),((дома!C1191/перекрытие!J16+1)*(дома!C1319)*перекрытие!E16*перекрытие!F16*перекрытие!G16),0)+IF(AND('Ввод данных'!A17=связи1!A98,связи1!H95=связи1!A2),((дома!J1191/перекрытие!J16+1)*(дома!C1319)*перекрытие!E16*перекрытие!F16*перекрытие!G16),0)+IF('Ввод данных'!A17=связи1!A95,((дома!J1191/перекрытие!J16+1)*(дома!C1319)*перекрытие!E16*перекрытие!F16*перекрытие!G16),0)+1/перекрытие!J16*F16*G16*E16*дома!J98)*C182</f>
        <v>0</v>
      </c>
      <c r="E182" s="2740" t="n">
        <f aca="false">связи1!D207</f>
        <v>6500</v>
      </c>
      <c r="F182" s="2740" t="n">
        <f aca="false">D182*E182</f>
        <v>0</v>
      </c>
      <c r="G182" s="2685"/>
      <c r="H182" s="876"/>
      <c r="I182" s="740"/>
      <c r="J182" s="876"/>
      <c r="K182" s="876"/>
      <c r="L182" s="876"/>
    </row>
    <row r="183" customFormat="false" ht="15.75" hidden="false" customHeight="false" outlineLevel="0" collapsed="false">
      <c r="A183" s="738" t="str">
        <f aca="false">A65</f>
        <v>Опора бруса          </v>
      </c>
      <c r="B183" s="739" t="s">
        <v>48</v>
      </c>
      <c r="C183" s="649"/>
      <c r="D183" s="740" t="n">
        <f aca="false">CEILING((D16*E16)*1.1,1)</f>
        <v>0</v>
      </c>
      <c r="E183" s="740" t="n">
        <f aca="false">E65</f>
        <v>50</v>
      </c>
      <c r="F183" s="2740" t="n">
        <f aca="false">D183*E183*SUM(C177:C182)</f>
        <v>0</v>
      </c>
      <c r="G183" s="2685"/>
      <c r="H183" s="876"/>
      <c r="I183" s="740"/>
      <c r="J183" s="876"/>
      <c r="K183" s="876"/>
      <c r="L183" s="876"/>
    </row>
    <row r="184" customFormat="false" ht="15.75" hidden="false" customHeight="false" outlineLevel="0" collapsed="false">
      <c r="A184" s="738" t="str">
        <f aca="false">A66</f>
        <v>Болты анкерные с гайкой 8,0 x 60           </v>
      </c>
      <c r="B184" s="739" t="s">
        <v>48</v>
      </c>
      <c r="C184" s="649"/>
      <c r="D184" s="740" t="n">
        <f aca="false">D183*4</f>
        <v>0</v>
      </c>
      <c r="E184" s="740" t="n">
        <f aca="false">E66</f>
        <v>4</v>
      </c>
      <c r="F184" s="2740" t="n">
        <f aca="false">D184*E184*SUM(C177:C182)</f>
        <v>0</v>
      </c>
      <c r="G184" s="2685"/>
      <c r="H184" s="876"/>
      <c r="I184" s="740"/>
      <c r="J184" s="876"/>
      <c r="K184" s="876"/>
      <c r="L184" s="876"/>
    </row>
    <row r="185" customFormat="false" ht="15.75" hidden="false" customHeight="false" outlineLevel="0" collapsed="false">
      <c r="G185" s="2685"/>
      <c r="H185" s="876"/>
      <c r="I185" s="740"/>
      <c r="J185" s="876"/>
      <c r="K185" s="876"/>
      <c r="L185" s="876"/>
    </row>
    <row r="186" customFormat="false" ht="15.75" hidden="false" customHeight="false" outlineLevel="0" collapsed="false">
      <c r="G186" s="2685"/>
      <c r="H186" s="876"/>
      <c r="I186" s="740"/>
      <c r="J186" s="876"/>
      <c r="K186" s="876"/>
      <c r="L186" s="876"/>
    </row>
    <row r="187" customFormat="false" ht="15.75" hidden="false" customHeight="false" outlineLevel="0" collapsed="false">
      <c r="A187" s="1665" t="str">
        <f aca="false">связи1!A199</f>
        <v>Sip панель 2500*625*124мм</v>
      </c>
      <c r="B187" s="2725" t="s">
        <v>820</v>
      </c>
      <c r="C187" s="2741" t="n">
        <f aca="false">IF('Ввод данных'!A40=связи1!A199,1,0)</f>
        <v>0</v>
      </c>
      <c r="D187" s="2727" t="n">
        <f aca="false">(IF(AND('Ввод данных'!A17=связи1!A98,связи1!H91=связи1!A2),дома!C1189*дома!C1115+дома!L1115*дома!L1189+дома!J98,0)+IF(AND('Ввод данных'!A17=связи1!A98,связи1!H95=связи1!A2),дома!C1189*дома!C1115+дома!L1115*дома!L1189+дома!J98,0)+IF('Ввод данных'!A17=связи1!A95,дома!C16*дома!C17+дома!J98,0))*C187</f>
        <v>0</v>
      </c>
      <c r="E187" s="2727" t="n">
        <f aca="false">'Прайс лист'!G266</f>
        <v>800</v>
      </c>
      <c r="F187" s="2727" t="n">
        <f aca="false">D187*E187</f>
        <v>0</v>
      </c>
      <c r="G187" s="2685"/>
      <c r="K187" s="876"/>
      <c r="L187" s="876"/>
    </row>
    <row r="188" customFormat="false" ht="15.75" hidden="false" customHeight="false" outlineLevel="0" collapsed="false">
      <c r="A188" s="1665" t="str">
        <f aca="false">связи1!A200</f>
        <v>Sip панель 2500*625*174мм</v>
      </c>
      <c r="B188" s="2725" t="s">
        <v>820</v>
      </c>
      <c r="C188" s="2741" t="n">
        <f aca="false">IF('Ввод данных'!A40=связи1!A200,1,0)</f>
        <v>0</v>
      </c>
      <c r="D188" s="2727" t="n">
        <f aca="false">(IF(AND('Ввод данных'!A17=связи1!A98,связи1!H91=связи1!A2),дома!C1189*дома!C1115+дома!L1115*дома!L1189+дома!J98,0)+IF(AND('Ввод данных'!A17=связи1!A98,связи1!H95=связи1!A2),дома!C1189*дома!C1115+дома!L1115*дома!L1189+дома!J98,0)+IF('Ввод данных'!A17=связи1!A95,дома!C16*дома!C17+дома!J98,0))*C188</f>
        <v>0</v>
      </c>
      <c r="E188" s="2727" t="n">
        <f aca="false">'Прайс лист'!G267</f>
        <v>1200</v>
      </c>
      <c r="F188" s="2727" t="n">
        <f aca="false">D188*E188</f>
        <v>0</v>
      </c>
      <c r="G188" s="2685"/>
      <c r="K188" s="876"/>
      <c r="L188" s="876"/>
    </row>
    <row r="189" customFormat="false" ht="15.75" hidden="false" customHeight="false" outlineLevel="0" collapsed="false">
      <c r="A189" s="1665" t="str">
        <f aca="false">связи1!A201</f>
        <v>Sip панель 2500*625*224мм</v>
      </c>
      <c r="B189" s="2725" t="s">
        <v>820</v>
      </c>
      <c r="C189" s="2741" t="n">
        <f aca="false">IF('Ввод данных'!A40=связи1!A201,1,0)</f>
        <v>0</v>
      </c>
      <c r="D189" s="2727" t="n">
        <f aca="false">(IF(AND('Ввод данных'!A17=связи1!A98,связи1!H91=связи1!A2),дома!C1189*дома!C1115+дома!L1115*дома!L1189+дома!J98,0)+IF(AND('Ввод данных'!A17=связи1!A98,связи1!H95=связи1!A2),дома!C1189*дома!C1115+дома!L1115*дома!L1189+дома!J98,0)+IF('Ввод данных'!A17=связи1!A95,дома!C16*дома!C17+дома!J98,0))*C189</f>
        <v>0</v>
      </c>
      <c r="E189" s="2727" t="n">
        <f aca="false">'Прайс лист'!G277</f>
        <v>1400</v>
      </c>
      <c r="F189" s="2727" t="n">
        <f aca="false">D189*E189</f>
        <v>0</v>
      </c>
      <c r="G189" s="2685"/>
      <c r="K189" s="876"/>
      <c r="L189" s="876"/>
    </row>
    <row r="190" customFormat="false" ht="15.75" hidden="false" customHeight="false" outlineLevel="0" collapsed="false">
      <c r="A190" s="1180" t="s">
        <v>2492</v>
      </c>
      <c r="B190" s="1692" t="s">
        <v>15</v>
      </c>
      <c r="C190" s="739"/>
      <c r="D190" s="740" t="n">
        <f aca="false">D187*C187*4*1.05</f>
        <v>0</v>
      </c>
      <c r="E190" s="740" t="n">
        <f aca="false">E70</f>
        <v>45</v>
      </c>
      <c r="F190" s="2727" t="n">
        <f aca="false">D190*E190</f>
        <v>0</v>
      </c>
      <c r="G190" s="2685"/>
      <c r="K190" s="876"/>
      <c r="L190" s="876"/>
    </row>
    <row r="191" customFormat="false" ht="15.75" hidden="false" customHeight="false" outlineLevel="0" collapsed="false">
      <c r="A191" s="1180" t="s">
        <v>449</v>
      </c>
      <c r="B191" s="1692" t="s">
        <v>15</v>
      </c>
      <c r="C191" s="739"/>
      <c r="D191" s="740" t="n">
        <f aca="false">D188*C188*4*1.05</f>
        <v>0</v>
      </c>
      <c r="E191" s="740" t="n">
        <f aca="false">E71</f>
        <v>67.5</v>
      </c>
      <c r="F191" s="2727" t="n">
        <f aca="false">D191*E191</f>
        <v>0</v>
      </c>
      <c r="G191" s="2685"/>
      <c r="H191" s="876"/>
      <c r="I191" s="740"/>
      <c r="J191" s="876"/>
      <c r="K191" s="876"/>
      <c r="L191" s="876"/>
    </row>
    <row r="192" customFormat="false" ht="15.75" hidden="false" customHeight="false" outlineLevel="0" collapsed="false">
      <c r="A192" s="1180" t="s">
        <v>42</v>
      </c>
      <c r="B192" s="1692" t="s">
        <v>15</v>
      </c>
      <c r="C192" s="739"/>
      <c r="D192" s="740" t="n">
        <f aca="false">D189*C189*4*1.05</f>
        <v>0</v>
      </c>
      <c r="E192" s="740" t="n">
        <f aca="false">E72</f>
        <v>90</v>
      </c>
      <c r="F192" s="2727" t="n">
        <f aca="false">D192*E192</f>
        <v>0</v>
      </c>
      <c r="G192" s="2685"/>
      <c r="H192" s="876"/>
      <c r="I192" s="740"/>
      <c r="J192" s="876"/>
      <c r="K192" s="876"/>
      <c r="L192" s="876"/>
    </row>
    <row r="193" customFormat="false" ht="15.75" hidden="false" customHeight="false" outlineLevel="0" collapsed="false">
      <c r="A193" s="649" t="str">
        <f aca="false">A73</f>
        <v>Пена монтажная, всесезонняя 800мл</v>
      </c>
      <c r="B193" s="891" t="s">
        <v>48</v>
      </c>
      <c r="C193" s="649"/>
      <c r="D193" s="650" t="n">
        <f aca="false">CEILING(SUM(D187:D189)/12,1)</f>
        <v>0</v>
      </c>
      <c r="E193" s="650" t="n">
        <f aca="false">E73</f>
        <v>300</v>
      </c>
      <c r="F193" s="2727" t="n">
        <f aca="false">D193*E193</f>
        <v>0</v>
      </c>
      <c r="G193" s="2685"/>
      <c r="H193" s="876"/>
      <c r="I193" s="740"/>
      <c r="J193" s="876"/>
      <c r="K193" s="876"/>
      <c r="L193" s="876"/>
    </row>
    <row r="194" customFormat="false" ht="15.75" hidden="false" customHeight="false" outlineLevel="0" collapsed="false">
      <c r="A194" s="649" t="str">
        <f aca="false">'Прайс лист'!B737</f>
        <v>Гвозди строительные 3,5 x 90            </v>
      </c>
      <c r="B194" s="891" t="s">
        <v>48</v>
      </c>
      <c r="C194" s="649"/>
      <c r="D194" s="650" t="n">
        <f aca="false">SUM(D190:D192)</f>
        <v>0</v>
      </c>
      <c r="E194" s="650" t="n">
        <f aca="false">E74</f>
        <v>45</v>
      </c>
      <c r="F194" s="2727" t="n">
        <f aca="false">D194*E194</f>
        <v>0</v>
      </c>
      <c r="G194" s="2685"/>
      <c r="H194" s="876"/>
      <c r="I194" s="740"/>
      <c r="J194" s="876"/>
      <c r="K194" s="876"/>
      <c r="L194" s="876"/>
    </row>
    <row r="195" customFormat="false" ht="15.75" hidden="false" customHeight="false" outlineLevel="0" collapsed="false">
      <c r="A195" s="649" t="str">
        <f aca="false">'Прайс лист'!B726</f>
        <v>Саморезы 3,5 x 45            </v>
      </c>
      <c r="B195" s="891" t="s">
        <v>48</v>
      </c>
      <c r="C195" s="649"/>
      <c r="D195" s="650" t="n">
        <f aca="false">SUM(D190:D192)*20</f>
        <v>0</v>
      </c>
      <c r="E195" s="650" t="n">
        <f aca="false">'Прайс лист'!F726</f>
        <v>0.25</v>
      </c>
      <c r="F195" s="2727" t="n">
        <f aca="false">D195*E195</f>
        <v>0</v>
      </c>
      <c r="G195" s="2685"/>
      <c r="H195" s="876"/>
      <c r="I195" s="740"/>
      <c r="J195" s="876"/>
      <c r="K195" s="876"/>
      <c r="L195" s="876"/>
    </row>
    <row r="196" customFormat="false" ht="15.75" hidden="false" customHeight="false" outlineLevel="0" collapsed="false">
      <c r="A196" s="1755" t="s">
        <v>42</v>
      </c>
      <c r="B196" s="1801" t="s">
        <v>1043</v>
      </c>
      <c r="C196" s="2742" t="n">
        <f aca="false">IF('Ввод данных'!A40=связи1!A208,1,0)</f>
        <v>1</v>
      </c>
      <c r="D196" s="2742" t="n">
        <f aca="false">(IF(AND('Ввод данных'!A17=связи1!A98,связи1!H91=связи1!A2),((дома!C1191/перекрытие!J24+1)*(дома!C1319)*перекрытие!E24*перекрытие!F24*перекрытие!G24),0)+IF(AND('Ввод данных'!A17=связи1!A98,связи1!H95=связи1!A2),((дома!J1191/перекрытие!J24+1)*(дома!C1319)*перекрытие!E24*перекрытие!F24*перекрытие!G24),0)+IF('Ввод данных'!A17=связи1!A95,((дома!J1191/перекрытие!J24+1)*(дома!C1319)*перекрытие!E24*перекрытие!F24*перекрытие!G24),0)+1/J24*E24*F24*G24*(дома!J98))*C196*1.05</f>
        <v>0</v>
      </c>
      <c r="E196" s="2742" t="n">
        <f aca="false">'Прайс лист'!G323</f>
        <v>9000</v>
      </c>
      <c r="F196" s="2743" t="n">
        <f aca="false">D196*E196</f>
        <v>0</v>
      </c>
      <c r="G196" s="2685"/>
      <c r="K196" s="876"/>
      <c r="L196" s="876"/>
    </row>
    <row r="197" customFormat="false" ht="15.75" hidden="false" customHeight="false" outlineLevel="0" collapsed="false">
      <c r="A197" s="1755" t="s">
        <v>449</v>
      </c>
      <c r="B197" s="1801" t="s">
        <v>1043</v>
      </c>
      <c r="C197" s="2742" t="n">
        <f aca="false">IF('Ввод данных'!A40=связи1!A209,1,0)</f>
        <v>0</v>
      </c>
      <c r="D197" s="2742" t="n">
        <f aca="false">(IF(AND('Ввод данных'!A17=связи1!A98,связи1!H91=связи1!A2),((дома!C1191/перекрытие!J24+1)*(дома!C1319)*перекрытие!E24*перекрытие!F24*перекрытие!G24),0)+IF(AND('Ввод данных'!A17=связи1!A98,связи1!H95=связи1!A2),((дома!J1191/перекрытие!J24+1)*(дома!C1319)*перекрытие!E24*перекрытие!F24*перекрытие!G24),0)+IF('Ввод данных'!A17=связи1!A95,((дома!J1191/перекрытие!J24+1)*(дома!C1319)*перекрытие!E24*перекрытие!F24*перекрытие!G24),0)+1/J24*E24*F24*G24*(дома!J98))*C197*1.05</f>
        <v>0</v>
      </c>
      <c r="E197" s="2742" t="n">
        <f aca="false">'Прайс лист'!G325</f>
        <v>9000</v>
      </c>
      <c r="F197" s="2743" t="n">
        <f aca="false">D197*E197</f>
        <v>0</v>
      </c>
      <c r="G197" s="2685"/>
      <c r="H197" s="876"/>
      <c r="I197" s="740"/>
      <c r="J197" s="876"/>
      <c r="K197" s="876"/>
      <c r="L197" s="876"/>
    </row>
    <row r="198" customFormat="false" ht="15.75" hidden="false" customHeight="false" outlineLevel="0" collapsed="false">
      <c r="A198" s="1180" t="str">
        <f aca="false">A78</f>
        <v>Гвозди ершоные 2,8 х 90            </v>
      </c>
      <c r="B198" s="891" t="s">
        <v>434</v>
      </c>
      <c r="C198" s="650"/>
      <c r="D198" s="650" t="n">
        <f aca="false">SUM(D196:D197)*6</f>
        <v>0</v>
      </c>
      <c r="E198" s="650" t="n">
        <f aca="false">E78</f>
        <v>76.49</v>
      </c>
      <c r="F198" s="2743" t="n">
        <f aca="false">(D198*E198)*(C196+C197)</f>
        <v>0</v>
      </c>
      <c r="G198" s="2685"/>
      <c r="K198" s="876"/>
      <c r="L198" s="876"/>
    </row>
    <row r="199" customFormat="false" ht="15.75" hidden="false" customHeight="false" outlineLevel="0" collapsed="false">
      <c r="A199" s="2744" t="s">
        <v>326</v>
      </c>
      <c r="B199" s="2745" t="s">
        <v>1043</v>
      </c>
      <c r="C199" s="2746" t="n">
        <f aca="false">IF('Ввод данных'!A40=связи1!A210,1,0)</f>
        <v>0</v>
      </c>
      <c r="D199" s="2746" t="n">
        <f aca="false">(IF(AND('Ввод данных'!A17=связи1!A98,связи1!H91=связи1!A2),((дома!C1191/перекрытие!J29+1)*(дома!C1319)*перекрытие!E29*перекрытие!F29*перекрытие!G29),0)+IF(AND('Ввод данных'!A17=связи1!A98,связи1!H95=связи1!A2),((дома!J1191/перекрытие!J29+1)*(дома!C1319)*перекрытие!E29*перекрытие!F29*перекрытие!G29),0)+IF('Ввод данных'!A17=связи1!A95,((дома!J1191/перекрытие!J29+1)*(дома!C1319)*перекрытие!E29*перекрытие!F29*перекрытие!G29),0)+1/J29*E29*F29*G29*дома!J98)*C199</f>
        <v>0</v>
      </c>
      <c r="E199" s="2746" t="n">
        <f aca="false">'Прайс лист'!G315</f>
        <v>12500</v>
      </c>
      <c r="F199" s="2747" t="n">
        <f aca="false">D199*E199*C199</f>
        <v>0</v>
      </c>
      <c r="G199" s="2685"/>
      <c r="K199" s="876"/>
      <c r="L199" s="876"/>
    </row>
    <row r="200" customFormat="false" ht="15.75" hidden="false" customHeight="false" outlineLevel="0" collapsed="false">
      <c r="A200" s="2744" t="s">
        <v>736</v>
      </c>
      <c r="B200" s="2745" t="s">
        <v>1043</v>
      </c>
      <c r="C200" s="2746" t="n">
        <f aca="false">IF('Ввод данных'!A40=связи1!A211,1,0)</f>
        <v>0</v>
      </c>
      <c r="D200" s="2746" t="n">
        <f aca="false">(IF(AND('Ввод данных'!A17=связи1!A98,связи1!H91=связи1!A2),((дома!C1191/перекрытие!J29+1)*(дома!C1319)*перекрытие!E29*перекрытие!F29*перекрытие!G29),0)+IF(AND('Ввод данных'!A17=связи1!A98,связи1!H95=связи1!A2),((дома!J1191/перекрытие!J29+1)*(дома!C1319)*перекрытие!E29*перекрытие!F29*перекрытие!G29),0)+IF('Ввод данных'!A17=связи1!A95,((дома!J1191/перекрытие!J29+1)*(дома!C1319)*перекрытие!E29*перекрытие!F29*перекрытие!G29),0)+1/J29*E29*F29*G29*дома!J98)*C200</f>
        <v>0</v>
      </c>
      <c r="E200" s="2746" t="n">
        <f aca="false">'Прайс лист'!G316</f>
        <v>12500</v>
      </c>
      <c r="F200" s="2747" t="n">
        <f aca="false">D200*E200*C200</f>
        <v>0</v>
      </c>
      <c r="G200" s="2685"/>
      <c r="K200" s="876"/>
      <c r="L200" s="876"/>
    </row>
    <row r="201" customFormat="false" ht="15.75" hidden="false" customHeight="false" outlineLevel="0" collapsed="false">
      <c r="A201" s="1180" t="str">
        <f aca="false">A78</f>
        <v>Гвозди ершоные 2,8 х 90            </v>
      </c>
      <c r="B201" s="891" t="s">
        <v>434</v>
      </c>
      <c r="C201" s="650"/>
      <c r="D201" s="650" t="n">
        <f aca="false">SUM(D199:D200)*6</f>
        <v>0</v>
      </c>
      <c r="E201" s="650" t="n">
        <f aca="false">E78</f>
        <v>76.49</v>
      </c>
      <c r="F201" s="2747" t="n">
        <f aca="false">D201*E201*(C199+C200)</f>
        <v>0</v>
      </c>
      <c r="G201" s="2685"/>
      <c r="H201" s="876"/>
      <c r="I201" s="740"/>
      <c r="J201" s="876"/>
      <c r="K201" s="876"/>
      <c r="L201" s="876"/>
    </row>
    <row r="202" customFormat="false" ht="15.75" hidden="false" customHeight="false" outlineLevel="0" collapsed="false">
      <c r="A202" s="2748" t="s">
        <v>1124</v>
      </c>
      <c r="B202" s="2749" t="s">
        <v>15</v>
      </c>
      <c r="C202" s="2750" t="n">
        <f aca="false">IF('Ввод данных'!$A$40=перекрытие!A202,1,0)</f>
        <v>0</v>
      </c>
      <c r="D202" s="2726" t="n">
        <f aca="false">(IF(AND('Ввод данных'!A17=связи1!A98,связи1!H91=связи1!A2),((дома!C1191/перекрытие!J34+1)*(дома!C1319)*перекрытие!E34),0)+IF(AND('Ввод данных'!A17=связи1!A98,связи1!H95=связи1!A2),((дома!J1191/перекрытие!J34+1)*(дома!C1319)*перекрытие!E34),0)+IF('Ввод данных'!A17=связи1!A95,((дома!D1319/перекрытие!J34+1)*перекрытие!E34*дома!C1319),0)+(пристройка!C34/перекрытие!J32)*пристройка!C33*пристройка!C32*пристройка!D2*пристройка!C27+пристройка!D27*пристройка!D2*пристройка!D32*пристройка!D33*(пристройка!D34/перекрытие!J32)+(пристройка!E34/перекрытие!J32)*пристройка!E33*пристройка!E32*пристройка!D2*пристройка!E27+пристройка!F27*пристройка!D2*пристройка!F32*пристройка!F33*(пристройка!F34/перекрытие!J32)+дома!J98*2)*C202</f>
        <v>0</v>
      </c>
      <c r="E202" s="2726" t="n">
        <f aca="false">'Прайс лист'!G281</f>
        <v>303</v>
      </c>
      <c r="F202" s="2726" t="n">
        <f aca="false">D202*E202</f>
        <v>0</v>
      </c>
      <c r="G202" s="2685"/>
      <c r="K202" s="876"/>
      <c r="L202" s="876"/>
    </row>
    <row r="203" customFormat="false" ht="15.75" hidden="false" customHeight="false" outlineLevel="0" collapsed="false">
      <c r="A203" s="2748" t="s">
        <v>1125</v>
      </c>
      <c r="B203" s="2749" t="s">
        <v>15</v>
      </c>
      <c r="C203" s="2750" t="n">
        <f aca="false">IF('Ввод данных'!$A$40=перекрытие!A203,1,0)</f>
        <v>0</v>
      </c>
      <c r="D203" s="2726" t="n">
        <f aca="false">(IF(AND('Ввод данных'!A17=связи1!A98,связи1!H91=связи1!A2),((дома!C1191/перекрытие!J34+1)*(дома!C1319)*перекрытие!E34),0)+IF(AND('Ввод данных'!A17=связи1!A98,связи1!H95=связи1!A2),((дома!J1191/перекрытие!J34+1)*(дома!C1319)*перекрытие!E34),0)+IF('Ввод данных'!A17=связи1!A95,((дома!D1319/перекрытие!J34+1)*перекрытие!E34*дома!C1319),0)+(пристройка!C34/перекрытие!J32)*пристройка!C33*пристройка!C32*пристройка!D2*пристройка!C27+пристройка!D27*пристройка!D2*пристройка!D32*пристройка!D33*(пристройка!D34/перекрытие!J32)+(пристройка!E34/перекрытие!J32)*пристройка!E33*пристройка!E32*пристройка!D2*пристройка!E27+пристройка!F27*пристройка!D2*пристройка!F32*пристройка!F33*(пристройка!F34/перекрытие!J32)+дома!J98*2)*C203</f>
        <v>0</v>
      </c>
      <c r="E203" s="2726" t="n">
        <f aca="false">'Прайс лист'!G282</f>
        <v>355</v>
      </c>
      <c r="F203" s="2726" t="n">
        <f aca="false">D203*E203</f>
        <v>0</v>
      </c>
      <c r="G203" s="2685"/>
      <c r="H203" s="2637"/>
      <c r="I203" s="2637"/>
      <c r="J203" s="2637"/>
      <c r="K203" s="2637"/>
      <c r="L203" s="876"/>
    </row>
    <row r="204" customFormat="false" ht="15.75" hidden="false" customHeight="false" outlineLevel="0" collapsed="false">
      <c r="A204" s="2748" t="s">
        <v>34</v>
      </c>
      <c r="B204" s="2749" t="s">
        <v>15</v>
      </c>
      <c r="C204" s="2750" t="n">
        <f aca="false">IF('Ввод данных'!$A$40=перекрытие!A204,1,0)</f>
        <v>0</v>
      </c>
      <c r="D204" s="2726" t="n">
        <f aca="false">(IF(AND('Ввод данных'!A17=связи1!A98,связи1!H91=связи1!A2),((дома!C1191/перекрытие!J34+1)*(дома!C1319)*перекрытие!E34),0)+IF(AND('Ввод данных'!A17=связи1!A98,связи1!H95=связи1!A2),((дома!J1191/перекрытие!J34+1)*(дома!C1319)*перекрытие!E34),0)+IF('Ввод данных'!A17=связи1!A95,((дома!D1319/перекрытие!J34+1)*перекрытие!E34*дома!C1319),0)+(пристройка!C34/перекрытие!J32)*пристройка!C33*пристройка!C32*пристройка!D2*пристройка!C27+пристройка!D27*пристройка!D2*пристройка!D32*пристройка!D33*(пристройка!D34/перекрытие!J32)+(пристройка!E34/перекрытие!J32)*пристройка!E33*пристройка!E32*пристройка!D2*пристройка!E27+пристройка!F27*пристройка!D2*пристройка!F32*пристройка!F33*(пристройка!F34/перекрытие!J32)+дома!J98*2)*C204</f>
        <v>0</v>
      </c>
      <c r="E204" s="2726" t="n">
        <f aca="false">'Прайс лист'!G283</f>
        <v>287</v>
      </c>
      <c r="F204" s="2726" t="n">
        <f aca="false">D204*E204</f>
        <v>0</v>
      </c>
      <c r="G204" s="2685"/>
      <c r="H204" s="2637"/>
      <c r="I204" s="2637"/>
      <c r="J204" s="2637"/>
      <c r="K204" s="2637"/>
      <c r="L204" s="2637"/>
    </row>
    <row r="205" customFormat="false" ht="15.75" hidden="false" customHeight="false" outlineLevel="0" collapsed="false">
      <c r="A205" s="2748" t="s">
        <v>1126</v>
      </c>
      <c r="B205" s="2749" t="s">
        <v>15</v>
      </c>
      <c r="C205" s="2750" t="n">
        <f aca="false">IF('Ввод данных'!$A$40=перекрытие!A205,1,0)</f>
        <v>0</v>
      </c>
      <c r="D205" s="2726" t="n">
        <f aca="false">(IF(AND('Ввод данных'!A17=связи1!A98,связи1!H91=связи1!A2),((дома!C1191/перекрытие!J34+1)*(дома!C1319)*перекрытие!E34),0)+IF(AND('Ввод данных'!A17=связи1!A98,связи1!H95=связи1!A2),((дома!J1191/перекрытие!J34+1)*(дома!C1319)*перекрытие!E34),0)+IF('Ввод данных'!A17=связи1!A95,((дома!D1319/перекрытие!J34+1)*перекрытие!E34*дома!C1319),0)+(пристройка!C34/перекрытие!J32)*пристройка!C33*пристройка!C32*пристройка!D2*пристройка!C27+пристройка!D27*пристройка!D2*пристройка!D32*пристройка!D33*(пристройка!D34/перекрытие!J32)+(пристройка!E34/перекрытие!J32)*пристройка!E33*пристройка!E32*пристройка!D2*пристройка!E27+пристройка!F27*пристройка!D2*пристройка!F32*пристройка!F33*(пристройка!F34/перекрытие!J32)+дома!J98*2)*C205</f>
        <v>0</v>
      </c>
      <c r="E205" s="2726" t="n">
        <f aca="false">'Прайс лист'!G284</f>
        <v>315</v>
      </c>
      <c r="F205" s="2726" t="n">
        <f aca="false">D205*E205</f>
        <v>0</v>
      </c>
      <c r="G205" s="2685"/>
      <c r="H205" s="2637"/>
      <c r="I205" s="2637"/>
      <c r="J205" s="2637"/>
      <c r="K205" s="2637"/>
      <c r="L205" s="2637"/>
    </row>
    <row r="206" customFormat="false" ht="15.75" hidden="false" customHeight="false" outlineLevel="0" collapsed="false">
      <c r="A206" s="2748" t="s">
        <v>1127</v>
      </c>
      <c r="B206" s="2749" t="s">
        <v>15</v>
      </c>
      <c r="C206" s="2750" t="n">
        <f aca="false">IF('Ввод данных'!$A$40=перекрытие!A206,1,0)</f>
        <v>0</v>
      </c>
      <c r="D206" s="2726" t="n">
        <f aca="false">(IF(AND('Ввод данных'!A17=связи1!A98,связи1!H91=связи1!A2),((дома!C1191/перекрытие!J34+1)*(дома!C1319)*перекрытие!E34),0)+IF(AND('Ввод данных'!A17=связи1!A98,связи1!H95=связи1!A2),((дома!J1191/перекрытие!J34+1)*(дома!C1319)*перекрытие!E34),0)+IF('Ввод данных'!A17=связи1!A95,((дома!D1319/перекрытие!J34+1)*перекрытие!E34*дома!C1319),0)+(пристройка!C34/перекрытие!J32)*пристройка!C33*пристройка!C32*пристройка!D2*пристройка!C27+пристройка!D27*пристройка!D2*пристройка!D32*пристройка!D33*(пристройка!D34/перекрытие!J32)+(пристройка!E34/перекрытие!J32)*пристройка!E33*пристройка!E32*пристройка!D2*пристройка!E27+пристройка!F27*пристройка!D2*пристройка!F32*пристройка!F33*(пристройка!F34/перекрытие!J32)+дома!J98*2)*C206</f>
        <v>0</v>
      </c>
      <c r="E206" s="2726" t="n">
        <f aca="false">'Прайс лист'!G285</f>
        <v>273</v>
      </c>
      <c r="F206" s="2726" t="n">
        <f aca="false">D206*E206</f>
        <v>0</v>
      </c>
      <c r="G206" s="2685"/>
      <c r="H206" s="2637"/>
      <c r="I206" s="2637"/>
      <c r="J206" s="2637"/>
      <c r="K206" s="2637"/>
      <c r="L206" s="2637"/>
    </row>
    <row r="207" customFormat="false" ht="15.75" hidden="false" customHeight="false" outlineLevel="0" collapsed="false">
      <c r="A207" s="2748" t="s">
        <v>1128</v>
      </c>
      <c r="B207" s="2749" t="s">
        <v>15</v>
      </c>
      <c r="C207" s="2750" t="n">
        <f aca="false">IF('Ввод данных'!$A$40=перекрытие!A207,1,0)</f>
        <v>0</v>
      </c>
      <c r="D207" s="2726" t="n">
        <f aca="false">(IF(AND('Ввод данных'!A17=связи1!A98,связи1!H91=связи1!A2),((дома!C1191/перекрытие!J34+1)*(дома!C1319)*перекрытие!E34),0)+IF(AND('Ввод данных'!A17=связи1!A98,связи1!H95=связи1!A2),((дома!J1191/перекрытие!J34+1)*(дома!C1319)*перекрытие!E34),0)+IF('Ввод данных'!A17=связи1!A95,((дома!D1319/перекрытие!J34+1)*перекрытие!E34*дома!C1319),0)+(пристройка!C34/перекрытие!J32)*пристройка!C33*пристройка!C32*пристройка!D2*пристройка!C27+пристройка!D27*пристройка!D2*пристройка!D32*пристройка!D33*(пристройка!D34/перекрытие!J32)+(пристройка!E34/перекрытие!J32)*пристройка!E33*пристройка!E32*пристройка!D2*пристройка!E27+пристройка!F27*пристройка!D2*пристройка!F32*пристройка!F33*(пристройка!F34/перекрытие!J32)+дома!J98*2)*C207</f>
        <v>0</v>
      </c>
      <c r="E207" s="2726" t="n">
        <f aca="false">'Прайс лист'!G286</f>
        <v>315</v>
      </c>
      <c r="F207" s="2726" t="n">
        <f aca="false">D207*E207</f>
        <v>0</v>
      </c>
      <c r="G207" s="2685"/>
      <c r="H207" s="2637"/>
      <c r="I207" s="2637"/>
      <c r="J207" s="2637"/>
      <c r="K207" s="2637"/>
      <c r="L207" s="2637"/>
    </row>
    <row r="208" customFormat="false" ht="15.75" hidden="false" customHeight="false" outlineLevel="0" collapsed="false">
      <c r="A208" s="2748" t="s">
        <v>1129</v>
      </c>
      <c r="B208" s="2749" t="s">
        <v>15</v>
      </c>
      <c r="C208" s="2750" t="n">
        <f aca="false">IF('Ввод данных'!$A$40=перекрытие!A208,1,0)</f>
        <v>0</v>
      </c>
      <c r="D208" s="2726" t="n">
        <f aca="false">(IF(AND('Ввод данных'!A17=связи1!A98,связи1!H91=связи1!A2),((дома!C1191/перекрытие!J34+1)*(дома!C1319)*перекрытие!E34),0)+IF(AND('Ввод данных'!A17=связи1!A98,связи1!H95=связи1!A2),((дома!J1191/перекрытие!J34+1)*(дома!C1319)*перекрытие!E34),0)+IF('Ввод данных'!A17=связи1!A95,((дома!D1319/перекрытие!J34+1)*перекрытие!E34*дома!C1319),0)+(пристройка!C34/перекрытие!J32)*пристройка!C33*пристройка!C32*пристройка!D2*пристройка!C27+пристройка!D27*пристройка!D2*пристройка!D32*пристройка!D33*(пристройка!D34/перекрытие!J32)+(пристройка!E34/перекрытие!J32)*пристройка!E33*пристройка!E32*пристройка!D2*пристройка!E27+пристройка!F27*пристройка!D2*пристройка!F32*пристройка!F33*(пристройка!F34/перекрытие!J32)+дома!J98*2)*C208</f>
        <v>0</v>
      </c>
      <c r="E208" s="2726" t="n">
        <f aca="false">'Прайс лист'!G287</f>
        <v>263</v>
      </c>
      <c r="F208" s="2726" t="n">
        <f aca="false">D208*E208</f>
        <v>0</v>
      </c>
      <c r="G208" s="2685"/>
      <c r="H208" s="2637"/>
      <c r="I208" s="2637"/>
      <c r="J208" s="2637"/>
      <c r="K208" s="2637"/>
      <c r="L208" s="2637"/>
    </row>
    <row r="209" customFormat="false" ht="15.75" hidden="false" customHeight="false" outlineLevel="0" collapsed="false">
      <c r="A209" s="2748" t="s">
        <v>1130</v>
      </c>
      <c r="B209" s="2749" t="s">
        <v>15</v>
      </c>
      <c r="C209" s="2750" t="n">
        <f aca="false">IF('Ввод данных'!$A$40=перекрытие!A209,1,0)</f>
        <v>0</v>
      </c>
      <c r="D209" s="2726" t="n">
        <f aca="false">(IF(AND('Ввод данных'!A17=связи1!A98,связи1!H91=связи1!A2),((дома!C1191/перекрытие!J34+1)*(дома!C1319)*перекрытие!E34),0)+IF(AND('Ввод данных'!A17=связи1!A98,связи1!H95=связи1!A2),((дома!J1191/перекрытие!J34+1)*(дома!C1319)*перекрытие!E34),0)+IF('Ввод данных'!A17=связи1!A95,((дома!D1319/перекрытие!J34+1)*перекрытие!E34*дома!C1319),0)+(пристройка!C34/перекрытие!J32)*пристройка!C33*пристройка!C32*пристройка!D2*пристройка!C27+пристройка!D27*пристройка!D2*пристройка!D32*пристройка!D33*(пристройка!D34/перекрытие!J32)+(пристройка!E34/перекрытие!J32)*пристройка!E33*пристройка!E32*пристройка!D2*пристройка!E27+пристройка!F27*пристройка!D2*пристройка!F32*пристройка!F33*(пристройка!F34/перекрытие!J32)+дома!J98*2)*C209</f>
        <v>0</v>
      </c>
      <c r="E209" s="2726" t="n">
        <f aca="false">'Прайс лист'!G288</f>
        <v>291</v>
      </c>
      <c r="F209" s="2726" t="n">
        <f aca="false">D209*E209</f>
        <v>0</v>
      </c>
      <c r="G209" s="2685"/>
      <c r="H209" s="2637"/>
      <c r="I209" s="2637"/>
      <c r="J209" s="2637"/>
      <c r="K209" s="2637"/>
      <c r="L209" s="2637"/>
    </row>
    <row r="210" customFormat="false" ht="15.75" hidden="false" customHeight="false" outlineLevel="0" collapsed="false">
      <c r="A210" s="2748" t="s">
        <v>1131</v>
      </c>
      <c r="B210" s="2749" t="s">
        <v>15</v>
      </c>
      <c r="C210" s="2750" t="n">
        <f aca="false">IF('Ввод данных'!$A$40=перекрытие!A210,1,0)</f>
        <v>0</v>
      </c>
      <c r="D210" s="2726" t="n">
        <f aca="false">(IF(AND('Ввод данных'!A17=связи1!A98,связи1!H91=связи1!A2),((дома!C1191/перекрытие!J34+1)*(дома!C1319)*перекрытие!E34),0)+IF(AND('Ввод данных'!A17=связи1!A98,связи1!H95=связи1!A2),((дома!J1191/перекрытие!J34+1)*(дома!C1319)*перекрытие!E34),0)+IF('Ввод данных'!A17=связи1!A95,((дома!D1319/перекрытие!J34+1)*перекрытие!E34*дома!C1319),0)+(пристройка!C34/перекрытие!J32)*пристройка!C33*пристройка!C32*пристройка!D2*пристройка!C27+пристройка!D27*пристройка!D2*пристройка!D32*пристройка!D33*(пристройка!D34/перекрытие!J32)+(пристройка!E34/перекрытие!J32)*пристройка!E33*пристройка!E32*пристройка!D2*пристройка!E27+пристройка!F27*пристройка!D2*пристройка!F32*пристройка!F33*(пристройка!F34/перекрытие!J32)+дома!J98*2)*C210</f>
        <v>0</v>
      </c>
      <c r="E210" s="2726" t="n">
        <f aca="false">'Прайс лист'!G289</f>
        <v>250</v>
      </c>
      <c r="F210" s="2726" t="n">
        <f aca="false">D210*E210</f>
        <v>0</v>
      </c>
      <c r="G210" s="2685"/>
      <c r="H210" s="2637"/>
      <c r="I210" s="2637"/>
      <c r="J210" s="2637"/>
      <c r="K210" s="2637"/>
      <c r="L210" s="2637"/>
    </row>
    <row r="211" customFormat="false" ht="15.75" hidden="false" customHeight="false" outlineLevel="0" collapsed="false">
      <c r="A211" s="2748" t="s">
        <v>1132</v>
      </c>
      <c r="B211" s="2749" t="s">
        <v>15</v>
      </c>
      <c r="C211" s="2750" t="n">
        <f aca="false">IF('Ввод данных'!$A$40=перекрытие!A211,1,0)</f>
        <v>0</v>
      </c>
      <c r="D211" s="2726" t="n">
        <f aca="false">(IF(AND('Ввод данных'!A17=связи1!A98,связи1!H91=связи1!A2),((дома!C1191/перекрытие!J34+1)*(дома!C1319)*перекрытие!E34),0)+IF(AND('Ввод данных'!A17=связи1!A98,связи1!H95=связи1!A2),((дома!J1191/перекрытие!J34+1)*(дома!C1319)*перекрытие!E34),0)+IF('Ввод данных'!A17=связи1!A95,((дома!D1319/перекрытие!J34+1)*перекрытие!E34*дома!C1319),0)+(пристройка!C34/перекрытие!J32)*пристройка!C33*пристройка!C32*пристройка!D2*пристройка!C27+пристройка!D27*пристройка!D2*пристройка!D32*пристройка!D33*(пристройка!D34/перекрытие!J32)+(пристройка!E34/перекрытие!J32)*пристройка!E33*пристройка!E32*пристройка!D2*пристройка!E27+пристройка!F27*пристройка!D2*пристройка!F32*пристройка!F33*(пристройка!F34/перекрытие!J32)+дома!J98*2)*C211</f>
        <v>0</v>
      </c>
      <c r="E211" s="2726" t="n">
        <f aca="false">'Прайс лист'!G290</f>
        <v>280</v>
      </c>
      <c r="F211" s="2726" t="n">
        <f aca="false">D211*E211</f>
        <v>0</v>
      </c>
      <c r="G211" s="2685"/>
      <c r="H211" s="2637"/>
      <c r="I211" s="2637"/>
      <c r="J211" s="2637"/>
      <c r="K211" s="2637"/>
      <c r="L211" s="2637"/>
    </row>
    <row r="212" customFormat="false" ht="15.75" hidden="false" customHeight="false" outlineLevel="0" collapsed="false">
      <c r="A212" s="2748" t="s">
        <v>1133</v>
      </c>
      <c r="B212" s="2749" t="s">
        <v>15</v>
      </c>
      <c r="C212" s="2750" t="n">
        <f aca="false">IF('Ввод данных'!$A$40=перекрытие!A212,1,0)</f>
        <v>0</v>
      </c>
      <c r="D212" s="2726" t="n">
        <f aca="false">(IF(AND('Ввод данных'!A17=связи1!A98,связи1!H91=связи1!A2),((дома!C1191/перекрытие!J34+1)*(дома!C1319)*перекрытие!E34),0)+IF(AND('Ввод данных'!A17=связи1!A98,связи1!H95=связи1!A2),((дома!J1191/перекрытие!J34+1)*(дома!C1319)*перекрытие!E34),0)+IF('Ввод данных'!A17=связи1!A95,((дома!D1319/перекрытие!J34+1)*перекрытие!E34*дома!C1319),0)+(пристройка!C34/перекрытие!J32)*пристройка!C33*пристройка!C32*пристройка!D2*пристройка!C27+пристройка!D27*пристройка!D2*пристройка!D32*пристройка!D33*(пристройка!D34/перекрытие!J32)+(пристройка!E34/перекрытие!J32)*пристройка!E33*пристройка!E32*пристройка!D2*пристройка!E27+пристройка!F27*пристройка!D2*пристройка!F32*пристройка!F33*(пристройка!F34/перекрытие!J32)+дома!J98*2)*C212</f>
        <v>0</v>
      </c>
      <c r="E212" s="2726" t="n">
        <f aca="false">'Прайс лист'!G291</f>
        <v>220</v>
      </c>
      <c r="F212" s="2726" t="n">
        <f aca="false">D212*E212</f>
        <v>0</v>
      </c>
      <c r="G212" s="2685"/>
      <c r="H212" s="2637"/>
      <c r="I212" s="2637"/>
      <c r="J212" s="2637"/>
      <c r="K212" s="2637"/>
      <c r="L212" s="2637"/>
    </row>
    <row r="213" customFormat="false" ht="15.75" hidden="false" customHeight="false" outlineLevel="0" collapsed="false">
      <c r="A213" s="2748" t="s">
        <v>1134</v>
      </c>
      <c r="B213" s="2749" t="s">
        <v>15</v>
      </c>
      <c r="C213" s="2750" t="n">
        <f aca="false">IF('Ввод данных'!$A$40=перекрытие!A213,1,0)</f>
        <v>0</v>
      </c>
      <c r="D213" s="2726" t="n">
        <f aca="false">(IF(AND('Ввод данных'!A17=связи1!A98,связи1!H91=связи1!A2),((дома!C1191/перекрытие!J34+1)*(дома!C1319)*перекрытие!E34),0)+IF(AND('Ввод данных'!A17=связи1!A98,связи1!H95=связи1!A2),((дома!J1191/перекрытие!J34+1)*(дома!C1319)*перекрытие!E34),0)+IF('Ввод данных'!A17=связи1!A95,((дома!D1319/перекрытие!J34+1)*перекрытие!E34*дома!C1319),0)+(пристройка!C34/перекрытие!J32)*пристройка!C33*пристройка!C32*пристройка!D2*пристройка!C27+пристройка!D27*пристройка!D2*пристройка!D32*пристройка!D33*(пристройка!D34/перекрытие!J32)+(пристройка!E34/перекрытие!J32)*пристройка!E33*пристройка!E32*пристройка!D2*пристройка!E27+пристройка!F27*пристройка!D2*пристройка!F32*пристройка!F33*(пристройка!F34/перекрытие!J32)+дома!J98*2)*C213</f>
        <v>0</v>
      </c>
      <c r="E213" s="2726" t="n">
        <f aca="false">'Прайс лист'!G292</f>
        <v>250</v>
      </c>
      <c r="F213" s="2726" t="n">
        <f aca="false">D213*E213</f>
        <v>0</v>
      </c>
      <c r="G213" s="2685"/>
      <c r="H213" s="2637"/>
      <c r="I213" s="2637"/>
      <c r="J213" s="2637"/>
      <c r="K213" s="2637"/>
      <c r="L213" s="2637"/>
    </row>
    <row r="214" customFormat="false" ht="15.75" hidden="false" customHeight="false" outlineLevel="0" collapsed="false">
      <c r="A214" s="649" t="str">
        <f aca="false">'Прайс лист'!B693</f>
        <v>Уголок усиленный 90х70х55х2,5        </v>
      </c>
      <c r="B214" s="891" t="s">
        <v>48</v>
      </c>
      <c r="C214" s="649"/>
      <c r="D214" s="649" t="n">
        <f aca="false">CEILING(((IF(G34=0.8,1.6,0)+IF(G34=0.7,2,0)+IF(G34=0.6,2.44,0)+IF(G34=0.5,3.25,0)+IF(G34=0.4,3.67,0)+IF(G34=0.3,4.1,0))*D34*E34),1)</f>
        <v>0</v>
      </c>
      <c r="E214" s="649" t="n">
        <f aca="false">'Прайс лист'!G693</f>
        <v>30</v>
      </c>
      <c r="F214" s="2726" t="n">
        <f aca="false">D214*E214*SUM(C202:C213)</f>
        <v>0</v>
      </c>
      <c r="G214" s="2685"/>
      <c r="H214" s="2637"/>
      <c r="I214" s="2637"/>
      <c r="J214" s="2637"/>
      <c r="K214" s="2637"/>
      <c r="L214" s="2637"/>
    </row>
    <row r="215" customFormat="false" ht="15.75" hidden="false" customHeight="false" outlineLevel="0" collapsed="false">
      <c r="A215" s="649" t="str">
        <f aca="false">'Прайс лист'!B727</f>
        <v>Саморезы 3,5 x 55            </v>
      </c>
      <c r="B215" s="891" t="s">
        <v>48</v>
      </c>
      <c r="C215" s="649"/>
      <c r="D215" s="649" t="n">
        <f aca="false">D214*4</f>
        <v>0</v>
      </c>
      <c r="E215" s="649" t="n">
        <f aca="false">'Прайс лист'!F727</f>
        <v>0.3</v>
      </c>
      <c r="F215" s="2726" t="n">
        <f aca="false">D215*E215*SUM(C202:C213)</f>
        <v>0</v>
      </c>
      <c r="G215" s="2685"/>
      <c r="H215" s="2637"/>
      <c r="I215" s="2637"/>
      <c r="J215" s="2637"/>
      <c r="K215" s="2637"/>
      <c r="L215" s="2637"/>
    </row>
    <row r="216" customFormat="false" ht="15.75" hidden="false" customHeight="false" outlineLevel="0" collapsed="false">
      <c r="A216" s="649" t="str">
        <f aca="false">'Ввод данных'!A42</f>
        <v>Нет</v>
      </c>
      <c r="B216" s="891" t="s">
        <v>1043</v>
      </c>
      <c r="C216" s="649" t="n">
        <f aca="false">IF(A216='Прайс лист'!B600,0,1)</f>
        <v>0</v>
      </c>
      <c r="D216" s="649" t="n">
        <f aca="false">дома!F1090*VLOOKUP(перекрытие!A216,'Прайс лист'!B600:G638,3,0)</f>
        <v>0</v>
      </c>
      <c r="E216" s="649" t="n">
        <f aca="false">VLOOKUP(перекрытие!A216,'Прайс лист'!B600:G638,6,0)</f>
        <v>0</v>
      </c>
      <c r="F216" s="649" t="n">
        <f aca="false">D216*E216</f>
        <v>0</v>
      </c>
      <c r="G216" s="2685"/>
      <c r="H216" s="2637"/>
      <c r="I216" s="2637"/>
      <c r="J216" s="2637"/>
      <c r="K216" s="2637"/>
      <c r="L216" s="2637"/>
    </row>
    <row r="217" customFormat="false" ht="15.75" hidden="false" customHeight="false" outlineLevel="0" collapsed="false">
      <c r="A217" s="649" t="str">
        <f aca="false">'Ввод данных'!A146</f>
        <v>нет ветроизоляции</v>
      </c>
      <c r="B217" s="891" t="s">
        <v>820</v>
      </c>
      <c r="C217" s="649" t="n">
        <f aca="false">IF(A217='Прайс лист'!B649,0,1)</f>
        <v>0</v>
      </c>
      <c r="D217" s="649" t="n">
        <f aca="false">дома!F1090</f>
        <v>0</v>
      </c>
      <c r="E217" s="649" t="n">
        <f aca="false">VLOOKUP(A217,'Прайс лист'!B649:G675,6,0)</f>
        <v>0</v>
      </c>
      <c r="F217" s="649" t="n">
        <f aca="false">D217*E217</f>
        <v>0</v>
      </c>
      <c r="G217" s="2685"/>
      <c r="H217" s="2637"/>
      <c r="I217" s="2637"/>
      <c r="J217" s="2637"/>
      <c r="K217" s="2637"/>
      <c r="L217" s="2637"/>
    </row>
    <row r="218" customFormat="false" ht="15.75" hidden="false" customHeight="false" outlineLevel="0" collapsed="false">
      <c r="A218" s="649" t="str">
        <f aca="false">'Ввод данных'!A147</f>
        <v>нет пароизоляции</v>
      </c>
      <c r="B218" s="891" t="s">
        <v>820</v>
      </c>
      <c r="C218" s="649" t="n">
        <f aca="false">IF(A218='Прайс лист'!B676,0,1)</f>
        <v>0</v>
      </c>
      <c r="D218" s="649" t="n">
        <f aca="false">дома!F1090</f>
        <v>0</v>
      </c>
      <c r="E218" s="649" t="n">
        <f aca="false">VLOOKUP(A218,'Прайс лист'!B676:G687,6,0)</f>
        <v>0</v>
      </c>
      <c r="F218" s="649" t="n">
        <f aca="false">D218*E218</f>
        <v>0</v>
      </c>
      <c r="G218" s="2685"/>
      <c r="H218" s="2637"/>
      <c r="I218" s="2637"/>
      <c r="J218" s="2637"/>
      <c r="K218" s="2637"/>
      <c r="L218" s="2637"/>
    </row>
    <row r="219" customFormat="false" ht="15.75" hidden="false" customHeight="false" outlineLevel="0" collapsed="false">
      <c r="A219" s="649" t="str">
        <f aca="false">'Ввод данных'!A129</f>
        <v>нет</v>
      </c>
      <c r="B219" s="891" t="s">
        <v>1043</v>
      </c>
      <c r="C219" s="649"/>
      <c r="D219" s="2751" t="n">
        <f aca="false">VLOOKUP(A219,связи1!A431:F439,4,0)*(дома!J91+дома!J96+дома!J101)</f>
        <v>0</v>
      </c>
      <c r="E219" s="649" t="n">
        <f aca="false">VLOOKUP(A219,связи1!A431:F439,6,0)</f>
        <v>0</v>
      </c>
      <c r="F219" s="649" t="n">
        <f aca="false">D219*E219</f>
        <v>0</v>
      </c>
      <c r="G219" s="2685"/>
      <c r="H219" s="2637" t="s">
        <v>4114</v>
      </c>
      <c r="I219" s="2637"/>
      <c r="J219" s="2637" t="n">
        <f aca="false">(дома!J91+дома!J96+дома!J101)*IF(перекрытие!A219=связи1!A431,0,1)</f>
        <v>0</v>
      </c>
      <c r="K219" s="2637" t="n">
        <f aca="false">'Прайс лист'!G1436</f>
        <v>150</v>
      </c>
      <c r="L219" s="2637" t="n">
        <f aca="false">J219*K219</f>
        <v>0</v>
      </c>
    </row>
    <row r="220" customFormat="false" ht="15.75" hidden="false" customHeight="false" outlineLevel="0" collapsed="false">
      <c r="A220" s="649" t="str">
        <f aca="false">'Ввод данных'!A130</f>
        <v>нет</v>
      </c>
      <c r="B220" s="891" t="s">
        <v>1043</v>
      </c>
      <c r="C220" s="649"/>
      <c r="D220" s="2751" t="n">
        <f aca="false">VLOOKUP(A220,связи1!A417:E420,5,0)*(дома!J91+дома!J96+дома!J101)*4</f>
        <v>0</v>
      </c>
      <c r="E220" s="649" t="n">
        <f aca="false">VLOOKUP(A220,связи1!A417:D420,2,0)</f>
        <v>0</v>
      </c>
      <c r="F220" s="649" t="n">
        <f aca="false">D220*E220</f>
        <v>0</v>
      </c>
      <c r="G220" s="2685"/>
      <c r="H220" s="2637"/>
      <c r="I220" s="2637"/>
      <c r="J220" s="2637"/>
      <c r="K220" s="2637"/>
      <c r="L220" s="2637" t="n">
        <f aca="false">J220*K220</f>
        <v>0</v>
      </c>
    </row>
    <row r="221" customFormat="false" ht="15.75" hidden="false" customHeight="false" outlineLevel="0" collapsed="false">
      <c r="A221" s="649" t="str">
        <f aca="false">'Ввод данных'!A136</f>
        <v>нет</v>
      </c>
      <c r="B221" s="891" t="s">
        <v>1043</v>
      </c>
      <c r="C221" s="649"/>
      <c r="D221" s="2751" t="n">
        <f aca="false">VLOOKUP(A221,связи1!A431:F439,4,0)*(дома!J92+дома!J97+дома!J102)</f>
        <v>0</v>
      </c>
      <c r="E221" s="649" t="n">
        <f aca="false">VLOOKUP(A221,связи1!A431:F439,6,0)</f>
        <v>0</v>
      </c>
      <c r="F221" s="649" t="n">
        <f aca="false">D221*E221</f>
        <v>0</v>
      </c>
      <c r="G221" s="2685"/>
      <c r="H221" s="2637" t="s">
        <v>4115</v>
      </c>
      <c r="I221" s="2637"/>
      <c r="J221" s="2637" t="n">
        <f aca="false">IF(перекрытие!A221=связи1!A431,0,1)*(дома!J92+дома!J97+дома!J102)</f>
        <v>0</v>
      </c>
      <c r="K221" s="2637" t="n">
        <f aca="false">K219</f>
        <v>150</v>
      </c>
      <c r="L221" s="2637" t="n">
        <f aca="false">J221*K221</f>
        <v>0</v>
      </c>
    </row>
    <row r="222" customFormat="false" ht="15.75" hidden="false" customHeight="false" outlineLevel="0" collapsed="false">
      <c r="A222" s="649" t="str">
        <f aca="false">'Ввод данных'!A137</f>
        <v>нет</v>
      </c>
      <c r="B222" s="891" t="s">
        <v>1043</v>
      </c>
      <c r="C222" s="649"/>
      <c r="D222" s="2751" t="n">
        <f aca="false">VLOOKUP(A222,связи1!A417:E420,5,0)*(дома!J92+дома!J97+дома!J102)*4</f>
        <v>0</v>
      </c>
      <c r="E222" s="649" t="n">
        <f aca="false">VLOOKUP(A222,связи1!A417:D420,2,0)</f>
        <v>0</v>
      </c>
      <c r="F222" s="649" t="n">
        <f aca="false">D222*E222</f>
        <v>0</v>
      </c>
      <c r="G222" s="2685"/>
      <c r="H222" s="2637"/>
      <c r="I222" s="2637"/>
      <c r="J222" s="2637"/>
      <c r="K222" s="2637"/>
      <c r="L222" s="2637" t="n">
        <f aca="false">J222*K222</f>
        <v>0</v>
      </c>
    </row>
    <row r="223" customFormat="false" ht="15.75" hidden="false" customHeight="false" outlineLevel="0" collapsed="false">
      <c r="A223" s="649" t="str">
        <f aca="false">'Ввод данных'!A144</f>
        <v>нет</v>
      </c>
      <c r="B223" s="891" t="s">
        <v>1043</v>
      </c>
      <c r="C223" s="649"/>
      <c r="D223" s="2751" t="n">
        <f aca="false">VLOOKUP(A223,связи1!A431:F439,4,0)*(дома!J93+дома!J98+дома!J103)</f>
        <v>0</v>
      </c>
      <c r="E223" s="649" t="n">
        <f aca="false">VLOOKUP(A223,связи1!A431:F439,6,0)</f>
        <v>0</v>
      </c>
      <c r="F223" s="649" t="n">
        <f aca="false">D223*E223</f>
        <v>0</v>
      </c>
      <c r="G223" s="2685"/>
      <c r="H223" s="2637" t="s">
        <v>4116</v>
      </c>
      <c r="I223" s="2637"/>
      <c r="J223" s="2637" t="n">
        <f aca="false">IF(перекрытие!A223=связи1!A431,0,1)*(дома!J93+дома!J98+дома!J103)</f>
        <v>0</v>
      </c>
      <c r="K223" s="2637" t="n">
        <f aca="false">K219</f>
        <v>150</v>
      </c>
      <c r="L223" s="2637" t="n">
        <f aca="false">J223*K223</f>
        <v>0</v>
      </c>
    </row>
    <row r="224" customFormat="false" ht="15.75" hidden="false" customHeight="false" outlineLevel="0" collapsed="false">
      <c r="A224" s="649" t="str">
        <f aca="false">'Ввод данных'!A145</f>
        <v>нет</v>
      </c>
      <c r="B224" s="891" t="s">
        <v>1043</v>
      </c>
      <c r="C224" s="649"/>
      <c r="D224" s="2751" t="n">
        <f aca="false">VLOOKUP(A224,связи1!A417:E420,5,0)*(дома!J93+дома!J98+дома!J103)*4</f>
        <v>0</v>
      </c>
      <c r="E224" s="649" t="n">
        <f aca="false">VLOOKUP(A224,связи1!A417:D420,2,0)</f>
        <v>0</v>
      </c>
      <c r="F224" s="649" t="n">
        <f aca="false">D224*E224</f>
        <v>0</v>
      </c>
      <c r="G224" s="2685"/>
      <c r="H224" s="2637"/>
      <c r="I224" s="2637"/>
      <c r="J224" s="2637"/>
      <c r="K224" s="2637"/>
      <c r="L224" s="2637"/>
    </row>
    <row r="225" customFormat="false" ht="15.75" hidden="false" customHeight="false" outlineLevel="0" collapsed="false">
      <c r="A225" s="649" t="str">
        <f aca="false">'Прайс лист'!B743</f>
        <v>Гвозди ершоные 2,8 х 90            </v>
      </c>
      <c r="B225" s="891" t="s">
        <v>434</v>
      </c>
      <c r="C225" s="649"/>
      <c r="D225" s="649" t="n">
        <f aca="false">(D219+D220+D221+D222+D223+D224)*6</f>
        <v>0</v>
      </c>
      <c r="E225" s="649" t="n">
        <f aca="false">'Прайс лист'!G743</f>
        <v>76.49</v>
      </c>
      <c r="F225" s="649" t="n">
        <f aca="false">D225*E225</f>
        <v>0</v>
      </c>
      <c r="G225" s="2685"/>
      <c r="H225" s="2637"/>
      <c r="I225" s="2637"/>
      <c r="J225" s="2637"/>
      <c r="K225" s="2637"/>
      <c r="L225" s="2637"/>
    </row>
    <row r="226" customFormat="false" ht="15.75" hidden="false" customHeight="false" outlineLevel="0" collapsed="false">
      <c r="A226" s="649" t="str">
        <f aca="false">'Ввод данных'!A153</f>
        <v>расходные материалы перекрытие</v>
      </c>
      <c r="B226" s="649" t="str">
        <f aca="false">'Ввод данных'!B153</f>
        <v>рублей</v>
      </c>
      <c r="C226" s="649" t="n">
        <f aca="false">1</f>
        <v>1</v>
      </c>
      <c r="D226" s="649" t="n">
        <f aca="false">1</f>
        <v>1</v>
      </c>
      <c r="E226" s="649" t="n">
        <f aca="false">'Ввод данных'!C153</f>
        <v>0</v>
      </c>
      <c r="F226" s="2752" t="n">
        <f aca="false">D226*E226</f>
        <v>0</v>
      </c>
      <c r="G226" s="2685"/>
      <c r="H226" s="2637"/>
      <c r="I226" s="2637"/>
      <c r="J226" s="2637"/>
      <c r="K226" s="2637"/>
      <c r="L226" s="2637"/>
    </row>
    <row r="227" s="2674" customFormat="true" ht="15.75" hidden="false" customHeight="false" outlineLevel="0" collapsed="false">
      <c r="G227" s="2685"/>
      <c r="H227" s="2637"/>
      <c r="I227" s="2637"/>
      <c r="J227" s="2637"/>
      <c r="K227" s="2637"/>
      <c r="L227" s="2637"/>
    </row>
    <row r="228" s="2674" customFormat="true" ht="15.75" hidden="false" customHeight="false" outlineLevel="0" collapsed="false">
      <c r="G228" s="2685"/>
      <c r="H228" s="2637"/>
      <c r="I228" s="2637"/>
      <c r="J228" s="2637"/>
      <c r="K228" s="2637"/>
      <c r="L228" s="2637"/>
    </row>
    <row r="229" customFormat="false" ht="15.75" hidden="false" customHeight="false" outlineLevel="0" collapsed="false">
      <c r="A229" s="738" t="str">
        <f aca="false">'Ввод данных'!A150</f>
        <v>Газель</v>
      </c>
      <c r="B229" s="738" t="str">
        <f aca="false">'Ввод данных'!B150</f>
        <v>ед.</v>
      </c>
      <c r="C229" s="738" t="n">
        <f aca="false">'Ввод данных'!C150</f>
        <v>0</v>
      </c>
      <c r="D229" s="740" t="n">
        <f aca="false">C229</f>
        <v>0</v>
      </c>
      <c r="E229" s="740" t="n">
        <f aca="false">'Прайс лист'!G201</f>
        <v>1700</v>
      </c>
      <c r="F229" s="740" t="n">
        <f aca="false">D229*E229</f>
        <v>0</v>
      </c>
      <c r="G229" s="2685"/>
      <c r="H229" s="2637"/>
      <c r="I229" s="2637"/>
      <c r="J229" s="2637"/>
      <c r="K229" s="2637"/>
      <c r="L229" s="2637"/>
    </row>
    <row r="230" customFormat="false" ht="15.75" hidden="false" customHeight="false" outlineLevel="0" collapsed="false">
      <c r="A230" s="738" t="str">
        <f aca="false">'Ввод данных'!A151</f>
        <v>Доставка материала Фура</v>
      </c>
      <c r="B230" s="738" t="str">
        <f aca="false">'Ввод данных'!B151</f>
        <v>ед.</v>
      </c>
      <c r="C230" s="738" t="n">
        <f aca="false">'Ввод данных'!C151</f>
        <v>0</v>
      </c>
      <c r="D230" s="740" t="n">
        <f aca="false">C230</f>
        <v>0</v>
      </c>
      <c r="E230" s="740" t="n">
        <f aca="false">'Прайс лист'!G202</f>
        <v>2500</v>
      </c>
      <c r="F230" s="740" t="n">
        <f aca="false">D230*E230</f>
        <v>0</v>
      </c>
      <c r="G230" s="2685"/>
      <c r="H230" s="2637"/>
      <c r="I230" s="2637"/>
      <c r="J230" s="2637"/>
      <c r="K230" s="2637"/>
      <c r="L230" s="2637"/>
    </row>
    <row r="231" customFormat="false" ht="15.75" hidden="false" customHeight="false" outlineLevel="0" collapsed="false">
      <c r="A231" s="738" t="str">
        <f aca="false">'Ввод данных'!A152</f>
        <v>Воровайка</v>
      </c>
      <c r="B231" s="738" t="str">
        <f aca="false">'Ввод данных'!B152</f>
        <v>ед.</v>
      </c>
      <c r="C231" s="738" t="n">
        <f aca="false">'Ввод данных'!C152</f>
        <v>0</v>
      </c>
      <c r="D231" s="740" t="n">
        <f aca="false">C231</f>
        <v>0</v>
      </c>
      <c r="E231" s="740" t="n">
        <f aca="false">'Прайс лист'!G200</f>
        <v>3500</v>
      </c>
      <c r="F231" s="740" t="n">
        <f aca="false">D231*E231</f>
        <v>0</v>
      </c>
      <c r="G231" s="2685"/>
      <c r="H231" s="2637"/>
      <c r="I231" s="2637"/>
      <c r="J231" s="2637"/>
      <c r="K231" s="2637"/>
      <c r="L231" s="2637"/>
    </row>
    <row r="232" s="2674" customFormat="true" ht="15.75" hidden="false" customHeight="false" outlineLevel="0" collapsed="false">
      <c r="G232" s="2685"/>
      <c r="H232" s="2637"/>
      <c r="I232" s="2637"/>
      <c r="J232" s="2637"/>
      <c r="K232" s="2637"/>
      <c r="L232" s="2637"/>
    </row>
    <row r="233" customFormat="false" ht="15.75" hidden="false" customHeight="false" outlineLevel="0" collapsed="false">
      <c r="A233" s="2753"/>
      <c r="B233" s="2754"/>
      <c r="C233" s="2754"/>
      <c r="D233" s="2754"/>
      <c r="E233" s="2755"/>
      <c r="G233" s="2685"/>
      <c r="H233" s="2637"/>
      <c r="I233" s="2637"/>
      <c r="J233" s="2637"/>
      <c r="K233" s="2637"/>
      <c r="L233" s="2637"/>
    </row>
    <row r="234" customFormat="false" ht="15.75" hidden="false" customHeight="false" outlineLevel="0" collapsed="false">
      <c r="A234" s="2753"/>
      <c r="B234" s="2754"/>
      <c r="C234" s="2754"/>
      <c r="D234" s="2754"/>
      <c r="E234" s="2755"/>
      <c r="G234" s="2685"/>
      <c r="H234" s="2637"/>
      <c r="I234" s="2637"/>
      <c r="J234" s="2637"/>
      <c r="K234" s="2637"/>
      <c r="L234" s="2637"/>
    </row>
    <row r="235" s="2674" customFormat="true" ht="15.75" hidden="false" customHeight="false" outlineLevel="0" collapsed="false">
      <c r="G235" s="2685"/>
      <c r="H235" s="2637"/>
      <c r="I235" s="2637"/>
      <c r="J235" s="2637"/>
      <c r="K235" s="2637"/>
      <c r="L235" s="2637"/>
    </row>
    <row r="236" s="2674" customFormat="true" ht="15.75" hidden="false" customHeight="false" outlineLevel="0" collapsed="false">
      <c r="G236" s="2685"/>
      <c r="H236" s="2637"/>
      <c r="I236" s="2637"/>
      <c r="J236" s="2637"/>
      <c r="K236" s="2637"/>
      <c r="L236" s="2637"/>
    </row>
    <row r="237" s="2674" customFormat="true" ht="15.75" hidden="false" customHeight="false" outlineLevel="0" collapsed="false">
      <c r="G237" s="2685"/>
      <c r="H237" s="2637"/>
      <c r="I237" s="2637"/>
      <c r="J237" s="2637"/>
      <c r="K237" s="2637"/>
      <c r="L237" s="2637"/>
    </row>
    <row r="238" s="2674" customFormat="true" ht="15.75" hidden="false" customHeight="false" outlineLevel="0" collapsed="false">
      <c r="G238" s="2685"/>
      <c r="H238" s="2637"/>
      <c r="I238" s="2637"/>
      <c r="J238" s="2637"/>
      <c r="K238" s="2637"/>
      <c r="L238" s="2637"/>
    </row>
    <row r="239" s="2674" customFormat="true" ht="15.75" hidden="false" customHeight="false" outlineLevel="0" collapsed="false">
      <c r="G239" s="2685"/>
      <c r="H239" s="2637"/>
      <c r="I239" s="2637"/>
      <c r="J239" s="2637"/>
      <c r="K239" s="2637"/>
      <c r="L239" s="2637"/>
    </row>
    <row r="240" s="2674" customFormat="true" ht="15.75" hidden="false" customHeight="false" outlineLevel="0" collapsed="false">
      <c r="G240" s="2685"/>
      <c r="H240" s="2637"/>
      <c r="I240" s="2637"/>
      <c r="J240" s="2637"/>
      <c r="K240" s="2637"/>
      <c r="L240" s="2637"/>
    </row>
    <row r="241" s="2674" customFormat="true" ht="15.75" hidden="false" customHeight="false" outlineLevel="0" collapsed="false">
      <c r="G241" s="2756"/>
      <c r="H241" s="2756"/>
      <c r="I241" s="2756"/>
      <c r="J241" s="2756"/>
      <c r="K241" s="918"/>
      <c r="L241" s="918"/>
      <c r="M241" s="918"/>
    </row>
    <row r="242" s="2674" customFormat="true" ht="15.75" hidden="false" customHeight="false" outlineLevel="0" collapsed="false">
      <c r="G242" s="2756"/>
      <c r="H242" s="2756"/>
      <c r="I242" s="2756"/>
      <c r="J242" s="2756"/>
      <c r="K242" s="918"/>
      <c r="L242" s="918"/>
      <c r="M242" s="918"/>
    </row>
    <row r="243" s="2674" customFormat="true" ht="15.75" hidden="false" customHeight="false" outlineLevel="0" collapsed="false">
      <c r="G243" s="2756"/>
      <c r="H243" s="2756"/>
      <c r="I243" s="2756"/>
      <c r="J243" s="2756"/>
      <c r="K243" s="918"/>
      <c r="L243" s="918"/>
      <c r="M243" s="918"/>
    </row>
    <row r="244" s="2674" customFormat="true" ht="15.75" hidden="false" customHeight="false" outlineLevel="0" collapsed="false">
      <c r="G244" s="2756"/>
      <c r="H244" s="2756"/>
      <c r="I244" s="1619"/>
      <c r="J244" s="2756"/>
      <c r="K244" s="918"/>
      <c r="L244" s="918"/>
      <c r="M244" s="918"/>
    </row>
    <row r="245" s="2674" customFormat="true" ht="15.75" hidden="false" customHeight="false" outlineLevel="0" collapsed="false">
      <c r="G245" s="2756"/>
      <c r="H245" s="2756"/>
      <c r="I245" s="1619"/>
      <c r="J245" s="2756"/>
      <c r="K245" s="918"/>
      <c r="L245" s="918"/>
      <c r="M245" s="918"/>
    </row>
    <row r="246" s="2674" customFormat="true" ht="15.75" hidden="false" customHeight="false" outlineLevel="0" collapsed="false">
      <c r="G246" s="2756"/>
      <c r="H246" s="2756"/>
      <c r="I246" s="1619"/>
      <c r="J246" s="2756"/>
      <c r="K246" s="918"/>
      <c r="L246" s="918"/>
      <c r="M246" s="918"/>
    </row>
    <row r="247" s="2674" customFormat="true" ht="15.75" hidden="false" customHeight="false" outlineLevel="0" collapsed="false">
      <c r="G247" s="2756"/>
      <c r="H247" s="2756"/>
      <c r="I247" s="1619"/>
      <c r="J247" s="2756"/>
      <c r="K247" s="918"/>
      <c r="L247" s="918"/>
      <c r="M247" s="918"/>
    </row>
    <row r="248" s="2674" customFormat="true" ht="15.75" hidden="false" customHeight="false" outlineLevel="0" collapsed="false">
      <c r="G248" s="2756"/>
      <c r="H248" s="2756"/>
      <c r="I248" s="1619"/>
      <c r="J248" s="2756"/>
      <c r="K248" s="918"/>
      <c r="L248" s="918"/>
      <c r="M248" s="918"/>
    </row>
    <row r="249" s="2674" customFormat="true" ht="15.75" hidden="false" customHeight="false" outlineLevel="0" collapsed="false">
      <c r="G249" s="2756"/>
      <c r="H249" s="2756"/>
      <c r="I249" s="1619"/>
      <c r="J249" s="2756"/>
      <c r="K249" s="918"/>
      <c r="L249" s="918"/>
      <c r="M249" s="918"/>
    </row>
    <row r="250" s="2674" customFormat="true" ht="15.75" hidden="false" customHeight="false" outlineLevel="0" collapsed="false">
      <c r="G250" s="2756"/>
      <c r="H250" s="2756"/>
      <c r="I250" s="2756"/>
      <c r="J250" s="2756"/>
      <c r="K250" s="918"/>
      <c r="L250" s="918"/>
      <c r="M250" s="918"/>
    </row>
    <row r="251" s="2674" customFormat="true" ht="15.75" hidden="false" customHeight="false" outlineLevel="0" collapsed="false">
      <c r="G251" s="2756"/>
      <c r="H251" s="2756"/>
      <c r="I251" s="2756"/>
      <c r="J251" s="2756"/>
      <c r="K251" s="918"/>
      <c r="L251" s="918"/>
      <c r="M251" s="918"/>
    </row>
    <row r="252" s="2674" customFormat="true" ht="15.75" hidden="false" customHeight="false" outlineLevel="0" collapsed="false">
      <c r="G252" s="2756"/>
      <c r="H252" s="2756"/>
      <c r="I252" s="2756"/>
      <c r="J252" s="2756"/>
      <c r="K252" s="918"/>
      <c r="L252" s="918"/>
      <c r="M252" s="918"/>
    </row>
    <row r="253" s="2674" customFormat="true" ht="15.75" hidden="false" customHeight="false" outlineLevel="0" collapsed="false">
      <c r="G253" s="2756"/>
      <c r="H253" s="2756"/>
      <c r="I253" s="2756"/>
      <c r="J253" s="2756"/>
      <c r="K253" s="918"/>
      <c r="L253" s="918"/>
      <c r="M253" s="918"/>
    </row>
    <row r="254" s="2674" customFormat="true" ht="15.75" hidden="false" customHeight="false" outlineLevel="0" collapsed="false">
      <c r="G254" s="2756"/>
      <c r="H254" s="2756"/>
      <c r="I254" s="2756"/>
      <c r="J254" s="2756"/>
      <c r="K254" s="918"/>
      <c r="L254" s="918"/>
      <c r="M254" s="918"/>
    </row>
    <row r="255" s="2674" customFormat="true" ht="15.75" hidden="false" customHeight="false" outlineLevel="0" collapsed="false">
      <c r="G255" s="2756"/>
      <c r="H255" s="2756"/>
      <c r="I255" s="2756"/>
      <c r="J255" s="2756"/>
      <c r="K255" s="918"/>
      <c r="L255" s="918"/>
      <c r="M255" s="918"/>
    </row>
    <row r="256" s="2674" customFormat="true" ht="15.75" hidden="false" customHeight="false" outlineLevel="0" collapsed="false">
      <c r="G256" s="2756"/>
      <c r="H256" s="2756"/>
      <c r="I256" s="2756"/>
      <c r="J256" s="2756"/>
      <c r="K256" s="918"/>
      <c r="L256" s="918"/>
      <c r="M256" s="918"/>
    </row>
    <row r="257" s="2674" customFormat="true" ht="15.75" hidden="false" customHeight="false" outlineLevel="0" collapsed="false">
      <c r="G257" s="2756"/>
      <c r="H257" s="2756"/>
      <c r="I257" s="2756"/>
      <c r="J257" s="2756"/>
      <c r="K257" s="918"/>
      <c r="L257" s="918"/>
      <c r="M257" s="918"/>
    </row>
    <row r="258" s="2674" customFormat="true" ht="15.75" hidden="false" customHeight="false" outlineLevel="0" collapsed="false">
      <c r="G258" s="2756"/>
      <c r="H258" s="2756"/>
      <c r="I258" s="2756"/>
      <c r="J258" s="2756"/>
      <c r="K258" s="918"/>
      <c r="L258" s="918"/>
      <c r="M258" s="918"/>
    </row>
    <row r="259" s="2674" customFormat="true" ht="15.75" hidden="false" customHeight="false" outlineLevel="0" collapsed="false">
      <c r="G259" s="2756"/>
      <c r="H259" s="2756"/>
      <c r="I259" s="2756"/>
      <c r="J259" s="2756"/>
      <c r="K259" s="918"/>
      <c r="L259" s="918"/>
      <c r="M259" s="918"/>
    </row>
    <row r="260" s="2674" customFormat="true" ht="15.75" hidden="false" customHeight="false" outlineLevel="0" collapsed="false">
      <c r="G260" s="2756"/>
      <c r="H260" s="2756"/>
      <c r="I260" s="2756"/>
      <c r="J260" s="2756"/>
      <c r="K260" s="918"/>
      <c r="L260" s="918"/>
      <c r="M260" s="918"/>
    </row>
    <row r="261" s="2674" customFormat="true" ht="15.75" hidden="false" customHeight="false" outlineLevel="0" collapsed="false">
      <c r="G261" s="2756"/>
      <c r="H261" s="2756"/>
      <c r="I261" s="2756"/>
      <c r="J261" s="2756"/>
      <c r="K261" s="918"/>
      <c r="L261" s="918"/>
      <c r="M261" s="918"/>
    </row>
    <row r="262" s="2674" customFormat="true" ht="15.75" hidden="false" customHeight="false" outlineLevel="0" collapsed="false">
      <c r="G262" s="2756"/>
      <c r="H262" s="2756"/>
      <c r="I262" s="2756"/>
      <c r="J262" s="2756"/>
      <c r="K262" s="918"/>
      <c r="L262" s="918"/>
      <c r="M262" s="918"/>
    </row>
    <row r="263" s="2674" customFormat="true" ht="15.75" hidden="false" customHeight="false" outlineLevel="0" collapsed="false">
      <c r="G263" s="2756"/>
      <c r="H263" s="2756"/>
      <c r="I263" s="2756"/>
      <c r="J263" s="2756"/>
      <c r="K263" s="918"/>
      <c r="L263" s="918"/>
      <c r="M263" s="918"/>
    </row>
    <row r="264" s="2674" customFormat="true" ht="15.75" hidden="false" customHeight="false" outlineLevel="0" collapsed="false">
      <c r="G264" s="2756"/>
      <c r="H264" s="2756"/>
      <c r="I264" s="2756"/>
      <c r="J264" s="2756"/>
      <c r="K264" s="918"/>
      <c r="L264" s="918"/>
      <c r="M264" s="918"/>
    </row>
    <row r="265" s="2674" customFormat="true" ht="15.75" hidden="false" customHeight="false" outlineLevel="0" collapsed="false"/>
    <row r="266" s="2674" customFormat="true" ht="15.75" hidden="false" customHeight="false" outlineLevel="0" collapsed="false"/>
    <row r="267" s="2674" customFormat="true" ht="15.75" hidden="false" customHeight="false" outlineLevel="0" collapsed="false"/>
    <row r="268" s="2674" customFormat="true" ht="15.75" hidden="false" customHeight="false" outlineLevel="0" collapsed="false"/>
    <row r="269" s="2674" customFormat="true" ht="15.75" hidden="false" customHeight="false" outlineLevel="0" collapsed="false"/>
    <row r="270" s="2674" customFormat="true" ht="15.75" hidden="false" customHeight="false" outlineLevel="0" collapsed="false"/>
    <row r="271" s="2674" customFormat="true" ht="15.75" hidden="false" customHeight="false" outlineLevel="0" collapsed="false"/>
    <row r="272" s="2674" customFormat="true" ht="15.75" hidden="false" customHeight="false" outlineLevel="0" collapsed="false"/>
    <row r="273" s="2674" customFormat="true" ht="15.75" hidden="false" customHeight="false" outlineLevel="0" collapsed="false"/>
    <row r="274" s="2674" customFormat="true" ht="15.75" hidden="false" customHeight="false" outlineLevel="0" collapsed="false"/>
    <row r="275" s="2674" customFormat="true" ht="15.75" hidden="false" customHeight="false" outlineLevel="0" collapsed="false"/>
    <row r="276" s="2674" customFormat="true" ht="15.75" hidden="false" customHeight="false" outlineLevel="0" collapsed="false"/>
    <row r="277" s="2674" customFormat="true" ht="15.75" hidden="false" customHeight="false" outlineLevel="0" collapsed="false"/>
    <row r="278" s="2674" customFormat="true" ht="15.75" hidden="false" customHeight="false" outlineLevel="0" collapsed="false"/>
    <row r="279" s="2674" customFormat="true" ht="15.75" hidden="false" customHeight="false" outlineLevel="0" collapsed="false"/>
    <row r="280" s="2674" customFormat="true" ht="15.75" hidden="false" customHeight="false" outlineLevel="0" collapsed="false"/>
    <row r="281" s="2674" customFormat="true" ht="15.75" hidden="false" customHeight="false" outlineLevel="0" collapsed="false"/>
    <row r="282" s="2674" customFormat="true" ht="15.75" hidden="false" customHeight="false" outlineLevel="0" collapsed="false"/>
    <row r="283" s="2674" customFormat="true" ht="15.75" hidden="false" customHeight="false" outlineLevel="0" collapsed="false"/>
    <row r="284" s="2674" customFormat="true" ht="15.75" hidden="false" customHeight="false" outlineLevel="0" collapsed="false"/>
    <row r="285" s="2674" customFormat="true" ht="15.75" hidden="false" customHeight="false" outlineLevel="0" collapsed="false"/>
    <row r="286" s="2674" customFormat="true" ht="15.75" hidden="false" customHeight="false" outlineLevel="0" collapsed="false">
      <c r="H286" s="2674" t="n">
        <v>7.5</v>
      </c>
      <c r="I286" s="2674" t="n">
        <v>7.2</v>
      </c>
      <c r="J286" s="2674" t="n">
        <f aca="false">H286*I286</f>
        <v>54</v>
      </c>
      <c r="K286" s="2674" t="n">
        <v>60</v>
      </c>
    </row>
    <row r="287" s="2674" customFormat="true" ht="15.75" hidden="false" customHeight="false" outlineLevel="0" collapsed="false">
      <c r="I287" s="2674" t="n">
        <v>132</v>
      </c>
      <c r="J287" s="2674" t="n">
        <f aca="false">I287/J286</f>
        <v>2.44444444444444</v>
      </c>
    </row>
    <row r="288" s="2674" customFormat="true" ht="15.75" hidden="false" customHeight="false" outlineLevel="0" collapsed="false"/>
    <row r="289" s="2674" customFormat="true" ht="15.75" hidden="false" customHeight="false" outlineLevel="0" collapsed="false">
      <c r="H289" s="2674" t="n">
        <v>7.5</v>
      </c>
      <c r="I289" s="2674" t="n">
        <v>4.8</v>
      </c>
      <c r="J289" s="2674" t="n">
        <f aca="false">H289*I289</f>
        <v>36</v>
      </c>
      <c r="K289" s="2674" t="n">
        <v>40</v>
      </c>
    </row>
    <row r="290" s="2674" customFormat="true" ht="15.75" hidden="false" customHeight="false" outlineLevel="0" collapsed="false">
      <c r="I290" s="2674" t="n">
        <v>132</v>
      </c>
      <c r="J290" s="2674" t="n">
        <f aca="false">I290/J289</f>
        <v>3.66666666666667</v>
      </c>
    </row>
    <row r="291" s="2674" customFormat="true" ht="15.75" hidden="false" customHeight="false" outlineLevel="0" collapsed="false"/>
    <row r="292" s="2674" customFormat="true" ht="15.75" hidden="false" customHeight="false" outlineLevel="0" collapsed="false"/>
    <row r="293" s="2674" customFormat="true" ht="15.75" hidden="false" customHeight="false" outlineLevel="0" collapsed="false">
      <c r="H293" s="2674" t="n">
        <v>30</v>
      </c>
      <c r="I293" s="2674" t="n">
        <v>2.9</v>
      </c>
    </row>
    <row r="294" s="2674" customFormat="true" ht="15.75" hidden="false" customHeight="false" outlineLevel="0" collapsed="false">
      <c r="H294" s="2674" t="n">
        <v>40</v>
      </c>
      <c r="I294" s="2674" t="n">
        <v>3.67</v>
      </c>
      <c r="J294" s="2674" t="n">
        <f aca="false">I294+I296</f>
        <v>6.11</v>
      </c>
      <c r="K294" s="2674" t="n">
        <f aca="false">J294/2</f>
        <v>3.055</v>
      </c>
    </row>
    <row r="295" s="2674" customFormat="true" ht="15.75" hidden="false" customHeight="false" outlineLevel="0" collapsed="false">
      <c r="H295" s="2674" t="n">
        <v>50</v>
      </c>
      <c r="I295" s="2674" t="n">
        <v>3.25</v>
      </c>
    </row>
    <row r="296" s="2674" customFormat="true" ht="15.75" hidden="false" customHeight="false" outlineLevel="0" collapsed="false">
      <c r="H296" s="2674" t="n">
        <v>60</v>
      </c>
      <c r="I296" s="2674" t="n">
        <v>2.44</v>
      </c>
    </row>
    <row r="297" s="2674" customFormat="true" ht="15.75" hidden="false" customHeight="false" outlineLevel="0" collapsed="false">
      <c r="H297" s="2674" t="n">
        <v>70</v>
      </c>
      <c r="I297" s="2674" t="n">
        <v>2</v>
      </c>
    </row>
    <row r="298" s="2757" customFormat="true" ht="15.75" hidden="false" customHeight="false" outlineLevel="0" collapsed="false">
      <c r="H298" s="2757" t="n">
        <v>80</v>
      </c>
      <c r="I298" s="2757" t="n">
        <v>1.6</v>
      </c>
    </row>
    <row r="299" s="2757" customFormat="true" ht="15.75" hidden="false" customHeight="false" outlineLevel="0" collapsed="false"/>
    <row r="300" s="2674" customFormat="true" ht="15.75" hidden="false" customHeight="false" outlineLevel="0" collapsed="false"/>
    <row r="301" s="2674" customFormat="true" ht="15.75" hidden="false" customHeight="false" outlineLevel="0" collapsed="false"/>
    <row r="302" s="2674" customFormat="true" ht="15.75" hidden="false" customHeight="false" outlineLevel="0" collapsed="false"/>
    <row r="303" s="2674" customFormat="true" ht="15.75" hidden="false" customHeight="false" outlineLevel="0" collapsed="false"/>
    <row r="304" s="2674" customFormat="true" ht="15.75" hidden="false" customHeight="false" outlineLevel="0" collapsed="false"/>
    <row r="305" s="2674" customFormat="true" ht="15.75" hidden="false" customHeight="false" outlineLevel="0" collapsed="false"/>
    <row r="306" s="2674" customFormat="true" ht="15.75" hidden="false" customHeight="false" outlineLevel="0" collapsed="false"/>
    <row r="307" s="2674" customFormat="true" ht="15.75" hidden="false" customHeight="false" outlineLevel="0" collapsed="false"/>
    <row r="308" s="2674" customFormat="true" ht="15.75" hidden="false" customHeight="false" outlineLevel="0" collapsed="false"/>
    <row r="309" s="2674" customFormat="true" ht="15.75" hidden="false" customHeight="false" outlineLevel="0" collapsed="false"/>
    <row r="310" s="2674" customFormat="true" ht="15.75" hidden="false" customHeight="false" outlineLevel="0" collapsed="false"/>
    <row r="311" s="2674" customFormat="true" ht="15.75" hidden="false" customHeight="false" outlineLevel="0" collapsed="false"/>
    <row r="312" s="2757" customFormat="true" ht="15.75" hidden="false" customHeight="false" outlineLevel="0" collapsed="false"/>
    <row r="313" s="2757" customFormat="true" ht="15.75" hidden="false" customHeight="false" outlineLevel="0" collapsed="false"/>
    <row r="314" s="2674" customFormat="true" ht="15.75" hidden="false" customHeight="false" outlineLevel="0" collapsed="false"/>
    <row r="315" s="2674" customFormat="true" ht="15.75" hidden="false" customHeight="false" outlineLevel="0" collapsed="false"/>
    <row r="316" s="2674" customFormat="true" ht="15.75" hidden="false" customHeight="false" outlineLevel="0" collapsed="false"/>
    <row r="317" s="2674" customFormat="true" ht="15.75" hidden="false" customHeight="false" outlineLevel="0" collapsed="false"/>
    <row r="318" s="2674" customFormat="true" ht="15.75" hidden="false" customHeight="false" outlineLevel="0" collapsed="false"/>
    <row r="319" s="2674" customFormat="true" ht="15.75" hidden="false" customHeight="false" outlineLevel="0" collapsed="false"/>
    <row r="320" s="2674" customFormat="true" ht="15.75" hidden="false" customHeight="false" outlineLevel="0" collapsed="false"/>
    <row r="321" s="2674" customFormat="true" ht="15.75" hidden="false" customHeight="false" outlineLevel="0" collapsed="false"/>
    <row r="322" s="2674" customFormat="true" ht="15.75" hidden="false" customHeight="false" outlineLevel="0" collapsed="false"/>
    <row r="323" s="2674" customFormat="true" ht="15.75" hidden="false" customHeight="false" outlineLevel="0" collapsed="false"/>
    <row r="324" s="2674" customFormat="true" ht="15.75" hidden="false" customHeight="false" outlineLevel="0" collapsed="false"/>
    <row r="325" s="2674" customFormat="true" ht="15.75" hidden="false" customHeight="false" outlineLevel="0" collapsed="false"/>
    <row r="326" s="2674" customFormat="true" ht="15.75" hidden="false" customHeight="false" outlineLevel="0" collapsed="false"/>
    <row r="327" s="2674" customFormat="true" ht="15.75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685"/>
  <sheetViews>
    <sheetView showFormulas="false" showGridLines="true" showRowColHeaders="true" showZeros="true" rightToLeft="false" tabSelected="false" showOutlineSymbols="true" defaultGridColor="true" view="normal" topLeftCell="A283" colorId="64" zoomScale="100" zoomScaleNormal="100" zoomScalePageLayoutView="100" workbookViewId="0">
      <selection pane="topLeft" activeCell="B303" activeCellId="0" sqref="B303"/>
    </sheetView>
  </sheetViews>
  <sheetFormatPr defaultColWidth="9.15625" defaultRowHeight="15" zeroHeight="false" outlineLevelRow="1" outlineLevelCol="0"/>
  <cols>
    <col collapsed="false" customWidth="true" hidden="false" outlineLevel="0" max="1" min="1" style="1158" width="35.58"/>
    <col collapsed="false" customWidth="true" hidden="false" outlineLevel="0" max="2" min="2" style="1158" width="13.43"/>
    <col collapsed="false" customWidth="true" hidden="false" outlineLevel="0" max="3" min="3" style="1158" width="11.42"/>
    <col collapsed="false" customWidth="true" hidden="false" outlineLevel="0" max="4" min="4" style="1158" width="11.14"/>
    <col collapsed="false" customWidth="true" hidden="false" outlineLevel="0" max="6" min="5" style="1158" width="12.57"/>
    <col collapsed="false" customWidth="true" hidden="false" outlineLevel="0" max="7" min="7" style="1158" width="14.28"/>
    <col collapsed="false" customWidth="true" hidden="false" outlineLevel="0" max="8" min="8" style="1158" width="15.57"/>
    <col collapsed="false" customWidth="false" hidden="false" outlineLevel="0" max="9" min="9" style="1158" width="9.14"/>
    <col collapsed="false" customWidth="true" hidden="false" outlineLevel="0" max="10" min="10" style="1158" width="11.14"/>
    <col collapsed="false" customWidth="false" hidden="false" outlineLevel="0" max="11" min="11" style="1158" width="9.14"/>
    <col collapsed="false" customWidth="true" hidden="false" outlineLevel="0" max="12" min="12" style="1158" width="13.86"/>
    <col collapsed="false" customWidth="false" hidden="false" outlineLevel="0" max="1024" min="13" style="1158" width="9.14"/>
  </cols>
  <sheetData>
    <row r="1" customFormat="false" ht="15" hidden="false" customHeight="false" outlineLevel="0" collapsed="false">
      <c r="A1" s="2454" t="s">
        <v>46</v>
      </c>
      <c r="B1" s="2454"/>
      <c r="C1" s="2454"/>
      <c r="D1" s="2758" t="s">
        <v>12</v>
      </c>
      <c r="E1" s="2758" t="s">
        <v>13</v>
      </c>
      <c r="F1" s="1417"/>
      <c r="G1" s="1614"/>
      <c r="H1" s="1614"/>
      <c r="I1" s="1614"/>
      <c r="J1" s="2759"/>
      <c r="K1" s="2759"/>
      <c r="L1" s="2759"/>
      <c r="M1" s="2759"/>
    </row>
    <row r="2" customFormat="false" ht="15" hidden="false" customHeight="false" outlineLevel="0" collapsed="false">
      <c r="A2" s="1616" t="s">
        <v>2947</v>
      </c>
      <c r="B2" s="1616"/>
      <c r="C2" s="1616"/>
      <c r="D2" s="2461"/>
      <c r="E2" s="1319" t="e">
        <f aca="false">'ввод данных'!#ref!</f>
        <v>#VALUE!</v>
      </c>
      <c r="F2" s="1301"/>
      <c r="G2" s="1417"/>
      <c r="H2" s="1311"/>
      <c r="I2" s="1417"/>
      <c r="J2" s="2759"/>
      <c r="K2" s="2759"/>
      <c r="L2" s="2759"/>
      <c r="M2" s="2759"/>
    </row>
    <row r="3" customFormat="false" ht="15" hidden="false" customHeight="false" outlineLevel="0" collapsed="false">
      <c r="A3" s="1310" t="s">
        <v>2948</v>
      </c>
      <c r="B3" s="1310"/>
      <c r="C3" s="1310"/>
      <c r="D3" s="2461" t="s">
        <v>15</v>
      </c>
      <c r="E3" s="1319" t="n">
        <f aca="false">'Ввод данных'!C9</f>
        <v>8</v>
      </c>
      <c r="F3" s="1311"/>
      <c r="G3" s="1417"/>
      <c r="H3" s="1311"/>
      <c r="I3" s="1417"/>
      <c r="J3" s="2759"/>
      <c r="K3" s="2759"/>
      <c r="L3" s="2759"/>
      <c r="M3" s="2759"/>
    </row>
    <row r="4" customFormat="false" ht="15" hidden="false" customHeight="false" outlineLevel="0" collapsed="false">
      <c r="A4" s="1310" t="s">
        <v>2949</v>
      </c>
      <c r="B4" s="1310"/>
      <c r="C4" s="1310"/>
      <c r="D4" s="2461" t="s">
        <v>15</v>
      </c>
      <c r="E4" s="1319" t="n">
        <f aca="false">'Ввод данных'!C10</f>
        <v>8</v>
      </c>
      <c r="F4" s="1311"/>
      <c r="G4" s="1311"/>
      <c r="H4" s="1311"/>
      <c r="I4" s="1417"/>
      <c r="J4" s="2759"/>
      <c r="K4" s="2759"/>
      <c r="L4" s="2759"/>
      <c r="M4" s="2759"/>
    </row>
    <row r="5" customFormat="false" ht="15" hidden="false" customHeight="false" outlineLevel="0" collapsed="false">
      <c r="A5" s="1310" t="s">
        <v>2950</v>
      </c>
      <c r="B5" s="1310"/>
      <c r="C5" s="1310"/>
      <c r="D5" s="2461" t="s">
        <v>15</v>
      </c>
      <c r="E5" s="1319" t="n">
        <f aca="false">'Ввод данных'!C11</f>
        <v>2.8</v>
      </c>
      <c r="F5" s="1311"/>
      <c r="G5" s="1311"/>
      <c r="H5" s="1311"/>
      <c r="I5" s="1631"/>
      <c r="J5" s="2759"/>
      <c r="K5" s="2759"/>
      <c r="L5" s="2759"/>
      <c r="M5" s="2759"/>
    </row>
    <row r="6" customFormat="false" ht="15" hidden="false" customHeight="false" outlineLevel="0" collapsed="false">
      <c r="A6" s="1310" t="s">
        <v>2957</v>
      </c>
      <c r="B6" s="1310"/>
      <c r="C6" s="1310"/>
      <c r="D6" s="2461" t="s">
        <v>15</v>
      </c>
      <c r="E6" s="1319" t="n">
        <f aca="false">связи1!H236</f>
        <v>1.6</v>
      </c>
      <c r="F6" s="1311"/>
      <c r="G6" s="1311"/>
      <c r="H6" s="1311"/>
      <c r="I6" s="2760"/>
      <c r="J6" s="2759"/>
      <c r="K6" s="2759"/>
      <c r="L6" s="2759"/>
      <c r="M6" s="2759"/>
    </row>
    <row r="7" customFormat="false" ht="15" hidden="false" customHeight="false" outlineLevel="0" collapsed="false">
      <c r="A7" s="1310" t="s">
        <v>3982</v>
      </c>
      <c r="B7" s="1310"/>
      <c r="C7" s="1310"/>
      <c r="D7" s="2461" t="s">
        <v>15</v>
      </c>
      <c r="E7" s="1319" t="n">
        <f aca="false">'Ввод данных'!C12</f>
        <v>2.6</v>
      </c>
      <c r="F7" s="1311"/>
      <c r="G7" s="1311"/>
      <c r="H7" s="2760"/>
      <c r="I7" s="2760"/>
      <c r="J7" s="2759"/>
      <c r="K7" s="2759"/>
      <c r="L7" s="2759"/>
      <c r="M7" s="2759"/>
    </row>
    <row r="8" customFormat="false" ht="15" hidden="false" customHeight="false" outlineLevel="0" collapsed="false">
      <c r="A8" s="1310" t="s">
        <v>3983</v>
      </c>
      <c r="B8" s="1310"/>
      <c r="C8" s="1310"/>
      <c r="D8" s="2461" t="s">
        <v>15</v>
      </c>
      <c r="E8" s="1319" t="n">
        <f aca="false">связи1!H235</f>
        <v>5</v>
      </c>
      <c r="F8" s="1311"/>
      <c r="G8" s="1311"/>
      <c r="H8" s="1417"/>
      <c r="I8" s="1417"/>
      <c r="J8" s="2759"/>
      <c r="K8" s="2759"/>
      <c r="L8" s="2759"/>
      <c r="M8" s="2759"/>
    </row>
    <row r="9" customFormat="false" ht="15" hidden="false" customHeight="false" outlineLevel="0" collapsed="false">
      <c r="A9" s="1316" t="s">
        <v>3984</v>
      </c>
      <c r="B9" s="1316"/>
      <c r="C9" s="1316"/>
      <c r="D9" s="2761" t="s">
        <v>486</v>
      </c>
      <c r="E9" s="1319"/>
      <c r="F9" s="1311" t="s">
        <v>3985</v>
      </c>
      <c r="G9" s="1417"/>
      <c r="H9" s="1311"/>
      <c r="I9" s="1295"/>
      <c r="J9" s="2759"/>
      <c r="K9" s="2759"/>
      <c r="L9" s="2759"/>
      <c r="M9" s="2759"/>
    </row>
    <row r="10" customFormat="false" ht="15" hidden="false" customHeight="false" outlineLevel="0" collapsed="false">
      <c r="A10" s="2762" t="s">
        <v>3005</v>
      </c>
      <c r="B10" s="2762"/>
      <c r="C10" s="2762"/>
      <c r="D10" s="2763" t="s">
        <v>12</v>
      </c>
      <c r="E10" s="1308" t="s">
        <v>137</v>
      </c>
      <c r="F10" s="2764"/>
      <c r="G10" s="1417"/>
      <c r="H10" s="1311"/>
      <c r="I10" s="1295"/>
      <c r="J10" s="2759"/>
      <c r="K10" s="2759"/>
      <c r="L10" s="2759"/>
      <c r="M10" s="2759"/>
    </row>
    <row r="11" customFormat="false" ht="15" hidden="false" customHeight="false" outlineLevel="0" collapsed="false">
      <c r="A11" s="1310" t="s">
        <v>302</v>
      </c>
      <c r="B11" s="1310"/>
      <c r="C11" s="1310"/>
      <c r="D11" s="1333" t="s">
        <v>15</v>
      </c>
      <c r="E11" s="1319"/>
      <c r="F11" s="1306" t="n">
        <f aca="false">дома!AA38</f>
        <v>6.3</v>
      </c>
      <c r="G11" s="1301" t="s">
        <v>3668</v>
      </c>
      <c r="H11" s="1311"/>
      <c r="I11" s="1295"/>
      <c r="J11" s="2759"/>
      <c r="K11" s="2759"/>
      <c r="L11" s="2759"/>
      <c r="M11" s="2759"/>
    </row>
    <row r="12" customFormat="false" ht="15" hidden="false" customHeight="false" outlineLevel="0" collapsed="false">
      <c r="A12" s="1310" t="s">
        <v>2758</v>
      </c>
      <c r="B12" s="1310"/>
      <c r="C12" s="1310"/>
      <c r="D12" s="1333" t="s">
        <v>15</v>
      </c>
      <c r="E12" s="1319"/>
      <c r="F12" s="1306" t="n">
        <f aca="false">дома!AA42</f>
        <v>6.3</v>
      </c>
      <c r="G12" s="1301" t="s">
        <v>3669</v>
      </c>
      <c r="H12" s="1311"/>
      <c r="I12" s="1295"/>
      <c r="J12" s="2759"/>
      <c r="K12" s="2759"/>
      <c r="L12" s="2759"/>
      <c r="M12" s="2759"/>
    </row>
    <row r="13" customFormat="false" ht="15" hidden="false" customHeight="false" outlineLevel="0" collapsed="false">
      <c r="A13" s="1310" t="s">
        <v>2759</v>
      </c>
      <c r="B13" s="1310"/>
      <c r="C13" s="1310"/>
      <c r="D13" s="1333" t="s">
        <v>15</v>
      </c>
      <c r="E13" s="1319"/>
      <c r="F13" s="1306" t="n">
        <f aca="false">дома!AA51</f>
        <v>0</v>
      </c>
      <c r="G13" s="1301" t="s">
        <v>3670</v>
      </c>
      <c r="H13" s="1311"/>
      <c r="I13" s="1295"/>
      <c r="J13" s="2759"/>
      <c r="K13" s="2759"/>
      <c r="L13" s="2759"/>
      <c r="M13" s="2759"/>
    </row>
    <row r="14" customFormat="false" ht="15" hidden="false" customHeight="false" outlineLevel="0" collapsed="false">
      <c r="A14" s="1613" t="s">
        <v>2108</v>
      </c>
      <c r="B14" s="1613"/>
      <c r="C14" s="1613"/>
      <c r="D14" s="1334" t="s">
        <v>116</v>
      </c>
      <c r="E14" s="1334" t="s">
        <v>137</v>
      </c>
      <c r="F14" s="1313" t="s">
        <v>118</v>
      </c>
      <c r="G14" s="2765" t="s">
        <v>3014</v>
      </c>
      <c r="H14" s="1301"/>
      <c r="I14" s="1295"/>
      <c r="J14" s="2759"/>
      <c r="K14" s="2759"/>
      <c r="L14" s="2759"/>
      <c r="M14" s="2759"/>
    </row>
    <row r="15" customFormat="false" ht="15" hidden="false" customHeight="false" outlineLevel="0" collapsed="false">
      <c r="A15" s="1799" t="s">
        <v>3047</v>
      </c>
      <c r="B15" s="1799"/>
      <c r="C15" s="1799"/>
      <c r="D15" s="1318" t="n">
        <f aca="false">'Ввод данных'!C158</f>
        <v>1</v>
      </c>
      <c r="E15" s="1319" t="n">
        <f aca="false">'Ввод данных'!D158</f>
        <v>1.2</v>
      </c>
      <c r="F15" s="1306" t="n">
        <f aca="false">'Ввод данных'!E158</f>
        <v>1</v>
      </c>
      <c r="G15" s="1337" t="n">
        <f aca="false">D15*E15*F15</f>
        <v>1.2</v>
      </c>
      <c r="H15" s="1301"/>
      <c r="I15" s="1295"/>
      <c r="J15" s="2759"/>
      <c r="K15" s="2759"/>
      <c r="L15" s="2759"/>
      <c r="M15" s="2759"/>
    </row>
    <row r="16" customFormat="false" ht="15" hidden="false" customHeight="false" outlineLevel="0" collapsed="false">
      <c r="A16" s="1799" t="s">
        <v>3048</v>
      </c>
      <c r="B16" s="1799"/>
      <c r="C16" s="1799"/>
      <c r="D16" s="1318" t="n">
        <f aca="false">'Ввод данных'!C159</f>
        <v>0.6</v>
      </c>
      <c r="E16" s="1319" t="n">
        <f aca="false">'Ввод данных'!D159</f>
        <v>0.6</v>
      </c>
      <c r="F16" s="1306" t="n">
        <f aca="false">'Ввод данных'!E159</f>
        <v>0</v>
      </c>
      <c r="G16" s="1337" t="n">
        <f aca="false">D16*E16*F16</f>
        <v>0</v>
      </c>
      <c r="H16" s="1301"/>
      <c r="I16" s="1295"/>
      <c r="J16" s="2759"/>
      <c r="K16" s="2759"/>
      <c r="L16" s="2759"/>
      <c r="M16" s="2759"/>
    </row>
    <row r="17" customFormat="false" ht="15" hidden="false" customHeight="false" outlineLevel="0" collapsed="false">
      <c r="A17" s="1799" t="s">
        <v>3049</v>
      </c>
      <c r="B17" s="1799"/>
      <c r="C17" s="1799"/>
      <c r="D17" s="1318" t="n">
        <f aca="false">'Ввод данных'!C160</f>
        <v>1</v>
      </c>
      <c r="E17" s="1319" t="n">
        <f aca="false">'Ввод данных'!D160</f>
        <v>2</v>
      </c>
      <c r="F17" s="1306" t="n">
        <f aca="false">'Ввод данных'!E160</f>
        <v>0</v>
      </c>
      <c r="G17" s="1337" t="n">
        <f aca="false">D17*E17*F17</f>
        <v>0</v>
      </c>
      <c r="H17" s="1301"/>
      <c r="I17" s="1295"/>
      <c r="J17" s="2759"/>
      <c r="K17" s="2759"/>
      <c r="L17" s="2759"/>
      <c r="M17" s="2759"/>
    </row>
    <row r="18" customFormat="false" ht="15" hidden="false" customHeight="false" outlineLevel="0" collapsed="false">
      <c r="A18" s="1799" t="s">
        <v>3039</v>
      </c>
      <c r="B18" s="1799"/>
      <c r="C18" s="1799"/>
      <c r="D18" s="1318" t="n">
        <f aca="false">'Ввод данных'!C163</f>
        <v>0.8</v>
      </c>
      <c r="E18" s="1319" t="n">
        <f aca="false">'Ввод данных'!D163</f>
        <v>2.1</v>
      </c>
      <c r="F18" s="1306" t="n">
        <f aca="false">'Ввод данных'!E163</f>
        <v>0</v>
      </c>
      <c r="G18" s="1337" t="n">
        <f aca="false">D18*E18*F18</f>
        <v>0</v>
      </c>
      <c r="H18" s="1301"/>
      <c r="I18" s="1295"/>
      <c r="J18" s="2759"/>
      <c r="K18" s="2759"/>
      <c r="L18" s="2759"/>
      <c r="M18" s="2759"/>
    </row>
    <row r="19" customFormat="false" ht="15" hidden="false" customHeight="false" outlineLevel="0" collapsed="false">
      <c r="A19" s="2470" t="s">
        <v>3043</v>
      </c>
      <c r="B19" s="2470"/>
      <c r="C19" s="2470"/>
      <c r="D19" s="2470"/>
      <c r="E19" s="2470"/>
      <c r="F19" s="2470"/>
      <c r="G19" s="1337" t="n">
        <f aca="false">SUM(G15:G18)</f>
        <v>1.2</v>
      </c>
      <c r="H19" s="1301"/>
      <c r="I19" s="1295"/>
      <c r="J19" s="2759"/>
      <c r="K19" s="2759"/>
      <c r="L19" s="2759"/>
      <c r="M19" s="2759"/>
    </row>
    <row r="20" customFormat="false" ht="15" hidden="false" customHeight="false" outlineLevel="0" collapsed="false">
      <c r="A20" s="1613" t="s">
        <v>2791</v>
      </c>
      <c r="B20" s="1613"/>
      <c r="C20" s="1613"/>
      <c r="D20" s="1308" t="s">
        <v>116</v>
      </c>
      <c r="E20" s="1308" t="s">
        <v>137</v>
      </c>
      <c r="F20" s="1308" t="s">
        <v>118</v>
      </c>
      <c r="G20" s="1308" t="s">
        <v>3045</v>
      </c>
      <c r="H20" s="1301"/>
      <c r="I20" s="1295"/>
      <c r="J20" s="2759"/>
      <c r="K20" s="2759"/>
      <c r="L20" s="2759"/>
      <c r="M20" s="2759"/>
    </row>
    <row r="21" customFormat="false" ht="15" hidden="false" customHeight="false" outlineLevel="0" collapsed="false">
      <c r="A21" s="1799" t="s">
        <v>3047</v>
      </c>
      <c r="B21" s="1799"/>
      <c r="C21" s="1799"/>
      <c r="D21" s="1318" t="n">
        <f aca="false">'Ввод данных'!C181</f>
        <v>0.8</v>
      </c>
      <c r="E21" s="1319" t="n">
        <f aca="false">'Ввод данных'!D181</f>
        <v>2.1</v>
      </c>
      <c r="F21" s="1306" t="n">
        <f aca="false">'Ввод данных'!E181</f>
        <v>3</v>
      </c>
      <c r="G21" s="1176" t="n">
        <f aca="false">D21*E21*F21</f>
        <v>5.04</v>
      </c>
      <c r="H21" s="1301"/>
      <c r="I21" s="1295"/>
      <c r="J21" s="2759"/>
      <c r="K21" s="2759"/>
      <c r="L21" s="2759"/>
      <c r="M21" s="2759"/>
    </row>
    <row r="22" customFormat="false" ht="15" hidden="false" customHeight="false" outlineLevel="0" collapsed="false">
      <c r="A22" s="1799" t="s">
        <v>3048</v>
      </c>
      <c r="B22" s="1799"/>
      <c r="C22" s="1799"/>
      <c r="D22" s="1318" t="n">
        <f aca="false">'Ввод данных'!C182</f>
        <v>0.6</v>
      </c>
      <c r="E22" s="1319" t="n">
        <f aca="false">'Ввод данных'!D182</f>
        <v>2</v>
      </c>
      <c r="F22" s="1306" t="n">
        <f aca="false">'Ввод данных'!E182</f>
        <v>0</v>
      </c>
      <c r="G22" s="1176" t="n">
        <f aca="false">D22*E22*F22</f>
        <v>0</v>
      </c>
      <c r="H22" s="1301"/>
      <c r="I22" s="1295"/>
      <c r="J22" s="2759"/>
      <c r="K22" s="2759"/>
      <c r="L22" s="2759"/>
      <c r="M22" s="2759"/>
    </row>
    <row r="23" customFormat="false" ht="15" hidden="false" customHeight="false" outlineLevel="0" collapsed="false">
      <c r="A23" s="1799" t="s">
        <v>3049</v>
      </c>
      <c r="B23" s="1799"/>
      <c r="C23" s="1799"/>
      <c r="D23" s="1318" t="n">
        <f aca="false">'Ввод данных'!C185</f>
        <v>0.9</v>
      </c>
      <c r="E23" s="1319" t="n">
        <f aca="false">'Ввод данных'!D185</f>
        <v>2.1</v>
      </c>
      <c r="F23" s="1306" t="n">
        <f aca="false">'Ввод данных'!E185</f>
        <v>0</v>
      </c>
      <c r="G23" s="1176" t="n">
        <f aca="false">D23*E23*F23</f>
        <v>0</v>
      </c>
      <c r="H23" s="1301"/>
      <c r="I23" s="1295"/>
      <c r="J23" s="2759"/>
      <c r="K23" s="2759"/>
      <c r="L23" s="2759"/>
      <c r="M23" s="2759"/>
    </row>
    <row r="24" customFormat="false" ht="15" hidden="false" customHeight="false" outlineLevel="0" collapsed="false">
      <c r="A24" s="1799" t="s">
        <v>3050</v>
      </c>
      <c r="B24" s="1799"/>
      <c r="C24" s="1799"/>
      <c r="D24" s="1318" t="n">
        <f aca="false">'Ввод данных'!C189</f>
        <v>0.8</v>
      </c>
      <c r="E24" s="1319" t="n">
        <f aca="false">'Ввод данных'!D189</f>
        <v>2.1</v>
      </c>
      <c r="F24" s="1306" t="n">
        <f aca="false">'Ввод данных'!E189</f>
        <v>0</v>
      </c>
      <c r="G24" s="1176" t="n">
        <f aca="false">D24*E24*F24</f>
        <v>0</v>
      </c>
      <c r="H24" s="1301"/>
      <c r="I24" s="1295"/>
      <c r="J24" s="2759"/>
      <c r="K24" s="2759"/>
      <c r="L24" s="2759"/>
      <c r="M24" s="2759"/>
    </row>
    <row r="25" customFormat="false" ht="15" hidden="false" customHeight="false" outlineLevel="0" collapsed="false">
      <c r="A25" s="2470" t="s">
        <v>3986</v>
      </c>
      <c r="B25" s="2470"/>
      <c r="C25" s="2470"/>
      <c r="D25" s="2470"/>
      <c r="E25" s="2470"/>
      <c r="F25" s="2470"/>
      <c r="G25" s="1176" t="n">
        <f aca="false">SUM(G21:G24)</f>
        <v>5.04</v>
      </c>
      <c r="H25" s="1301"/>
      <c r="I25" s="1295"/>
      <c r="J25" s="2759"/>
      <c r="K25" s="2759"/>
      <c r="L25" s="2759"/>
      <c r="M25" s="2759"/>
    </row>
    <row r="26" customFormat="false" ht="15" hidden="false" customHeight="false" outlineLevel="0" collapsed="false">
      <c r="A26" s="1613" t="s">
        <v>1839</v>
      </c>
      <c r="B26" s="1613"/>
      <c r="C26" s="1613"/>
      <c r="D26" s="1308" t="s">
        <v>116</v>
      </c>
      <c r="E26" s="1308" t="s">
        <v>137</v>
      </c>
      <c r="F26" s="1308" t="s">
        <v>118</v>
      </c>
      <c r="G26" s="1308" t="s">
        <v>3045</v>
      </c>
      <c r="H26" s="1301"/>
      <c r="I26" s="1295"/>
      <c r="J26" s="2759"/>
      <c r="K26" s="2759"/>
      <c r="L26" s="2759"/>
      <c r="M26" s="2759"/>
    </row>
    <row r="27" customFormat="false" ht="15" hidden="false" customHeight="false" outlineLevel="0" collapsed="false">
      <c r="A27" s="1799" t="s">
        <v>3047</v>
      </c>
      <c r="B27" s="1799"/>
      <c r="C27" s="1799"/>
      <c r="D27" s="1318" t="n">
        <f aca="false">'Ввод данных'!C175</f>
        <v>0.8</v>
      </c>
      <c r="E27" s="1319" t="n">
        <f aca="false">'Ввод данных'!D175</f>
        <v>2</v>
      </c>
      <c r="F27" s="1306" t="n">
        <f aca="false">'Ввод данных'!E175</f>
        <v>0</v>
      </c>
      <c r="G27" s="1176" t="n">
        <f aca="false">D27*E27*F27</f>
        <v>0</v>
      </c>
      <c r="H27" s="1301"/>
      <c r="I27" s="1295"/>
      <c r="J27" s="2759"/>
      <c r="K27" s="2759"/>
      <c r="L27" s="2759"/>
      <c r="M27" s="2759"/>
    </row>
    <row r="28" customFormat="false" ht="15" hidden="false" customHeight="false" outlineLevel="0" collapsed="false">
      <c r="A28" s="1799" t="s">
        <v>3048</v>
      </c>
      <c r="B28" s="1799"/>
      <c r="C28" s="1799"/>
      <c r="D28" s="1318" t="n">
        <f aca="false">'Ввод данных'!C176</f>
        <v>0.9</v>
      </c>
      <c r="E28" s="1319" t="n">
        <f aca="false">'Ввод данных'!D176</f>
        <v>2.1</v>
      </c>
      <c r="F28" s="1306" t="n">
        <f aca="false">'Ввод данных'!E176</f>
        <v>1</v>
      </c>
      <c r="G28" s="1176" t="n">
        <f aca="false">D28*E28*F28</f>
        <v>1.89</v>
      </c>
      <c r="H28" s="1301"/>
      <c r="I28" s="1295"/>
      <c r="J28" s="2759"/>
      <c r="K28" s="2759"/>
      <c r="L28" s="2759"/>
      <c r="M28" s="2759"/>
    </row>
    <row r="29" customFormat="false" ht="15" hidden="false" customHeight="false" outlineLevel="0" collapsed="false">
      <c r="A29" s="1799" t="s">
        <v>3049</v>
      </c>
      <c r="B29" s="1799"/>
      <c r="C29" s="1799"/>
      <c r="D29" s="1318" t="n">
        <f aca="false">'Ввод данных'!C177</f>
        <v>1</v>
      </c>
      <c r="E29" s="1319" t="n">
        <f aca="false">'Ввод данных'!D177</f>
        <v>2</v>
      </c>
      <c r="F29" s="1306" t="n">
        <f aca="false">'Ввод данных'!E177</f>
        <v>0</v>
      </c>
      <c r="G29" s="1176" t="n">
        <f aca="false">D29*E29*F29</f>
        <v>0</v>
      </c>
      <c r="H29" s="1301"/>
      <c r="I29" s="1295"/>
      <c r="J29" s="2759"/>
      <c r="K29" s="2759"/>
      <c r="L29" s="2759"/>
      <c r="M29" s="2759"/>
    </row>
    <row r="30" customFormat="false" ht="15" hidden="false" customHeight="false" outlineLevel="0" collapsed="false">
      <c r="A30" s="2470" t="s">
        <v>3043</v>
      </c>
      <c r="B30" s="2470"/>
      <c r="C30" s="2470"/>
      <c r="D30" s="2470"/>
      <c r="E30" s="2470"/>
      <c r="F30" s="2470"/>
      <c r="G30" s="1176" t="n">
        <f aca="false">SUM(G27:G29)</f>
        <v>1.89</v>
      </c>
      <c r="H30" s="1301"/>
      <c r="I30" s="1295"/>
      <c r="J30" s="2759"/>
      <c r="K30" s="2759"/>
      <c r="L30" s="2759"/>
      <c r="M30" s="2759"/>
    </row>
    <row r="31" customFormat="false" ht="15" hidden="false" customHeight="false" outlineLevel="0" collapsed="false">
      <c r="A31" s="2473"/>
      <c r="B31" s="2473"/>
      <c r="C31" s="2473"/>
      <c r="D31" s="2473"/>
      <c r="E31" s="1311"/>
      <c r="F31" s="1311"/>
      <c r="G31" s="1311"/>
      <c r="H31" s="1295"/>
      <c r="I31" s="1295"/>
      <c r="J31" s="2759"/>
      <c r="K31" s="2759"/>
      <c r="L31" s="2759"/>
      <c r="M31" s="2759"/>
    </row>
    <row r="32" customFormat="false" ht="15" hidden="false" customHeight="false" outlineLevel="0" collapsed="false">
      <c r="A32" s="1297" t="s">
        <v>161</v>
      </c>
      <c r="B32" s="1297"/>
      <c r="C32" s="1308" t="s">
        <v>162</v>
      </c>
      <c r="D32" s="1308" t="s">
        <v>200</v>
      </c>
      <c r="E32" s="2766" t="s">
        <v>118</v>
      </c>
      <c r="F32" s="1297" t="s">
        <v>200</v>
      </c>
      <c r="G32" s="1311"/>
      <c r="H32" s="1295"/>
      <c r="I32" s="1295"/>
      <c r="J32" s="2759"/>
      <c r="K32" s="2759"/>
      <c r="L32" s="2759"/>
      <c r="M32" s="2759"/>
    </row>
    <row r="33" customFormat="false" ht="15" hidden="false" customHeight="false" outlineLevel="0" collapsed="false">
      <c r="A33" s="1304" t="s">
        <v>166</v>
      </c>
      <c r="B33" s="1304"/>
      <c r="C33" s="1176" t="s">
        <v>15</v>
      </c>
      <c r="D33" s="1506" t="n">
        <f aca="false">'Ввод данных'!C202</f>
        <v>6</v>
      </c>
      <c r="E33" s="2767" t="n">
        <f aca="false">'Ввод данных'!D202</f>
        <v>2</v>
      </c>
      <c r="F33" s="1176" t="n">
        <f aca="false">D33*E33</f>
        <v>12</v>
      </c>
      <c r="G33" s="1311"/>
      <c r="H33" s="1295"/>
      <c r="I33" s="1295"/>
      <c r="J33" s="2759"/>
      <c r="K33" s="2759"/>
      <c r="L33" s="2759"/>
      <c r="M33" s="2759"/>
    </row>
    <row r="34" customFormat="false" ht="15" hidden="false" customHeight="false" outlineLevel="0" collapsed="false">
      <c r="A34" s="1304"/>
      <c r="B34" s="1304"/>
      <c r="C34" s="1176" t="s">
        <v>15</v>
      </c>
      <c r="D34" s="1506" t="n">
        <f aca="false">'Ввод данных'!C203</f>
        <v>4</v>
      </c>
      <c r="E34" s="2767" t="n">
        <f aca="false">'Ввод данных'!D203</f>
        <v>1</v>
      </c>
      <c r="F34" s="1176" t="n">
        <f aca="false">D34*E34</f>
        <v>4</v>
      </c>
      <c r="G34" s="1311"/>
      <c r="H34" s="1295"/>
      <c r="I34" s="1295"/>
      <c r="J34" s="2759"/>
      <c r="K34" s="2759"/>
      <c r="L34" s="2759"/>
      <c r="M34" s="2759"/>
    </row>
    <row r="35" customFormat="false" ht="15" hidden="false" customHeight="false" outlineLevel="0" collapsed="false">
      <c r="A35" s="1304"/>
      <c r="B35" s="1304"/>
      <c r="C35" s="1176" t="s">
        <v>15</v>
      </c>
      <c r="D35" s="1506" t="n">
        <f aca="false">'Ввод данных'!C204</f>
        <v>0</v>
      </c>
      <c r="E35" s="2767" t="n">
        <f aca="false">'Ввод данных'!D204</f>
        <v>0</v>
      </c>
      <c r="F35" s="1176" t="n">
        <f aca="false">D35*E35</f>
        <v>0</v>
      </c>
      <c r="G35" s="1311"/>
      <c r="H35" s="1295"/>
      <c r="I35" s="1295"/>
      <c r="J35" s="2759"/>
      <c r="K35" s="2759"/>
      <c r="L35" s="2759"/>
      <c r="M35" s="2759"/>
    </row>
    <row r="36" customFormat="false" ht="15" hidden="false" customHeight="false" outlineLevel="0" collapsed="false">
      <c r="A36" s="1304"/>
      <c r="B36" s="1304"/>
      <c r="C36" s="1176" t="s">
        <v>15</v>
      </c>
      <c r="D36" s="1506" t="n">
        <f aca="false">'Ввод данных'!C205</f>
        <v>0</v>
      </c>
      <c r="E36" s="2767" t="n">
        <f aca="false">'Ввод данных'!D205</f>
        <v>0</v>
      </c>
      <c r="F36" s="1176" t="n">
        <f aca="false">D36*E36</f>
        <v>0</v>
      </c>
      <c r="G36" s="1311"/>
      <c r="H36" s="1295"/>
      <c r="I36" s="1295"/>
      <c r="J36" s="2759"/>
      <c r="K36" s="2759"/>
      <c r="L36" s="2759"/>
      <c r="M36" s="2759"/>
    </row>
    <row r="37" customFormat="false" ht="15" hidden="false" customHeight="false" outlineLevel="0" collapsed="false">
      <c r="A37" s="1304" t="s">
        <v>169</v>
      </c>
      <c r="B37" s="1304"/>
      <c r="C37" s="1176" t="s">
        <v>15</v>
      </c>
      <c r="D37" s="1506" t="n">
        <f aca="false">'Ввод данных'!C206</f>
        <v>1.8</v>
      </c>
      <c r="E37" s="2767" t="n">
        <f aca="false">'Ввод данных'!D206</f>
        <v>1</v>
      </c>
      <c r="F37" s="1176" t="n">
        <f aca="false">D37*E37</f>
        <v>1.8</v>
      </c>
      <c r="G37" s="1311"/>
      <c r="H37" s="1295"/>
      <c r="I37" s="1295"/>
      <c r="J37" s="2759"/>
      <c r="K37" s="2759"/>
      <c r="L37" s="2759"/>
      <c r="M37" s="2759"/>
    </row>
    <row r="38" customFormat="false" ht="15" hidden="false" customHeight="false" outlineLevel="0" collapsed="false">
      <c r="A38" s="1304"/>
      <c r="B38" s="1304"/>
      <c r="C38" s="1176" t="s">
        <v>15</v>
      </c>
      <c r="D38" s="1506" t="n">
        <f aca="false">'Ввод данных'!C207</f>
        <v>0</v>
      </c>
      <c r="E38" s="2767" t="n">
        <f aca="false">'Ввод данных'!D207</f>
        <v>0</v>
      </c>
      <c r="F38" s="1176" t="n">
        <f aca="false">D38*E38</f>
        <v>0</v>
      </c>
      <c r="G38" s="1311"/>
      <c r="H38" s="1295"/>
      <c r="I38" s="1311"/>
      <c r="J38" s="2759"/>
      <c r="K38" s="2759"/>
      <c r="L38" s="2759"/>
      <c r="M38" s="2759"/>
    </row>
    <row r="39" customFormat="false" ht="15" hidden="false" customHeight="false" outlineLevel="0" collapsed="false">
      <c r="A39" s="1304"/>
      <c r="B39" s="1304"/>
      <c r="C39" s="1176" t="s">
        <v>15</v>
      </c>
      <c r="D39" s="1506" t="n">
        <f aca="false">'Ввод данных'!C208</f>
        <v>0</v>
      </c>
      <c r="E39" s="2767" t="n">
        <f aca="false">'Ввод данных'!D208</f>
        <v>0</v>
      </c>
      <c r="F39" s="1176" t="n">
        <f aca="false">D39*E39</f>
        <v>0</v>
      </c>
      <c r="G39" s="1311"/>
      <c r="H39" s="1295"/>
      <c r="I39" s="1311"/>
      <c r="J39" s="2759"/>
      <c r="K39" s="2759"/>
      <c r="L39" s="2759"/>
      <c r="M39" s="2759"/>
    </row>
    <row r="40" customFormat="false" ht="15" hidden="false" customHeight="false" outlineLevel="0" collapsed="false">
      <c r="A40" s="1304"/>
      <c r="B40" s="1304"/>
      <c r="C40" s="1176" t="s">
        <v>15</v>
      </c>
      <c r="D40" s="1506" t="n">
        <f aca="false">'Ввод данных'!C209</f>
        <v>0</v>
      </c>
      <c r="E40" s="2767" t="n">
        <f aca="false">'Ввод данных'!D209</f>
        <v>0</v>
      </c>
      <c r="F40" s="1176" t="n">
        <f aca="false">D40*E40</f>
        <v>0</v>
      </c>
      <c r="G40" s="1311"/>
      <c r="H40" s="1295"/>
      <c r="I40" s="1311"/>
      <c r="J40" s="2759"/>
      <c r="K40" s="2759"/>
      <c r="L40" s="2759"/>
      <c r="M40" s="2759"/>
    </row>
    <row r="41" customFormat="false" ht="15" hidden="false" customHeight="false" outlineLevel="0" collapsed="false">
      <c r="A41" s="1304" t="s">
        <v>170</v>
      </c>
      <c r="B41" s="1304"/>
      <c r="C41" s="1176" t="s">
        <v>15</v>
      </c>
      <c r="D41" s="1506" t="n">
        <f aca="false">'Ввод данных'!C210</f>
        <v>0</v>
      </c>
      <c r="E41" s="2767" t="n">
        <f aca="false">'Ввод данных'!D210</f>
        <v>0</v>
      </c>
      <c r="F41" s="1176" t="n">
        <f aca="false">D41*E41</f>
        <v>0</v>
      </c>
      <c r="G41" s="1311"/>
      <c r="H41" s="1295"/>
      <c r="I41" s="1311"/>
      <c r="J41" s="2759"/>
      <c r="K41" s="2759"/>
      <c r="L41" s="2759"/>
      <c r="M41" s="2759"/>
    </row>
    <row r="42" customFormat="false" ht="15" hidden="false" customHeight="false" outlineLevel="0" collapsed="false">
      <c r="A42" s="1304"/>
      <c r="B42" s="1304"/>
      <c r="C42" s="1176" t="s">
        <v>15</v>
      </c>
      <c r="D42" s="1506" t="n">
        <f aca="false">'Ввод данных'!C211</f>
        <v>0</v>
      </c>
      <c r="E42" s="2767" t="n">
        <f aca="false">'Ввод данных'!D211</f>
        <v>0</v>
      </c>
      <c r="F42" s="1176" t="n">
        <f aca="false">D42*E42</f>
        <v>0</v>
      </c>
      <c r="G42" s="1311"/>
      <c r="H42" s="1295"/>
      <c r="I42" s="1311"/>
      <c r="J42" s="2759"/>
      <c r="K42" s="2759"/>
      <c r="L42" s="2759"/>
      <c r="M42" s="2759"/>
    </row>
    <row r="43" customFormat="false" ht="15" hidden="false" customHeight="false" outlineLevel="0" collapsed="false">
      <c r="A43" s="1304"/>
      <c r="B43" s="1304"/>
      <c r="C43" s="1176" t="s">
        <v>15</v>
      </c>
      <c r="D43" s="1506" t="n">
        <f aca="false">'Ввод данных'!C212</f>
        <v>0</v>
      </c>
      <c r="E43" s="2767" t="n">
        <f aca="false">'Ввод данных'!D212</f>
        <v>0</v>
      </c>
      <c r="F43" s="1176" t="n">
        <f aca="false">D43*E43</f>
        <v>0</v>
      </c>
      <c r="G43" s="1311"/>
      <c r="H43" s="1295"/>
      <c r="I43" s="1295"/>
      <c r="J43" s="2759"/>
      <c r="K43" s="2759"/>
      <c r="L43" s="2759"/>
      <c r="M43" s="2759"/>
    </row>
    <row r="44" customFormat="false" ht="15" hidden="false" customHeight="false" outlineLevel="0" collapsed="false">
      <c r="A44" s="1304"/>
      <c r="B44" s="1304"/>
      <c r="C44" s="1176" t="s">
        <v>15</v>
      </c>
      <c r="D44" s="1506" t="n">
        <f aca="false">'Ввод данных'!C213</f>
        <v>0</v>
      </c>
      <c r="E44" s="2767" t="n">
        <f aca="false">'Ввод данных'!D213</f>
        <v>0</v>
      </c>
      <c r="F44" s="1176" t="n">
        <f aca="false">D44*E44</f>
        <v>0</v>
      </c>
      <c r="G44" s="1311"/>
      <c r="H44" s="1295"/>
      <c r="I44" s="1311"/>
      <c r="J44" s="2759"/>
      <c r="K44" s="2759"/>
      <c r="L44" s="2759"/>
      <c r="M44" s="2759"/>
    </row>
    <row r="45" customFormat="false" ht="15" hidden="false" customHeight="false" outlineLevel="0" collapsed="false">
      <c r="A45" s="1304" t="s">
        <v>172</v>
      </c>
      <c r="B45" s="1304"/>
      <c r="C45" s="1176" t="s">
        <v>15</v>
      </c>
      <c r="D45" s="1506" t="n">
        <f aca="false">'Ввод данных'!C214</f>
        <v>3</v>
      </c>
      <c r="E45" s="2767" t="n">
        <f aca="false">'Ввод данных'!D214</f>
        <v>2</v>
      </c>
      <c r="F45" s="1176" t="n">
        <f aca="false">D45*E45</f>
        <v>6</v>
      </c>
      <c r="G45" s="1311"/>
      <c r="H45" s="1295"/>
      <c r="I45" s="1311"/>
      <c r="J45" s="2759"/>
      <c r="K45" s="2759"/>
      <c r="L45" s="2759"/>
      <c r="M45" s="2759"/>
    </row>
    <row r="46" customFormat="false" ht="15" hidden="false" customHeight="false" outlineLevel="0" collapsed="false">
      <c r="A46" s="1304"/>
      <c r="B46" s="1304"/>
      <c r="C46" s="1176" t="s">
        <v>15</v>
      </c>
      <c r="D46" s="1506" t="n">
        <f aca="false">'Ввод данных'!C215</f>
        <v>0</v>
      </c>
      <c r="E46" s="2767" t="n">
        <f aca="false">'Ввод данных'!D215</f>
        <v>0</v>
      </c>
      <c r="F46" s="1176" t="n">
        <f aca="false">D46*E46</f>
        <v>0</v>
      </c>
      <c r="G46" s="1311"/>
      <c r="H46" s="1952"/>
      <c r="I46" s="1311"/>
      <c r="J46" s="2759"/>
      <c r="K46" s="2759"/>
      <c r="L46" s="2759"/>
      <c r="M46" s="2759"/>
    </row>
    <row r="47" customFormat="false" ht="15" hidden="false" customHeight="false" outlineLevel="0" collapsed="false">
      <c r="A47" s="1304"/>
      <c r="B47" s="1304"/>
      <c r="C47" s="1176" t="s">
        <v>15</v>
      </c>
      <c r="D47" s="1506" t="n">
        <f aca="false">'Ввод данных'!C216</f>
        <v>0</v>
      </c>
      <c r="E47" s="2767" t="n">
        <f aca="false">'Ввод данных'!D216</f>
        <v>0</v>
      </c>
      <c r="F47" s="1176" t="n">
        <f aca="false">D47*E47</f>
        <v>0</v>
      </c>
      <c r="G47" s="1311"/>
      <c r="H47" s="1952"/>
      <c r="I47" s="2484"/>
      <c r="J47" s="2759"/>
      <c r="K47" s="2759"/>
      <c r="L47" s="2759"/>
      <c r="M47" s="2759"/>
    </row>
    <row r="48" customFormat="false" ht="15" hidden="false" customHeight="false" outlineLevel="0" collapsed="false">
      <c r="A48" s="1304"/>
      <c r="B48" s="1304"/>
      <c r="C48" s="1176" t="s">
        <v>15</v>
      </c>
      <c r="D48" s="1506" t="n">
        <f aca="false">'Ввод данных'!C217</f>
        <v>0</v>
      </c>
      <c r="E48" s="2767" t="n">
        <f aca="false">'Ввод данных'!D217</f>
        <v>0</v>
      </c>
      <c r="F48" s="1176" t="n">
        <f aca="false">D48*E48</f>
        <v>0</v>
      </c>
      <c r="G48" s="1311"/>
      <c r="H48" s="1952"/>
      <c r="I48" s="1311"/>
      <c r="J48" s="2759"/>
      <c r="K48" s="2759"/>
      <c r="L48" s="2759"/>
      <c r="M48" s="2759"/>
    </row>
    <row r="49" customFormat="false" ht="15" hidden="false" customHeight="false" outlineLevel="0" collapsed="false">
      <c r="A49" s="1304" t="s">
        <v>173</v>
      </c>
      <c r="B49" s="1304"/>
      <c r="C49" s="1176" t="s">
        <v>15</v>
      </c>
      <c r="D49" s="1506" t="n">
        <f aca="false">'Ввод данных'!C218</f>
        <v>3.5</v>
      </c>
      <c r="E49" s="2767" t="n">
        <f aca="false">'Ввод данных'!D218</f>
        <v>1</v>
      </c>
      <c r="F49" s="1176" t="n">
        <f aca="false">D49*E49</f>
        <v>3.5</v>
      </c>
      <c r="G49" s="2768"/>
      <c r="H49" s="42"/>
      <c r="I49" s="1311"/>
      <c r="J49" s="2759"/>
      <c r="K49" s="2759"/>
      <c r="L49" s="2759"/>
      <c r="M49" s="2759"/>
    </row>
    <row r="50" customFormat="false" ht="15" hidden="false" customHeight="false" outlineLevel="0" collapsed="false">
      <c r="A50" s="1304"/>
      <c r="B50" s="1304"/>
      <c r="C50" s="1176" t="s">
        <v>15</v>
      </c>
      <c r="D50" s="1506" t="n">
        <f aca="false">'Ввод данных'!C219</f>
        <v>0</v>
      </c>
      <c r="E50" s="2767" t="n">
        <f aca="false">'Ввод данных'!D219</f>
        <v>0</v>
      </c>
      <c r="F50" s="1176" t="n">
        <f aca="false">D50*E50</f>
        <v>0</v>
      </c>
      <c r="G50" s="2768"/>
      <c r="H50" s="42"/>
      <c r="I50" s="1311"/>
      <c r="J50" s="2759"/>
      <c r="K50" s="2759"/>
      <c r="L50" s="2759"/>
      <c r="M50" s="2759"/>
    </row>
    <row r="51" customFormat="false" ht="15" hidden="false" customHeight="false" outlineLevel="0" collapsed="false">
      <c r="A51" s="1304"/>
      <c r="B51" s="1304"/>
      <c r="C51" s="1176" t="s">
        <v>15</v>
      </c>
      <c r="D51" s="1506" t="n">
        <f aca="false">'Ввод данных'!C220</f>
        <v>0</v>
      </c>
      <c r="E51" s="2767" t="n">
        <f aca="false">'Ввод данных'!D220</f>
        <v>0</v>
      </c>
      <c r="F51" s="1176" t="n">
        <f aca="false">D51*E51</f>
        <v>0</v>
      </c>
      <c r="G51" s="2768"/>
      <c r="H51" s="42"/>
      <c r="I51" s="1311"/>
      <c r="J51" s="2759"/>
      <c r="K51" s="2759"/>
      <c r="L51" s="2759"/>
      <c r="M51" s="2759"/>
    </row>
    <row r="52" customFormat="false" ht="15" hidden="false" customHeight="false" outlineLevel="0" collapsed="false">
      <c r="A52" s="1304"/>
      <c r="B52" s="1304"/>
      <c r="C52" s="1176" t="s">
        <v>15</v>
      </c>
      <c r="D52" s="1506" t="n">
        <f aca="false">'Ввод данных'!C221</f>
        <v>0</v>
      </c>
      <c r="E52" s="2767" t="n">
        <f aca="false">'Ввод данных'!D221</f>
        <v>0</v>
      </c>
      <c r="F52" s="1176" t="n">
        <f aca="false">D52*E52</f>
        <v>0</v>
      </c>
      <c r="G52" s="1311"/>
      <c r="H52" s="1311"/>
      <c r="I52" s="1311"/>
      <c r="J52" s="2759"/>
      <c r="K52" s="2759"/>
      <c r="L52" s="2759"/>
      <c r="M52" s="2759"/>
    </row>
    <row r="53" customFormat="false" ht="15" hidden="false" customHeight="false" outlineLevel="0" collapsed="false">
      <c r="A53" s="1304" t="s">
        <v>175</v>
      </c>
      <c r="B53" s="1304"/>
      <c r="C53" s="1176" t="s">
        <v>15</v>
      </c>
      <c r="D53" s="1506" t="n">
        <f aca="false">'Ввод данных'!C222</f>
        <v>0</v>
      </c>
      <c r="E53" s="2767" t="n">
        <f aca="false">'Ввод данных'!D222</f>
        <v>0</v>
      </c>
      <c r="F53" s="1176" t="n">
        <f aca="false">D53*E53</f>
        <v>0</v>
      </c>
      <c r="G53" s="1311"/>
      <c r="H53" s="1952"/>
      <c r="I53" s="2769" t="s">
        <v>208</v>
      </c>
      <c r="J53" s="2759"/>
      <c r="K53" s="2759"/>
      <c r="L53" s="2759"/>
      <c r="M53" s="2759"/>
    </row>
    <row r="54" customFormat="false" ht="15" hidden="false" customHeight="false" outlineLevel="0" collapsed="false">
      <c r="A54" s="1304"/>
      <c r="B54" s="1304"/>
      <c r="C54" s="1176" t="s">
        <v>15</v>
      </c>
      <c r="D54" s="1506" t="n">
        <f aca="false">'Ввод данных'!C223</f>
        <v>0</v>
      </c>
      <c r="E54" s="2767" t="n">
        <f aca="false">'Ввод данных'!D223</f>
        <v>0</v>
      </c>
      <c r="F54" s="1176" t="n">
        <f aca="false">D54*E54</f>
        <v>0</v>
      </c>
      <c r="G54" s="1311"/>
      <c r="H54" s="1952"/>
      <c r="I54" s="2769"/>
      <c r="J54" s="2759"/>
      <c r="K54" s="2759"/>
      <c r="L54" s="2759"/>
      <c r="M54" s="2759"/>
    </row>
    <row r="55" customFormat="false" ht="15" hidden="false" customHeight="false" outlineLevel="0" collapsed="false">
      <c r="A55" s="1304"/>
      <c r="B55" s="1304"/>
      <c r="C55" s="1176" t="s">
        <v>15</v>
      </c>
      <c r="D55" s="1506" t="n">
        <f aca="false">'Ввод данных'!C224</f>
        <v>0</v>
      </c>
      <c r="E55" s="2767" t="n">
        <f aca="false">'Ввод данных'!D224</f>
        <v>0</v>
      </c>
      <c r="F55" s="1176" t="n">
        <f aca="false">D55*E55</f>
        <v>0</v>
      </c>
      <c r="G55" s="1311"/>
      <c r="H55" s="1952"/>
      <c r="I55" s="2769"/>
      <c r="J55" s="2759"/>
      <c r="K55" s="2759"/>
      <c r="L55" s="2759"/>
      <c r="M55" s="2759"/>
    </row>
    <row r="56" customFormat="false" ht="15" hidden="false" customHeight="false" outlineLevel="0" collapsed="false">
      <c r="A56" s="1304"/>
      <c r="B56" s="1304"/>
      <c r="C56" s="1176" t="s">
        <v>15</v>
      </c>
      <c r="D56" s="1506" t="n">
        <f aca="false">'Ввод данных'!C225</f>
        <v>0</v>
      </c>
      <c r="E56" s="2767" t="n">
        <f aca="false">'Ввод данных'!D225</f>
        <v>0</v>
      </c>
      <c r="F56" s="1176" t="n">
        <f aca="false">D56*E56</f>
        <v>0</v>
      </c>
      <c r="G56" s="1311"/>
      <c r="H56" s="1360"/>
      <c r="I56" s="2769"/>
      <c r="J56" s="2759"/>
      <c r="K56" s="2759"/>
      <c r="L56" s="2759"/>
      <c r="M56" s="2759"/>
    </row>
    <row r="57" customFormat="false" ht="15" hidden="false" customHeight="false" outlineLevel="0" collapsed="false">
      <c r="A57" s="1304" t="s">
        <v>178</v>
      </c>
      <c r="B57" s="1304"/>
      <c r="C57" s="1176" t="s">
        <v>15</v>
      </c>
      <c r="D57" s="1506" t="n">
        <f aca="false">'Ввод данных'!C226</f>
        <v>4</v>
      </c>
      <c r="E57" s="2767" t="n">
        <f aca="false">'Ввод данных'!D226</f>
        <v>1</v>
      </c>
      <c r="F57" s="1176" t="n">
        <f aca="false">D57*E57</f>
        <v>4</v>
      </c>
      <c r="G57" s="1311"/>
      <c r="H57" s="1360"/>
      <c r="I57" s="2769"/>
      <c r="J57" s="2759"/>
      <c r="K57" s="2759"/>
      <c r="L57" s="2759"/>
      <c r="M57" s="2759"/>
    </row>
    <row r="58" customFormat="false" ht="15" hidden="false" customHeight="false" outlineLevel="0" collapsed="false">
      <c r="A58" s="1304"/>
      <c r="B58" s="1304"/>
      <c r="C58" s="1176" t="s">
        <v>15</v>
      </c>
      <c r="D58" s="1506" t="n">
        <f aca="false">'Ввод данных'!C227</f>
        <v>2</v>
      </c>
      <c r="E58" s="2767" t="n">
        <f aca="false">'Ввод данных'!D227</f>
        <v>1</v>
      </c>
      <c r="F58" s="1176" t="n">
        <f aca="false">D58*E58</f>
        <v>2</v>
      </c>
      <c r="G58" s="1311"/>
      <c r="H58" s="1360"/>
      <c r="I58" s="2769"/>
      <c r="J58" s="2759"/>
      <c r="K58" s="2759"/>
      <c r="L58" s="2759"/>
      <c r="M58" s="2759"/>
    </row>
    <row r="59" customFormat="false" ht="15" hidden="false" customHeight="false" outlineLevel="0" collapsed="false">
      <c r="A59" s="1304"/>
      <c r="B59" s="1304"/>
      <c r="C59" s="1176" t="s">
        <v>15</v>
      </c>
      <c r="D59" s="1506" t="n">
        <f aca="false">'Ввод данных'!C228</f>
        <v>3</v>
      </c>
      <c r="E59" s="2767" t="n">
        <f aca="false">'Ввод данных'!D228</f>
        <v>1</v>
      </c>
      <c r="F59" s="1176" t="n">
        <f aca="false">D59*E59</f>
        <v>3</v>
      </c>
      <c r="G59" s="1311"/>
      <c r="H59" s="1360"/>
      <c r="I59" s="2769"/>
      <c r="J59" s="2759"/>
      <c r="K59" s="2759"/>
      <c r="L59" s="2759"/>
      <c r="M59" s="2759"/>
    </row>
    <row r="60" customFormat="false" ht="15" hidden="false" customHeight="false" outlineLevel="0" collapsed="false">
      <c r="A60" s="1304"/>
      <c r="B60" s="1304"/>
      <c r="C60" s="1176" t="s">
        <v>15</v>
      </c>
      <c r="D60" s="1506" t="n">
        <f aca="false">'Ввод данных'!C229</f>
        <v>0</v>
      </c>
      <c r="E60" s="2767" t="n">
        <f aca="false">'Ввод данных'!D229</f>
        <v>0</v>
      </c>
      <c r="F60" s="1176" t="n">
        <f aca="false">D60*E60</f>
        <v>0</v>
      </c>
      <c r="G60" s="1311"/>
      <c r="H60" s="1360"/>
      <c r="I60" s="2769"/>
      <c r="J60" s="2759"/>
      <c r="K60" s="2759"/>
      <c r="L60" s="2759"/>
      <c r="M60" s="2759"/>
    </row>
    <row r="61" customFormat="false" ht="15" hidden="false" customHeight="false" outlineLevel="0" collapsed="false">
      <c r="A61" s="1304" t="s">
        <v>183</v>
      </c>
      <c r="B61" s="1304"/>
      <c r="C61" s="1176" t="s">
        <v>15</v>
      </c>
      <c r="D61" s="1506" t="n">
        <f aca="false">'Ввод данных'!C230</f>
        <v>0</v>
      </c>
      <c r="E61" s="2767" t="n">
        <f aca="false">'Ввод данных'!D230</f>
        <v>0</v>
      </c>
      <c r="F61" s="1176" t="n">
        <f aca="false">D61*E61</f>
        <v>0</v>
      </c>
      <c r="G61" s="1311"/>
      <c r="H61" s="1360"/>
      <c r="I61" s="1311"/>
      <c r="J61" s="2759"/>
      <c r="K61" s="2759"/>
      <c r="L61" s="2759"/>
      <c r="M61" s="2759"/>
    </row>
    <row r="62" customFormat="false" ht="15" hidden="false" customHeight="false" outlineLevel="0" collapsed="false">
      <c r="A62" s="1304"/>
      <c r="B62" s="1304"/>
      <c r="C62" s="1176" t="s">
        <v>15</v>
      </c>
      <c r="D62" s="1506" t="n">
        <f aca="false">'Ввод данных'!C231</f>
        <v>0</v>
      </c>
      <c r="E62" s="2767" t="n">
        <f aca="false">'Ввод данных'!D231</f>
        <v>0</v>
      </c>
      <c r="F62" s="1176" t="n">
        <f aca="false">D62*E62</f>
        <v>0</v>
      </c>
      <c r="G62" s="1311"/>
      <c r="H62" s="1360"/>
      <c r="I62" s="1311"/>
      <c r="J62" s="2759"/>
      <c r="K62" s="2759"/>
      <c r="L62" s="2759"/>
      <c r="M62" s="2759"/>
    </row>
    <row r="63" customFormat="false" ht="15" hidden="false" customHeight="false" outlineLevel="0" collapsed="false">
      <c r="A63" s="1304"/>
      <c r="B63" s="1304"/>
      <c r="C63" s="1176" t="s">
        <v>15</v>
      </c>
      <c r="D63" s="1506" t="n">
        <f aca="false">'Ввод данных'!C232</f>
        <v>0</v>
      </c>
      <c r="E63" s="2767" t="n">
        <f aca="false">'Ввод данных'!D232</f>
        <v>0</v>
      </c>
      <c r="F63" s="1176" t="n">
        <f aca="false">D63*E63</f>
        <v>0</v>
      </c>
      <c r="G63" s="1311"/>
      <c r="H63" s="1360"/>
      <c r="I63" s="1311"/>
      <c r="J63" s="2759"/>
      <c r="K63" s="2759"/>
      <c r="L63" s="2759"/>
      <c r="M63" s="2759"/>
    </row>
    <row r="64" customFormat="false" ht="15" hidden="false" customHeight="false" outlineLevel="0" collapsed="false">
      <c r="A64" s="1304"/>
      <c r="B64" s="1304"/>
      <c r="C64" s="1176" t="s">
        <v>15</v>
      </c>
      <c r="D64" s="1506" t="n">
        <f aca="false">'Ввод данных'!C233</f>
        <v>0</v>
      </c>
      <c r="E64" s="2767" t="n">
        <f aca="false">'Ввод данных'!D233</f>
        <v>0</v>
      </c>
      <c r="F64" s="1176" t="n">
        <f aca="false">D64*E64</f>
        <v>0</v>
      </c>
      <c r="G64" s="1311"/>
      <c r="H64" s="1360"/>
      <c r="I64" s="2484"/>
      <c r="J64" s="2759"/>
      <c r="K64" s="2759"/>
      <c r="L64" s="2759"/>
      <c r="M64" s="2759"/>
    </row>
    <row r="65" customFormat="false" ht="15" hidden="false" customHeight="false" outlineLevel="0" collapsed="false">
      <c r="A65" s="1176" t="s">
        <v>3987</v>
      </c>
      <c r="B65" s="1176"/>
      <c r="C65" s="1176" t="s">
        <v>820</v>
      </c>
      <c r="D65" s="1313" t="e">
        <f aca="false">дома!#REF!</f>
        <v>#VALUE!</v>
      </c>
      <c r="E65" s="1301"/>
      <c r="F65" s="2484"/>
      <c r="G65" s="1311"/>
      <c r="H65" s="1360"/>
      <c r="I65" s="1311"/>
      <c r="J65" s="2759"/>
      <c r="K65" s="2759"/>
      <c r="L65" s="2759"/>
      <c r="M65" s="2759"/>
    </row>
    <row r="66" customFormat="false" ht="15" hidden="false" customHeight="false" outlineLevel="0" collapsed="false">
      <c r="A66" s="1176" t="s">
        <v>3988</v>
      </c>
      <c r="B66" s="1176"/>
      <c r="C66" s="1176" t="s">
        <v>820</v>
      </c>
      <c r="D66" s="1313" t="e">
        <f aca="false">дома!#REF!</f>
        <v>#VALUE!</v>
      </c>
      <c r="E66" s="1301"/>
      <c r="F66" s="2484"/>
      <c r="G66" s="1311"/>
      <c r="H66" s="1360"/>
      <c r="I66" s="2484"/>
      <c r="J66" s="2759"/>
      <c r="K66" s="2759"/>
      <c r="L66" s="2759"/>
      <c r="M66" s="2759"/>
    </row>
    <row r="67" customFormat="false" ht="15" hidden="false" customHeight="false" outlineLevel="0" collapsed="false">
      <c r="A67" s="1176" t="s">
        <v>3053</v>
      </c>
      <c r="B67" s="1176"/>
      <c r="C67" s="1176" t="s">
        <v>820</v>
      </c>
      <c r="D67" s="1313" t="e">
        <f aca="false">дома!O75</f>
        <v>#REF!</v>
      </c>
      <c r="E67" s="1301"/>
      <c r="F67" s="2484"/>
      <c r="G67" s="1311"/>
      <c r="H67" s="1360"/>
      <c r="I67" s="1311"/>
      <c r="J67" s="2759"/>
      <c r="K67" s="2759"/>
      <c r="L67" s="2759"/>
      <c r="M67" s="2759"/>
    </row>
    <row r="68" customFormat="false" ht="15" hidden="false" customHeight="false" outlineLevel="0" collapsed="false">
      <c r="A68" s="1176" t="s">
        <v>3054</v>
      </c>
      <c r="B68" s="1176"/>
      <c r="C68" s="1176" t="s">
        <v>820</v>
      </c>
      <c r="D68" s="1313" t="e">
        <f aca="false">дома!O76</f>
        <v>#REF!</v>
      </c>
      <c r="E68" s="1301"/>
      <c r="F68" s="2484"/>
      <c r="G68" s="1311"/>
      <c r="H68" s="1360"/>
      <c r="I68" s="1311"/>
      <c r="J68" s="2759"/>
      <c r="K68" s="2759"/>
      <c r="L68" s="2759"/>
      <c r="M68" s="2759"/>
    </row>
    <row r="69" customFormat="false" ht="15" hidden="false" customHeight="false" outlineLevel="0" collapsed="false">
      <c r="A69" s="1176" t="s">
        <v>3055</v>
      </c>
      <c r="B69" s="1176"/>
      <c r="C69" s="1176" t="s">
        <v>820</v>
      </c>
      <c r="D69" s="1313" t="e">
        <f aca="false">дома!O77</f>
        <v>#REF!</v>
      </c>
      <c r="E69" s="1301"/>
      <c r="F69" s="2484"/>
      <c r="G69" s="1311"/>
      <c r="H69" s="1360"/>
      <c r="I69" s="1311"/>
      <c r="J69" s="2759"/>
      <c r="K69" s="2759"/>
      <c r="L69" s="2759"/>
      <c r="M69" s="2759"/>
    </row>
    <row r="70" customFormat="false" ht="15" hidden="false" customHeight="false" outlineLevel="0" collapsed="false">
      <c r="A70" s="1176" t="s">
        <v>3989</v>
      </c>
      <c r="B70" s="1176"/>
      <c r="C70" s="2486" t="s">
        <v>820</v>
      </c>
      <c r="D70" s="1313" t="e">
        <f aca="false">дома!#REF!</f>
        <v>#VALUE!</v>
      </c>
      <c r="E70" s="53"/>
      <c r="F70" s="2487"/>
      <c r="G70" s="42"/>
      <c r="H70" s="1360"/>
      <c r="I70" s="42"/>
      <c r="J70" s="2759"/>
      <c r="K70" s="2759"/>
      <c r="L70" s="2759"/>
      <c r="M70" s="2759"/>
    </row>
    <row r="71" customFormat="false" ht="15" hidden="false" customHeight="false" outlineLevel="0" collapsed="false">
      <c r="A71" s="2488" t="s">
        <v>2833</v>
      </c>
      <c r="B71" s="2488"/>
      <c r="C71" s="2488"/>
      <c r="D71" s="2488"/>
      <c r="E71" s="2488"/>
      <c r="F71" s="1506" t="n">
        <f aca="false">дома!J12</f>
        <v>1</v>
      </c>
      <c r="G71" s="1301" t="s">
        <v>3715</v>
      </c>
      <c r="H71" s="1360"/>
      <c r="I71" s="42"/>
      <c r="J71" s="2759"/>
      <c r="K71" s="2759"/>
      <c r="L71" s="2759"/>
      <c r="M71" s="2759"/>
    </row>
    <row r="72" customFormat="false" ht="15" hidden="false" customHeight="false" outlineLevel="0" collapsed="false">
      <c r="A72" s="1191" t="s">
        <v>2773</v>
      </c>
      <c r="B72" s="1191"/>
      <c r="C72" s="2489" t="s">
        <v>15</v>
      </c>
      <c r="D72" s="2770" t="n">
        <f aca="false">дома!C1113</f>
        <v>48</v>
      </c>
      <c r="E72" s="1301"/>
      <c r="F72" s="1301"/>
      <c r="G72" s="1631"/>
      <c r="H72" s="1360"/>
      <c r="I72" s="42"/>
      <c r="J72" s="2759"/>
      <c r="K72" s="2759"/>
      <c r="L72" s="2759"/>
      <c r="M72" s="2759"/>
    </row>
    <row r="73" customFormat="false" ht="15" hidden="false" customHeight="false" outlineLevel="0" collapsed="false">
      <c r="A73" s="1191" t="s">
        <v>3571</v>
      </c>
      <c r="B73" s="1191"/>
      <c r="C73" s="1338" t="s">
        <v>820</v>
      </c>
      <c r="D73" s="2770" t="n">
        <f aca="false">дома!C1114</f>
        <v>64</v>
      </c>
      <c r="E73" s="1301"/>
      <c r="F73" s="1301"/>
      <c r="G73" s="1631"/>
      <c r="H73" s="1360"/>
      <c r="I73" s="42"/>
      <c r="J73" s="2759"/>
      <c r="K73" s="2759"/>
      <c r="L73" s="2759"/>
      <c r="M73" s="2759"/>
    </row>
    <row r="74" customFormat="false" ht="15" hidden="false" customHeight="false" outlineLevel="0" collapsed="false">
      <c r="A74" s="2484"/>
      <c r="B74" s="2484"/>
      <c r="C74" s="2487"/>
      <c r="D74" s="53"/>
      <c r="E74" s="53"/>
      <c r="F74" s="2487"/>
      <c r="G74" s="42"/>
      <c r="H74" s="1360"/>
      <c r="I74" s="42"/>
      <c r="J74" s="2759"/>
      <c r="K74" s="2759"/>
      <c r="L74" s="2759"/>
      <c r="M74" s="2759"/>
    </row>
    <row r="75" customFormat="false" ht="15" hidden="false" customHeight="false" outlineLevel="0" collapsed="false">
      <c r="A75" s="2495" t="s">
        <v>229</v>
      </c>
      <c r="B75" s="2495"/>
      <c r="C75" s="2495"/>
      <c r="D75" s="2495"/>
      <c r="E75" s="2495"/>
      <c r="F75" s="2495"/>
      <c r="G75" s="1348" t="str">
        <f aca="false">связи1!H91</f>
        <v>Считать </v>
      </c>
      <c r="H75" s="42" t="s">
        <v>3930</v>
      </c>
      <c r="I75" s="42"/>
      <c r="J75" s="2759"/>
      <c r="K75" s="2759"/>
      <c r="L75" s="2759"/>
      <c r="M75" s="2759"/>
    </row>
    <row r="76" customFormat="false" ht="15.75" hidden="false" customHeight="false" outlineLevel="0" collapsed="false">
      <c r="A76" s="2496" t="s">
        <v>2902</v>
      </c>
      <c r="B76" s="2496"/>
      <c r="C76" s="2496"/>
      <c r="D76" s="2497" t="s">
        <v>15</v>
      </c>
      <c r="E76" s="2497" t="n">
        <f aca="false">E79*4+E78*2</f>
        <v>41.6124969497314</v>
      </c>
      <c r="F76" s="2771"/>
      <c r="G76" s="42"/>
      <c r="H76" s="1952"/>
      <c r="I76" s="42"/>
      <c r="J76" s="2759"/>
      <c r="K76" s="2759"/>
      <c r="L76" s="2759"/>
      <c r="M76" s="2759"/>
    </row>
    <row r="77" customFormat="false" ht="15" hidden="false" customHeight="false" outlineLevel="0" collapsed="false">
      <c r="A77" s="2498" t="s">
        <v>3586</v>
      </c>
      <c r="B77" s="2498"/>
      <c r="C77" s="2498"/>
      <c r="D77" s="2498"/>
      <c r="E77" s="1965" t="n">
        <f aca="false">E8</f>
        <v>5</v>
      </c>
      <c r="F77" s="42"/>
      <c r="G77" s="42"/>
      <c r="H77" s="1952"/>
      <c r="I77" s="42"/>
      <c r="J77" s="2759"/>
      <c r="K77" s="2759"/>
      <c r="L77" s="2759"/>
      <c r="M77" s="2759"/>
    </row>
    <row r="78" customFormat="false" ht="15.75" hidden="false" customHeight="false" outlineLevel="0" collapsed="false">
      <c r="A78" s="861" t="s">
        <v>3585</v>
      </c>
      <c r="B78" s="861"/>
      <c r="C78" s="861"/>
      <c r="D78" s="864" t="s">
        <v>15</v>
      </c>
      <c r="E78" s="864" t="n">
        <f aca="false">E4</f>
        <v>8</v>
      </c>
      <c r="F78" s="2499"/>
      <c r="G78" s="42"/>
      <c r="H78" s="1952"/>
      <c r="I78" s="42"/>
      <c r="J78" s="2759"/>
      <c r="K78" s="2759"/>
      <c r="L78" s="2759"/>
      <c r="M78" s="2759"/>
    </row>
    <row r="79" customFormat="false" ht="15.75" hidden="false" customHeight="false" outlineLevel="0" collapsed="false">
      <c r="A79" s="861" t="s">
        <v>2798</v>
      </c>
      <c r="B79" s="861"/>
      <c r="C79" s="861"/>
      <c r="D79" s="864" t="s">
        <v>15</v>
      </c>
      <c r="E79" s="864" t="n">
        <f aca="false">SQRT((E3/2)*(E3/2)+E8*E8)</f>
        <v>6.40312423743285</v>
      </c>
      <c r="F79" s="2499"/>
      <c r="G79" s="42"/>
      <c r="H79" s="1952"/>
      <c r="I79" s="42"/>
      <c r="J79" s="2759"/>
      <c r="K79" s="2759"/>
      <c r="L79" s="2759"/>
      <c r="M79" s="2759"/>
    </row>
    <row r="80" customFormat="false" ht="15.75" hidden="false" customHeight="false" outlineLevel="0" collapsed="false">
      <c r="A80" s="861" t="s">
        <v>231</v>
      </c>
      <c r="B80" s="861"/>
      <c r="C80" s="861"/>
      <c r="D80" s="864" t="s">
        <v>15</v>
      </c>
      <c r="E80" s="2772" t="n">
        <f aca="false">'Ввод данных'!C296</f>
        <v>0.5</v>
      </c>
      <c r="F80" s="2500"/>
      <c r="G80" s="42"/>
      <c r="H80" s="1952"/>
      <c r="I80" s="42"/>
      <c r="J80" s="2759"/>
      <c r="K80" s="2759"/>
      <c r="L80" s="2759"/>
      <c r="M80" s="2759"/>
    </row>
    <row r="81" customFormat="false" ht="15.75" hidden="false" customHeight="false" outlineLevel="0" collapsed="false">
      <c r="A81" s="861" t="s">
        <v>197</v>
      </c>
      <c r="B81" s="861"/>
      <c r="C81" s="861"/>
      <c r="D81" s="864" t="s">
        <v>15</v>
      </c>
      <c r="E81" s="2772" t="n">
        <f aca="false">'Ввод данных'!C298</f>
        <v>0.5</v>
      </c>
      <c r="F81" s="2500"/>
      <c r="G81" s="42"/>
      <c r="H81" s="1952"/>
      <c r="I81" s="42"/>
      <c r="J81" s="2759"/>
      <c r="K81" s="2759"/>
      <c r="L81" s="2759"/>
      <c r="M81" s="2759"/>
    </row>
    <row r="82" customFormat="false" ht="15" hidden="false" customHeight="false" outlineLevel="0" collapsed="false">
      <c r="A82" s="1413" t="s">
        <v>3933</v>
      </c>
      <c r="B82" s="1413"/>
      <c r="C82" s="1413"/>
      <c r="D82" s="2486" t="s">
        <v>15</v>
      </c>
      <c r="E82" s="1965" t="n">
        <f aca="false">E79+E81</f>
        <v>6.90312423743285</v>
      </c>
      <c r="F82" s="42"/>
      <c r="G82" s="42"/>
      <c r="H82" s="1952"/>
      <c r="I82" s="42"/>
      <c r="J82" s="2759"/>
      <c r="K82" s="2759"/>
      <c r="L82" s="2759"/>
      <c r="M82" s="2759"/>
    </row>
    <row r="83" customFormat="false" ht="15" hidden="false" customHeight="false" outlineLevel="0" collapsed="false">
      <c r="A83" s="1413" t="s">
        <v>3934</v>
      </c>
      <c r="B83" s="1413"/>
      <c r="C83" s="1413"/>
      <c r="D83" s="2486" t="s">
        <v>15</v>
      </c>
      <c r="E83" s="1965" t="n">
        <f aca="false">E78+E80+E80</f>
        <v>9</v>
      </c>
      <c r="F83" s="42"/>
      <c r="G83" s="42"/>
      <c r="H83" s="1952"/>
      <c r="I83" s="42"/>
      <c r="J83" s="2759"/>
      <c r="K83" s="2759"/>
      <c r="L83" s="2759"/>
      <c r="M83" s="2759"/>
    </row>
    <row r="84" customFormat="false" ht="15.75" hidden="false" customHeight="false" outlineLevel="0" collapsed="false">
      <c r="A84" s="861" t="s">
        <v>3935</v>
      </c>
      <c r="B84" s="861"/>
      <c r="C84" s="861"/>
      <c r="D84" s="864" t="s">
        <v>820</v>
      </c>
      <c r="E84" s="864" t="n">
        <f aca="false">E79*E78*2</f>
        <v>102.449987798926</v>
      </c>
      <c r="F84" s="2500"/>
      <c r="G84" s="42"/>
      <c r="H84" s="1952"/>
      <c r="I84" s="42"/>
      <c r="J84" s="2759"/>
      <c r="K84" s="2759"/>
      <c r="L84" s="2759"/>
      <c r="M84" s="2759"/>
    </row>
    <row r="85" customFormat="false" ht="15.75" hidden="false" customHeight="false" outlineLevel="0" collapsed="false">
      <c r="A85" s="861" t="s">
        <v>3662</v>
      </c>
      <c r="B85" s="861"/>
      <c r="C85" s="861"/>
      <c r="D85" s="864" t="s">
        <v>820</v>
      </c>
      <c r="E85" s="864" t="n">
        <f aca="false">(E79*E80)*4+(E78+E80+E80)*E81*2</f>
        <v>21.8062484748657</v>
      </c>
      <c r="F85" s="2501"/>
      <c r="G85" s="42"/>
      <c r="H85" s="1952"/>
      <c r="I85" s="42"/>
      <c r="J85" s="2759"/>
      <c r="K85" s="2759"/>
      <c r="L85" s="2759"/>
      <c r="M85" s="2759"/>
    </row>
    <row r="86" customFormat="false" ht="15.75" hidden="false" customHeight="false" outlineLevel="0" collapsed="false">
      <c r="A86" s="861" t="s">
        <v>3936</v>
      </c>
      <c r="B86" s="861"/>
      <c r="C86" s="861"/>
      <c r="D86" s="864" t="s">
        <v>820</v>
      </c>
      <c r="E86" s="864" t="n">
        <f aca="false">E84+E85</f>
        <v>124.256236273791</v>
      </c>
      <c r="F86" s="2501"/>
      <c r="G86" s="42"/>
      <c r="H86" s="1952"/>
      <c r="I86" s="42"/>
      <c r="J86" s="2759"/>
      <c r="K86" s="2759"/>
      <c r="L86" s="2759"/>
      <c r="M86" s="2759"/>
    </row>
    <row r="87" customFormat="false" ht="15" hidden="false" customHeight="false" outlineLevel="0" collapsed="false">
      <c r="A87" s="1413" t="s">
        <v>2826</v>
      </c>
      <c r="B87" s="1413"/>
      <c r="C87" s="1413"/>
      <c r="D87" s="2486" t="s">
        <v>486</v>
      </c>
      <c r="E87" s="2486"/>
      <c r="F87" s="2773"/>
      <c r="G87" s="42"/>
      <c r="H87" s="1952"/>
      <c r="I87" s="42"/>
      <c r="J87" s="2759"/>
      <c r="K87" s="2759"/>
      <c r="L87" s="2759"/>
      <c r="M87" s="2759"/>
    </row>
    <row r="88" customFormat="false" ht="15.75" hidden="false" customHeight="false" outlineLevel="0" collapsed="false">
      <c r="A88" s="862" t="s">
        <v>3665</v>
      </c>
      <c r="B88" s="862"/>
      <c r="C88" s="862"/>
      <c r="D88" s="864" t="s">
        <v>15</v>
      </c>
      <c r="E88" s="864" t="n">
        <v>0.15</v>
      </c>
      <c r="F88" s="2773"/>
      <c r="G88" s="42"/>
      <c r="H88" s="1952"/>
      <c r="I88" s="42"/>
      <c r="J88" s="2759"/>
      <c r="K88" s="2759"/>
      <c r="L88" s="2759"/>
      <c r="M88" s="2759"/>
    </row>
    <row r="89" customFormat="false" ht="15.75" hidden="false" customHeight="false" outlineLevel="0" collapsed="false">
      <c r="A89" s="862"/>
      <c r="B89" s="862"/>
      <c r="C89" s="862"/>
      <c r="D89" s="864" t="s">
        <v>15</v>
      </c>
      <c r="E89" s="864" t="n">
        <v>0.2</v>
      </c>
      <c r="F89" s="2773"/>
      <c r="G89" s="42"/>
      <c r="H89" s="1952"/>
      <c r="I89" s="42"/>
      <c r="J89" s="2759"/>
      <c r="K89" s="2759"/>
      <c r="L89" s="2759"/>
      <c r="M89" s="2759"/>
    </row>
    <row r="90" customFormat="false" ht="15.75" hidden="false" customHeight="false" outlineLevel="0" collapsed="false">
      <c r="A90" s="862" t="s">
        <v>2830</v>
      </c>
      <c r="B90" s="862"/>
      <c r="C90" s="862"/>
      <c r="D90" s="864" t="s">
        <v>15</v>
      </c>
      <c r="E90" s="864" t="n">
        <v>0.15</v>
      </c>
      <c r="F90" s="2773"/>
      <c r="G90" s="2508"/>
      <c r="H90" s="1952"/>
      <c r="I90" s="2508"/>
      <c r="J90" s="2759"/>
      <c r="K90" s="2759"/>
      <c r="L90" s="2759"/>
      <c r="M90" s="2759"/>
    </row>
    <row r="91" customFormat="false" ht="15.75" hidden="false" customHeight="false" outlineLevel="0" collapsed="false">
      <c r="A91" s="862"/>
      <c r="B91" s="862"/>
      <c r="C91" s="862"/>
      <c r="D91" s="864" t="s">
        <v>15</v>
      </c>
      <c r="E91" s="864" t="n">
        <v>0.2</v>
      </c>
      <c r="F91" s="2773"/>
      <c r="G91" s="2508"/>
      <c r="H91" s="1952"/>
      <c r="I91" s="2508"/>
      <c r="J91" s="2759"/>
      <c r="K91" s="2759"/>
      <c r="L91" s="2759"/>
      <c r="M91" s="2759"/>
    </row>
    <row r="92" customFormat="false" ht="15" hidden="false" customHeight="false" outlineLevel="0" collapsed="false">
      <c r="A92" s="2508"/>
      <c r="B92" s="2508"/>
      <c r="C92" s="2508"/>
      <c r="D92" s="2508"/>
      <c r="E92" s="2508"/>
      <c r="F92" s="2508"/>
      <c r="G92" s="2508"/>
      <c r="H92" s="1952"/>
      <c r="I92" s="2508"/>
      <c r="J92" s="2759"/>
      <c r="K92" s="2759"/>
      <c r="L92" s="2759"/>
      <c r="M92" s="2759"/>
    </row>
    <row r="93" customFormat="false" ht="15" hidden="false" customHeight="false" outlineLevel="0" collapsed="false">
      <c r="A93" s="2495" t="s">
        <v>244</v>
      </c>
      <c r="B93" s="2495"/>
      <c r="C93" s="2495"/>
      <c r="D93" s="2495"/>
      <c r="E93" s="2495"/>
      <c r="F93" s="2495"/>
      <c r="G93" s="1348" t="str">
        <f aca="false">связи1!H93</f>
        <v>Считать </v>
      </c>
      <c r="H93" s="42" t="s">
        <v>3990</v>
      </c>
      <c r="I93" s="2508"/>
      <c r="J93" s="2759"/>
      <c r="K93" s="2759"/>
      <c r="L93" s="2759"/>
      <c r="M93" s="2759"/>
    </row>
    <row r="94" customFormat="false" ht="23.25" hidden="false" customHeight="false" outlineLevel="0" collapsed="false">
      <c r="A94" s="2496" t="s">
        <v>2902</v>
      </c>
      <c r="B94" s="2496"/>
      <c r="C94" s="2496"/>
      <c r="D94" s="2509" t="s">
        <v>15</v>
      </c>
      <c r="E94" s="2510" t="n">
        <f aca="false">E3+E4+E3+E4</f>
        <v>32</v>
      </c>
      <c r="F94" s="2511"/>
      <c r="G94" s="2512"/>
      <c r="H94" s="1952"/>
      <c r="I94" s="2508"/>
      <c r="J94" s="2759"/>
      <c r="K94" s="2759"/>
      <c r="L94" s="2759"/>
      <c r="M94" s="2759"/>
    </row>
    <row r="95" customFormat="false" ht="15" hidden="false" customHeight="false" outlineLevel="0" collapsed="false">
      <c r="A95" s="2513" t="s">
        <v>3991</v>
      </c>
      <c r="B95" s="2513"/>
      <c r="C95" s="2513"/>
      <c r="D95" s="2514" t="s">
        <v>15</v>
      </c>
      <c r="E95" s="2515" t="n">
        <f aca="false">E4</f>
        <v>8</v>
      </c>
      <c r="F95" s="2508"/>
      <c r="G95" s="2508"/>
      <c r="H95" s="1963"/>
      <c r="I95" s="2508"/>
      <c r="J95" s="2759"/>
      <c r="K95" s="2759"/>
      <c r="L95" s="2759"/>
      <c r="M95" s="2759"/>
    </row>
    <row r="96" customFormat="false" ht="15" hidden="false" customHeight="false" outlineLevel="0" collapsed="false">
      <c r="A96" s="2513" t="s">
        <v>3992</v>
      </c>
      <c r="B96" s="2513"/>
      <c r="C96" s="2513"/>
      <c r="D96" s="2514" t="s">
        <v>15</v>
      </c>
      <c r="E96" s="2515" t="n">
        <f aca="false">E3</f>
        <v>8</v>
      </c>
      <c r="F96" s="2517"/>
      <c r="G96" s="2517"/>
      <c r="H96" s="1963"/>
      <c r="I96" s="2508"/>
      <c r="J96" s="2759"/>
      <c r="K96" s="2759"/>
      <c r="L96" s="2759"/>
      <c r="M96" s="2759"/>
    </row>
    <row r="97" customFormat="false" ht="15" hidden="false" customHeight="false" outlineLevel="0" collapsed="false">
      <c r="A97" s="2498" t="s">
        <v>3586</v>
      </c>
      <c r="B97" s="2498"/>
      <c r="C97" s="2498"/>
      <c r="D97" s="2498"/>
      <c r="E97" s="2518" t="n">
        <f aca="false">E8</f>
        <v>5</v>
      </c>
      <c r="F97" s="2517"/>
      <c r="G97" s="2517"/>
      <c r="H97" s="1963"/>
      <c r="I97" s="2508"/>
      <c r="J97" s="2759"/>
      <c r="K97" s="2759"/>
      <c r="L97" s="2759"/>
      <c r="M97" s="2759"/>
    </row>
    <row r="98" customFormat="false" ht="15.75" hidden="false" customHeight="false" outlineLevel="0" collapsed="false">
      <c r="A98" s="861" t="s">
        <v>245</v>
      </c>
      <c r="B98" s="861"/>
      <c r="C98" s="861"/>
      <c r="D98" s="862" t="s">
        <v>15</v>
      </c>
      <c r="E98" s="2774" t="n">
        <f aca="false">'Ввод данных'!C338</f>
        <v>5</v>
      </c>
      <c r="F98" s="2400"/>
      <c r="G98" s="2400"/>
      <c r="H98" s="1963"/>
      <c r="I98" s="2508"/>
      <c r="J98" s="2759"/>
      <c r="K98" s="2759"/>
      <c r="L98" s="2759"/>
      <c r="M98" s="2759"/>
    </row>
    <row r="99" customFormat="false" ht="15.75" hidden="false" customHeight="false" outlineLevel="0" collapsed="false">
      <c r="A99" s="861" t="s">
        <v>3993</v>
      </c>
      <c r="B99" s="861"/>
      <c r="C99" s="861"/>
      <c r="D99" s="862" t="s">
        <v>15</v>
      </c>
      <c r="E99" s="2519" t="n">
        <f aca="false">G99</f>
        <v>6.72681202353686</v>
      </c>
      <c r="F99" s="2400" t="s">
        <v>248</v>
      </c>
      <c r="G99" s="2400" t="n">
        <f aca="false">SQRT(E97*E97+((E96/2)+E101)*((E96/2)+E101))</f>
        <v>6.72681202353686</v>
      </c>
      <c r="H99" s="1963"/>
      <c r="I99" s="2508"/>
      <c r="J99" s="2759"/>
      <c r="K99" s="2759"/>
      <c r="L99" s="2759"/>
      <c r="M99" s="2759"/>
    </row>
    <row r="100" customFormat="false" ht="15.75" hidden="false" customHeight="false" outlineLevel="0" collapsed="false">
      <c r="A100" s="861" t="s">
        <v>3994</v>
      </c>
      <c r="B100" s="861"/>
      <c r="C100" s="861"/>
      <c r="D100" s="862" t="s">
        <v>15</v>
      </c>
      <c r="E100" s="2519" t="n">
        <f aca="false">G100</f>
        <v>5.22015325445528</v>
      </c>
      <c r="F100" s="2520" t="s">
        <v>250</v>
      </c>
      <c r="G100" s="2521" t="n">
        <f aca="false">SQRT(E97*E97+((E95-E98)/2)*((E95-E98)/2))</f>
        <v>5.22015325445528</v>
      </c>
      <c r="H100" s="1963"/>
      <c r="I100" s="2508"/>
      <c r="J100" s="2759"/>
      <c r="K100" s="2759"/>
      <c r="L100" s="2759"/>
      <c r="M100" s="2759"/>
    </row>
    <row r="101" customFormat="false" ht="15.75" hidden="false" customHeight="false" outlineLevel="0" collapsed="false">
      <c r="A101" s="861" t="s">
        <v>231</v>
      </c>
      <c r="B101" s="861"/>
      <c r="C101" s="861"/>
      <c r="D101" s="862" t="s">
        <v>15</v>
      </c>
      <c r="E101" s="2774" t="n">
        <f aca="false">'Ввод данных'!C339</f>
        <v>0.5</v>
      </c>
      <c r="F101" s="2520"/>
      <c r="G101" s="2521"/>
      <c r="H101" s="1963"/>
      <c r="I101" s="2508"/>
      <c r="J101" s="2759"/>
      <c r="K101" s="2759"/>
      <c r="L101" s="2759"/>
      <c r="M101" s="2759"/>
    </row>
    <row r="102" customFormat="false" ht="15.75" hidden="false" customHeight="false" outlineLevel="0" collapsed="false">
      <c r="A102" s="861" t="s">
        <v>197</v>
      </c>
      <c r="B102" s="861"/>
      <c r="C102" s="861"/>
      <c r="D102" s="862" t="s">
        <v>15</v>
      </c>
      <c r="E102" s="2774" t="n">
        <f aca="false">'Ввод данных'!C340</f>
        <v>0.5</v>
      </c>
      <c r="F102" s="2520"/>
      <c r="G102" s="2521"/>
      <c r="H102" s="1963"/>
      <c r="I102" s="2508"/>
      <c r="J102" s="2759"/>
      <c r="K102" s="2759"/>
      <c r="L102" s="2759"/>
      <c r="M102" s="2759"/>
    </row>
    <row r="103" customFormat="false" ht="15" hidden="false" customHeight="false" outlineLevel="0" collapsed="false">
      <c r="A103" s="2513" t="s">
        <v>3995</v>
      </c>
      <c r="B103" s="2513"/>
      <c r="C103" s="2513"/>
      <c r="D103" s="2514" t="s">
        <v>15</v>
      </c>
      <c r="E103" s="2515" t="n">
        <f aca="false">G103</f>
        <v>6.89202437604511</v>
      </c>
      <c r="F103" s="2517" t="s">
        <v>232</v>
      </c>
      <c r="G103" s="2517" t="n">
        <f aca="false">SQRT(G100*G100+((E96/2)+E101)*((E96/2)+E101))</f>
        <v>6.89202437604511</v>
      </c>
      <c r="H103" s="1963"/>
      <c r="I103" s="2508"/>
      <c r="J103" s="2759"/>
      <c r="K103" s="2759"/>
      <c r="L103" s="2759"/>
      <c r="M103" s="2759"/>
    </row>
    <row r="104" customFormat="false" ht="15.75" hidden="false" customHeight="false" outlineLevel="0" collapsed="false">
      <c r="A104" s="861" t="s">
        <v>3662</v>
      </c>
      <c r="B104" s="861"/>
      <c r="C104" s="861"/>
      <c r="D104" s="862" t="s">
        <v>820</v>
      </c>
      <c r="E104" s="2519" t="n">
        <f aca="false">(E96+E101+E101)*E102*2+E95*2*E101</f>
        <v>17</v>
      </c>
      <c r="F104" s="2522"/>
      <c r="G104" s="2521"/>
      <c r="H104" s="1963"/>
      <c r="I104" s="42"/>
      <c r="J104" s="2759"/>
      <c r="K104" s="2759"/>
      <c r="L104" s="2759"/>
      <c r="M104" s="2759"/>
    </row>
    <row r="105" customFormat="false" ht="15.75" hidden="false" customHeight="false" outlineLevel="0" collapsed="false">
      <c r="A105" s="861" t="s">
        <v>3996</v>
      </c>
      <c r="B105" s="861"/>
      <c r="C105" s="861"/>
      <c r="D105" s="2514" t="s">
        <v>820</v>
      </c>
      <c r="E105" s="2515" t="n">
        <f aca="false">((E96/2)+E101)*E100*2+((E95+E102+E102-E98)/2)*((E95+E102+E102-E98)/2)*4+E98*E99*2</f>
        <v>130.249499525466</v>
      </c>
      <c r="F105" s="2508"/>
      <c r="G105" s="2508"/>
      <c r="H105" s="1963"/>
      <c r="I105" s="42"/>
      <c r="J105" s="2759"/>
      <c r="K105" s="2759"/>
      <c r="L105" s="2759"/>
      <c r="M105" s="2759"/>
    </row>
    <row r="106" customFormat="false" ht="15.75" hidden="false" customHeight="false" outlineLevel="0" collapsed="false">
      <c r="A106" s="861" t="s">
        <v>4117</v>
      </c>
      <c r="B106" s="861"/>
      <c r="C106" s="861"/>
      <c r="D106" s="862" t="s">
        <v>820</v>
      </c>
      <c r="E106" s="2519" t="n">
        <f aca="false">E105*1.5</f>
        <v>195.374249288199</v>
      </c>
      <c r="F106" s="2775"/>
      <c r="G106" s="2521"/>
      <c r="H106" s="1963"/>
      <c r="I106" s="42"/>
      <c r="J106" s="2759"/>
      <c r="K106" s="2759"/>
      <c r="L106" s="2759"/>
      <c r="M106" s="2759"/>
    </row>
    <row r="107" customFormat="false" ht="15" hidden="false" customHeight="false" outlineLevel="0" collapsed="false">
      <c r="A107" s="1413" t="s">
        <v>2826</v>
      </c>
      <c r="B107" s="1413"/>
      <c r="C107" s="1413"/>
      <c r="D107" s="1413" t="s">
        <v>486</v>
      </c>
      <c r="E107" s="2518"/>
      <c r="F107" s="2775"/>
      <c r="G107" s="2521"/>
      <c r="H107" s="1963"/>
      <c r="I107" s="42"/>
      <c r="J107" s="2759"/>
      <c r="K107" s="2759"/>
      <c r="L107" s="2759"/>
      <c r="M107" s="2759"/>
    </row>
    <row r="108" customFormat="false" ht="15.75" hidden="false" customHeight="false" outlineLevel="0" collapsed="false">
      <c r="A108" s="862" t="s">
        <v>3665</v>
      </c>
      <c r="B108" s="862"/>
      <c r="C108" s="862"/>
      <c r="D108" s="864" t="s">
        <v>15</v>
      </c>
      <c r="E108" s="1438" t="n">
        <v>0.15</v>
      </c>
      <c r="F108" s="2775"/>
      <c r="G108" s="2521"/>
      <c r="H108" s="1963"/>
      <c r="I108" s="42"/>
      <c r="J108" s="2759"/>
      <c r="K108" s="2759"/>
      <c r="L108" s="2759"/>
      <c r="M108" s="2759"/>
    </row>
    <row r="109" customFormat="false" ht="15.75" hidden="false" customHeight="false" outlineLevel="0" collapsed="false">
      <c r="A109" s="862"/>
      <c r="B109" s="862"/>
      <c r="C109" s="862"/>
      <c r="D109" s="864" t="s">
        <v>15</v>
      </c>
      <c r="E109" s="1438" t="n">
        <v>0.2</v>
      </c>
      <c r="F109" s="2775"/>
      <c r="G109" s="2521"/>
      <c r="H109" s="1963"/>
      <c r="I109" s="42"/>
      <c r="J109" s="2759"/>
      <c r="K109" s="2759"/>
      <c r="L109" s="2759"/>
      <c r="M109" s="2759"/>
    </row>
    <row r="110" customFormat="false" ht="15.75" hidden="false" customHeight="false" outlineLevel="0" collapsed="false">
      <c r="A110" s="862" t="s">
        <v>2830</v>
      </c>
      <c r="B110" s="862"/>
      <c r="C110" s="862"/>
      <c r="D110" s="864" t="s">
        <v>15</v>
      </c>
      <c r="E110" s="1438" t="n">
        <v>0.15</v>
      </c>
      <c r="F110" s="2775"/>
      <c r="G110" s="2521"/>
      <c r="H110" s="1952"/>
      <c r="I110" s="42"/>
      <c r="J110" s="2759"/>
      <c r="K110" s="2759"/>
      <c r="L110" s="2759"/>
      <c r="M110" s="2759"/>
    </row>
    <row r="111" customFormat="false" ht="15.75" hidden="false" customHeight="false" outlineLevel="0" collapsed="false">
      <c r="A111" s="862"/>
      <c r="B111" s="862"/>
      <c r="C111" s="862"/>
      <c r="D111" s="864" t="s">
        <v>15</v>
      </c>
      <c r="E111" s="1438" t="n">
        <v>0.2</v>
      </c>
      <c r="F111" s="2775"/>
      <c r="G111" s="2521"/>
      <c r="H111" s="1952"/>
      <c r="I111" s="42"/>
      <c r="J111" s="2759"/>
      <c r="K111" s="2759"/>
      <c r="L111" s="2759"/>
      <c r="M111" s="2759"/>
    </row>
    <row r="112" customFormat="false" ht="15.75" hidden="false" customHeight="false" outlineLevel="0" collapsed="false">
      <c r="A112" s="2524"/>
      <c r="B112" s="2524"/>
      <c r="C112" s="918"/>
      <c r="D112" s="2526"/>
      <c r="E112" s="2526"/>
      <c r="F112" s="2487"/>
      <c r="G112" s="42"/>
      <c r="H112" s="1963"/>
      <c r="I112" s="42"/>
      <c r="J112" s="2759"/>
      <c r="K112" s="2759"/>
      <c r="L112" s="2759"/>
      <c r="M112" s="2759"/>
    </row>
    <row r="113" customFormat="false" ht="15" hidden="false" customHeight="false" outlineLevel="0" collapsed="false">
      <c r="A113" s="2495" t="s">
        <v>266</v>
      </c>
      <c r="B113" s="2495"/>
      <c r="C113" s="2495"/>
      <c r="D113" s="2495"/>
      <c r="E113" s="2495"/>
      <c r="F113" s="2495"/>
      <c r="G113" s="1348" t="str">
        <f aca="false">'Ввод данных'!F443</f>
        <v>Не считать</v>
      </c>
      <c r="H113" s="42" t="s">
        <v>3997</v>
      </c>
      <c r="I113" s="42"/>
      <c r="J113" s="2759"/>
      <c r="K113" s="2759"/>
      <c r="L113" s="2759"/>
      <c r="M113" s="2759"/>
    </row>
    <row r="114" customFormat="false" ht="15" hidden="false" customHeight="false" outlineLevel="0" collapsed="false">
      <c r="A114" s="2495" t="s">
        <v>161</v>
      </c>
      <c r="B114" s="2495"/>
      <c r="C114" s="2495"/>
      <c r="D114" s="2495" t="s">
        <v>12</v>
      </c>
      <c r="E114" s="2495" t="s">
        <v>118</v>
      </c>
      <c r="F114" s="2776"/>
      <c r="G114" s="53"/>
      <c r="H114" s="42"/>
      <c r="I114" s="42"/>
      <c r="J114" s="2759"/>
      <c r="K114" s="2759"/>
      <c r="L114" s="2759"/>
      <c r="M114" s="2759"/>
    </row>
    <row r="115" customFormat="false" ht="15" hidden="false" customHeight="false" outlineLevel="0" collapsed="false">
      <c r="A115" s="1413" t="s">
        <v>3047</v>
      </c>
      <c r="B115" s="1413"/>
      <c r="C115" s="1413"/>
      <c r="D115" s="1304" t="s">
        <v>48</v>
      </c>
      <c r="E115" s="2486" t="n">
        <v>1</v>
      </c>
      <c r="F115" s="1348" t="e">
        <f aca="false">'ввод данных'!#ref!</f>
        <v>#VALUE!</v>
      </c>
      <c r="G115" s="42"/>
      <c r="H115" s="42"/>
      <c r="I115" s="42"/>
      <c r="J115" s="2759"/>
      <c r="K115" s="2759"/>
      <c r="L115" s="2759"/>
      <c r="M115" s="2759"/>
    </row>
    <row r="116" customFormat="false" ht="23.25" hidden="false" customHeight="false" outlineLevel="0" collapsed="false">
      <c r="A116" s="2422" t="s">
        <v>3048</v>
      </c>
      <c r="B116" s="2422"/>
      <c r="C116" s="2422"/>
      <c r="D116" s="2509" t="s">
        <v>48</v>
      </c>
      <c r="E116" s="2527" t="n">
        <v>1</v>
      </c>
      <c r="F116" s="1348" t="e">
        <f aca="false">'ввод данных'!#ref!</f>
        <v>#VALUE!</v>
      </c>
      <c r="G116" s="2512"/>
      <c r="H116" s="1952"/>
      <c r="I116" s="42"/>
      <c r="J116" s="2759"/>
      <c r="K116" s="2759"/>
      <c r="L116" s="2759"/>
      <c r="M116" s="2759"/>
    </row>
    <row r="117" customFormat="false" ht="15" hidden="false" customHeight="false" outlineLevel="0" collapsed="false">
      <c r="A117" s="2513" t="s">
        <v>279</v>
      </c>
      <c r="B117" s="2513"/>
      <c r="C117" s="2513"/>
      <c r="D117" s="2514" t="s">
        <v>15</v>
      </c>
      <c r="E117" s="2777" t="n">
        <f aca="false">'Ввод данных'!C421</f>
        <v>1</v>
      </c>
      <c r="F117" s="2508"/>
      <c r="G117" s="2508"/>
      <c r="H117" s="1963"/>
      <c r="I117" s="42"/>
      <c r="J117" s="2759"/>
      <c r="K117" s="2759"/>
      <c r="L117" s="2759"/>
      <c r="M117" s="2759"/>
    </row>
    <row r="118" customFormat="false" ht="15" hidden="false" customHeight="false" outlineLevel="0" collapsed="false">
      <c r="A118" s="2513" t="s">
        <v>280</v>
      </c>
      <c r="B118" s="2513"/>
      <c r="C118" s="2513"/>
      <c r="D118" s="2514" t="s">
        <v>15</v>
      </c>
      <c r="E118" s="2777" t="n">
        <f aca="false">'Ввод данных'!C422</f>
        <v>2</v>
      </c>
      <c r="F118" s="2517"/>
      <c r="G118" s="2517"/>
      <c r="H118" s="1963"/>
      <c r="I118" s="42"/>
      <c r="J118" s="2759"/>
      <c r="K118" s="2759"/>
      <c r="L118" s="2759"/>
      <c r="M118" s="2759"/>
    </row>
    <row r="119" customFormat="false" ht="15" hidden="false" customHeight="false" outlineLevel="0" collapsed="false">
      <c r="A119" s="2528" t="s">
        <v>3645</v>
      </c>
      <c r="B119" s="2528"/>
      <c r="C119" s="2528"/>
      <c r="D119" s="1401" t="s">
        <v>15</v>
      </c>
      <c r="E119" s="2777" t="n">
        <f aca="false">'Ввод данных'!C419</f>
        <v>2</v>
      </c>
      <c r="F119" s="2517"/>
      <c r="G119" s="2517"/>
      <c r="H119" s="1963"/>
      <c r="I119" s="42"/>
      <c r="J119" s="2759"/>
      <c r="K119" s="2759"/>
      <c r="L119" s="2759"/>
      <c r="M119" s="2759"/>
    </row>
    <row r="120" customFormat="false" ht="15.75" hidden="false" customHeight="false" outlineLevel="0" collapsed="false">
      <c r="A120" s="861" t="s">
        <v>245</v>
      </c>
      <c r="B120" s="861"/>
      <c r="C120" s="861"/>
      <c r="D120" s="862" t="s">
        <v>15</v>
      </c>
      <c r="E120" s="2777" t="n">
        <f aca="false">'Ввод данных'!C423</f>
        <v>2</v>
      </c>
      <c r="F120" s="2400"/>
      <c r="G120" s="2400"/>
      <c r="H120" s="1963"/>
      <c r="I120" s="42"/>
      <c r="J120" s="2759"/>
      <c r="K120" s="2759"/>
      <c r="L120" s="2759"/>
      <c r="M120" s="2759"/>
    </row>
    <row r="121" customFormat="false" ht="15.75" hidden="false" customHeight="false" outlineLevel="0" collapsed="false">
      <c r="A121" s="861" t="s">
        <v>3649</v>
      </c>
      <c r="B121" s="861"/>
      <c r="C121" s="861"/>
      <c r="D121" s="862" t="s">
        <v>15</v>
      </c>
      <c r="E121" s="2519" t="n">
        <f aca="false">SQRT((E118/2)*(E118/2)+E119*E119)</f>
        <v>2.23606797749979</v>
      </c>
      <c r="F121" s="2400"/>
      <c r="G121" s="2400"/>
      <c r="H121" s="1963"/>
      <c r="I121" s="42"/>
      <c r="J121" s="2759"/>
      <c r="K121" s="2759"/>
      <c r="L121" s="2759"/>
      <c r="M121" s="2759"/>
    </row>
    <row r="122" customFormat="false" ht="15" hidden="false" customHeight="false" outlineLevel="0" collapsed="false">
      <c r="A122" s="2529" t="s">
        <v>3650</v>
      </c>
      <c r="B122" s="2530"/>
      <c r="C122" s="2531"/>
      <c r="D122" s="2514" t="s">
        <v>15</v>
      </c>
      <c r="E122" s="2515" t="n">
        <f aca="false">SQRT((E120-E117)*(E120-E117)+E121*E121)</f>
        <v>2.44948974278318</v>
      </c>
      <c r="F122" s="2520"/>
      <c r="G122" s="2521"/>
      <c r="H122" s="1963"/>
      <c r="I122" s="42"/>
      <c r="J122" s="2759"/>
      <c r="K122" s="2759"/>
      <c r="L122" s="2759"/>
      <c r="M122" s="2759"/>
    </row>
    <row r="123" customFormat="false" ht="15.75" hidden="false" customHeight="false" outlineLevel="0" collapsed="false">
      <c r="A123" s="2529" t="s">
        <v>3652</v>
      </c>
      <c r="B123" s="2530"/>
      <c r="C123" s="2531"/>
      <c r="D123" s="862" t="s">
        <v>15</v>
      </c>
      <c r="E123" s="2519" t="n">
        <f aca="false">SQRT(E120*E120+E121*E121)</f>
        <v>3</v>
      </c>
      <c r="F123" s="2520"/>
      <c r="G123" s="2521"/>
      <c r="H123" s="1963"/>
      <c r="I123" s="42"/>
      <c r="J123" s="2759"/>
      <c r="K123" s="2759"/>
      <c r="L123" s="2759"/>
      <c r="M123" s="2759"/>
    </row>
    <row r="124" customFormat="false" ht="15.75" hidden="false" customHeight="false" outlineLevel="0" collapsed="false">
      <c r="A124" s="861" t="s">
        <v>3654</v>
      </c>
      <c r="B124" s="861"/>
      <c r="C124" s="861"/>
      <c r="D124" s="862" t="s">
        <v>820</v>
      </c>
      <c r="E124" s="2519" t="n">
        <f aca="false">E121*(E120-E117)+E121*E117*2</f>
        <v>6.70820393249937</v>
      </c>
      <c r="F124" s="2520"/>
      <c r="G124" s="2521"/>
      <c r="H124" s="1963"/>
      <c r="I124" s="42"/>
      <c r="J124" s="2759"/>
      <c r="K124" s="2759"/>
      <c r="L124" s="2759"/>
      <c r="M124" s="2759"/>
    </row>
    <row r="125" customFormat="false" ht="15" hidden="false" customHeight="false" outlineLevel="0" collapsed="false">
      <c r="A125" s="1413" t="s">
        <v>3998</v>
      </c>
      <c r="B125" s="1413"/>
      <c r="C125" s="1413"/>
      <c r="D125" s="1304" t="s">
        <v>820</v>
      </c>
      <c r="E125" s="1965" t="n">
        <f aca="false">E121*E120</f>
        <v>4.47213595499958</v>
      </c>
      <c r="F125" s="2517"/>
      <c r="G125" s="2517"/>
      <c r="H125" s="1963"/>
      <c r="I125" s="42"/>
      <c r="J125" s="2759"/>
      <c r="K125" s="2759"/>
      <c r="L125" s="2759"/>
      <c r="M125" s="2759"/>
    </row>
    <row r="126" customFormat="false" ht="15.75" hidden="false" customHeight="false" outlineLevel="0" collapsed="false">
      <c r="A126" s="862" t="s">
        <v>3665</v>
      </c>
      <c r="B126" s="862"/>
      <c r="C126" s="862"/>
      <c r="D126" s="862" t="s">
        <v>15</v>
      </c>
      <c r="E126" s="1438" t="n">
        <v>0.15</v>
      </c>
      <c r="F126" s="2778" t="n">
        <f aca="false">'Ввод данных'!D426</f>
        <v>0</v>
      </c>
      <c r="G126" s="2521"/>
      <c r="H126" s="1963"/>
      <c r="I126" s="42"/>
      <c r="J126" s="2759"/>
      <c r="K126" s="2759"/>
      <c r="L126" s="2759"/>
      <c r="M126" s="2759"/>
    </row>
    <row r="127" customFormat="false" ht="15.75" hidden="false" customHeight="false" outlineLevel="0" collapsed="false">
      <c r="A127" s="862"/>
      <c r="B127" s="862"/>
      <c r="C127" s="862"/>
      <c r="D127" s="862" t="s">
        <v>15</v>
      </c>
      <c r="E127" s="1438" t="n">
        <v>0.2</v>
      </c>
      <c r="F127" s="2778"/>
      <c r="G127" s="2508"/>
      <c r="H127" s="1963"/>
      <c r="I127" s="42"/>
      <c r="J127" s="2759"/>
      <c r="K127" s="2759"/>
      <c r="L127" s="2759"/>
      <c r="M127" s="2759"/>
    </row>
    <row r="128" customFormat="false" ht="15.75" hidden="false" customHeight="false" outlineLevel="0" collapsed="false">
      <c r="A128" s="862" t="s">
        <v>2830</v>
      </c>
      <c r="B128" s="862"/>
      <c r="C128" s="862"/>
      <c r="D128" s="862" t="s">
        <v>15</v>
      </c>
      <c r="E128" s="1438" t="n">
        <v>0.15</v>
      </c>
      <c r="F128" s="2778" t="n">
        <f aca="false">'Ввод данных'!D427</f>
        <v>0</v>
      </c>
      <c r="G128" s="2521"/>
      <c r="H128" s="1963"/>
      <c r="I128" s="42"/>
      <c r="J128" s="2759"/>
      <c r="K128" s="2759"/>
      <c r="L128" s="2759"/>
      <c r="M128" s="2759"/>
    </row>
    <row r="129" customFormat="false" ht="15.75" hidden="false" customHeight="false" outlineLevel="0" collapsed="false">
      <c r="A129" s="862"/>
      <c r="B129" s="862"/>
      <c r="C129" s="862"/>
      <c r="D129" s="862" t="s">
        <v>15</v>
      </c>
      <c r="E129" s="1438" t="n">
        <v>0.2</v>
      </c>
      <c r="F129" s="2778" t="e">
        <f aca="false">'ввод данных'!#ref!</f>
        <v>#VALUE!</v>
      </c>
      <c r="G129" s="2521"/>
      <c r="H129" s="1963"/>
      <c r="I129" s="42"/>
      <c r="J129" s="2759"/>
      <c r="K129" s="2759"/>
      <c r="L129" s="2759"/>
      <c r="M129" s="2759"/>
    </row>
    <row r="130" customFormat="false" ht="15" hidden="false" customHeight="false" outlineLevel="0" collapsed="false">
      <c r="A130" s="1413" t="s">
        <v>4118</v>
      </c>
      <c r="B130" s="1413"/>
      <c r="C130" s="1413"/>
      <c r="D130" s="1304" t="s">
        <v>820</v>
      </c>
      <c r="E130" s="2486" t="n">
        <f aca="false">SQRT(E123*E123-(E118/2)*(E118/2))</f>
        <v>2.82842712474619</v>
      </c>
      <c r="F130" s="42"/>
      <c r="G130" s="2521"/>
      <c r="H130" s="1963"/>
      <c r="I130" s="42"/>
      <c r="J130" s="2759"/>
      <c r="K130" s="2759"/>
      <c r="L130" s="2759"/>
      <c r="M130" s="2759"/>
    </row>
    <row r="131" customFormat="false" ht="15" hidden="false" customHeight="false" outlineLevel="0" collapsed="false">
      <c r="A131" s="1311"/>
      <c r="B131" s="1311"/>
      <c r="C131" s="1311"/>
      <c r="D131" s="1311"/>
      <c r="E131" s="1311"/>
      <c r="F131" s="1311"/>
      <c r="G131" s="1311"/>
      <c r="H131" s="1360"/>
      <c r="I131" s="1360"/>
      <c r="J131" s="2759"/>
      <c r="K131" s="2759"/>
      <c r="L131" s="2759"/>
      <c r="M131" s="2759"/>
    </row>
    <row r="132" customFormat="false" ht="15" hidden="false" customHeight="false" outlineLevel="0" collapsed="false">
      <c r="A132" s="1296" t="s">
        <v>2745</v>
      </c>
      <c r="B132" s="2533"/>
      <c r="C132" s="1308" t="s">
        <v>12</v>
      </c>
      <c r="D132" s="1308" t="s">
        <v>13</v>
      </c>
      <c r="E132" s="1350" t="n">
        <f aca="false">пристройка!D2</f>
        <v>0</v>
      </c>
      <c r="F132" s="1300" t="s">
        <v>2746</v>
      </c>
      <c r="G132" s="1311"/>
      <c r="H132" s="1360"/>
      <c r="I132" s="1360"/>
      <c r="J132" s="2759"/>
      <c r="K132" s="2759"/>
      <c r="L132" s="2759"/>
      <c r="M132" s="2759"/>
    </row>
    <row r="133" customFormat="false" ht="15" hidden="false" customHeight="false" outlineLevel="0" collapsed="false">
      <c r="A133" s="1310" t="s">
        <v>2748</v>
      </c>
      <c r="B133" s="1310"/>
      <c r="C133" s="2461" t="s">
        <v>48</v>
      </c>
      <c r="D133" s="1504"/>
      <c r="E133" s="1311"/>
      <c r="F133" s="1311"/>
      <c r="G133" s="1311"/>
      <c r="H133" s="1311"/>
      <c r="I133" s="1311"/>
      <c r="J133" s="2759"/>
      <c r="K133" s="2759"/>
      <c r="L133" s="2759"/>
      <c r="M133" s="2759"/>
    </row>
    <row r="134" customFormat="false" ht="15" hidden="false" customHeight="false" outlineLevel="0" collapsed="false">
      <c r="A134" s="1310" t="s">
        <v>2753</v>
      </c>
      <c r="B134" s="1310"/>
      <c r="C134" s="2461" t="s">
        <v>48</v>
      </c>
      <c r="D134" s="1504" t="n">
        <f aca="false">'Ввод данных'!E448</f>
        <v>1</v>
      </c>
      <c r="E134" s="1311"/>
      <c r="F134" s="1311"/>
      <c r="G134" s="1311"/>
      <c r="H134" s="1311"/>
      <c r="I134" s="1311"/>
      <c r="J134" s="2759"/>
      <c r="K134" s="2759"/>
      <c r="L134" s="2759"/>
      <c r="M134" s="2759"/>
    </row>
    <row r="135" customFormat="false" ht="15" hidden="false" customHeight="false" outlineLevel="0" collapsed="false">
      <c r="A135" s="1310" t="s">
        <v>161</v>
      </c>
      <c r="B135" s="1310"/>
      <c r="C135" s="1311" t="s">
        <v>12</v>
      </c>
      <c r="D135" s="1176" t="s">
        <v>13</v>
      </c>
      <c r="E135" s="1176" t="s">
        <v>137</v>
      </c>
      <c r="F135" s="1176" t="s">
        <v>486</v>
      </c>
      <c r="G135" s="1311"/>
      <c r="H135" s="1311"/>
      <c r="I135" s="1311"/>
      <c r="J135" s="2759"/>
      <c r="K135" s="2759"/>
      <c r="L135" s="2759"/>
      <c r="M135" s="2759"/>
    </row>
    <row r="136" customFormat="false" ht="15" hidden="false" customHeight="false" outlineLevel="0" collapsed="false">
      <c r="A136" s="1310" t="s">
        <v>302</v>
      </c>
      <c r="B136" s="1310"/>
      <c r="C136" s="1361" t="s">
        <v>15</v>
      </c>
      <c r="D136" s="1338"/>
      <c r="E136" s="1506" t="str">
        <f aca="false">связи1!E567</f>
        <v>№3</v>
      </c>
      <c r="F136" s="1506" t="e">
        <f aca="false">'ввод данных'!#ref!</f>
        <v>#VALUE!</v>
      </c>
      <c r="G136" s="1301" t="s">
        <v>3668</v>
      </c>
      <c r="H136" s="1311"/>
      <c r="I136" s="1311"/>
      <c r="J136" s="2759"/>
      <c r="K136" s="2759"/>
      <c r="L136" s="2759"/>
      <c r="M136" s="2759"/>
    </row>
    <row r="137" customFormat="false" ht="15" hidden="false" customHeight="false" outlineLevel="0" collapsed="false">
      <c r="A137" s="1310" t="s">
        <v>2758</v>
      </c>
      <c r="B137" s="1310"/>
      <c r="C137" s="1361" t="s">
        <v>15</v>
      </c>
      <c r="D137" s="1338"/>
      <c r="E137" s="1506" t="n">
        <f aca="false">связи1!E568</f>
        <v>1</v>
      </c>
      <c r="F137" s="1506" t="e">
        <f aca="false">'ввод данных'!#ref!</f>
        <v>#VALUE!</v>
      </c>
      <c r="G137" s="1301" t="s">
        <v>3669</v>
      </c>
      <c r="H137" s="1311"/>
      <c r="I137" s="1311"/>
      <c r="J137" s="2759"/>
      <c r="K137" s="2759"/>
      <c r="L137" s="2759"/>
      <c r="M137" s="2759"/>
    </row>
    <row r="138" customFormat="false" ht="15" hidden="false" customHeight="false" outlineLevel="0" collapsed="false">
      <c r="A138" s="1310" t="s">
        <v>2759</v>
      </c>
      <c r="B138" s="1310"/>
      <c r="C138" s="1361" t="s">
        <v>15</v>
      </c>
      <c r="D138" s="1338"/>
      <c r="E138" s="1506" t="n">
        <f aca="false">'Ввод данных'!E452</f>
        <v>0</v>
      </c>
      <c r="F138" s="1506" t="n">
        <f aca="false">'Ввод данных'!G456</f>
        <v>0</v>
      </c>
      <c r="G138" s="1301" t="s">
        <v>3670</v>
      </c>
      <c r="H138" s="1360"/>
      <c r="I138" s="1360"/>
      <c r="J138" s="2759"/>
      <c r="K138" s="2759"/>
      <c r="L138" s="2759"/>
      <c r="M138" s="2759"/>
    </row>
    <row r="139" customFormat="false" ht="15" hidden="false" customHeight="false" outlineLevel="0" collapsed="false">
      <c r="A139" s="1310" t="s">
        <v>366</v>
      </c>
      <c r="B139" s="1310"/>
      <c r="C139" s="2461" t="s">
        <v>15</v>
      </c>
      <c r="D139" s="2370" t="n">
        <f aca="false">пристройка!C34</f>
        <v>6</v>
      </c>
      <c r="E139" s="1311"/>
      <c r="F139" s="1311"/>
      <c r="G139" s="1311"/>
      <c r="H139" s="1360"/>
      <c r="I139" s="1360"/>
      <c r="J139" s="2759"/>
      <c r="K139" s="2759"/>
      <c r="L139" s="2759"/>
      <c r="M139" s="2759"/>
    </row>
    <row r="140" customFormat="false" ht="15" hidden="false" customHeight="false" outlineLevel="0" collapsed="false">
      <c r="A140" s="1310" t="s">
        <v>2774</v>
      </c>
      <c r="B140" s="1310"/>
      <c r="C140" s="1176" t="s">
        <v>15</v>
      </c>
      <c r="D140" s="2370" t="n">
        <f aca="false">пристройка!C33</f>
        <v>3</v>
      </c>
      <c r="E140" s="1311"/>
      <c r="F140" s="1311"/>
      <c r="G140" s="1311"/>
      <c r="H140" s="1301"/>
      <c r="I140" s="1360"/>
      <c r="J140" s="2759"/>
      <c r="K140" s="2759"/>
      <c r="L140" s="2759"/>
      <c r="M140" s="2759"/>
    </row>
    <row r="141" customFormat="false" ht="15" hidden="false" customHeight="false" outlineLevel="0" collapsed="false">
      <c r="A141" s="1310" t="s">
        <v>4000</v>
      </c>
      <c r="B141" s="1310"/>
      <c r="C141" s="1176" t="s">
        <v>15</v>
      </c>
      <c r="D141" s="2370" t="n">
        <f aca="false">пристройка!C38</f>
        <v>0</v>
      </c>
      <c r="E141" s="1311"/>
      <c r="F141" s="1311"/>
      <c r="G141" s="1311"/>
      <c r="H141" s="1301"/>
      <c r="I141" s="1360"/>
      <c r="J141" s="2759"/>
      <c r="K141" s="2759"/>
      <c r="L141" s="2759"/>
      <c r="M141" s="2759"/>
    </row>
    <row r="142" customFormat="false" ht="15" hidden="false" customHeight="false" outlineLevel="0" collapsed="false">
      <c r="A142" s="1310" t="s">
        <v>4001</v>
      </c>
      <c r="B142" s="1310"/>
      <c r="C142" s="1176" t="s">
        <v>15</v>
      </c>
      <c r="D142" s="2370" t="n">
        <f aca="false">пристройка!C35</f>
        <v>2.9</v>
      </c>
      <c r="E142" s="1311"/>
      <c r="F142" s="1311"/>
      <c r="G142" s="1311"/>
      <c r="H142" s="1301"/>
      <c r="I142" s="1360"/>
      <c r="J142" s="2759"/>
      <c r="K142" s="2759"/>
      <c r="L142" s="2759"/>
      <c r="M142" s="2759"/>
    </row>
    <row r="143" customFormat="false" ht="15" hidden="false" customHeight="false" outlineLevel="0" collapsed="false">
      <c r="A143" s="1310" t="s">
        <v>4002</v>
      </c>
      <c r="B143" s="1310"/>
      <c r="C143" s="1176" t="s">
        <v>15</v>
      </c>
      <c r="D143" s="2370" t="n">
        <f aca="false">пристройка!AE185</f>
        <v>4.6</v>
      </c>
      <c r="E143" s="1311"/>
      <c r="F143" s="1311"/>
      <c r="G143" s="1311"/>
      <c r="H143" s="1311"/>
      <c r="I143" s="1360"/>
      <c r="J143" s="2759"/>
      <c r="K143" s="2759"/>
      <c r="L143" s="2759"/>
      <c r="M143" s="2759"/>
    </row>
    <row r="144" customFormat="false" ht="15" hidden="false" customHeight="false" outlineLevel="0" collapsed="false">
      <c r="A144" s="1316" t="s">
        <v>4003</v>
      </c>
      <c r="B144" s="1316"/>
      <c r="C144" s="1176" t="s">
        <v>15</v>
      </c>
      <c r="D144" s="2370" t="n">
        <f aca="false">пристройка!C39</f>
        <v>0</v>
      </c>
      <c r="E144" s="1311"/>
      <c r="F144" s="1311"/>
      <c r="G144" s="1311"/>
      <c r="H144" s="1311"/>
      <c r="I144" s="1360"/>
      <c r="J144" s="2759"/>
      <c r="K144" s="2759"/>
      <c r="L144" s="2759"/>
      <c r="M144" s="2759"/>
    </row>
    <row r="145" customFormat="false" ht="15" hidden="false" customHeight="false" outlineLevel="0" collapsed="false">
      <c r="A145" s="1310" t="s">
        <v>4004</v>
      </c>
      <c r="B145" s="1310"/>
      <c r="C145" s="1176" t="s">
        <v>15</v>
      </c>
      <c r="D145" s="2370" t="e">
        <f aca="false">пристройка!#REF!</f>
        <v>#VALUE!</v>
      </c>
      <c r="E145" s="1311"/>
      <c r="F145" s="1311"/>
      <c r="G145" s="1311"/>
      <c r="H145" s="1311"/>
      <c r="I145" s="1360"/>
      <c r="J145" s="2759"/>
      <c r="K145" s="2759"/>
      <c r="L145" s="2759"/>
      <c r="M145" s="2759"/>
    </row>
    <row r="146" customFormat="false" ht="15" hidden="false" customHeight="false" outlineLevel="0" collapsed="false">
      <c r="A146" s="1310" t="s">
        <v>46</v>
      </c>
      <c r="B146" s="1310"/>
      <c r="C146" s="1311" t="s">
        <v>12</v>
      </c>
      <c r="D146" s="1312" t="s">
        <v>200</v>
      </c>
      <c r="E146" s="1176" t="s">
        <v>118</v>
      </c>
      <c r="F146" s="1313" t="s">
        <v>200</v>
      </c>
      <c r="G146" s="1301"/>
      <c r="H146" s="1301"/>
      <c r="I146" s="1360"/>
      <c r="J146" s="2759"/>
      <c r="K146" s="2759"/>
      <c r="L146" s="2759"/>
      <c r="M146" s="2759"/>
    </row>
    <row r="147" customFormat="false" ht="15" hidden="false" customHeight="false" outlineLevel="0" collapsed="false">
      <c r="A147" s="1304" t="s">
        <v>546</v>
      </c>
      <c r="B147" s="1304"/>
      <c r="C147" s="1176" t="s">
        <v>15</v>
      </c>
      <c r="D147" s="1504" t="n">
        <f aca="false">связи1!D570</f>
        <v>3</v>
      </c>
      <c r="E147" s="1506" t="n">
        <f aca="false">связи1!E570</f>
        <v>3</v>
      </c>
      <c r="F147" s="1313" t="n">
        <f aca="false">D147*E147</f>
        <v>9</v>
      </c>
      <c r="G147" s="1301"/>
      <c r="H147" s="1301"/>
      <c r="I147" s="1360"/>
      <c r="J147" s="2759"/>
      <c r="K147" s="2759"/>
      <c r="L147" s="2759"/>
      <c r="M147" s="2759"/>
    </row>
    <row r="148" customFormat="false" ht="15" hidden="false" customHeight="false" outlineLevel="0" collapsed="false">
      <c r="A148" s="1304"/>
      <c r="B148" s="1304"/>
      <c r="C148" s="1176"/>
      <c r="D148" s="1504" t="n">
        <f aca="false">связи1!D571</f>
        <v>2.9</v>
      </c>
      <c r="E148" s="1506" t="n">
        <f aca="false">связи1!E571</f>
        <v>2.9</v>
      </c>
      <c r="F148" s="1313" t="n">
        <f aca="false">D148*E148</f>
        <v>8.41</v>
      </c>
      <c r="G148" s="1301"/>
      <c r="H148" s="1301"/>
      <c r="I148" s="1360"/>
      <c r="J148" s="2759"/>
      <c r="K148" s="2759"/>
      <c r="L148" s="2759"/>
      <c r="M148" s="2759"/>
    </row>
    <row r="149" customFormat="false" ht="15" hidden="false" customHeight="false" outlineLevel="0" collapsed="false">
      <c r="A149" s="1304"/>
      <c r="B149" s="1304"/>
      <c r="C149" s="1176" t="s">
        <v>15</v>
      </c>
      <c r="D149" s="1504" t="n">
        <f aca="false">связи1!D574</f>
        <v>2.2</v>
      </c>
      <c r="E149" s="1506" t="n">
        <f aca="false">связи1!E574</f>
        <v>2.2</v>
      </c>
      <c r="F149" s="1313" t="n">
        <f aca="false">D149*E149</f>
        <v>4.84</v>
      </c>
      <c r="G149" s="1301"/>
      <c r="H149" s="1301"/>
      <c r="I149" s="1360"/>
      <c r="J149" s="2759"/>
      <c r="K149" s="2759"/>
      <c r="L149" s="2759"/>
      <c r="M149" s="2759"/>
    </row>
    <row r="150" customFormat="false" ht="15" hidden="false" customHeight="false" outlineLevel="0" collapsed="false">
      <c r="A150" s="1304" t="s">
        <v>547</v>
      </c>
      <c r="B150" s="1304"/>
      <c r="C150" s="1176" t="s">
        <v>15</v>
      </c>
      <c r="D150" s="1504" t="n">
        <f aca="false">связи1!D575</f>
        <v>1</v>
      </c>
      <c r="E150" s="1506" t="n">
        <f aca="false">связи1!E575</f>
        <v>2.9</v>
      </c>
      <c r="F150" s="1313" t="n">
        <f aca="false">D150*E150</f>
        <v>2.9</v>
      </c>
      <c r="G150" s="1301"/>
      <c r="H150" s="1301"/>
      <c r="I150" s="1360"/>
      <c r="J150" s="2759"/>
      <c r="K150" s="2759"/>
      <c r="L150" s="2759"/>
      <c r="M150" s="2759"/>
    </row>
    <row r="151" customFormat="false" ht="15" hidden="false" customHeight="false" outlineLevel="0" collapsed="false">
      <c r="A151" s="1304"/>
      <c r="B151" s="1304"/>
      <c r="C151" s="1176"/>
      <c r="D151" s="1504" t="n">
        <f aca="false">связи1!D576</f>
        <v>2.1</v>
      </c>
      <c r="E151" s="1506"/>
      <c r="F151" s="1313" t="n">
        <f aca="false">D151*E151</f>
        <v>0</v>
      </c>
      <c r="G151" s="1301"/>
      <c r="H151" s="1360"/>
      <c r="I151" s="1360"/>
      <c r="J151" s="2759"/>
      <c r="K151" s="2759"/>
      <c r="L151" s="2759"/>
      <c r="M151" s="2759"/>
    </row>
    <row r="152" customFormat="false" ht="15" hidden="false" customHeight="false" outlineLevel="0" collapsed="false">
      <c r="A152" s="1304"/>
      <c r="B152" s="1304"/>
      <c r="C152" s="1176" t="s">
        <v>15</v>
      </c>
      <c r="D152" s="1504" t="e">
        <f aca="false">'ввод данных'!#ref!</f>
        <v>#VALUE!</v>
      </c>
      <c r="E152" s="1506" t="e">
        <f aca="false">'ввод данных'!#ref!</f>
        <v>#VALUE!</v>
      </c>
      <c r="F152" s="1313" t="e">
        <f aca="false">D152*E152</f>
        <v>#VALUE!</v>
      </c>
      <c r="G152" s="1301"/>
      <c r="H152" s="1360"/>
      <c r="I152" s="1360"/>
      <c r="J152" s="2526"/>
      <c r="K152" s="2526"/>
      <c r="L152" s="2526"/>
      <c r="M152" s="2526"/>
    </row>
    <row r="153" customFormat="false" ht="15" hidden="false" customHeight="false" outlineLevel="0" collapsed="false">
      <c r="A153" s="1359" t="s">
        <v>4119</v>
      </c>
      <c r="B153" s="1359"/>
      <c r="C153" s="1359"/>
      <c r="D153" s="1359"/>
      <c r="E153" s="1359"/>
      <c r="F153" s="1313" t="e">
        <f aca="false">SUM(F147:F152)*E132</f>
        <v>#VALUE!</v>
      </c>
      <c r="G153" s="1301"/>
      <c r="H153" s="1360"/>
      <c r="I153" s="1360"/>
      <c r="J153" s="2526"/>
      <c r="K153" s="2526"/>
      <c r="L153" s="2526"/>
      <c r="M153" s="2526"/>
    </row>
    <row r="154" customFormat="false" ht="15" hidden="false" customHeight="false" outlineLevel="0" collapsed="false">
      <c r="A154" s="1363" t="s">
        <v>548</v>
      </c>
      <c r="B154" s="1364"/>
      <c r="C154" s="1365" t="s">
        <v>12</v>
      </c>
      <c r="D154" s="1365" t="s">
        <v>2779</v>
      </c>
      <c r="E154" s="1365" t="s">
        <v>2780</v>
      </c>
      <c r="F154" s="1365" t="s">
        <v>118</v>
      </c>
      <c r="G154" s="1308" t="s">
        <v>2749</v>
      </c>
      <c r="H154" s="1360"/>
      <c r="I154" s="1429"/>
      <c r="J154" s="2526"/>
      <c r="K154" s="2526"/>
      <c r="L154" s="2526"/>
      <c r="M154" s="2526"/>
    </row>
    <row r="155" customFormat="false" ht="15" hidden="false" customHeight="false" outlineLevel="0" collapsed="false">
      <c r="A155" s="1304" t="s">
        <v>550</v>
      </c>
      <c r="B155" s="1304"/>
      <c r="C155" s="1304" t="s">
        <v>15</v>
      </c>
      <c r="D155" s="1504" t="e">
        <f aca="false">'ввод данных'!#ref!</f>
        <v>#VALUE!</v>
      </c>
      <c r="E155" s="1506" t="e">
        <f aca="false">'ввод данных'!#ref!</f>
        <v>#VALUE!</v>
      </c>
      <c r="F155" s="2779" t="n">
        <f aca="false">'Ввод данных'!G467</f>
        <v>0</v>
      </c>
      <c r="G155" s="1368" t="e">
        <f aca="false">D155*E155*F155</f>
        <v>#VALUE!</v>
      </c>
      <c r="H155" s="1360"/>
      <c r="I155" s="1295"/>
      <c r="J155" s="2526"/>
      <c r="K155" s="2526"/>
      <c r="L155" s="2526"/>
      <c r="M155" s="2526"/>
    </row>
    <row r="156" customFormat="false" ht="15" hidden="false" customHeight="false" outlineLevel="0" collapsed="false">
      <c r="A156" s="1304"/>
      <c r="B156" s="1304"/>
      <c r="C156" s="1304" t="s">
        <v>15</v>
      </c>
      <c r="D156" s="1504" t="e">
        <f aca="false">'ввод данных'!#ref!</f>
        <v>#VALUE!</v>
      </c>
      <c r="E156" s="1506" t="e">
        <f aca="false">'ввод данных'!#ref!</f>
        <v>#VALUE!</v>
      </c>
      <c r="F156" s="2779" t="n">
        <f aca="false">'Ввод данных'!G468</f>
        <v>0</v>
      </c>
      <c r="G156" s="1368" t="e">
        <f aca="false">D156*E156*F156</f>
        <v>#VALUE!</v>
      </c>
      <c r="H156" s="1360"/>
      <c r="I156" s="1429"/>
      <c r="J156" s="2526"/>
      <c r="K156" s="2526"/>
      <c r="L156" s="2526"/>
      <c r="M156" s="2526"/>
    </row>
    <row r="157" customFormat="false" ht="15" hidden="false" customHeight="false" outlineLevel="0" collapsed="false">
      <c r="A157" s="1304"/>
      <c r="B157" s="1304"/>
      <c r="C157" s="1304" t="s">
        <v>15</v>
      </c>
      <c r="D157" s="1504" t="e">
        <f aca="false">'ввод данных'!#ref!</f>
        <v>#VALUE!</v>
      </c>
      <c r="E157" s="1506" t="e">
        <f aca="false">'ввод данных'!#ref!</f>
        <v>#VALUE!</v>
      </c>
      <c r="F157" s="2779" t="n">
        <f aca="false">'Ввод данных'!G469</f>
        <v>0</v>
      </c>
      <c r="G157" s="1368" t="e">
        <f aca="false">D157*E157*F157</f>
        <v>#VALUE!</v>
      </c>
      <c r="H157" s="1379"/>
      <c r="I157" s="1429"/>
      <c r="J157" s="2526"/>
      <c r="K157" s="2526"/>
      <c r="L157" s="2526"/>
      <c r="M157" s="2526"/>
    </row>
    <row r="158" customFormat="false" ht="15" hidden="false" customHeight="false" outlineLevel="0" collapsed="false">
      <c r="A158" s="1401" t="s">
        <v>551</v>
      </c>
      <c r="B158" s="1401"/>
      <c r="C158" s="1304" t="s">
        <v>15</v>
      </c>
      <c r="D158" s="1504" t="e">
        <f aca="false">'ввод данных'!#ref!</f>
        <v>#VALUE!</v>
      </c>
      <c r="E158" s="1506"/>
      <c r="F158" s="2779" t="e">
        <f aca="false">'ввод данных'!#ref!</f>
        <v>#VALUE!</v>
      </c>
      <c r="G158" s="1368" t="e">
        <f aca="false">D158*E158*F158</f>
        <v>#VALUE!</v>
      </c>
      <c r="H158" s="1311"/>
      <c r="I158" s="1429"/>
      <c r="J158" s="2526"/>
      <c r="K158" s="2526"/>
      <c r="L158" s="2526"/>
      <c r="M158" s="2526"/>
    </row>
    <row r="159" customFormat="false" ht="15" hidden="false" customHeight="false" outlineLevel="0" collapsed="false">
      <c r="A159" s="1401"/>
      <c r="B159" s="1401"/>
      <c r="C159" s="1304" t="s">
        <v>15</v>
      </c>
      <c r="D159" s="1504"/>
      <c r="E159" s="1506"/>
      <c r="F159" s="2779"/>
      <c r="G159" s="1368" t="n">
        <f aca="false">D159*E159*F159</f>
        <v>0</v>
      </c>
      <c r="H159" s="1379"/>
      <c r="I159" s="1429"/>
      <c r="J159" s="2526"/>
      <c r="K159" s="2526"/>
      <c r="L159" s="2526"/>
      <c r="M159" s="2526"/>
    </row>
    <row r="160" customFormat="false" ht="15" hidden="false" customHeight="false" outlineLevel="0" collapsed="false">
      <c r="A160" s="1304" t="s">
        <v>553</v>
      </c>
      <c r="B160" s="1304"/>
      <c r="C160" s="1334" t="s">
        <v>15</v>
      </c>
      <c r="D160" s="1504" t="n">
        <f aca="false">связи1!D579</f>
        <v>0.5</v>
      </c>
      <c r="E160" s="1506" t="n">
        <f aca="false">связи1!E579</f>
        <v>0.8</v>
      </c>
      <c r="F160" s="2779" t="n">
        <f aca="false">связи1!F566</f>
        <v>0</v>
      </c>
      <c r="G160" s="1176" t="n">
        <f aca="false">D160*E160*F160</f>
        <v>0</v>
      </c>
      <c r="H160" s="1618"/>
      <c r="I160" s="1619" t="s">
        <v>4005</v>
      </c>
      <c r="J160" s="2526"/>
      <c r="K160" s="2526"/>
      <c r="L160" s="2526"/>
      <c r="M160" s="2526"/>
    </row>
    <row r="161" customFormat="false" ht="15" hidden="false" customHeight="false" outlineLevel="0" collapsed="false">
      <c r="A161" s="1672" t="s">
        <v>2797</v>
      </c>
      <c r="B161" s="1672"/>
      <c r="C161" s="1672"/>
      <c r="D161" s="1672"/>
      <c r="E161" s="1672"/>
      <c r="F161" s="1672"/>
      <c r="G161" s="1294" t="e">
        <f aca="false">SUM(G155:G160)*E132</f>
        <v>#VALUE!</v>
      </c>
      <c r="H161" s="1379"/>
      <c r="I161" s="1429"/>
      <c r="J161" s="2526"/>
      <c r="K161" s="2526"/>
      <c r="L161" s="2526"/>
      <c r="M161" s="2526"/>
    </row>
    <row r="162" customFormat="false" ht="15" hidden="false" customHeight="false" outlineLevel="0" collapsed="false">
      <c r="A162" s="2539" t="s">
        <v>2790</v>
      </c>
      <c r="B162" s="2540"/>
      <c r="C162" s="2541" t="s">
        <v>12</v>
      </c>
      <c r="D162" s="2541" t="s">
        <v>200</v>
      </c>
      <c r="E162" s="1506" t="n">
        <f aca="false">связи1!E576</f>
        <v>1.5</v>
      </c>
      <c r="F162" s="1272" t="s">
        <v>4008</v>
      </c>
      <c r="G162" s="1295"/>
      <c r="H162" s="1379"/>
      <c r="I162" s="1429"/>
      <c r="J162" s="2526"/>
      <c r="K162" s="2526"/>
      <c r="L162" s="2526"/>
      <c r="M162" s="2526"/>
    </row>
    <row r="163" customFormat="false" ht="15" hidden="false" customHeight="false" outlineLevel="0" collapsed="false">
      <c r="A163" s="1799" t="s">
        <v>2980</v>
      </c>
      <c r="B163" s="1799"/>
      <c r="C163" s="1672" t="s">
        <v>15</v>
      </c>
      <c r="D163" s="1672" t="n">
        <f aca="false">SQRT(D140*D140+D144*D144)</f>
        <v>3</v>
      </c>
      <c r="E163" s="1631"/>
      <c r="F163" s="1631"/>
      <c r="G163" s="1295"/>
      <c r="H163" s="1379"/>
      <c r="I163" s="1429"/>
      <c r="J163" s="2526"/>
      <c r="K163" s="2526"/>
      <c r="L163" s="2526"/>
      <c r="M163" s="2526"/>
    </row>
    <row r="164" customFormat="false" ht="15" hidden="false" customHeight="false" outlineLevel="0" collapsed="false">
      <c r="A164" s="1799" t="s">
        <v>3692</v>
      </c>
      <c r="B164" s="1799"/>
      <c r="C164" s="1672" t="s">
        <v>15</v>
      </c>
      <c r="D164" s="1504" t="n">
        <f aca="false">связи1!C577</f>
        <v>0.5</v>
      </c>
      <c r="E164" s="1631"/>
      <c r="F164" s="1631"/>
      <c r="G164" s="1295"/>
      <c r="H164" s="1379"/>
      <c r="I164" s="1429"/>
      <c r="J164" s="2526"/>
      <c r="K164" s="2526"/>
      <c r="L164" s="2526"/>
      <c r="M164" s="2526"/>
    </row>
    <row r="165" customFormat="false" ht="15" hidden="false" customHeight="false" outlineLevel="0" collapsed="false">
      <c r="A165" s="1799" t="s">
        <v>4009</v>
      </c>
      <c r="B165" s="1799"/>
      <c r="C165" s="1672" t="s">
        <v>15</v>
      </c>
      <c r="D165" s="1504" t="n">
        <f aca="false">связи1!C579</f>
        <v>0.5</v>
      </c>
      <c r="E165" s="1631"/>
      <c r="F165" s="1631"/>
      <c r="G165" s="1295"/>
      <c r="H165" s="1379"/>
      <c r="I165" s="1429"/>
      <c r="J165" s="2526"/>
      <c r="K165" s="2526"/>
      <c r="L165" s="2526"/>
      <c r="M165" s="2526"/>
    </row>
    <row r="166" customFormat="false" ht="15" hidden="false" customHeight="false" outlineLevel="0" collapsed="false">
      <c r="A166" s="1799" t="s">
        <v>2807</v>
      </c>
      <c r="B166" s="1799"/>
      <c r="C166" s="1672" t="s">
        <v>820</v>
      </c>
      <c r="D166" s="1672" t="n">
        <f aca="false">D163*D139</f>
        <v>18</v>
      </c>
      <c r="E166" s="1631"/>
      <c r="F166" s="1631"/>
      <c r="G166" s="1295"/>
      <c r="H166" s="1379"/>
      <c r="I166" s="1429"/>
      <c r="J166" s="2526"/>
      <c r="K166" s="2526"/>
      <c r="L166" s="2526"/>
      <c r="M166" s="2526"/>
    </row>
    <row r="167" customFormat="false" ht="15" hidden="false" customHeight="false" outlineLevel="0" collapsed="false">
      <c r="A167" s="1799" t="s">
        <v>2808</v>
      </c>
      <c r="B167" s="1799"/>
      <c r="C167" s="1672" t="s">
        <v>820</v>
      </c>
      <c r="D167" s="1672" t="n">
        <f aca="false">(D163+D164)*(D139+D165+D165)</f>
        <v>24.5</v>
      </c>
      <c r="E167" s="1631"/>
      <c r="F167" s="1631"/>
      <c r="G167" s="1295"/>
      <c r="H167" s="1379"/>
      <c r="I167" s="1429"/>
      <c r="J167" s="2526"/>
      <c r="K167" s="2526"/>
      <c r="L167" s="2526"/>
      <c r="M167" s="2526"/>
    </row>
    <row r="168" customFormat="false" ht="15" hidden="false" customHeight="false" outlineLevel="0" collapsed="false">
      <c r="A168" s="2561" t="s">
        <v>2833</v>
      </c>
      <c r="B168" s="2561"/>
      <c r="C168" s="2561"/>
      <c r="D168" s="2561"/>
      <c r="E168" s="1506" t="e">
        <f aca="false">'ввод данных'!#ref!</f>
        <v>#VALUE!</v>
      </c>
      <c r="F168" s="1301" t="s">
        <v>3715</v>
      </c>
      <c r="G168" s="1295"/>
      <c r="H168" s="1379"/>
      <c r="I168" s="1429"/>
      <c r="J168" s="2526"/>
      <c r="K168" s="2526"/>
      <c r="L168" s="2526"/>
      <c r="M168" s="2526"/>
    </row>
    <row r="169" customFormat="false" ht="15" hidden="false" customHeight="false" outlineLevel="0" collapsed="false">
      <c r="A169" s="2780" t="s">
        <v>2773</v>
      </c>
      <c r="B169" s="2489" t="s">
        <v>15</v>
      </c>
      <c r="C169" s="2780" t="n">
        <f aca="false">пристройка!C85</f>
        <v>0</v>
      </c>
      <c r="D169" s="1301"/>
      <c r="E169" s="1301"/>
      <c r="F169" s="1631"/>
      <c r="G169" s="1295"/>
      <c r="H169" s="1379"/>
      <c r="I169" s="1429"/>
      <c r="J169" s="2526"/>
      <c r="K169" s="2526"/>
      <c r="L169" s="2526"/>
      <c r="M169" s="2526"/>
    </row>
    <row r="170" customFormat="false" ht="15" hidden="false" customHeight="false" outlineLevel="0" collapsed="false">
      <c r="A170" s="1313" t="s">
        <v>3571</v>
      </c>
      <c r="B170" s="1338" t="s">
        <v>820</v>
      </c>
      <c r="C170" s="1313" t="n">
        <f aca="false">пристройка!C33*пристройка!C34</f>
        <v>18</v>
      </c>
      <c r="D170" s="1301"/>
      <c r="E170" s="1301"/>
      <c r="F170" s="1631"/>
      <c r="G170" s="1295"/>
      <c r="H170" s="1379"/>
      <c r="I170" s="1429"/>
      <c r="J170" s="2526"/>
      <c r="K170" s="2526"/>
      <c r="L170" s="2526"/>
      <c r="M170" s="2526"/>
    </row>
    <row r="171" customFormat="false" ht="15" hidden="false" customHeight="false" outlineLevel="0" collapsed="false">
      <c r="A171" s="1311"/>
      <c r="B171" s="1311"/>
      <c r="C171" s="1311"/>
      <c r="D171" s="1311"/>
      <c r="E171" s="1311"/>
      <c r="F171" s="1311"/>
      <c r="G171" s="1311"/>
      <c r="H171" s="1311"/>
      <c r="I171" s="1429"/>
      <c r="J171" s="2526"/>
      <c r="K171" s="2526"/>
      <c r="L171" s="2526"/>
      <c r="M171" s="2526"/>
    </row>
    <row r="172" customFormat="false" ht="15" hidden="false" customHeight="false" outlineLevel="0" collapsed="false">
      <c r="A172" s="2544" t="s">
        <v>45</v>
      </c>
      <c r="B172" s="1365" t="s">
        <v>12</v>
      </c>
      <c r="C172" s="1365" t="s">
        <v>13</v>
      </c>
      <c r="D172" s="1957" t="n">
        <f aca="false">дома!D1229</f>
        <v>0</v>
      </c>
      <c r="E172" s="2545" t="s">
        <v>3667</v>
      </c>
      <c r="F172" s="2546"/>
      <c r="G172" s="1175"/>
      <c r="H172" s="42"/>
      <c r="I172" s="1429"/>
      <c r="J172" s="2526"/>
      <c r="K172" s="2526"/>
      <c r="L172" s="2526"/>
      <c r="M172" s="2526"/>
    </row>
    <row r="173" customFormat="false" ht="15" hidden="false" customHeight="false" outlineLevel="0" collapsed="false">
      <c r="A173" s="2486" t="s">
        <v>2748</v>
      </c>
      <c r="B173" s="2486" t="s">
        <v>48</v>
      </c>
      <c r="C173" s="2548" t="e">
        <f aca="false">'ввод данных'!#ref!</f>
        <v>#VALUE!</v>
      </c>
      <c r="D173" s="42"/>
      <c r="E173" s="42"/>
      <c r="F173" s="42"/>
      <c r="G173" s="42"/>
      <c r="H173" s="42"/>
      <c r="I173" s="1429"/>
      <c r="J173" s="2526"/>
      <c r="K173" s="2526"/>
      <c r="L173" s="2526"/>
      <c r="M173" s="2526"/>
    </row>
    <row r="174" customFormat="false" ht="15" hidden="false" customHeight="false" outlineLevel="0" collapsed="false">
      <c r="A174" s="2486" t="s">
        <v>2753</v>
      </c>
      <c r="B174" s="2486" t="s">
        <v>48</v>
      </c>
      <c r="C174" s="2548" t="e">
        <f aca="false">'ввод данных'!#ref!</f>
        <v>#VALUE!</v>
      </c>
      <c r="D174" s="2486" t="s">
        <v>2491</v>
      </c>
      <c r="E174" s="42"/>
      <c r="F174" s="42"/>
      <c r="G174" s="42"/>
      <c r="H174" s="42"/>
      <c r="I174" s="1429"/>
      <c r="J174" s="2526"/>
      <c r="K174" s="2526"/>
      <c r="L174" s="2526"/>
      <c r="M174" s="2526"/>
    </row>
    <row r="175" customFormat="false" ht="15" hidden="false" customHeight="false" outlineLevel="0" collapsed="false">
      <c r="A175" s="2486" t="s">
        <v>302</v>
      </c>
      <c r="B175" s="2486" t="s">
        <v>48</v>
      </c>
      <c r="C175" s="2486"/>
      <c r="D175" s="2548" t="n">
        <f aca="false">'Ввод данных'!D510</f>
        <v>0</v>
      </c>
      <c r="E175" s="2548" t="e">
        <f aca="false">'ввод данных'!#ref!</f>
        <v>#VALUE!</v>
      </c>
      <c r="F175" s="53" t="s">
        <v>3668</v>
      </c>
      <c r="G175" s="42"/>
      <c r="H175" s="1360"/>
      <c r="I175" s="1429"/>
      <c r="J175" s="2526"/>
      <c r="K175" s="2526"/>
      <c r="L175" s="2526"/>
      <c r="M175" s="2526"/>
    </row>
    <row r="176" customFormat="false" ht="15" hidden="false" customHeight="false" outlineLevel="0" collapsed="false">
      <c r="A176" s="2486" t="s">
        <v>2758</v>
      </c>
      <c r="B176" s="2486" t="s">
        <v>48</v>
      </c>
      <c r="C176" s="2486"/>
      <c r="D176" s="2548" t="n">
        <f aca="false">'Ввод данных'!D511</f>
        <v>0</v>
      </c>
      <c r="E176" s="2548" t="e">
        <f aca="false">'ввод данных'!#ref!</f>
        <v>#VALUE!</v>
      </c>
      <c r="F176" s="53" t="s">
        <v>3669</v>
      </c>
      <c r="G176" s="42"/>
      <c r="H176" s="1360"/>
      <c r="I176" s="1429"/>
      <c r="J176" s="2526"/>
      <c r="K176" s="2526"/>
      <c r="L176" s="2526"/>
      <c r="M176" s="2526"/>
    </row>
    <row r="177" customFormat="false" ht="15" hidden="false" customHeight="false" outlineLevel="0" collapsed="false">
      <c r="A177" s="2486" t="s">
        <v>2759</v>
      </c>
      <c r="B177" s="2486" t="s">
        <v>48</v>
      </c>
      <c r="C177" s="2486"/>
      <c r="D177" s="2548" t="n">
        <f aca="false">'Ввод данных'!D512</f>
        <v>0</v>
      </c>
      <c r="E177" s="2548" t="e">
        <f aca="false">'ввод данных'!#ref!</f>
        <v>#VALUE!</v>
      </c>
      <c r="F177" s="53" t="s">
        <v>3670</v>
      </c>
      <c r="G177" s="1175"/>
      <c r="H177" s="1360"/>
      <c r="I177" s="1429"/>
      <c r="J177" s="2526"/>
      <c r="K177" s="2526"/>
      <c r="L177" s="2526"/>
      <c r="M177" s="2526"/>
    </row>
    <row r="178" customFormat="false" ht="15" hidden="false" customHeight="false" outlineLevel="0" collapsed="false">
      <c r="A178" s="1413" t="s">
        <v>3671</v>
      </c>
      <c r="B178" s="1304" t="s">
        <v>15</v>
      </c>
      <c r="C178" s="1957" t="n">
        <f aca="false">дома!C1238</f>
        <v>2</v>
      </c>
      <c r="D178" s="2546"/>
      <c r="E178" s="2548"/>
      <c r="F178" s="2546"/>
      <c r="G178" s="1295"/>
      <c r="H178" s="1379"/>
      <c r="I178" s="1429"/>
      <c r="J178" s="2526"/>
      <c r="K178" s="2526"/>
      <c r="L178" s="2526"/>
      <c r="M178" s="2526"/>
    </row>
    <row r="179" customFormat="false" ht="15" hidden="false" customHeight="false" outlineLevel="0" collapsed="false">
      <c r="A179" s="1413" t="s">
        <v>3672</v>
      </c>
      <c r="B179" s="1304" t="s">
        <v>15</v>
      </c>
      <c r="C179" s="1957" t="n">
        <f aca="false">дома!C1239</f>
        <v>2.91547594742265</v>
      </c>
      <c r="D179" s="2546"/>
      <c r="E179" s="2546"/>
      <c r="F179" s="2546"/>
      <c r="G179" s="1295"/>
      <c r="H179" s="1379"/>
      <c r="I179" s="1429"/>
      <c r="J179" s="2526"/>
      <c r="K179" s="2526"/>
      <c r="L179" s="2526"/>
      <c r="M179" s="2526"/>
    </row>
    <row r="180" customFormat="false" ht="15" hidden="false" customHeight="false" outlineLevel="0" collapsed="false">
      <c r="A180" s="1413" t="s">
        <v>3673</v>
      </c>
      <c r="B180" s="1304" t="s">
        <v>15</v>
      </c>
      <c r="C180" s="1957" t="n">
        <f aca="false">дома!C1240</f>
        <v>1.5</v>
      </c>
      <c r="D180" s="2548" t="n">
        <v>1</v>
      </c>
      <c r="E180" s="2546"/>
      <c r="F180" s="2546"/>
      <c r="G180" s="1295"/>
      <c r="H180" s="1379"/>
      <c r="I180" s="1429"/>
      <c r="J180" s="2526"/>
      <c r="K180" s="2526"/>
      <c r="L180" s="2526"/>
      <c r="M180" s="2526"/>
    </row>
    <row r="181" customFormat="false" ht="15" hidden="false" customHeight="false" outlineLevel="0" collapsed="false">
      <c r="A181" s="1413" t="s">
        <v>4010</v>
      </c>
      <c r="B181" s="1304" t="s">
        <v>15</v>
      </c>
      <c r="C181" s="1957" t="n">
        <f aca="false">дома!C1241</f>
        <v>3.2</v>
      </c>
      <c r="D181" s="1179"/>
      <c r="E181" s="2546"/>
      <c r="F181" s="2546"/>
      <c r="G181" s="1295"/>
      <c r="H181" s="1379"/>
      <c r="I181" s="1429"/>
      <c r="J181" s="2526"/>
      <c r="K181" s="2526"/>
      <c r="L181" s="2526"/>
      <c r="M181" s="2526"/>
    </row>
    <row r="182" customFormat="false" ht="15" hidden="false" customHeight="false" outlineLevel="0" collapsed="false">
      <c r="A182" s="1413" t="s">
        <v>3676</v>
      </c>
      <c r="B182" s="1304" t="s">
        <v>15</v>
      </c>
      <c r="C182" s="1957" t="n">
        <f aca="false">дома!C1243</f>
        <v>2.2</v>
      </c>
      <c r="D182" s="1384"/>
      <c r="E182" s="2546"/>
      <c r="F182" s="2546"/>
      <c r="G182" s="1295"/>
      <c r="H182" s="1379"/>
      <c r="I182" s="1429"/>
      <c r="J182" s="2526"/>
      <c r="K182" s="2526"/>
      <c r="L182" s="2526"/>
      <c r="M182" s="2526"/>
    </row>
    <row r="183" customFormat="false" ht="15" hidden="false" customHeight="false" outlineLevel="0" collapsed="false">
      <c r="A183" s="2513" t="s">
        <v>3677</v>
      </c>
      <c r="B183" s="1304" t="s">
        <v>15</v>
      </c>
      <c r="C183" s="1957" t="n">
        <f aca="false">дома!C1244</f>
        <v>4</v>
      </c>
      <c r="D183" s="2546"/>
      <c r="E183" s="2546"/>
      <c r="F183" s="2546"/>
      <c r="G183" s="1295"/>
      <c r="H183" s="1379"/>
      <c r="I183" s="1429"/>
      <c r="J183" s="2526"/>
      <c r="K183" s="2526"/>
      <c r="L183" s="2526"/>
      <c r="M183" s="2526"/>
    </row>
    <row r="184" customFormat="false" ht="15" hidden="false" customHeight="false" outlineLevel="0" collapsed="false">
      <c r="A184" s="2513" t="s">
        <v>3678</v>
      </c>
      <c r="B184" s="1304" t="s">
        <v>15</v>
      </c>
      <c r="C184" s="1957" t="n">
        <f aca="false">дома!C1245</f>
        <v>5</v>
      </c>
      <c r="D184" s="2546"/>
      <c r="E184" s="2546"/>
      <c r="F184" s="2546"/>
      <c r="G184" s="1295"/>
      <c r="H184" s="1311"/>
      <c r="I184" s="1429"/>
      <c r="J184" s="2526"/>
      <c r="K184" s="2526"/>
      <c r="L184" s="2526"/>
      <c r="M184" s="2526"/>
    </row>
    <row r="185" customFormat="false" ht="15" hidden="false" customHeight="false" outlineLevel="0" collapsed="false">
      <c r="A185" s="2549" t="s">
        <v>4011</v>
      </c>
      <c r="B185" s="2550" t="s">
        <v>15</v>
      </c>
      <c r="C185" s="1957" t="n">
        <f aca="false">дома!C1246</f>
        <v>2.2</v>
      </c>
      <c r="D185" s="1311"/>
      <c r="E185" s="1311"/>
      <c r="F185" s="1311"/>
      <c r="G185" s="1295"/>
      <c r="H185" s="1379"/>
      <c r="I185" s="1429"/>
      <c r="J185" s="2526"/>
      <c r="K185" s="2526"/>
      <c r="L185" s="2526"/>
      <c r="M185" s="2526"/>
    </row>
    <row r="186" customFormat="false" ht="15" hidden="false" customHeight="false" outlineLevel="0" collapsed="false">
      <c r="A186" s="2569" t="s">
        <v>161</v>
      </c>
      <c r="B186" s="2569" t="s">
        <v>12</v>
      </c>
      <c r="C186" s="1308" t="s">
        <v>2749</v>
      </c>
      <c r="D186" s="1311"/>
      <c r="E186" s="1311"/>
      <c r="F186" s="1311"/>
      <c r="G186" s="1311"/>
      <c r="H186" s="1379"/>
      <c r="I186" s="1429"/>
      <c r="J186" s="2526"/>
      <c r="K186" s="2526"/>
      <c r="L186" s="2526"/>
      <c r="M186" s="2526"/>
    </row>
    <row r="187" customFormat="false" ht="15" hidden="false" customHeight="false" outlineLevel="0" collapsed="false">
      <c r="A187" s="1176" t="s">
        <v>4020</v>
      </c>
      <c r="B187" s="1333" t="s">
        <v>820</v>
      </c>
      <c r="C187" s="1176" t="e">
        <f aca="false">(C180*C184+(C183-C180)*C178+(C183-C180)*((C184-C178)/2)*2)*E175</f>
        <v>#VALUE!</v>
      </c>
      <c r="D187" s="1311"/>
      <c r="E187" s="1311"/>
      <c r="F187" s="1311"/>
      <c r="G187" s="1295"/>
      <c r="H187" s="1379"/>
      <c r="I187" s="1429"/>
      <c r="J187" s="2526"/>
      <c r="K187" s="2526"/>
      <c r="L187" s="2526"/>
      <c r="M187" s="2526"/>
    </row>
    <row r="188" customFormat="false" ht="15" hidden="false" customHeight="false" outlineLevel="0" collapsed="false">
      <c r="A188" s="1176" t="s">
        <v>4021</v>
      </c>
      <c r="B188" s="1333" t="s">
        <v>820</v>
      </c>
      <c r="C188" s="1176" t="e">
        <f aca="false">(C180*C184+(C183-C180)*C178+(C183-C180)*((C184-C178)/2)*2)*E176</f>
        <v>#VALUE!</v>
      </c>
      <c r="D188" s="1311"/>
      <c r="E188" s="1311"/>
      <c r="F188" s="1311"/>
      <c r="G188" s="1295"/>
      <c r="H188" s="1379"/>
      <c r="I188" s="1429"/>
      <c r="J188" s="2526"/>
      <c r="K188" s="2526"/>
      <c r="L188" s="2526"/>
      <c r="M188" s="2526"/>
    </row>
    <row r="189" customFormat="false" ht="15" hidden="false" customHeight="false" outlineLevel="0" collapsed="false">
      <c r="A189" s="1176" t="s">
        <v>4022</v>
      </c>
      <c r="B189" s="1333" t="s">
        <v>820</v>
      </c>
      <c r="C189" s="1176" t="e">
        <f aca="false">(C180*C184+(C183-C180)*C178+(C183-C180)*((C184-C178)/2)*2)*E177</f>
        <v>#VALUE!</v>
      </c>
      <c r="D189" s="1311"/>
      <c r="E189" s="1311"/>
      <c r="F189" s="1311"/>
      <c r="G189" s="1295"/>
      <c r="H189" s="1379"/>
      <c r="I189" s="1429"/>
      <c r="J189" s="2526"/>
      <c r="K189" s="2526"/>
      <c r="L189" s="2526"/>
      <c r="M189" s="2526"/>
    </row>
    <row r="190" customFormat="false" ht="15" hidden="false" customHeight="false" outlineLevel="0" collapsed="false">
      <c r="A190" s="2551" t="s">
        <v>161</v>
      </c>
      <c r="B190" s="1365" t="s">
        <v>12</v>
      </c>
      <c r="C190" s="1365" t="s">
        <v>2779</v>
      </c>
      <c r="D190" s="1365" t="s">
        <v>2780</v>
      </c>
      <c r="E190" s="1365" t="s">
        <v>118</v>
      </c>
      <c r="F190" s="1297" t="s">
        <v>4012</v>
      </c>
      <c r="G190" s="1295"/>
      <c r="H190" s="1379"/>
      <c r="I190" s="1429"/>
      <c r="J190" s="2526"/>
      <c r="K190" s="2526"/>
      <c r="L190" s="2526"/>
      <c r="M190" s="2526"/>
    </row>
    <row r="191" customFormat="false" ht="15" hidden="false" customHeight="false" outlineLevel="0" collapsed="false">
      <c r="A191" s="1304" t="s">
        <v>550</v>
      </c>
      <c r="B191" s="1304" t="s">
        <v>15</v>
      </c>
      <c r="C191" s="2548" t="n">
        <f aca="false">связи1!K81</f>
        <v>2.7</v>
      </c>
      <c r="D191" s="2548" t="n">
        <f aca="false">'Ввод данных'!D514</f>
        <v>0</v>
      </c>
      <c r="E191" s="2548" t="e">
        <f aca="false">'ввод данных'!#ref!</f>
        <v>#VALUE!</v>
      </c>
      <c r="F191" s="2553" t="e">
        <f aca="false">C191*D191*E191</f>
        <v>#VALUE!</v>
      </c>
      <c r="G191" s="1295"/>
      <c r="H191" s="1379"/>
      <c r="I191" s="1429"/>
      <c r="J191" s="2526"/>
      <c r="K191" s="2526"/>
      <c r="L191" s="2526"/>
      <c r="M191" s="2526"/>
    </row>
    <row r="192" customFormat="false" ht="15" hidden="false" customHeight="false" outlineLevel="0" collapsed="false">
      <c r="A192" s="1304"/>
      <c r="B192" s="1304" t="s">
        <v>15</v>
      </c>
      <c r="C192" s="2548"/>
      <c r="D192" s="2548" t="n">
        <f aca="false">'Ввод данных'!D515</f>
        <v>0</v>
      </c>
      <c r="E192" s="2548" t="e">
        <f aca="false">'ввод данных'!#ref!</f>
        <v>#VALUE!</v>
      </c>
      <c r="F192" s="2553" t="e">
        <f aca="false">C192*D192*E192</f>
        <v>#VALUE!</v>
      </c>
      <c r="G192" s="1295"/>
      <c r="H192" s="1379"/>
      <c r="I192" s="1429"/>
      <c r="J192" s="2526"/>
      <c r="K192" s="2526"/>
      <c r="L192" s="2526"/>
      <c r="M192" s="2526"/>
    </row>
    <row r="193" customFormat="false" ht="15" hidden="false" customHeight="false" outlineLevel="0" collapsed="false">
      <c r="A193" s="1304"/>
      <c r="B193" s="1304" t="s">
        <v>15</v>
      </c>
      <c r="C193" s="2548"/>
      <c r="D193" s="2548" t="n">
        <f aca="false">'Ввод данных'!D516</f>
        <v>0</v>
      </c>
      <c r="E193" s="2548" t="e">
        <f aca="false">'ввод данных'!#ref!</f>
        <v>#VALUE!</v>
      </c>
      <c r="F193" s="2553" t="e">
        <f aca="false">C193*D193*E193</f>
        <v>#VALUE!</v>
      </c>
      <c r="G193" s="1295"/>
      <c r="H193" s="1379"/>
      <c r="I193" s="1429"/>
      <c r="J193" s="2526"/>
      <c r="K193" s="2526"/>
      <c r="L193" s="2526"/>
      <c r="M193" s="2526"/>
    </row>
    <row r="194" customFormat="false" ht="15" hidden="false" customHeight="false" outlineLevel="0" collapsed="false">
      <c r="A194" s="1304" t="s">
        <v>4013</v>
      </c>
      <c r="B194" s="1304" t="s">
        <v>15</v>
      </c>
      <c r="C194" s="2548" t="e">
        <f aca="false">'ввод данных'!#ref!</f>
        <v>#VALUE!</v>
      </c>
      <c r="D194" s="2548" t="n">
        <f aca="false">'Ввод данных'!D517</f>
        <v>0</v>
      </c>
      <c r="E194" s="2548" t="e">
        <f aca="false">'ввод данных'!#ref!</f>
        <v>#VALUE!</v>
      </c>
      <c r="F194" s="2553" t="e">
        <f aca="false">C194*D194*E194</f>
        <v>#VALUE!</v>
      </c>
      <c r="G194" s="1295"/>
      <c r="H194" s="1379"/>
      <c r="I194" s="1429"/>
      <c r="J194" s="2526"/>
      <c r="K194" s="2526"/>
      <c r="L194" s="2526"/>
      <c r="M194" s="2526"/>
    </row>
    <row r="195" customFormat="false" ht="15" hidden="false" customHeight="false" outlineLevel="0" collapsed="false">
      <c r="A195" s="1304"/>
      <c r="B195" s="1304" t="s">
        <v>15</v>
      </c>
      <c r="C195" s="2548" t="n">
        <f aca="false">'Ввод данных'!C512</f>
        <v>0</v>
      </c>
      <c r="D195" s="2548" t="n">
        <f aca="false">'Ввод данных'!D518</f>
        <v>0</v>
      </c>
      <c r="E195" s="2548" t="e">
        <f aca="false">'ввод данных'!#ref!</f>
        <v>#VALUE!</v>
      </c>
      <c r="F195" s="2553" t="e">
        <f aca="false">C195*D195*E195</f>
        <v>#VALUE!</v>
      </c>
      <c r="G195" s="1295"/>
      <c r="H195" s="1379"/>
      <c r="I195" s="1429"/>
      <c r="J195" s="2526"/>
      <c r="K195" s="2526"/>
      <c r="L195" s="2526"/>
      <c r="M195" s="2526"/>
    </row>
    <row r="196" customFormat="false" ht="15" hidden="false" customHeight="false" outlineLevel="0" collapsed="false">
      <c r="A196" s="1176" t="s">
        <v>4014</v>
      </c>
      <c r="B196" s="1176" t="s">
        <v>820</v>
      </c>
      <c r="C196" s="1176" t="e">
        <f aca="false">F191+F192+F195+F194+F193</f>
        <v>#VALUE!</v>
      </c>
      <c r="D196" s="1311"/>
      <c r="E196" s="1311"/>
      <c r="F196" s="1311"/>
      <c r="G196" s="1295"/>
      <c r="H196" s="1379"/>
      <c r="I196" s="1429"/>
      <c r="J196" s="2526"/>
      <c r="K196" s="2526"/>
      <c r="L196" s="2526"/>
      <c r="M196" s="2526"/>
    </row>
    <row r="197" customFormat="false" ht="15" hidden="false" customHeight="false" outlineLevel="0" collapsed="false">
      <c r="A197" s="1176" t="s">
        <v>3688</v>
      </c>
      <c r="B197" s="1176" t="s">
        <v>820</v>
      </c>
      <c r="C197" s="1176" t="e">
        <f aca="false">(C180*2+C179*2+C178)*(C181+C185*C174+D175*E175+D176*E176+D177*E177)</f>
        <v>#VALUE!</v>
      </c>
      <c r="D197" s="1311"/>
      <c r="E197" s="1311"/>
      <c r="F197" s="1311"/>
      <c r="G197" s="1295"/>
      <c r="H197" s="1379"/>
      <c r="I197" s="1429"/>
      <c r="J197" s="2526"/>
      <c r="K197" s="2526"/>
      <c r="L197" s="2526"/>
      <c r="M197" s="2526"/>
    </row>
    <row r="198" customFormat="false" ht="15" hidden="false" customHeight="false" outlineLevel="0" collapsed="false">
      <c r="A198" s="1176" t="s">
        <v>3689</v>
      </c>
      <c r="B198" s="1176" t="s">
        <v>820</v>
      </c>
      <c r="C198" s="1176" t="e">
        <f aca="false">C197-C196</f>
        <v>#VALUE!</v>
      </c>
      <c r="D198" s="1311"/>
      <c r="E198" s="1311"/>
      <c r="F198" s="1311"/>
      <c r="G198" s="1295"/>
      <c r="H198" s="1379"/>
      <c r="I198" s="1429"/>
      <c r="J198" s="2526"/>
      <c r="K198" s="2526"/>
      <c r="L198" s="2526"/>
      <c r="M198" s="2526"/>
    </row>
    <row r="199" customFormat="false" ht="15" hidden="false" customHeight="false" outlineLevel="0" collapsed="false">
      <c r="A199" s="2556" t="s">
        <v>3690</v>
      </c>
      <c r="B199" s="2556"/>
      <c r="C199" s="2541" t="s">
        <v>12</v>
      </c>
      <c r="D199" s="2541" t="s">
        <v>200</v>
      </c>
      <c r="E199" s="2548" t="e">
        <f aca="false">'ввод данных'!#ref!</f>
        <v>#VALUE!</v>
      </c>
      <c r="F199" s="1272" t="s">
        <v>3702</v>
      </c>
      <c r="G199" s="1295"/>
      <c r="H199" s="1379"/>
      <c r="I199" s="1429"/>
      <c r="J199" s="2526"/>
      <c r="K199" s="2526"/>
      <c r="L199" s="2526"/>
      <c r="M199" s="2526"/>
    </row>
    <row r="200" customFormat="false" ht="15" hidden="false" customHeight="false" outlineLevel="0" collapsed="false">
      <c r="A200" s="1310" t="s">
        <v>3691</v>
      </c>
      <c r="B200" s="1310"/>
      <c r="C200" s="1334" t="s">
        <v>15</v>
      </c>
      <c r="D200" s="1176" t="n">
        <f aca="false">SQRT((C184/2)*(C184/2)+C182*C182)</f>
        <v>3.33016516106934</v>
      </c>
      <c r="E200" s="1631"/>
      <c r="F200" s="1631"/>
      <c r="G200" s="1295"/>
      <c r="H200" s="1379"/>
      <c r="I200" s="1429"/>
      <c r="J200" s="2526"/>
      <c r="K200" s="2526"/>
      <c r="L200" s="2526"/>
      <c r="M200" s="2526"/>
    </row>
    <row r="201" customFormat="false" ht="15" hidden="false" customHeight="false" outlineLevel="0" collapsed="false">
      <c r="A201" s="1310" t="s">
        <v>3695</v>
      </c>
      <c r="B201" s="1310"/>
      <c r="C201" s="1334" t="s">
        <v>15</v>
      </c>
      <c r="D201" s="1176" t="n">
        <f aca="false">SQRT(D200*D200+C180*C180)</f>
        <v>3.65239647354993</v>
      </c>
      <c r="E201" s="1631"/>
      <c r="F201" s="1631"/>
      <c r="G201" s="1295"/>
      <c r="H201" s="1379"/>
      <c r="I201" s="1429"/>
      <c r="J201" s="2526"/>
      <c r="K201" s="2526"/>
      <c r="L201" s="2526"/>
      <c r="M201" s="2526"/>
    </row>
    <row r="202" customFormat="false" ht="15" hidden="false" customHeight="false" outlineLevel="0" collapsed="false">
      <c r="A202" s="1310" t="s">
        <v>3696</v>
      </c>
      <c r="B202" s="1310"/>
      <c r="C202" s="1334" t="s">
        <v>15</v>
      </c>
      <c r="D202" s="1176" t="n">
        <f aca="false">SQRT(D201*D201+C179*C179)</f>
        <v>4.67332857821917</v>
      </c>
      <c r="E202" s="1631"/>
      <c r="F202" s="1631"/>
      <c r="G202" s="1295"/>
      <c r="H202" s="1379"/>
      <c r="I202" s="1429"/>
      <c r="J202" s="2526"/>
      <c r="K202" s="2526"/>
      <c r="L202" s="2526"/>
      <c r="M202" s="2526"/>
    </row>
    <row r="203" customFormat="false" ht="15" hidden="false" customHeight="false" outlineLevel="0" collapsed="false">
      <c r="A203" s="1799" t="s">
        <v>2807</v>
      </c>
      <c r="B203" s="1799"/>
      <c r="C203" s="1294" t="s">
        <v>820</v>
      </c>
      <c r="D203" s="1672" t="n">
        <f aca="false">D200*C180+D201*C179*1.1+(C178/2)*SQRT(C183*C183+C182*C182)*2</f>
        <v>25.8387389860094</v>
      </c>
      <c r="E203" s="1631"/>
      <c r="F203" s="1631"/>
      <c r="G203" s="1295"/>
      <c r="H203" s="1379"/>
      <c r="I203" s="1429"/>
      <c r="J203" s="2526"/>
      <c r="K203" s="2526"/>
      <c r="L203" s="2526"/>
      <c r="M203" s="2526"/>
    </row>
    <row r="204" customFormat="false" ht="15" hidden="false" customHeight="false" outlineLevel="0" collapsed="false">
      <c r="A204" s="1799" t="s">
        <v>3692</v>
      </c>
      <c r="B204" s="1799"/>
      <c r="C204" s="1294" t="s">
        <v>15</v>
      </c>
      <c r="D204" s="2548" t="n">
        <f aca="false">'Ввод данных'!C511</f>
        <v>0.5</v>
      </c>
      <c r="E204" s="1631"/>
      <c r="F204" s="1631"/>
      <c r="G204" s="1295"/>
      <c r="H204" s="1379"/>
      <c r="I204" s="1429"/>
      <c r="J204" s="2526"/>
      <c r="K204" s="2526"/>
      <c r="L204" s="2526"/>
      <c r="M204" s="2526"/>
    </row>
    <row r="205" customFormat="false" ht="15" hidden="false" customHeight="false" outlineLevel="0" collapsed="false">
      <c r="A205" s="1310" t="s">
        <v>3697</v>
      </c>
      <c r="B205" s="1310"/>
      <c r="C205" s="1176" t="s">
        <v>15</v>
      </c>
      <c r="D205" s="1604" t="n">
        <f aca="false">D200+D204</f>
        <v>3.83016516106934</v>
      </c>
      <c r="E205" s="1631"/>
      <c r="F205" s="1631"/>
      <c r="G205" s="1295"/>
      <c r="H205" s="1379"/>
      <c r="I205" s="1429"/>
      <c r="J205" s="2526"/>
      <c r="K205" s="2526"/>
      <c r="L205" s="2526"/>
      <c r="M205" s="2526"/>
    </row>
    <row r="206" customFormat="false" ht="15" hidden="false" customHeight="false" outlineLevel="0" collapsed="false">
      <c r="A206" s="1310" t="s">
        <v>3699</v>
      </c>
      <c r="B206" s="1310"/>
      <c r="C206" s="1176" t="s">
        <v>15</v>
      </c>
      <c r="D206" s="1604" t="n">
        <f aca="false">D201+D204</f>
        <v>4.15239647354994</v>
      </c>
      <c r="E206" s="1631"/>
      <c r="F206" s="1631"/>
      <c r="G206" s="1295"/>
      <c r="H206" s="1379"/>
      <c r="I206" s="1429"/>
      <c r="J206" s="2526"/>
      <c r="K206" s="2526"/>
      <c r="L206" s="2526"/>
      <c r="M206" s="2526"/>
    </row>
    <row r="207" customFormat="false" ht="15" hidden="false" customHeight="false" outlineLevel="0" collapsed="false">
      <c r="A207" s="1310" t="s">
        <v>3701</v>
      </c>
      <c r="B207" s="1310"/>
      <c r="C207" s="1176" t="s">
        <v>15</v>
      </c>
      <c r="D207" s="1604" t="n">
        <f aca="false">D202+D204</f>
        <v>5.17332857821917</v>
      </c>
      <c r="E207" s="1631"/>
      <c r="F207" s="1631"/>
      <c r="G207" s="1295"/>
      <c r="H207" s="1379"/>
      <c r="I207" s="1429"/>
      <c r="J207" s="2526"/>
      <c r="K207" s="2526"/>
      <c r="L207" s="2526"/>
      <c r="M207" s="2526"/>
    </row>
    <row r="208" customFormat="false" ht="15" hidden="false" customHeight="false" outlineLevel="0" collapsed="false">
      <c r="A208" s="1799" t="s">
        <v>2808</v>
      </c>
      <c r="B208" s="1799"/>
      <c r="C208" s="1294" t="s">
        <v>820</v>
      </c>
      <c r="D208" s="1672" t="e">
        <f aca="false">((C180*D204*2+C179*D204*2+C178*D204)*1.1+D203)*E199</f>
        <v>#VALUE!</v>
      </c>
      <c r="E208" s="1631"/>
      <c r="F208" s="1631"/>
      <c r="G208" s="1295"/>
      <c r="H208" s="1379"/>
      <c r="I208" s="1429"/>
      <c r="J208" s="2526"/>
      <c r="K208" s="2526"/>
      <c r="L208" s="2526"/>
      <c r="M208" s="2526"/>
    </row>
    <row r="209" customFormat="false" ht="15" hidden="false" customHeight="false" outlineLevel="0" collapsed="false">
      <c r="A209" s="2561" t="s">
        <v>2833</v>
      </c>
      <c r="B209" s="2561"/>
      <c r="C209" s="2561"/>
      <c r="D209" s="2561"/>
      <c r="E209" s="2548" t="e">
        <f aca="false">'ввод данных'!#ref!</f>
        <v>#VALUE!</v>
      </c>
      <c r="F209" s="1301" t="s">
        <v>3715</v>
      </c>
      <c r="G209" s="1295"/>
      <c r="H209" s="1379"/>
      <c r="I209" s="1429"/>
      <c r="J209" s="2526"/>
      <c r="K209" s="2526"/>
      <c r="L209" s="2526"/>
      <c r="M209" s="2526"/>
    </row>
    <row r="210" customFormat="false" ht="15" hidden="false" customHeight="false" outlineLevel="0" collapsed="false">
      <c r="A210" s="2780" t="s">
        <v>2773</v>
      </c>
      <c r="B210" s="2489" t="s">
        <v>15</v>
      </c>
      <c r="C210" s="2780" t="n">
        <f aca="false">дома!C1275</f>
        <v>10.8309518948453</v>
      </c>
      <c r="D210" s="1301"/>
      <c r="E210" s="1301"/>
      <c r="F210" s="1631"/>
      <c r="G210" s="1295"/>
      <c r="H210" s="1379"/>
      <c r="I210" s="1429"/>
      <c r="J210" s="2526"/>
      <c r="K210" s="2526"/>
      <c r="L210" s="2526"/>
      <c r="M210" s="2526"/>
    </row>
    <row r="211" customFormat="false" ht="15" hidden="false" customHeight="false" outlineLevel="0" collapsed="false">
      <c r="A211" s="1313" t="s">
        <v>3571</v>
      </c>
      <c r="B211" s="1338" t="s">
        <v>820</v>
      </c>
      <c r="C211" s="1313" t="n">
        <f aca="false">дома!C1235</f>
        <v>16.25</v>
      </c>
      <c r="D211" s="1301"/>
      <c r="E211" s="1301"/>
      <c r="F211" s="1631"/>
      <c r="G211" s="1295"/>
      <c r="H211" s="1379"/>
      <c r="I211" s="1429"/>
      <c r="J211" s="2526"/>
      <c r="K211" s="2526"/>
      <c r="L211" s="2526"/>
      <c r="M211" s="2526"/>
    </row>
    <row r="212" customFormat="false" ht="15" hidden="false" customHeight="false" outlineLevel="0" collapsed="false">
      <c r="A212" s="1311"/>
      <c r="B212" s="1311"/>
      <c r="C212" s="1311"/>
      <c r="D212" s="1311"/>
      <c r="E212" s="1301"/>
      <c r="F212" s="1301"/>
      <c r="G212" s="1311"/>
      <c r="H212" s="1379"/>
      <c r="I212" s="1429"/>
      <c r="J212" s="2526"/>
      <c r="K212" s="2526"/>
      <c r="L212" s="2526"/>
      <c r="M212" s="2526"/>
    </row>
    <row r="213" customFormat="false" ht="15" hidden="false" customHeight="false" outlineLevel="0" collapsed="false">
      <c r="A213" s="2564" t="s">
        <v>364</v>
      </c>
      <c r="B213" s="2565" t="s">
        <v>12</v>
      </c>
      <c r="C213" s="2566" t="s">
        <v>13</v>
      </c>
      <c r="D213" s="2773" t="str">
        <f aca="false">'Ввод данных'!F597</f>
        <v>Не считать</v>
      </c>
      <c r="E213" s="1301" t="s">
        <v>4015</v>
      </c>
      <c r="F213" s="1301"/>
      <c r="G213" s="1311"/>
      <c r="H213" s="1379"/>
      <c r="I213" s="1429"/>
      <c r="J213" s="2526"/>
      <c r="K213" s="2526"/>
      <c r="L213" s="2526"/>
      <c r="M213" s="2526"/>
    </row>
    <row r="214" customFormat="false" ht="15" hidden="false" customHeight="false" outlineLevel="0" collapsed="false">
      <c r="A214" s="1313" t="s">
        <v>352</v>
      </c>
      <c r="B214" s="1334" t="s">
        <v>15</v>
      </c>
      <c r="C214" s="2486" t="n">
        <v>3</v>
      </c>
      <c r="D214" s="53"/>
      <c r="E214" s="1301"/>
      <c r="F214" s="1301"/>
      <c r="G214" s="1311"/>
      <c r="H214" s="1379"/>
      <c r="I214" s="1429"/>
      <c r="J214" s="2526"/>
      <c r="K214" s="2526"/>
      <c r="L214" s="2526"/>
      <c r="M214" s="2526"/>
    </row>
    <row r="215" customFormat="false" ht="15" hidden="false" customHeight="false" outlineLevel="0" collapsed="false">
      <c r="A215" s="1313" t="s">
        <v>4016</v>
      </c>
      <c r="B215" s="1334" t="s">
        <v>15</v>
      </c>
      <c r="C215" s="1348" t="n">
        <f aca="false">'Ввод данных'!C552</f>
        <v>1</v>
      </c>
      <c r="D215" s="53"/>
      <c r="E215" s="1301"/>
      <c r="F215" s="1301"/>
      <c r="G215" s="1311"/>
      <c r="H215" s="1379"/>
      <c r="I215" s="1429"/>
      <c r="J215" s="2526"/>
      <c r="K215" s="2526"/>
      <c r="L215" s="2526"/>
      <c r="M215" s="2526"/>
    </row>
    <row r="216" customFormat="false" ht="15" hidden="false" customHeight="false" outlineLevel="0" collapsed="false">
      <c r="A216" s="1176" t="s">
        <v>3950</v>
      </c>
      <c r="B216" s="1334" t="s">
        <v>15</v>
      </c>
      <c r="C216" s="1348" t="n">
        <f aca="false">'Ввод данных'!C553</f>
        <v>0.9</v>
      </c>
      <c r="D216" s="53"/>
      <c r="E216" s="1301"/>
      <c r="F216" s="1301"/>
      <c r="G216" s="1301"/>
      <c r="H216" s="1379"/>
      <c r="I216" s="1429"/>
      <c r="J216" s="2526"/>
      <c r="K216" s="2526"/>
      <c r="L216" s="2526"/>
      <c r="M216" s="2526"/>
    </row>
    <row r="217" customFormat="false" ht="15" hidden="false" customHeight="false" outlineLevel="0" collapsed="false">
      <c r="A217" s="1313" t="s">
        <v>4017</v>
      </c>
      <c r="B217" s="1338" t="s">
        <v>820</v>
      </c>
      <c r="C217" s="1313" t="n">
        <f aca="false">C214*C215</f>
        <v>3</v>
      </c>
      <c r="D217" s="53"/>
      <c r="E217" s="1301"/>
      <c r="F217" s="1301"/>
      <c r="G217" s="1301"/>
      <c r="H217" s="1379"/>
      <c r="I217" s="1429"/>
      <c r="J217" s="2526"/>
      <c r="K217" s="2526"/>
      <c r="L217" s="2526"/>
      <c r="M217" s="2526"/>
    </row>
    <row r="218" customFormat="false" ht="15" hidden="false" customHeight="false" outlineLevel="0" collapsed="false">
      <c r="A218" s="1313" t="s">
        <v>4018</v>
      </c>
      <c r="B218" s="1313" t="s">
        <v>820</v>
      </c>
      <c r="C218" s="1313" t="n">
        <f aca="false">(C214+C215+C215)*C216</f>
        <v>4.5</v>
      </c>
      <c r="D218" s="53"/>
      <c r="E218" s="1301"/>
      <c r="F218" s="1301"/>
      <c r="G218" s="1301"/>
      <c r="H218" s="1379"/>
      <c r="I218" s="1429"/>
      <c r="J218" s="2526"/>
      <c r="K218" s="2526"/>
      <c r="L218" s="2526"/>
      <c r="M218" s="2526"/>
    </row>
    <row r="219" customFormat="false" ht="15" hidden="false" customHeight="false" outlineLevel="0" collapsed="false">
      <c r="A219" s="1311"/>
      <c r="B219" s="1311"/>
      <c r="C219" s="1311"/>
      <c r="D219" s="1311"/>
      <c r="E219" s="1301"/>
      <c r="F219" s="1301"/>
      <c r="G219" s="1301"/>
      <c r="H219" s="1379"/>
      <c r="I219" s="1429"/>
      <c r="J219" s="2526"/>
      <c r="K219" s="2526"/>
      <c r="L219" s="2526"/>
      <c r="M219" s="2526"/>
    </row>
    <row r="220" customFormat="false" ht="15" hidden="false" customHeight="false" outlineLevel="0" collapsed="false">
      <c r="A220" s="2567" t="s">
        <v>3919</v>
      </c>
      <c r="B220" s="2568" t="s">
        <v>12</v>
      </c>
      <c r="C220" s="2565" t="s">
        <v>13</v>
      </c>
      <c r="D220" s="1506" t="n">
        <v>0</v>
      </c>
      <c r="E220" s="1301" t="s">
        <v>3920</v>
      </c>
      <c r="F220" s="1301"/>
      <c r="G220" s="1301"/>
      <c r="H220" s="1379"/>
      <c r="I220" s="1429"/>
      <c r="J220" s="2526"/>
      <c r="K220" s="2526"/>
      <c r="L220" s="2526"/>
      <c r="M220" s="2526"/>
    </row>
    <row r="221" customFormat="false" ht="15" hidden="false" customHeight="false" outlineLevel="0" collapsed="false">
      <c r="A221" s="1176" t="s">
        <v>303</v>
      </c>
      <c r="B221" s="1176" t="s">
        <v>48</v>
      </c>
      <c r="C221" s="1504" t="n">
        <f aca="false">'Ввод данных'!E605</f>
        <v>0</v>
      </c>
      <c r="D221" s="2484"/>
      <c r="E221" s="1301"/>
      <c r="F221" s="1301"/>
      <c r="G221" s="1301"/>
      <c r="H221" s="1379"/>
      <c r="I221" s="1429"/>
      <c r="J221" s="2526"/>
      <c r="K221" s="2526"/>
      <c r="L221" s="2526"/>
      <c r="M221" s="2526"/>
    </row>
    <row r="222" customFormat="false" ht="15" hidden="false" customHeight="false" outlineLevel="0" collapsed="false">
      <c r="A222" s="1176" t="s">
        <v>3921</v>
      </c>
      <c r="B222" s="1176" t="s">
        <v>48</v>
      </c>
      <c r="C222" s="1504" t="n">
        <f aca="false">'Ввод данных'!E606</f>
        <v>0</v>
      </c>
      <c r="D222" s="1176" t="s">
        <v>2491</v>
      </c>
      <c r="E222" s="1301"/>
      <c r="F222" s="1301"/>
      <c r="G222" s="1301"/>
      <c r="H222" s="1379"/>
      <c r="I222" s="1429"/>
      <c r="J222" s="2526"/>
      <c r="K222" s="2526"/>
      <c r="L222" s="2526"/>
      <c r="M222" s="2526"/>
    </row>
    <row r="223" customFormat="false" ht="15" hidden="false" customHeight="false" outlineLevel="0" collapsed="false">
      <c r="A223" s="1176" t="s">
        <v>302</v>
      </c>
      <c r="B223" s="1176" t="s">
        <v>48</v>
      </c>
      <c r="C223" s="1176"/>
      <c r="D223" s="1506" t="e">
        <f aca="false">'ввод данных'!#ref!</f>
        <v>#VALUE!</v>
      </c>
      <c r="E223" s="1504" t="e">
        <f aca="false">'ввод данных'!#ref!</f>
        <v>#VALUE!</v>
      </c>
      <c r="F223" s="1301" t="s">
        <v>3668</v>
      </c>
      <c r="G223" s="1301"/>
      <c r="H223" s="1379"/>
      <c r="I223" s="1429"/>
      <c r="J223" s="2526"/>
      <c r="K223" s="2526"/>
      <c r="L223" s="2526"/>
      <c r="M223" s="2526"/>
    </row>
    <row r="224" customFormat="false" ht="15" hidden="false" customHeight="false" outlineLevel="0" collapsed="false">
      <c r="A224" s="1176" t="s">
        <v>2758</v>
      </c>
      <c r="B224" s="1176" t="s">
        <v>48</v>
      </c>
      <c r="C224" s="1176"/>
      <c r="D224" s="1506" t="e">
        <f aca="false">'ввод данных'!#ref!</f>
        <v>#VALUE!</v>
      </c>
      <c r="E224" s="1504" t="e">
        <f aca="false">'ввод данных'!#ref!</f>
        <v>#VALUE!</v>
      </c>
      <c r="F224" s="1301" t="s">
        <v>3669</v>
      </c>
      <c r="G224" s="1301"/>
      <c r="H224" s="1379"/>
      <c r="I224" s="1429"/>
      <c r="J224" s="2526"/>
      <c r="K224" s="2526"/>
      <c r="L224" s="2526"/>
      <c r="M224" s="2526"/>
    </row>
    <row r="225" customFormat="false" ht="15" hidden="false" customHeight="false" outlineLevel="0" collapsed="false">
      <c r="A225" s="1176" t="s">
        <v>2759</v>
      </c>
      <c r="B225" s="1176" t="s">
        <v>48</v>
      </c>
      <c r="C225" s="1176"/>
      <c r="D225" s="1506" t="e">
        <f aca="false">'ввод данных'!#ref!</f>
        <v>#VALUE!</v>
      </c>
      <c r="E225" s="1504" t="e">
        <f aca="false">'ввод данных'!#ref!</f>
        <v>#VALUE!</v>
      </c>
      <c r="F225" s="1301" t="s">
        <v>3670</v>
      </c>
      <c r="G225" s="1301"/>
      <c r="H225" s="1379"/>
      <c r="I225" s="1429"/>
      <c r="J225" s="2526"/>
      <c r="K225" s="2526"/>
      <c r="L225" s="2526"/>
      <c r="M225" s="2526"/>
    </row>
    <row r="226" customFormat="false" ht="15" hidden="false" customHeight="false" outlineLevel="0" collapsed="false">
      <c r="A226" s="1413" t="s">
        <v>392</v>
      </c>
      <c r="B226" s="1304" t="s">
        <v>15</v>
      </c>
      <c r="C226" s="1504" t="n">
        <f aca="false">'Ввод данных'!C607</f>
        <v>3</v>
      </c>
      <c r="D226" s="2546"/>
      <c r="E226" s="1301"/>
      <c r="F226" s="1301"/>
      <c r="G226" s="1301"/>
      <c r="H226" s="1379"/>
      <c r="I226" s="1429"/>
      <c r="J226" s="2526"/>
      <c r="K226" s="2526"/>
      <c r="L226" s="2526"/>
      <c r="M226" s="2526"/>
    </row>
    <row r="227" customFormat="false" ht="15" hidden="false" customHeight="false" outlineLevel="0" collapsed="false">
      <c r="A227" s="1413" t="s">
        <v>4019</v>
      </c>
      <c r="B227" s="1304" t="s">
        <v>15</v>
      </c>
      <c r="C227" s="1504" t="n">
        <f aca="false">'Ввод данных'!C608</f>
        <v>3</v>
      </c>
      <c r="D227" s="2546"/>
      <c r="E227" s="1301"/>
      <c r="F227" s="1301"/>
      <c r="G227" s="1301"/>
      <c r="H227" s="1379"/>
      <c r="I227" s="1429"/>
      <c r="J227" s="2526"/>
      <c r="K227" s="2526"/>
      <c r="L227" s="2526"/>
      <c r="M227" s="2526"/>
    </row>
    <row r="228" customFormat="false" ht="15" hidden="false" customHeight="false" outlineLevel="0" collapsed="false">
      <c r="A228" s="1413" t="s">
        <v>394</v>
      </c>
      <c r="B228" s="1304" t="s">
        <v>15</v>
      </c>
      <c r="C228" s="1504" t="n">
        <f aca="false">'Ввод данных'!C609</f>
        <v>2.7</v>
      </c>
      <c r="D228" s="1179"/>
      <c r="E228" s="1301"/>
      <c r="F228" s="1301"/>
      <c r="G228" s="1301"/>
      <c r="H228" s="1379"/>
      <c r="I228" s="1429"/>
      <c r="J228" s="2526"/>
      <c r="K228" s="2526"/>
      <c r="L228" s="2526"/>
      <c r="M228" s="2526"/>
    </row>
    <row r="229" customFormat="false" ht="15" hidden="false" customHeight="false" outlineLevel="0" collapsed="false">
      <c r="A229" s="1413" t="s">
        <v>395</v>
      </c>
      <c r="B229" s="1304" t="s">
        <v>15</v>
      </c>
      <c r="C229" s="1504" t="n">
        <f aca="false">'Ввод данных'!C610</f>
        <v>2.7</v>
      </c>
      <c r="D229" s="1179"/>
      <c r="E229" s="1301"/>
      <c r="F229" s="1301"/>
      <c r="G229" s="1301"/>
      <c r="H229" s="1379"/>
      <c r="I229" s="1429"/>
      <c r="J229" s="2526"/>
      <c r="K229" s="2526"/>
      <c r="L229" s="2526"/>
      <c r="M229" s="2526"/>
    </row>
    <row r="230" customFormat="false" ht="15" hidden="false" customHeight="false" outlineLevel="0" collapsed="false">
      <c r="A230" s="2569" t="s">
        <v>161</v>
      </c>
      <c r="B230" s="2569" t="s">
        <v>12</v>
      </c>
      <c r="C230" s="1308" t="s">
        <v>2749</v>
      </c>
      <c r="D230" s="1311"/>
      <c r="E230" s="1301"/>
      <c r="F230" s="1301"/>
      <c r="G230" s="1301"/>
      <c r="H230" s="1379"/>
      <c r="I230" s="1429"/>
      <c r="J230" s="2526"/>
      <c r="K230" s="2526"/>
      <c r="L230" s="2526"/>
      <c r="M230" s="2526"/>
    </row>
    <row r="231" customFormat="false" ht="15" hidden="false" customHeight="false" outlineLevel="0" collapsed="false">
      <c r="A231" s="1176" t="s">
        <v>4020</v>
      </c>
      <c r="B231" s="1333" t="s">
        <v>820</v>
      </c>
      <c r="C231" s="1176" t="e">
        <f aca="false">C226*C227*E223</f>
        <v>#VALUE!</v>
      </c>
      <c r="D231" s="1311"/>
      <c r="E231" s="1301"/>
      <c r="F231" s="1301"/>
      <c r="G231" s="1301"/>
      <c r="H231" s="1379"/>
      <c r="I231" s="1429"/>
      <c r="J231" s="2526"/>
      <c r="K231" s="2526"/>
      <c r="L231" s="2526"/>
      <c r="M231" s="2526"/>
    </row>
    <row r="232" customFormat="false" ht="15" hidden="false" customHeight="false" outlineLevel="0" collapsed="false">
      <c r="A232" s="1176" t="s">
        <v>4021</v>
      </c>
      <c r="B232" s="1333" t="s">
        <v>820</v>
      </c>
      <c r="C232" s="1176" t="e">
        <f aca="false">C226*C227*E224</f>
        <v>#VALUE!</v>
      </c>
      <c r="D232" s="1311"/>
      <c r="E232" s="1301"/>
      <c r="F232" s="1301"/>
      <c r="G232" s="1301"/>
      <c r="H232" s="1379"/>
      <c r="I232" s="1429"/>
      <c r="J232" s="2526"/>
      <c r="K232" s="2526"/>
      <c r="L232" s="2526"/>
      <c r="M232" s="2526"/>
    </row>
    <row r="233" customFormat="false" ht="15" hidden="false" customHeight="false" outlineLevel="0" collapsed="false">
      <c r="A233" s="1176" t="s">
        <v>4022</v>
      </c>
      <c r="B233" s="1333" t="s">
        <v>820</v>
      </c>
      <c r="C233" s="1176" t="e">
        <f aca="false">C226*C227*E225</f>
        <v>#VALUE!</v>
      </c>
      <c r="D233" s="1311"/>
      <c r="E233" s="1301"/>
      <c r="F233" s="1301"/>
      <c r="G233" s="1301"/>
      <c r="H233" s="1379"/>
      <c r="I233" s="1429"/>
      <c r="J233" s="2526"/>
      <c r="K233" s="2526"/>
      <c r="L233" s="2526"/>
      <c r="M233" s="2526"/>
    </row>
    <row r="234" customFormat="false" ht="15" hidden="false" customHeight="false" outlineLevel="0" collapsed="false">
      <c r="A234" s="2561" t="s">
        <v>2833</v>
      </c>
      <c r="B234" s="2561"/>
      <c r="C234" s="2561"/>
      <c r="D234" s="2561"/>
      <c r="E234" s="1504" t="e">
        <f aca="false">'ввод данных'!#ref!</f>
        <v>#VALUE!</v>
      </c>
      <c r="F234" s="1301" t="s">
        <v>3715</v>
      </c>
      <c r="G234" s="1301"/>
      <c r="H234" s="1379"/>
      <c r="I234" s="1429"/>
      <c r="J234" s="2526"/>
      <c r="K234" s="2526"/>
      <c r="L234" s="2526"/>
      <c r="M234" s="2526"/>
    </row>
    <row r="235" customFormat="false" ht="15" hidden="false" customHeight="false" outlineLevel="0" collapsed="false">
      <c r="A235" s="2780" t="s">
        <v>2773</v>
      </c>
      <c r="B235" s="2489" t="s">
        <v>15</v>
      </c>
      <c r="C235" s="2780" t="n">
        <f aca="false">дома!D2027</f>
        <v>9</v>
      </c>
      <c r="D235" s="1301"/>
      <c r="E235" s="1301"/>
      <c r="F235" s="1301"/>
      <c r="G235" s="1301"/>
      <c r="H235" s="1379"/>
      <c r="I235" s="1429"/>
      <c r="J235" s="2526"/>
      <c r="K235" s="2526"/>
      <c r="L235" s="2526"/>
      <c r="M235" s="2526"/>
    </row>
    <row r="236" customFormat="false" ht="15" hidden="false" customHeight="false" outlineLevel="0" collapsed="false">
      <c r="A236" s="1313" t="s">
        <v>3571</v>
      </c>
      <c r="B236" s="1338" t="s">
        <v>820</v>
      </c>
      <c r="C236" s="1313" t="n">
        <f aca="false">дома!C2026*дома!C2027</f>
        <v>9</v>
      </c>
      <c r="D236" s="1301"/>
      <c r="E236" s="1301"/>
      <c r="F236" s="1301"/>
      <c r="G236" s="1301"/>
      <c r="H236" s="1379"/>
      <c r="I236" s="1429"/>
      <c r="J236" s="2526"/>
      <c r="K236" s="2526"/>
      <c r="L236" s="2526"/>
      <c r="M236" s="2526"/>
    </row>
    <row r="237" customFormat="false" ht="15" hidden="false" customHeight="false" outlineLevel="0" collapsed="false">
      <c r="A237" s="1301"/>
      <c r="B237" s="2493"/>
      <c r="C237" s="1301"/>
      <c r="D237" s="1301"/>
      <c r="E237" s="1301"/>
      <c r="F237" s="1301"/>
      <c r="G237" s="1301"/>
      <c r="H237" s="1379"/>
      <c r="I237" s="1429"/>
      <c r="J237" s="2526"/>
      <c r="K237" s="2526"/>
      <c r="L237" s="2526"/>
      <c r="M237" s="2526"/>
    </row>
    <row r="238" customFormat="false" ht="15.75" hidden="false" customHeight="false" outlineLevel="0" collapsed="false">
      <c r="A238" s="2577" t="s">
        <v>4037</v>
      </c>
      <c r="B238" s="2577"/>
      <c r="C238" s="2577"/>
      <c r="D238" s="2577"/>
      <c r="E238" s="2577"/>
      <c r="F238" s="2577"/>
      <c r="G238" s="2577"/>
      <c r="H238" s="2577"/>
      <c r="I238" s="2577"/>
      <c r="J238" s="2577"/>
      <c r="K238" s="2577"/>
      <c r="L238" s="2578"/>
      <c r="M238" s="2637"/>
    </row>
    <row r="239" customFormat="false" ht="15.75" hidden="false" customHeight="false" outlineLevel="0" collapsed="false">
      <c r="A239" s="2577"/>
      <c r="B239" s="2577"/>
      <c r="C239" s="2577"/>
      <c r="D239" s="2577"/>
      <c r="E239" s="2577"/>
      <c r="F239" s="2577"/>
      <c r="G239" s="2577"/>
      <c r="H239" s="2577"/>
      <c r="I239" s="2577"/>
      <c r="J239" s="2577"/>
      <c r="K239" s="2577"/>
      <c r="L239" s="2578"/>
      <c r="M239" s="2637"/>
    </row>
    <row r="240" customFormat="false" ht="15.75" hidden="false" customHeight="false" outlineLevel="0" collapsed="false">
      <c r="A240" s="2781" t="s">
        <v>3717</v>
      </c>
      <c r="B240" s="2781"/>
      <c r="C240" s="2781"/>
      <c r="D240" s="2781"/>
      <c r="E240" s="2781"/>
      <c r="F240" s="2781"/>
      <c r="G240" s="2781" t="s">
        <v>3718</v>
      </c>
      <c r="H240" s="2781"/>
      <c r="I240" s="2781"/>
      <c r="J240" s="2781"/>
      <c r="K240" s="2781"/>
      <c r="L240" s="2781"/>
      <c r="M240" s="2637"/>
    </row>
    <row r="241" customFormat="false" ht="15.75" hidden="false" customHeight="false" outlineLevel="0" collapsed="false">
      <c r="A241" s="2580" t="s">
        <v>2108</v>
      </c>
      <c r="B241" s="2580" t="s">
        <v>116</v>
      </c>
      <c r="C241" s="2580" t="s">
        <v>137</v>
      </c>
      <c r="D241" s="2580" t="s">
        <v>118</v>
      </c>
      <c r="E241" s="2580"/>
      <c r="F241" s="2580" t="s">
        <v>3719</v>
      </c>
      <c r="G241" s="2580" t="s">
        <v>2791</v>
      </c>
      <c r="H241" s="2580" t="s">
        <v>116</v>
      </c>
      <c r="I241" s="2580" t="s">
        <v>137</v>
      </c>
      <c r="J241" s="2580" t="s">
        <v>118</v>
      </c>
      <c r="K241" s="2580"/>
      <c r="L241" s="2580" t="s">
        <v>3721</v>
      </c>
      <c r="M241" s="912"/>
    </row>
    <row r="242" customFormat="false" ht="15.75" hidden="false" customHeight="false" outlineLevel="0" collapsed="false">
      <c r="A242" s="876" t="s">
        <v>3047</v>
      </c>
      <c r="B242" s="2686"/>
      <c r="C242" s="2686"/>
      <c r="D242" s="2686"/>
      <c r="E242" s="876"/>
      <c r="F242" s="876" t="n">
        <f aca="false">B242*C242*D242</f>
        <v>0</v>
      </c>
      <c r="G242" s="876" t="s">
        <v>3047</v>
      </c>
      <c r="H242" s="2686" t="n">
        <v>0.9</v>
      </c>
      <c r="I242" s="2686" t="n">
        <v>2</v>
      </c>
      <c r="J242" s="2686" t="n">
        <v>5</v>
      </c>
      <c r="K242" s="876"/>
      <c r="L242" s="876" t="n">
        <f aca="false">H242*I242*J242</f>
        <v>9</v>
      </c>
      <c r="M242" s="912"/>
    </row>
    <row r="243" customFormat="false" ht="15.75" hidden="false" customHeight="false" outlineLevel="0" collapsed="false">
      <c r="A243" s="876" t="s">
        <v>3048</v>
      </c>
      <c r="B243" s="2686"/>
      <c r="C243" s="2686"/>
      <c r="D243" s="2686"/>
      <c r="E243" s="876"/>
      <c r="F243" s="876" t="n">
        <f aca="false">B243*C243*D243</f>
        <v>0</v>
      </c>
      <c r="G243" s="876" t="s">
        <v>3048</v>
      </c>
      <c r="H243" s="2686" t="n">
        <v>1</v>
      </c>
      <c r="I243" s="2686" t="n">
        <v>2</v>
      </c>
      <c r="J243" s="2686" t="n">
        <v>2</v>
      </c>
      <c r="K243" s="876"/>
      <c r="L243" s="876" t="n">
        <f aca="false">H243*I243*J243</f>
        <v>4</v>
      </c>
      <c r="M243" s="912"/>
    </row>
    <row r="244" customFormat="false" ht="15.75" hidden="false" customHeight="false" outlineLevel="0" collapsed="false">
      <c r="A244" s="876" t="s">
        <v>3049</v>
      </c>
      <c r="B244" s="2686"/>
      <c r="C244" s="2686"/>
      <c r="D244" s="2686"/>
      <c r="E244" s="876"/>
      <c r="F244" s="876" t="n">
        <f aca="false">B244*C244*D244</f>
        <v>0</v>
      </c>
      <c r="G244" s="876" t="s">
        <v>3049</v>
      </c>
      <c r="H244" s="2686" t="n">
        <v>0.7</v>
      </c>
      <c r="I244" s="2686" t="n">
        <v>2</v>
      </c>
      <c r="J244" s="2686" t="n">
        <v>2</v>
      </c>
      <c r="K244" s="876"/>
      <c r="L244" s="876" t="n">
        <f aca="false">H244*I244*J244</f>
        <v>2.8</v>
      </c>
      <c r="M244" s="912"/>
    </row>
    <row r="245" customFormat="false" ht="15.75" hidden="false" customHeight="false" outlineLevel="0" collapsed="false">
      <c r="A245" s="876" t="s">
        <v>3050</v>
      </c>
      <c r="B245" s="2686"/>
      <c r="C245" s="2686"/>
      <c r="D245" s="2686"/>
      <c r="E245" s="876"/>
      <c r="F245" s="876" t="n">
        <f aca="false">B245*C245*D245</f>
        <v>0</v>
      </c>
      <c r="G245" s="876"/>
      <c r="H245" s="2686"/>
      <c r="I245" s="2686"/>
      <c r="J245" s="2686"/>
      <c r="K245" s="876"/>
      <c r="L245" s="876" t="n">
        <f aca="false">H245*I245*J245</f>
        <v>0</v>
      </c>
      <c r="M245" s="912"/>
    </row>
    <row r="246" customFormat="false" ht="15.75" hidden="false" customHeight="false" outlineLevel="0" collapsed="false">
      <c r="A246" s="740" t="s">
        <v>3722</v>
      </c>
      <c r="B246" s="740"/>
      <c r="C246" s="740"/>
      <c r="D246" s="740"/>
      <c r="E246" s="740"/>
      <c r="F246" s="876" t="n">
        <f aca="false">SUM(F242:F245)</f>
        <v>0</v>
      </c>
      <c r="G246" s="740" t="s">
        <v>4039</v>
      </c>
      <c r="H246" s="740"/>
      <c r="I246" s="740"/>
      <c r="J246" s="740"/>
      <c r="K246" s="740"/>
      <c r="L246" s="876" t="n">
        <f aca="false">SUM(L242:L244)</f>
        <v>15.8</v>
      </c>
      <c r="M246" s="916"/>
    </row>
    <row r="247" customFormat="false" ht="15.75" hidden="false" customHeight="false" outlineLevel="0" collapsed="false">
      <c r="A247" s="2580" t="s">
        <v>364</v>
      </c>
      <c r="B247" s="2580" t="s">
        <v>1097</v>
      </c>
      <c r="C247" s="2580" t="s">
        <v>1149</v>
      </c>
      <c r="D247" s="2580" t="s">
        <v>118</v>
      </c>
      <c r="E247" s="2580"/>
      <c r="F247" s="2580" t="s">
        <v>3729</v>
      </c>
      <c r="G247" s="2580" t="s">
        <v>1839</v>
      </c>
      <c r="H247" s="2580" t="s">
        <v>116</v>
      </c>
      <c r="I247" s="2580" t="s">
        <v>137</v>
      </c>
      <c r="J247" s="2580" t="s">
        <v>118</v>
      </c>
      <c r="K247" s="2580"/>
      <c r="L247" s="2580" t="s">
        <v>3721</v>
      </c>
      <c r="M247" s="912"/>
    </row>
    <row r="248" customFormat="false" ht="15.75" hidden="false" customHeight="false" outlineLevel="0" collapsed="false">
      <c r="A248" s="767" t="s">
        <v>364</v>
      </c>
      <c r="B248" s="2686" t="n">
        <v>4</v>
      </c>
      <c r="C248" s="2686" t="n">
        <v>0.9</v>
      </c>
      <c r="D248" s="2686" t="n">
        <v>1</v>
      </c>
      <c r="E248" s="2686"/>
      <c r="F248" s="876" t="n">
        <f aca="false">B248*C248*D248</f>
        <v>3.6</v>
      </c>
      <c r="G248" s="876" t="s">
        <v>3730</v>
      </c>
      <c r="H248" s="2686" t="n">
        <v>1</v>
      </c>
      <c r="I248" s="2686" t="n">
        <v>2</v>
      </c>
      <c r="J248" s="2686" t="n">
        <v>2</v>
      </c>
      <c r="K248" s="876"/>
      <c r="L248" s="876" t="n">
        <f aca="false">H248*I248*J248</f>
        <v>4</v>
      </c>
      <c r="M248" s="916"/>
    </row>
    <row r="249" customFormat="false" ht="15.75" hidden="false" customHeight="false" outlineLevel="0" collapsed="false">
      <c r="A249" s="767"/>
      <c r="B249" s="767"/>
      <c r="C249" s="767"/>
      <c r="D249" s="767"/>
      <c r="E249" s="767"/>
      <c r="F249" s="876"/>
      <c r="G249" s="876" t="s">
        <v>918</v>
      </c>
      <c r="H249" s="2686" t="n">
        <v>0.9</v>
      </c>
      <c r="I249" s="2686" t="n">
        <v>2</v>
      </c>
      <c r="J249" s="2686" t="n">
        <v>1</v>
      </c>
      <c r="K249" s="876"/>
      <c r="L249" s="876" t="n">
        <f aca="false">H249*I249*J249</f>
        <v>1.8</v>
      </c>
      <c r="M249" s="916"/>
    </row>
    <row r="250" customFormat="false" ht="15.75" hidden="false" customHeight="false" outlineLevel="0" collapsed="false">
      <c r="A250" s="894" t="s">
        <v>3731</v>
      </c>
      <c r="B250" s="894"/>
      <c r="C250" s="894"/>
      <c r="D250" s="894"/>
      <c r="E250" s="894"/>
      <c r="F250" s="767" t="n">
        <f aca="false">F248</f>
        <v>3.6</v>
      </c>
      <c r="G250" s="740" t="s">
        <v>3732</v>
      </c>
      <c r="H250" s="740"/>
      <c r="I250" s="740"/>
      <c r="J250" s="740"/>
      <c r="K250" s="740"/>
      <c r="L250" s="876" t="n">
        <f aca="false">SUM(L248:L249)</f>
        <v>5.8</v>
      </c>
      <c r="M250" s="916"/>
    </row>
    <row r="251" customFormat="false" ht="15.75" hidden="false" customHeight="false" outlineLevel="0" collapsed="false">
      <c r="A251" s="2590"/>
      <c r="B251" s="2590"/>
      <c r="C251" s="2590"/>
      <c r="D251" s="2590"/>
      <c r="E251" s="2590"/>
      <c r="F251" s="2782"/>
      <c r="G251" s="2594"/>
      <c r="H251" s="2594"/>
      <c r="I251" s="2594"/>
      <c r="J251" s="2594"/>
      <c r="K251" s="2594"/>
      <c r="L251" s="2783"/>
      <c r="M251" s="916"/>
    </row>
    <row r="252" customFormat="false" ht="15.75" hidden="false" customHeight="false" outlineLevel="0" collapsed="false">
      <c r="A252" s="2784" t="s">
        <v>4120</v>
      </c>
      <c r="B252" s="2785" t="s">
        <v>116</v>
      </c>
      <c r="C252" s="2785"/>
      <c r="D252" s="2785" t="s">
        <v>200</v>
      </c>
      <c r="E252" s="2785"/>
      <c r="F252" s="2783"/>
      <c r="G252" s="2783"/>
      <c r="H252" s="2783"/>
      <c r="I252" s="2786"/>
      <c r="J252" s="2786"/>
      <c r="K252" s="2783"/>
      <c r="L252" s="2783"/>
      <c r="M252" s="2759"/>
    </row>
    <row r="253" customFormat="false" ht="15" hidden="false" customHeight="false" outlineLevel="0" collapsed="false">
      <c r="A253" s="2784"/>
      <c r="B253" s="2787" t="n">
        <f aca="false">'Ввод данных'!C9</f>
        <v>8</v>
      </c>
      <c r="C253" s="2787"/>
      <c r="D253" s="2787" t="n">
        <f aca="false">'Ввод данных'!C10</f>
        <v>8</v>
      </c>
      <c r="E253" s="2787"/>
      <c r="F253" s="2526"/>
      <c r="G253" s="2526"/>
      <c r="H253" s="2526"/>
      <c r="I253" s="2526"/>
      <c r="J253" s="2526"/>
      <c r="K253" s="2526"/>
      <c r="L253" s="2526"/>
      <c r="M253" s="2759"/>
    </row>
    <row r="254" customFormat="false" ht="15.75" hidden="false" customHeight="false" outlineLevel="0" collapsed="false">
      <c r="A254" s="2784"/>
      <c r="B254" s="2788" t="s">
        <v>12</v>
      </c>
      <c r="C254" s="2789" t="s">
        <v>4041</v>
      </c>
      <c r="D254" s="2789"/>
      <c r="E254" s="2788" t="s">
        <v>118</v>
      </c>
      <c r="F254" s="2783"/>
      <c r="G254" s="2783"/>
      <c r="H254" s="2790"/>
      <c r="I254" s="2790"/>
      <c r="J254" s="918"/>
      <c r="K254" s="918"/>
      <c r="L254" s="918"/>
      <c r="M254" s="2759"/>
    </row>
    <row r="255" customFormat="false" ht="15.75" hidden="false" customHeight="false" outlineLevel="0" collapsed="false">
      <c r="A255" s="2668"/>
      <c r="B255" s="2783"/>
      <c r="C255" s="919"/>
      <c r="D255" s="919"/>
      <c r="E255" s="918"/>
      <c r="F255" s="2783"/>
      <c r="G255" s="2791"/>
      <c r="H255" s="2791"/>
      <c r="I255" s="2783"/>
      <c r="J255" s="918"/>
      <c r="K255" s="918"/>
      <c r="L255" s="2783"/>
      <c r="M255" s="2759"/>
    </row>
    <row r="256" customFormat="false" ht="15.75" hidden="false" customHeight="false" outlineLevel="0" collapsed="false">
      <c r="A256" s="2668"/>
      <c r="B256" s="2783"/>
      <c r="C256" s="919"/>
      <c r="D256" s="919"/>
      <c r="E256" s="918"/>
      <c r="F256" s="2783"/>
      <c r="G256" s="2791"/>
      <c r="H256" s="2791"/>
      <c r="I256" s="2783"/>
      <c r="J256" s="918"/>
      <c r="K256" s="918"/>
      <c r="L256" s="2783"/>
      <c r="M256" s="2759"/>
    </row>
    <row r="257" customFormat="false" ht="15" hidden="false" customHeight="false" outlineLevel="0" collapsed="false">
      <c r="A257" s="2759"/>
      <c r="B257" s="2759"/>
      <c r="C257" s="2759"/>
      <c r="D257" s="2759"/>
      <c r="E257" s="2792"/>
      <c r="F257" s="2793"/>
      <c r="G257" s="2759"/>
      <c r="H257" s="2759"/>
      <c r="I257" s="2759"/>
      <c r="J257" s="2759"/>
      <c r="K257" s="2792"/>
      <c r="L257" s="2793"/>
      <c r="M257" s="2759"/>
    </row>
    <row r="258" customFormat="false" ht="15.75" hidden="false" customHeight="false" outlineLevel="1" collapsed="false">
      <c r="A258" s="2794" t="s">
        <v>460</v>
      </c>
      <c r="B258" s="2794"/>
      <c r="C258" s="2794"/>
      <c r="D258" s="2794"/>
      <c r="E258" s="2794"/>
      <c r="F258" s="2794"/>
      <c r="G258" s="2794"/>
      <c r="H258" s="2794"/>
      <c r="I258" s="2794"/>
      <c r="J258" s="2794"/>
      <c r="K258" s="2794"/>
      <c r="L258" s="2795"/>
      <c r="M258" s="2795"/>
    </row>
    <row r="259" customFormat="false" ht="15.75" hidden="false" customHeight="false" outlineLevel="1" collapsed="false">
      <c r="A259" s="2794"/>
      <c r="B259" s="2794"/>
      <c r="C259" s="2794"/>
      <c r="D259" s="2794"/>
      <c r="E259" s="2794"/>
      <c r="F259" s="2794"/>
      <c r="G259" s="2794"/>
      <c r="H259" s="2794"/>
      <c r="I259" s="2794"/>
      <c r="J259" s="2794"/>
      <c r="K259" s="2794"/>
      <c r="L259" s="2795"/>
      <c r="M259" s="2795"/>
    </row>
    <row r="260" customFormat="false" ht="15.75" hidden="false" customHeight="false" outlineLevel="1" collapsed="false">
      <c r="A260" s="1520" t="s">
        <v>461</v>
      </c>
      <c r="B260" s="1520"/>
      <c r="C260" s="1520"/>
      <c r="D260" s="1520"/>
      <c r="E260" s="1520"/>
      <c r="F260" s="1520"/>
      <c r="G260" s="2796" t="n">
        <f aca="false">'Ввод данных'!E781</f>
        <v>1</v>
      </c>
      <c r="H260" s="2797" t="n">
        <f aca="false">'Ввод данных'!E782</f>
        <v>1</v>
      </c>
      <c r="I260" s="2797"/>
      <c r="J260" s="2797"/>
      <c r="K260" s="2797"/>
      <c r="L260" s="2798"/>
      <c r="M260" s="2798"/>
    </row>
    <row r="261" customFormat="false" ht="15.75" hidden="false" customHeight="false" outlineLevel="1" collapsed="false">
      <c r="A261" s="1520"/>
      <c r="B261" s="1520"/>
      <c r="C261" s="1520"/>
      <c r="D261" s="1520"/>
      <c r="E261" s="1520"/>
      <c r="F261" s="1520"/>
      <c r="G261" s="2799"/>
      <c r="H261" s="2797"/>
      <c r="I261" s="2797"/>
      <c r="J261" s="2797"/>
      <c r="K261" s="2797"/>
      <c r="L261" s="2798"/>
      <c r="M261" s="2798"/>
    </row>
    <row r="262" customFormat="false" ht="15.75" hidden="false" customHeight="false" outlineLevel="1" collapsed="false">
      <c r="A262" s="2800"/>
      <c r="B262" s="903"/>
      <c r="C262" s="2801"/>
      <c r="D262" s="903"/>
      <c r="E262" s="2801"/>
      <c r="F262" s="2802"/>
      <c r="G262" s="2802"/>
      <c r="H262" s="2802"/>
      <c r="I262" s="2802"/>
      <c r="J262" s="2802"/>
      <c r="K262" s="2802"/>
      <c r="L262" s="2802"/>
      <c r="M262" s="2802"/>
    </row>
    <row r="263" customFormat="false" ht="15.75" hidden="false" customHeight="false" outlineLevel="1" collapsed="false">
      <c r="A263" s="2800" t="s">
        <v>4121</v>
      </c>
      <c r="B263" s="903" t="s">
        <v>15</v>
      </c>
      <c r="C263" s="876" t="n">
        <f aca="false">дома!C1113</f>
        <v>48</v>
      </c>
      <c r="D263" s="2803"/>
      <c r="E263" s="2803"/>
      <c r="F263" s="2802"/>
      <c r="G263" s="2802"/>
      <c r="H263" s="2802"/>
      <c r="I263" s="2802"/>
      <c r="J263" s="2802"/>
      <c r="K263" s="2802"/>
      <c r="L263" s="2802"/>
      <c r="M263" s="2802"/>
    </row>
    <row r="264" customFormat="false" ht="15.75" hidden="false" customHeight="false" outlineLevel="1" collapsed="false">
      <c r="A264" s="903" t="s">
        <v>3759</v>
      </c>
      <c r="B264" s="2804" t="n">
        <f aca="false">дома!O1343</f>
        <v>21</v>
      </c>
      <c r="C264" s="2795"/>
      <c r="D264" s="2795"/>
      <c r="E264" s="2795"/>
      <c r="F264" s="2795"/>
      <c r="G264" s="2795" t="n">
        <v>7500</v>
      </c>
      <c r="H264" s="2795" t="n">
        <f aca="false">G264*0.3</f>
        <v>2250</v>
      </c>
      <c r="I264" s="2795"/>
      <c r="J264" s="2795"/>
      <c r="K264" s="2795"/>
      <c r="L264" s="2795"/>
      <c r="M264" s="2795"/>
    </row>
    <row r="265" customFormat="false" ht="15.75" hidden="false" customHeight="false" outlineLevel="1" collapsed="false">
      <c r="A265" s="2805" t="s">
        <v>404</v>
      </c>
      <c r="B265" s="2805" t="s">
        <v>4122</v>
      </c>
      <c r="C265" s="2805"/>
      <c r="D265" s="2801" t="n">
        <f aca="false">VLOOKUP('Ввод данных'!B788,связи1!A2:B3,2,0)</f>
        <v>1</v>
      </c>
      <c r="E265" s="2795"/>
      <c r="F265" s="2803"/>
      <c r="G265" s="2803"/>
      <c r="H265" s="2803"/>
      <c r="I265" s="2803"/>
      <c r="J265" s="2798"/>
      <c r="K265" s="2798"/>
      <c r="L265" s="2798"/>
      <c r="M265" s="2798"/>
    </row>
    <row r="266" customFormat="false" ht="15.75" hidden="false" customHeight="false" outlineLevel="1" collapsed="false">
      <c r="A266" s="2805" t="str">
        <f aca="false">связи1!F25</f>
        <v>Монтаж свай гидравлика</v>
      </c>
      <c r="B266" s="2805" t="s">
        <v>48</v>
      </c>
      <c r="C266" s="2806" t="n">
        <f aca="false">B264</f>
        <v>21</v>
      </c>
      <c r="D266" s="2801" t="n">
        <f aca="false">IF(A266='Ввод данных'!A787,1,0)</f>
        <v>1</v>
      </c>
      <c r="E266" s="2795" t="n">
        <f aca="false">VLOOKUP('Ввод данных'!A787,связи1!F25:G26,2,0)</f>
        <v>1</v>
      </c>
      <c r="F266" s="2803"/>
      <c r="G266" s="2803"/>
      <c r="H266" s="2803"/>
      <c r="I266" s="2803"/>
      <c r="J266" s="2798"/>
      <c r="K266" s="2798"/>
      <c r="L266" s="2798"/>
      <c r="M266" s="2798"/>
    </row>
    <row r="267" customFormat="false" ht="15.75" hidden="false" customHeight="false" outlineLevel="1" collapsed="false">
      <c r="A267" s="2805" t="str">
        <f aca="false">связи1!F26</f>
        <v>Монтаж свай вручную</v>
      </c>
      <c r="B267" s="2805" t="s">
        <v>48</v>
      </c>
      <c r="C267" s="2806" t="n">
        <f aca="false">B264</f>
        <v>21</v>
      </c>
      <c r="D267" s="2801" t="n">
        <f aca="false">IF(A267='Ввод данных'!A787,1,0)</f>
        <v>0</v>
      </c>
      <c r="E267" s="2795"/>
      <c r="F267" s="2803" t="n">
        <f aca="false">3.14*0.06*0.06*4</f>
        <v>0.045216</v>
      </c>
      <c r="G267" s="2803"/>
      <c r="H267" s="2803"/>
      <c r="I267" s="2803"/>
      <c r="J267" s="2798"/>
      <c r="K267" s="2798"/>
      <c r="L267" s="2798"/>
      <c r="M267" s="2798"/>
    </row>
    <row r="268" customFormat="false" ht="15.75" hidden="false" customHeight="false" outlineLevel="1" collapsed="false">
      <c r="A268" s="2805" t="s">
        <v>405</v>
      </c>
      <c r="B268" s="2805"/>
      <c r="C268" s="2805"/>
      <c r="D268" s="2801" t="n">
        <f aca="false">VLOOKUP('Ввод данных'!B789,связи1!A2:B3,2,0)</f>
        <v>1</v>
      </c>
      <c r="E268" s="2795"/>
      <c r="F268" s="2803"/>
      <c r="G268" s="2803"/>
      <c r="H268" s="2803"/>
      <c r="I268" s="2803"/>
      <c r="J268" s="2798"/>
      <c r="K268" s="2798"/>
      <c r="L268" s="2798"/>
      <c r="M268" s="2798"/>
    </row>
    <row r="269" customFormat="false" ht="15.75" hidden="false" customHeight="false" outlineLevel="1" collapsed="false">
      <c r="A269" s="2807" t="s">
        <v>2246</v>
      </c>
      <c r="B269" s="2807"/>
      <c r="C269" s="2807"/>
      <c r="D269" s="2807"/>
      <c r="E269" s="2807"/>
      <c r="F269" s="2783"/>
      <c r="G269" s="2807" t="s">
        <v>2007</v>
      </c>
      <c r="H269" s="2807"/>
      <c r="I269" s="2807"/>
      <c r="J269" s="2807"/>
      <c r="K269" s="2807"/>
      <c r="L269" s="2807"/>
      <c r="M269" s="2808"/>
    </row>
    <row r="270" customFormat="false" ht="15.75" hidden="false" customHeight="false" outlineLevel="1" collapsed="false">
      <c r="A270" s="2809"/>
      <c r="B270" s="876" t="s">
        <v>12</v>
      </c>
      <c r="C270" s="876" t="s">
        <v>118</v>
      </c>
      <c r="D270" s="876" t="s">
        <v>2190</v>
      </c>
      <c r="E270" s="876" t="s">
        <v>2916</v>
      </c>
      <c r="F270" s="918"/>
      <c r="G270" s="2810"/>
      <c r="H270" s="2810"/>
      <c r="I270" s="876" t="s">
        <v>12</v>
      </c>
      <c r="J270" s="876" t="s">
        <v>118</v>
      </c>
      <c r="K270" s="876" t="s">
        <v>2190</v>
      </c>
      <c r="L270" s="876" t="s">
        <v>2916</v>
      </c>
      <c r="M270" s="2808"/>
    </row>
    <row r="271" customFormat="false" ht="15.75" hidden="false" customHeight="false" outlineLevel="1" collapsed="false">
      <c r="A271" s="876" t="s">
        <v>404</v>
      </c>
      <c r="B271" s="876" t="s">
        <v>48</v>
      </c>
      <c r="C271" s="783" t="n">
        <f aca="false">D265*G260</f>
        <v>1</v>
      </c>
      <c r="D271" s="876" t="n">
        <f aca="false">'Прайс лист'!G1461*G260</f>
        <v>5000</v>
      </c>
      <c r="E271" s="876" t="n">
        <f aca="false">C271*D271</f>
        <v>5000</v>
      </c>
      <c r="F271" s="918"/>
      <c r="G271" s="738" t="s">
        <v>4123</v>
      </c>
      <c r="H271" s="738"/>
      <c r="I271" s="876" t="s">
        <v>48</v>
      </c>
      <c r="J271" s="876" t="n">
        <f aca="false">1*H260</f>
        <v>1</v>
      </c>
      <c r="K271" s="876" t="n">
        <f aca="false">'Прайс лист'!G1441</f>
        <v>7000</v>
      </c>
      <c r="L271" s="876" t="n">
        <f aca="false">J271*K271</f>
        <v>7000</v>
      </c>
      <c r="M271" s="2808"/>
    </row>
    <row r="272" customFormat="false" ht="15.75" hidden="false" customHeight="false" outlineLevel="1" collapsed="false">
      <c r="A272" s="876" t="str">
        <f aca="false">'Ввод данных'!A785</f>
        <v>108мм, 2,5м длина, 1 лопасть</v>
      </c>
      <c r="B272" s="876" t="s">
        <v>48</v>
      </c>
      <c r="C272" s="783" t="n">
        <f aca="false">B264*G260</f>
        <v>21</v>
      </c>
      <c r="D272" s="876" t="n">
        <f aca="false">VLOOKUP(A272,'Прайс лист'!B751:G811,6,0)</f>
        <v>1950</v>
      </c>
      <c r="E272" s="876" t="n">
        <f aca="false">C272*D272</f>
        <v>40950</v>
      </c>
      <c r="F272" s="918"/>
      <c r="G272" s="738" t="s">
        <v>2357</v>
      </c>
      <c r="H272" s="738"/>
      <c r="I272" s="876" t="s">
        <v>48</v>
      </c>
      <c r="J272" s="876" t="n">
        <f aca="false">C266*D266*H260+C267*D267*H260</f>
        <v>21</v>
      </c>
      <c r="K272" s="876" t="n">
        <f aca="false">D266*'Прайс лист'!G1463+D267*'Прайс лист'!G1462</f>
        <v>1000</v>
      </c>
      <c r="L272" s="876" t="n">
        <f aca="false">J272*K272</f>
        <v>21000</v>
      </c>
      <c r="M272" s="2808"/>
    </row>
    <row r="273" customFormat="false" ht="15.75" hidden="false" customHeight="false" outlineLevel="1" collapsed="false">
      <c r="A273" s="876" t="str">
        <f aca="false">'Ввод данных'!A791</f>
        <v>Оголовкок для свай 200*200</v>
      </c>
      <c r="B273" s="876" t="s">
        <v>48</v>
      </c>
      <c r="C273" s="783" t="n">
        <f aca="false">C272*G260</f>
        <v>21</v>
      </c>
      <c r="D273" s="876" t="n">
        <f aca="false">VLOOKUP(A273,'Прайс лист'!B812:G815,6,0)</f>
        <v>250</v>
      </c>
      <c r="E273" s="876" t="n">
        <f aca="false">C273*D273</f>
        <v>5250</v>
      </c>
      <c r="F273" s="918"/>
      <c r="G273" s="738" t="s">
        <v>2046</v>
      </c>
      <c r="H273" s="738"/>
      <c r="I273" s="876" t="s">
        <v>48</v>
      </c>
      <c r="J273" s="876" t="n">
        <f aca="false">B264*H260</f>
        <v>21</v>
      </c>
      <c r="K273" s="876" t="n">
        <f aca="false">'Прайс лист'!G1464</f>
        <v>100</v>
      </c>
      <c r="L273" s="876" t="n">
        <f aca="false">J273*K273</f>
        <v>2100</v>
      </c>
      <c r="M273" s="2808"/>
    </row>
    <row r="274" customFormat="false" ht="15.75" hidden="false" customHeight="false" outlineLevel="1" collapsed="false">
      <c r="A274" s="876" t="s">
        <v>1588</v>
      </c>
      <c r="B274" s="876" t="s">
        <v>15</v>
      </c>
      <c r="C274" s="783" t="n">
        <f aca="false">(E3+E3+E4+E4+F33+F34+F35+F36+F41+F42+F43+F44+C169*E132+C210*D172+C235*D220)*G260*D268</f>
        <v>48</v>
      </c>
      <c r="D274" s="876" t="n">
        <f aca="false">'Прайс лист'!G818</f>
        <v>100</v>
      </c>
      <c r="E274" s="876" t="n">
        <f aca="false">C274*D274</f>
        <v>4800</v>
      </c>
      <c r="F274" s="918"/>
      <c r="G274" s="738" t="s">
        <v>1588</v>
      </c>
      <c r="H274" s="738"/>
      <c r="I274" s="876" t="s">
        <v>15</v>
      </c>
      <c r="J274" s="876" t="n">
        <f aca="false">C274*H260</f>
        <v>48</v>
      </c>
      <c r="K274" s="876" t="n">
        <f aca="false">'Прайс лист'!G1465</f>
        <v>100</v>
      </c>
      <c r="L274" s="876" t="n">
        <f aca="false">J274*K274</f>
        <v>4800</v>
      </c>
      <c r="M274" s="2808"/>
    </row>
    <row r="275" customFormat="false" ht="15.75" hidden="false" customHeight="false" outlineLevel="1" collapsed="false">
      <c r="A275" s="876" t="str">
        <f aca="false">'Прайс лист'!B241</f>
        <v>Раствор, м200</v>
      </c>
      <c r="B275" s="876" t="s">
        <v>1043</v>
      </c>
      <c r="C275" s="783" t="n">
        <f aca="false">C272*F267*VLOOKUP('Ввод данных'!B790,связи1!A2:B3,2,0)</f>
        <v>0.949536</v>
      </c>
      <c r="D275" s="876" t="n">
        <f aca="false">'Прайс лист'!G241</f>
        <v>2100</v>
      </c>
      <c r="E275" s="876" t="n">
        <f aca="false">C275*D275</f>
        <v>1994.0256</v>
      </c>
      <c r="F275" s="918"/>
      <c r="G275" s="738" t="s">
        <v>4124</v>
      </c>
      <c r="H275" s="738"/>
      <c r="I275" s="876" t="s">
        <v>48</v>
      </c>
      <c r="J275" s="876" t="n">
        <f aca="false">B264*VLOOKUP('Ввод данных'!B790,связи1!A2:B3,2,0)</f>
        <v>21</v>
      </c>
      <c r="K275" s="876" t="n">
        <f aca="false">'Прайс лист'!G1466</f>
        <v>200</v>
      </c>
      <c r="L275" s="876" t="n">
        <f aca="false">J275*K275</f>
        <v>4200</v>
      </c>
      <c r="M275" s="2808"/>
    </row>
    <row r="276" customFormat="false" ht="15.75" hidden="false" customHeight="false" outlineLevel="1" collapsed="false">
      <c r="A276" s="1159" t="str">
        <f aca="false">'Прайс лист'!B233</f>
        <v>Электроды ок 47</v>
      </c>
      <c r="B276" s="1159" t="str">
        <f aca="false">'Прайс лист'!C233</f>
        <v>шт</v>
      </c>
      <c r="C276" s="2811" t="n">
        <f aca="false">C273</f>
        <v>21</v>
      </c>
      <c r="D276" s="1180" t="n">
        <f aca="false">'Прайс лист'!G233</f>
        <v>10</v>
      </c>
      <c r="E276" s="876" t="n">
        <f aca="false">C276*D276</f>
        <v>210</v>
      </c>
      <c r="F276" s="918"/>
      <c r="G276" s="2679" t="s">
        <v>2034</v>
      </c>
      <c r="H276" s="2633"/>
      <c r="I276" s="876" t="s">
        <v>48</v>
      </c>
      <c r="J276" s="876" t="n">
        <f aca="false">C272</f>
        <v>21</v>
      </c>
      <c r="K276" s="876" t="n">
        <f aca="false">'Прайс лист'!G1448</f>
        <v>200</v>
      </c>
      <c r="L276" s="876" t="n">
        <f aca="false">J276*K276</f>
        <v>4200</v>
      </c>
      <c r="M276" s="2808"/>
    </row>
    <row r="277" customFormat="false" ht="15.75" hidden="false" customHeight="false" outlineLevel="1" collapsed="false">
      <c r="A277" s="2631" t="str">
        <f aca="false">'Ввод данных'!A793</f>
        <v>Нет техники</v>
      </c>
      <c r="B277" s="2631" t="str">
        <f aca="false">'Ввод данных'!B793</f>
        <v>ед.</v>
      </c>
      <c r="C277" s="2812" t="n">
        <f aca="false">'Ввод данных'!C793</f>
        <v>1</v>
      </c>
      <c r="D277" s="876" t="n">
        <f aca="false">VLOOKUP(A277,'Прайс лист'!B192:G206,6,0)</f>
        <v>0</v>
      </c>
      <c r="E277" s="876" t="n">
        <f aca="false">C277*D277</f>
        <v>0</v>
      </c>
      <c r="F277" s="918"/>
      <c r="G277" s="2679" t="s">
        <v>2035</v>
      </c>
      <c r="H277" s="2633"/>
      <c r="I277" s="876" t="s">
        <v>48</v>
      </c>
      <c r="J277" s="876" t="n">
        <f aca="false">C273</f>
        <v>21</v>
      </c>
      <c r="K277" s="876" t="n">
        <f aca="false">'Прайс лист'!G1449</f>
        <v>250</v>
      </c>
      <c r="L277" s="876" t="n">
        <f aca="false">J277*K277</f>
        <v>5250</v>
      </c>
      <c r="M277" s="2808"/>
    </row>
    <row r="278" customFormat="false" ht="15.75" hidden="false" customHeight="false" outlineLevel="1" collapsed="false">
      <c r="A278" s="2631" t="str">
        <f aca="false">'Ввод данных'!A794</f>
        <v>Нет техники</v>
      </c>
      <c r="B278" s="2631" t="str">
        <f aca="false">'Ввод данных'!B794</f>
        <v>ед.</v>
      </c>
      <c r="C278" s="2812" t="n">
        <f aca="false">'Ввод данных'!C794</f>
        <v>0</v>
      </c>
      <c r="D278" s="876" t="n">
        <f aca="false">VLOOKUP(A278,'Прайс лист'!B192:G206,6,0)</f>
        <v>0</v>
      </c>
      <c r="E278" s="876" t="n">
        <f aca="false">C278*D278</f>
        <v>0</v>
      </c>
      <c r="F278" s="918"/>
      <c r="G278" s="2632"/>
      <c r="H278" s="2633"/>
      <c r="I278" s="876"/>
      <c r="J278" s="876"/>
      <c r="K278" s="876"/>
      <c r="L278" s="876"/>
      <c r="M278" s="2808"/>
    </row>
    <row r="279" customFormat="false" ht="15.75" hidden="false" customHeight="false" outlineLevel="1" collapsed="false">
      <c r="A279" s="738" t="str">
        <f aca="false">'Ввод данных'!A795</f>
        <v>Нет техники</v>
      </c>
      <c r="B279" s="738" t="str">
        <f aca="false">'Ввод данных'!B795</f>
        <v>ед.</v>
      </c>
      <c r="C279" s="740" t="n">
        <f aca="false">'Ввод данных'!C795</f>
        <v>0</v>
      </c>
      <c r="D279" s="876" t="n">
        <f aca="false">VLOOKUP(A279,'Прайс лист'!B192:G206,6,0)</f>
        <v>0</v>
      </c>
      <c r="E279" s="876" t="n">
        <f aca="false">C279*D279</f>
        <v>0</v>
      </c>
      <c r="F279" s="918"/>
      <c r="G279" s="739"/>
      <c r="H279" s="739"/>
      <c r="I279" s="876"/>
      <c r="J279" s="876"/>
      <c r="K279" s="876"/>
      <c r="L279" s="876"/>
      <c r="M279" s="2808"/>
    </row>
    <row r="280" customFormat="false" ht="15.75" hidden="false" customHeight="false" outlineLevel="1" collapsed="false">
      <c r="A280" s="738" t="str">
        <f aca="false">'Ввод данных'!A796</f>
        <v>Расходные материалы винтовые сваи</v>
      </c>
      <c r="B280" s="738" t="str">
        <f aca="false">'Ввод данных'!B796</f>
        <v>рублей</v>
      </c>
      <c r="C280" s="740" t="n">
        <f aca="false">1</f>
        <v>1</v>
      </c>
      <c r="D280" s="876" t="n">
        <f aca="false">'Ввод данных'!C796</f>
        <v>6000</v>
      </c>
      <c r="E280" s="876" t="n">
        <f aca="false">C280*D280</f>
        <v>6000</v>
      </c>
      <c r="F280" s="918"/>
      <c r="G280" s="2634"/>
      <c r="H280" s="2635"/>
      <c r="I280" s="876"/>
      <c r="J280" s="876"/>
      <c r="K280" s="876"/>
      <c r="L280" s="876"/>
      <c r="M280" s="2808"/>
    </row>
    <row r="281" customFormat="false" ht="15.75" hidden="false" customHeight="false" outlineLevel="1" collapsed="false">
      <c r="A281" s="2526"/>
      <c r="B281" s="2526"/>
      <c r="C281" s="2526"/>
      <c r="D281" s="2526"/>
      <c r="E281" s="2679" t="n">
        <f aca="false">SUM(E271:E280)</f>
        <v>64204.0256</v>
      </c>
      <c r="F281" s="918"/>
      <c r="G281" s="2813"/>
      <c r="H281" s="2814"/>
      <c r="I281" s="2679"/>
      <c r="J281" s="2679"/>
      <c r="K281" s="2679"/>
      <c r="L281" s="2679"/>
      <c r="M281" s="2808"/>
    </row>
    <row r="282" customFormat="false" ht="15.75" hidden="false" customHeight="false" outlineLevel="1" collapsed="false">
      <c r="A282" s="2526"/>
      <c r="B282" s="2526"/>
      <c r="C282" s="2526"/>
      <c r="D282" s="2526"/>
      <c r="E282" s="918"/>
      <c r="F282" s="918"/>
      <c r="G282" s="919"/>
      <c r="H282" s="919"/>
      <c r="I282" s="918"/>
      <c r="J282" s="918"/>
      <c r="K282" s="918"/>
      <c r="L282" s="918"/>
      <c r="M282" s="2808"/>
    </row>
    <row r="283" customFormat="false" ht="15.75" hidden="false" customHeight="false" outlineLevel="1" collapsed="false">
      <c r="A283" s="1342" t="str">
        <f aca="false">A263</f>
        <v>количество свай</v>
      </c>
      <c r="B283" s="1342" t="n">
        <f aca="false">CEILING(IF('Ввод данных'!C607&lt;=2,2,IF('Ввод данных'!C607&gt;2,('Ввод данных'!C607/2+1)))+IF('Ввод данных'!C608&lt;=2,2,IF('Ввод данных'!C608&gt;2,('Ввод данных'!C608/2+1)*2)),1)</f>
        <v>8</v>
      </c>
      <c r="C283" s="1342"/>
      <c r="D283" s="1342"/>
      <c r="E283" s="918"/>
      <c r="F283" s="918"/>
      <c r="G283" s="919"/>
      <c r="H283" s="919"/>
      <c r="I283" s="918"/>
      <c r="J283" s="918"/>
      <c r="K283" s="918"/>
      <c r="L283" s="918"/>
      <c r="M283" s="2808"/>
    </row>
    <row r="284" customFormat="false" ht="15.75" hidden="false" customHeight="false" outlineLevel="1" collapsed="false">
      <c r="A284" s="1342" t="str">
        <f aca="false">A265</f>
        <v>пробное забуривание</v>
      </c>
      <c r="B284" s="1342" t="n">
        <f aca="false">VLOOKUP('Ввод данных'!B619,связи1!A2:B3,2,0)</f>
        <v>1</v>
      </c>
      <c r="C284" s="1342"/>
      <c r="D284" s="1342"/>
      <c r="E284" s="918"/>
      <c r="F284" s="918"/>
      <c r="G284" s="919"/>
      <c r="H284" s="919"/>
      <c r="I284" s="918"/>
      <c r="J284" s="918"/>
      <c r="K284" s="918"/>
      <c r="L284" s="918"/>
      <c r="M284" s="2808"/>
    </row>
    <row r="285" customFormat="false" ht="15.75" hidden="false" customHeight="false" outlineLevel="1" collapsed="false">
      <c r="A285" s="1342" t="str">
        <f aca="false">A266</f>
        <v>Монтаж свай гидравлика</v>
      </c>
      <c r="B285" s="1342" t="n">
        <f aca="false">VLOOKUP('Ввод данных'!B620,связи1!A2:B3,2,0)</f>
        <v>1</v>
      </c>
      <c r="C285" s="1342"/>
      <c r="D285" s="1342"/>
      <c r="E285" s="918"/>
      <c r="F285" s="918"/>
      <c r="G285" s="919"/>
      <c r="H285" s="919"/>
      <c r="I285" s="918"/>
      <c r="J285" s="918"/>
      <c r="K285" s="918"/>
      <c r="L285" s="918"/>
      <c r="M285" s="2808"/>
    </row>
    <row r="286" customFormat="false" ht="15.75" hidden="false" customHeight="false" outlineLevel="1" collapsed="false">
      <c r="A286" s="1342" t="str">
        <f aca="false">A268</f>
        <v>обвязка металлом, 20/40/3000</v>
      </c>
      <c r="B286" s="1342" t="n">
        <f aca="false">VLOOKUP('Ввод данных'!B620,связи1!A2:B3,2,0)</f>
        <v>1</v>
      </c>
      <c r="C286" s="1342"/>
      <c r="D286" s="1342"/>
      <c r="E286" s="918"/>
      <c r="F286" s="918"/>
      <c r="G286" s="919"/>
      <c r="H286" s="919"/>
      <c r="I286" s="918"/>
      <c r="J286" s="918"/>
      <c r="K286" s="918"/>
      <c r="L286" s="918"/>
      <c r="M286" s="2808"/>
    </row>
    <row r="287" customFormat="false" ht="15.75" hidden="false" customHeight="false" outlineLevel="1" collapsed="false">
      <c r="A287" s="2526" t="s">
        <v>4125</v>
      </c>
      <c r="B287" s="2526" t="n">
        <f aca="false">IF('Ввод данных'!A614=связи1!A480,1,0)</f>
        <v>1</v>
      </c>
      <c r="C287" s="2526"/>
      <c r="D287" s="2526"/>
      <c r="E287" s="918"/>
      <c r="F287" s="918"/>
      <c r="G287" s="919"/>
      <c r="H287" s="919"/>
      <c r="I287" s="918"/>
      <c r="J287" s="918"/>
      <c r="K287" s="918"/>
      <c r="L287" s="918"/>
      <c r="M287" s="2808"/>
    </row>
    <row r="288" customFormat="false" ht="15.75" hidden="false" customHeight="false" outlineLevel="1" collapsed="false">
      <c r="A288" s="2526" t="s">
        <v>4124</v>
      </c>
      <c r="B288" s="2526" t="n">
        <f aca="false">VLOOKUP('Ввод данных'!B621,связи1!A2:B3,2,0)</f>
        <v>1</v>
      </c>
      <c r="C288" s="2526"/>
      <c r="D288" s="2526"/>
      <c r="E288" s="918"/>
      <c r="F288" s="918"/>
      <c r="G288" s="919"/>
      <c r="H288" s="919"/>
      <c r="I288" s="918"/>
      <c r="J288" s="918"/>
      <c r="K288" s="918"/>
      <c r="L288" s="918"/>
      <c r="M288" s="2808"/>
    </row>
    <row r="289" s="1160" customFormat="true" ht="15.75" hidden="false" customHeight="false" outlineLevel="1" collapsed="false">
      <c r="A289" s="2815" t="s">
        <v>4126</v>
      </c>
      <c r="B289" s="2815"/>
      <c r="C289" s="2815"/>
      <c r="D289" s="2815"/>
      <c r="E289" s="2815"/>
      <c r="F289" s="918"/>
      <c r="G289" s="919"/>
      <c r="H289" s="919"/>
      <c r="I289" s="918"/>
      <c r="J289" s="918"/>
      <c r="K289" s="918"/>
      <c r="L289" s="918"/>
      <c r="M289" s="2526"/>
    </row>
    <row r="290" s="1160" customFormat="true" ht="15.75" hidden="false" customHeight="false" outlineLevel="1" collapsed="false">
      <c r="A290" s="2816" t="str">
        <f aca="false">A271</f>
        <v>пробное забуривание</v>
      </c>
      <c r="B290" s="2816" t="str">
        <f aca="false">B271</f>
        <v>шт</v>
      </c>
      <c r="C290" s="1342" t="n">
        <f aca="false">B284</f>
        <v>1</v>
      </c>
      <c r="D290" s="2816" t="n">
        <f aca="false">D271</f>
        <v>5000</v>
      </c>
      <c r="E290" s="876" t="n">
        <f aca="false">C290*D290*B287</f>
        <v>5000</v>
      </c>
      <c r="F290" s="918"/>
      <c r="G290" s="738" t="str">
        <f aca="false">G271</f>
        <v>разбивка осей</v>
      </c>
      <c r="H290" s="739"/>
      <c r="I290" s="876" t="str">
        <f aca="false">I271</f>
        <v>шт</v>
      </c>
      <c r="J290" s="876" t="n">
        <v>1</v>
      </c>
      <c r="K290" s="876" t="n">
        <f aca="false">K271</f>
        <v>7000</v>
      </c>
      <c r="L290" s="876" t="n">
        <f aca="false">J290*K290*B287</f>
        <v>7000</v>
      </c>
      <c r="M290" s="2526"/>
    </row>
    <row r="291" s="1160" customFormat="true" ht="15.75" hidden="false" customHeight="false" outlineLevel="1" collapsed="false">
      <c r="A291" s="1342" t="str">
        <f aca="false">'Ввод данных'!A616</f>
        <v>76мм, 3,5м длина, 2 лопасть</v>
      </c>
      <c r="B291" s="2816" t="str">
        <f aca="false">B272</f>
        <v>шт</v>
      </c>
      <c r="C291" s="1342" t="n">
        <f aca="false">B283</f>
        <v>8</v>
      </c>
      <c r="D291" s="1342" t="n">
        <f aca="false">VLOOKUP(A291,'Прайс лист'!B751:G811,6,0)</f>
        <v>2130</v>
      </c>
      <c r="E291" s="876" t="n">
        <f aca="false">C291*D291*B287</f>
        <v>17040</v>
      </c>
      <c r="F291" s="918"/>
      <c r="G291" s="738" t="str">
        <f aca="false">'Ввод данных'!A618</f>
        <v>монтаж свай гидравликой</v>
      </c>
      <c r="H291" s="739"/>
      <c r="I291" s="876" t="str">
        <f aca="false">I272</f>
        <v>шт</v>
      </c>
      <c r="J291" s="876" t="n">
        <v>1</v>
      </c>
      <c r="K291" s="876" t="n">
        <f aca="false">VLOOKUP(G291,связи1!A482:B483,2,0)</f>
        <v>1000</v>
      </c>
      <c r="L291" s="876" t="n">
        <f aca="false">J291*K291*B287</f>
        <v>1000</v>
      </c>
      <c r="M291" s="2526"/>
    </row>
    <row r="292" s="1160" customFormat="true" ht="15.75" hidden="false" customHeight="false" outlineLevel="1" collapsed="false">
      <c r="A292" s="1342" t="str">
        <f aca="false">'Ввод данных'!A622</f>
        <v>Оголовкок для свай 200*200</v>
      </c>
      <c r="B292" s="2816" t="str">
        <f aca="false">B273</f>
        <v>шт</v>
      </c>
      <c r="C292" s="1342" t="n">
        <f aca="false">C291</f>
        <v>8</v>
      </c>
      <c r="D292" s="1342" t="n">
        <f aca="false">VLOOKUP(A292,'Прайс лист'!B812:G815,6,0)</f>
        <v>250</v>
      </c>
      <c r="E292" s="876" t="n">
        <f aca="false">C292*D292*B287</f>
        <v>2000</v>
      </c>
      <c r="F292" s="918"/>
      <c r="G292" s="738" t="str">
        <f aca="false">G273</f>
        <v>монтаж оголовков</v>
      </c>
      <c r="H292" s="739"/>
      <c r="I292" s="876" t="str">
        <f aca="false">I273</f>
        <v>шт</v>
      </c>
      <c r="J292" s="876" t="n">
        <f aca="false">C292</f>
        <v>8</v>
      </c>
      <c r="K292" s="876" t="n">
        <f aca="false">K273</f>
        <v>100</v>
      </c>
      <c r="L292" s="876" t="n">
        <f aca="false">J292*K292*B287</f>
        <v>800</v>
      </c>
      <c r="M292" s="2526"/>
    </row>
    <row r="293" s="1160" customFormat="true" ht="15.75" hidden="false" customHeight="false" outlineLevel="1" collapsed="false">
      <c r="A293" s="1342" t="str">
        <f aca="false">'Ввод данных'!A620</f>
        <v>обвязка металлом, 20/40/3000</v>
      </c>
      <c r="B293" s="2816" t="str">
        <f aca="false">B274</f>
        <v>м.п.</v>
      </c>
      <c r="C293" s="1342" t="n">
        <f aca="false">B283*B286</f>
        <v>8</v>
      </c>
      <c r="D293" s="2816" t="n">
        <f aca="false">'Прайс лист'!G818</f>
        <v>100</v>
      </c>
      <c r="E293" s="876" t="n">
        <f aca="false">C293*D293*B287</f>
        <v>800</v>
      </c>
      <c r="F293" s="918"/>
      <c r="G293" s="738" t="str">
        <f aca="false">G274</f>
        <v>обвязка металлом</v>
      </c>
      <c r="H293" s="739"/>
      <c r="I293" s="876" t="str">
        <f aca="false">I274</f>
        <v>м.п.</v>
      </c>
      <c r="J293" s="876" t="n">
        <f aca="false">C293</f>
        <v>8</v>
      </c>
      <c r="K293" s="876" t="n">
        <f aca="false">K274</f>
        <v>100</v>
      </c>
      <c r="L293" s="876" t="n">
        <f aca="false">J293*K293*B287</f>
        <v>800</v>
      </c>
      <c r="M293" s="2526"/>
    </row>
    <row r="294" s="1160" customFormat="true" ht="15.75" hidden="false" customHeight="false" outlineLevel="1" collapsed="false">
      <c r="A294" s="2816" t="str">
        <f aca="false">A275</f>
        <v>Раствор, м200</v>
      </c>
      <c r="B294" s="2816" t="str">
        <f aca="false">B275</f>
        <v>м3</v>
      </c>
      <c r="C294" s="1342" t="n">
        <f aca="false">C291*F267*B288</f>
        <v>0.361728</v>
      </c>
      <c r="D294" s="2816" t="n">
        <f aca="false">D275</f>
        <v>2100</v>
      </c>
      <c r="E294" s="876" t="n">
        <f aca="false">C294*D294*B287</f>
        <v>759.6288</v>
      </c>
      <c r="F294" s="918"/>
      <c r="G294" s="738" t="str">
        <f aca="false">G275</f>
        <v>заливка бетоном</v>
      </c>
      <c r="H294" s="739"/>
      <c r="I294" s="876" t="str">
        <f aca="false">I275</f>
        <v>шт</v>
      </c>
      <c r="J294" s="876" t="n">
        <f aca="false">C291*B288</f>
        <v>8</v>
      </c>
      <c r="K294" s="876" t="n">
        <f aca="false">K275</f>
        <v>200</v>
      </c>
      <c r="L294" s="876" t="n">
        <f aca="false">J294*K294*B287</f>
        <v>1600</v>
      </c>
      <c r="M294" s="2526"/>
    </row>
    <row r="295" s="1160" customFormat="true" ht="15.75" hidden="false" customHeight="false" outlineLevel="1" collapsed="false">
      <c r="A295" s="1342" t="str">
        <f aca="false">A276</f>
        <v>Электроды ок 47</v>
      </c>
      <c r="B295" s="2816" t="str">
        <f aca="false">B276</f>
        <v>шт</v>
      </c>
      <c r="C295" s="1342" t="n">
        <f aca="false">C291</f>
        <v>8</v>
      </c>
      <c r="D295" s="2816" t="n">
        <f aca="false">D276</f>
        <v>10</v>
      </c>
      <c r="E295" s="876" t="n">
        <f aca="false">C295*D295*B287</f>
        <v>80</v>
      </c>
      <c r="F295" s="918"/>
      <c r="G295" s="738" t="str">
        <f aca="false">G276</f>
        <v>Обрезка винтовых свай по невелиру</v>
      </c>
      <c r="H295" s="739"/>
      <c r="I295" s="876" t="str">
        <f aca="false">I276</f>
        <v>шт</v>
      </c>
      <c r="J295" s="876" t="n">
        <f aca="false">C291</f>
        <v>8</v>
      </c>
      <c r="K295" s="876" t="n">
        <f aca="false">K276</f>
        <v>200</v>
      </c>
      <c r="L295" s="876" t="n">
        <f aca="false">J295*K295*B287</f>
        <v>1600</v>
      </c>
      <c r="M295" s="2526"/>
    </row>
    <row r="296" s="1160" customFormat="true" ht="15.75" hidden="false" customHeight="false" outlineLevel="1" collapsed="false">
      <c r="A296" s="1342"/>
      <c r="B296" s="1342"/>
      <c r="C296" s="1342"/>
      <c r="D296" s="1342"/>
      <c r="E296" s="876"/>
      <c r="F296" s="918"/>
      <c r="G296" s="738" t="str">
        <f aca="false">G277</f>
        <v>Наварка оголовка</v>
      </c>
      <c r="H296" s="739"/>
      <c r="I296" s="876" t="str">
        <f aca="false">I277</f>
        <v>шт</v>
      </c>
      <c r="J296" s="876" t="n">
        <f aca="false">C292</f>
        <v>8</v>
      </c>
      <c r="K296" s="876" t="n">
        <f aca="false">K277</f>
        <v>250</v>
      </c>
      <c r="L296" s="876" t="n">
        <f aca="false">J296*K296*B287</f>
        <v>2000</v>
      </c>
      <c r="M296" s="2526"/>
    </row>
    <row r="297" s="1160" customFormat="true" ht="15.75" hidden="false" customHeight="false" outlineLevel="1" collapsed="false">
      <c r="A297" s="2526"/>
      <c r="B297" s="2526"/>
      <c r="C297" s="2526"/>
      <c r="D297" s="2526"/>
      <c r="E297" s="918"/>
      <c r="F297" s="918"/>
      <c r="G297" s="919"/>
      <c r="H297" s="919"/>
      <c r="I297" s="918"/>
      <c r="J297" s="918"/>
      <c r="K297" s="918"/>
      <c r="L297" s="918"/>
      <c r="M297" s="2526"/>
    </row>
    <row r="298" s="1160" customFormat="true" ht="15.75" hidden="false" customHeight="false" outlineLevel="1" collapsed="false">
      <c r="A298" s="2526" t="str">
        <f aca="false">A283</f>
        <v>количество свай</v>
      </c>
      <c r="B298" s="2526" t="n">
        <f aca="false">CEILING(IF('Ввод данных'!C84&lt;=2,2,IF('Ввод данных'!C84&gt;2,('Ввод данных'!C84/2+1)))+IF('Ввод данных'!C85&lt;=2,2,IF('Ввод данных'!C85&gt;2,('Ввод данных'!C85/2+1)*2)),1)</f>
        <v>5</v>
      </c>
      <c r="C298" s="2526"/>
      <c r="D298" s="2526"/>
      <c r="E298" s="918"/>
      <c r="F298" s="918"/>
      <c r="G298" s="919"/>
      <c r="H298" s="919"/>
      <c r="I298" s="918"/>
      <c r="J298" s="918"/>
      <c r="K298" s="918"/>
      <c r="L298" s="918"/>
      <c r="M298" s="2526"/>
    </row>
    <row r="299" s="1160" customFormat="true" ht="15.75" hidden="false" customHeight="false" outlineLevel="1" collapsed="false">
      <c r="A299" s="2526" t="str">
        <f aca="false">A284</f>
        <v>пробное забуривание</v>
      </c>
      <c r="B299" s="2526" t="n">
        <f aca="false">VLOOKUP('Ввод данных'!B748,связи1!A2:B3,2,0)</f>
        <v>1</v>
      </c>
      <c r="C299" s="2526"/>
      <c r="D299" s="2526"/>
      <c r="E299" s="918"/>
      <c r="F299" s="918"/>
      <c r="G299" s="919"/>
      <c r="H299" s="919"/>
      <c r="I299" s="918"/>
      <c r="J299" s="918"/>
      <c r="K299" s="918"/>
      <c r="L299" s="918"/>
      <c r="M299" s="2526"/>
    </row>
    <row r="300" s="1160" customFormat="true" ht="15.75" hidden="false" customHeight="false" outlineLevel="1" collapsed="false">
      <c r="A300" s="2526" t="str">
        <f aca="false">A285</f>
        <v>Монтаж свай гидравлика</v>
      </c>
      <c r="B300" s="2526"/>
      <c r="C300" s="2526"/>
      <c r="D300" s="2526"/>
      <c r="E300" s="918"/>
      <c r="F300" s="918"/>
      <c r="G300" s="919"/>
      <c r="H300" s="919"/>
      <c r="I300" s="918"/>
      <c r="J300" s="918"/>
      <c r="K300" s="918"/>
      <c r="L300" s="918"/>
      <c r="M300" s="2526"/>
    </row>
    <row r="301" s="1160" customFormat="true" ht="15.75" hidden="false" customHeight="false" outlineLevel="1" collapsed="false">
      <c r="A301" s="2526" t="str">
        <f aca="false">A286</f>
        <v>обвязка металлом, 20/40/3000</v>
      </c>
      <c r="B301" s="2526" t="n">
        <f aca="false">VLOOKUP('Ввод данных'!B749,связи1!A2:B3,2,0)</f>
        <v>1</v>
      </c>
      <c r="C301" s="2526"/>
      <c r="D301" s="2526"/>
      <c r="E301" s="918"/>
      <c r="F301" s="918"/>
      <c r="G301" s="919"/>
      <c r="H301" s="919"/>
      <c r="I301" s="918"/>
      <c r="J301" s="918"/>
      <c r="K301" s="918"/>
      <c r="L301" s="918"/>
      <c r="M301" s="2526"/>
    </row>
    <row r="302" s="1160" customFormat="true" ht="15.75" hidden="false" customHeight="false" outlineLevel="1" collapsed="false">
      <c r="A302" s="2526" t="str">
        <f aca="false">A287</f>
        <v>если винтовые сваи</v>
      </c>
      <c r="B302" s="2526" t="n">
        <f aca="false">IF('Ввод данных'!A90=связи1!A480,1,0)*IF('Ввод данных'!C96=связи1!A2,1,0)</f>
        <v>0</v>
      </c>
      <c r="C302" s="2526"/>
      <c r="D302" s="2526"/>
      <c r="E302" s="918"/>
      <c r="F302" s="918"/>
      <c r="G302" s="919"/>
      <c r="H302" s="919"/>
      <c r="I302" s="918"/>
      <c r="J302" s="918"/>
      <c r="K302" s="918"/>
      <c r="L302" s="918"/>
      <c r="M302" s="2526"/>
    </row>
    <row r="303" s="1160" customFormat="true" ht="15.75" hidden="false" customHeight="false" outlineLevel="1" collapsed="false">
      <c r="A303" s="2526" t="str">
        <f aca="false">A288</f>
        <v>заливка бетоном</v>
      </c>
      <c r="B303" s="2526" t="n">
        <f aca="false">VLOOKUP('Ввод данных'!B750,связи1!A2:B3,2,0)</f>
        <v>1</v>
      </c>
      <c r="C303" s="2526"/>
      <c r="D303" s="2526"/>
      <c r="E303" s="918"/>
      <c r="F303" s="918"/>
      <c r="G303" s="919"/>
      <c r="H303" s="919"/>
      <c r="I303" s="918"/>
      <c r="J303" s="918"/>
      <c r="K303" s="918"/>
      <c r="L303" s="918"/>
      <c r="M303" s="2526"/>
    </row>
    <row r="304" s="1160" customFormat="true" ht="15.75" hidden="false" customHeight="false" outlineLevel="1" collapsed="false">
      <c r="A304" s="2619" t="s">
        <v>4127</v>
      </c>
      <c r="B304" s="2619"/>
      <c r="C304" s="2619"/>
      <c r="D304" s="2619"/>
      <c r="E304" s="2619"/>
      <c r="F304" s="918"/>
      <c r="G304" s="738" t="str">
        <f aca="false">G290</f>
        <v>разбивка осей</v>
      </c>
      <c r="H304" s="739"/>
      <c r="I304" s="876" t="str">
        <f aca="false">I290</f>
        <v>шт</v>
      </c>
      <c r="J304" s="876" t="n">
        <v>1</v>
      </c>
      <c r="K304" s="876" t="n">
        <f aca="false">K290</f>
        <v>7000</v>
      </c>
      <c r="L304" s="876" t="n">
        <f aca="false">J304*K304*B302</f>
        <v>0</v>
      </c>
      <c r="M304" s="2526"/>
    </row>
    <row r="305" s="1160" customFormat="true" ht="15.75" hidden="false" customHeight="false" outlineLevel="1" collapsed="false">
      <c r="A305" s="2816" t="str">
        <f aca="false">A290</f>
        <v>пробное забуривание</v>
      </c>
      <c r="B305" s="2816" t="str">
        <f aca="false">B290</f>
        <v>шт</v>
      </c>
      <c r="C305" s="1342" t="n">
        <f aca="false">B299</f>
        <v>1</v>
      </c>
      <c r="D305" s="2816" t="n">
        <f aca="false">D290</f>
        <v>5000</v>
      </c>
      <c r="E305" s="876" t="n">
        <f aca="false">C305*D305*B302</f>
        <v>0</v>
      </c>
      <c r="F305" s="918"/>
      <c r="G305" s="738" t="str">
        <f aca="false">'Ввод данных'!A747</f>
        <v>монтаж свай гидравликой</v>
      </c>
      <c r="H305" s="739"/>
      <c r="I305" s="876" t="str">
        <f aca="false">I291</f>
        <v>шт</v>
      </c>
      <c r="J305" s="876" t="n">
        <f aca="false">B298</f>
        <v>5</v>
      </c>
      <c r="K305" s="876" t="n">
        <f aca="false">VLOOKUP('Ввод данных'!A747,связи1!A482:B483,2,0)</f>
        <v>1000</v>
      </c>
      <c r="L305" s="876" t="n">
        <f aca="false">J305*K305*B302</f>
        <v>0</v>
      </c>
      <c r="M305" s="2526"/>
    </row>
    <row r="306" s="1160" customFormat="true" ht="15.75" hidden="false" customHeight="false" outlineLevel="1" collapsed="false">
      <c r="A306" s="1342" t="str">
        <f aca="false">'Ввод данных'!A745</f>
        <v>89мм, 3м длина, 1 лопасть</v>
      </c>
      <c r="B306" s="2816" t="str">
        <f aca="false">B291</f>
        <v>шт</v>
      </c>
      <c r="C306" s="1342" t="n">
        <f aca="false">B298</f>
        <v>5</v>
      </c>
      <c r="D306" s="1342" t="n">
        <f aca="false">VLOOKUP(A306,'Прайс лист'!B751:G811,6,0)</f>
        <v>1890</v>
      </c>
      <c r="E306" s="876" t="n">
        <f aca="false">C306*D306*B302</f>
        <v>0</v>
      </c>
      <c r="F306" s="918"/>
      <c r="G306" s="738" t="str">
        <f aca="false">G292</f>
        <v>монтаж оголовков</v>
      </c>
      <c r="H306" s="739"/>
      <c r="I306" s="876" t="str">
        <f aca="false">I292</f>
        <v>шт</v>
      </c>
      <c r="J306" s="876" t="n">
        <f aca="false">C307</f>
        <v>5</v>
      </c>
      <c r="K306" s="876" t="n">
        <f aca="false">K292</f>
        <v>100</v>
      </c>
      <c r="L306" s="876" t="n">
        <f aca="false">J306*K306*B302</f>
        <v>0</v>
      </c>
      <c r="M306" s="2526"/>
    </row>
    <row r="307" s="1160" customFormat="true" ht="15.75" hidden="false" customHeight="false" outlineLevel="1" collapsed="false">
      <c r="A307" s="1342" t="str">
        <f aca="false">'Ввод данных'!A751</f>
        <v>Оголовкок для свай 200*200</v>
      </c>
      <c r="B307" s="2816" t="str">
        <f aca="false">B292</f>
        <v>шт</v>
      </c>
      <c r="C307" s="1342" t="n">
        <f aca="false">B298</f>
        <v>5</v>
      </c>
      <c r="D307" s="1342" t="n">
        <f aca="false">VLOOKUP(A307,'Прайс лист'!B812:G815,6,0)</f>
        <v>250</v>
      </c>
      <c r="E307" s="876" t="n">
        <f aca="false">C307*D307*B302</f>
        <v>0</v>
      </c>
      <c r="F307" s="918"/>
      <c r="G307" s="738" t="str">
        <f aca="false">G293</f>
        <v>обвязка металлом</v>
      </c>
      <c r="H307" s="739"/>
      <c r="I307" s="876" t="str">
        <f aca="false">I293</f>
        <v>м.п.</v>
      </c>
      <c r="J307" s="876" t="n">
        <f aca="false">B301*C308</f>
        <v>5</v>
      </c>
      <c r="K307" s="876" t="n">
        <f aca="false">K293</f>
        <v>100</v>
      </c>
      <c r="L307" s="876" t="n">
        <f aca="false">J307*K307*B302</f>
        <v>0</v>
      </c>
      <c r="M307" s="2526"/>
    </row>
    <row r="308" s="1160" customFormat="true" ht="15.75" hidden="false" customHeight="false" outlineLevel="1" collapsed="false">
      <c r="A308" s="1342" t="str">
        <f aca="false">'Ввод данных'!A749</f>
        <v>обвязка металлом, 20/40/3000</v>
      </c>
      <c r="B308" s="2816" t="str">
        <f aca="false">B293</f>
        <v>м.п.</v>
      </c>
      <c r="C308" s="1342" t="n">
        <f aca="false">('Ввод данных'!C84+'Ввод данных'!C85+'Ввод данных'!C85)*B301</f>
        <v>5</v>
      </c>
      <c r="D308" s="2816" t="n">
        <f aca="false">D293</f>
        <v>100</v>
      </c>
      <c r="E308" s="876" t="n">
        <f aca="false">C308*D308*B302</f>
        <v>0</v>
      </c>
      <c r="F308" s="918"/>
      <c r="G308" s="738" t="str">
        <f aca="false">G294</f>
        <v>заливка бетоном</v>
      </c>
      <c r="H308" s="739"/>
      <c r="I308" s="876" t="str">
        <f aca="false">I294</f>
        <v>шт</v>
      </c>
      <c r="J308" s="876" t="n">
        <f aca="false">B303*B298</f>
        <v>5</v>
      </c>
      <c r="K308" s="876" t="n">
        <f aca="false">K294</f>
        <v>200</v>
      </c>
      <c r="L308" s="876" t="n">
        <f aca="false">J308*K308*B302</f>
        <v>0</v>
      </c>
      <c r="M308" s="2526"/>
    </row>
    <row r="309" s="1160" customFormat="true" ht="15.75" hidden="false" customHeight="false" outlineLevel="1" collapsed="false">
      <c r="A309" s="2816" t="str">
        <f aca="false">A294</f>
        <v>Раствор, м200</v>
      </c>
      <c r="B309" s="2816" t="str">
        <f aca="false">B294</f>
        <v>м3</v>
      </c>
      <c r="C309" s="1342" t="n">
        <f aca="false">B298*F267</f>
        <v>0.22608</v>
      </c>
      <c r="D309" s="2816" t="n">
        <f aca="false">D294</f>
        <v>2100</v>
      </c>
      <c r="E309" s="876" t="n">
        <f aca="false">C309*D309*B302</f>
        <v>0</v>
      </c>
      <c r="F309" s="918"/>
      <c r="G309" s="738" t="str">
        <f aca="false">G295</f>
        <v>Обрезка винтовых свай по невелиру</v>
      </c>
      <c r="H309" s="739"/>
      <c r="I309" s="876" t="str">
        <f aca="false">I295</f>
        <v>шт</v>
      </c>
      <c r="J309" s="876" t="n">
        <f aca="false">B298</f>
        <v>5</v>
      </c>
      <c r="K309" s="876" t="n">
        <f aca="false">K295</f>
        <v>200</v>
      </c>
      <c r="L309" s="876" t="n">
        <f aca="false">J309*K309*B302</f>
        <v>0</v>
      </c>
      <c r="M309" s="2526"/>
    </row>
    <row r="310" customFormat="false" ht="15.75" hidden="false" customHeight="false" outlineLevel="1" collapsed="false">
      <c r="A310" s="1159" t="str">
        <f aca="false">A295</f>
        <v>Электроды ок 47</v>
      </c>
      <c r="B310" s="2816" t="str">
        <f aca="false">B295</f>
        <v>шт</v>
      </c>
      <c r="C310" s="1159" t="n">
        <f aca="false">C306</f>
        <v>5</v>
      </c>
      <c r="D310" s="1180" t="n">
        <f aca="false">D295</f>
        <v>10</v>
      </c>
      <c r="E310" s="876" t="n">
        <f aca="false">C310*D310*B302</f>
        <v>0</v>
      </c>
      <c r="F310" s="918"/>
      <c r="G310" s="738" t="str">
        <f aca="false">G296</f>
        <v>Наварка оголовка</v>
      </c>
      <c r="H310" s="2664"/>
      <c r="I310" s="876" t="str">
        <f aca="false">I296</f>
        <v>шт</v>
      </c>
      <c r="J310" s="876" t="n">
        <f aca="false">B298</f>
        <v>5</v>
      </c>
      <c r="K310" s="876" t="n">
        <f aca="false">K296</f>
        <v>250</v>
      </c>
      <c r="L310" s="876" t="n">
        <f aca="false">J310*K310*B302</f>
        <v>0</v>
      </c>
      <c r="M310" s="2808"/>
    </row>
    <row r="311" customFormat="false" ht="15.75" hidden="false" customHeight="false" outlineLevel="1" collapsed="false">
      <c r="A311" s="1160"/>
      <c r="B311" s="1160"/>
      <c r="C311" s="1160"/>
      <c r="D311" s="1160"/>
      <c r="E311" s="1160"/>
      <c r="F311" s="2803"/>
      <c r="G311" s="2803"/>
      <c r="H311" s="2803"/>
      <c r="I311" s="2803"/>
      <c r="J311" s="2803"/>
      <c r="K311" s="2803"/>
      <c r="L311" s="918"/>
      <c r="M311" s="2808"/>
    </row>
    <row r="312" customFormat="false" ht="15.75" hidden="false" customHeight="false" outlineLevel="1" collapsed="false">
      <c r="A312" s="918"/>
      <c r="B312" s="918"/>
      <c r="C312" s="2526"/>
      <c r="D312" s="2526"/>
      <c r="E312" s="2526"/>
      <c r="F312" s="2526"/>
      <c r="G312" s="2526"/>
      <c r="H312" s="2526"/>
      <c r="I312" s="2526"/>
      <c r="J312" s="2808"/>
      <c r="K312" s="2808"/>
      <c r="L312" s="2808"/>
      <c r="M312" s="2808"/>
    </row>
    <row r="313" customFormat="false" ht="15.75" hidden="false" customHeight="false" outlineLevel="1" collapsed="false">
      <c r="A313" s="918"/>
      <c r="B313" s="918"/>
      <c r="C313" s="2526"/>
      <c r="D313" s="2526"/>
      <c r="E313" s="2526"/>
      <c r="F313" s="2526"/>
      <c r="G313" s="2526"/>
      <c r="H313" s="2526"/>
      <c r="I313" s="2526"/>
      <c r="J313" s="2808"/>
      <c r="K313" s="2808"/>
      <c r="L313" s="2808"/>
      <c r="M313" s="2808"/>
    </row>
    <row r="314" customFormat="false" ht="15.75" hidden="false" customHeight="false" outlineLevel="1" collapsed="false">
      <c r="A314" s="918"/>
      <c r="B314" s="918"/>
      <c r="C314" s="2526"/>
      <c r="D314" s="2526"/>
      <c r="E314" s="2526"/>
      <c r="F314" s="2526"/>
      <c r="G314" s="2526"/>
      <c r="H314" s="2526"/>
      <c r="I314" s="2526"/>
      <c r="J314" s="2808"/>
      <c r="K314" s="2808"/>
      <c r="L314" s="2808"/>
      <c r="M314" s="2808"/>
    </row>
    <row r="315" customFormat="false" ht="15.75" hidden="false" customHeight="false" outlineLevel="0" collapsed="false">
      <c r="A315" s="2817" t="s">
        <v>466</v>
      </c>
      <c r="B315" s="2818"/>
      <c r="C315" s="2819" t="s">
        <v>3811</v>
      </c>
      <c r="D315" s="2819"/>
      <c r="E315" s="2819"/>
      <c r="F315" s="2819"/>
      <c r="G315" s="2526"/>
      <c r="H315" s="2526"/>
      <c r="I315" s="2526"/>
      <c r="J315" s="2808"/>
      <c r="K315" s="2808"/>
      <c r="L315" s="2808"/>
      <c r="M315" s="2808"/>
    </row>
    <row r="316" customFormat="false" ht="15" hidden="false" customHeight="false" outlineLevel="0" collapsed="false">
      <c r="A316" s="2526"/>
      <c r="B316" s="2526"/>
      <c r="C316" s="2526"/>
      <c r="D316" s="2526"/>
      <c r="E316" s="2526"/>
      <c r="F316" s="2526"/>
      <c r="G316" s="2526"/>
      <c r="H316" s="2526"/>
      <c r="I316" s="2526"/>
      <c r="J316" s="2808"/>
      <c r="K316" s="2808"/>
      <c r="L316" s="2808"/>
      <c r="M316" s="2808"/>
    </row>
    <row r="317" customFormat="false" ht="15" hidden="false" customHeight="false" outlineLevel="1" collapsed="false">
      <c r="A317" s="2820" t="s">
        <v>2255</v>
      </c>
      <c r="B317" s="2820"/>
      <c r="C317" s="2820"/>
      <c r="D317" s="2820"/>
      <c r="E317" s="2820"/>
      <c r="F317" s="2820"/>
      <c r="G317" s="2820"/>
      <c r="H317" s="2820"/>
      <c r="I317" s="2820"/>
      <c r="J317" s="2808"/>
      <c r="K317" s="2808"/>
      <c r="L317" s="2808"/>
      <c r="M317" s="2808"/>
    </row>
    <row r="318" customFormat="false" ht="15" hidden="false" customHeight="false" outlineLevel="1" collapsed="false">
      <c r="A318" s="2820"/>
      <c r="B318" s="2820"/>
      <c r="C318" s="2820"/>
      <c r="D318" s="2820"/>
      <c r="E318" s="2820"/>
      <c r="F318" s="2820"/>
      <c r="G318" s="2820"/>
      <c r="H318" s="2820"/>
      <c r="I318" s="2820"/>
      <c r="J318" s="2759"/>
      <c r="K318" s="2759"/>
      <c r="L318" s="2759"/>
      <c r="M318" s="2759"/>
    </row>
    <row r="319" customFormat="false" ht="23.25" hidden="false" customHeight="false" outlineLevel="1" collapsed="false">
      <c r="A319" s="2623" t="s">
        <v>461</v>
      </c>
      <c r="B319" s="2623"/>
      <c r="C319" s="2623"/>
      <c r="D319" s="2623"/>
      <c r="E319" s="2623"/>
      <c r="F319" s="2623"/>
      <c r="G319" s="2821" t="n">
        <f aca="false">'Ввод данных'!D802</f>
        <v>1.1</v>
      </c>
      <c r="H319" s="2822" t="n">
        <f aca="false">'Ввод данных'!D803</f>
        <v>1.05</v>
      </c>
      <c r="I319" s="2822"/>
      <c r="J319" s="2808"/>
      <c r="K319" s="2808"/>
      <c r="L319" s="2808"/>
      <c r="M319" s="2808"/>
    </row>
    <row r="320" customFormat="false" ht="23.25" hidden="false" customHeight="false" outlineLevel="1" collapsed="false">
      <c r="A320" s="2623"/>
      <c r="B320" s="2623"/>
      <c r="C320" s="2623"/>
      <c r="D320" s="2623"/>
      <c r="E320" s="2623"/>
      <c r="F320" s="2623"/>
      <c r="G320" s="2821"/>
      <c r="H320" s="2822"/>
      <c r="I320" s="2822"/>
      <c r="J320" s="2808"/>
      <c r="K320" s="2808"/>
      <c r="L320" s="2808"/>
      <c r="M320" s="2808"/>
    </row>
    <row r="321" customFormat="false" ht="15.75" hidden="false" customHeight="false" outlineLevel="1" collapsed="false">
      <c r="A321" s="2823" t="s">
        <v>161</v>
      </c>
      <c r="B321" s="2809" t="s">
        <v>162</v>
      </c>
      <c r="C321" s="2810" t="s">
        <v>4128</v>
      </c>
      <c r="D321" s="2810"/>
      <c r="E321" s="2810"/>
      <c r="F321" s="2809" t="s">
        <v>4129</v>
      </c>
      <c r="G321" s="2759"/>
      <c r="H321" s="2759"/>
      <c r="I321" s="2759"/>
      <c r="J321" s="2759"/>
      <c r="K321" s="2759"/>
      <c r="L321" s="2759"/>
      <c r="M321" s="2759"/>
    </row>
    <row r="322" customFormat="false" ht="15.75" hidden="false" customHeight="false" outlineLevel="1" collapsed="false">
      <c r="A322" s="876" t="s">
        <v>566</v>
      </c>
      <c r="B322" s="876" t="s">
        <v>502</v>
      </c>
      <c r="C322" s="2824" t="n">
        <f aca="false">'Ввод данных'!C840</f>
        <v>4</v>
      </c>
      <c r="D322" s="919"/>
      <c r="E322" s="919"/>
      <c r="F322" s="918"/>
      <c r="G322" s="2759"/>
      <c r="H322" s="2759"/>
      <c r="I322" s="2759"/>
      <c r="J322" s="2759"/>
      <c r="K322" s="2759"/>
      <c r="L322" s="2759"/>
      <c r="M322" s="2759"/>
    </row>
    <row r="323" customFormat="false" ht="15.75" hidden="false" customHeight="false" outlineLevel="1" collapsed="false">
      <c r="A323" s="2639" t="s">
        <v>469</v>
      </c>
      <c r="B323" s="2825" t="s">
        <v>15</v>
      </c>
      <c r="C323" s="2824" t="n">
        <f aca="false">'Ввод данных'!C806</f>
        <v>0.3</v>
      </c>
      <c r="D323" s="2759"/>
      <c r="E323" s="2759"/>
      <c r="F323" s="2759"/>
      <c r="G323" s="2759"/>
      <c r="H323" s="2759"/>
      <c r="I323" s="2759"/>
      <c r="J323" s="2759"/>
      <c r="K323" s="2759"/>
      <c r="L323" s="2759"/>
      <c r="M323" s="2759"/>
    </row>
    <row r="324" customFormat="false" ht="15.75" hidden="false" customHeight="false" outlineLevel="1" collapsed="false">
      <c r="A324" s="861" t="s">
        <v>470</v>
      </c>
      <c r="B324" s="876" t="s">
        <v>15</v>
      </c>
      <c r="C324" s="2824" t="n">
        <f aca="false">'Ввод данных'!C807</f>
        <v>0.3</v>
      </c>
      <c r="D324" s="2759"/>
      <c r="E324" s="2759"/>
      <c r="F324" s="2759"/>
      <c r="G324" s="2759"/>
      <c r="H324" s="2759"/>
      <c r="I324" s="2759"/>
      <c r="J324" s="2759"/>
      <c r="K324" s="2759"/>
      <c r="L324" s="2759"/>
      <c r="M324" s="2759"/>
    </row>
    <row r="325" customFormat="false" ht="15.75" hidden="false" customHeight="false" outlineLevel="1" collapsed="false">
      <c r="A325" s="861" t="s">
        <v>471</v>
      </c>
      <c r="B325" s="876" t="s">
        <v>15</v>
      </c>
      <c r="C325" s="2824" t="n">
        <f aca="false">'Ввод данных'!C808</f>
        <v>0.3</v>
      </c>
      <c r="D325" s="2759"/>
      <c r="E325" s="2759"/>
      <c r="F325" s="2759"/>
      <c r="G325" s="2759"/>
      <c r="H325" s="2759"/>
      <c r="I325" s="2759"/>
      <c r="J325" s="2759"/>
      <c r="K325" s="2759"/>
      <c r="L325" s="2759"/>
      <c r="M325" s="2759"/>
    </row>
    <row r="326" customFormat="false" ht="15.75" hidden="false" customHeight="false" outlineLevel="1" collapsed="false">
      <c r="A326" s="861" t="s">
        <v>472</v>
      </c>
      <c r="B326" s="876" t="s">
        <v>15</v>
      </c>
      <c r="C326" s="2824" t="n">
        <f aca="false">'Ввод данных'!C809</f>
        <v>0.3</v>
      </c>
      <c r="D326" s="2759"/>
      <c r="E326" s="2759"/>
      <c r="F326" s="2759"/>
      <c r="G326" s="2759"/>
      <c r="H326" s="2759"/>
      <c r="I326" s="2759"/>
      <c r="J326" s="2759"/>
      <c r="K326" s="2759"/>
      <c r="L326" s="2759"/>
      <c r="M326" s="2759"/>
    </row>
    <row r="327" customFormat="false" ht="15.75" hidden="false" customHeight="false" outlineLevel="1" collapsed="false">
      <c r="A327" s="861" t="s">
        <v>473</v>
      </c>
      <c r="B327" s="876" t="s">
        <v>15</v>
      </c>
      <c r="C327" s="2824" t="n">
        <f aca="false">'Ввод данных'!C810</f>
        <v>0.4</v>
      </c>
      <c r="D327" s="2759"/>
      <c r="E327" s="2759"/>
      <c r="F327" s="2759"/>
      <c r="G327" s="2759"/>
      <c r="H327" s="2759"/>
      <c r="I327" s="2759"/>
      <c r="J327" s="2759"/>
      <c r="K327" s="2759"/>
      <c r="L327" s="2759"/>
      <c r="M327" s="2759"/>
    </row>
    <row r="328" customFormat="false" ht="15.75" hidden="false" customHeight="false" outlineLevel="1" collapsed="false">
      <c r="A328" s="861" t="s">
        <v>568</v>
      </c>
      <c r="B328" s="876" t="s">
        <v>15</v>
      </c>
      <c r="C328" s="2824" t="n">
        <f aca="false">VLOOKUP(A345,'Прайс лист'!B298:G310,4,0)</f>
        <v>0.04</v>
      </c>
      <c r="D328" s="2759"/>
      <c r="E328" s="2759"/>
      <c r="F328" s="2759"/>
      <c r="G328" s="2759"/>
      <c r="H328" s="2759"/>
      <c r="I328" s="2759"/>
      <c r="J328" s="2759"/>
      <c r="K328" s="2759"/>
      <c r="L328" s="2759"/>
      <c r="M328" s="2759"/>
    </row>
    <row r="329" customFormat="false" ht="15.75" hidden="false" customHeight="false" outlineLevel="1" collapsed="false">
      <c r="A329" s="861" t="s">
        <v>569</v>
      </c>
      <c r="B329" s="876" t="s">
        <v>48</v>
      </c>
      <c r="C329" s="2824" t="n">
        <f aca="false">'Ввод данных'!C816</f>
        <v>6</v>
      </c>
      <c r="D329" s="2759"/>
      <c r="E329" s="2759"/>
      <c r="F329" s="2759"/>
      <c r="G329" s="2759"/>
      <c r="H329" s="2759"/>
      <c r="I329" s="2759"/>
      <c r="J329" s="2759"/>
      <c r="K329" s="2759"/>
      <c r="L329" s="2759"/>
      <c r="M329" s="2759"/>
    </row>
    <row r="330" customFormat="false" ht="15.75" hidden="false" customHeight="false" outlineLevel="1" collapsed="false">
      <c r="A330" s="738" t="s">
        <v>4130</v>
      </c>
      <c r="B330" s="767" t="s">
        <v>15</v>
      </c>
      <c r="C330" s="740" t="n">
        <f aca="false">C263</f>
        <v>48</v>
      </c>
      <c r="D330" s="2759"/>
      <c r="E330" s="2759"/>
      <c r="F330" s="2759"/>
      <c r="G330" s="2759"/>
      <c r="H330" s="2759"/>
      <c r="I330" s="2759"/>
      <c r="J330" s="2759"/>
      <c r="K330" s="2759"/>
      <c r="L330" s="2783"/>
      <c r="M330" s="2759"/>
    </row>
    <row r="331" customFormat="false" ht="15.75" hidden="false" customHeight="false" outlineLevel="1" collapsed="false">
      <c r="A331" s="908" t="s">
        <v>4131</v>
      </c>
      <c r="B331" s="767" t="s">
        <v>1043</v>
      </c>
      <c r="C331" s="740" t="n">
        <f aca="false">C330*(C323+C324)*C325</f>
        <v>8.64</v>
      </c>
      <c r="D331" s="2759"/>
      <c r="E331" s="2759"/>
      <c r="F331" s="2759"/>
      <c r="G331" s="2759"/>
      <c r="H331" s="2759"/>
      <c r="I331" s="2759"/>
      <c r="J331" s="2759"/>
      <c r="K331" s="2759"/>
      <c r="L331" s="2759"/>
      <c r="M331" s="2759"/>
    </row>
    <row r="332" customFormat="false" ht="15.75" hidden="false" customHeight="false" outlineLevel="1" collapsed="false">
      <c r="A332" s="908" t="s">
        <v>4132</v>
      </c>
      <c r="B332" s="767" t="s">
        <v>820</v>
      </c>
      <c r="C332" s="740" t="n">
        <f aca="false">(E3+E3+E4+E4+E132*C169-E132*D139+D172*C210)*(C323+C324)+(дома!C2026+дома!C2027+дома!C2027-дома!C2026)*дома!D2019</f>
        <v>19.2</v>
      </c>
      <c r="D332" s="2826" t="n">
        <f aca="false">IF('Ввод данных'!A821='Прайс лист'!B600,0,1)</f>
        <v>0</v>
      </c>
      <c r="E332" s="2759"/>
      <c r="F332" s="2759"/>
      <c r="G332" s="2759"/>
      <c r="H332" s="2759"/>
      <c r="I332" s="2759"/>
      <c r="J332" s="2759"/>
      <c r="K332" s="2759"/>
      <c r="L332" s="2759"/>
      <c r="M332" s="2759"/>
    </row>
    <row r="333" customFormat="false" ht="15.75" hidden="false" customHeight="false" outlineLevel="1" collapsed="false">
      <c r="A333" s="908" t="s">
        <v>4133</v>
      </c>
      <c r="B333" s="767" t="s">
        <v>15</v>
      </c>
      <c r="C333" s="740" t="n">
        <f aca="false">VLOOKUP(A355,'Прайс лист'!B600:G639,3,0)</f>
        <v>0</v>
      </c>
      <c r="D333" s="2526"/>
      <c r="E333" s="2759"/>
      <c r="F333" s="2759"/>
      <c r="G333" s="2759"/>
      <c r="H333" s="2759"/>
      <c r="I333" s="2759"/>
      <c r="J333" s="2759"/>
      <c r="K333" s="2759"/>
      <c r="L333" s="2759"/>
      <c r="M333" s="2759"/>
    </row>
    <row r="334" customFormat="false" ht="15.75" hidden="false" customHeight="false" outlineLevel="1" collapsed="false">
      <c r="A334" s="908" t="s">
        <v>483</v>
      </c>
      <c r="B334" s="767" t="s">
        <v>15</v>
      </c>
      <c r="C334" s="2824" t="n">
        <f aca="false">'Ввод данных'!C819</f>
        <v>10</v>
      </c>
      <c r="D334" s="2526"/>
      <c r="E334" s="2759"/>
      <c r="F334" s="2759"/>
      <c r="G334" s="2759"/>
      <c r="H334" s="2759"/>
      <c r="I334" s="2759"/>
      <c r="J334" s="2759"/>
      <c r="K334" s="2759"/>
      <c r="L334" s="2759"/>
      <c r="M334" s="2759"/>
    </row>
    <row r="335" customFormat="false" ht="15.75" hidden="false" customHeight="false" outlineLevel="1" collapsed="false">
      <c r="A335" s="2827" t="s">
        <v>492</v>
      </c>
      <c r="B335" s="2827"/>
      <c r="C335" s="2827"/>
      <c r="D335" s="2759"/>
      <c r="E335" s="2792"/>
      <c r="F335" s="2793"/>
      <c r="G335" s="2759"/>
      <c r="H335" s="2759"/>
      <c r="I335" s="2759"/>
      <c r="J335" s="2759"/>
      <c r="K335" s="2792"/>
      <c r="L335" s="2793"/>
      <c r="M335" s="2759"/>
    </row>
    <row r="336" customFormat="false" ht="15.75" hidden="false" customHeight="false" outlineLevel="1" collapsed="false">
      <c r="A336" s="876" t="s">
        <v>494</v>
      </c>
      <c r="B336" s="876" t="s">
        <v>15</v>
      </c>
      <c r="C336" s="2824" t="n">
        <f aca="false">C400</f>
        <v>0.8</v>
      </c>
      <c r="D336" s="2826" t="n">
        <f aca="false">VLOOKUP('Ввод данных'!C829,связи1!A2:B3,2,0)</f>
        <v>0</v>
      </c>
      <c r="E336" s="2828"/>
      <c r="F336" s="2793"/>
      <c r="G336" s="2759"/>
      <c r="H336" s="2759"/>
      <c r="I336" s="2759"/>
      <c r="J336" s="2759"/>
      <c r="K336" s="2792"/>
      <c r="L336" s="2793"/>
      <c r="M336" s="2759"/>
    </row>
    <row r="337" customFormat="false" ht="15.75" hidden="false" customHeight="false" outlineLevel="1" collapsed="false">
      <c r="A337" s="876" t="s">
        <v>4134</v>
      </c>
      <c r="B337" s="876" t="s">
        <v>820</v>
      </c>
      <c r="C337" s="2824" t="n">
        <f aca="false">C401</f>
        <v>0</v>
      </c>
      <c r="D337" s="2526"/>
      <c r="E337" s="2828"/>
      <c r="F337" s="2793"/>
      <c r="G337" s="2759"/>
      <c r="H337" s="2759"/>
      <c r="I337" s="2759"/>
      <c r="J337" s="2759"/>
      <c r="K337" s="2792"/>
      <c r="L337" s="2793"/>
      <c r="M337" s="2759"/>
    </row>
    <row r="338" customFormat="false" ht="15.75" hidden="false" customHeight="false" outlineLevel="1" collapsed="false">
      <c r="A338" s="876" t="s">
        <v>495</v>
      </c>
      <c r="B338" s="876" t="s">
        <v>15</v>
      </c>
      <c r="C338" s="2824" t="n">
        <f aca="false">C402</f>
        <v>0.1</v>
      </c>
      <c r="D338" s="2759"/>
      <c r="E338" s="2792"/>
      <c r="F338" s="2793"/>
      <c r="G338" s="2759"/>
      <c r="H338" s="2759"/>
      <c r="I338" s="2759"/>
      <c r="J338" s="2759"/>
      <c r="K338" s="2792"/>
      <c r="L338" s="2793"/>
      <c r="M338" s="2759"/>
    </row>
    <row r="339" customFormat="false" ht="15.75" hidden="false" customHeight="false" outlineLevel="1" collapsed="false">
      <c r="A339" s="876" t="s">
        <v>4135</v>
      </c>
      <c r="B339" s="876" t="s">
        <v>15</v>
      </c>
      <c r="C339" s="2824" t="n">
        <f aca="false">VLOOKUP(A357,'Прайс лист'!B600:G639,3,0)</f>
        <v>0</v>
      </c>
      <c r="D339" s="2826" t="n">
        <f aca="false">1</f>
        <v>1</v>
      </c>
      <c r="E339" s="2759"/>
      <c r="F339" s="2793"/>
      <c r="G339" s="2759"/>
      <c r="H339" s="2759"/>
      <c r="I339" s="2759"/>
      <c r="J339" s="2759"/>
      <c r="K339" s="2792"/>
      <c r="L339" s="2793"/>
      <c r="M339" s="2759"/>
    </row>
    <row r="340" customFormat="false" ht="15.75" hidden="false" customHeight="false" outlineLevel="1" collapsed="false">
      <c r="A340" s="876" t="s">
        <v>496</v>
      </c>
      <c r="B340" s="876" t="s">
        <v>15</v>
      </c>
      <c r="C340" s="2824" t="n">
        <f aca="false">C404</f>
        <v>0.2</v>
      </c>
      <c r="D340" s="2826" t="n">
        <v>1</v>
      </c>
      <c r="E340" s="2792"/>
      <c r="F340" s="2793"/>
      <c r="G340" s="2759"/>
      <c r="H340" s="2759"/>
      <c r="I340" s="2759"/>
      <c r="J340" s="2759"/>
      <c r="K340" s="2792"/>
      <c r="L340" s="2793"/>
      <c r="M340" s="2759"/>
    </row>
    <row r="341" customFormat="false" ht="15.75" hidden="false" customHeight="false" outlineLevel="1" collapsed="false">
      <c r="A341" s="876" t="s">
        <v>497</v>
      </c>
      <c r="B341" s="876" t="s">
        <v>15</v>
      </c>
      <c r="C341" s="2824" t="n">
        <f aca="false">C405</f>
        <v>0.8</v>
      </c>
      <c r="D341" s="2759"/>
      <c r="E341" s="2792"/>
      <c r="F341" s="2793"/>
      <c r="G341" s="2759"/>
      <c r="H341" s="2759"/>
      <c r="I341" s="2759"/>
      <c r="J341" s="2759"/>
      <c r="K341" s="2792"/>
      <c r="L341" s="2793"/>
      <c r="M341" s="2759"/>
    </row>
    <row r="342" customFormat="false" ht="15.75" hidden="false" customHeight="false" outlineLevel="1" collapsed="false">
      <c r="A342" s="876" t="s">
        <v>4136</v>
      </c>
      <c r="B342" s="876" t="s">
        <v>1043</v>
      </c>
      <c r="C342" s="2824" t="n">
        <f aca="false">C406</f>
        <v>0</v>
      </c>
      <c r="D342" s="2759"/>
      <c r="E342" s="2792"/>
      <c r="F342" s="2793"/>
      <c r="G342" s="2759"/>
      <c r="H342" s="2759"/>
      <c r="I342" s="2759"/>
      <c r="J342" s="2759"/>
      <c r="K342" s="2792"/>
      <c r="L342" s="2793"/>
      <c r="M342" s="2759"/>
    </row>
    <row r="343" customFormat="false" ht="15.75" hidden="false" customHeight="false" outlineLevel="1" collapsed="false">
      <c r="A343" s="2605" t="s">
        <v>2246</v>
      </c>
      <c r="B343" s="2605"/>
      <c r="C343" s="2605"/>
      <c r="D343" s="2605"/>
      <c r="E343" s="2605"/>
      <c r="F343" s="2783"/>
      <c r="G343" s="2605" t="s">
        <v>2007</v>
      </c>
      <c r="H343" s="2605"/>
      <c r="I343" s="2605"/>
      <c r="J343" s="2605"/>
      <c r="K343" s="2605"/>
      <c r="L343" s="2605"/>
      <c r="M343" s="2808"/>
    </row>
    <row r="344" customFormat="false" ht="15.75" hidden="false" customHeight="false" outlineLevel="1" collapsed="false">
      <c r="A344" s="2809"/>
      <c r="B344" s="876" t="s">
        <v>12</v>
      </c>
      <c r="C344" s="876" t="s">
        <v>118</v>
      </c>
      <c r="D344" s="876" t="s">
        <v>2190</v>
      </c>
      <c r="E344" s="876" t="s">
        <v>2916</v>
      </c>
      <c r="F344" s="918"/>
      <c r="G344" s="2810"/>
      <c r="H344" s="2810"/>
      <c r="I344" s="876" t="s">
        <v>12</v>
      </c>
      <c r="J344" s="876" t="s">
        <v>118</v>
      </c>
      <c r="K344" s="876" t="s">
        <v>2190</v>
      </c>
      <c r="L344" s="876" t="s">
        <v>2916</v>
      </c>
      <c r="M344" s="2808"/>
    </row>
    <row r="345" customFormat="false" ht="15.75" hidden="false" customHeight="false" outlineLevel="1" collapsed="false">
      <c r="A345" s="876" t="str">
        <f aca="false">'Ввод данных'!A814</f>
        <v>Сосна влаж,150*40мм</v>
      </c>
      <c r="B345" s="876" t="s">
        <v>1043</v>
      </c>
      <c r="C345" s="876" t="n">
        <f aca="false">C330*(C323+C324)*2*1.3*C328*G319</f>
        <v>3.29472</v>
      </c>
      <c r="D345" s="876" t="n">
        <f aca="false">VLOOKUP(A345,'Прайс лист'!B298:G310,6,0)</f>
        <v>6500</v>
      </c>
      <c r="E345" s="876" t="n">
        <f aca="false">C345*D345</f>
        <v>21415.68</v>
      </c>
      <c r="F345" s="918"/>
      <c r="G345" s="738" t="s">
        <v>4123</v>
      </c>
      <c r="H345" s="738"/>
      <c r="I345" s="876" t="s">
        <v>48</v>
      </c>
      <c r="J345" s="876" t="n">
        <f aca="false">1*H319</f>
        <v>1.05</v>
      </c>
      <c r="K345" s="876" t="n">
        <f aca="false">'Прайс лист'!G1441</f>
        <v>7000</v>
      </c>
      <c r="L345" s="876" t="n">
        <f aca="false">J345*K345</f>
        <v>7350</v>
      </c>
      <c r="M345" s="2808"/>
    </row>
    <row r="346" customFormat="false" ht="15.75" hidden="false" customHeight="false" outlineLevel="1" collapsed="false">
      <c r="A346" s="876" t="str">
        <f aca="false">'Прайс лист'!B227</f>
        <v>Пленка гидроизоляционная </v>
      </c>
      <c r="B346" s="876" t="s">
        <v>820</v>
      </c>
      <c r="C346" s="876" t="n">
        <f aca="false">C330*(C323+C324)*2*1.3*G319</f>
        <v>82.368</v>
      </c>
      <c r="D346" s="876" t="n">
        <f aca="false">'Прайс лист'!G227</f>
        <v>15</v>
      </c>
      <c r="E346" s="876" t="n">
        <f aca="false">C346*D346</f>
        <v>1235.52</v>
      </c>
      <c r="F346" s="918"/>
      <c r="G346" s="738" t="s">
        <v>2029</v>
      </c>
      <c r="H346" s="738"/>
      <c r="I346" s="876" t="s">
        <v>820</v>
      </c>
      <c r="J346" s="876" t="n">
        <f aca="false">C330*(C323+C323+C324+C324)*H319</f>
        <v>60.48</v>
      </c>
      <c r="K346" s="876" t="n">
        <f aca="false">'Прайс лист'!G1442</f>
        <v>300</v>
      </c>
      <c r="L346" s="876" t="n">
        <f aca="false">J346*K346</f>
        <v>18144</v>
      </c>
      <c r="M346" s="2808"/>
    </row>
    <row r="347" customFormat="false" ht="15.75" hidden="false" customHeight="false" outlineLevel="1" collapsed="false">
      <c r="A347" s="876"/>
      <c r="B347" s="876"/>
      <c r="C347" s="876"/>
      <c r="D347" s="876"/>
      <c r="E347" s="876"/>
      <c r="F347" s="918"/>
      <c r="G347" s="738" t="s">
        <v>2030</v>
      </c>
      <c r="H347" s="738"/>
      <c r="I347" s="876" t="s">
        <v>820</v>
      </c>
      <c r="J347" s="876" t="n">
        <f aca="false">J346*H319</f>
        <v>63.504</v>
      </c>
      <c r="K347" s="876" t="n">
        <f aca="false">'Прайс лист'!G1443</f>
        <v>100</v>
      </c>
      <c r="L347" s="876" t="n">
        <f aca="false">J347*K347</f>
        <v>6350.4</v>
      </c>
      <c r="M347" s="2808"/>
    </row>
    <row r="348" customFormat="false" ht="15.75" hidden="false" customHeight="false" outlineLevel="1" collapsed="false">
      <c r="A348" s="876" t="str">
        <f aca="false">'Ввод данных'!A816</f>
        <v>Арматура стальная Ø 8</v>
      </c>
      <c r="B348" s="876" t="s">
        <v>2013</v>
      </c>
      <c r="C348" s="876" t="n">
        <f aca="false">C330*C329*1.2*G319</f>
        <v>380.16</v>
      </c>
      <c r="D348" s="876" t="n">
        <f aca="false">VLOOKUP(A348,'Прайс лист'!B211:G222,6,0)</f>
        <v>16.037</v>
      </c>
      <c r="E348" s="876" t="n">
        <f aca="false">C348*D348</f>
        <v>6096.62592</v>
      </c>
      <c r="F348" s="918"/>
      <c r="G348" s="738" t="s">
        <v>2031</v>
      </c>
      <c r="H348" s="738"/>
      <c r="I348" s="876" t="s">
        <v>820</v>
      </c>
      <c r="J348" s="876" t="n">
        <f aca="false">J347*H319</f>
        <v>66.6792</v>
      </c>
      <c r="K348" s="876" t="n">
        <f aca="false">'Прайс лист'!G1444</f>
        <v>10</v>
      </c>
      <c r="L348" s="876" t="n">
        <f aca="false">J348*K348</f>
        <v>666.792</v>
      </c>
      <c r="M348" s="2808"/>
    </row>
    <row r="349" customFormat="false" ht="15.75" hidden="false" customHeight="false" outlineLevel="1" collapsed="false">
      <c r="A349" s="876" t="str">
        <f aca="false">'Ввод данных'!A818</f>
        <v>Арматура стальная Ø 6</v>
      </c>
      <c r="B349" s="876" t="s">
        <v>2013</v>
      </c>
      <c r="C349" s="876" t="n">
        <f aca="false">C330/'Ввод данных'!C818*(C323+C324+C325+C325+C323+C324)*1.1*G319</f>
        <v>261.36</v>
      </c>
      <c r="D349" s="876" t="n">
        <f aca="false">VLOOKUP(A349,'Прайс лист'!B211:G222,6,0)</f>
        <v>9.0132</v>
      </c>
      <c r="E349" s="876" t="n">
        <f aca="false">C349*D349</f>
        <v>2355.689952</v>
      </c>
      <c r="F349" s="918"/>
      <c r="G349" s="738"/>
      <c r="H349" s="738"/>
      <c r="I349" s="876"/>
      <c r="J349" s="876"/>
      <c r="K349" s="876"/>
      <c r="L349" s="876"/>
      <c r="M349" s="2808"/>
    </row>
    <row r="350" customFormat="false" ht="15.75" hidden="false" customHeight="false" outlineLevel="1" collapsed="false">
      <c r="A350" s="876" t="str">
        <f aca="false">'Прайс лист'!B224</f>
        <v>Вязальная проволока</v>
      </c>
      <c r="B350" s="876" t="s">
        <v>434</v>
      </c>
      <c r="C350" s="876" t="n">
        <f aca="false">(C348+C349)/50*G319</f>
        <v>14.11344</v>
      </c>
      <c r="D350" s="876" t="n">
        <f aca="false">'Прайс лист'!G224</f>
        <v>80</v>
      </c>
      <c r="E350" s="876" t="n">
        <f aca="false">C350*D350</f>
        <v>1129.0752</v>
      </c>
      <c r="F350" s="918"/>
      <c r="G350" s="738" t="s">
        <v>4137</v>
      </c>
      <c r="H350" s="738"/>
      <c r="I350" s="876" t="s">
        <v>2013</v>
      </c>
      <c r="J350" s="876" t="n">
        <f aca="false">C330*C329*1.2*H319</f>
        <v>362.88</v>
      </c>
      <c r="K350" s="876" t="n">
        <f aca="false">'Прайс лист'!G1426</f>
        <v>30</v>
      </c>
      <c r="L350" s="876" t="n">
        <f aca="false">J350*K350</f>
        <v>10886.4</v>
      </c>
      <c r="M350" s="2808"/>
    </row>
    <row r="351" customFormat="false" ht="15.75" hidden="false" customHeight="false" outlineLevel="1" collapsed="false">
      <c r="A351" s="876" t="str">
        <f aca="false">'Прайс лист'!B737</f>
        <v>Гвозди строительные 3,5 x 90            </v>
      </c>
      <c r="B351" s="876" t="s">
        <v>434</v>
      </c>
      <c r="C351" s="876" t="n">
        <f aca="false">C345*5*G319</f>
        <v>18.12096</v>
      </c>
      <c r="D351" s="876" t="n">
        <f aca="false">'Прайс лист'!G737</f>
        <v>70</v>
      </c>
      <c r="E351" s="876" t="n">
        <f aca="false">C351*D351</f>
        <v>1268.4672</v>
      </c>
      <c r="F351" s="918"/>
      <c r="G351" s="738" t="s">
        <v>4137</v>
      </c>
      <c r="H351" s="738"/>
      <c r="I351" s="876" t="s">
        <v>15</v>
      </c>
      <c r="J351" s="876" t="n">
        <f aca="false">C330/0.6*(C323+C324+C325+C325+C323+C324)*1.1*H319</f>
        <v>166.32</v>
      </c>
      <c r="K351" s="876" t="n">
        <f aca="false">'Прайс лист'!G1428</f>
        <v>500</v>
      </c>
      <c r="L351" s="876" t="n">
        <f aca="false">J351*K351</f>
        <v>83160</v>
      </c>
      <c r="M351" s="2808"/>
    </row>
    <row r="352" customFormat="false" ht="15.75" hidden="false" customHeight="false" outlineLevel="1" collapsed="false">
      <c r="A352" s="876" t="str">
        <f aca="false">'Прайс лист'!B644</f>
        <v>Гидроизол</v>
      </c>
      <c r="B352" s="876" t="s">
        <v>820</v>
      </c>
      <c r="C352" s="876" t="n">
        <f aca="false">C330*C325*1.1+C337*D336*G319</f>
        <v>15.84</v>
      </c>
      <c r="D352" s="876" t="n">
        <f aca="false">'Прайс лист'!G644</f>
        <v>70</v>
      </c>
      <c r="E352" s="876" t="n">
        <f aca="false">C352*D352</f>
        <v>1108.8</v>
      </c>
      <c r="F352" s="918"/>
      <c r="G352" s="738" t="s">
        <v>2036</v>
      </c>
      <c r="H352" s="738"/>
      <c r="I352" s="876" t="s">
        <v>820</v>
      </c>
      <c r="J352" s="876" t="n">
        <f aca="false">C330*C325*H319+C337*D336*H319</f>
        <v>15.12</v>
      </c>
      <c r="K352" s="876" t="n">
        <f aca="false">'Прайс лист'!G1451</f>
        <v>100</v>
      </c>
      <c r="L352" s="876" t="n">
        <f aca="false">J352*K352</f>
        <v>1512</v>
      </c>
      <c r="M352" s="2808"/>
    </row>
    <row r="353" customFormat="false" ht="15.75" hidden="false" customHeight="false" outlineLevel="1" collapsed="false">
      <c r="A353" s="876" t="str">
        <f aca="false">'Прайс лист'!B179</f>
        <v>ПГС, машина 13м3</v>
      </c>
      <c r="B353" s="876" t="s">
        <v>1048</v>
      </c>
      <c r="C353" s="876" t="n">
        <f aca="false">(C330*C326*C327)/12*G319</f>
        <v>0.528</v>
      </c>
      <c r="D353" s="876" t="n">
        <f aca="false">'Прайс лист'!G179</f>
        <v>10000</v>
      </c>
      <c r="E353" s="876" t="n">
        <f aca="false">C353*D353</f>
        <v>5280</v>
      </c>
      <c r="F353" s="918"/>
      <c r="G353" s="738" t="s">
        <v>4138</v>
      </c>
      <c r="H353" s="738"/>
      <c r="I353" s="876" t="s">
        <v>820</v>
      </c>
      <c r="J353" s="876" t="n">
        <f aca="false">J352*H319</f>
        <v>15.876</v>
      </c>
      <c r="K353" s="876" t="n">
        <f aca="false">'Прайс лист'!G1453</f>
        <v>350</v>
      </c>
      <c r="L353" s="876" t="n">
        <f aca="false">J353*K353</f>
        <v>5556.6</v>
      </c>
      <c r="M353" s="2808"/>
    </row>
    <row r="354" customFormat="false" ht="15.75" hidden="false" customHeight="false" outlineLevel="1" collapsed="false">
      <c r="A354" s="876" t="str">
        <f aca="false">'Ввод данных'!A812</f>
        <v>Бетон, м250</v>
      </c>
      <c r="B354" s="876" t="s">
        <v>1043</v>
      </c>
      <c r="C354" s="876" t="n">
        <f aca="false">C331*G319</f>
        <v>9.504</v>
      </c>
      <c r="D354" s="876" t="n">
        <f aca="false">VLOOKUP(A354,Бетон__м200,6,0)</f>
        <v>2750</v>
      </c>
      <c r="E354" s="876" t="n">
        <f aca="false">C354*D354</f>
        <v>26136</v>
      </c>
      <c r="F354" s="918"/>
      <c r="G354" s="738" t="s">
        <v>2041</v>
      </c>
      <c r="H354" s="738"/>
      <c r="I354" s="876" t="s">
        <v>1043</v>
      </c>
      <c r="J354" s="876" t="n">
        <f aca="false">C330*C325*(C323+C324)*H319</f>
        <v>9.072</v>
      </c>
      <c r="K354" s="876" t="n">
        <f aca="false">'Прайс лист'!G1456</f>
        <v>1200</v>
      </c>
      <c r="L354" s="876" t="n">
        <f aca="false">J354*K354</f>
        <v>10886.4</v>
      </c>
      <c r="M354" s="2808"/>
    </row>
    <row r="355" customFormat="false" ht="15.75" hidden="false" customHeight="false" outlineLevel="1" collapsed="false">
      <c r="A355" s="876" t="str">
        <f aca="false">'Ввод данных'!A821</f>
        <v>Нет</v>
      </c>
      <c r="B355" s="876" t="s">
        <v>1043</v>
      </c>
      <c r="C355" s="876" t="n">
        <f aca="false">C332*D332*C333*(C324+C323)*G319</f>
        <v>0</v>
      </c>
      <c r="D355" s="876" t="n">
        <f aca="false">VLOOKUP(A355,'Прайс лист'!B600:G639,6,0)</f>
        <v>0</v>
      </c>
      <c r="E355" s="876" t="n">
        <f aca="false">C355*D355</f>
        <v>0</v>
      </c>
      <c r="F355" s="918"/>
      <c r="G355" s="738" t="s">
        <v>2042</v>
      </c>
      <c r="H355" s="738"/>
      <c r="I355" s="876" t="s">
        <v>820</v>
      </c>
      <c r="J355" s="876" t="n">
        <f aca="false">C332*D332*H319</f>
        <v>0</v>
      </c>
      <c r="K355" s="876" t="n">
        <f aca="false">'Прайс лист'!G1457</f>
        <v>200</v>
      </c>
      <c r="L355" s="876" t="n">
        <f aca="false">J355*K355</f>
        <v>0</v>
      </c>
      <c r="M355" s="2808"/>
    </row>
    <row r="356" customFormat="false" ht="15.75" hidden="false" customHeight="false" outlineLevel="1" collapsed="false">
      <c r="A356" s="876" t="str">
        <f aca="false">'Прайс лист'!B639</f>
        <v>Грибок для крепления утеплителя</v>
      </c>
      <c r="B356" s="876" t="s">
        <v>48</v>
      </c>
      <c r="C356" s="876" t="n">
        <f aca="false">C332*D332*5*G319</f>
        <v>0</v>
      </c>
      <c r="D356" s="876" t="n">
        <f aca="false">'Прайс лист'!G639</f>
        <v>15</v>
      </c>
      <c r="E356" s="876" t="n">
        <f aca="false">C356*D356</f>
        <v>0</v>
      </c>
      <c r="F356" s="918"/>
      <c r="G356" s="2663" t="s">
        <v>2043</v>
      </c>
      <c r="H356" s="2664"/>
      <c r="I356" s="876" t="s">
        <v>820</v>
      </c>
      <c r="J356" s="876" t="n">
        <f aca="false">C337*D339*D336*H319</f>
        <v>0</v>
      </c>
      <c r="K356" s="876" t="n">
        <f aca="false">'Прайс лист'!G1458</f>
        <v>200</v>
      </c>
      <c r="L356" s="876" t="n">
        <f aca="false">J356*K356</f>
        <v>0</v>
      </c>
      <c r="M356" s="2808"/>
    </row>
    <row r="357" customFormat="false" ht="15.75" hidden="false" customHeight="false" outlineLevel="1" collapsed="false">
      <c r="A357" s="876" t="str">
        <f aca="false">'Ввод данных'!A835</f>
        <v>Нет</v>
      </c>
      <c r="B357" s="876" t="s">
        <v>1043</v>
      </c>
      <c r="C357" s="876" t="n">
        <f aca="false">C337*C339*D339*G319</f>
        <v>0</v>
      </c>
      <c r="D357" s="876" t="n">
        <f aca="false">VLOOKUP(A357,'Прайс лист'!B600:G639,6,0)</f>
        <v>0</v>
      </c>
      <c r="E357" s="876" t="n">
        <f aca="false">C357*D357</f>
        <v>0</v>
      </c>
      <c r="F357" s="918"/>
      <c r="G357" s="2663" t="s">
        <v>2039</v>
      </c>
      <c r="H357" s="2664"/>
      <c r="I357" s="876" t="s">
        <v>820</v>
      </c>
      <c r="J357" s="876" t="n">
        <f aca="false">C337*D336*D340*H319</f>
        <v>0</v>
      </c>
      <c r="K357" s="876" t="n">
        <f aca="false">'Прайс лист'!G1454</f>
        <v>600</v>
      </c>
      <c r="L357" s="876" t="n">
        <f aca="false">J357*K357</f>
        <v>0</v>
      </c>
      <c r="M357" s="2808"/>
    </row>
    <row r="358" customFormat="false" ht="15.75" hidden="false" customHeight="false" outlineLevel="1" collapsed="false">
      <c r="A358" s="876" t="str">
        <f aca="false">'Прайс лист'!B180</f>
        <v>ПГС, машина 5м3</v>
      </c>
      <c r="B358" s="876" t="s">
        <v>1048</v>
      </c>
      <c r="C358" s="876" t="n">
        <f aca="false">(((E3+C341+C341)*2*C336+E4*C341*2+E132*(D139+D140*2-D139)*C341+D172*(C178+C179*2+C180*2*D180-C184)*C341+D220*(C226+C227*2-C226)*C341)*C340*D340)/5*G319*D336</f>
        <v>0</v>
      </c>
      <c r="D358" s="876" t="n">
        <f aca="false">'Прайс лист'!G180</f>
        <v>6000</v>
      </c>
      <c r="E358" s="876" t="n">
        <f aca="false">C358*D358</f>
        <v>0</v>
      </c>
      <c r="F358" s="918"/>
      <c r="G358" s="2663" t="s">
        <v>2044</v>
      </c>
      <c r="H358" s="2664"/>
      <c r="I358" s="876" t="s">
        <v>820</v>
      </c>
      <c r="J358" s="876" t="n">
        <f aca="false">C337*D336*H319</f>
        <v>0</v>
      </c>
      <c r="K358" s="876" t="n">
        <f aca="false">'Прайс лист'!G1460</f>
        <v>100</v>
      </c>
      <c r="L358" s="876" t="n">
        <f aca="false">J358*K358</f>
        <v>0</v>
      </c>
      <c r="M358" s="2808"/>
    </row>
    <row r="359" customFormat="false" ht="15.75" hidden="false" customHeight="false" outlineLevel="1" collapsed="false">
      <c r="A359" s="876" t="str">
        <f aca="false">'Прайс лист'!B223</f>
        <v>Кладочная сетка, 100*100/150*150/200*200мм</v>
      </c>
      <c r="B359" s="876" t="s">
        <v>820</v>
      </c>
      <c r="C359" s="876" t="n">
        <f aca="false">C337*1.1*G319*D336</f>
        <v>0</v>
      </c>
      <c r="D359" s="876" t="n">
        <f aca="false">'Прайс лист'!G223</f>
        <v>70</v>
      </c>
      <c r="E359" s="876" t="n">
        <f aca="false">C359*D359</f>
        <v>0</v>
      </c>
      <c r="F359" s="918"/>
      <c r="G359" s="2663" t="s">
        <v>2041</v>
      </c>
      <c r="H359" s="2664"/>
      <c r="I359" s="876" t="s">
        <v>820</v>
      </c>
      <c r="J359" s="876" t="n">
        <f aca="false">C342*D336*H319</f>
        <v>0</v>
      </c>
      <c r="K359" s="876" t="n">
        <f aca="false">'Прайс лист'!G1456</f>
        <v>1200</v>
      </c>
      <c r="L359" s="876" t="n">
        <f aca="false">J359*K359</f>
        <v>0</v>
      </c>
      <c r="M359" s="2808"/>
    </row>
    <row r="360" customFormat="false" ht="15.75" hidden="false" customHeight="false" outlineLevel="1" collapsed="false">
      <c r="A360" s="876" t="str">
        <f aca="false">'Ввод данных'!A837</f>
        <v>Бетон, м200</v>
      </c>
      <c r="B360" s="876" t="s">
        <v>1043</v>
      </c>
      <c r="C360" s="876" t="n">
        <f aca="false">C342*D336*G319</f>
        <v>0</v>
      </c>
      <c r="D360" s="876" t="n">
        <f aca="false">VLOOKUP(A360,Бетон__м200,6,0)</f>
        <v>2500</v>
      </c>
      <c r="E360" s="876" t="n">
        <f aca="false">C360*D360</f>
        <v>0</v>
      </c>
      <c r="F360" s="918"/>
      <c r="G360" s="1159"/>
      <c r="H360" s="1159"/>
      <c r="I360" s="1159"/>
      <c r="J360" s="1159"/>
      <c r="K360" s="1159"/>
      <c r="L360" s="1159"/>
      <c r="M360" s="2808"/>
    </row>
    <row r="361" customFormat="false" ht="15.75" hidden="false" customHeight="false" outlineLevel="1" collapsed="false">
      <c r="A361" s="876" t="str">
        <f aca="false">'Ввод данных'!A846</f>
        <v>расходные материалы свайноростверковый фундамент</v>
      </c>
      <c r="B361" s="876" t="s">
        <v>48</v>
      </c>
      <c r="C361" s="876" t="n">
        <f aca="false">1</f>
        <v>1</v>
      </c>
      <c r="D361" s="876" t="n">
        <f aca="false">'Ввод данных'!C846</f>
        <v>8000</v>
      </c>
      <c r="E361" s="876" t="n">
        <f aca="false">C361*D361</f>
        <v>8000</v>
      </c>
      <c r="F361" s="918"/>
      <c r="G361" s="1159"/>
      <c r="H361" s="1159"/>
      <c r="I361" s="1159"/>
      <c r="J361" s="1159"/>
      <c r="K361" s="1159"/>
      <c r="L361" s="1159"/>
      <c r="M361" s="2808"/>
    </row>
    <row r="362" customFormat="false" ht="15.75" hidden="false" customHeight="false" outlineLevel="1" collapsed="false">
      <c r="A362" s="876" t="str">
        <f aca="false">'Ввод данных'!A840</f>
        <v>Нет техники</v>
      </c>
      <c r="B362" s="876" t="s">
        <v>48</v>
      </c>
      <c r="C362" s="876" t="n">
        <f aca="false">'Ввод данных'!C840</f>
        <v>4</v>
      </c>
      <c r="D362" s="876" t="n">
        <f aca="false">VLOOKUP(A362,'Прайс лист'!B192:G206,6,0)</f>
        <v>0</v>
      </c>
      <c r="E362" s="876" t="n">
        <f aca="false">C362*D362</f>
        <v>0</v>
      </c>
      <c r="F362" s="918"/>
      <c r="G362" s="876"/>
      <c r="H362" s="876"/>
      <c r="I362" s="876"/>
      <c r="J362" s="876"/>
      <c r="K362" s="876"/>
      <c r="L362" s="876"/>
      <c r="M362" s="2808"/>
    </row>
    <row r="363" customFormat="false" ht="15.75" hidden="false" customHeight="false" outlineLevel="1" collapsed="false">
      <c r="A363" s="876" t="str">
        <f aca="false">'Ввод данных'!A841</f>
        <v>Нет техники</v>
      </c>
      <c r="B363" s="876" t="s">
        <v>48</v>
      </c>
      <c r="C363" s="876" t="n">
        <f aca="false">'Ввод данных'!C841</f>
        <v>4</v>
      </c>
      <c r="D363" s="876" t="n">
        <f aca="false">VLOOKUP(A363,'Прайс лист'!B192:G206,6,0)</f>
        <v>0</v>
      </c>
      <c r="E363" s="876" t="n">
        <f aca="false">C363*D363</f>
        <v>0</v>
      </c>
      <c r="F363" s="918"/>
      <c r="G363" s="876"/>
      <c r="H363" s="876"/>
      <c r="I363" s="876"/>
      <c r="J363" s="876"/>
      <c r="K363" s="876"/>
      <c r="L363" s="876"/>
      <c r="M363" s="2808"/>
    </row>
    <row r="364" customFormat="false" ht="15.75" hidden="false" customHeight="false" outlineLevel="1" collapsed="false">
      <c r="A364" s="876" t="str">
        <f aca="false">'Ввод данных'!A842</f>
        <v>Нет техники</v>
      </c>
      <c r="B364" s="876" t="s">
        <v>48</v>
      </c>
      <c r="C364" s="876" t="n">
        <f aca="false">'Ввод данных'!C842</f>
        <v>6</v>
      </c>
      <c r="D364" s="876" t="n">
        <f aca="false">VLOOKUP(A364,'Прайс лист'!B192:G206,6,0)</f>
        <v>0</v>
      </c>
      <c r="E364" s="876" t="n">
        <f aca="false">C364*D364</f>
        <v>0</v>
      </c>
      <c r="F364" s="918"/>
      <c r="G364" s="876"/>
      <c r="H364" s="876"/>
      <c r="I364" s="876"/>
      <c r="J364" s="876"/>
      <c r="K364" s="876"/>
      <c r="L364" s="876"/>
      <c r="M364" s="2808"/>
    </row>
    <row r="365" customFormat="false" ht="15.75" hidden="false" customHeight="false" outlineLevel="1" collapsed="false">
      <c r="A365" s="876" t="str">
        <f aca="false">'Ввод данных'!A843</f>
        <v>Нет техники</v>
      </c>
      <c r="B365" s="876" t="s">
        <v>48</v>
      </c>
      <c r="C365" s="876" t="n">
        <f aca="false">'Ввод данных'!C843</f>
        <v>4</v>
      </c>
      <c r="D365" s="876" t="n">
        <f aca="false">VLOOKUP(A365,'Прайс лист'!B192:G206,6,0)</f>
        <v>0</v>
      </c>
      <c r="E365" s="876" t="n">
        <f aca="false">C365*D365</f>
        <v>0</v>
      </c>
      <c r="F365" s="918"/>
      <c r="G365" s="876"/>
      <c r="H365" s="876"/>
      <c r="I365" s="876"/>
      <c r="J365" s="876"/>
      <c r="K365" s="876"/>
      <c r="L365" s="876"/>
      <c r="M365" s="2808"/>
    </row>
    <row r="366" customFormat="false" ht="15.75" hidden="false" customHeight="false" outlineLevel="1" collapsed="false">
      <c r="A366" s="876" t="str">
        <f aca="false">'Ввод данных'!A844</f>
        <v>Нет техники</v>
      </c>
      <c r="B366" s="876" t="s">
        <v>48</v>
      </c>
      <c r="C366" s="876" t="n">
        <f aca="false">'Ввод данных'!C844</f>
        <v>0</v>
      </c>
      <c r="D366" s="876" t="n">
        <f aca="false">VLOOKUP(A366,'Прайс лист'!B192:G206,6,0)</f>
        <v>0</v>
      </c>
      <c r="E366" s="876" t="n">
        <f aca="false">C366*D366</f>
        <v>0</v>
      </c>
      <c r="F366" s="918"/>
      <c r="G366" s="876"/>
      <c r="H366" s="876"/>
      <c r="I366" s="876"/>
      <c r="J366" s="876"/>
      <c r="K366" s="876"/>
      <c r="L366" s="876"/>
      <c r="M366" s="2808"/>
    </row>
    <row r="367" customFormat="false" ht="15.75" hidden="false" customHeight="false" outlineLevel="1" collapsed="false">
      <c r="A367" s="918"/>
      <c r="B367" s="918"/>
      <c r="C367" s="918"/>
      <c r="D367" s="918"/>
      <c r="E367" s="876" t="n">
        <f aca="false">SUM(E345:E362)</f>
        <v>74025.858272</v>
      </c>
      <c r="F367" s="918"/>
      <c r="G367" s="918"/>
      <c r="H367" s="2526"/>
      <c r="I367" s="918"/>
      <c r="J367" s="918"/>
      <c r="K367" s="918"/>
      <c r="L367" s="2825" t="n">
        <f aca="false">SUM(L345:L363)</f>
        <v>144512.592</v>
      </c>
      <c r="M367" s="2808"/>
    </row>
    <row r="368" customFormat="false" ht="15.75" hidden="false" customHeight="false" outlineLevel="1" collapsed="false">
      <c r="A368" s="876" t="s">
        <v>4139</v>
      </c>
      <c r="B368" s="876" t="n">
        <f aca="false">E367</f>
        <v>74025.858272</v>
      </c>
      <c r="C368" s="918"/>
      <c r="D368" s="918"/>
      <c r="E368" s="918"/>
      <c r="F368" s="918"/>
      <c r="G368" s="918"/>
      <c r="H368" s="918"/>
      <c r="I368" s="918"/>
      <c r="J368" s="918"/>
      <c r="K368" s="918"/>
      <c r="L368" s="2157"/>
      <c r="M368" s="2808"/>
    </row>
    <row r="369" customFormat="false" ht="15.75" hidden="false" customHeight="false" outlineLevel="1" collapsed="false">
      <c r="A369" s="876" t="s">
        <v>4140</v>
      </c>
      <c r="B369" s="876" t="n">
        <f aca="false">L367</f>
        <v>144512.592</v>
      </c>
      <c r="C369" s="918"/>
      <c r="D369" s="918"/>
      <c r="E369" s="918"/>
      <c r="F369" s="918"/>
      <c r="G369" s="918"/>
      <c r="H369" s="918"/>
      <c r="I369" s="918"/>
      <c r="J369" s="918"/>
      <c r="K369" s="918"/>
      <c r="L369" s="2157"/>
      <c r="M369" s="2808"/>
    </row>
    <row r="370" customFormat="false" ht="15.75" hidden="false" customHeight="false" outlineLevel="1" collapsed="false">
      <c r="A370" s="876" t="s">
        <v>4141</v>
      </c>
      <c r="B370" s="876" t="n">
        <f aca="false">SUM(B368:B369)*B371</f>
        <v>0</v>
      </c>
      <c r="C370" s="918"/>
      <c r="D370" s="918"/>
      <c r="E370" s="918"/>
      <c r="F370" s="918"/>
      <c r="G370" s="918"/>
      <c r="H370" s="918"/>
      <c r="I370" s="918"/>
      <c r="J370" s="918"/>
      <c r="K370" s="918"/>
      <c r="L370" s="2157"/>
      <c r="M370" s="2808"/>
    </row>
    <row r="371" customFormat="false" ht="15.75" hidden="false" customHeight="false" outlineLevel="0" collapsed="false">
      <c r="A371" s="2788" t="s">
        <v>4142</v>
      </c>
      <c r="B371" s="2826"/>
      <c r="C371" s="2619" t="s">
        <v>3811</v>
      </c>
      <c r="D371" s="2619"/>
      <c r="E371" s="2619"/>
      <c r="F371" s="2619"/>
      <c r="G371" s="2759"/>
      <c r="H371" s="2759"/>
      <c r="I371" s="2759"/>
      <c r="J371" s="2759"/>
      <c r="K371" s="2792"/>
      <c r="L371" s="2793"/>
      <c r="M371" s="2759"/>
    </row>
    <row r="372" customFormat="false" ht="15.75" hidden="false" customHeight="false" outlineLevel="0" collapsed="false">
      <c r="A372" s="918"/>
      <c r="B372" s="2783"/>
      <c r="C372" s="2783"/>
      <c r="D372" s="2759"/>
      <c r="E372" s="2792"/>
      <c r="F372" s="2793"/>
      <c r="G372" s="2759"/>
      <c r="H372" s="2759"/>
      <c r="I372" s="2759"/>
      <c r="J372" s="2759"/>
      <c r="K372" s="2792"/>
      <c r="L372" s="2793"/>
      <c r="M372" s="2759"/>
    </row>
    <row r="373" customFormat="false" ht="15" hidden="false" customHeight="false" outlineLevel="1" collapsed="false">
      <c r="A373" s="2829" t="s">
        <v>467</v>
      </c>
      <c r="B373" s="2829"/>
      <c r="C373" s="2829"/>
      <c r="D373" s="2829"/>
      <c r="E373" s="2829"/>
      <c r="F373" s="2829"/>
      <c r="G373" s="2829"/>
      <c r="H373" s="2829"/>
      <c r="I373" s="2829"/>
      <c r="J373" s="2759"/>
      <c r="K373" s="2792"/>
      <c r="L373" s="2793"/>
      <c r="M373" s="2759"/>
    </row>
    <row r="374" customFormat="false" ht="15" hidden="false" customHeight="false" outlineLevel="1" collapsed="false">
      <c r="A374" s="2829"/>
      <c r="B374" s="2829"/>
      <c r="C374" s="2829"/>
      <c r="D374" s="2829"/>
      <c r="E374" s="2829"/>
      <c r="F374" s="2829"/>
      <c r="G374" s="2829"/>
      <c r="H374" s="2829"/>
      <c r="I374" s="2829"/>
      <c r="J374" s="2759"/>
      <c r="K374" s="2792"/>
      <c r="L374" s="2793"/>
      <c r="M374" s="2759"/>
    </row>
    <row r="375" customFormat="false" ht="23.25" hidden="false" customHeight="false" outlineLevel="1" collapsed="false">
      <c r="A375" s="2830" t="s">
        <v>461</v>
      </c>
      <c r="B375" s="2830"/>
      <c r="C375" s="2830"/>
      <c r="D375" s="2830"/>
      <c r="E375" s="2830"/>
      <c r="F375" s="2830"/>
      <c r="G375" s="2667" t="n">
        <f aca="false">'Ввод данных'!D802</f>
        <v>1.1</v>
      </c>
      <c r="H375" s="2822" t="n">
        <f aca="false">'Ввод данных'!D803</f>
        <v>1.05</v>
      </c>
      <c r="I375" s="2822"/>
      <c r="J375" s="2808"/>
      <c r="K375" s="2786"/>
      <c r="L375" s="2157"/>
      <c r="M375" s="2808"/>
    </row>
    <row r="376" customFormat="false" ht="23.25" hidden="false" customHeight="false" outlineLevel="1" collapsed="false">
      <c r="A376" s="2830"/>
      <c r="B376" s="2830"/>
      <c r="C376" s="2830"/>
      <c r="D376" s="2830"/>
      <c r="E376" s="2830"/>
      <c r="F376" s="2830"/>
      <c r="G376" s="2626"/>
      <c r="H376" s="2822"/>
      <c r="I376" s="2822"/>
      <c r="J376" s="2808"/>
      <c r="K376" s="2786"/>
      <c r="L376" s="2157"/>
      <c r="M376" s="2808"/>
    </row>
    <row r="377" customFormat="false" ht="15.75" hidden="false" customHeight="false" outlineLevel="1" collapsed="false">
      <c r="A377" s="2831" t="s">
        <v>161</v>
      </c>
      <c r="B377" s="2809" t="s">
        <v>162</v>
      </c>
      <c r="C377" s="2810" t="s">
        <v>4128</v>
      </c>
      <c r="D377" s="2810"/>
      <c r="E377" s="2810"/>
      <c r="F377" s="2809" t="s">
        <v>4129</v>
      </c>
      <c r="G377" s="2759"/>
      <c r="H377" s="2759"/>
      <c r="I377" s="2759"/>
      <c r="J377" s="2759"/>
      <c r="K377" s="2792"/>
      <c r="L377" s="2793"/>
      <c r="M377" s="2759"/>
    </row>
    <row r="378" customFormat="false" ht="15.75" hidden="false" customHeight="false" outlineLevel="1" collapsed="false">
      <c r="A378" s="2825" t="s">
        <v>566</v>
      </c>
      <c r="B378" s="2825" t="s">
        <v>502</v>
      </c>
      <c r="C378" s="2832" t="n">
        <f aca="false">'Ввод данных'!C840</f>
        <v>4</v>
      </c>
      <c r="D378" s="919"/>
      <c r="E378" s="919"/>
      <c r="F378" s="918"/>
      <c r="G378" s="2759"/>
      <c r="H378" s="1707" t="s">
        <v>566</v>
      </c>
      <c r="I378" s="1752" t="s">
        <v>502</v>
      </c>
      <c r="J378" s="2833" t="n">
        <v>6</v>
      </c>
      <c r="K378" s="2792"/>
      <c r="L378" s="2793"/>
      <c r="M378" s="2759"/>
    </row>
    <row r="379" customFormat="false" ht="15.75" hidden="false" customHeight="false" outlineLevel="1" collapsed="false">
      <c r="A379" s="2639" t="s">
        <v>469</v>
      </c>
      <c r="B379" s="2825" t="s">
        <v>15</v>
      </c>
      <c r="C379" s="2832" t="n">
        <f aca="false">'Ввод данных'!C806</f>
        <v>0.3</v>
      </c>
      <c r="D379" s="2759"/>
      <c r="E379" s="2759"/>
      <c r="F379" s="2759"/>
      <c r="G379" s="2759"/>
      <c r="H379" s="2834" t="s">
        <v>469</v>
      </c>
      <c r="I379" s="2835" t="s">
        <v>15</v>
      </c>
      <c r="J379" s="2836" t="n">
        <v>0.3</v>
      </c>
      <c r="K379" s="2792"/>
      <c r="L379" s="2793"/>
      <c r="M379" s="2759"/>
    </row>
    <row r="380" customFormat="false" ht="15.75" hidden="false" customHeight="false" outlineLevel="1" collapsed="false">
      <c r="A380" s="861" t="s">
        <v>470</v>
      </c>
      <c r="B380" s="876" t="s">
        <v>15</v>
      </c>
      <c r="C380" s="2832" t="n">
        <f aca="false">'Ввод данных'!C807</f>
        <v>0.3</v>
      </c>
      <c r="D380" s="2759"/>
      <c r="E380" s="2759"/>
      <c r="F380" s="2759"/>
      <c r="G380" s="2759"/>
      <c r="H380" s="2834" t="s">
        <v>470</v>
      </c>
      <c r="I380" s="1396" t="s">
        <v>15</v>
      </c>
      <c r="J380" s="2837" t="n">
        <v>0.3</v>
      </c>
      <c r="K380" s="2792"/>
      <c r="L380" s="2793"/>
      <c r="M380" s="2759"/>
    </row>
    <row r="381" customFormat="false" ht="15.75" hidden="false" customHeight="false" outlineLevel="1" collapsed="false">
      <c r="A381" s="861" t="s">
        <v>471</v>
      </c>
      <c r="B381" s="876" t="s">
        <v>15</v>
      </c>
      <c r="C381" s="2832" t="n">
        <f aca="false">'Ввод данных'!C808</f>
        <v>0.3</v>
      </c>
      <c r="D381" s="2759"/>
      <c r="E381" s="2759"/>
      <c r="F381" s="2759"/>
      <c r="G381" s="2759"/>
      <c r="H381" s="2834" t="s">
        <v>471</v>
      </c>
      <c r="I381" s="1396" t="s">
        <v>15</v>
      </c>
      <c r="J381" s="2837" t="n">
        <v>0.4</v>
      </c>
      <c r="K381" s="2792"/>
      <c r="L381" s="2793"/>
      <c r="M381" s="2759"/>
    </row>
    <row r="382" customFormat="false" ht="15.75" hidden="false" customHeight="false" outlineLevel="1" collapsed="false">
      <c r="A382" s="861" t="s">
        <v>472</v>
      </c>
      <c r="B382" s="876" t="s">
        <v>15</v>
      </c>
      <c r="C382" s="2832" t="n">
        <f aca="false">'Ввод данных'!C809</f>
        <v>0.3</v>
      </c>
      <c r="D382" s="2759"/>
      <c r="E382" s="2759"/>
      <c r="F382" s="2759"/>
      <c r="G382" s="2759"/>
      <c r="H382" s="2834" t="s">
        <v>472</v>
      </c>
      <c r="I382" s="1396" t="s">
        <v>15</v>
      </c>
      <c r="J382" s="2837" t="n">
        <v>0.3</v>
      </c>
      <c r="K382" s="2792"/>
      <c r="L382" s="2793"/>
      <c r="M382" s="2759"/>
    </row>
    <row r="383" customFormat="false" ht="15.75" hidden="false" customHeight="false" outlineLevel="1" collapsed="false">
      <c r="A383" s="861" t="s">
        <v>473</v>
      </c>
      <c r="B383" s="876" t="s">
        <v>15</v>
      </c>
      <c r="C383" s="2832" t="n">
        <f aca="false">'Ввод данных'!C810</f>
        <v>0.4</v>
      </c>
      <c r="D383" s="2759"/>
      <c r="E383" s="2759"/>
      <c r="F383" s="2759"/>
      <c r="G383" s="2759"/>
      <c r="H383" s="2834" t="s">
        <v>473</v>
      </c>
      <c r="I383" s="1396" t="s">
        <v>15</v>
      </c>
      <c r="J383" s="2837" t="n">
        <v>0.6</v>
      </c>
      <c r="K383" s="2792"/>
      <c r="L383" s="2793"/>
      <c r="M383" s="2759"/>
    </row>
    <row r="384" customFormat="false" ht="15.75" hidden="false" customHeight="false" outlineLevel="1" collapsed="false">
      <c r="A384" s="861" t="s">
        <v>568</v>
      </c>
      <c r="B384" s="876" t="s">
        <v>15</v>
      </c>
      <c r="C384" s="2832" t="n">
        <f aca="false">'Ввод данных'!C814</f>
        <v>0</v>
      </c>
      <c r="D384" s="2759"/>
      <c r="E384" s="2759"/>
      <c r="F384" s="2759"/>
      <c r="G384" s="2759"/>
      <c r="H384" s="2834" t="s">
        <v>568</v>
      </c>
      <c r="I384" s="1396" t="s">
        <v>15</v>
      </c>
      <c r="J384" s="2837" t="n">
        <v>0.04</v>
      </c>
      <c r="K384" s="2792"/>
      <c r="L384" s="2793"/>
      <c r="M384" s="2759"/>
    </row>
    <row r="385" customFormat="false" ht="15.75" hidden="false" customHeight="false" outlineLevel="1" collapsed="false">
      <c r="A385" s="861" t="s">
        <v>569</v>
      </c>
      <c r="B385" s="876" t="s">
        <v>48</v>
      </c>
      <c r="C385" s="2832" t="n">
        <f aca="false">'Ввод данных'!C816</f>
        <v>6</v>
      </c>
      <c r="D385" s="2759"/>
      <c r="E385" s="2759"/>
      <c r="F385" s="2759"/>
      <c r="G385" s="2759"/>
      <c r="H385" s="2834" t="s">
        <v>569</v>
      </c>
      <c r="I385" s="1396" t="s">
        <v>48</v>
      </c>
      <c r="J385" s="2837" t="n">
        <v>6</v>
      </c>
      <c r="K385" s="2792"/>
      <c r="L385" s="2793"/>
      <c r="M385" s="2759"/>
    </row>
    <row r="386" customFormat="false" ht="15.75" hidden="false" customHeight="false" outlineLevel="1" collapsed="false">
      <c r="A386" s="738" t="s">
        <v>4130</v>
      </c>
      <c r="B386" s="767" t="s">
        <v>15</v>
      </c>
      <c r="C386" s="740" t="n">
        <f aca="false">C330</f>
        <v>48</v>
      </c>
      <c r="D386" s="2759"/>
      <c r="E386" s="2759"/>
      <c r="F386" s="2759"/>
      <c r="G386" s="2759"/>
      <c r="H386" s="1634" t="s">
        <v>1062</v>
      </c>
      <c r="I386" s="1396" t="s">
        <v>502</v>
      </c>
      <c r="J386" s="2837" t="n">
        <v>4</v>
      </c>
      <c r="K386" s="2792"/>
      <c r="L386" s="2793"/>
      <c r="M386" s="2759"/>
    </row>
    <row r="387" customFormat="false" ht="15.75" hidden="false" customHeight="false" outlineLevel="1" collapsed="false">
      <c r="A387" s="908" t="s">
        <v>4131</v>
      </c>
      <c r="B387" s="767" t="s">
        <v>1043</v>
      </c>
      <c r="C387" s="740" t="n">
        <f aca="false">C386*(C379+C380)*C381</f>
        <v>8.64</v>
      </c>
      <c r="D387" s="2759"/>
      <c r="E387" s="2759"/>
      <c r="F387" s="2759"/>
      <c r="G387" s="2759"/>
      <c r="H387" s="1698" t="s">
        <v>4132</v>
      </c>
      <c r="I387" s="1396" t="s">
        <v>486</v>
      </c>
      <c r="J387" s="2837"/>
      <c r="K387" s="2792"/>
      <c r="L387" s="2793"/>
      <c r="M387" s="2759"/>
    </row>
    <row r="388" customFormat="false" ht="15.75" hidden="false" customHeight="false" outlineLevel="1" collapsed="false">
      <c r="A388" s="908" t="s">
        <v>4132</v>
      </c>
      <c r="B388" s="767" t="s">
        <v>820</v>
      </c>
      <c r="C388" s="740" t="n">
        <f aca="false">C332</f>
        <v>19.2</v>
      </c>
      <c r="D388" s="2826" t="n">
        <f aca="false">D332</f>
        <v>0</v>
      </c>
      <c r="E388" s="2759"/>
      <c r="F388" s="2759"/>
      <c r="G388" s="2759"/>
      <c r="H388" s="1634" t="s">
        <v>4133</v>
      </c>
      <c r="I388" s="1396" t="s">
        <v>15</v>
      </c>
      <c r="J388" s="2837" t="n">
        <v>0.1</v>
      </c>
      <c r="K388" s="2792"/>
      <c r="L388" s="2793"/>
      <c r="M388" s="2759"/>
    </row>
    <row r="389" customFormat="false" ht="15.75" hidden="false" customHeight="false" outlineLevel="1" collapsed="false">
      <c r="A389" s="908" t="s">
        <v>4143</v>
      </c>
      <c r="B389" s="767" t="s">
        <v>15</v>
      </c>
      <c r="C389" s="2824" t="n">
        <f aca="false">'Ввод данных'!C821</f>
        <v>0</v>
      </c>
      <c r="D389" s="2526"/>
      <c r="E389" s="2759"/>
      <c r="F389" s="2759"/>
      <c r="G389" s="2759"/>
      <c r="H389" s="1634" t="s">
        <v>483</v>
      </c>
      <c r="I389" s="1396" t="s">
        <v>15</v>
      </c>
      <c r="J389" s="2837" t="n">
        <v>10</v>
      </c>
      <c r="K389" s="2792"/>
      <c r="L389" s="2793"/>
      <c r="M389" s="2759"/>
    </row>
    <row r="390" customFormat="false" ht="15.75" hidden="false" customHeight="false" outlineLevel="1" collapsed="false">
      <c r="A390" s="908" t="s">
        <v>483</v>
      </c>
      <c r="B390" s="767" t="s">
        <v>118</v>
      </c>
      <c r="C390" s="2824" t="n">
        <f aca="false">'Ввод данных'!C819</f>
        <v>10</v>
      </c>
      <c r="D390" s="2526"/>
      <c r="E390" s="2759"/>
      <c r="F390" s="2759"/>
      <c r="G390" s="2759"/>
      <c r="H390" s="1995" t="s">
        <v>3771</v>
      </c>
      <c r="I390" s="1752" t="s">
        <v>48</v>
      </c>
      <c r="J390" s="2838" t="n">
        <v>1</v>
      </c>
      <c r="K390" s="2759"/>
      <c r="L390" s="2759"/>
      <c r="M390" s="2759"/>
    </row>
    <row r="391" customFormat="false" ht="15.75" hidden="false" customHeight="false" outlineLevel="1" collapsed="false">
      <c r="A391" s="908" t="s">
        <v>1062</v>
      </c>
      <c r="B391" s="767" t="s">
        <v>502</v>
      </c>
      <c r="C391" s="2824" t="e">
        <f aca="false">'ввод данных'!#ref!</f>
        <v>#VALUE!</v>
      </c>
      <c r="D391" s="2526"/>
      <c r="E391" s="2759"/>
      <c r="F391" s="2759"/>
      <c r="G391" s="2759"/>
      <c r="H391" s="2401" t="s">
        <v>3773</v>
      </c>
      <c r="I391" s="2839" t="s">
        <v>48</v>
      </c>
      <c r="J391" s="2840" t="n">
        <v>2</v>
      </c>
      <c r="K391" s="2759"/>
      <c r="L391" s="2759"/>
      <c r="M391" s="2759"/>
    </row>
    <row r="392" customFormat="false" ht="15.75" hidden="false" customHeight="false" outlineLevel="1" collapsed="false">
      <c r="A392" s="2841" t="s">
        <v>4144</v>
      </c>
      <c r="B392" s="2841"/>
      <c r="C392" s="2841"/>
      <c r="D392" s="2842" t="n">
        <f aca="false">VLOOKUP('Ввод данных'!C823,связи1!A2:B3,2,0)</f>
        <v>1</v>
      </c>
      <c r="E392" s="2759"/>
      <c r="F392" s="2759"/>
      <c r="G392" s="2759"/>
      <c r="H392" s="2843" t="s">
        <v>4144</v>
      </c>
      <c r="I392" s="1396" t="s">
        <v>486</v>
      </c>
      <c r="J392" s="2844" t="n">
        <v>0</v>
      </c>
      <c r="K392" s="2792"/>
      <c r="L392" s="2793"/>
      <c r="M392" s="2759"/>
    </row>
    <row r="393" customFormat="false" ht="15.75" hidden="false" customHeight="false" outlineLevel="1" collapsed="false">
      <c r="A393" s="876" t="s">
        <v>4145</v>
      </c>
      <c r="B393" s="876" t="s">
        <v>48</v>
      </c>
      <c r="C393" s="740" t="n">
        <f aca="false">CEILING(B264*D392,1)</f>
        <v>21</v>
      </c>
      <c r="D393" s="2526"/>
      <c r="E393" s="2759"/>
      <c r="F393" s="2759"/>
      <c r="G393" s="2759"/>
      <c r="H393" s="1252" t="s">
        <v>487</v>
      </c>
      <c r="I393" s="1248" t="s">
        <v>488</v>
      </c>
      <c r="J393" s="2845" t="n">
        <v>0.4</v>
      </c>
      <c r="K393" s="2792"/>
      <c r="L393" s="2793"/>
      <c r="M393" s="2759"/>
    </row>
    <row r="394" customFormat="false" ht="15.75" hidden="false" customHeight="false" outlineLevel="1" collapsed="false">
      <c r="A394" s="876" t="s">
        <v>487</v>
      </c>
      <c r="B394" s="876" t="s">
        <v>488</v>
      </c>
      <c r="C394" s="2832" t="n">
        <f aca="false">'Ввод данных'!C824*D392</f>
        <v>0.3</v>
      </c>
      <c r="D394" s="2526"/>
      <c r="E394" s="2759"/>
      <c r="F394" s="2759"/>
      <c r="G394" s="2759"/>
      <c r="H394" s="1252" t="s">
        <v>489</v>
      </c>
      <c r="I394" s="1248" t="s">
        <v>488</v>
      </c>
      <c r="J394" s="2845" t="n">
        <v>2</v>
      </c>
      <c r="K394" s="2792"/>
      <c r="L394" s="2793"/>
      <c r="M394" s="2759"/>
    </row>
    <row r="395" customFormat="false" ht="15.75" hidden="false" customHeight="false" outlineLevel="1" collapsed="false">
      <c r="A395" s="876" t="s">
        <v>489</v>
      </c>
      <c r="B395" s="876" t="s">
        <v>488</v>
      </c>
      <c r="C395" s="2832" t="n">
        <f aca="false">'Ввод данных'!C825*D392</f>
        <v>3</v>
      </c>
      <c r="D395" s="2526"/>
      <c r="E395" s="2759"/>
      <c r="F395" s="2759"/>
      <c r="G395" s="2759"/>
      <c r="H395" s="2663" t="s">
        <v>3771</v>
      </c>
      <c r="I395" s="2846" t="s">
        <v>48</v>
      </c>
      <c r="J395" s="2585" t="n">
        <v>1</v>
      </c>
      <c r="K395" s="2792"/>
      <c r="L395" s="2793"/>
      <c r="M395" s="2759"/>
    </row>
    <row r="396" customFormat="false" ht="15.75" hidden="false" customHeight="false" outlineLevel="1" collapsed="false">
      <c r="A396" s="876" t="s">
        <v>4146</v>
      </c>
      <c r="B396" s="876" t="s">
        <v>1043</v>
      </c>
      <c r="C396" s="740" t="n">
        <f aca="false">3.14*(C394/2)*(C394/2)*C395*C393*D392</f>
        <v>4.45095</v>
      </c>
      <c r="D396" s="2526"/>
      <c r="E396" s="2759"/>
      <c r="F396" s="2759"/>
      <c r="G396" s="2759"/>
      <c r="H396" s="2847" t="s">
        <v>3773</v>
      </c>
      <c r="I396" s="2848" t="s">
        <v>118</v>
      </c>
      <c r="J396" s="2849" t="n">
        <v>3</v>
      </c>
      <c r="K396" s="2792"/>
      <c r="L396" s="2793"/>
      <c r="M396" s="2759"/>
    </row>
    <row r="397" customFormat="false" ht="30" hidden="false" customHeight="false" outlineLevel="1" collapsed="false">
      <c r="A397" s="2631" t="s">
        <v>3771</v>
      </c>
      <c r="B397" s="876" t="s">
        <v>48</v>
      </c>
      <c r="C397" s="2686" t="e">
        <f aca="false">VLOOKUP('Ввод данных'!C846,связи1!A2:B3,2,0)*D392</f>
        <v>#N/A</v>
      </c>
      <c r="D397" s="2526"/>
      <c r="E397" s="2759"/>
      <c r="F397" s="2759"/>
      <c r="G397" s="2759"/>
      <c r="H397" s="2850" t="s">
        <v>492</v>
      </c>
      <c r="I397" s="1396" t="s">
        <v>486</v>
      </c>
      <c r="J397" s="2851"/>
      <c r="K397" s="2792"/>
      <c r="L397" s="2793"/>
      <c r="M397" s="2759"/>
    </row>
    <row r="398" customFormat="false" ht="15.75" hidden="false" customHeight="false" outlineLevel="1" collapsed="false">
      <c r="A398" s="1558" t="s">
        <v>3773</v>
      </c>
      <c r="B398" s="2679" t="s">
        <v>48</v>
      </c>
      <c r="C398" s="2686" t="e">
        <f aca="false">'ввод данных'!#ref!*D392</f>
        <v>#VALUE!</v>
      </c>
      <c r="D398" s="2526"/>
      <c r="E398" s="2759"/>
      <c r="F398" s="2759"/>
      <c r="G398" s="2759"/>
      <c r="H398" s="1343" t="s">
        <v>494</v>
      </c>
      <c r="I398" s="1396" t="s">
        <v>15</v>
      </c>
      <c r="J398" s="2458" t="n">
        <v>0.8</v>
      </c>
      <c r="K398" s="2792"/>
      <c r="L398" s="2793"/>
      <c r="M398" s="2759"/>
    </row>
    <row r="399" customFormat="false" ht="15.75" hidden="false" customHeight="false" outlineLevel="1" collapsed="false">
      <c r="A399" s="2852" t="s">
        <v>492</v>
      </c>
      <c r="B399" s="2852"/>
      <c r="C399" s="2852"/>
      <c r="D399" s="2759"/>
      <c r="E399" s="2792"/>
      <c r="F399" s="2793"/>
      <c r="G399" s="2759"/>
      <c r="H399" s="1343" t="s">
        <v>495</v>
      </c>
      <c r="I399" s="1396" t="s">
        <v>15</v>
      </c>
      <c r="J399" s="2458" t="n">
        <v>0.1</v>
      </c>
      <c r="K399" s="2759"/>
      <c r="L399" s="2759"/>
      <c r="M399" s="2759"/>
    </row>
    <row r="400" customFormat="false" ht="15.75" hidden="false" customHeight="false" outlineLevel="1" collapsed="false">
      <c r="A400" s="876" t="s">
        <v>494</v>
      </c>
      <c r="B400" s="876" t="s">
        <v>15</v>
      </c>
      <c r="C400" s="2832" t="n">
        <f aca="false">'Ввод данных'!C830</f>
        <v>0.8</v>
      </c>
      <c r="D400" s="2826" t="n">
        <f aca="false">VLOOKUP('Ввод данных'!C829,связи1!A2:B3,2,0)</f>
        <v>0</v>
      </c>
      <c r="E400" s="2828"/>
      <c r="F400" s="2793"/>
      <c r="G400" s="2759"/>
      <c r="H400" s="1343" t="s">
        <v>4135</v>
      </c>
      <c r="I400" s="1396" t="s">
        <v>15</v>
      </c>
      <c r="J400" s="2458" t="n">
        <v>0.05</v>
      </c>
      <c r="K400" s="2759"/>
      <c r="L400" s="2759"/>
      <c r="M400" s="2759"/>
    </row>
    <row r="401" customFormat="false" ht="15.75" hidden="false" customHeight="false" outlineLevel="1" collapsed="false">
      <c r="A401" s="876" t="s">
        <v>4134</v>
      </c>
      <c r="B401" s="876" t="s">
        <v>820</v>
      </c>
      <c r="C401" s="740" t="n">
        <f aca="false">((E3+C400+C400)*2*C400+E4*C400*2+E132*(D139+D140*2-D139)*C400+D172*(C178+C179*2+C180*2*D180-C184)*C400+D220*(C226+C227*2-C226)*C400)*D400</f>
        <v>0</v>
      </c>
      <c r="D401" s="2526"/>
      <c r="E401" s="2828"/>
      <c r="F401" s="2793"/>
      <c r="G401" s="2759"/>
      <c r="H401" s="1344" t="s">
        <v>496</v>
      </c>
      <c r="I401" s="1396" t="s">
        <v>15</v>
      </c>
      <c r="J401" s="2853" t="n">
        <v>0.2</v>
      </c>
      <c r="K401" s="2759"/>
      <c r="L401" s="2759"/>
      <c r="M401" s="2759"/>
    </row>
    <row r="402" customFormat="false" ht="15.75" hidden="false" customHeight="false" outlineLevel="1" collapsed="false">
      <c r="A402" s="876" t="s">
        <v>495</v>
      </c>
      <c r="B402" s="876" t="s">
        <v>15</v>
      </c>
      <c r="C402" s="2832" t="n">
        <f aca="false">'Ввод данных'!C831</f>
        <v>0.1</v>
      </c>
      <c r="D402" s="2759"/>
      <c r="E402" s="2792"/>
      <c r="F402" s="2793"/>
      <c r="G402" s="2759"/>
      <c r="H402" s="1344" t="s">
        <v>497</v>
      </c>
      <c r="I402" s="1396" t="s">
        <v>15</v>
      </c>
      <c r="J402" s="2458" t="n">
        <v>0.8</v>
      </c>
      <c r="K402" s="2759"/>
      <c r="L402" s="2759"/>
      <c r="M402" s="2759"/>
    </row>
    <row r="403" customFormat="false" ht="15.75" hidden="false" customHeight="false" outlineLevel="1" collapsed="false">
      <c r="A403" s="876" t="s">
        <v>537</v>
      </c>
      <c r="B403" s="876" t="s">
        <v>15</v>
      </c>
      <c r="C403" s="2832" t="n">
        <f aca="false">'Ввод данных'!C836</f>
        <v>0</v>
      </c>
      <c r="D403" s="2826" t="n">
        <v>1</v>
      </c>
      <c r="E403" s="2759"/>
      <c r="F403" s="2793"/>
      <c r="G403" s="2759"/>
      <c r="H403" s="2759"/>
      <c r="I403" s="2759"/>
      <c r="J403" s="2759"/>
      <c r="K403" s="2759"/>
      <c r="L403" s="2759"/>
      <c r="M403" s="2759"/>
    </row>
    <row r="404" customFormat="false" ht="15.75" hidden="false" customHeight="false" outlineLevel="1" collapsed="false">
      <c r="A404" s="876" t="s">
        <v>496</v>
      </c>
      <c r="B404" s="876" t="s">
        <v>15</v>
      </c>
      <c r="C404" s="2832" t="n">
        <f aca="false">'Ввод данных'!C832</f>
        <v>0.2</v>
      </c>
      <c r="D404" s="2826" t="n">
        <v>1</v>
      </c>
      <c r="E404" s="2792"/>
      <c r="F404" s="2793"/>
      <c r="G404" s="2759"/>
      <c r="H404" s="2759"/>
      <c r="I404" s="2759"/>
      <c r="J404" s="2759"/>
      <c r="K404" s="2759"/>
      <c r="L404" s="2759"/>
      <c r="M404" s="2759"/>
    </row>
    <row r="405" customFormat="false" ht="15.75" hidden="false" customHeight="false" outlineLevel="1" collapsed="false">
      <c r="A405" s="876" t="s">
        <v>497</v>
      </c>
      <c r="B405" s="876" t="s">
        <v>15</v>
      </c>
      <c r="C405" s="2832" t="n">
        <f aca="false">'Ввод данных'!C833</f>
        <v>0.8</v>
      </c>
      <c r="D405" s="2759"/>
      <c r="E405" s="2792"/>
      <c r="F405" s="2793"/>
      <c r="G405" s="2759"/>
      <c r="H405" s="2759"/>
      <c r="I405" s="2759"/>
      <c r="J405" s="2759"/>
      <c r="K405" s="2759"/>
      <c r="L405" s="2759"/>
      <c r="M405" s="2759"/>
    </row>
    <row r="406" customFormat="false" ht="15.75" hidden="false" customHeight="false" outlineLevel="1" collapsed="false">
      <c r="A406" s="876" t="s">
        <v>4136</v>
      </c>
      <c r="B406" s="876" t="s">
        <v>1043</v>
      </c>
      <c r="C406" s="740" t="n">
        <f aca="false">C401*C402</f>
        <v>0</v>
      </c>
      <c r="D406" s="2759"/>
      <c r="E406" s="2792"/>
      <c r="F406" s="2793"/>
      <c r="G406" s="2759"/>
      <c r="H406" s="2759"/>
      <c r="I406" s="2759"/>
      <c r="J406" s="2759"/>
      <c r="K406" s="2759"/>
      <c r="L406" s="2759"/>
      <c r="M406" s="2759"/>
    </row>
    <row r="407" customFormat="false" ht="15.75" hidden="false" customHeight="false" outlineLevel="1" collapsed="false">
      <c r="A407" s="2854" t="s">
        <v>2246</v>
      </c>
      <c r="B407" s="2854"/>
      <c r="C407" s="2854"/>
      <c r="D407" s="2854"/>
      <c r="E407" s="2854"/>
      <c r="F407" s="2783"/>
      <c r="G407" s="2854" t="s">
        <v>2007</v>
      </c>
      <c r="H407" s="2854"/>
      <c r="I407" s="2854"/>
      <c r="J407" s="2854"/>
      <c r="K407" s="2854"/>
      <c r="L407" s="2854"/>
      <c r="M407" s="2808"/>
    </row>
    <row r="408" customFormat="false" ht="15.75" hidden="false" customHeight="false" outlineLevel="1" collapsed="false">
      <c r="A408" s="2855"/>
      <c r="B408" s="2679" t="s">
        <v>12</v>
      </c>
      <c r="C408" s="2679" t="s">
        <v>118</v>
      </c>
      <c r="D408" s="2679" t="s">
        <v>2190</v>
      </c>
      <c r="E408" s="2679" t="s">
        <v>2916</v>
      </c>
      <c r="F408" s="918"/>
      <c r="G408" s="2810"/>
      <c r="H408" s="2810"/>
      <c r="I408" s="2679" t="s">
        <v>12</v>
      </c>
      <c r="J408" s="2679" t="s">
        <v>118</v>
      </c>
      <c r="K408" s="2679" t="s">
        <v>2190</v>
      </c>
      <c r="L408" s="876" t="s">
        <v>2916</v>
      </c>
      <c r="M408" s="2808"/>
    </row>
    <row r="409" customFormat="false" ht="15.75" hidden="false" customHeight="false" outlineLevel="1" collapsed="false">
      <c r="A409" s="876" t="str">
        <f aca="false">'Прайс лист'!B194</f>
        <v>Экскаватор погрузчик, бурение</v>
      </c>
      <c r="B409" s="876" t="s">
        <v>48</v>
      </c>
      <c r="C409" s="876" t="n">
        <f aca="false">C393*G375*D392*C395</f>
        <v>69.3</v>
      </c>
      <c r="D409" s="876" t="n">
        <f aca="false">'Прайс лист'!G194</f>
        <v>300</v>
      </c>
      <c r="E409" s="876" t="n">
        <f aca="false">C409*D409</f>
        <v>20790</v>
      </c>
      <c r="F409" s="876"/>
      <c r="G409" s="2663" t="str">
        <f aca="false">'Прайс лист'!B1456</f>
        <v>приемка бетона</v>
      </c>
      <c r="H409" s="2664"/>
      <c r="I409" s="876" t="s">
        <v>1043</v>
      </c>
      <c r="J409" s="876" t="n">
        <f aca="false">C396*D392*H375</f>
        <v>4.6734975</v>
      </c>
      <c r="K409" s="876" t="n">
        <f aca="false">'Прайс лист'!G1456</f>
        <v>1200</v>
      </c>
      <c r="L409" s="876" t="n">
        <f aca="false">J409*K409</f>
        <v>5608.197</v>
      </c>
      <c r="M409" s="2808"/>
    </row>
    <row r="410" customFormat="false" ht="15.75" hidden="false" customHeight="false" outlineLevel="1" collapsed="false">
      <c r="A410" s="876" t="str">
        <f aca="false">'Ввод данных'!A827</f>
        <v>Бетон, м300</v>
      </c>
      <c r="B410" s="876" t="s">
        <v>1043</v>
      </c>
      <c r="C410" s="876" t="n">
        <f aca="false">C396*G375*D392</f>
        <v>4.896045</v>
      </c>
      <c r="D410" s="1158" t="n">
        <f aca="false">VLOOKUP(A410,Бетон__м200,6,0)</f>
        <v>3000</v>
      </c>
      <c r="E410" s="876" t="n">
        <f aca="false">C410*D410</f>
        <v>14688.135</v>
      </c>
      <c r="F410" s="876"/>
      <c r="G410" s="2663" t="str">
        <f aca="false">'Прайс лист'!B1428</f>
        <v>армирование свай скелет из арматуры</v>
      </c>
      <c r="H410" s="2664"/>
      <c r="I410" s="876" t="s">
        <v>15</v>
      </c>
      <c r="J410" s="876" t="n">
        <f aca="false">C393*C395*D392*H375</f>
        <v>66.15</v>
      </c>
      <c r="K410" s="876" t="n">
        <f aca="false">'Прайс лист'!G1428</f>
        <v>500</v>
      </c>
      <c r="L410" s="876" t="n">
        <f aca="false">J410*K410</f>
        <v>33075</v>
      </c>
      <c r="M410" s="2808"/>
    </row>
    <row r="411" customFormat="false" ht="15.75" hidden="false" customHeight="false" outlineLevel="1" collapsed="false">
      <c r="A411" s="876" t="str">
        <f aca="false">'Прайс лист'!B228</f>
        <v>Арматурный скелет для свай</v>
      </c>
      <c r="B411" s="876" t="s">
        <v>15</v>
      </c>
      <c r="C411" s="876" t="n">
        <f aca="false">C409*C395*G375*D392</f>
        <v>228.69</v>
      </c>
      <c r="D411" s="876" t="n">
        <f aca="false">'Прайс лист'!G228</f>
        <v>500</v>
      </c>
      <c r="E411" s="876" t="n">
        <f aca="false">C411*D411</f>
        <v>114345</v>
      </c>
      <c r="F411" s="876"/>
      <c r="G411" s="2663" t="s">
        <v>4123</v>
      </c>
      <c r="H411" s="2664"/>
      <c r="I411" s="2825" t="s">
        <v>48</v>
      </c>
      <c r="J411" s="876" t="n">
        <f aca="false">J345</f>
        <v>1.05</v>
      </c>
      <c r="K411" s="876" t="n">
        <f aca="false">'Прайс лист'!G1441</f>
        <v>7000</v>
      </c>
      <c r="L411" s="876" t="n">
        <f aca="false">J411*K411</f>
        <v>7350</v>
      </c>
      <c r="M411" s="2808"/>
    </row>
    <row r="412" customFormat="false" ht="15.75" hidden="false" customHeight="false" outlineLevel="1" collapsed="false">
      <c r="A412" s="876" t="str">
        <f aca="false">A345</f>
        <v>Сосна влаж,150*40мм</v>
      </c>
      <c r="B412" s="876" t="str">
        <f aca="false">B345</f>
        <v>м3</v>
      </c>
      <c r="C412" s="876" t="n">
        <f aca="false">C345</f>
        <v>3.29472</v>
      </c>
      <c r="D412" s="876" t="n">
        <f aca="false">D345</f>
        <v>6500</v>
      </c>
      <c r="E412" s="876" t="n">
        <f aca="false">E345</f>
        <v>21415.68</v>
      </c>
      <c r="F412" s="876"/>
      <c r="G412" s="2663" t="s">
        <v>2029</v>
      </c>
      <c r="H412" s="2664"/>
      <c r="I412" s="876" t="s">
        <v>820</v>
      </c>
      <c r="J412" s="876" t="n">
        <f aca="false">J346</f>
        <v>60.48</v>
      </c>
      <c r="K412" s="876" t="n">
        <f aca="false">'Прайс лист'!G1442</f>
        <v>300</v>
      </c>
      <c r="L412" s="876" t="n">
        <f aca="false">J412*K412</f>
        <v>18144</v>
      </c>
      <c r="M412" s="2808"/>
    </row>
    <row r="413" customFormat="false" ht="15.75" hidden="false" customHeight="false" outlineLevel="1" collapsed="false">
      <c r="A413" s="876" t="str">
        <f aca="false">A346</f>
        <v>Пленка гидроизоляционная </v>
      </c>
      <c r="B413" s="876" t="str">
        <f aca="false">B346</f>
        <v>м2</v>
      </c>
      <c r="C413" s="876" t="n">
        <f aca="false">C346</f>
        <v>82.368</v>
      </c>
      <c r="D413" s="876" t="n">
        <f aca="false">D346</f>
        <v>15</v>
      </c>
      <c r="E413" s="876" t="n">
        <f aca="false">E346</f>
        <v>1235.52</v>
      </c>
      <c r="F413" s="918"/>
      <c r="G413" s="2663" t="s">
        <v>2030</v>
      </c>
      <c r="H413" s="2664"/>
      <c r="I413" s="876" t="s">
        <v>820</v>
      </c>
      <c r="J413" s="876" t="n">
        <f aca="false">J347</f>
        <v>63.504</v>
      </c>
      <c r="K413" s="876" t="n">
        <f aca="false">'Прайс лист'!G1443</f>
        <v>100</v>
      </c>
      <c r="L413" s="876" t="n">
        <f aca="false">J413*K413</f>
        <v>6350.4</v>
      </c>
      <c r="M413" s="2808"/>
    </row>
    <row r="414" customFormat="false" ht="15.75" hidden="false" customHeight="false" outlineLevel="1" collapsed="false">
      <c r="A414" s="876"/>
      <c r="B414" s="876"/>
      <c r="C414" s="876"/>
      <c r="D414" s="876"/>
      <c r="E414" s="876"/>
      <c r="F414" s="918"/>
      <c r="G414" s="2663" t="s">
        <v>2031</v>
      </c>
      <c r="H414" s="2664"/>
      <c r="I414" s="876" t="s">
        <v>820</v>
      </c>
      <c r="J414" s="876" t="n">
        <f aca="false">J348</f>
        <v>66.6792</v>
      </c>
      <c r="K414" s="876" t="n">
        <f aca="false">'Прайс лист'!G1444</f>
        <v>10</v>
      </c>
      <c r="L414" s="876" t="n">
        <f aca="false">J414*K414</f>
        <v>666.792</v>
      </c>
      <c r="M414" s="2808"/>
    </row>
    <row r="415" customFormat="false" ht="15.75" hidden="false" customHeight="false" outlineLevel="1" collapsed="false">
      <c r="A415" s="876" t="str">
        <f aca="false">A348</f>
        <v>Арматура стальная Ø 8</v>
      </c>
      <c r="B415" s="876" t="str">
        <f aca="false">B348</f>
        <v>м.п</v>
      </c>
      <c r="C415" s="876" t="n">
        <f aca="false">C348</f>
        <v>380.16</v>
      </c>
      <c r="D415" s="876" t="n">
        <f aca="false">D348</f>
        <v>16.037</v>
      </c>
      <c r="E415" s="876" t="n">
        <f aca="false">E348</f>
        <v>6096.62592</v>
      </c>
      <c r="F415" s="918"/>
      <c r="G415" s="2663"/>
      <c r="H415" s="2664"/>
      <c r="I415" s="876"/>
      <c r="J415" s="876"/>
      <c r="K415" s="876"/>
      <c r="L415" s="876"/>
      <c r="M415" s="2808"/>
    </row>
    <row r="416" customFormat="false" ht="15.75" hidden="false" customHeight="false" outlineLevel="1" collapsed="false">
      <c r="A416" s="876" t="str">
        <f aca="false">A349</f>
        <v>Арматура стальная Ø 6</v>
      </c>
      <c r="B416" s="876" t="str">
        <f aca="false">B349</f>
        <v>м.п</v>
      </c>
      <c r="C416" s="876" t="n">
        <f aca="false">C349</f>
        <v>261.36</v>
      </c>
      <c r="D416" s="876" t="n">
        <f aca="false">D349</f>
        <v>9.0132</v>
      </c>
      <c r="E416" s="876" t="n">
        <f aca="false">E349</f>
        <v>2355.689952</v>
      </c>
      <c r="F416" s="918"/>
      <c r="G416" s="2663" t="s">
        <v>4137</v>
      </c>
      <c r="H416" s="2664"/>
      <c r="I416" s="876" t="s">
        <v>2013</v>
      </c>
      <c r="J416" s="876" t="n">
        <f aca="false">J350</f>
        <v>362.88</v>
      </c>
      <c r="K416" s="876" t="n">
        <f aca="false">'Прайс лист'!G1426</f>
        <v>30</v>
      </c>
      <c r="L416" s="876" t="n">
        <f aca="false">J416*K416</f>
        <v>10886.4</v>
      </c>
      <c r="M416" s="2808"/>
    </row>
    <row r="417" customFormat="false" ht="15.75" hidden="false" customHeight="false" outlineLevel="1" collapsed="false">
      <c r="A417" s="876" t="str">
        <f aca="false">A350</f>
        <v>Вязальная проволока</v>
      </c>
      <c r="B417" s="876" t="str">
        <f aca="false">B350</f>
        <v>кг</v>
      </c>
      <c r="C417" s="876" t="n">
        <f aca="false">C350</f>
        <v>14.11344</v>
      </c>
      <c r="D417" s="876" t="n">
        <f aca="false">D350</f>
        <v>80</v>
      </c>
      <c r="E417" s="876" t="n">
        <f aca="false">E350</f>
        <v>1129.0752</v>
      </c>
      <c r="F417" s="918"/>
      <c r="G417" s="2663" t="s">
        <v>4137</v>
      </c>
      <c r="H417" s="2664"/>
      <c r="I417" s="876" t="s">
        <v>15</v>
      </c>
      <c r="J417" s="876" t="n">
        <f aca="false">J351</f>
        <v>166.32</v>
      </c>
      <c r="K417" s="876" t="n">
        <f aca="false">'Прайс лист'!G1427</f>
        <v>30</v>
      </c>
      <c r="L417" s="876" t="n">
        <f aca="false">J417*K417</f>
        <v>4989.6</v>
      </c>
      <c r="M417" s="2808"/>
    </row>
    <row r="418" customFormat="false" ht="15.75" hidden="false" customHeight="false" outlineLevel="1" collapsed="false">
      <c r="A418" s="876" t="str">
        <f aca="false">A351</f>
        <v>Гвозди строительные 3,5 x 90            </v>
      </c>
      <c r="B418" s="876" t="str">
        <f aca="false">B351</f>
        <v>кг</v>
      </c>
      <c r="C418" s="876" t="n">
        <f aca="false">C351</f>
        <v>18.12096</v>
      </c>
      <c r="D418" s="876" t="n">
        <f aca="false">D351</f>
        <v>70</v>
      </c>
      <c r="E418" s="876" t="n">
        <f aca="false">E351</f>
        <v>1268.4672</v>
      </c>
      <c r="F418" s="918"/>
      <c r="G418" s="2663" t="s">
        <v>2036</v>
      </c>
      <c r="H418" s="2664"/>
      <c r="I418" s="876" t="s">
        <v>820</v>
      </c>
      <c r="J418" s="876" t="n">
        <f aca="false">J352</f>
        <v>15.12</v>
      </c>
      <c r="K418" s="876" t="n">
        <f aca="false">'Прайс лист'!G1451</f>
        <v>100</v>
      </c>
      <c r="L418" s="876" t="n">
        <f aca="false">J418*K418</f>
        <v>1512</v>
      </c>
      <c r="M418" s="2808"/>
    </row>
    <row r="419" customFormat="false" ht="15.75" hidden="false" customHeight="false" outlineLevel="1" collapsed="false">
      <c r="A419" s="876" t="str">
        <f aca="false">A352</f>
        <v>Гидроизол</v>
      </c>
      <c r="B419" s="876" t="str">
        <f aca="false">B352</f>
        <v>м2</v>
      </c>
      <c r="C419" s="876" t="n">
        <f aca="false">C352</f>
        <v>15.84</v>
      </c>
      <c r="D419" s="876" t="n">
        <f aca="false">D352</f>
        <v>70</v>
      </c>
      <c r="E419" s="876" t="n">
        <f aca="false">E352</f>
        <v>1108.8</v>
      </c>
      <c r="F419" s="918"/>
      <c r="G419" s="2663" t="s">
        <v>4138</v>
      </c>
      <c r="H419" s="2664"/>
      <c r="I419" s="876" t="s">
        <v>820</v>
      </c>
      <c r="J419" s="876" t="n">
        <f aca="false">J353</f>
        <v>15.876</v>
      </c>
      <c r="K419" s="876" t="n">
        <f aca="false">K423</f>
        <v>600</v>
      </c>
      <c r="L419" s="876" t="n">
        <f aca="false">J419*K419</f>
        <v>9525.6</v>
      </c>
      <c r="M419" s="2808"/>
    </row>
    <row r="420" customFormat="false" ht="15.75" hidden="false" customHeight="false" outlineLevel="1" collapsed="false">
      <c r="A420" s="876" t="str">
        <f aca="false">A353</f>
        <v>ПГС, машина 13м3</v>
      </c>
      <c r="B420" s="876" t="str">
        <f aca="false">B353</f>
        <v>маш</v>
      </c>
      <c r="C420" s="876" t="n">
        <f aca="false">C353</f>
        <v>0.528</v>
      </c>
      <c r="D420" s="876" t="n">
        <f aca="false">D353</f>
        <v>10000</v>
      </c>
      <c r="E420" s="876" t="n">
        <f aca="false">E353</f>
        <v>5280</v>
      </c>
      <c r="F420" s="918"/>
      <c r="G420" s="2663" t="s">
        <v>2041</v>
      </c>
      <c r="H420" s="2664"/>
      <c r="I420" s="876" t="s">
        <v>1043</v>
      </c>
      <c r="J420" s="876" t="n">
        <f aca="false">J354</f>
        <v>9.072</v>
      </c>
      <c r="K420" s="876" t="n">
        <f aca="false">'Прайс лист'!G1456</f>
        <v>1200</v>
      </c>
      <c r="L420" s="876" t="n">
        <f aca="false">J420*K420</f>
        <v>10886.4</v>
      </c>
      <c r="M420" s="2808"/>
    </row>
    <row r="421" customFormat="false" ht="15.75" hidden="false" customHeight="false" outlineLevel="1" collapsed="false">
      <c r="A421" s="876" t="str">
        <f aca="false">A354</f>
        <v>Бетон, м250</v>
      </c>
      <c r="B421" s="876" t="str">
        <f aca="false">B354</f>
        <v>м3</v>
      </c>
      <c r="C421" s="876" t="n">
        <f aca="false">C354</f>
        <v>9.504</v>
      </c>
      <c r="D421" s="876" t="n">
        <f aca="false">D354</f>
        <v>2750</v>
      </c>
      <c r="E421" s="876" t="n">
        <f aca="false">E354</f>
        <v>26136</v>
      </c>
      <c r="F421" s="918"/>
      <c r="G421" s="2663" t="s">
        <v>2042</v>
      </c>
      <c r="H421" s="2664"/>
      <c r="I421" s="876" t="s">
        <v>820</v>
      </c>
      <c r="J421" s="876" t="n">
        <f aca="false">J355</f>
        <v>0</v>
      </c>
      <c r="K421" s="876" t="n">
        <f aca="false">'Прайс лист'!G1457</f>
        <v>200</v>
      </c>
      <c r="L421" s="876" t="n">
        <f aca="false">J421*K421</f>
        <v>0</v>
      </c>
      <c r="M421" s="2808"/>
    </row>
    <row r="422" customFormat="false" ht="15.75" hidden="false" customHeight="false" outlineLevel="1" collapsed="false">
      <c r="A422" s="876" t="str">
        <f aca="false">A355</f>
        <v>Нет</v>
      </c>
      <c r="B422" s="876" t="str">
        <f aca="false">B355</f>
        <v>м3</v>
      </c>
      <c r="C422" s="876" t="n">
        <f aca="false">C355</f>
        <v>0</v>
      </c>
      <c r="D422" s="876" t="n">
        <f aca="false">D355</f>
        <v>0</v>
      </c>
      <c r="E422" s="876" t="n">
        <f aca="false">E355</f>
        <v>0</v>
      </c>
      <c r="F422" s="918"/>
      <c r="G422" s="2663" t="s">
        <v>2043</v>
      </c>
      <c r="H422" s="2664"/>
      <c r="I422" s="876" t="s">
        <v>820</v>
      </c>
      <c r="J422" s="876" t="n">
        <f aca="false">J356</f>
        <v>0</v>
      </c>
      <c r="K422" s="876" t="n">
        <f aca="false">'Прайс лист'!G1458</f>
        <v>200</v>
      </c>
      <c r="L422" s="876" t="n">
        <f aca="false">J422*K422</f>
        <v>0</v>
      </c>
      <c r="M422" s="2808"/>
    </row>
    <row r="423" customFormat="false" ht="15.75" hidden="false" customHeight="false" outlineLevel="1" collapsed="false">
      <c r="A423" s="876" t="str">
        <f aca="false">A356</f>
        <v>Грибок для крепления утеплителя</v>
      </c>
      <c r="B423" s="876" t="str">
        <f aca="false">B356</f>
        <v>шт</v>
      </c>
      <c r="C423" s="876" t="n">
        <f aca="false">C356</f>
        <v>0</v>
      </c>
      <c r="D423" s="876" t="n">
        <f aca="false">D356</f>
        <v>15</v>
      </c>
      <c r="E423" s="876" t="n">
        <f aca="false">E356</f>
        <v>0</v>
      </c>
      <c r="F423" s="918"/>
      <c r="G423" s="2663" t="s">
        <v>2039</v>
      </c>
      <c r="H423" s="2664"/>
      <c r="I423" s="876" t="s">
        <v>820</v>
      </c>
      <c r="J423" s="876" t="n">
        <f aca="false">J357</f>
        <v>0</v>
      </c>
      <c r="K423" s="876" t="n">
        <f aca="false">'Прайс лист'!G1454</f>
        <v>600</v>
      </c>
      <c r="L423" s="876" t="n">
        <f aca="false">J423*K423</f>
        <v>0</v>
      </c>
      <c r="M423" s="2808"/>
    </row>
    <row r="424" customFormat="false" ht="15.75" hidden="false" customHeight="false" outlineLevel="1" collapsed="false">
      <c r="A424" s="876" t="str">
        <f aca="false">A357</f>
        <v>Нет</v>
      </c>
      <c r="B424" s="876" t="str">
        <f aca="false">B357</f>
        <v>м3</v>
      </c>
      <c r="C424" s="876" t="n">
        <f aca="false">C357</f>
        <v>0</v>
      </c>
      <c r="D424" s="876" t="n">
        <f aca="false">D357</f>
        <v>0</v>
      </c>
      <c r="E424" s="876" t="n">
        <f aca="false">E357</f>
        <v>0</v>
      </c>
      <c r="F424" s="918"/>
      <c r="G424" s="2663" t="s">
        <v>2044</v>
      </c>
      <c r="H424" s="2664"/>
      <c r="I424" s="876" t="s">
        <v>820</v>
      </c>
      <c r="J424" s="876" t="n">
        <f aca="false">J358</f>
        <v>0</v>
      </c>
      <c r="K424" s="876" t="n">
        <f aca="false">'Прайс лист'!G1460</f>
        <v>100</v>
      </c>
      <c r="L424" s="876" t="n">
        <f aca="false">J424*K424</f>
        <v>0</v>
      </c>
      <c r="M424" s="2808"/>
    </row>
    <row r="425" customFormat="false" ht="15.75" hidden="false" customHeight="false" outlineLevel="1" collapsed="false">
      <c r="A425" s="876" t="str">
        <f aca="false">A358</f>
        <v>ПГС, машина 5м3</v>
      </c>
      <c r="B425" s="876" t="str">
        <f aca="false">B358</f>
        <v>маш</v>
      </c>
      <c r="C425" s="876" t="n">
        <f aca="false">C358</f>
        <v>0</v>
      </c>
      <c r="D425" s="876" t="n">
        <f aca="false">D358</f>
        <v>6000</v>
      </c>
      <c r="E425" s="876" t="n">
        <f aca="false">E358</f>
        <v>0</v>
      </c>
      <c r="F425" s="918"/>
      <c r="G425" s="2663" t="s">
        <v>2041</v>
      </c>
      <c r="H425" s="2664"/>
      <c r="I425" s="876" t="s">
        <v>820</v>
      </c>
      <c r="J425" s="876" t="n">
        <f aca="false">J359</f>
        <v>0</v>
      </c>
      <c r="K425" s="876" t="n">
        <f aca="false">K409</f>
        <v>1200</v>
      </c>
      <c r="L425" s="876" t="n">
        <f aca="false">J425*K425</f>
        <v>0</v>
      </c>
      <c r="M425" s="2808"/>
    </row>
    <row r="426" customFormat="false" ht="15.75" hidden="false" customHeight="false" outlineLevel="1" collapsed="false">
      <c r="A426" s="876" t="str">
        <f aca="false">A359</f>
        <v>Кладочная сетка, 100*100/150*150/200*200мм</v>
      </c>
      <c r="B426" s="876" t="str">
        <f aca="false">B359</f>
        <v>м2</v>
      </c>
      <c r="C426" s="876" t="n">
        <f aca="false">C359</f>
        <v>0</v>
      </c>
      <c r="D426" s="876" t="n">
        <f aca="false">D359</f>
        <v>70</v>
      </c>
      <c r="E426" s="876" t="n">
        <f aca="false">E359</f>
        <v>0</v>
      </c>
      <c r="F426" s="918"/>
      <c r="G426" s="2663"/>
      <c r="H426" s="2664"/>
      <c r="I426" s="876"/>
      <c r="J426" s="876"/>
      <c r="K426" s="876"/>
      <c r="L426" s="876"/>
      <c r="M426" s="2808"/>
    </row>
    <row r="427" customFormat="false" ht="15.75" hidden="false" customHeight="false" outlineLevel="1" collapsed="false">
      <c r="A427" s="876" t="str">
        <f aca="false">A360</f>
        <v>Бетон, м200</v>
      </c>
      <c r="B427" s="876" t="str">
        <f aca="false">B360</f>
        <v>м3</v>
      </c>
      <c r="C427" s="876" t="n">
        <f aca="false">C360</f>
        <v>0</v>
      </c>
      <c r="D427" s="876" t="n">
        <f aca="false">D360</f>
        <v>2500</v>
      </c>
      <c r="E427" s="876" t="n">
        <f aca="false">E360</f>
        <v>0</v>
      </c>
      <c r="F427" s="918"/>
      <c r="G427" s="1159"/>
      <c r="H427" s="1159"/>
      <c r="I427" s="1159"/>
      <c r="J427" s="1159"/>
      <c r="K427" s="1159"/>
      <c r="L427" s="1159"/>
      <c r="M427" s="2808"/>
    </row>
    <row r="428" customFormat="false" ht="15.75" hidden="false" customHeight="false" outlineLevel="1" collapsed="false">
      <c r="A428" s="876" t="str">
        <f aca="false">A361</f>
        <v>расходные материалы свайноростверковый фундамент</v>
      </c>
      <c r="B428" s="876" t="str">
        <f aca="false">B361</f>
        <v>шт</v>
      </c>
      <c r="C428" s="876" t="n">
        <f aca="false">C361</f>
        <v>1</v>
      </c>
      <c r="D428" s="876" t="n">
        <f aca="false">D361</f>
        <v>8000</v>
      </c>
      <c r="E428" s="876" t="n">
        <f aca="false">E361</f>
        <v>8000</v>
      </c>
      <c r="F428" s="918"/>
      <c r="G428" s="1159"/>
      <c r="H428" s="1159"/>
      <c r="I428" s="1159"/>
      <c r="J428" s="1159"/>
      <c r="K428" s="1159"/>
      <c r="L428" s="1159"/>
      <c r="M428" s="2808"/>
    </row>
    <row r="429" customFormat="false" ht="15.75" hidden="false" customHeight="false" outlineLevel="1" collapsed="false">
      <c r="A429" s="876" t="str">
        <f aca="false">A362</f>
        <v>Нет техники</v>
      </c>
      <c r="B429" s="876" t="str">
        <f aca="false">B362</f>
        <v>шт</v>
      </c>
      <c r="C429" s="876" t="n">
        <f aca="false">C362</f>
        <v>4</v>
      </c>
      <c r="D429" s="876" t="n">
        <f aca="false">D362</f>
        <v>0</v>
      </c>
      <c r="E429" s="876" t="n">
        <f aca="false">E362</f>
        <v>0</v>
      </c>
      <c r="F429" s="918"/>
      <c r="G429" s="1159"/>
      <c r="H429" s="1159"/>
      <c r="I429" s="1159"/>
      <c r="J429" s="1159"/>
      <c r="K429" s="1159"/>
      <c r="L429" s="1159"/>
      <c r="M429" s="2808"/>
    </row>
    <row r="430" customFormat="false" ht="15.75" hidden="false" customHeight="false" outlineLevel="1" collapsed="false">
      <c r="A430" s="876" t="str">
        <f aca="false">A363</f>
        <v>Нет техники</v>
      </c>
      <c r="B430" s="876" t="str">
        <f aca="false">B363</f>
        <v>шт</v>
      </c>
      <c r="C430" s="876" t="n">
        <f aca="false">C363</f>
        <v>4</v>
      </c>
      <c r="D430" s="876" t="n">
        <f aca="false">D363</f>
        <v>0</v>
      </c>
      <c r="E430" s="876" t="n">
        <f aca="false">E363</f>
        <v>0</v>
      </c>
      <c r="F430" s="918"/>
      <c r="G430" s="1159"/>
      <c r="H430" s="1159"/>
      <c r="I430" s="1159"/>
      <c r="J430" s="1159"/>
      <c r="K430" s="1159"/>
      <c r="L430" s="1159"/>
      <c r="M430" s="2808"/>
    </row>
    <row r="431" customFormat="false" ht="15.75" hidden="false" customHeight="false" outlineLevel="1" collapsed="false">
      <c r="A431" s="876" t="str">
        <f aca="false">A364</f>
        <v>Нет техники</v>
      </c>
      <c r="B431" s="876" t="str">
        <f aca="false">B364</f>
        <v>шт</v>
      </c>
      <c r="C431" s="876" t="n">
        <f aca="false">C364</f>
        <v>6</v>
      </c>
      <c r="D431" s="876" t="n">
        <f aca="false">D364</f>
        <v>0</v>
      </c>
      <c r="E431" s="876" t="n">
        <f aca="false">E364</f>
        <v>0</v>
      </c>
      <c r="F431" s="918"/>
      <c r="G431" s="876"/>
      <c r="H431" s="876"/>
      <c r="I431" s="876"/>
      <c r="J431" s="876"/>
      <c r="K431" s="876"/>
      <c r="L431" s="876"/>
      <c r="M431" s="2808"/>
    </row>
    <row r="432" customFormat="false" ht="15.75" hidden="false" customHeight="false" outlineLevel="1" collapsed="false">
      <c r="A432" s="876" t="str">
        <f aca="false">A365</f>
        <v>Нет техники</v>
      </c>
      <c r="B432" s="876" t="str">
        <f aca="false">B365</f>
        <v>шт</v>
      </c>
      <c r="C432" s="876" t="n">
        <f aca="false">C365</f>
        <v>4</v>
      </c>
      <c r="D432" s="876" t="n">
        <f aca="false">D365</f>
        <v>0</v>
      </c>
      <c r="E432" s="876" t="n">
        <f aca="false">E365</f>
        <v>0</v>
      </c>
      <c r="F432" s="918"/>
      <c r="G432" s="876"/>
      <c r="H432" s="876"/>
      <c r="I432" s="876"/>
      <c r="J432" s="876"/>
      <c r="K432" s="876"/>
      <c r="L432" s="876"/>
      <c r="M432" s="2808"/>
    </row>
    <row r="433" customFormat="false" ht="15.75" hidden="false" customHeight="false" outlineLevel="1" collapsed="false">
      <c r="A433" s="876" t="str">
        <f aca="false">A366</f>
        <v>Нет техники</v>
      </c>
      <c r="B433" s="876" t="str">
        <f aca="false">B366</f>
        <v>шт</v>
      </c>
      <c r="C433" s="876" t="n">
        <f aca="false">C366</f>
        <v>0</v>
      </c>
      <c r="D433" s="876" t="n">
        <f aca="false">D366</f>
        <v>0</v>
      </c>
      <c r="E433" s="876" t="n">
        <f aca="false">E366</f>
        <v>0</v>
      </c>
      <c r="F433" s="918"/>
      <c r="G433" s="876"/>
      <c r="H433" s="876"/>
      <c r="I433" s="876"/>
      <c r="J433" s="876"/>
      <c r="K433" s="876"/>
      <c r="L433" s="876"/>
      <c r="M433" s="2808"/>
    </row>
    <row r="434" customFormat="false" ht="15.75" hidden="false" customHeight="false" outlineLevel="1" collapsed="false">
      <c r="A434" s="918"/>
      <c r="B434" s="918"/>
      <c r="C434" s="918"/>
      <c r="D434" s="918"/>
      <c r="E434" s="2825" t="n">
        <f aca="false">SUM(E409:E431)</f>
        <v>223848.993272</v>
      </c>
      <c r="F434" s="918"/>
      <c r="G434" s="918"/>
      <c r="H434" s="2526"/>
      <c r="I434" s="918"/>
      <c r="J434" s="918"/>
      <c r="K434" s="918"/>
      <c r="L434" s="2825" t="n">
        <f aca="false">SUM(L409:L433)</f>
        <v>108994.389</v>
      </c>
      <c r="M434" s="2808"/>
    </row>
    <row r="435" customFormat="false" ht="15.75" hidden="false" customHeight="false" outlineLevel="1" collapsed="false">
      <c r="A435" s="876" t="s">
        <v>4139</v>
      </c>
      <c r="B435" s="876" t="n">
        <f aca="false">E434</f>
        <v>223848.993272</v>
      </c>
      <c r="C435" s="918"/>
      <c r="D435" s="918"/>
      <c r="E435" s="918"/>
      <c r="F435" s="918"/>
      <c r="G435" s="918"/>
      <c r="H435" s="918"/>
      <c r="I435" s="918"/>
      <c r="J435" s="918"/>
      <c r="K435" s="918"/>
      <c r="L435" s="2157"/>
      <c r="M435" s="2808"/>
    </row>
    <row r="436" customFormat="false" ht="15.75" hidden="false" customHeight="false" outlineLevel="1" collapsed="false">
      <c r="A436" s="876" t="s">
        <v>4140</v>
      </c>
      <c r="B436" s="876" t="n">
        <f aca="false">L434</f>
        <v>108994.389</v>
      </c>
      <c r="C436" s="918"/>
      <c r="D436" s="918"/>
      <c r="E436" s="918"/>
      <c r="F436" s="918"/>
      <c r="G436" s="918"/>
      <c r="H436" s="918"/>
      <c r="I436" s="918"/>
      <c r="J436" s="918"/>
      <c r="K436" s="918"/>
      <c r="L436" s="2157"/>
      <c r="M436" s="2808"/>
    </row>
    <row r="437" customFormat="false" ht="15.75" hidden="false" customHeight="false" outlineLevel="1" collapsed="false">
      <c r="A437" s="876" t="s">
        <v>4141</v>
      </c>
      <c r="B437" s="876" t="n">
        <f aca="false">SUM(B435:B436)*B438</f>
        <v>0</v>
      </c>
      <c r="C437" s="918"/>
      <c r="D437" s="918"/>
      <c r="E437" s="918"/>
      <c r="F437" s="918"/>
      <c r="G437" s="918"/>
      <c r="H437" s="918"/>
      <c r="I437" s="918"/>
      <c r="J437" s="918"/>
      <c r="K437" s="918"/>
      <c r="L437" s="2157"/>
      <c r="M437" s="2808"/>
    </row>
    <row r="438" customFormat="false" ht="15.75" hidden="false" customHeight="false" outlineLevel="0" collapsed="false">
      <c r="A438" s="2856" t="s">
        <v>4147</v>
      </c>
      <c r="B438" s="2826"/>
      <c r="C438" s="2619" t="s">
        <v>3811</v>
      </c>
      <c r="D438" s="2619"/>
      <c r="E438" s="2619"/>
      <c r="F438" s="2619"/>
      <c r="G438" s="2759"/>
      <c r="H438" s="2759"/>
      <c r="I438" s="2759"/>
      <c r="J438" s="2759"/>
      <c r="K438" s="2759"/>
      <c r="L438" s="2759"/>
      <c r="M438" s="2759"/>
    </row>
    <row r="439" customFormat="false" ht="15" hidden="false" customHeight="false" outlineLevel="0" collapsed="false">
      <c r="A439" s="2759"/>
      <c r="B439" s="2759"/>
      <c r="C439" s="2759"/>
      <c r="D439" s="2759"/>
      <c r="E439" s="2759"/>
      <c r="F439" s="2759"/>
      <c r="G439" s="2759"/>
      <c r="H439" s="2759"/>
      <c r="I439" s="2759"/>
      <c r="J439" s="2759"/>
      <c r="K439" s="2759"/>
      <c r="L439" s="2759"/>
      <c r="M439" s="2759"/>
    </row>
    <row r="440" customFormat="false" ht="15" hidden="false" customHeight="false" outlineLevel="1" collapsed="false">
      <c r="A440" s="2857" t="s">
        <v>505</v>
      </c>
      <c r="B440" s="2857"/>
      <c r="C440" s="2857"/>
      <c r="D440" s="2857"/>
      <c r="E440" s="2857"/>
      <c r="F440" s="2857"/>
      <c r="G440" s="2857"/>
      <c r="H440" s="2857"/>
      <c r="I440" s="2857"/>
      <c r="J440" s="2759"/>
      <c r="K440" s="2759"/>
      <c r="L440" s="2759"/>
      <c r="M440" s="2759"/>
    </row>
    <row r="441" customFormat="false" ht="15" hidden="false" customHeight="false" outlineLevel="1" collapsed="false">
      <c r="A441" s="2857"/>
      <c r="B441" s="2857"/>
      <c r="C441" s="2857"/>
      <c r="D441" s="2857"/>
      <c r="E441" s="2857"/>
      <c r="F441" s="2857"/>
      <c r="G441" s="2857"/>
      <c r="H441" s="2857"/>
      <c r="I441" s="2857"/>
      <c r="J441" s="2759"/>
      <c r="K441" s="2759"/>
      <c r="L441" s="2759"/>
      <c r="M441" s="2759"/>
    </row>
    <row r="442" customFormat="false" ht="23.25" hidden="false" customHeight="false" outlineLevel="1" collapsed="false">
      <c r="A442" s="2623" t="s">
        <v>461</v>
      </c>
      <c r="B442" s="2623"/>
      <c r="C442" s="2623"/>
      <c r="D442" s="2623"/>
      <c r="E442" s="2623"/>
      <c r="F442" s="2623"/>
      <c r="G442" s="2858" t="n">
        <f aca="false">'Ввод данных'!D852</f>
        <v>1</v>
      </c>
      <c r="H442" s="2625" t="n">
        <f aca="false">'Ввод данных'!D853</f>
        <v>1</v>
      </c>
      <c r="I442" s="2625"/>
      <c r="J442" s="2808"/>
      <c r="K442" s="2808"/>
      <c r="L442" s="2808"/>
      <c r="M442" s="2808"/>
    </row>
    <row r="443" customFormat="false" ht="23.25" hidden="false" customHeight="false" outlineLevel="1" collapsed="false">
      <c r="A443" s="2623"/>
      <c r="B443" s="2623"/>
      <c r="C443" s="2623"/>
      <c r="D443" s="2623"/>
      <c r="E443" s="2623"/>
      <c r="F443" s="2623"/>
      <c r="G443" s="2859"/>
      <c r="H443" s="2625"/>
      <c r="I443" s="2625"/>
      <c r="J443" s="2808"/>
      <c r="K443" s="2808"/>
      <c r="L443" s="2808"/>
      <c r="M443" s="2808"/>
    </row>
    <row r="444" customFormat="false" ht="15.75" hidden="false" customHeight="false" outlineLevel="1" collapsed="false">
      <c r="A444" s="876" t="s">
        <v>506</v>
      </c>
      <c r="B444" s="876" t="s">
        <v>15</v>
      </c>
      <c r="C444" s="2860" t="n">
        <f aca="false">'Ввод данных'!C856</f>
        <v>0.2</v>
      </c>
      <c r="D444" s="2861" t="n">
        <f aca="false">IF(C444&gt;0,1,0)</f>
        <v>1</v>
      </c>
      <c r="E444" s="2759"/>
      <c r="F444" s="2759"/>
      <c r="G444" s="2759"/>
      <c r="H444" s="2759"/>
      <c r="I444" s="2759"/>
      <c r="J444" s="2759"/>
      <c r="K444" s="2759"/>
      <c r="L444" s="2759"/>
      <c r="M444" s="2759"/>
    </row>
    <row r="445" customFormat="false" ht="15.75" hidden="false" customHeight="false" outlineLevel="1" collapsed="false">
      <c r="A445" s="876" t="s">
        <v>507</v>
      </c>
      <c r="B445" s="876" t="s">
        <v>15</v>
      </c>
      <c r="C445" s="2860" t="n">
        <f aca="false">'Ввод данных'!C857</f>
        <v>0.2</v>
      </c>
      <c r="D445" s="2861" t="n">
        <f aca="false">IF(C445&gt;0,1,0)</f>
        <v>1</v>
      </c>
      <c r="E445" s="2759"/>
      <c r="F445" s="2759"/>
      <c r="G445" s="2759"/>
      <c r="H445" s="2759"/>
      <c r="I445" s="2759"/>
      <c r="J445" s="2759"/>
      <c r="K445" s="2759"/>
      <c r="L445" s="2759"/>
      <c r="M445" s="2759"/>
    </row>
    <row r="446" customFormat="false" ht="15.75" hidden="false" customHeight="false" outlineLevel="1" collapsed="false">
      <c r="A446" s="876" t="s">
        <v>508</v>
      </c>
      <c r="B446" s="876" t="s">
        <v>15</v>
      </c>
      <c r="C446" s="2860" t="n">
        <f aca="false">'Ввод данных'!C858</f>
        <v>0.1</v>
      </c>
      <c r="D446" s="2861" t="n">
        <f aca="false">IF(C446&gt;0,1,0)</f>
        <v>1</v>
      </c>
      <c r="E446" s="2759"/>
      <c r="F446" s="2759"/>
      <c r="G446" s="2759"/>
      <c r="H446" s="2759"/>
      <c r="I446" s="2759"/>
      <c r="J446" s="2759"/>
      <c r="K446" s="2759"/>
      <c r="L446" s="2759"/>
      <c r="M446" s="2759"/>
    </row>
    <row r="447" customFormat="false" ht="15.75" hidden="false" customHeight="false" outlineLevel="1" collapsed="false">
      <c r="A447" s="876" t="s">
        <v>511</v>
      </c>
      <c r="B447" s="876" t="s">
        <v>15</v>
      </c>
      <c r="C447" s="2860" t="n">
        <f aca="false">'Ввод данных'!C861</f>
        <v>0</v>
      </c>
      <c r="D447" s="2861"/>
      <c r="E447" s="2759"/>
      <c r="F447" s="2759"/>
      <c r="G447" s="2759"/>
      <c r="H447" s="2759"/>
      <c r="I447" s="2759"/>
      <c r="J447" s="2759"/>
      <c r="K447" s="2759"/>
      <c r="L447" s="2759"/>
      <c r="M447" s="2759"/>
    </row>
    <row r="448" customFormat="false" ht="15.75" hidden="false" customHeight="false" outlineLevel="1" collapsed="false">
      <c r="A448" s="876" t="s">
        <v>512</v>
      </c>
      <c r="B448" s="876" t="s">
        <v>15</v>
      </c>
      <c r="C448" s="2860" t="n">
        <f aca="false">'Ввод данных'!C862</f>
        <v>0</v>
      </c>
      <c r="D448" s="2861"/>
      <c r="E448" s="2759"/>
      <c r="F448" s="2759"/>
      <c r="G448" s="2759"/>
      <c r="H448" s="2759"/>
      <c r="I448" s="2759"/>
      <c r="J448" s="2759"/>
      <c r="K448" s="2759"/>
      <c r="L448" s="2759"/>
      <c r="M448" s="2759"/>
    </row>
    <row r="449" customFormat="false" ht="15.75" hidden="false" customHeight="false" outlineLevel="1" collapsed="false">
      <c r="A449" s="876" t="s">
        <v>513</v>
      </c>
      <c r="B449" s="876" t="s">
        <v>15</v>
      </c>
      <c r="C449" s="2860" t="n">
        <f aca="false">'Ввод данных'!C863</f>
        <v>0</v>
      </c>
      <c r="D449" s="2861"/>
      <c r="E449" s="2759"/>
      <c r="F449" s="2759"/>
      <c r="G449" s="2759"/>
      <c r="H449" s="2759"/>
      <c r="I449" s="2759"/>
      <c r="J449" s="2759"/>
      <c r="K449" s="2759"/>
      <c r="L449" s="2759"/>
      <c r="M449" s="2759"/>
    </row>
    <row r="450" customFormat="false" ht="15.75" hidden="false" customHeight="false" outlineLevel="1" collapsed="false">
      <c r="A450" s="876" t="s">
        <v>568</v>
      </c>
      <c r="B450" s="876" t="s">
        <v>15</v>
      </c>
      <c r="C450" s="2860" t="n">
        <f aca="false">VLOOKUP(A481,'Прайс лист'!B298:G310,4,0)</f>
        <v>0.04</v>
      </c>
      <c r="D450" s="2861"/>
      <c r="E450" s="2759"/>
      <c r="F450" s="2759"/>
      <c r="G450" s="2759"/>
      <c r="H450" s="2759"/>
      <c r="I450" s="2759"/>
      <c r="J450" s="2759"/>
      <c r="K450" s="2759"/>
      <c r="L450" s="2759"/>
      <c r="M450" s="2759"/>
    </row>
    <row r="451" customFormat="false" ht="15.75" hidden="false" customHeight="false" outlineLevel="1" collapsed="false">
      <c r="A451" s="876" t="s">
        <v>517</v>
      </c>
      <c r="B451" s="876" t="s">
        <v>15</v>
      </c>
      <c r="C451" s="2860" t="n">
        <f aca="false">'Ввод данных'!C868</f>
        <v>0</v>
      </c>
      <c r="D451" s="2861"/>
      <c r="E451" s="2759"/>
      <c r="F451" s="2759"/>
      <c r="G451" s="2759"/>
      <c r="H451" s="2759"/>
      <c r="I451" s="2759"/>
      <c r="J451" s="2759"/>
      <c r="K451" s="2759"/>
      <c r="L451" s="2759"/>
      <c r="M451" s="2759"/>
    </row>
    <row r="452" customFormat="false" ht="15.75" hidden="false" customHeight="false" outlineLevel="1" collapsed="false">
      <c r="A452" s="876" t="s">
        <v>518</v>
      </c>
      <c r="B452" s="876" t="s">
        <v>15</v>
      </c>
      <c r="C452" s="2860" t="n">
        <f aca="false">'Ввод данных'!C869</f>
        <v>0</v>
      </c>
      <c r="D452" s="2861"/>
      <c r="E452" s="2759"/>
      <c r="F452" s="2759"/>
      <c r="G452" s="2759"/>
      <c r="H452" s="2759"/>
      <c r="I452" s="2759"/>
      <c r="J452" s="2759"/>
      <c r="K452" s="2759"/>
      <c r="L452" s="2759"/>
      <c r="M452" s="2759"/>
    </row>
    <row r="453" customFormat="false" ht="15.75" hidden="false" customHeight="false" outlineLevel="1" collapsed="false">
      <c r="A453" s="876" t="s">
        <v>4148</v>
      </c>
      <c r="B453" s="876" t="s">
        <v>15</v>
      </c>
      <c r="C453" s="876" t="n">
        <f aca="false">C263</f>
        <v>48</v>
      </c>
      <c r="D453" s="2861"/>
      <c r="E453" s="2759"/>
      <c r="F453" s="2759"/>
      <c r="G453" s="2759"/>
      <c r="H453" s="2759"/>
      <c r="I453" s="2759"/>
      <c r="J453" s="2759"/>
      <c r="K453" s="2759"/>
      <c r="L453" s="2759"/>
      <c r="M453" s="2759"/>
    </row>
    <row r="454" customFormat="false" ht="15.75" hidden="false" customHeight="false" outlineLevel="1" collapsed="false">
      <c r="A454" s="876" t="s">
        <v>4149</v>
      </c>
      <c r="B454" s="876" t="s">
        <v>1043</v>
      </c>
      <c r="C454" s="876" t="n">
        <f aca="false">C453*C451*C452</f>
        <v>0</v>
      </c>
      <c r="D454" s="2861"/>
      <c r="E454" s="2759"/>
      <c r="F454" s="2759"/>
      <c r="G454" s="2759"/>
      <c r="H454" s="2759"/>
      <c r="I454" s="2759"/>
      <c r="J454" s="2759"/>
      <c r="K454" s="2759"/>
      <c r="L454" s="2759"/>
      <c r="M454" s="2759"/>
    </row>
    <row r="455" customFormat="false" ht="15.75" hidden="false" customHeight="false" outlineLevel="1" collapsed="false">
      <c r="A455" s="876" t="s">
        <v>4150</v>
      </c>
      <c r="B455" s="876" t="s">
        <v>48</v>
      </c>
      <c r="C455" s="2860" t="n">
        <f aca="false">'Ввод данных'!C872</f>
        <v>4</v>
      </c>
      <c r="D455" s="2861"/>
      <c r="E455" s="2759"/>
      <c r="F455" s="2759"/>
      <c r="G455" s="2759"/>
      <c r="H455" s="2759"/>
      <c r="I455" s="2759"/>
      <c r="J455" s="2759"/>
      <c r="K455" s="2759"/>
      <c r="L455" s="2759"/>
      <c r="M455" s="2759"/>
    </row>
    <row r="456" customFormat="false" ht="15.75" hidden="false" customHeight="false" outlineLevel="1" collapsed="false">
      <c r="A456" s="876" t="s">
        <v>519</v>
      </c>
      <c r="B456" s="876" t="s">
        <v>15</v>
      </c>
      <c r="C456" s="2860" t="n">
        <f aca="false">'Ввод данных'!C870</f>
        <v>0.25</v>
      </c>
      <c r="D456" s="2861"/>
      <c r="E456" s="2759"/>
      <c r="F456" s="2759"/>
      <c r="G456" s="2759"/>
      <c r="H456" s="2759"/>
      <c r="I456" s="2759"/>
      <c r="J456" s="2759"/>
      <c r="K456" s="2759"/>
      <c r="L456" s="2759"/>
      <c r="M456" s="2759"/>
    </row>
    <row r="457" customFormat="false" ht="15.75" hidden="false" customHeight="false" outlineLevel="1" collapsed="false">
      <c r="A457" s="876" t="s">
        <v>4151</v>
      </c>
      <c r="B457" s="876" t="s">
        <v>1043</v>
      </c>
      <c r="C457" s="876" t="n">
        <f aca="false">(дома!C16*дома!C17+дома!D1229*дома!C1235+дома!D2019*дома!C2026*дома!C2027*IF('Ввод данных'!A614=связи1!A479,1,0)+пристройка!D2*(пристройка!C32*пристройка!C9+пристройка!D32*пристройка!D9+пристройка!E32*пристройка!E9+пристройка!F32*пристройка!F9+пристройка!H32*пристройка!H9+пристройка!I32*пристройка!I9+пристройка!J32*пристройка!J9+пристройка!K32*пристройка!K9)+'Ввод данных'!C84*'Ввод данных'!C85*IF('Ввод данных'!A90=связи1!A479,1,0)*VLOOKUP('Ввод данных'!C96,связи1!A2:B3,2,0))*C456</f>
        <v>16</v>
      </c>
      <c r="D457" s="2861"/>
      <c r="E457" s="2759"/>
      <c r="F457" s="2759"/>
      <c r="G457" s="2759"/>
      <c r="H457" s="2759"/>
      <c r="I457" s="2759"/>
      <c r="J457" s="2759"/>
      <c r="K457" s="2759"/>
      <c r="L457" s="2759"/>
      <c r="M457" s="2759"/>
    </row>
    <row r="458" customFormat="false" ht="15.75" hidden="false" customHeight="false" outlineLevel="1" collapsed="false">
      <c r="A458" s="876" t="s">
        <v>573</v>
      </c>
      <c r="B458" s="876" t="s">
        <v>15</v>
      </c>
      <c r="C458" s="2860" t="n">
        <f aca="false">'Ввод данных'!C876</f>
        <v>0.2</v>
      </c>
      <c r="D458" s="2861"/>
      <c r="E458" s="2759"/>
      <c r="F458" s="2759"/>
      <c r="G458" s="2759"/>
      <c r="H458" s="2759"/>
      <c r="I458" s="2759"/>
      <c r="J458" s="2759"/>
      <c r="K458" s="2759"/>
      <c r="L458" s="2759"/>
      <c r="M458" s="2759"/>
    </row>
    <row r="459" customFormat="false" ht="15.75" hidden="false" customHeight="false" outlineLevel="1" collapsed="false">
      <c r="A459" s="876" t="s">
        <v>525</v>
      </c>
      <c r="B459" s="876"/>
      <c r="C459" s="2860" t="n">
        <f aca="false">'Ввод данных'!C877</f>
        <v>1</v>
      </c>
      <c r="D459" s="2861"/>
      <c r="E459" s="2759"/>
      <c r="F459" s="2759"/>
      <c r="G459" s="2759"/>
      <c r="H459" s="2759"/>
      <c r="I459" s="2759"/>
      <c r="J459" s="2759"/>
      <c r="K459" s="2759"/>
      <c r="L459" s="2759"/>
      <c r="M459" s="2759"/>
    </row>
    <row r="460" customFormat="false" ht="15.75" hidden="false" customHeight="false" outlineLevel="1" collapsed="false">
      <c r="A460" s="876" t="s">
        <v>4152</v>
      </c>
      <c r="B460" s="876" t="s">
        <v>1043</v>
      </c>
      <c r="C460" s="876" t="n">
        <f aca="false">C454+C457</f>
        <v>16</v>
      </c>
      <c r="D460" s="2861"/>
      <c r="E460" s="2759"/>
      <c r="F460" s="2759"/>
      <c r="G460" s="2759"/>
      <c r="H460" s="2759"/>
      <c r="I460" s="2759"/>
      <c r="J460" s="2759"/>
      <c r="K460" s="2759"/>
      <c r="L460" s="2759"/>
      <c r="M460" s="2759"/>
    </row>
    <row r="461" customFormat="false" ht="15.75" hidden="false" customHeight="false" outlineLevel="1" collapsed="false">
      <c r="A461" s="876" t="s">
        <v>564</v>
      </c>
      <c r="B461" s="876" t="s">
        <v>4153</v>
      </c>
      <c r="C461" s="2860" t="e">
        <f aca="false">'ввод данных'!#ref!</f>
        <v>#VALUE!</v>
      </c>
      <c r="D461" s="2862" t="n">
        <v>1</v>
      </c>
      <c r="E461" s="2759"/>
      <c r="F461" s="2759"/>
      <c r="G461" s="2759"/>
      <c r="H461" s="2759"/>
      <c r="I461" s="2759"/>
      <c r="J461" s="2759"/>
      <c r="K461" s="2759"/>
      <c r="L461" s="2759"/>
      <c r="M461" s="2759"/>
    </row>
    <row r="462" customFormat="false" ht="15.75" hidden="false" customHeight="false" outlineLevel="1" collapsed="false">
      <c r="A462" s="876" t="s">
        <v>4154</v>
      </c>
      <c r="B462" s="876" t="s">
        <v>820</v>
      </c>
      <c r="C462" s="876" t="n">
        <f aca="false">(дома!C16*дома!C17+дома!D1229*дома!C1235+дома!D2019*дома!C2026*дома!C2027*IF('Ввод данных'!A614=связи1!A479,1,0)+пристройка!D2*(пристройка!C32*пристройка!C9+пристройка!D32*пристройка!D9+пристройка!E32*пристройка!E9+пристройка!F32*пристройка!F9+пристройка!H32*пристройка!H9+пристройка!I32*пристройка!I9+пристройка!J32*пристройка!J9+пристройка!K32*пристройка!K9)+'Ввод данных'!C84*'Ввод данных'!C85*IF('Ввод данных'!A90=связи1!A479,1,0)*VLOOKUP('Ввод данных'!C96,связи1!A2:B3,2,0))*1.15</f>
        <v>73.6</v>
      </c>
      <c r="D462" s="2861"/>
      <c r="E462" s="2759"/>
      <c r="F462" s="2759"/>
      <c r="G462" s="2759"/>
      <c r="H462" s="2759"/>
      <c r="I462" s="2759"/>
      <c r="J462" s="2759"/>
      <c r="K462" s="2759"/>
      <c r="L462" s="2759"/>
      <c r="M462" s="2759"/>
    </row>
    <row r="463" customFormat="false" ht="15.75" hidden="false" customHeight="false" outlineLevel="1" collapsed="false">
      <c r="A463" s="876" t="s">
        <v>4155</v>
      </c>
      <c r="B463" s="876" t="s">
        <v>15</v>
      </c>
      <c r="C463" s="876" t="n">
        <f aca="false">C453*5</f>
        <v>240</v>
      </c>
      <c r="D463" s="2862" t="n">
        <f aca="false">VLOOKUP('Ввод данных'!C879,связи1!A2:B3,2,0)</f>
        <v>0</v>
      </c>
      <c r="E463" s="2759"/>
      <c r="F463" s="2759"/>
      <c r="G463" s="2759"/>
      <c r="H463" s="2759"/>
      <c r="I463" s="2759"/>
      <c r="J463" s="2759"/>
      <c r="K463" s="2759"/>
      <c r="L463" s="2759"/>
      <c r="M463" s="2759"/>
    </row>
    <row r="464" customFormat="false" ht="15.75" hidden="false" customHeight="false" outlineLevel="1" collapsed="false">
      <c r="A464" s="876" t="s">
        <v>4156</v>
      </c>
      <c r="B464" s="876" t="s">
        <v>48</v>
      </c>
      <c r="C464" s="876" t="n">
        <v>1</v>
      </c>
      <c r="D464" s="2862" t="n">
        <f aca="false">VLOOKUP('Ввод данных'!C881,связи1!A2:B3,2,0)</f>
        <v>0</v>
      </c>
      <c r="E464" s="2759"/>
      <c r="F464" s="2759"/>
      <c r="G464" s="2759"/>
      <c r="H464" s="2759"/>
      <c r="I464" s="2759"/>
      <c r="J464" s="2759"/>
      <c r="K464" s="2759"/>
      <c r="L464" s="2759"/>
      <c r="M464" s="2759"/>
    </row>
    <row r="465" customFormat="false" ht="15.75" hidden="false" customHeight="false" outlineLevel="1" collapsed="false">
      <c r="A465" s="876" t="s">
        <v>4157</v>
      </c>
      <c r="B465" s="876" t="s">
        <v>15</v>
      </c>
      <c r="C465" s="2825"/>
      <c r="D465" s="2862" t="n">
        <f aca="false">'Ввод данных'!H882</f>
        <v>0</v>
      </c>
      <c r="E465" s="2759"/>
      <c r="F465" s="2759"/>
      <c r="G465" s="2759"/>
      <c r="H465" s="2759"/>
      <c r="I465" s="2759"/>
      <c r="J465" s="2759"/>
      <c r="K465" s="2759"/>
      <c r="L465" s="2759"/>
      <c r="M465" s="2759"/>
    </row>
    <row r="466" customFormat="false" ht="15.75" hidden="false" customHeight="false" outlineLevel="1" collapsed="false">
      <c r="A466" s="876" t="s">
        <v>4158</v>
      </c>
      <c r="B466" s="876" t="s">
        <v>48</v>
      </c>
      <c r="C466" s="2860" t="n">
        <f aca="false">'Ввод данных'!C884</f>
        <v>6</v>
      </c>
      <c r="D466" s="2862" t="n">
        <v>1</v>
      </c>
      <c r="E466" s="2759"/>
      <c r="F466" s="2759"/>
      <c r="G466" s="2759"/>
      <c r="H466" s="2759"/>
      <c r="I466" s="2759"/>
      <c r="J466" s="2759"/>
      <c r="K466" s="2759"/>
      <c r="L466" s="2759"/>
      <c r="M466" s="2759"/>
    </row>
    <row r="467" customFormat="false" ht="15.75" hidden="false" customHeight="false" outlineLevel="1" collapsed="false">
      <c r="A467" s="876" t="s">
        <v>534</v>
      </c>
      <c r="B467" s="876" t="s">
        <v>15</v>
      </c>
      <c r="C467" s="2860" t="n">
        <f aca="false">'Ввод данных'!C886</f>
        <v>10</v>
      </c>
      <c r="D467" s="2862" t="n">
        <v>1</v>
      </c>
      <c r="E467" s="2759"/>
      <c r="F467" s="2759"/>
      <c r="G467" s="2759"/>
      <c r="H467" s="2759"/>
      <c r="I467" s="2759"/>
      <c r="J467" s="2759"/>
      <c r="K467" s="2759"/>
      <c r="L467" s="2759"/>
      <c r="M467" s="2759"/>
    </row>
    <row r="468" customFormat="false" ht="15.75" hidden="false" customHeight="false" outlineLevel="1" collapsed="false">
      <c r="A468" s="876" t="s">
        <v>535</v>
      </c>
      <c r="B468" s="876" t="s">
        <v>15</v>
      </c>
      <c r="C468" s="2860" t="n">
        <f aca="false">'Ввод данных'!C887</f>
        <v>10</v>
      </c>
      <c r="D468" s="2862" t="n">
        <v>1</v>
      </c>
      <c r="E468" s="2759"/>
      <c r="F468" s="2759"/>
      <c r="G468" s="2759"/>
      <c r="H468" s="2759"/>
      <c r="I468" s="2759"/>
      <c r="J468" s="2759"/>
      <c r="K468" s="2759"/>
      <c r="L468" s="2759"/>
      <c r="M468" s="2759"/>
    </row>
    <row r="469" customFormat="false" ht="15.75" hidden="false" customHeight="false" outlineLevel="1" collapsed="false">
      <c r="A469" s="2863" t="s">
        <v>492</v>
      </c>
      <c r="B469" s="2863"/>
      <c r="C469" s="2863"/>
      <c r="D469" s="2861"/>
      <c r="E469" s="2792"/>
      <c r="F469" s="2793"/>
      <c r="G469" s="2759"/>
      <c r="H469" s="2759"/>
      <c r="I469" s="2759"/>
      <c r="J469" s="2759"/>
      <c r="K469" s="2759"/>
      <c r="L469" s="2759"/>
      <c r="M469" s="2759"/>
    </row>
    <row r="470" customFormat="false" ht="15.75" hidden="false" customHeight="false" outlineLevel="1" collapsed="false">
      <c r="A470" s="876" t="s">
        <v>494</v>
      </c>
      <c r="B470" s="876" t="s">
        <v>15</v>
      </c>
      <c r="C470" s="2860" t="n">
        <f aca="false">'Ввод данных'!C891</f>
        <v>0.8</v>
      </c>
      <c r="D470" s="2862" t="n">
        <f aca="false">VLOOKUP('Ввод данных'!C888,связи1!A2:B3,2,0)</f>
        <v>0</v>
      </c>
      <c r="E470" s="2828"/>
      <c r="F470" s="2793"/>
      <c r="G470" s="2759"/>
      <c r="H470" s="2759"/>
      <c r="I470" s="2759"/>
      <c r="J470" s="2759"/>
      <c r="K470" s="2759"/>
      <c r="L470" s="2759"/>
      <c r="M470" s="2759"/>
    </row>
    <row r="471" customFormat="false" ht="15.75" hidden="false" customHeight="false" outlineLevel="1" collapsed="false">
      <c r="A471" s="876" t="s">
        <v>495</v>
      </c>
      <c r="B471" s="876" t="s">
        <v>15</v>
      </c>
      <c r="C471" s="2860" t="n">
        <f aca="false">'Ввод данных'!C892</f>
        <v>0.1</v>
      </c>
      <c r="D471" s="2861"/>
      <c r="E471" s="2792"/>
      <c r="F471" s="2793"/>
      <c r="G471" s="2759"/>
      <c r="H471" s="2759"/>
      <c r="I471" s="2759"/>
      <c r="J471" s="2759"/>
      <c r="K471" s="2759"/>
      <c r="L471" s="2759"/>
      <c r="M471" s="2759"/>
    </row>
    <row r="472" customFormat="false" ht="15.75" hidden="false" customHeight="false" outlineLevel="1" collapsed="false">
      <c r="A472" s="876" t="s">
        <v>537</v>
      </c>
      <c r="B472" s="876" t="s">
        <v>15</v>
      </c>
      <c r="C472" s="2860" t="n">
        <f aca="false">'Ввод данных'!C893</f>
        <v>0.05</v>
      </c>
      <c r="D472" s="2862" t="n">
        <v>1</v>
      </c>
      <c r="E472" s="2759"/>
      <c r="F472" s="2793"/>
      <c r="G472" s="2759"/>
      <c r="H472" s="2759"/>
      <c r="I472" s="2759"/>
      <c r="J472" s="2759"/>
      <c r="K472" s="2759"/>
      <c r="L472" s="2759"/>
      <c r="M472" s="2759"/>
    </row>
    <row r="473" customFormat="false" ht="15.75" hidden="false" customHeight="false" outlineLevel="1" collapsed="false">
      <c r="A473" s="876" t="s">
        <v>496</v>
      </c>
      <c r="B473" s="876" t="s">
        <v>15</v>
      </c>
      <c r="C473" s="2860" t="n">
        <f aca="false">'Ввод данных'!C894</f>
        <v>0.2</v>
      </c>
      <c r="D473" s="2861"/>
      <c r="E473" s="2792"/>
      <c r="F473" s="2793"/>
      <c r="G473" s="2759"/>
      <c r="H473" s="2759"/>
      <c r="I473" s="2759"/>
      <c r="J473" s="2759"/>
      <c r="K473" s="2759"/>
      <c r="L473" s="2759"/>
      <c r="M473" s="2759"/>
    </row>
    <row r="474" customFormat="false" ht="15.75" hidden="false" customHeight="false" outlineLevel="1" collapsed="false">
      <c r="A474" s="876" t="s">
        <v>497</v>
      </c>
      <c r="B474" s="876" t="s">
        <v>15</v>
      </c>
      <c r="C474" s="2860" t="n">
        <f aca="false">'Ввод данных'!C895</f>
        <v>0.8</v>
      </c>
      <c r="D474" s="2861"/>
      <c r="E474" s="2792"/>
      <c r="F474" s="2793"/>
      <c r="G474" s="2759"/>
      <c r="H474" s="2759"/>
      <c r="I474" s="2759"/>
      <c r="J474" s="2759"/>
      <c r="K474" s="2759"/>
      <c r="L474" s="2759"/>
      <c r="M474" s="2759"/>
    </row>
    <row r="475" customFormat="false" ht="15.75" hidden="false" customHeight="false" outlineLevel="1" collapsed="false">
      <c r="A475" s="876" t="s">
        <v>4136</v>
      </c>
      <c r="B475" s="876" t="s">
        <v>1043</v>
      </c>
      <c r="C475" s="876" t="n">
        <f aca="false">((E3+C470+C470)*2*C470+E4*C470*2+E132*(D139+D140*2-D139)*C400+D172*(C178+C179*2+C180*2*D180-C184)*C470+D220*(C226+C227*2-C226)*C470)*D470*C471</f>
        <v>0</v>
      </c>
      <c r="D475" s="2861"/>
      <c r="E475" s="2792"/>
      <c r="F475" s="2793"/>
      <c r="G475" s="2759"/>
      <c r="H475" s="2759"/>
      <c r="I475" s="2759"/>
      <c r="J475" s="2759"/>
      <c r="K475" s="2759"/>
      <c r="L475" s="2759"/>
      <c r="M475" s="2759"/>
    </row>
    <row r="476" customFormat="false" ht="15.75" hidden="false" customHeight="false" outlineLevel="1" collapsed="false">
      <c r="A476" s="2864" t="s">
        <v>2246</v>
      </c>
      <c r="B476" s="2864"/>
      <c r="C476" s="2864"/>
      <c r="D476" s="2864"/>
      <c r="E476" s="2864"/>
      <c r="F476" s="2795"/>
      <c r="G476" s="2864" t="s">
        <v>2007</v>
      </c>
      <c r="H476" s="2864"/>
      <c r="I476" s="2864"/>
      <c r="J476" s="2864"/>
      <c r="K476" s="2864"/>
      <c r="L476" s="2864"/>
      <c r="M476" s="2759"/>
    </row>
    <row r="477" customFormat="false" ht="15.75" hidden="false" customHeight="false" outlineLevel="1" collapsed="false">
      <c r="A477" s="908" t="s">
        <v>4159</v>
      </c>
      <c r="B477" s="894" t="s">
        <v>12</v>
      </c>
      <c r="C477" s="894" t="s">
        <v>118</v>
      </c>
      <c r="D477" s="740" t="s">
        <v>4160</v>
      </c>
      <c r="E477" s="740" t="s">
        <v>4161</v>
      </c>
      <c r="F477" s="2637"/>
      <c r="G477" s="2865"/>
      <c r="H477" s="2866"/>
      <c r="I477" s="894" t="s">
        <v>12</v>
      </c>
      <c r="J477" s="894" t="s">
        <v>118</v>
      </c>
      <c r="K477" s="740" t="s">
        <v>4160</v>
      </c>
      <c r="L477" s="740" t="s">
        <v>4161</v>
      </c>
      <c r="M477" s="2759"/>
    </row>
    <row r="478" customFormat="false" ht="15.75" hidden="false" customHeight="false" outlineLevel="1" collapsed="false">
      <c r="A478" s="908" t="str">
        <f aca="false">'Прайс лист'!B181</f>
        <v>Скальник, 1 маш 13м3</v>
      </c>
      <c r="B478" s="894" t="s">
        <v>1048</v>
      </c>
      <c r="C478" s="894" t="n">
        <f aca="false">(((E3*E4+E132*C170+D172*C211+D220*C236)+(C475/C471)*D470)*C445)/13*G442</f>
        <v>0.984615384615385</v>
      </c>
      <c r="D478" s="894" t="n">
        <f aca="false">'Прайс лист'!G181</f>
        <v>15000</v>
      </c>
      <c r="E478" s="894" t="n">
        <f aca="false">C478*D478</f>
        <v>14769.2307692308</v>
      </c>
      <c r="F478" s="2637"/>
      <c r="G478" s="2865" t="str">
        <f aca="false">'Прайс лист'!B1441</f>
        <v>разбивка осей фундамента</v>
      </c>
      <c r="H478" s="2866"/>
      <c r="I478" s="894" t="s">
        <v>48</v>
      </c>
      <c r="J478" s="894" t="n">
        <f aca="false">1*H442</f>
        <v>1</v>
      </c>
      <c r="K478" s="894" t="n">
        <f aca="false">'Прайс лист'!G1441</f>
        <v>7000</v>
      </c>
      <c r="L478" s="894" t="n">
        <f aca="false">K478*J478</f>
        <v>7000</v>
      </c>
      <c r="M478" s="2759"/>
    </row>
    <row r="479" customFormat="false" ht="15.75" hidden="false" customHeight="false" outlineLevel="1" collapsed="false">
      <c r="A479" s="908" t="str">
        <f aca="false">'Прайс лист'!B179</f>
        <v>ПГС, машина 13м3</v>
      </c>
      <c r="B479" s="894" t="s">
        <v>1048</v>
      </c>
      <c r="C479" s="894" t="n">
        <f aca="false">(((E3*E4+E132*C170+D172*C211+D220*C236)+(C475/C471)*D470)*C444)/13*G442</f>
        <v>0.984615384615385</v>
      </c>
      <c r="D479" s="894" t="n">
        <f aca="false">'Прайс лист'!G179</f>
        <v>10000</v>
      </c>
      <c r="E479" s="894" t="n">
        <f aca="false">C479*D479</f>
        <v>9846.15384615385</v>
      </c>
      <c r="F479" s="2637"/>
      <c r="G479" s="2865" t="str">
        <f aca="false">'Прайс лист'!B1454</f>
        <v>трамбовка пгс</v>
      </c>
      <c r="H479" s="2866"/>
      <c r="I479" s="894" t="s">
        <v>820</v>
      </c>
      <c r="J479" s="894" t="n">
        <f aca="false">(E3*E4+E132*C170+D172*C211+D220*C236+C475/C471*D470)*H442*D444</f>
        <v>64</v>
      </c>
      <c r="K479" s="894" t="n">
        <f aca="false">'Прайс лист'!G1454</f>
        <v>600</v>
      </c>
      <c r="L479" s="894" t="n">
        <f aca="false">K479*J479</f>
        <v>38400</v>
      </c>
      <c r="M479" s="2759"/>
    </row>
    <row r="480" customFormat="false" ht="15.75" hidden="false" customHeight="false" outlineLevel="1" collapsed="false">
      <c r="A480" s="908" t="str">
        <f aca="false">'Прайс лист'!B183</f>
        <v>Песок, машина 13м3</v>
      </c>
      <c r="B480" s="894" t="s">
        <v>1048</v>
      </c>
      <c r="C480" s="894" t="n">
        <f aca="false">(((E3*E4+E132*C170+D172*C211+D220*C236)+(C475/C471)*D470)*C446)/13*G442</f>
        <v>0.492307692307692</v>
      </c>
      <c r="D480" s="894" t="n">
        <f aca="false">'Прайс лист'!G183</f>
        <v>12000</v>
      </c>
      <c r="E480" s="894" t="n">
        <f aca="false">C480*D480</f>
        <v>5907.69230769231</v>
      </c>
      <c r="F480" s="2637"/>
      <c r="G480" s="2865" t="str">
        <f aca="false">'Прайс лист'!B1455</f>
        <v>трамбовка скальник</v>
      </c>
      <c r="I480" s="894" t="s">
        <v>820</v>
      </c>
      <c r="J480" s="1159" t="n">
        <f aca="false">(E3*E4+E132*C170+D172*C211+D220*C236+C475/C471*D470)*H442*D445</f>
        <v>64</v>
      </c>
      <c r="K480" s="894" t="n">
        <f aca="false">'Прайс лист'!G1455</f>
        <v>400</v>
      </c>
      <c r="L480" s="894" t="n">
        <f aca="false">K480*J480</f>
        <v>25600</v>
      </c>
      <c r="M480" s="2759"/>
    </row>
    <row r="481" customFormat="false" ht="15.75" hidden="false" customHeight="false" outlineLevel="1" collapsed="false">
      <c r="A481" s="908" t="str">
        <f aca="false">'Ввод данных'!A865</f>
        <v>Сосна влаж,180*40мм</v>
      </c>
      <c r="B481" s="894" t="s">
        <v>1043</v>
      </c>
      <c r="C481" s="894" t="n">
        <f aca="false">(пристройка!R85+дома!D1229*дома!C1275+дома!C16+дома!C17+дома!C16+дома!C17)*C450*IF((C447+C452)=0,C456,C447+C452+C456)*1.3*G442</f>
        <v>0.416</v>
      </c>
      <c r="D481" s="894" t="n">
        <f aca="false">VLOOKUP(A481,'Прайс лист'!B298:G310,6,0)</f>
        <v>6500</v>
      </c>
      <c r="E481" s="894" t="n">
        <f aca="false">C481*D481</f>
        <v>2704</v>
      </c>
      <c r="F481" s="2637"/>
      <c r="G481" s="2865" t="str">
        <f aca="false">'Прайс лист'!B1453</f>
        <v>трамбовка песок</v>
      </c>
      <c r="I481" s="894" t="s">
        <v>820</v>
      </c>
      <c r="J481" s="1159" t="n">
        <f aca="false">(E3*E4+E132*C170+D172*C211+D220*C236+C475/C471*D470)*H442*D446</f>
        <v>64</v>
      </c>
      <c r="K481" s="1180" t="n">
        <f aca="false">'Прайс лист'!G1453</f>
        <v>350</v>
      </c>
      <c r="L481" s="894" t="n">
        <f aca="false">K481*J481</f>
        <v>22400</v>
      </c>
      <c r="M481" s="2759"/>
    </row>
    <row r="482" customFormat="false" ht="15.75" hidden="false" customHeight="false" outlineLevel="1" collapsed="false">
      <c r="A482" s="908" t="str">
        <f aca="false">'Ввод данных'!A860</f>
        <v>Пенопласт ПСБ-С-35</v>
      </c>
      <c r="B482" s="894" t="s">
        <v>1043</v>
      </c>
      <c r="C482" s="894" t="n">
        <f aca="false">C453*C447*C451+(E3*E4+E132*C170+D172*C211+D220*C236-C453*C451)*C448*G442</f>
        <v>0</v>
      </c>
      <c r="D482" s="894" t="n">
        <f aca="false">VLOOKUP(A482,связи1!A422:F429,6,0)</f>
        <v>3400</v>
      </c>
      <c r="E482" s="894" t="n">
        <f aca="false">C482*D482</f>
        <v>0</v>
      </c>
      <c r="F482" s="2637"/>
      <c r="G482" s="2865" t="s">
        <v>4162</v>
      </c>
      <c r="H482" s="2866"/>
      <c r="I482" s="894" t="s">
        <v>820</v>
      </c>
      <c r="J482" s="894" t="n">
        <f aca="false">(D72+E132*C169-D139*E132+D172*C210-D172*C184+D220*C235-C226*D220)*(C447+C452)*H442</f>
        <v>0</v>
      </c>
      <c r="K482" s="894" t="n">
        <f aca="false">'Прайс лист'!G1442+'Прайс лист'!G1443</f>
        <v>400</v>
      </c>
      <c r="L482" s="894" t="n">
        <f aca="false">K482*J482</f>
        <v>0</v>
      </c>
      <c r="M482" s="2759"/>
    </row>
    <row r="483" customFormat="false" ht="15.75" hidden="false" customHeight="false" outlineLevel="1" collapsed="false">
      <c r="A483" s="908" t="str">
        <f aca="false">A482</f>
        <v>Пенопласт ПСБ-С-35</v>
      </c>
      <c r="B483" s="894" t="s">
        <v>1043</v>
      </c>
      <c r="C483" s="894" t="n">
        <f aca="false">C475/C471*C472*D472*G442</f>
        <v>0</v>
      </c>
      <c r="D483" s="894" t="n">
        <f aca="false">VLOOKUP(A483,связи1!A422:F429,6,0)</f>
        <v>3400</v>
      </c>
      <c r="E483" s="894" t="n">
        <f aca="false">C483*D483</f>
        <v>0</v>
      </c>
      <c r="F483" s="2637"/>
      <c r="G483" s="2663" t="str">
        <f aca="false">'Прайс лист'!B1446</f>
        <v>укладка утеплителя под плиту</v>
      </c>
      <c r="H483" s="2664"/>
      <c r="I483" s="740" t="s">
        <v>820</v>
      </c>
      <c r="J483" s="740" t="n">
        <f aca="false">(E3*E4+E132*C170+D172*C211+D220*C236)*H442</f>
        <v>64</v>
      </c>
      <c r="K483" s="740" t="n">
        <f aca="false">'Прайс лист'!G1446</f>
        <v>200</v>
      </c>
      <c r="L483" s="740" t="n">
        <f aca="false">K483*J483</f>
        <v>12800</v>
      </c>
      <c r="M483" s="2759"/>
    </row>
    <row r="484" customFormat="false" ht="15.75" hidden="false" customHeight="false" outlineLevel="1" collapsed="false">
      <c r="A484" s="908" t="str">
        <f aca="false">'Прайс лист'!B227</f>
        <v>Пленка гидроизоляционная </v>
      </c>
      <c r="B484" s="894" t="s">
        <v>820</v>
      </c>
      <c r="C484" s="894" t="n">
        <f aca="false">(E3*E4+E132*C170+D172*C211+D220*C236)*1.3*G442</f>
        <v>83.2</v>
      </c>
      <c r="D484" s="894" t="n">
        <f aca="false">'Прайс лист'!G227</f>
        <v>15</v>
      </c>
      <c r="E484" s="894" t="n">
        <f aca="false">C484*D484</f>
        <v>1248</v>
      </c>
      <c r="F484" s="2637"/>
      <c r="G484" s="2663" t="str">
        <f aca="false">'Прайс лист'!B1447</f>
        <v>укладка утеплителя под отмостка</v>
      </c>
      <c r="H484" s="2664"/>
      <c r="I484" s="740" t="s">
        <v>820</v>
      </c>
      <c r="J484" s="740" t="n">
        <f aca="false">C475/C471*D472*H442</f>
        <v>0</v>
      </c>
      <c r="K484" s="740" t="n">
        <f aca="false">'Прайс лист'!G1447</f>
        <v>200</v>
      </c>
      <c r="L484" s="740" t="n">
        <f aca="false">K484*J484</f>
        <v>0</v>
      </c>
      <c r="M484" s="2759"/>
    </row>
    <row r="485" customFormat="false" ht="15.75" hidden="false" customHeight="false" outlineLevel="1" collapsed="false">
      <c r="A485" s="908" t="str">
        <f aca="false">'Прайс лист'!B223</f>
        <v>Кладочная сетка, 100*100/150*150/200*200мм</v>
      </c>
      <c r="B485" s="894" t="s">
        <v>820</v>
      </c>
      <c r="C485" s="894" t="n">
        <f aca="false">E3*E4+E132*C170+D172*C211+D220*C236*G442</f>
        <v>64</v>
      </c>
      <c r="D485" s="894" t="n">
        <f aca="false">'Прайс лист'!G223</f>
        <v>70</v>
      </c>
      <c r="E485" s="894" t="n">
        <f aca="false">C485*D485</f>
        <v>4480</v>
      </c>
      <c r="F485" s="2637"/>
      <c r="G485" s="2865" t="s">
        <v>4163</v>
      </c>
      <c r="H485" s="2866"/>
      <c r="I485" s="894" t="s">
        <v>820</v>
      </c>
      <c r="J485" s="894" t="n">
        <f aca="false">(E3*E4+E132*C170+D172*C211+D220*C236)*H442</f>
        <v>64</v>
      </c>
      <c r="K485" s="894" t="n">
        <f aca="false">'Прайс лист'!G1444</f>
        <v>10</v>
      </c>
      <c r="L485" s="894" t="n">
        <f aca="false">K485*J485</f>
        <v>640</v>
      </c>
      <c r="M485" s="2759"/>
    </row>
    <row r="486" customFormat="false" ht="15.75" hidden="false" customHeight="false" outlineLevel="1" collapsed="false">
      <c r="A486" s="908" t="str">
        <f aca="false">'Прайс лист'!B225</f>
        <v>Стяжки пластиковые</v>
      </c>
      <c r="B486" s="894" t="s">
        <v>48</v>
      </c>
      <c r="C486" s="894" t="n">
        <f aca="false">C485*3*G442+C463*3*D463*G442</f>
        <v>192</v>
      </c>
      <c r="D486" s="894" t="n">
        <f aca="false">'Прайс лист'!G225</f>
        <v>2</v>
      </c>
      <c r="E486" s="894" t="n">
        <f aca="false">C486*D486</f>
        <v>384</v>
      </c>
      <c r="F486" s="2637"/>
      <c r="G486" s="2865" t="str">
        <f aca="false">'Прайс лист'!B1460</f>
        <v>кладка сетки</v>
      </c>
      <c r="H486" s="2866"/>
      <c r="I486" s="894" t="s">
        <v>820</v>
      </c>
      <c r="J486" s="894" t="n">
        <f aca="false">(E3*E4+E132*C170+D172*C211+D220*C236)*H442</f>
        <v>64</v>
      </c>
      <c r="K486" s="894" t="n">
        <f aca="false">'Прайс лист'!G1460</f>
        <v>100</v>
      </c>
      <c r="L486" s="894" t="n">
        <f aca="false">K486*J486</f>
        <v>6400</v>
      </c>
      <c r="M486" s="2759"/>
    </row>
    <row r="487" customFormat="false" ht="15.75" hidden="false" customHeight="false" outlineLevel="1" collapsed="false">
      <c r="A487" s="908" t="str">
        <f aca="false">'Ввод данных'!A867</f>
        <v>Бетон, м350</v>
      </c>
      <c r="B487" s="894" t="s">
        <v>1043</v>
      </c>
      <c r="C487" s="894" t="n">
        <f aca="false">C460*G442</f>
        <v>16</v>
      </c>
      <c r="D487" s="894" t="n">
        <f aca="false">VLOOKUP(A487,Бетон__м200,6,0)</f>
        <v>3500</v>
      </c>
      <c r="E487" s="894" t="n">
        <f aca="false">C487*D487</f>
        <v>56000</v>
      </c>
      <c r="F487" s="2637"/>
      <c r="G487" s="2865" t="str">
        <f aca="false">'Прайс лист'!B1468</f>
        <v>укладка теп. Пола</v>
      </c>
      <c r="H487" s="2866"/>
      <c r="I487" s="894" t="s">
        <v>820</v>
      </c>
      <c r="J487" s="894" t="n">
        <f aca="false">(E3*E4+E132*C170+D172*C211+D220*C236)*D463*H442</f>
        <v>0</v>
      </c>
      <c r="K487" s="894" t="n">
        <f aca="false">'Прайс лист'!G1468</f>
        <v>600</v>
      </c>
      <c r="L487" s="894" t="n">
        <f aca="false">K487*J487</f>
        <v>0</v>
      </c>
      <c r="M487" s="2759"/>
    </row>
    <row r="488" customFormat="false" ht="15.75" hidden="false" customHeight="false" outlineLevel="1" collapsed="false">
      <c r="A488" s="908" t="str">
        <f aca="false">'Ввод данных'!A890</f>
        <v>Бетон, м250</v>
      </c>
      <c r="B488" s="894" t="s">
        <v>1043</v>
      </c>
      <c r="C488" s="894" t="n">
        <f aca="false">C475*D470*G442</f>
        <v>0</v>
      </c>
      <c r="D488" s="894" t="n">
        <f aca="false">VLOOKUP(A488,Бетон__м200,6,0)</f>
        <v>2750</v>
      </c>
      <c r="E488" s="894" t="n">
        <f aca="false">C488*D488</f>
        <v>0</v>
      </c>
      <c r="F488" s="2637"/>
      <c r="G488" s="2865" t="str">
        <f aca="false">'Прайс лист'!B1430</f>
        <v>Заливка бетоном перекрытия/плиты</v>
      </c>
      <c r="H488" s="2866"/>
      <c r="I488" s="894" t="s">
        <v>820</v>
      </c>
      <c r="J488" s="894" t="n">
        <f aca="false">(E3*E4+E132*C170+D172*C211+D220*C236)*H442</f>
        <v>64</v>
      </c>
      <c r="K488" s="894" t="n">
        <f aca="false">'Прайс лист'!G1430</f>
        <v>350</v>
      </c>
      <c r="L488" s="894" t="n">
        <f aca="false">K488*J488</f>
        <v>22400</v>
      </c>
      <c r="M488" s="2759"/>
    </row>
    <row r="489" customFormat="false" ht="15.75" hidden="false" customHeight="false" outlineLevel="1" collapsed="false">
      <c r="A489" s="908" t="str">
        <f aca="false">'Ввод данных'!A879</f>
        <v>Труба теплого пола 3</v>
      </c>
      <c r="B489" s="894" t="s">
        <v>2013</v>
      </c>
      <c r="C489" s="894" t="n">
        <f aca="false">C463*D463*G442</f>
        <v>0</v>
      </c>
      <c r="D489" s="894" t="n">
        <f aca="false">VLOOKUP(A489,'Прайс лист'!B910:G918,6,0)</f>
        <v>60</v>
      </c>
      <c r="E489" s="894" t="n">
        <f aca="false">C489*D489</f>
        <v>0</v>
      </c>
      <c r="F489" s="2637"/>
      <c r="G489" s="2865" t="str">
        <f aca="false">'Прайс лист'!B1467</f>
        <v>заливка бетоном отмостки</v>
      </c>
      <c r="H489" s="2866"/>
      <c r="I489" s="894" t="s">
        <v>820</v>
      </c>
      <c r="J489" s="894" t="n">
        <f aca="false">C475/C471*D470*H442</f>
        <v>0</v>
      </c>
      <c r="K489" s="894" t="n">
        <f aca="false">'Прайс лист'!G1467</f>
        <v>500</v>
      </c>
      <c r="L489" s="894" t="n">
        <f aca="false">K489*J489</f>
        <v>0</v>
      </c>
      <c r="M489" s="2759"/>
    </row>
    <row r="490" customFormat="false" ht="15.75" hidden="false" customHeight="false" outlineLevel="1" collapsed="false">
      <c r="A490" s="908" t="str">
        <f aca="false">'Ввод данных'!A881</f>
        <v>Коллектор 1</v>
      </c>
      <c r="B490" s="894" t="s">
        <v>48</v>
      </c>
      <c r="C490" s="894" t="n">
        <f aca="false">D464*G442</f>
        <v>0</v>
      </c>
      <c r="D490" s="894" t="n">
        <f aca="false">VLOOKUP(A490,'Прайс лист'!B919:G926,6,0)</f>
        <v>5000</v>
      </c>
      <c r="E490" s="894" t="n">
        <f aca="false">C490*D490</f>
        <v>0</v>
      </c>
      <c r="F490" s="2637"/>
      <c r="G490" s="2865" t="s">
        <v>4164</v>
      </c>
      <c r="H490" s="2866"/>
      <c r="I490" s="894" t="s">
        <v>820</v>
      </c>
      <c r="J490" s="894" t="n">
        <f aca="false">(E3*E4+E132*C170+D172*C211+D220*C236)*H442</f>
        <v>64</v>
      </c>
      <c r="K490" s="894" t="n">
        <f aca="false">'Прайс лист'!G1425</f>
        <v>300</v>
      </c>
      <c r="L490" s="894" t="n">
        <f aca="false">K490*J490</f>
        <v>19200</v>
      </c>
      <c r="M490" s="2759"/>
    </row>
    <row r="491" customFormat="false" ht="15.75" hidden="false" customHeight="false" outlineLevel="1" collapsed="false">
      <c r="A491" s="908" t="str">
        <f aca="false">'Ввод данных'!A872</f>
        <v>Арматура стальная Ø 12</v>
      </c>
      <c r="B491" s="894" t="s">
        <v>15</v>
      </c>
      <c r="C491" s="894" t="n">
        <f aca="false">C453*C455*1.1*G442</f>
        <v>211.2</v>
      </c>
      <c r="D491" s="894" t="n">
        <f aca="false">VLOOKUP(A491,'Прайс лист'!B211:G222,6,0)</f>
        <v>29.2152</v>
      </c>
      <c r="E491" s="894" t="n">
        <f aca="false">C491*D491</f>
        <v>6170.25024</v>
      </c>
      <c r="F491" s="2637"/>
      <c r="G491" s="2865" t="str">
        <f aca="false">'Прайс лист'!B1429</f>
        <v>армирование отмостки</v>
      </c>
      <c r="H491" s="2866"/>
      <c r="I491" s="894" t="s">
        <v>820</v>
      </c>
      <c r="J491" s="894" t="n">
        <f aca="false">C475/C471*D470*H442</f>
        <v>0</v>
      </c>
      <c r="K491" s="894" t="n">
        <f aca="false">'Прайс лист'!G1429</f>
        <v>350</v>
      </c>
      <c r="L491" s="894" t="n">
        <f aca="false">K491*J491</f>
        <v>0</v>
      </c>
      <c r="M491" s="2759"/>
    </row>
    <row r="492" customFormat="false" ht="15.75" hidden="false" customHeight="false" outlineLevel="1" collapsed="false">
      <c r="A492" s="908" t="str">
        <f aca="false">'Ввод данных'!A876</f>
        <v>Арматура стальная Ø 10 </v>
      </c>
      <c r="B492" s="894" t="s">
        <v>15</v>
      </c>
      <c r="C492" s="894" t="n">
        <f aca="false">(E3*E4+E132*C170+D172*C211+D220*C236)*(1/C458)*2*G442*C459</f>
        <v>640</v>
      </c>
      <c r="D492" s="894" t="n">
        <f aca="false">VLOOKUP(A492,'Прайс лист'!B211:G222,6,0)</f>
        <v>21.0397</v>
      </c>
      <c r="E492" s="894" t="n">
        <f aca="false">C492*D492</f>
        <v>13465.408</v>
      </c>
      <c r="F492" s="2637"/>
      <c r="G492" s="2865" t="str">
        <f aca="false">'Прайс лист'!B1469</f>
        <v>монтаж канализации</v>
      </c>
      <c r="H492" s="2866"/>
      <c r="I492" s="894" t="s">
        <v>15</v>
      </c>
      <c r="J492" s="894" t="n">
        <f aca="false">C467*D467*H442</f>
        <v>10</v>
      </c>
      <c r="K492" s="894" t="n">
        <f aca="false">'Прайс лист'!G1469</f>
        <v>200</v>
      </c>
      <c r="L492" s="894" t="n">
        <f aca="false">K492*J492</f>
        <v>2000</v>
      </c>
      <c r="M492" s="2759"/>
    </row>
    <row r="493" customFormat="false" ht="15.75" hidden="false" customHeight="false" outlineLevel="1" collapsed="false">
      <c r="A493" s="908" t="str">
        <f aca="false">'Ввод данных'!A874</f>
        <v>Арматура стальная Ø 6</v>
      </c>
      <c r="B493" s="894" t="s">
        <v>15</v>
      </c>
      <c r="C493" s="894" t="n">
        <f aca="false">(C453/'Ввод данных'!C874)*(C451+C452)*2*1.1*G442</f>
        <v>0</v>
      </c>
      <c r="D493" s="894" t="n">
        <f aca="false">VLOOKUP(A493,'Прайс лист'!B211:G222,6,0)</f>
        <v>9.0132</v>
      </c>
      <c r="E493" s="894" t="n">
        <f aca="false">C493*D493</f>
        <v>0</v>
      </c>
      <c r="F493" s="2637"/>
      <c r="G493" s="2865" t="str">
        <f aca="false">'Прайс лист'!B1470</f>
        <v>укладка геотекстиля</v>
      </c>
      <c r="H493" s="2866"/>
      <c r="I493" s="894" t="s">
        <v>820</v>
      </c>
      <c r="J493" s="894" t="n">
        <f aca="false">(E3*E4+E132*C170+D172*C211+D220*C236+C475/C471*D470)*H442</f>
        <v>64</v>
      </c>
      <c r="K493" s="894" t="n">
        <f aca="false">'Прайс лист'!G1470</f>
        <v>200</v>
      </c>
      <c r="L493" s="894" t="n">
        <f aca="false">K493*J493</f>
        <v>12800</v>
      </c>
      <c r="M493" s="2759"/>
    </row>
    <row r="494" customFormat="false" ht="15.75" hidden="false" customHeight="false" outlineLevel="1" collapsed="false">
      <c r="A494" s="908" t="str">
        <f aca="false">'Прайс лист'!B224</f>
        <v>Вязальная проволока</v>
      </c>
      <c r="B494" s="894" t="s">
        <v>434</v>
      </c>
      <c r="C494" s="894" t="n">
        <f aca="false">(C491+C492+C493)/50*G442</f>
        <v>17.024</v>
      </c>
      <c r="D494" s="894" t="n">
        <f aca="false">'Прайс лист'!G224</f>
        <v>80</v>
      </c>
      <c r="E494" s="894" t="n">
        <f aca="false">C494*D494</f>
        <v>1361.92</v>
      </c>
      <c r="F494" s="2637"/>
      <c r="G494" s="2865" t="str">
        <f aca="false">'Прайс лист'!B1471</f>
        <v>укладка дренажа</v>
      </c>
      <c r="H494" s="2866"/>
      <c r="I494" s="894" t="s">
        <v>820</v>
      </c>
      <c r="J494" s="894" t="n">
        <f aca="false">(D72+E132*C169-D139*E132+D172*C210-D172*C184+D220*C235-C226*D220+5)*H442</f>
        <v>53</v>
      </c>
      <c r="K494" s="894" t="n">
        <f aca="false">'Прайс лист'!G1471</f>
        <v>200</v>
      </c>
      <c r="L494" s="894" t="n">
        <f aca="false">K494*J494</f>
        <v>10600</v>
      </c>
      <c r="M494" s="2759"/>
    </row>
    <row r="495" customFormat="false" ht="15.75" hidden="false" customHeight="false" outlineLevel="1" collapsed="false">
      <c r="A495" s="908" t="str">
        <f aca="false">'Прайс лист'!B226</f>
        <v>Подставка под арматурный каркас</v>
      </c>
      <c r="B495" s="894" t="s">
        <v>48</v>
      </c>
      <c r="C495" s="894" t="n">
        <f aca="false">(E3*E4+E132*C170+D172*C211+D220*C236)*3*G442</f>
        <v>192</v>
      </c>
      <c r="D495" s="894" t="n">
        <f aca="false">'Прайс лист'!G226</f>
        <v>5</v>
      </c>
      <c r="E495" s="894" t="n">
        <f aca="false">C495*D495</f>
        <v>960</v>
      </c>
      <c r="F495" s="2637"/>
      <c r="G495" s="2865" t="str">
        <f aca="false">'Прайс лист'!B1472</f>
        <v>монтаж дренажного колодца</v>
      </c>
      <c r="H495" s="2866"/>
      <c r="I495" s="894" t="s">
        <v>48</v>
      </c>
      <c r="J495" s="894" t="n">
        <f aca="false">C466*D466*H442</f>
        <v>6</v>
      </c>
      <c r="K495" s="894" t="n">
        <f aca="false">'Прайс лист'!G1472</f>
        <v>300</v>
      </c>
      <c r="L495" s="894" t="n">
        <f aca="false">K495*J495</f>
        <v>1800</v>
      </c>
      <c r="M495" s="2759"/>
    </row>
    <row r="496" customFormat="false" ht="15.75" hidden="false" customHeight="false" outlineLevel="1" collapsed="false">
      <c r="A496" s="908" t="str">
        <f aca="false">'Прайс лист'!B737</f>
        <v>Гвозди строительные 3,5 x 90            </v>
      </c>
      <c r="B496" s="894" t="s">
        <v>434</v>
      </c>
      <c r="C496" s="894" t="n">
        <f aca="false">C481*5*G442</f>
        <v>2.08</v>
      </c>
      <c r="D496" s="894" t="n">
        <f aca="false">'Прайс лист'!G737</f>
        <v>70</v>
      </c>
      <c r="E496" s="894" t="n">
        <f aca="false">C496*D496</f>
        <v>145.6</v>
      </c>
      <c r="F496" s="2637"/>
      <c r="G496" s="767"/>
      <c r="H496" s="767"/>
      <c r="I496" s="894"/>
      <c r="J496" s="894"/>
      <c r="K496" s="894"/>
      <c r="L496" s="894"/>
      <c r="M496" s="2759"/>
    </row>
    <row r="497" customFormat="false" ht="15.75" hidden="false" customHeight="false" outlineLevel="1" collapsed="false">
      <c r="A497" s="908" t="str">
        <f aca="false">'Прайс лист'!B647</f>
        <v>Геотекстиль</v>
      </c>
      <c r="B497" s="894" t="s">
        <v>820</v>
      </c>
      <c r="C497" s="894" t="n">
        <f aca="false">(E3*E4+E132*C170+D172*C211+D220*C236+C475/C471*D470)*1.15*G442</f>
        <v>73.6</v>
      </c>
      <c r="D497" s="894" t="n">
        <f aca="false">'Прайс лист'!G647</f>
        <v>100</v>
      </c>
      <c r="E497" s="894" t="n">
        <f aca="false">C497*D497</f>
        <v>7360</v>
      </c>
      <c r="F497" s="2637"/>
      <c r="G497" s="767"/>
      <c r="H497" s="767"/>
      <c r="I497" s="894"/>
      <c r="J497" s="894"/>
      <c r="K497" s="894"/>
      <c r="L497" s="894"/>
      <c r="M497" s="2759"/>
    </row>
    <row r="498" customFormat="false" ht="15.75" hidden="false" customHeight="false" outlineLevel="1" collapsed="false">
      <c r="A498" s="908" t="str">
        <f aca="false">'Ввод данных'!A883</f>
        <v>Труба гофрированная одностенная d110</v>
      </c>
      <c r="B498" s="894" t="s">
        <v>15</v>
      </c>
      <c r="C498" s="894" t="n">
        <f aca="false">(D72+E132*C169-D139*E132+D172*C210-D172*C184+D220*C235-C226*D220+5)*G442</f>
        <v>53</v>
      </c>
      <c r="D498" s="894" t="n">
        <f aca="false">VLOOKUP(A498,'Прайс лист'!B929:G944,6,0)</f>
        <v>77</v>
      </c>
      <c r="E498" s="894" t="n">
        <f aca="false">C498*D498</f>
        <v>4081</v>
      </c>
      <c r="F498" s="2637"/>
      <c r="G498" s="767"/>
      <c r="H498" s="767"/>
      <c r="I498" s="894"/>
      <c r="J498" s="894"/>
      <c r="K498" s="894"/>
      <c r="L498" s="894"/>
      <c r="M498" s="2759"/>
    </row>
    <row r="499" customFormat="false" ht="15.75" hidden="false" customHeight="false" outlineLevel="1" collapsed="false">
      <c r="A499" s="908" t="str">
        <f aca="false">'Ввод данных'!A885</f>
        <v>Дренажный колодец D300</v>
      </c>
      <c r="B499" s="894" t="s">
        <v>48</v>
      </c>
      <c r="C499" s="894" t="n">
        <f aca="false">C466*D466</f>
        <v>6</v>
      </c>
      <c r="D499" s="894" t="n">
        <f aca="false">VLOOKUP(A499,'Прайс лист'!B950:G953,6,0)</f>
        <v>1500</v>
      </c>
      <c r="E499" s="894" t="n">
        <f aca="false">C499*D499</f>
        <v>9000</v>
      </c>
      <c r="F499" s="2637"/>
      <c r="G499" s="767"/>
      <c r="H499" s="767"/>
      <c r="I499" s="894"/>
      <c r="J499" s="894"/>
      <c r="K499" s="894"/>
      <c r="L499" s="894"/>
      <c r="M499" s="2759"/>
    </row>
    <row r="500" customFormat="false" ht="15.75" hidden="false" customHeight="false" outlineLevel="1" collapsed="false">
      <c r="A500" s="908" t="str">
        <f aca="false">'Прайс лист'!B945</f>
        <v>Труба канализационная D110</v>
      </c>
      <c r="B500" s="894" t="s">
        <v>48</v>
      </c>
      <c r="C500" s="894" t="n">
        <f aca="false">C467*D467*G442</f>
        <v>10</v>
      </c>
      <c r="D500" s="894" t="n">
        <f aca="false">'Прайс лист'!G945</f>
        <v>70</v>
      </c>
      <c r="E500" s="894" t="n">
        <f aca="false">C500*D500</f>
        <v>700</v>
      </c>
      <c r="F500" s="2637"/>
      <c r="G500" s="767"/>
      <c r="H500" s="767"/>
      <c r="I500" s="894"/>
      <c r="J500" s="894"/>
      <c r="K500" s="894"/>
      <c r="L500" s="894"/>
      <c r="M500" s="2759"/>
    </row>
    <row r="501" customFormat="false" ht="15.75" hidden="false" customHeight="false" outlineLevel="1" collapsed="false">
      <c r="A501" s="1180" t="str">
        <f aca="false">'Ввод данных'!A898</f>
        <v>Нет техники</v>
      </c>
      <c r="B501" s="1692" t="str">
        <f aca="false">'Ввод данных'!B898</f>
        <v>ед.</v>
      </c>
      <c r="C501" s="1180" t="n">
        <f aca="false">'Ввод данных'!C898</f>
        <v>3</v>
      </c>
      <c r="D501" s="1159" t="n">
        <f aca="false">VLOOKUP(A501,'Прайс лист'!B192:G206,6,0)</f>
        <v>0</v>
      </c>
      <c r="E501" s="894" t="n">
        <f aca="false">C501*D501</f>
        <v>0</v>
      </c>
      <c r="F501" s="2637"/>
      <c r="G501" s="767"/>
      <c r="H501" s="767"/>
      <c r="I501" s="894"/>
      <c r="J501" s="894"/>
      <c r="K501" s="894"/>
      <c r="L501" s="894"/>
      <c r="M501" s="2759"/>
    </row>
    <row r="502" customFormat="false" ht="15.75" hidden="false" customHeight="false" outlineLevel="1" collapsed="false">
      <c r="A502" s="1180" t="str">
        <f aca="false">'Ввод данных'!A899</f>
        <v>Нет техники</v>
      </c>
      <c r="B502" s="1692" t="str">
        <f aca="false">'Ввод данных'!B899</f>
        <v>ед.</v>
      </c>
      <c r="C502" s="1180" t="n">
        <f aca="false">'Ввод данных'!C899</f>
        <v>0</v>
      </c>
      <c r="D502" s="1159" t="n">
        <f aca="false">VLOOKUP(A502,'Прайс лист'!B192:G206,6,0)</f>
        <v>0</v>
      </c>
      <c r="E502" s="894" t="n">
        <f aca="false">C502*D502</f>
        <v>0</v>
      </c>
      <c r="F502" s="2637"/>
      <c r="G502" s="1159"/>
      <c r="H502" s="1159"/>
      <c r="I502" s="1159"/>
      <c r="J502" s="1159"/>
      <c r="K502" s="1159"/>
      <c r="L502" s="1159"/>
      <c r="M502" s="2759"/>
    </row>
    <row r="503" customFormat="false" ht="15.75" hidden="false" customHeight="false" outlineLevel="1" collapsed="false">
      <c r="A503" s="1180" t="str">
        <f aca="false">'Ввод данных'!A900</f>
        <v>Нет техники</v>
      </c>
      <c r="B503" s="1692" t="str">
        <f aca="false">'Ввод данных'!B900</f>
        <v>ед.</v>
      </c>
      <c r="C503" s="1180" t="n">
        <f aca="false">'Ввод данных'!C900</f>
        <v>0</v>
      </c>
      <c r="D503" s="1159" t="n">
        <f aca="false">VLOOKUP(A503,'Прайс лист'!B192:G206,6,0)</f>
        <v>0</v>
      </c>
      <c r="E503" s="894" t="n">
        <f aca="false">C503*D503</f>
        <v>0</v>
      </c>
      <c r="F503" s="2637"/>
      <c r="G503" s="1159"/>
      <c r="H503" s="1159"/>
      <c r="I503" s="1159"/>
      <c r="J503" s="1159"/>
      <c r="K503" s="1159"/>
      <c r="L503" s="1159"/>
      <c r="M503" s="2759"/>
    </row>
    <row r="504" customFormat="false" ht="15.75" hidden="false" customHeight="false" outlineLevel="1" collapsed="false">
      <c r="A504" s="1180" t="str">
        <f aca="false">'Ввод данных'!A901</f>
        <v>Нет техники</v>
      </c>
      <c r="B504" s="1692" t="str">
        <f aca="false">'Ввод данных'!B901</f>
        <v>ед.</v>
      </c>
      <c r="C504" s="1180" t="n">
        <f aca="false">'Ввод данных'!C901</f>
        <v>0</v>
      </c>
      <c r="D504" s="1159" t="n">
        <f aca="false">VLOOKUP(A504,'Прайс лист'!B192:G206,6,0)</f>
        <v>0</v>
      </c>
      <c r="E504" s="894" t="n">
        <f aca="false">C504*D504</f>
        <v>0</v>
      </c>
      <c r="F504" s="2637"/>
      <c r="G504" s="1159"/>
      <c r="H504" s="1159"/>
      <c r="I504" s="1159"/>
      <c r="J504" s="1159"/>
      <c r="K504" s="1159"/>
      <c r="L504" s="1159"/>
      <c r="M504" s="2759"/>
    </row>
    <row r="505" customFormat="false" ht="15.75" hidden="false" customHeight="false" outlineLevel="1" collapsed="false">
      <c r="A505" s="1180" t="str">
        <f aca="false">'Ввод данных'!A902</f>
        <v>Нет техники</v>
      </c>
      <c r="B505" s="1692" t="str">
        <f aca="false">'Ввод данных'!B902</f>
        <v>ед.</v>
      </c>
      <c r="C505" s="1180" t="n">
        <f aca="false">'Ввод данных'!C902</f>
        <v>0</v>
      </c>
      <c r="D505" s="894" t="n">
        <f aca="false">VLOOKUP(A505,'Прайс лист'!B192:G206,6,0)</f>
        <v>0</v>
      </c>
      <c r="E505" s="894" t="n">
        <f aca="false">C505*D505</f>
        <v>0</v>
      </c>
      <c r="F505" s="2637"/>
      <c r="G505" s="1159"/>
      <c r="H505" s="1159"/>
      <c r="I505" s="1159"/>
      <c r="J505" s="1159"/>
      <c r="K505" s="1159"/>
      <c r="L505" s="1159"/>
      <c r="M505" s="2759"/>
    </row>
    <row r="506" customFormat="false" ht="15.75" hidden="false" customHeight="false" outlineLevel="1" collapsed="false">
      <c r="A506" s="1180" t="str">
        <f aca="false">'Ввод данных'!A904</f>
        <v>расходные материалы плита ушп</v>
      </c>
      <c r="B506" s="1692" t="s">
        <v>113</v>
      </c>
      <c r="C506" s="1180" t="n">
        <f aca="false">1</f>
        <v>1</v>
      </c>
      <c r="D506" s="894" t="n">
        <f aca="false">'Ввод данных'!C904</f>
        <v>12000</v>
      </c>
      <c r="E506" s="894" t="n">
        <f aca="false">C506*D506</f>
        <v>12000</v>
      </c>
      <c r="F506" s="2637"/>
      <c r="G506" s="767"/>
      <c r="H506" s="767"/>
      <c r="I506" s="894"/>
      <c r="J506" s="894"/>
      <c r="K506" s="894"/>
      <c r="L506" s="894"/>
      <c r="M506" s="2759"/>
    </row>
    <row r="507" customFormat="false" ht="15.75" hidden="false" customHeight="false" outlineLevel="1" collapsed="false">
      <c r="A507" s="2867"/>
      <c r="B507" s="916"/>
      <c r="C507" s="916"/>
      <c r="D507" s="916"/>
      <c r="E507" s="2868" t="n">
        <f aca="false">SUM(E478:E505)</f>
        <v>138583.255163077</v>
      </c>
      <c r="F507" s="2637"/>
      <c r="G507" s="2867"/>
      <c r="H507" s="916"/>
      <c r="I507" s="916"/>
      <c r="J507" s="916"/>
      <c r="K507" s="916"/>
      <c r="L507" s="2627" t="n">
        <f aca="false">SUM(L478:L506)</f>
        <v>182040</v>
      </c>
      <c r="M507" s="2759"/>
    </row>
    <row r="508" customFormat="false" ht="15.75" hidden="false" customHeight="false" outlineLevel="1" collapsed="false">
      <c r="A508" s="876" t="s">
        <v>4139</v>
      </c>
      <c r="B508" s="876" t="n">
        <f aca="false">E507</f>
        <v>138583.255163077</v>
      </c>
      <c r="C508" s="912"/>
      <c r="D508" s="912"/>
      <c r="E508" s="916"/>
      <c r="F508" s="912"/>
      <c r="G508" s="912"/>
      <c r="H508" s="912"/>
      <c r="I508" s="912"/>
      <c r="J508" s="912"/>
      <c r="K508" s="916"/>
      <c r="L508" s="2869"/>
      <c r="M508" s="2870"/>
    </row>
    <row r="509" customFormat="false" ht="15.75" hidden="false" customHeight="false" outlineLevel="1" collapsed="false">
      <c r="A509" s="876" t="s">
        <v>4140</v>
      </c>
      <c r="B509" s="876" t="n">
        <f aca="false">L507</f>
        <v>182040</v>
      </c>
      <c r="C509" s="912"/>
      <c r="D509" s="912"/>
      <c r="E509" s="916"/>
      <c r="F509" s="912"/>
      <c r="G509" s="2867"/>
      <c r="H509" s="916"/>
      <c r="I509" s="916"/>
      <c r="J509" s="916"/>
      <c r="K509" s="916"/>
      <c r="L509" s="2869"/>
      <c r="M509" s="2870"/>
    </row>
    <row r="510" customFormat="false" ht="15.75" hidden="false" customHeight="false" outlineLevel="1" collapsed="false">
      <c r="A510" s="876" t="s">
        <v>4141</v>
      </c>
      <c r="B510" s="876" t="n">
        <f aca="false">SUM(B508:B509)*B511</f>
        <v>0</v>
      </c>
      <c r="C510" s="2869"/>
      <c r="D510" s="2869"/>
      <c r="E510" s="2869"/>
      <c r="F510" s="2869"/>
      <c r="G510" s="2869"/>
      <c r="H510" s="2869"/>
      <c r="I510" s="2869"/>
      <c r="J510" s="2869"/>
      <c r="K510" s="2869"/>
      <c r="L510" s="2869"/>
      <c r="M510" s="2870"/>
    </row>
    <row r="511" customFormat="false" ht="15.75" hidden="false" customHeight="false" outlineLevel="0" collapsed="false">
      <c r="A511" s="2788" t="s">
        <v>4165</v>
      </c>
      <c r="B511" s="2826"/>
      <c r="C511" s="2619" t="s">
        <v>3811</v>
      </c>
      <c r="D511" s="2619"/>
      <c r="E511" s="2619"/>
      <c r="F511" s="2619"/>
      <c r="G511" s="2759"/>
      <c r="H511" s="2759"/>
      <c r="I511" s="2759"/>
      <c r="J511" s="2759"/>
      <c r="K511" s="2759"/>
      <c r="L511" s="2759"/>
      <c r="M511" s="2759"/>
    </row>
    <row r="512" customFormat="false" ht="15" hidden="false" customHeight="false" outlineLevel="0" collapsed="false">
      <c r="A512" s="2759"/>
      <c r="B512" s="2759"/>
      <c r="C512" s="2759"/>
      <c r="D512" s="2759"/>
      <c r="E512" s="2759"/>
      <c r="F512" s="2759"/>
      <c r="G512" s="2759"/>
      <c r="H512" s="2759"/>
      <c r="I512" s="2759"/>
      <c r="J512" s="2759"/>
      <c r="K512" s="2759"/>
      <c r="L512" s="2759"/>
      <c r="M512" s="2759"/>
    </row>
    <row r="513" customFormat="false" ht="15" hidden="false" customHeight="false" outlineLevel="0" collapsed="false">
      <c r="A513" s="2759"/>
      <c r="B513" s="2759"/>
      <c r="C513" s="2759"/>
      <c r="D513" s="2759"/>
      <c r="E513" s="2759"/>
      <c r="F513" s="2759"/>
      <c r="G513" s="2759"/>
      <c r="H513" s="2759"/>
      <c r="I513" s="2759"/>
      <c r="J513" s="2759"/>
      <c r="K513" s="2759"/>
      <c r="L513" s="2759"/>
      <c r="M513" s="2759"/>
    </row>
    <row r="514" customFormat="false" ht="15" hidden="false" customHeight="false" outlineLevel="0" collapsed="false">
      <c r="A514" s="2488" t="s">
        <v>2359</v>
      </c>
      <c r="B514" s="2488"/>
      <c r="C514" s="2488"/>
      <c r="D514" s="2488"/>
      <c r="E514" s="2488"/>
      <c r="F514" s="1506" t="n">
        <f aca="false">VLOOKUP('Ввод данных'!F974,связи1!A2:B3,2,0)</f>
        <v>0</v>
      </c>
      <c r="G514" s="1300"/>
      <c r="H514" s="1360"/>
      <c r="I514" s="1360"/>
      <c r="J514" s="1360"/>
      <c r="K514" s="1417"/>
      <c r="L514" s="2759"/>
      <c r="M514" s="2759"/>
    </row>
    <row r="515" customFormat="false" ht="15" hidden="false" customHeight="false" outlineLevel="0" collapsed="false">
      <c r="A515" s="2871" t="s">
        <v>4166</v>
      </c>
      <c r="B515" s="2872"/>
      <c r="C515" s="2488"/>
      <c r="D515" s="2488"/>
      <c r="E515" s="2488"/>
      <c r="F515" s="2395" t="n">
        <f aca="false">'Ввод данных'!E910</f>
        <v>1.1</v>
      </c>
      <c r="G515" s="1301" t="n">
        <f aca="false">F514*F515</f>
        <v>0</v>
      </c>
      <c r="H515" s="1360"/>
      <c r="I515" s="1360"/>
      <c r="J515" s="1360"/>
      <c r="K515" s="1417"/>
      <c r="L515" s="2759"/>
      <c r="M515" s="2759"/>
    </row>
    <row r="516" customFormat="false" ht="15" hidden="false" customHeight="false" outlineLevel="0" collapsed="false">
      <c r="A516" s="1297" t="s">
        <v>161</v>
      </c>
      <c r="B516" s="1297"/>
      <c r="C516" s="1308" t="s">
        <v>12</v>
      </c>
      <c r="D516" s="1308" t="s">
        <v>837</v>
      </c>
      <c r="E516" s="1308" t="s">
        <v>486</v>
      </c>
      <c r="F516" s="1301"/>
      <c r="G516" s="1301"/>
      <c r="H516" s="1301"/>
      <c r="I516" s="1301"/>
      <c r="J516" s="1311"/>
      <c r="K516" s="1417"/>
      <c r="L516" s="2759"/>
      <c r="M516" s="2759"/>
    </row>
    <row r="517" customFormat="false" ht="15" hidden="false" customHeight="false" outlineLevel="0" collapsed="false">
      <c r="A517" s="1310" t="s">
        <v>542</v>
      </c>
      <c r="B517" s="1310"/>
      <c r="C517" s="1313" t="s">
        <v>15</v>
      </c>
      <c r="D517" s="1158" t="n">
        <f aca="false">'Ввод данных'!C914</f>
        <v>0.6</v>
      </c>
      <c r="E517" s="1504" t="n">
        <f aca="false">IF('Ввод данных'!A914=связи1!F22,1,0)</f>
        <v>1</v>
      </c>
      <c r="F517" s="1301" t="s">
        <v>4024</v>
      </c>
      <c r="G517" s="1301"/>
      <c r="H517" s="1301"/>
      <c r="I517" s="1301"/>
      <c r="J517" s="1311"/>
      <c r="K517" s="1417"/>
      <c r="L517" s="2759"/>
      <c r="M517" s="2759"/>
    </row>
    <row r="518" customFormat="false" ht="15" hidden="false" customHeight="false" outlineLevel="0" collapsed="false">
      <c r="A518" s="1310" t="s">
        <v>4025</v>
      </c>
      <c r="B518" s="1310"/>
      <c r="C518" s="1313" t="s">
        <v>15</v>
      </c>
      <c r="D518" s="1158" t="n">
        <f aca="false">'Ввод данных'!C914</f>
        <v>0.6</v>
      </c>
      <c r="E518" s="1504" t="n">
        <f aca="false">IF('Ввод данных'!A914=связи1!F23,1,0)</f>
        <v>0</v>
      </c>
      <c r="F518" s="1301" t="s">
        <v>4026</v>
      </c>
      <c r="G518" s="1301"/>
      <c r="H518" s="1301"/>
      <c r="I518" s="1301"/>
      <c r="J518" s="1311"/>
      <c r="K518" s="1417"/>
      <c r="L518" s="2759"/>
      <c r="M518" s="2759"/>
    </row>
    <row r="519" customFormat="false" ht="15" hidden="false" customHeight="false" outlineLevel="0" collapsed="false">
      <c r="A519" s="2873" t="s">
        <v>4167</v>
      </c>
      <c r="B519" s="2874"/>
      <c r="C519" s="2875" t="s">
        <v>15</v>
      </c>
      <c r="D519" s="2876" t="n">
        <f aca="false">D534*2+(D535-E517-E517)*2</f>
        <v>14</v>
      </c>
      <c r="E519" s="1514" t="n">
        <f aca="false">E517</f>
        <v>1</v>
      </c>
      <c r="F519" s="1301"/>
      <c r="G519" s="1301"/>
      <c r="H519" s="1301"/>
      <c r="I519" s="1301"/>
      <c r="J519" s="1311"/>
      <c r="K519" s="1417"/>
      <c r="L519" s="2759"/>
      <c r="M519" s="2759"/>
    </row>
    <row r="520" customFormat="false" ht="15" hidden="false" customHeight="false" outlineLevel="0" collapsed="false">
      <c r="A520" s="2873" t="s">
        <v>4168</v>
      </c>
      <c r="B520" s="2874"/>
      <c r="C520" s="2875" t="s">
        <v>15</v>
      </c>
      <c r="D520" s="2876" t="n">
        <f aca="false">F553</f>
        <v>0</v>
      </c>
      <c r="E520" s="1313" t="n">
        <f aca="false">D519+D520</f>
        <v>14</v>
      </c>
      <c r="F520" s="1301" t="s">
        <v>2773</v>
      </c>
      <c r="G520" s="1301"/>
      <c r="H520" s="1301"/>
      <c r="I520" s="1301"/>
      <c r="J520" s="1311"/>
      <c r="K520" s="1417"/>
      <c r="L520" s="2759"/>
      <c r="M520" s="2759"/>
    </row>
    <row r="521" customFormat="false" ht="15" hidden="false" customHeight="false" outlineLevel="0" collapsed="false">
      <c r="A521" s="2873" t="s">
        <v>4169</v>
      </c>
      <c r="B521" s="2874"/>
      <c r="C521" s="2875" t="s">
        <v>820</v>
      </c>
      <c r="D521" s="2876" t="n">
        <f aca="false">(D519+D520)*D536-G561</f>
        <v>42</v>
      </c>
      <c r="E521" s="1313" t="n">
        <f aca="false">D521*E517*D517</f>
        <v>25.2</v>
      </c>
      <c r="F521" s="1301" t="s">
        <v>2659</v>
      </c>
      <c r="G521" s="1301"/>
      <c r="H521" s="1301"/>
      <c r="I521" s="1301"/>
      <c r="J521" s="1311"/>
      <c r="K521" s="1417"/>
      <c r="L521" s="2759"/>
      <c r="M521" s="2759"/>
    </row>
    <row r="522" customFormat="false" ht="15" hidden="false" customHeight="false" outlineLevel="0" collapsed="false">
      <c r="A522" s="2877" t="s">
        <v>4170</v>
      </c>
      <c r="B522" s="2877"/>
      <c r="C522" s="2875" t="s">
        <v>15</v>
      </c>
      <c r="D522" s="2876" t="n">
        <f aca="false">D519+D520</f>
        <v>14</v>
      </c>
      <c r="E522" s="1313"/>
      <c r="F522" s="1301"/>
      <c r="G522" s="1301"/>
      <c r="H522" s="1360"/>
      <c r="I522" s="1360"/>
      <c r="J522" s="1360"/>
      <c r="K522" s="1417"/>
      <c r="L522" s="2759"/>
      <c r="M522" s="2759"/>
    </row>
    <row r="523" customFormat="false" ht="15" hidden="false" customHeight="false" outlineLevel="0" collapsed="false">
      <c r="A523" s="2873" t="s">
        <v>556</v>
      </c>
      <c r="B523" s="2874"/>
      <c r="C523" s="2875" t="s">
        <v>15</v>
      </c>
      <c r="D523" s="2876" t="n">
        <f aca="false">'Ввод данных'!C935</f>
        <v>0.2</v>
      </c>
      <c r="E523" s="1313" t="n">
        <f aca="false">D522*D523*E517</f>
        <v>2.8</v>
      </c>
      <c r="F523" s="1301" t="s">
        <v>4171</v>
      </c>
      <c r="G523" s="1301"/>
      <c r="H523" s="1360"/>
      <c r="I523" s="1360"/>
      <c r="J523" s="1360"/>
      <c r="K523" s="1417"/>
      <c r="L523" s="2759"/>
      <c r="M523" s="2759"/>
    </row>
    <row r="524" customFormat="false" ht="15" hidden="false" customHeight="false" outlineLevel="0" collapsed="false">
      <c r="A524" s="2873" t="s">
        <v>558</v>
      </c>
      <c r="B524" s="2874"/>
      <c r="C524" s="2875" t="s">
        <v>48</v>
      </c>
      <c r="D524" s="2876" t="n">
        <f aca="false">'Ввод данных'!C936</f>
        <v>4</v>
      </c>
      <c r="E524" s="1313" t="n">
        <f aca="false">D522*D524*1.1</f>
        <v>61.6</v>
      </c>
      <c r="F524" s="1301" t="s">
        <v>3389</v>
      </c>
      <c r="G524" s="1301"/>
      <c r="H524" s="1360"/>
      <c r="I524" s="1360"/>
      <c r="J524" s="1360"/>
      <c r="K524" s="1417"/>
      <c r="L524" s="2759"/>
      <c r="M524" s="2759"/>
    </row>
    <row r="525" customFormat="false" ht="15" hidden="false" customHeight="false" outlineLevel="0" collapsed="false">
      <c r="A525" s="2873" t="s">
        <v>559</v>
      </c>
      <c r="B525" s="2874"/>
      <c r="C525" s="2875" t="s">
        <v>15</v>
      </c>
      <c r="D525" s="2876" t="n">
        <f aca="false">'Ввод данных'!C937</f>
        <v>0.4</v>
      </c>
      <c r="E525" s="1313" t="n">
        <f aca="false">D522/D525*(E517+E517+D523+D523)</f>
        <v>84</v>
      </c>
      <c r="F525" s="1301" t="s">
        <v>3389</v>
      </c>
      <c r="G525" s="1301"/>
      <c r="H525" s="1360"/>
      <c r="I525" s="1360"/>
      <c r="J525" s="1360"/>
      <c r="K525" s="1417"/>
      <c r="L525" s="2759"/>
      <c r="M525" s="2759"/>
    </row>
    <row r="526" customFormat="false" ht="15" hidden="false" customHeight="false" outlineLevel="0" collapsed="false">
      <c r="A526" s="2878" t="s">
        <v>4172</v>
      </c>
      <c r="B526" s="2879"/>
      <c r="C526" s="2880" t="s">
        <v>15</v>
      </c>
      <c r="D526" s="2881" t="n">
        <f aca="false">D534*2+(D535-E518-E518)*2</f>
        <v>18</v>
      </c>
      <c r="E526" s="1514" t="n">
        <f aca="false">E518</f>
        <v>0</v>
      </c>
      <c r="F526" s="1301"/>
      <c r="G526" s="1301"/>
      <c r="H526" s="1301"/>
      <c r="I526" s="1301"/>
      <c r="J526" s="1311"/>
      <c r="K526" s="1417"/>
      <c r="L526" s="2759"/>
      <c r="M526" s="2759"/>
    </row>
    <row r="527" customFormat="false" ht="15" hidden="false" customHeight="false" outlineLevel="0" collapsed="false">
      <c r="A527" s="2878" t="s">
        <v>4173</v>
      </c>
      <c r="B527" s="2879"/>
      <c r="C527" s="2880" t="s">
        <v>15</v>
      </c>
      <c r="D527" s="2881" t="n">
        <f aca="false">F553</f>
        <v>0</v>
      </c>
      <c r="E527" s="1313" t="n">
        <f aca="false">D526+D527</f>
        <v>18</v>
      </c>
      <c r="F527" s="1301" t="s">
        <v>2773</v>
      </c>
      <c r="G527" s="1301"/>
      <c r="H527" s="1301"/>
      <c r="I527" s="1301"/>
      <c r="J527" s="1311"/>
      <c r="K527" s="1417"/>
      <c r="L527" s="2759"/>
      <c r="M527" s="2759"/>
    </row>
    <row r="528" customFormat="false" ht="15" hidden="false" customHeight="false" outlineLevel="0" collapsed="false">
      <c r="A528" s="2878" t="s">
        <v>4174</v>
      </c>
      <c r="B528" s="2879"/>
      <c r="C528" s="2880" t="s">
        <v>820</v>
      </c>
      <c r="D528" s="2881" t="n">
        <f aca="false">(D526+D527)*D536-G561</f>
        <v>54</v>
      </c>
      <c r="E528" s="1313" t="n">
        <f aca="false">D528*E518*D518</f>
        <v>0</v>
      </c>
      <c r="F528" s="1301" t="s">
        <v>2659</v>
      </c>
      <c r="G528" s="1301"/>
      <c r="H528" s="1301"/>
      <c r="I528" s="1301"/>
      <c r="J528" s="1311"/>
      <c r="K528" s="1417"/>
      <c r="L528" s="2759"/>
      <c r="M528" s="2759"/>
    </row>
    <row r="529" customFormat="false" ht="15" hidden="false" customHeight="false" outlineLevel="0" collapsed="false">
      <c r="A529" s="2878" t="s">
        <v>561</v>
      </c>
      <c r="B529" s="2879"/>
      <c r="C529" s="2880" t="s">
        <v>15</v>
      </c>
      <c r="D529" s="2881" t="n">
        <v>0.05</v>
      </c>
      <c r="E529" s="1301"/>
      <c r="F529" s="1301"/>
      <c r="G529" s="1301"/>
      <c r="H529" s="1301"/>
      <c r="I529" s="1301"/>
      <c r="J529" s="1311"/>
      <c r="K529" s="1417"/>
      <c r="L529" s="2759"/>
      <c r="M529" s="2759"/>
    </row>
    <row r="530" customFormat="false" ht="15" hidden="false" customHeight="false" outlineLevel="0" collapsed="false">
      <c r="A530" s="2878" t="s">
        <v>562</v>
      </c>
      <c r="B530" s="2879"/>
      <c r="C530" s="2880" t="s">
        <v>15</v>
      </c>
      <c r="D530" s="2881" t="n">
        <v>0.2</v>
      </c>
      <c r="E530" s="1301"/>
      <c r="F530" s="1301"/>
      <c r="G530" s="1301"/>
      <c r="H530" s="1301"/>
      <c r="I530" s="1301"/>
      <c r="J530" s="1311"/>
      <c r="K530" s="1417"/>
      <c r="L530" s="2759"/>
      <c r="M530" s="2759"/>
    </row>
    <row r="531" customFormat="false" ht="15" hidden="false" customHeight="false" outlineLevel="0" collapsed="false">
      <c r="A531" s="2878" t="s">
        <v>563</v>
      </c>
      <c r="B531" s="2879"/>
      <c r="C531" s="2880" t="s">
        <v>48</v>
      </c>
      <c r="D531" s="2881" t="n">
        <v>2</v>
      </c>
      <c r="E531" s="1301"/>
      <c r="F531" s="1301"/>
      <c r="G531" s="1301"/>
      <c r="H531" s="1301"/>
      <c r="I531" s="1301"/>
      <c r="J531" s="1311"/>
      <c r="K531" s="1417"/>
      <c r="L531" s="2759"/>
      <c r="M531" s="2759"/>
    </row>
    <row r="532" customFormat="false" ht="15" hidden="false" customHeight="false" outlineLevel="0" collapsed="false">
      <c r="A532" s="2882" t="s">
        <v>4175</v>
      </c>
      <c r="B532" s="2882"/>
      <c r="C532" s="2880" t="s">
        <v>15</v>
      </c>
      <c r="D532" s="2883" t="n">
        <f aca="false">D526+D527</f>
        <v>18</v>
      </c>
      <c r="E532" s="2759"/>
      <c r="F532" s="2759"/>
      <c r="G532" s="2759"/>
      <c r="H532" s="2759"/>
      <c r="I532" s="2759"/>
      <c r="J532" s="2759"/>
      <c r="K532" s="2759"/>
      <c r="L532" s="2759"/>
      <c r="M532" s="2759"/>
    </row>
    <row r="533" customFormat="false" ht="15" hidden="false" customHeight="false" outlineLevel="0" collapsed="false">
      <c r="A533" s="2878" t="s">
        <v>564</v>
      </c>
      <c r="B533" s="2879"/>
      <c r="C533" s="2884" t="s">
        <v>502</v>
      </c>
      <c r="D533" s="2885" t="n">
        <v>5</v>
      </c>
      <c r="E533" s="2759"/>
      <c r="F533" s="2759"/>
      <c r="G533" s="2759"/>
      <c r="H533" s="2759"/>
      <c r="I533" s="2759"/>
      <c r="J533" s="2759"/>
      <c r="K533" s="2759"/>
      <c r="L533" s="2759"/>
      <c r="M533" s="2759"/>
    </row>
    <row r="534" customFormat="false" ht="15" hidden="false" customHeight="false" outlineLevel="0" collapsed="false">
      <c r="A534" s="1310" t="s">
        <v>543</v>
      </c>
      <c r="B534" s="1310"/>
      <c r="C534" s="2886" t="s">
        <v>15</v>
      </c>
      <c r="D534" s="2887" t="n">
        <f aca="false">'Ввод данных'!C916</f>
        <v>4</v>
      </c>
      <c r="E534" s="1311"/>
      <c r="F534" s="1311"/>
      <c r="G534" s="1311"/>
      <c r="H534" s="1360"/>
      <c r="I534" s="1360"/>
      <c r="J534" s="1360"/>
      <c r="K534" s="1417"/>
      <c r="L534" s="2759"/>
      <c r="M534" s="2759"/>
    </row>
    <row r="535" customFormat="false" ht="15" hidden="false" customHeight="false" outlineLevel="0" collapsed="false">
      <c r="A535" s="1310" t="s">
        <v>4176</v>
      </c>
      <c r="B535" s="1310"/>
      <c r="C535" s="1176" t="s">
        <v>15</v>
      </c>
      <c r="D535" s="2887" t="n">
        <f aca="false">'Ввод данных'!C917</f>
        <v>5</v>
      </c>
      <c r="E535" s="1311"/>
      <c r="F535" s="1311"/>
      <c r="G535" s="1311"/>
      <c r="H535" s="1301"/>
      <c r="I535" s="1360"/>
      <c r="J535" s="1360"/>
      <c r="K535" s="1417"/>
      <c r="L535" s="2759"/>
      <c r="M535" s="2759"/>
    </row>
    <row r="536" customFormat="false" ht="15" hidden="false" customHeight="false" outlineLevel="0" collapsed="false">
      <c r="A536" s="1310" t="s">
        <v>545</v>
      </c>
      <c r="B536" s="1310"/>
      <c r="C536" s="1176" t="s">
        <v>15</v>
      </c>
      <c r="D536" s="2887" t="n">
        <f aca="false">'Ввод данных'!C918</f>
        <v>3</v>
      </c>
      <c r="E536" s="1311"/>
      <c r="F536" s="1311"/>
      <c r="G536" s="1311"/>
      <c r="H536" s="1301"/>
      <c r="I536" s="1360"/>
      <c r="J536" s="1360"/>
      <c r="K536" s="1417"/>
      <c r="L536" s="2759"/>
      <c r="M536" s="2759"/>
    </row>
    <row r="537" customFormat="false" ht="15" hidden="false" customHeight="false" outlineLevel="0" collapsed="false">
      <c r="A537" s="2759" t="s">
        <v>4177</v>
      </c>
      <c r="B537" s="2759"/>
      <c r="C537" s="2759"/>
      <c r="D537" s="2489" t="n">
        <f aca="false">D542-D543</f>
        <v>11.6</v>
      </c>
      <c r="E537" s="1506" t="n">
        <f aca="false">VLOOKUP('Ввод данных'!C952,связи1!A2:B3,2,0)</f>
        <v>1</v>
      </c>
      <c r="F537" s="1311"/>
      <c r="G537" s="1311"/>
      <c r="H537" s="1301"/>
      <c r="I537" s="1360"/>
      <c r="J537" s="1360"/>
      <c r="K537" s="1417"/>
      <c r="L537" s="2759"/>
      <c r="M537" s="2759"/>
    </row>
    <row r="538" customFormat="false" ht="15" hidden="false" customHeight="false" outlineLevel="0" collapsed="false">
      <c r="A538" s="1315" t="s">
        <v>4178</v>
      </c>
      <c r="B538" s="1316"/>
      <c r="C538" s="1176" t="s">
        <v>820</v>
      </c>
      <c r="D538" s="1313" t="n">
        <f aca="false">((D534+D534)+(D535-E517*D517*2-E518*D518*2)*2+F553)*D536</f>
        <v>46.8</v>
      </c>
      <c r="F538" s="1311"/>
      <c r="G538" s="1311"/>
      <c r="H538" s="1301"/>
      <c r="I538" s="1360"/>
      <c r="J538" s="1360"/>
      <c r="K538" s="1417"/>
      <c r="L538" s="2759"/>
      <c r="M538" s="2759"/>
    </row>
    <row r="539" customFormat="false" ht="15" hidden="false" customHeight="false" outlineLevel="0" collapsed="false">
      <c r="A539" s="1315" t="s">
        <v>4179</v>
      </c>
      <c r="B539" s="1316"/>
      <c r="C539" s="1176" t="s">
        <v>820</v>
      </c>
      <c r="D539" s="1313" t="n">
        <f aca="false">D538-G561</f>
        <v>46.8</v>
      </c>
      <c r="E539" s="1311"/>
      <c r="F539" s="1311"/>
      <c r="G539" s="1311"/>
      <c r="H539" s="1301"/>
      <c r="I539" s="1360"/>
      <c r="J539" s="1360"/>
      <c r="K539" s="1417"/>
      <c r="L539" s="2759"/>
      <c r="M539" s="2759"/>
    </row>
    <row r="540" customFormat="false" ht="15" hidden="false" customHeight="false" outlineLevel="0" collapsed="false">
      <c r="A540" s="2572" t="s">
        <v>4030</v>
      </c>
      <c r="B540" s="2572"/>
      <c r="C540" s="1313" t="s">
        <v>1043</v>
      </c>
      <c r="D540" s="1313" t="n">
        <f aca="false">D539*(E517*D517+E518*D518)</f>
        <v>28.08</v>
      </c>
      <c r="E540" s="1311"/>
      <c r="F540" s="1311"/>
      <c r="G540" s="1311"/>
      <c r="H540" s="1311"/>
      <c r="I540" s="1360"/>
      <c r="J540" s="1360"/>
      <c r="K540" s="1417"/>
      <c r="L540" s="2759"/>
      <c r="M540" s="2759"/>
    </row>
    <row r="541" customFormat="false" ht="15" hidden="false" customHeight="false" outlineLevel="0" collapsed="false">
      <c r="A541" s="1315" t="s">
        <v>4180</v>
      </c>
      <c r="B541" s="1316"/>
      <c r="C541" s="1176" t="s">
        <v>15</v>
      </c>
      <c r="D541" s="1313" t="n">
        <f aca="false">0.05</f>
        <v>0.05</v>
      </c>
      <c r="E541" s="1311" t="n">
        <v>1</v>
      </c>
      <c r="F541" s="1311"/>
      <c r="G541" s="1311"/>
      <c r="H541" s="1301"/>
      <c r="I541" s="1360"/>
      <c r="J541" s="1360"/>
      <c r="K541" s="1417"/>
      <c r="L541" s="2759"/>
      <c r="M541" s="2759"/>
    </row>
    <row r="542" customFormat="false" ht="15" hidden="false" customHeight="false" outlineLevel="0" collapsed="false">
      <c r="A542" s="1191" t="s">
        <v>4181</v>
      </c>
      <c r="B542" s="1191"/>
      <c r="C542" s="1313" t="s">
        <v>820</v>
      </c>
      <c r="D542" s="1313" t="n">
        <f aca="false">D534*D535</f>
        <v>20</v>
      </c>
      <c r="E542" s="1311"/>
      <c r="F542" s="1311"/>
      <c r="G542" s="1311"/>
      <c r="H542" s="1301"/>
      <c r="I542" s="1360"/>
      <c r="J542" s="1360"/>
      <c r="K542" s="1417"/>
      <c r="L542" s="2759"/>
      <c r="M542" s="2759"/>
    </row>
    <row r="543" customFormat="false" ht="15" hidden="false" customHeight="false" outlineLevel="0" collapsed="false">
      <c r="A543" s="2888" t="s">
        <v>4182</v>
      </c>
      <c r="B543" s="2572"/>
      <c r="C543" s="1313" t="s">
        <v>820</v>
      </c>
      <c r="D543" s="1313" t="n">
        <f aca="false">(E520*E519+E527*E526)*(E517*D517+E518*D518)</f>
        <v>8.4</v>
      </c>
      <c r="E543" s="1311"/>
      <c r="F543" s="1311"/>
      <c r="G543" s="1311"/>
      <c r="H543" s="1301"/>
      <c r="I543" s="1360"/>
      <c r="J543" s="1360"/>
      <c r="K543" s="1417"/>
      <c r="L543" s="2759"/>
      <c r="M543" s="2759"/>
    </row>
    <row r="544" customFormat="false" ht="15" hidden="false" customHeight="false" outlineLevel="0" collapsed="false">
      <c r="A544" s="2888" t="s">
        <v>4183</v>
      </c>
      <c r="B544" s="2572"/>
      <c r="C544" s="1313"/>
      <c r="D544" s="1313" t="n">
        <f aca="false">D534*D535</f>
        <v>20</v>
      </c>
      <c r="E544" s="1311"/>
      <c r="F544" s="1311"/>
      <c r="G544" s="1311"/>
      <c r="H544" s="1301"/>
      <c r="I544" s="1360"/>
      <c r="J544" s="1360"/>
      <c r="K544" s="1417"/>
      <c r="L544" s="2759"/>
      <c r="M544" s="2759"/>
    </row>
    <row r="545" customFormat="false" ht="15" hidden="false" customHeight="false" outlineLevel="0" collapsed="false">
      <c r="A545" s="2888" t="s">
        <v>4184</v>
      </c>
      <c r="B545" s="2572"/>
      <c r="C545" s="1313"/>
      <c r="D545" s="1313" t="n">
        <f aca="false">D544-D543</f>
        <v>11.6</v>
      </c>
      <c r="E545" s="1311"/>
      <c r="F545" s="1311"/>
      <c r="G545" s="1311"/>
      <c r="H545" s="1301"/>
      <c r="I545" s="1360"/>
      <c r="J545" s="1360"/>
      <c r="K545" s="1417"/>
      <c r="L545" s="2759"/>
      <c r="M545" s="2759"/>
    </row>
    <row r="546" customFormat="false" ht="15.75" hidden="false" customHeight="false" outlineLevel="0" collapsed="false">
      <c r="A546" s="908" t="s">
        <v>3771</v>
      </c>
      <c r="B546" s="2889"/>
      <c r="C546" s="893" t="s">
        <v>48</v>
      </c>
      <c r="D546" s="1313" t="n">
        <v>1</v>
      </c>
      <c r="E546" s="1311"/>
      <c r="F546" s="1311"/>
      <c r="G546" s="1311"/>
      <c r="H546" s="1301"/>
      <c r="I546" s="1360"/>
      <c r="J546" s="1360"/>
      <c r="K546" s="1417"/>
      <c r="L546" s="2759"/>
      <c r="M546" s="2759"/>
    </row>
    <row r="547" customFormat="false" ht="15.75" hidden="false" customHeight="false" outlineLevel="0" collapsed="false">
      <c r="A547" s="908" t="s">
        <v>4185</v>
      </c>
      <c r="B547" s="2889"/>
      <c r="C547" s="893" t="s">
        <v>48</v>
      </c>
      <c r="D547" s="2889" t="n">
        <v>5</v>
      </c>
      <c r="E547" s="2759"/>
      <c r="F547" s="2759"/>
      <c r="G547" s="2759"/>
      <c r="H547" s="2759"/>
      <c r="I547" s="2759"/>
      <c r="J547" s="2759"/>
      <c r="K547" s="2759"/>
      <c r="L547" s="2759"/>
      <c r="M547" s="2759"/>
    </row>
    <row r="548" customFormat="false" ht="15" hidden="false" customHeight="false" outlineLevel="0" collapsed="false">
      <c r="A548" s="1297" t="s">
        <v>46</v>
      </c>
      <c r="B548" s="1297"/>
      <c r="C548" s="1308" t="s">
        <v>12</v>
      </c>
      <c r="D548" s="1308" t="s">
        <v>200</v>
      </c>
      <c r="E548" s="1308" t="s">
        <v>118</v>
      </c>
      <c r="F548" s="1308" t="s">
        <v>200</v>
      </c>
      <c r="G548" s="1308" t="s">
        <v>2749</v>
      </c>
      <c r="H548" s="1311"/>
      <c r="I548" s="1360"/>
      <c r="J548" s="1360"/>
      <c r="K548" s="1417"/>
      <c r="L548" s="2759"/>
      <c r="M548" s="2759"/>
    </row>
    <row r="549" customFormat="false" ht="15" hidden="false" customHeight="false" outlineLevel="0" collapsed="false">
      <c r="A549" s="1304" t="s">
        <v>546</v>
      </c>
      <c r="B549" s="1304"/>
      <c r="C549" s="1176" t="s">
        <v>15</v>
      </c>
      <c r="D549" s="1506" t="n">
        <f aca="false">'Ввод данных'!C920</f>
        <v>3</v>
      </c>
      <c r="E549" s="1506" t="n">
        <f aca="false">'Ввод данных'!D920</f>
        <v>0</v>
      </c>
      <c r="F549" s="1313" t="n">
        <f aca="false">D549*E549</f>
        <v>0</v>
      </c>
      <c r="G549" s="1313" t="n">
        <f aca="false">F549*D536</f>
        <v>0</v>
      </c>
      <c r="H549" s="1301"/>
      <c r="I549" s="1360"/>
      <c r="J549" s="1360"/>
      <c r="K549" s="1417"/>
      <c r="L549" s="2759"/>
      <c r="M549" s="2759"/>
    </row>
    <row r="550" customFormat="false" ht="15" hidden="false" customHeight="false" outlineLevel="0" collapsed="false">
      <c r="A550" s="1304"/>
      <c r="B550" s="1304"/>
      <c r="C550" s="1176" t="s">
        <v>15</v>
      </c>
      <c r="D550" s="1506" t="n">
        <f aca="false">'Ввод данных'!C921</f>
        <v>1</v>
      </c>
      <c r="E550" s="1506" t="n">
        <f aca="false">'Ввод данных'!D921</f>
        <v>0</v>
      </c>
      <c r="F550" s="1313" t="n">
        <f aca="false">D550*E550</f>
        <v>0</v>
      </c>
      <c r="G550" s="1313" t="n">
        <f aca="false">F550*D536</f>
        <v>0</v>
      </c>
      <c r="H550" s="1301"/>
      <c r="I550" s="1360"/>
      <c r="J550" s="1360"/>
      <c r="K550" s="1417"/>
      <c r="L550" s="2759"/>
      <c r="M550" s="2759"/>
    </row>
    <row r="551" customFormat="false" ht="15" hidden="false" customHeight="false" outlineLevel="0" collapsed="false">
      <c r="A551" s="1304" t="s">
        <v>547</v>
      </c>
      <c r="B551" s="1304"/>
      <c r="C551" s="1176" t="s">
        <v>15</v>
      </c>
      <c r="D551" s="1506" t="n">
        <f aca="false">'Ввод данных'!C922</f>
        <v>0</v>
      </c>
      <c r="E551" s="1506" t="n">
        <f aca="false">'Ввод данных'!D922</f>
        <v>0</v>
      </c>
      <c r="F551" s="1313" t="n">
        <f aca="false">D551*E551</f>
        <v>0</v>
      </c>
      <c r="G551" s="1313" t="n">
        <f aca="false">D536*F551</f>
        <v>0</v>
      </c>
      <c r="H551" s="1301"/>
      <c r="I551" s="1360"/>
      <c r="J551" s="1360"/>
      <c r="K551" s="1417"/>
      <c r="L551" s="2759"/>
      <c r="M551" s="2759"/>
    </row>
    <row r="552" customFormat="false" ht="15" hidden="false" customHeight="false" outlineLevel="0" collapsed="false">
      <c r="A552" s="1304"/>
      <c r="B552" s="1304"/>
      <c r="C552" s="1176" t="s">
        <v>15</v>
      </c>
      <c r="D552" s="1506" t="n">
        <f aca="false">'Ввод данных'!C923</f>
        <v>0</v>
      </c>
      <c r="E552" s="1506" t="n">
        <f aca="false">'Ввод данных'!D923</f>
        <v>0</v>
      </c>
      <c r="F552" s="1313" t="n">
        <f aca="false">D552*E552</f>
        <v>0</v>
      </c>
      <c r="G552" s="1313" t="n">
        <f aca="false">F552*D536</f>
        <v>0</v>
      </c>
      <c r="H552" s="1301"/>
      <c r="I552" s="1360"/>
      <c r="J552" s="1360"/>
      <c r="K552" s="1417"/>
      <c r="L552" s="2759"/>
      <c r="M552" s="2759"/>
    </row>
    <row r="553" customFormat="false" ht="15" hidden="false" customHeight="false" outlineLevel="0" collapsed="false">
      <c r="A553" s="1413" t="s">
        <v>4031</v>
      </c>
      <c r="B553" s="1413"/>
      <c r="C553" s="1413"/>
      <c r="D553" s="1413"/>
      <c r="E553" s="1413"/>
      <c r="F553" s="1313" t="n">
        <f aca="false">SUM(F549:F552)</f>
        <v>0</v>
      </c>
      <c r="G553" s="1313" t="n">
        <f aca="false">SUM(G549:G552)</f>
        <v>0</v>
      </c>
      <c r="H553" s="1301"/>
      <c r="I553" s="1360"/>
      <c r="J553" s="1360"/>
      <c r="K553" s="1417"/>
      <c r="L553" s="2759"/>
      <c r="M553" s="2759"/>
    </row>
    <row r="554" customFormat="false" ht="15" hidden="false" customHeight="false" outlineLevel="0" collapsed="false">
      <c r="A554" s="2495" t="s">
        <v>548</v>
      </c>
      <c r="B554" s="2495"/>
      <c r="C554" s="1365" t="s">
        <v>12</v>
      </c>
      <c r="D554" s="1365" t="s">
        <v>2779</v>
      </c>
      <c r="E554" s="1365" t="s">
        <v>2780</v>
      </c>
      <c r="F554" s="1365" t="s">
        <v>118</v>
      </c>
      <c r="G554" s="1308" t="s">
        <v>2749</v>
      </c>
      <c r="H554" s="1360"/>
      <c r="I554" s="1429"/>
      <c r="J554" s="1360"/>
      <c r="K554" s="1417"/>
      <c r="L554" s="2759"/>
      <c r="M554" s="2759"/>
    </row>
    <row r="555" customFormat="false" ht="15" hidden="false" customHeight="false" outlineLevel="0" collapsed="false">
      <c r="A555" s="1304" t="s">
        <v>550</v>
      </c>
      <c r="B555" s="1304"/>
      <c r="C555" s="1304" t="s">
        <v>15</v>
      </c>
      <c r="D555" s="2779" t="n">
        <f aca="false">'Ввод данных'!C925</f>
        <v>0</v>
      </c>
      <c r="E555" s="2779" t="n">
        <f aca="false">'Ввод данных'!D925</f>
        <v>0</v>
      </c>
      <c r="F555" s="2779" t="n">
        <f aca="false">'Ввод данных'!E925</f>
        <v>0</v>
      </c>
      <c r="G555" s="1368" t="n">
        <f aca="false">D555*E555*F555</f>
        <v>0</v>
      </c>
      <c r="H555" s="1360"/>
      <c r="I555" s="1295"/>
      <c r="J555" s="1360"/>
      <c r="K555" s="1417"/>
      <c r="L555" s="2759"/>
      <c r="M555" s="2759"/>
    </row>
    <row r="556" customFormat="false" ht="15" hidden="false" customHeight="false" outlineLevel="0" collapsed="false">
      <c r="A556" s="1304"/>
      <c r="B556" s="1304"/>
      <c r="C556" s="1304" t="s">
        <v>15</v>
      </c>
      <c r="D556" s="2779" t="n">
        <f aca="false">'Ввод данных'!C926</f>
        <v>0</v>
      </c>
      <c r="E556" s="2779" t="n">
        <f aca="false">'Ввод данных'!D926</f>
        <v>0</v>
      </c>
      <c r="F556" s="2779" t="n">
        <f aca="false">'Ввод данных'!E926</f>
        <v>0</v>
      </c>
      <c r="G556" s="1368" t="n">
        <f aca="false">D556*E556*F556</f>
        <v>0</v>
      </c>
      <c r="H556" s="1360"/>
      <c r="I556" s="1429"/>
      <c r="J556" s="1360"/>
      <c r="K556" s="1417"/>
      <c r="L556" s="2759"/>
      <c r="M556" s="2759"/>
    </row>
    <row r="557" customFormat="false" ht="15" hidden="false" customHeight="false" outlineLevel="0" collapsed="false">
      <c r="A557" s="1304"/>
      <c r="B557" s="1304"/>
      <c r="C557" s="1304" t="s">
        <v>15</v>
      </c>
      <c r="D557" s="2779" t="n">
        <f aca="false">'Ввод данных'!C927</f>
        <v>0</v>
      </c>
      <c r="E557" s="2779" t="n">
        <f aca="false">'Ввод данных'!D927</f>
        <v>0</v>
      </c>
      <c r="F557" s="2779" t="n">
        <f aca="false">'Ввод данных'!E927</f>
        <v>0</v>
      </c>
      <c r="G557" s="1368" t="n">
        <f aca="false">D557*E557*F557</f>
        <v>0</v>
      </c>
      <c r="H557" s="1379"/>
      <c r="I557" s="1429"/>
      <c r="J557" s="1619"/>
      <c r="K557" s="1417"/>
      <c r="L557" s="2759"/>
      <c r="M557" s="2759"/>
    </row>
    <row r="558" customFormat="false" ht="15" hidden="false" customHeight="false" outlineLevel="0" collapsed="false">
      <c r="A558" s="1401" t="s">
        <v>551</v>
      </c>
      <c r="B558" s="1401"/>
      <c r="C558" s="1304" t="s">
        <v>15</v>
      </c>
      <c r="D558" s="2779" t="n">
        <f aca="false">'Ввод данных'!C928</f>
        <v>1</v>
      </c>
      <c r="E558" s="2779" t="n">
        <f aca="false">'Ввод данных'!D928</f>
        <v>2</v>
      </c>
      <c r="F558" s="2779" t="n">
        <f aca="false">'Ввод данных'!E928</f>
        <v>0</v>
      </c>
      <c r="G558" s="1368" t="n">
        <f aca="false">D558*E558*F558</f>
        <v>0</v>
      </c>
      <c r="H558" s="1311"/>
      <c r="I558" s="1429"/>
      <c r="J558" s="1311"/>
      <c r="K558" s="1417"/>
      <c r="L558" s="2759"/>
      <c r="M558" s="2759"/>
    </row>
    <row r="559" customFormat="false" ht="15" hidden="false" customHeight="false" outlineLevel="0" collapsed="false">
      <c r="A559" s="1401"/>
      <c r="B559" s="1401"/>
      <c r="C559" s="1304" t="s">
        <v>15</v>
      </c>
      <c r="D559" s="2779" t="n">
        <f aca="false">'Ввод данных'!C929</f>
        <v>0</v>
      </c>
      <c r="E559" s="2779" t="n">
        <f aca="false">'Ввод данных'!D929</f>
        <v>2.7</v>
      </c>
      <c r="F559" s="2779" t="n">
        <f aca="false">'Ввод данных'!E929</f>
        <v>0</v>
      </c>
      <c r="G559" s="1368" t="n">
        <f aca="false">D559*E559*F559</f>
        <v>0</v>
      </c>
      <c r="H559" s="1379"/>
      <c r="I559" s="1429"/>
      <c r="J559" s="1619"/>
      <c r="K559" s="1417"/>
      <c r="L559" s="2759"/>
      <c r="M559" s="2759"/>
    </row>
    <row r="560" customFormat="false" ht="15" hidden="false" customHeight="false" outlineLevel="0" collapsed="false">
      <c r="A560" s="1304" t="s">
        <v>553</v>
      </c>
      <c r="B560" s="1304"/>
      <c r="C560" s="1334" t="s">
        <v>15</v>
      </c>
      <c r="D560" s="2779" t="n">
        <f aca="false">'Ввод данных'!C930</f>
        <v>2</v>
      </c>
      <c r="E560" s="2779" t="n">
        <f aca="false">'Ввод данных'!D930</f>
        <v>2</v>
      </c>
      <c r="F560" s="2779" t="n">
        <f aca="false">'Ввод данных'!E930</f>
        <v>0</v>
      </c>
      <c r="G560" s="1368" t="n">
        <f aca="false">D560*E560*F560</f>
        <v>0</v>
      </c>
      <c r="H560" s="1295"/>
      <c r="I560" s="1257"/>
      <c r="J560" s="1619"/>
      <c r="K560" s="1417"/>
      <c r="L560" s="2759"/>
      <c r="M560" s="2759"/>
    </row>
    <row r="561" customFormat="false" ht="15" hidden="false" customHeight="false" outlineLevel="0" collapsed="false">
      <c r="A561" s="2890" t="s">
        <v>4032</v>
      </c>
      <c r="B561" s="2890"/>
      <c r="C561" s="2890"/>
      <c r="D561" s="2890"/>
      <c r="E561" s="2890"/>
      <c r="F561" s="1176" t="n">
        <f aca="false">SUM(F549:F553)</f>
        <v>0</v>
      </c>
      <c r="G561" s="1176" t="n">
        <f aca="false">SUM(G555:G560)</f>
        <v>0</v>
      </c>
      <c r="H561" s="1311"/>
      <c r="I561" s="1311"/>
      <c r="J561" s="1619"/>
      <c r="K561" s="1417"/>
      <c r="L561" s="2759"/>
      <c r="M561" s="2759"/>
    </row>
    <row r="562" customFormat="false" ht="15" hidden="false" customHeight="false" outlineLevel="0" collapsed="false">
      <c r="A562" s="1297" t="s">
        <v>565</v>
      </c>
      <c r="B562" s="1297"/>
      <c r="C562" s="1297"/>
      <c r="D562" s="1176" t="n">
        <f aca="false">VLOOKUP('Ввод данных'!C943,связи1!A2:B3,2,0)</f>
        <v>1</v>
      </c>
      <c r="E562" s="2891"/>
      <c r="F562" s="2484"/>
      <c r="G562" s="2484"/>
      <c r="H562" s="1311"/>
      <c r="I562" s="1311"/>
      <c r="J562" s="1619"/>
      <c r="K562" s="1417"/>
      <c r="L562" s="2759"/>
      <c r="M562" s="2759"/>
    </row>
    <row r="563" customFormat="false" ht="15.75" hidden="false" customHeight="false" outlineLevel="0" collapsed="false">
      <c r="A563" s="2825" t="s">
        <v>566</v>
      </c>
      <c r="B563" s="2825" t="s">
        <v>502</v>
      </c>
      <c r="C563" s="2824" t="n">
        <f aca="false">'Ввод данных'!C944</f>
        <v>5</v>
      </c>
      <c r="D563" s="919"/>
      <c r="E563" s="2891"/>
      <c r="F563" s="2484"/>
      <c r="G563" s="2484"/>
      <c r="H563" s="1311"/>
      <c r="I563" s="1311"/>
      <c r="J563" s="1619"/>
      <c r="K563" s="1417"/>
      <c r="L563" s="2759"/>
      <c r="M563" s="2759"/>
    </row>
    <row r="564" customFormat="false" ht="15.75" hidden="false" customHeight="false" outlineLevel="0" collapsed="false">
      <c r="A564" s="861" t="s">
        <v>567</v>
      </c>
      <c r="B564" s="876" t="s">
        <v>15</v>
      </c>
      <c r="C564" s="2824" t="n">
        <f aca="false">'Ввод данных'!C945</f>
        <v>0.4</v>
      </c>
      <c r="D564" s="2759"/>
      <c r="E564" s="2891"/>
      <c r="F564" s="2484"/>
      <c r="G564" s="2484"/>
      <c r="H564" s="1311"/>
      <c r="I564" s="1311"/>
      <c r="J564" s="1619"/>
      <c r="K564" s="1417"/>
      <c r="L564" s="2759"/>
      <c r="M564" s="2759"/>
    </row>
    <row r="565" customFormat="false" ht="15.75" hidden="false" customHeight="false" outlineLevel="0" collapsed="false">
      <c r="A565" s="861" t="s">
        <v>471</v>
      </c>
      <c r="B565" s="876" t="s">
        <v>15</v>
      </c>
      <c r="C565" s="2824" t="n">
        <f aca="false">'Ввод данных'!C946</f>
        <v>0.4</v>
      </c>
      <c r="D565" s="2759"/>
      <c r="E565" s="2891"/>
      <c r="F565" s="2484"/>
      <c r="G565" s="2484"/>
      <c r="H565" s="1311"/>
      <c r="I565" s="1311"/>
      <c r="J565" s="1619"/>
      <c r="K565" s="1417"/>
      <c r="L565" s="2759"/>
      <c r="M565" s="2759"/>
    </row>
    <row r="566" customFormat="false" ht="15.75" hidden="false" customHeight="false" outlineLevel="0" collapsed="false">
      <c r="A566" s="861" t="s">
        <v>472</v>
      </c>
      <c r="B566" s="876" t="s">
        <v>15</v>
      </c>
      <c r="C566" s="2824" t="n">
        <f aca="false">'Ввод данных'!C947</f>
        <v>0.2</v>
      </c>
      <c r="D566" s="2759"/>
      <c r="E566" s="2891"/>
      <c r="F566" s="2484"/>
      <c r="G566" s="2484"/>
      <c r="H566" s="1311"/>
      <c r="I566" s="1311"/>
      <c r="J566" s="1619"/>
      <c r="K566" s="1417"/>
      <c r="L566" s="2759"/>
      <c r="M566" s="2759"/>
    </row>
    <row r="567" customFormat="false" ht="15.75" hidden="false" customHeight="false" outlineLevel="0" collapsed="false">
      <c r="A567" s="861" t="s">
        <v>473</v>
      </c>
      <c r="B567" s="876" t="s">
        <v>15</v>
      </c>
      <c r="C567" s="2824" t="n">
        <f aca="false">'Ввод данных'!C948</f>
        <v>0.3</v>
      </c>
      <c r="D567" s="2759"/>
      <c r="E567" s="2891"/>
      <c r="F567" s="2484"/>
      <c r="G567" s="2484"/>
      <c r="H567" s="1311"/>
      <c r="I567" s="1311"/>
      <c r="J567" s="1619"/>
      <c r="K567" s="1417"/>
      <c r="L567" s="2759"/>
      <c r="M567" s="2759"/>
    </row>
    <row r="568" customFormat="false" ht="15.75" hidden="false" customHeight="false" outlineLevel="0" collapsed="false">
      <c r="A568" s="861" t="s">
        <v>568</v>
      </c>
      <c r="B568" s="876" t="s">
        <v>15</v>
      </c>
      <c r="C568" s="2824" t="n">
        <f aca="false">'Ввод данных'!C949</f>
        <v>0.04</v>
      </c>
      <c r="D568" s="2759"/>
      <c r="E568" s="2891"/>
      <c r="F568" s="2484"/>
      <c r="G568" s="2484"/>
      <c r="H568" s="1311"/>
      <c r="I568" s="1311"/>
      <c r="J568" s="1619"/>
      <c r="K568" s="1417"/>
      <c r="L568" s="2759"/>
      <c r="M568" s="2759"/>
    </row>
    <row r="569" customFormat="false" ht="15.75" hidden="false" customHeight="false" outlineLevel="0" collapsed="false">
      <c r="A569" s="861" t="s">
        <v>561</v>
      </c>
      <c r="B569" s="876" t="s">
        <v>820</v>
      </c>
      <c r="C569" s="2721" t="n">
        <f aca="false">C564*C574*2</f>
        <v>11.2</v>
      </c>
      <c r="D569" s="2759"/>
      <c r="E569" s="2891"/>
      <c r="F569" s="2484"/>
      <c r="G569" s="2484"/>
      <c r="H569" s="1311"/>
      <c r="I569" s="1311"/>
      <c r="J569" s="1619"/>
      <c r="K569" s="1417"/>
      <c r="L569" s="2759"/>
      <c r="M569" s="2759"/>
    </row>
    <row r="570" customFormat="false" ht="15.75" hidden="false" customHeight="false" outlineLevel="0" collapsed="false">
      <c r="A570" s="861" t="s">
        <v>569</v>
      </c>
      <c r="B570" s="876" t="s">
        <v>48</v>
      </c>
      <c r="C570" s="2832" t="n">
        <f aca="false">'Ввод данных'!C950</f>
        <v>4</v>
      </c>
      <c r="D570" s="2759"/>
      <c r="E570" s="2891"/>
      <c r="F570" s="2484"/>
      <c r="G570" s="2484"/>
      <c r="H570" s="1311"/>
      <c r="I570" s="1311"/>
      <c r="J570" s="1619"/>
      <c r="K570" s="1417"/>
      <c r="L570" s="2759"/>
      <c r="M570" s="2759"/>
    </row>
    <row r="571" customFormat="false" ht="15.75" hidden="false" customHeight="false" outlineLevel="0" collapsed="false">
      <c r="A571" s="861" t="s">
        <v>4186</v>
      </c>
      <c r="B571" s="876" t="s">
        <v>15</v>
      </c>
      <c r="C571" s="2721" t="n">
        <f aca="false">C574*C570*1.1</f>
        <v>61.6</v>
      </c>
      <c r="D571" s="2759"/>
      <c r="E571" s="2891"/>
      <c r="F571" s="2484"/>
      <c r="G571" s="2484"/>
      <c r="H571" s="1311"/>
      <c r="I571" s="1311"/>
      <c r="J571" s="1619"/>
      <c r="K571" s="1417"/>
      <c r="L571" s="2759"/>
      <c r="M571" s="2759"/>
    </row>
    <row r="572" customFormat="false" ht="15.75" hidden="false" customHeight="false" outlineLevel="0" collapsed="false">
      <c r="A572" s="861" t="s">
        <v>570</v>
      </c>
      <c r="B572" s="876" t="s">
        <v>15</v>
      </c>
      <c r="C572" s="2832" t="n">
        <f aca="false">'Ввод данных'!C951</f>
        <v>0.6</v>
      </c>
      <c r="D572" s="2759"/>
      <c r="E572" s="2891"/>
      <c r="F572" s="2484"/>
      <c r="G572" s="2484"/>
      <c r="H572" s="1311"/>
      <c r="I572" s="1311"/>
      <c r="J572" s="1619"/>
      <c r="K572" s="1417"/>
      <c r="L572" s="2759"/>
      <c r="M572" s="2759"/>
    </row>
    <row r="573" customFormat="false" ht="15.75" hidden="false" customHeight="false" outlineLevel="0" collapsed="false">
      <c r="A573" s="861" t="s">
        <v>4187</v>
      </c>
      <c r="B573" s="876" t="s">
        <v>15</v>
      </c>
      <c r="C573" s="2721" t="n">
        <f aca="false">(C574/C572)*(C564+C564+C565+C565)*1.1</f>
        <v>41.0666666666667</v>
      </c>
      <c r="D573" s="2759"/>
      <c r="E573" s="2891"/>
      <c r="F573" s="2484"/>
      <c r="G573" s="2484"/>
      <c r="H573" s="1311"/>
      <c r="I573" s="1311"/>
      <c r="J573" s="1619"/>
      <c r="K573" s="1417"/>
      <c r="L573" s="2759"/>
      <c r="M573" s="2759"/>
    </row>
    <row r="574" customFormat="false" ht="15.75" hidden="false" customHeight="false" outlineLevel="0" collapsed="false">
      <c r="A574" s="738" t="s">
        <v>4130</v>
      </c>
      <c r="B574" s="767" t="s">
        <v>15</v>
      </c>
      <c r="C574" s="740" t="n">
        <f aca="false">E519*E520+E527*E526</f>
        <v>14</v>
      </c>
      <c r="D574" s="2759"/>
      <c r="E574" s="2891"/>
      <c r="F574" s="2484"/>
      <c r="G574" s="2484"/>
      <c r="H574" s="1311"/>
      <c r="I574" s="1311"/>
      <c r="J574" s="1619"/>
      <c r="K574" s="1417"/>
      <c r="L574" s="2759"/>
      <c r="M574" s="2759"/>
    </row>
    <row r="575" customFormat="false" ht="15.75" hidden="false" customHeight="false" outlineLevel="0" collapsed="false">
      <c r="A575" s="908" t="s">
        <v>4131</v>
      </c>
      <c r="B575" s="767" t="s">
        <v>1043</v>
      </c>
      <c r="C575" s="740" t="n">
        <f aca="false">C574*C564*C565</f>
        <v>2.24</v>
      </c>
      <c r="D575" s="2759"/>
      <c r="E575" s="2891"/>
      <c r="F575" s="2484"/>
      <c r="G575" s="2484"/>
      <c r="H575" s="1311"/>
      <c r="I575" s="1311"/>
      <c r="J575" s="1619"/>
      <c r="K575" s="1417"/>
      <c r="L575" s="2759"/>
      <c r="M575" s="2759"/>
    </row>
    <row r="576" customFormat="false" ht="15.75" hidden="false" customHeight="false" outlineLevel="0" collapsed="false">
      <c r="A576" s="908" t="s">
        <v>3771</v>
      </c>
      <c r="B576" s="893" t="s">
        <v>48</v>
      </c>
      <c r="C576" s="740" t="n">
        <v>1</v>
      </c>
      <c r="D576" s="2526"/>
      <c r="E576" s="2493"/>
      <c r="F576" s="1301"/>
      <c r="G576" s="1301"/>
      <c r="H576" s="1302"/>
      <c r="I576" s="1302"/>
      <c r="J576" s="1417"/>
      <c r="K576" s="1417"/>
      <c r="L576" s="2808"/>
      <c r="M576" s="2808"/>
    </row>
    <row r="577" customFormat="false" ht="15.75" hidden="false" customHeight="false" outlineLevel="0" collapsed="false">
      <c r="A577" s="2679" t="s">
        <v>4188</v>
      </c>
      <c r="B577" s="2679" t="s">
        <v>118</v>
      </c>
      <c r="C577" s="740" t="n">
        <v>3</v>
      </c>
      <c r="D577" s="2526"/>
      <c r="E577" s="2493"/>
      <c r="F577" s="1301"/>
      <c r="G577" s="1301"/>
      <c r="H577" s="1302"/>
      <c r="I577" s="1302"/>
      <c r="J577" s="1417"/>
      <c r="K577" s="1417"/>
      <c r="L577" s="2808"/>
      <c r="M577" s="2808"/>
    </row>
    <row r="578" customFormat="false" ht="15" hidden="false" customHeight="false" outlineLevel="0" collapsed="false">
      <c r="A578" s="1297" t="s">
        <v>4189</v>
      </c>
      <c r="B578" s="1297"/>
      <c r="C578" s="1297"/>
      <c r="D578" s="1515" t="n">
        <f aca="false">E537</f>
        <v>1</v>
      </c>
      <c r="E578" s="2891"/>
      <c r="F578" s="2484"/>
      <c r="G578" s="2484"/>
      <c r="H578" s="1311"/>
      <c r="I578" s="1311"/>
      <c r="J578" s="1619"/>
      <c r="K578" s="1417"/>
      <c r="L578" s="2759"/>
      <c r="M578" s="2759"/>
    </row>
    <row r="579" customFormat="false" ht="15.75" hidden="false" customHeight="false" outlineLevel="0" collapsed="false">
      <c r="A579" s="876" t="s">
        <v>506</v>
      </c>
      <c r="B579" s="876" t="s">
        <v>15</v>
      </c>
      <c r="C579" s="2824" t="n">
        <f aca="false">'Ввод данных'!C953</f>
        <v>0</v>
      </c>
      <c r="D579" s="2759"/>
      <c r="E579" s="2759"/>
      <c r="F579" s="2759"/>
      <c r="G579" s="2759"/>
      <c r="H579" s="2759"/>
      <c r="I579" s="2759"/>
      <c r="J579" s="2759"/>
      <c r="K579" s="2759"/>
      <c r="L579" s="2759"/>
      <c r="M579" s="2759"/>
    </row>
    <row r="580" customFormat="false" ht="15.75" hidden="false" customHeight="false" outlineLevel="0" collapsed="false">
      <c r="A580" s="876" t="s">
        <v>507</v>
      </c>
      <c r="B580" s="876" t="s">
        <v>15</v>
      </c>
      <c r="C580" s="2824" t="n">
        <f aca="false">'Ввод данных'!C954</f>
        <v>0</v>
      </c>
      <c r="D580" s="2759"/>
      <c r="E580" s="2759"/>
      <c r="F580" s="2759"/>
      <c r="G580" s="2759"/>
      <c r="H580" s="2759"/>
      <c r="I580" s="2759"/>
      <c r="J580" s="2759"/>
      <c r="K580" s="2759"/>
      <c r="L580" s="2759"/>
      <c r="M580" s="2759"/>
    </row>
    <row r="581" customFormat="false" ht="15.75" hidden="false" customHeight="false" outlineLevel="0" collapsed="false">
      <c r="A581" s="876" t="s">
        <v>508</v>
      </c>
      <c r="B581" s="876" t="s">
        <v>15</v>
      </c>
      <c r="C581" s="2824" t="n">
        <f aca="false">'Ввод данных'!C955</f>
        <v>0.2</v>
      </c>
      <c r="D581" s="2759"/>
      <c r="E581" s="2759"/>
      <c r="F581" s="2759"/>
      <c r="G581" s="2759"/>
      <c r="H581" s="2759"/>
      <c r="I581" s="2759"/>
      <c r="J581" s="2759"/>
      <c r="K581" s="2759"/>
      <c r="L581" s="2759"/>
      <c r="M581" s="2759"/>
    </row>
    <row r="582" customFormat="false" ht="15.75" hidden="false" customHeight="false" outlineLevel="0" collapsed="false">
      <c r="A582" s="876" t="s">
        <v>4190</v>
      </c>
      <c r="B582" s="876" t="s">
        <v>15</v>
      </c>
      <c r="C582" s="2824" t="n">
        <f aca="false">'Ввод данных'!C956</f>
        <v>0.1</v>
      </c>
      <c r="D582" s="1515" t="n">
        <v>1</v>
      </c>
      <c r="E582" s="2759"/>
      <c r="F582" s="2759"/>
      <c r="G582" s="2759"/>
      <c r="H582" s="2759"/>
      <c r="I582" s="2759"/>
      <c r="J582" s="2759"/>
      <c r="K582" s="2759"/>
      <c r="L582" s="2759"/>
      <c r="M582" s="2759"/>
    </row>
    <row r="583" customFormat="false" ht="15.75" hidden="false" customHeight="false" outlineLevel="0" collapsed="false">
      <c r="A583" s="876" t="s">
        <v>572</v>
      </c>
      <c r="B583" s="876" t="s">
        <v>15</v>
      </c>
      <c r="C583" s="2824" t="n">
        <f aca="false">'Ввод данных'!C957</f>
        <v>0.25</v>
      </c>
      <c r="D583" s="2759"/>
      <c r="E583" s="2759"/>
      <c r="F583" s="2759"/>
      <c r="G583" s="2759"/>
      <c r="H583" s="2759"/>
      <c r="I583" s="2759"/>
      <c r="J583" s="2759"/>
      <c r="K583" s="2759"/>
      <c r="L583" s="2759"/>
      <c r="M583" s="2759"/>
    </row>
    <row r="584" customFormat="false" ht="15.75" hidden="false" customHeight="false" outlineLevel="0" collapsed="false">
      <c r="A584" s="876" t="s">
        <v>4191</v>
      </c>
      <c r="B584" s="876" t="s">
        <v>1043</v>
      </c>
      <c r="C584" s="2889" t="n">
        <f aca="false">D537*C583</f>
        <v>2.9</v>
      </c>
      <c r="D584" s="2759"/>
      <c r="E584" s="2759"/>
      <c r="F584" s="2759"/>
      <c r="G584" s="2759"/>
      <c r="H584" s="2759"/>
      <c r="I584" s="2759"/>
      <c r="J584" s="2759"/>
      <c r="K584" s="2759"/>
      <c r="L584" s="2759"/>
      <c r="M584" s="2759"/>
    </row>
    <row r="585" customFormat="false" ht="15.75" hidden="false" customHeight="false" outlineLevel="0" collapsed="false">
      <c r="A585" s="876" t="s">
        <v>573</v>
      </c>
      <c r="B585" s="876" t="s">
        <v>15</v>
      </c>
      <c r="C585" s="2824" t="n">
        <f aca="false">'Ввод данных'!C958</f>
        <v>0.2</v>
      </c>
      <c r="D585" s="2759"/>
      <c r="E585" s="2759"/>
      <c r="F585" s="2759"/>
      <c r="G585" s="2759"/>
      <c r="H585" s="2759"/>
      <c r="I585" s="2759"/>
      <c r="J585" s="2759"/>
      <c r="K585" s="2759"/>
      <c r="L585" s="2759"/>
      <c r="M585" s="2759"/>
    </row>
    <row r="586" customFormat="false" ht="15.75" hidden="false" customHeight="false" outlineLevel="0" collapsed="false">
      <c r="A586" s="876" t="s">
        <v>574</v>
      </c>
      <c r="B586" s="876" t="s">
        <v>48</v>
      </c>
      <c r="C586" s="2824" t="n">
        <f aca="false">'Ввод данных'!C959</f>
        <v>2</v>
      </c>
      <c r="D586" s="2759"/>
      <c r="E586" s="2759"/>
      <c r="F586" s="2759"/>
      <c r="G586" s="2759"/>
      <c r="H586" s="2759"/>
      <c r="I586" s="2759"/>
      <c r="J586" s="2759"/>
      <c r="K586" s="2759"/>
      <c r="L586" s="2759"/>
      <c r="M586" s="2759"/>
    </row>
    <row r="587" customFormat="false" ht="15.75" hidden="false" customHeight="false" outlineLevel="0" collapsed="false">
      <c r="A587" s="876" t="s">
        <v>4192</v>
      </c>
      <c r="B587" s="876" t="s">
        <v>15</v>
      </c>
      <c r="C587" s="1342" t="n">
        <f aca="false">1/C585*2*D545*C586</f>
        <v>232</v>
      </c>
      <c r="D587" s="2759"/>
      <c r="E587" s="2759"/>
      <c r="F587" s="2759"/>
      <c r="G587" s="2759"/>
      <c r="H587" s="2759"/>
      <c r="I587" s="2759"/>
      <c r="J587" s="2759"/>
      <c r="K587" s="2759"/>
      <c r="L587" s="2759"/>
      <c r="M587" s="2759"/>
    </row>
    <row r="588" customFormat="false" ht="15.75" hidden="false" customHeight="false" outlineLevel="0" collapsed="false">
      <c r="A588" s="876" t="s">
        <v>4155</v>
      </c>
      <c r="B588" s="876" t="s">
        <v>15</v>
      </c>
      <c r="C588" s="2889" t="n">
        <f aca="false">D537*6</f>
        <v>69.6</v>
      </c>
      <c r="D588" s="1515" t="n">
        <f aca="false">VLOOKUP('Ввод данных'!C962,связи1!A2:B3,2,0)</f>
        <v>1</v>
      </c>
      <c r="E588" s="2759"/>
      <c r="F588" s="2759"/>
      <c r="G588" s="2759"/>
      <c r="H588" s="2759"/>
      <c r="I588" s="2759"/>
      <c r="J588" s="2759"/>
      <c r="K588" s="2759"/>
      <c r="L588" s="2759"/>
      <c r="M588" s="2759"/>
    </row>
    <row r="589" customFormat="false" ht="15.75" hidden="false" customHeight="false" outlineLevel="0" collapsed="false">
      <c r="A589" s="876" t="s">
        <v>4156</v>
      </c>
      <c r="B589" s="876" t="s">
        <v>48</v>
      </c>
      <c r="C589" s="2824" t="n">
        <v>1</v>
      </c>
      <c r="D589" s="1515" t="n">
        <f aca="false">VLOOKUP('Ввод данных'!C963,связи1!A2:B3,2,0)</f>
        <v>0</v>
      </c>
      <c r="E589" s="2759"/>
      <c r="F589" s="2759"/>
      <c r="G589" s="2759"/>
      <c r="H589" s="2759"/>
      <c r="I589" s="2759"/>
      <c r="J589" s="2759"/>
      <c r="K589" s="2759"/>
      <c r="L589" s="2759"/>
      <c r="M589" s="2759"/>
    </row>
    <row r="590" customFormat="false" ht="15.75" hidden="false" customHeight="false" outlineLevel="0" collapsed="false">
      <c r="A590" s="908" t="s">
        <v>4193</v>
      </c>
      <c r="B590" s="893" t="s">
        <v>48</v>
      </c>
      <c r="C590" s="2824" t="n">
        <f aca="false">'Ввод данных'!C964</f>
        <v>6</v>
      </c>
      <c r="D590" s="1515" t="n">
        <v>1</v>
      </c>
      <c r="E590" s="2759"/>
      <c r="F590" s="2759"/>
      <c r="G590" s="2759"/>
      <c r="H590" s="2759"/>
      <c r="I590" s="2759"/>
      <c r="J590" s="2759"/>
      <c r="K590" s="2759"/>
      <c r="L590" s="2759"/>
      <c r="M590" s="2759"/>
    </row>
    <row r="591" customFormat="false" ht="15.75" hidden="false" customHeight="false" outlineLevel="0" collapsed="false">
      <c r="A591" s="908" t="s">
        <v>4194</v>
      </c>
      <c r="B591" s="893" t="s">
        <v>48</v>
      </c>
      <c r="C591" s="2824" t="n">
        <f aca="false">'Ввод данных'!C965</f>
        <v>2</v>
      </c>
      <c r="D591" s="1515" t="n">
        <v>1</v>
      </c>
      <c r="E591" s="2759"/>
      <c r="F591" s="2759"/>
      <c r="G591" s="2759"/>
      <c r="H591" s="2759"/>
      <c r="I591" s="2759"/>
      <c r="J591" s="2759"/>
      <c r="K591" s="2759"/>
      <c r="L591" s="2759"/>
      <c r="M591" s="2759"/>
    </row>
    <row r="592" customFormat="false" ht="15" hidden="false" customHeight="false" outlineLevel="0" collapsed="false">
      <c r="A592" s="2892" t="s">
        <v>4195</v>
      </c>
      <c r="B592" s="2892"/>
      <c r="C592" s="2892"/>
      <c r="D592" s="2892"/>
      <c r="E592" s="2892"/>
      <c r="F592" s="2892"/>
      <c r="G592" s="2892"/>
      <c r="H592" s="2892"/>
      <c r="I592" s="2892"/>
      <c r="J592" s="2892"/>
      <c r="K592" s="2892"/>
      <c r="L592" s="2892"/>
      <c r="M592" s="2759"/>
    </row>
    <row r="593" customFormat="false" ht="15" hidden="false" customHeight="false" outlineLevel="0" collapsed="false">
      <c r="A593" s="2892"/>
      <c r="B593" s="2892"/>
      <c r="C593" s="2892"/>
      <c r="D593" s="2892"/>
      <c r="E593" s="2892"/>
      <c r="F593" s="2892"/>
      <c r="G593" s="2892"/>
      <c r="H593" s="2892"/>
      <c r="I593" s="2892"/>
      <c r="J593" s="2892"/>
      <c r="K593" s="2892"/>
      <c r="L593" s="2892"/>
      <c r="M593" s="2759"/>
    </row>
    <row r="594" customFormat="false" ht="15.75" hidden="false" customHeight="false" outlineLevel="0" collapsed="false">
      <c r="A594" s="2893" t="s">
        <v>2246</v>
      </c>
      <c r="B594" s="2893"/>
      <c r="C594" s="2893"/>
      <c r="D594" s="2893"/>
      <c r="E594" s="2893"/>
      <c r="F594" s="2783" t="n">
        <f aca="false">'Ввод данных'!E910</f>
        <v>1.1</v>
      </c>
      <c r="G594" s="2893" t="s">
        <v>2007</v>
      </c>
      <c r="H594" s="2893"/>
      <c r="I594" s="2893"/>
      <c r="J594" s="2893"/>
      <c r="K594" s="2893"/>
      <c r="L594" s="2893"/>
      <c r="M594" s="2759"/>
    </row>
    <row r="595" customFormat="false" ht="15.75" hidden="false" customHeight="false" outlineLevel="0" collapsed="false">
      <c r="A595" s="2670" t="s">
        <v>4196</v>
      </c>
      <c r="B595" s="2670"/>
      <c r="C595" s="2670"/>
      <c r="D595" s="2670"/>
      <c r="E595" s="2670"/>
      <c r="F595" s="2670"/>
      <c r="G595" s="2670"/>
      <c r="H595" s="2670"/>
      <c r="I595" s="2670"/>
      <c r="J595" s="2670"/>
      <c r="K595" s="2670"/>
      <c r="L595" s="2670"/>
      <c r="M595" s="2759"/>
    </row>
    <row r="596" customFormat="false" ht="15.75" hidden="false" customHeight="false" outlineLevel="0" collapsed="false">
      <c r="A596" s="2720" t="s">
        <v>161</v>
      </c>
      <c r="B596" s="2720" t="s">
        <v>162</v>
      </c>
      <c r="C596" s="2720" t="s">
        <v>118</v>
      </c>
      <c r="D596" s="2720" t="s">
        <v>4197</v>
      </c>
      <c r="E596" s="2720" t="s">
        <v>2661</v>
      </c>
      <c r="F596" s="919" t="n">
        <f aca="false">'Ввод данных'!E911</f>
        <v>1.2</v>
      </c>
      <c r="G596" s="2894" t="s">
        <v>161</v>
      </c>
      <c r="H596" s="2895"/>
      <c r="I596" s="2720" t="s">
        <v>162</v>
      </c>
      <c r="J596" s="2720" t="s">
        <v>118</v>
      </c>
      <c r="K596" s="2720" t="s">
        <v>4197</v>
      </c>
      <c r="L596" s="2720" t="s">
        <v>2661</v>
      </c>
      <c r="M596" s="2808"/>
    </row>
    <row r="597" customFormat="false" ht="15.75" hidden="false" customHeight="false" outlineLevel="0" collapsed="false">
      <c r="A597" s="876" t="str">
        <f aca="false">'Прайс лист'!B304</f>
        <v>Сосна влаж,150*40мм</v>
      </c>
      <c r="B597" s="739" t="s">
        <v>1043</v>
      </c>
      <c r="C597" s="876" t="n">
        <f aca="false">C569*C568*1.3*D562*F514*F515*F594</f>
        <v>0</v>
      </c>
      <c r="D597" s="2825" t="n">
        <f aca="false">'Прайс лист'!G304</f>
        <v>6500</v>
      </c>
      <c r="E597" s="876" t="n">
        <f aca="false">C597*D597</f>
        <v>0</v>
      </c>
      <c r="F597" s="918"/>
      <c r="G597" s="738" t="s">
        <v>2029</v>
      </c>
      <c r="H597" s="738"/>
      <c r="I597" s="739" t="s">
        <v>820</v>
      </c>
      <c r="J597" s="876" t="n">
        <f aca="false">C569*D562*F514*F596</f>
        <v>0</v>
      </c>
      <c r="K597" s="2825" t="n">
        <f aca="false">'Прайс лист'!G1442</f>
        <v>300</v>
      </c>
      <c r="L597" s="876" t="n">
        <f aca="false">J597*K597</f>
        <v>0</v>
      </c>
      <c r="M597" s="2759"/>
    </row>
    <row r="598" customFormat="false" ht="15.75" hidden="false" customHeight="false" outlineLevel="0" collapsed="false">
      <c r="A598" s="876" t="str">
        <f aca="false">'Прайс лист'!B227</f>
        <v>Пленка гидроизоляционная </v>
      </c>
      <c r="B598" s="739" t="s">
        <v>820</v>
      </c>
      <c r="C598" s="876" t="n">
        <f aca="false">C569*1.3*D562*F514*F515*F594</f>
        <v>0</v>
      </c>
      <c r="D598" s="2825" t="n">
        <f aca="false">'Прайс лист'!G227</f>
        <v>15</v>
      </c>
      <c r="E598" s="876" t="n">
        <f aca="false">C598*D598</f>
        <v>0</v>
      </c>
      <c r="F598" s="918"/>
      <c r="G598" s="738" t="s">
        <v>2030</v>
      </c>
      <c r="H598" s="738"/>
      <c r="I598" s="739" t="s">
        <v>820</v>
      </c>
      <c r="J598" s="876" t="n">
        <f aca="false">J597*D562*F514*F596</f>
        <v>0</v>
      </c>
      <c r="K598" s="2825" t="n">
        <f aca="false">'Прайс лист'!G1443</f>
        <v>100</v>
      </c>
      <c r="L598" s="876" t="n">
        <f aca="false">J598*K598</f>
        <v>0</v>
      </c>
      <c r="M598" s="2759"/>
    </row>
    <row r="599" customFormat="false" ht="15.75" hidden="false" customHeight="false" outlineLevel="0" collapsed="false">
      <c r="A599" s="876" t="str">
        <f aca="false">'Прайс лист'!B644</f>
        <v>Гидроизол</v>
      </c>
      <c r="B599" s="739" t="s">
        <v>820</v>
      </c>
      <c r="C599" s="876" t="n">
        <f aca="false">D543*1.1*D562*F514*F515*F594</f>
        <v>0</v>
      </c>
      <c r="D599" s="2825" t="n">
        <f aca="false">'Прайс лист'!G644</f>
        <v>70</v>
      </c>
      <c r="E599" s="876" t="n">
        <f aca="false">C599*D599</f>
        <v>0</v>
      </c>
      <c r="F599" s="918"/>
      <c r="G599" s="2632" t="s">
        <v>4138</v>
      </c>
      <c r="H599" s="2633"/>
      <c r="I599" s="739" t="s">
        <v>820</v>
      </c>
      <c r="J599" s="876" t="n">
        <f aca="false">C574*C567*D562*F514*F596</f>
        <v>0</v>
      </c>
      <c r="K599" s="2825" t="n">
        <f aca="false">'Прайс лист'!G1454</f>
        <v>600</v>
      </c>
      <c r="L599" s="876" t="n">
        <f aca="false">J599*K599</f>
        <v>0</v>
      </c>
      <c r="M599" s="2759"/>
    </row>
    <row r="600" customFormat="false" ht="15.75" hidden="false" customHeight="false" outlineLevel="0" collapsed="false">
      <c r="A600" s="876" t="str">
        <f aca="false">'Прайс лист'!B218</f>
        <v>Арматура стальная Ø 12</v>
      </c>
      <c r="B600" s="739" t="s">
        <v>2013</v>
      </c>
      <c r="C600" s="876" t="n">
        <f aca="false">C571*D562*F514*F515*F594</f>
        <v>0</v>
      </c>
      <c r="D600" s="2825" t="n">
        <f aca="false">'Прайс лист'!G218</f>
        <v>29.2152</v>
      </c>
      <c r="E600" s="876" t="n">
        <f aca="false">C600*D600</f>
        <v>0</v>
      </c>
      <c r="F600" s="918"/>
      <c r="G600" s="738" t="s">
        <v>2031</v>
      </c>
      <c r="H600" s="738"/>
      <c r="I600" s="739" t="s">
        <v>820</v>
      </c>
      <c r="J600" s="876" t="n">
        <f aca="false">J597*D562*F514*F596</f>
        <v>0</v>
      </c>
      <c r="K600" s="2825" t="n">
        <f aca="false">'Прайс лист'!G1444</f>
        <v>10</v>
      </c>
      <c r="L600" s="876" t="n">
        <f aca="false">J600*K600</f>
        <v>0</v>
      </c>
      <c r="M600" s="2759"/>
    </row>
    <row r="601" customFormat="false" ht="15.75" hidden="false" customHeight="false" outlineLevel="0" collapsed="false">
      <c r="A601" s="876" t="str">
        <f aca="false">'Прайс лист'!B211</f>
        <v>Нет арматуры</v>
      </c>
      <c r="B601" s="739" t="s">
        <v>2013</v>
      </c>
      <c r="C601" s="876" t="n">
        <f aca="false">C573*D562*F514*F515*F594</f>
        <v>0</v>
      </c>
      <c r="D601" s="2825" t="n">
        <f aca="false">'Прайс лист'!G211</f>
        <v>0</v>
      </c>
      <c r="E601" s="876" t="n">
        <f aca="false">C601*D601</f>
        <v>0</v>
      </c>
      <c r="F601" s="918"/>
      <c r="G601" s="738" t="s">
        <v>4137</v>
      </c>
      <c r="H601" s="738"/>
      <c r="I601" s="739" t="s">
        <v>2013</v>
      </c>
      <c r="J601" s="876" t="n">
        <f aca="false">C600*D562*F514*F596</f>
        <v>0</v>
      </c>
      <c r="K601" s="2825" t="n">
        <f aca="false">'Прайс лист'!G1426</f>
        <v>30</v>
      </c>
      <c r="L601" s="876" t="n">
        <f aca="false">J601*K601</f>
        <v>0</v>
      </c>
      <c r="M601" s="2759"/>
    </row>
    <row r="602" customFormat="false" ht="15.75" hidden="false" customHeight="false" outlineLevel="0" collapsed="false">
      <c r="A602" s="876" t="str">
        <f aca="false">'Прайс лист'!B224</f>
        <v>Вязальная проволока</v>
      </c>
      <c r="B602" s="739" t="s">
        <v>434</v>
      </c>
      <c r="C602" s="876" t="n">
        <f aca="false">C600*C601/2000*D562*F514*F515*F594</f>
        <v>0</v>
      </c>
      <c r="D602" s="2825" t="n">
        <f aca="false">'Прайс лист'!G224</f>
        <v>80</v>
      </c>
      <c r="E602" s="876" t="n">
        <f aca="false">C602*D602</f>
        <v>0</v>
      </c>
      <c r="F602" s="918"/>
      <c r="G602" s="738" t="s">
        <v>4137</v>
      </c>
      <c r="H602" s="738"/>
      <c r="I602" s="739" t="s">
        <v>15</v>
      </c>
      <c r="J602" s="876" t="n">
        <f aca="false">C601*D562*F514*F596</f>
        <v>0</v>
      </c>
      <c r="K602" s="2825" t="n">
        <f aca="false">'Прайс лист'!G1427</f>
        <v>30</v>
      </c>
      <c r="L602" s="876" t="n">
        <f aca="false">J602*K602</f>
        <v>0</v>
      </c>
      <c r="M602" s="2759"/>
    </row>
    <row r="603" customFormat="false" ht="15.75" hidden="false" customHeight="false" outlineLevel="0" collapsed="false">
      <c r="A603" s="876" t="str">
        <f aca="false">'Прайс лист'!B737</f>
        <v>Гвозди строительные 3,5 x 90            </v>
      </c>
      <c r="B603" s="739" t="s">
        <v>434</v>
      </c>
      <c r="C603" s="876" t="n">
        <f aca="false">C597*10*D562*F514*F515*F594</f>
        <v>0</v>
      </c>
      <c r="D603" s="2825" t="n">
        <f aca="false">'Прайс лист'!G737</f>
        <v>70</v>
      </c>
      <c r="E603" s="876" t="n">
        <f aca="false">C603*D603</f>
        <v>0</v>
      </c>
      <c r="F603" s="918"/>
      <c r="G603" s="2632" t="s">
        <v>2036</v>
      </c>
      <c r="H603" s="2633"/>
      <c r="I603" s="739" t="s">
        <v>820</v>
      </c>
      <c r="J603" s="876" t="n">
        <f aca="false">C599*D562*F514*F596</f>
        <v>0</v>
      </c>
      <c r="K603" s="2825" t="n">
        <f aca="false">'Прайс лист'!G1451</f>
        <v>100</v>
      </c>
      <c r="L603" s="876" t="n">
        <f aca="false">J603*K603</f>
        <v>0</v>
      </c>
      <c r="M603" s="2759"/>
    </row>
    <row r="604" customFormat="false" ht="15.75" hidden="false" customHeight="false" outlineLevel="0" collapsed="false">
      <c r="A604" s="876" t="str">
        <f aca="false">'Прайс лист'!B179</f>
        <v>ПГС, машина 13м3</v>
      </c>
      <c r="B604" s="739" t="s">
        <v>1048</v>
      </c>
      <c r="C604" s="876" t="n">
        <f aca="false">(C566*C567*C574)/12*D562*F514*F515*F594</f>
        <v>0</v>
      </c>
      <c r="D604" s="2825" t="n">
        <f aca="false">'Прайс лист'!G179</f>
        <v>10000</v>
      </c>
      <c r="E604" s="876" t="n">
        <f aca="false">C604*D604</f>
        <v>0</v>
      </c>
      <c r="F604" s="918"/>
      <c r="G604" s="738" t="s">
        <v>2041</v>
      </c>
      <c r="H604" s="738"/>
      <c r="I604" s="739" t="s">
        <v>1043</v>
      </c>
      <c r="J604" s="876" t="n">
        <f aca="false">C605*D562*F514*F596</f>
        <v>0</v>
      </c>
      <c r="K604" s="2825" t="n">
        <f aca="false">'Прайс лист'!G1456</f>
        <v>1200</v>
      </c>
      <c r="L604" s="876" t="n">
        <f aca="false">J604*K604</f>
        <v>0</v>
      </c>
      <c r="M604" s="2759"/>
    </row>
    <row r="605" customFormat="false" ht="15.75" hidden="false" customHeight="false" outlineLevel="0" collapsed="false">
      <c r="A605" s="876" t="str">
        <f aca="false">'Прайс лист'!B237</f>
        <v>Бетон, м200</v>
      </c>
      <c r="B605" s="739" t="s">
        <v>1043</v>
      </c>
      <c r="C605" s="876" t="n">
        <f aca="false">C575*D562*F514*F515*F594</f>
        <v>0</v>
      </c>
      <c r="D605" s="2825" t="n">
        <f aca="false">'Прайс лист'!G237</f>
        <v>2500</v>
      </c>
      <c r="E605" s="876" t="n">
        <f aca="false">C605*D605</f>
        <v>0</v>
      </c>
      <c r="F605" s="918"/>
      <c r="G605" s="738"/>
      <c r="H605" s="738"/>
      <c r="I605" s="739"/>
      <c r="J605" s="876"/>
      <c r="K605" s="876"/>
      <c r="L605" s="876"/>
      <c r="M605" s="2759"/>
    </row>
    <row r="606" customFormat="false" ht="15.75" hidden="false" customHeight="false" outlineLevel="0" collapsed="false">
      <c r="A606" s="2867"/>
      <c r="B606" s="916"/>
      <c r="C606" s="916"/>
      <c r="D606" s="916"/>
      <c r="E606" s="894" t="n">
        <f aca="false">SUM(E588:E605)</f>
        <v>0</v>
      </c>
      <c r="F606" s="2637"/>
      <c r="G606" s="2867"/>
      <c r="H606" s="916"/>
      <c r="I606" s="916"/>
      <c r="J606" s="916"/>
      <c r="K606" s="916"/>
      <c r="L606" s="767" t="n">
        <f aca="false">SUM(L588:L605)</f>
        <v>0</v>
      </c>
      <c r="M606" s="2759"/>
    </row>
    <row r="607" customFormat="false" ht="15.75" hidden="false" customHeight="false" outlineLevel="0" collapsed="false">
      <c r="A607" s="876" t="s">
        <v>4139</v>
      </c>
      <c r="B607" s="876" t="n">
        <f aca="false">E606</f>
        <v>0</v>
      </c>
      <c r="C607" s="912"/>
      <c r="D607" s="912"/>
      <c r="E607" s="916"/>
      <c r="F607" s="912"/>
      <c r="G607" s="912"/>
      <c r="H607" s="912"/>
      <c r="I607" s="912"/>
      <c r="J607" s="912"/>
      <c r="K607" s="916"/>
      <c r="L607" s="2869"/>
      <c r="M607" s="2759"/>
    </row>
    <row r="608" customFormat="false" ht="15.75" hidden="false" customHeight="false" outlineLevel="0" collapsed="false">
      <c r="A608" s="876" t="s">
        <v>4140</v>
      </c>
      <c r="B608" s="876" t="n">
        <f aca="false">L606</f>
        <v>0</v>
      </c>
      <c r="C608" s="912"/>
      <c r="D608" s="912"/>
      <c r="E608" s="916"/>
      <c r="F608" s="912"/>
      <c r="G608" s="2867"/>
      <c r="H608" s="916"/>
      <c r="I608" s="916"/>
      <c r="J608" s="916"/>
      <c r="K608" s="916"/>
      <c r="L608" s="2869"/>
      <c r="M608" s="2759"/>
    </row>
    <row r="609" customFormat="false" ht="15.75" hidden="false" customHeight="false" outlineLevel="0" collapsed="false">
      <c r="A609" s="2679" t="s">
        <v>4141</v>
      </c>
      <c r="B609" s="2679" t="n">
        <f aca="false">SUM(B607:B608)</f>
        <v>0</v>
      </c>
      <c r="C609" s="2869"/>
      <c r="D609" s="2869"/>
      <c r="E609" s="2869"/>
      <c r="F609" s="2869"/>
      <c r="G609" s="2869"/>
      <c r="H609" s="2869"/>
      <c r="I609" s="2869"/>
      <c r="J609" s="2869"/>
      <c r="K609" s="2869"/>
      <c r="L609" s="2869"/>
      <c r="M609" s="2759"/>
    </row>
    <row r="610" customFormat="false" ht="15.75" hidden="false" customHeight="false" outlineLevel="0" collapsed="false">
      <c r="A610" s="2896" t="s">
        <v>4198</v>
      </c>
      <c r="B610" s="2896"/>
      <c r="C610" s="2896"/>
      <c r="D610" s="2896"/>
      <c r="E610" s="2896"/>
      <c r="F610" s="2896"/>
      <c r="G610" s="2896"/>
      <c r="H610" s="2896"/>
      <c r="I610" s="2896"/>
      <c r="J610" s="2896"/>
      <c r="K610" s="2896"/>
      <c r="L610" s="2896"/>
      <c r="M610" s="2759"/>
    </row>
    <row r="611" customFormat="false" ht="15.75" hidden="false" customHeight="false" outlineLevel="0" collapsed="false">
      <c r="A611" s="2670" t="s">
        <v>4199</v>
      </c>
      <c r="B611" s="2670"/>
      <c r="C611" s="2670"/>
      <c r="D611" s="2670"/>
      <c r="E611" s="2670"/>
      <c r="F611" s="2670"/>
      <c r="G611" s="2670"/>
      <c r="H611" s="2670"/>
      <c r="I611" s="2670"/>
      <c r="J611" s="2670"/>
      <c r="K611" s="2670"/>
      <c r="L611" s="2670"/>
      <c r="M611" s="2759"/>
    </row>
    <row r="612" customFormat="false" ht="15.75" hidden="false" customHeight="false" outlineLevel="0" collapsed="false">
      <c r="A612" s="2720" t="s">
        <v>161</v>
      </c>
      <c r="B612" s="2720" t="s">
        <v>162</v>
      </c>
      <c r="C612" s="2720" t="s">
        <v>118</v>
      </c>
      <c r="D612" s="2720" t="s">
        <v>4197</v>
      </c>
      <c r="E612" s="2720" t="s">
        <v>2661</v>
      </c>
      <c r="F612" s="919"/>
      <c r="G612" s="2894" t="s">
        <v>161</v>
      </c>
      <c r="H612" s="2895"/>
      <c r="I612" s="2720" t="s">
        <v>162</v>
      </c>
      <c r="J612" s="2720" t="s">
        <v>118</v>
      </c>
      <c r="K612" s="2720" t="s">
        <v>4197</v>
      </c>
      <c r="L612" s="2720" t="s">
        <v>2661</v>
      </c>
      <c r="M612" s="2808"/>
    </row>
    <row r="613" customFormat="false" ht="15.75" hidden="false" customHeight="false" outlineLevel="0" collapsed="false">
      <c r="A613" s="908" t="str">
        <f aca="false">'Прайс лист'!B181</f>
        <v>Скальник, 1 маш 13м3</v>
      </c>
      <c r="B613" s="893" t="s">
        <v>1048</v>
      </c>
      <c r="C613" s="894" t="n">
        <f aca="false">C580*D537*E537*D578*F514*F515*F594</f>
        <v>0</v>
      </c>
      <c r="D613" s="2825" t="n">
        <f aca="false">'Прайс лист'!G181</f>
        <v>15000</v>
      </c>
      <c r="E613" s="2825" t="n">
        <f aca="false">C613*D613</f>
        <v>0</v>
      </c>
      <c r="F613" s="2637"/>
      <c r="G613" s="908" t="s">
        <v>2040</v>
      </c>
      <c r="H613" s="908"/>
      <c r="I613" s="893" t="s">
        <v>820</v>
      </c>
      <c r="J613" s="894" t="n">
        <f aca="false">D537*E537*F514*F596</f>
        <v>0</v>
      </c>
      <c r="K613" s="2825" t="n">
        <f aca="false">'Прайс лист'!G1455</f>
        <v>400</v>
      </c>
      <c r="L613" s="2825" t="n">
        <f aca="false">J613*K613</f>
        <v>0</v>
      </c>
      <c r="M613" s="2759"/>
    </row>
    <row r="614" customFormat="false" ht="15.75" hidden="false" customHeight="false" outlineLevel="0" collapsed="false">
      <c r="A614" s="908" t="str">
        <f aca="false">'Прайс лист'!B179</f>
        <v>ПГС, машина 13м3</v>
      </c>
      <c r="B614" s="893" t="s">
        <v>1048</v>
      </c>
      <c r="C614" s="894" t="n">
        <f aca="false">C579*D537*E537*D578*F514*F515*F594</f>
        <v>0</v>
      </c>
      <c r="D614" s="2825" t="n">
        <f aca="false">'Прайс лист'!G179</f>
        <v>10000</v>
      </c>
      <c r="E614" s="2825" t="n">
        <f aca="false">C614*D614</f>
        <v>0</v>
      </c>
      <c r="F614" s="2637"/>
      <c r="G614" s="908" t="s">
        <v>2039</v>
      </c>
      <c r="H614" s="908"/>
      <c r="I614" s="893" t="s">
        <v>820</v>
      </c>
      <c r="J614" s="894" t="n">
        <f aca="false">J613*E537*F514*F596</f>
        <v>0</v>
      </c>
      <c r="K614" s="2825" t="n">
        <f aca="false">'Прайс лист'!G1454</f>
        <v>600</v>
      </c>
      <c r="L614" s="2825" t="n">
        <f aca="false">J614*K614</f>
        <v>0</v>
      </c>
      <c r="M614" s="2759"/>
    </row>
    <row r="615" customFormat="false" ht="15.75" hidden="false" customHeight="false" outlineLevel="0" collapsed="false">
      <c r="A615" s="908" t="str">
        <f aca="false">'Прайс лист'!B183</f>
        <v>Песок, машина 13м3</v>
      </c>
      <c r="B615" s="893" t="s">
        <v>1048</v>
      </c>
      <c r="C615" s="894" t="n">
        <f aca="false">C581*D537*E537*D578*F514*F515*F594</f>
        <v>0</v>
      </c>
      <c r="D615" s="2825" t="n">
        <f aca="false">'Прайс лист'!G183</f>
        <v>12000</v>
      </c>
      <c r="E615" s="2825" t="n">
        <f aca="false">C615*D615</f>
        <v>0</v>
      </c>
      <c r="F615" s="2637"/>
      <c r="G615" s="908" t="s">
        <v>2038</v>
      </c>
      <c r="H615" s="908"/>
      <c r="I615" s="893" t="s">
        <v>820</v>
      </c>
      <c r="J615" s="894" t="n">
        <f aca="false">J613*E537*F514*F596</f>
        <v>0</v>
      </c>
      <c r="K615" s="2825" t="n">
        <f aca="false">'Прайс лист'!G1453</f>
        <v>350</v>
      </c>
      <c r="L615" s="2825" t="n">
        <f aca="false">J615*K615</f>
        <v>0</v>
      </c>
      <c r="M615" s="2759"/>
    </row>
    <row r="616" customFormat="false" ht="15.75" hidden="false" customHeight="false" outlineLevel="0" collapsed="false">
      <c r="A616" s="908" t="str">
        <f aca="false">'Прайс лист'!B647</f>
        <v>Геотекстиль</v>
      </c>
      <c r="B616" s="893" t="s">
        <v>820</v>
      </c>
      <c r="C616" s="894" t="n">
        <f aca="false">D537*1.15*E537*D578*F514*F515*F594</f>
        <v>0</v>
      </c>
      <c r="D616" s="2825" t="n">
        <f aca="false">'Прайс лист'!G647</f>
        <v>100</v>
      </c>
      <c r="E616" s="2825" t="n">
        <f aca="false">C616*D616</f>
        <v>0</v>
      </c>
      <c r="F616" s="2637"/>
      <c r="G616" s="908" t="s">
        <v>2052</v>
      </c>
      <c r="H616" s="908"/>
      <c r="I616" s="893" t="s">
        <v>820</v>
      </c>
      <c r="J616" s="894" t="n">
        <f aca="false">J613*E537*F514*F596</f>
        <v>0</v>
      </c>
      <c r="K616" s="2825" t="n">
        <f aca="false">'Прайс лист'!G1470</f>
        <v>200</v>
      </c>
      <c r="L616" s="2825" t="n">
        <f aca="false">J616*K616</f>
        <v>0</v>
      </c>
      <c r="M616" s="2759"/>
    </row>
    <row r="617" customFormat="false" ht="15.75" hidden="false" customHeight="false" outlineLevel="0" collapsed="false">
      <c r="A617" s="908" t="str">
        <f aca="false">'Ввод данных'!A956</f>
        <v>Плитный,28кг/м3, технониколь, 100мм</v>
      </c>
      <c r="B617" s="893" t="s">
        <v>1043</v>
      </c>
      <c r="C617" s="894" t="n">
        <f aca="false">D537*E537*D578*F514*F515*F594*VLOOKUP(A617,'Прайс лист'!B600:G638,3,0)</f>
        <v>0</v>
      </c>
      <c r="D617" s="2825" t="n">
        <f aca="false">VLOOKUP(A617,'Прайс лист'!B600:G638,6,0)</f>
        <v>1700</v>
      </c>
      <c r="E617" s="2825" t="n">
        <f aca="false">C617*D617</f>
        <v>0</v>
      </c>
      <c r="F617" s="2637"/>
      <c r="G617" s="908" t="s">
        <v>4200</v>
      </c>
      <c r="H617" s="908"/>
      <c r="I617" s="893" t="s">
        <v>820</v>
      </c>
      <c r="J617" s="894" t="n">
        <f aca="false">J613*E537*F514*F596</f>
        <v>0</v>
      </c>
      <c r="K617" s="2825" t="n">
        <f aca="false">'Прайс лист'!G1446</f>
        <v>200</v>
      </c>
      <c r="L617" s="2825" t="n">
        <f aca="false">J617*K617</f>
        <v>0</v>
      </c>
      <c r="M617" s="2759"/>
    </row>
    <row r="618" customFormat="false" ht="15.75" hidden="false" customHeight="false" outlineLevel="0" collapsed="false">
      <c r="A618" s="908" t="str">
        <f aca="false">A598</f>
        <v>Пленка гидроизоляционная </v>
      </c>
      <c r="B618" s="893" t="s">
        <v>820</v>
      </c>
      <c r="C618" s="894" t="n">
        <f aca="false">C616*E537*D578*F514*F515*F594</f>
        <v>0</v>
      </c>
      <c r="D618" s="2825" t="n">
        <f aca="false">D598</f>
        <v>15</v>
      </c>
      <c r="E618" s="2825" t="n">
        <f aca="false">C618*D618</f>
        <v>0</v>
      </c>
      <c r="F618" s="2637"/>
      <c r="G618" s="908" t="s">
        <v>4163</v>
      </c>
      <c r="H618" s="908"/>
      <c r="I618" s="893" t="s">
        <v>820</v>
      </c>
      <c r="J618" s="894" t="n">
        <f aca="false">J613*D588*E537*F514*F596</f>
        <v>0</v>
      </c>
      <c r="K618" s="2825" t="n">
        <f aca="false">'Прайс лист'!G1444</f>
        <v>10</v>
      </c>
      <c r="L618" s="2825" t="n">
        <f aca="false">J618*K618</f>
        <v>0</v>
      </c>
      <c r="M618" s="2759"/>
    </row>
    <row r="619" customFormat="false" ht="15.75" hidden="false" customHeight="false" outlineLevel="0" collapsed="false">
      <c r="A619" s="908" t="str">
        <f aca="false">'Прайс лист'!B223</f>
        <v>Кладочная сетка, 100*100/150*150/200*200мм</v>
      </c>
      <c r="B619" s="893" t="s">
        <v>820</v>
      </c>
      <c r="C619" s="894" t="n">
        <f aca="false">D537*D588*1.1*E537*D578*F514*F515*F594</f>
        <v>0</v>
      </c>
      <c r="D619" s="2825" t="n">
        <f aca="false">'Прайс лист'!G223</f>
        <v>70</v>
      </c>
      <c r="E619" s="2825" t="n">
        <f aca="false">C619*D619</f>
        <v>0</v>
      </c>
      <c r="F619" s="2637"/>
      <c r="G619" s="908" t="s">
        <v>4201</v>
      </c>
      <c r="H619" s="908"/>
      <c r="I619" s="893" t="s">
        <v>820</v>
      </c>
      <c r="J619" s="894" t="n">
        <f aca="false">J613*D588*E537*F514*F596</f>
        <v>0</v>
      </c>
      <c r="K619" s="2825" t="n">
        <f aca="false">'Прайс лист'!G1460</f>
        <v>100</v>
      </c>
      <c r="L619" s="2825" t="n">
        <f aca="false">J619*K619</f>
        <v>0</v>
      </c>
      <c r="M619" s="2759"/>
    </row>
    <row r="620" customFormat="false" ht="15.75" hidden="false" customHeight="false" outlineLevel="0" collapsed="false">
      <c r="A620" s="908" t="str">
        <f aca="false">'Прайс лист'!B225</f>
        <v>Стяжки пластиковые</v>
      </c>
      <c r="B620" s="893" t="s">
        <v>48</v>
      </c>
      <c r="C620" s="894" t="n">
        <f aca="false">C619*2*E537*D578*F514*F515*F594</f>
        <v>0</v>
      </c>
      <c r="D620" s="2825" t="n">
        <f aca="false">'Прайс лист'!G225</f>
        <v>2</v>
      </c>
      <c r="E620" s="2825" t="n">
        <f aca="false">C620*D620</f>
        <v>0</v>
      </c>
      <c r="F620" s="2637"/>
      <c r="G620" s="908" t="s">
        <v>2050</v>
      </c>
      <c r="H620" s="908"/>
      <c r="I620" s="893" t="s">
        <v>820</v>
      </c>
      <c r="J620" s="894" t="n">
        <f aca="false">J613*D588*E537*F514*F596</f>
        <v>0</v>
      </c>
      <c r="K620" s="2825" t="n">
        <f aca="false">'Прайс лист'!G1468</f>
        <v>600</v>
      </c>
      <c r="L620" s="2825" t="n">
        <f aca="false">J620*K620</f>
        <v>0</v>
      </c>
      <c r="M620" s="2759"/>
    </row>
    <row r="621" customFormat="false" ht="15.75" hidden="false" customHeight="false" outlineLevel="0" collapsed="false">
      <c r="A621" s="908" t="str">
        <f aca="false">A620</f>
        <v>Стяжки пластиковые</v>
      </c>
      <c r="B621" s="893" t="s">
        <v>48</v>
      </c>
      <c r="C621" s="894" t="n">
        <f aca="false">C588*D588*2*E537*D578*F514*F515*F594</f>
        <v>0</v>
      </c>
      <c r="D621" s="2825" t="n">
        <f aca="false">D620</f>
        <v>2</v>
      </c>
      <c r="E621" s="2825" t="n">
        <f aca="false">C621*D621</f>
        <v>0</v>
      </c>
      <c r="F621" s="2637"/>
      <c r="G621" s="908" t="s">
        <v>2055</v>
      </c>
      <c r="H621" s="908"/>
      <c r="I621" s="893" t="s">
        <v>48</v>
      </c>
      <c r="J621" s="894" t="n">
        <f aca="false">C589*D589*E537*F514*F596</f>
        <v>0</v>
      </c>
      <c r="K621" s="2825" t="n">
        <f aca="false">'Прайс лист'!G1473</f>
        <v>1000</v>
      </c>
      <c r="L621" s="2825" t="n">
        <f aca="false">J621*K621</f>
        <v>0</v>
      </c>
      <c r="M621" s="2759"/>
    </row>
    <row r="622" customFormat="false" ht="15.75" hidden="false" customHeight="false" outlineLevel="0" collapsed="false">
      <c r="A622" s="908" t="str">
        <f aca="false">'Ввод данных'!A962</f>
        <v>Труба теплого пола 3</v>
      </c>
      <c r="B622" s="893" t="s">
        <v>2013</v>
      </c>
      <c r="C622" s="894" t="n">
        <f aca="false">C588*D588*E537*D578*F514*F515*F594</f>
        <v>0</v>
      </c>
      <c r="D622" s="2825" t="n">
        <f aca="false">VLOOKUP(A622,'Прайс лист'!B910:G918,6,0)</f>
        <v>60</v>
      </c>
      <c r="E622" s="2825" t="n">
        <f aca="false">C622*D622</f>
        <v>0</v>
      </c>
      <c r="F622" s="2637"/>
      <c r="G622" s="908" t="s">
        <v>4202</v>
      </c>
      <c r="H622" s="908"/>
      <c r="I622" s="893" t="s">
        <v>820</v>
      </c>
      <c r="J622" s="894" t="n">
        <f aca="false">D537*E537*F514*F596</f>
        <v>0</v>
      </c>
      <c r="K622" s="2825" t="n">
        <f aca="false">'Прайс лист'!G1425</f>
        <v>300</v>
      </c>
      <c r="L622" s="2825" t="n">
        <f aca="false">J622*K622</f>
        <v>0</v>
      </c>
      <c r="M622" s="2759"/>
    </row>
    <row r="623" customFormat="false" ht="15.75" hidden="false" customHeight="false" outlineLevel="0" collapsed="false">
      <c r="A623" s="908" t="str">
        <f aca="false">'Ввод данных'!A963</f>
        <v>Коллектор 6</v>
      </c>
      <c r="B623" s="893" t="s">
        <v>48</v>
      </c>
      <c r="C623" s="894" t="n">
        <f aca="false">C589*D589*E537*D578*F514*F515*F594</f>
        <v>0</v>
      </c>
      <c r="D623" s="2825" t="n">
        <f aca="false">VLOOKUP(A623,'Прайс лист'!B919:G926,6,0)</f>
        <v>15000</v>
      </c>
      <c r="E623" s="2825" t="n">
        <f aca="false">C623*D623</f>
        <v>0</v>
      </c>
      <c r="F623" s="2637"/>
      <c r="G623" s="908" t="s">
        <v>4203</v>
      </c>
      <c r="H623" s="908"/>
      <c r="I623" s="893" t="s">
        <v>15</v>
      </c>
      <c r="J623" s="894" t="n">
        <f aca="false">C590*D590*E537*F514*F596</f>
        <v>0</v>
      </c>
      <c r="K623" s="2825" t="n">
        <f aca="false">'Прайс лист'!G1471</f>
        <v>200</v>
      </c>
      <c r="L623" s="2825" t="n">
        <f aca="false">J623*K623</f>
        <v>0</v>
      </c>
      <c r="M623" s="2759"/>
    </row>
    <row r="624" customFormat="false" ht="15.75" hidden="false" customHeight="false" outlineLevel="0" collapsed="false">
      <c r="A624" s="908" t="str">
        <f aca="false">'Прайс лист'!B217</f>
        <v>Арматура стальная Ø 10 </v>
      </c>
      <c r="B624" s="893" t="s">
        <v>15</v>
      </c>
      <c r="C624" s="894" t="n">
        <f aca="false">C587*E537*D578*F514*F515*F594</f>
        <v>0</v>
      </c>
      <c r="D624" s="2825" t="n">
        <f aca="false">'Прайс лист'!G217</f>
        <v>21.0397</v>
      </c>
      <c r="E624" s="2825" t="n">
        <f aca="false">C624*D624</f>
        <v>0</v>
      </c>
      <c r="F624" s="2637"/>
      <c r="G624" s="908" t="s">
        <v>4204</v>
      </c>
      <c r="H624" s="908"/>
      <c r="I624" s="893" t="s">
        <v>48</v>
      </c>
      <c r="J624" s="894" t="n">
        <f aca="false">C591*D591*E537*F514*F596</f>
        <v>0</v>
      </c>
      <c r="K624" s="2825" t="n">
        <f aca="false">'Прайс лист'!G1472</f>
        <v>300</v>
      </c>
      <c r="L624" s="2825" t="n">
        <f aca="false">J624*K624</f>
        <v>0</v>
      </c>
      <c r="M624" s="2759"/>
    </row>
    <row r="625" customFormat="false" ht="15.75" hidden="false" customHeight="false" outlineLevel="0" collapsed="false">
      <c r="A625" s="908" t="str">
        <f aca="false">A602</f>
        <v>Вязальная проволока</v>
      </c>
      <c r="B625" s="893" t="s">
        <v>434</v>
      </c>
      <c r="C625" s="894" t="n">
        <f aca="false">C624/100*E537*D578*F514*F515*F594</f>
        <v>0</v>
      </c>
      <c r="D625" s="2825" t="n">
        <f aca="false">D602</f>
        <v>80</v>
      </c>
      <c r="E625" s="2825" t="n">
        <f aca="false">C625*D625</f>
        <v>0</v>
      </c>
      <c r="F625" s="2637"/>
      <c r="G625" s="908" t="s">
        <v>4205</v>
      </c>
      <c r="H625" s="908"/>
      <c r="I625" s="893" t="s">
        <v>820</v>
      </c>
      <c r="J625" s="894" t="n">
        <f aca="false">D537*E537*F596*F514</f>
        <v>0</v>
      </c>
      <c r="K625" s="2825" t="n">
        <f aca="false">'Прайс лист'!G1430</f>
        <v>350</v>
      </c>
      <c r="L625" s="2825" t="n">
        <f aca="false">J625*K625</f>
        <v>0</v>
      </c>
      <c r="M625" s="2759"/>
    </row>
    <row r="626" customFormat="false" ht="15.75" hidden="false" customHeight="false" outlineLevel="0" collapsed="false">
      <c r="A626" s="908" t="str">
        <f aca="false">'Прайс лист'!B226</f>
        <v>Подставка под арматурный каркас</v>
      </c>
      <c r="B626" s="893" t="s">
        <v>48</v>
      </c>
      <c r="C626" s="894" t="n">
        <f aca="false">D537*3*E537*D578*F514*F515*F594</f>
        <v>0</v>
      </c>
      <c r="D626" s="2825" t="n">
        <f aca="false">'Прайс лист'!G226</f>
        <v>5</v>
      </c>
      <c r="E626" s="2825" t="n">
        <f aca="false">C626*D626</f>
        <v>0</v>
      </c>
      <c r="F626" s="2637"/>
      <c r="G626" s="2889" t="s">
        <v>4206</v>
      </c>
      <c r="H626" s="767"/>
      <c r="I626" s="893" t="s">
        <v>15</v>
      </c>
      <c r="J626" s="894" t="n">
        <f aca="false">C629*D578*F596</f>
        <v>0</v>
      </c>
      <c r="K626" s="2825" t="n">
        <f aca="false">'Прайс лист'!G1474</f>
        <v>100</v>
      </c>
      <c r="L626" s="2825" t="n">
        <f aca="false">J626*K626</f>
        <v>0</v>
      </c>
      <c r="M626" s="2759"/>
    </row>
    <row r="627" customFormat="false" ht="15.75" hidden="false" customHeight="false" outlineLevel="0" collapsed="false">
      <c r="A627" s="908" t="str">
        <f aca="false">'Ввод данных'!A964</f>
        <v>труба дренажная d90 с перфорацией, в фильтре</v>
      </c>
      <c r="B627" s="893" t="s">
        <v>48</v>
      </c>
      <c r="C627" s="894" t="n">
        <f aca="false">C590*D590*E537*D578*F514*F515</f>
        <v>0</v>
      </c>
      <c r="D627" s="2825" t="n">
        <f aca="false">VLOOKUP(A627,'Прайс лист'!B929:G945,6,0)</f>
        <v>95</v>
      </c>
      <c r="E627" s="2825" t="n">
        <f aca="false">C627*D627</f>
        <v>0</v>
      </c>
      <c r="F627" s="2637"/>
      <c r="G627" s="2889"/>
      <c r="H627" s="2889"/>
      <c r="I627" s="2889"/>
      <c r="J627" s="894"/>
      <c r="K627" s="894"/>
      <c r="L627" s="894"/>
      <c r="M627" s="2759"/>
    </row>
    <row r="628" customFormat="false" ht="15.75" hidden="false" customHeight="false" outlineLevel="0" collapsed="false">
      <c r="A628" s="908" t="str">
        <f aca="false">'Ввод данных'!A965</f>
        <v>Дренажный колодец D400</v>
      </c>
      <c r="B628" s="893" t="s">
        <v>48</v>
      </c>
      <c r="C628" s="894" t="n">
        <f aca="false">C591*D591*E537*D578*F514*F515</f>
        <v>0</v>
      </c>
      <c r="D628" s="2825" t="n">
        <f aca="false">VLOOKUP(A628,'Прайс лист'!B950:G953,6,0)</f>
        <v>2500</v>
      </c>
      <c r="E628" s="2825" t="n">
        <f aca="false">C628*D628</f>
        <v>0</v>
      </c>
      <c r="F628" s="2637"/>
      <c r="G628" s="2889"/>
      <c r="H628" s="2889"/>
      <c r="I628" s="2889"/>
      <c r="J628" s="894"/>
      <c r="K628" s="894"/>
      <c r="L628" s="894"/>
      <c r="M628" s="2759"/>
    </row>
    <row r="629" customFormat="false" ht="15.75" hidden="false" customHeight="false" outlineLevel="0" collapsed="false">
      <c r="A629" s="2889" t="str">
        <f aca="false">'Прайс лист'!B229</f>
        <v>Демпферная лента</v>
      </c>
      <c r="B629" s="2897" t="s">
        <v>15</v>
      </c>
      <c r="C629" s="894" t="n">
        <f aca="false">((D519+D520*2)*E519+(D526+D527*2)*E526)*E537*D578*F514*F515*F594</f>
        <v>0</v>
      </c>
      <c r="D629" s="2825" t="n">
        <f aca="false">'Прайс лист'!G229</f>
        <v>50</v>
      </c>
      <c r="E629" s="2825" t="n">
        <f aca="false">C629*D629</f>
        <v>0</v>
      </c>
      <c r="F629" s="2637"/>
      <c r="G629" s="908"/>
      <c r="H629" s="908"/>
      <c r="I629" s="894"/>
      <c r="J629" s="894"/>
      <c r="K629" s="894"/>
      <c r="L629" s="894"/>
      <c r="M629" s="2759"/>
    </row>
    <row r="630" customFormat="false" ht="15.75" hidden="false" customHeight="false" outlineLevel="0" collapsed="false">
      <c r="A630" s="908" t="str">
        <f aca="false">'Прайс лист'!B240</f>
        <v>Бетон, м350</v>
      </c>
      <c r="B630" s="893" t="s">
        <v>1043</v>
      </c>
      <c r="C630" s="894" t="n">
        <f aca="false">D537*E537*C583*E537*D578*F514*F515*F594</f>
        <v>0</v>
      </c>
      <c r="D630" s="2825" t="n">
        <f aca="false">'Прайс лист'!G240</f>
        <v>3500</v>
      </c>
      <c r="E630" s="2825" t="n">
        <f aca="false">C630*D630</f>
        <v>0</v>
      </c>
      <c r="F630" s="2637"/>
      <c r="G630" s="2889"/>
      <c r="H630" s="2889"/>
      <c r="I630" s="2889"/>
      <c r="J630" s="894"/>
      <c r="K630" s="894"/>
      <c r="L630" s="894"/>
      <c r="M630" s="2759"/>
    </row>
    <row r="631" customFormat="false" ht="15.75" hidden="false" customHeight="false" outlineLevel="0" collapsed="false">
      <c r="A631" s="2867"/>
      <c r="B631" s="916"/>
      <c r="C631" s="916"/>
      <c r="D631" s="916"/>
      <c r="E631" s="894" t="n">
        <f aca="false">SUM(E613:E630)</f>
        <v>0</v>
      </c>
      <c r="F631" s="2637"/>
      <c r="G631" s="2867"/>
      <c r="H631" s="916"/>
      <c r="I631" s="916"/>
      <c r="J631" s="916"/>
      <c r="K631" s="916"/>
      <c r="L631" s="767" t="n">
        <f aca="false">SUM(L613:L630)</f>
        <v>0</v>
      </c>
      <c r="M631" s="2759"/>
    </row>
    <row r="632" customFormat="false" ht="15.75" hidden="false" customHeight="false" outlineLevel="0" collapsed="false">
      <c r="A632" s="876" t="s">
        <v>4139</v>
      </c>
      <c r="B632" s="876" t="n">
        <f aca="false">E631</f>
        <v>0</v>
      </c>
      <c r="C632" s="912"/>
      <c r="D632" s="912"/>
      <c r="E632" s="916"/>
      <c r="F632" s="912"/>
      <c r="G632" s="912"/>
      <c r="H632" s="912"/>
      <c r="I632" s="912"/>
      <c r="J632" s="912"/>
      <c r="K632" s="916"/>
      <c r="L632" s="2869"/>
      <c r="M632" s="2759"/>
    </row>
    <row r="633" customFormat="false" ht="15.75" hidden="false" customHeight="false" outlineLevel="0" collapsed="false">
      <c r="A633" s="876" t="s">
        <v>4140</v>
      </c>
      <c r="B633" s="876" t="n">
        <f aca="false">L631</f>
        <v>0</v>
      </c>
      <c r="C633" s="2759"/>
      <c r="D633" s="2759"/>
      <c r="E633" s="2759"/>
      <c r="F633" s="2759"/>
      <c r="G633" s="2759"/>
      <c r="H633" s="916"/>
      <c r="I633" s="916"/>
      <c r="J633" s="916"/>
      <c r="K633" s="916"/>
      <c r="L633" s="2869"/>
      <c r="M633" s="2759"/>
    </row>
    <row r="634" customFormat="false" ht="15.75" hidden="false" customHeight="false" outlineLevel="0" collapsed="false">
      <c r="A634" s="876" t="s">
        <v>4141</v>
      </c>
      <c r="B634" s="876" t="n">
        <f aca="false">SUM(B632:B633)</f>
        <v>0</v>
      </c>
      <c r="C634" s="2759"/>
      <c r="D634" s="2759"/>
      <c r="E634" s="2759"/>
      <c r="F634" s="2759"/>
      <c r="G634" s="2759"/>
      <c r="H634" s="2869"/>
      <c r="I634" s="2869"/>
      <c r="J634" s="2869"/>
      <c r="K634" s="2869"/>
      <c r="L634" s="2869"/>
      <c r="M634" s="2759"/>
    </row>
    <row r="635" customFormat="false" ht="15.75" hidden="false" customHeight="false" outlineLevel="0" collapsed="false">
      <c r="A635" s="2670" t="s">
        <v>4199</v>
      </c>
      <c r="B635" s="2670"/>
      <c r="C635" s="2670"/>
      <c r="D635" s="2670"/>
      <c r="E635" s="2670"/>
      <c r="F635" s="2670"/>
      <c r="G635" s="2670"/>
      <c r="H635" s="2670"/>
      <c r="I635" s="2670"/>
      <c r="J635" s="2670"/>
      <c r="K635" s="2670"/>
      <c r="L635" s="2670"/>
      <c r="M635" s="2759"/>
    </row>
    <row r="636" customFormat="false" ht="15.75" hidden="false" customHeight="false" outlineLevel="0" collapsed="false">
      <c r="A636" s="2898" t="s">
        <v>4207</v>
      </c>
      <c r="B636" s="2898"/>
      <c r="C636" s="2898"/>
      <c r="D636" s="2898"/>
      <c r="E636" s="2898"/>
      <c r="F636" s="2898"/>
      <c r="G636" s="2898"/>
      <c r="H636" s="2898"/>
      <c r="I636" s="2898"/>
      <c r="J636" s="2898"/>
      <c r="K636" s="2898"/>
      <c r="L636" s="2898"/>
      <c r="M636" s="2759"/>
    </row>
    <row r="637" customFormat="false" ht="15.75" hidden="false" customHeight="false" outlineLevel="0" collapsed="false">
      <c r="A637" s="2720" t="s">
        <v>161</v>
      </c>
      <c r="B637" s="2720" t="s">
        <v>162</v>
      </c>
      <c r="C637" s="2720" t="s">
        <v>118</v>
      </c>
      <c r="D637" s="2720" t="s">
        <v>4197</v>
      </c>
      <c r="E637" s="2720" t="s">
        <v>2661</v>
      </c>
      <c r="F637" s="919"/>
      <c r="G637" s="2894" t="s">
        <v>161</v>
      </c>
      <c r="H637" s="2895"/>
      <c r="I637" s="2720" t="s">
        <v>162</v>
      </c>
      <c r="J637" s="2720" t="s">
        <v>118</v>
      </c>
      <c r="K637" s="2720" t="s">
        <v>4197</v>
      </c>
      <c r="L637" s="2720" t="s">
        <v>2661</v>
      </c>
      <c r="M637" s="2808"/>
    </row>
    <row r="638" customFormat="false" ht="15.75" hidden="false" customHeight="false" outlineLevel="0" collapsed="false">
      <c r="A638" s="2738" t="str">
        <f aca="false">'Прайс лист'!B230</f>
        <v>Праймер для обработки </v>
      </c>
      <c r="B638" s="2720" t="s">
        <v>699</v>
      </c>
      <c r="C638" s="2720" t="n">
        <f aca="false">D543/1.5*E517*F514*F515*F594</f>
        <v>0</v>
      </c>
      <c r="D638" s="2720" t="n">
        <f aca="false">'Прайс лист'!G230</f>
        <v>100</v>
      </c>
      <c r="E638" s="2720" t="n">
        <f aca="false">C638*D638</f>
        <v>0</v>
      </c>
      <c r="F638" s="919"/>
      <c r="G638" s="2894" t="s">
        <v>2057</v>
      </c>
      <c r="H638" s="2895"/>
      <c r="I638" s="2720" t="s">
        <v>820</v>
      </c>
      <c r="J638" s="2720" t="n">
        <f aca="false">D543*E517*F514*F596</f>
        <v>0</v>
      </c>
      <c r="K638" s="2720" t="n">
        <f aca="false">'Прайс лист'!G1475</f>
        <v>200</v>
      </c>
      <c r="L638" s="2720" t="n">
        <f aca="false">J638*K638</f>
        <v>0</v>
      </c>
      <c r="M638" s="2759"/>
    </row>
    <row r="639" customFormat="false" ht="15.75" hidden="false" customHeight="false" outlineLevel="0" collapsed="false">
      <c r="A639" s="876" t="str">
        <f aca="false">A599</f>
        <v>Гидроизол</v>
      </c>
      <c r="B639" s="739" t="s">
        <v>820</v>
      </c>
      <c r="C639" s="739" t="n">
        <f aca="false">C638*1.1*E517*F514*F515*F594</f>
        <v>0</v>
      </c>
      <c r="D639" s="2720" t="n">
        <f aca="false">D599</f>
        <v>70</v>
      </c>
      <c r="E639" s="2720" t="n">
        <f aca="false">C639*D639</f>
        <v>0</v>
      </c>
      <c r="F639" s="918"/>
      <c r="G639" s="2632" t="s">
        <v>2036</v>
      </c>
      <c r="H639" s="2633"/>
      <c r="I639" s="739" t="s">
        <v>820</v>
      </c>
      <c r="J639" s="739" t="n">
        <f aca="false">C639*E517*F514*F596</f>
        <v>0</v>
      </c>
      <c r="K639" s="2720" t="n">
        <f aca="false">'Прайс лист'!G1451</f>
        <v>100</v>
      </c>
      <c r="L639" s="2720" t="n">
        <f aca="false">J639*K639</f>
        <v>0</v>
      </c>
      <c r="M639" s="2759"/>
    </row>
    <row r="640" customFormat="false" ht="15.75" hidden="false" customHeight="false" outlineLevel="0" collapsed="false">
      <c r="A640" s="876" t="str">
        <f aca="false">'Прайс лист'!B231</f>
        <v>Мастика битумная</v>
      </c>
      <c r="B640" s="739" t="s">
        <v>434</v>
      </c>
      <c r="C640" s="739" t="n">
        <f aca="false">C639/10*E517*F514*F515*F594</f>
        <v>0</v>
      </c>
      <c r="D640" s="2720" t="n">
        <f aca="false">'Прайс лист'!G231</f>
        <v>100</v>
      </c>
      <c r="E640" s="2720" t="n">
        <f aca="false">C640*D640</f>
        <v>0</v>
      </c>
      <c r="F640" s="918"/>
      <c r="G640" s="2632" t="str">
        <f aca="false">'Прайс лист'!B1477</f>
        <v>Кладка блоков ФБС</v>
      </c>
      <c r="H640" s="2635"/>
      <c r="I640" s="739" t="s">
        <v>1043</v>
      </c>
      <c r="J640" s="739" t="n">
        <f aca="false">C641*E517*F514*F596</f>
        <v>0</v>
      </c>
      <c r="K640" s="2720" t="n">
        <f aca="false">'Прайс лист'!G1477</f>
        <v>1000</v>
      </c>
      <c r="L640" s="2720" t="n">
        <f aca="false">J640*K640</f>
        <v>0</v>
      </c>
      <c r="M640" s="2759"/>
    </row>
    <row r="641" customFormat="false" ht="15.75" hidden="false" customHeight="false" outlineLevel="0" collapsed="false">
      <c r="A641" s="738" t="str">
        <f aca="false">'Прайс лист'!B174</f>
        <v>Блоки ФБС</v>
      </c>
      <c r="B641" s="739" t="s">
        <v>1043</v>
      </c>
      <c r="C641" s="739" t="n">
        <f aca="false">E521*E517*F514*F515*F594</f>
        <v>0</v>
      </c>
      <c r="D641" s="2720" t="n">
        <f aca="false">'Прайс лист'!G174</f>
        <v>1200</v>
      </c>
      <c r="E641" s="2720" t="n">
        <f aca="false">C641*D641</f>
        <v>0</v>
      </c>
      <c r="F641" s="919"/>
      <c r="G641" s="908" t="s">
        <v>4201</v>
      </c>
      <c r="H641" s="908"/>
      <c r="I641" s="893" t="s">
        <v>820</v>
      </c>
      <c r="J641" s="739" t="n">
        <f aca="false">C642*E517*F514*F596</f>
        <v>0</v>
      </c>
      <c r="K641" s="2720" t="n">
        <f aca="false">'Прайс лист'!G1460</f>
        <v>100</v>
      </c>
      <c r="L641" s="2720" t="n">
        <f aca="false">J641*K641</f>
        <v>0</v>
      </c>
      <c r="M641" s="2808"/>
    </row>
    <row r="642" customFormat="false" ht="15.75" hidden="false" customHeight="false" outlineLevel="0" collapsed="false">
      <c r="A642" s="908" t="str">
        <f aca="false">'Прайс лист'!B223</f>
        <v>Кладочная сетка, 100*100/150*150/200*200мм</v>
      </c>
      <c r="B642" s="893" t="s">
        <v>820</v>
      </c>
      <c r="C642" s="893" t="n">
        <f aca="false">D536/0.6*D522*E517*E517*F514*F515*F594</f>
        <v>0</v>
      </c>
      <c r="D642" s="2720" t="n">
        <f aca="false">'Прайс лист'!G223</f>
        <v>70</v>
      </c>
      <c r="E642" s="2720" t="n">
        <f aca="false">C642*D642</f>
        <v>0</v>
      </c>
      <c r="F642" s="2637"/>
      <c r="G642" s="2889" t="s">
        <v>2058</v>
      </c>
      <c r="H642" s="2889"/>
      <c r="I642" s="893" t="s">
        <v>820</v>
      </c>
      <c r="J642" s="893" t="n">
        <f aca="false">D519*D536*E517*F514*F596</f>
        <v>0</v>
      </c>
      <c r="K642" s="2720" t="n">
        <f aca="false">'Прайс лист'!G1476</f>
        <v>200</v>
      </c>
      <c r="L642" s="2720" t="n">
        <f aca="false">J642*K642</f>
        <v>0</v>
      </c>
      <c r="M642" s="2759"/>
    </row>
    <row r="643" customFormat="false" ht="15.75" hidden="false" customHeight="false" outlineLevel="0" collapsed="false">
      <c r="A643" s="876" t="str">
        <f aca="false">'Прайс лист'!B224</f>
        <v>Вязальная проволока</v>
      </c>
      <c r="B643" s="739" t="s">
        <v>434</v>
      </c>
      <c r="C643" s="739" t="n">
        <f aca="false">C642/20*E517*F514*F515*F594</f>
        <v>0</v>
      </c>
      <c r="D643" s="2720" t="n">
        <f aca="false">'Прайс лист'!G224</f>
        <v>80</v>
      </c>
      <c r="E643" s="2720" t="n">
        <f aca="false">C643*D643</f>
        <v>0</v>
      </c>
      <c r="F643" s="918"/>
      <c r="G643" s="738" t="str">
        <f aca="false">'Прайс лист'!B1438</f>
        <v>Монтаж утеплителя стен наружних</v>
      </c>
      <c r="H643" s="738"/>
      <c r="I643" s="2897" t="s">
        <v>820</v>
      </c>
      <c r="J643" s="739" t="n">
        <f aca="false">J642*E541*E517*F514*F596</f>
        <v>0</v>
      </c>
      <c r="K643" s="2720" t="n">
        <f aca="false">'Прайс лист'!G1438</f>
        <v>200</v>
      </c>
      <c r="L643" s="2720" t="n">
        <f aca="false">J643*K643</f>
        <v>0</v>
      </c>
      <c r="M643" s="2759"/>
    </row>
    <row r="644" customFormat="false" ht="15.75" hidden="false" customHeight="false" outlineLevel="0" collapsed="false">
      <c r="A644" s="2679" t="str">
        <f aca="false">'Прайс лист'!B242</f>
        <v>Раствор, м250</v>
      </c>
      <c r="B644" s="1556" t="s">
        <v>1043</v>
      </c>
      <c r="C644" s="1556" t="n">
        <f aca="false">C642*0.015*(D521/0.43*0.015)*E517*F514*F594</f>
        <v>0</v>
      </c>
      <c r="D644" s="2720" t="n">
        <f aca="false">'Прайс лист'!G242</f>
        <v>2500</v>
      </c>
      <c r="E644" s="2720" t="n">
        <f aca="false">C644*D644</f>
        <v>0</v>
      </c>
      <c r="F644" s="918"/>
      <c r="G644" s="2632" t="s">
        <v>2029</v>
      </c>
      <c r="H644" s="2635"/>
      <c r="I644" s="739" t="s">
        <v>820</v>
      </c>
      <c r="J644" s="1556" t="n">
        <f aca="false">E520*2*(D523+0.3)*E517*F514*F596</f>
        <v>0</v>
      </c>
      <c r="K644" s="2720" t="n">
        <f aca="false">'Прайс лист'!G1442</f>
        <v>300</v>
      </c>
      <c r="L644" s="2720" t="n">
        <f aca="false">J644*K644</f>
        <v>0</v>
      </c>
      <c r="M644" s="2759"/>
    </row>
    <row r="645" customFormat="false" ht="15.75" hidden="false" customHeight="false" outlineLevel="0" collapsed="false">
      <c r="A645" s="2679" t="str">
        <f aca="false">A597</f>
        <v>Сосна влаж,150*40мм</v>
      </c>
      <c r="B645" s="1556" t="s">
        <v>1043</v>
      </c>
      <c r="C645" s="1556" t="n">
        <f aca="false">E520*2*(D523+0.3)*0.05*1.3*E517*F514*F515*F594</f>
        <v>0</v>
      </c>
      <c r="D645" s="2720" t="n">
        <f aca="false">D597</f>
        <v>6500</v>
      </c>
      <c r="E645" s="2720" t="n">
        <f aca="false">C645*D645</f>
        <v>0</v>
      </c>
      <c r="F645" s="918"/>
      <c r="G645" s="2889" t="s">
        <v>2030</v>
      </c>
      <c r="H645" s="2889"/>
      <c r="I645" s="893" t="s">
        <v>820</v>
      </c>
      <c r="J645" s="1556" t="n">
        <f aca="false">E521*2*(D524+0.3)*E517*F596*F514</f>
        <v>0</v>
      </c>
      <c r="K645" s="2720" t="n">
        <f aca="false">'Прайс лист'!G1443</f>
        <v>100</v>
      </c>
      <c r="L645" s="2720" t="n">
        <f aca="false">J645*K645</f>
        <v>0</v>
      </c>
      <c r="M645" s="2759"/>
    </row>
    <row r="646" customFormat="false" ht="15.75" hidden="false" customHeight="false" outlineLevel="0" collapsed="false">
      <c r="A646" s="2679" t="str">
        <f aca="false">'Прайс лист'!B217</f>
        <v>Арматура стальная Ø 10 </v>
      </c>
      <c r="B646" s="1556" t="s">
        <v>15</v>
      </c>
      <c r="C646" s="1556" t="n">
        <f aca="false">E524*F514*F515*F594*E517</f>
        <v>0</v>
      </c>
      <c r="D646" s="2720" t="n">
        <f aca="false">'Прайс лист'!G217</f>
        <v>21.0397</v>
      </c>
      <c r="E646" s="2720" t="n">
        <f aca="false">C646*D646</f>
        <v>0</v>
      </c>
      <c r="F646" s="918"/>
      <c r="G646" s="2889" t="s">
        <v>2041</v>
      </c>
      <c r="H646" s="2889"/>
      <c r="I646" s="2897" t="s">
        <v>1043</v>
      </c>
      <c r="J646" s="1556" t="n">
        <f aca="false">C648*F514*F596*E517</f>
        <v>0</v>
      </c>
      <c r="K646" s="2720" t="n">
        <f aca="false">'Прайс лист'!G1430</f>
        <v>350</v>
      </c>
      <c r="L646" s="2720" t="n">
        <f aca="false">J646*K646</f>
        <v>0</v>
      </c>
      <c r="M646" s="2759"/>
    </row>
    <row r="647" customFormat="false" ht="15.75" hidden="false" customHeight="false" outlineLevel="0" collapsed="false">
      <c r="A647" s="2679" t="str">
        <f aca="false">'Прайс лист'!B211</f>
        <v>Нет арматуры</v>
      </c>
      <c r="B647" s="1556" t="s">
        <v>15</v>
      </c>
      <c r="C647" s="1556" t="n">
        <f aca="false">E525*F514*F515*F594*E517</f>
        <v>0</v>
      </c>
      <c r="D647" s="2720" t="n">
        <f aca="false">'Прайс лист'!G211</f>
        <v>0</v>
      </c>
      <c r="E647" s="2720" t="n">
        <f aca="false">C647*D647</f>
        <v>0</v>
      </c>
      <c r="F647" s="918"/>
      <c r="G647" s="2899"/>
      <c r="H647" s="2899"/>
      <c r="I647" s="2679"/>
      <c r="J647" s="1556"/>
      <c r="K647" s="2679"/>
      <c r="L647" s="2679"/>
      <c r="M647" s="2759"/>
    </row>
    <row r="648" customFormat="false" ht="15.75" hidden="false" customHeight="false" outlineLevel="0" collapsed="false">
      <c r="A648" s="2679" t="str">
        <f aca="false">'Прайс лист'!B239</f>
        <v>Бетон, м300</v>
      </c>
      <c r="B648" s="1556" t="s">
        <v>1043</v>
      </c>
      <c r="C648" s="1556" t="n">
        <f aca="false">E523*E517*F514*F515*F594</f>
        <v>0</v>
      </c>
      <c r="D648" s="2720" t="n">
        <f aca="false">'Прайс лист'!G239</f>
        <v>3000</v>
      </c>
      <c r="E648" s="2720" t="n">
        <f aca="false">C648*D648</f>
        <v>0</v>
      </c>
      <c r="F648" s="918"/>
      <c r="G648" s="2899"/>
      <c r="H648" s="2899"/>
      <c r="I648" s="2679"/>
      <c r="J648" s="1556"/>
      <c r="K648" s="2679"/>
      <c r="L648" s="2679"/>
      <c r="M648" s="2759"/>
    </row>
    <row r="649" customFormat="false" ht="15.75" hidden="false" customHeight="false" outlineLevel="0" collapsed="false">
      <c r="A649" s="2889" t="str">
        <f aca="false">'Прайс лист'!B230</f>
        <v>Праймер для обработки </v>
      </c>
      <c r="B649" s="2897" t="s">
        <v>699</v>
      </c>
      <c r="C649" s="2897" t="n">
        <f aca="false">D519*D536/1.5*E517*F514*F515*F594</f>
        <v>0</v>
      </c>
      <c r="D649" s="2720" t="n">
        <f aca="false">'Прайс лист'!G230</f>
        <v>100</v>
      </c>
      <c r="E649" s="2720" t="n">
        <f aca="false">C649*D649</f>
        <v>0</v>
      </c>
      <c r="F649" s="2870"/>
      <c r="G649" s="2889"/>
      <c r="H649" s="2889"/>
      <c r="I649" s="2889"/>
      <c r="J649" s="2897"/>
      <c r="K649" s="2889"/>
      <c r="L649" s="2889"/>
      <c r="M649" s="2759"/>
    </row>
    <row r="650" customFormat="false" ht="15.75" hidden="false" customHeight="false" outlineLevel="0" collapsed="false">
      <c r="A650" s="2900" t="str">
        <f aca="false">'Ввод данных'!A961</f>
        <v>Плитный,28кг/м3, технониколь, 100мм</v>
      </c>
      <c r="B650" s="2897" t="s">
        <v>1043</v>
      </c>
      <c r="C650" s="2897" t="n">
        <f aca="false">D519*D536*D541*E517*F514*F515*F594</f>
        <v>0</v>
      </c>
      <c r="D650" s="2720" t="n">
        <f aca="false">VLOOKUP(A650,'Прайс лист'!B600:G638,6,0)</f>
        <v>1700</v>
      </c>
      <c r="E650" s="2720" t="n">
        <f aca="false">C650*D650</f>
        <v>0</v>
      </c>
      <c r="F650" s="2870"/>
      <c r="G650" s="2889"/>
      <c r="H650" s="2889"/>
      <c r="I650" s="2889"/>
      <c r="J650" s="2897"/>
      <c r="K650" s="2889"/>
      <c r="L650" s="2889"/>
      <c r="M650" s="2759"/>
    </row>
    <row r="651" customFormat="false" ht="15.75" hidden="false" customHeight="false" outlineLevel="0" collapsed="false">
      <c r="A651" s="2900" t="str">
        <f aca="false">'Прайс лист'!B639</f>
        <v>Грибок для крепления утеплителя</v>
      </c>
      <c r="B651" s="2897" t="s">
        <v>48</v>
      </c>
      <c r="C651" s="2897" t="n">
        <f aca="false">D519*D536*5*E517*F514*F515*F594</f>
        <v>0</v>
      </c>
      <c r="D651" s="2720" t="n">
        <f aca="false">'Прайс лист'!G639</f>
        <v>15</v>
      </c>
      <c r="E651" s="2720" t="n">
        <f aca="false">C651*D651</f>
        <v>0</v>
      </c>
      <c r="F651" s="2870"/>
      <c r="G651" s="738"/>
      <c r="H651" s="738"/>
      <c r="I651" s="2889"/>
      <c r="J651" s="2897"/>
      <c r="K651" s="2889"/>
      <c r="L651" s="2889"/>
      <c r="M651" s="2759"/>
    </row>
    <row r="652" customFormat="false" ht="15.75" hidden="false" customHeight="false" outlineLevel="0" collapsed="false">
      <c r="A652" s="2867"/>
      <c r="B652" s="916"/>
      <c r="C652" s="916"/>
      <c r="D652" s="916"/>
      <c r="E652" s="2901" t="n">
        <f aca="false">SUM(E638:E651)</f>
        <v>0</v>
      </c>
      <c r="F652" s="2637"/>
      <c r="G652" s="2867"/>
      <c r="H652" s="916"/>
      <c r="I652" s="916"/>
      <c r="J652" s="913"/>
      <c r="K652" s="916"/>
      <c r="L652" s="2627" t="n">
        <f aca="false">SUM(L638:L651)</f>
        <v>0</v>
      </c>
      <c r="M652" s="2759"/>
    </row>
    <row r="653" customFormat="false" ht="15.75" hidden="false" customHeight="false" outlineLevel="0" collapsed="false">
      <c r="A653" s="876" t="s">
        <v>4139</v>
      </c>
      <c r="B653" s="876" t="n">
        <f aca="false">E652</f>
        <v>0</v>
      </c>
      <c r="C653" s="912"/>
      <c r="D653" s="912"/>
      <c r="E653" s="916"/>
      <c r="F653" s="912"/>
      <c r="G653" s="912"/>
      <c r="H653" s="912"/>
      <c r="I653" s="912"/>
      <c r="J653" s="912"/>
      <c r="K653" s="916"/>
      <c r="L653" s="2869"/>
      <c r="M653" s="2759"/>
    </row>
    <row r="654" customFormat="false" ht="15.75" hidden="false" customHeight="false" outlineLevel="0" collapsed="false">
      <c r="A654" s="876" t="s">
        <v>4140</v>
      </c>
      <c r="B654" s="876" t="n">
        <f aca="false">L652</f>
        <v>0</v>
      </c>
      <c r="C654" s="912"/>
      <c r="D654" s="912"/>
      <c r="E654" s="916"/>
      <c r="F654" s="912"/>
      <c r="G654" s="2867"/>
      <c r="H654" s="916"/>
      <c r="I654" s="916"/>
      <c r="J654" s="916"/>
      <c r="K654" s="916"/>
      <c r="L654" s="2869"/>
      <c r="M654" s="2759"/>
    </row>
    <row r="655" customFormat="false" ht="15.75" hidden="false" customHeight="false" outlineLevel="0" collapsed="false">
      <c r="A655" s="876" t="s">
        <v>4141</v>
      </c>
      <c r="B655" s="876" t="n">
        <f aca="false">SUM(B653:B654)</f>
        <v>0</v>
      </c>
      <c r="C655" s="2869"/>
      <c r="D655" s="2869"/>
      <c r="E655" s="2869"/>
      <c r="F655" s="2869"/>
      <c r="G655" s="2869"/>
      <c r="H655" s="2869"/>
      <c r="I655" s="2869"/>
      <c r="J655" s="2869"/>
      <c r="K655" s="2869"/>
      <c r="L655" s="2869"/>
      <c r="M655" s="2759"/>
    </row>
    <row r="656" customFormat="false" ht="15.75" hidden="false" customHeight="false" outlineLevel="0" collapsed="false">
      <c r="A656" s="2898" t="s">
        <v>4207</v>
      </c>
      <c r="B656" s="2898"/>
      <c r="C656" s="2898"/>
      <c r="D656" s="2898"/>
      <c r="E656" s="2898"/>
      <c r="F656" s="2898"/>
      <c r="G656" s="2898"/>
      <c r="H656" s="2898"/>
      <c r="I656" s="2898"/>
      <c r="J656" s="2898"/>
      <c r="K656" s="2898"/>
      <c r="L656" s="2898"/>
      <c r="M656" s="2759"/>
    </row>
    <row r="657" customFormat="false" ht="15.75" hidden="false" customHeight="false" outlineLevel="0" collapsed="false">
      <c r="A657" s="2670" t="s">
        <v>4208</v>
      </c>
      <c r="B657" s="2670"/>
      <c r="C657" s="2670"/>
      <c r="D657" s="2670"/>
      <c r="E657" s="2670"/>
      <c r="F657" s="2670"/>
      <c r="G657" s="2670"/>
      <c r="H657" s="2670"/>
      <c r="I657" s="2670"/>
      <c r="J657" s="2670"/>
      <c r="K657" s="2670"/>
      <c r="L657" s="2670"/>
      <c r="M657" s="2759"/>
    </row>
    <row r="658" customFormat="false" ht="15.75" hidden="false" customHeight="false" outlineLevel="0" collapsed="false">
      <c r="A658" s="2720" t="s">
        <v>161</v>
      </c>
      <c r="B658" s="2720" t="s">
        <v>162</v>
      </c>
      <c r="C658" s="2720" t="s">
        <v>118</v>
      </c>
      <c r="D658" s="2720" t="s">
        <v>4197</v>
      </c>
      <c r="E658" s="2720" t="s">
        <v>2661</v>
      </c>
      <c r="F658" s="919"/>
      <c r="G658" s="2894" t="s">
        <v>161</v>
      </c>
      <c r="H658" s="2895"/>
      <c r="I658" s="2720" t="s">
        <v>162</v>
      </c>
      <c r="J658" s="2720" t="s">
        <v>118</v>
      </c>
      <c r="K658" s="2720" t="s">
        <v>4197</v>
      </c>
      <c r="L658" s="2720" t="s">
        <v>2661</v>
      </c>
      <c r="M658" s="2759"/>
    </row>
    <row r="659" customFormat="false" ht="15.75" hidden="false" customHeight="false" outlineLevel="0" collapsed="false">
      <c r="A659" s="2738" t="str">
        <f aca="false">A638</f>
        <v>Праймер для обработки </v>
      </c>
      <c r="B659" s="2720" t="s">
        <v>699</v>
      </c>
      <c r="C659" s="2720" t="n">
        <f aca="false">E527*E518/1.5*F514*F515*F594</f>
        <v>0</v>
      </c>
      <c r="D659" s="2720" t="n">
        <f aca="false">D638</f>
        <v>100</v>
      </c>
      <c r="E659" s="2720" t="n">
        <f aca="false">C659*D659</f>
        <v>0</v>
      </c>
      <c r="F659" s="919"/>
      <c r="G659" s="2894" t="s">
        <v>2057</v>
      </c>
      <c r="H659" s="2895"/>
      <c r="I659" s="2720" t="s">
        <v>820</v>
      </c>
      <c r="J659" s="2720" t="n">
        <f aca="false">D543*F514*F596*E518</f>
        <v>0</v>
      </c>
      <c r="K659" s="2720" t="n">
        <f aca="false">K638</f>
        <v>200</v>
      </c>
      <c r="L659" s="2720" t="n">
        <f aca="false">J659*K659</f>
        <v>0</v>
      </c>
      <c r="M659" s="2759"/>
    </row>
    <row r="660" customFormat="false" ht="15.75" hidden="false" customHeight="false" outlineLevel="0" collapsed="false">
      <c r="A660" s="876" t="str">
        <f aca="false">A639</f>
        <v>Гидроизол</v>
      </c>
      <c r="B660" s="739" t="s">
        <v>820</v>
      </c>
      <c r="C660" s="739" t="n">
        <f aca="false">E527*E518*1.1*F514*F515*F594</f>
        <v>0</v>
      </c>
      <c r="D660" s="2720" t="n">
        <f aca="false">D639</f>
        <v>70</v>
      </c>
      <c r="E660" s="2720" t="n">
        <f aca="false">C660*D660</f>
        <v>0</v>
      </c>
      <c r="F660" s="918"/>
      <c r="G660" s="2632" t="s">
        <v>2036</v>
      </c>
      <c r="H660" s="2633"/>
      <c r="I660" s="739" t="s">
        <v>820</v>
      </c>
      <c r="J660" s="739" t="n">
        <f aca="false">J659*F514*F596*E518</f>
        <v>0</v>
      </c>
      <c r="K660" s="2720" t="n">
        <f aca="false">K639</f>
        <v>100</v>
      </c>
      <c r="L660" s="2720" t="n">
        <f aca="false">J660*K660</f>
        <v>0</v>
      </c>
      <c r="M660" s="2759"/>
    </row>
    <row r="661" customFormat="false" ht="15.75" hidden="false" customHeight="false" outlineLevel="0" collapsed="false">
      <c r="A661" s="876" t="str">
        <f aca="false">A640</f>
        <v>Мастика битумная</v>
      </c>
      <c r="B661" s="739" t="s">
        <v>434</v>
      </c>
      <c r="C661" s="739" t="n">
        <f aca="false">C660/10*F514*F515*F594*E518</f>
        <v>0</v>
      </c>
      <c r="D661" s="2720" t="n">
        <f aca="false">D640</f>
        <v>100</v>
      </c>
      <c r="E661" s="2720" t="n">
        <f aca="false">C661*D661</f>
        <v>0</v>
      </c>
      <c r="F661" s="918"/>
      <c r="G661" s="2632" t="s">
        <v>4209</v>
      </c>
      <c r="H661" s="2635"/>
      <c r="I661" s="739" t="s">
        <v>15</v>
      </c>
      <c r="J661" s="739" t="n">
        <f aca="false">C664*F514*F596*E518</f>
        <v>0</v>
      </c>
      <c r="K661" s="2720" t="n">
        <f aca="false">'Прайс лист'!G1425</f>
        <v>300</v>
      </c>
      <c r="L661" s="2720" t="n">
        <f aca="false">J661*K661</f>
        <v>0</v>
      </c>
      <c r="M661" s="2759"/>
    </row>
    <row r="662" customFormat="false" ht="15.75" hidden="false" customHeight="false" outlineLevel="0" collapsed="false">
      <c r="A662" s="876" t="str">
        <f aca="false">A645</f>
        <v>Сосна влаж,150*40мм</v>
      </c>
      <c r="B662" s="739" t="s">
        <v>1043</v>
      </c>
      <c r="C662" s="739" t="n">
        <f aca="false">D528*2*D529*1.3*F514*F515*F594*E518</f>
        <v>0</v>
      </c>
      <c r="D662" s="2720" t="n">
        <f aca="false">D645</f>
        <v>6500</v>
      </c>
      <c r="E662" s="2720" t="n">
        <f aca="false">C662*D662</f>
        <v>0</v>
      </c>
      <c r="F662" s="918"/>
      <c r="G662" s="2632" t="s">
        <v>2029</v>
      </c>
      <c r="H662" s="2635"/>
      <c r="I662" s="739" t="s">
        <v>820</v>
      </c>
      <c r="J662" s="739" t="n">
        <f aca="false">D528*2*F514*F596*E518</f>
        <v>0</v>
      </c>
      <c r="K662" s="2720" t="n">
        <f aca="false">K644</f>
        <v>300</v>
      </c>
      <c r="L662" s="2720" t="n">
        <f aca="false">J662*K662</f>
        <v>0</v>
      </c>
      <c r="M662" s="2759"/>
    </row>
    <row r="663" customFormat="false" ht="15.75" hidden="false" customHeight="false" outlineLevel="0" collapsed="false">
      <c r="A663" s="876" t="str">
        <f aca="false">'Прайс лист'!B232</f>
        <v>Крепления для опалубки</v>
      </c>
      <c r="B663" s="739" t="s">
        <v>48</v>
      </c>
      <c r="C663" s="739" t="n">
        <f aca="false">D528*20*F514*F515*F594*E518</f>
        <v>0</v>
      </c>
      <c r="D663" s="2720" t="n">
        <f aca="false">'Прайс лист'!G232</f>
        <v>20</v>
      </c>
      <c r="E663" s="2720" t="n">
        <f aca="false">C663*D663</f>
        <v>0</v>
      </c>
      <c r="F663" s="918"/>
      <c r="G663" s="2889" t="s">
        <v>2030</v>
      </c>
      <c r="H663" s="2889"/>
      <c r="I663" s="893" t="s">
        <v>820</v>
      </c>
      <c r="J663" s="739" t="n">
        <f aca="false">J662*F514*F596*E518</f>
        <v>0</v>
      </c>
      <c r="K663" s="2720" t="n">
        <f aca="false">K645</f>
        <v>100</v>
      </c>
      <c r="L663" s="2720" t="n">
        <f aca="false">J663*K663</f>
        <v>0</v>
      </c>
      <c r="M663" s="2759"/>
    </row>
    <row r="664" customFormat="false" ht="15.75" hidden="false" customHeight="false" outlineLevel="0" collapsed="false">
      <c r="A664" s="738" t="str">
        <f aca="false">'Прайс лист'!B218</f>
        <v>Арматура стальная Ø 12</v>
      </c>
      <c r="B664" s="739" t="s">
        <v>15</v>
      </c>
      <c r="C664" s="739" t="n">
        <f aca="false">E527/D530*D536*2*D531*1.2*F514*F515*F594*E518</f>
        <v>0</v>
      </c>
      <c r="D664" s="2720" t="n">
        <f aca="false">'Прайс лист'!G218</f>
        <v>29.2152</v>
      </c>
      <c r="E664" s="2720" t="n">
        <f aca="false">C664*D664</f>
        <v>0</v>
      </c>
      <c r="F664" s="919"/>
      <c r="G664" s="2889" t="s">
        <v>2041</v>
      </c>
      <c r="H664" s="2889"/>
      <c r="I664" s="2897" t="s">
        <v>1043</v>
      </c>
      <c r="J664" s="739" t="n">
        <f aca="false">C666*F514*F596*E518</f>
        <v>0</v>
      </c>
      <c r="K664" s="2720" t="n">
        <f aca="false">'Прайс лист'!G1456</f>
        <v>1200</v>
      </c>
      <c r="L664" s="2720" t="n">
        <f aca="false">J664*K664</f>
        <v>0</v>
      </c>
      <c r="M664" s="2759"/>
    </row>
    <row r="665" customFormat="false" ht="15.75" hidden="false" customHeight="false" outlineLevel="0" collapsed="false">
      <c r="A665" s="876" t="str">
        <f aca="false">'Прайс лист'!B224</f>
        <v>Вязальная проволока</v>
      </c>
      <c r="B665" s="739" t="s">
        <v>434</v>
      </c>
      <c r="C665" s="739" t="n">
        <f aca="false">C664/60*F514*F515*F594*E518</f>
        <v>0</v>
      </c>
      <c r="D665" s="2720" t="n">
        <f aca="false">'Прайс лист'!G224</f>
        <v>80</v>
      </c>
      <c r="E665" s="2720" t="n">
        <f aca="false">C665*D665</f>
        <v>0</v>
      </c>
      <c r="F665" s="918"/>
      <c r="G665" s="2889" t="s">
        <v>2058</v>
      </c>
      <c r="H665" s="2889"/>
      <c r="I665" s="2897" t="s">
        <v>820</v>
      </c>
      <c r="J665" s="739" t="n">
        <f aca="false">D526*D536*F514*F596*E518</f>
        <v>0</v>
      </c>
      <c r="K665" s="2720" t="n">
        <f aca="false">K642</f>
        <v>200</v>
      </c>
      <c r="L665" s="2720" t="n">
        <f aca="false">J665*K665</f>
        <v>0</v>
      </c>
      <c r="M665" s="2759"/>
    </row>
    <row r="666" customFormat="false" ht="15.75" hidden="false" customHeight="false" outlineLevel="0" collapsed="false">
      <c r="A666" s="2679" t="str">
        <f aca="false">'Прайс лист'!B239</f>
        <v>Бетон, м300</v>
      </c>
      <c r="B666" s="1556" t="s">
        <v>1043</v>
      </c>
      <c r="C666" s="1556" t="n">
        <f aca="false">E528*F514*F594*E518</f>
        <v>0</v>
      </c>
      <c r="D666" s="2720" t="n">
        <f aca="false">'Прайс лист'!G239</f>
        <v>3000</v>
      </c>
      <c r="E666" s="2720" t="n">
        <f aca="false">C666*D666</f>
        <v>0</v>
      </c>
      <c r="F666" s="918"/>
      <c r="G666" s="738" t="s">
        <v>2042</v>
      </c>
      <c r="H666" s="738"/>
      <c r="I666" s="1556" t="s">
        <v>820</v>
      </c>
      <c r="J666" s="1556" t="n">
        <f aca="false">D526*D536*E541*F514*F596*E518</f>
        <v>0</v>
      </c>
      <c r="K666" s="2720" t="n">
        <f aca="false">K643</f>
        <v>200</v>
      </c>
      <c r="L666" s="2720" t="n">
        <f aca="false">J666*K666</f>
        <v>0</v>
      </c>
      <c r="M666" s="2759"/>
    </row>
    <row r="667" customFormat="false" ht="15.75" hidden="false" customHeight="false" outlineLevel="0" collapsed="false">
      <c r="A667" s="2889" t="str">
        <f aca="false">A649</f>
        <v>Праймер для обработки </v>
      </c>
      <c r="B667" s="2897" t="s">
        <v>434</v>
      </c>
      <c r="C667" s="2897" t="n">
        <f aca="false">D526*D536/1.5*F514*F515*F594*E518</f>
        <v>0</v>
      </c>
      <c r="D667" s="2720" t="n">
        <f aca="false">D649</f>
        <v>100</v>
      </c>
      <c r="E667" s="2720" t="n">
        <f aca="false">C667*D667</f>
        <v>0</v>
      </c>
      <c r="F667" s="2870"/>
      <c r="G667" s="2889"/>
      <c r="H667" s="2889"/>
      <c r="I667" s="2889"/>
      <c r="J667" s="2889"/>
      <c r="K667" s="2889"/>
      <c r="L667" s="2897"/>
      <c r="M667" s="2759"/>
    </row>
    <row r="668" customFormat="false" ht="15.75" hidden="false" customHeight="false" outlineLevel="0" collapsed="false">
      <c r="A668" s="2900" t="str">
        <f aca="false">'Ввод данных'!A961</f>
        <v>Плитный,28кг/м3, технониколь, 100мм</v>
      </c>
      <c r="B668" s="2897" t="s">
        <v>1043</v>
      </c>
      <c r="C668" s="2897" t="n">
        <f aca="false">D526*D541*E541*D536*F514*F515*F594*E518</f>
        <v>0</v>
      </c>
      <c r="D668" s="2720" t="n">
        <f aca="false">VLOOKUP(A668,'Прайс лист'!B600:G638,6,0)</f>
        <v>1700</v>
      </c>
      <c r="E668" s="2720" t="n">
        <f aca="false">C668*D668</f>
        <v>0</v>
      </c>
      <c r="F668" s="2870"/>
      <c r="G668" s="2889"/>
      <c r="H668" s="2889"/>
      <c r="I668" s="2889"/>
      <c r="J668" s="2889"/>
      <c r="K668" s="2889"/>
      <c r="L668" s="2897"/>
      <c r="M668" s="2759"/>
    </row>
    <row r="669" customFormat="false" ht="15.75" hidden="false" customHeight="false" outlineLevel="0" collapsed="false">
      <c r="A669" s="2900" t="str">
        <f aca="false">A651</f>
        <v>Грибок для крепления утеплителя</v>
      </c>
      <c r="B669" s="2897" t="s">
        <v>48</v>
      </c>
      <c r="C669" s="2897" t="n">
        <f aca="false">D526*D536*E541*5*F514*F515*F594*E518</f>
        <v>0</v>
      </c>
      <c r="D669" s="2720" t="n">
        <f aca="false">D651</f>
        <v>15</v>
      </c>
      <c r="E669" s="2720" t="n">
        <f aca="false">C669*D669</f>
        <v>0</v>
      </c>
      <c r="F669" s="2870"/>
      <c r="G669" s="738"/>
      <c r="H669" s="738"/>
      <c r="I669" s="2889"/>
      <c r="J669" s="2889"/>
      <c r="K669" s="2889"/>
      <c r="L669" s="2897"/>
      <c r="M669" s="2759"/>
    </row>
    <row r="670" customFormat="false" ht="15.75" hidden="false" customHeight="false" outlineLevel="0" collapsed="false">
      <c r="A670" s="2867"/>
      <c r="B670" s="916"/>
      <c r="C670" s="916"/>
      <c r="D670" s="916"/>
      <c r="E670" s="2901" t="n">
        <f aca="false">SUM(E659:E669)</f>
        <v>0</v>
      </c>
      <c r="F670" s="2637"/>
      <c r="G670" s="2867"/>
      <c r="H670" s="916"/>
      <c r="I670" s="916"/>
      <c r="J670" s="916"/>
      <c r="K670" s="916"/>
      <c r="L670" s="2901" t="n">
        <f aca="false">SUM(L659:L669)</f>
        <v>0</v>
      </c>
      <c r="M670" s="2759"/>
    </row>
    <row r="671" customFormat="false" ht="15.75" hidden="false" customHeight="false" outlineLevel="0" collapsed="false">
      <c r="A671" s="876" t="s">
        <v>4139</v>
      </c>
      <c r="B671" s="876" t="n">
        <f aca="false">E670</f>
        <v>0</v>
      </c>
      <c r="C671" s="912"/>
      <c r="D671" s="912"/>
      <c r="E671" s="916"/>
      <c r="F671" s="912"/>
      <c r="G671" s="912"/>
      <c r="H671" s="912"/>
      <c r="I671" s="912"/>
      <c r="J671" s="912"/>
      <c r="K671" s="916"/>
      <c r="L671" s="2869"/>
      <c r="M671" s="2759"/>
    </row>
    <row r="672" customFormat="false" ht="15.75" hidden="false" customHeight="false" outlineLevel="0" collapsed="false">
      <c r="A672" s="876" t="s">
        <v>4140</v>
      </c>
      <c r="B672" s="876" t="n">
        <f aca="false">L670</f>
        <v>0</v>
      </c>
      <c r="C672" s="912"/>
      <c r="D672" s="912"/>
      <c r="E672" s="916"/>
      <c r="F672" s="912"/>
      <c r="G672" s="2867"/>
      <c r="H672" s="916"/>
      <c r="I672" s="916"/>
      <c r="J672" s="916"/>
      <c r="K672" s="916"/>
      <c r="L672" s="2869"/>
      <c r="M672" s="2759"/>
    </row>
    <row r="673" customFormat="false" ht="15.75" hidden="false" customHeight="false" outlineLevel="0" collapsed="false">
      <c r="A673" s="876" t="s">
        <v>4141</v>
      </c>
      <c r="B673" s="876" t="n">
        <f aca="false">SUM(B671:B672)</f>
        <v>0</v>
      </c>
      <c r="C673" s="2869"/>
      <c r="D673" s="2869"/>
      <c r="E673" s="2869"/>
      <c r="F673" s="2869"/>
      <c r="G673" s="2869"/>
      <c r="H673" s="2869"/>
      <c r="I673" s="2869"/>
      <c r="J673" s="2869"/>
      <c r="K673" s="2869"/>
      <c r="L673" s="2869"/>
      <c r="M673" s="2759"/>
    </row>
    <row r="674" customFormat="false" ht="15.75" hidden="false" customHeight="false" outlineLevel="0" collapsed="false">
      <c r="A674" s="2670" t="s">
        <v>4208</v>
      </c>
      <c r="B674" s="2670"/>
      <c r="C674" s="2670"/>
      <c r="D674" s="2670"/>
      <c r="E674" s="2670"/>
      <c r="F674" s="2670"/>
      <c r="G674" s="2670"/>
      <c r="H674" s="2670"/>
      <c r="I674" s="2670"/>
      <c r="J674" s="2670"/>
      <c r="K674" s="2670"/>
      <c r="L674" s="2670"/>
      <c r="M674" s="2759"/>
    </row>
    <row r="675" customFormat="false" ht="15" hidden="false" customHeight="false" outlineLevel="0" collapsed="false">
      <c r="A675" s="2759"/>
      <c r="B675" s="2759"/>
      <c r="C675" s="2759"/>
      <c r="D675" s="2759"/>
      <c r="E675" s="2759"/>
      <c r="F675" s="2759"/>
      <c r="G675" s="2759"/>
      <c r="H675" s="2759"/>
      <c r="I675" s="2759"/>
      <c r="J675" s="2759"/>
      <c r="K675" s="2759"/>
      <c r="L675" s="2759"/>
      <c r="M675" s="2759"/>
    </row>
    <row r="676" customFormat="false" ht="15" hidden="false" customHeight="false" outlineLevel="0" collapsed="false">
      <c r="A676" s="2759"/>
      <c r="B676" s="2759"/>
      <c r="C676" s="2759"/>
      <c r="D676" s="2759"/>
      <c r="E676" s="2759"/>
      <c r="F676" s="2759"/>
      <c r="G676" s="2759"/>
      <c r="H676" s="2759"/>
      <c r="I676" s="2759"/>
      <c r="J676" s="2759"/>
      <c r="K676" s="2759"/>
      <c r="L676" s="2759"/>
      <c r="M676" s="2759"/>
    </row>
    <row r="677" customFormat="false" ht="15" hidden="false" customHeight="false" outlineLevel="0" collapsed="false">
      <c r="A677" s="2759" t="s">
        <v>225</v>
      </c>
      <c r="B677" s="2759"/>
      <c r="C677" s="2759"/>
      <c r="D677" s="2759"/>
      <c r="E677" s="2759"/>
      <c r="F677" s="2759"/>
      <c r="G677" s="2759"/>
      <c r="H677" s="2759"/>
      <c r="I677" s="2759"/>
      <c r="J677" s="2759"/>
      <c r="K677" s="2759"/>
      <c r="L677" s="2759"/>
      <c r="M677" s="2759"/>
    </row>
    <row r="678" customFormat="false" ht="15" hidden="false" customHeight="false" outlineLevel="0" collapsed="false">
      <c r="A678" s="2889" t="str">
        <f aca="false">'Ввод данных'!A967</f>
        <v>Нет техники</v>
      </c>
      <c r="B678" s="2889" t="str">
        <f aca="false">'Ввод данных'!B967</f>
        <v>ед.</v>
      </c>
      <c r="C678" s="2889" t="n">
        <f aca="false">'Ввод данных'!C967*F514</f>
        <v>0</v>
      </c>
      <c r="D678" s="2889" t="n">
        <f aca="false">VLOOKUP(A678,'Прайс лист'!B192:G206,6,0)</f>
        <v>0</v>
      </c>
      <c r="E678" s="2889" t="n">
        <f aca="false">C678*D678</f>
        <v>0</v>
      </c>
      <c r="F678" s="2759"/>
      <c r="G678" s="2759"/>
      <c r="H678" s="2759"/>
      <c r="I678" s="2759"/>
      <c r="J678" s="2759"/>
      <c r="K678" s="2759"/>
      <c r="L678" s="2759"/>
      <c r="M678" s="2759"/>
    </row>
    <row r="679" customFormat="false" ht="15" hidden="false" customHeight="false" outlineLevel="0" collapsed="false">
      <c r="A679" s="2889" t="str">
        <f aca="false">'Ввод данных'!A968</f>
        <v>Нет техники</v>
      </c>
      <c r="B679" s="2889" t="str">
        <f aca="false">'Ввод данных'!B968</f>
        <v>ед.</v>
      </c>
      <c r="C679" s="2889" t="n">
        <f aca="false">'Ввод данных'!C968*F514</f>
        <v>0</v>
      </c>
      <c r="D679" s="2889" t="n">
        <f aca="false">VLOOKUP(A679,'Прайс лист'!B192:G206,6,0)</f>
        <v>0</v>
      </c>
      <c r="E679" s="2889" t="n">
        <f aca="false">C679*D679</f>
        <v>0</v>
      </c>
      <c r="F679" s="2759"/>
      <c r="G679" s="2759"/>
      <c r="H679" s="2759"/>
      <c r="I679" s="2759"/>
      <c r="J679" s="2759"/>
      <c r="K679" s="2759"/>
      <c r="L679" s="2759"/>
      <c r="M679" s="2759"/>
    </row>
    <row r="680" customFormat="false" ht="15" hidden="false" customHeight="false" outlineLevel="0" collapsed="false">
      <c r="A680" s="2889" t="str">
        <f aca="false">'Ввод данных'!A969</f>
        <v>Нет техники</v>
      </c>
      <c r="B680" s="2889" t="str">
        <f aca="false">'Ввод данных'!B969</f>
        <v>ед.</v>
      </c>
      <c r="C680" s="2889" t="n">
        <f aca="false">'Ввод данных'!C969*F514</f>
        <v>0</v>
      </c>
      <c r="D680" s="2889" t="n">
        <f aca="false">VLOOKUP(A680,'Прайс лист'!B192:G206,6,0)</f>
        <v>0</v>
      </c>
      <c r="E680" s="2889" t="n">
        <f aca="false">C680*D680</f>
        <v>0</v>
      </c>
      <c r="F680" s="2759"/>
      <c r="G680" s="2759"/>
      <c r="H680" s="2759"/>
      <c r="I680" s="2759"/>
      <c r="J680" s="2759"/>
      <c r="K680" s="2759"/>
      <c r="L680" s="2759"/>
      <c r="M680" s="2759"/>
    </row>
    <row r="681" customFormat="false" ht="15" hidden="false" customHeight="false" outlineLevel="0" collapsed="false">
      <c r="A681" s="2889" t="str">
        <f aca="false">'Ввод данных'!A970</f>
        <v>Нет техники</v>
      </c>
      <c r="B681" s="2889" t="str">
        <f aca="false">'Ввод данных'!B970</f>
        <v>ед.</v>
      </c>
      <c r="C681" s="2889" t="n">
        <f aca="false">'Ввод данных'!C970*F514</f>
        <v>0</v>
      </c>
      <c r="D681" s="2889" t="n">
        <f aca="false">VLOOKUP(A681,'Прайс лист'!B192:G206,6,0)</f>
        <v>0</v>
      </c>
      <c r="E681" s="2889" t="n">
        <f aca="false">C681*D681</f>
        <v>0</v>
      </c>
      <c r="F681" s="2759"/>
      <c r="G681" s="2759"/>
      <c r="H681" s="2759"/>
      <c r="I681" s="2759"/>
      <c r="J681" s="2759"/>
      <c r="K681" s="2759"/>
      <c r="L681" s="2759"/>
      <c r="M681" s="2759"/>
    </row>
    <row r="682" customFormat="false" ht="15" hidden="false" customHeight="false" outlineLevel="0" collapsed="false">
      <c r="A682" s="2889" t="str">
        <f aca="false">'Ввод данных'!A972</f>
        <v>расходные материалы цокольный этаж</v>
      </c>
      <c r="B682" s="2889" t="str">
        <f aca="false">'Ввод данных'!B972</f>
        <v>рублей</v>
      </c>
      <c r="C682" s="2889" t="n">
        <f aca="false">1*F514</f>
        <v>0</v>
      </c>
      <c r="D682" s="2889" t="n">
        <f aca="false">'Ввод данных'!C972</f>
        <v>5000</v>
      </c>
      <c r="E682" s="2889" t="n">
        <f aca="false">C682*D682</f>
        <v>0</v>
      </c>
      <c r="F682" s="2759"/>
      <c r="G682" s="2759"/>
      <c r="H682" s="2759"/>
      <c r="I682" s="2759"/>
      <c r="J682" s="2759"/>
      <c r="K682" s="2759"/>
      <c r="L682" s="2759"/>
      <c r="M682" s="2759"/>
    </row>
    <row r="683" customFormat="false" ht="15" hidden="false" customHeight="false" outlineLevel="0" collapsed="false">
      <c r="A683" s="2759"/>
      <c r="B683" s="2759"/>
      <c r="C683" s="2759"/>
      <c r="D683" s="2759"/>
      <c r="E683" s="2759"/>
      <c r="F683" s="2759"/>
      <c r="G683" s="2759"/>
      <c r="H683" s="2759"/>
      <c r="I683" s="2759"/>
      <c r="J683" s="2759"/>
      <c r="K683" s="2759"/>
      <c r="L683" s="2759"/>
      <c r="M683" s="2759"/>
    </row>
    <row r="684" customFormat="false" ht="15" hidden="false" customHeight="false" outlineLevel="0" collapsed="false">
      <c r="A684" s="2759"/>
      <c r="B684" s="2759"/>
      <c r="C684" s="2759"/>
      <c r="D684" s="2759"/>
      <c r="E684" s="2759"/>
      <c r="F684" s="2759"/>
      <c r="G684" s="2759"/>
      <c r="H684" s="2759"/>
      <c r="I684" s="2759"/>
      <c r="J684" s="2759"/>
      <c r="K684" s="2759"/>
      <c r="L684" s="2759"/>
      <c r="M684" s="2759"/>
    </row>
    <row r="685" customFormat="false" ht="15" hidden="false" customHeight="false" outlineLevel="0" collapsed="false">
      <c r="A685" s="2759"/>
      <c r="B685" s="2759"/>
      <c r="C685" s="2759"/>
      <c r="D685" s="2759"/>
      <c r="E685" s="2759"/>
      <c r="F685" s="2759"/>
      <c r="G685" s="2759"/>
      <c r="H685" s="2759"/>
      <c r="I685" s="2759"/>
      <c r="J685" s="2759"/>
      <c r="K685" s="2759"/>
      <c r="L685" s="2759"/>
      <c r="M685" s="2759"/>
    </row>
  </sheetData>
  <mergeCells count="250">
    <mergeCell ref="A2:C2"/>
    <mergeCell ref="A3:C3"/>
    <mergeCell ref="A4:C4"/>
    <mergeCell ref="A5:C5"/>
    <mergeCell ref="A6:C6"/>
    <mergeCell ref="A7:C7"/>
    <mergeCell ref="A8:C8"/>
    <mergeCell ref="A9:C9"/>
    <mergeCell ref="A10:C10"/>
    <mergeCell ref="A11:C11"/>
    <mergeCell ref="A12:C12"/>
    <mergeCell ref="A13:C13"/>
    <mergeCell ref="A14:C14"/>
    <mergeCell ref="A15:C15"/>
    <mergeCell ref="A16:C16"/>
    <mergeCell ref="A17:C17"/>
    <mergeCell ref="A18:C18"/>
    <mergeCell ref="A19:F19"/>
    <mergeCell ref="A20:C20"/>
    <mergeCell ref="A21:C21"/>
    <mergeCell ref="A22:C22"/>
    <mergeCell ref="A23:C23"/>
    <mergeCell ref="A24:C24"/>
    <mergeCell ref="A25:F25"/>
    <mergeCell ref="A26:C26"/>
    <mergeCell ref="A27:C27"/>
    <mergeCell ref="A28:C28"/>
    <mergeCell ref="A29:C29"/>
    <mergeCell ref="A30:F30"/>
    <mergeCell ref="A32:B32"/>
    <mergeCell ref="A33:B36"/>
    <mergeCell ref="A37:B40"/>
    <mergeCell ref="A41:B44"/>
    <mergeCell ref="A45:B48"/>
    <mergeCell ref="A49:B52"/>
    <mergeCell ref="A53:B56"/>
    <mergeCell ref="I53:I60"/>
    <mergeCell ref="A57:B60"/>
    <mergeCell ref="A61:B64"/>
    <mergeCell ref="A65:B65"/>
    <mergeCell ref="A66:B66"/>
    <mergeCell ref="A67:B67"/>
    <mergeCell ref="A68:B68"/>
    <mergeCell ref="A69:B69"/>
    <mergeCell ref="A70:B70"/>
    <mergeCell ref="A71:E71"/>
    <mergeCell ref="A72:B72"/>
    <mergeCell ref="A73:B73"/>
    <mergeCell ref="A75:F75"/>
    <mergeCell ref="A76:C76"/>
    <mergeCell ref="A77:D77"/>
    <mergeCell ref="A78:C78"/>
    <mergeCell ref="A79:C79"/>
    <mergeCell ref="A80:C80"/>
    <mergeCell ref="A81:C81"/>
    <mergeCell ref="A82:C82"/>
    <mergeCell ref="A83:C83"/>
    <mergeCell ref="A84:C84"/>
    <mergeCell ref="A85:C85"/>
    <mergeCell ref="A86:C86"/>
    <mergeCell ref="A87:C87"/>
    <mergeCell ref="A88:C89"/>
    <mergeCell ref="A90:C91"/>
    <mergeCell ref="A93:F93"/>
    <mergeCell ref="A94:C94"/>
    <mergeCell ref="A95:C95"/>
    <mergeCell ref="A96:C96"/>
    <mergeCell ref="A97:D97"/>
    <mergeCell ref="A98:C98"/>
    <mergeCell ref="A99:C99"/>
    <mergeCell ref="A100:C100"/>
    <mergeCell ref="A101:C101"/>
    <mergeCell ref="A102:C102"/>
    <mergeCell ref="A103:C103"/>
    <mergeCell ref="A104:C104"/>
    <mergeCell ref="A105:C105"/>
    <mergeCell ref="A106:C106"/>
    <mergeCell ref="A107:C107"/>
    <mergeCell ref="A108:C109"/>
    <mergeCell ref="A110:C111"/>
    <mergeCell ref="A113:F113"/>
    <mergeCell ref="A114:C114"/>
    <mergeCell ref="A115:C115"/>
    <mergeCell ref="A116:C116"/>
    <mergeCell ref="A117:C117"/>
    <mergeCell ref="A118:C118"/>
    <mergeCell ref="A119:C119"/>
    <mergeCell ref="A120:C120"/>
    <mergeCell ref="A121:C121"/>
    <mergeCell ref="A124:C124"/>
    <mergeCell ref="A125:C125"/>
    <mergeCell ref="A126:C127"/>
    <mergeCell ref="A128:C129"/>
    <mergeCell ref="A130:C130"/>
    <mergeCell ref="A133:B133"/>
    <mergeCell ref="A134:B134"/>
    <mergeCell ref="A135:B135"/>
    <mergeCell ref="A136:B136"/>
    <mergeCell ref="A137:B137"/>
    <mergeCell ref="A138:B138"/>
    <mergeCell ref="A139:B139"/>
    <mergeCell ref="A140:B140"/>
    <mergeCell ref="A141:B141"/>
    <mergeCell ref="A142:B142"/>
    <mergeCell ref="A143:B143"/>
    <mergeCell ref="A144:B144"/>
    <mergeCell ref="A145:B145"/>
    <mergeCell ref="A146:B146"/>
    <mergeCell ref="A147:B149"/>
    <mergeCell ref="A150:B152"/>
    <mergeCell ref="A153:E153"/>
    <mergeCell ref="A155:B157"/>
    <mergeCell ref="A158:B159"/>
    <mergeCell ref="A160:B160"/>
    <mergeCell ref="A161:F161"/>
    <mergeCell ref="A163:B163"/>
    <mergeCell ref="A164:B164"/>
    <mergeCell ref="A165:B165"/>
    <mergeCell ref="A166:B166"/>
    <mergeCell ref="A167:B167"/>
    <mergeCell ref="A191:A193"/>
    <mergeCell ref="A194:A195"/>
    <mergeCell ref="A200:B200"/>
    <mergeCell ref="A201:B201"/>
    <mergeCell ref="A202:B202"/>
    <mergeCell ref="A203:B203"/>
    <mergeCell ref="A204:B204"/>
    <mergeCell ref="A205:B205"/>
    <mergeCell ref="A206:B206"/>
    <mergeCell ref="A207:B207"/>
    <mergeCell ref="A208:B208"/>
    <mergeCell ref="A209:D209"/>
    <mergeCell ref="A234:D234"/>
    <mergeCell ref="A238:K239"/>
    <mergeCell ref="L238:L239"/>
    <mergeCell ref="A240:F240"/>
    <mergeCell ref="G240:L240"/>
    <mergeCell ref="A246:E246"/>
    <mergeCell ref="G246:K246"/>
    <mergeCell ref="A250:E250"/>
    <mergeCell ref="G250:K250"/>
    <mergeCell ref="A252:A254"/>
    <mergeCell ref="B252:C252"/>
    <mergeCell ref="D252:E252"/>
    <mergeCell ref="B253:C253"/>
    <mergeCell ref="D253:E253"/>
    <mergeCell ref="C254:D254"/>
    <mergeCell ref="H254:I254"/>
    <mergeCell ref="A258:K259"/>
    <mergeCell ref="A260:F261"/>
    <mergeCell ref="G262:M262"/>
    <mergeCell ref="A269:E269"/>
    <mergeCell ref="G269:L269"/>
    <mergeCell ref="G270:H270"/>
    <mergeCell ref="G271:H271"/>
    <mergeCell ref="G272:H272"/>
    <mergeCell ref="G273:H273"/>
    <mergeCell ref="G274:H274"/>
    <mergeCell ref="G275:H275"/>
    <mergeCell ref="G279:H279"/>
    <mergeCell ref="A289:E289"/>
    <mergeCell ref="A304:E304"/>
    <mergeCell ref="C315:F315"/>
    <mergeCell ref="A317:I318"/>
    <mergeCell ref="A319:F320"/>
    <mergeCell ref="G319:G320"/>
    <mergeCell ref="C321:E321"/>
    <mergeCell ref="A335:C335"/>
    <mergeCell ref="A343:E343"/>
    <mergeCell ref="G343:L343"/>
    <mergeCell ref="G344:H344"/>
    <mergeCell ref="G345:H345"/>
    <mergeCell ref="G346:H346"/>
    <mergeCell ref="G347:H347"/>
    <mergeCell ref="G348:H348"/>
    <mergeCell ref="G349:H349"/>
    <mergeCell ref="G350:H350"/>
    <mergeCell ref="G351:H351"/>
    <mergeCell ref="G354:H354"/>
    <mergeCell ref="G355:H355"/>
    <mergeCell ref="C371:F371"/>
    <mergeCell ref="A373:I374"/>
    <mergeCell ref="A375:F376"/>
    <mergeCell ref="C377:E377"/>
    <mergeCell ref="A392:C392"/>
    <mergeCell ref="A399:C399"/>
    <mergeCell ref="A407:E407"/>
    <mergeCell ref="G407:L407"/>
    <mergeCell ref="G408:H408"/>
    <mergeCell ref="C438:F438"/>
    <mergeCell ref="A440:I441"/>
    <mergeCell ref="A442:F443"/>
    <mergeCell ref="A469:C469"/>
    <mergeCell ref="A476:E476"/>
    <mergeCell ref="G476:L476"/>
    <mergeCell ref="C511:F511"/>
    <mergeCell ref="A514:E514"/>
    <mergeCell ref="A516:B516"/>
    <mergeCell ref="A517:B517"/>
    <mergeCell ref="A518:B518"/>
    <mergeCell ref="A522:B522"/>
    <mergeCell ref="A532:B532"/>
    <mergeCell ref="A534:B534"/>
    <mergeCell ref="A535:B535"/>
    <mergeCell ref="A536:B536"/>
    <mergeCell ref="A540:B540"/>
    <mergeCell ref="A542:B542"/>
    <mergeCell ref="A548:B548"/>
    <mergeCell ref="A549:B550"/>
    <mergeCell ref="A551:B552"/>
    <mergeCell ref="A553:E553"/>
    <mergeCell ref="A554:B554"/>
    <mergeCell ref="A555:B557"/>
    <mergeCell ref="A558:B559"/>
    <mergeCell ref="A560:B560"/>
    <mergeCell ref="A561:E561"/>
    <mergeCell ref="A562:C562"/>
    <mergeCell ref="A578:C578"/>
    <mergeCell ref="A592:L593"/>
    <mergeCell ref="A594:E594"/>
    <mergeCell ref="G594:L594"/>
    <mergeCell ref="A595:L595"/>
    <mergeCell ref="G597:H597"/>
    <mergeCell ref="G598:H598"/>
    <mergeCell ref="G600:H600"/>
    <mergeCell ref="G601:H601"/>
    <mergeCell ref="G602:H602"/>
    <mergeCell ref="G604:H604"/>
    <mergeCell ref="G605:H605"/>
    <mergeCell ref="A610:L610"/>
    <mergeCell ref="A611:L611"/>
    <mergeCell ref="G613:H613"/>
    <mergeCell ref="G614:H614"/>
    <mergeCell ref="G615:H615"/>
    <mergeCell ref="G616:H616"/>
    <mergeCell ref="G617:H617"/>
    <mergeCell ref="G618:H618"/>
    <mergeCell ref="G619:H619"/>
    <mergeCell ref="G620:H620"/>
    <mergeCell ref="G621:H621"/>
    <mergeCell ref="G622:H622"/>
    <mergeCell ref="G623:H623"/>
    <mergeCell ref="G625:H625"/>
    <mergeCell ref="A635:L635"/>
    <mergeCell ref="A636:L636"/>
    <mergeCell ref="G641:H641"/>
    <mergeCell ref="G643:H643"/>
    <mergeCell ref="A656:L656"/>
    <mergeCell ref="A657:L657"/>
    <mergeCell ref="A674:L674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T10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5" activeCellId="0" sqref="A5"/>
    </sheetView>
  </sheetViews>
  <sheetFormatPr defaultColWidth="8.6875" defaultRowHeight="15" zeroHeight="false" outlineLevelRow="0" outlineLevelCol="0"/>
  <cols>
    <col collapsed="false" customWidth="true" hidden="false" outlineLevel="0" max="1" min="1" style="0" width="21.86"/>
    <col collapsed="false" customWidth="true" hidden="false" outlineLevel="0" max="2" min="2" style="0" width="12.86"/>
  </cols>
  <sheetData>
    <row r="1" customFormat="false" ht="45" hidden="false" customHeight="false" outlineLevel="0" collapsed="false">
      <c r="A1" s="1424" t="s">
        <v>4210</v>
      </c>
      <c r="B1" s="1424"/>
      <c r="N1" s="2902" t="s">
        <v>4211</v>
      </c>
      <c r="O1" s="2903"/>
      <c r="P1" s="2903"/>
      <c r="Q1" s="2904"/>
      <c r="R1" s="2905" t="s">
        <v>2747</v>
      </c>
      <c r="S1" s="2905" t="s">
        <v>2744</v>
      </c>
    </row>
    <row r="2" customFormat="false" ht="15" hidden="false" customHeight="false" outlineLevel="0" collapsed="false">
      <c r="A2" s="2906" t="s">
        <v>4212</v>
      </c>
      <c r="B2" s="1424" t="n">
        <v>1</v>
      </c>
      <c r="N2" s="2907"/>
      <c r="O2" s="2908"/>
      <c r="P2" s="2908"/>
      <c r="Q2" s="2909"/>
      <c r="R2" s="2910"/>
      <c r="S2" s="2910"/>
    </row>
    <row r="3" customFormat="false" ht="15.75" hidden="false" customHeight="false" outlineLevel="0" collapsed="false">
      <c r="A3" s="2906" t="s">
        <v>4213</v>
      </c>
      <c r="B3" s="1424" t="n">
        <v>0</v>
      </c>
      <c r="N3" s="2847" t="s">
        <v>3585</v>
      </c>
      <c r="O3" s="2911"/>
      <c r="P3" s="2912"/>
      <c r="Q3" s="862" t="s">
        <v>15</v>
      </c>
      <c r="R3" s="2913" t="n">
        <f aca="false">дома!C1132</f>
        <v>8</v>
      </c>
      <c r="S3" s="2914" t="n">
        <f aca="false">R3</f>
        <v>8</v>
      </c>
    </row>
    <row r="4" customFormat="false" ht="15.75" hidden="false" customHeight="false" outlineLevel="0" collapsed="false">
      <c r="N4" s="1313" t="s">
        <v>2948</v>
      </c>
      <c r="O4" s="1313"/>
      <c r="P4" s="1313"/>
      <c r="Q4" s="1338" t="s">
        <v>15</v>
      </c>
      <c r="R4" s="2915" t="n">
        <f aca="false">'Ввод данных'!C9</f>
        <v>8</v>
      </c>
      <c r="S4" s="49" t="n">
        <f aca="false">R4</f>
        <v>8</v>
      </c>
    </row>
    <row r="5" customFormat="false" ht="15.75" hidden="false" customHeight="false" outlineLevel="0" collapsed="false">
      <c r="A5" s="0" t="s">
        <v>2324</v>
      </c>
      <c r="N5" s="2916" t="s">
        <v>2902</v>
      </c>
      <c r="O5" s="2917"/>
      <c r="P5" s="2918"/>
      <c r="Q5" s="2509" t="s">
        <v>15</v>
      </c>
      <c r="R5" s="2913" t="n">
        <f aca="false">дома!C1130</f>
        <v>36.9990475974507</v>
      </c>
      <c r="S5" s="49"/>
    </row>
    <row r="6" customFormat="false" ht="15.75" hidden="false" customHeight="false" outlineLevel="0" collapsed="false">
      <c r="A6" s="0" t="s">
        <v>1704</v>
      </c>
      <c r="B6" s="0" t="n">
        <v>1</v>
      </c>
      <c r="N6" s="2529" t="s">
        <v>3735</v>
      </c>
      <c r="O6" s="2530"/>
      <c r="P6" s="2531"/>
      <c r="Q6" s="2514" t="s">
        <v>15</v>
      </c>
      <c r="R6" s="49" t="n">
        <f aca="false">'Ввод данных'!C12</f>
        <v>2.6</v>
      </c>
      <c r="S6" s="49" t="e">
        <f aca="false">дома!D21</f>
        <v>#VALUE!</v>
      </c>
    </row>
    <row r="7" customFormat="false" ht="15.75" hidden="false" customHeight="false" outlineLevel="0" collapsed="false">
      <c r="A7" s="0" t="s">
        <v>1712</v>
      </c>
      <c r="B7" s="0" t="n">
        <v>1</v>
      </c>
      <c r="N7" s="2529" t="s">
        <v>4214</v>
      </c>
      <c r="O7" s="2530"/>
      <c r="P7" s="2531"/>
      <c r="Q7" s="2514" t="s">
        <v>15</v>
      </c>
      <c r="R7" s="49" t="n">
        <f aca="false">дома!C24</f>
        <v>1</v>
      </c>
      <c r="S7" s="49" t="e">
        <f aca="false">дома!D24</f>
        <v>#VALUE!</v>
      </c>
    </row>
    <row r="8" customFormat="false" ht="15.75" hidden="false" customHeight="false" outlineLevel="0" collapsed="false">
      <c r="A8" s="0" t="s">
        <v>1714</v>
      </c>
      <c r="B8" s="0" t="n">
        <v>1</v>
      </c>
      <c r="N8" s="1184" t="s">
        <v>4215</v>
      </c>
      <c r="O8" s="2502"/>
      <c r="P8" s="2503"/>
      <c r="Q8" s="1304" t="s">
        <v>15</v>
      </c>
      <c r="R8" s="2913" t="n">
        <f aca="false">дома!C1135</f>
        <v>3.4</v>
      </c>
      <c r="S8" s="49" t="n">
        <f aca="false">дома!D22</f>
        <v>2.5</v>
      </c>
    </row>
    <row r="9" customFormat="false" ht="15.75" hidden="false" customHeight="false" outlineLevel="0" collapsed="false">
      <c r="A9" s="0" t="s">
        <v>4216</v>
      </c>
      <c r="B9" s="0" t="n">
        <v>1</v>
      </c>
      <c r="N9" s="2529" t="s">
        <v>235</v>
      </c>
      <c r="O9" s="2530"/>
      <c r="P9" s="2531"/>
      <c r="Q9" s="2514" t="s">
        <v>15</v>
      </c>
      <c r="R9" s="49" t="n">
        <f aca="false">дома!C23</f>
        <v>1.6</v>
      </c>
      <c r="S9" s="49" t="n">
        <f aca="false">дома!D23</f>
        <v>2.1</v>
      </c>
    </row>
    <row r="10" customFormat="false" ht="15.75" hidden="false" customHeight="false" outlineLevel="0" collapsed="false">
      <c r="N10" s="2847" t="s">
        <v>2798</v>
      </c>
      <c r="O10" s="2911"/>
      <c r="P10" s="2912"/>
      <c r="Q10" s="862" t="s">
        <v>15</v>
      </c>
      <c r="R10" s="2913" t="n">
        <f aca="false">дома!C1140</f>
        <v>5.24976189936267</v>
      </c>
      <c r="S10" s="49" t="n">
        <f aca="false">дома!D1167-дома!D1125</f>
        <v>2.88763683178689</v>
      </c>
    </row>
    <row r="11" customFormat="false" ht="15.75" hidden="false" customHeight="false" outlineLevel="0" collapsed="false">
      <c r="A11" s="0" t="s">
        <v>486</v>
      </c>
      <c r="N11" s="1184" t="s">
        <v>3933</v>
      </c>
      <c r="O11" s="2502"/>
      <c r="P11" s="2503"/>
      <c r="Q11" s="1304" t="s">
        <v>15</v>
      </c>
      <c r="R11" s="2913" t="n">
        <f aca="false">дома!C1167</f>
        <v>5.87671742043077</v>
      </c>
      <c r="S11" s="49" t="n">
        <f aca="false">дома!D1167</f>
        <v>3.58066967141574</v>
      </c>
    </row>
    <row r="12" customFormat="false" ht="15.75" hidden="false" customHeight="false" outlineLevel="0" collapsed="false">
      <c r="A12" s="0" t="s">
        <v>44</v>
      </c>
      <c r="B12" s="0" t="n">
        <v>1</v>
      </c>
      <c r="N12" s="1184" t="s">
        <v>3934</v>
      </c>
      <c r="O12" s="2502"/>
      <c r="P12" s="2503"/>
      <c r="Q12" s="1304" t="s">
        <v>15</v>
      </c>
      <c r="R12" s="2913" t="n">
        <f aca="false">дома!C1164</f>
        <v>9</v>
      </c>
      <c r="S12" s="49" t="n">
        <f aca="false">дома!D1164</f>
        <v>9</v>
      </c>
    </row>
    <row r="13" customFormat="false" ht="15.75" hidden="false" customHeight="false" outlineLevel="0" collapsed="false">
      <c r="A13" s="0" t="s">
        <v>56</v>
      </c>
      <c r="B13" s="0" t="n">
        <v>0</v>
      </c>
      <c r="N13" s="2847" t="s">
        <v>3935</v>
      </c>
      <c r="O13" s="2911"/>
      <c r="P13" s="2912"/>
      <c r="Q13" s="862" t="s">
        <v>820</v>
      </c>
      <c r="R13" s="2913" t="n">
        <f aca="false">дома!C1177</f>
        <v>83.9961903898028</v>
      </c>
      <c r="S13" s="2914" t="n">
        <f aca="false">дома!D1177</f>
        <v>46.2021893085902</v>
      </c>
    </row>
    <row r="14" customFormat="false" ht="15.75" hidden="false" customHeight="false" outlineLevel="0" collapsed="false">
      <c r="N14" s="2847" t="s">
        <v>3662</v>
      </c>
      <c r="O14" s="2911"/>
      <c r="P14" s="2912"/>
      <c r="Q14" s="862" t="s">
        <v>820</v>
      </c>
      <c r="R14" s="2913" t="n">
        <f aca="false">дома!C1179</f>
        <v>21.7847231779511</v>
      </c>
      <c r="S14" s="2914" t="n">
        <f aca="false">дома!D1179</f>
        <v>18.2498647768931</v>
      </c>
    </row>
    <row r="15" customFormat="false" ht="15.75" hidden="false" customHeight="false" outlineLevel="0" collapsed="false">
      <c r="N15" s="2847" t="s">
        <v>3936</v>
      </c>
      <c r="O15" s="2911"/>
      <c r="P15" s="2912"/>
      <c r="Q15" s="862" t="s">
        <v>820</v>
      </c>
      <c r="R15" s="2913" t="n">
        <f aca="false">дома!C1181</f>
        <v>105.780913567754</v>
      </c>
      <c r="S15" s="2914" t="n">
        <f aca="false">дома!D1181</f>
        <v>64.4520540854834</v>
      </c>
    </row>
    <row r="16" customFormat="false" ht="15.75" hidden="false" customHeight="false" outlineLevel="0" collapsed="false">
      <c r="N16" s="1184" t="s">
        <v>3937</v>
      </c>
      <c r="O16" s="2502"/>
      <c r="P16" s="2503"/>
      <c r="Q16" s="1304" t="s">
        <v>820</v>
      </c>
      <c r="R16" s="2913" t="n">
        <f aca="false">дома!C1183</f>
        <v>121.648050602917</v>
      </c>
      <c r="S16" s="2914" t="n">
        <f aca="false">дома!D1183</f>
        <v>80.5650676068542</v>
      </c>
    </row>
    <row r="17" customFormat="false" ht="15.75" hidden="false" customHeight="false" outlineLevel="0" collapsed="false">
      <c r="N17" s="2529" t="s">
        <v>2859</v>
      </c>
      <c r="O17" s="2530"/>
      <c r="P17" s="2531"/>
      <c r="Q17" s="2514" t="s">
        <v>820</v>
      </c>
      <c r="R17" s="49" t="n">
        <f aca="false">дома!C1189</f>
        <v>50.7600504158611</v>
      </c>
      <c r="S17" s="2914" t="n">
        <f aca="false">дома!D1189</f>
        <v>0</v>
      </c>
    </row>
    <row r="19" customFormat="false" ht="45" hidden="false" customHeight="false" outlineLevel="0" collapsed="false">
      <c r="N19" s="2902" t="s">
        <v>4211</v>
      </c>
      <c r="O19" s="2903"/>
      <c r="P19" s="2903"/>
      <c r="Q19" s="2904"/>
      <c r="R19" s="2905" t="s">
        <v>2747</v>
      </c>
      <c r="S19" s="2905" t="s">
        <v>2744</v>
      </c>
    </row>
    <row r="20" customFormat="false" ht="15" hidden="false" customHeight="false" outlineLevel="0" collapsed="false">
      <c r="N20" s="2907"/>
      <c r="O20" s="2908"/>
      <c r="P20" s="2908"/>
      <c r="Q20" s="2909"/>
      <c r="R20" s="2910"/>
      <c r="S20" s="2910"/>
    </row>
    <row r="21" customFormat="false" ht="15.75" hidden="false" customHeight="false" outlineLevel="0" collapsed="false">
      <c r="N21" s="2529" t="s">
        <v>3991</v>
      </c>
      <c r="O21" s="2530"/>
      <c r="P21" s="2531"/>
      <c r="Q21" s="2514" t="s">
        <v>15</v>
      </c>
      <c r="R21" s="2913" t="n">
        <f aca="false">дома!F1132</f>
        <v>8</v>
      </c>
      <c r="S21" s="2914" t="n">
        <f aca="false">R21</f>
        <v>8</v>
      </c>
    </row>
    <row r="22" customFormat="false" ht="15.75" hidden="false" customHeight="false" outlineLevel="0" collapsed="false">
      <c r="N22" s="2529" t="s">
        <v>3992</v>
      </c>
      <c r="O22" s="2530"/>
      <c r="P22" s="2531"/>
      <c r="Q22" s="2514" t="s">
        <v>15</v>
      </c>
      <c r="R22" s="2913" t="n">
        <f aca="false">дома!F1133</f>
        <v>8</v>
      </c>
      <c r="S22" s="2914" t="n">
        <f aca="false">R22</f>
        <v>8</v>
      </c>
    </row>
    <row r="23" customFormat="false" ht="15.75" hidden="false" customHeight="false" outlineLevel="0" collapsed="false">
      <c r="N23" s="1184" t="s">
        <v>4217</v>
      </c>
      <c r="O23" s="2502"/>
      <c r="P23" s="2503"/>
      <c r="Q23" s="1304" t="s">
        <v>15</v>
      </c>
      <c r="R23" s="2913" t="n">
        <f aca="false">дома!F1135</f>
        <v>3.4</v>
      </c>
      <c r="S23" s="2914" t="n">
        <f aca="false">дома!G1135</f>
        <v>3.8</v>
      </c>
    </row>
    <row r="24" customFormat="false" ht="15.75" hidden="false" customHeight="false" outlineLevel="0" collapsed="false">
      <c r="N24" s="2916" t="s">
        <v>2902</v>
      </c>
      <c r="O24" s="2917"/>
      <c r="P24" s="2918"/>
      <c r="Q24" s="2509" t="s">
        <v>15</v>
      </c>
      <c r="R24" s="2913" t="n">
        <f aca="false">дома!F1130</f>
        <v>32</v>
      </c>
      <c r="S24" s="2914" t="n">
        <f aca="false">дома!G1197</f>
        <v>68</v>
      </c>
    </row>
    <row r="25" customFormat="false" ht="15.75" hidden="false" customHeight="false" outlineLevel="0" collapsed="false">
      <c r="N25" s="2847" t="s">
        <v>3993</v>
      </c>
      <c r="O25" s="2911"/>
      <c r="P25" s="2912"/>
      <c r="Q25" s="862" t="s">
        <v>15</v>
      </c>
      <c r="R25" s="2913" t="n">
        <f aca="false">дома!F1167</f>
        <v>5.1</v>
      </c>
      <c r="S25" s="2914" t="n">
        <f aca="false">дома!G1167</f>
        <v>5.337113440966</v>
      </c>
    </row>
    <row r="26" customFormat="false" ht="15.75" hidden="false" customHeight="false" outlineLevel="0" collapsed="false">
      <c r="N26" s="2847" t="s">
        <v>3994</v>
      </c>
      <c r="O26" s="2911"/>
      <c r="P26" s="2912"/>
      <c r="Q26" s="862" t="s">
        <v>15</v>
      </c>
      <c r="R26" s="2913" t="n">
        <f aca="false">дома!F1159</f>
        <v>3.12409987036266</v>
      </c>
      <c r="S26" s="2914" t="n">
        <f aca="false">дома!G1159</f>
        <v>4.71151670234873</v>
      </c>
    </row>
    <row r="27" customFormat="false" ht="15.75" hidden="false" customHeight="false" outlineLevel="0" collapsed="false">
      <c r="N27" s="2529" t="s">
        <v>3995</v>
      </c>
      <c r="O27" s="2530"/>
      <c r="P27" s="2531"/>
      <c r="Q27" s="2514" t="s">
        <v>15</v>
      </c>
      <c r="R27" s="2913" t="n">
        <f aca="false">дома!F1170</f>
        <v>5.90233567268992</v>
      </c>
      <c r="S27" s="2914" t="n">
        <f aca="false">дома!G1170</f>
        <v>5.12129185314407</v>
      </c>
    </row>
    <row r="28" customFormat="false" ht="15.75" hidden="false" customHeight="false" outlineLevel="0" collapsed="false">
      <c r="N28" s="1184" t="s">
        <v>4218</v>
      </c>
      <c r="O28" s="2502"/>
      <c r="P28" s="2503"/>
      <c r="Q28" s="1304" t="s">
        <v>15</v>
      </c>
      <c r="R28" s="2914" t="n">
        <f aca="false">'Ввод данных'!C338</f>
        <v>5</v>
      </c>
      <c r="S28" s="2914" t="n">
        <f aca="false">дома!G1164</f>
        <v>2.69178642196983</v>
      </c>
    </row>
    <row r="29" customFormat="false" ht="15.75" hidden="false" customHeight="false" outlineLevel="0" collapsed="false">
      <c r="N29" s="2847" t="s">
        <v>3662</v>
      </c>
      <c r="O29" s="2911"/>
      <c r="P29" s="2912"/>
      <c r="Q29" s="862" t="s">
        <v>820</v>
      </c>
      <c r="R29" s="2913" t="n">
        <f aca="false">дома!F1179</f>
        <v>17</v>
      </c>
      <c r="S29" s="2914" t="n">
        <f aca="false">R29</f>
        <v>17</v>
      </c>
    </row>
    <row r="30" customFormat="false" ht="15.75" hidden="false" customHeight="false" outlineLevel="0" collapsed="false">
      <c r="N30" s="2847" t="s">
        <v>3996</v>
      </c>
      <c r="O30" s="2911"/>
      <c r="P30" s="2912"/>
      <c r="Q30" s="2514" t="s">
        <v>820</v>
      </c>
      <c r="R30" s="2913" t="n">
        <f aca="false">дома!F1181</f>
        <v>105.774305488864</v>
      </c>
      <c r="S30" s="2914" t="e">
        <f aca="false">дома!#REF!</f>
        <v>#VALUE!</v>
      </c>
    </row>
    <row r="31" customFormat="false" ht="15.75" hidden="false" customHeight="false" outlineLevel="0" collapsed="false">
      <c r="N31" s="2847" t="s">
        <v>3937</v>
      </c>
      <c r="O31" s="2911"/>
      <c r="P31" s="2912"/>
      <c r="Q31" s="862" t="s">
        <v>820</v>
      </c>
      <c r="R31" s="2913" t="n">
        <f aca="false">дома!F1183</f>
        <v>158.661458233296</v>
      </c>
      <c r="S31" s="2914" t="n">
        <f aca="false">дома!G1183</f>
        <v>140.515283036389</v>
      </c>
    </row>
    <row r="33" customFormat="false" ht="15" hidden="false" customHeight="true" outlineLevel="0" collapsed="false">
      <c r="N33" s="2495" t="s">
        <v>4211</v>
      </c>
      <c r="O33" s="2495"/>
      <c r="P33" s="2495"/>
      <c r="Q33" s="2495"/>
      <c r="R33" s="2919" t="s">
        <v>2747</v>
      </c>
      <c r="S33" s="2919" t="s">
        <v>2744</v>
      </c>
    </row>
    <row r="34" customFormat="false" ht="15" hidden="false" customHeight="false" outlineLevel="0" collapsed="false">
      <c r="N34" s="2495"/>
      <c r="O34" s="2495"/>
      <c r="P34" s="2495"/>
      <c r="Q34" s="2495"/>
      <c r="R34" s="2919"/>
      <c r="S34" s="2919"/>
    </row>
    <row r="35" customFormat="false" ht="15.75" hidden="false" customHeight="false" outlineLevel="0" collapsed="false">
      <c r="N35" s="2920" t="s">
        <v>3991</v>
      </c>
      <c r="O35" s="2920"/>
      <c r="P35" s="2920"/>
      <c r="Q35" s="1786" t="s">
        <v>15</v>
      </c>
      <c r="R35" s="2913" t="n">
        <f aca="false">'Ввод данных'!C10</f>
        <v>8</v>
      </c>
      <c r="S35" s="2914" t="n">
        <f aca="false">R35</f>
        <v>8</v>
      </c>
    </row>
    <row r="36" customFormat="false" ht="15.75" hidden="false" customHeight="false" outlineLevel="0" collapsed="false">
      <c r="N36" s="2920" t="s">
        <v>3992</v>
      </c>
      <c r="O36" s="2920"/>
      <c r="P36" s="2920"/>
      <c r="Q36" s="1786" t="s">
        <v>15</v>
      </c>
      <c r="R36" s="2913" t="n">
        <f aca="false">'Ввод данных'!C9</f>
        <v>8</v>
      </c>
      <c r="S36" s="2914" t="n">
        <f aca="false">R36</f>
        <v>8</v>
      </c>
    </row>
    <row r="37" customFormat="false" ht="15.75" hidden="false" customHeight="false" outlineLevel="0" collapsed="false">
      <c r="N37" s="2496" t="s">
        <v>2902</v>
      </c>
      <c r="O37" s="2496"/>
      <c r="P37" s="2496"/>
      <c r="Q37" s="2509" t="s">
        <v>15</v>
      </c>
      <c r="R37" s="2913" t="n">
        <f aca="false">дома!J1130</f>
        <v>30</v>
      </c>
      <c r="S37" s="2914" t="n">
        <f aca="false">дома!K1130</f>
        <v>41.7133021963444</v>
      </c>
    </row>
    <row r="38" customFormat="false" ht="15.75" hidden="false" customHeight="false" outlineLevel="0" collapsed="false">
      <c r="N38" s="2002" t="s">
        <v>277</v>
      </c>
      <c r="O38" s="2002"/>
      <c r="P38" s="2002"/>
      <c r="Q38" s="1603" t="s">
        <v>15</v>
      </c>
      <c r="R38" s="2913" t="n">
        <v>1</v>
      </c>
      <c r="S38" s="2914" t="n">
        <f aca="false">дома!K1122-дома!K1119</f>
        <v>1.08</v>
      </c>
    </row>
    <row r="39" customFormat="false" ht="15.75" hidden="false" customHeight="false" outlineLevel="0" collapsed="false">
      <c r="N39" s="861" t="s">
        <v>3993</v>
      </c>
      <c r="O39" s="861"/>
      <c r="P39" s="861"/>
      <c r="Q39" s="862" t="s">
        <v>15</v>
      </c>
      <c r="R39" s="2913" t="n">
        <f aca="false">дома!J1167</f>
        <v>3.43656805548792</v>
      </c>
      <c r="S39" s="2914" t="e">
        <f aca="false">дома!#REF!</f>
        <v>#VALUE!</v>
      </c>
    </row>
    <row r="40" customFormat="false" ht="15.75" hidden="false" customHeight="false" outlineLevel="0" collapsed="false">
      <c r="N40" s="861" t="s">
        <v>3994</v>
      </c>
      <c r="O40" s="861"/>
      <c r="P40" s="861"/>
      <c r="Q40" s="862" t="s">
        <v>15</v>
      </c>
      <c r="R40" s="2913" t="n">
        <f aca="false">дома!J1159</f>
        <v>2.6</v>
      </c>
      <c r="S40" s="2914" t="n">
        <f aca="false">дома!K1159</f>
        <v>2.65654791471276</v>
      </c>
    </row>
    <row r="41" customFormat="false" ht="15.75" hidden="false" customHeight="false" outlineLevel="0" collapsed="false">
      <c r="N41" s="2920" t="s">
        <v>3995</v>
      </c>
      <c r="O41" s="2920"/>
      <c r="P41" s="2920"/>
      <c r="Q41" s="1786" t="s">
        <v>15</v>
      </c>
      <c r="R41" s="2913" t="e">
        <f aca="false">дома!#REF!</f>
        <v>#VALUE!</v>
      </c>
      <c r="S41" s="2914" t="e">
        <f aca="false">дома!#REF!</f>
        <v>#VALUE!</v>
      </c>
    </row>
    <row r="42" customFormat="false" ht="15.75" hidden="false" customHeight="false" outlineLevel="0" collapsed="false">
      <c r="N42" s="2920" t="s">
        <v>4219</v>
      </c>
      <c r="O42" s="2920"/>
      <c r="P42" s="2920"/>
      <c r="Q42" s="1603" t="s">
        <v>15</v>
      </c>
      <c r="R42" s="2914" t="n">
        <f aca="false">'Ввод данных'!C379</f>
        <v>1.6</v>
      </c>
      <c r="S42" s="2914" t="e">
        <f aca="false">дома!#REF!</f>
        <v>#VALUE!</v>
      </c>
    </row>
    <row r="43" customFormat="false" ht="15.75" hidden="false" customHeight="false" outlineLevel="0" collapsed="false">
      <c r="N43" s="2002" t="s">
        <v>4220</v>
      </c>
      <c r="O43" s="2002"/>
      <c r="P43" s="2002"/>
      <c r="Q43" s="1603" t="s">
        <v>15</v>
      </c>
      <c r="R43" s="2914" t="n">
        <f aca="false">'Ввод данных'!C376</f>
        <v>6</v>
      </c>
      <c r="S43" s="2914" t="e">
        <f aca="false">дома!#REF!</f>
        <v>#VALUE!</v>
      </c>
    </row>
    <row r="44" customFormat="false" ht="15.75" hidden="false" customHeight="false" outlineLevel="0" collapsed="false">
      <c r="N44" s="861" t="s">
        <v>3662</v>
      </c>
      <c r="O44" s="861"/>
      <c r="P44" s="861"/>
      <c r="Q44" s="862" t="s">
        <v>820</v>
      </c>
      <c r="R44" s="2913" t="n">
        <f aca="false">дома!J1179</f>
        <v>23.2680916569197</v>
      </c>
      <c r="S44" s="49" t="n">
        <f aca="false">R44</f>
        <v>23.2680916569197</v>
      </c>
    </row>
    <row r="45" customFormat="false" ht="15.75" hidden="false" customHeight="false" outlineLevel="0" collapsed="false">
      <c r="N45" s="861" t="s">
        <v>3996</v>
      </c>
      <c r="O45" s="861"/>
      <c r="P45" s="861"/>
      <c r="Q45" s="1786" t="s">
        <v>820</v>
      </c>
      <c r="R45" s="2913" t="n">
        <f aca="false">дома!J1181</f>
        <v>127.528454117035</v>
      </c>
      <c r="S45" s="49" t="e">
        <f aca="false">дома!#REF!</f>
        <v>#VALUE!</v>
      </c>
    </row>
    <row r="46" customFormat="false" ht="15.75" hidden="false" customHeight="false" outlineLevel="0" collapsed="false">
      <c r="N46" s="861" t="s">
        <v>3937</v>
      </c>
      <c r="O46" s="861"/>
      <c r="P46" s="861"/>
      <c r="Q46" s="862" t="s">
        <v>820</v>
      </c>
      <c r="R46" s="2913" t="n">
        <f aca="false">дома!J1183</f>
        <v>178.539835763849</v>
      </c>
      <c r="S46" s="2914" t="e">
        <f aca="false">дома!#REF!*1.4</f>
        <v>#VALUE!</v>
      </c>
    </row>
    <row r="47" customFormat="false" ht="15.75" hidden="false" customHeight="false" outlineLevel="0" collapsed="false">
      <c r="N47" s="861" t="s">
        <v>3030</v>
      </c>
      <c r="O47" s="861"/>
      <c r="P47" s="861"/>
      <c r="Q47" s="862" t="s">
        <v>820</v>
      </c>
      <c r="R47" s="2913" t="e">
        <f aca="false">дома!#REF!</f>
        <v>#VALUE!</v>
      </c>
      <c r="S47" s="2914" t="n">
        <f aca="false">дома!K1185</f>
        <v>30.3235472523585</v>
      </c>
    </row>
    <row r="48" customFormat="false" ht="15.75" hidden="false" customHeight="false" outlineLevel="0" collapsed="false">
      <c r="N48" s="2920" t="s">
        <v>2859</v>
      </c>
      <c r="O48" s="2920"/>
      <c r="P48" s="2920"/>
      <c r="Q48" s="862" t="s">
        <v>820</v>
      </c>
      <c r="R48" s="2913" t="e">
        <f aca="false">дома!#REF!</f>
        <v>#VALUE!</v>
      </c>
      <c r="S48" s="2914" t="e">
        <f aca="false">дома!#REF!</f>
        <v>#VALUE!</v>
      </c>
    </row>
    <row r="50" customFormat="false" ht="15" hidden="false" customHeight="true" outlineLevel="0" collapsed="false">
      <c r="N50" s="2495" t="s">
        <v>4211</v>
      </c>
      <c r="O50" s="2495"/>
      <c r="P50" s="2495"/>
      <c r="Q50" s="2921" t="s">
        <v>2747</v>
      </c>
      <c r="R50" s="2921"/>
      <c r="S50" s="2921" t="s">
        <v>2744</v>
      </c>
      <c r="T50" s="2921"/>
    </row>
    <row r="51" customFormat="false" ht="15" hidden="false" customHeight="false" outlineLevel="0" collapsed="false">
      <c r="N51" s="2495"/>
      <c r="O51" s="2495"/>
      <c r="P51" s="2495"/>
      <c r="Q51" s="2921"/>
      <c r="R51" s="2921"/>
      <c r="S51" s="2921"/>
      <c r="T51" s="2921"/>
    </row>
    <row r="52" customFormat="false" ht="15" hidden="false" customHeight="false" outlineLevel="0" collapsed="false">
      <c r="N52" s="2495" t="s">
        <v>4221</v>
      </c>
      <c r="O52" s="2495"/>
      <c r="P52" s="2495"/>
      <c r="Q52" s="2921" t="n">
        <v>1</v>
      </c>
      <c r="R52" s="2921" t="n">
        <v>2</v>
      </c>
      <c r="S52" s="2921" t="n">
        <v>1</v>
      </c>
      <c r="T52" s="2921" t="n">
        <v>2</v>
      </c>
    </row>
    <row r="53" customFormat="false" ht="15.75" hidden="false" customHeight="false" outlineLevel="0" collapsed="false">
      <c r="N53" s="1413" t="s">
        <v>277</v>
      </c>
      <c r="O53" s="1413"/>
      <c r="P53" s="1304" t="s">
        <v>15</v>
      </c>
      <c r="Q53" s="2914" t="n">
        <f aca="false">'Ввод данных'!C419</f>
        <v>2</v>
      </c>
      <c r="R53" s="2913" t="n">
        <f aca="false">'Ввод данных'!D419</f>
        <v>2</v>
      </c>
      <c r="S53" s="2914"/>
      <c r="T53" s="2914"/>
    </row>
    <row r="54" customFormat="false" ht="15.75" hidden="false" customHeight="false" outlineLevel="0" collapsed="false">
      <c r="N54" s="861" t="s">
        <v>4222</v>
      </c>
      <c r="O54" s="861"/>
      <c r="P54" s="862" t="s">
        <v>15</v>
      </c>
      <c r="Q54" s="2914" t="n">
        <f aca="false">дома!C1215</f>
        <v>2.63606797749979</v>
      </c>
      <c r="R54" s="2913" t="n">
        <f aca="false">дома!D1215</f>
        <v>2.35849528301415</v>
      </c>
      <c r="S54" s="2914" t="n">
        <f aca="false">дома!E1214</f>
        <v>2.31010946542951</v>
      </c>
      <c r="T54" s="2914" t="n">
        <f aca="false">дома!F1214</f>
        <v>1.15505473271476</v>
      </c>
    </row>
    <row r="55" customFormat="false" ht="15.75" hidden="false" customHeight="false" outlineLevel="0" collapsed="false">
      <c r="N55" s="1413" t="s">
        <v>4223</v>
      </c>
      <c r="O55" s="1413"/>
      <c r="P55" s="862" t="s">
        <v>15</v>
      </c>
      <c r="Q55" s="2914" t="n">
        <f aca="false">дома!C1221</f>
        <v>2.4</v>
      </c>
      <c r="R55" s="2913" t="n">
        <f aca="false">дома!D1221</f>
        <v>3.4</v>
      </c>
      <c r="S55" s="2914" t="n">
        <f aca="false">дома!E1221</f>
        <v>2.4</v>
      </c>
      <c r="T55" s="2914" t="n">
        <f aca="false">дома!F1221</f>
        <v>3.4</v>
      </c>
    </row>
    <row r="56" customFormat="false" ht="15.75" hidden="false" customHeight="false" outlineLevel="0" collapsed="false">
      <c r="N56" s="2513" t="s">
        <v>4224</v>
      </c>
      <c r="O56" s="2513"/>
      <c r="P56" s="2514" t="s">
        <v>15</v>
      </c>
      <c r="Q56" s="2914" t="n">
        <f aca="false">дома!C1216</f>
        <v>2.81937127423825</v>
      </c>
      <c r="R56" s="2913" t="n">
        <f aca="false">дома!D1216</f>
        <v>3.81608438061844</v>
      </c>
      <c r="S56" s="2914" t="n">
        <f aca="false">дома!E1216</f>
        <v>2.51726155618899</v>
      </c>
      <c r="T56" s="2914" t="n">
        <f aca="false">дома!F1216</f>
        <v>3.2146775010204</v>
      </c>
    </row>
    <row r="57" customFormat="false" ht="15.75" hidden="false" customHeight="false" outlineLevel="0" collapsed="false">
      <c r="N57" s="2513" t="s">
        <v>4225</v>
      </c>
      <c r="O57" s="2513"/>
      <c r="P57" s="1304" t="s">
        <v>15</v>
      </c>
      <c r="Q57" s="2914" t="n">
        <f aca="false">дома!C1212+дома!C1207</f>
        <v>1.4</v>
      </c>
      <c r="R57" s="2914"/>
      <c r="S57" s="2914" t="n">
        <f aca="false">дома!E1222</f>
        <v>1.4</v>
      </c>
      <c r="T57" s="2914"/>
    </row>
    <row r="58" customFormat="false" ht="15.75" hidden="false" customHeight="false" outlineLevel="0" collapsed="false">
      <c r="N58" s="1413" t="s">
        <v>4226</v>
      </c>
      <c r="O58" s="1413"/>
      <c r="P58" s="1304" t="s">
        <v>15</v>
      </c>
      <c r="Q58" s="2914" t="n">
        <f aca="false">дома!C1223</f>
        <v>2.7</v>
      </c>
      <c r="R58" s="2914" t="n">
        <f aca="false">дома!D1223</f>
        <v>3.25</v>
      </c>
      <c r="S58" s="2914" t="n">
        <f aca="false">дома!E1223</f>
        <v>2.7</v>
      </c>
      <c r="T58" s="2914" t="n">
        <f aca="false">дома!F1223</f>
        <v>3.25</v>
      </c>
    </row>
    <row r="59" customFormat="false" ht="15.75" hidden="false" customHeight="false" outlineLevel="0" collapsed="false">
      <c r="N59" s="861" t="s">
        <v>2822</v>
      </c>
      <c r="O59" s="861"/>
      <c r="P59" s="862" t="s">
        <v>820</v>
      </c>
      <c r="Q59" s="2914" t="n">
        <f aca="false">дома!C1222</f>
        <v>2.90885438199983</v>
      </c>
      <c r="R59" s="2913" t="n">
        <f aca="false">дома!D1222</f>
        <v>1.88679622641132</v>
      </c>
      <c r="S59" s="49" t="n">
        <f aca="false">Q59</f>
        <v>2.90885438199983</v>
      </c>
      <c r="T59" s="2914" t="n">
        <f aca="false">R59</f>
        <v>1.88679622641132</v>
      </c>
    </row>
    <row r="60" customFormat="false" ht="15.75" hidden="false" customHeight="false" outlineLevel="0" collapsed="false">
      <c r="N60" s="861" t="s">
        <v>3996</v>
      </c>
      <c r="O60" s="861"/>
      <c r="P60" s="2514" t="s">
        <v>820</v>
      </c>
      <c r="Q60" s="2914" t="n">
        <f aca="false">дома!C1218</f>
        <v>10.0170583144992</v>
      </c>
      <c r="R60" s="2913" t="n">
        <f aca="false">дома!D1220</f>
        <v>12.5471949056353</v>
      </c>
      <c r="S60" s="49" t="n">
        <f aca="false">дома!E1218</f>
        <v>9.77841596863215</v>
      </c>
      <c r="T60" s="2914" t="n">
        <f aca="false">дома!F1218</f>
        <v>4.66516419814427</v>
      </c>
    </row>
    <row r="61" customFormat="false" ht="15.75" hidden="false" customHeight="false" outlineLevel="0" collapsed="false">
      <c r="N61" s="861" t="s">
        <v>4227</v>
      </c>
      <c r="O61" s="861"/>
      <c r="P61" s="862" t="s">
        <v>820</v>
      </c>
      <c r="Q61" s="2914" t="n">
        <f aca="false">дома!C1220</f>
        <v>14.0238816402989</v>
      </c>
      <c r="R61" s="2913" t="n">
        <f aca="false">дома!D1220</f>
        <v>12.5471949056353</v>
      </c>
      <c r="S61" s="2914" t="n">
        <f aca="false">дома!E1220</f>
        <v>13.689782356085</v>
      </c>
      <c r="T61" s="2914" t="n">
        <f aca="false">дома!F1220</f>
        <v>6.53122987740198</v>
      </c>
    </row>
    <row r="62" customFormat="false" ht="15.75" hidden="false" customHeight="false" outlineLevel="0" collapsed="false">
      <c r="N62" s="861" t="s">
        <v>3653</v>
      </c>
      <c r="O62" s="861"/>
      <c r="P62" s="862" t="s">
        <v>820</v>
      </c>
      <c r="Q62" s="2914" t="n">
        <f aca="false">дома!C1224</f>
        <v>10</v>
      </c>
      <c r="R62" s="2913" t="n">
        <f aca="false">дома!D1224</f>
        <v>2.5</v>
      </c>
      <c r="S62" s="2914" t="n">
        <f aca="false">дома!E1224</f>
        <v>5</v>
      </c>
      <c r="T62" s="2914" t="n">
        <f aca="false">дома!F1224</f>
        <v>2.5</v>
      </c>
    </row>
    <row r="63" customFormat="false" ht="15.75" hidden="false" customHeight="false" outlineLevel="0" collapsed="false">
      <c r="N63" s="1413" t="s">
        <v>4228</v>
      </c>
      <c r="O63" s="1413"/>
      <c r="P63" s="1304" t="s">
        <v>820</v>
      </c>
      <c r="Q63" s="2914" t="n">
        <f aca="false">дома!C1219</f>
        <v>5.26745446817632</v>
      </c>
      <c r="R63" s="2914" t="n">
        <f aca="false">дома!D1219</f>
        <v>2.5</v>
      </c>
      <c r="S63" s="2914" t="n">
        <f aca="false">дома!E1219</f>
        <v>5.1385365901757</v>
      </c>
      <c r="T63" s="2914" t="n">
        <f aca="false">дома!F1219</f>
        <v>3.70212173868892</v>
      </c>
    </row>
    <row r="65" customFormat="false" ht="15" hidden="false" customHeight="true" outlineLevel="0" collapsed="false">
      <c r="N65" s="2495" t="s">
        <v>4211</v>
      </c>
      <c r="O65" s="2495"/>
      <c r="P65" s="2495"/>
      <c r="Q65" s="2495"/>
      <c r="R65" s="2921" t="s">
        <v>2747</v>
      </c>
      <c r="S65" s="2921" t="s">
        <v>2744</v>
      </c>
    </row>
    <row r="66" customFormat="false" ht="15" hidden="false" customHeight="false" outlineLevel="0" collapsed="false">
      <c r="N66" s="2495"/>
      <c r="O66" s="2495"/>
      <c r="P66" s="2495"/>
      <c r="Q66" s="2495"/>
      <c r="R66" s="2921"/>
      <c r="S66" s="2921"/>
    </row>
    <row r="67" customFormat="false" ht="15" hidden="false" customHeight="false" outlineLevel="0" collapsed="false">
      <c r="N67" s="2920" t="s">
        <v>4229</v>
      </c>
      <c r="O67" s="2920"/>
      <c r="P67" s="2920"/>
      <c r="Q67" s="1786" t="s">
        <v>15</v>
      </c>
      <c r="R67" s="1992" t="n">
        <f aca="false">связи1!C570</f>
        <v>6</v>
      </c>
      <c r="S67" s="1965" t="n">
        <f aca="false">R67</f>
        <v>6</v>
      </c>
    </row>
    <row r="68" customFormat="false" ht="15" hidden="false" customHeight="false" outlineLevel="0" collapsed="false">
      <c r="N68" s="2920" t="s">
        <v>4230</v>
      </c>
      <c r="O68" s="2920"/>
      <c r="P68" s="2920"/>
      <c r="Q68" s="1786" t="s">
        <v>15</v>
      </c>
      <c r="R68" s="1992" t="n">
        <f aca="false">связи1!C569</f>
        <v>3</v>
      </c>
      <c r="S68" s="1965" t="n">
        <f aca="false">R68</f>
        <v>3</v>
      </c>
    </row>
    <row r="69" customFormat="false" ht="15" hidden="false" customHeight="false" outlineLevel="0" collapsed="false">
      <c r="N69" s="1786" t="s">
        <v>4231</v>
      </c>
      <c r="O69" s="1786"/>
      <c r="P69" s="1786"/>
      <c r="Q69" s="1786"/>
      <c r="R69" s="1786"/>
      <c r="S69" s="1786"/>
    </row>
    <row r="70" customFormat="false" ht="15" hidden="false" customHeight="false" outlineLevel="0" collapsed="false">
      <c r="N70" s="2920" t="s">
        <v>2773</v>
      </c>
      <c r="O70" s="2920"/>
      <c r="P70" s="2920"/>
      <c r="Q70" s="1786" t="s">
        <v>15</v>
      </c>
      <c r="R70" s="1186" t="n">
        <f aca="false">пристройка!C34+пристройка!C33+пристройка!C33</f>
        <v>12</v>
      </c>
      <c r="S70" s="1186" t="n">
        <f aca="false">R70</f>
        <v>12</v>
      </c>
    </row>
    <row r="71" customFormat="false" ht="15" hidden="false" customHeight="false" outlineLevel="0" collapsed="false">
      <c r="N71" s="2920" t="s">
        <v>4232</v>
      </c>
      <c r="O71" s="2920"/>
      <c r="P71" s="2920"/>
      <c r="Q71" s="1786" t="s">
        <v>820</v>
      </c>
      <c r="R71" s="1186" t="n">
        <f aca="false">пристройка!C34*пристройка!C33</f>
        <v>18</v>
      </c>
      <c r="S71" s="1186" t="n">
        <f aca="false">R71</f>
        <v>18</v>
      </c>
    </row>
    <row r="72" customFormat="false" ht="15" hidden="false" customHeight="false" outlineLevel="0" collapsed="false">
      <c r="N72" s="1786" t="s">
        <v>4233</v>
      </c>
      <c r="O72" s="1786"/>
      <c r="P72" s="1786"/>
      <c r="Q72" s="1786"/>
      <c r="R72" s="1786"/>
      <c r="S72" s="1786"/>
    </row>
    <row r="73" customFormat="false" ht="15" hidden="false" customHeight="false" outlineLevel="0" collapsed="false">
      <c r="N73" s="2920" t="s">
        <v>3139</v>
      </c>
      <c r="O73" s="2920"/>
      <c r="P73" s="2920"/>
      <c r="Q73" s="1786" t="s">
        <v>820</v>
      </c>
      <c r="R73" s="1186" t="n">
        <f aca="false">пристройка!C94</f>
        <v>0</v>
      </c>
      <c r="S73" s="1186" t="e">
        <f aca="false">пристройка!AF81</f>
        <v>#REF!</v>
      </c>
    </row>
    <row r="74" customFormat="false" ht="15" hidden="false" customHeight="false" outlineLevel="0" collapsed="false">
      <c r="N74" s="2920" t="s">
        <v>3741</v>
      </c>
      <c r="O74" s="2920"/>
      <c r="P74" s="2920"/>
      <c r="Q74" s="1786" t="s">
        <v>820</v>
      </c>
      <c r="R74" s="1186" t="e">
        <f aca="false">пристройка!#REF!</f>
        <v>#VALUE!</v>
      </c>
      <c r="S74" s="1186" t="n">
        <f aca="false">пристройка!AF83</f>
        <v>0</v>
      </c>
    </row>
    <row r="75" customFormat="false" ht="15" hidden="false" customHeight="false" outlineLevel="0" collapsed="false">
      <c r="N75" s="2920" t="s">
        <v>4234</v>
      </c>
      <c r="O75" s="2920"/>
      <c r="P75" s="2920"/>
      <c r="Q75" s="1786" t="s">
        <v>820</v>
      </c>
      <c r="R75" s="1186" t="e">
        <f aca="false">пристройка!#REF!</f>
        <v>#VALUE!</v>
      </c>
      <c r="S75" s="1186" t="e">
        <f aca="false">пристройка!AF84</f>
        <v>#REF!</v>
      </c>
    </row>
    <row r="76" customFormat="false" ht="15" hidden="false" customHeight="false" outlineLevel="0" collapsed="false">
      <c r="N76" s="2920" t="s">
        <v>4235</v>
      </c>
      <c r="O76" s="2920"/>
      <c r="P76" s="2920"/>
      <c r="Q76" s="1786" t="s">
        <v>820</v>
      </c>
      <c r="R76" s="1186"/>
      <c r="S76" s="1186" t="e">
        <f aca="false">пристройка!AE79</f>
        <v>#REF!</v>
      </c>
    </row>
    <row r="77" customFormat="false" ht="15" hidden="false" customHeight="false" outlineLevel="0" collapsed="false">
      <c r="N77" s="2920" t="s">
        <v>2859</v>
      </c>
      <c r="O77" s="2920"/>
      <c r="P77" s="2920"/>
      <c r="Q77" s="1786" t="s">
        <v>820</v>
      </c>
      <c r="R77" s="1186" t="n">
        <f aca="false">пристройка!C11</f>
        <v>0</v>
      </c>
      <c r="S77" s="1186" t="n">
        <f aca="false">пристройка!C11</f>
        <v>0</v>
      </c>
    </row>
    <row r="78" customFormat="false" ht="15" hidden="false" customHeight="false" outlineLevel="0" collapsed="false">
      <c r="N78" s="1786" t="s">
        <v>186</v>
      </c>
      <c r="O78" s="1786"/>
      <c r="P78" s="1786"/>
      <c r="Q78" s="1786"/>
      <c r="R78" s="1786"/>
      <c r="S78" s="1786"/>
    </row>
    <row r="79" customFormat="false" ht="15.75" hidden="false" customHeight="false" outlineLevel="0" collapsed="false">
      <c r="N79" s="2496" t="s">
        <v>2902</v>
      </c>
      <c r="O79" s="2496"/>
      <c r="P79" s="2496"/>
      <c r="Q79" s="2509" t="s">
        <v>15</v>
      </c>
      <c r="R79" s="2913" t="e">
        <f aca="false">дома!#REF!</f>
        <v>#VALUE!</v>
      </c>
      <c r="S79" s="1186"/>
    </row>
    <row r="80" customFormat="false" ht="15" hidden="false" customHeight="false" outlineLevel="0" collapsed="false">
      <c r="N80" s="2002" t="s">
        <v>4236</v>
      </c>
      <c r="O80" s="2002"/>
      <c r="P80" s="2002"/>
      <c r="Q80" s="1603" t="s">
        <v>15</v>
      </c>
      <c r="R80" s="1965" t="n">
        <f aca="false">пристройка!C39</f>
        <v>0</v>
      </c>
      <c r="S80" s="1965" t="n">
        <f aca="false">пристройка!AD38-пристройка!AD40</f>
        <v>1</v>
      </c>
    </row>
    <row r="81" customFormat="false" ht="15" hidden="false" customHeight="false" outlineLevel="0" collapsed="false">
      <c r="N81" s="2920" t="s">
        <v>3735</v>
      </c>
      <c r="O81" s="2920"/>
      <c r="P81" s="2920"/>
      <c r="Q81" s="1786" t="s">
        <v>15</v>
      </c>
      <c r="R81" s="1186" t="n">
        <f aca="false">пристройка!C38</f>
        <v>0</v>
      </c>
      <c r="S81" s="1186" t="n">
        <f aca="false">пристройка!AD39-пристройка!AD10</f>
        <v>2.7</v>
      </c>
    </row>
    <row r="82" customFormat="false" ht="15" hidden="false" customHeight="false" outlineLevel="0" collapsed="false">
      <c r="N82" s="2920" t="s">
        <v>4237</v>
      </c>
      <c r="O82" s="2920"/>
      <c r="P82" s="2920"/>
      <c r="Q82" s="1786" t="s">
        <v>15</v>
      </c>
      <c r="R82" s="1186" t="n">
        <f aca="false">пристройка!AF54</f>
        <v>1.2</v>
      </c>
      <c r="S82" s="1186" t="n">
        <f aca="false">пристройка!AD41-пристройка!AD10</f>
        <v>2.7</v>
      </c>
    </row>
    <row r="83" customFormat="false" ht="15.75" hidden="false" customHeight="false" outlineLevel="0" collapsed="false">
      <c r="N83" s="2002" t="s">
        <v>4238</v>
      </c>
      <c r="O83" s="2002"/>
      <c r="P83" s="2002"/>
      <c r="Q83" s="1603" t="s">
        <v>15</v>
      </c>
      <c r="R83" s="2913" t="n">
        <f aca="false">пристройка!C68</f>
        <v>0</v>
      </c>
      <c r="S83" s="1186" t="e">
        <f aca="false">пристройка!#REF!</f>
        <v>#VALUE!</v>
      </c>
    </row>
    <row r="84" customFormat="false" ht="15.75" hidden="false" customHeight="false" outlineLevel="0" collapsed="false">
      <c r="N84" s="2002" t="s">
        <v>4239</v>
      </c>
      <c r="O84" s="2002"/>
      <c r="P84" s="2002"/>
      <c r="Q84" s="1603" t="s">
        <v>15</v>
      </c>
      <c r="R84" s="2913" t="n">
        <f aca="false">пристройка!C76</f>
        <v>0</v>
      </c>
      <c r="S84" s="1186" t="e">
        <f aca="false">пристройка!#REF!</f>
        <v>#VALUE!</v>
      </c>
    </row>
    <row r="85" customFormat="false" ht="15.75" hidden="false" customHeight="false" outlineLevel="0" collapsed="false">
      <c r="N85" s="861" t="s">
        <v>2821</v>
      </c>
      <c r="O85" s="861"/>
      <c r="P85" s="861"/>
      <c r="Q85" s="862" t="s">
        <v>820</v>
      </c>
      <c r="R85" s="2913" t="n">
        <f aca="false">пристройка!C77</f>
        <v>0</v>
      </c>
      <c r="S85" s="1965" t="e">
        <f aca="false">пристройка!AE187</f>
        <v>#REF!</v>
      </c>
    </row>
    <row r="86" customFormat="false" ht="15.75" hidden="false" customHeight="false" outlineLevel="0" collapsed="false">
      <c r="N86" s="861" t="s">
        <v>3662</v>
      </c>
      <c r="O86" s="861"/>
      <c r="P86" s="861"/>
      <c r="Q86" s="862" t="s">
        <v>820</v>
      </c>
      <c r="R86" s="2913" t="n">
        <f aca="false">пристройка!C78</f>
        <v>0</v>
      </c>
      <c r="S86" s="1965" t="e">
        <f aca="false">пристройка!AE188</f>
        <v>#REF!</v>
      </c>
    </row>
    <row r="87" customFormat="false" ht="15.75" hidden="false" customHeight="false" outlineLevel="0" collapsed="false">
      <c r="N87" s="2002" t="s">
        <v>3937</v>
      </c>
      <c r="O87" s="2002"/>
      <c r="P87" s="2002"/>
      <c r="Q87" s="1603" t="s">
        <v>820</v>
      </c>
      <c r="R87" s="2913" t="n">
        <f aca="false">пристройка!C79</f>
        <v>0</v>
      </c>
      <c r="S87" s="1965" t="e">
        <f aca="false">пристройка!AE189</f>
        <v>#REF!</v>
      </c>
    </row>
    <row r="88" customFormat="false" ht="15" hidden="false" customHeight="false" outlineLevel="0" collapsed="false">
      <c r="N88" s="2002" t="s">
        <v>3030</v>
      </c>
      <c r="O88" s="2002"/>
      <c r="P88" s="2002"/>
      <c r="Q88" s="1603" t="s">
        <v>820</v>
      </c>
      <c r="R88" s="1965" t="n">
        <f aca="false">пристройка!C39*пристройка!C33/2</f>
        <v>0</v>
      </c>
      <c r="S88" s="1965" t="n">
        <f aca="false">(пристройка!AD38-пристройка!AD40)*пристройка!C33/2</f>
        <v>1.5</v>
      </c>
    </row>
    <row r="90" customFormat="false" ht="15" hidden="false" customHeight="true" outlineLevel="0" collapsed="false">
      <c r="N90" s="2922" t="s">
        <v>4211</v>
      </c>
      <c r="O90" s="2922"/>
      <c r="P90" s="2922"/>
      <c r="Q90" s="2922"/>
      <c r="R90" s="2923" t="s">
        <v>2747</v>
      </c>
      <c r="S90" s="2923" t="s">
        <v>2744</v>
      </c>
    </row>
    <row r="91" customFormat="false" ht="15" hidden="false" customHeight="false" outlineLevel="0" collapsed="false">
      <c r="N91" s="2922"/>
      <c r="O91" s="2922"/>
      <c r="P91" s="2922"/>
      <c r="Q91" s="2922"/>
      <c r="R91" s="2923"/>
      <c r="S91" s="2923"/>
    </row>
    <row r="92" customFormat="false" ht="15" hidden="false" customHeight="false" outlineLevel="0" collapsed="false">
      <c r="N92" s="2920" t="s">
        <v>4229</v>
      </c>
      <c r="O92" s="2920"/>
      <c r="P92" s="2920"/>
      <c r="Q92" s="1786" t="s">
        <v>15</v>
      </c>
      <c r="R92" s="1992" t="n">
        <f aca="false">дома!C1245</f>
        <v>5</v>
      </c>
      <c r="S92" s="1965" t="n">
        <f aca="false">R92</f>
        <v>5</v>
      </c>
    </row>
    <row r="93" customFormat="false" ht="15" hidden="false" customHeight="false" outlineLevel="0" collapsed="false">
      <c r="N93" s="2920" t="s">
        <v>4230</v>
      </c>
      <c r="O93" s="2920"/>
      <c r="P93" s="2920"/>
      <c r="Q93" s="1786" t="s">
        <v>15</v>
      </c>
      <c r="R93" s="1992" t="n">
        <f aca="false">дома!C1244</f>
        <v>4</v>
      </c>
      <c r="S93" s="1965" t="n">
        <f aca="false">R93</f>
        <v>4</v>
      </c>
    </row>
    <row r="94" customFormat="false" ht="15" hidden="false" customHeight="false" outlineLevel="0" collapsed="false">
      <c r="N94" s="1786" t="s">
        <v>4231</v>
      </c>
      <c r="O94" s="1786"/>
      <c r="P94" s="1786"/>
      <c r="Q94" s="1786"/>
      <c r="R94" s="1786"/>
      <c r="S94" s="1786"/>
    </row>
    <row r="95" customFormat="false" ht="15" hidden="false" customHeight="false" outlineLevel="0" collapsed="false">
      <c r="N95" s="2920" t="s">
        <v>2773</v>
      </c>
      <c r="O95" s="2920"/>
      <c r="P95" s="2920"/>
      <c r="Q95" s="1786" t="s">
        <v>15</v>
      </c>
      <c r="R95" s="1186" t="n">
        <f aca="false">дома!C1275</f>
        <v>10.8309518948453</v>
      </c>
      <c r="S95" s="1186" t="n">
        <f aca="false">R95</f>
        <v>10.8309518948453</v>
      </c>
    </row>
    <row r="96" customFormat="false" ht="15" hidden="false" customHeight="false" outlineLevel="0" collapsed="false">
      <c r="N96" s="2920" t="s">
        <v>4232</v>
      </c>
      <c r="O96" s="2920"/>
      <c r="P96" s="2920"/>
      <c r="Q96" s="1786" t="s">
        <v>820</v>
      </c>
      <c r="R96" s="1186" t="n">
        <f aca="false">дома!C1279</f>
        <v>16.25</v>
      </c>
      <c r="S96" s="1186" t="n">
        <f aca="false">R96</f>
        <v>16.25</v>
      </c>
    </row>
    <row r="97" customFormat="false" ht="15" hidden="false" customHeight="false" outlineLevel="0" collapsed="false">
      <c r="N97" s="1786" t="s">
        <v>4233</v>
      </c>
      <c r="O97" s="1786"/>
      <c r="P97" s="1786"/>
      <c r="Q97" s="1786"/>
      <c r="R97" s="1786"/>
      <c r="S97" s="1786"/>
    </row>
    <row r="98" customFormat="false" ht="15" hidden="false" customHeight="false" outlineLevel="0" collapsed="false">
      <c r="N98" s="2920" t="s">
        <v>3139</v>
      </c>
      <c r="O98" s="2920"/>
      <c r="P98" s="2920"/>
      <c r="Q98" s="1786" t="s">
        <v>820</v>
      </c>
      <c r="R98" s="1186" t="n">
        <f aca="false">дома!C1259</f>
        <v>64.9857113690718</v>
      </c>
      <c r="S98" s="1186" t="n">
        <f aca="false">дома!D1259</f>
        <v>57.4040450426801</v>
      </c>
    </row>
    <row r="99" customFormat="false" ht="15" hidden="false" customHeight="false" outlineLevel="0" collapsed="false">
      <c r="N99" s="2920" t="s">
        <v>4235</v>
      </c>
      <c r="O99" s="2920"/>
      <c r="P99" s="2920"/>
      <c r="Q99" s="1786" t="s">
        <v>820</v>
      </c>
      <c r="R99" s="1186"/>
      <c r="S99" s="1186" t="n">
        <f aca="false">дома!K1269</f>
        <v>0</v>
      </c>
    </row>
    <row r="100" customFormat="false" ht="15" hidden="false" customHeight="false" outlineLevel="0" collapsed="false">
      <c r="N100" s="2920" t="s">
        <v>2859</v>
      </c>
      <c r="O100" s="2920"/>
      <c r="P100" s="2920"/>
      <c r="Q100" s="1786" t="s">
        <v>820</v>
      </c>
      <c r="R100" s="1186" t="n">
        <f aca="false">дома!C1237</f>
        <v>16.25</v>
      </c>
      <c r="S100" s="1186" t="n">
        <f aca="false">дома!C1237</f>
        <v>16.25</v>
      </c>
    </row>
    <row r="101" customFormat="false" ht="15" hidden="false" customHeight="false" outlineLevel="0" collapsed="false">
      <c r="N101" s="1786" t="s">
        <v>186</v>
      </c>
      <c r="O101" s="1786"/>
      <c r="P101" s="1786"/>
      <c r="Q101" s="1786"/>
      <c r="R101" s="1786"/>
      <c r="S101" s="1786"/>
    </row>
    <row r="102" customFormat="false" ht="15.75" hidden="false" customHeight="false" outlineLevel="0" collapsed="false">
      <c r="N102" s="2496" t="s">
        <v>2902</v>
      </c>
      <c r="O102" s="2496"/>
      <c r="P102" s="2496"/>
      <c r="Q102" s="2509" t="s">
        <v>15</v>
      </c>
      <c r="R102" s="2913" t="n">
        <f aca="false">дома!C1275</f>
        <v>10.8309518948453</v>
      </c>
      <c r="S102" s="1186" t="n">
        <f aca="false">дома!D1275</f>
        <v>10.8309518948453</v>
      </c>
    </row>
    <row r="103" customFormat="false" ht="15" hidden="false" customHeight="false" outlineLevel="0" collapsed="false">
      <c r="N103" s="2002" t="s">
        <v>4236</v>
      </c>
      <c r="O103" s="2002"/>
      <c r="P103" s="2002"/>
      <c r="Q103" s="1603" t="s">
        <v>15</v>
      </c>
      <c r="R103" s="1965" t="n">
        <f aca="false">дома!D1240</f>
        <v>1</v>
      </c>
      <c r="S103" s="1965" t="n">
        <f aca="false">дома!J1237-дома!J1239</f>
        <v>0</v>
      </c>
    </row>
    <row r="104" customFormat="false" ht="15" hidden="false" customHeight="false" outlineLevel="0" collapsed="false">
      <c r="N104" s="2920" t="s">
        <v>3735</v>
      </c>
      <c r="O104" s="2920"/>
      <c r="P104" s="2920"/>
      <c r="Q104" s="1786" t="s">
        <v>15</v>
      </c>
      <c r="R104" s="1186" t="n">
        <f aca="false">дома!C1246</f>
        <v>2.2</v>
      </c>
      <c r="S104" s="1186" t="n">
        <f aca="false">дома!P1258-дома!P1245</f>
        <v>1.7</v>
      </c>
    </row>
    <row r="105" customFormat="false" ht="15.75" hidden="false" customHeight="false" outlineLevel="0" collapsed="false">
      <c r="N105" s="861" t="s">
        <v>2821</v>
      </c>
      <c r="O105" s="861"/>
      <c r="P105" s="861"/>
      <c r="Q105" s="862" t="s">
        <v>820</v>
      </c>
      <c r="R105" s="1601" t="n">
        <f aca="false">дома!E1272</f>
        <v>21.2736541018041</v>
      </c>
      <c r="S105" s="1601" t="n">
        <f aca="false">дома!G1280</f>
        <v>20.2090902043595</v>
      </c>
    </row>
    <row r="106" customFormat="false" ht="15.75" hidden="false" customHeight="false" outlineLevel="0" collapsed="false">
      <c r="N106" s="2002" t="s">
        <v>3937</v>
      </c>
      <c r="O106" s="2002"/>
      <c r="P106" s="2002"/>
      <c r="Q106" s="1603" t="s">
        <v>820</v>
      </c>
      <c r="R106" s="2913" t="n">
        <f aca="false">дома!D1272</f>
        <v>26.1501235361781</v>
      </c>
      <c r="S106" s="1965" t="n">
        <f aca="false">дома!G1281</f>
        <v>30.3136353065393</v>
      </c>
    </row>
  </sheetData>
  <mergeCells count="75">
    <mergeCell ref="N33:Q34"/>
    <mergeCell ref="R33:R34"/>
    <mergeCell ref="S33:S34"/>
    <mergeCell ref="N35:P35"/>
    <mergeCell ref="N36:P36"/>
    <mergeCell ref="N37:P37"/>
    <mergeCell ref="N38:P38"/>
    <mergeCell ref="N39:P39"/>
    <mergeCell ref="N40:P40"/>
    <mergeCell ref="N41:P41"/>
    <mergeCell ref="N42:P42"/>
    <mergeCell ref="N43:P43"/>
    <mergeCell ref="N44:P44"/>
    <mergeCell ref="N45:P45"/>
    <mergeCell ref="N46:P46"/>
    <mergeCell ref="N47:P47"/>
    <mergeCell ref="N48:P48"/>
    <mergeCell ref="N50:P51"/>
    <mergeCell ref="Q50:R51"/>
    <mergeCell ref="S50:T51"/>
    <mergeCell ref="N52:P52"/>
    <mergeCell ref="N53:O53"/>
    <mergeCell ref="N54:O54"/>
    <mergeCell ref="N55:O55"/>
    <mergeCell ref="N56:O56"/>
    <mergeCell ref="N57:O57"/>
    <mergeCell ref="N58:O58"/>
    <mergeCell ref="N59:O59"/>
    <mergeCell ref="N60:O60"/>
    <mergeCell ref="N61:O61"/>
    <mergeCell ref="N62:O62"/>
    <mergeCell ref="N63:O63"/>
    <mergeCell ref="N65:Q66"/>
    <mergeCell ref="R65:R66"/>
    <mergeCell ref="S65:S66"/>
    <mergeCell ref="N67:P67"/>
    <mergeCell ref="N68:P68"/>
    <mergeCell ref="N69:S69"/>
    <mergeCell ref="N70:P70"/>
    <mergeCell ref="N71:P71"/>
    <mergeCell ref="N72:S72"/>
    <mergeCell ref="N73:P73"/>
    <mergeCell ref="N74:P74"/>
    <mergeCell ref="N75:P75"/>
    <mergeCell ref="N76:P76"/>
    <mergeCell ref="N77:P77"/>
    <mergeCell ref="N78:S78"/>
    <mergeCell ref="N79:P79"/>
    <mergeCell ref="N80:P80"/>
    <mergeCell ref="N81:P81"/>
    <mergeCell ref="N82:P82"/>
    <mergeCell ref="N83:P83"/>
    <mergeCell ref="N84:P84"/>
    <mergeCell ref="N85:P85"/>
    <mergeCell ref="N86:P86"/>
    <mergeCell ref="N87:P87"/>
    <mergeCell ref="N88:P88"/>
    <mergeCell ref="N90:Q91"/>
    <mergeCell ref="R90:R91"/>
    <mergeCell ref="S90:S91"/>
    <mergeCell ref="N92:P92"/>
    <mergeCell ref="N93:P93"/>
    <mergeCell ref="N94:S94"/>
    <mergeCell ref="N95:P95"/>
    <mergeCell ref="N96:P96"/>
    <mergeCell ref="N97:S97"/>
    <mergeCell ref="N98:P98"/>
    <mergeCell ref="N99:P99"/>
    <mergeCell ref="N100:P100"/>
    <mergeCell ref="N101:S101"/>
    <mergeCell ref="N102:P102"/>
    <mergeCell ref="N103:P103"/>
    <mergeCell ref="N104:P104"/>
    <mergeCell ref="N105:P105"/>
    <mergeCell ref="N106:P106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U706"/>
  <sheetViews>
    <sheetView showFormulas="false" showGridLines="true" showRowColHeaders="true" showZeros="true" rightToLeft="false" tabSelected="false" showOutlineSymbols="true" defaultGridColor="true" view="normal" topLeftCell="A639" colorId="64" zoomScale="100" zoomScaleNormal="100" zoomScalePageLayoutView="100" workbookViewId="0">
      <selection pane="topLeft" activeCell="D652" activeCellId="0" sqref="D652"/>
    </sheetView>
  </sheetViews>
  <sheetFormatPr defaultColWidth="9.15625" defaultRowHeight="15" zeroHeight="false" outlineLevelRow="1" outlineLevelCol="0"/>
  <cols>
    <col collapsed="false" customWidth="true" hidden="false" outlineLevel="0" max="1" min="1" style="652" width="39.57"/>
    <col collapsed="false" customWidth="true" hidden="false" outlineLevel="0" max="2" min="2" style="652" width="8.86"/>
    <col collapsed="false" customWidth="true" hidden="false" outlineLevel="0" max="3" min="3" style="652" width="15.42"/>
    <col collapsed="false" customWidth="true" hidden="false" outlineLevel="0" max="4" min="4" style="652" width="18.14"/>
    <col collapsed="false" customWidth="true" hidden="false" outlineLevel="0" max="5" min="5" style="652" width="12.86"/>
    <col collapsed="false" customWidth="true" hidden="false" outlineLevel="0" max="6" min="6" style="652" width="4.71"/>
    <col collapsed="false" customWidth="true" hidden="false" outlineLevel="0" max="7" min="7" style="652" width="24.71"/>
    <col collapsed="false" customWidth="false" hidden="false" outlineLevel="0" max="10" min="8" style="652" width="9.14"/>
    <col collapsed="false" customWidth="true" hidden="false" outlineLevel="0" max="11" min="11" style="652" width="12.71"/>
    <col collapsed="false" customWidth="true" hidden="false" outlineLevel="0" max="12" min="12" style="652" width="12.14"/>
    <col collapsed="false" customWidth="false" hidden="false" outlineLevel="0" max="1024" min="13" style="652" width="9.14"/>
  </cols>
  <sheetData>
    <row r="1" customFormat="false" ht="15" hidden="false" customHeight="true" outlineLevel="1" collapsed="false">
      <c r="A1" s="2924" t="s">
        <v>46</v>
      </c>
      <c r="B1" s="2924"/>
      <c r="C1" s="2924"/>
      <c r="D1" s="2925" t="s">
        <v>12</v>
      </c>
      <c r="E1" s="2925" t="s">
        <v>13</v>
      </c>
      <c r="F1" s="2926"/>
      <c r="G1" s="2927"/>
      <c r="H1" s="2927"/>
      <c r="I1" s="2927"/>
      <c r="J1" s="2927"/>
      <c r="K1" s="1580"/>
      <c r="L1" s="1580"/>
      <c r="M1" s="1580"/>
      <c r="N1" s="1580"/>
      <c r="O1" s="1580"/>
      <c r="P1" s="1580"/>
      <c r="Q1" s="1580"/>
      <c r="R1" s="1580"/>
      <c r="S1" s="1580"/>
      <c r="T1" s="1580"/>
      <c r="U1" s="1580"/>
    </row>
    <row r="2" customFormat="false" ht="15" hidden="false" customHeight="true" outlineLevel="1" collapsed="false">
      <c r="A2" s="2928" t="s">
        <v>2947</v>
      </c>
      <c r="B2" s="2928"/>
      <c r="C2" s="2928"/>
      <c r="D2" s="2929"/>
      <c r="E2" s="2845" t="e">
        <f aca="false">'ввод данных'!#ref!</f>
        <v>#VALUE!</v>
      </c>
      <c r="F2" s="2930"/>
      <c r="G2" s="2926"/>
      <c r="H2" s="2931"/>
      <c r="I2" s="920"/>
      <c r="J2" s="920"/>
      <c r="K2" s="1580"/>
      <c r="L2" s="1580"/>
      <c r="M2" s="1580"/>
      <c r="N2" s="1580"/>
      <c r="O2" s="1580"/>
      <c r="P2" s="1580"/>
      <c r="Q2" s="1580"/>
      <c r="R2" s="1580"/>
      <c r="S2" s="1580"/>
      <c r="T2" s="1580"/>
      <c r="U2" s="1580"/>
    </row>
    <row r="3" customFormat="false" ht="15" hidden="false" customHeight="true" outlineLevel="1" collapsed="false">
      <c r="A3" s="2932" t="s">
        <v>2948</v>
      </c>
      <c r="B3" s="2932"/>
      <c r="C3" s="2932"/>
      <c r="D3" s="2929" t="s">
        <v>15</v>
      </c>
      <c r="E3" s="2845" t="n">
        <f aca="false">'Ввод данных'!C9</f>
        <v>8</v>
      </c>
      <c r="F3" s="2931"/>
      <c r="G3" s="2926"/>
      <c r="H3" s="2931"/>
      <c r="I3" s="920"/>
      <c r="J3" s="920"/>
      <c r="K3" s="1580"/>
      <c r="L3" s="1580"/>
      <c r="M3" s="1580"/>
      <c r="N3" s="1580"/>
      <c r="O3" s="1580"/>
      <c r="P3" s="1580"/>
      <c r="Q3" s="1580"/>
      <c r="R3" s="1580"/>
      <c r="S3" s="1580"/>
      <c r="T3" s="1580"/>
      <c r="U3" s="1580"/>
    </row>
    <row r="4" customFormat="false" ht="15" hidden="false" customHeight="true" outlineLevel="1" collapsed="false">
      <c r="A4" s="2932" t="s">
        <v>2949</v>
      </c>
      <c r="B4" s="2932"/>
      <c r="C4" s="2932"/>
      <c r="D4" s="2929" t="s">
        <v>15</v>
      </c>
      <c r="E4" s="2845" t="n">
        <f aca="false">'Ввод данных'!C10</f>
        <v>8</v>
      </c>
      <c r="F4" s="2931"/>
      <c r="G4" s="2931"/>
      <c r="H4" s="2931"/>
      <c r="I4" s="1169"/>
      <c r="J4" s="1169"/>
      <c r="K4" s="1580"/>
      <c r="L4" s="1580"/>
      <c r="M4" s="1580"/>
      <c r="N4" s="1580"/>
      <c r="O4" s="1580"/>
      <c r="P4" s="1580"/>
      <c r="Q4" s="1580"/>
      <c r="R4" s="1580"/>
      <c r="S4" s="1580"/>
      <c r="T4" s="1580"/>
      <c r="U4" s="1580"/>
    </row>
    <row r="5" customFormat="false" ht="15" hidden="false" customHeight="true" outlineLevel="1" collapsed="false">
      <c r="A5" s="2932" t="s">
        <v>2950</v>
      </c>
      <c r="B5" s="2932"/>
      <c r="C5" s="2932"/>
      <c r="D5" s="2929" t="s">
        <v>15</v>
      </c>
      <c r="E5" s="2845" t="n">
        <f aca="false">'Ввод данных'!C11</f>
        <v>2.8</v>
      </c>
      <c r="F5" s="2931"/>
      <c r="G5" s="2931"/>
      <c r="H5" s="2931"/>
      <c r="I5" s="921"/>
      <c r="J5" s="921"/>
      <c r="K5" s="1580"/>
      <c r="L5" s="1580"/>
      <c r="M5" s="1580"/>
      <c r="N5" s="1580"/>
      <c r="O5" s="1580"/>
      <c r="P5" s="1580"/>
      <c r="Q5" s="1580"/>
      <c r="R5" s="1580"/>
      <c r="S5" s="1580"/>
      <c r="T5" s="1580"/>
      <c r="U5" s="1580"/>
    </row>
    <row r="6" customFormat="false" ht="15" hidden="false" customHeight="true" outlineLevel="1" collapsed="false">
      <c r="A6" s="2932" t="s">
        <v>2957</v>
      </c>
      <c r="B6" s="2932"/>
      <c r="C6" s="2932"/>
      <c r="D6" s="2929" t="s">
        <v>15</v>
      </c>
      <c r="E6" s="2845" t="n">
        <f aca="false">связи1!H236</f>
        <v>1.6</v>
      </c>
      <c r="F6" s="2931"/>
      <c r="G6" s="2931"/>
      <c r="H6" s="2931"/>
      <c r="I6" s="2933"/>
      <c r="J6" s="921"/>
      <c r="K6" s="1580"/>
      <c r="L6" s="1580"/>
      <c r="M6" s="1580"/>
      <c r="N6" s="1580"/>
      <c r="O6" s="1580"/>
      <c r="P6" s="1580"/>
      <c r="Q6" s="1580"/>
      <c r="R6" s="1580"/>
      <c r="S6" s="1580"/>
      <c r="T6" s="1580"/>
      <c r="U6" s="1580"/>
    </row>
    <row r="7" customFormat="false" ht="15" hidden="false" customHeight="true" outlineLevel="1" collapsed="false">
      <c r="A7" s="2932" t="s">
        <v>3982</v>
      </c>
      <c r="B7" s="2932"/>
      <c r="C7" s="2932"/>
      <c r="D7" s="2934" t="s">
        <v>15</v>
      </c>
      <c r="E7" s="2845" t="n">
        <f aca="false">'Ввод данных'!C12</f>
        <v>2.6</v>
      </c>
      <c r="F7" s="2935"/>
      <c r="G7" s="2931"/>
      <c r="H7" s="2933"/>
      <c r="I7" s="2933"/>
      <c r="J7" s="921"/>
      <c r="K7" s="1580"/>
      <c r="L7" s="1580"/>
      <c r="M7" s="1580"/>
      <c r="N7" s="1580"/>
      <c r="O7" s="1580"/>
      <c r="P7" s="1580"/>
      <c r="Q7" s="1580"/>
      <c r="R7" s="1580"/>
      <c r="S7" s="1580"/>
      <c r="T7" s="1580"/>
      <c r="U7" s="1580"/>
    </row>
    <row r="8" customFormat="false" ht="15" hidden="false" customHeight="true" outlineLevel="1" collapsed="false">
      <c r="A8" s="2932" t="s">
        <v>3983</v>
      </c>
      <c r="B8" s="2932"/>
      <c r="C8" s="2932"/>
      <c r="D8" s="2929" t="s">
        <v>15</v>
      </c>
      <c r="E8" s="2845" t="n">
        <f aca="false">связи1!H235</f>
        <v>5</v>
      </c>
      <c r="F8" s="2931"/>
      <c r="G8" s="2935"/>
      <c r="H8" s="2926"/>
      <c r="I8" s="2926"/>
      <c r="J8" s="2926"/>
      <c r="K8" s="1580"/>
      <c r="L8" s="1580"/>
      <c r="M8" s="1580"/>
      <c r="N8" s="1580"/>
      <c r="O8" s="1580"/>
      <c r="P8" s="1580"/>
      <c r="Q8" s="1580"/>
      <c r="R8" s="1580"/>
      <c r="S8" s="1580"/>
      <c r="T8" s="1580"/>
      <c r="U8" s="1580"/>
    </row>
    <row r="9" customFormat="false" ht="15" hidden="false" customHeight="true" outlineLevel="1" collapsed="false">
      <c r="A9" s="2936" t="s">
        <v>3984</v>
      </c>
      <c r="B9" s="2936"/>
      <c r="C9" s="2936"/>
      <c r="D9" s="2937" t="s">
        <v>486</v>
      </c>
      <c r="E9" s="2845"/>
      <c r="F9" s="2931" t="s">
        <v>3985</v>
      </c>
      <c r="G9" s="1169"/>
      <c r="H9" s="2931"/>
      <c r="I9" s="2938"/>
      <c r="J9" s="2938"/>
      <c r="K9" s="1580"/>
      <c r="L9" s="1580"/>
      <c r="M9" s="1580"/>
      <c r="N9" s="1580"/>
      <c r="O9" s="1580"/>
      <c r="P9" s="1580"/>
      <c r="Q9" s="1580"/>
      <c r="R9" s="1580"/>
      <c r="S9" s="1580"/>
      <c r="T9" s="1580"/>
      <c r="U9" s="1580"/>
    </row>
    <row r="10" customFormat="false" ht="15" hidden="false" customHeight="true" outlineLevel="1" collapsed="false">
      <c r="A10" s="2939" t="s">
        <v>3005</v>
      </c>
      <c r="B10" s="2939"/>
      <c r="C10" s="2939"/>
      <c r="D10" s="2940" t="s">
        <v>12</v>
      </c>
      <c r="E10" s="2941" t="s">
        <v>137</v>
      </c>
      <c r="F10" s="2942"/>
      <c r="G10" s="1169"/>
      <c r="H10" s="2931"/>
      <c r="I10" s="2938"/>
      <c r="J10" s="2938"/>
      <c r="K10" s="1580"/>
      <c r="L10" s="1580"/>
      <c r="M10" s="1580"/>
      <c r="N10" s="1580"/>
      <c r="O10" s="1580"/>
      <c r="P10" s="1580"/>
      <c r="Q10" s="1580"/>
      <c r="R10" s="1580"/>
      <c r="S10" s="1580"/>
      <c r="T10" s="1580"/>
      <c r="U10" s="1580"/>
    </row>
    <row r="11" customFormat="false" ht="15" hidden="false" customHeight="true" outlineLevel="1" collapsed="false">
      <c r="A11" s="2932" t="s">
        <v>302</v>
      </c>
      <c r="B11" s="2932"/>
      <c r="C11" s="2932"/>
      <c r="D11" s="2943" t="s">
        <v>15</v>
      </c>
      <c r="E11" s="2845"/>
      <c r="F11" s="2944" t="n">
        <f aca="false">дома!AA38</f>
        <v>6.3</v>
      </c>
      <c r="G11" s="2930" t="s">
        <v>3668</v>
      </c>
      <c r="H11" s="2931"/>
      <c r="I11" s="2938"/>
      <c r="J11" s="2938"/>
      <c r="K11" s="1580"/>
      <c r="L11" s="1580"/>
      <c r="M11" s="1580"/>
      <c r="N11" s="1580"/>
      <c r="O11" s="1580"/>
      <c r="P11" s="1580"/>
      <c r="Q11" s="1580"/>
      <c r="R11" s="1580"/>
      <c r="S11" s="1580"/>
      <c r="T11" s="1580"/>
      <c r="U11" s="1580"/>
    </row>
    <row r="12" customFormat="false" ht="15" hidden="false" customHeight="true" outlineLevel="1" collapsed="false">
      <c r="A12" s="2932" t="s">
        <v>2758</v>
      </c>
      <c r="B12" s="2932"/>
      <c r="C12" s="2932"/>
      <c r="D12" s="2943" t="s">
        <v>15</v>
      </c>
      <c r="E12" s="2845"/>
      <c r="F12" s="2944" t="n">
        <f aca="false">дома!AA42</f>
        <v>6.3</v>
      </c>
      <c r="G12" s="2930" t="s">
        <v>3669</v>
      </c>
      <c r="H12" s="2931"/>
      <c r="I12" s="2938"/>
      <c r="J12" s="2938"/>
      <c r="K12" s="1580"/>
      <c r="L12" s="1580"/>
      <c r="M12" s="1580"/>
      <c r="N12" s="1580"/>
      <c r="O12" s="1580"/>
      <c r="P12" s="1580"/>
      <c r="Q12" s="1580"/>
      <c r="R12" s="1580"/>
      <c r="S12" s="1580"/>
      <c r="T12" s="1580"/>
      <c r="U12" s="1580"/>
    </row>
    <row r="13" customFormat="false" ht="15" hidden="false" customHeight="true" outlineLevel="1" collapsed="false">
      <c r="A13" s="2932" t="s">
        <v>2759</v>
      </c>
      <c r="B13" s="2932"/>
      <c r="C13" s="2932"/>
      <c r="D13" s="2943" t="s">
        <v>15</v>
      </c>
      <c r="E13" s="2845"/>
      <c r="F13" s="2944" t="n">
        <f aca="false">дома!AA51</f>
        <v>0</v>
      </c>
      <c r="G13" s="2930" t="s">
        <v>3670</v>
      </c>
      <c r="H13" s="2931"/>
      <c r="I13" s="2938"/>
      <c r="J13" s="2938"/>
      <c r="K13" s="1580"/>
      <c r="L13" s="1580"/>
      <c r="M13" s="1580"/>
      <c r="N13" s="1580"/>
      <c r="O13" s="1580"/>
      <c r="P13" s="1580"/>
      <c r="Q13" s="1580"/>
      <c r="R13" s="1580"/>
      <c r="S13" s="1580"/>
      <c r="T13" s="1580"/>
      <c r="U13" s="1580"/>
    </row>
    <row r="14" customFormat="false" ht="15" hidden="false" customHeight="true" outlineLevel="1" collapsed="false">
      <c r="A14" s="1240" t="s">
        <v>2108</v>
      </c>
      <c r="B14" s="1240"/>
      <c r="C14" s="1240"/>
      <c r="D14" s="1242" t="s">
        <v>116</v>
      </c>
      <c r="E14" s="1242" t="s">
        <v>137</v>
      </c>
      <c r="F14" s="2941" t="s">
        <v>118</v>
      </c>
      <c r="G14" s="2945" t="s">
        <v>3014</v>
      </c>
      <c r="H14" s="2930"/>
      <c r="I14" s="2938"/>
      <c r="J14" s="2938"/>
      <c r="K14" s="1580"/>
      <c r="L14" s="1580"/>
      <c r="M14" s="1580"/>
      <c r="N14" s="1580"/>
      <c r="O14" s="1580"/>
      <c r="P14" s="1580"/>
      <c r="Q14" s="1580"/>
      <c r="R14" s="1580"/>
      <c r="S14" s="1580"/>
      <c r="T14" s="1580"/>
      <c r="U14" s="1580"/>
    </row>
    <row r="15" customFormat="false" ht="15" hidden="false" customHeight="true" outlineLevel="1" collapsed="false">
      <c r="A15" s="2946" t="s">
        <v>3047</v>
      </c>
      <c r="B15" s="2946"/>
      <c r="C15" s="2946"/>
      <c r="D15" s="2947" t="n">
        <f aca="false">'Ввод данных'!C158</f>
        <v>1</v>
      </c>
      <c r="E15" s="2845" t="n">
        <f aca="false">'Ввод данных'!D158</f>
        <v>1.2</v>
      </c>
      <c r="F15" s="2944" t="n">
        <f aca="false">'Ввод данных'!E158</f>
        <v>1</v>
      </c>
      <c r="G15" s="2948" t="n">
        <f aca="false">D15*E15*F15</f>
        <v>1.2</v>
      </c>
      <c r="H15" s="2930"/>
      <c r="I15" s="2938"/>
      <c r="J15" s="2938"/>
      <c r="K15" s="1580"/>
      <c r="L15" s="1580"/>
      <c r="M15" s="1580"/>
      <c r="N15" s="1580"/>
      <c r="O15" s="1580"/>
      <c r="P15" s="1580"/>
      <c r="Q15" s="1580"/>
      <c r="R15" s="1580"/>
      <c r="S15" s="1580"/>
      <c r="T15" s="1580"/>
      <c r="U15" s="1580"/>
    </row>
    <row r="16" customFormat="false" ht="15" hidden="false" customHeight="true" outlineLevel="1" collapsed="false">
      <c r="A16" s="2946" t="s">
        <v>3048</v>
      </c>
      <c r="B16" s="2946"/>
      <c r="C16" s="2946"/>
      <c r="D16" s="2947" t="n">
        <f aca="false">'Ввод данных'!C159</f>
        <v>0.6</v>
      </c>
      <c r="E16" s="2845" t="n">
        <f aca="false">'Ввод данных'!D159</f>
        <v>0.6</v>
      </c>
      <c r="F16" s="2944" t="n">
        <f aca="false">'Ввод данных'!E159</f>
        <v>0</v>
      </c>
      <c r="G16" s="2948" t="n">
        <f aca="false">D16*E16*F16</f>
        <v>0</v>
      </c>
      <c r="H16" s="2930"/>
      <c r="I16" s="2938"/>
      <c r="J16" s="2938"/>
      <c r="K16" s="1580"/>
      <c r="L16" s="1580"/>
      <c r="M16" s="1580"/>
      <c r="N16" s="1580"/>
      <c r="O16" s="1580"/>
      <c r="P16" s="1580"/>
      <c r="Q16" s="1580"/>
      <c r="R16" s="1580"/>
      <c r="S16" s="1580"/>
      <c r="T16" s="1580"/>
      <c r="U16" s="1580"/>
    </row>
    <row r="17" customFormat="false" ht="15" hidden="false" customHeight="true" outlineLevel="1" collapsed="false">
      <c r="A17" s="2946" t="s">
        <v>3049</v>
      </c>
      <c r="B17" s="2946"/>
      <c r="C17" s="2946"/>
      <c r="D17" s="2947" t="n">
        <f aca="false">'Ввод данных'!C160</f>
        <v>1</v>
      </c>
      <c r="E17" s="2845" t="n">
        <f aca="false">'Ввод данных'!D160</f>
        <v>2</v>
      </c>
      <c r="F17" s="2944" t="n">
        <f aca="false">'Ввод данных'!E160</f>
        <v>0</v>
      </c>
      <c r="G17" s="2948" t="n">
        <f aca="false">D17*E17*F17</f>
        <v>0</v>
      </c>
      <c r="H17" s="2930"/>
      <c r="I17" s="2938"/>
      <c r="J17" s="2938"/>
      <c r="K17" s="1580"/>
      <c r="L17" s="1580"/>
      <c r="M17" s="1580"/>
      <c r="N17" s="1580"/>
      <c r="O17" s="1580"/>
      <c r="P17" s="1580"/>
      <c r="Q17" s="1580"/>
      <c r="R17" s="1580"/>
      <c r="S17" s="1580"/>
      <c r="T17" s="1580"/>
      <c r="U17" s="1580"/>
    </row>
    <row r="18" customFormat="false" ht="15" hidden="false" customHeight="true" outlineLevel="1" collapsed="false">
      <c r="A18" s="2946" t="s">
        <v>3039</v>
      </c>
      <c r="B18" s="2946"/>
      <c r="C18" s="2946"/>
      <c r="D18" s="2947" t="n">
        <f aca="false">'Ввод данных'!C163</f>
        <v>0.8</v>
      </c>
      <c r="E18" s="2845" t="n">
        <f aca="false">'Ввод данных'!D163</f>
        <v>2.1</v>
      </c>
      <c r="F18" s="2944" t="n">
        <f aca="false">'Ввод данных'!E163</f>
        <v>0</v>
      </c>
      <c r="G18" s="2948" t="n">
        <f aca="false">D18*E18*F18</f>
        <v>0</v>
      </c>
      <c r="H18" s="2930"/>
      <c r="I18" s="2938"/>
      <c r="J18" s="2938"/>
      <c r="K18" s="1580"/>
      <c r="L18" s="1580"/>
      <c r="M18" s="1580"/>
      <c r="N18" s="1580"/>
      <c r="O18" s="1580"/>
      <c r="P18" s="1580"/>
      <c r="Q18" s="1580"/>
      <c r="R18" s="1580"/>
      <c r="S18" s="1580"/>
      <c r="T18" s="1580"/>
      <c r="U18" s="1580"/>
    </row>
    <row r="19" customFormat="false" ht="15" hidden="false" customHeight="true" outlineLevel="1" collapsed="false">
      <c r="A19" s="2949" t="s">
        <v>3043</v>
      </c>
      <c r="B19" s="2949"/>
      <c r="C19" s="2949"/>
      <c r="D19" s="2949"/>
      <c r="E19" s="2949"/>
      <c r="F19" s="2949"/>
      <c r="G19" s="2948" t="n">
        <f aca="false">SUM(G15:G18)</f>
        <v>1.2</v>
      </c>
      <c r="H19" s="2930"/>
      <c r="I19" s="2938"/>
      <c r="J19" s="2938"/>
      <c r="K19" s="1580"/>
      <c r="L19" s="1580"/>
      <c r="M19" s="1580"/>
      <c r="N19" s="1580"/>
      <c r="O19" s="1580"/>
      <c r="P19" s="1580"/>
      <c r="Q19" s="1580"/>
      <c r="R19" s="1580"/>
      <c r="S19" s="1580"/>
      <c r="T19" s="1580"/>
      <c r="U19" s="1580"/>
    </row>
    <row r="20" customFormat="false" ht="15" hidden="false" customHeight="true" outlineLevel="1" collapsed="false">
      <c r="A20" s="2950" t="s">
        <v>2791</v>
      </c>
      <c r="B20" s="2950"/>
      <c r="C20" s="2950"/>
      <c r="D20" s="2951" t="s">
        <v>116</v>
      </c>
      <c r="E20" s="2951" t="s">
        <v>137</v>
      </c>
      <c r="F20" s="2951" t="s">
        <v>118</v>
      </c>
      <c r="G20" s="2951" t="s">
        <v>3045</v>
      </c>
      <c r="H20" s="2930"/>
      <c r="I20" s="2938"/>
      <c r="J20" s="2938"/>
      <c r="K20" s="1580"/>
      <c r="L20" s="1580"/>
      <c r="M20" s="1580"/>
      <c r="N20" s="1580"/>
      <c r="O20" s="1580"/>
      <c r="P20" s="1580"/>
      <c r="Q20" s="1580"/>
      <c r="R20" s="1580"/>
      <c r="S20" s="1580"/>
      <c r="T20" s="1580"/>
      <c r="U20" s="1580"/>
    </row>
    <row r="21" customFormat="false" ht="15" hidden="false" customHeight="true" outlineLevel="1" collapsed="false">
      <c r="A21" s="2952" t="s">
        <v>3047</v>
      </c>
      <c r="B21" s="2952"/>
      <c r="C21" s="2952"/>
      <c r="D21" s="2947" t="n">
        <f aca="false">'Ввод данных'!C181</f>
        <v>0.8</v>
      </c>
      <c r="E21" s="2845" t="n">
        <f aca="false">'Ввод данных'!D181</f>
        <v>2.1</v>
      </c>
      <c r="F21" s="2944" t="n">
        <f aca="false">'Ввод данных'!E181</f>
        <v>3</v>
      </c>
      <c r="G21" s="1253" t="n">
        <f aca="false">D21*E21*F21</f>
        <v>5.04</v>
      </c>
      <c r="H21" s="2930"/>
      <c r="I21" s="2938"/>
      <c r="J21" s="2938"/>
      <c r="K21" s="1580"/>
      <c r="L21" s="1580"/>
      <c r="M21" s="1580"/>
      <c r="N21" s="1580"/>
      <c r="O21" s="1580"/>
      <c r="P21" s="1580"/>
      <c r="Q21" s="1580"/>
      <c r="R21" s="1580"/>
      <c r="S21" s="1580"/>
      <c r="T21" s="1580"/>
      <c r="U21" s="1580"/>
    </row>
    <row r="22" customFormat="false" ht="15" hidden="false" customHeight="true" outlineLevel="1" collapsed="false">
      <c r="A22" s="2952" t="s">
        <v>3048</v>
      </c>
      <c r="B22" s="2952"/>
      <c r="C22" s="2952"/>
      <c r="D22" s="2947" t="n">
        <f aca="false">'Ввод данных'!C182</f>
        <v>0.6</v>
      </c>
      <c r="E22" s="2845" t="n">
        <f aca="false">'Ввод данных'!D182</f>
        <v>2</v>
      </c>
      <c r="F22" s="2944" t="n">
        <f aca="false">'Ввод данных'!E182</f>
        <v>0</v>
      </c>
      <c r="G22" s="1253" t="n">
        <f aca="false">D22*E22*F22</f>
        <v>0</v>
      </c>
      <c r="H22" s="2930"/>
      <c r="I22" s="2938"/>
      <c r="J22" s="2938"/>
      <c r="K22" s="1580"/>
      <c r="L22" s="1580"/>
      <c r="M22" s="1580"/>
      <c r="N22" s="1580"/>
      <c r="O22" s="1580"/>
      <c r="P22" s="1580"/>
      <c r="Q22" s="1580"/>
      <c r="R22" s="1580"/>
      <c r="S22" s="1580"/>
      <c r="T22" s="1580"/>
      <c r="U22" s="1580"/>
    </row>
    <row r="23" customFormat="false" ht="15" hidden="false" customHeight="true" outlineLevel="1" collapsed="false">
      <c r="A23" s="2952" t="s">
        <v>3049</v>
      </c>
      <c r="B23" s="2952"/>
      <c r="C23" s="2952"/>
      <c r="D23" s="2947" t="n">
        <f aca="false">'Ввод данных'!C185</f>
        <v>0.9</v>
      </c>
      <c r="E23" s="2845" t="n">
        <f aca="false">'Ввод данных'!D185</f>
        <v>2.1</v>
      </c>
      <c r="F23" s="2944" t="n">
        <f aca="false">'Ввод данных'!E185</f>
        <v>0</v>
      </c>
      <c r="G23" s="1253" t="n">
        <f aca="false">D23*E23*F23</f>
        <v>0</v>
      </c>
      <c r="H23" s="2930"/>
      <c r="I23" s="2938"/>
      <c r="J23" s="2938"/>
      <c r="K23" s="1580"/>
      <c r="L23" s="1580"/>
      <c r="M23" s="1580"/>
      <c r="N23" s="1580"/>
      <c r="O23" s="1580"/>
      <c r="P23" s="1580"/>
      <c r="Q23" s="1580"/>
      <c r="R23" s="1580"/>
      <c r="S23" s="1580"/>
      <c r="T23" s="1580"/>
      <c r="U23" s="1580"/>
    </row>
    <row r="24" customFormat="false" ht="15" hidden="false" customHeight="true" outlineLevel="1" collapsed="false">
      <c r="A24" s="2952" t="s">
        <v>3050</v>
      </c>
      <c r="B24" s="2952"/>
      <c r="C24" s="2952"/>
      <c r="D24" s="2947" t="n">
        <f aca="false">'Ввод данных'!C189</f>
        <v>0.8</v>
      </c>
      <c r="E24" s="2845" t="n">
        <f aca="false">'Ввод данных'!D189</f>
        <v>2.1</v>
      </c>
      <c r="F24" s="2944" t="n">
        <f aca="false">'Ввод данных'!E189</f>
        <v>0</v>
      </c>
      <c r="G24" s="1253" t="n">
        <f aca="false">D24*E24*F24</f>
        <v>0</v>
      </c>
      <c r="H24" s="2930"/>
      <c r="I24" s="2938"/>
      <c r="J24" s="2938"/>
      <c r="K24" s="1580"/>
      <c r="L24" s="1580"/>
      <c r="M24" s="1580"/>
      <c r="N24" s="1580"/>
      <c r="O24" s="1580"/>
      <c r="P24" s="1580"/>
      <c r="Q24" s="1580"/>
      <c r="R24" s="1580"/>
      <c r="S24" s="1580"/>
      <c r="T24" s="1580"/>
      <c r="U24" s="1580"/>
    </row>
    <row r="25" customFormat="false" ht="15" hidden="false" customHeight="true" outlineLevel="1" collapsed="false">
      <c r="A25" s="2949" t="s">
        <v>3986</v>
      </c>
      <c r="B25" s="2949"/>
      <c r="C25" s="2949"/>
      <c r="D25" s="2949"/>
      <c r="E25" s="2949"/>
      <c r="F25" s="2949"/>
      <c r="G25" s="1253" t="n">
        <f aca="false">SUM(G21:G24)</f>
        <v>5.04</v>
      </c>
      <c r="H25" s="2930"/>
      <c r="I25" s="2938"/>
      <c r="J25" s="2938"/>
      <c r="K25" s="1580"/>
      <c r="L25" s="1580"/>
      <c r="M25" s="1580"/>
      <c r="N25" s="1580"/>
      <c r="O25" s="1580"/>
      <c r="P25" s="1580"/>
      <c r="Q25" s="1580"/>
      <c r="R25" s="1580"/>
      <c r="S25" s="1580"/>
      <c r="T25" s="1580"/>
      <c r="U25" s="1580"/>
    </row>
    <row r="26" customFormat="false" ht="15" hidden="false" customHeight="true" outlineLevel="1" collapsed="false">
      <c r="A26" s="2950" t="s">
        <v>1839</v>
      </c>
      <c r="B26" s="2950"/>
      <c r="C26" s="2950"/>
      <c r="D26" s="2951" t="s">
        <v>116</v>
      </c>
      <c r="E26" s="2951" t="s">
        <v>137</v>
      </c>
      <c r="F26" s="2951" t="s">
        <v>118</v>
      </c>
      <c r="G26" s="2951" t="s">
        <v>3045</v>
      </c>
      <c r="H26" s="2930"/>
      <c r="I26" s="2938"/>
      <c r="J26" s="2938"/>
      <c r="K26" s="1580"/>
      <c r="L26" s="1580"/>
      <c r="M26" s="1580"/>
      <c r="N26" s="1580"/>
      <c r="O26" s="1580"/>
      <c r="P26" s="1580"/>
      <c r="Q26" s="1580"/>
      <c r="R26" s="1580"/>
      <c r="S26" s="1580"/>
      <c r="T26" s="1580"/>
      <c r="U26" s="1580"/>
    </row>
    <row r="27" customFormat="false" ht="15" hidden="false" customHeight="true" outlineLevel="1" collapsed="false">
      <c r="A27" s="2952" t="s">
        <v>3047</v>
      </c>
      <c r="B27" s="2952"/>
      <c r="C27" s="2952"/>
      <c r="D27" s="2947" t="n">
        <f aca="false">'Ввод данных'!C175</f>
        <v>0.8</v>
      </c>
      <c r="E27" s="2845" t="n">
        <f aca="false">'Ввод данных'!D175</f>
        <v>2</v>
      </c>
      <c r="F27" s="2944" t="n">
        <f aca="false">'Ввод данных'!E175</f>
        <v>0</v>
      </c>
      <c r="G27" s="1253" t="n">
        <f aca="false">D27*E27*F27</f>
        <v>0</v>
      </c>
      <c r="H27" s="2930"/>
      <c r="I27" s="2938"/>
      <c r="J27" s="2938"/>
      <c r="K27" s="1580"/>
      <c r="L27" s="1580"/>
      <c r="M27" s="1580"/>
      <c r="N27" s="1580"/>
      <c r="O27" s="1580"/>
      <c r="P27" s="1580"/>
      <c r="Q27" s="1580"/>
      <c r="R27" s="1580"/>
      <c r="S27" s="1580"/>
      <c r="T27" s="1580"/>
      <c r="U27" s="1580"/>
    </row>
    <row r="28" customFormat="false" ht="15" hidden="false" customHeight="true" outlineLevel="1" collapsed="false">
      <c r="A28" s="2952" t="s">
        <v>3048</v>
      </c>
      <c r="B28" s="2952"/>
      <c r="C28" s="2952"/>
      <c r="D28" s="2947" t="n">
        <f aca="false">'Ввод данных'!C176</f>
        <v>0.9</v>
      </c>
      <c r="E28" s="2845" t="n">
        <f aca="false">'Ввод данных'!D176</f>
        <v>2.1</v>
      </c>
      <c r="F28" s="2944" t="n">
        <f aca="false">'Ввод данных'!E176</f>
        <v>1</v>
      </c>
      <c r="G28" s="1253" t="n">
        <f aca="false">D28*E28*F28</f>
        <v>1.89</v>
      </c>
      <c r="H28" s="2930"/>
      <c r="I28" s="2938"/>
      <c r="J28" s="2938"/>
      <c r="K28" s="1580"/>
      <c r="L28" s="1580"/>
      <c r="M28" s="1580"/>
      <c r="N28" s="1580"/>
      <c r="O28" s="1580"/>
      <c r="P28" s="1580"/>
      <c r="Q28" s="1580"/>
      <c r="R28" s="1580"/>
      <c r="S28" s="1580"/>
      <c r="T28" s="1580"/>
      <c r="U28" s="1580"/>
    </row>
    <row r="29" customFormat="false" ht="15" hidden="false" customHeight="true" outlineLevel="1" collapsed="false">
      <c r="A29" s="2952" t="s">
        <v>3049</v>
      </c>
      <c r="B29" s="2952"/>
      <c r="C29" s="2952"/>
      <c r="D29" s="2947" t="n">
        <f aca="false">'Ввод данных'!C177</f>
        <v>1</v>
      </c>
      <c r="E29" s="2845" t="n">
        <f aca="false">'Ввод данных'!D177</f>
        <v>2</v>
      </c>
      <c r="F29" s="2944" t="n">
        <f aca="false">'Ввод данных'!E177</f>
        <v>0</v>
      </c>
      <c r="G29" s="1253" t="n">
        <f aca="false">D29*E29*F29</f>
        <v>0</v>
      </c>
      <c r="H29" s="2930"/>
      <c r="I29" s="2938"/>
      <c r="J29" s="2938"/>
      <c r="K29" s="1580"/>
      <c r="L29" s="1580"/>
      <c r="M29" s="1580"/>
      <c r="N29" s="1580"/>
      <c r="O29" s="1580"/>
      <c r="P29" s="1580"/>
      <c r="Q29" s="1580"/>
      <c r="R29" s="1580"/>
      <c r="S29" s="1580"/>
      <c r="T29" s="1580"/>
      <c r="U29" s="1580"/>
    </row>
    <row r="30" customFormat="false" ht="15" hidden="false" customHeight="true" outlineLevel="1" collapsed="false">
      <c r="A30" s="2949" t="s">
        <v>3043</v>
      </c>
      <c r="B30" s="2949"/>
      <c r="C30" s="2949"/>
      <c r="D30" s="2949"/>
      <c r="E30" s="2949"/>
      <c r="F30" s="2949"/>
      <c r="G30" s="1253" t="n">
        <f aca="false">SUM(G27:G29)</f>
        <v>1.89</v>
      </c>
      <c r="H30" s="2930"/>
      <c r="I30" s="2938"/>
      <c r="J30" s="2938"/>
      <c r="K30" s="1580"/>
      <c r="L30" s="1580"/>
      <c r="M30" s="1580"/>
      <c r="N30" s="1580"/>
      <c r="O30" s="1580"/>
      <c r="P30" s="1580"/>
      <c r="Q30" s="1580"/>
      <c r="R30" s="1580"/>
      <c r="S30" s="1580"/>
      <c r="T30" s="1580"/>
      <c r="U30" s="1580"/>
    </row>
    <row r="31" customFormat="false" ht="15" hidden="false" customHeight="true" outlineLevel="1" collapsed="false">
      <c r="A31" s="2953"/>
      <c r="B31" s="2953"/>
      <c r="C31" s="2953"/>
      <c r="D31" s="2953"/>
      <c r="E31" s="2931"/>
      <c r="F31" s="2931"/>
      <c r="G31" s="2931"/>
      <c r="H31" s="2938"/>
      <c r="I31" s="2938"/>
      <c r="J31" s="2938"/>
      <c r="K31" s="1580"/>
      <c r="L31" s="1580"/>
      <c r="M31" s="1580"/>
      <c r="N31" s="1580"/>
      <c r="O31" s="1580"/>
      <c r="P31" s="1580"/>
      <c r="Q31" s="1580"/>
      <c r="R31" s="1580"/>
      <c r="S31" s="1580"/>
      <c r="T31" s="1580"/>
      <c r="U31" s="1580"/>
    </row>
    <row r="32" customFormat="false" ht="15" hidden="false" customHeight="true" outlineLevel="1" collapsed="false">
      <c r="A32" s="1242" t="s">
        <v>161</v>
      </c>
      <c r="B32" s="1242"/>
      <c r="C32" s="2941" t="s">
        <v>162</v>
      </c>
      <c r="D32" s="2941" t="s">
        <v>200</v>
      </c>
      <c r="E32" s="2954" t="s">
        <v>118</v>
      </c>
      <c r="F32" s="1242" t="s">
        <v>200</v>
      </c>
      <c r="G32" s="2931"/>
      <c r="H32" s="2938"/>
      <c r="I32" s="2938"/>
      <c r="J32" s="2938"/>
      <c r="K32" s="1580"/>
      <c r="L32" s="1580"/>
      <c r="M32" s="1580"/>
      <c r="N32" s="1580"/>
      <c r="O32" s="1580"/>
      <c r="P32" s="1580"/>
      <c r="Q32" s="1580"/>
      <c r="R32" s="1580"/>
      <c r="S32" s="1580"/>
      <c r="T32" s="1580"/>
      <c r="U32" s="1580"/>
    </row>
    <row r="33" customFormat="false" ht="15" hidden="false" customHeight="true" outlineLevel="1" collapsed="false">
      <c r="A33" s="2955" t="s">
        <v>166</v>
      </c>
      <c r="B33" s="2955"/>
      <c r="C33" s="2956" t="s">
        <v>15</v>
      </c>
      <c r="D33" s="2947" t="n">
        <f aca="false">'Ввод данных'!C202</f>
        <v>6</v>
      </c>
      <c r="E33" s="2845" t="n">
        <f aca="false">'Ввод данных'!D202</f>
        <v>2</v>
      </c>
      <c r="F33" s="1253" t="n">
        <f aca="false">D33*E33</f>
        <v>12</v>
      </c>
      <c r="G33" s="2931"/>
      <c r="H33" s="2938"/>
      <c r="I33" s="2938"/>
      <c r="J33" s="2938"/>
      <c r="K33" s="1580"/>
      <c r="L33" s="1580"/>
      <c r="M33" s="1580"/>
      <c r="N33" s="1580"/>
      <c r="O33" s="1580"/>
      <c r="P33" s="1580"/>
      <c r="Q33" s="1580"/>
      <c r="R33" s="1580"/>
      <c r="S33" s="1580"/>
      <c r="T33" s="1580"/>
      <c r="U33" s="1580"/>
    </row>
    <row r="34" customFormat="false" ht="15" hidden="false" customHeight="true" outlineLevel="1" collapsed="false">
      <c r="A34" s="2955"/>
      <c r="B34" s="2955"/>
      <c r="C34" s="2956" t="s">
        <v>15</v>
      </c>
      <c r="D34" s="2947" t="n">
        <f aca="false">'Ввод данных'!C203</f>
        <v>4</v>
      </c>
      <c r="E34" s="2845" t="n">
        <f aca="false">'Ввод данных'!D203</f>
        <v>1</v>
      </c>
      <c r="F34" s="1253" t="n">
        <f aca="false">D34*E34</f>
        <v>4</v>
      </c>
      <c r="G34" s="2931"/>
      <c r="H34" s="2938"/>
      <c r="I34" s="2938"/>
      <c r="J34" s="2938"/>
      <c r="K34" s="1580"/>
      <c r="L34" s="1580"/>
      <c r="M34" s="1580"/>
      <c r="N34" s="1580"/>
      <c r="O34" s="1580"/>
      <c r="P34" s="1580"/>
      <c r="Q34" s="1580"/>
      <c r="R34" s="1580"/>
      <c r="S34" s="1580"/>
      <c r="T34" s="1580"/>
      <c r="U34" s="1580"/>
    </row>
    <row r="35" customFormat="false" ht="15" hidden="false" customHeight="true" outlineLevel="1" collapsed="false">
      <c r="A35" s="2955"/>
      <c r="B35" s="2955"/>
      <c r="C35" s="2956" t="s">
        <v>15</v>
      </c>
      <c r="D35" s="2947" t="n">
        <f aca="false">'Ввод данных'!C204</f>
        <v>0</v>
      </c>
      <c r="E35" s="2845" t="n">
        <f aca="false">'Ввод данных'!D204</f>
        <v>0</v>
      </c>
      <c r="F35" s="1253" t="n">
        <f aca="false">D35*E35</f>
        <v>0</v>
      </c>
      <c r="G35" s="2931"/>
      <c r="H35" s="2938"/>
      <c r="I35" s="2938"/>
      <c r="J35" s="2938"/>
      <c r="K35" s="1580"/>
      <c r="L35" s="1580"/>
      <c r="M35" s="1580"/>
      <c r="N35" s="1580"/>
      <c r="O35" s="1580"/>
      <c r="P35" s="1580"/>
      <c r="Q35" s="1580"/>
      <c r="R35" s="1580"/>
      <c r="S35" s="1580"/>
      <c r="T35" s="1580"/>
      <c r="U35" s="1580"/>
    </row>
    <row r="36" customFormat="false" ht="15" hidden="false" customHeight="true" outlineLevel="1" collapsed="false">
      <c r="A36" s="2955"/>
      <c r="B36" s="2955"/>
      <c r="C36" s="2956" t="s">
        <v>15</v>
      </c>
      <c r="D36" s="2947" t="n">
        <f aca="false">'Ввод данных'!C205</f>
        <v>0</v>
      </c>
      <c r="E36" s="2845" t="n">
        <f aca="false">'Ввод данных'!D205</f>
        <v>0</v>
      </c>
      <c r="F36" s="1253" t="n">
        <f aca="false">D36*E36</f>
        <v>0</v>
      </c>
      <c r="G36" s="2931"/>
      <c r="H36" s="2938"/>
      <c r="I36" s="2938"/>
      <c r="J36" s="2938"/>
      <c r="K36" s="1580"/>
      <c r="L36" s="1580"/>
      <c r="M36" s="1580"/>
      <c r="N36" s="1580"/>
      <c r="O36" s="1580"/>
      <c r="P36" s="1580"/>
      <c r="Q36" s="1580"/>
      <c r="R36" s="1580"/>
      <c r="S36" s="1580"/>
      <c r="T36" s="1580"/>
      <c r="U36" s="1580"/>
    </row>
    <row r="37" customFormat="false" ht="15" hidden="false" customHeight="true" outlineLevel="1" collapsed="false">
      <c r="A37" s="2955" t="s">
        <v>169</v>
      </c>
      <c r="B37" s="2955"/>
      <c r="C37" s="2956" t="s">
        <v>15</v>
      </c>
      <c r="D37" s="2947" t="n">
        <f aca="false">'Ввод данных'!C206</f>
        <v>1.8</v>
      </c>
      <c r="E37" s="2845" t="n">
        <f aca="false">'Ввод данных'!D206</f>
        <v>1</v>
      </c>
      <c r="F37" s="1253" t="n">
        <f aca="false">D37*E37</f>
        <v>1.8</v>
      </c>
      <c r="G37" s="2931"/>
      <c r="H37" s="2938"/>
      <c r="I37" s="2938"/>
      <c r="J37" s="2931"/>
      <c r="K37" s="1580"/>
      <c r="L37" s="1580"/>
      <c r="M37" s="1580"/>
      <c r="N37" s="1580"/>
      <c r="O37" s="1580"/>
      <c r="P37" s="1580"/>
      <c r="Q37" s="1580"/>
      <c r="R37" s="1580"/>
      <c r="S37" s="1580"/>
      <c r="T37" s="1580"/>
      <c r="U37" s="1580"/>
    </row>
    <row r="38" customFormat="false" ht="15" hidden="false" customHeight="true" outlineLevel="1" collapsed="false">
      <c r="A38" s="2955"/>
      <c r="B38" s="2955"/>
      <c r="C38" s="2956" t="s">
        <v>15</v>
      </c>
      <c r="D38" s="2947" t="n">
        <f aca="false">'Ввод данных'!C207</f>
        <v>0</v>
      </c>
      <c r="E38" s="2845" t="n">
        <f aca="false">'Ввод данных'!D207</f>
        <v>0</v>
      </c>
      <c r="F38" s="1253" t="n">
        <f aca="false">D38*E38</f>
        <v>0</v>
      </c>
      <c r="G38" s="2931"/>
      <c r="H38" s="2938"/>
      <c r="I38" s="2931"/>
      <c r="J38" s="2931"/>
      <c r="K38" s="1580"/>
      <c r="L38" s="1580"/>
      <c r="M38" s="1580"/>
      <c r="N38" s="1580"/>
      <c r="O38" s="1580"/>
      <c r="P38" s="1580"/>
      <c r="Q38" s="1580"/>
      <c r="R38" s="1580"/>
      <c r="S38" s="1580"/>
      <c r="T38" s="1580"/>
      <c r="U38" s="1580"/>
    </row>
    <row r="39" customFormat="false" ht="15" hidden="false" customHeight="true" outlineLevel="1" collapsed="false">
      <c r="A39" s="2955"/>
      <c r="B39" s="2955"/>
      <c r="C39" s="2956" t="s">
        <v>15</v>
      </c>
      <c r="D39" s="2947" t="n">
        <f aca="false">'Ввод данных'!C208</f>
        <v>0</v>
      </c>
      <c r="E39" s="2845" t="n">
        <f aca="false">'Ввод данных'!D208</f>
        <v>0</v>
      </c>
      <c r="F39" s="1253" t="n">
        <f aca="false">D39*E39</f>
        <v>0</v>
      </c>
      <c r="G39" s="2931"/>
      <c r="H39" s="2938"/>
      <c r="I39" s="2938"/>
      <c r="J39" s="2931"/>
      <c r="K39" s="1580"/>
      <c r="L39" s="1580"/>
      <c r="M39" s="1580"/>
      <c r="N39" s="1580"/>
      <c r="O39" s="1580"/>
      <c r="P39" s="1580"/>
      <c r="Q39" s="1580"/>
      <c r="R39" s="1580"/>
      <c r="S39" s="1580"/>
      <c r="T39" s="1580"/>
      <c r="U39" s="1580"/>
    </row>
    <row r="40" customFormat="false" ht="15" hidden="false" customHeight="true" outlineLevel="1" collapsed="false">
      <c r="A40" s="2955"/>
      <c r="B40" s="2955"/>
      <c r="C40" s="2956" t="s">
        <v>15</v>
      </c>
      <c r="D40" s="2947" t="n">
        <f aca="false">'Ввод данных'!C209</f>
        <v>0</v>
      </c>
      <c r="E40" s="2845" t="n">
        <f aca="false">'Ввод данных'!D209</f>
        <v>0</v>
      </c>
      <c r="F40" s="1253" t="n">
        <f aca="false">D40*E40</f>
        <v>0</v>
      </c>
      <c r="G40" s="2931"/>
      <c r="H40" s="2938"/>
      <c r="I40" s="2931"/>
      <c r="J40" s="2931"/>
      <c r="K40" s="1580"/>
      <c r="L40" s="1580"/>
      <c r="M40" s="1580"/>
      <c r="N40" s="1580"/>
      <c r="O40" s="1580"/>
      <c r="P40" s="1580"/>
      <c r="Q40" s="1580"/>
      <c r="R40" s="1580"/>
      <c r="S40" s="1580"/>
      <c r="T40" s="1580"/>
      <c r="U40" s="1580"/>
    </row>
    <row r="41" customFormat="false" ht="15" hidden="false" customHeight="true" outlineLevel="1" collapsed="false">
      <c r="A41" s="2955" t="s">
        <v>170</v>
      </c>
      <c r="B41" s="2955"/>
      <c r="C41" s="2956" t="s">
        <v>15</v>
      </c>
      <c r="D41" s="2947" t="n">
        <f aca="false">'Ввод данных'!C210</f>
        <v>0</v>
      </c>
      <c r="E41" s="2845" t="n">
        <f aca="false">'Ввод данных'!D210</f>
        <v>0</v>
      </c>
      <c r="F41" s="1253" t="n">
        <f aca="false">D41*E41</f>
        <v>0</v>
      </c>
      <c r="G41" s="2931"/>
      <c r="H41" s="2938"/>
      <c r="I41" s="2931"/>
      <c r="J41" s="2931"/>
      <c r="K41" s="1580"/>
      <c r="L41" s="1580"/>
      <c r="M41" s="1580"/>
      <c r="N41" s="1580"/>
      <c r="O41" s="1580"/>
      <c r="P41" s="1580"/>
      <c r="Q41" s="1580"/>
      <c r="R41" s="1580"/>
      <c r="S41" s="1580"/>
      <c r="T41" s="1580"/>
      <c r="U41" s="1580"/>
    </row>
    <row r="42" customFormat="false" ht="15" hidden="false" customHeight="true" outlineLevel="1" collapsed="false">
      <c r="A42" s="2955"/>
      <c r="B42" s="2955"/>
      <c r="C42" s="2956" t="s">
        <v>15</v>
      </c>
      <c r="D42" s="2947" t="n">
        <f aca="false">'Ввод данных'!C211</f>
        <v>0</v>
      </c>
      <c r="E42" s="2845" t="n">
        <f aca="false">'Ввод данных'!D211</f>
        <v>0</v>
      </c>
      <c r="F42" s="1253" t="n">
        <f aca="false">D42*E42</f>
        <v>0</v>
      </c>
      <c r="G42" s="2931"/>
      <c r="H42" s="2938"/>
      <c r="I42" s="2931"/>
      <c r="J42" s="2931"/>
      <c r="K42" s="1580"/>
      <c r="L42" s="1580"/>
      <c r="M42" s="1580"/>
      <c r="N42" s="1580"/>
      <c r="O42" s="1580"/>
      <c r="P42" s="1580"/>
      <c r="Q42" s="1580"/>
      <c r="R42" s="1580"/>
      <c r="S42" s="1580"/>
      <c r="T42" s="1580"/>
      <c r="U42" s="1580"/>
    </row>
    <row r="43" customFormat="false" ht="15" hidden="false" customHeight="true" outlineLevel="1" collapsed="false">
      <c r="A43" s="2955"/>
      <c r="B43" s="2955"/>
      <c r="C43" s="2956" t="s">
        <v>15</v>
      </c>
      <c r="D43" s="2947" t="n">
        <f aca="false">'Ввод данных'!C212</f>
        <v>0</v>
      </c>
      <c r="E43" s="2845" t="n">
        <f aca="false">'Ввод данных'!D212</f>
        <v>0</v>
      </c>
      <c r="F43" s="1253" t="n">
        <f aca="false">D43*E43</f>
        <v>0</v>
      </c>
      <c r="G43" s="2931"/>
      <c r="H43" s="2938"/>
      <c r="I43" s="2957"/>
      <c r="J43" s="2931"/>
      <c r="K43" s="1580"/>
      <c r="L43" s="1580"/>
      <c r="M43" s="1580"/>
      <c r="N43" s="1580"/>
      <c r="O43" s="1580"/>
      <c r="P43" s="1580"/>
      <c r="Q43" s="1580"/>
      <c r="R43" s="1580"/>
      <c r="S43" s="1580"/>
      <c r="T43" s="1580"/>
      <c r="U43" s="1580"/>
    </row>
    <row r="44" customFormat="false" ht="15" hidden="false" customHeight="true" outlineLevel="1" collapsed="false">
      <c r="A44" s="2955"/>
      <c r="B44" s="2955"/>
      <c r="C44" s="2956" t="s">
        <v>15</v>
      </c>
      <c r="D44" s="2947" t="n">
        <f aca="false">'Ввод данных'!C213</f>
        <v>0</v>
      </c>
      <c r="E44" s="2845" t="n">
        <f aca="false">'Ввод данных'!D213</f>
        <v>0</v>
      </c>
      <c r="F44" s="1253" t="n">
        <f aca="false">D44*E44</f>
        <v>0</v>
      </c>
      <c r="G44" s="2931"/>
      <c r="H44" s="2938"/>
      <c r="I44" s="2931"/>
      <c r="J44" s="2931"/>
      <c r="K44" s="1580"/>
      <c r="L44" s="1580"/>
      <c r="M44" s="1580"/>
      <c r="N44" s="1580"/>
      <c r="O44" s="1580"/>
      <c r="P44" s="1580"/>
      <c r="Q44" s="1580"/>
      <c r="R44" s="1580"/>
      <c r="S44" s="1580"/>
      <c r="T44" s="1580"/>
      <c r="U44" s="1580"/>
    </row>
    <row r="45" customFormat="false" ht="15" hidden="false" customHeight="true" outlineLevel="1" collapsed="false">
      <c r="A45" s="2955" t="s">
        <v>172</v>
      </c>
      <c r="B45" s="2955"/>
      <c r="C45" s="2956" t="s">
        <v>15</v>
      </c>
      <c r="D45" s="2947" t="n">
        <f aca="false">'Ввод данных'!C214</f>
        <v>3</v>
      </c>
      <c r="E45" s="2845" t="n">
        <f aca="false">'Ввод данных'!D214</f>
        <v>2</v>
      </c>
      <c r="F45" s="1253" t="n">
        <f aca="false">D45*E45</f>
        <v>6</v>
      </c>
      <c r="G45" s="2931"/>
      <c r="H45" s="2938"/>
      <c r="I45" s="2931"/>
      <c r="J45" s="2931"/>
      <c r="K45" s="1580"/>
      <c r="L45" s="1580"/>
      <c r="M45" s="1580"/>
      <c r="N45" s="1580"/>
      <c r="O45" s="1580"/>
      <c r="P45" s="1580"/>
      <c r="Q45" s="1580"/>
      <c r="R45" s="1580"/>
      <c r="S45" s="1580"/>
      <c r="T45" s="1580"/>
      <c r="U45" s="1580"/>
    </row>
    <row r="46" customFormat="false" ht="15" hidden="false" customHeight="true" outlineLevel="1" collapsed="false">
      <c r="A46" s="2955"/>
      <c r="B46" s="2955"/>
      <c r="C46" s="2956" t="s">
        <v>15</v>
      </c>
      <c r="D46" s="2947" t="n">
        <f aca="false">'Ввод данных'!C215</f>
        <v>0</v>
      </c>
      <c r="E46" s="2845" t="n">
        <f aca="false">'Ввод данных'!D215</f>
        <v>0</v>
      </c>
      <c r="F46" s="1253" t="n">
        <f aca="false">D46*E46</f>
        <v>0</v>
      </c>
      <c r="G46" s="2931"/>
      <c r="H46" s="2958"/>
      <c r="I46" s="2931"/>
      <c r="J46" s="2931"/>
      <c r="K46" s="1580"/>
      <c r="L46" s="1580"/>
      <c r="M46" s="1580"/>
      <c r="N46" s="1580"/>
      <c r="O46" s="1580"/>
      <c r="P46" s="1580"/>
      <c r="Q46" s="1580"/>
      <c r="R46" s="1580"/>
      <c r="S46" s="1580"/>
      <c r="T46" s="1580"/>
      <c r="U46" s="1580"/>
    </row>
    <row r="47" customFormat="false" ht="15" hidden="false" customHeight="true" outlineLevel="1" collapsed="false">
      <c r="A47" s="2955"/>
      <c r="B47" s="2955"/>
      <c r="C47" s="2956" t="s">
        <v>15</v>
      </c>
      <c r="D47" s="2947" t="n">
        <f aca="false">'Ввод данных'!C216</f>
        <v>0</v>
      </c>
      <c r="E47" s="2845" t="n">
        <f aca="false">'Ввод данных'!D216</f>
        <v>0</v>
      </c>
      <c r="F47" s="1253" t="n">
        <f aca="false">D47*E47</f>
        <v>0</v>
      </c>
      <c r="G47" s="2931"/>
      <c r="H47" s="2958"/>
      <c r="I47" s="2931"/>
      <c r="J47" s="2931"/>
      <c r="K47" s="1580"/>
      <c r="L47" s="1580"/>
      <c r="M47" s="1580"/>
      <c r="N47" s="1580"/>
      <c r="O47" s="1580"/>
      <c r="P47" s="1580"/>
      <c r="Q47" s="1580"/>
      <c r="R47" s="1580"/>
      <c r="S47" s="1580"/>
      <c r="T47" s="1580"/>
      <c r="U47" s="1580"/>
    </row>
    <row r="48" customFormat="false" ht="15" hidden="false" customHeight="true" outlineLevel="1" collapsed="false">
      <c r="A48" s="2955"/>
      <c r="B48" s="2955"/>
      <c r="C48" s="2956" t="s">
        <v>15</v>
      </c>
      <c r="D48" s="2947" t="n">
        <f aca="false">'Ввод данных'!C217</f>
        <v>0</v>
      </c>
      <c r="E48" s="2845" t="n">
        <f aca="false">'Ввод данных'!D217</f>
        <v>0</v>
      </c>
      <c r="F48" s="1253" t="n">
        <f aca="false">D48*E48</f>
        <v>0</v>
      </c>
      <c r="G48" s="2931"/>
      <c r="H48" s="2958"/>
      <c r="I48" s="2931"/>
      <c r="J48" s="2931"/>
      <c r="K48" s="1580"/>
      <c r="L48" s="1580"/>
      <c r="M48" s="1580"/>
      <c r="N48" s="1580"/>
      <c r="O48" s="1580"/>
      <c r="P48" s="1580"/>
      <c r="Q48" s="1580"/>
      <c r="R48" s="1580"/>
      <c r="S48" s="1580"/>
      <c r="T48" s="1580"/>
      <c r="U48" s="1580"/>
    </row>
    <row r="49" customFormat="false" ht="15" hidden="false" customHeight="true" outlineLevel="1" collapsed="false">
      <c r="A49" s="2955" t="s">
        <v>173</v>
      </c>
      <c r="B49" s="2955"/>
      <c r="C49" s="2956" t="s">
        <v>15</v>
      </c>
      <c r="D49" s="2947" t="n">
        <f aca="false">'Ввод данных'!C218</f>
        <v>3.5</v>
      </c>
      <c r="E49" s="2845" t="n">
        <f aca="false">'Ввод данных'!D218</f>
        <v>1</v>
      </c>
      <c r="F49" s="1253" t="n">
        <f aca="false">D49*E49</f>
        <v>3.5</v>
      </c>
      <c r="G49" s="2959"/>
      <c r="H49" s="2960"/>
      <c r="I49" s="2961" t="s">
        <v>208</v>
      </c>
      <c r="J49" s="2931"/>
      <c r="K49" s="1580"/>
      <c r="L49" s="1580"/>
      <c r="M49" s="1580"/>
      <c r="N49" s="1580"/>
      <c r="O49" s="1580"/>
      <c r="P49" s="1580"/>
      <c r="Q49" s="1580"/>
      <c r="R49" s="1580"/>
      <c r="S49" s="1580"/>
      <c r="T49" s="1580"/>
      <c r="U49" s="1580"/>
    </row>
    <row r="50" customFormat="false" ht="15" hidden="false" customHeight="true" outlineLevel="1" collapsed="false">
      <c r="A50" s="2955"/>
      <c r="B50" s="2955"/>
      <c r="C50" s="2956" t="s">
        <v>15</v>
      </c>
      <c r="D50" s="2947" t="n">
        <f aca="false">'Ввод данных'!C219</f>
        <v>0</v>
      </c>
      <c r="E50" s="2845" t="n">
        <f aca="false">'Ввод данных'!D219</f>
        <v>0</v>
      </c>
      <c r="F50" s="1253" t="n">
        <f aca="false">D50*E50</f>
        <v>0</v>
      </c>
      <c r="G50" s="2959"/>
      <c r="H50" s="2960"/>
      <c r="I50" s="2961"/>
      <c r="J50" s="2931"/>
      <c r="K50" s="1580"/>
      <c r="L50" s="1580"/>
      <c r="M50" s="1580"/>
      <c r="N50" s="1580"/>
      <c r="O50" s="1580"/>
      <c r="P50" s="1580"/>
      <c r="Q50" s="1580"/>
      <c r="R50" s="1580"/>
      <c r="S50" s="1580"/>
      <c r="T50" s="1580"/>
      <c r="U50" s="1580"/>
    </row>
    <row r="51" customFormat="false" ht="15" hidden="false" customHeight="true" outlineLevel="1" collapsed="false">
      <c r="A51" s="2955"/>
      <c r="B51" s="2955"/>
      <c r="C51" s="2956" t="s">
        <v>15</v>
      </c>
      <c r="D51" s="2947" t="n">
        <f aca="false">'Ввод данных'!C220</f>
        <v>0</v>
      </c>
      <c r="E51" s="2845" t="n">
        <f aca="false">'Ввод данных'!D220</f>
        <v>0</v>
      </c>
      <c r="F51" s="1253" t="n">
        <f aca="false">D51*E51</f>
        <v>0</v>
      </c>
      <c r="G51" s="2959"/>
      <c r="H51" s="2960"/>
      <c r="I51" s="2961"/>
      <c r="J51" s="2931"/>
      <c r="K51" s="1580"/>
      <c r="L51" s="1580"/>
      <c r="M51" s="1580"/>
      <c r="N51" s="1580"/>
      <c r="O51" s="1580"/>
      <c r="P51" s="1580"/>
      <c r="Q51" s="1580"/>
      <c r="R51" s="1580"/>
      <c r="S51" s="1580"/>
      <c r="T51" s="1580"/>
      <c r="U51" s="1580"/>
    </row>
    <row r="52" customFormat="false" ht="15" hidden="false" customHeight="true" outlineLevel="1" collapsed="false">
      <c r="A52" s="2955"/>
      <c r="B52" s="2955"/>
      <c r="C52" s="2956" t="s">
        <v>15</v>
      </c>
      <c r="D52" s="2947" t="n">
        <f aca="false">'Ввод данных'!C221</f>
        <v>0</v>
      </c>
      <c r="E52" s="2845" t="n">
        <f aca="false">'Ввод данных'!D221</f>
        <v>0</v>
      </c>
      <c r="F52" s="1253" t="n">
        <f aca="false">D52*E52</f>
        <v>0</v>
      </c>
      <c r="G52" s="2962"/>
      <c r="H52" s="2962"/>
      <c r="I52" s="2961"/>
      <c r="J52" s="2931"/>
      <c r="K52" s="1580"/>
      <c r="L52" s="1580"/>
      <c r="M52" s="1580"/>
      <c r="N52" s="1580"/>
      <c r="O52" s="1580"/>
      <c r="P52" s="1580"/>
      <c r="Q52" s="1580"/>
      <c r="R52" s="1580"/>
      <c r="S52" s="1580"/>
      <c r="T52" s="1580"/>
      <c r="U52" s="1580"/>
    </row>
    <row r="53" customFormat="false" ht="15" hidden="false" customHeight="true" outlineLevel="1" collapsed="false">
      <c r="A53" s="2955" t="s">
        <v>175</v>
      </c>
      <c r="B53" s="2955"/>
      <c r="C53" s="2956" t="s">
        <v>15</v>
      </c>
      <c r="D53" s="2947" t="n">
        <f aca="false">'Ввод данных'!C222</f>
        <v>0</v>
      </c>
      <c r="E53" s="2845" t="n">
        <f aca="false">'Ввод данных'!D222</f>
        <v>0</v>
      </c>
      <c r="F53" s="1253" t="n">
        <f aca="false">D53*E53</f>
        <v>0</v>
      </c>
      <c r="G53" s="2931"/>
      <c r="H53" s="2958"/>
      <c r="I53" s="2961"/>
      <c r="J53" s="2931"/>
      <c r="K53" s="1580"/>
      <c r="L53" s="1580"/>
      <c r="M53" s="1580"/>
      <c r="N53" s="1580"/>
      <c r="O53" s="1580"/>
      <c r="P53" s="1580"/>
      <c r="Q53" s="1580"/>
      <c r="R53" s="1580"/>
      <c r="S53" s="1580"/>
      <c r="T53" s="1580"/>
      <c r="U53" s="1580"/>
    </row>
    <row r="54" customFormat="false" ht="15" hidden="false" customHeight="true" outlineLevel="1" collapsed="false">
      <c r="A54" s="2955"/>
      <c r="B54" s="2955"/>
      <c r="C54" s="2956" t="s">
        <v>15</v>
      </c>
      <c r="D54" s="2947" t="n">
        <f aca="false">'Ввод данных'!C223</f>
        <v>0</v>
      </c>
      <c r="E54" s="2845" t="n">
        <f aca="false">'Ввод данных'!D223</f>
        <v>0</v>
      </c>
      <c r="F54" s="1253" t="n">
        <f aca="false">D54*E54</f>
        <v>0</v>
      </c>
      <c r="G54" s="2931"/>
      <c r="H54" s="2958"/>
      <c r="I54" s="2961"/>
      <c r="J54" s="2931"/>
      <c r="K54" s="1580"/>
      <c r="L54" s="1580"/>
      <c r="M54" s="1580"/>
      <c r="N54" s="1580"/>
      <c r="O54" s="1580"/>
      <c r="P54" s="1580"/>
      <c r="Q54" s="1580"/>
      <c r="R54" s="1580"/>
      <c r="S54" s="1580"/>
      <c r="T54" s="1580"/>
      <c r="U54" s="1580"/>
    </row>
    <row r="55" customFormat="false" ht="15" hidden="false" customHeight="true" outlineLevel="1" collapsed="false">
      <c r="A55" s="2955"/>
      <c r="B55" s="2955"/>
      <c r="C55" s="2956" t="s">
        <v>15</v>
      </c>
      <c r="D55" s="2947" t="n">
        <f aca="false">'Ввод данных'!C224</f>
        <v>0</v>
      </c>
      <c r="E55" s="2845" t="n">
        <f aca="false">'Ввод данных'!D224</f>
        <v>0</v>
      </c>
      <c r="F55" s="1253" t="n">
        <f aca="false">D55*E55</f>
        <v>0</v>
      </c>
      <c r="G55" s="2931"/>
      <c r="H55" s="2958"/>
      <c r="I55" s="2961"/>
      <c r="J55" s="2931"/>
      <c r="K55" s="1580"/>
      <c r="L55" s="1580"/>
      <c r="M55" s="1580"/>
      <c r="N55" s="1580"/>
      <c r="O55" s="1580"/>
      <c r="P55" s="1580"/>
      <c r="Q55" s="1580"/>
      <c r="R55" s="1580"/>
      <c r="S55" s="1580"/>
      <c r="T55" s="1580"/>
      <c r="U55" s="1580"/>
    </row>
    <row r="56" customFormat="false" ht="15" hidden="false" customHeight="true" outlineLevel="1" collapsed="false">
      <c r="A56" s="2955"/>
      <c r="B56" s="2955"/>
      <c r="C56" s="2956" t="s">
        <v>15</v>
      </c>
      <c r="D56" s="2947" t="n">
        <f aca="false">'Ввод данных'!C225</f>
        <v>0</v>
      </c>
      <c r="E56" s="2845" t="n">
        <f aca="false">'Ввод данных'!D225</f>
        <v>0</v>
      </c>
      <c r="F56" s="1253" t="n">
        <f aca="false">D56*E56</f>
        <v>0</v>
      </c>
      <c r="G56" s="2931"/>
      <c r="H56" s="2963"/>
      <c r="I56" s="2961"/>
      <c r="J56" s="2931"/>
      <c r="K56" s="1580"/>
      <c r="L56" s="1580"/>
      <c r="M56" s="1580"/>
      <c r="N56" s="1580"/>
      <c r="O56" s="1580"/>
      <c r="P56" s="1580"/>
      <c r="Q56" s="1580"/>
      <c r="R56" s="1580"/>
      <c r="S56" s="1580"/>
      <c r="T56" s="1580"/>
      <c r="U56" s="1580"/>
    </row>
    <row r="57" customFormat="false" ht="15" hidden="false" customHeight="true" outlineLevel="1" collapsed="false">
      <c r="A57" s="2955" t="s">
        <v>178</v>
      </c>
      <c r="B57" s="2955"/>
      <c r="C57" s="2956" t="s">
        <v>15</v>
      </c>
      <c r="D57" s="2947" t="n">
        <f aca="false">'Ввод данных'!C226</f>
        <v>4</v>
      </c>
      <c r="E57" s="2845" t="n">
        <f aca="false">'Ввод данных'!D226</f>
        <v>1</v>
      </c>
      <c r="F57" s="1253" t="n">
        <f aca="false">D57*E57</f>
        <v>4</v>
      </c>
      <c r="G57" s="2931"/>
      <c r="H57" s="2963"/>
      <c r="I57" s="2931"/>
      <c r="J57" s="2931"/>
      <c r="K57" s="1580"/>
      <c r="L57" s="1580"/>
      <c r="M57" s="1580"/>
      <c r="N57" s="1580"/>
      <c r="O57" s="1580"/>
      <c r="P57" s="1580"/>
      <c r="Q57" s="1580"/>
      <c r="R57" s="1580"/>
      <c r="S57" s="1580"/>
      <c r="T57" s="1580"/>
      <c r="U57" s="1580"/>
    </row>
    <row r="58" customFormat="false" ht="15" hidden="false" customHeight="true" outlineLevel="1" collapsed="false">
      <c r="A58" s="2955"/>
      <c r="B58" s="2955"/>
      <c r="C58" s="2956" t="s">
        <v>15</v>
      </c>
      <c r="D58" s="2947" t="n">
        <f aca="false">'Ввод данных'!C227</f>
        <v>2</v>
      </c>
      <c r="E58" s="2845" t="n">
        <f aca="false">'Ввод данных'!D227</f>
        <v>1</v>
      </c>
      <c r="F58" s="1253" t="n">
        <f aca="false">D58*E58</f>
        <v>2</v>
      </c>
      <c r="G58" s="2931"/>
      <c r="H58" s="2963"/>
      <c r="I58" s="2931"/>
      <c r="J58" s="2931"/>
      <c r="K58" s="1580"/>
      <c r="L58" s="1580"/>
      <c r="M58" s="1580"/>
      <c r="N58" s="1580"/>
      <c r="O58" s="1580"/>
      <c r="P58" s="1580"/>
      <c r="Q58" s="1580"/>
      <c r="R58" s="1580"/>
      <c r="S58" s="1580"/>
      <c r="T58" s="1580"/>
      <c r="U58" s="1580"/>
    </row>
    <row r="59" customFormat="false" ht="15" hidden="false" customHeight="true" outlineLevel="1" collapsed="false">
      <c r="A59" s="2955"/>
      <c r="B59" s="2955"/>
      <c r="C59" s="2956" t="s">
        <v>15</v>
      </c>
      <c r="D59" s="2947" t="n">
        <f aca="false">'Ввод данных'!C228</f>
        <v>3</v>
      </c>
      <c r="E59" s="2845" t="n">
        <f aca="false">'Ввод данных'!D228</f>
        <v>1</v>
      </c>
      <c r="F59" s="1253" t="n">
        <f aca="false">D59*E59</f>
        <v>3</v>
      </c>
      <c r="G59" s="2931"/>
      <c r="H59" s="2963"/>
      <c r="I59" s="2931"/>
      <c r="J59" s="2931"/>
      <c r="K59" s="1580"/>
      <c r="L59" s="1580"/>
      <c r="M59" s="1580"/>
      <c r="N59" s="1580"/>
      <c r="O59" s="1580"/>
      <c r="P59" s="1580"/>
      <c r="Q59" s="1580"/>
      <c r="R59" s="1580"/>
      <c r="S59" s="1580"/>
      <c r="T59" s="1580"/>
      <c r="U59" s="1580"/>
    </row>
    <row r="60" customFormat="false" ht="15" hidden="false" customHeight="true" outlineLevel="1" collapsed="false">
      <c r="A60" s="2955"/>
      <c r="B60" s="2955"/>
      <c r="C60" s="2956" t="s">
        <v>15</v>
      </c>
      <c r="D60" s="2947" t="n">
        <f aca="false">'Ввод данных'!C229</f>
        <v>0</v>
      </c>
      <c r="E60" s="2845" t="n">
        <f aca="false">'Ввод данных'!D229</f>
        <v>0</v>
      </c>
      <c r="F60" s="1253" t="n">
        <f aca="false">D60*E60</f>
        <v>0</v>
      </c>
      <c r="G60" s="2931"/>
      <c r="H60" s="2963"/>
      <c r="I60" s="2957"/>
      <c r="J60" s="2931"/>
      <c r="K60" s="1580"/>
      <c r="L60" s="1580"/>
      <c r="M60" s="1580"/>
      <c r="N60" s="1580"/>
      <c r="O60" s="1580"/>
      <c r="P60" s="1580"/>
      <c r="Q60" s="1580"/>
      <c r="R60" s="1580"/>
      <c r="S60" s="1580"/>
      <c r="T60" s="1580"/>
      <c r="U60" s="1580"/>
    </row>
    <row r="61" customFormat="false" ht="15" hidden="false" customHeight="true" outlineLevel="1" collapsed="false">
      <c r="A61" s="2955" t="s">
        <v>183</v>
      </c>
      <c r="B61" s="2955"/>
      <c r="C61" s="2956" t="s">
        <v>15</v>
      </c>
      <c r="D61" s="2947" t="n">
        <f aca="false">'Ввод данных'!C230</f>
        <v>0</v>
      </c>
      <c r="E61" s="2845" t="n">
        <f aca="false">'Ввод данных'!D230</f>
        <v>0</v>
      </c>
      <c r="F61" s="1253" t="n">
        <f aca="false">D61*E61</f>
        <v>0</v>
      </c>
      <c r="G61" s="2931"/>
      <c r="H61" s="2963"/>
      <c r="I61" s="2931"/>
      <c r="J61" s="2964"/>
      <c r="K61" s="1580"/>
      <c r="L61" s="1580"/>
      <c r="M61" s="1580"/>
      <c r="N61" s="1580"/>
      <c r="O61" s="1580"/>
      <c r="P61" s="1580"/>
      <c r="Q61" s="1580"/>
      <c r="R61" s="1580"/>
      <c r="S61" s="1580"/>
      <c r="T61" s="1580"/>
      <c r="U61" s="1580"/>
    </row>
    <row r="62" customFormat="false" ht="15" hidden="false" customHeight="true" outlineLevel="1" collapsed="false">
      <c r="A62" s="2955"/>
      <c r="B62" s="2955"/>
      <c r="C62" s="2956" t="s">
        <v>15</v>
      </c>
      <c r="D62" s="2947" t="n">
        <f aca="false">'Ввод данных'!C231</f>
        <v>0</v>
      </c>
      <c r="E62" s="2845" t="n">
        <f aca="false">'Ввод данных'!D231</f>
        <v>0</v>
      </c>
      <c r="F62" s="1253" t="n">
        <f aca="false">D62*E62</f>
        <v>0</v>
      </c>
      <c r="G62" s="2931"/>
      <c r="H62" s="2963"/>
      <c r="I62" s="2957"/>
      <c r="J62" s="2964"/>
      <c r="K62" s="1580"/>
      <c r="L62" s="1580"/>
      <c r="M62" s="1580"/>
      <c r="N62" s="1580"/>
      <c r="O62" s="1580"/>
      <c r="P62" s="1580"/>
      <c r="Q62" s="1580"/>
      <c r="R62" s="1580"/>
      <c r="S62" s="1580"/>
      <c r="T62" s="1580"/>
      <c r="U62" s="1580"/>
    </row>
    <row r="63" customFormat="false" ht="15" hidden="false" customHeight="true" outlineLevel="1" collapsed="false">
      <c r="A63" s="2955"/>
      <c r="B63" s="2955"/>
      <c r="C63" s="2956" t="s">
        <v>15</v>
      </c>
      <c r="D63" s="2947" t="n">
        <f aca="false">'Ввод данных'!C232</f>
        <v>0</v>
      </c>
      <c r="E63" s="2845" t="n">
        <f aca="false">'Ввод данных'!D232</f>
        <v>0</v>
      </c>
      <c r="F63" s="1253" t="n">
        <f aca="false">D63*E63</f>
        <v>0</v>
      </c>
      <c r="G63" s="2931"/>
      <c r="H63" s="2963"/>
      <c r="I63" s="2931"/>
      <c r="J63" s="2931"/>
      <c r="K63" s="1580"/>
      <c r="L63" s="1580"/>
      <c r="M63" s="1580"/>
      <c r="N63" s="1580"/>
      <c r="O63" s="1580"/>
      <c r="P63" s="1580"/>
      <c r="Q63" s="1580"/>
      <c r="R63" s="1580"/>
      <c r="S63" s="1580"/>
      <c r="T63" s="1580"/>
      <c r="U63" s="1580"/>
    </row>
    <row r="64" customFormat="false" ht="15" hidden="false" customHeight="true" outlineLevel="1" collapsed="false">
      <c r="A64" s="2955"/>
      <c r="B64" s="2955"/>
      <c r="C64" s="2956" t="s">
        <v>15</v>
      </c>
      <c r="D64" s="2947" t="n">
        <f aca="false">'Ввод данных'!C233</f>
        <v>0</v>
      </c>
      <c r="E64" s="2845" t="n">
        <f aca="false">'Ввод данных'!D233</f>
        <v>0</v>
      </c>
      <c r="F64" s="1253" t="n">
        <f aca="false">D64*E64</f>
        <v>0</v>
      </c>
      <c r="G64" s="2931"/>
      <c r="H64" s="2963"/>
      <c r="I64" s="2931"/>
      <c r="J64" s="2931"/>
      <c r="K64" s="1580"/>
      <c r="L64" s="1580"/>
      <c r="M64" s="1580"/>
      <c r="N64" s="1580"/>
      <c r="O64" s="1580"/>
      <c r="P64" s="1580"/>
      <c r="Q64" s="1580"/>
      <c r="R64" s="1580"/>
      <c r="S64" s="1580"/>
      <c r="T64" s="1580"/>
      <c r="U64" s="1580"/>
    </row>
    <row r="65" customFormat="false" ht="15" hidden="false" customHeight="true" outlineLevel="1" collapsed="false">
      <c r="A65" s="1197" t="s">
        <v>3987</v>
      </c>
      <c r="B65" s="1197"/>
      <c r="C65" s="1253" t="s">
        <v>820</v>
      </c>
      <c r="D65" s="2948" t="n">
        <f aca="false">(E3+E4+E3+E4)*E5+(E3+E4+E3+E4)*E6+(E3/2)*E8*2*E9+(E3+E4+E3+E4)*E11*F11+(E3+E4+E3+E4)*E12*F12+(E3+E4+E3+E4)*E13*F13</f>
        <v>140.8</v>
      </c>
      <c r="E65" s="2965"/>
      <c r="F65" s="2964"/>
      <c r="G65" s="2931"/>
      <c r="H65" s="2963"/>
      <c r="I65" s="2931"/>
      <c r="J65" s="2931"/>
      <c r="K65" s="1580"/>
      <c r="L65" s="1580"/>
      <c r="M65" s="1580"/>
      <c r="N65" s="1580"/>
      <c r="O65" s="1580"/>
      <c r="P65" s="1580"/>
      <c r="Q65" s="1580"/>
      <c r="R65" s="1580"/>
      <c r="S65" s="1580"/>
      <c r="T65" s="1580"/>
      <c r="U65" s="1580"/>
    </row>
    <row r="66" customFormat="false" ht="15" hidden="false" customHeight="true" outlineLevel="1" collapsed="false">
      <c r="A66" s="1197" t="s">
        <v>3988</v>
      </c>
      <c r="B66" s="1197"/>
      <c r="C66" s="1253" t="s">
        <v>820</v>
      </c>
      <c r="D66" s="2948" t="n">
        <f aca="false">D65-G30-G19</f>
        <v>137.71</v>
      </c>
      <c r="E66" s="2965"/>
      <c r="F66" s="2964"/>
      <c r="G66" s="2931"/>
      <c r="H66" s="2963"/>
      <c r="I66" s="2931"/>
      <c r="J66" s="2931"/>
      <c r="K66" s="1580"/>
      <c r="L66" s="1580"/>
      <c r="M66" s="1580"/>
      <c r="N66" s="1580"/>
      <c r="O66" s="1580"/>
      <c r="P66" s="1580"/>
      <c r="Q66" s="1580"/>
      <c r="R66" s="1580"/>
      <c r="S66" s="1580"/>
      <c r="T66" s="1580"/>
      <c r="U66" s="1580"/>
    </row>
    <row r="67" customFormat="false" ht="15" hidden="false" customHeight="true" outlineLevel="1" collapsed="false">
      <c r="A67" s="1197" t="s">
        <v>3053</v>
      </c>
      <c r="B67" s="1197"/>
      <c r="C67" s="1253" t="s">
        <v>820</v>
      </c>
      <c r="D67" s="2948" t="e">
        <f aca="false">(F33+F34+F35+F36+F41+F42+F43+F44)*E5+(F49+F50+F51+F52)*(E2-1)*E7+(F57+F58+F59+F60)*((E6+E7)/1.7)*(E2-1)</f>
        <v>#VALUE!</v>
      </c>
      <c r="E67" s="2965"/>
      <c r="F67" s="2964"/>
      <c r="G67" s="2931"/>
      <c r="H67" s="2963"/>
      <c r="I67" s="2931"/>
      <c r="J67" s="2931"/>
      <c r="K67" s="1580"/>
      <c r="L67" s="1580"/>
      <c r="M67" s="1580"/>
      <c r="N67" s="1580"/>
      <c r="O67" s="1580"/>
      <c r="P67" s="1580"/>
      <c r="Q67" s="1580"/>
      <c r="R67" s="1580"/>
      <c r="S67" s="1580"/>
      <c r="T67" s="1580"/>
      <c r="U67" s="1580"/>
    </row>
    <row r="68" customFormat="false" ht="15" hidden="false" customHeight="true" outlineLevel="1" collapsed="false">
      <c r="A68" s="1197" t="s">
        <v>3054</v>
      </c>
      <c r="B68" s="1197"/>
      <c r="C68" s="1253" t="s">
        <v>820</v>
      </c>
      <c r="D68" s="2948" t="e">
        <f aca="false">(F37+F38+F39+F40+F45+F46+F47+F48)*E5+(F53+F54+F55+F56)*(E2-1)*E7+(F61+F62+F63+F64)*((E6+E7)/1.7)*(E2-1)</f>
        <v>#VALUE!</v>
      </c>
      <c r="E68" s="2965"/>
      <c r="F68" s="2964"/>
      <c r="G68" s="2931"/>
      <c r="H68" s="2963"/>
      <c r="I68" s="2931"/>
      <c r="J68" s="2931"/>
      <c r="K68" s="1580"/>
      <c r="L68" s="1580"/>
      <c r="M68" s="1580"/>
      <c r="N68" s="1580"/>
      <c r="O68" s="1580"/>
      <c r="P68" s="1580"/>
      <c r="Q68" s="1580"/>
      <c r="R68" s="1580"/>
      <c r="S68" s="1580"/>
      <c r="T68" s="1580"/>
      <c r="U68" s="1580"/>
    </row>
    <row r="69" customFormat="false" ht="15" hidden="false" customHeight="true" outlineLevel="1" collapsed="false">
      <c r="A69" s="1253" t="s">
        <v>3055</v>
      </c>
      <c r="B69" s="1253"/>
      <c r="C69" s="1253" t="s">
        <v>820</v>
      </c>
      <c r="D69" s="2948" t="e">
        <f aca="false">(D68+D67)-G25</f>
        <v>#VALUE!</v>
      </c>
      <c r="E69" s="2965"/>
      <c r="F69" s="2964"/>
      <c r="G69" s="2931"/>
      <c r="H69" s="2963"/>
      <c r="I69" s="2931"/>
      <c r="J69" s="2931"/>
      <c r="K69" s="1580"/>
      <c r="L69" s="1580"/>
      <c r="M69" s="1580"/>
      <c r="N69" s="1580"/>
      <c r="O69" s="1580"/>
      <c r="P69" s="1580"/>
      <c r="Q69" s="1580"/>
      <c r="R69" s="1580"/>
      <c r="S69" s="1580"/>
      <c r="T69" s="1580"/>
      <c r="U69" s="1580"/>
    </row>
    <row r="70" customFormat="false" ht="15" hidden="false" customHeight="true" outlineLevel="1" collapsed="false">
      <c r="A70" s="1197" t="s">
        <v>3989</v>
      </c>
      <c r="B70" s="1197"/>
      <c r="C70" s="44" t="s">
        <v>820</v>
      </c>
      <c r="D70" s="86" t="e">
        <f aca="false">D66+D69</f>
        <v>#VALUE!</v>
      </c>
      <c r="E70" s="2966"/>
      <c r="F70" s="2967"/>
      <c r="G70" s="2968"/>
      <c r="H70" s="2963"/>
      <c r="I70" s="2968"/>
      <c r="J70" s="2968"/>
      <c r="K70" s="1580"/>
      <c r="L70" s="1580"/>
      <c r="M70" s="1580"/>
      <c r="N70" s="1580"/>
      <c r="O70" s="1580"/>
      <c r="P70" s="1580"/>
      <c r="Q70" s="1580"/>
      <c r="R70" s="1580"/>
      <c r="S70" s="1580"/>
      <c r="T70" s="1580"/>
      <c r="U70" s="1580"/>
    </row>
    <row r="71" customFormat="false" ht="15" hidden="false" customHeight="true" outlineLevel="1" collapsed="false">
      <c r="A71" s="2969" t="s">
        <v>2833</v>
      </c>
      <c r="B71" s="2969"/>
      <c r="C71" s="2969"/>
      <c r="D71" s="2969"/>
      <c r="E71" s="2969"/>
      <c r="F71" s="2944" t="n">
        <f aca="false">дома!J12</f>
        <v>1</v>
      </c>
      <c r="G71" s="2930" t="s">
        <v>3715</v>
      </c>
      <c r="H71" s="2963"/>
      <c r="I71" s="2968"/>
      <c r="J71" s="2968"/>
      <c r="K71" s="1580"/>
      <c r="L71" s="1580"/>
      <c r="M71" s="1580"/>
      <c r="N71" s="1580"/>
      <c r="O71" s="1580"/>
      <c r="P71" s="1580"/>
      <c r="Q71" s="1580"/>
      <c r="R71" s="1580"/>
      <c r="S71" s="1580"/>
      <c r="T71" s="1580"/>
      <c r="U71" s="1580"/>
    </row>
    <row r="72" customFormat="false" ht="15" hidden="false" customHeight="true" outlineLevel="1" collapsed="false">
      <c r="A72" s="2970" t="s">
        <v>3570</v>
      </c>
      <c r="B72" s="2970"/>
      <c r="C72" s="2971" t="s">
        <v>15</v>
      </c>
      <c r="D72" s="2972" t="n">
        <f aca="false">E3+E3+E4+E4+F33+F34+F35+F36+F41+F42+F43+F44</f>
        <v>48</v>
      </c>
      <c r="E72" s="2930"/>
      <c r="F72" s="2930"/>
      <c r="G72" s="921"/>
      <c r="H72" s="2963"/>
      <c r="I72" s="2968"/>
      <c r="J72" s="2968"/>
      <c r="K72" s="1580"/>
      <c r="L72" s="1580"/>
      <c r="M72" s="1580"/>
      <c r="N72" s="1580"/>
      <c r="O72" s="1580"/>
      <c r="P72" s="1580"/>
      <c r="Q72" s="1580"/>
      <c r="R72" s="1580"/>
      <c r="S72" s="1580"/>
      <c r="T72" s="1580"/>
      <c r="U72" s="1580"/>
    </row>
    <row r="73" customFormat="false" ht="15" hidden="false" customHeight="true" outlineLevel="1" collapsed="false">
      <c r="A73" s="2970" t="s">
        <v>3571</v>
      </c>
      <c r="B73" s="2970"/>
      <c r="C73" s="907" t="s">
        <v>820</v>
      </c>
      <c r="D73" s="2973" t="e">
        <f aca="false">E3*E4*E2</f>
        <v>#VALUE!</v>
      </c>
      <c r="E73" s="2930"/>
      <c r="F73" s="2930"/>
      <c r="G73" s="921"/>
      <c r="H73" s="2963"/>
      <c r="I73" s="2968"/>
      <c r="J73" s="2968"/>
      <c r="K73" s="1580"/>
      <c r="L73" s="1580"/>
      <c r="M73" s="1580"/>
      <c r="N73" s="1580"/>
      <c r="O73" s="1580"/>
      <c r="P73" s="1580"/>
      <c r="Q73" s="1580"/>
      <c r="R73" s="1580"/>
      <c r="S73" s="1580"/>
      <c r="T73" s="1580"/>
      <c r="U73" s="1580"/>
    </row>
    <row r="74" customFormat="false" ht="15" hidden="false" customHeight="true" outlineLevel="1" collapsed="false">
      <c r="A74" s="1162"/>
      <c r="B74" s="1162"/>
      <c r="C74" s="2974"/>
      <c r="D74" s="2930"/>
      <c r="E74" s="2930"/>
      <c r="F74" s="2930"/>
      <c r="G74" s="921"/>
      <c r="H74" s="2963"/>
      <c r="I74" s="2968"/>
      <c r="J74" s="2968"/>
      <c r="K74" s="1580"/>
      <c r="L74" s="1580"/>
      <c r="M74" s="1580"/>
      <c r="N74" s="1580"/>
      <c r="O74" s="1580"/>
      <c r="P74" s="1580"/>
      <c r="Q74" s="1580"/>
      <c r="R74" s="1580"/>
      <c r="S74" s="1580"/>
      <c r="T74" s="1580"/>
      <c r="U74" s="1580"/>
    </row>
    <row r="75" customFormat="false" ht="15" hidden="false" customHeight="true" outlineLevel="1" collapsed="false">
      <c r="A75" s="2975"/>
      <c r="B75" s="2975"/>
      <c r="C75" s="2967"/>
      <c r="D75" s="2966"/>
      <c r="E75" s="2966"/>
      <c r="F75" s="2967"/>
      <c r="G75" s="2968"/>
      <c r="H75" s="2963"/>
      <c r="I75" s="2968"/>
      <c r="J75" s="2968"/>
      <c r="K75" s="1580"/>
      <c r="L75" s="1580"/>
      <c r="M75" s="1580"/>
      <c r="N75" s="1580"/>
      <c r="O75" s="1580"/>
      <c r="P75" s="1580"/>
      <c r="Q75" s="1580"/>
      <c r="R75" s="1580"/>
      <c r="S75" s="1580"/>
      <c r="T75" s="1580"/>
      <c r="U75" s="1580"/>
    </row>
    <row r="76" customFormat="false" ht="15" hidden="false" customHeight="true" outlineLevel="1" collapsed="false">
      <c r="A76" s="2976" t="s">
        <v>229</v>
      </c>
      <c r="B76" s="2976"/>
      <c r="C76" s="2976"/>
      <c r="D76" s="2976"/>
      <c r="E76" s="2976"/>
      <c r="F76" s="2976"/>
      <c r="G76" s="2977" t="str">
        <f aca="false">связи1!H91</f>
        <v>Считать </v>
      </c>
      <c r="H76" s="2968" t="s">
        <v>3930</v>
      </c>
      <c r="I76" s="2968"/>
      <c r="J76" s="2968"/>
      <c r="K76" s="1580"/>
      <c r="L76" s="1580"/>
      <c r="M76" s="1580"/>
      <c r="N76" s="1580"/>
      <c r="O76" s="1580"/>
      <c r="P76" s="1580"/>
      <c r="Q76" s="1580"/>
      <c r="R76" s="1580"/>
      <c r="S76" s="1580"/>
      <c r="T76" s="1580"/>
      <c r="U76" s="1580"/>
    </row>
    <row r="77" customFormat="false" ht="15" hidden="false" customHeight="true" outlineLevel="1" collapsed="false">
      <c r="A77" s="2496" t="s">
        <v>2902</v>
      </c>
      <c r="B77" s="2496"/>
      <c r="C77" s="2496"/>
      <c r="D77" s="2497" t="s">
        <v>15</v>
      </c>
      <c r="E77" s="2497" t="n">
        <f aca="false">E80*4+E79*2</f>
        <v>41.6124969497314</v>
      </c>
      <c r="F77" s="2944"/>
      <c r="G77" s="2968"/>
      <c r="H77" s="2958"/>
      <c r="I77" s="2968"/>
      <c r="J77" s="2968"/>
      <c r="K77" s="1580"/>
      <c r="L77" s="1580"/>
      <c r="M77" s="1580"/>
      <c r="N77" s="1580"/>
      <c r="O77" s="1580"/>
      <c r="P77" s="1580"/>
      <c r="Q77" s="1580"/>
      <c r="R77" s="1580"/>
      <c r="S77" s="1580"/>
      <c r="T77" s="1580"/>
      <c r="U77" s="1580"/>
    </row>
    <row r="78" customFormat="false" ht="15" hidden="false" customHeight="true" outlineLevel="1" collapsed="false">
      <c r="A78" s="2978" t="s">
        <v>3586</v>
      </c>
      <c r="B78" s="2978"/>
      <c r="C78" s="2978"/>
      <c r="D78" s="2978"/>
      <c r="E78" s="2914" t="n">
        <f aca="false">E8</f>
        <v>5</v>
      </c>
      <c r="F78" s="2968"/>
      <c r="G78" s="2968"/>
      <c r="H78" s="2958"/>
      <c r="I78" s="2968"/>
      <c r="J78" s="2968"/>
      <c r="K78" s="1580"/>
      <c r="L78" s="1580"/>
      <c r="M78" s="1580"/>
      <c r="N78" s="1580"/>
      <c r="O78" s="1580"/>
      <c r="P78" s="1580"/>
      <c r="Q78" s="1580"/>
      <c r="R78" s="1580"/>
      <c r="S78" s="1580"/>
      <c r="T78" s="1580"/>
      <c r="U78" s="1580"/>
    </row>
    <row r="79" customFormat="false" ht="15" hidden="false" customHeight="true" outlineLevel="1" collapsed="false">
      <c r="A79" s="861" t="s">
        <v>3585</v>
      </c>
      <c r="B79" s="861"/>
      <c r="C79" s="861"/>
      <c r="D79" s="864" t="s">
        <v>15</v>
      </c>
      <c r="E79" s="864" t="n">
        <f aca="false">E4</f>
        <v>8</v>
      </c>
      <c r="F79" s="2499"/>
      <c r="G79" s="2968"/>
      <c r="H79" s="2958"/>
      <c r="I79" s="2968"/>
      <c r="J79" s="2968"/>
      <c r="K79" s="1580"/>
      <c r="L79" s="1580"/>
      <c r="M79" s="1580"/>
      <c r="N79" s="1580"/>
      <c r="O79" s="1580"/>
      <c r="P79" s="1580"/>
      <c r="Q79" s="1580"/>
      <c r="R79" s="1580"/>
      <c r="S79" s="1580"/>
      <c r="T79" s="1580"/>
      <c r="U79" s="1580"/>
    </row>
    <row r="80" customFormat="false" ht="15" hidden="false" customHeight="true" outlineLevel="1" collapsed="false">
      <c r="A80" s="861" t="s">
        <v>2798</v>
      </c>
      <c r="B80" s="861"/>
      <c r="C80" s="861"/>
      <c r="D80" s="864" t="s">
        <v>15</v>
      </c>
      <c r="E80" s="864" t="n">
        <f aca="false">SQRT((E3/2)*(E3/2)+E8*E8)</f>
        <v>6.40312423743285</v>
      </c>
      <c r="F80" s="2499"/>
      <c r="G80" s="2968"/>
      <c r="H80" s="2958"/>
      <c r="I80" s="2968"/>
      <c r="J80" s="2968"/>
      <c r="K80" s="1580"/>
      <c r="L80" s="1580"/>
      <c r="M80" s="1580"/>
      <c r="N80" s="1580"/>
      <c r="O80" s="1580"/>
      <c r="P80" s="1580"/>
      <c r="Q80" s="1580"/>
      <c r="R80" s="1580"/>
      <c r="S80" s="1580"/>
      <c r="T80" s="1580"/>
      <c r="U80" s="1580"/>
    </row>
    <row r="81" customFormat="false" ht="15" hidden="false" customHeight="true" outlineLevel="1" collapsed="false">
      <c r="A81" s="861" t="s">
        <v>231</v>
      </c>
      <c r="B81" s="861"/>
      <c r="C81" s="861"/>
      <c r="D81" s="864" t="s">
        <v>15</v>
      </c>
      <c r="E81" s="2845" t="n">
        <f aca="false">'Ввод данных'!C296</f>
        <v>0.5</v>
      </c>
      <c r="F81" s="2500"/>
      <c r="G81" s="2968"/>
      <c r="H81" s="2958"/>
      <c r="I81" s="2968"/>
      <c r="J81" s="2968"/>
      <c r="K81" s="1580"/>
      <c r="L81" s="1580"/>
      <c r="M81" s="1580"/>
      <c r="N81" s="1580"/>
      <c r="O81" s="1580"/>
      <c r="P81" s="1580"/>
      <c r="Q81" s="1580"/>
      <c r="R81" s="1580"/>
      <c r="S81" s="1580"/>
      <c r="T81" s="1580"/>
      <c r="U81" s="1580"/>
    </row>
    <row r="82" customFormat="false" ht="15" hidden="false" customHeight="true" outlineLevel="1" collapsed="false">
      <c r="A82" s="861" t="s">
        <v>197</v>
      </c>
      <c r="B82" s="861"/>
      <c r="C82" s="861"/>
      <c r="D82" s="864" t="s">
        <v>15</v>
      </c>
      <c r="E82" s="2845" t="n">
        <f aca="false">'Ввод данных'!C298</f>
        <v>0.5</v>
      </c>
      <c r="F82" s="2500"/>
      <c r="G82" s="2968"/>
      <c r="H82" s="2958"/>
      <c r="I82" s="2968"/>
      <c r="J82" s="2968"/>
      <c r="K82" s="1580"/>
      <c r="L82" s="1580"/>
      <c r="M82" s="1580"/>
      <c r="N82" s="1580"/>
      <c r="O82" s="1580"/>
      <c r="P82" s="1580"/>
      <c r="Q82" s="1580"/>
      <c r="R82" s="1580"/>
      <c r="S82" s="1580"/>
      <c r="T82" s="1580"/>
      <c r="U82" s="1580"/>
    </row>
    <row r="83" customFormat="false" ht="15" hidden="false" customHeight="true" outlineLevel="1" collapsed="false">
      <c r="A83" s="2979" t="s">
        <v>3933</v>
      </c>
      <c r="B83" s="2979"/>
      <c r="C83" s="2979"/>
      <c r="D83" s="44" t="s">
        <v>15</v>
      </c>
      <c r="E83" s="2914" t="n">
        <f aca="false">E80+E82</f>
        <v>6.90312423743285</v>
      </c>
      <c r="F83" s="2968"/>
      <c r="G83" s="2968"/>
      <c r="H83" s="2958"/>
      <c r="I83" s="2968"/>
      <c r="J83" s="2968"/>
      <c r="K83" s="1580"/>
      <c r="L83" s="1580"/>
      <c r="M83" s="1580"/>
      <c r="N83" s="1580"/>
      <c r="O83" s="1580"/>
      <c r="P83" s="1580"/>
      <c r="Q83" s="1580"/>
      <c r="R83" s="1580"/>
      <c r="S83" s="1580"/>
      <c r="T83" s="1580"/>
      <c r="U83" s="1580"/>
    </row>
    <row r="84" customFormat="false" ht="15" hidden="false" customHeight="true" outlineLevel="1" collapsed="false">
      <c r="A84" s="2979" t="s">
        <v>3934</v>
      </c>
      <c r="B84" s="2979"/>
      <c r="C84" s="2979"/>
      <c r="D84" s="44" t="s">
        <v>15</v>
      </c>
      <c r="E84" s="2914" t="n">
        <f aca="false">E79+E81+E81</f>
        <v>9</v>
      </c>
      <c r="F84" s="2968"/>
      <c r="G84" s="2968"/>
      <c r="H84" s="2958"/>
      <c r="I84" s="2968"/>
      <c r="J84" s="2968"/>
      <c r="K84" s="1580"/>
      <c r="L84" s="1580"/>
      <c r="M84" s="1580"/>
      <c r="N84" s="1580"/>
      <c r="O84" s="1580"/>
      <c r="P84" s="1580"/>
      <c r="Q84" s="1580"/>
      <c r="R84" s="1580"/>
      <c r="S84" s="1580"/>
      <c r="T84" s="1580"/>
      <c r="U84" s="1580"/>
    </row>
    <row r="85" customFormat="false" ht="15" hidden="false" customHeight="true" outlineLevel="1" collapsed="false">
      <c r="A85" s="861" t="s">
        <v>3935</v>
      </c>
      <c r="B85" s="861"/>
      <c r="C85" s="861"/>
      <c r="D85" s="864" t="s">
        <v>820</v>
      </c>
      <c r="E85" s="864" t="n">
        <f aca="false">E80*E79*2</f>
        <v>102.449987798926</v>
      </c>
      <c r="F85" s="2500"/>
      <c r="G85" s="2968"/>
      <c r="H85" s="2958"/>
      <c r="I85" s="2968"/>
      <c r="J85" s="2968"/>
      <c r="K85" s="1580"/>
      <c r="L85" s="1580"/>
      <c r="M85" s="1580"/>
      <c r="N85" s="1580"/>
      <c r="O85" s="1580"/>
      <c r="P85" s="1580"/>
      <c r="Q85" s="1580"/>
      <c r="R85" s="1580"/>
      <c r="S85" s="1580"/>
      <c r="T85" s="1580"/>
      <c r="U85" s="1580"/>
    </row>
    <row r="86" customFormat="false" ht="15" hidden="false" customHeight="true" outlineLevel="1" collapsed="false">
      <c r="A86" s="861" t="s">
        <v>3662</v>
      </c>
      <c r="B86" s="861"/>
      <c r="C86" s="861"/>
      <c r="D86" s="864" t="s">
        <v>820</v>
      </c>
      <c r="E86" s="864" t="n">
        <f aca="false">(E80*E81)*4+(E79+E81+E81)*E82*2</f>
        <v>21.8062484748657</v>
      </c>
      <c r="F86" s="2501"/>
      <c r="G86" s="2968"/>
      <c r="H86" s="2958"/>
      <c r="I86" s="2968"/>
      <c r="J86" s="2968"/>
      <c r="K86" s="1580"/>
      <c r="L86" s="1580"/>
      <c r="M86" s="1580"/>
      <c r="N86" s="1580"/>
      <c r="O86" s="1580"/>
      <c r="P86" s="1580"/>
      <c r="Q86" s="1580"/>
      <c r="R86" s="1580"/>
      <c r="S86" s="1580"/>
      <c r="T86" s="1580"/>
      <c r="U86" s="1580"/>
    </row>
    <row r="87" customFormat="false" ht="15" hidden="false" customHeight="true" outlineLevel="1" collapsed="false">
      <c r="A87" s="861" t="s">
        <v>3936</v>
      </c>
      <c r="B87" s="861"/>
      <c r="C87" s="861"/>
      <c r="D87" s="864" t="s">
        <v>820</v>
      </c>
      <c r="E87" s="864" t="e">
        <f aca="false">(E85+E86)*G76</f>
        <v>#VALUE!</v>
      </c>
      <c r="F87" s="2501"/>
      <c r="G87" s="2968"/>
      <c r="H87" s="2958"/>
      <c r="I87" s="2968"/>
      <c r="J87" s="2968"/>
      <c r="K87" s="1580"/>
      <c r="L87" s="1580"/>
      <c r="M87" s="1580"/>
      <c r="N87" s="1580"/>
      <c r="O87" s="1580"/>
      <c r="P87" s="1580"/>
      <c r="Q87" s="1580"/>
      <c r="R87" s="1580"/>
      <c r="S87" s="1580"/>
      <c r="T87" s="1580"/>
      <c r="U87" s="1580"/>
    </row>
    <row r="88" customFormat="false" ht="15" hidden="false" customHeight="true" outlineLevel="1" collapsed="false">
      <c r="A88" s="44" t="s">
        <v>3937</v>
      </c>
      <c r="B88" s="44"/>
      <c r="C88" s="44"/>
      <c r="D88" s="44" t="s">
        <v>820</v>
      </c>
      <c r="E88" s="44" t="e">
        <f aca="false">(E87*1.2)*G76</f>
        <v>#VALUE!</v>
      </c>
      <c r="F88" s="2968"/>
      <c r="G88" s="2968"/>
      <c r="H88" s="2958"/>
      <c r="I88" s="2968"/>
      <c r="J88" s="2968"/>
      <c r="K88" s="1580"/>
      <c r="L88" s="1580"/>
      <c r="M88" s="1580"/>
      <c r="N88" s="1580"/>
      <c r="O88" s="1580"/>
      <c r="P88" s="1580"/>
      <c r="Q88" s="1580"/>
      <c r="R88" s="1580"/>
      <c r="S88" s="1580"/>
      <c r="T88" s="1580"/>
      <c r="U88" s="1580"/>
    </row>
    <row r="89" customFormat="false" ht="15" hidden="false" customHeight="true" outlineLevel="1" collapsed="false">
      <c r="A89" s="85" t="s">
        <v>2826</v>
      </c>
      <c r="B89" s="2980"/>
      <c r="C89" s="2981"/>
      <c r="D89" s="44" t="s">
        <v>486</v>
      </c>
      <c r="E89" s="44"/>
      <c r="F89" s="2944"/>
      <c r="G89" s="2968"/>
      <c r="H89" s="2958"/>
      <c r="I89" s="2968"/>
      <c r="J89" s="2968"/>
      <c r="K89" s="1580"/>
      <c r="L89" s="1580"/>
      <c r="M89" s="1580"/>
      <c r="N89" s="1580"/>
      <c r="O89" s="1580"/>
      <c r="P89" s="1580"/>
      <c r="Q89" s="1580"/>
      <c r="R89" s="1580"/>
      <c r="S89" s="1580"/>
      <c r="T89" s="1580"/>
      <c r="U89" s="1580"/>
    </row>
    <row r="90" customFormat="false" ht="15" hidden="false" customHeight="true" outlineLevel="1" collapsed="false">
      <c r="A90" s="1442" t="s">
        <v>3665</v>
      </c>
      <c r="B90" s="2504"/>
      <c r="C90" s="2505"/>
      <c r="D90" s="864" t="s">
        <v>15</v>
      </c>
      <c r="E90" s="864" t="n">
        <v>0.15</v>
      </c>
      <c r="F90" s="2944"/>
      <c r="G90" s="2968"/>
      <c r="H90" s="2958"/>
      <c r="I90" s="2968"/>
      <c r="J90" s="2968"/>
      <c r="K90" s="1580"/>
      <c r="L90" s="1580"/>
      <c r="M90" s="1580"/>
      <c r="N90" s="1580"/>
      <c r="O90" s="1580"/>
      <c r="P90" s="1580"/>
      <c r="Q90" s="1580"/>
      <c r="R90" s="1580"/>
      <c r="S90" s="1580"/>
      <c r="T90" s="1580"/>
      <c r="U90" s="1580"/>
    </row>
    <row r="91" customFormat="false" ht="15" hidden="false" customHeight="true" outlineLevel="1" collapsed="false">
      <c r="A91" s="1437"/>
      <c r="B91" s="2506"/>
      <c r="C91" s="2507"/>
      <c r="D91" s="864" t="s">
        <v>15</v>
      </c>
      <c r="E91" s="864" t="n">
        <v>0.2</v>
      </c>
      <c r="F91" s="2944"/>
      <c r="G91" s="2982"/>
      <c r="H91" s="2958"/>
      <c r="I91" s="2982"/>
      <c r="J91" s="2982"/>
      <c r="K91" s="1580"/>
      <c r="L91" s="1580"/>
      <c r="M91" s="1580"/>
      <c r="N91" s="1580"/>
      <c r="O91" s="1580"/>
      <c r="P91" s="1580"/>
      <c r="Q91" s="1580"/>
      <c r="R91" s="1580"/>
      <c r="S91" s="1580"/>
      <c r="T91" s="1580"/>
      <c r="U91" s="1580"/>
    </row>
    <row r="92" customFormat="false" ht="15" hidden="false" customHeight="true" outlineLevel="1" collapsed="false">
      <c r="A92" s="1442" t="s">
        <v>2830</v>
      </c>
      <c r="B92" s="2504"/>
      <c r="C92" s="2505"/>
      <c r="D92" s="864" t="s">
        <v>15</v>
      </c>
      <c r="E92" s="864" t="n">
        <v>0.15</v>
      </c>
      <c r="F92" s="2944"/>
      <c r="G92" s="2982"/>
      <c r="H92" s="2958"/>
      <c r="I92" s="2982"/>
      <c r="J92" s="2982"/>
      <c r="K92" s="1580"/>
      <c r="L92" s="1580"/>
      <c r="M92" s="1580"/>
      <c r="N92" s="1580"/>
      <c r="O92" s="1580"/>
      <c r="P92" s="1580"/>
      <c r="Q92" s="1580"/>
      <c r="R92" s="1580"/>
      <c r="S92" s="1580"/>
      <c r="T92" s="1580"/>
      <c r="U92" s="1580"/>
    </row>
    <row r="93" customFormat="false" ht="15" hidden="false" customHeight="true" outlineLevel="1" collapsed="false">
      <c r="A93" s="1437"/>
      <c r="B93" s="2506"/>
      <c r="C93" s="2507"/>
      <c r="D93" s="864" t="s">
        <v>15</v>
      </c>
      <c r="E93" s="864" t="n">
        <v>0.2</v>
      </c>
      <c r="F93" s="2944"/>
      <c r="G93" s="2982"/>
      <c r="H93" s="2958"/>
      <c r="I93" s="2982"/>
      <c r="J93" s="2982"/>
      <c r="K93" s="1580"/>
      <c r="L93" s="1580"/>
      <c r="M93" s="1580"/>
      <c r="N93" s="1580"/>
      <c r="O93" s="1580"/>
      <c r="P93" s="1580"/>
      <c r="Q93" s="1580"/>
      <c r="R93" s="1580"/>
      <c r="S93" s="1580"/>
      <c r="T93" s="1580"/>
      <c r="U93" s="1580"/>
    </row>
    <row r="94" customFormat="false" ht="15" hidden="false" customHeight="true" outlineLevel="1" collapsed="false">
      <c r="A94" s="2982"/>
      <c r="B94" s="2982"/>
      <c r="C94" s="2982"/>
      <c r="D94" s="2982"/>
      <c r="E94" s="2982"/>
      <c r="F94" s="2982"/>
      <c r="G94" s="2982"/>
      <c r="H94" s="2958"/>
      <c r="I94" s="2982"/>
      <c r="J94" s="2982"/>
      <c r="K94" s="1580"/>
      <c r="L94" s="1580"/>
      <c r="M94" s="1580"/>
      <c r="N94" s="1580"/>
      <c r="O94" s="1580"/>
      <c r="P94" s="1580"/>
      <c r="Q94" s="1580"/>
      <c r="R94" s="1580"/>
      <c r="S94" s="1580"/>
      <c r="T94" s="1580"/>
      <c r="U94" s="1580"/>
    </row>
    <row r="95" customFormat="false" ht="15" hidden="false" customHeight="true" outlineLevel="1" collapsed="false">
      <c r="A95" s="2982"/>
      <c r="B95" s="2982"/>
      <c r="C95" s="2982"/>
      <c r="D95" s="2982"/>
      <c r="E95" s="2982"/>
      <c r="F95" s="2982"/>
      <c r="G95" s="2982"/>
      <c r="H95" s="2958"/>
      <c r="I95" s="2982"/>
      <c r="J95" s="2982"/>
      <c r="K95" s="1580"/>
      <c r="L95" s="1580"/>
      <c r="M95" s="1580"/>
      <c r="N95" s="1580"/>
      <c r="O95" s="1580"/>
      <c r="P95" s="1580"/>
      <c r="Q95" s="1580"/>
      <c r="R95" s="1580"/>
      <c r="S95" s="1580"/>
      <c r="T95" s="1580"/>
      <c r="U95" s="1580"/>
    </row>
    <row r="96" customFormat="false" ht="15" hidden="false" customHeight="true" outlineLevel="1" collapsed="false">
      <c r="A96" s="2976" t="s">
        <v>244</v>
      </c>
      <c r="B96" s="2976"/>
      <c r="C96" s="2976"/>
      <c r="D96" s="2976"/>
      <c r="E96" s="2976"/>
      <c r="F96" s="2976"/>
      <c r="G96" s="2977" t="str">
        <f aca="false">связи1!H93</f>
        <v>Считать </v>
      </c>
      <c r="H96" s="2968" t="s">
        <v>3990</v>
      </c>
      <c r="I96" s="2982"/>
      <c r="J96" s="2982"/>
      <c r="K96" s="1580"/>
      <c r="L96" s="1580"/>
      <c r="M96" s="1580"/>
      <c r="N96" s="1580"/>
      <c r="O96" s="1580"/>
      <c r="P96" s="1580"/>
      <c r="Q96" s="1580"/>
      <c r="R96" s="1580"/>
      <c r="S96" s="1580"/>
      <c r="T96" s="1580"/>
      <c r="U96" s="1580"/>
    </row>
    <row r="97" customFormat="false" ht="15" hidden="false" customHeight="true" outlineLevel="1" collapsed="false">
      <c r="A97" s="2496" t="s">
        <v>2902</v>
      </c>
      <c r="B97" s="2496"/>
      <c r="C97" s="2496"/>
      <c r="D97" s="2509" t="s">
        <v>15</v>
      </c>
      <c r="E97" s="2983" t="n">
        <f aca="false">E3+E4+E3+E4</f>
        <v>32</v>
      </c>
      <c r="F97" s="2511"/>
      <c r="G97" s="2984"/>
      <c r="H97" s="2958"/>
      <c r="I97" s="2982"/>
      <c r="J97" s="2982"/>
      <c r="K97" s="1580"/>
      <c r="L97" s="1580"/>
      <c r="M97" s="1580"/>
      <c r="N97" s="1580"/>
      <c r="O97" s="1580"/>
      <c r="P97" s="1580"/>
      <c r="Q97" s="1580"/>
      <c r="R97" s="1580"/>
      <c r="S97" s="1580"/>
      <c r="T97" s="1580"/>
      <c r="U97" s="1580"/>
    </row>
    <row r="98" customFormat="false" ht="15" hidden="false" customHeight="true" outlineLevel="1" collapsed="false">
      <c r="A98" s="2985" t="s">
        <v>3991</v>
      </c>
      <c r="B98" s="2985"/>
      <c r="C98" s="2985"/>
      <c r="D98" s="2986" t="s">
        <v>15</v>
      </c>
      <c r="E98" s="2987" t="n">
        <f aca="false">E4</f>
        <v>8</v>
      </c>
      <c r="F98" s="2982"/>
      <c r="G98" s="2982"/>
      <c r="H98" s="2988"/>
      <c r="I98" s="2982"/>
      <c r="J98" s="2982"/>
      <c r="K98" s="1580"/>
      <c r="L98" s="1580"/>
      <c r="M98" s="1580"/>
      <c r="N98" s="1580"/>
      <c r="O98" s="1580"/>
      <c r="P98" s="1580"/>
      <c r="Q98" s="1580"/>
      <c r="R98" s="1580"/>
      <c r="S98" s="1580"/>
      <c r="T98" s="1580"/>
      <c r="U98" s="1580"/>
    </row>
    <row r="99" customFormat="false" ht="15" hidden="false" customHeight="true" outlineLevel="1" collapsed="false">
      <c r="A99" s="2985" t="s">
        <v>3992</v>
      </c>
      <c r="B99" s="2985"/>
      <c r="C99" s="2985"/>
      <c r="D99" s="2986" t="s">
        <v>15</v>
      </c>
      <c r="E99" s="2987" t="n">
        <f aca="false">E3</f>
        <v>8</v>
      </c>
      <c r="F99" s="2989"/>
      <c r="G99" s="2989"/>
      <c r="H99" s="2988"/>
      <c r="I99" s="2982"/>
      <c r="J99" s="2982"/>
      <c r="K99" s="1580"/>
      <c r="L99" s="1580"/>
      <c r="M99" s="1580"/>
      <c r="N99" s="1580"/>
      <c r="O99" s="1580"/>
      <c r="P99" s="1580"/>
      <c r="Q99" s="1580"/>
      <c r="R99" s="1580"/>
      <c r="S99" s="1580"/>
      <c r="T99" s="1580"/>
      <c r="U99" s="1580"/>
    </row>
    <row r="100" customFormat="false" ht="15" hidden="false" customHeight="true" outlineLevel="1" collapsed="false">
      <c r="A100" s="2978" t="s">
        <v>3586</v>
      </c>
      <c r="B100" s="2978"/>
      <c r="C100" s="2978"/>
      <c r="D100" s="2978"/>
      <c r="E100" s="2990" t="n">
        <f aca="false">E8</f>
        <v>5</v>
      </c>
      <c r="F100" s="2989"/>
      <c r="G100" s="2989"/>
      <c r="H100" s="2988"/>
      <c r="I100" s="2982"/>
      <c r="J100" s="2982"/>
      <c r="K100" s="1580"/>
      <c r="L100" s="1580"/>
      <c r="M100" s="1580"/>
      <c r="N100" s="1580"/>
      <c r="O100" s="1580"/>
      <c r="P100" s="1580"/>
      <c r="Q100" s="1580"/>
      <c r="R100" s="1580"/>
      <c r="S100" s="1580"/>
      <c r="T100" s="1580"/>
      <c r="U100" s="1580"/>
    </row>
    <row r="101" customFormat="false" ht="15" hidden="false" customHeight="true" outlineLevel="1" collapsed="false">
      <c r="A101" s="861" t="s">
        <v>245</v>
      </c>
      <c r="B101" s="861"/>
      <c r="C101" s="861"/>
      <c r="D101" s="862" t="s">
        <v>15</v>
      </c>
      <c r="E101" s="2845" t="n">
        <f aca="false">'Ввод данных'!C338</f>
        <v>5</v>
      </c>
      <c r="F101" s="2499"/>
      <c r="G101" s="2499"/>
      <c r="H101" s="2988"/>
      <c r="I101" s="2982"/>
      <c r="J101" s="2982"/>
      <c r="K101" s="1580"/>
      <c r="L101" s="1580"/>
      <c r="M101" s="1580"/>
      <c r="N101" s="1580"/>
      <c r="O101" s="1580"/>
      <c r="P101" s="1580"/>
      <c r="Q101" s="1580"/>
      <c r="R101" s="1580"/>
      <c r="S101" s="1580"/>
      <c r="T101" s="1580"/>
      <c r="U101" s="1580"/>
    </row>
    <row r="102" customFormat="false" ht="15" hidden="false" customHeight="true" outlineLevel="1" collapsed="false">
      <c r="A102" s="861" t="s">
        <v>3993</v>
      </c>
      <c r="B102" s="861"/>
      <c r="C102" s="861"/>
      <c r="D102" s="862" t="s">
        <v>15</v>
      </c>
      <c r="E102" s="2991" t="n">
        <f aca="false">SQRT(E100*E100+((E99/2)+E104)*((E99/2)+E104))</f>
        <v>6.72681202353686</v>
      </c>
      <c r="F102" s="2499"/>
      <c r="G102" s="2499"/>
      <c r="H102" s="2988"/>
      <c r="I102" s="2982"/>
      <c r="J102" s="2982"/>
      <c r="K102" s="1580"/>
      <c r="L102" s="1580"/>
      <c r="M102" s="1580"/>
      <c r="N102" s="1580"/>
      <c r="O102" s="1580"/>
      <c r="P102" s="1580"/>
      <c r="Q102" s="1580"/>
      <c r="R102" s="1580"/>
      <c r="S102" s="1580"/>
      <c r="T102" s="1580"/>
      <c r="U102" s="1580"/>
    </row>
    <row r="103" customFormat="false" ht="15" hidden="false" customHeight="true" outlineLevel="1" collapsed="false">
      <c r="A103" s="861" t="s">
        <v>3994</v>
      </c>
      <c r="B103" s="861"/>
      <c r="C103" s="861"/>
      <c r="D103" s="862" t="s">
        <v>15</v>
      </c>
      <c r="E103" s="2991" t="n">
        <f aca="false">SQRT(E100*E100+((E98-E101)/2)*((E98-E101)/2))</f>
        <v>5.22015325445528</v>
      </c>
      <c r="F103" s="2992"/>
      <c r="G103" s="2993"/>
      <c r="H103" s="2988"/>
      <c r="I103" s="2982"/>
      <c r="J103" s="2982"/>
      <c r="K103" s="1580"/>
      <c r="L103" s="1580"/>
      <c r="M103" s="1580"/>
      <c r="N103" s="1580"/>
      <c r="O103" s="1580"/>
      <c r="P103" s="1580"/>
      <c r="Q103" s="1580"/>
      <c r="R103" s="1580"/>
      <c r="S103" s="1580"/>
      <c r="T103" s="1580"/>
      <c r="U103" s="1580"/>
    </row>
    <row r="104" customFormat="false" ht="15" hidden="false" customHeight="true" outlineLevel="1" collapsed="false">
      <c r="A104" s="861" t="s">
        <v>231</v>
      </c>
      <c r="B104" s="861"/>
      <c r="C104" s="861"/>
      <c r="D104" s="862" t="s">
        <v>15</v>
      </c>
      <c r="E104" s="2845" t="n">
        <f aca="false">'Ввод данных'!C339</f>
        <v>0.5</v>
      </c>
      <c r="F104" s="2992"/>
      <c r="G104" s="2993"/>
      <c r="H104" s="2988"/>
      <c r="I104" s="2982"/>
      <c r="J104" s="2982"/>
      <c r="K104" s="1580"/>
      <c r="L104" s="1580"/>
      <c r="M104" s="1580"/>
      <c r="N104" s="1580"/>
      <c r="O104" s="1580"/>
      <c r="P104" s="1580"/>
      <c r="Q104" s="1580"/>
      <c r="R104" s="1580"/>
      <c r="S104" s="1580"/>
      <c r="T104" s="1580"/>
      <c r="U104" s="1580"/>
    </row>
    <row r="105" customFormat="false" ht="15" hidden="false" customHeight="true" outlineLevel="1" collapsed="false">
      <c r="A105" s="861" t="s">
        <v>197</v>
      </c>
      <c r="B105" s="861"/>
      <c r="C105" s="861"/>
      <c r="D105" s="862" t="s">
        <v>15</v>
      </c>
      <c r="E105" s="2845" t="n">
        <f aca="false">'Ввод данных'!C340</f>
        <v>0.5</v>
      </c>
      <c r="F105" s="2992"/>
      <c r="G105" s="2993"/>
      <c r="H105" s="2988"/>
      <c r="I105" s="2982"/>
      <c r="J105" s="2982"/>
      <c r="K105" s="1580"/>
      <c r="L105" s="1580"/>
      <c r="M105" s="1580"/>
      <c r="N105" s="1580"/>
      <c r="O105" s="1580"/>
      <c r="P105" s="1580"/>
      <c r="Q105" s="1580"/>
      <c r="R105" s="1580"/>
      <c r="S105" s="1580"/>
      <c r="T105" s="1580"/>
      <c r="U105" s="1580"/>
    </row>
    <row r="106" customFormat="false" ht="15" hidden="false" customHeight="true" outlineLevel="1" collapsed="false">
      <c r="A106" s="2985" t="s">
        <v>3995</v>
      </c>
      <c r="B106" s="2985"/>
      <c r="C106" s="2985"/>
      <c r="D106" s="2986" t="s">
        <v>15</v>
      </c>
      <c r="E106" s="2987" t="n">
        <f aca="false">SQRT(G103*G103+((E99/2)+E104)*((E99/2)+E104))</f>
        <v>4.5</v>
      </c>
      <c r="F106" s="2989"/>
      <c r="G106" s="2989"/>
      <c r="H106" s="2988"/>
      <c r="I106" s="2982"/>
      <c r="J106" s="2982"/>
      <c r="K106" s="1580"/>
      <c r="L106" s="1580"/>
      <c r="M106" s="1580"/>
      <c r="N106" s="1580"/>
      <c r="O106" s="1580"/>
      <c r="P106" s="1580"/>
      <c r="Q106" s="1580"/>
      <c r="R106" s="1580"/>
      <c r="S106" s="1580"/>
      <c r="T106" s="1580"/>
      <c r="U106" s="1580"/>
    </row>
    <row r="107" customFormat="false" ht="15" hidden="false" customHeight="true" outlineLevel="1" collapsed="false">
      <c r="A107" s="861" t="s">
        <v>3662</v>
      </c>
      <c r="B107" s="861"/>
      <c r="C107" s="861"/>
      <c r="D107" s="862" t="s">
        <v>820</v>
      </c>
      <c r="E107" s="2991" t="n">
        <f aca="false">(E99+E104+E104)*E105*2+E98*2*E104</f>
        <v>17</v>
      </c>
      <c r="F107" s="2501"/>
      <c r="G107" s="2993"/>
      <c r="H107" s="2988"/>
      <c r="I107" s="2968"/>
      <c r="J107" s="2968"/>
      <c r="K107" s="1580"/>
      <c r="L107" s="1580"/>
      <c r="M107" s="1580"/>
      <c r="N107" s="1580"/>
      <c r="O107" s="1580"/>
      <c r="P107" s="1580"/>
      <c r="Q107" s="1580"/>
      <c r="R107" s="1580"/>
      <c r="S107" s="1580"/>
      <c r="T107" s="1580"/>
      <c r="U107" s="1580"/>
    </row>
    <row r="108" customFormat="false" ht="15" hidden="false" customHeight="true" outlineLevel="1" collapsed="false">
      <c r="A108" s="861" t="s">
        <v>3996</v>
      </c>
      <c r="B108" s="861"/>
      <c r="C108" s="861"/>
      <c r="D108" s="2986" t="s">
        <v>820</v>
      </c>
      <c r="E108" s="2987" t="n">
        <f aca="false">((E99/2)+E104)*E103*2+((E98+E105+E105-E101)/2)*((E98+E105+E105-E101)/2)*4+E101*E102*2</f>
        <v>130.249499525466</v>
      </c>
      <c r="F108" s="2982"/>
      <c r="G108" s="2982"/>
      <c r="H108" s="2988"/>
      <c r="I108" s="2968"/>
      <c r="J108" s="2968"/>
      <c r="K108" s="1580"/>
      <c r="L108" s="1580"/>
      <c r="M108" s="1580"/>
      <c r="N108" s="1580"/>
      <c r="O108" s="1580"/>
      <c r="P108" s="1580"/>
      <c r="Q108" s="1580"/>
      <c r="R108" s="1580"/>
      <c r="S108" s="1580"/>
      <c r="T108" s="1580"/>
      <c r="U108" s="1580"/>
    </row>
    <row r="109" customFormat="false" ht="15" hidden="false" customHeight="true" outlineLevel="1" collapsed="false">
      <c r="A109" s="861" t="s">
        <v>3937</v>
      </c>
      <c r="B109" s="861"/>
      <c r="C109" s="861"/>
      <c r="D109" s="862" t="s">
        <v>820</v>
      </c>
      <c r="E109" s="2991" t="n">
        <f aca="false">E108*1.5</f>
        <v>195.374249288199</v>
      </c>
      <c r="F109" s="2944"/>
      <c r="G109" s="2993"/>
      <c r="H109" s="2988"/>
      <c r="I109" s="2968"/>
      <c r="J109" s="2968"/>
      <c r="K109" s="1580"/>
      <c r="L109" s="1580"/>
      <c r="M109" s="1580"/>
      <c r="N109" s="1580"/>
      <c r="O109" s="1580"/>
      <c r="P109" s="1580"/>
      <c r="Q109" s="1580"/>
      <c r="R109" s="1580"/>
      <c r="S109" s="1580"/>
      <c r="T109" s="1580"/>
      <c r="U109" s="1580"/>
    </row>
    <row r="110" customFormat="false" ht="15" hidden="false" customHeight="true" outlineLevel="1" collapsed="false">
      <c r="A110" s="2979" t="s">
        <v>2826</v>
      </c>
      <c r="B110" s="2979"/>
      <c r="C110" s="2979"/>
      <c r="D110" s="2979" t="s">
        <v>486</v>
      </c>
      <c r="E110" s="2990"/>
      <c r="F110" s="2944"/>
      <c r="G110" s="2993"/>
      <c r="H110" s="2988"/>
      <c r="I110" s="2968"/>
      <c r="J110" s="2968"/>
      <c r="K110" s="1580"/>
      <c r="L110" s="1580"/>
      <c r="M110" s="1580"/>
      <c r="N110" s="1580"/>
      <c r="O110" s="1580"/>
      <c r="P110" s="1580"/>
      <c r="Q110" s="1580"/>
      <c r="R110" s="1580"/>
      <c r="S110" s="1580"/>
      <c r="T110" s="1580"/>
      <c r="U110" s="1580"/>
    </row>
    <row r="111" customFormat="false" ht="15" hidden="false" customHeight="true" outlineLevel="1" collapsed="false">
      <c r="A111" s="862" t="s">
        <v>3665</v>
      </c>
      <c r="B111" s="862"/>
      <c r="C111" s="862"/>
      <c r="D111" s="864" t="s">
        <v>15</v>
      </c>
      <c r="E111" s="864" t="n">
        <v>0.15</v>
      </c>
      <c r="F111" s="2944"/>
      <c r="G111" s="2993"/>
      <c r="H111" s="2988"/>
      <c r="I111" s="2968"/>
      <c r="J111" s="2968"/>
      <c r="K111" s="1580"/>
      <c r="L111" s="1580"/>
      <c r="M111" s="1580"/>
      <c r="N111" s="1580"/>
      <c r="O111" s="1580"/>
      <c r="P111" s="1580"/>
      <c r="Q111" s="1580"/>
      <c r="R111" s="1580"/>
      <c r="S111" s="1580"/>
      <c r="T111" s="1580"/>
      <c r="U111" s="1580"/>
    </row>
    <row r="112" customFormat="false" ht="15" hidden="false" customHeight="true" outlineLevel="1" collapsed="false">
      <c r="A112" s="862"/>
      <c r="B112" s="862"/>
      <c r="C112" s="862"/>
      <c r="D112" s="864" t="s">
        <v>15</v>
      </c>
      <c r="E112" s="864" t="n">
        <v>0.2</v>
      </c>
      <c r="F112" s="2944"/>
      <c r="G112" s="2993"/>
      <c r="H112" s="2988"/>
      <c r="I112" s="2968"/>
      <c r="J112" s="2968"/>
      <c r="K112" s="1580"/>
      <c r="L112" s="1580"/>
      <c r="M112" s="1580"/>
      <c r="N112" s="1580"/>
      <c r="O112" s="1580"/>
      <c r="P112" s="1580"/>
      <c r="Q112" s="1580"/>
      <c r="R112" s="1580"/>
      <c r="S112" s="1580"/>
      <c r="T112" s="1580"/>
      <c r="U112" s="1580"/>
    </row>
    <row r="113" customFormat="false" ht="15" hidden="false" customHeight="true" outlineLevel="1" collapsed="false">
      <c r="A113" s="862" t="s">
        <v>2830</v>
      </c>
      <c r="B113" s="862"/>
      <c r="C113" s="862"/>
      <c r="D113" s="864" t="s">
        <v>15</v>
      </c>
      <c r="E113" s="864" t="n">
        <v>0.15</v>
      </c>
      <c r="F113" s="2944"/>
      <c r="G113" s="2993"/>
      <c r="H113" s="2958"/>
      <c r="I113" s="2968"/>
      <c r="J113" s="2968"/>
      <c r="K113" s="1580"/>
      <c r="L113" s="1580"/>
      <c r="M113" s="1580"/>
      <c r="N113" s="1580"/>
      <c r="O113" s="1580"/>
      <c r="P113" s="1580"/>
      <c r="Q113" s="1580"/>
      <c r="R113" s="1580"/>
      <c r="S113" s="1580"/>
      <c r="T113" s="1580"/>
      <c r="U113" s="1580"/>
    </row>
    <row r="114" customFormat="false" ht="15" hidden="false" customHeight="true" outlineLevel="1" collapsed="false">
      <c r="A114" s="862"/>
      <c r="B114" s="862"/>
      <c r="C114" s="862"/>
      <c r="D114" s="864" t="s">
        <v>15</v>
      </c>
      <c r="E114" s="864" t="n">
        <v>0.2</v>
      </c>
      <c r="F114" s="2944"/>
      <c r="G114" s="2993"/>
      <c r="H114" s="2958"/>
      <c r="I114" s="2968"/>
      <c r="J114" s="2968"/>
      <c r="K114" s="1580"/>
      <c r="L114" s="1580"/>
      <c r="M114" s="1580"/>
      <c r="N114" s="1580"/>
      <c r="O114" s="1580"/>
      <c r="P114" s="1580"/>
      <c r="Q114" s="1580"/>
      <c r="R114" s="1580"/>
      <c r="S114" s="1580"/>
      <c r="T114" s="1580"/>
      <c r="U114" s="1580"/>
    </row>
    <row r="115" customFormat="false" ht="15" hidden="false" customHeight="true" outlineLevel="1" collapsed="false">
      <c r="A115" s="2523"/>
      <c r="B115" s="2523"/>
      <c r="C115" s="2523"/>
      <c r="D115" s="2524"/>
      <c r="E115" s="2524"/>
      <c r="F115" s="2501"/>
      <c r="G115" s="2993"/>
      <c r="H115" s="2958"/>
      <c r="I115" s="2968"/>
      <c r="J115" s="2968"/>
      <c r="K115" s="1580"/>
      <c r="L115" s="1580"/>
      <c r="M115" s="1580"/>
      <c r="N115" s="1580"/>
      <c r="O115" s="1580"/>
      <c r="P115" s="1580"/>
      <c r="Q115" s="1580"/>
      <c r="R115" s="1580"/>
      <c r="S115" s="1580"/>
      <c r="T115" s="1580"/>
      <c r="U115" s="1580"/>
    </row>
    <row r="116" customFormat="false" ht="15" hidden="false" customHeight="true" outlineLevel="1" collapsed="false">
      <c r="A116" s="2523"/>
      <c r="B116" s="2523"/>
      <c r="C116" s="2523"/>
      <c r="D116" s="2524"/>
      <c r="E116" s="2524"/>
      <c r="F116" s="2501"/>
      <c r="G116" s="2993"/>
      <c r="H116" s="2958"/>
      <c r="I116" s="2968"/>
      <c r="J116" s="2968"/>
      <c r="K116" s="1580"/>
      <c r="L116" s="1580"/>
      <c r="M116" s="1580"/>
      <c r="N116" s="1580"/>
      <c r="O116" s="1580"/>
      <c r="P116" s="1580"/>
      <c r="Q116" s="1580"/>
      <c r="R116" s="1580"/>
      <c r="S116" s="1580"/>
      <c r="T116" s="1580"/>
      <c r="U116" s="1580"/>
    </row>
    <row r="117" customFormat="false" ht="15" hidden="false" customHeight="true" outlineLevel="1" collapsed="false">
      <c r="A117" s="2968"/>
      <c r="B117" s="2968"/>
      <c r="C117" s="2968"/>
      <c r="D117" s="2968"/>
      <c r="E117" s="2968"/>
      <c r="F117" s="2968"/>
      <c r="G117" s="2993"/>
      <c r="H117" s="2958"/>
      <c r="I117" s="2968"/>
      <c r="J117" s="2968"/>
      <c r="K117" s="1580"/>
      <c r="L117" s="1580"/>
      <c r="M117" s="1580"/>
      <c r="N117" s="1580"/>
      <c r="O117" s="1580"/>
      <c r="P117" s="1580"/>
      <c r="Q117" s="1580"/>
      <c r="R117" s="1580"/>
      <c r="S117" s="1580"/>
      <c r="T117" s="1580"/>
      <c r="U117" s="1580"/>
    </row>
    <row r="118" customFormat="false" ht="15" hidden="false" customHeight="true" outlineLevel="1" collapsed="false">
      <c r="A118" s="2524"/>
      <c r="B118" s="2524"/>
      <c r="C118" s="918"/>
      <c r="D118" s="2803"/>
      <c r="E118" s="2803"/>
      <c r="F118" s="2967"/>
      <c r="G118" s="2968"/>
      <c r="H118" s="2988"/>
      <c r="I118" s="2968"/>
      <c r="J118" s="2968"/>
      <c r="K118" s="1580"/>
      <c r="L118" s="1580"/>
      <c r="M118" s="1580"/>
      <c r="N118" s="1580"/>
      <c r="O118" s="1580"/>
      <c r="P118" s="1580"/>
      <c r="Q118" s="1580"/>
      <c r="R118" s="1580"/>
      <c r="S118" s="1580"/>
      <c r="T118" s="1580"/>
      <c r="U118" s="1580"/>
    </row>
    <row r="119" customFormat="false" ht="15" hidden="false" customHeight="true" outlineLevel="1" collapsed="false">
      <c r="A119" s="2976" t="s">
        <v>266</v>
      </c>
      <c r="B119" s="2976"/>
      <c r="C119" s="2976"/>
      <c r="D119" s="2976"/>
      <c r="E119" s="2976"/>
      <c r="F119" s="2976"/>
      <c r="G119" s="2977" t="str">
        <f aca="false">'Ввод данных'!F443</f>
        <v>Не считать</v>
      </c>
      <c r="H119" s="2968" t="s">
        <v>3997</v>
      </c>
      <c r="I119" s="2968"/>
      <c r="J119" s="2968"/>
      <c r="K119" s="1580"/>
      <c r="L119" s="1580"/>
      <c r="M119" s="1580"/>
      <c r="N119" s="1580"/>
      <c r="O119" s="1580"/>
      <c r="P119" s="1580"/>
      <c r="Q119" s="1580"/>
      <c r="R119" s="1580"/>
      <c r="S119" s="1580"/>
      <c r="T119" s="1580"/>
      <c r="U119" s="1580"/>
    </row>
    <row r="120" customFormat="false" ht="15" hidden="false" customHeight="true" outlineLevel="1" collapsed="false">
      <c r="A120" s="2976" t="s">
        <v>161</v>
      </c>
      <c r="B120" s="2976"/>
      <c r="C120" s="2976"/>
      <c r="D120" s="2976" t="s">
        <v>12</v>
      </c>
      <c r="E120" s="2976" t="s">
        <v>118</v>
      </c>
      <c r="F120" s="2976"/>
      <c r="G120" s="2966"/>
      <c r="H120" s="2968"/>
      <c r="I120" s="2968"/>
      <c r="J120" s="2968"/>
      <c r="K120" s="1580"/>
      <c r="L120" s="1580"/>
      <c r="M120" s="1580"/>
      <c r="N120" s="1580"/>
      <c r="O120" s="1580"/>
      <c r="P120" s="1580"/>
      <c r="Q120" s="1580"/>
      <c r="R120" s="1580"/>
      <c r="S120" s="1580"/>
      <c r="T120" s="1580"/>
      <c r="U120" s="1580"/>
    </row>
    <row r="121" customFormat="false" ht="15" hidden="false" customHeight="true" outlineLevel="1" collapsed="false">
      <c r="A121" s="2979" t="s">
        <v>3047</v>
      </c>
      <c r="B121" s="2979"/>
      <c r="C121" s="2979"/>
      <c r="D121" s="2994" t="s">
        <v>48</v>
      </c>
      <c r="E121" s="44" t="n">
        <v>1</v>
      </c>
      <c r="F121" s="2944" t="e">
        <f aca="false">'ввод данных'!#ref!</f>
        <v>#VALUE!</v>
      </c>
      <c r="G121" s="2968"/>
      <c r="H121" s="2968"/>
      <c r="I121" s="2968"/>
      <c r="J121" s="2968"/>
      <c r="K121" s="1580"/>
      <c r="L121" s="1580"/>
      <c r="M121" s="1580"/>
      <c r="N121" s="1580"/>
      <c r="O121" s="1580"/>
      <c r="P121" s="1580"/>
      <c r="Q121" s="1580"/>
      <c r="R121" s="1580"/>
      <c r="S121" s="1580"/>
      <c r="T121" s="1580"/>
      <c r="U121" s="1580"/>
    </row>
    <row r="122" customFormat="false" ht="15" hidden="false" customHeight="true" outlineLevel="1" collapsed="false">
      <c r="A122" s="2496" t="s">
        <v>3048</v>
      </c>
      <c r="B122" s="2496"/>
      <c r="C122" s="2496"/>
      <c r="D122" s="2509" t="s">
        <v>48</v>
      </c>
      <c r="E122" s="2995" t="n">
        <v>1</v>
      </c>
      <c r="F122" s="2944" t="e">
        <f aca="false">'ввод данных'!#ref!</f>
        <v>#VALUE!</v>
      </c>
      <c r="G122" s="2984"/>
      <c r="H122" s="2958"/>
      <c r="I122" s="2968"/>
      <c r="J122" s="2968"/>
      <c r="K122" s="1580"/>
      <c r="L122" s="1580"/>
      <c r="M122" s="1580"/>
      <c r="N122" s="1580"/>
      <c r="O122" s="1580"/>
      <c r="P122" s="1580"/>
      <c r="Q122" s="1580"/>
      <c r="R122" s="1580"/>
      <c r="S122" s="1580"/>
      <c r="T122" s="1580"/>
      <c r="U122" s="1580"/>
    </row>
    <row r="123" customFormat="false" ht="15" hidden="false" customHeight="true" outlineLevel="1" collapsed="false">
      <c r="A123" s="2985" t="s">
        <v>279</v>
      </c>
      <c r="B123" s="2985"/>
      <c r="C123" s="2985"/>
      <c r="D123" s="2986" t="s">
        <v>15</v>
      </c>
      <c r="E123" s="2845" t="n">
        <f aca="false">'Ввод данных'!C421</f>
        <v>1</v>
      </c>
      <c r="F123" s="2982"/>
      <c r="G123" s="2982"/>
      <c r="H123" s="2988"/>
      <c r="I123" s="2968"/>
      <c r="J123" s="2968"/>
      <c r="K123" s="1580"/>
      <c r="L123" s="1580"/>
      <c r="M123" s="1580"/>
      <c r="N123" s="1580"/>
      <c r="O123" s="1580"/>
      <c r="P123" s="1580"/>
      <c r="Q123" s="1580"/>
      <c r="R123" s="1580"/>
      <c r="S123" s="1580"/>
      <c r="T123" s="1580"/>
      <c r="U123" s="1580"/>
    </row>
    <row r="124" customFormat="false" ht="15" hidden="false" customHeight="true" outlineLevel="1" collapsed="false">
      <c r="A124" s="2985" t="s">
        <v>280</v>
      </c>
      <c r="B124" s="2985"/>
      <c r="C124" s="2985"/>
      <c r="D124" s="2986" t="s">
        <v>15</v>
      </c>
      <c r="E124" s="2845" t="n">
        <f aca="false">'Ввод данных'!C422</f>
        <v>2</v>
      </c>
      <c r="F124" s="2989"/>
      <c r="G124" s="2989"/>
      <c r="H124" s="2988"/>
      <c r="I124" s="2968"/>
      <c r="J124" s="2968"/>
      <c r="K124" s="2926"/>
      <c r="L124" s="1580"/>
      <c r="M124" s="1580"/>
      <c r="N124" s="1580"/>
      <c r="O124" s="1580"/>
      <c r="P124" s="1580"/>
      <c r="Q124" s="1580"/>
      <c r="R124" s="1580"/>
      <c r="S124" s="1580"/>
      <c r="T124" s="1580"/>
      <c r="U124" s="1580"/>
    </row>
    <row r="125" customFormat="false" ht="15" hidden="false" customHeight="true" outlineLevel="1" collapsed="false">
      <c r="A125" s="2996" t="s">
        <v>3645</v>
      </c>
      <c r="B125" s="2996"/>
      <c r="C125" s="2996"/>
      <c r="D125" s="2997" t="s">
        <v>15</v>
      </c>
      <c r="E125" s="2845" t="n">
        <f aca="false">'Ввод данных'!C419</f>
        <v>2</v>
      </c>
      <c r="F125" s="2989"/>
      <c r="G125" s="2989"/>
      <c r="H125" s="2988"/>
      <c r="I125" s="2968"/>
      <c r="J125" s="2968"/>
      <c r="K125" s="2930"/>
      <c r="L125" s="1580"/>
      <c r="M125" s="1580"/>
      <c r="N125" s="1580"/>
      <c r="O125" s="1580"/>
      <c r="P125" s="1580"/>
      <c r="Q125" s="1580"/>
      <c r="R125" s="1580"/>
      <c r="S125" s="1580"/>
      <c r="T125" s="1580"/>
      <c r="U125" s="1580"/>
    </row>
    <row r="126" customFormat="false" ht="15" hidden="false" customHeight="true" outlineLevel="1" collapsed="false">
      <c r="A126" s="861" t="s">
        <v>245</v>
      </c>
      <c r="B126" s="861"/>
      <c r="C126" s="861"/>
      <c r="D126" s="862" t="s">
        <v>15</v>
      </c>
      <c r="E126" s="2845" t="n">
        <f aca="false">'Ввод данных'!C423</f>
        <v>2</v>
      </c>
      <c r="F126" s="2499"/>
      <c r="G126" s="2499"/>
      <c r="H126" s="2988"/>
      <c r="I126" s="2968"/>
      <c r="J126" s="2968"/>
      <c r="K126" s="2930"/>
      <c r="L126" s="1580"/>
      <c r="M126" s="1580"/>
      <c r="N126" s="1580"/>
      <c r="O126" s="1580"/>
      <c r="P126" s="1580"/>
      <c r="Q126" s="1580"/>
      <c r="R126" s="1580"/>
      <c r="S126" s="1580"/>
      <c r="T126" s="1580"/>
      <c r="U126" s="1580"/>
    </row>
    <row r="127" customFormat="false" ht="15" hidden="false" customHeight="true" outlineLevel="1" collapsed="false">
      <c r="A127" s="861" t="s">
        <v>3649</v>
      </c>
      <c r="B127" s="861"/>
      <c r="C127" s="861"/>
      <c r="D127" s="862" t="s">
        <v>15</v>
      </c>
      <c r="E127" s="2991" t="n">
        <f aca="false">SQRT((E124/2)*(E124/2)+E125*E125)</f>
        <v>2.23606797749979</v>
      </c>
      <c r="F127" s="2499"/>
      <c r="G127" s="2499"/>
      <c r="H127" s="2988"/>
      <c r="I127" s="2968"/>
      <c r="J127" s="2968"/>
      <c r="K127" s="2930"/>
      <c r="L127" s="1580"/>
      <c r="M127" s="1580"/>
      <c r="N127" s="1580"/>
      <c r="O127" s="1580"/>
      <c r="P127" s="1580"/>
      <c r="Q127" s="1580"/>
      <c r="R127" s="1580"/>
      <c r="S127" s="1580"/>
      <c r="T127" s="1580"/>
      <c r="U127" s="1580"/>
    </row>
    <row r="128" customFormat="false" ht="15" hidden="false" customHeight="true" outlineLevel="1" collapsed="false">
      <c r="A128" s="2998" t="s">
        <v>3650</v>
      </c>
      <c r="B128" s="2999"/>
      <c r="C128" s="3000"/>
      <c r="D128" s="2986" t="s">
        <v>15</v>
      </c>
      <c r="E128" s="2987" t="n">
        <f aca="false">SQRT((E126-E123)*(E126-E123)+E127*E127)</f>
        <v>2.44948974278318</v>
      </c>
      <c r="F128" s="2992"/>
      <c r="G128" s="2993"/>
      <c r="H128" s="2988"/>
      <c r="I128" s="2968"/>
      <c r="J128" s="2968"/>
      <c r="K128" s="2930"/>
      <c r="L128" s="1580"/>
      <c r="M128" s="1580"/>
      <c r="N128" s="1580"/>
      <c r="O128" s="1580"/>
      <c r="P128" s="1580"/>
      <c r="Q128" s="1580"/>
      <c r="R128" s="1580"/>
      <c r="S128" s="1580"/>
      <c r="T128" s="1580"/>
      <c r="U128" s="1580"/>
    </row>
    <row r="129" customFormat="false" ht="15" hidden="false" customHeight="true" outlineLevel="1" collapsed="false">
      <c r="A129" s="2998" t="s">
        <v>3652</v>
      </c>
      <c r="B129" s="2999"/>
      <c r="C129" s="3000"/>
      <c r="D129" s="862" t="s">
        <v>15</v>
      </c>
      <c r="E129" s="2991" t="n">
        <f aca="false">SQRT(E126*E126+E127*E127)</f>
        <v>3</v>
      </c>
      <c r="F129" s="2992"/>
      <c r="G129" s="2993"/>
      <c r="H129" s="2988"/>
      <c r="I129" s="2968"/>
      <c r="J129" s="2968"/>
      <c r="K129" s="2930"/>
      <c r="L129" s="1580"/>
      <c r="M129" s="1580"/>
      <c r="N129" s="1580"/>
      <c r="O129" s="1580"/>
      <c r="P129" s="1580"/>
      <c r="Q129" s="1580"/>
      <c r="R129" s="1580"/>
      <c r="S129" s="1580"/>
      <c r="T129" s="1580"/>
      <c r="U129" s="1580"/>
    </row>
    <row r="130" customFormat="false" ht="15" hidden="false" customHeight="true" outlineLevel="1" collapsed="false">
      <c r="A130" s="861" t="s">
        <v>3654</v>
      </c>
      <c r="B130" s="861"/>
      <c r="C130" s="861"/>
      <c r="D130" s="862" t="s">
        <v>820</v>
      </c>
      <c r="E130" s="2991" t="n">
        <f aca="false">E127*(E126-E123)+E127*E123*2</f>
        <v>6.70820393249937</v>
      </c>
      <c r="F130" s="2992"/>
      <c r="G130" s="2993"/>
      <c r="H130" s="2988"/>
      <c r="I130" s="2968"/>
      <c r="J130" s="2968"/>
      <c r="K130" s="2965"/>
      <c r="L130" s="1580"/>
      <c r="M130" s="1580"/>
      <c r="N130" s="1580"/>
      <c r="O130" s="1580"/>
      <c r="P130" s="1580"/>
      <c r="Q130" s="1580"/>
      <c r="R130" s="1580"/>
      <c r="S130" s="1580"/>
      <c r="T130" s="1580"/>
      <c r="U130" s="1580"/>
    </row>
    <row r="131" customFormat="false" ht="15" hidden="false" customHeight="true" outlineLevel="1" collapsed="false">
      <c r="A131" s="2979" t="s">
        <v>3998</v>
      </c>
      <c r="B131" s="2979"/>
      <c r="C131" s="2979"/>
      <c r="D131" s="2994" t="s">
        <v>820</v>
      </c>
      <c r="E131" s="2914" t="n">
        <f aca="false">E127*E126</f>
        <v>4.47213595499958</v>
      </c>
      <c r="F131" s="2989"/>
      <c r="G131" s="2989"/>
      <c r="H131" s="2988"/>
      <c r="I131" s="2968"/>
      <c r="J131" s="2968"/>
      <c r="K131" s="2930"/>
      <c r="L131" s="1580"/>
      <c r="M131" s="1580"/>
      <c r="N131" s="1580"/>
      <c r="O131" s="1580"/>
      <c r="P131" s="1580"/>
      <c r="Q131" s="1580"/>
      <c r="R131" s="1580"/>
      <c r="S131" s="1580"/>
      <c r="T131" s="1580"/>
      <c r="U131" s="1580"/>
    </row>
    <row r="132" customFormat="false" ht="15" hidden="false" customHeight="true" outlineLevel="1" collapsed="false">
      <c r="A132" s="2979" t="s">
        <v>3656</v>
      </c>
      <c r="B132" s="2979"/>
      <c r="C132" s="2979"/>
      <c r="D132" s="2994" t="s">
        <v>820</v>
      </c>
      <c r="E132" s="44" t="n">
        <f aca="false">SQRT(E129*E129-(E124/2)*(E124/2))</f>
        <v>2.82842712474619</v>
      </c>
      <c r="F132" s="2968"/>
      <c r="G132" s="2993"/>
      <c r="H132" s="2988"/>
      <c r="I132" s="2968"/>
      <c r="J132" s="2968"/>
      <c r="K132" s="2938"/>
      <c r="L132" s="1580"/>
      <c r="M132" s="1580"/>
      <c r="N132" s="1580"/>
      <c r="O132" s="1580"/>
      <c r="P132" s="1580"/>
      <c r="Q132" s="1580"/>
      <c r="R132" s="1580"/>
      <c r="S132" s="1580"/>
      <c r="T132" s="1580"/>
      <c r="U132" s="1580"/>
    </row>
    <row r="133" customFormat="false" ht="15" hidden="false" customHeight="true" outlineLevel="1" collapsed="false">
      <c r="A133" s="861" t="s">
        <v>3658</v>
      </c>
      <c r="B133" s="861"/>
      <c r="C133" s="861"/>
      <c r="D133" s="44" t="s">
        <v>820</v>
      </c>
      <c r="E133" s="44" t="n">
        <f aca="false">E130*1.35</f>
        <v>9.05607530887415</v>
      </c>
      <c r="F133" s="2968"/>
      <c r="G133" s="2982"/>
      <c r="H133" s="2988"/>
      <c r="I133" s="2968"/>
      <c r="J133" s="2968"/>
      <c r="K133" s="2942"/>
      <c r="L133" s="1580"/>
      <c r="M133" s="1580"/>
      <c r="N133" s="1580"/>
      <c r="O133" s="1580"/>
      <c r="P133" s="1580"/>
      <c r="Q133" s="1580"/>
      <c r="R133" s="1580"/>
      <c r="S133" s="1580"/>
      <c r="T133" s="1580"/>
      <c r="U133" s="1580"/>
    </row>
    <row r="134" customFormat="false" ht="15" hidden="false" customHeight="true" outlineLevel="1" collapsed="false">
      <c r="A134" s="861" t="s">
        <v>3999</v>
      </c>
      <c r="B134" s="861"/>
      <c r="C134" s="861"/>
      <c r="D134" s="86" t="s">
        <v>820</v>
      </c>
      <c r="E134" s="86" t="n">
        <f aca="false">E131*1.35</f>
        <v>6.03738353924943</v>
      </c>
      <c r="F134" s="2968"/>
      <c r="G134" s="2993"/>
      <c r="H134" s="2988"/>
      <c r="I134" s="2968"/>
      <c r="J134" s="2968"/>
      <c r="K134" s="2942"/>
      <c r="L134" s="1580"/>
      <c r="M134" s="1580"/>
      <c r="N134" s="1580"/>
      <c r="O134" s="1580"/>
      <c r="P134" s="1580"/>
      <c r="Q134" s="1580"/>
      <c r="R134" s="1580"/>
      <c r="S134" s="1580"/>
      <c r="T134" s="1580"/>
      <c r="U134" s="1580"/>
    </row>
    <row r="135" customFormat="false" ht="15" hidden="false" customHeight="true" outlineLevel="1" collapsed="false">
      <c r="A135" s="2979" t="s">
        <v>2826</v>
      </c>
      <c r="B135" s="2979"/>
      <c r="C135" s="2979"/>
      <c r="D135" s="2979" t="s">
        <v>486</v>
      </c>
      <c r="E135" s="2990"/>
      <c r="F135" s="2944"/>
      <c r="G135" s="2993"/>
      <c r="H135" s="2988"/>
      <c r="I135" s="2968"/>
      <c r="J135" s="2968"/>
      <c r="K135" s="2930"/>
      <c r="L135" s="1580"/>
      <c r="M135" s="1580"/>
      <c r="N135" s="1580"/>
      <c r="O135" s="1580"/>
      <c r="P135" s="1580"/>
      <c r="Q135" s="1580"/>
      <c r="R135" s="1580"/>
      <c r="S135" s="1580"/>
      <c r="T135" s="1580"/>
      <c r="U135" s="1580"/>
    </row>
    <row r="136" customFormat="false" ht="15" hidden="false" customHeight="true" outlineLevel="1" collapsed="false">
      <c r="A136" s="862" t="s">
        <v>3665</v>
      </c>
      <c r="B136" s="862"/>
      <c r="C136" s="862"/>
      <c r="D136" s="862" t="s">
        <v>15</v>
      </c>
      <c r="E136" s="864" t="n">
        <v>0.15</v>
      </c>
      <c r="F136" s="2944"/>
      <c r="G136" s="2993"/>
      <c r="H136" s="2988"/>
      <c r="I136" s="2968"/>
      <c r="J136" s="2968"/>
      <c r="K136" s="2930"/>
      <c r="L136" s="1580"/>
      <c r="M136" s="1580"/>
      <c r="N136" s="1580"/>
      <c r="O136" s="1580"/>
      <c r="P136" s="1580"/>
      <c r="Q136" s="1580"/>
      <c r="R136" s="1580"/>
      <c r="S136" s="1580"/>
      <c r="T136" s="1580"/>
      <c r="U136" s="1580"/>
    </row>
    <row r="137" customFormat="false" ht="15" hidden="false" customHeight="true" outlineLevel="1" collapsed="false">
      <c r="A137" s="862"/>
      <c r="B137" s="862"/>
      <c r="C137" s="862"/>
      <c r="D137" s="862" t="s">
        <v>15</v>
      </c>
      <c r="E137" s="864" t="n">
        <v>0.2</v>
      </c>
      <c r="F137" s="2944"/>
      <c r="G137" s="2993"/>
      <c r="H137" s="2988"/>
      <c r="I137" s="2968"/>
      <c r="J137" s="2968"/>
      <c r="K137" s="2930"/>
      <c r="L137" s="1580"/>
      <c r="M137" s="1580"/>
      <c r="N137" s="1580"/>
      <c r="O137" s="1580"/>
      <c r="P137" s="1580"/>
      <c r="Q137" s="1580"/>
      <c r="R137" s="1580"/>
      <c r="S137" s="1580"/>
      <c r="T137" s="1580"/>
      <c r="U137" s="1580"/>
    </row>
    <row r="138" customFormat="false" ht="15" hidden="false" customHeight="true" outlineLevel="1" collapsed="false">
      <c r="A138" s="862" t="s">
        <v>2830</v>
      </c>
      <c r="B138" s="862"/>
      <c r="C138" s="862"/>
      <c r="D138" s="862" t="s">
        <v>15</v>
      </c>
      <c r="E138" s="864" t="n">
        <v>0.15</v>
      </c>
      <c r="F138" s="2944"/>
      <c r="G138" s="2968"/>
      <c r="H138" s="2963"/>
      <c r="I138" s="2968"/>
      <c r="J138" s="2968"/>
      <c r="K138" s="2930"/>
      <c r="L138" s="1580"/>
      <c r="M138" s="1580"/>
      <c r="N138" s="1580"/>
      <c r="O138" s="1580"/>
      <c r="P138" s="1580"/>
      <c r="Q138" s="1580"/>
      <c r="R138" s="1580"/>
      <c r="S138" s="1580"/>
      <c r="T138" s="1580"/>
      <c r="U138" s="1580"/>
    </row>
    <row r="139" customFormat="false" ht="15" hidden="false" customHeight="true" outlineLevel="1" collapsed="false">
      <c r="A139" s="862"/>
      <c r="B139" s="862"/>
      <c r="C139" s="862"/>
      <c r="D139" s="862" t="s">
        <v>15</v>
      </c>
      <c r="E139" s="864" t="n">
        <v>0.2</v>
      </c>
      <c r="F139" s="2944"/>
      <c r="G139" s="2968"/>
      <c r="H139" s="2963"/>
      <c r="I139" s="2968"/>
      <c r="J139" s="2968"/>
      <c r="K139" s="2930"/>
      <c r="L139" s="1580"/>
      <c r="M139" s="1580"/>
      <c r="N139" s="1580"/>
      <c r="O139" s="1580"/>
      <c r="P139" s="1580"/>
      <c r="Q139" s="1580"/>
      <c r="R139" s="1580"/>
      <c r="S139" s="1580"/>
      <c r="T139" s="1580"/>
      <c r="U139" s="1580"/>
    </row>
    <row r="140" customFormat="false" ht="15" hidden="false" customHeight="true" outlineLevel="1" collapsed="false">
      <c r="A140" s="2968"/>
      <c r="B140" s="2968"/>
      <c r="C140" s="2968"/>
      <c r="D140" s="2968"/>
      <c r="E140" s="2968"/>
      <c r="F140" s="2967"/>
      <c r="G140" s="2968"/>
      <c r="H140" s="2963"/>
      <c r="I140" s="2968"/>
      <c r="J140" s="2968"/>
      <c r="K140" s="1169"/>
      <c r="L140" s="1580"/>
      <c r="M140" s="1580"/>
      <c r="N140" s="1580"/>
      <c r="O140" s="1580"/>
      <c r="P140" s="1580"/>
      <c r="Q140" s="1580"/>
      <c r="R140" s="1580"/>
      <c r="S140" s="1580"/>
      <c r="T140" s="1580"/>
      <c r="U140" s="1580"/>
    </row>
    <row r="141" customFormat="false" ht="15" hidden="false" customHeight="true" outlineLevel="1" collapsed="false">
      <c r="A141" s="2931"/>
      <c r="B141" s="2931"/>
      <c r="C141" s="2931"/>
      <c r="D141" s="2931"/>
      <c r="E141" s="2930"/>
      <c r="F141" s="2974"/>
      <c r="G141" s="2931"/>
      <c r="H141" s="2963"/>
      <c r="I141" s="2963"/>
      <c r="J141" s="2963"/>
      <c r="K141" s="1169"/>
      <c r="L141" s="1580"/>
      <c r="M141" s="1580"/>
      <c r="N141" s="1580"/>
      <c r="O141" s="1580"/>
      <c r="P141" s="1580"/>
      <c r="Q141" s="1580"/>
      <c r="R141" s="1580"/>
      <c r="S141" s="1580"/>
      <c r="T141" s="1580"/>
      <c r="U141" s="1580"/>
    </row>
    <row r="142" customFormat="false" ht="15" hidden="false" customHeight="true" outlineLevel="1" collapsed="false">
      <c r="A142" s="2931"/>
      <c r="B142" s="2931"/>
      <c r="C142" s="2931"/>
      <c r="D142" s="2931"/>
      <c r="E142" s="2931"/>
      <c r="F142" s="2931"/>
      <c r="G142" s="2931"/>
      <c r="H142" s="2963"/>
      <c r="I142" s="2963"/>
      <c r="J142" s="2963"/>
      <c r="K142" s="1169"/>
      <c r="L142" s="1580"/>
      <c r="M142" s="1580"/>
      <c r="N142" s="1580"/>
      <c r="O142" s="1580"/>
      <c r="P142" s="1580"/>
      <c r="Q142" s="1580"/>
      <c r="R142" s="1580"/>
      <c r="S142" s="1580"/>
      <c r="T142" s="1580"/>
      <c r="U142" s="1580"/>
    </row>
    <row r="143" customFormat="false" ht="15" hidden="false" customHeight="true" outlineLevel="1" collapsed="false">
      <c r="A143" s="3001" t="s">
        <v>2745</v>
      </c>
      <c r="B143" s="3002"/>
      <c r="C143" s="2941" t="s">
        <v>12</v>
      </c>
      <c r="D143" s="2941" t="s">
        <v>13</v>
      </c>
      <c r="E143" s="2845" t="str">
        <f aca="false">'Ввод данных'!C79</f>
        <v>Не считать</v>
      </c>
      <c r="F143" s="3003" t="s">
        <v>2746</v>
      </c>
      <c r="G143" s="2931"/>
      <c r="H143" s="2963"/>
      <c r="I143" s="2963"/>
      <c r="J143" s="2963"/>
      <c r="K143" s="1169"/>
      <c r="L143" s="1580"/>
      <c r="M143" s="1580"/>
      <c r="N143" s="1580"/>
      <c r="O143" s="1580"/>
      <c r="P143" s="1580"/>
      <c r="Q143" s="1580"/>
      <c r="R143" s="1580"/>
      <c r="S143" s="1580"/>
      <c r="T143" s="1580"/>
      <c r="U143" s="1580"/>
    </row>
    <row r="144" customFormat="false" ht="15" hidden="false" customHeight="true" outlineLevel="1" collapsed="false">
      <c r="A144" s="2979" t="s">
        <v>2748</v>
      </c>
      <c r="B144" s="2979"/>
      <c r="C144" s="2981" t="s">
        <v>48</v>
      </c>
      <c r="D144" s="2947"/>
      <c r="E144" s="2931"/>
      <c r="F144" s="2931"/>
      <c r="G144" s="2931"/>
      <c r="H144" s="2931"/>
      <c r="I144" s="2931"/>
      <c r="J144" s="2931"/>
      <c r="K144" s="2965"/>
      <c r="L144" s="1580"/>
      <c r="M144" s="1580"/>
      <c r="N144" s="1580"/>
      <c r="O144" s="1580"/>
      <c r="P144" s="1580"/>
      <c r="Q144" s="1580"/>
      <c r="R144" s="1580"/>
      <c r="S144" s="1580"/>
      <c r="T144" s="1580"/>
      <c r="U144" s="1580"/>
    </row>
    <row r="145" customFormat="false" ht="15" hidden="false" customHeight="true" outlineLevel="1" collapsed="false">
      <c r="A145" s="2979" t="s">
        <v>2753</v>
      </c>
      <c r="B145" s="2979"/>
      <c r="C145" s="2981" t="s">
        <v>48</v>
      </c>
      <c r="D145" s="2947" t="n">
        <f aca="false">'Ввод данных'!E448</f>
        <v>1</v>
      </c>
      <c r="E145" s="2931"/>
      <c r="F145" s="2931"/>
      <c r="G145" s="2931"/>
      <c r="H145" s="2931"/>
      <c r="I145" s="2931"/>
      <c r="J145" s="2931"/>
      <c r="K145" s="2965"/>
      <c r="L145" s="1580"/>
      <c r="M145" s="1580"/>
      <c r="N145" s="1580"/>
      <c r="O145" s="1580"/>
      <c r="P145" s="1580"/>
      <c r="Q145" s="1580"/>
      <c r="R145" s="1580"/>
      <c r="S145" s="1580"/>
      <c r="T145" s="1580"/>
      <c r="U145" s="1580"/>
    </row>
    <row r="146" customFormat="false" ht="15" hidden="false" customHeight="true" outlineLevel="1" collapsed="false">
      <c r="A146" s="2979" t="s">
        <v>161</v>
      </c>
      <c r="B146" s="2979"/>
      <c r="C146" s="2968" t="s">
        <v>12</v>
      </c>
      <c r="D146" s="44" t="s">
        <v>13</v>
      </c>
      <c r="E146" s="44" t="s">
        <v>137</v>
      </c>
      <c r="F146" s="44" t="s">
        <v>486</v>
      </c>
      <c r="G146" s="2931"/>
      <c r="H146" s="2931"/>
      <c r="I146" s="2931"/>
      <c r="J146" s="2931"/>
      <c r="K146" s="2965"/>
      <c r="L146" s="1580"/>
      <c r="M146" s="1580"/>
      <c r="N146" s="1580"/>
      <c r="O146" s="1580"/>
      <c r="P146" s="1580"/>
      <c r="Q146" s="1580"/>
      <c r="R146" s="1580"/>
      <c r="S146" s="1580"/>
      <c r="T146" s="1580"/>
      <c r="U146" s="1580"/>
    </row>
    <row r="147" customFormat="false" ht="15" hidden="false" customHeight="true" outlineLevel="1" collapsed="false">
      <c r="A147" s="2979" t="s">
        <v>302</v>
      </c>
      <c r="B147" s="2979"/>
      <c r="C147" s="2980" t="s">
        <v>15</v>
      </c>
      <c r="D147" s="2986"/>
      <c r="E147" s="2845" t="str">
        <f aca="false">связи1!E567</f>
        <v>№3</v>
      </c>
      <c r="F147" s="2944" t="e">
        <f aca="false">'ввод данных'!#ref!</f>
        <v>#VALUE!</v>
      </c>
      <c r="G147" s="2966" t="s">
        <v>3668</v>
      </c>
      <c r="H147" s="2968"/>
      <c r="I147" s="2931"/>
      <c r="J147" s="2931"/>
      <c r="K147" s="2965"/>
      <c r="L147" s="1580"/>
      <c r="M147" s="1580"/>
      <c r="N147" s="1580"/>
      <c r="O147" s="1580"/>
      <c r="P147" s="1580"/>
      <c r="Q147" s="1580"/>
      <c r="R147" s="1580"/>
      <c r="S147" s="1580"/>
      <c r="T147" s="1580"/>
      <c r="U147" s="1580"/>
    </row>
    <row r="148" customFormat="false" ht="15" hidden="false" customHeight="true" outlineLevel="1" collapsed="false">
      <c r="A148" s="2979" t="s">
        <v>2758</v>
      </c>
      <c r="B148" s="2979"/>
      <c r="C148" s="2980" t="s">
        <v>15</v>
      </c>
      <c r="D148" s="2986"/>
      <c r="E148" s="2845" t="n">
        <f aca="false">связи1!E568</f>
        <v>1</v>
      </c>
      <c r="F148" s="2944" t="e">
        <f aca="false">'ввод данных'!#ref!</f>
        <v>#VALUE!</v>
      </c>
      <c r="G148" s="2966" t="s">
        <v>3669</v>
      </c>
      <c r="H148" s="2968"/>
      <c r="I148" s="2931"/>
      <c r="J148" s="2931"/>
      <c r="K148" s="2965"/>
      <c r="L148" s="1580"/>
      <c r="M148" s="1580"/>
      <c r="N148" s="1580"/>
      <c r="O148" s="1580"/>
      <c r="P148" s="1580"/>
      <c r="Q148" s="1580"/>
      <c r="R148" s="1580"/>
      <c r="S148" s="1580"/>
      <c r="T148" s="1580"/>
      <c r="U148" s="1580"/>
    </row>
    <row r="149" customFormat="false" ht="15" hidden="false" customHeight="true" outlineLevel="1" collapsed="false">
      <c r="A149" s="2932" t="s">
        <v>2759</v>
      </c>
      <c r="B149" s="2932"/>
      <c r="C149" s="3004" t="s">
        <v>15</v>
      </c>
      <c r="D149" s="907"/>
      <c r="E149" s="2845" t="n">
        <f aca="false">'Ввод данных'!E452</f>
        <v>0</v>
      </c>
      <c r="F149" s="2944" t="n">
        <f aca="false">'Ввод данных'!G456</f>
        <v>0</v>
      </c>
      <c r="G149" s="2966" t="s">
        <v>3670</v>
      </c>
      <c r="H149" s="2963"/>
      <c r="I149" s="2963"/>
      <c r="J149" s="2963"/>
      <c r="K149" s="2965"/>
      <c r="L149" s="1580"/>
      <c r="M149" s="1580"/>
      <c r="N149" s="1580"/>
      <c r="O149" s="1580"/>
      <c r="P149" s="1580"/>
      <c r="Q149" s="1580"/>
      <c r="R149" s="1580"/>
      <c r="S149" s="1580"/>
      <c r="T149" s="1580"/>
      <c r="U149" s="1580"/>
    </row>
    <row r="150" customFormat="false" ht="15" hidden="false" customHeight="true" outlineLevel="1" collapsed="false">
      <c r="A150" s="2932" t="s">
        <v>366</v>
      </c>
      <c r="B150" s="2932"/>
      <c r="C150" s="2929" t="s">
        <v>15</v>
      </c>
      <c r="D150" s="2947"/>
      <c r="E150" s="2931"/>
      <c r="F150" s="2931"/>
      <c r="G150" s="2931"/>
      <c r="H150" s="2963"/>
      <c r="I150" s="2963"/>
      <c r="J150" s="2963"/>
      <c r="K150" s="2965"/>
      <c r="L150" s="1580"/>
      <c r="M150" s="1580"/>
      <c r="N150" s="1580"/>
      <c r="O150" s="1580"/>
      <c r="P150" s="1580"/>
      <c r="Q150" s="1580"/>
      <c r="R150" s="1580"/>
      <c r="S150" s="1580"/>
      <c r="T150" s="1580"/>
      <c r="U150" s="1580"/>
    </row>
    <row r="151" customFormat="false" ht="15" hidden="false" customHeight="true" outlineLevel="1" collapsed="false">
      <c r="A151" s="2932" t="s">
        <v>2774</v>
      </c>
      <c r="B151" s="2932"/>
      <c r="C151" s="2956" t="s">
        <v>15</v>
      </c>
      <c r="D151" s="2947"/>
      <c r="E151" s="2931"/>
      <c r="F151" s="2931"/>
      <c r="G151" s="2931"/>
      <c r="H151" s="2930"/>
      <c r="I151" s="2963"/>
      <c r="J151" s="2963"/>
      <c r="K151" s="2965"/>
      <c r="L151" s="1580"/>
      <c r="M151" s="1580"/>
      <c r="N151" s="1580"/>
      <c r="O151" s="1580"/>
      <c r="P151" s="1580"/>
      <c r="Q151" s="1580"/>
      <c r="R151" s="1580"/>
      <c r="S151" s="1580"/>
      <c r="T151" s="1580"/>
      <c r="U151" s="1580"/>
    </row>
    <row r="152" customFormat="false" ht="15" hidden="false" customHeight="true" outlineLevel="1" collapsed="false">
      <c r="A152" s="2932" t="s">
        <v>4000</v>
      </c>
      <c r="B152" s="2932"/>
      <c r="C152" s="2956" t="s">
        <v>15</v>
      </c>
      <c r="D152" s="2947"/>
      <c r="E152" s="2931"/>
      <c r="F152" s="2931"/>
      <c r="G152" s="2931"/>
      <c r="H152" s="2930"/>
      <c r="I152" s="2963"/>
      <c r="J152" s="2963"/>
      <c r="K152" s="2965"/>
      <c r="L152" s="1580"/>
      <c r="M152" s="1580"/>
      <c r="N152" s="1580"/>
      <c r="O152" s="1580"/>
      <c r="P152" s="1580"/>
      <c r="Q152" s="1580"/>
      <c r="R152" s="1580"/>
      <c r="S152" s="1580"/>
      <c r="T152" s="1580"/>
      <c r="U152" s="1580"/>
    </row>
    <row r="153" customFormat="false" ht="15" hidden="false" customHeight="true" outlineLevel="1" collapsed="false">
      <c r="A153" s="2932" t="s">
        <v>4001</v>
      </c>
      <c r="B153" s="2932"/>
      <c r="C153" s="2956" t="s">
        <v>15</v>
      </c>
      <c r="D153" s="2947"/>
      <c r="E153" s="2931"/>
      <c r="F153" s="2931"/>
      <c r="G153" s="2931"/>
      <c r="H153" s="2930"/>
      <c r="I153" s="2963"/>
      <c r="J153" s="2963"/>
      <c r="K153" s="2965"/>
      <c r="L153" s="1580"/>
      <c r="M153" s="1580"/>
      <c r="N153" s="1580"/>
      <c r="O153" s="1580"/>
      <c r="P153" s="1580"/>
      <c r="Q153" s="1580"/>
      <c r="R153" s="1580"/>
      <c r="S153" s="1580"/>
      <c r="T153" s="1580"/>
      <c r="U153" s="1580"/>
    </row>
    <row r="154" customFormat="false" ht="15" hidden="false" customHeight="true" outlineLevel="1" collapsed="false">
      <c r="A154" s="2932" t="s">
        <v>4002</v>
      </c>
      <c r="B154" s="2932"/>
      <c r="C154" s="2956" t="s">
        <v>15</v>
      </c>
      <c r="D154" s="2947"/>
      <c r="E154" s="2931"/>
      <c r="F154" s="2931"/>
      <c r="G154" s="2931"/>
      <c r="H154" s="2931"/>
      <c r="I154" s="2963"/>
      <c r="J154" s="2963"/>
      <c r="K154" s="2965"/>
      <c r="L154" s="1580"/>
      <c r="M154" s="1580"/>
      <c r="N154" s="1580"/>
      <c r="O154" s="1580"/>
      <c r="P154" s="1580"/>
      <c r="Q154" s="1580"/>
      <c r="R154" s="1580"/>
      <c r="S154" s="1580"/>
      <c r="T154" s="1580"/>
      <c r="U154" s="1580"/>
    </row>
    <row r="155" customFormat="false" ht="15" hidden="false" customHeight="true" outlineLevel="1" collapsed="false">
      <c r="A155" s="2936" t="s">
        <v>4003</v>
      </c>
      <c r="B155" s="2936"/>
      <c r="C155" s="2956" t="s">
        <v>15</v>
      </c>
      <c r="D155" s="2973"/>
      <c r="E155" s="2931"/>
      <c r="F155" s="2931"/>
      <c r="G155" s="2931"/>
      <c r="H155" s="2931"/>
      <c r="I155" s="2963"/>
      <c r="J155" s="2963"/>
      <c r="K155" s="2965"/>
      <c r="L155" s="1580"/>
      <c r="M155" s="1580"/>
      <c r="N155" s="1580"/>
      <c r="O155" s="1580"/>
      <c r="P155" s="1580"/>
      <c r="Q155" s="1580"/>
      <c r="R155" s="1580"/>
      <c r="S155" s="1580"/>
      <c r="T155" s="1580"/>
      <c r="U155" s="1580"/>
    </row>
    <row r="156" customFormat="false" ht="15" hidden="false" customHeight="true" outlineLevel="1" collapsed="false">
      <c r="A156" s="2932" t="s">
        <v>4004</v>
      </c>
      <c r="B156" s="2932"/>
      <c r="C156" s="2956" t="s">
        <v>15</v>
      </c>
      <c r="D156" s="2956"/>
      <c r="E156" s="2931"/>
      <c r="F156" s="2931"/>
      <c r="G156" s="2931"/>
      <c r="H156" s="2931"/>
      <c r="I156" s="2963"/>
      <c r="J156" s="2963"/>
      <c r="K156" s="2965"/>
      <c r="L156" s="1580"/>
      <c r="M156" s="1580"/>
      <c r="N156" s="1580"/>
      <c r="O156" s="1580"/>
      <c r="P156" s="1580"/>
      <c r="Q156" s="1580"/>
      <c r="R156" s="1580"/>
      <c r="S156" s="1580"/>
      <c r="T156" s="1580"/>
      <c r="U156" s="1580"/>
    </row>
    <row r="157" customFormat="false" ht="15" hidden="false" customHeight="true" outlineLevel="1" collapsed="false">
      <c r="A157" s="2932" t="s">
        <v>46</v>
      </c>
      <c r="B157" s="2932"/>
      <c r="C157" s="2931" t="s">
        <v>12</v>
      </c>
      <c r="D157" s="3005" t="s">
        <v>200</v>
      </c>
      <c r="E157" s="2956" t="s">
        <v>118</v>
      </c>
      <c r="F157" s="2973" t="s">
        <v>200</v>
      </c>
      <c r="G157" s="2973" t="s">
        <v>2749</v>
      </c>
      <c r="H157" s="2930"/>
      <c r="I157" s="2963"/>
      <c r="J157" s="2963"/>
      <c r="K157" s="3006"/>
      <c r="L157" s="1580"/>
      <c r="M157" s="1580"/>
      <c r="N157" s="1580"/>
      <c r="O157" s="1580"/>
      <c r="P157" s="1580"/>
      <c r="Q157" s="1580"/>
      <c r="R157" s="1580"/>
      <c r="S157" s="1580"/>
      <c r="T157" s="1580"/>
      <c r="U157" s="1580"/>
    </row>
    <row r="158" customFormat="false" ht="15" hidden="false" customHeight="true" outlineLevel="1" collapsed="false">
      <c r="A158" s="2994" t="s">
        <v>2754</v>
      </c>
      <c r="B158" s="2994"/>
      <c r="C158" s="2956" t="s">
        <v>15</v>
      </c>
      <c r="D158" s="2947" t="n">
        <f aca="false">связи1!D570</f>
        <v>3</v>
      </c>
      <c r="E158" s="2845" t="n">
        <f aca="false">связи1!E570</f>
        <v>3</v>
      </c>
      <c r="F158" s="2973" t="n">
        <f aca="false">D158*E158</f>
        <v>9</v>
      </c>
      <c r="G158" s="2973" t="n">
        <f aca="false">F158*D153</f>
        <v>0</v>
      </c>
      <c r="H158" s="2930"/>
      <c r="I158" s="2963"/>
      <c r="J158" s="2963"/>
      <c r="K158" s="2974"/>
      <c r="L158" s="1580"/>
      <c r="M158" s="1580"/>
      <c r="N158" s="1580"/>
      <c r="O158" s="1580"/>
      <c r="P158" s="1580"/>
      <c r="Q158" s="1580"/>
      <c r="R158" s="1580"/>
      <c r="S158" s="1580"/>
      <c r="T158" s="1580"/>
      <c r="U158" s="1580"/>
    </row>
    <row r="159" customFormat="false" ht="15" hidden="false" customHeight="true" outlineLevel="1" collapsed="false">
      <c r="A159" s="2994"/>
      <c r="B159" s="2994"/>
      <c r="C159" s="2956" t="s">
        <v>488</v>
      </c>
      <c r="D159" s="2947" t="n">
        <f aca="false">связи1!D571</f>
        <v>2.9</v>
      </c>
      <c r="E159" s="2845" t="n">
        <f aca="false">связи1!E571</f>
        <v>2.9</v>
      </c>
      <c r="F159" s="2973" t="n">
        <f aca="false">D159*E159</f>
        <v>8.41</v>
      </c>
      <c r="G159" s="2973" t="n">
        <f aca="false">F159*D153</f>
        <v>0</v>
      </c>
      <c r="H159" s="2930"/>
      <c r="I159" s="2963"/>
      <c r="J159" s="2963"/>
      <c r="K159" s="2965"/>
      <c r="L159" s="1580"/>
      <c r="M159" s="1580"/>
      <c r="N159" s="1580"/>
      <c r="O159" s="1580"/>
      <c r="P159" s="1580"/>
      <c r="Q159" s="1580"/>
      <c r="R159" s="1580"/>
      <c r="S159" s="1580"/>
      <c r="T159" s="1580"/>
      <c r="U159" s="1580"/>
    </row>
    <row r="160" customFormat="false" ht="15" hidden="false" customHeight="true" outlineLevel="1" collapsed="false">
      <c r="A160" s="2994" t="s">
        <v>2757</v>
      </c>
      <c r="B160" s="2994"/>
      <c r="C160" s="2956" t="s">
        <v>15</v>
      </c>
      <c r="D160" s="2947" t="n">
        <f aca="false">связи1!D574</f>
        <v>2.2</v>
      </c>
      <c r="E160" s="2845" t="n">
        <f aca="false">связи1!E574</f>
        <v>2.2</v>
      </c>
      <c r="F160" s="2973" t="n">
        <f aca="false">D160*E160</f>
        <v>4.84</v>
      </c>
      <c r="G160" s="2973" t="n">
        <f aca="false">F160*D153</f>
        <v>0</v>
      </c>
      <c r="H160" s="2930"/>
      <c r="I160" s="2963"/>
      <c r="J160" s="2963"/>
      <c r="K160" s="2965"/>
      <c r="L160" s="1580"/>
      <c r="M160" s="1580"/>
      <c r="N160" s="1580"/>
      <c r="O160" s="1580"/>
      <c r="P160" s="1580"/>
      <c r="Q160" s="1580"/>
      <c r="R160" s="1580"/>
      <c r="S160" s="1580"/>
      <c r="T160" s="1580"/>
      <c r="U160" s="1580"/>
    </row>
    <row r="161" customFormat="false" ht="15" hidden="false" customHeight="true" outlineLevel="1" collapsed="false">
      <c r="A161" s="2994"/>
      <c r="B161" s="2994"/>
      <c r="C161" s="2956" t="s">
        <v>15</v>
      </c>
      <c r="D161" s="2947" t="n">
        <f aca="false">связи1!D575</f>
        <v>1</v>
      </c>
      <c r="E161" s="2845" t="n">
        <f aca="false">связи1!E575</f>
        <v>2.9</v>
      </c>
      <c r="F161" s="2973" t="n">
        <f aca="false">D161*E161</f>
        <v>2.9</v>
      </c>
      <c r="G161" s="2973" t="n">
        <f aca="false">F161*D153</f>
        <v>0</v>
      </c>
      <c r="H161" s="2930"/>
      <c r="I161" s="2963"/>
      <c r="J161" s="2963"/>
      <c r="K161" s="2965"/>
      <c r="L161" s="1580"/>
      <c r="M161" s="1580"/>
      <c r="N161" s="1580"/>
      <c r="O161" s="1580"/>
      <c r="P161" s="1580"/>
      <c r="Q161" s="1580"/>
      <c r="R161" s="1580"/>
      <c r="S161" s="1580"/>
      <c r="T161" s="1580"/>
      <c r="U161" s="1580"/>
    </row>
    <row r="162" customFormat="false" ht="15" hidden="false" customHeight="true" outlineLevel="1" collapsed="false">
      <c r="A162" s="2994" t="s">
        <v>2760</v>
      </c>
      <c r="B162" s="2994"/>
      <c r="C162" s="2956" t="s">
        <v>488</v>
      </c>
      <c r="D162" s="2947" t="n">
        <f aca="false">связи1!D576</f>
        <v>2.1</v>
      </c>
      <c r="E162" s="2845"/>
      <c r="F162" s="2973" t="n">
        <f aca="false">D162*E162</f>
        <v>0</v>
      </c>
      <c r="G162" s="2973" t="n">
        <f aca="false">F162*D152*D145</f>
        <v>0</v>
      </c>
      <c r="H162" s="2963"/>
      <c r="I162" s="2963"/>
      <c r="J162" s="2963"/>
      <c r="K162" s="2965"/>
      <c r="L162" s="1580"/>
      <c r="M162" s="1580"/>
      <c r="N162" s="1580"/>
      <c r="O162" s="1580"/>
      <c r="P162" s="1580"/>
      <c r="Q162" s="1580"/>
      <c r="R162" s="1580"/>
      <c r="S162" s="1580"/>
      <c r="T162" s="1580"/>
      <c r="U162" s="1580"/>
    </row>
    <row r="163" customFormat="false" ht="15" hidden="false" customHeight="true" outlineLevel="1" collapsed="false">
      <c r="A163" s="2994"/>
      <c r="B163" s="2994"/>
      <c r="C163" s="2956" t="s">
        <v>15</v>
      </c>
      <c r="D163" s="2947" t="e">
        <f aca="false">'ввод данных'!#ref!</f>
        <v>#VALUE!</v>
      </c>
      <c r="E163" s="2845" t="e">
        <f aca="false">'ввод данных'!#ref!</f>
        <v>#VALUE!</v>
      </c>
      <c r="F163" s="2973" t="e">
        <f aca="false">D163*E163</f>
        <v>#VALUE!</v>
      </c>
      <c r="G163" s="2973" t="e">
        <f aca="false">F163*D152*D145</f>
        <v>#VALUE!</v>
      </c>
      <c r="H163" s="2963"/>
      <c r="I163" s="2963"/>
      <c r="J163" s="2963"/>
      <c r="K163" s="2965"/>
      <c r="L163" s="1580"/>
      <c r="M163" s="1580"/>
      <c r="N163" s="1580"/>
      <c r="O163" s="1580"/>
      <c r="P163" s="1580"/>
      <c r="Q163" s="1580"/>
      <c r="R163" s="1580"/>
      <c r="S163" s="1580"/>
      <c r="T163" s="1580"/>
      <c r="U163" s="1580"/>
    </row>
    <row r="164" customFormat="false" ht="15" hidden="false" customHeight="true" outlineLevel="1" collapsed="false">
      <c r="A164" s="2994" t="s">
        <v>2760</v>
      </c>
      <c r="B164" s="2994"/>
      <c r="C164" s="2956" t="s">
        <v>15</v>
      </c>
      <c r="D164" s="2947" t="e">
        <f aca="false">'ввод данных'!#ref!</f>
        <v>#VALUE!</v>
      </c>
      <c r="E164" s="2845" t="e">
        <f aca="false">'ввод данных'!#ref!</f>
        <v>#VALUE!</v>
      </c>
      <c r="F164" s="2973" t="e">
        <f aca="false">D164*E164</f>
        <v>#VALUE!</v>
      </c>
      <c r="G164" s="1253" t="e">
        <f aca="false">F164*D152*D145</f>
        <v>#VALUE!</v>
      </c>
      <c r="H164" s="2935"/>
      <c r="I164" s="2935"/>
      <c r="J164" s="2963"/>
      <c r="K164" s="2965"/>
      <c r="L164" s="1580"/>
      <c r="M164" s="1580"/>
      <c r="N164" s="1580"/>
      <c r="O164" s="1580"/>
      <c r="P164" s="1580"/>
      <c r="Q164" s="1580"/>
      <c r="R164" s="1580"/>
      <c r="S164" s="1580"/>
      <c r="T164" s="1580"/>
      <c r="U164" s="1580"/>
    </row>
    <row r="165" customFormat="false" ht="15" hidden="false" customHeight="true" outlineLevel="1" collapsed="false">
      <c r="A165" s="2994"/>
      <c r="B165" s="2994"/>
      <c r="C165" s="2956" t="s">
        <v>15</v>
      </c>
      <c r="D165" s="2947" t="e">
        <f aca="false">'ввод данных'!#ref!</f>
        <v>#VALUE!</v>
      </c>
      <c r="E165" s="2845" t="e">
        <f aca="false">'ввод данных'!#ref!</f>
        <v>#VALUE!</v>
      </c>
      <c r="F165" s="2973" t="e">
        <f aca="false">D165*E165</f>
        <v>#VALUE!</v>
      </c>
      <c r="G165" s="1253" t="e">
        <f aca="false">F165*D152*D145</f>
        <v>#VALUE!</v>
      </c>
      <c r="H165" s="2935"/>
      <c r="I165" s="2935"/>
      <c r="J165" s="3007"/>
      <c r="K165" s="2965"/>
      <c r="L165" s="1580"/>
      <c r="M165" s="1580"/>
      <c r="N165" s="1580"/>
      <c r="O165" s="1580"/>
      <c r="P165" s="1580"/>
      <c r="Q165" s="1580"/>
      <c r="R165" s="1580"/>
      <c r="S165" s="1580"/>
      <c r="T165" s="1580"/>
      <c r="U165" s="1580"/>
    </row>
    <row r="166" customFormat="false" ht="15" hidden="false" customHeight="true" outlineLevel="1" collapsed="false">
      <c r="A166" s="3008" t="s">
        <v>2778</v>
      </c>
      <c r="B166" s="3008"/>
      <c r="C166" s="3008"/>
      <c r="D166" s="3008"/>
      <c r="E166" s="3008"/>
      <c r="F166" s="2973" t="e">
        <f aca="false">SUM(F158:F165)</f>
        <v>#VALUE!</v>
      </c>
      <c r="G166" s="2973" t="e">
        <f aca="false">SUM(G158:G165)</f>
        <v>#VALUE!</v>
      </c>
      <c r="H166" s="2963"/>
      <c r="I166" s="2963"/>
      <c r="J166" s="2935"/>
      <c r="K166" s="2965"/>
      <c r="L166" s="1580"/>
      <c r="M166" s="1580"/>
      <c r="N166" s="1580"/>
      <c r="O166" s="1580"/>
      <c r="P166" s="1580"/>
      <c r="Q166" s="1580"/>
      <c r="R166" s="1580"/>
      <c r="S166" s="1580"/>
      <c r="T166" s="1580"/>
      <c r="U166" s="1580"/>
    </row>
    <row r="167" customFormat="false" ht="15" hidden="false" customHeight="true" outlineLevel="1" collapsed="false">
      <c r="A167" s="3009" t="s">
        <v>548</v>
      </c>
      <c r="B167" s="3010"/>
      <c r="C167" s="3011" t="s">
        <v>12</v>
      </c>
      <c r="D167" s="3011" t="s">
        <v>2779</v>
      </c>
      <c r="E167" s="3011" t="s">
        <v>2780</v>
      </c>
      <c r="F167" s="3011" t="s">
        <v>118</v>
      </c>
      <c r="G167" s="2941" t="s">
        <v>2749</v>
      </c>
      <c r="H167" s="2963"/>
      <c r="I167" s="3012"/>
      <c r="J167" s="3007"/>
      <c r="K167" s="2965"/>
      <c r="L167" s="1580"/>
      <c r="M167" s="1580"/>
      <c r="N167" s="1580"/>
      <c r="O167" s="1580"/>
      <c r="P167" s="1580"/>
      <c r="Q167" s="1580"/>
      <c r="R167" s="1580"/>
      <c r="S167" s="1580"/>
      <c r="T167" s="1580"/>
      <c r="U167" s="1580"/>
    </row>
    <row r="168" customFormat="false" ht="15" hidden="false" customHeight="true" outlineLevel="1" collapsed="false">
      <c r="A168" s="2994" t="s">
        <v>550</v>
      </c>
      <c r="B168" s="2994"/>
      <c r="C168" s="2994" t="s">
        <v>15</v>
      </c>
      <c r="D168" s="2947" t="e">
        <f aca="false">'ввод данных'!#ref!</f>
        <v>#VALUE!</v>
      </c>
      <c r="E168" s="2845" t="e">
        <f aca="false">'ввод данных'!#ref!</f>
        <v>#VALUE!</v>
      </c>
      <c r="F168" s="2944" t="n">
        <f aca="false">'Ввод данных'!G467</f>
        <v>0</v>
      </c>
      <c r="G168" s="113" t="e">
        <f aca="false">D168*E168*F168</f>
        <v>#VALUE!</v>
      </c>
      <c r="H168" s="2963"/>
      <c r="I168" s="2938"/>
      <c r="J168" s="3007"/>
      <c r="K168" s="2965"/>
      <c r="L168" s="1580"/>
      <c r="M168" s="1580"/>
      <c r="N168" s="1580"/>
      <c r="O168" s="1580"/>
      <c r="P168" s="1580"/>
      <c r="Q168" s="1580"/>
      <c r="R168" s="1580"/>
      <c r="S168" s="1580"/>
      <c r="T168" s="1580"/>
      <c r="U168" s="1580"/>
    </row>
    <row r="169" customFormat="false" ht="15" hidden="false" customHeight="true" outlineLevel="1" collapsed="false">
      <c r="A169" s="2994"/>
      <c r="B169" s="2994"/>
      <c r="C169" s="2994" t="s">
        <v>15</v>
      </c>
      <c r="D169" s="2947" t="e">
        <f aca="false">'ввод данных'!#ref!</f>
        <v>#VALUE!</v>
      </c>
      <c r="E169" s="2845" t="e">
        <f aca="false">'ввод данных'!#ref!</f>
        <v>#VALUE!</v>
      </c>
      <c r="F169" s="2944" t="n">
        <f aca="false">'Ввод данных'!G468</f>
        <v>0</v>
      </c>
      <c r="G169" s="113" t="e">
        <f aca="false">D169*E169*F169</f>
        <v>#VALUE!</v>
      </c>
      <c r="H169" s="2963"/>
      <c r="I169" s="3012"/>
      <c r="J169" s="3007"/>
      <c r="K169" s="2965"/>
      <c r="L169" s="1580"/>
      <c r="M169" s="1580"/>
      <c r="N169" s="1580"/>
      <c r="O169" s="1580"/>
      <c r="P169" s="1580"/>
      <c r="Q169" s="1580"/>
      <c r="R169" s="1580"/>
      <c r="S169" s="1580"/>
      <c r="T169" s="1580"/>
      <c r="U169" s="1580"/>
    </row>
    <row r="170" customFormat="false" ht="15" hidden="false" customHeight="true" outlineLevel="1" collapsed="false">
      <c r="A170" s="2994"/>
      <c r="B170" s="2994"/>
      <c r="C170" s="2994" t="s">
        <v>15</v>
      </c>
      <c r="D170" s="2947" t="e">
        <f aca="false">'ввод данных'!#ref!</f>
        <v>#VALUE!</v>
      </c>
      <c r="E170" s="2845" t="e">
        <f aca="false">'ввод данных'!#ref!</f>
        <v>#VALUE!</v>
      </c>
      <c r="F170" s="2944" t="n">
        <f aca="false">'Ввод данных'!G469</f>
        <v>0</v>
      </c>
      <c r="G170" s="113" t="e">
        <f aca="false">D170*E170*F170</f>
        <v>#VALUE!</v>
      </c>
      <c r="H170" s="3013"/>
      <c r="I170" s="3012"/>
      <c r="J170" s="3007"/>
      <c r="K170" s="2965"/>
      <c r="L170" s="1580"/>
      <c r="M170" s="1580"/>
      <c r="N170" s="1580"/>
      <c r="O170" s="1580"/>
      <c r="P170" s="1580"/>
      <c r="Q170" s="1580"/>
      <c r="R170" s="1580"/>
      <c r="S170" s="1580"/>
      <c r="T170" s="1580"/>
      <c r="U170" s="1580"/>
    </row>
    <row r="171" customFormat="false" ht="15" hidden="false" customHeight="true" outlineLevel="1" collapsed="false">
      <c r="A171" s="2997" t="s">
        <v>2791</v>
      </c>
      <c r="B171" s="2997"/>
      <c r="C171" s="2994" t="s">
        <v>15</v>
      </c>
      <c r="D171" s="2947" t="e">
        <f aca="false">'ввод данных'!#ref!</f>
        <v>#VALUE!</v>
      </c>
      <c r="E171" s="2845"/>
      <c r="F171" s="2944" t="e">
        <f aca="false">'ввод данных'!#ref!</f>
        <v>#VALUE!</v>
      </c>
      <c r="G171" s="113" t="e">
        <f aca="false">D171*E171*F171</f>
        <v>#VALUE!</v>
      </c>
      <c r="H171" s="2935"/>
      <c r="I171" s="3012"/>
      <c r="J171" s="3007"/>
      <c r="K171" s="2965"/>
      <c r="L171" s="1580"/>
      <c r="M171" s="1580"/>
      <c r="N171" s="1580"/>
      <c r="O171" s="1580"/>
      <c r="P171" s="1580"/>
      <c r="Q171" s="1580"/>
      <c r="R171" s="1580"/>
      <c r="S171" s="1580"/>
      <c r="T171" s="1580"/>
      <c r="U171" s="1580"/>
    </row>
    <row r="172" customFormat="false" ht="15" hidden="false" customHeight="true" outlineLevel="1" collapsed="false">
      <c r="A172" s="2997"/>
      <c r="B172" s="2997"/>
      <c r="C172" s="2994" t="s">
        <v>15</v>
      </c>
      <c r="D172" s="2947"/>
      <c r="E172" s="2845"/>
      <c r="F172" s="2944"/>
      <c r="G172" s="113" t="n">
        <f aca="false">D172*E172*F172</f>
        <v>0</v>
      </c>
      <c r="H172" s="3013"/>
      <c r="I172" s="3012"/>
      <c r="J172" s="3007"/>
      <c r="K172" s="2965"/>
      <c r="L172" s="1580"/>
      <c r="M172" s="1580"/>
      <c r="N172" s="1580"/>
      <c r="O172" s="1580"/>
      <c r="P172" s="1580"/>
      <c r="Q172" s="1580"/>
      <c r="R172" s="1580"/>
      <c r="S172" s="1580"/>
      <c r="T172" s="1580"/>
      <c r="U172" s="1580"/>
    </row>
    <row r="173" customFormat="false" ht="15" hidden="false" customHeight="true" outlineLevel="1" collapsed="false">
      <c r="A173" s="2932" t="s">
        <v>1839</v>
      </c>
      <c r="B173" s="2932"/>
      <c r="C173" s="3014" t="s">
        <v>15</v>
      </c>
      <c r="D173" s="2947" t="n">
        <f aca="false">связи1!D577</f>
        <v>0.6</v>
      </c>
      <c r="E173" s="2845" t="n">
        <f aca="false">связи1!E577</f>
        <v>0.6</v>
      </c>
      <c r="F173" s="2944" t="e">
        <f aca="false">'ввод данных'!#ref!</f>
        <v>#VALUE!</v>
      </c>
      <c r="G173" s="1253" t="e">
        <f aca="false">D173*E173*F173</f>
        <v>#VALUE!</v>
      </c>
      <c r="H173" s="2935"/>
      <c r="I173" s="2935"/>
      <c r="J173" s="3007"/>
      <c r="K173" s="2965"/>
      <c r="L173" s="1580"/>
      <c r="M173" s="1580"/>
      <c r="N173" s="1580"/>
      <c r="O173" s="1580"/>
      <c r="P173" s="1580"/>
      <c r="Q173" s="1580"/>
      <c r="R173" s="1580"/>
      <c r="S173" s="1580"/>
      <c r="T173" s="1580"/>
      <c r="U173" s="1580"/>
    </row>
    <row r="174" customFormat="false" ht="15" hidden="false" customHeight="true" outlineLevel="1" collapsed="false">
      <c r="A174" s="2979" t="s">
        <v>553</v>
      </c>
      <c r="B174" s="2979"/>
      <c r="C174" s="3014" t="s">
        <v>15</v>
      </c>
      <c r="D174" s="2947" t="n">
        <f aca="false">связи1!D579</f>
        <v>0.5</v>
      </c>
      <c r="E174" s="2845" t="n">
        <f aca="false">связи1!E579</f>
        <v>0.8</v>
      </c>
      <c r="F174" s="2944" t="n">
        <f aca="false">связи1!F566</f>
        <v>0</v>
      </c>
      <c r="G174" s="1253" t="n">
        <f aca="false">D174*E174*F174</f>
        <v>0</v>
      </c>
      <c r="H174" s="3015"/>
      <c r="I174" s="3007" t="s">
        <v>4005</v>
      </c>
      <c r="J174" s="3007"/>
      <c r="K174" s="2965"/>
      <c r="L174" s="1580"/>
      <c r="M174" s="1580"/>
      <c r="N174" s="1580"/>
      <c r="O174" s="1580"/>
      <c r="P174" s="1580"/>
      <c r="Q174" s="1580"/>
      <c r="R174" s="1580"/>
      <c r="S174" s="1580"/>
      <c r="T174" s="1580"/>
      <c r="U174" s="1580"/>
    </row>
    <row r="175" customFormat="false" ht="15" hidden="false" customHeight="true" outlineLevel="1" collapsed="false">
      <c r="A175" s="1252" t="s">
        <v>2797</v>
      </c>
      <c r="B175" s="3016"/>
      <c r="C175" s="3016"/>
      <c r="D175" s="3016"/>
      <c r="E175" s="3016"/>
      <c r="F175" s="1550"/>
      <c r="G175" s="3017" t="e">
        <f aca="false">SUM(G168:G174)*E143</f>
        <v>#VALUE!</v>
      </c>
      <c r="H175" s="3013"/>
      <c r="I175" s="3012"/>
      <c r="J175" s="3007"/>
      <c r="K175" s="2965"/>
      <c r="L175" s="1580"/>
      <c r="M175" s="1580"/>
      <c r="N175" s="1580"/>
      <c r="O175" s="1580"/>
      <c r="P175" s="1580"/>
      <c r="Q175" s="1580"/>
      <c r="R175" s="1580"/>
      <c r="S175" s="1580"/>
      <c r="T175" s="1580"/>
      <c r="U175" s="1580"/>
    </row>
    <row r="176" customFormat="false" ht="15" hidden="false" customHeight="true" outlineLevel="1" collapsed="false">
      <c r="A176" s="1253" t="s">
        <v>4006</v>
      </c>
      <c r="B176" s="1253"/>
      <c r="C176" s="1253" t="s">
        <v>820</v>
      </c>
      <c r="D176" s="1253" t="e">
        <f aca="false">G166-G171-G172</f>
        <v>#VALUE!</v>
      </c>
      <c r="E176" s="2935"/>
      <c r="F176" s="2935"/>
      <c r="G176" s="2938"/>
      <c r="H176" s="3013"/>
      <c r="I176" s="3012"/>
      <c r="J176" s="3007"/>
      <c r="K176" s="2965"/>
      <c r="L176" s="1580"/>
      <c r="M176" s="1580"/>
      <c r="N176" s="1580"/>
      <c r="O176" s="1580"/>
      <c r="P176" s="1580"/>
      <c r="Q176" s="1580"/>
      <c r="R176" s="1580"/>
      <c r="S176" s="1580"/>
      <c r="T176" s="1580"/>
      <c r="U176" s="1580"/>
    </row>
    <row r="177" customFormat="false" ht="15" hidden="false" customHeight="true" outlineLevel="1" collapsed="false">
      <c r="A177" s="1253" t="s">
        <v>2846</v>
      </c>
      <c r="B177" s="1253"/>
      <c r="C177" s="1253" t="s">
        <v>820</v>
      </c>
      <c r="D177" s="1253" t="e">
        <f aca="false">(D153*D144+D152*D145+E147*F147+E148*F148+E149*F149)*(D151+D151+D150)-G168-G169-G170-G173-G174*H174</f>
        <v>#VALUE!</v>
      </c>
      <c r="E177" s="2935"/>
      <c r="F177" s="2935"/>
      <c r="G177" s="2938"/>
      <c r="H177" s="3013"/>
      <c r="I177" s="3012"/>
      <c r="J177" s="3007"/>
      <c r="K177" s="2965"/>
      <c r="L177" s="1580"/>
      <c r="M177" s="1580"/>
      <c r="N177" s="1580"/>
      <c r="O177" s="1580"/>
      <c r="P177" s="1580"/>
      <c r="Q177" s="1580"/>
      <c r="R177" s="1580"/>
      <c r="S177" s="1580"/>
      <c r="T177" s="1580"/>
      <c r="U177" s="1580"/>
    </row>
    <row r="178" customFormat="false" ht="15" hidden="false" customHeight="true" outlineLevel="1" collapsed="false">
      <c r="A178" s="1253" t="s">
        <v>4007</v>
      </c>
      <c r="B178" s="1253"/>
      <c r="C178" s="1253" t="s">
        <v>820</v>
      </c>
      <c r="D178" s="1253" t="e">
        <f aca="false">D176*2+D177</f>
        <v>#VALUE!</v>
      </c>
      <c r="E178" s="2935"/>
      <c r="F178" s="2935"/>
      <c r="G178" s="2938"/>
      <c r="H178" s="3013"/>
      <c r="I178" s="3012"/>
      <c r="J178" s="3007"/>
      <c r="K178" s="2965"/>
      <c r="L178" s="1580"/>
      <c r="M178" s="1580"/>
      <c r="N178" s="1580"/>
      <c r="O178" s="1580"/>
      <c r="P178" s="1580"/>
      <c r="Q178" s="1580"/>
      <c r="R178" s="1580"/>
      <c r="S178" s="1580"/>
      <c r="T178" s="1580"/>
      <c r="U178" s="1580"/>
    </row>
    <row r="179" customFormat="false" ht="15" hidden="false" customHeight="true" outlineLevel="1" collapsed="false">
      <c r="A179" s="3018" t="s">
        <v>2790</v>
      </c>
      <c r="B179" s="3019"/>
      <c r="C179" s="3020" t="s">
        <v>12</v>
      </c>
      <c r="D179" s="3020" t="s">
        <v>200</v>
      </c>
      <c r="E179" s="2845" t="n">
        <f aca="false">связи1!E576</f>
        <v>1.5</v>
      </c>
      <c r="F179" s="3021" t="s">
        <v>4008</v>
      </c>
      <c r="G179" s="2938"/>
      <c r="H179" s="3013"/>
      <c r="I179" s="3012"/>
      <c r="J179" s="3007"/>
      <c r="K179" s="2965"/>
      <c r="L179" s="1580"/>
      <c r="M179" s="1580"/>
      <c r="N179" s="1580"/>
      <c r="O179" s="1580"/>
      <c r="P179" s="1580"/>
      <c r="Q179" s="1580"/>
      <c r="R179" s="1580"/>
      <c r="S179" s="1580"/>
      <c r="T179" s="1580"/>
      <c r="U179" s="1580"/>
    </row>
    <row r="180" customFormat="false" ht="15" hidden="false" customHeight="true" outlineLevel="1" collapsed="false">
      <c r="A180" s="3022" t="s">
        <v>2980</v>
      </c>
      <c r="B180" s="3023"/>
      <c r="C180" s="3024" t="s">
        <v>15</v>
      </c>
      <c r="D180" s="3024" t="n">
        <f aca="false">SQRT(D151*D151+D155*D155)</f>
        <v>0</v>
      </c>
      <c r="E180" s="3025"/>
      <c r="F180" s="3025"/>
      <c r="G180" s="2938"/>
      <c r="H180" s="3013"/>
      <c r="I180" s="3012"/>
      <c r="J180" s="3007"/>
      <c r="K180" s="2965"/>
      <c r="L180" s="1580"/>
      <c r="M180" s="1580"/>
      <c r="N180" s="1580"/>
      <c r="O180" s="1580"/>
      <c r="P180" s="1580"/>
      <c r="Q180" s="1580"/>
      <c r="R180" s="1580"/>
      <c r="S180" s="1580"/>
      <c r="T180" s="1580"/>
      <c r="U180" s="1580"/>
    </row>
    <row r="181" customFormat="false" ht="15" hidden="false" customHeight="true" outlineLevel="1" collapsed="false">
      <c r="A181" s="3022" t="s">
        <v>3692</v>
      </c>
      <c r="B181" s="3023"/>
      <c r="C181" s="3024" t="s">
        <v>15</v>
      </c>
      <c r="D181" s="2947" t="n">
        <f aca="false">связи1!C577</f>
        <v>0.5</v>
      </c>
      <c r="E181" s="3025"/>
      <c r="F181" s="3025"/>
      <c r="G181" s="2938"/>
      <c r="H181" s="3013"/>
      <c r="I181" s="3012"/>
      <c r="J181" s="3007"/>
      <c r="K181" s="2965"/>
      <c r="L181" s="1580"/>
      <c r="M181" s="1580"/>
      <c r="N181" s="1580"/>
      <c r="O181" s="1580"/>
      <c r="P181" s="1580"/>
      <c r="Q181" s="1580"/>
      <c r="R181" s="1580"/>
      <c r="S181" s="1580"/>
      <c r="T181" s="1580"/>
      <c r="U181" s="1580"/>
    </row>
    <row r="182" customFormat="false" ht="15" hidden="false" customHeight="true" outlineLevel="1" collapsed="false">
      <c r="A182" s="3022" t="s">
        <v>4009</v>
      </c>
      <c r="B182" s="3023"/>
      <c r="C182" s="3024" t="s">
        <v>15</v>
      </c>
      <c r="D182" s="2947" t="n">
        <f aca="false">связи1!C579</f>
        <v>0.5</v>
      </c>
      <c r="E182" s="3025"/>
      <c r="F182" s="3025"/>
      <c r="G182" s="2938"/>
      <c r="H182" s="2979" t="s">
        <v>2748</v>
      </c>
      <c r="I182" s="2979"/>
      <c r="J182" s="2981" t="s">
        <v>48</v>
      </c>
      <c r="K182" s="2947" t="e">
        <f aca="false">'ввод данных'!#ref!</f>
        <v>#VALUE!</v>
      </c>
      <c r="L182" s="1580"/>
      <c r="M182" s="1580"/>
      <c r="N182" s="1580"/>
      <c r="O182" s="1580"/>
      <c r="P182" s="1580"/>
      <c r="Q182" s="1580"/>
      <c r="R182" s="1580"/>
      <c r="S182" s="1580"/>
      <c r="T182" s="1580"/>
      <c r="U182" s="1580"/>
    </row>
    <row r="183" customFormat="false" ht="15" hidden="false" customHeight="true" outlineLevel="1" collapsed="false">
      <c r="A183" s="3022" t="s">
        <v>2807</v>
      </c>
      <c r="B183" s="3023"/>
      <c r="C183" s="3024" t="s">
        <v>820</v>
      </c>
      <c r="D183" s="3024" t="n">
        <f aca="false">D180*D150</f>
        <v>0</v>
      </c>
      <c r="E183" s="3025"/>
      <c r="F183" s="3025"/>
      <c r="G183" s="2938"/>
      <c r="H183" s="2979" t="s">
        <v>2753</v>
      </c>
      <c r="I183" s="2979"/>
      <c r="J183" s="2981" t="s">
        <v>48</v>
      </c>
      <c r="K183" s="2947" t="e">
        <f aca="false">'ввод данных'!#ref!</f>
        <v>#VALUE!</v>
      </c>
      <c r="L183" s="1580"/>
      <c r="M183" s="1580"/>
      <c r="N183" s="1580"/>
      <c r="O183" s="1580"/>
      <c r="P183" s="1580"/>
      <c r="Q183" s="1580"/>
      <c r="R183" s="1580"/>
      <c r="S183" s="1580"/>
      <c r="T183" s="1580"/>
      <c r="U183" s="1580"/>
    </row>
    <row r="184" customFormat="false" ht="15" hidden="false" customHeight="true" outlineLevel="1" collapsed="false">
      <c r="A184" s="3022" t="s">
        <v>2808</v>
      </c>
      <c r="B184" s="3023"/>
      <c r="C184" s="3024" t="s">
        <v>820</v>
      </c>
      <c r="D184" s="3024" t="n">
        <f aca="false">(D180+D181)*(D150+D182+D182)</f>
        <v>0.5</v>
      </c>
      <c r="E184" s="3025"/>
      <c r="F184" s="3025"/>
      <c r="G184" s="2938"/>
      <c r="H184" s="86" t="s">
        <v>2836</v>
      </c>
      <c r="I184" s="2986" t="s">
        <v>820</v>
      </c>
      <c r="J184" s="86" t="n">
        <f aca="false">K142*K143*K136+K142*K143*K137</f>
        <v>0</v>
      </c>
      <c r="K184" s="2965"/>
      <c r="L184" s="1580"/>
      <c r="M184" s="1580"/>
      <c r="N184" s="1580"/>
      <c r="O184" s="1580"/>
      <c r="P184" s="1580"/>
      <c r="Q184" s="1580"/>
      <c r="R184" s="1580"/>
      <c r="S184" s="1580"/>
      <c r="T184" s="1580"/>
      <c r="U184" s="1580"/>
    </row>
    <row r="185" customFormat="false" ht="15" hidden="false" customHeight="true" outlineLevel="1" collapsed="false">
      <c r="A185" s="2979" t="s">
        <v>2826</v>
      </c>
      <c r="B185" s="2979"/>
      <c r="C185" s="2979"/>
      <c r="D185" s="2979" t="s">
        <v>486</v>
      </c>
      <c r="E185" s="2990" t="s">
        <v>137</v>
      </c>
      <c r="F185" s="2944"/>
      <c r="G185" s="2935"/>
      <c r="H185" s="1253" t="s">
        <v>4006</v>
      </c>
      <c r="I185" s="1253"/>
      <c r="J185" s="1253" t="s">
        <v>820</v>
      </c>
      <c r="K185" s="1253" t="n">
        <f aca="false">N175-N180-N181</f>
        <v>0</v>
      </c>
      <c r="L185" s="1580"/>
      <c r="M185" s="1580"/>
      <c r="N185" s="1580"/>
      <c r="O185" s="1580"/>
      <c r="P185" s="1580"/>
      <c r="Q185" s="1580"/>
      <c r="R185" s="1580"/>
      <c r="S185" s="1580"/>
      <c r="T185" s="1580"/>
      <c r="U185" s="1580"/>
    </row>
    <row r="186" customFormat="false" ht="15" hidden="false" customHeight="true" outlineLevel="1" collapsed="false">
      <c r="A186" s="862" t="s">
        <v>3665</v>
      </c>
      <c r="B186" s="862"/>
      <c r="C186" s="862"/>
      <c r="D186" s="862" t="s">
        <v>15</v>
      </c>
      <c r="E186" s="864" t="n">
        <v>0.15</v>
      </c>
      <c r="F186" s="2944" t="n">
        <f aca="false">связи1!F569</f>
        <v>3</v>
      </c>
      <c r="G186" s="2935"/>
      <c r="H186" s="1253" t="s">
        <v>2846</v>
      </c>
      <c r="I186" s="1253"/>
      <c r="J186" s="1253" t="s">
        <v>820</v>
      </c>
      <c r="K186" s="1253" t="n">
        <f aca="false">(K162*K153+K161*K154+L156*M156+L157*M157+L158*M158)*(K160+K160+K159)-N177-N178-N179-N182-N183*O183</f>
        <v>0</v>
      </c>
      <c r="L186" s="1580"/>
      <c r="M186" s="1580"/>
      <c r="N186" s="1580"/>
      <c r="O186" s="1580"/>
      <c r="P186" s="1580"/>
      <c r="Q186" s="1580"/>
      <c r="R186" s="1580"/>
      <c r="S186" s="1580"/>
      <c r="T186" s="1580"/>
      <c r="U186" s="1580"/>
    </row>
    <row r="187" customFormat="false" ht="15" hidden="false" customHeight="true" outlineLevel="1" collapsed="false">
      <c r="A187" s="862"/>
      <c r="B187" s="862"/>
      <c r="C187" s="862"/>
      <c r="D187" s="862" t="s">
        <v>15</v>
      </c>
      <c r="E187" s="864" t="n">
        <v>0.2</v>
      </c>
      <c r="F187" s="2944" t="n">
        <f aca="false">связи1!F570</f>
        <v>5</v>
      </c>
      <c r="G187" s="2935"/>
      <c r="H187" s="1253" t="s">
        <v>4007</v>
      </c>
      <c r="I187" s="1253"/>
      <c r="J187" s="1253" t="s">
        <v>820</v>
      </c>
      <c r="K187" s="1253" t="n">
        <f aca="false">K185*2+K186</f>
        <v>0</v>
      </c>
      <c r="L187" s="1580"/>
      <c r="M187" s="1580"/>
      <c r="N187" s="1580"/>
      <c r="O187" s="1580"/>
      <c r="P187" s="1580"/>
      <c r="Q187" s="1580"/>
      <c r="R187" s="1580"/>
      <c r="S187" s="1580"/>
      <c r="T187" s="1580"/>
      <c r="U187" s="1580"/>
    </row>
    <row r="188" customFormat="false" ht="15" hidden="false" customHeight="true" outlineLevel="1" collapsed="false">
      <c r="A188" s="862" t="s">
        <v>2830</v>
      </c>
      <c r="B188" s="862"/>
      <c r="C188" s="862"/>
      <c r="D188" s="862" t="s">
        <v>15</v>
      </c>
      <c r="E188" s="864" t="n">
        <v>0.15</v>
      </c>
      <c r="F188" s="2944" t="n">
        <f aca="false">связи1!F571</f>
        <v>3</v>
      </c>
      <c r="G188" s="2935"/>
      <c r="H188" s="1252" t="s">
        <v>2797</v>
      </c>
      <c r="I188" s="3016"/>
      <c r="J188" s="3016"/>
      <c r="K188" s="3016"/>
      <c r="L188" s="1580"/>
      <c r="M188" s="1580"/>
      <c r="N188" s="1580"/>
      <c r="O188" s="1580"/>
      <c r="P188" s="1580"/>
      <c r="Q188" s="1580"/>
      <c r="R188" s="1580"/>
      <c r="S188" s="1580"/>
      <c r="T188" s="1580"/>
      <c r="U188" s="1580"/>
    </row>
    <row r="189" customFormat="false" ht="15" hidden="false" customHeight="true" outlineLevel="1" collapsed="false">
      <c r="A189" s="862"/>
      <c r="B189" s="862"/>
      <c r="C189" s="862"/>
      <c r="D189" s="862" t="s">
        <v>15</v>
      </c>
      <c r="E189" s="864" t="n">
        <v>0.2</v>
      </c>
      <c r="F189" s="2944" t="n">
        <f aca="false">связи1!F572</f>
        <v>4</v>
      </c>
      <c r="G189" s="2935"/>
      <c r="H189" s="2932" t="s">
        <v>366</v>
      </c>
      <c r="I189" s="2932"/>
      <c r="J189" s="2929" t="s">
        <v>15</v>
      </c>
      <c r="K189" s="2947"/>
      <c r="L189" s="1580"/>
      <c r="M189" s="1580"/>
      <c r="N189" s="1580"/>
      <c r="O189" s="1580"/>
      <c r="P189" s="1580"/>
      <c r="Q189" s="1580"/>
      <c r="R189" s="1580"/>
      <c r="S189" s="1580"/>
      <c r="T189" s="1580"/>
      <c r="U189" s="1580"/>
    </row>
    <row r="190" customFormat="false" ht="15" hidden="false" customHeight="true" outlineLevel="1" collapsed="false">
      <c r="A190" s="3026" t="s">
        <v>2833</v>
      </c>
      <c r="B190" s="3026"/>
      <c r="C190" s="3026"/>
      <c r="D190" s="3026"/>
      <c r="E190" s="2845" t="e">
        <f aca="false">'ввод данных'!#ref!</f>
        <v>#VALUE!</v>
      </c>
      <c r="F190" s="2966" t="s">
        <v>3715</v>
      </c>
      <c r="G190" s="3027"/>
      <c r="H190" s="2932" t="s">
        <v>2774</v>
      </c>
      <c r="I190" s="2932"/>
      <c r="J190" s="2956" t="s">
        <v>15</v>
      </c>
      <c r="K190" s="2947"/>
      <c r="L190" s="1580"/>
      <c r="M190" s="1580"/>
      <c r="N190" s="1580"/>
      <c r="O190" s="1580"/>
      <c r="P190" s="1580"/>
      <c r="Q190" s="1580"/>
      <c r="R190" s="1580"/>
      <c r="S190" s="1580"/>
      <c r="T190" s="1580"/>
      <c r="U190" s="1580"/>
    </row>
    <row r="191" customFormat="false" ht="15" hidden="false" customHeight="true" outlineLevel="1" collapsed="false">
      <c r="A191" s="86" t="s">
        <v>2773</v>
      </c>
      <c r="B191" s="2986" t="s">
        <v>15</v>
      </c>
      <c r="C191" s="86" t="n">
        <f aca="false">D150+D151*2</f>
        <v>0</v>
      </c>
      <c r="D191" s="2966"/>
      <c r="E191" s="2966"/>
      <c r="F191" s="3025"/>
      <c r="G191" s="3027"/>
      <c r="H191" s="2932" t="s">
        <v>4000</v>
      </c>
      <c r="I191" s="2932"/>
      <c r="J191" s="2956" t="s">
        <v>15</v>
      </c>
      <c r="K191" s="2947"/>
      <c r="L191" s="1580"/>
      <c r="M191" s="1580"/>
      <c r="N191" s="1580"/>
      <c r="O191" s="1580"/>
      <c r="P191" s="1580"/>
      <c r="Q191" s="1580"/>
      <c r="R191" s="1580"/>
      <c r="S191" s="1580"/>
      <c r="T191" s="1580"/>
      <c r="U191" s="1580"/>
    </row>
    <row r="192" customFormat="false" ht="15" hidden="false" customHeight="true" outlineLevel="1" collapsed="false">
      <c r="A192" s="86" t="s">
        <v>2836</v>
      </c>
      <c r="B192" s="2986" t="s">
        <v>820</v>
      </c>
      <c r="C192" s="86" t="n">
        <f aca="false">D150*D151*D144+D150*D151*D145</f>
        <v>0</v>
      </c>
      <c r="D192" s="2966"/>
      <c r="E192" s="2966"/>
      <c r="F192" s="3025"/>
      <c r="G192" s="3027"/>
      <c r="H192" s="2932" t="s">
        <v>4001</v>
      </c>
      <c r="I192" s="2932"/>
      <c r="J192" s="2956" t="s">
        <v>15</v>
      </c>
      <c r="K192" s="2947" t="e">
        <f aca="false">'ввод данных'!#ref!</f>
        <v>#VALUE!</v>
      </c>
      <c r="L192" s="1580"/>
      <c r="M192" s="1580"/>
      <c r="N192" s="1580"/>
      <c r="O192" s="1580"/>
      <c r="P192" s="1580"/>
      <c r="Q192" s="1580"/>
      <c r="R192" s="1580"/>
      <c r="S192" s="1580"/>
      <c r="T192" s="1580"/>
      <c r="U192" s="1580"/>
    </row>
    <row r="193" customFormat="false" ht="15" hidden="false" customHeight="true" outlineLevel="1" collapsed="false">
      <c r="A193" s="2966"/>
      <c r="B193" s="3028"/>
      <c r="C193" s="2966"/>
      <c r="D193" s="2966"/>
      <c r="E193" s="2966"/>
      <c r="F193" s="3025"/>
      <c r="G193" s="3027"/>
      <c r="H193" s="2932" t="s">
        <v>4002</v>
      </c>
      <c r="I193" s="2932"/>
      <c r="J193" s="2956" t="s">
        <v>15</v>
      </c>
      <c r="K193" s="2947"/>
      <c r="L193" s="1580"/>
      <c r="M193" s="1580"/>
      <c r="N193" s="1580"/>
      <c r="O193" s="1580"/>
      <c r="P193" s="1580"/>
      <c r="Q193" s="1580"/>
      <c r="R193" s="1580"/>
      <c r="S193" s="1580"/>
      <c r="T193" s="1580"/>
      <c r="U193" s="1580"/>
    </row>
    <row r="194" customFormat="false" ht="15" hidden="false" customHeight="true" outlineLevel="1" collapsed="false">
      <c r="A194" s="2966"/>
      <c r="B194" s="3028"/>
      <c r="C194" s="2966"/>
      <c r="D194" s="2966"/>
      <c r="E194" s="2966"/>
      <c r="F194" s="3025"/>
      <c r="G194" s="3027"/>
      <c r="H194" s="2936" t="s">
        <v>4003</v>
      </c>
      <c r="I194" s="2936"/>
      <c r="J194" s="2956" t="s">
        <v>15</v>
      </c>
      <c r="K194" s="2973" t="n">
        <f aca="false">K193-K191</f>
        <v>0</v>
      </c>
      <c r="L194" s="1580"/>
      <c r="M194" s="1580"/>
      <c r="N194" s="1580"/>
      <c r="O194" s="1580"/>
      <c r="P194" s="1580"/>
      <c r="Q194" s="1580"/>
      <c r="R194" s="1580"/>
      <c r="S194" s="1580"/>
      <c r="T194" s="1580"/>
      <c r="U194" s="1580"/>
    </row>
    <row r="195" customFormat="false" ht="15" hidden="false" customHeight="true" outlineLevel="1" collapsed="false">
      <c r="A195" s="3026" t="s">
        <v>45</v>
      </c>
      <c r="B195" s="3011" t="s">
        <v>12</v>
      </c>
      <c r="C195" s="3011" t="s">
        <v>13</v>
      </c>
      <c r="D195" s="2947" t="str">
        <f aca="false">'Ввод данных'!C60</f>
        <v>Не считать</v>
      </c>
      <c r="E195" s="3029" t="s">
        <v>3667</v>
      </c>
      <c r="F195" s="3030"/>
      <c r="G195" s="3031"/>
      <c r="H195" s="2979" t="s">
        <v>302</v>
      </c>
      <c r="I195" s="2979"/>
      <c r="J195" s="2980" t="s">
        <v>15</v>
      </c>
      <c r="K195" s="2986" t="n">
        <f aca="false">K198*K199*M195</f>
        <v>0</v>
      </c>
      <c r="L195" s="1580"/>
      <c r="M195" s="1580"/>
      <c r="N195" s="1580"/>
      <c r="O195" s="1580"/>
      <c r="P195" s="1580"/>
      <c r="Q195" s="1580"/>
      <c r="R195" s="1580"/>
      <c r="S195" s="1580"/>
      <c r="T195" s="1580"/>
      <c r="U195" s="1580"/>
    </row>
    <row r="196" customFormat="false" ht="15" hidden="false" customHeight="true" outlineLevel="1" collapsed="false">
      <c r="A196" s="44" t="s">
        <v>2748</v>
      </c>
      <c r="B196" s="44" t="s">
        <v>48</v>
      </c>
      <c r="C196" s="3032" t="e">
        <f aca="false">'ввод данных'!#ref!</f>
        <v>#VALUE!</v>
      </c>
      <c r="D196" s="2968"/>
      <c r="E196" s="2968"/>
      <c r="F196" s="2968"/>
      <c r="G196" s="2968"/>
      <c r="H196" s="2979" t="s">
        <v>2758</v>
      </c>
      <c r="I196" s="2979"/>
      <c r="J196" s="2980" t="s">
        <v>15</v>
      </c>
      <c r="K196" s="2986" t="n">
        <f aca="false">K198*K199*M196</f>
        <v>0</v>
      </c>
      <c r="L196" s="1580"/>
      <c r="M196" s="1580"/>
      <c r="N196" s="1580"/>
      <c r="O196" s="1580"/>
      <c r="P196" s="1580"/>
      <c r="Q196" s="1580"/>
      <c r="R196" s="1580"/>
      <c r="S196" s="1580"/>
      <c r="T196" s="1580"/>
      <c r="U196" s="1580"/>
    </row>
    <row r="197" customFormat="false" ht="15" hidden="false" customHeight="true" outlineLevel="1" collapsed="false">
      <c r="A197" s="44" t="s">
        <v>2753</v>
      </c>
      <c r="B197" s="44" t="s">
        <v>48</v>
      </c>
      <c r="C197" s="3032" t="e">
        <f aca="false">'ввод данных'!#ref!</f>
        <v>#VALUE!</v>
      </c>
      <c r="D197" s="2935"/>
      <c r="E197" s="2968"/>
      <c r="F197" s="2968"/>
      <c r="G197" s="2968"/>
      <c r="H197" s="2932" t="s">
        <v>2759</v>
      </c>
      <c r="I197" s="2932"/>
      <c r="J197" s="3004" t="s">
        <v>15</v>
      </c>
      <c r="K197" s="907" t="n">
        <f aca="false">K198*K199*M197</f>
        <v>0</v>
      </c>
      <c r="L197" s="1580"/>
      <c r="M197" s="1580"/>
      <c r="N197" s="1580"/>
      <c r="O197" s="1580"/>
      <c r="P197" s="1580"/>
      <c r="Q197" s="1580"/>
      <c r="R197" s="1580"/>
      <c r="S197" s="1580"/>
      <c r="T197" s="1580"/>
      <c r="U197" s="1580"/>
    </row>
    <row r="198" customFormat="false" ht="15" hidden="false" customHeight="true" outlineLevel="1" collapsed="false">
      <c r="A198" s="3030" t="s">
        <v>161</v>
      </c>
      <c r="B198" s="3030" t="s">
        <v>12</v>
      </c>
      <c r="C198" s="3030" t="s">
        <v>2749</v>
      </c>
      <c r="D198" s="44" t="s">
        <v>2491</v>
      </c>
      <c r="E198" s="2935"/>
      <c r="F198" s="2935"/>
      <c r="G198" s="2968"/>
      <c r="H198" s="2963"/>
      <c r="I198" s="3012"/>
      <c r="J198" s="3007"/>
      <c r="K198" s="2930"/>
      <c r="L198" s="1580"/>
      <c r="M198" s="1580"/>
      <c r="N198" s="1580"/>
      <c r="O198" s="1580"/>
      <c r="P198" s="1580"/>
      <c r="Q198" s="1580"/>
      <c r="R198" s="1580"/>
      <c r="S198" s="1580"/>
      <c r="T198" s="1580"/>
      <c r="U198" s="1580"/>
    </row>
    <row r="199" customFormat="false" ht="15" hidden="false" customHeight="true" outlineLevel="1" collapsed="false">
      <c r="A199" s="44" t="s">
        <v>302</v>
      </c>
      <c r="B199" s="44" t="s">
        <v>48</v>
      </c>
      <c r="C199" s="1253" t="e">
        <f aca="false">(C204*C208+(C207-C204)*C202+(C207-C204)*((C208-C202)/2)*2)*E199</f>
        <v>#VALUE!</v>
      </c>
      <c r="D199" s="2947" t="n">
        <f aca="false">'Ввод данных'!D510</f>
        <v>0</v>
      </c>
      <c r="E199" s="2845" t="e">
        <f aca="false">'ввод данных'!#ref!</f>
        <v>#VALUE!</v>
      </c>
      <c r="F199" s="2966" t="s">
        <v>3668</v>
      </c>
      <c r="G199" s="2968"/>
      <c r="H199" s="2963"/>
      <c r="I199" s="3012"/>
      <c r="J199" s="3007"/>
      <c r="K199" s="2930"/>
      <c r="L199" s="1580"/>
      <c r="M199" s="1580"/>
      <c r="N199" s="1580"/>
      <c r="O199" s="1580"/>
      <c r="P199" s="1580"/>
      <c r="Q199" s="1580"/>
      <c r="R199" s="1580"/>
      <c r="S199" s="1580"/>
      <c r="T199" s="1580"/>
      <c r="U199" s="1580"/>
    </row>
    <row r="200" customFormat="false" ht="15" hidden="false" customHeight="true" outlineLevel="1" collapsed="false">
      <c r="A200" s="44" t="s">
        <v>2758</v>
      </c>
      <c r="B200" s="44" t="s">
        <v>48</v>
      </c>
      <c r="C200" s="1253" t="e">
        <f aca="false">(C204*C208+(C207-C204)*C202+(C207-C204)*((C208-C202)/2)*2)*E200</f>
        <v>#VALUE!</v>
      </c>
      <c r="D200" s="2947" t="n">
        <f aca="false">'Ввод данных'!D511</f>
        <v>0</v>
      </c>
      <c r="E200" s="2845" t="e">
        <f aca="false">'ввод данных'!#ref!</f>
        <v>#VALUE!</v>
      </c>
      <c r="F200" s="2966" t="s">
        <v>3669</v>
      </c>
      <c r="G200" s="3031"/>
      <c r="H200" s="2963"/>
      <c r="I200" s="3012"/>
      <c r="J200" s="3007"/>
      <c r="K200" s="2930"/>
      <c r="L200" s="1580"/>
      <c r="M200" s="1580"/>
      <c r="N200" s="1580"/>
      <c r="O200" s="1580"/>
      <c r="P200" s="1580"/>
      <c r="Q200" s="1580"/>
      <c r="R200" s="1580"/>
      <c r="S200" s="1580"/>
      <c r="T200" s="1580"/>
      <c r="U200" s="1580"/>
    </row>
    <row r="201" customFormat="false" ht="15" hidden="false" customHeight="true" outlineLevel="1" collapsed="false">
      <c r="A201" s="44" t="s">
        <v>2759</v>
      </c>
      <c r="B201" s="44" t="s">
        <v>48</v>
      </c>
      <c r="C201" s="1253" t="e">
        <f aca="false">(C204*C208+(C207-C204)*C202+(C207-C204)*((C208-C202)/2)*2)*E201</f>
        <v>#VALUE!</v>
      </c>
      <c r="D201" s="2947" t="n">
        <f aca="false">'Ввод данных'!D512</f>
        <v>0</v>
      </c>
      <c r="E201" s="2845" t="e">
        <f aca="false">'ввод данных'!#ref!</f>
        <v>#VALUE!</v>
      </c>
      <c r="F201" s="2966" t="s">
        <v>3670</v>
      </c>
      <c r="G201" s="2938"/>
      <c r="H201" s="3013"/>
      <c r="I201" s="3012"/>
      <c r="J201" s="3007"/>
      <c r="K201" s="2930"/>
      <c r="L201" s="1580"/>
      <c r="M201" s="1580"/>
      <c r="N201" s="1580"/>
      <c r="O201" s="1580"/>
      <c r="P201" s="1580"/>
      <c r="Q201" s="1580"/>
      <c r="R201" s="1580"/>
      <c r="S201" s="1580"/>
      <c r="T201" s="1580"/>
      <c r="U201" s="1580"/>
    </row>
    <row r="202" customFormat="false" ht="15" hidden="false" customHeight="true" outlineLevel="1" collapsed="false">
      <c r="A202" s="2979" t="s">
        <v>3671</v>
      </c>
      <c r="B202" s="2994" t="s">
        <v>15</v>
      </c>
      <c r="C202" s="3032"/>
      <c r="D202" s="3030"/>
      <c r="E202" s="3030"/>
      <c r="F202" s="3030"/>
      <c r="G202" s="2938"/>
      <c r="H202" s="3013"/>
      <c r="I202" s="3012"/>
      <c r="J202" s="3007"/>
      <c r="K202" s="2930"/>
      <c r="L202" s="1580"/>
      <c r="M202" s="1580"/>
      <c r="N202" s="1580"/>
      <c r="O202" s="1580"/>
      <c r="P202" s="1580"/>
      <c r="Q202" s="1580"/>
      <c r="R202" s="1580"/>
      <c r="S202" s="1580"/>
      <c r="T202" s="1580"/>
      <c r="U202" s="1580"/>
    </row>
    <row r="203" customFormat="false" ht="15" hidden="false" customHeight="true" outlineLevel="1" collapsed="false">
      <c r="A203" s="2979" t="s">
        <v>3672</v>
      </c>
      <c r="B203" s="2994" t="s">
        <v>15</v>
      </c>
      <c r="C203" s="2986" t="n">
        <f aca="false">SQRT((C208-C202)/2*(C208-C202)/2+(C207-C204)*(C207-C204))</f>
        <v>0</v>
      </c>
      <c r="D203" s="3030"/>
      <c r="E203" s="3030"/>
      <c r="F203" s="3030"/>
      <c r="G203" s="2938"/>
      <c r="H203" s="3013"/>
      <c r="I203" s="3012"/>
      <c r="J203" s="3007"/>
      <c r="K203" s="2930"/>
      <c r="L203" s="1580"/>
      <c r="M203" s="1580"/>
      <c r="N203" s="1580"/>
      <c r="O203" s="1580"/>
      <c r="P203" s="1580"/>
      <c r="Q203" s="1580"/>
      <c r="R203" s="1580"/>
      <c r="S203" s="1580"/>
      <c r="T203" s="1580"/>
      <c r="U203" s="1580"/>
    </row>
    <row r="204" customFormat="false" ht="15" hidden="false" customHeight="true" outlineLevel="1" collapsed="false">
      <c r="A204" s="2979" t="s">
        <v>3673</v>
      </c>
      <c r="B204" s="2994" t="s">
        <v>15</v>
      </c>
      <c r="C204" s="3032"/>
      <c r="D204" s="2947"/>
      <c r="E204" s="3030"/>
      <c r="F204" s="3030"/>
      <c r="G204" s="2938"/>
      <c r="H204" s="3013"/>
      <c r="I204" s="3012"/>
      <c r="J204" s="3007"/>
      <c r="K204" s="2930"/>
      <c r="L204" s="1580"/>
      <c r="M204" s="1580"/>
      <c r="N204" s="1580"/>
      <c r="O204" s="1580"/>
      <c r="P204" s="1580"/>
      <c r="Q204" s="1580"/>
      <c r="R204" s="1580"/>
      <c r="S204" s="1580"/>
      <c r="T204" s="1580"/>
      <c r="U204" s="1580"/>
    </row>
    <row r="205" customFormat="false" ht="15" hidden="false" customHeight="true" outlineLevel="1" collapsed="false">
      <c r="A205" s="2979" t="s">
        <v>4010</v>
      </c>
      <c r="B205" s="2994" t="s">
        <v>15</v>
      </c>
      <c r="C205" s="3032"/>
      <c r="D205" s="3028"/>
      <c r="E205" s="3030"/>
      <c r="F205" s="3030"/>
      <c r="G205" s="2938"/>
      <c r="H205" s="3013"/>
      <c r="I205" s="3012"/>
      <c r="J205" s="3007"/>
      <c r="K205" s="2930"/>
      <c r="L205" s="1580"/>
      <c r="M205" s="1580"/>
      <c r="N205" s="1580"/>
      <c r="O205" s="1580"/>
      <c r="P205" s="1580"/>
      <c r="Q205" s="1580"/>
      <c r="R205" s="1580"/>
      <c r="S205" s="1580"/>
      <c r="T205" s="1580"/>
      <c r="U205" s="1580"/>
    </row>
    <row r="206" customFormat="false" ht="15" hidden="false" customHeight="true" outlineLevel="1" collapsed="false">
      <c r="A206" s="2979" t="s">
        <v>3676</v>
      </c>
      <c r="B206" s="2994" t="s">
        <v>15</v>
      </c>
      <c r="C206" s="3032"/>
      <c r="D206" s="3033"/>
      <c r="E206" s="3030"/>
      <c r="F206" s="3030"/>
      <c r="G206" s="2938"/>
      <c r="H206" s="3013"/>
      <c r="I206" s="3012"/>
      <c r="J206" s="3007"/>
      <c r="K206" s="2930"/>
      <c r="L206" s="1580"/>
      <c r="M206" s="1580"/>
      <c r="N206" s="1580"/>
      <c r="O206" s="1580"/>
      <c r="P206" s="1580"/>
      <c r="Q206" s="1580"/>
      <c r="R206" s="1580"/>
      <c r="S206" s="1580"/>
      <c r="T206" s="1580"/>
      <c r="U206" s="1580"/>
    </row>
    <row r="207" customFormat="false" ht="15" hidden="false" customHeight="true" outlineLevel="1" collapsed="false">
      <c r="A207" s="2985" t="s">
        <v>3677</v>
      </c>
      <c r="B207" s="2994" t="s">
        <v>15</v>
      </c>
      <c r="C207" s="3032"/>
      <c r="D207" s="3030"/>
      <c r="E207" s="3030"/>
      <c r="F207" s="3030"/>
      <c r="G207" s="2938"/>
      <c r="H207" s="2935"/>
      <c r="I207" s="3012"/>
      <c r="J207" s="3007"/>
      <c r="K207" s="2930"/>
      <c r="L207" s="1580"/>
      <c r="M207" s="1580"/>
      <c r="N207" s="1580"/>
      <c r="O207" s="1580"/>
      <c r="P207" s="1580"/>
      <c r="Q207" s="1580"/>
      <c r="R207" s="1580"/>
      <c r="S207" s="1580"/>
      <c r="T207" s="1580"/>
      <c r="U207" s="1580"/>
    </row>
    <row r="208" customFormat="false" ht="15" hidden="false" customHeight="true" outlineLevel="1" collapsed="false">
      <c r="A208" s="2985" t="s">
        <v>3678</v>
      </c>
      <c r="B208" s="2994" t="s">
        <v>15</v>
      </c>
      <c r="C208" s="3032"/>
      <c r="D208" s="3030"/>
      <c r="E208" s="3030"/>
      <c r="F208" s="3030"/>
      <c r="G208" s="2938"/>
      <c r="H208" s="3013"/>
      <c r="I208" s="3012"/>
      <c r="J208" s="3007"/>
      <c r="K208" s="2930"/>
      <c r="L208" s="1580"/>
      <c r="M208" s="1580"/>
      <c r="N208" s="1580"/>
      <c r="O208" s="1580"/>
      <c r="P208" s="1580"/>
      <c r="Q208" s="1580"/>
      <c r="R208" s="1580"/>
      <c r="S208" s="1580"/>
      <c r="T208" s="1580"/>
      <c r="U208" s="1580"/>
    </row>
    <row r="209" customFormat="false" ht="15" hidden="false" customHeight="true" outlineLevel="1" collapsed="false">
      <c r="A209" s="3034" t="s">
        <v>4011</v>
      </c>
      <c r="B209" s="3035" t="s">
        <v>15</v>
      </c>
      <c r="C209" s="3032"/>
      <c r="D209" s="2931"/>
      <c r="E209" s="2931"/>
      <c r="F209" s="2931"/>
      <c r="G209" s="2935"/>
      <c r="H209" s="3013"/>
      <c r="I209" s="3012"/>
      <c r="J209" s="3007"/>
      <c r="K209" s="2930"/>
      <c r="L209" s="1580"/>
      <c r="M209" s="1580"/>
      <c r="N209" s="1580"/>
      <c r="O209" s="1580"/>
      <c r="P209" s="1580"/>
      <c r="Q209" s="1580"/>
      <c r="R209" s="1580"/>
      <c r="S209" s="1580"/>
      <c r="T209" s="1580"/>
      <c r="U209" s="1580"/>
    </row>
    <row r="210" customFormat="false" ht="15" hidden="false" customHeight="true" outlineLevel="1" collapsed="false">
      <c r="A210" s="3036" t="s">
        <v>161</v>
      </c>
      <c r="B210" s="3011" t="s">
        <v>12</v>
      </c>
      <c r="C210" s="3011" t="s">
        <v>2779</v>
      </c>
      <c r="D210" s="3011" t="s">
        <v>2780</v>
      </c>
      <c r="E210" s="3011" t="s">
        <v>118</v>
      </c>
      <c r="F210" s="1242" t="s">
        <v>4012</v>
      </c>
      <c r="G210" s="2938"/>
      <c r="H210" s="3013"/>
      <c r="I210" s="3012"/>
      <c r="J210" s="3007"/>
      <c r="K210" s="2930"/>
      <c r="L210" s="1580"/>
      <c r="M210" s="1580"/>
      <c r="N210" s="1580"/>
      <c r="O210" s="1580"/>
      <c r="P210" s="1580"/>
      <c r="Q210" s="1580"/>
      <c r="R210" s="1580"/>
      <c r="S210" s="1580"/>
      <c r="T210" s="1580"/>
      <c r="U210" s="1580"/>
    </row>
    <row r="211" customFormat="false" ht="15" hidden="false" customHeight="true" outlineLevel="1" collapsed="false">
      <c r="A211" s="3037" t="s">
        <v>550</v>
      </c>
      <c r="B211" s="2994" t="s">
        <v>15</v>
      </c>
      <c r="C211" s="3032" t="n">
        <f aca="false">связи1!K81</f>
        <v>2.7</v>
      </c>
      <c r="D211" s="2947" t="n">
        <f aca="false">'Ввод данных'!D514</f>
        <v>0</v>
      </c>
      <c r="E211" s="2845" t="e">
        <f aca="false">'ввод данных'!#ref!</f>
        <v>#VALUE!</v>
      </c>
      <c r="F211" s="3038" t="e">
        <f aca="false">C211*D211*E211</f>
        <v>#VALUE!</v>
      </c>
      <c r="G211" s="2938"/>
      <c r="H211" s="3013"/>
      <c r="I211" s="3012"/>
      <c r="J211" s="3007"/>
      <c r="K211" s="2930"/>
      <c r="L211" s="1580"/>
      <c r="M211" s="1580"/>
      <c r="N211" s="1580"/>
      <c r="O211" s="1580"/>
      <c r="P211" s="1580"/>
      <c r="Q211" s="1580"/>
      <c r="R211" s="1580"/>
      <c r="S211" s="1580"/>
      <c r="T211" s="1580"/>
      <c r="U211" s="1580"/>
    </row>
    <row r="212" customFormat="false" ht="15" hidden="false" customHeight="true" outlineLevel="1" collapsed="false">
      <c r="A212" s="3039"/>
      <c r="B212" s="2994" t="s">
        <v>15</v>
      </c>
      <c r="C212" s="3032"/>
      <c r="D212" s="2947" t="n">
        <f aca="false">'Ввод данных'!D515</f>
        <v>0</v>
      </c>
      <c r="E212" s="2845" t="e">
        <f aca="false">'ввод данных'!#ref!</f>
        <v>#VALUE!</v>
      </c>
      <c r="F212" s="3038" t="e">
        <f aca="false">C212*D212*E212</f>
        <v>#VALUE!</v>
      </c>
      <c r="G212" s="2938"/>
      <c r="H212" s="3013"/>
      <c r="I212" s="3012"/>
      <c r="J212" s="3007"/>
      <c r="K212" s="2930"/>
      <c r="L212" s="1580"/>
      <c r="M212" s="1580"/>
      <c r="N212" s="1580"/>
      <c r="O212" s="1580"/>
      <c r="P212" s="1580"/>
      <c r="Q212" s="1580"/>
      <c r="R212" s="1580"/>
      <c r="S212" s="1580"/>
      <c r="T212" s="1580"/>
      <c r="U212" s="1580"/>
    </row>
    <row r="213" customFormat="false" ht="15" hidden="false" customHeight="true" outlineLevel="1" collapsed="false">
      <c r="A213" s="3040"/>
      <c r="B213" s="2994" t="s">
        <v>15</v>
      </c>
      <c r="C213" s="3032"/>
      <c r="D213" s="2947" t="n">
        <f aca="false">'Ввод данных'!D516</f>
        <v>0</v>
      </c>
      <c r="E213" s="2845" t="e">
        <f aca="false">'ввод данных'!#ref!</f>
        <v>#VALUE!</v>
      </c>
      <c r="F213" s="3038" t="e">
        <f aca="false">C213*D213*E213</f>
        <v>#VALUE!</v>
      </c>
      <c r="G213" s="2938"/>
      <c r="H213" s="3013"/>
      <c r="I213" s="3012"/>
      <c r="J213" s="3007"/>
      <c r="K213" s="2930"/>
      <c r="L213" s="1580"/>
      <c r="M213" s="1580"/>
      <c r="N213" s="1580"/>
      <c r="O213" s="1580"/>
      <c r="P213" s="1580"/>
      <c r="Q213" s="1580"/>
      <c r="R213" s="1580"/>
      <c r="S213" s="1580"/>
      <c r="T213" s="1580"/>
      <c r="U213" s="1580"/>
    </row>
    <row r="214" customFormat="false" ht="15" hidden="false" customHeight="true" outlineLevel="1" collapsed="false">
      <c r="A214" s="3037" t="s">
        <v>4013</v>
      </c>
      <c r="B214" s="2994" t="s">
        <v>15</v>
      </c>
      <c r="C214" s="3032" t="e">
        <f aca="false">'ввод данных'!#ref!</f>
        <v>#VALUE!</v>
      </c>
      <c r="D214" s="2947" t="n">
        <f aca="false">'Ввод данных'!D517</f>
        <v>0</v>
      </c>
      <c r="E214" s="2845" t="e">
        <f aca="false">'ввод данных'!#ref!</f>
        <v>#VALUE!</v>
      </c>
      <c r="F214" s="3038" t="e">
        <f aca="false">C214*D214*E214</f>
        <v>#VALUE!</v>
      </c>
      <c r="G214" s="2938"/>
      <c r="H214" s="3013"/>
      <c r="I214" s="3012"/>
      <c r="J214" s="3007"/>
      <c r="K214" s="2930"/>
      <c r="L214" s="1580"/>
      <c r="M214" s="1580"/>
      <c r="N214" s="1580"/>
      <c r="O214" s="1580"/>
      <c r="P214" s="1580"/>
      <c r="Q214" s="1580"/>
      <c r="R214" s="1580"/>
      <c r="S214" s="1580"/>
      <c r="T214" s="1580"/>
      <c r="U214" s="1580"/>
    </row>
    <row r="215" customFormat="false" ht="15" hidden="false" customHeight="true" outlineLevel="1" collapsed="false">
      <c r="A215" s="3040"/>
      <c r="B215" s="2994" t="s">
        <v>15</v>
      </c>
      <c r="C215" s="3032" t="n">
        <f aca="false">'Ввод данных'!C512</f>
        <v>0</v>
      </c>
      <c r="D215" s="2947" t="n">
        <f aca="false">'Ввод данных'!D518</f>
        <v>0</v>
      </c>
      <c r="E215" s="2845" t="e">
        <f aca="false">'ввод данных'!#ref!</f>
        <v>#VALUE!</v>
      </c>
      <c r="F215" s="3038" t="e">
        <f aca="false">C215*D215*E215</f>
        <v>#VALUE!</v>
      </c>
      <c r="G215" s="2938"/>
      <c r="H215" s="3013"/>
      <c r="I215" s="3012"/>
      <c r="J215" s="3007"/>
      <c r="K215" s="2930"/>
      <c r="L215" s="1580"/>
      <c r="M215" s="1580"/>
      <c r="N215" s="1580"/>
      <c r="O215" s="1580"/>
      <c r="P215" s="1580"/>
      <c r="Q215" s="1580"/>
      <c r="R215" s="1580"/>
      <c r="S215" s="1580"/>
      <c r="T215" s="1580"/>
      <c r="U215" s="1580"/>
    </row>
    <row r="216" customFormat="false" ht="15" hidden="false" customHeight="true" outlineLevel="1" collapsed="false">
      <c r="A216" s="1253" t="s">
        <v>4014</v>
      </c>
      <c r="B216" s="1253" t="s">
        <v>820</v>
      </c>
      <c r="C216" s="1253" t="e">
        <f aca="false">F211+F212+F215+F214+F213</f>
        <v>#VALUE!</v>
      </c>
      <c r="D216" s="2935"/>
      <c r="E216" s="2935"/>
      <c r="F216" s="2935"/>
      <c r="G216" s="2938"/>
      <c r="H216" s="3013"/>
      <c r="I216" s="3012"/>
      <c r="J216" s="3007"/>
      <c r="K216" s="2930"/>
      <c r="L216" s="1580"/>
      <c r="M216" s="1580"/>
      <c r="N216" s="1580"/>
      <c r="O216" s="1580"/>
      <c r="P216" s="1580"/>
      <c r="Q216" s="1580"/>
      <c r="R216" s="1580"/>
      <c r="S216" s="1580"/>
      <c r="T216" s="1580"/>
      <c r="U216" s="1580"/>
    </row>
    <row r="217" customFormat="false" ht="15" hidden="false" customHeight="true" outlineLevel="1" collapsed="false">
      <c r="A217" s="1253" t="s">
        <v>3688</v>
      </c>
      <c r="B217" s="1253" t="s">
        <v>820</v>
      </c>
      <c r="C217" s="1253" t="e">
        <f aca="false">(C204*2+C203*2+C202)*(C205+C209*C197+D199*E199+D200*E200+D201*E201)</f>
        <v>#VALUE!</v>
      </c>
      <c r="D217" s="2935"/>
      <c r="E217" s="2935"/>
      <c r="F217" s="2935"/>
      <c r="G217" s="2938"/>
      <c r="H217" s="3013"/>
      <c r="I217" s="3012"/>
      <c r="J217" s="3007"/>
      <c r="K217" s="2930"/>
      <c r="L217" s="1580"/>
      <c r="M217" s="1580"/>
      <c r="N217" s="1580"/>
      <c r="O217" s="1580"/>
      <c r="P217" s="1580"/>
      <c r="Q217" s="1580"/>
      <c r="R217" s="1580"/>
      <c r="S217" s="1580"/>
      <c r="T217" s="1580"/>
      <c r="U217" s="1580"/>
    </row>
    <row r="218" customFormat="false" ht="15" hidden="false" customHeight="true" outlineLevel="1" collapsed="false">
      <c r="A218" s="1253" t="s">
        <v>3689</v>
      </c>
      <c r="B218" s="1253" t="s">
        <v>820</v>
      </c>
      <c r="C218" s="1253" t="e">
        <f aca="false">C217-C216</f>
        <v>#VALUE!</v>
      </c>
      <c r="D218" s="2935"/>
      <c r="E218" s="2935"/>
      <c r="F218" s="2935"/>
      <c r="G218" s="2938"/>
      <c r="H218" s="3013"/>
      <c r="I218" s="3012"/>
      <c r="J218" s="3007"/>
      <c r="K218" s="2930"/>
      <c r="L218" s="1580"/>
      <c r="M218" s="1580"/>
      <c r="N218" s="1580"/>
      <c r="O218" s="1580"/>
      <c r="P218" s="1580"/>
      <c r="Q218" s="1580"/>
      <c r="R218" s="1580"/>
      <c r="S218" s="1580"/>
      <c r="T218" s="1580"/>
      <c r="U218" s="1580"/>
    </row>
    <row r="219" customFormat="false" ht="15" hidden="false" customHeight="true" outlineLevel="1" collapsed="false">
      <c r="A219" s="3041" t="s">
        <v>3690</v>
      </c>
      <c r="B219" s="3041"/>
      <c r="C219" s="3020" t="s">
        <v>12</v>
      </c>
      <c r="D219" s="3020" t="s">
        <v>200</v>
      </c>
      <c r="E219" s="2845" t="e">
        <f aca="false">'ввод данных'!#ref!</f>
        <v>#VALUE!</v>
      </c>
      <c r="F219" s="3021" t="s">
        <v>3702</v>
      </c>
      <c r="G219" s="2938"/>
      <c r="H219" s="3013"/>
      <c r="I219" s="3012"/>
      <c r="J219" s="3007"/>
      <c r="K219" s="2930"/>
      <c r="L219" s="1580"/>
      <c r="M219" s="1580"/>
      <c r="N219" s="1580"/>
      <c r="O219" s="1580"/>
      <c r="P219" s="1580"/>
      <c r="Q219" s="1580"/>
      <c r="R219" s="1580"/>
      <c r="S219" s="1580"/>
      <c r="T219" s="1580"/>
      <c r="U219" s="1580"/>
    </row>
    <row r="220" customFormat="false" ht="15" hidden="false" customHeight="true" outlineLevel="1" collapsed="false">
      <c r="A220" s="3042" t="s">
        <v>3691</v>
      </c>
      <c r="B220" s="2936"/>
      <c r="C220" s="3014" t="s">
        <v>15</v>
      </c>
      <c r="D220" s="1253" t="n">
        <f aca="false">SQRT((C208/2)*(C208/2)+C206*C206)</f>
        <v>0</v>
      </c>
      <c r="E220" s="921"/>
      <c r="F220" s="921"/>
      <c r="G220" s="2938"/>
      <c r="H220" s="3013"/>
      <c r="I220" s="3012"/>
      <c r="J220" s="3007"/>
      <c r="K220" s="2930"/>
      <c r="L220" s="1580"/>
      <c r="M220" s="1580"/>
      <c r="N220" s="1580"/>
      <c r="O220" s="1580"/>
      <c r="P220" s="1580"/>
      <c r="Q220" s="1580"/>
      <c r="R220" s="1580"/>
      <c r="S220" s="1580"/>
      <c r="T220" s="1580"/>
      <c r="U220" s="1580"/>
    </row>
    <row r="221" customFormat="false" ht="15" hidden="false" customHeight="true" outlineLevel="1" collapsed="false">
      <c r="A221" s="3042" t="s">
        <v>3695</v>
      </c>
      <c r="B221" s="2936"/>
      <c r="C221" s="3014" t="s">
        <v>15</v>
      </c>
      <c r="D221" s="1253" t="n">
        <f aca="false">SQRT(D220*D220+C204*C204)</f>
        <v>0</v>
      </c>
      <c r="E221" s="921"/>
      <c r="F221" s="921"/>
      <c r="G221" s="2938"/>
      <c r="H221" s="3013"/>
      <c r="I221" s="3012"/>
      <c r="J221" s="3007"/>
      <c r="K221" s="2930"/>
      <c r="L221" s="1580"/>
      <c r="M221" s="1580"/>
      <c r="N221" s="1580"/>
      <c r="O221" s="1580"/>
      <c r="P221" s="1580"/>
      <c r="Q221" s="1580"/>
      <c r="R221" s="1580"/>
      <c r="S221" s="1580"/>
      <c r="T221" s="1580"/>
      <c r="U221" s="1580"/>
    </row>
    <row r="222" customFormat="false" ht="15" hidden="false" customHeight="true" outlineLevel="1" collapsed="false">
      <c r="A222" s="3042" t="s">
        <v>3696</v>
      </c>
      <c r="B222" s="2936"/>
      <c r="C222" s="3014" t="s">
        <v>15</v>
      </c>
      <c r="D222" s="1253" t="n">
        <f aca="false">SQRT(D221*D221+C203*C203)</f>
        <v>0</v>
      </c>
      <c r="E222" s="921"/>
      <c r="F222" s="921"/>
      <c r="G222" s="2938"/>
      <c r="H222" s="3013"/>
      <c r="I222" s="3012"/>
      <c r="J222" s="3007"/>
      <c r="K222" s="2930"/>
      <c r="L222" s="1580"/>
      <c r="M222" s="1580"/>
      <c r="N222" s="1580"/>
      <c r="O222" s="1580"/>
      <c r="P222" s="1580"/>
      <c r="Q222" s="1580"/>
      <c r="R222" s="1580"/>
      <c r="S222" s="1580"/>
      <c r="T222" s="1580"/>
      <c r="U222" s="1580"/>
    </row>
    <row r="223" customFormat="false" ht="15" hidden="false" customHeight="true" outlineLevel="1" collapsed="false">
      <c r="A223" s="3043" t="s">
        <v>2807</v>
      </c>
      <c r="B223" s="3044"/>
      <c r="C223" s="835" t="s">
        <v>820</v>
      </c>
      <c r="D223" s="704" t="n">
        <f aca="false">D220*C204+D221*C203*1.1+(C202/2)*SQRT(C207*C207+C206*C206)*2</f>
        <v>0</v>
      </c>
      <c r="E223" s="921"/>
      <c r="F223" s="921"/>
      <c r="G223" s="2938"/>
      <c r="H223" s="3013"/>
      <c r="I223" s="3012"/>
      <c r="J223" s="3007"/>
      <c r="K223" s="3028"/>
      <c r="L223" s="1580"/>
      <c r="M223" s="1580"/>
      <c r="N223" s="1580"/>
      <c r="O223" s="1580"/>
      <c r="P223" s="1580"/>
      <c r="Q223" s="1580"/>
      <c r="R223" s="1580"/>
      <c r="S223" s="1580"/>
      <c r="T223" s="1580"/>
      <c r="U223" s="1580"/>
    </row>
    <row r="224" customFormat="false" ht="15" hidden="false" customHeight="true" outlineLevel="1" collapsed="false">
      <c r="A224" s="3043" t="s">
        <v>3692</v>
      </c>
      <c r="B224" s="3044"/>
      <c r="C224" s="835" t="s">
        <v>15</v>
      </c>
      <c r="D224" s="2947" t="n">
        <f aca="false">'Ввод данных'!C511</f>
        <v>0.5</v>
      </c>
      <c r="E224" s="921"/>
      <c r="F224" s="921"/>
      <c r="G224" s="2938"/>
      <c r="H224" s="3013"/>
      <c r="I224" s="3012"/>
      <c r="J224" s="3007"/>
      <c r="K224" s="3045"/>
      <c r="L224" s="1580"/>
      <c r="M224" s="1580"/>
      <c r="N224" s="1580"/>
      <c r="O224" s="1580"/>
      <c r="P224" s="1580"/>
      <c r="Q224" s="1580"/>
      <c r="R224" s="1580"/>
      <c r="S224" s="1580"/>
      <c r="T224" s="1580"/>
      <c r="U224" s="1580"/>
    </row>
    <row r="225" customFormat="false" ht="15" hidden="false" customHeight="true" outlineLevel="1" collapsed="false">
      <c r="A225" s="3042" t="s">
        <v>3697</v>
      </c>
      <c r="B225" s="2936"/>
      <c r="C225" s="1253" t="s">
        <v>15</v>
      </c>
      <c r="D225" s="3046" t="n">
        <f aca="false">D220+D224</f>
        <v>0.5</v>
      </c>
      <c r="E225" s="921"/>
      <c r="F225" s="921"/>
      <c r="G225" s="2938"/>
      <c r="H225" s="3013"/>
      <c r="I225" s="3012"/>
      <c r="J225" s="3007"/>
      <c r="K225" s="3045"/>
      <c r="L225" s="1580"/>
      <c r="M225" s="1580"/>
      <c r="N225" s="1580"/>
      <c r="O225" s="1580"/>
      <c r="P225" s="1580"/>
      <c r="Q225" s="1580"/>
      <c r="R225" s="1580"/>
      <c r="S225" s="1580"/>
      <c r="T225" s="1580"/>
      <c r="U225" s="1580"/>
    </row>
    <row r="226" customFormat="false" ht="15" hidden="false" customHeight="true" outlineLevel="1" collapsed="false">
      <c r="A226" s="3042" t="s">
        <v>3699</v>
      </c>
      <c r="B226" s="2936"/>
      <c r="C226" s="1253" t="s">
        <v>15</v>
      </c>
      <c r="D226" s="3046" t="n">
        <f aca="false">D221+D224</f>
        <v>0.5</v>
      </c>
      <c r="E226" s="921"/>
      <c r="F226" s="921"/>
      <c r="G226" s="2938"/>
      <c r="H226" s="3013"/>
      <c r="I226" s="3012"/>
      <c r="J226" s="3007"/>
      <c r="K226" s="3045"/>
      <c r="L226" s="1580"/>
      <c r="M226" s="1580"/>
      <c r="N226" s="1580"/>
      <c r="O226" s="1580"/>
      <c r="P226" s="1580"/>
      <c r="Q226" s="1580"/>
      <c r="R226" s="1580"/>
      <c r="S226" s="1580"/>
      <c r="T226" s="1580"/>
      <c r="U226" s="1580"/>
    </row>
    <row r="227" customFormat="false" ht="15" hidden="false" customHeight="true" outlineLevel="1" collapsed="false">
      <c r="A227" s="3042" t="s">
        <v>3701</v>
      </c>
      <c r="B227" s="2936"/>
      <c r="C227" s="1253" t="s">
        <v>15</v>
      </c>
      <c r="D227" s="3046" t="n">
        <f aca="false">D222+D224</f>
        <v>0.5</v>
      </c>
      <c r="E227" s="921"/>
      <c r="F227" s="921"/>
      <c r="G227" s="2938"/>
      <c r="H227" s="3013"/>
      <c r="I227" s="3012"/>
      <c r="J227" s="3007"/>
      <c r="K227" s="3045"/>
      <c r="L227" s="1580"/>
      <c r="M227" s="1580"/>
      <c r="N227" s="1580"/>
      <c r="O227" s="1580"/>
      <c r="P227" s="1580"/>
      <c r="Q227" s="1580"/>
      <c r="R227" s="1580"/>
      <c r="S227" s="1580"/>
      <c r="T227" s="1580"/>
      <c r="U227" s="1580"/>
    </row>
    <row r="228" customFormat="false" ht="15" hidden="false" customHeight="true" outlineLevel="1" collapsed="false">
      <c r="A228" s="3043" t="s">
        <v>2808</v>
      </c>
      <c r="B228" s="3044"/>
      <c r="C228" s="835" t="s">
        <v>820</v>
      </c>
      <c r="D228" s="704" t="e">
        <f aca="false">((C204*D224*2+C203*D224*2+C202*D224)*1.1+D223)*E219</f>
        <v>#VALUE!</v>
      </c>
      <c r="E228" s="921"/>
      <c r="F228" s="921"/>
      <c r="G228" s="2938"/>
      <c r="H228" s="3013"/>
      <c r="I228" s="3012"/>
      <c r="J228" s="3007"/>
      <c r="K228" s="3045"/>
      <c r="L228" s="1580"/>
      <c r="M228" s="1580"/>
      <c r="N228" s="1580"/>
      <c r="O228" s="1580"/>
      <c r="P228" s="1580"/>
      <c r="Q228" s="1580"/>
      <c r="R228" s="1580"/>
      <c r="S228" s="1580"/>
      <c r="T228" s="1580"/>
      <c r="U228" s="1580"/>
    </row>
    <row r="229" customFormat="false" ht="15" hidden="false" customHeight="true" outlineLevel="1" collapsed="false">
      <c r="A229" s="3047" t="s">
        <v>2833</v>
      </c>
      <c r="B229" s="3047"/>
      <c r="C229" s="3047"/>
      <c r="D229" s="3047"/>
      <c r="E229" s="2845" t="e">
        <f aca="false">'ввод данных'!#ref!</f>
        <v>#VALUE!</v>
      </c>
      <c r="F229" s="2930" t="s">
        <v>3715</v>
      </c>
      <c r="G229" s="2938"/>
      <c r="H229" s="3013"/>
      <c r="I229" s="3012"/>
      <c r="J229" s="3007"/>
      <c r="K229" s="2965"/>
      <c r="L229" s="1580"/>
      <c r="M229" s="1580"/>
      <c r="N229" s="1580"/>
      <c r="O229" s="1580"/>
      <c r="P229" s="1580"/>
      <c r="Q229" s="1580"/>
      <c r="R229" s="1580"/>
      <c r="S229" s="1580"/>
      <c r="T229" s="1580"/>
      <c r="U229" s="1580"/>
    </row>
    <row r="230" customFormat="false" ht="15" hidden="false" customHeight="true" outlineLevel="1" collapsed="false">
      <c r="A230" s="3048" t="s">
        <v>2773</v>
      </c>
      <c r="B230" s="2971" t="s">
        <v>15</v>
      </c>
      <c r="C230" s="3048" t="n">
        <f aca="false">C204*2+C203*2+C202</f>
        <v>0</v>
      </c>
      <c r="D230" s="2930"/>
      <c r="E230" s="2930"/>
      <c r="F230" s="921"/>
      <c r="G230" s="2938"/>
      <c r="H230" s="3013"/>
      <c r="I230" s="3012"/>
      <c r="J230" s="3007"/>
      <c r="K230" s="1169"/>
      <c r="L230" s="1580"/>
      <c r="M230" s="1580"/>
      <c r="N230" s="1580"/>
      <c r="O230" s="1580"/>
      <c r="P230" s="1580"/>
      <c r="Q230" s="1580"/>
      <c r="R230" s="1580"/>
      <c r="S230" s="1580"/>
      <c r="T230" s="1580"/>
      <c r="U230" s="1580"/>
    </row>
    <row r="231" customFormat="false" ht="15" hidden="false" customHeight="true" outlineLevel="1" collapsed="false">
      <c r="A231" s="2973" t="s">
        <v>3571</v>
      </c>
      <c r="B231" s="907" t="s">
        <v>820</v>
      </c>
      <c r="C231" s="2973" t="e">
        <f aca="false">C199+C200</f>
        <v>#VALUE!</v>
      </c>
      <c r="D231" s="2930"/>
      <c r="E231" s="2930"/>
      <c r="F231" s="921"/>
      <c r="G231" s="2938"/>
      <c r="H231" s="3013"/>
      <c r="I231" s="3012"/>
      <c r="J231" s="3007"/>
      <c r="K231" s="3021"/>
      <c r="L231" s="1580"/>
      <c r="M231" s="1580"/>
      <c r="N231" s="1580"/>
      <c r="O231" s="1580"/>
      <c r="P231" s="1580"/>
      <c r="Q231" s="1580"/>
      <c r="R231" s="1580"/>
      <c r="S231" s="1580"/>
      <c r="T231" s="1580"/>
      <c r="U231" s="1580"/>
    </row>
    <row r="232" customFormat="false" ht="15" hidden="false" customHeight="true" outlineLevel="1" collapsed="false">
      <c r="A232" s="2935"/>
      <c r="B232" s="2935"/>
      <c r="C232" s="2935"/>
      <c r="D232" s="2935"/>
      <c r="E232" s="2935"/>
      <c r="F232" s="2935"/>
      <c r="G232" s="2938"/>
      <c r="H232" s="3013"/>
      <c r="I232" s="3012"/>
      <c r="J232" s="3007"/>
      <c r="K232" s="921"/>
      <c r="L232" s="1580"/>
      <c r="M232" s="1580"/>
      <c r="N232" s="1580"/>
      <c r="O232" s="1580"/>
      <c r="P232" s="1580"/>
      <c r="Q232" s="1580"/>
      <c r="R232" s="1580"/>
      <c r="S232" s="1580"/>
      <c r="T232" s="1580"/>
      <c r="U232" s="1580"/>
    </row>
    <row r="233" customFormat="false" ht="15" hidden="false" customHeight="true" outlineLevel="1" collapsed="false">
      <c r="A233" s="2590"/>
      <c r="B233" s="2590"/>
      <c r="C233" s="2591"/>
      <c r="D233" s="2591"/>
      <c r="E233" s="2590"/>
      <c r="F233" s="2592"/>
      <c r="G233" s="2593"/>
      <c r="H233" s="2594"/>
      <c r="I233" s="2594"/>
      <c r="J233" s="2594"/>
      <c r="K233" s="3049"/>
      <c r="L233" s="2595"/>
      <c r="M233" s="916"/>
      <c r="N233" s="2595"/>
      <c r="O233" s="2595"/>
      <c r="P233" s="2595"/>
      <c r="Q233" s="2595"/>
      <c r="R233" s="2595"/>
      <c r="S233" s="2595"/>
      <c r="T233" s="2583"/>
      <c r="U233" s="2583"/>
    </row>
    <row r="234" customFormat="false" ht="15" hidden="false" customHeight="true" outlineLevel="0" collapsed="false">
      <c r="A234" s="2579" t="s">
        <v>3734</v>
      </c>
      <c r="B234" s="2579"/>
      <c r="C234" s="2579"/>
      <c r="D234" s="2579"/>
      <c r="E234" s="2579"/>
      <c r="F234" s="2579"/>
      <c r="G234" s="2579"/>
      <c r="H234" s="2579"/>
      <c r="I234" s="2579"/>
      <c r="J234" s="2594"/>
      <c r="K234" s="3049"/>
      <c r="L234" s="2595"/>
      <c r="M234" s="916"/>
      <c r="N234" s="2595"/>
      <c r="O234" s="2595"/>
      <c r="P234" s="2595"/>
      <c r="Q234" s="2595"/>
      <c r="R234" s="2595"/>
      <c r="S234" s="2595"/>
      <c r="T234" s="2583"/>
      <c r="U234" s="2583"/>
    </row>
    <row r="235" customFormat="false" ht="15" hidden="false" customHeight="true" outlineLevel="0" collapsed="false">
      <c r="A235" s="2580" t="s">
        <v>46</v>
      </c>
      <c r="B235" s="2581" t="s">
        <v>2406</v>
      </c>
      <c r="C235" s="2582" t="s">
        <v>116</v>
      </c>
      <c r="D235" s="2582" t="s">
        <v>200</v>
      </c>
      <c r="E235" s="2581" t="s">
        <v>293</v>
      </c>
      <c r="F235" s="2582" t="s">
        <v>235</v>
      </c>
      <c r="G235" s="2596" t="s">
        <v>3735</v>
      </c>
      <c r="H235" s="2597" t="s">
        <v>4040</v>
      </c>
      <c r="I235" s="2597"/>
      <c r="J235" s="1580"/>
      <c r="K235" s="2643"/>
      <c r="L235" s="2589"/>
      <c r="M235" s="2583"/>
      <c r="N235" s="2589"/>
      <c r="O235" s="2589"/>
      <c r="P235" s="2589"/>
      <c r="Q235" s="2589"/>
      <c r="R235" s="2589"/>
      <c r="S235" s="2595"/>
      <c r="T235" s="1580"/>
      <c r="U235" s="1580"/>
    </row>
    <row r="236" customFormat="false" ht="15" hidden="false" customHeight="true" outlineLevel="0" collapsed="false">
      <c r="A236" s="876" t="s">
        <v>3737</v>
      </c>
      <c r="B236" s="2598" t="n">
        <f aca="false">дома!B1319</f>
        <v>2</v>
      </c>
      <c r="C236" s="2599" t="n">
        <f aca="false">дома!C1319</f>
        <v>8</v>
      </c>
      <c r="D236" s="2599" t="n">
        <f aca="false">дома!D1319</f>
        <v>8</v>
      </c>
      <c r="E236" s="2598" t="n">
        <f aca="false">дома!E1319</f>
        <v>2.8</v>
      </c>
      <c r="F236" s="2599" t="n">
        <f aca="false">дома!F1319</f>
        <v>1.6</v>
      </c>
      <c r="G236" s="2599" t="n">
        <f aca="false">дома!G1319</f>
        <v>2.6</v>
      </c>
      <c r="H236" s="2598" t="n">
        <f aca="false">дома!I1319</f>
        <v>5</v>
      </c>
      <c r="I236" s="2600"/>
      <c r="J236" s="1580"/>
      <c r="K236" s="2643"/>
      <c r="L236" s="2589"/>
      <c r="M236" s="2583"/>
      <c r="N236" s="2589"/>
      <c r="O236" s="2589"/>
      <c r="P236" s="2589"/>
      <c r="Q236" s="2589"/>
      <c r="R236" s="2589"/>
      <c r="S236" s="2595"/>
      <c r="T236" s="1580"/>
      <c r="U236" s="1580"/>
    </row>
    <row r="237" s="3051" customFormat="true" ht="15" hidden="false" customHeight="true" outlineLevel="0" collapsed="false">
      <c r="A237" s="2601" t="s">
        <v>161</v>
      </c>
      <c r="B237" s="2601" t="s">
        <v>12</v>
      </c>
      <c r="C237" s="2605" t="s">
        <v>4041</v>
      </c>
      <c r="D237" s="2605"/>
      <c r="E237" s="2601" t="s">
        <v>118</v>
      </c>
      <c r="F237" s="2601" t="s">
        <v>3739</v>
      </c>
      <c r="G237" s="2605" t="s">
        <v>161</v>
      </c>
      <c r="H237" s="2605"/>
      <c r="I237" s="2601" t="s">
        <v>2240</v>
      </c>
      <c r="J237" s="2601" t="s">
        <v>3742</v>
      </c>
      <c r="K237" s="3050" t="s">
        <v>118</v>
      </c>
      <c r="L237" s="2601" t="s">
        <v>3721</v>
      </c>
      <c r="M237" s="918"/>
      <c r="N237" s="918"/>
      <c r="O237" s="918"/>
      <c r="P237" s="918"/>
      <c r="Q237" s="918"/>
      <c r="R237" s="918"/>
      <c r="S237" s="2783"/>
      <c r="T237" s="918"/>
      <c r="U237" s="918"/>
    </row>
    <row r="238" customFormat="false" ht="15" hidden="false" customHeight="true" outlineLevel="0" collapsed="false">
      <c r="A238" s="918"/>
      <c r="B238" s="2595"/>
      <c r="C238" s="3052"/>
      <c r="D238" s="3052"/>
      <c r="E238" s="2595"/>
      <c r="F238" s="3052"/>
      <c r="G238" s="3052"/>
      <c r="H238" s="2595"/>
      <c r="I238" s="2595"/>
      <c r="J238" s="2589"/>
      <c r="K238" s="2643"/>
      <c r="L238" s="2589"/>
      <c r="M238" s="2589"/>
      <c r="N238" s="2589"/>
      <c r="O238" s="2589"/>
      <c r="P238" s="2589"/>
      <c r="Q238" s="2589"/>
      <c r="R238" s="2589"/>
      <c r="S238" s="2589"/>
      <c r="T238" s="2589"/>
      <c r="U238" s="2589"/>
    </row>
    <row r="239" customFormat="false" ht="15" hidden="false" customHeight="true" outlineLevel="1" collapsed="false">
      <c r="A239" s="3053" t="s">
        <v>229</v>
      </c>
      <c r="B239" s="3053"/>
      <c r="C239" s="3053"/>
      <c r="D239" s="3053"/>
      <c r="E239" s="3053"/>
      <c r="F239" s="3053"/>
      <c r="G239" s="3053"/>
      <c r="H239" s="3053"/>
      <c r="I239" s="3053"/>
      <c r="J239" s="3054"/>
      <c r="K239" s="3054"/>
      <c r="L239" s="3055"/>
      <c r="M239" s="2589"/>
      <c r="N239" s="2589"/>
      <c r="O239" s="2589"/>
      <c r="P239" s="2589"/>
      <c r="Q239" s="2589"/>
      <c r="R239" s="2589"/>
      <c r="S239" s="2589"/>
      <c r="T239" s="2589"/>
      <c r="U239" s="2589"/>
    </row>
    <row r="240" customFormat="false" ht="15" hidden="false" customHeight="true" outlineLevel="1" collapsed="false">
      <c r="A240" s="1520" t="s">
        <v>461</v>
      </c>
      <c r="B240" s="1520"/>
      <c r="C240" s="1520"/>
      <c r="D240" s="1520"/>
      <c r="E240" s="1520"/>
      <c r="F240" s="1520"/>
      <c r="G240" s="3056" t="n">
        <f aca="false">'Ввод данных'!E288</f>
        <v>1</v>
      </c>
      <c r="H240" s="1521" t="n">
        <f aca="false">'Ввод данных'!E289</f>
        <v>1</v>
      </c>
      <c r="I240" s="1521"/>
      <c r="J240" s="1521"/>
      <c r="K240" s="1521"/>
      <c r="L240" s="1521"/>
      <c r="M240" s="2589"/>
      <c r="N240" s="2589"/>
      <c r="O240" s="2589"/>
      <c r="P240" s="2589"/>
      <c r="Q240" s="2589"/>
      <c r="R240" s="2589"/>
      <c r="S240" s="2589"/>
      <c r="T240" s="2589"/>
      <c r="U240" s="2589"/>
    </row>
    <row r="241" customFormat="false" ht="15" hidden="false" customHeight="true" outlineLevel="1" collapsed="false">
      <c r="A241" s="3057" t="s">
        <v>2902</v>
      </c>
      <c r="B241" s="3058" t="s">
        <v>15</v>
      </c>
      <c r="C241" s="3058" t="n">
        <f aca="false">дома!C1130</f>
        <v>36.9990475974507</v>
      </c>
      <c r="D241" s="3059" t="n">
        <f aca="false">дома!D1130</f>
        <v>1</v>
      </c>
      <c r="E241" s="3060"/>
      <c r="F241" s="3060"/>
      <c r="G241" s="3060"/>
      <c r="H241" s="1521"/>
      <c r="I241" s="1521"/>
      <c r="J241" s="1521"/>
      <c r="K241" s="1521"/>
      <c r="L241" s="1521"/>
      <c r="M241" s="2589"/>
      <c r="N241" s="2589"/>
      <c r="O241" s="2589"/>
      <c r="P241" s="2589"/>
      <c r="Q241" s="2589"/>
      <c r="R241" s="2589"/>
      <c r="S241" s="2589"/>
      <c r="T241" s="2589"/>
      <c r="U241" s="2589"/>
    </row>
    <row r="242" customFormat="false" ht="15" hidden="false" customHeight="true" outlineLevel="1" collapsed="false">
      <c r="A242" s="3057" t="s">
        <v>3941</v>
      </c>
      <c r="B242" s="3058" t="s">
        <v>15</v>
      </c>
      <c r="C242" s="3058" t="n">
        <f aca="false">'Ввод данных'!C294</f>
        <v>0</v>
      </c>
      <c r="D242" s="3061"/>
      <c r="E242" s="3060"/>
      <c r="F242" s="3060"/>
      <c r="G242" s="3060"/>
      <c r="H242" s="1521"/>
      <c r="I242" s="1521"/>
      <c r="J242" s="1521"/>
      <c r="K242" s="1521"/>
      <c r="L242" s="1521"/>
      <c r="M242" s="2589"/>
      <c r="N242" s="2589"/>
      <c r="O242" s="2589"/>
      <c r="P242" s="2589"/>
      <c r="Q242" s="2589"/>
      <c r="R242" s="2589"/>
      <c r="S242" s="2589"/>
      <c r="T242" s="2589"/>
      <c r="U242" s="2589"/>
    </row>
    <row r="243" customFormat="false" ht="15" hidden="false" customHeight="true" outlineLevel="1" collapsed="false">
      <c r="A243" s="3057" t="s">
        <v>3942</v>
      </c>
      <c r="B243" s="3058" t="s">
        <v>15</v>
      </c>
      <c r="C243" s="3058" t="n">
        <f aca="false">'Ввод данных'!C295</f>
        <v>0</v>
      </c>
      <c r="D243" s="3061"/>
      <c r="E243" s="3060"/>
      <c r="F243" s="3060"/>
      <c r="G243" s="3060"/>
      <c r="H243" s="1521"/>
      <c r="I243" s="1521"/>
      <c r="J243" s="1521"/>
      <c r="K243" s="1521"/>
      <c r="L243" s="1521"/>
      <c r="M243" s="2589"/>
      <c r="N243" s="2589"/>
      <c r="O243" s="2589"/>
      <c r="P243" s="2589"/>
      <c r="Q243" s="2589"/>
      <c r="R243" s="2589"/>
      <c r="S243" s="2589"/>
      <c r="T243" s="2589"/>
      <c r="U243" s="2589"/>
    </row>
    <row r="244" customFormat="false" ht="15" hidden="false" customHeight="true" outlineLevel="1" collapsed="false">
      <c r="A244" s="864" t="s">
        <v>3943</v>
      </c>
      <c r="B244" s="1549" t="s">
        <v>48</v>
      </c>
      <c r="C244" s="3062" t="n">
        <f aca="false">IF('Ввод данных'!A293=связи1!A6,1,0)</f>
        <v>1</v>
      </c>
      <c r="D244" s="3063"/>
      <c r="E244" s="3064"/>
      <c r="F244" s="3064"/>
      <c r="G244" s="2589"/>
      <c r="H244" s="2589"/>
      <c r="I244" s="2595"/>
      <c r="J244" s="2589"/>
      <c r="K244" s="2643"/>
      <c r="L244" s="2589"/>
      <c r="M244" s="2589"/>
      <c r="N244" s="2589"/>
      <c r="O244" s="2589"/>
      <c r="P244" s="2589"/>
      <c r="Q244" s="2589"/>
      <c r="R244" s="2589"/>
      <c r="S244" s="2589"/>
      <c r="T244" s="2589"/>
      <c r="U244" s="2589"/>
    </row>
    <row r="245" customFormat="false" ht="15" hidden="false" customHeight="true" outlineLevel="1" collapsed="false">
      <c r="A245" s="3065" t="s">
        <v>3944</v>
      </c>
      <c r="B245" s="837" t="s">
        <v>48</v>
      </c>
      <c r="C245" s="3062" t="n">
        <f aca="false">IF('Ввод данных'!A293=связи1!A7,1,0)</f>
        <v>0</v>
      </c>
      <c r="D245" s="3063"/>
      <c r="E245" s="3064"/>
      <c r="F245" s="3064"/>
      <c r="G245" s="2589"/>
      <c r="H245" s="2589"/>
      <c r="I245" s="2595"/>
      <c r="J245" s="2589"/>
      <c r="K245" s="2643"/>
      <c r="L245" s="2589"/>
      <c r="M245" s="2589"/>
      <c r="N245" s="2589"/>
      <c r="O245" s="2589"/>
      <c r="P245" s="2589"/>
      <c r="Q245" s="2589"/>
      <c r="R245" s="2589"/>
      <c r="S245" s="2589"/>
      <c r="T245" s="2589"/>
      <c r="U245" s="2589"/>
    </row>
    <row r="246" customFormat="false" ht="15" hidden="false" customHeight="true" outlineLevel="1" collapsed="false">
      <c r="A246" s="3065" t="s">
        <v>3945</v>
      </c>
      <c r="B246" s="837" t="s">
        <v>48</v>
      </c>
      <c r="C246" s="3062" t="n">
        <f aca="false">IF('Ввод данных'!A293=связи1!A8,1,0)</f>
        <v>0</v>
      </c>
      <c r="D246" s="3063"/>
      <c r="E246" s="3064"/>
      <c r="F246" s="3064"/>
      <c r="G246" s="2589"/>
      <c r="H246" s="2589"/>
      <c r="I246" s="2595"/>
      <c r="J246" s="2589"/>
      <c r="K246" s="2643"/>
      <c r="L246" s="2589"/>
      <c r="M246" s="2589"/>
      <c r="N246" s="2589"/>
      <c r="O246" s="2589"/>
      <c r="P246" s="2589"/>
      <c r="Q246" s="2589"/>
      <c r="R246" s="2589"/>
      <c r="S246" s="2589"/>
      <c r="T246" s="2589"/>
      <c r="U246" s="2589"/>
    </row>
    <row r="247" customFormat="false" ht="15" hidden="false" customHeight="true" outlineLevel="1" collapsed="false">
      <c r="A247" s="837" t="s">
        <v>2821</v>
      </c>
      <c r="B247" s="837" t="s">
        <v>820</v>
      </c>
      <c r="C247" s="837" t="n">
        <f aca="false">дома!E1181+('Ввод данных'!C302*'Ввод данных'!D302)</f>
        <v>105.780913567754</v>
      </c>
      <c r="D247" s="3064"/>
      <c r="E247" s="3064"/>
      <c r="F247" s="3064"/>
      <c r="G247" s="2589"/>
      <c r="H247" s="2589"/>
      <c r="I247" s="2595"/>
      <c r="J247" s="2589"/>
      <c r="K247" s="2643"/>
      <c r="L247" s="2589"/>
      <c r="M247" s="2589"/>
      <c r="N247" s="2589"/>
      <c r="O247" s="2589"/>
      <c r="P247" s="2589"/>
      <c r="Q247" s="2589"/>
      <c r="R247" s="2589"/>
      <c r="S247" s="2589"/>
      <c r="T247" s="2589"/>
      <c r="U247" s="2589"/>
    </row>
    <row r="248" customFormat="false" ht="15" hidden="false" customHeight="true" outlineLevel="1" collapsed="false">
      <c r="A248" s="837" t="s">
        <v>249</v>
      </c>
      <c r="B248" s="837" t="s">
        <v>15</v>
      </c>
      <c r="C248" s="837" t="n">
        <f aca="false">дома!E1164</f>
        <v>9</v>
      </c>
      <c r="D248" s="3064"/>
      <c r="E248" s="3064"/>
      <c r="F248" s="3064"/>
      <c r="G248" s="2589"/>
      <c r="H248" s="2589"/>
      <c r="I248" s="2595"/>
      <c r="J248" s="2589"/>
      <c r="K248" s="2643"/>
      <c r="L248" s="2589"/>
      <c r="M248" s="2589"/>
      <c r="N248" s="2589"/>
      <c r="O248" s="2589"/>
      <c r="P248" s="2589"/>
      <c r="Q248" s="2589"/>
      <c r="R248" s="2589"/>
      <c r="S248" s="2589"/>
      <c r="T248" s="2589"/>
      <c r="U248" s="2589"/>
    </row>
    <row r="249" customFormat="false" ht="15" hidden="false" customHeight="true" outlineLevel="1" collapsed="false">
      <c r="A249" s="837" t="s">
        <v>3647</v>
      </c>
      <c r="B249" s="837" t="s">
        <v>15</v>
      </c>
      <c r="C249" s="837" t="n">
        <f aca="false">дома!E1167</f>
        <v>5.87671742043077</v>
      </c>
      <c r="D249" s="3064"/>
      <c r="E249" s="3064"/>
      <c r="F249" s="3064"/>
      <c r="G249" s="2589"/>
      <c r="H249" s="2589"/>
      <c r="I249" s="2595"/>
      <c r="J249" s="2589"/>
      <c r="K249" s="2643"/>
      <c r="L249" s="2589"/>
      <c r="M249" s="2589"/>
      <c r="N249" s="2589"/>
      <c r="O249" s="2589"/>
      <c r="P249" s="2589"/>
      <c r="Q249" s="2589"/>
      <c r="R249" s="2589"/>
      <c r="S249" s="2589"/>
      <c r="T249" s="2589"/>
      <c r="U249" s="2589"/>
    </row>
    <row r="250" customFormat="false" ht="15" hidden="false" customHeight="true" outlineLevel="1" collapsed="false">
      <c r="A250" s="862" t="s">
        <v>273</v>
      </c>
      <c r="B250" s="837" t="s">
        <v>15</v>
      </c>
      <c r="C250" s="2585" t="n">
        <f aca="false">'Ввод данных'!C296</f>
        <v>0.5</v>
      </c>
      <c r="D250" s="3064"/>
      <c r="E250" s="3064"/>
      <c r="F250" s="3064"/>
      <c r="G250" s="2589"/>
      <c r="H250" s="2589"/>
      <c r="I250" s="2595"/>
      <c r="J250" s="2589"/>
      <c r="K250" s="2643"/>
      <c r="L250" s="2589"/>
      <c r="M250" s="2589"/>
      <c r="N250" s="2589"/>
      <c r="O250" s="2589"/>
      <c r="P250" s="2589"/>
      <c r="Q250" s="2589"/>
      <c r="R250" s="2589"/>
      <c r="S250" s="2589"/>
      <c r="T250" s="2589"/>
      <c r="U250" s="2589"/>
    </row>
    <row r="251" customFormat="false" ht="15" hidden="false" customHeight="true" outlineLevel="1" collapsed="false">
      <c r="A251" s="862"/>
      <c r="B251" s="1555"/>
      <c r="C251" s="2585" t="n">
        <f aca="false">'Ввод данных'!C297</f>
        <v>0.5</v>
      </c>
      <c r="D251" s="3064"/>
      <c r="E251" s="3064"/>
      <c r="F251" s="3064"/>
      <c r="G251" s="2589"/>
      <c r="H251" s="2589"/>
      <c r="I251" s="2595"/>
      <c r="J251" s="2589"/>
      <c r="K251" s="2643"/>
      <c r="L251" s="2589"/>
      <c r="M251" s="2589"/>
      <c r="N251" s="2589"/>
      <c r="O251" s="2589"/>
      <c r="P251" s="2589"/>
      <c r="Q251" s="2589"/>
      <c r="R251" s="2589"/>
      <c r="S251" s="2589"/>
      <c r="T251" s="2589"/>
      <c r="U251" s="2589"/>
    </row>
    <row r="252" customFormat="false" ht="15" hidden="false" customHeight="true" outlineLevel="1" collapsed="false">
      <c r="A252" s="1555" t="s">
        <v>276</v>
      </c>
      <c r="B252" s="1555" t="s">
        <v>15</v>
      </c>
      <c r="C252" s="2585" t="n">
        <f aca="false">'Ввод данных'!C298</f>
        <v>0.5</v>
      </c>
      <c r="D252" s="3064"/>
      <c r="E252" s="3064"/>
      <c r="F252" s="3064"/>
      <c r="G252" s="2589"/>
      <c r="H252" s="2589"/>
      <c r="I252" s="2595"/>
      <c r="J252" s="2589"/>
      <c r="K252" s="2643"/>
      <c r="L252" s="2589"/>
      <c r="M252" s="2589"/>
      <c r="N252" s="2589"/>
      <c r="O252" s="2589"/>
      <c r="P252" s="2589"/>
      <c r="Q252" s="2589"/>
      <c r="R252" s="2589"/>
      <c r="S252" s="2589"/>
      <c r="T252" s="2589"/>
      <c r="U252" s="2589"/>
    </row>
    <row r="253" customFormat="false" ht="15" hidden="false" customHeight="true" outlineLevel="1" collapsed="false">
      <c r="A253" s="1555" t="s">
        <v>276</v>
      </c>
      <c r="B253" s="1555" t="s">
        <v>15</v>
      </c>
      <c r="C253" s="2585" t="n">
        <f aca="false">'Ввод данных'!C299</f>
        <v>0.5</v>
      </c>
      <c r="D253" s="3064"/>
      <c r="E253" s="3064"/>
      <c r="F253" s="3064"/>
      <c r="G253" s="2589"/>
      <c r="H253" s="2589"/>
      <c r="I253" s="2595"/>
      <c r="J253" s="2589"/>
      <c r="K253" s="2643"/>
      <c r="L253" s="2589"/>
      <c r="M253" s="2589"/>
      <c r="N253" s="2589"/>
      <c r="O253" s="2589"/>
      <c r="P253" s="2589"/>
      <c r="Q253" s="2589"/>
      <c r="R253" s="2589"/>
      <c r="S253" s="2589"/>
      <c r="T253" s="2589"/>
      <c r="U253" s="2589"/>
    </row>
    <row r="254" customFormat="false" ht="15" hidden="false" customHeight="true" outlineLevel="1" collapsed="false">
      <c r="A254" s="861" t="s">
        <v>2830</v>
      </c>
      <c r="B254" s="1555" t="s">
        <v>15</v>
      </c>
      <c r="C254" s="1555" t="n">
        <f aca="false">'Ввод данных'!C314</f>
        <v>0</v>
      </c>
      <c r="D254" s="3059" t="n">
        <v>1</v>
      </c>
      <c r="E254" s="3064"/>
      <c r="F254" s="3064"/>
      <c r="G254" s="2589"/>
      <c r="H254" s="2589"/>
      <c r="I254" s="2595"/>
      <c r="J254" s="2589"/>
      <c r="K254" s="2643"/>
      <c r="L254" s="2589"/>
      <c r="M254" s="2589"/>
      <c r="N254" s="2589"/>
      <c r="O254" s="2589"/>
      <c r="P254" s="2589"/>
      <c r="Q254" s="2589"/>
      <c r="R254" s="2589"/>
      <c r="S254" s="2589"/>
      <c r="T254" s="2589"/>
      <c r="U254" s="2589"/>
    </row>
    <row r="255" customFormat="false" ht="15" hidden="false" customHeight="true" outlineLevel="1" collapsed="false">
      <c r="A255" s="861"/>
      <c r="B255" s="1555" t="s">
        <v>15</v>
      </c>
      <c r="C255" s="1555" t="n">
        <f aca="false">'Ввод данных'!E307</f>
        <v>0</v>
      </c>
      <c r="D255" s="3059" t="n">
        <v>0</v>
      </c>
      <c r="E255" s="3064"/>
      <c r="F255" s="3064"/>
      <c r="G255" s="2589"/>
      <c r="H255" s="2589"/>
      <c r="I255" s="2595"/>
      <c r="J255" s="2589"/>
      <c r="K255" s="2643"/>
      <c r="L255" s="2589"/>
      <c r="M255" s="2589"/>
      <c r="N255" s="2589"/>
      <c r="O255" s="2589"/>
      <c r="P255" s="2589"/>
      <c r="Q255" s="2589"/>
      <c r="R255" s="2589"/>
      <c r="S255" s="2589"/>
      <c r="T255" s="2589"/>
      <c r="U255" s="2589"/>
    </row>
    <row r="256" customFormat="false" ht="15" hidden="false" customHeight="true" outlineLevel="1" collapsed="false">
      <c r="A256" s="861" t="s">
        <v>3665</v>
      </c>
      <c r="B256" s="1555" t="s">
        <v>15</v>
      </c>
      <c r="C256" s="1555" t="n">
        <f aca="false">м.п.</f>
        <v>0</v>
      </c>
      <c r="D256" s="3059" t="n">
        <v>1</v>
      </c>
      <c r="E256" s="3064"/>
      <c r="F256" s="3064"/>
      <c r="G256" s="2589"/>
      <c r="H256" s="2589"/>
      <c r="I256" s="2595"/>
      <c r="J256" s="2589"/>
      <c r="K256" s="2643"/>
      <c r="L256" s="2589"/>
      <c r="M256" s="2589"/>
      <c r="N256" s="2589"/>
      <c r="O256" s="2589"/>
      <c r="P256" s="2589"/>
      <c r="Q256" s="2589"/>
      <c r="R256" s="2589"/>
      <c r="S256" s="2589"/>
      <c r="T256" s="2589"/>
      <c r="U256" s="2589"/>
    </row>
    <row r="257" customFormat="false" ht="15" hidden="false" customHeight="true" outlineLevel="1" collapsed="false">
      <c r="A257" s="861"/>
      <c r="B257" s="1555" t="s">
        <v>15</v>
      </c>
      <c r="C257" s="1555" t="n">
        <v>0</v>
      </c>
      <c r="D257" s="3059" t="n">
        <v>0</v>
      </c>
      <c r="E257" s="3064"/>
      <c r="F257" s="3064"/>
      <c r="G257" s="2589"/>
      <c r="H257" s="2589"/>
      <c r="I257" s="2595"/>
      <c r="J257" s="2589"/>
      <c r="K257" s="2643"/>
      <c r="L257" s="2589"/>
      <c r="M257" s="2589"/>
      <c r="N257" s="2589"/>
      <c r="O257" s="2589"/>
      <c r="P257" s="2589"/>
      <c r="Q257" s="2589"/>
      <c r="R257" s="2589"/>
      <c r="S257" s="2589"/>
      <c r="T257" s="2589"/>
      <c r="U257" s="2589"/>
    </row>
    <row r="258" customFormat="false" ht="15" hidden="false" customHeight="true" outlineLevel="1" collapsed="false">
      <c r="A258" s="2639" t="s">
        <v>1735</v>
      </c>
      <c r="B258" s="1555" t="s">
        <v>48</v>
      </c>
      <c r="C258" s="1557" t="n">
        <f aca="false">'Ввод данных'!C315</f>
        <v>0</v>
      </c>
      <c r="D258" s="3064"/>
      <c r="E258" s="3064"/>
      <c r="F258" s="3064"/>
      <c r="G258" s="2589"/>
      <c r="H258" s="2589"/>
      <c r="I258" s="2595"/>
      <c r="J258" s="2589"/>
      <c r="K258" s="2643"/>
      <c r="L258" s="2589"/>
      <c r="M258" s="2589"/>
      <c r="N258" s="2589"/>
      <c r="O258" s="2589"/>
      <c r="P258" s="2589"/>
      <c r="Q258" s="2589"/>
      <c r="R258" s="2589"/>
      <c r="S258" s="2589"/>
      <c r="T258" s="2589"/>
      <c r="U258" s="2589"/>
    </row>
    <row r="259" customFormat="false" ht="15" hidden="false" customHeight="true" outlineLevel="1" collapsed="false">
      <c r="A259" s="2639" t="s">
        <v>1736</v>
      </c>
      <c r="B259" s="1555" t="s">
        <v>48</v>
      </c>
      <c r="C259" s="1557" t="n">
        <f aca="false">'Ввод данных'!C316</f>
        <v>0</v>
      </c>
      <c r="D259" s="3064"/>
      <c r="E259" s="3064"/>
      <c r="F259" s="3064"/>
      <c r="G259" s="2589"/>
      <c r="H259" s="2589"/>
      <c r="I259" s="2595"/>
      <c r="J259" s="2589"/>
      <c r="K259" s="2643"/>
      <c r="L259" s="2589"/>
      <c r="M259" s="2589"/>
      <c r="N259" s="2589"/>
      <c r="O259" s="2589"/>
      <c r="P259" s="2589"/>
      <c r="Q259" s="2589"/>
      <c r="R259" s="2589"/>
      <c r="S259" s="2589"/>
      <c r="T259" s="2589"/>
      <c r="U259" s="2589"/>
    </row>
    <row r="260" customFormat="false" ht="15" hidden="false" customHeight="true" outlineLevel="1" collapsed="false">
      <c r="A260" s="2639" t="s">
        <v>1737</v>
      </c>
      <c r="B260" s="1555" t="s">
        <v>48</v>
      </c>
      <c r="C260" s="1557" t="n">
        <f aca="false">'Ввод данных'!C317</f>
        <v>0</v>
      </c>
      <c r="D260" s="3064"/>
      <c r="E260" s="3064"/>
      <c r="F260" s="3064"/>
      <c r="G260" s="2589"/>
      <c r="H260" s="2589"/>
      <c r="I260" s="2595"/>
      <c r="J260" s="2589"/>
      <c r="K260" s="2643"/>
      <c r="L260" s="2589"/>
      <c r="M260" s="2589"/>
      <c r="N260" s="2589"/>
      <c r="O260" s="2589"/>
      <c r="P260" s="2589"/>
      <c r="Q260" s="2589"/>
      <c r="R260" s="2589"/>
      <c r="S260" s="2589"/>
      <c r="T260" s="2589"/>
      <c r="U260" s="2589"/>
    </row>
    <row r="261" customFormat="false" ht="15" hidden="false" customHeight="true" outlineLevel="1" collapsed="false">
      <c r="A261" s="2641" t="s">
        <v>2246</v>
      </c>
      <c r="B261" s="2641" t="s">
        <v>1738</v>
      </c>
      <c r="C261" s="2641" t="s">
        <v>118</v>
      </c>
      <c r="D261" s="2641" t="s">
        <v>2915</v>
      </c>
      <c r="E261" s="2641" t="s">
        <v>2916</v>
      </c>
      <c r="F261" s="1579"/>
      <c r="G261" s="2670" t="s">
        <v>2007</v>
      </c>
      <c r="H261" s="2670"/>
      <c r="I261" s="2641" t="s">
        <v>1738</v>
      </c>
      <c r="J261" s="2641" t="s">
        <v>118</v>
      </c>
      <c r="K261" s="3066" t="s">
        <v>2190</v>
      </c>
      <c r="L261" s="2641" t="s">
        <v>2916</v>
      </c>
      <c r="M261" s="1579"/>
      <c r="N261" s="1579"/>
      <c r="O261" s="1579"/>
      <c r="P261" s="1579"/>
      <c r="Q261" s="1579"/>
      <c r="R261" s="1579"/>
      <c r="S261" s="1579"/>
      <c r="T261" s="1579"/>
      <c r="U261" s="1579"/>
    </row>
    <row r="262" customFormat="false" ht="15" hidden="false" customHeight="true" outlineLevel="1" collapsed="false">
      <c r="A262" s="837" t="str">
        <f aca="false">'Ввод данных'!A295</f>
        <v>нет</v>
      </c>
      <c r="B262" s="837" t="s">
        <v>1043</v>
      </c>
      <c r="C262" s="837" t="n">
        <f aca="false">C241*D241*VLOOKUP(A262,связи1!F201:H211,3,0)*G240</f>
        <v>0</v>
      </c>
      <c r="D262" s="837" t="n">
        <f aca="false">VLOOKUP(A262,связи1!F201:H211,2,0)</f>
        <v>0</v>
      </c>
      <c r="E262" s="837" t="n">
        <f aca="false">C262*D262</f>
        <v>0</v>
      </c>
      <c r="F262" s="1579"/>
      <c r="G262" s="2634"/>
      <c r="H262" s="2635"/>
      <c r="I262" s="837"/>
      <c r="J262" s="837"/>
      <c r="K262" s="2642"/>
      <c r="L262" s="837"/>
      <c r="M262" s="1579"/>
      <c r="N262" s="1579"/>
      <c r="O262" s="1579"/>
      <c r="P262" s="1579"/>
      <c r="Q262" s="1579"/>
      <c r="R262" s="1579"/>
      <c r="S262" s="1579"/>
      <c r="T262" s="1579"/>
      <c r="U262" s="1579"/>
    </row>
    <row r="263" customFormat="false" ht="15" hidden="false" customHeight="true" outlineLevel="1" collapsed="false">
      <c r="A263" s="837" t="str">
        <f aca="false">'Прайс лист'!B714</f>
        <v>Болты анкерные с гайкой 12,0 х 280          </v>
      </c>
      <c r="B263" s="837" t="s">
        <v>48</v>
      </c>
      <c r="C263" s="2636" t="n">
        <f aca="false">C241*D241*1*G240</f>
        <v>36.9990475974507</v>
      </c>
      <c r="D263" s="837" t="n">
        <f aca="false">'Прайс лист'!G714</f>
        <v>27.1</v>
      </c>
      <c r="E263" s="837" t="n">
        <f aca="false">C263*D263</f>
        <v>1002.67418989091</v>
      </c>
      <c r="F263" s="1579"/>
      <c r="G263" s="738" t="s">
        <v>4240</v>
      </c>
      <c r="H263" s="738"/>
      <c r="I263" s="837" t="s">
        <v>15</v>
      </c>
      <c r="J263" s="837" t="n">
        <f aca="false">C241*D241*H240</f>
        <v>36.9990475974507</v>
      </c>
      <c r="K263" s="2642" t="n">
        <f aca="false">'Прайс лист'!G1560</f>
        <v>250</v>
      </c>
      <c r="L263" s="837" t="n">
        <f aca="false">J263*K263</f>
        <v>9249.76189936267</v>
      </c>
      <c r="M263" s="1579"/>
      <c r="N263" s="1579"/>
      <c r="O263" s="1579"/>
      <c r="P263" s="1579"/>
      <c r="Q263" s="1579"/>
      <c r="R263" s="1579"/>
      <c r="S263" s="1579"/>
      <c r="T263" s="1579"/>
      <c r="U263" s="1579"/>
    </row>
    <row r="264" customFormat="false" ht="15" hidden="false" customHeight="true" outlineLevel="1" collapsed="false">
      <c r="A264" s="837" t="str">
        <f aca="false">'Ввод данных'!A306</f>
        <v>Доска сухая, 200*50мм</v>
      </c>
      <c r="B264" s="837" t="s">
        <v>1043</v>
      </c>
      <c r="C264" s="837" t="n">
        <f aca="false">(((C248/0.6)+1)*C249*2*VLOOKUP(A264,связи1!A406:E415,5,0)*1.1*G240*+(C248*3+C249*4)*VLOOKUP(A264,связи1!A406:E415,5,0))*1.3*G240+'Ввод данных'!C302/0.6*'Ввод данных'!D302*VLOOKUP(A264,связи1!A406:E415,5,0)*G240</f>
        <v>1.3582236137642</v>
      </c>
      <c r="D264" s="837" t="n">
        <f aca="false">VLOOKUP(A264,связи1!A406:E415,2,0)</f>
        <v>9000</v>
      </c>
      <c r="E264" s="837" t="n">
        <f aca="false">C264*D264</f>
        <v>12224.0125238778</v>
      </c>
      <c r="F264" s="1579"/>
      <c r="G264" s="738" t="s">
        <v>2126</v>
      </c>
      <c r="H264" s="738"/>
      <c r="I264" s="837" t="s">
        <v>820</v>
      </c>
      <c r="J264" s="837" t="n">
        <f aca="false">C247*(C244+C245+C246)*H240*IF(A264=связи1!A406,0,1)</f>
        <v>105.780913567754</v>
      </c>
      <c r="K264" s="2642" t="n">
        <f aca="false">'Прайс лист'!G1561</f>
        <v>450</v>
      </c>
      <c r="L264" s="837" t="n">
        <f aca="false">J264*K264</f>
        <v>47601.4111054893</v>
      </c>
      <c r="M264" s="1579"/>
      <c r="N264" s="1579"/>
      <c r="O264" s="1579"/>
      <c r="P264" s="1579"/>
      <c r="Q264" s="1579"/>
      <c r="R264" s="1579"/>
      <c r="S264" s="1579"/>
      <c r="T264" s="1579"/>
      <c r="U264" s="1579"/>
    </row>
    <row r="265" customFormat="false" ht="15" hidden="false" customHeight="true" outlineLevel="1" collapsed="false">
      <c r="A265" s="837" t="s">
        <v>2917</v>
      </c>
      <c r="B265" s="837" t="s">
        <v>1043</v>
      </c>
      <c r="C265" s="837" t="n">
        <f aca="false">((C248/0.6)+1)*3*1.3*G240*VLOOKUP(A264,связи1!A406:E415,5,0)</f>
        <v>0.624</v>
      </c>
      <c r="D265" s="837" t="n">
        <f aca="false">VLOOKUP(A264,связи1!A406:E415,2,0)</f>
        <v>9000</v>
      </c>
      <c r="E265" s="837" t="n">
        <f aca="false">C265*D265</f>
        <v>5616</v>
      </c>
      <c r="F265" s="1579"/>
      <c r="G265" s="738" t="s">
        <v>2127</v>
      </c>
      <c r="H265" s="738"/>
      <c r="I265" s="837" t="s">
        <v>820</v>
      </c>
      <c r="J265" s="837" t="n">
        <f aca="false">C247*(C244+C245+C246)*H240*IF(A267=связи1!A431,0,1)</f>
        <v>105.780913567754</v>
      </c>
      <c r="K265" s="2642" t="n">
        <f aca="false">'Прайс лист'!G1562</f>
        <v>100</v>
      </c>
      <c r="L265" s="837" t="n">
        <f aca="false">J265*K265</f>
        <v>10578.0913567754</v>
      </c>
      <c r="M265" s="1579"/>
      <c r="N265" s="1579"/>
      <c r="O265" s="1579"/>
      <c r="P265" s="1579"/>
      <c r="Q265" s="1579"/>
      <c r="R265" s="1579"/>
      <c r="S265" s="1579"/>
      <c r="T265" s="1579"/>
      <c r="U265" s="1579"/>
    </row>
    <row r="266" customFormat="false" ht="15" hidden="false" customHeight="true" outlineLevel="1" collapsed="false">
      <c r="A266" s="837" t="s">
        <v>4241</v>
      </c>
      <c r="B266" s="837" t="s">
        <v>1043</v>
      </c>
      <c r="C266" s="837" t="n">
        <f aca="false">((C248/0.6)*H236*VLOOKUP(A264,связи1!A406:E415,5,0)*G240)</f>
        <v>0.75</v>
      </c>
      <c r="D266" s="837" t="n">
        <f aca="false">VLOOKUP(A264,связи1!A406:E415,2,0)</f>
        <v>9000</v>
      </c>
      <c r="E266" s="837" t="n">
        <f aca="false">C266*D266</f>
        <v>6750</v>
      </c>
      <c r="F266" s="1579"/>
      <c r="G266" s="738" t="s">
        <v>2128</v>
      </c>
      <c r="H266" s="738"/>
      <c r="I266" s="837" t="s">
        <v>820</v>
      </c>
      <c r="J266" s="837" t="n">
        <f aca="false">C247*(C244+C245+C246)*H240*IF(A268=связи1!A417,0,1)</f>
        <v>105.780913567754</v>
      </c>
      <c r="K266" s="2642" t="n">
        <f aca="false">'Прайс лист'!G1563</f>
        <v>100</v>
      </c>
      <c r="L266" s="837" t="n">
        <f aca="false">J266*K266</f>
        <v>10578.0913567754</v>
      </c>
      <c r="M266" s="1579"/>
      <c r="N266" s="1579"/>
      <c r="O266" s="1579"/>
      <c r="P266" s="1579"/>
      <c r="Q266" s="1579"/>
      <c r="R266" s="1579"/>
      <c r="S266" s="1579"/>
      <c r="T266" s="1579"/>
      <c r="U266" s="1579"/>
    </row>
    <row r="267" customFormat="false" ht="15" hidden="false" customHeight="true" outlineLevel="1" collapsed="false">
      <c r="A267" s="837" t="str">
        <f aca="false">'Ввод данных'!A308</f>
        <v>Сосна влаж,100*25мм</v>
      </c>
      <c r="B267" s="837" t="s">
        <v>1043</v>
      </c>
      <c r="C267" s="837" t="n">
        <f aca="false">(C249/0.25)*C248*2*G240*VLOOKUP(A267,связи1!A431:F439,5,0)</f>
        <v>1.05780913567754</v>
      </c>
      <c r="D267" s="837" t="n">
        <f aca="false">VLOOKUP(A267,связи1!A431:F439,6,0)</f>
        <v>6500</v>
      </c>
      <c r="E267" s="837" t="n">
        <f aca="false">C267*D267</f>
        <v>6875.75938190401</v>
      </c>
      <c r="F267" s="1579"/>
      <c r="G267" s="649" t="str">
        <f aca="false">'Прайс лист'!B1567</f>
        <v>Монтаж металлочерепицы</v>
      </c>
      <c r="H267" s="647"/>
      <c r="I267" s="647" t="s">
        <v>820</v>
      </c>
      <c r="J267" s="647" t="n">
        <f aca="false">C247*C244</f>
        <v>105.780913567754</v>
      </c>
      <c r="K267" s="649" t="n">
        <f aca="false">'Прайс лист'!G1567</f>
        <v>300</v>
      </c>
      <c r="L267" s="837" t="n">
        <f aca="false">J267*K267</f>
        <v>31734.2740703262</v>
      </c>
      <c r="M267" s="1579"/>
      <c r="N267" s="1579"/>
      <c r="O267" s="1579"/>
      <c r="P267" s="1579"/>
      <c r="Q267" s="1579"/>
      <c r="R267" s="1579"/>
      <c r="S267" s="1579"/>
      <c r="T267" s="1579"/>
      <c r="U267" s="1579"/>
    </row>
    <row r="268" customFormat="false" ht="15" hidden="false" customHeight="true" outlineLevel="1" collapsed="false">
      <c r="A268" s="837" t="str">
        <f aca="false">'Ввод данных'!A310</f>
        <v>Сосна влаж, 50*50мм</v>
      </c>
      <c r="B268" s="837" t="s">
        <v>48</v>
      </c>
      <c r="C268" s="837" t="n">
        <f aca="false">((C248/0.6)+1)*C249*2*G240*VLOOKUP(A268,связи1!A417:E420,5,0)</f>
        <v>0.470137393634462</v>
      </c>
      <c r="D268" s="837" t="n">
        <f aca="false">VLOOKUP(A268,связи1!A417:D420,2,0)</f>
        <v>6500</v>
      </c>
      <c r="E268" s="837" t="n">
        <f aca="false">C268*D268</f>
        <v>3055.893058624</v>
      </c>
      <c r="F268" s="1579"/>
      <c r="G268" s="649" t="str">
        <f aca="false">'Прайс лист'!B1568</f>
        <v>Монтаж ондулина</v>
      </c>
      <c r="H268" s="647"/>
      <c r="I268" s="647" t="s">
        <v>820</v>
      </c>
      <c r="J268" s="647" t="n">
        <f aca="false">C247*C245</f>
        <v>0</v>
      </c>
      <c r="K268" s="649" t="n">
        <f aca="false">'Прайс лист'!G1568</f>
        <v>300</v>
      </c>
      <c r="L268" s="837" t="n">
        <f aca="false">J268*K268</f>
        <v>0</v>
      </c>
      <c r="M268" s="1579"/>
      <c r="N268" s="1579"/>
      <c r="O268" s="1579"/>
      <c r="P268" s="1579"/>
      <c r="Q268" s="1579"/>
      <c r="R268" s="1579"/>
      <c r="S268" s="1579"/>
      <c r="T268" s="1579"/>
      <c r="U268" s="1579"/>
    </row>
    <row r="269" customFormat="false" ht="15" hidden="false" customHeight="true" outlineLevel="1" collapsed="false">
      <c r="A269" s="837" t="str">
        <f aca="false">'Ввод данных'!A304</f>
        <v>Нет</v>
      </c>
      <c r="B269" s="837" t="s">
        <v>15</v>
      </c>
      <c r="C269" s="837" t="n">
        <f aca="false">'Ввод данных'!C260*VLOOKUP(A269,'Прайс лист'!B340:G426,5,0)*'Ввод данных'!D304</f>
        <v>0</v>
      </c>
      <c r="D269" s="837" t="n">
        <f aca="false">VLOOKUP(A269,'Прайс лист'!B340:G426,6,0)</f>
        <v>0</v>
      </c>
      <c r="E269" s="837" t="n">
        <f aca="false">C269*D269</f>
        <v>0</v>
      </c>
      <c r="F269" s="1579"/>
      <c r="G269" s="3067"/>
      <c r="H269" s="3068"/>
      <c r="I269" s="647"/>
      <c r="J269" s="647"/>
      <c r="K269" s="649"/>
      <c r="L269" s="837"/>
      <c r="M269" s="1579"/>
      <c r="N269" s="1579"/>
      <c r="O269" s="1579"/>
      <c r="P269" s="1579"/>
      <c r="Q269" s="1579"/>
      <c r="R269" s="1579"/>
      <c r="S269" s="1579"/>
      <c r="T269" s="1579"/>
      <c r="U269" s="1579"/>
    </row>
    <row r="270" customFormat="false" ht="15" hidden="false" customHeight="true" outlineLevel="1" collapsed="false">
      <c r="A270" s="837" t="str">
        <f aca="false">'Прайс лист'!B537</f>
        <v>Гидрокомпенсатор</v>
      </c>
      <c r="B270" s="837"/>
      <c r="C270" s="837" t="n">
        <f aca="false">'Ввод данных'!D304</f>
        <v>0</v>
      </c>
      <c r="D270" s="837" t="n">
        <f aca="false">'Прайс лист'!G537</f>
        <v>450</v>
      </c>
      <c r="E270" s="837" t="n">
        <f aca="false">C270*D270</f>
        <v>0</v>
      </c>
      <c r="F270" s="1579"/>
      <c r="G270" s="3067"/>
      <c r="H270" s="3068"/>
      <c r="I270" s="647"/>
      <c r="J270" s="647"/>
      <c r="K270" s="649"/>
      <c r="L270" s="837"/>
      <c r="M270" s="1579"/>
      <c r="N270" s="1579"/>
      <c r="O270" s="1579"/>
      <c r="P270" s="1579"/>
      <c r="Q270" s="1579"/>
      <c r="R270" s="1579"/>
      <c r="S270" s="1579"/>
      <c r="T270" s="1579"/>
      <c r="U270" s="1579"/>
    </row>
    <row r="271" customFormat="false" ht="15" hidden="false" customHeight="true" outlineLevel="1" collapsed="false">
      <c r="A271" s="837" t="str">
        <f aca="false">'Ввод данных'!A319</f>
        <v>Универсальная Optima C</v>
      </c>
      <c r="B271" s="837" t="s">
        <v>820</v>
      </c>
      <c r="C271" s="837" t="n">
        <f aca="false">C247*1.2*G240</f>
        <v>126.937096281305</v>
      </c>
      <c r="D271" s="837" t="n">
        <f aca="false">VLOOKUP(A271,'Прайс лист'!B649:G675,6,0)</f>
        <v>19</v>
      </c>
      <c r="E271" s="837" t="n">
        <f aca="false">C271*D271</f>
        <v>2411.80482934479</v>
      </c>
      <c r="F271" s="1579"/>
      <c r="G271" s="2663" t="s">
        <v>2129</v>
      </c>
      <c r="H271" s="2664"/>
      <c r="I271" s="837" t="s">
        <v>820</v>
      </c>
      <c r="J271" s="837" t="n">
        <f aca="false">C247*(C244+C245+C246)*H240*IF(A271='Прайс лист'!B649,0,1)</f>
        <v>105.780913567754</v>
      </c>
      <c r="K271" s="2642" t="n">
        <f aca="false">'Прайс лист'!G1564</f>
        <v>100</v>
      </c>
      <c r="L271" s="837" t="n">
        <f aca="false">J271*K271</f>
        <v>10578.0913567754</v>
      </c>
      <c r="M271" s="1579"/>
      <c r="N271" s="1579"/>
      <c r="O271" s="1579"/>
      <c r="P271" s="1579"/>
      <c r="Q271" s="1579"/>
      <c r="R271" s="1579"/>
      <c r="S271" s="1579"/>
      <c r="T271" s="1579"/>
      <c r="U271" s="1579"/>
    </row>
    <row r="272" customFormat="false" ht="15" hidden="false" customHeight="true" outlineLevel="1" collapsed="false">
      <c r="A272" s="837" t="str">
        <f aca="false">'Ввод данных'!A321</f>
        <v>Универсальная Optima C</v>
      </c>
      <c r="B272" s="837" t="s">
        <v>820</v>
      </c>
      <c r="C272" s="837" t="n">
        <f aca="false">C247*1.1*G240</f>
        <v>116.359004924529</v>
      </c>
      <c r="D272" s="837" t="n">
        <f aca="false">VLOOKUP(A272,'Прайс лист'!B676:G687,6,0)</f>
        <v>20</v>
      </c>
      <c r="E272" s="837" t="n">
        <f aca="false">C272*D272</f>
        <v>2327.18009849059</v>
      </c>
      <c r="F272" s="1579"/>
      <c r="G272" s="2663" t="s">
        <v>2130</v>
      </c>
      <c r="H272" s="2664"/>
      <c r="I272" s="837" t="s">
        <v>820</v>
      </c>
      <c r="J272" s="837" t="n">
        <f aca="false">J264*(C244+C245)*H240*IF(A272='Прайс лист'!B676,0,1)</f>
        <v>105.780913567754</v>
      </c>
      <c r="K272" s="2642" t="n">
        <f aca="false">'Прайс лист'!G1565</f>
        <v>100</v>
      </c>
      <c r="L272" s="837" t="n">
        <f aca="false">J272*K272</f>
        <v>10578.0913567754</v>
      </c>
      <c r="M272" s="1579"/>
      <c r="N272" s="1579"/>
      <c r="O272" s="1579"/>
      <c r="P272" s="1579"/>
      <c r="Q272" s="1579"/>
      <c r="R272" s="1579"/>
      <c r="S272" s="1579"/>
      <c r="T272" s="1579"/>
      <c r="U272" s="1579"/>
    </row>
    <row r="273" customFormat="false" ht="15" hidden="false" customHeight="true" outlineLevel="1" collapsed="false">
      <c r="A273" s="837" t="str">
        <f aca="false">'Ввод данных'!A314</f>
        <v>Плитный,28кг/м3, технониколь, 100мм</v>
      </c>
      <c r="B273" s="837" t="s">
        <v>1043</v>
      </c>
      <c r="C273" s="837" t="n">
        <f aca="false">((C249-C250)*(C248-C252-C253)+(C249-C251)*(C248-C252-C253))*VLOOKUP(A273,'Прайс лист'!B600:G638,3,0)*G240</f>
        <v>8.60274787268924</v>
      </c>
      <c r="D273" s="837" t="n">
        <f aca="false">VLOOKUP(A273,'Прайс лист'!B600:G638,6,0)</f>
        <v>1700</v>
      </c>
      <c r="E273" s="837" t="n">
        <f aca="false">C273*D273</f>
        <v>14624.6713835717</v>
      </c>
      <c r="F273" s="1579"/>
      <c r="G273" s="2663" t="s">
        <v>2131</v>
      </c>
      <c r="H273" s="2664"/>
      <c r="I273" s="837" t="s">
        <v>820</v>
      </c>
      <c r="J273" s="837" t="n">
        <f aca="false">J264*H240*IF(A273='Прайс лист'!B600,0,1)</f>
        <v>105.780913567754</v>
      </c>
      <c r="K273" s="2642" t="n">
        <f aca="false">'Прайс лист'!G1566</f>
        <v>200</v>
      </c>
      <c r="L273" s="837" t="n">
        <f aca="false">J273*K273</f>
        <v>21156.1827135508</v>
      </c>
      <c r="M273" s="1579"/>
      <c r="N273" s="1579"/>
      <c r="O273" s="1579"/>
      <c r="P273" s="1579"/>
      <c r="Q273" s="1579"/>
      <c r="R273" s="1579"/>
      <c r="S273" s="1579"/>
      <c r="T273" s="1579"/>
      <c r="U273" s="1579"/>
    </row>
    <row r="274" customFormat="false" ht="15" hidden="false" customHeight="true" outlineLevel="1" collapsed="false">
      <c r="A274" s="837" t="str">
        <f aca="false">'Прайс лист'!B956</f>
        <v>Металлочерепица</v>
      </c>
      <c r="B274" s="837" t="s">
        <v>820</v>
      </c>
      <c r="C274" s="837" t="n">
        <f aca="false">C247*G240*C244</f>
        <v>105.780913567754</v>
      </c>
      <c r="D274" s="837" t="n">
        <f aca="false">'Прайс лист'!G956</f>
        <v>250</v>
      </c>
      <c r="E274" s="837" t="n">
        <f aca="false">C274*D274</f>
        <v>26445.2283919385</v>
      </c>
      <c r="F274" s="1579"/>
      <c r="G274" s="2663" t="s">
        <v>2134</v>
      </c>
      <c r="H274" s="2664"/>
      <c r="I274" s="837" t="s">
        <v>820</v>
      </c>
      <c r="J274" s="876" t="n">
        <f aca="false">C275*H240</f>
        <v>18</v>
      </c>
      <c r="K274" s="2642" t="n">
        <f aca="false">'Прайс лист'!G1569</f>
        <v>100</v>
      </c>
      <c r="L274" s="837" t="n">
        <f aca="false">J274*K274</f>
        <v>1800</v>
      </c>
      <c r="M274" s="1579"/>
      <c r="N274" s="1579"/>
      <c r="O274" s="1579"/>
      <c r="P274" s="1579"/>
      <c r="Q274" s="1579"/>
      <c r="R274" s="1579"/>
      <c r="S274" s="1579"/>
      <c r="T274" s="1579"/>
      <c r="U274" s="1579"/>
    </row>
    <row r="275" customFormat="false" ht="15" hidden="false" customHeight="true" outlineLevel="1" collapsed="false">
      <c r="A275" s="837" t="str">
        <f aca="false">'Прайс лист'!B969</f>
        <v>Карнизная планка</v>
      </c>
      <c r="B275" s="837" t="s">
        <v>15</v>
      </c>
      <c r="C275" s="837" t="n">
        <f aca="false">C248*2*G240*C244</f>
        <v>18</v>
      </c>
      <c r="D275" s="837" t="n">
        <f aca="false">'Прайс лист'!G969</f>
        <v>190</v>
      </c>
      <c r="E275" s="837" t="n">
        <f aca="false">C275*D275</f>
        <v>3420</v>
      </c>
      <c r="F275" s="1579"/>
      <c r="G275" s="2663" t="s">
        <v>2135</v>
      </c>
      <c r="H275" s="2664"/>
      <c r="I275" s="837" t="s">
        <v>820</v>
      </c>
      <c r="J275" s="876" t="n">
        <f aca="false">C276*H240</f>
        <v>23.5068696817231</v>
      </c>
      <c r="K275" s="2642" t="n">
        <f aca="false">'Прайс лист'!G1570</f>
        <v>100</v>
      </c>
      <c r="L275" s="837" t="n">
        <f aca="false">J275*K275</f>
        <v>2350.68696817231</v>
      </c>
      <c r="M275" s="1579"/>
      <c r="N275" s="1579"/>
      <c r="O275" s="1579"/>
      <c r="P275" s="1579"/>
      <c r="Q275" s="1579"/>
      <c r="R275" s="1579"/>
      <c r="S275" s="1579"/>
      <c r="T275" s="1579"/>
      <c r="U275" s="1579"/>
    </row>
    <row r="276" customFormat="false" ht="15" hidden="false" customHeight="true" outlineLevel="1" collapsed="false">
      <c r="A276" s="837" t="str">
        <f aca="false">'Прайс лист'!B970</f>
        <v>Торцевая планка</v>
      </c>
      <c r="B276" s="837" t="s">
        <v>15</v>
      </c>
      <c r="C276" s="837" t="n">
        <f aca="false">C249*4*G240*C244</f>
        <v>23.5068696817231</v>
      </c>
      <c r="D276" s="837" t="n">
        <f aca="false">'Прайс лист'!G970</f>
        <v>190</v>
      </c>
      <c r="E276" s="837" t="n">
        <f aca="false">C276*D276</f>
        <v>4466.30523952739</v>
      </c>
      <c r="F276" s="1579"/>
      <c r="G276" s="649" t="str">
        <f aca="false">'Прайс лист'!B1575</f>
        <v>конек</v>
      </c>
      <c r="H276" s="647"/>
      <c r="I276" s="647" t="s">
        <v>15</v>
      </c>
      <c r="J276" s="647" t="n">
        <f aca="false">C248*(C244+C245+C246)</f>
        <v>9</v>
      </c>
      <c r="K276" s="649" t="n">
        <f aca="false">'Прайс лист'!G1575</f>
        <v>300</v>
      </c>
      <c r="L276" s="837" t="n">
        <f aca="false">J276*K276</f>
        <v>2700</v>
      </c>
      <c r="M276" s="1579"/>
      <c r="N276" s="1579"/>
      <c r="O276" s="1579"/>
      <c r="P276" s="1579"/>
      <c r="Q276" s="1579"/>
      <c r="R276" s="1579"/>
      <c r="S276" s="1579"/>
      <c r="T276" s="1579"/>
      <c r="U276" s="1579"/>
    </row>
    <row r="277" customFormat="false" ht="15" hidden="false" customHeight="true" outlineLevel="1" collapsed="false">
      <c r="A277" s="837" t="str">
        <f aca="false">'Прайс лист'!B971</f>
        <v>Конек</v>
      </c>
      <c r="B277" s="837" t="s">
        <v>15</v>
      </c>
      <c r="C277" s="837" t="n">
        <f aca="false">C248*G240*C244</f>
        <v>9</v>
      </c>
      <c r="D277" s="837" t="n">
        <f aca="false">'Прайс лист'!G971</f>
        <v>200</v>
      </c>
      <c r="E277" s="837" t="n">
        <f aca="false">C277*D277</f>
        <v>1800</v>
      </c>
      <c r="F277" s="1579"/>
      <c r="G277" s="2632" t="s">
        <v>2137</v>
      </c>
      <c r="H277" s="2633"/>
      <c r="I277" s="837" t="s">
        <v>15</v>
      </c>
      <c r="J277" s="876" t="n">
        <f aca="false">C297*H240</f>
        <v>18</v>
      </c>
      <c r="K277" s="2642" t="n">
        <f aca="false">'Прайс лист'!G1572</f>
        <v>300</v>
      </c>
      <c r="L277" s="837" t="n">
        <f aca="false">J277*K277</f>
        <v>5400</v>
      </c>
      <c r="M277" s="1580"/>
      <c r="N277" s="1580"/>
      <c r="O277" s="1580"/>
      <c r="P277" s="1580"/>
      <c r="Q277" s="1580"/>
      <c r="R277" s="1580"/>
      <c r="S277" s="1580"/>
      <c r="T277" s="1580"/>
      <c r="U277" s="1580"/>
    </row>
    <row r="278" customFormat="false" ht="15" hidden="false" customHeight="true" outlineLevel="1" collapsed="false">
      <c r="A278" s="837" t="s">
        <v>2919</v>
      </c>
      <c r="B278" s="837" t="s">
        <v>820</v>
      </c>
      <c r="C278" s="837" t="n">
        <f aca="false">C247*1.1*G240*C245</f>
        <v>0</v>
      </c>
      <c r="D278" s="837" t="n">
        <f aca="false">'Прайс лист'!G968</f>
        <v>180</v>
      </c>
      <c r="E278" s="837" t="n">
        <f aca="false">C278*D278</f>
        <v>0</v>
      </c>
      <c r="F278" s="1579"/>
      <c r="G278" s="2632" t="s">
        <v>1728</v>
      </c>
      <c r="H278" s="2633"/>
      <c r="I278" s="837" t="s">
        <v>15</v>
      </c>
      <c r="J278" s="876" t="n">
        <f aca="false">C299*H240</f>
        <v>10.8</v>
      </c>
      <c r="K278" s="2642" t="n">
        <f aca="false">'Прайс лист'!G1573</f>
        <v>300</v>
      </c>
      <c r="L278" s="837" t="n">
        <f aca="false">J278*K278</f>
        <v>3240</v>
      </c>
      <c r="M278" s="1580"/>
      <c r="N278" s="1580"/>
      <c r="O278" s="1580"/>
      <c r="P278" s="1580"/>
      <c r="Q278" s="1580"/>
      <c r="R278" s="1580"/>
      <c r="S278" s="1580"/>
      <c r="T278" s="1580"/>
      <c r="U278" s="1580"/>
    </row>
    <row r="279" customFormat="false" ht="15" hidden="false" customHeight="true" outlineLevel="1" collapsed="false">
      <c r="A279" s="649" t="str">
        <f aca="false">'Прайс лист'!B969</f>
        <v>Карнизная планка</v>
      </c>
      <c r="B279" s="647" t="s">
        <v>15</v>
      </c>
      <c r="C279" s="647" t="n">
        <f aca="false">C248*2*G240*C245</f>
        <v>0</v>
      </c>
      <c r="D279" s="837" t="n">
        <f aca="false">'Прайс лист'!G969</f>
        <v>190</v>
      </c>
      <c r="E279" s="837" t="n">
        <f aca="false">C279*D279</f>
        <v>0</v>
      </c>
      <c r="F279" s="1579"/>
      <c r="G279" s="767" t="str">
        <f aca="false">'Прайс лист'!B1576</f>
        <v>Монтаж фанеры/osb</v>
      </c>
      <c r="H279" s="767"/>
      <c r="I279" s="2587" t="s">
        <v>820</v>
      </c>
      <c r="J279" s="876" t="n">
        <f aca="false">C286/1.1*IF(A286='Прайс лист'!B863,0,1)</f>
        <v>0</v>
      </c>
      <c r="K279" s="2642" t="n">
        <f aca="false">'Прайс лист'!G1576</f>
        <v>200</v>
      </c>
      <c r="L279" s="837" t="n">
        <f aca="false">J279*K279</f>
        <v>0</v>
      </c>
      <c r="M279" s="1580"/>
      <c r="N279" s="1580"/>
      <c r="O279" s="1580"/>
      <c r="P279" s="1580"/>
      <c r="Q279" s="1580"/>
      <c r="R279" s="1580"/>
      <c r="S279" s="1580"/>
      <c r="T279" s="1580"/>
      <c r="U279" s="1580"/>
    </row>
    <row r="280" customFormat="false" ht="15" hidden="false" customHeight="true" outlineLevel="1" collapsed="false">
      <c r="A280" s="649" t="str">
        <f aca="false">'Прайс лист'!B970</f>
        <v>Торцевая планка</v>
      </c>
      <c r="B280" s="837" t="s">
        <v>15</v>
      </c>
      <c r="C280" s="837" t="n">
        <f aca="false">C249*4*G240*C245</f>
        <v>0</v>
      </c>
      <c r="D280" s="837" t="n">
        <f aca="false">'Прайс лист'!G970</f>
        <v>190</v>
      </c>
      <c r="E280" s="837" t="n">
        <f aca="false">C280*D280</f>
        <v>0</v>
      </c>
      <c r="F280" s="1579"/>
      <c r="G280" s="767" t="str">
        <f aca="false">'Прайс лист'!B1577</f>
        <v>монтаж подкладочного ковра</v>
      </c>
      <c r="H280" s="647"/>
      <c r="I280" s="647" t="s">
        <v>820</v>
      </c>
      <c r="J280" s="649" t="n">
        <f aca="false">C289/1.1</f>
        <v>0</v>
      </c>
      <c r="K280" s="2642" t="n">
        <f aca="false">'Прайс лист'!G1577</f>
        <v>150</v>
      </c>
      <c r="L280" s="837" t="n">
        <f aca="false">J280*K280</f>
        <v>0</v>
      </c>
      <c r="M280" s="1580"/>
      <c r="N280" s="1580"/>
      <c r="O280" s="1580"/>
      <c r="P280" s="1580"/>
      <c r="Q280" s="1580"/>
      <c r="R280" s="1580"/>
      <c r="S280" s="1580"/>
      <c r="T280" s="1580"/>
      <c r="U280" s="1580"/>
    </row>
    <row r="281" customFormat="false" ht="15" hidden="false" customHeight="true" outlineLevel="1" collapsed="false">
      <c r="A281" s="649" t="str">
        <f aca="false">'Прайс лист'!B971</f>
        <v>Конек</v>
      </c>
      <c r="B281" s="837" t="s">
        <v>2013</v>
      </c>
      <c r="C281" s="837" t="n">
        <f aca="false">C248*G240*C245</f>
        <v>0</v>
      </c>
      <c r="D281" s="837" t="n">
        <f aca="false">'Прайс лист'!G971</f>
        <v>200</v>
      </c>
      <c r="E281" s="837" t="n">
        <f aca="false">C281*D281</f>
        <v>0</v>
      </c>
      <c r="F281" s="1579"/>
      <c r="G281" s="767" t="str">
        <f aca="false">'Прайс лист'!B1578</f>
        <v>Монтаж мягкой кровли</v>
      </c>
      <c r="H281" s="647"/>
      <c r="I281" s="647" t="s">
        <v>820</v>
      </c>
      <c r="J281" s="649" t="n">
        <f aca="false">C287/1.1</f>
        <v>0</v>
      </c>
      <c r="K281" s="2642" t="n">
        <f aca="false">'Прайс лист'!G1578</f>
        <v>350</v>
      </c>
      <c r="L281" s="837" t="n">
        <f aca="false">J281*K281</f>
        <v>0</v>
      </c>
      <c r="M281" s="1580"/>
      <c r="N281" s="1580"/>
      <c r="O281" s="1580"/>
      <c r="P281" s="1580"/>
      <c r="Q281" s="1580"/>
      <c r="R281" s="1580"/>
      <c r="S281" s="1580"/>
      <c r="T281" s="1580"/>
      <c r="U281" s="1580"/>
    </row>
    <row r="282" customFormat="false" ht="15" hidden="false" customHeight="true" outlineLevel="1" collapsed="false">
      <c r="A282" s="649" t="str">
        <f aca="false">'Прайс лист'!B972</f>
        <v>Ендова нижняя</v>
      </c>
      <c r="B282" s="837" t="s">
        <v>15</v>
      </c>
      <c r="C282" s="837"/>
      <c r="D282" s="837" t="n">
        <f aca="false">'Прайс лист'!G972</f>
        <v>160</v>
      </c>
      <c r="E282" s="837" t="n">
        <f aca="false">C282*D282</f>
        <v>0</v>
      </c>
      <c r="F282" s="1579"/>
      <c r="M282" s="1580"/>
      <c r="N282" s="1580"/>
      <c r="O282" s="1580"/>
      <c r="P282" s="1580"/>
      <c r="Q282" s="1580"/>
      <c r="R282" s="1580"/>
      <c r="S282" s="1580"/>
      <c r="T282" s="1580"/>
      <c r="U282" s="1580"/>
    </row>
    <row r="283" customFormat="false" ht="15" hidden="false" customHeight="true" outlineLevel="1" collapsed="false">
      <c r="A283" s="649" t="str">
        <f aca="false">'Прайс лист'!B973</f>
        <v>Ендова верхняя</v>
      </c>
      <c r="B283" s="837" t="s">
        <v>15</v>
      </c>
      <c r="C283" s="837"/>
      <c r="D283" s="837" t="n">
        <f aca="false">'Прайс лист'!G973</f>
        <v>190</v>
      </c>
      <c r="E283" s="837" t="n">
        <f aca="false">C283*D283</f>
        <v>0</v>
      </c>
      <c r="F283" s="1579"/>
      <c r="M283" s="1580"/>
      <c r="N283" s="1580"/>
      <c r="O283" s="1580"/>
      <c r="P283" s="1580"/>
      <c r="Q283" s="1580"/>
      <c r="R283" s="1580"/>
      <c r="S283" s="1580"/>
      <c r="T283" s="1580"/>
      <c r="U283" s="1580"/>
    </row>
    <row r="284" customFormat="false" ht="15" hidden="false" customHeight="true" outlineLevel="1" collapsed="false">
      <c r="A284" s="649" t="str">
        <f aca="false">'Прайс лист'!B974</f>
        <v>Планка примыкания</v>
      </c>
      <c r="B284" s="837" t="s">
        <v>15</v>
      </c>
      <c r="C284" s="837"/>
      <c r="D284" s="837" t="n">
        <f aca="false">'Прайс лист'!G974</f>
        <v>190</v>
      </c>
      <c r="E284" s="837" t="n">
        <f aca="false">C284*D284</f>
        <v>0</v>
      </c>
      <c r="F284" s="1579"/>
      <c r="M284" s="1580"/>
      <c r="N284" s="1580"/>
      <c r="O284" s="1580"/>
      <c r="P284" s="1580"/>
      <c r="Q284" s="1580"/>
      <c r="R284" s="1580"/>
      <c r="S284" s="1580"/>
      <c r="T284" s="1580"/>
      <c r="U284" s="1580"/>
    </row>
    <row r="285" customFormat="false" ht="15" hidden="false" customHeight="true" outlineLevel="1" collapsed="false">
      <c r="A285" s="649" t="str">
        <f aca="false">'Прайс лист'!B975</f>
        <v>Крепеж для ондулина</v>
      </c>
      <c r="B285" s="837" t="s">
        <v>48</v>
      </c>
      <c r="C285" s="837" t="n">
        <f aca="false">C247*12*C245*G240</f>
        <v>0</v>
      </c>
      <c r="D285" s="837" t="n">
        <f aca="false">'Прайс лист'!G975</f>
        <v>4.5</v>
      </c>
      <c r="E285" s="837" t="n">
        <f aca="false">C285*D285</f>
        <v>0</v>
      </c>
      <c r="F285" s="1579"/>
      <c r="M285" s="1580"/>
      <c r="N285" s="1580"/>
      <c r="O285" s="1580"/>
      <c r="P285" s="1580"/>
      <c r="Q285" s="1580"/>
      <c r="R285" s="1580"/>
      <c r="S285" s="1580"/>
      <c r="T285" s="1580"/>
      <c r="U285" s="1580"/>
    </row>
    <row r="286" customFormat="false" ht="15" hidden="false" customHeight="true" outlineLevel="1" collapsed="false">
      <c r="A286" s="649" t="str">
        <f aca="false">'Ввод данных'!A312</f>
        <v>нет</v>
      </c>
      <c r="B286" s="837" t="s">
        <v>820</v>
      </c>
      <c r="C286" s="837" t="n">
        <f aca="false">C248*C249*2*1.1*G240</f>
        <v>116.359004924529</v>
      </c>
      <c r="D286" s="837" t="n">
        <f aca="false">VLOOKUP(A286,'Прайс лист'!B863:G907,6,0)</f>
        <v>0</v>
      </c>
      <c r="E286" s="837" t="n">
        <f aca="false">C286*D286</f>
        <v>0</v>
      </c>
      <c r="F286" s="1579"/>
      <c r="M286" s="1580"/>
      <c r="N286" s="1580"/>
      <c r="O286" s="1580"/>
      <c r="P286" s="1580"/>
      <c r="Q286" s="1580"/>
      <c r="R286" s="1580"/>
      <c r="S286" s="1580"/>
      <c r="T286" s="1580"/>
      <c r="U286" s="1580"/>
    </row>
    <row r="287" customFormat="false" ht="15" hidden="false" customHeight="true" outlineLevel="1" collapsed="false">
      <c r="A287" s="649" t="str">
        <f aca="false">'Прайс лист'!B980</f>
        <v>Рядовая черепица</v>
      </c>
      <c r="B287" s="649" t="str">
        <f aca="false">'Прайс лист'!C980</f>
        <v>м2</v>
      </c>
      <c r="C287" s="837" t="n">
        <f aca="false">(C247-C248*2*0.2)*G240*C246</f>
        <v>0</v>
      </c>
      <c r="D287" s="837" t="n">
        <f aca="false">'Прайс лист'!G980</f>
        <v>360</v>
      </c>
      <c r="E287" s="837" t="n">
        <f aca="false">C287*D287</f>
        <v>0</v>
      </c>
      <c r="F287" s="1579"/>
      <c r="M287" s="1580"/>
      <c r="N287" s="1580"/>
      <c r="O287" s="1580"/>
      <c r="P287" s="1580"/>
      <c r="Q287" s="1580"/>
      <c r="R287" s="1580"/>
      <c r="S287" s="1580"/>
      <c r="T287" s="1580"/>
      <c r="U287" s="1580"/>
    </row>
    <row r="288" customFormat="false" ht="15" hidden="false" customHeight="true" outlineLevel="1" collapsed="false">
      <c r="A288" s="649" t="str">
        <f aca="false">'Прайс лист'!B981</f>
        <v>Металл оцинк защита (карниз)</v>
      </c>
      <c r="B288" s="649" t="str">
        <f aca="false">'Прайс лист'!C981</f>
        <v>м.п.</v>
      </c>
      <c r="C288" s="837" t="n">
        <f aca="false">(C248+C248+C249*4)*C246*G240</f>
        <v>0</v>
      </c>
      <c r="D288" s="837" t="n">
        <f aca="false">'Прайс лист'!G981</f>
        <v>200</v>
      </c>
      <c r="E288" s="837" t="n">
        <f aca="false">C288*D288</f>
        <v>0</v>
      </c>
      <c r="F288" s="1579"/>
      <c r="M288" s="1580"/>
      <c r="N288" s="1580"/>
      <c r="O288" s="1580"/>
      <c r="P288" s="1580"/>
      <c r="Q288" s="1580"/>
      <c r="R288" s="1580"/>
      <c r="S288" s="1580"/>
      <c r="T288" s="1580"/>
      <c r="U288" s="1580"/>
    </row>
    <row r="289" customFormat="false" ht="15" hidden="false" customHeight="true" outlineLevel="1" collapsed="false">
      <c r="A289" s="649" t="str">
        <f aca="false">'Прайс лист'!B982</f>
        <v>Подкладочный ковер</v>
      </c>
      <c r="B289" s="649" t="str">
        <f aca="false">'Прайс лист'!C982</f>
        <v>м.п.</v>
      </c>
      <c r="C289" s="837" t="n">
        <f aca="false">C247*G240*C246</f>
        <v>0</v>
      </c>
      <c r="D289" s="837" t="n">
        <f aca="false">'Прайс лист'!G982</f>
        <v>220</v>
      </c>
      <c r="E289" s="837" t="n">
        <f aca="false">C289*D289</f>
        <v>0</v>
      </c>
      <c r="F289" s="1579"/>
      <c r="M289" s="1580"/>
      <c r="N289" s="1580"/>
      <c r="O289" s="1580"/>
      <c r="P289" s="1580"/>
      <c r="Q289" s="1580"/>
      <c r="R289" s="1580"/>
      <c r="S289" s="1580"/>
      <c r="T289" s="1580"/>
      <c r="U289" s="1580"/>
    </row>
    <row r="290" customFormat="false" ht="15" hidden="false" customHeight="true" outlineLevel="1" collapsed="false">
      <c r="A290" s="649" t="str">
        <f aca="false">'Прайс лист'!B983</f>
        <v>Карнизная самоклеющаяся черепица</v>
      </c>
      <c r="B290" s="649" t="str">
        <f aca="false">'Прайс лист'!C983</f>
        <v>м.п.</v>
      </c>
      <c r="C290" s="837" t="n">
        <f aca="false">C248*2*C246*G240</f>
        <v>0</v>
      </c>
      <c r="D290" s="837" t="n">
        <f aca="false">'Прайс лист'!G983</f>
        <v>220</v>
      </c>
      <c r="E290" s="837" t="n">
        <f aca="false">C290*D290</f>
        <v>0</v>
      </c>
      <c r="F290" s="1579"/>
      <c r="M290" s="1580"/>
      <c r="N290" s="1580"/>
      <c r="O290" s="1580"/>
      <c r="P290" s="1580"/>
      <c r="Q290" s="1580"/>
      <c r="R290" s="1580"/>
      <c r="S290" s="1580"/>
      <c r="T290" s="1580"/>
      <c r="U290" s="1580"/>
    </row>
    <row r="291" customFormat="false" ht="15" hidden="false" customHeight="true" outlineLevel="1" collapsed="false">
      <c r="A291" s="649" t="str">
        <f aca="false">'Прайс лист'!B984</f>
        <v>Спец ковер ендова нижняя</v>
      </c>
      <c r="B291" s="649" t="str">
        <f aca="false">'Прайс лист'!C984</f>
        <v>м.п.</v>
      </c>
      <c r="C291" s="837"/>
      <c r="D291" s="837" t="n">
        <f aca="false">'Прайс лист'!G984</f>
        <v>200</v>
      </c>
      <c r="E291" s="837" t="n">
        <f aca="false">C291*D291</f>
        <v>0</v>
      </c>
      <c r="F291" s="1579"/>
      <c r="M291" s="1580"/>
      <c r="N291" s="1580"/>
      <c r="O291" s="1580"/>
      <c r="P291" s="1580"/>
      <c r="Q291" s="1580"/>
      <c r="R291" s="1580"/>
      <c r="S291" s="1580"/>
      <c r="T291" s="1580"/>
      <c r="U291" s="1580"/>
    </row>
    <row r="292" customFormat="false" ht="15" hidden="false" customHeight="true" outlineLevel="1" collapsed="false">
      <c r="A292" s="649" t="str">
        <f aca="false">'Прайс лист'!B985</f>
        <v>Коньковой элемент</v>
      </c>
      <c r="B292" s="649" t="str">
        <f aca="false">'Прайс лист'!C985</f>
        <v>м.п.</v>
      </c>
      <c r="C292" s="837" t="n">
        <f aca="false">C248*1.05*C246*G240</f>
        <v>0</v>
      </c>
      <c r="D292" s="837" t="n">
        <f aca="false">'Прайс лист'!G985</f>
        <v>250</v>
      </c>
      <c r="E292" s="837" t="n">
        <f aca="false">C292*D292</f>
        <v>0</v>
      </c>
      <c r="F292" s="1579"/>
      <c r="M292" s="1580"/>
      <c r="N292" s="1580"/>
      <c r="O292" s="1580"/>
      <c r="P292" s="1580"/>
      <c r="Q292" s="1580"/>
      <c r="R292" s="1580"/>
      <c r="S292" s="1580"/>
      <c r="T292" s="1580"/>
      <c r="U292" s="1580"/>
    </row>
    <row r="293" customFormat="false" ht="15" hidden="false" customHeight="true" outlineLevel="1" collapsed="false">
      <c r="A293" s="649" t="str">
        <f aca="false">'Прайс лист'!B986</f>
        <v>Планка премыкания</v>
      </c>
      <c r="B293" s="649" t="str">
        <f aca="false">'Прайс лист'!C986</f>
        <v>м.п.</v>
      </c>
      <c r="C293" s="837"/>
      <c r="D293" s="837" t="n">
        <f aca="false">'Прайс лист'!G986</f>
        <v>200</v>
      </c>
      <c r="E293" s="837" t="n">
        <f aca="false">C293*D293</f>
        <v>0</v>
      </c>
      <c r="F293" s="1579"/>
      <c r="M293" s="1580"/>
      <c r="N293" s="1580"/>
      <c r="O293" s="1580"/>
      <c r="P293" s="1580"/>
      <c r="Q293" s="1580"/>
      <c r="R293" s="1580"/>
      <c r="S293" s="1580"/>
      <c r="T293" s="1580"/>
      <c r="U293" s="1580"/>
    </row>
    <row r="294" customFormat="false" ht="15" hidden="false" customHeight="true" outlineLevel="1" collapsed="false">
      <c r="A294" s="649" t="str">
        <f aca="false">'Прайс лист'!B987</f>
        <v>Гвозди для крепления подкладочного ковра</v>
      </c>
      <c r="B294" s="649" t="str">
        <f aca="false">'Прайс лист'!C987</f>
        <v>шт</v>
      </c>
      <c r="C294" s="837" t="n">
        <f aca="false">C289*10*G240</f>
        <v>0</v>
      </c>
      <c r="D294" s="837" t="n">
        <f aca="false">'Прайс лист'!G987</f>
        <v>0.012</v>
      </c>
      <c r="E294" s="837" t="n">
        <f aca="false">C294*D294</f>
        <v>0</v>
      </c>
      <c r="F294" s="1579"/>
      <c r="M294" s="1580"/>
      <c r="N294" s="1580"/>
      <c r="O294" s="1580"/>
      <c r="P294" s="1580"/>
      <c r="Q294" s="1580"/>
      <c r="R294" s="1580"/>
      <c r="S294" s="1580"/>
      <c r="T294" s="1580"/>
      <c r="U294" s="1580"/>
    </row>
    <row r="295" customFormat="false" ht="15" hidden="false" customHeight="true" outlineLevel="1" collapsed="false">
      <c r="A295" s="649" t="str">
        <f aca="false">'Прайс лист'!B988</f>
        <v>Гвозди для крепления черепицы</v>
      </c>
      <c r="B295" s="649" t="str">
        <f aca="false">'Прайс лист'!C988</f>
        <v>шт</v>
      </c>
      <c r="C295" s="837" t="n">
        <f aca="false">C287*50*G240</f>
        <v>0</v>
      </c>
      <c r="D295" s="837" t="n">
        <f aca="false">'Прайс лист'!G988</f>
        <v>0.25</v>
      </c>
      <c r="E295" s="837" t="n">
        <f aca="false">C295*D295</f>
        <v>0</v>
      </c>
      <c r="F295" s="1579"/>
      <c r="M295" s="1580"/>
      <c r="N295" s="1580"/>
      <c r="O295" s="1580"/>
      <c r="P295" s="1580"/>
      <c r="Q295" s="1580"/>
      <c r="R295" s="1580"/>
      <c r="S295" s="1580"/>
      <c r="T295" s="1580"/>
      <c r="U295" s="1580"/>
    </row>
    <row r="296" customFormat="false" ht="15" hidden="false" customHeight="true" outlineLevel="1" collapsed="false">
      <c r="A296" s="649" t="str">
        <f aca="false">'Прайс лист'!B989</f>
        <v>Клей для монтажа черепицы</v>
      </c>
      <c r="B296" s="649" t="str">
        <f aca="false">'Прайс лист'!C989</f>
        <v>кг</v>
      </c>
      <c r="C296" s="837" t="n">
        <f aca="false">C289*G240</f>
        <v>0</v>
      </c>
      <c r="D296" s="837" t="n">
        <f aca="false">'Прайс лист'!G989</f>
        <v>250</v>
      </c>
      <c r="E296" s="837" t="n">
        <f aca="false">C296*D296</f>
        <v>0</v>
      </c>
      <c r="F296" s="1579"/>
      <c r="M296" s="1580"/>
      <c r="N296" s="1580"/>
      <c r="O296" s="1580"/>
      <c r="P296" s="1580"/>
      <c r="Q296" s="1580"/>
      <c r="R296" s="1580"/>
      <c r="S296" s="1580"/>
      <c r="T296" s="1580"/>
      <c r="U296" s="1580"/>
    </row>
    <row r="297" customFormat="false" ht="15" hidden="false" customHeight="true" outlineLevel="1" collapsed="false">
      <c r="A297" s="837" t="str">
        <f aca="false">'Прайс лист'!B994</f>
        <v>желоб</v>
      </c>
      <c r="B297" s="837" t="s">
        <v>2013</v>
      </c>
      <c r="C297" s="837" t="n">
        <f aca="false">C248*2*G240</f>
        <v>18</v>
      </c>
      <c r="D297" s="837" t="n">
        <f aca="false">'Прайс лист'!G994</f>
        <v>300</v>
      </c>
      <c r="E297" s="837" t="n">
        <f aca="false">C297*D297</f>
        <v>5400</v>
      </c>
      <c r="F297" s="1579"/>
      <c r="G297" s="739"/>
      <c r="H297" s="739"/>
      <c r="I297" s="837"/>
      <c r="J297" s="876"/>
      <c r="K297" s="2642"/>
      <c r="L297" s="837"/>
      <c r="M297" s="1580"/>
      <c r="N297" s="1580"/>
      <c r="O297" s="1580"/>
      <c r="P297" s="1580"/>
      <c r="Q297" s="1580"/>
      <c r="R297" s="1580"/>
      <c r="S297" s="1580"/>
      <c r="T297" s="1580"/>
      <c r="U297" s="1580"/>
    </row>
    <row r="298" customFormat="false" ht="15" hidden="false" customHeight="true" outlineLevel="1" collapsed="false">
      <c r="A298" s="837" t="str">
        <f aca="false">'Прайс лист'!B995</f>
        <v>отвод</v>
      </c>
      <c r="B298" s="837" t="s">
        <v>48</v>
      </c>
      <c r="C298" s="837" t="n">
        <v>4</v>
      </c>
      <c r="D298" s="837" t="n">
        <f aca="false">'Прайс лист'!G995</f>
        <v>250</v>
      </c>
      <c r="E298" s="837" t="n">
        <f aca="false">C298*D298</f>
        <v>1000</v>
      </c>
      <c r="F298" s="1579"/>
      <c r="G298" s="739"/>
      <c r="H298" s="739"/>
      <c r="I298" s="837"/>
      <c r="J298" s="876"/>
      <c r="K298" s="2642"/>
      <c r="L298" s="837"/>
      <c r="M298" s="1580"/>
      <c r="N298" s="1580"/>
      <c r="O298" s="1580"/>
      <c r="P298" s="1580"/>
      <c r="Q298" s="1580"/>
      <c r="R298" s="1580"/>
      <c r="S298" s="1580"/>
      <c r="T298" s="1580"/>
      <c r="U298" s="1580"/>
    </row>
    <row r="299" customFormat="false" ht="15" hidden="false" customHeight="true" outlineLevel="1" collapsed="false">
      <c r="A299" s="837" t="str">
        <f aca="false">'Прайс лист'!B996</f>
        <v>труба водосточная</v>
      </c>
      <c r="B299" s="837" t="s">
        <v>15</v>
      </c>
      <c r="C299" s="837" t="n">
        <f aca="false">(E236+F236+1)*2*G240</f>
        <v>10.8</v>
      </c>
      <c r="D299" s="837" t="n">
        <f aca="false">'Прайс лист'!G996</f>
        <v>300</v>
      </c>
      <c r="E299" s="837" t="n">
        <f aca="false">C299*D299</f>
        <v>3240</v>
      </c>
      <c r="F299" s="1579"/>
      <c r="G299" s="739"/>
      <c r="H299" s="739"/>
      <c r="I299" s="837"/>
      <c r="J299" s="876"/>
      <c r="K299" s="2642"/>
      <c r="L299" s="837"/>
      <c r="M299" s="1580"/>
      <c r="N299" s="1580"/>
      <c r="O299" s="1580"/>
      <c r="P299" s="1580"/>
      <c r="Q299" s="1580"/>
      <c r="R299" s="1580"/>
      <c r="S299" s="1580"/>
      <c r="T299" s="1580"/>
      <c r="U299" s="1580"/>
    </row>
    <row r="300" customFormat="false" ht="15" hidden="false" customHeight="true" outlineLevel="1" collapsed="false">
      <c r="A300" s="837" t="str">
        <f aca="false">'Прайс лист'!B997</f>
        <v>заглушка для желоба</v>
      </c>
      <c r="B300" s="837" t="s">
        <v>48</v>
      </c>
      <c r="C300" s="837" t="n">
        <v>4</v>
      </c>
      <c r="D300" s="837" t="n">
        <f aca="false">'Прайс лист'!G997</f>
        <v>190</v>
      </c>
      <c r="E300" s="837" t="n">
        <f aca="false">C300*D300</f>
        <v>760</v>
      </c>
      <c r="F300" s="1579"/>
      <c r="G300" s="739"/>
      <c r="H300" s="739"/>
      <c r="I300" s="876"/>
      <c r="J300" s="876"/>
      <c r="K300" s="2642"/>
      <c r="L300" s="837"/>
      <c r="M300" s="1580"/>
      <c r="N300" s="1580"/>
      <c r="O300" s="1580"/>
      <c r="P300" s="1580"/>
      <c r="Q300" s="1580"/>
      <c r="R300" s="1580"/>
      <c r="S300" s="1580"/>
      <c r="T300" s="1580"/>
      <c r="U300" s="1580"/>
    </row>
    <row r="301" customFormat="false" ht="15" hidden="false" customHeight="true" outlineLevel="1" collapsed="false">
      <c r="A301" s="837" t="str">
        <f aca="false">'Прайс лист'!B998</f>
        <v>соеденитель для желоба</v>
      </c>
      <c r="B301" s="837" t="s">
        <v>48</v>
      </c>
      <c r="C301" s="837" t="n">
        <f aca="false">(C248/2)*2*G240</f>
        <v>9</v>
      </c>
      <c r="D301" s="837" t="n">
        <f aca="false">'Прайс лист'!G998</f>
        <v>180</v>
      </c>
      <c r="E301" s="837" t="n">
        <f aca="false">C301*D301</f>
        <v>1620</v>
      </c>
      <c r="F301" s="1579"/>
      <c r="G301" s="739"/>
      <c r="H301" s="739"/>
      <c r="I301" s="2587"/>
      <c r="J301" s="2587"/>
      <c r="K301" s="2642"/>
      <c r="L301" s="837"/>
      <c r="M301" s="1580"/>
      <c r="N301" s="1580"/>
      <c r="O301" s="1580"/>
      <c r="P301" s="1580"/>
      <c r="Q301" s="1580"/>
      <c r="R301" s="1580"/>
      <c r="S301" s="1580"/>
      <c r="T301" s="1580"/>
      <c r="U301" s="1580"/>
    </row>
    <row r="302" customFormat="false" ht="15" hidden="false" customHeight="true" outlineLevel="1" collapsed="false">
      <c r="A302" s="837" t="str">
        <f aca="false">'Прайс лист'!B999</f>
        <v>кронштейн для желоба</v>
      </c>
      <c r="B302" s="837" t="s">
        <v>48</v>
      </c>
      <c r="C302" s="837" t="n">
        <f aca="false">(C248/0.6)*2*1.2*G240</f>
        <v>36</v>
      </c>
      <c r="D302" s="837" t="n">
        <f aca="false">'Прайс лист'!G999</f>
        <v>130</v>
      </c>
      <c r="E302" s="837" t="n">
        <f aca="false">C302*D302</f>
        <v>4680</v>
      </c>
      <c r="F302" s="1579"/>
      <c r="G302" s="739"/>
      <c r="H302" s="739"/>
      <c r="I302" s="2587"/>
      <c r="J302" s="2587"/>
      <c r="K302" s="2642"/>
      <c r="L302" s="837"/>
      <c r="M302" s="1580"/>
      <c r="N302" s="1580"/>
      <c r="O302" s="1580"/>
      <c r="P302" s="1580"/>
      <c r="Q302" s="1580"/>
      <c r="R302" s="1580"/>
      <c r="S302" s="1580"/>
      <c r="T302" s="1580"/>
      <c r="U302" s="1580"/>
    </row>
    <row r="303" customFormat="false" ht="15" hidden="false" customHeight="true" outlineLevel="1" collapsed="false">
      <c r="A303" s="837" t="str">
        <f aca="false">'Прайс лист'!B1000</f>
        <v>переход из желоба в трубу</v>
      </c>
      <c r="B303" s="837" t="s">
        <v>48</v>
      </c>
      <c r="C303" s="837" t="n">
        <v>2</v>
      </c>
      <c r="D303" s="837" t="n">
        <f aca="false">'Прайс лист'!G1000</f>
        <v>350</v>
      </c>
      <c r="E303" s="837" t="n">
        <f aca="false">C303*D303</f>
        <v>700</v>
      </c>
      <c r="F303" s="1579"/>
      <c r="G303" s="739"/>
      <c r="H303" s="739"/>
      <c r="I303" s="2587"/>
      <c r="J303" s="2587"/>
      <c r="K303" s="2642"/>
      <c r="L303" s="837"/>
      <c r="M303" s="1580"/>
      <c r="N303" s="1580"/>
      <c r="O303" s="1580"/>
      <c r="P303" s="1580"/>
      <c r="Q303" s="1580"/>
      <c r="R303" s="1580"/>
      <c r="S303" s="1580"/>
      <c r="T303" s="1580"/>
      <c r="U303" s="1580"/>
    </row>
    <row r="304" customFormat="false" ht="15" hidden="false" customHeight="true" outlineLevel="1" collapsed="false">
      <c r="A304" s="837" t="str">
        <f aca="false">'Прайс лист'!B1001</f>
        <v>лента дельта мульти бэнд</v>
      </c>
      <c r="B304" s="837" t="s">
        <v>48</v>
      </c>
      <c r="C304" s="837" t="n">
        <f aca="false">CEILING(C247/12,1)</f>
        <v>9</v>
      </c>
      <c r="D304" s="837" t="n">
        <f aca="false">'Прайс лист'!G1001</f>
        <v>1200</v>
      </c>
      <c r="E304" s="837" t="n">
        <f aca="false">C304*D304</f>
        <v>10800</v>
      </c>
      <c r="F304" s="1579"/>
      <c r="G304" s="739"/>
      <c r="H304" s="739"/>
      <c r="I304" s="2587"/>
      <c r="J304" s="2587"/>
      <c r="K304" s="2642"/>
      <c r="L304" s="837"/>
      <c r="M304" s="1580"/>
      <c r="N304" s="1580"/>
      <c r="O304" s="1580"/>
      <c r="P304" s="1580"/>
      <c r="Q304" s="1580"/>
      <c r="R304" s="1580"/>
      <c r="S304" s="1580"/>
      <c r="T304" s="1580"/>
      <c r="U304" s="1580"/>
    </row>
    <row r="305" customFormat="false" ht="15" hidden="false" customHeight="true" outlineLevel="1" collapsed="false">
      <c r="A305" s="837" t="str">
        <f aca="false">'Прайс лист'!B1002</f>
        <v>лента дельта sb-60</v>
      </c>
      <c r="B305" s="837" t="s">
        <v>48</v>
      </c>
      <c r="C305" s="837" t="n">
        <f aca="false">CEILING(C247/25,1)</f>
        <v>5</v>
      </c>
      <c r="D305" s="837" t="n">
        <f aca="false">'Прайс лист'!G1002</f>
        <v>1100</v>
      </c>
      <c r="E305" s="837" t="n">
        <f aca="false">C305*D305</f>
        <v>5500</v>
      </c>
      <c r="F305" s="1579"/>
      <c r="G305" s="739"/>
      <c r="H305" s="739"/>
      <c r="I305" s="2587"/>
      <c r="J305" s="2587"/>
      <c r="K305" s="2642"/>
      <c r="L305" s="837"/>
      <c r="M305" s="1580"/>
      <c r="N305" s="1580"/>
      <c r="O305" s="1580"/>
      <c r="P305" s="1580"/>
      <c r="Q305" s="1580"/>
      <c r="R305" s="1580"/>
      <c r="S305" s="1580"/>
      <c r="T305" s="1580"/>
      <c r="U305" s="1580"/>
    </row>
    <row r="306" customFormat="false" ht="15" hidden="false" customHeight="true" outlineLevel="1" collapsed="false">
      <c r="A306" s="837" t="str">
        <f aca="false">'Прайс лист'!B1003</f>
        <v>проходка кровельная, канализационная</v>
      </c>
      <c r="B306" s="1555" t="s">
        <v>48</v>
      </c>
      <c r="C306" s="837" t="n">
        <f aca="false">C258</f>
        <v>0</v>
      </c>
      <c r="D306" s="837" t="n">
        <f aca="false">'Прайс лист'!G1003</f>
        <v>3500</v>
      </c>
      <c r="E306" s="837" t="n">
        <f aca="false">C306*D306</f>
        <v>0</v>
      </c>
      <c r="F306" s="1579"/>
      <c r="G306" s="739"/>
      <c r="H306" s="739"/>
      <c r="I306" s="2587"/>
      <c r="J306" s="2587"/>
      <c r="K306" s="2642"/>
      <c r="L306" s="837"/>
      <c r="M306" s="1580"/>
      <c r="N306" s="1580"/>
      <c r="O306" s="1580"/>
      <c r="P306" s="1580"/>
      <c r="Q306" s="1580"/>
      <c r="R306" s="1580"/>
      <c r="S306" s="1580"/>
      <c r="T306" s="1580"/>
      <c r="U306" s="1580"/>
    </row>
    <row r="307" customFormat="false" ht="15" hidden="false" customHeight="true" outlineLevel="1" collapsed="false">
      <c r="A307" s="837" t="str">
        <f aca="false">'Прайс лист'!B1004</f>
        <v>проходка кровельная, вентиляционная</v>
      </c>
      <c r="B307" s="1555" t="s">
        <v>48</v>
      </c>
      <c r="C307" s="837" t="n">
        <f aca="false">C259</f>
        <v>0</v>
      </c>
      <c r="D307" s="837" t="n">
        <f aca="false">'Прайс лист'!G1004</f>
        <v>3500</v>
      </c>
      <c r="E307" s="837" t="n">
        <f aca="false">C307*D307</f>
        <v>0</v>
      </c>
      <c r="F307" s="1579"/>
      <c r="G307" s="739"/>
      <c r="H307" s="739"/>
      <c r="I307" s="2587"/>
      <c r="J307" s="2587"/>
      <c r="K307" s="2642"/>
      <c r="L307" s="837"/>
      <c r="M307" s="1580"/>
      <c r="N307" s="1580"/>
      <c r="O307" s="1580"/>
      <c r="P307" s="1580"/>
      <c r="Q307" s="1580"/>
      <c r="R307" s="1580"/>
      <c r="S307" s="1580"/>
      <c r="T307" s="1580"/>
      <c r="U307" s="1580"/>
    </row>
    <row r="308" customFormat="false" ht="15" hidden="false" customHeight="true" outlineLevel="1" collapsed="false">
      <c r="A308" s="837" t="str">
        <f aca="false">'Прайс лист'!B1005</f>
        <v>проодка кровельная, труба котел</v>
      </c>
      <c r="B308" s="1555" t="s">
        <v>48</v>
      </c>
      <c r="C308" s="837" t="n">
        <f aca="false">C260</f>
        <v>0</v>
      </c>
      <c r="D308" s="837" t="n">
        <f aca="false">'Прайс лист'!G1005</f>
        <v>4500</v>
      </c>
      <c r="E308" s="837" t="n">
        <f aca="false">C308*D308</f>
        <v>0</v>
      </c>
      <c r="F308" s="1579"/>
      <c r="G308" s="739"/>
      <c r="H308" s="739"/>
      <c r="I308" s="2587"/>
      <c r="J308" s="2587"/>
      <c r="K308" s="2642"/>
      <c r="L308" s="837"/>
      <c r="M308" s="1580"/>
      <c r="N308" s="1580"/>
      <c r="O308" s="1580"/>
      <c r="P308" s="1580"/>
      <c r="Q308" s="1580"/>
      <c r="R308" s="1580"/>
      <c r="S308" s="1580"/>
      <c r="T308" s="1580"/>
      <c r="U308" s="1580"/>
    </row>
    <row r="309" customFormat="false" ht="15" hidden="false" customHeight="true" outlineLevel="1" collapsed="false">
      <c r="A309" s="837" t="str">
        <f aca="false">'Прайс лист'!B963</f>
        <v>Кровельный саморез</v>
      </c>
      <c r="B309" s="837" t="s">
        <v>48</v>
      </c>
      <c r="C309" s="837" t="n">
        <f aca="false">C247*12*C244*G240</f>
        <v>1269.37096281305</v>
      </c>
      <c r="D309" s="837" t="n">
        <f aca="false">'Прайс лист'!G963</f>
        <v>2</v>
      </c>
      <c r="E309" s="837" t="n">
        <f aca="false">C309*D309</f>
        <v>2538.74192562609</v>
      </c>
      <c r="F309" s="1579"/>
      <c r="G309" s="739"/>
      <c r="H309" s="739"/>
      <c r="I309" s="2587"/>
      <c r="J309" s="2587"/>
      <c r="K309" s="2642"/>
      <c r="L309" s="837"/>
      <c r="M309" s="1580"/>
      <c r="N309" s="1580"/>
      <c r="O309" s="1580"/>
      <c r="P309" s="1580"/>
      <c r="Q309" s="1580"/>
      <c r="R309" s="1580"/>
      <c r="S309" s="1580"/>
      <c r="T309" s="1580"/>
      <c r="U309" s="1580"/>
    </row>
    <row r="310" customFormat="false" ht="15" hidden="false" customHeight="true" outlineLevel="1" collapsed="false">
      <c r="A310" s="837" t="str">
        <f aca="false">'Прайс лист'!B742</f>
        <v>Гвозди ершоные 3,4 x 60            </v>
      </c>
      <c r="B310" s="837" t="s">
        <v>434</v>
      </c>
      <c r="C310" s="837" t="n">
        <f aca="false">C268*15</f>
        <v>7.05206090451693</v>
      </c>
      <c r="D310" s="837" t="n">
        <f aca="false">'Прайс лист'!G742</f>
        <v>75.51</v>
      </c>
      <c r="E310" s="837" t="n">
        <f aca="false">C310*D310</f>
        <v>532.501118900073</v>
      </c>
      <c r="F310" s="1579"/>
      <c r="G310" s="739"/>
      <c r="H310" s="739"/>
      <c r="I310" s="2587"/>
      <c r="J310" s="2587"/>
      <c r="K310" s="2642"/>
      <c r="L310" s="837"/>
      <c r="M310" s="1580"/>
      <c r="N310" s="1580"/>
      <c r="O310" s="1580"/>
      <c r="P310" s="1580"/>
      <c r="Q310" s="1580"/>
      <c r="R310" s="1580"/>
      <c r="S310" s="1580"/>
      <c r="T310" s="1580"/>
      <c r="U310" s="1580"/>
    </row>
    <row r="311" customFormat="false" ht="15" hidden="false" customHeight="true" outlineLevel="1" collapsed="false">
      <c r="A311" s="837" t="str">
        <f aca="false">'Прайс лист'!B743</f>
        <v>Гвозди ершоные 2,8 х 90            </v>
      </c>
      <c r="B311" s="837" t="s">
        <v>434</v>
      </c>
      <c r="C311" s="837" t="n">
        <f aca="false">(C264+C265+C266)*10*G240</f>
        <v>27.322236137642</v>
      </c>
      <c r="D311" s="837" t="n">
        <f aca="false">'Прайс лист'!G743</f>
        <v>76.49</v>
      </c>
      <c r="E311" s="837" t="n">
        <f aca="false">C311*D311</f>
        <v>2089.87784216824</v>
      </c>
      <c r="F311" s="1579"/>
      <c r="G311" s="739"/>
      <c r="H311" s="739"/>
      <c r="I311" s="2587"/>
      <c r="J311" s="2587"/>
      <c r="K311" s="2642"/>
      <c r="L311" s="837"/>
      <c r="M311" s="1580"/>
      <c r="N311" s="1580"/>
      <c r="O311" s="1580"/>
      <c r="P311" s="1580"/>
      <c r="Q311" s="1580"/>
      <c r="R311" s="1580"/>
      <c r="S311" s="1580"/>
      <c r="T311" s="1580"/>
      <c r="U311" s="1580"/>
    </row>
    <row r="312" customFormat="false" ht="15" hidden="false" customHeight="true" outlineLevel="1" collapsed="false">
      <c r="A312" s="837" t="str">
        <f aca="false">'Прайс лист'!B699</f>
        <v>Пластина соеденительная 100х240х2           </v>
      </c>
      <c r="B312" s="837" t="s">
        <v>48</v>
      </c>
      <c r="C312" s="2636" t="n">
        <f aca="false">((C248/0.6)+1)*2</f>
        <v>32</v>
      </c>
      <c r="D312" s="837" t="n">
        <f aca="false">'Прайс лист'!G699</f>
        <v>31.54</v>
      </c>
      <c r="E312" s="837" t="n">
        <f aca="false">C312*D312</f>
        <v>1009.28</v>
      </c>
      <c r="F312" s="1579"/>
      <c r="G312" s="739"/>
      <c r="H312" s="739"/>
      <c r="I312" s="2587"/>
      <c r="J312" s="2587"/>
      <c r="K312" s="2642"/>
      <c r="L312" s="837"/>
      <c r="M312" s="1580"/>
      <c r="N312" s="1580"/>
      <c r="O312" s="1580"/>
      <c r="P312" s="1580"/>
      <c r="Q312" s="1580"/>
      <c r="R312" s="1580"/>
      <c r="S312" s="1580"/>
      <c r="T312" s="1580"/>
      <c r="U312" s="1580"/>
    </row>
    <row r="313" customFormat="false" ht="15" hidden="false" customHeight="true" outlineLevel="1" collapsed="false">
      <c r="A313" s="837" t="str">
        <f aca="false">'Прайс лист'!B693</f>
        <v>Уголок усиленный 90х70х55х2,5        </v>
      </c>
      <c r="B313" s="837" t="s">
        <v>48</v>
      </c>
      <c r="C313" s="2636" t="n">
        <f aca="false">((C248/0.6)+1)*2</f>
        <v>32</v>
      </c>
      <c r="D313" s="837" t="n">
        <f aca="false">'Прайс лист'!G693</f>
        <v>30</v>
      </c>
      <c r="E313" s="837" t="n">
        <f aca="false">C313*D313</f>
        <v>960</v>
      </c>
      <c r="F313" s="1579"/>
      <c r="G313" s="739"/>
      <c r="H313" s="739"/>
      <c r="I313" s="2587"/>
      <c r="J313" s="2587"/>
      <c r="K313" s="2642"/>
      <c r="L313" s="837"/>
      <c r="M313" s="1580"/>
      <c r="N313" s="1580"/>
      <c r="O313" s="1580"/>
      <c r="P313" s="1580"/>
      <c r="Q313" s="1580"/>
      <c r="R313" s="1580"/>
      <c r="S313" s="1580"/>
      <c r="T313" s="1580"/>
      <c r="U313" s="1580"/>
    </row>
    <row r="314" customFormat="false" ht="15" hidden="false" customHeight="true" outlineLevel="1" collapsed="false">
      <c r="A314" s="837" t="str">
        <f aca="false">'Ввод данных'!A323</f>
        <v>Нет техники</v>
      </c>
      <c r="B314" s="837" t="s">
        <v>109</v>
      </c>
      <c r="C314" s="2636" t="n">
        <f aca="false">'Ввод данных'!C323</f>
        <v>4</v>
      </c>
      <c r="D314" s="837" t="n">
        <f aca="false">VLOOKUP(A314,'Прайс лист'!B192:G206,6,0)</f>
        <v>0</v>
      </c>
      <c r="E314" s="837" t="n">
        <f aca="false">C314*D314</f>
        <v>0</v>
      </c>
      <c r="F314" s="1579"/>
      <c r="G314" s="919"/>
      <c r="H314" s="919"/>
      <c r="I314" s="2583"/>
      <c r="J314" s="2583"/>
      <c r="K314" s="2643"/>
      <c r="L314" s="837"/>
      <c r="M314" s="1580"/>
      <c r="N314" s="1580"/>
      <c r="O314" s="1580"/>
      <c r="P314" s="1580"/>
      <c r="Q314" s="1580"/>
      <c r="R314" s="1580"/>
      <c r="S314" s="1580"/>
      <c r="T314" s="1580"/>
      <c r="U314" s="1580"/>
    </row>
    <row r="315" customFormat="false" ht="15" hidden="false" customHeight="true" outlineLevel="1" collapsed="false">
      <c r="A315" s="837" t="str">
        <f aca="false">'Ввод данных'!A324</f>
        <v>Нет техники</v>
      </c>
      <c r="B315" s="837" t="s">
        <v>109</v>
      </c>
      <c r="C315" s="2636" t="n">
        <f aca="false">'Ввод данных'!C324</f>
        <v>0</v>
      </c>
      <c r="D315" s="837" t="n">
        <f aca="false">VLOOKUP(A315,'Прайс лист'!B192:G206,6,0)</f>
        <v>0</v>
      </c>
      <c r="E315" s="837" t="n">
        <f aca="false">C315*D315</f>
        <v>0</v>
      </c>
      <c r="F315" s="1579"/>
      <c r="G315" s="919"/>
      <c r="H315" s="919"/>
      <c r="I315" s="2583"/>
      <c r="J315" s="2583"/>
      <c r="K315" s="2643"/>
      <c r="L315" s="837"/>
      <c r="M315" s="1580"/>
      <c r="N315" s="1580"/>
      <c r="O315" s="1580"/>
      <c r="P315" s="1580"/>
      <c r="Q315" s="1580"/>
      <c r="R315" s="1580"/>
      <c r="S315" s="1580"/>
      <c r="T315" s="1580"/>
      <c r="U315" s="1580"/>
    </row>
    <row r="316" customFormat="false" ht="15" hidden="false" customHeight="true" outlineLevel="1" collapsed="false">
      <c r="A316" s="837" t="str">
        <f aca="false">'Ввод данных'!A326</f>
        <v>расходные материалы двускатная кровля</v>
      </c>
      <c r="B316" s="837" t="s">
        <v>113</v>
      </c>
      <c r="C316" s="2636" t="n">
        <f aca="false">1</f>
        <v>1</v>
      </c>
      <c r="D316" s="837" t="n">
        <f aca="false">'Ввод данных'!C326</f>
        <v>3000</v>
      </c>
      <c r="E316" s="837" t="n">
        <f aca="false">C316*D316</f>
        <v>3000</v>
      </c>
      <c r="F316" s="1579"/>
      <c r="G316" s="919"/>
      <c r="H316" s="919"/>
      <c r="I316" s="2583"/>
      <c r="J316" s="2583"/>
      <c r="K316" s="2643"/>
      <c r="L316" s="837"/>
      <c r="M316" s="1580"/>
      <c r="N316" s="1580"/>
      <c r="O316" s="1580"/>
      <c r="P316" s="1580"/>
      <c r="Q316" s="1580"/>
      <c r="R316" s="1580"/>
      <c r="S316" s="1580"/>
      <c r="T316" s="1580"/>
      <c r="U316" s="1580"/>
    </row>
    <row r="317" customFormat="false" ht="15" hidden="false" customHeight="true" outlineLevel="1" collapsed="false">
      <c r="A317" s="1579"/>
      <c r="B317" s="1579"/>
      <c r="C317" s="1579"/>
      <c r="D317" s="1579"/>
      <c r="E317" s="837" t="n">
        <f aca="false">SUM(E264:E316)</f>
        <v>133847.255793973</v>
      </c>
      <c r="F317" s="1579"/>
      <c r="G317" s="1579"/>
      <c r="H317" s="1580"/>
      <c r="I317" s="1580"/>
      <c r="J317" s="1580"/>
      <c r="K317" s="3069"/>
      <c r="L317" s="2587" t="n">
        <f aca="false">SUM(L264:L313)</f>
        <v>158294.92028464</v>
      </c>
      <c r="M317" s="1580"/>
      <c r="N317" s="1580"/>
      <c r="O317" s="1580"/>
      <c r="P317" s="1580"/>
      <c r="Q317" s="1580"/>
      <c r="R317" s="1580"/>
      <c r="S317" s="1580"/>
      <c r="T317" s="1580"/>
      <c r="U317" s="1580"/>
    </row>
    <row r="318" customFormat="false" ht="15" hidden="false" customHeight="true" outlineLevel="1" collapsed="false">
      <c r="A318" s="837" t="s">
        <v>2920</v>
      </c>
      <c r="B318" s="2636" t="n">
        <f aca="false">E317</f>
        <v>133847.255793973</v>
      </c>
      <c r="C318" s="1579"/>
      <c r="D318" s="1579"/>
      <c r="E318" s="1579"/>
      <c r="F318" s="1579"/>
      <c r="G318" s="1579"/>
      <c r="H318" s="1580"/>
      <c r="I318" s="1580"/>
      <c r="J318" s="1580"/>
      <c r="K318" s="3069"/>
      <c r="L318" s="1580"/>
      <c r="M318" s="1580"/>
      <c r="N318" s="1580"/>
      <c r="O318" s="1580"/>
      <c r="P318" s="1580"/>
      <c r="Q318" s="1580"/>
      <c r="R318" s="1580"/>
      <c r="S318" s="1580"/>
      <c r="T318" s="1580"/>
      <c r="U318" s="1580"/>
    </row>
    <row r="319" customFormat="false" ht="15" hidden="false" customHeight="true" outlineLevel="1" collapsed="false">
      <c r="A319" s="837" t="s">
        <v>2921</v>
      </c>
      <c r="B319" s="2636" t="n">
        <f aca="false">L317</f>
        <v>158294.92028464</v>
      </c>
      <c r="C319" s="1579"/>
      <c r="D319" s="1579"/>
      <c r="E319" s="1579"/>
      <c r="F319" s="1579"/>
      <c r="G319" s="1579"/>
      <c r="H319" s="1580"/>
      <c r="I319" s="1580"/>
      <c r="J319" s="1580"/>
      <c r="K319" s="3069"/>
      <c r="L319" s="1580"/>
      <c r="M319" s="1580"/>
      <c r="N319" s="1580"/>
      <c r="O319" s="1580"/>
      <c r="P319" s="1580"/>
      <c r="Q319" s="1580"/>
      <c r="R319" s="1580"/>
      <c r="S319" s="1580"/>
      <c r="T319" s="1580"/>
      <c r="U319" s="1580"/>
    </row>
    <row r="320" customFormat="false" ht="15" hidden="false" customHeight="true" outlineLevel="1" collapsed="false">
      <c r="A320" s="1555" t="s">
        <v>2922</v>
      </c>
      <c r="B320" s="3070" t="n">
        <f aca="false">SUM(B318:B319)</f>
        <v>292142.176078613</v>
      </c>
      <c r="C320" s="1579"/>
      <c r="D320" s="1579"/>
      <c r="E320" s="1579"/>
      <c r="F320" s="1579"/>
      <c r="G320" s="1579"/>
      <c r="H320" s="1580"/>
      <c r="I320" s="1580"/>
      <c r="J320" s="1580"/>
      <c r="K320" s="3069"/>
      <c r="L320" s="1580"/>
      <c r="M320" s="1580"/>
      <c r="N320" s="1580"/>
      <c r="O320" s="1580"/>
      <c r="P320" s="1580"/>
      <c r="Q320" s="1580"/>
      <c r="R320" s="1580"/>
      <c r="S320" s="1580"/>
      <c r="T320" s="1580"/>
      <c r="U320" s="1580"/>
    </row>
    <row r="321" s="923" customFormat="true" ht="15" hidden="false" customHeight="true" outlineLevel="0" collapsed="false">
      <c r="A321" s="918" t="s">
        <v>243</v>
      </c>
      <c r="B321" s="3006"/>
      <c r="C321" s="3064"/>
      <c r="D321" s="3064"/>
      <c r="E321" s="3064"/>
      <c r="F321" s="3064"/>
      <c r="G321" s="2653"/>
      <c r="H321" s="2589"/>
      <c r="I321" s="2589"/>
      <c r="J321" s="2589"/>
      <c r="K321" s="2643"/>
      <c r="L321" s="2589"/>
      <c r="M321" s="2589"/>
      <c r="N321" s="2589"/>
      <c r="O321" s="2589"/>
      <c r="P321" s="2589"/>
      <c r="Q321" s="2589"/>
      <c r="R321" s="2589"/>
      <c r="S321" s="2589"/>
      <c r="T321" s="2589"/>
      <c r="U321" s="2589"/>
    </row>
    <row r="322" customFormat="false" ht="15" hidden="false" customHeight="true" outlineLevel="0" collapsed="false">
      <c r="A322" s="2637"/>
      <c r="B322" s="1580"/>
      <c r="C322" s="2630"/>
      <c r="D322" s="2630"/>
      <c r="E322" s="1580"/>
      <c r="F322" s="2630"/>
      <c r="G322" s="2630"/>
      <c r="H322" s="1580"/>
      <c r="I322" s="1580"/>
      <c r="J322" s="1580"/>
      <c r="K322" s="3069"/>
      <c r="L322" s="1580"/>
      <c r="M322" s="1580"/>
      <c r="N322" s="1580"/>
      <c r="O322" s="1580"/>
      <c r="P322" s="1580"/>
      <c r="Q322" s="1580"/>
      <c r="R322" s="1580"/>
      <c r="S322" s="1580"/>
      <c r="T322" s="1580"/>
      <c r="U322" s="1580"/>
    </row>
    <row r="323" customFormat="false" ht="15" hidden="false" customHeight="true" outlineLevel="1" collapsed="false">
      <c r="A323" s="3071" t="s">
        <v>2269</v>
      </c>
      <c r="B323" s="3071"/>
      <c r="C323" s="3071"/>
      <c r="D323" s="3071"/>
      <c r="E323" s="3071"/>
      <c r="F323" s="3071"/>
      <c r="G323" s="3071"/>
      <c r="H323" s="3071"/>
      <c r="I323" s="3071"/>
      <c r="J323" s="3071"/>
      <c r="K323" s="3071"/>
      <c r="L323" s="3071"/>
      <c r="M323" s="1580"/>
      <c r="N323" s="1580"/>
      <c r="O323" s="1580"/>
      <c r="P323" s="1580"/>
      <c r="Q323" s="1580"/>
      <c r="R323" s="1580"/>
      <c r="S323" s="1580"/>
      <c r="T323" s="1580"/>
      <c r="U323" s="1580"/>
    </row>
    <row r="324" customFormat="false" ht="15" hidden="false" customHeight="true" outlineLevel="1" collapsed="false">
      <c r="A324" s="3071"/>
      <c r="B324" s="3071"/>
      <c r="C324" s="3071"/>
      <c r="D324" s="3071"/>
      <c r="E324" s="3071"/>
      <c r="F324" s="3071"/>
      <c r="G324" s="3071"/>
      <c r="H324" s="3071"/>
      <c r="I324" s="3071"/>
      <c r="J324" s="3071"/>
      <c r="K324" s="3071"/>
      <c r="L324" s="3071"/>
      <c r="M324" s="1580"/>
      <c r="N324" s="1580"/>
      <c r="O324" s="1580"/>
      <c r="P324" s="1580"/>
      <c r="Q324" s="1580"/>
      <c r="R324" s="1580"/>
      <c r="S324" s="1580"/>
      <c r="T324" s="1580"/>
      <c r="U324" s="1580"/>
    </row>
    <row r="325" customFormat="false" ht="15" hidden="false" customHeight="true" outlineLevel="1" collapsed="false">
      <c r="A325" s="1520" t="s">
        <v>461</v>
      </c>
      <c r="B325" s="1520"/>
      <c r="C325" s="1520"/>
      <c r="D325" s="1520"/>
      <c r="E325" s="1520"/>
      <c r="F325" s="1520"/>
      <c r="G325" s="3056" t="n">
        <f aca="false">'Ввод данных'!E330</f>
        <v>1</v>
      </c>
      <c r="H325" s="1521"/>
      <c r="I325" s="1521"/>
      <c r="J325" s="1521"/>
      <c r="K325" s="1521"/>
      <c r="L325" s="1521"/>
      <c r="M325" s="1579"/>
      <c r="N325" s="1579"/>
      <c r="O325" s="1579"/>
      <c r="P325" s="1579"/>
      <c r="Q325" s="1579"/>
      <c r="R325" s="1579"/>
      <c r="S325" s="1579"/>
      <c r="T325" s="1579"/>
      <c r="U325" s="1579"/>
    </row>
    <row r="326" customFormat="false" ht="15" hidden="false" customHeight="true" outlineLevel="1" collapsed="false">
      <c r="A326" s="1520"/>
      <c r="B326" s="1520"/>
      <c r="C326" s="1520"/>
      <c r="D326" s="1520"/>
      <c r="E326" s="1520"/>
      <c r="F326" s="1520"/>
      <c r="G326" s="3072"/>
      <c r="H326" s="1521" t="n">
        <f aca="false">'Ввод данных'!E331</f>
        <v>1</v>
      </c>
      <c r="I326" s="1521"/>
      <c r="J326" s="1521"/>
      <c r="K326" s="1521"/>
      <c r="L326" s="1521"/>
      <c r="M326" s="1579"/>
      <c r="N326" s="1579"/>
      <c r="O326" s="1579"/>
      <c r="P326" s="1579"/>
      <c r="Q326" s="1579"/>
      <c r="R326" s="1579"/>
      <c r="S326" s="1579"/>
      <c r="T326" s="1579"/>
      <c r="U326" s="1579"/>
    </row>
    <row r="327" customFormat="false" ht="15" hidden="false" customHeight="true" outlineLevel="1" collapsed="false">
      <c r="A327" s="3073" t="s">
        <v>3943</v>
      </c>
      <c r="B327" s="1549" t="s">
        <v>48</v>
      </c>
      <c r="C327" s="3074" t="n">
        <f aca="false">IF('Ввод данных'!A335=связи1!A6,1,0)</f>
        <v>1</v>
      </c>
      <c r="D327" s="3075" t="s">
        <v>4242</v>
      </c>
      <c r="E327" s="3076"/>
      <c r="F327" s="3076"/>
      <c r="G327" s="3077"/>
      <c r="H327" s="3077"/>
      <c r="I327" s="3078"/>
      <c r="J327" s="2589"/>
      <c r="K327" s="2643"/>
      <c r="L327" s="2589"/>
      <c r="M327" s="1580"/>
      <c r="N327" s="1580"/>
      <c r="O327" s="1580"/>
      <c r="P327" s="1580"/>
      <c r="Q327" s="1580"/>
      <c r="R327" s="1580"/>
      <c r="S327" s="1580"/>
      <c r="T327" s="1580"/>
      <c r="U327" s="1580"/>
    </row>
    <row r="328" customFormat="false" ht="15" hidden="false" customHeight="true" outlineLevel="1" collapsed="false">
      <c r="A328" s="3065" t="s">
        <v>3944</v>
      </c>
      <c r="B328" s="837" t="s">
        <v>48</v>
      </c>
      <c r="C328" s="3074" t="n">
        <f aca="false">IF('Ввод данных'!A335=связи1!A7,1,0)</f>
        <v>0</v>
      </c>
      <c r="D328" s="3075" t="s">
        <v>4243</v>
      </c>
      <c r="E328" s="3076"/>
      <c r="F328" s="3076"/>
      <c r="G328" s="3077"/>
      <c r="H328" s="3077"/>
      <c r="I328" s="3078"/>
      <c r="J328" s="2589"/>
      <c r="K328" s="2643"/>
      <c r="L328" s="2589"/>
      <c r="M328" s="1580"/>
      <c r="N328" s="1580"/>
      <c r="O328" s="1580"/>
      <c r="P328" s="1580"/>
      <c r="Q328" s="1580"/>
      <c r="R328" s="1580"/>
      <c r="S328" s="1580"/>
      <c r="T328" s="1580"/>
      <c r="U328" s="1580"/>
    </row>
    <row r="329" customFormat="false" ht="15" hidden="false" customHeight="true" outlineLevel="1" collapsed="false">
      <c r="A329" s="3065" t="s">
        <v>4244</v>
      </c>
      <c r="B329" s="837"/>
      <c r="C329" s="3074" t="n">
        <f aca="false">IF('Ввод данных'!A335=связи1!A8,1,0)</f>
        <v>0</v>
      </c>
      <c r="D329" s="3075"/>
      <c r="E329" s="3076"/>
      <c r="F329" s="3076"/>
      <c r="G329" s="3077"/>
      <c r="H329" s="3077"/>
      <c r="I329" s="3078"/>
      <c r="J329" s="2589"/>
      <c r="K329" s="2643"/>
      <c r="L329" s="2589"/>
      <c r="M329" s="1580"/>
      <c r="N329" s="1580"/>
      <c r="O329" s="1580"/>
      <c r="P329" s="1580"/>
      <c r="Q329" s="1580"/>
      <c r="R329" s="1580"/>
      <c r="S329" s="1580"/>
      <c r="T329" s="1580"/>
      <c r="U329" s="1580"/>
    </row>
    <row r="330" customFormat="false" ht="15" hidden="false" customHeight="true" outlineLevel="1" collapsed="false">
      <c r="A330" s="3065" t="s">
        <v>4245</v>
      </c>
      <c r="B330" s="837" t="s">
        <v>15</v>
      </c>
      <c r="C330" s="3079" t="n">
        <f aca="false">'Ввод данных'!C342</f>
        <v>0</v>
      </c>
      <c r="D330" s="3075" t="s">
        <v>4246</v>
      </c>
      <c r="E330" s="3076"/>
      <c r="F330" s="3076"/>
      <c r="G330" s="3077"/>
      <c r="H330" s="3077"/>
      <c r="I330" s="3078"/>
      <c r="J330" s="2589"/>
      <c r="K330" s="2643"/>
      <c r="L330" s="2589"/>
      <c r="M330" s="1580"/>
      <c r="N330" s="1580"/>
      <c r="O330" s="1580"/>
      <c r="P330" s="1580"/>
      <c r="Q330" s="1580"/>
      <c r="R330" s="1580"/>
      <c r="S330" s="1580"/>
      <c r="T330" s="1580"/>
      <c r="U330" s="1580"/>
    </row>
    <row r="331" customFormat="false" ht="15" hidden="false" customHeight="true" outlineLevel="1" collapsed="false">
      <c r="A331" s="3065" t="s">
        <v>4247</v>
      </c>
      <c r="B331" s="837" t="s">
        <v>15</v>
      </c>
      <c r="C331" s="3079" t="n">
        <v>0.05</v>
      </c>
      <c r="D331" s="3075" t="s">
        <v>4248</v>
      </c>
      <c r="E331" s="3076"/>
      <c r="F331" s="3076"/>
      <c r="G331" s="3077"/>
      <c r="H331" s="3077"/>
      <c r="I331" s="3078"/>
      <c r="J331" s="2589"/>
      <c r="K331" s="2643"/>
      <c r="L331" s="2589"/>
      <c r="M331" s="1580"/>
      <c r="N331" s="1580"/>
      <c r="O331" s="1580"/>
      <c r="P331" s="1580"/>
      <c r="Q331" s="1580"/>
      <c r="R331" s="1580"/>
      <c r="S331" s="1580"/>
      <c r="T331" s="1580"/>
      <c r="U331" s="1580"/>
    </row>
    <row r="332" customFormat="false" ht="15" hidden="false" customHeight="true" outlineLevel="1" collapsed="false">
      <c r="A332" s="3065" t="s">
        <v>4249</v>
      </c>
      <c r="B332" s="837" t="s">
        <v>15</v>
      </c>
      <c r="C332" s="3079" t="n">
        <f aca="false">'Ввод данных'!C338</f>
        <v>5</v>
      </c>
      <c r="D332" s="3075" t="s">
        <v>4250</v>
      </c>
      <c r="E332" s="3076"/>
      <c r="F332" s="3076"/>
      <c r="G332" s="3077"/>
      <c r="H332" s="3077"/>
      <c r="I332" s="3078"/>
      <c r="J332" s="2589"/>
      <c r="K332" s="2643"/>
      <c r="L332" s="2589"/>
      <c r="M332" s="1580"/>
      <c r="N332" s="1580"/>
      <c r="O332" s="1580"/>
      <c r="P332" s="1580"/>
      <c r="Q332" s="1580"/>
      <c r="R332" s="1580"/>
      <c r="S332" s="1580"/>
      <c r="T332" s="1580"/>
      <c r="U332" s="1580"/>
    </row>
    <row r="333" customFormat="false" ht="15" hidden="false" customHeight="true" outlineLevel="1" collapsed="false">
      <c r="A333" s="3065" t="s">
        <v>4251</v>
      </c>
      <c r="B333" s="837" t="s">
        <v>15</v>
      </c>
      <c r="C333" s="3080" t="n">
        <f aca="false">дома!F1135*дома!J1113+дома!G1135*дома!J1112</f>
        <v>3.4</v>
      </c>
      <c r="D333" s="3075" t="s">
        <v>4252</v>
      </c>
      <c r="E333" s="3076"/>
      <c r="F333" s="3076"/>
      <c r="G333" s="3077"/>
      <c r="H333" s="3077"/>
      <c r="I333" s="3078"/>
      <c r="J333" s="2589"/>
      <c r="K333" s="2643"/>
      <c r="L333" s="2589"/>
      <c r="M333" s="1580"/>
      <c r="N333" s="1580"/>
      <c r="O333" s="1580"/>
      <c r="P333" s="1580"/>
      <c r="Q333" s="1580"/>
      <c r="R333" s="1580"/>
      <c r="S333" s="1580"/>
      <c r="T333" s="1580"/>
      <c r="U333" s="1580"/>
    </row>
    <row r="334" customFormat="false" ht="15" hidden="false" customHeight="true" outlineLevel="1" collapsed="false">
      <c r="A334" s="3065" t="s">
        <v>4253</v>
      </c>
      <c r="B334" s="837"/>
      <c r="C334" s="3081" t="n">
        <f aca="false">'Ввод данных'!C10</f>
        <v>8</v>
      </c>
      <c r="D334" s="3075"/>
      <c r="E334" s="3076"/>
      <c r="F334" s="3076"/>
      <c r="G334" s="3077"/>
      <c r="H334" s="3077"/>
      <c r="I334" s="3078"/>
      <c r="J334" s="2589"/>
      <c r="K334" s="2643"/>
      <c r="L334" s="2589"/>
      <c r="M334" s="1580"/>
      <c r="N334" s="1580"/>
      <c r="O334" s="1580"/>
      <c r="P334" s="1580"/>
      <c r="Q334" s="1580"/>
      <c r="R334" s="1580"/>
      <c r="S334" s="1580"/>
      <c r="T334" s="1580"/>
      <c r="U334" s="1580"/>
    </row>
    <row r="335" customFormat="false" ht="15" hidden="false" customHeight="true" outlineLevel="1" collapsed="false">
      <c r="A335" s="3065" t="s">
        <v>205</v>
      </c>
      <c r="B335" s="837"/>
      <c r="C335" s="3081" t="n">
        <f aca="false">'Ввод данных'!C9</f>
        <v>8</v>
      </c>
      <c r="D335" s="3075"/>
      <c r="E335" s="3076"/>
      <c r="F335" s="3076"/>
      <c r="G335" s="3077"/>
      <c r="H335" s="3077"/>
      <c r="I335" s="3078"/>
      <c r="J335" s="2589"/>
      <c r="K335" s="2643"/>
      <c r="L335" s="2589"/>
      <c r="M335" s="1580"/>
      <c r="N335" s="1580"/>
      <c r="O335" s="1580"/>
      <c r="P335" s="1580"/>
      <c r="Q335" s="1580"/>
      <c r="R335" s="1580"/>
      <c r="S335" s="1580"/>
      <c r="T335" s="1580"/>
      <c r="U335" s="1580"/>
    </row>
    <row r="336" customFormat="false" ht="15" hidden="false" customHeight="true" outlineLevel="1" collapsed="false">
      <c r="A336" s="837" t="s">
        <v>273</v>
      </c>
      <c r="B336" s="837" t="s">
        <v>15</v>
      </c>
      <c r="C336" s="3079" t="n">
        <f aca="false">E104</f>
        <v>0.5</v>
      </c>
      <c r="D336" s="3075" t="s">
        <v>4254</v>
      </c>
      <c r="E336" s="3076"/>
      <c r="F336" s="3076"/>
      <c r="G336" s="3077"/>
      <c r="H336" s="3077"/>
      <c r="I336" s="3078"/>
      <c r="J336" s="2589"/>
      <c r="K336" s="2643"/>
      <c r="L336" s="2589"/>
      <c r="M336" s="1580"/>
      <c r="N336" s="1580"/>
      <c r="O336" s="1580"/>
      <c r="P336" s="1580"/>
      <c r="Q336" s="1580"/>
      <c r="R336" s="1580"/>
      <c r="S336" s="1580"/>
      <c r="T336" s="1580"/>
      <c r="U336" s="1580"/>
    </row>
    <row r="337" customFormat="false" ht="15" hidden="false" customHeight="true" outlineLevel="1" collapsed="false">
      <c r="A337" s="1555" t="s">
        <v>276</v>
      </c>
      <c r="B337" s="1555" t="s">
        <v>15</v>
      </c>
      <c r="C337" s="3079" t="n">
        <f aca="false">E105</f>
        <v>0.5</v>
      </c>
      <c r="D337" s="3075" t="s">
        <v>4255</v>
      </c>
      <c r="E337" s="3076"/>
      <c r="F337" s="3076"/>
      <c r="G337" s="3077"/>
      <c r="H337" s="3077"/>
      <c r="I337" s="3078"/>
      <c r="J337" s="2589"/>
      <c r="K337" s="2643"/>
      <c r="L337" s="2589"/>
      <c r="M337" s="1580"/>
      <c r="N337" s="1580"/>
      <c r="O337" s="1580"/>
      <c r="P337" s="1580"/>
      <c r="Q337" s="1580"/>
      <c r="R337" s="1580"/>
      <c r="S337" s="1580"/>
      <c r="T337" s="1580"/>
      <c r="U337" s="1580"/>
    </row>
    <row r="338" customFormat="false" ht="15" hidden="false" customHeight="true" outlineLevel="1" collapsed="false">
      <c r="A338" s="3065" t="s">
        <v>4256</v>
      </c>
      <c r="B338" s="837"/>
      <c r="C338" s="3080" t="n">
        <f aca="false">дома!I1170</f>
        <v>5.90233567268992</v>
      </c>
      <c r="D338" s="3063"/>
      <c r="E338" s="3076"/>
      <c r="F338" s="3076"/>
      <c r="G338" s="3077"/>
      <c r="H338" s="3077"/>
      <c r="I338" s="3078"/>
      <c r="J338" s="2589"/>
      <c r="K338" s="2643"/>
      <c r="L338" s="2589"/>
      <c r="M338" s="1580"/>
      <c r="N338" s="1580"/>
      <c r="O338" s="1580"/>
      <c r="P338" s="1580"/>
      <c r="Q338" s="1580"/>
      <c r="R338" s="1580"/>
      <c r="S338" s="1580"/>
      <c r="T338" s="1580"/>
      <c r="U338" s="1580"/>
    </row>
    <row r="339" customFormat="false" ht="15" hidden="false" customHeight="true" outlineLevel="1" collapsed="false">
      <c r="A339" s="3065" t="s">
        <v>4257</v>
      </c>
      <c r="B339" s="837"/>
      <c r="C339" s="3080" t="n">
        <f aca="false">дома!F1167</f>
        <v>5.1</v>
      </c>
      <c r="D339" s="3063"/>
      <c r="E339" s="3076"/>
      <c r="F339" s="3076"/>
      <c r="G339" s="3077"/>
      <c r="H339" s="3077"/>
      <c r="I339" s="3078"/>
      <c r="J339" s="2589"/>
      <c r="K339" s="2643"/>
      <c r="L339" s="2589"/>
      <c r="M339" s="1580"/>
      <c r="N339" s="1580"/>
      <c r="O339" s="1580"/>
      <c r="P339" s="1580"/>
      <c r="Q339" s="1580"/>
      <c r="R339" s="1580"/>
      <c r="S339" s="1580"/>
      <c r="T339" s="1580"/>
      <c r="U339" s="1580"/>
    </row>
    <row r="340" customFormat="false" ht="15" hidden="false" customHeight="true" outlineLevel="1" collapsed="false">
      <c r="A340" s="3065" t="s">
        <v>249</v>
      </c>
      <c r="B340" s="837"/>
      <c r="C340" s="3080" t="n">
        <f aca="false">дома!I1164</f>
        <v>5</v>
      </c>
      <c r="D340" s="3063"/>
      <c r="E340" s="3076"/>
      <c r="F340" s="3076"/>
      <c r="G340" s="3077"/>
      <c r="H340" s="3077"/>
      <c r="I340" s="3078"/>
      <c r="J340" s="2589"/>
      <c r="K340" s="2643"/>
      <c r="L340" s="2589"/>
      <c r="M340" s="1580"/>
      <c r="N340" s="1580"/>
      <c r="O340" s="1580"/>
      <c r="P340" s="1580"/>
      <c r="Q340" s="1580"/>
      <c r="R340" s="1580"/>
      <c r="S340" s="1580"/>
      <c r="T340" s="1580"/>
      <c r="U340" s="1580"/>
    </row>
    <row r="341" customFormat="false" ht="15" hidden="false" customHeight="true" outlineLevel="1" collapsed="false">
      <c r="A341" s="837" t="s">
        <v>3996</v>
      </c>
      <c r="B341" s="837" t="s">
        <v>820</v>
      </c>
      <c r="C341" s="837" t="n">
        <f aca="false">дома!I1181</f>
        <v>105.774305488864</v>
      </c>
      <c r="D341" s="3064"/>
      <c r="E341" s="3076"/>
      <c r="F341" s="3076"/>
      <c r="G341" s="3077"/>
      <c r="H341" s="3077"/>
      <c r="I341" s="3078"/>
      <c r="J341" s="2589"/>
      <c r="K341" s="2643"/>
      <c r="L341" s="2589"/>
      <c r="M341" s="1580"/>
      <c r="N341" s="1580"/>
      <c r="O341" s="1580"/>
      <c r="P341" s="1580"/>
      <c r="Q341" s="1580"/>
      <c r="R341" s="1580"/>
      <c r="S341" s="1580"/>
      <c r="T341" s="1580"/>
      <c r="U341" s="1580"/>
    </row>
    <row r="342" customFormat="false" ht="15" hidden="false" customHeight="true" outlineLevel="1" collapsed="false">
      <c r="A342" s="837" t="s">
        <v>4117</v>
      </c>
      <c r="B342" s="837" t="s">
        <v>820</v>
      </c>
      <c r="C342" s="837" t="n">
        <f aca="false">дома!I1183</f>
        <v>148.08402768441</v>
      </c>
      <c r="D342" s="2824" t="n">
        <v>1</v>
      </c>
      <c r="E342" s="3064"/>
      <c r="F342" s="3064"/>
      <c r="G342" s="2589"/>
      <c r="H342" s="2589"/>
      <c r="I342" s="2595"/>
      <c r="J342" s="2589"/>
      <c r="K342" s="2643"/>
      <c r="L342" s="2589"/>
      <c r="M342" s="1580"/>
      <c r="N342" s="1580"/>
      <c r="O342" s="1580"/>
      <c r="P342" s="1580"/>
      <c r="Q342" s="1580"/>
      <c r="R342" s="1580"/>
      <c r="S342" s="1580"/>
      <c r="T342" s="1580"/>
      <c r="U342" s="1580"/>
    </row>
    <row r="343" customFormat="false" ht="15" hidden="false" customHeight="true" outlineLevel="1" collapsed="false">
      <c r="A343" s="2639" t="s">
        <v>1735</v>
      </c>
      <c r="B343" s="1555" t="s">
        <v>48</v>
      </c>
      <c r="C343" s="1557" t="n">
        <f aca="false">'Ввод данных'!C351</f>
        <v>0</v>
      </c>
      <c r="D343" s="3064"/>
      <c r="E343" s="3064"/>
      <c r="F343" s="3064"/>
      <c r="G343" s="2589"/>
      <c r="H343" s="2589"/>
      <c r="I343" s="2595"/>
      <c r="J343" s="2589"/>
      <c r="K343" s="2643"/>
      <c r="L343" s="2589"/>
      <c r="M343" s="1580"/>
      <c r="N343" s="1580"/>
      <c r="O343" s="1580"/>
      <c r="P343" s="1580"/>
      <c r="Q343" s="1580"/>
      <c r="R343" s="1580"/>
      <c r="S343" s="1580"/>
      <c r="T343" s="1580"/>
      <c r="U343" s="1580"/>
    </row>
    <row r="344" customFormat="false" ht="15" hidden="false" customHeight="true" outlineLevel="1" collapsed="false">
      <c r="A344" s="2639" t="s">
        <v>1736</v>
      </c>
      <c r="B344" s="1555" t="s">
        <v>48</v>
      </c>
      <c r="C344" s="1557" t="n">
        <f aca="false">'Ввод данных'!C352</f>
        <v>0</v>
      </c>
      <c r="D344" s="3064"/>
      <c r="E344" s="3064"/>
      <c r="F344" s="3064"/>
      <c r="G344" s="2589"/>
      <c r="H344" s="2589"/>
      <c r="I344" s="2595"/>
      <c r="J344" s="2589"/>
      <c r="K344" s="2643"/>
      <c r="L344" s="2589"/>
      <c r="M344" s="1580"/>
      <c r="N344" s="1580"/>
      <c r="O344" s="1580"/>
      <c r="P344" s="1580"/>
      <c r="Q344" s="1580"/>
      <c r="R344" s="1580"/>
      <c r="S344" s="1580"/>
      <c r="T344" s="1580"/>
      <c r="U344" s="1580"/>
    </row>
    <row r="345" customFormat="false" ht="15" hidden="false" customHeight="true" outlineLevel="1" collapsed="false">
      <c r="A345" s="2639" t="s">
        <v>1737</v>
      </c>
      <c r="B345" s="1555" t="s">
        <v>48</v>
      </c>
      <c r="C345" s="1557" t="n">
        <f aca="false">'Ввод данных'!C353</f>
        <v>0</v>
      </c>
      <c r="D345" s="3064"/>
      <c r="E345" s="3064"/>
      <c r="F345" s="3064"/>
      <c r="G345" s="2589"/>
      <c r="H345" s="2589"/>
      <c r="I345" s="2595"/>
      <c r="J345" s="2589"/>
      <c r="K345" s="2643"/>
      <c r="L345" s="2589"/>
      <c r="M345" s="1580"/>
      <c r="N345" s="1580"/>
      <c r="O345" s="1580"/>
      <c r="P345" s="1580"/>
      <c r="Q345" s="1580"/>
      <c r="R345" s="1580"/>
      <c r="S345" s="1580"/>
      <c r="T345" s="1580"/>
      <c r="U345" s="1580"/>
    </row>
    <row r="346" customFormat="false" ht="15" hidden="false" customHeight="true" outlineLevel="1" collapsed="false">
      <c r="A346" s="3082" t="s">
        <v>2246</v>
      </c>
      <c r="B346" s="3082" t="s">
        <v>1738</v>
      </c>
      <c r="C346" s="3082" t="s">
        <v>118</v>
      </c>
      <c r="D346" s="3082" t="s">
        <v>2915</v>
      </c>
      <c r="E346" s="3082" t="s">
        <v>2916</v>
      </c>
      <c r="F346" s="1579"/>
      <c r="G346" s="3083" t="s">
        <v>2007</v>
      </c>
      <c r="H346" s="3083"/>
      <c r="I346" s="3082" t="s">
        <v>1738</v>
      </c>
      <c r="J346" s="3082" t="s">
        <v>118</v>
      </c>
      <c r="K346" s="3084" t="s">
        <v>2190</v>
      </c>
      <c r="L346" s="3082" t="s">
        <v>2916</v>
      </c>
      <c r="M346" s="1580"/>
      <c r="N346" s="1580"/>
      <c r="O346" s="1580"/>
      <c r="P346" s="1580"/>
      <c r="Q346" s="1580"/>
      <c r="R346" s="1580"/>
      <c r="S346" s="1580"/>
      <c r="T346" s="1580"/>
      <c r="U346" s="1580"/>
    </row>
    <row r="347" customFormat="false" ht="15" hidden="false" customHeight="true" outlineLevel="1" collapsed="false">
      <c r="A347" s="837" t="str">
        <f aca="false">'Ввод данных'!A337</f>
        <v>нет</v>
      </c>
      <c r="B347" s="837" t="s">
        <v>1043</v>
      </c>
      <c r="C347" s="837" t="n">
        <f aca="false">('Ввод данных'!C9+'Ввод данных'!C9+'Ввод данных'!C10+'Ввод данных'!C10)*G325*VLOOKUP(A347,связи1!F201:H211,3,0)</f>
        <v>0</v>
      </c>
      <c r="D347" s="837" t="n">
        <f aca="false">VLOOKUP(A347,связи1!F201:H211,2,0)</f>
        <v>0</v>
      </c>
      <c r="E347" s="837" t="n">
        <f aca="false">C347*D347</f>
        <v>0</v>
      </c>
      <c r="F347" s="1579"/>
      <c r="G347" s="739"/>
      <c r="H347" s="739"/>
      <c r="I347" s="837"/>
      <c r="J347" s="837"/>
      <c r="K347" s="2642"/>
      <c r="L347" s="837"/>
      <c r="M347" s="1579"/>
      <c r="N347" s="1579"/>
      <c r="O347" s="1579"/>
      <c r="P347" s="1579"/>
      <c r="Q347" s="1579"/>
      <c r="R347" s="1579"/>
      <c r="S347" s="1579"/>
      <c r="T347" s="1579"/>
      <c r="U347" s="1579"/>
    </row>
    <row r="348" customFormat="false" ht="15" hidden="false" customHeight="true" outlineLevel="1" collapsed="false">
      <c r="A348" s="837" t="str">
        <f aca="false">'Прайс лист'!B714</f>
        <v>Болты анкерные с гайкой 12,0 х 280          </v>
      </c>
      <c r="B348" s="837" t="s">
        <v>48</v>
      </c>
      <c r="C348" s="837" t="n">
        <f aca="false">('Ввод данных'!C9+'Ввод данных'!C9+'Ввод данных'!C10+'Ввод данных'!C10)*G325*1.1</f>
        <v>35.2</v>
      </c>
      <c r="D348" s="837" t="n">
        <f aca="false">'Прайс лист'!G714</f>
        <v>27.1</v>
      </c>
      <c r="E348" s="837" t="n">
        <f aca="false">C348*D348</f>
        <v>953.92</v>
      </c>
      <c r="F348" s="1579"/>
      <c r="G348" s="2663" t="str">
        <f aca="false">'Прайс лист'!B1560</f>
        <v>монтаж мауэрлат</v>
      </c>
      <c r="H348" s="2664"/>
      <c r="I348" s="837" t="s">
        <v>15</v>
      </c>
      <c r="J348" s="837" t="n">
        <f aca="false">('Ввод данных'!C9+'Ввод данных'!C9+'Ввод данных'!C10+'Ввод данных'!C10)</f>
        <v>32</v>
      </c>
      <c r="K348" s="2642" t="n">
        <f aca="false">'Прайс лист'!G1560</f>
        <v>250</v>
      </c>
      <c r="L348" s="2636" t="n">
        <f aca="false">J348*K348</f>
        <v>8000</v>
      </c>
      <c r="M348" s="1579"/>
      <c r="N348" s="1579"/>
      <c r="O348" s="1579"/>
      <c r="P348" s="1579"/>
      <c r="Q348" s="1579"/>
      <c r="R348" s="1579"/>
      <c r="S348" s="1579"/>
      <c r="T348" s="1579"/>
      <c r="U348" s="1579"/>
    </row>
    <row r="349" customFormat="false" ht="15" hidden="false" customHeight="true" outlineLevel="1" collapsed="false">
      <c r="A349" s="837" t="str">
        <f aca="false">'Ввод данных'!A342</f>
        <v>Доска сырая, 150*50мм</v>
      </c>
      <c r="B349" s="837" t="s">
        <v>1043</v>
      </c>
      <c r="C349" s="837" t="n">
        <f aca="false">((C338*8+C332+(((C332/0.6)+1)*C339)*2)+(C236*C340*2+C339*3)+C334+C334+C335+C335+C336*4+C337*4)*1.1*G325*VLOOKUP(A349,связи1!A406:E415,5,0)</f>
        <v>2.29942915439753</v>
      </c>
      <c r="D349" s="837" t="n">
        <f aca="false">VLOOKUP(A349,связи1!A406:E415,2,0)</f>
        <v>6500</v>
      </c>
      <c r="E349" s="837" t="n">
        <f aca="false">C349*D349</f>
        <v>14946.289503584</v>
      </c>
      <c r="F349" s="1579"/>
      <c r="G349" s="2663" t="str">
        <f aca="false">'Прайс лист'!B1561</f>
        <v>монтаж стропил</v>
      </c>
      <c r="H349" s="2664"/>
      <c r="I349" s="837" t="s">
        <v>820</v>
      </c>
      <c r="J349" s="837" t="n">
        <f aca="false">C341*H326*IF(A349=связи1!A406,0,1)</f>
        <v>105.774305488864</v>
      </c>
      <c r="K349" s="2642" t="n">
        <f aca="false">'Прайс лист'!G1561</f>
        <v>450</v>
      </c>
      <c r="L349" s="2636" t="n">
        <f aca="false">J349*K349</f>
        <v>47598.4374699888</v>
      </c>
      <c r="M349" s="1580"/>
      <c r="N349" s="1580"/>
      <c r="O349" s="1580"/>
      <c r="P349" s="1580"/>
      <c r="Q349" s="1580"/>
      <c r="R349" s="1580"/>
      <c r="S349" s="1580"/>
      <c r="T349" s="1580"/>
      <c r="U349" s="1580"/>
    </row>
    <row r="350" customFormat="false" ht="15" hidden="false" customHeight="true" outlineLevel="1" collapsed="false">
      <c r="A350" s="837" t="s">
        <v>2917</v>
      </c>
      <c r="B350" s="837" t="s">
        <v>1043</v>
      </c>
      <c r="C350" s="837" t="n">
        <f aca="false">(((C332/0.6)+1)*3)*VLOOKUP(A349,связи1!A406:E415,5,0)*G325</f>
        <v>0.21</v>
      </c>
      <c r="D350" s="837" t="n">
        <f aca="false">VLOOKUP(A349,связи1!A406:E415,2,0)</f>
        <v>6500</v>
      </c>
      <c r="E350" s="837" t="n">
        <f aca="false">C350*D350</f>
        <v>1365</v>
      </c>
      <c r="F350" s="1579"/>
      <c r="G350" s="2663" t="str">
        <f aca="false">'Прайс лист'!B1562</f>
        <v>обрешетка</v>
      </c>
      <c r="H350" s="2664"/>
      <c r="I350" s="837" t="s">
        <v>820</v>
      </c>
      <c r="J350" s="837" t="n">
        <f aca="false">J349*H326*IF(A352=связи1!A431,0,1)</f>
        <v>105.774305488864</v>
      </c>
      <c r="K350" s="2642" t="n">
        <f aca="false">'Прайс лист'!G1562</f>
        <v>100</v>
      </c>
      <c r="L350" s="2636" t="n">
        <f aca="false">J350*K350</f>
        <v>10577.4305488864</v>
      </c>
      <c r="M350" s="1580"/>
      <c r="N350" s="1580"/>
      <c r="O350" s="1580"/>
      <c r="P350" s="1580"/>
      <c r="Q350" s="1580"/>
      <c r="R350" s="1580"/>
      <c r="S350" s="1580"/>
      <c r="T350" s="1580"/>
      <c r="U350" s="1580"/>
    </row>
    <row r="351" customFormat="false" ht="15" hidden="false" customHeight="true" outlineLevel="1" collapsed="false">
      <c r="A351" s="837" t="s">
        <v>4241</v>
      </c>
      <c r="B351" s="837" t="s">
        <v>1043</v>
      </c>
      <c r="C351" s="837" t="n">
        <f aca="false">(((C332/2)+1)*C333)*VLOOKUP(A349,связи1!A406:E415,5,0)*G325</f>
        <v>0.08925</v>
      </c>
      <c r="D351" s="837" t="n">
        <f aca="false">VLOOKUP(A349,связи1!A406:E415,2,0)</f>
        <v>6500</v>
      </c>
      <c r="E351" s="837" t="n">
        <f aca="false">C351*D351</f>
        <v>580.125</v>
      </c>
      <c r="F351" s="1579"/>
      <c r="G351" s="2663" t="str">
        <f aca="false">'Прайс лист'!B1563</f>
        <v>контробеш</v>
      </c>
      <c r="H351" s="2664"/>
      <c r="I351" s="837" t="s">
        <v>820</v>
      </c>
      <c r="J351" s="837" t="n">
        <f aca="false">J349*H326*IF(A353=связи1!A417,0,1)</f>
        <v>105.774305488864</v>
      </c>
      <c r="K351" s="2642" t="n">
        <f aca="false">'Прайс лист'!G1563</f>
        <v>100</v>
      </c>
      <c r="L351" s="2636" t="n">
        <f aca="false">J351*K351</f>
        <v>10577.4305488864</v>
      </c>
      <c r="M351" s="1580"/>
      <c r="N351" s="1580"/>
      <c r="O351" s="1580"/>
      <c r="P351" s="1580"/>
      <c r="Q351" s="1580"/>
      <c r="R351" s="1580"/>
      <c r="S351" s="1580"/>
      <c r="T351" s="1580"/>
      <c r="U351" s="1580"/>
    </row>
    <row r="352" customFormat="false" ht="15" hidden="false" customHeight="true" outlineLevel="1" collapsed="false">
      <c r="A352" s="837" t="str">
        <f aca="false">'Ввод данных'!A344</f>
        <v>Сосна влаж,100*25мм</v>
      </c>
      <c r="B352" s="837" t="s">
        <v>1043</v>
      </c>
      <c r="C352" s="837" t="n">
        <f aca="false">C342*3*G325*VLOOKUP(A352,связи1!A431:F439,5,0)</f>
        <v>1.11063020763307</v>
      </c>
      <c r="D352" s="837" t="n">
        <f aca="false">VLOOKUP(A352,связи1!A431:F439,6,0)</f>
        <v>6500</v>
      </c>
      <c r="E352" s="837" t="n">
        <f aca="false">C352*D352</f>
        <v>7219.09634961497</v>
      </c>
      <c r="F352" s="1579"/>
      <c r="G352" s="2663" t="str">
        <f aca="false">'Прайс лист'!B1564</f>
        <v>мембрана</v>
      </c>
      <c r="H352" s="2664"/>
      <c r="I352" s="837" t="s">
        <v>820</v>
      </c>
      <c r="J352" s="837" t="n">
        <f aca="false">J349*H326*IF(A354='Прайс лист'!B649,0,1)</f>
        <v>105.774305488864</v>
      </c>
      <c r="K352" s="2642" t="n">
        <f aca="false">'Прайс лист'!G1564</f>
        <v>100</v>
      </c>
      <c r="L352" s="2636" t="n">
        <f aca="false">J352*K352</f>
        <v>10577.4305488864</v>
      </c>
      <c r="M352" s="1580"/>
      <c r="N352" s="1580"/>
      <c r="O352" s="1580"/>
      <c r="P352" s="1580"/>
      <c r="Q352" s="1580"/>
      <c r="R352" s="1580"/>
      <c r="S352" s="1580"/>
      <c r="T352" s="1580"/>
      <c r="U352" s="1580"/>
    </row>
    <row r="353" customFormat="false" ht="15" hidden="false" customHeight="true" outlineLevel="1" collapsed="false">
      <c r="A353" s="837" t="str">
        <f aca="false">'Ввод данных'!A346</f>
        <v>Сосна влаж, 50*50мм</v>
      </c>
      <c r="B353" s="837" t="s">
        <v>1043</v>
      </c>
      <c r="C353" s="837" t="n">
        <f aca="false">C342*3*G325*VLOOKUP(A353,связи1!A417:E420,5,0)</f>
        <v>1.11063020763307</v>
      </c>
      <c r="D353" s="837" t="n">
        <f aca="false">VLOOKUP(A353,связи1!A417:D420,2,0)</f>
        <v>6500</v>
      </c>
      <c r="E353" s="837" t="n">
        <f aca="false">C353*D353</f>
        <v>7219.09634961497</v>
      </c>
      <c r="F353" s="1579"/>
      <c r="G353" s="2663" t="str">
        <f aca="false">'Прайс лист'!B1565</f>
        <v>пароизоляц</v>
      </c>
      <c r="H353" s="2664"/>
      <c r="I353" s="837" t="s">
        <v>820</v>
      </c>
      <c r="J353" s="837" t="n">
        <f aca="false">J349*H326*IF(A355='Прайс лист'!B676,0,1)</f>
        <v>105.774305488864</v>
      </c>
      <c r="K353" s="2642" t="n">
        <f aca="false">'Прайс лист'!G1565</f>
        <v>100</v>
      </c>
      <c r="L353" s="2636" t="n">
        <f aca="false">J353*K353</f>
        <v>10577.4305488864</v>
      </c>
      <c r="M353" s="1580"/>
      <c r="N353" s="1580"/>
      <c r="O353" s="1580"/>
      <c r="P353" s="1580"/>
      <c r="Q353" s="1580"/>
      <c r="R353" s="1580"/>
      <c r="S353" s="1580"/>
      <c r="T353" s="1580"/>
      <c r="U353" s="1580"/>
    </row>
    <row r="354" customFormat="false" ht="15" hidden="false" customHeight="true" outlineLevel="1" collapsed="false">
      <c r="A354" s="837" t="str">
        <f aca="false">'Ввод данных'!A355</f>
        <v>Универсальная Optima C</v>
      </c>
      <c r="B354" s="837" t="s">
        <v>820</v>
      </c>
      <c r="C354" s="837" t="n">
        <f aca="false">C342*G325</f>
        <v>148.08402768441</v>
      </c>
      <c r="D354" s="837" t="n">
        <f aca="false">VLOOKUP(A354,'Прайс лист'!B649:G675,6,0)</f>
        <v>19</v>
      </c>
      <c r="E354" s="837" t="n">
        <f aca="false">C354*D354</f>
        <v>2813.59652600378</v>
      </c>
      <c r="F354" s="1579"/>
      <c r="G354" s="2663" t="str">
        <f aca="false">'Прайс лист'!B1566</f>
        <v>утеплитель</v>
      </c>
      <c r="H354" s="2664"/>
      <c r="I354" s="837" t="s">
        <v>820</v>
      </c>
      <c r="J354" s="837" t="n">
        <f aca="false">C341*H326*IF(A356='Прайс лист'!B600,0,1)</f>
        <v>105.774305488864</v>
      </c>
      <c r="K354" s="2642" t="n">
        <f aca="false">'Прайс лист'!G1566</f>
        <v>200</v>
      </c>
      <c r="L354" s="2636" t="n">
        <f aca="false">J354*K354</f>
        <v>21154.8610977728</v>
      </c>
      <c r="M354" s="1580"/>
      <c r="N354" s="1580"/>
      <c r="O354" s="1580"/>
      <c r="P354" s="1580"/>
      <c r="Q354" s="1580"/>
      <c r="R354" s="1580"/>
      <c r="S354" s="1580"/>
      <c r="T354" s="1580"/>
      <c r="U354" s="1580"/>
    </row>
    <row r="355" customFormat="false" ht="15" hidden="false" customHeight="true" outlineLevel="1" collapsed="false">
      <c r="A355" s="837" t="str">
        <f aca="false">'Ввод данных'!A357</f>
        <v>Универсальная Optima C</v>
      </c>
      <c r="B355" s="837" t="s">
        <v>820</v>
      </c>
      <c r="C355" s="837" t="n">
        <f aca="false">C342*D342*G325</f>
        <v>148.08402768441</v>
      </c>
      <c r="D355" s="837" t="n">
        <f aca="false">VLOOKUP(A355,'Прайс лист'!B676:G687,6,0)</f>
        <v>20</v>
      </c>
      <c r="E355" s="837" t="n">
        <f aca="false">C355*D355</f>
        <v>2961.68055368819</v>
      </c>
      <c r="F355" s="1579"/>
      <c r="G355" s="2663" t="str">
        <f aca="false">'Прайс лист'!B1567</f>
        <v>Монтаж металлочерепицы</v>
      </c>
      <c r="H355" s="2664"/>
      <c r="I355" s="837" t="s">
        <v>820</v>
      </c>
      <c r="J355" s="837" t="n">
        <f aca="false">C341*H326*C327/1.1</f>
        <v>96.1584595353309</v>
      </c>
      <c r="K355" s="2642" t="n">
        <f aca="false">'Прайс лист'!G1567</f>
        <v>300</v>
      </c>
      <c r="L355" s="2636" t="n">
        <f aca="false">J355*K355</f>
        <v>28847.5378605993</v>
      </c>
      <c r="M355" s="1580"/>
      <c r="N355" s="1580"/>
      <c r="O355" s="1580"/>
      <c r="P355" s="1580"/>
      <c r="Q355" s="1580"/>
      <c r="R355" s="1580"/>
      <c r="S355" s="1580"/>
      <c r="T355" s="1580"/>
      <c r="U355" s="1580"/>
    </row>
    <row r="356" customFormat="false" ht="15" hidden="false" customHeight="true" outlineLevel="1" collapsed="false">
      <c r="A356" s="837" t="str">
        <f aca="false">'Ввод данных'!A350</f>
        <v>Плитный,28кг/м3, технониколь, 100мм</v>
      </c>
      <c r="B356" s="837" t="s">
        <v>1043</v>
      </c>
      <c r="C356" s="837" t="n">
        <f aca="false">C341*G325*VLOOKUP(A356,'Прайс лист'!B600:G638,3,0)</f>
        <v>10.5774305488864</v>
      </c>
      <c r="D356" s="837" t="n">
        <f aca="false">VLOOKUP(A356,'Прайс лист'!B600:G638,6,0)</f>
        <v>1700</v>
      </c>
      <c r="E356" s="837" t="n">
        <f aca="false">C356*D356</f>
        <v>17981.6319331069</v>
      </c>
      <c r="F356" s="1579"/>
      <c r="G356" s="2663" t="str">
        <f aca="false">'Прайс лист'!B1568</f>
        <v>Монтаж ондулина</v>
      </c>
      <c r="I356" s="652" t="s">
        <v>820</v>
      </c>
      <c r="J356" s="652" t="n">
        <f aca="false">C342*C328/1.1</f>
        <v>0</v>
      </c>
      <c r="K356" s="2642" t="n">
        <f aca="false">'Прайс лист'!G1568</f>
        <v>300</v>
      </c>
      <c r="L356" s="2636" t="n">
        <f aca="false">J356*K356</f>
        <v>0</v>
      </c>
      <c r="M356" s="1580"/>
      <c r="N356" s="1580"/>
      <c r="O356" s="1580"/>
      <c r="P356" s="1580"/>
      <c r="Q356" s="1580"/>
      <c r="R356" s="1580"/>
      <c r="S356" s="1580"/>
      <c r="T356" s="1580"/>
      <c r="U356" s="1580"/>
    </row>
    <row r="357" customFormat="false" ht="15" hidden="false" customHeight="true" outlineLevel="1" collapsed="false">
      <c r="A357" s="837" t="s">
        <v>2918</v>
      </c>
      <c r="B357" s="837" t="s">
        <v>820</v>
      </c>
      <c r="C357" s="837" t="n">
        <f aca="false">C342*C327*G325</f>
        <v>148.08402768441</v>
      </c>
      <c r="D357" s="837" t="n">
        <f aca="false">'Прайс лист'!G956</f>
        <v>250</v>
      </c>
      <c r="E357" s="837" t="n">
        <f aca="false">C357*D357</f>
        <v>37021.0069211024</v>
      </c>
      <c r="F357" s="1579"/>
      <c r="G357" s="2663" t="s">
        <v>4258</v>
      </c>
      <c r="H357" s="2664"/>
      <c r="I357" s="837" t="s">
        <v>15</v>
      </c>
      <c r="J357" s="876" t="n">
        <f aca="false">C359*H326</f>
        <v>72</v>
      </c>
      <c r="K357" s="2642" t="n">
        <f aca="false">'Прайс лист'!G1570</f>
        <v>100</v>
      </c>
      <c r="L357" s="2636" t="n">
        <f aca="false">J357*K357</f>
        <v>7200</v>
      </c>
      <c r="M357" s="1580"/>
      <c r="N357" s="1580"/>
      <c r="O357" s="1580"/>
      <c r="P357" s="1580"/>
      <c r="Q357" s="1580"/>
      <c r="R357" s="1580"/>
      <c r="S357" s="1580"/>
      <c r="T357" s="1580"/>
      <c r="U357" s="1580"/>
    </row>
    <row r="358" customFormat="false" ht="15" hidden="false" customHeight="true" outlineLevel="1" collapsed="false">
      <c r="A358" s="837" t="str">
        <f aca="false">'Прайс лист'!B959</f>
        <v>Конек</v>
      </c>
      <c r="B358" s="837" t="s">
        <v>15</v>
      </c>
      <c r="C358" s="837" t="n">
        <f aca="false">(C338*4+C340)*C327*G325</f>
        <v>28.6093426907597</v>
      </c>
      <c r="D358" s="837" t="n">
        <f aca="false">'Прайс лист'!G971</f>
        <v>200</v>
      </c>
      <c r="E358" s="837" t="n">
        <f aca="false">C358*D358</f>
        <v>5721.86853815194</v>
      </c>
      <c r="F358" s="1579"/>
      <c r="G358" s="2632" t="s">
        <v>2137</v>
      </c>
      <c r="H358" s="2633"/>
      <c r="I358" s="837" t="s">
        <v>15</v>
      </c>
      <c r="J358" s="876" t="n">
        <f aca="false">C375*H326</f>
        <v>34</v>
      </c>
      <c r="K358" s="2642" t="n">
        <f aca="false">'Прайс лист'!G1572</f>
        <v>300</v>
      </c>
      <c r="L358" s="2636" t="n">
        <f aca="false">J358*K358</f>
        <v>10200</v>
      </c>
      <c r="M358" s="1580"/>
      <c r="N358" s="1580"/>
      <c r="O358" s="1580"/>
      <c r="P358" s="1580"/>
      <c r="Q358" s="1580"/>
      <c r="R358" s="1580"/>
      <c r="S358" s="1580"/>
      <c r="T358" s="1580"/>
      <c r="U358" s="1580"/>
    </row>
    <row r="359" customFormat="false" ht="15" hidden="false" customHeight="true" outlineLevel="1" collapsed="false">
      <c r="A359" s="837" t="str">
        <f aca="false">'Прайс лист'!B969</f>
        <v>Карнизная планка</v>
      </c>
      <c r="B359" s="837" t="s">
        <v>15</v>
      </c>
      <c r="C359" s="837" t="n">
        <f aca="false">(C236+C336+C336+D236+C337+C337)*4*G325*C327</f>
        <v>72</v>
      </c>
      <c r="D359" s="837" t="n">
        <f aca="false">'Прайс лист'!G969</f>
        <v>190</v>
      </c>
      <c r="E359" s="837" t="n">
        <f aca="false">C359*D359</f>
        <v>13680</v>
      </c>
      <c r="F359" s="1579"/>
      <c r="G359" s="2663" t="s">
        <v>1728</v>
      </c>
      <c r="H359" s="2664"/>
      <c r="I359" s="837" t="s">
        <v>15</v>
      </c>
      <c r="J359" s="876" t="n">
        <f aca="false">C377*H326</f>
        <v>9.68</v>
      </c>
      <c r="K359" s="2642" t="n">
        <f aca="false">'Прайс лист'!G1573</f>
        <v>300</v>
      </c>
      <c r="L359" s="2636" t="n">
        <f aca="false">J359*K359</f>
        <v>2904</v>
      </c>
      <c r="M359" s="1580"/>
      <c r="N359" s="1580"/>
      <c r="O359" s="1580"/>
      <c r="P359" s="1580"/>
      <c r="Q359" s="1580"/>
      <c r="R359" s="1580"/>
      <c r="S359" s="1580"/>
      <c r="T359" s="1580"/>
      <c r="U359" s="1580"/>
    </row>
    <row r="360" customFormat="false" ht="15" hidden="false" customHeight="true" outlineLevel="1" collapsed="false">
      <c r="A360" s="837" t="s">
        <v>2919</v>
      </c>
      <c r="B360" s="837" t="s">
        <v>820</v>
      </c>
      <c r="C360" s="837" t="n">
        <f aca="false">C342*C328*G325</f>
        <v>0</v>
      </c>
      <c r="D360" s="837" t="n">
        <f aca="false">'Прайс лист'!G968</f>
        <v>180</v>
      </c>
      <c r="E360" s="837" t="n">
        <f aca="false">C360*D360</f>
        <v>0</v>
      </c>
      <c r="F360" s="1579"/>
      <c r="G360" s="2865" t="s">
        <v>249</v>
      </c>
      <c r="H360" s="2866"/>
      <c r="I360" s="2587" t="s">
        <v>15</v>
      </c>
      <c r="J360" s="876" t="n">
        <f aca="false">C358+C362+C370</f>
        <v>28.6093426907597</v>
      </c>
      <c r="K360" s="2642" t="n">
        <f aca="false">'Прайс лист'!G1575</f>
        <v>300</v>
      </c>
      <c r="L360" s="2636" t="n">
        <f aca="false">J360*K360</f>
        <v>8582.80280722791</v>
      </c>
      <c r="M360" s="1580"/>
      <c r="N360" s="1580"/>
      <c r="O360" s="1580"/>
      <c r="P360" s="1580"/>
      <c r="Q360" s="1580"/>
      <c r="R360" s="1580"/>
      <c r="S360" s="1580"/>
      <c r="T360" s="1580"/>
      <c r="U360" s="1580"/>
    </row>
    <row r="361" customFormat="false" ht="15" hidden="false" customHeight="true" outlineLevel="1" collapsed="false">
      <c r="A361" s="837" t="str">
        <f aca="false">'Прайс лист'!B969</f>
        <v>Карнизная планка</v>
      </c>
      <c r="B361" s="837" t="s">
        <v>15</v>
      </c>
      <c r="C361" s="837" t="n">
        <f aca="false">(C236+C336+C336+D236+C337+C337)*4*G325*C328</f>
        <v>0</v>
      </c>
      <c r="D361" s="837" t="n">
        <f aca="false">'Прайс лист'!G969</f>
        <v>190</v>
      </c>
      <c r="E361" s="837" t="n">
        <f aca="false">C361*D361</f>
        <v>0</v>
      </c>
      <c r="F361" s="1579"/>
      <c r="G361" s="2632" t="str">
        <f aca="false">'Прайс лист'!B1576</f>
        <v>Монтаж фанеры/osb</v>
      </c>
      <c r="H361" s="2633"/>
      <c r="I361" s="837" t="s">
        <v>820</v>
      </c>
      <c r="J361" s="876" t="n">
        <f aca="false">C364*C329/1.1*IF(A364='Прайс лист'!B863,0,1)</f>
        <v>0</v>
      </c>
      <c r="K361" s="2642" t="n">
        <f aca="false">'Прайс лист'!G1576</f>
        <v>200</v>
      </c>
      <c r="L361" s="2636" t="n">
        <f aca="false">J361*K361</f>
        <v>0</v>
      </c>
      <c r="M361" s="1580"/>
      <c r="N361" s="1580"/>
      <c r="O361" s="1580"/>
      <c r="P361" s="1580"/>
      <c r="Q361" s="1580"/>
      <c r="R361" s="1580"/>
      <c r="S361" s="1580"/>
      <c r="T361" s="1580"/>
      <c r="U361" s="1580"/>
    </row>
    <row r="362" customFormat="false" ht="15" hidden="false" customHeight="true" outlineLevel="1" collapsed="false">
      <c r="A362" s="837" t="str">
        <f aca="false">'Прайс лист'!B971</f>
        <v>Конек</v>
      </c>
      <c r="B362" s="837" t="s">
        <v>15</v>
      </c>
      <c r="C362" s="837" t="n">
        <f aca="false">(C338*4+C340)*C328*G325</f>
        <v>0</v>
      </c>
      <c r="D362" s="837" t="n">
        <f aca="false">'Прайс лист'!G971</f>
        <v>200</v>
      </c>
      <c r="E362" s="837" t="n">
        <f aca="false">C362*D362</f>
        <v>0</v>
      </c>
      <c r="F362" s="1579"/>
      <c r="G362" s="2632" t="str">
        <f aca="false">'Прайс лист'!B1577</f>
        <v>монтаж подкладочного ковра</v>
      </c>
      <c r="H362" s="2633"/>
      <c r="I362" s="837" t="s">
        <v>820</v>
      </c>
      <c r="J362" s="876" t="n">
        <f aca="false">C367*C329/1.1</f>
        <v>0</v>
      </c>
      <c r="K362" s="2642" t="n">
        <f aca="false">'Прайс лист'!G1577</f>
        <v>150</v>
      </c>
      <c r="L362" s="2636" t="n">
        <f aca="false">J362*K362</f>
        <v>0</v>
      </c>
      <c r="M362" s="1580"/>
      <c r="N362" s="1580"/>
      <c r="O362" s="1580"/>
      <c r="P362" s="1580"/>
      <c r="Q362" s="1580"/>
      <c r="R362" s="1580"/>
      <c r="S362" s="1580"/>
      <c r="T362" s="1580"/>
      <c r="U362" s="1580"/>
    </row>
    <row r="363" customFormat="false" ht="15" hidden="false" customHeight="true" outlineLevel="1" collapsed="false">
      <c r="A363" s="649" t="str">
        <f aca="false">'Прайс лист'!B975</f>
        <v>Крепеж для ондулина</v>
      </c>
      <c r="B363" s="647" t="s">
        <v>48</v>
      </c>
      <c r="C363" s="647" t="n">
        <f aca="false">C341*12*C328*G325</f>
        <v>0</v>
      </c>
      <c r="D363" s="649" t="n">
        <f aca="false">'Прайс лист'!G975</f>
        <v>4.5</v>
      </c>
      <c r="E363" s="837" t="n">
        <f aca="false">C363*D363</f>
        <v>0</v>
      </c>
      <c r="F363" s="1579"/>
      <c r="G363" s="2632" t="str">
        <f aca="false">'Прайс лист'!B1578</f>
        <v>Монтаж мягкой кровли</v>
      </c>
      <c r="H363" s="2633"/>
      <c r="I363" s="837" t="s">
        <v>820</v>
      </c>
      <c r="J363" s="876" t="n">
        <f aca="false">C342*C329/1.1</f>
        <v>0</v>
      </c>
      <c r="K363" s="2642" t="n">
        <f aca="false">'Прайс лист'!G1578</f>
        <v>350</v>
      </c>
      <c r="L363" s="2636" t="n">
        <f aca="false">J363*K363</f>
        <v>0</v>
      </c>
      <c r="M363" s="1580"/>
      <c r="N363" s="1580"/>
      <c r="O363" s="1580"/>
      <c r="P363" s="1580"/>
      <c r="Q363" s="1580"/>
      <c r="R363" s="1580"/>
      <c r="S363" s="1580"/>
      <c r="T363" s="1580"/>
      <c r="U363" s="1580"/>
    </row>
    <row r="364" customFormat="false" ht="15" hidden="false" customHeight="true" outlineLevel="1" collapsed="false">
      <c r="A364" s="649" t="str">
        <f aca="false">'Ввод данных'!A348</f>
        <v>нет</v>
      </c>
      <c r="B364" s="647"/>
      <c r="C364" s="647" t="n">
        <f aca="false">C342*G325</f>
        <v>148.08402768441</v>
      </c>
      <c r="D364" s="649" t="n">
        <f aca="false">VLOOKUP(A364,'Прайс лист'!B863:G907,6,0)</f>
        <v>0</v>
      </c>
      <c r="E364" s="837" t="n">
        <f aca="false">C364*D364</f>
        <v>0</v>
      </c>
      <c r="F364" s="1579"/>
      <c r="M364" s="1580"/>
      <c r="N364" s="1580"/>
      <c r="O364" s="1580"/>
      <c r="P364" s="1580"/>
      <c r="Q364" s="1580"/>
      <c r="R364" s="1580"/>
      <c r="S364" s="1580"/>
      <c r="T364" s="1580"/>
      <c r="U364" s="1580"/>
    </row>
    <row r="365" customFormat="false" ht="15" hidden="false" customHeight="true" outlineLevel="1" collapsed="false">
      <c r="A365" s="837" t="str">
        <f aca="false">'Прайс лист'!B980</f>
        <v>Рядовая черепица</v>
      </c>
      <c r="B365" s="647" t="s">
        <v>15</v>
      </c>
      <c r="C365" s="647" t="n">
        <f aca="false">C342*C329*G325</f>
        <v>0</v>
      </c>
      <c r="D365" s="649" t="n">
        <f aca="false">'Прайс лист'!G980</f>
        <v>360</v>
      </c>
      <c r="E365" s="837" t="n">
        <f aca="false">C365*D365</f>
        <v>0</v>
      </c>
      <c r="F365" s="1579"/>
      <c r="G365" s="2632"/>
      <c r="H365" s="2633"/>
      <c r="I365" s="837"/>
      <c r="J365" s="876"/>
      <c r="K365" s="2642"/>
      <c r="L365" s="2636"/>
      <c r="M365" s="1580"/>
      <c r="N365" s="1580"/>
      <c r="O365" s="1580"/>
      <c r="P365" s="1580"/>
      <c r="Q365" s="1580"/>
      <c r="R365" s="1580"/>
      <c r="S365" s="1580"/>
      <c r="T365" s="1580"/>
      <c r="U365" s="1580"/>
    </row>
    <row r="366" customFormat="false" ht="15" hidden="false" customHeight="true" outlineLevel="1" collapsed="false">
      <c r="A366" s="837" t="str">
        <f aca="false">'Прайс лист'!B981</f>
        <v>Металл оцинк защита (карниз)</v>
      </c>
      <c r="B366" s="647" t="s">
        <v>15</v>
      </c>
      <c r="C366" s="647" t="n">
        <f aca="false">((C334+C336*2)*2+(C335+C337*2)*2)*C329*G325</f>
        <v>0</v>
      </c>
      <c r="D366" s="649" t="n">
        <f aca="false">'Прайс лист'!G981</f>
        <v>200</v>
      </c>
      <c r="E366" s="837" t="n">
        <f aca="false">C366*D366</f>
        <v>0</v>
      </c>
      <c r="F366" s="1579"/>
      <c r="M366" s="1580"/>
      <c r="N366" s="1580"/>
      <c r="O366" s="1580"/>
      <c r="P366" s="1580"/>
      <c r="Q366" s="1580"/>
      <c r="R366" s="1580"/>
      <c r="S366" s="1580"/>
      <c r="T366" s="1580"/>
      <c r="U366" s="1580"/>
    </row>
    <row r="367" customFormat="false" ht="15" hidden="false" customHeight="true" outlineLevel="1" collapsed="false">
      <c r="A367" s="837" t="str">
        <f aca="false">'Прайс лист'!B982</f>
        <v>Подкладочный ковер</v>
      </c>
      <c r="B367" s="647" t="s">
        <v>820</v>
      </c>
      <c r="C367" s="647" t="n">
        <f aca="false">C342*C329*G325</f>
        <v>0</v>
      </c>
      <c r="D367" s="649" t="n">
        <f aca="false">'Прайс лист'!G982</f>
        <v>220</v>
      </c>
      <c r="E367" s="837" t="n">
        <f aca="false">C367*D367</f>
        <v>0</v>
      </c>
      <c r="F367" s="1579"/>
      <c r="M367" s="1580"/>
      <c r="N367" s="1580"/>
      <c r="O367" s="1580"/>
      <c r="P367" s="1580"/>
      <c r="Q367" s="1580"/>
      <c r="R367" s="1580"/>
      <c r="S367" s="1580"/>
      <c r="T367" s="1580"/>
      <c r="U367" s="1580"/>
    </row>
    <row r="368" customFormat="false" ht="15" hidden="false" customHeight="true" outlineLevel="1" collapsed="false">
      <c r="A368" s="837" t="str">
        <f aca="false">'Прайс лист'!B983</f>
        <v>Карнизная самоклеющаяся черепица</v>
      </c>
      <c r="B368" s="647" t="s">
        <v>820</v>
      </c>
      <c r="C368" s="647" t="n">
        <f aca="false">((C334+C336*2)*2+(C335+C337*2)*2)*C329*G325</f>
        <v>0</v>
      </c>
      <c r="D368" s="649" t="n">
        <f aca="false">'Прайс лист'!G983</f>
        <v>220</v>
      </c>
      <c r="E368" s="837" t="n">
        <f aca="false">C368*D368</f>
        <v>0</v>
      </c>
      <c r="F368" s="1579"/>
      <c r="M368" s="1580"/>
      <c r="N368" s="1580"/>
      <c r="O368" s="1580"/>
      <c r="P368" s="1580"/>
      <c r="Q368" s="1580"/>
      <c r="R368" s="1580"/>
      <c r="S368" s="1580"/>
      <c r="T368" s="1580"/>
      <c r="U368" s="1580"/>
    </row>
    <row r="369" customFormat="false" ht="15" hidden="false" customHeight="true" outlineLevel="1" collapsed="false">
      <c r="A369" s="837" t="str">
        <f aca="false">'Прайс лист'!B984</f>
        <v>Спец ковер ендова нижняя</v>
      </c>
      <c r="B369" s="647" t="s">
        <v>2013</v>
      </c>
      <c r="C369" s="647"/>
      <c r="D369" s="649" t="n">
        <f aca="false">'Прайс лист'!G984</f>
        <v>200</v>
      </c>
      <c r="E369" s="837" t="n">
        <f aca="false">C369*D369</f>
        <v>0</v>
      </c>
      <c r="F369" s="1579"/>
      <c r="G369" s="3085"/>
      <c r="H369" s="3086"/>
      <c r="I369" s="2587"/>
      <c r="J369" s="876"/>
      <c r="K369" s="2642"/>
      <c r="L369" s="2636"/>
      <c r="M369" s="1580"/>
      <c r="N369" s="1580"/>
      <c r="O369" s="1580"/>
      <c r="P369" s="1580"/>
      <c r="Q369" s="1580"/>
      <c r="R369" s="1580"/>
      <c r="S369" s="1580"/>
      <c r="T369" s="1580"/>
      <c r="U369" s="1580"/>
    </row>
    <row r="370" customFormat="false" ht="15" hidden="false" customHeight="true" outlineLevel="1" collapsed="false">
      <c r="A370" s="837" t="str">
        <f aca="false">'Прайс лист'!B985</f>
        <v>Коньковой элемент</v>
      </c>
      <c r="B370" s="647" t="s">
        <v>2013</v>
      </c>
      <c r="C370" s="647" t="n">
        <f aca="false">(C338*4+C340)*C329*G325</f>
        <v>0</v>
      </c>
      <c r="D370" s="649" t="n">
        <f aca="false">'Прайс лист'!G985</f>
        <v>250</v>
      </c>
      <c r="E370" s="837" t="n">
        <f aca="false">C370*D370</f>
        <v>0</v>
      </c>
      <c r="F370" s="1579"/>
      <c r="G370" s="3085"/>
      <c r="H370" s="3086"/>
      <c r="I370" s="2587"/>
      <c r="J370" s="876"/>
      <c r="K370" s="2642"/>
      <c r="L370" s="2636"/>
      <c r="M370" s="1580"/>
      <c r="N370" s="1580"/>
      <c r="O370" s="1580"/>
      <c r="P370" s="1580"/>
      <c r="Q370" s="1580"/>
      <c r="R370" s="1580"/>
      <c r="S370" s="1580"/>
      <c r="T370" s="1580"/>
      <c r="U370" s="1580"/>
    </row>
    <row r="371" customFormat="false" ht="15" hidden="false" customHeight="true" outlineLevel="1" collapsed="false">
      <c r="A371" s="837" t="str">
        <f aca="false">'Прайс лист'!B986</f>
        <v>Планка премыкания</v>
      </c>
      <c r="B371" s="647"/>
      <c r="C371" s="647"/>
      <c r="D371" s="649" t="n">
        <f aca="false">'Прайс лист'!G986</f>
        <v>200</v>
      </c>
      <c r="E371" s="837" t="n">
        <f aca="false">C371*D371</f>
        <v>0</v>
      </c>
      <c r="F371" s="1579"/>
      <c r="G371" s="3085"/>
      <c r="H371" s="3086"/>
      <c r="I371" s="2587"/>
      <c r="J371" s="876"/>
      <c r="K371" s="2642"/>
      <c r="L371" s="2636"/>
      <c r="M371" s="1580"/>
      <c r="N371" s="1580"/>
      <c r="O371" s="1580"/>
      <c r="P371" s="1580"/>
      <c r="Q371" s="1580"/>
      <c r="R371" s="1580"/>
      <c r="S371" s="1580"/>
      <c r="T371" s="1580"/>
      <c r="U371" s="1580"/>
    </row>
    <row r="372" customFormat="false" ht="15" hidden="false" customHeight="true" outlineLevel="1" collapsed="false">
      <c r="A372" s="837" t="str">
        <f aca="false">'Прайс лист'!B987</f>
        <v>Гвозди для крепления подкладочного ковра</v>
      </c>
      <c r="B372" s="647" t="s">
        <v>48</v>
      </c>
      <c r="C372" s="647" t="n">
        <f aca="false">C342*10*C329*G325</f>
        <v>0</v>
      </c>
      <c r="D372" s="649" t="n">
        <f aca="false">'Прайс лист'!G987</f>
        <v>0.012</v>
      </c>
      <c r="E372" s="837" t="n">
        <f aca="false">C372*D372</f>
        <v>0</v>
      </c>
      <c r="F372" s="1579"/>
      <c r="G372" s="3085"/>
      <c r="H372" s="3086"/>
      <c r="I372" s="2587"/>
      <c r="J372" s="876"/>
      <c r="K372" s="2642"/>
      <c r="L372" s="2636"/>
      <c r="M372" s="1580"/>
      <c r="N372" s="1580"/>
      <c r="O372" s="1580"/>
      <c r="P372" s="1580"/>
      <c r="Q372" s="1580"/>
      <c r="R372" s="1580"/>
      <c r="S372" s="1580"/>
      <c r="T372" s="1580"/>
      <c r="U372" s="1580"/>
    </row>
    <row r="373" customFormat="false" ht="15" hidden="false" customHeight="true" outlineLevel="1" collapsed="false">
      <c r="A373" s="837" t="str">
        <f aca="false">'Прайс лист'!B988</f>
        <v>Гвозди для крепления черепицы</v>
      </c>
      <c r="B373" s="647" t="s">
        <v>48</v>
      </c>
      <c r="C373" s="647" t="n">
        <f aca="false">C342*C329*20*G325</f>
        <v>0</v>
      </c>
      <c r="D373" s="649" t="n">
        <f aca="false">'Прайс лист'!G988</f>
        <v>0.25</v>
      </c>
      <c r="E373" s="837" t="n">
        <f aca="false">C373*D373</f>
        <v>0</v>
      </c>
      <c r="F373" s="1579"/>
      <c r="G373" s="3085"/>
      <c r="H373" s="3086"/>
      <c r="I373" s="2587"/>
      <c r="J373" s="876"/>
      <c r="K373" s="2642"/>
      <c r="L373" s="2636"/>
      <c r="M373" s="1580"/>
      <c r="N373" s="1580"/>
      <c r="O373" s="1580"/>
      <c r="P373" s="1580"/>
      <c r="Q373" s="1580"/>
      <c r="R373" s="1580"/>
      <c r="S373" s="1580"/>
      <c r="T373" s="1580"/>
      <c r="U373" s="1580"/>
    </row>
    <row r="374" customFormat="false" ht="15" hidden="false" customHeight="true" outlineLevel="1" collapsed="false">
      <c r="A374" s="837" t="str">
        <f aca="false">'Прайс лист'!B989</f>
        <v>Клей для монтажа черепицы</v>
      </c>
      <c r="B374" s="647" t="s">
        <v>434</v>
      </c>
      <c r="C374" s="647" t="n">
        <f aca="false">C341*C329*G325</f>
        <v>0</v>
      </c>
      <c r="D374" s="649" t="n">
        <f aca="false">'Прайс лист'!G989</f>
        <v>250</v>
      </c>
      <c r="E374" s="837" t="n">
        <f aca="false">C374*D374</f>
        <v>0</v>
      </c>
      <c r="F374" s="1579"/>
      <c r="G374" s="3085"/>
      <c r="H374" s="3086"/>
      <c r="I374" s="2587"/>
      <c r="J374" s="876"/>
      <c r="K374" s="2642"/>
      <c r="L374" s="2636"/>
      <c r="M374" s="1580"/>
      <c r="N374" s="1580"/>
      <c r="O374" s="1580"/>
      <c r="P374" s="1580"/>
      <c r="Q374" s="1580"/>
      <c r="R374" s="1580"/>
      <c r="S374" s="1580"/>
      <c r="T374" s="1580"/>
      <c r="U374" s="1580"/>
    </row>
    <row r="375" customFormat="false" ht="15" hidden="false" customHeight="true" outlineLevel="1" collapsed="false">
      <c r="A375" s="837" t="str">
        <f aca="false">'Прайс лист'!B994</f>
        <v>желоб</v>
      </c>
      <c r="B375" s="837" t="s">
        <v>2013</v>
      </c>
      <c r="C375" s="837" t="n">
        <f aca="false">дома!I1195*G325</f>
        <v>34</v>
      </c>
      <c r="D375" s="837" t="n">
        <f aca="false">'Прайс лист'!G994</f>
        <v>300</v>
      </c>
      <c r="E375" s="837" t="n">
        <f aca="false">C375*D375</f>
        <v>10200</v>
      </c>
      <c r="F375" s="1579"/>
      <c r="G375" s="3085"/>
      <c r="H375" s="3086"/>
      <c r="I375" s="2587"/>
      <c r="J375" s="876"/>
      <c r="K375" s="2642"/>
      <c r="L375" s="2636"/>
      <c r="M375" s="1580"/>
      <c r="N375" s="1580"/>
      <c r="O375" s="1580"/>
      <c r="P375" s="1580"/>
      <c r="Q375" s="1580"/>
      <c r="R375" s="1580"/>
      <c r="S375" s="1580"/>
      <c r="T375" s="1580"/>
      <c r="U375" s="1580"/>
    </row>
    <row r="376" customFormat="false" ht="15" hidden="false" customHeight="true" outlineLevel="1" collapsed="false">
      <c r="A376" s="837" t="str">
        <f aca="false">'Прайс лист'!B995</f>
        <v>отвод</v>
      </c>
      <c r="B376" s="837" t="s">
        <v>48</v>
      </c>
      <c r="C376" s="837" t="n">
        <v>4</v>
      </c>
      <c r="D376" s="837" t="n">
        <f aca="false">'Прайс лист'!G995</f>
        <v>250</v>
      </c>
      <c r="E376" s="837" t="n">
        <f aca="false">C376*D376</f>
        <v>1000</v>
      </c>
      <c r="F376" s="1579"/>
      <c r="G376" s="3085"/>
      <c r="H376" s="3086"/>
      <c r="I376" s="2587"/>
      <c r="J376" s="876"/>
      <c r="K376" s="2642"/>
      <c r="L376" s="2636"/>
      <c r="M376" s="1580"/>
      <c r="N376" s="1580"/>
      <c r="O376" s="1580"/>
      <c r="P376" s="1580"/>
      <c r="Q376" s="1580"/>
      <c r="R376" s="1580"/>
      <c r="S376" s="1580"/>
      <c r="T376" s="1580"/>
      <c r="U376" s="1580"/>
    </row>
    <row r="377" customFormat="false" ht="15" hidden="false" customHeight="true" outlineLevel="1" collapsed="false">
      <c r="A377" s="837" t="str">
        <f aca="false">'Прайс лист'!B996</f>
        <v>труба водосточная</v>
      </c>
      <c r="B377" s="837" t="s">
        <v>15</v>
      </c>
      <c r="C377" s="837" t="n">
        <f aca="false">(E236+F236)*2*G325*1.1</f>
        <v>9.68</v>
      </c>
      <c r="D377" s="837" t="n">
        <f aca="false">'Прайс лист'!G996</f>
        <v>300</v>
      </c>
      <c r="E377" s="837" t="n">
        <f aca="false">C377*D377</f>
        <v>2904</v>
      </c>
      <c r="F377" s="1579"/>
      <c r="G377" s="739"/>
      <c r="H377" s="739"/>
      <c r="I377" s="837"/>
      <c r="J377" s="876"/>
      <c r="K377" s="2642"/>
      <c r="L377" s="2636"/>
      <c r="M377" s="1580"/>
      <c r="N377" s="1580"/>
      <c r="O377" s="1580"/>
      <c r="P377" s="1580"/>
      <c r="Q377" s="1580"/>
      <c r="R377" s="1580"/>
      <c r="S377" s="1580"/>
      <c r="T377" s="1580"/>
      <c r="U377" s="1580"/>
    </row>
    <row r="378" customFormat="false" ht="15" hidden="false" customHeight="true" outlineLevel="1" collapsed="false">
      <c r="A378" s="837" t="str">
        <f aca="false">'Прайс лист'!B997</f>
        <v>заглушка для желоба</v>
      </c>
      <c r="B378" s="837" t="s">
        <v>48</v>
      </c>
      <c r="C378" s="837" t="n">
        <f aca="false">4</f>
        <v>4</v>
      </c>
      <c r="D378" s="837" t="n">
        <f aca="false">'Прайс лист'!G997</f>
        <v>190</v>
      </c>
      <c r="E378" s="837" t="n">
        <f aca="false">C378*D378</f>
        <v>760</v>
      </c>
      <c r="F378" s="1579"/>
      <c r="G378" s="739"/>
      <c r="H378" s="739"/>
      <c r="I378" s="837"/>
      <c r="J378" s="876"/>
      <c r="K378" s="2642"/>
      <c r="L378" s="2636"/>
      <c r="M378" s="1580"/>
      <c r="N378" s="1580"/>
      <c r="O378" s="1580"/>
      <c r="P378" s="1580"/>
      <c r="Q378" s="1580"/>
      <c r="R378" s="1580"/>
      <c r="S378" s="1580"/>
      <c r="T378" s="1580"/>
      <c r="U378" s="1580"/>
    </row>
    <row r="379" customFormat="false" ht="15" hidden="false" customHeight="true" outlineLevel="1" collapsed="false">
      <c r="A379" s="837" t="str">
        <f aca="false">'Прайс лист'!B998</f>
        <v>соеденитель для желоба</v>
      </c>
      <c r="B379" s="837" t="s">
        <v>48</v>
      </c>
      <c r="C379" s="837" t="n">
        <f aca="false">(C375/3)+1</f>
        <v>12.3333333333333</v>
      </c>
      <c r="D379" s="837" t="n">
        <f aca="false">'Прайс лист'!G998</f>
        <v>180</v>
      </c>
      <c r="E379" s="837" t="n">
        <f aca="false">C379*D379</f>
        <v>2220</v>
      </c>
      <c r="F379" s="1579"/>
      <c r="G379" s="739"/>
      <c r="H379" s="739"/>
      <c r="I379" s="837"/>
      <c r="J379" s="876"/>
      <c r="K379" s="2642"/>
      <c r="L379" s="2636"/>
      <c r="M379" s="1580"/>
      <c r="N379" s="1580"/>
      <c r="O379" s="1580"/>
      <c r="P379" s="1580"/>
      <c r="Q379" s="1580"/>
      <c r="R379" s="1580"/>
      <c r="S379" s="1580"/>
      <c r="T379" s="1580"/>
      <c r="U379" s="1580"/>
    </row>
    <row r="380" customFormat="false" ht="15" hidden="false" customHeight="true" outlineLevel="1" collapsed="false">
      <c r="A380" s="837" t="str">
        <f aca="false">'Прайс лист'!B999</f>
        <v>кронштейн для желоба</v>
      </c>
      <c r="B380" s="837" t="s">
        <v>48</v>
      </c>
      <c r="C380" s="837" t="n">
        <f aca="false">C375/0.3</f>
        <v>113.333333333333</v>
      </c>
      <c r="D380" s="837" t="n">
        <f aca="false">'Прайс лист'!G999</f>
        <v>130</v>
      </c>
      <c r="E380" s="837" t="n">
        <f aca="false">C380*D380</f>
        <v>14733.3333333333</v>
      </c>
      <c r="F380" s="1579"/>
      <c r="G380" s="739"/>
      <c r="H380" s="739"/>
      <c r="I380" s="876"/>
      <c r="J380" s="876"/>
      <c r="K380" s="2642"/>
      <c r="L380" s="2636"/>
      <c r="M380" s="1580"/>
      <c r="N380" s="1580"/>
      <c r="O380" s="1580"/>
      <c r="P380" s="1580"/>
      <c r="Q380" s="1580"/>
      <c r="R380" s="1580"/>
      <c r="S380" s="1580"/>
      <c r="T380" s="1580"/>
      <c r="U380" s="1580"/>
    </row>
    <row r="381" customFormat="false" ht="15" hidden="false" customHeight="true" outlineLevel="1" collapsed="false">
      <c r="A381" s="837" t="str">
        <f aca="false">'Прайс лист'!B1000</f>
        <v>переход из желоба в трубу</v>
      </c>
      <c r="B381" s="837" t="s">
        <v>48</v>
      </c>
      <c r="C381" s="837" t="n">
        <v>2</v>
      </c>
      <c r="D381" s="837" t="n">
        <f aca="false">'Прайс лист'!G1000</f>
        <v>350</v>
      </c>
      <c r="E381" s="837" t="n">
        <f aca="false">C381*D381</f>
        <v>700</v>
      </c>
      <c r="F381" s="1579"/>
      <c r="G381" s="739"/>
      <c r="H381" s="739"/>
      <c r="I381" s="2587"/>
      <c r="J381" s="2587"/>
      <c r="K381" s="2642"/>
      <c r="L381" s="2636"/>
      <c r="M381" s="1580"/>
      <c r="N381" s="1580"/>
      <c r="O381" s="1580"/>
      <c r="P381" s="1580"/>
      <c r="Q381" s="1580"/>
      <c r="R381" s="1580"/>
      <c r="S381" s="1580"/>
      <c r="T381" s="1580"/>
      <c r="U381" s="1580"/>
    </row>
    <row r="382" customFormat="false" ht="15" hidden="false" customHeight="true" outlineLevel="1" collapsed="false">
      <c r="A382" s="837" t="str">
        <f aca="false">'Прайс лист'!B1001</f>
        <v>лента дельта мульти бэнд</v>
      </c>
      <c r="B382" s="837" t="s">
        <v>48</v>
      </c>
      <c r="C382" s="837" t="n">
        <v>1</v>
      </c>
      <c r="D382" s="837" t="n">
        <f aca="false">'Прайс лист'!G1001</f>
        <v>1200</v>
      </c>
      <c r="E382" s="837" t="n">
        <f aca="false">C382*D382</f>
        <v>1200</v>
      </c>
      <c r="F382" s="1579"/>
      <c r="G382" s="739"/>
      <c r="H382" s="739"/>
      <c r="I382" s="2587"/>
      <c r="J382" s="2587"/>
      <c r="K382" s="2642"/>
      <c r="L382" s="2636"/>
      <c r="M382" s="1580"/>
      <c r="N382" s="1580"/>
      <c r="O382" s="1580"/>
      <c r="P382" s="1580"/>
      <c r="Q382" s="1580"/>
      <c r="R382" s="1580"/>
      <c r="S382" s="1580"/>
      <c r="T382" s="1580"/>
      <c r="U382" s="1580"/>
    </row>
    <row r="383" customFormat="false" ht="15" hidden="false" customHeight="true" outlineLevel="1" collapsed="false">
      <c r="A383" s="837" t="str">
        <f aca="false">'Прайс лист'!B1002</f>
        <v>лента дельта sb-60</v>
      </c>
      <c r="B383" s="837" t="s">
        <v>48</v>
      </c>
      <c r="C383" s="837" t="n">
        <f aca="false">C341/15</f>
        <v>7.05162036592427</v>
      </c>
      <c r="D383" s="837" t="n">
        <f aca="false">'Прайс лист'!G1002</f>
        <v>1100</v>
      </c>
      <c r="E383" s="837" t="n">
        <f aca="false">C383*D383</f>
        <v>7756.7824025167</v>
      </c>
      <c r="F383" s="1579"/>
      <c r="G383" s="739"/>
      <c r="H383" s="739"/>
      <c r="I383" s="2587"/>
      <c r="J383" s="2587"/>
      <c r="K383" s="2642"/>
      <c r="L383" s="2636"/>
      <c r="M383" s="1580"/>
      <c r="N383" s="1580"/>
      <c r="O383" s="1580"/>
      <c r="P383" s="1580"/>
      <c r="Q383" s="1580"/>
      <c r="R383" s="1580"/>
      <c r="S383" s="1580"/>
      <c r="T383" s="1580"/>
      <c r="U383" s="1580"/>
    </row>
    <row r="384" customFormat="false" ht="15" hidden="false" customHeight="true" outlineLevel="1" collapsed="false">
      <c r="A384" s="837" t="str">
        <f aca="false">'Прайс лист'!B1003</f>
        <v>проходка кровельная, канализационная</v>
      </c>
      <c r="B384" s="1555" t="s">
        <v>48</v>
      </c>
      <c r="C384" s="837" t="n">
        <f aca="false">C343</f>
        <v>0</v>
      </c>
      <c r="D384" s="837" t="n">
        <f aca="false">'Прайс лист'!G1003</f>
        <v>3500</v>
      </c>
      <c r="E384" s="837" t="n">
        <f aca="false">C384*D384</f>
        <v>0</v>
      </c>
      <c r="F384" s="1579"/>
      <c r="G384" s="739"/>
      <c r="H384" s="739"/>
      <c r="I384" s="2587"/>
      <c r="J384" s="2587"/>
      <c r="K384" s="2642"/>
      <c r="L384" s="2636"/>
      <c r="M384" s="1580"/>
      <c r="N384" s="1580"/>
      <c r="O384" s="1580"/>
      <c r="P384" s="1580"/>
      <c r="Q384" s="1580"/>
      <c r="R384" s="1580"/>
      <c r="S384" s="1580"/>
      <c r="T384" s="1580"/>
      <c r="U384" s="1580"/>
    </row>
    <row r="385" customFormat="false" ht="15" hidden="false" customHeight="true" outlineLevel="1" collapsed="false">
      <c r="A385" s="837" t="str">
        <f aca="false">'Прайс лист'!B1004</f>
        <v>проходка кровельная, вентиляционная</v>
      </c>
      <c r="B385" s="1555" t="s">
        <v>48</v>
      </c>
      <c r="C385" s="837" t="n">
        <f aca="false">C344</f>
        <v>0</v>
      </c>
      <c r="D385" s="837" t="n">
        <f aca="false">'Прайс лист'!G1004</f>
        <v>3500</v>
      </c>
      <c r="E385" s="837" t="n">
        <f aca="false">C385*D385</f>
        <v>0</v>
      </c>
      <c r="F385" s="1579"/>
      <c r="G385" s="739"/>
      <c r="H385" s="739"/>
      <c r="I385" s="2587"/>
      <c r="J385" s="2587"/>
      <c r="K385" s="2642"/>
      <c r="L385" s="2636"/>
      <c r="M385" s="1580"/>
      <c r="N385" s="1580"/>
      <c r="O385" s="1580"/>
      <c r="P385" s="1580"/>
      <c r="Q385" s="1580"/>
      <c r="R385" s="1580"/>
      <c r="S385" s="1580"/>
      <c r="T385" s="1580"/>
      <c r="U385" s="1580"/>
    </row>
    <row r="386" customFormat="false" ht="15" hidden="false" customHeight="true" outlineLevel="1" collapsed="false">
      <c r="A386" s="837" t="str">
        <f aca="false">'Прайс лист'!B1005</f>
        <v>проодка кровельная, труба котел</v>
      </c>
      <c r="B386" s="1555" t="s">
        <v>48</v>
      </c>
      <c r="C386" s="837" t="n">
        <f aca="false">C345</f>
        <v>0</v>
      </c>
      <c r="D386" s="837" t="n">
        <f aca="false">'Прайс лист'!G1005</f>
        <v>4500</v>
      </c>
      <c r="E386" s="837" t="n">
        <f aca="false">C386*D386</f>
        <v>0</v>
      </c>
      <c r="F386" s="1579"/>
      <c r="G386" s="739"/>
      <c r="H386" s="739"/>
      <c r="I386" s="2587"/>
      <c r="J386" s="2587"/>
      <c r="K386" s="2642"/>
      <c r="L386" s="2636"/>
      <c r="M386" s="1580"/>
      <c r="N386" s="1580"/>
      <c r="O386" s="1580"/>
      <c r="P386" s="1580"/>
      <c r="Q386" s="1580"/>
      <c r="R386" s="1580"/>
      <c r="S386" s="1580"/>
      <c r="T386" s="1580"/>
      <c r="U386" s="1580"/>
    </row>
    <row r="387" customFormat="false" ht="15" hidden="false" customHeight="true" outlineLevel="1" collapsed="false">
      <c r="A387" s="837" t="str">
        <f aca="false">'Прайс лист'!B963</f>
        <v>Кровельный саморез</v>
      </c>
      <c r="B387" s="837" t="s">
        <v>48</v>
      </c>
      <c r="C387" s="837" t="n">
        <f aca="false">C341*12*C327</f>
        <v>1269.29166586637</v>
      </c>
      <c r="D387" s="837" t="n">
        <f aca="false">'Прайс лист'!G963</f>
        <v>2</v>
      </c>
      <c r="E387" s="837" t="n">
        <f aca="false">C387*D387</f>
        <v>2538.58333173274</v>
      </c>
      <c r="F387" s="1579"/>
      <c r="G387" s="739"/>
      <c r="H387" s="739"/>
      <c r="I387" s="2587"/>
      <c r="J387" s="2587"/>
      <c r="K387" s="2642"/>
      <c r="L387" s="2636"/>
      <c r="M387" s="1580"/>
      <c r="N387" s="1580"/>
      <c r="O387" s="1580"/>
      <c r="P387" s="1580"/>
      <c r="Q387" s="1580"/>
      <c r="R387" s="1580"/>
      <c r="S387" s="1580"/>
      <c r="T387" s="1580"/>
      <c r="U387" s="1580"/>
    </row>
    <row r="388" customFormat="false" ht="15" hidden="false" customHeight="true" outlineLevel="1" collapsed="false">
      <c r="A388" s="837" t="str">
        <f aca="false">'Прайс лист'!B742</f>
        <v>Гвозди ершоные 3,4 x 60            </v>
      </c>
      <c r="B388" s="837" t="s">
        <v>434</v>
      </c>
      <c r="C388" s="837" t="n">
        <f aca="false">C352*10</f>
        <v>11.1063020763307</v>
      </c>
      <c r="D388" s="837" t="n">
        <f aca="false">'Прайс лист'!G742</f>
        <v>75.51</v>
      </c>
      <c r="E388" s="837" t="n">
        <f aca="false">C388*D388</f>
        <v>838.636869783733</v>
      </c>
      <c r="F388" s="1579"/>
      <c r="G388" s="739"/>
      <c r="H388" s="739"/>
      <c r="I388" s="2587"/>
      <c r="J388" s="2587"/>
      <c r="K388" s="2642"/>
      <c r="L388" s="2636"/>
      <c r="M388" s="1580"/>
      <c r="N388" s="1580"/>
      <c r="O388" s="1580"/>
      <c r="P388" s="1580"/>
      <c r="Q388" s="1580"/>
      <c r="R388" s="1580"/>
      <c r="S388" s="1580"/>
      <c r="T388" s="1580"/>
      <c r="U388" s="1580"/>
    </row>
    <row r="389" customFormat="false" ht="15" hidden="false" customHeight="true" outlineLevel="1" collapsed="false">
      <c r="A389" s="837" t="str">
        <f aca="false">'Прайс лист'!B737</f>
        <v>Гвозди строительные 3,5 x 90            </v>
      </c>
      <c r="B389" s="837" t="s">
        <v>434</v>
      </c>
      <c r="C389" s="837" t="n">
        <f aca="false">(C349+C350+C351)*6</f>
        <v>15.5920749263852</v>
      </c>
      <c r="D389" s="837" t="n">
        <f aca="false">'Прайс лист'!G743</f>
        <v>76.49</v>
      </c>
      <c r="E389" s="837" t="n">
        <f aca="false">C389*D389</f>
        <v>1192.6378111192</v>
      </c>
      <c r="F389" s="1579"/>
      <c r="G389" s="739"/>
      <c r="H389" s="739"/>
      <c r="I389" s="2587"/>
      <c r="J389" s="2587"/>
      <c r="K389" s="2642"/>
      <c r="L389" s="2636"/>
      <c r="M389" s="1580"/>
      <c r="N389" s="1580"/>
      <c r="O389" s="1580"/>
      <c r="P389" s="1580"/>
      <c r="Q389" s="1580"/>
      <c r="R389" s="1580"/>
      <c r="S389" s="1580"/>
      <c r="T389" s="1580"/>
      <c r="U389" s="1580"/>
    </row>
    <row r="390" customFormat="false" ht="15" hidden="false" customHeight="true" outlineLevel="1" collapsed="false">
      <c r="A390" s="837" t="str">
        <f aca="false">'Прайс лист'!B699</f>
        <v>Пластина соеденительная 100х240х2           </v>
      </c>
      <c r="B390" s="837" t="s">
        <v>48</v>
      </c>
      <c r="C390" s="2636" t="n">
        <f aca="false">C341/7</f>
        <v>15.1106150698377</v>
      </c>
      <c r="D390" s="837" t="n">
        <f aca="false">'Прайс лист'!G699</f>
        <v>31.54</v>
      </c>
      <c r="E390" s="837" t="n">
        <f aca="false">C390*D390</f>
        <v>476.588799302682</v>
      </c>
      <c r="F390" s="1579"/>
      <c r="G390" s="739"/>
      <c r="H390" s="739"/>
      <c r="I390" s="2587"/>
      <c r="J390" s="2587"/>
      <c r="K390" s="2642"/>
      <c r="L390" s="2636"/>
      <c r="M390" s="1580"/>
      <c r="N390" s="1580"/>
      <c r="O390" s="1580"/>
      <c r="P390" s="1580"/>
      <c r="Q390" s="1580"/>
      <c r="R390" s="1580"/>
      <c r="S390" s="1580"/>
      <c r="T390" s="1580"/>
      <c r="U390" s="1580"/>
    </row>
    <row r="391" customFormat="false" ht="15" hidden="false" customHeight="true" outlineLevel="1" collapsed="false">
      <c r="A391" s="837" t="str">
        <f aca="false">'Прайс лист'!B693</f>
        <v>Уголок усиленный 90х70х55х2,5        </v>
      </c>
      <c r="B391" s="837" t="s">
        <v>48</v>
      </c>
      <c r="C391" s="2636" t="n">
        <f aca="false">C341*2</f>
        <v>211.548610977728</v>
      </c>
      <c r="D391" s="837" t="n">
        <f aca="false">'Прайс лист'!G693</f>
        <v>30</v>
      </c>
      <c r="E391" s="837" t="n">
        <f aca="false">C391*D391</f>
        <v>6346.45832933184</v>
      </c>
      <c r="F391" s="1579"/>
      <c r="G391" s="739"/>
      <c r="H391" s="739"/>
      <c r="I391" s="2587"/>
      <c r="J391" s="2587"/>
      <c r="K391" s="2642"/>
      <c r="L391" s="2636"/>
      <c r="M391" s="1580"/>
      <c r="N391" s="1580"/>
      <c r="O391" s="1580"/>
      <c r="P391" s="1580"/>
      <c r="Q391" s="1580"/>
      <c r="R391" s="1580"/>
      <c r="S391" s="1580"/>
      <c r="T391" s="1580"/>
      <c r="U391" s="1580"/>
    </row>
    <row r="392" customFormat="false" ht="15" hidden="false" customHeight="true" outlineLevel="1" collapsed="false">
      <c r="A392" s="837" t="str">
        <f aca="false">'Ввод данных'!A359</f>
        <v>Нет техники</v>
      </c>
      <c r="B392" s="837" t="str">
        <f aca="false">'Ввод данных'!B359</f>
        <v>ед.</v>
      </c>
      <c r="C392" s="837" t="n">
        <f aca="false">'Ввод данных'!C359</f>
        <v>4</v>
      </c>
      <c r="D392" s="837" t="n">
        <f aca="false">VLOOKUP(A392,'Прайс лист'!B192:G206,6,0)</f>
        <v>0</v>
      </c>
      <c r="E392" s="837" t="n">
        <f aca="false">C392*D392</f>
        <v>0</v>
      </c>
      <c r="F392" s="1579"/>
      <c r="G392" s="739"/>
      <c r="H392" s="739"/>
      <c r="I392" s="2587"/>
      <c r="J392" s="2587"/>
      <c r="K392" s="2642"/>
      <c r="L392" s="2636"/>
      <c r="M392" s="1580"/>
      <c r="N392" s="1580"/>
      <c r="O392" s="1580"/>
      <c r="P392" s="1580"/>
      <c r="Q392" s="1580"/>
      <c r="R392" s="1580"/>
      <c r="S392" s="1580"/>
      <c r="T392" s="1580"/>
      <c r="U392" s="1580"/>
    </row>
    <row r="393" customFormat="false" ht="15" hidden="false" customHeight="true" outlineLevel="1" collapsed="false">
      <c r="A393" s="837" t="str">
        <f aca="false">'Ввод данных'!A360</f>
        <v>Нет техники</v>
      </c>
      <c r="B393" s="837" t="str">
        <f aca="false">'Ввод данных'!B360</f>
        <v>ед.</v>
      </c>
      <c r="C393" s="837" t="n">
        <f aca="false">'Ввод данных'!C360</f>
        <v>0</v>
      </c>
      <c r="D393" s="837" t="n">
        <f aca="false">VLOOKUP(A393,'Прайс лист'!B192:G206,6,0)</f>
        <v>0</v>
      </c>
      <c r="E393" s="837" t="n">
        <f aca="false">C393*D393</f>
        <v>0</v>
      </c>
      <c r="F393" s="1579"/>
      <c r="G393" s="647"/>
      <c r="H393" s="647"/>
      <c r="I393" s="647"/>
      <c r="J393" s="647"/>
      <c r="K393" s="647"/>
      <c r="L393" s="647"/>
      <c r="M393" s="1580"/>
      <c r="N393" s="1580"/>
      <c r="O393" s="1580"/>
      <c r="P393" s="1580"/>
      <c r="Q393" s="1580"/>
      <c r="R393" s="1580"/>
      <c r="S393" s="1580"/>
      <c r="T393" s="1580"/>
      <c r="U393" s="1580"/>
    </row>
    <row r="394" customFormat="false" ht="15" hidden="false" customHeight="true" outlineLevel="1" collapsed="false">
      <c r="A394" s="837" t="str">
        <f aca="false">'Ввод данных'!A362</f>
        <v>расходные материалы вальмовая кровля</v>
      </c>
      <c r="B394" s="837" t="str">
        <f aca="false">'Ввод данных'!B362</f>
        <v>рублей</v>
      </c>
      <c r="C394" s="2636" t="n">
        <f aca="false">1</f>
        <v>1</v>
      </c>
      <c r="D394" s="837" t="n">
        <f aca="false">'Ввод данных'!C362</f>
        <v>3000</v>
      </c>
      <c r="E394" s="837" t="n">
        <f aca="false">C394*D394</f>
        <v>3000</v>
      </c>
      <c r="F394" s="1579"/>
      <c r="G394" s="739"/>
      <c r="H394" s="739"/>
      <c r="I394" s="2587"/>
      <c r="J394" s="2587"/>
      <c r="K394" s="2642"/>
      <c r="L394" s="2636"/>
      <c r="M394" s="1580"/>
      <c r="N394" s="1580"/>
      <c r="O394" s="1580"/>
      <c r="P394" s="1580"/>
      <c r="Q394" s="1580"/>
      <c r="R394" s="1580"/>
      <c r="S394" s="1580"/>
      <c r="T394" s="1580"/>
      <c r="U394" s="1580"/>
    </row>
    <row r="395" customFormat="false" ht="15" hidden="false" customHeight="true" outlineLevel="1" collapsed="false">
      <c r="A395" s="1579"/>
      <c r="B395" s="1579"/>
      <c r="C395" s="1579"/>
      <c r="D395" s="1579"/>
      <c r="E395" s="837" t="n">
        <f aca="false">SUM(E349:E394)</f>
        <v>167376.412551987</v>
      </c>
      <c r="F395" s="1579"/>
      <c r="G395" s="1579"/>
      <c r="H395" s="1580"/>
      <c r="I395" s="1580"/>
      <c r="J395" s="1580"/>
      <c r="K395" s="3069"/>
      <c r="L395" s="3087" t="n">
        <f aca="false">SUM(L349:L394)</f>
        <v>168797.361431134</v>
      </c>
      <c r="M395" s="1580"/>
      <c r="N395" s="1580"/>
      <c r="O395" s="1580"/>
      <c r="P395" s="1580"/>
      <c r="Q395" s="1580"/>
      <c r="R395" s="1580"/>
      <c r="S395" s="1580"/>
      <c r="T395" s="1580"/>
      <c r="U395" s="1580"/>
    </row>
    <row r="396" customFormat="false" ht="15" hidden="false" customHeight="true" outlineLevel="1" collapsed="false">
      <c r="F396" s="1579"/>
      <c r="M396" s="1580"/>
      <c r="N396" s="1580"/>
      <c r="O396" s="1580"/>
      <c r="P396" s="1580"/>
      <c r="Q396" s="1580"/>
      <c r="R396" s="1580"/>
      <c r="S396" s="1580"/>
      <c r="T396" s="1580"/>
      <c r="U396" s="1580"/>
    </row>
    <row r="397" customFormat="false" ht="15" hidden="false" customHeight="true" outlineLevel="1" collapsed="false">
      <c r="F397" s="1579"/>
      <c r="M397" s="1580"/>
      <c r="N397" s="1580"/>
      <c r="O397" s="1580"/>
      <c r="P397" s="1580"/>
      <c r="Q397" s="1580"/>
      <c r="R397" s="1580"/>
      <c r="S397" s="1580"/>
      <c r="T397" s="1580"/>
      <c r="U397" s="1580"/>
    </row>
    <row r="398" customFormat="false" ht="15" hidden="false" customHeight="true" outlineLevel="1" collapsed="false">
      <c r="A398" s="837" t="s">
        <v>2920</v>
      </c>
      <c r="B398" s="2636" t="n">
        <f aca="false">E395</f>
        <v>167376.412551987</v>
      </c>
      <c r="C398" s="1579"/>
      <c r="D398" s="1579"/>
      <c r="E398" s="1579"/>
      <c r="F398" s="1579"/>
      <c r="G398" s="1579"/>
      <c r="H398" s="1580"/>
      <c r="I398" s="1580"/>
      <c r="J398" s="1580"/>
      <c r="K398" s="3069"/>
      <c r="L398" s="1580"/>
      <c r="M398" s="1580"/>
      <c r="N398" s="1580"/>
      <c r="O398" s="1580"/>
      <c r="P398" s="1580"/>
      <c r="Q398" s="1580"/>
      <c r="R398" s="1580"/>
      <c r="S398" s="1580"/>
      <c r="T398" s="1580"/>
      <c r="U398" s="1580"/>
    </row>
    <row r="399" customFormat="false" ht="15" hidden="false" customHeight="true" outlineLevel="1" collapsed="false">
      <c r="A399" s="837" t="s">
        <v>2921</v>
      </c>
      <c r="B399" s="2636" t="n">
        <f aca="false">L395</f>
        <v>168797.361431134</v>
      </c>
      <c r="C399" s="1579"/>
      <c r="D399" s="1579"/>
      <c r="E399" s="1579"/>
      <c r="F399" s="1579"/>
      <c r="G399" s="1579"/>
      <c r="H399" s="1580"/>
      <c r="I399" s="1580"/>
      <c r="J399" s="1580"/>
      <c r="K399" s="3069"/>
      <c r="L399" s="1580"/>
      <c r="M399" s="1580"/>
      <c r="N399" s="1580"/>
      <c r="O399" s="1580"/>
      <c r="P399" s="1580"/>
      <c r="Q399" s="1580"/>
      <c r="R399" s="1580"/>
      <c r="S399" s="1580"/>
      <c r="T399" s="1580"/>
      <c r="U399" s="1580"/>
    </row>
    <row r="400" customFormat="false" ht="15" hidden="false" customHeight="true" outlineLevel="1" collapsed="false">
      <c r="A400" s="837" t="s">
        <v>2922</v>
      </c>
      <c r="B400" s="2636" t="n">
        <f aca="false">SUM(B398:B399)</f>
        <v>336173.773983122</v>
      </c>
      <c r="C400" s="1579"/>
      <c r="D400" s="1579"/>
      <c r="E400" s="1579"/>
      <c r="F400" s="1579"/>
      <c r="G400" s="1579"/>
      <c r="H400" s="1580"/>
      <c r="I400" s="1580"/>
      <c r="J400" s="1580"/>
      <c r="K400" s="3069"/>
      <c r="L400" s="1580"/>
      <c r="M400" s="1580"/>
      <c r="N400" s="1580"/>
      <c r="O400" s="1580"/>
      <c r="P400" s="1580"/>
      <c r="Q400" s="1580"/>
      <c r="R400" s="1580"/>
      <c r="S400" s="1580"/>
      <c r="T400" s="1580"/>
      <c r="U400" s="1580"/>
    </row>
    <row r="401" s="923" customFormat="true" ht="15" hidden="false" customHeight="true" outlineLevel="0" collapsed="false">
      <c r="A401" s="918" t="s">
        <v>4259</v>
      </c>
      <c r="B401" s="3006"/>
      <c r="C401" s="3064"/>
      <c r="D401" s="3064"/>
      <c r="E401" s="3064"/>
      <c r="F401" s="3064"/>
      <c r="G401" s="2653"/>
      <c r="H401" s="2589"/>
      <c r="I401" s="2589"/>
      <c r="J401" s="2589"/>
      <c r="K401" s="2643"/>
      <c r="L401" s="2589"/>
      <c r="M401" s="2589"/>
      <c r="N401" s="2589"/>
      <c r="O401" s="2589"/>
      <c r="P401" s="2589"/>
      <c r="Q401" s="2589"/>
      <c r="R401" s="2589"/>
      <c r="S401" s="2589"/>
      <c r="T401" s="2589"/>
      <c r="U401" s="2589"/>
    </row>
    <row r="402" customFormat="false" ht="15" hidden="false" customHeight="true" outlineLevel="0" collapsed="false">
      <c r="A402" s="2637"/>
      <c r="B402" s="1580"/>
      <c r="C402" s="2630"/>
      <c r="D402" s="2630"/>
      <c r="E402" s="1580"/>
      <c r="F402" s="2630"/>
      <c r="G402" s="2630"/>
      <c r="H402" s="1580"/>
      <c r="I402" s="1580"/>
      <c r="J402" s="1580"/>
      <c r="K402" s="3069"/>
      <c r="L402" s="1580"/>
      <c r="M402" s="1580"/>
      <c r="N402" s="1580"/>
      <c r="O402" s="1580"/>
      <c r="P402" s="1580"/>
      <c r="Q402" s="1580"/>
      <c r="R402" s="1580"/>
      <c r="S402" s="1580"/>
      <c r="T402" s="1580"/>
      <c r="U402" s="1580"/>
    </row>
    <row r="403" customFormat="false" ht="15" hidden="false" customHeight="true" outlineLevel="1" collapsed="false">
      <c r="A403" s="3071" t="s">
        <v>4260</v>
      </c>
      <c r="B403" s="3071"/>
      <c r="C403" s="3071"/>
      <c r="D403" s="3071"/>
      <c r="E403" s="3071"/>
      <c r="F403" s="3071"/>
      <c r="G403" s="3071"/>
      <c r="H403" s="3071"/>
      <c r="I403" s="3071"/>
      <c r="J403" s="3071"/>
      <c r="K403" s="3071"/>
      <c r="L403" s="3071"/>
      <c r="M403" s="1580"/>
      <c r="N403" s="1580"/>
      <c r="O403" s="1580"/>
      <c r="P403" s="1580"/>
      <c r="Q403" s="1580"/>
      <c r="R403" s="1580"/>
      <c r="S403" s="1580"/>
      <c r="T403" s="1580"/>
      <c r="U403" s="1580"/>
    </row>
    <row r="404" customFormat="false" ht="15" hidden="false" customHeight="true" outlineLevel="1" collapsed="false">
      <c r="A404" s="3071"/>
      <c r="B404" s="3071"/>
      <c r="C404" s="3071"/>
      <c r="D404" s="3071"/>
      <c r="E404" s="3071"/>
      <c r="F404" s="3071"/>
      <c r="G404" s="3071"/>
      <c r="H404" s="3071"/>
      <c r="I404" s="3071"/>
      <c r="J404" s="3071"/>
      <c r="K404" s="3071"/>
      <c r="L404" s="3071"/>
      <c r="M404" s="1580"/>
      <c r="N404" s="1580"/>
      <c r="O404" s="1580"/>
      <c r="P404" s="1580"/>
      <c r="Q404" s="1580"/>
      <c r="R404" s="1580"/>
      <c r="S404" s="1580"/>
      <c r="T404" s="1580"/>
      <c r="U404" s="1580"/>
    </row>
    <row r="405" customFormat="false" ht="15" hidden="false" customHeight="true" outlineLevel="1" collapsed="false">
      <c r="A405" s="1520" t="s">
        <v>461</v>
      </c>
      <c r="B405" s="1520"/>
      <c r="C405" s="1520"/>
      <c r="D405" s="1520"/>
      <c r="E405" s="1520"/>
      <c r="F405" s="1520"/>
      <c r="G405" s="3056" t="n">
        <f aca="false">'Ввод данных'!E367</f>
        <v>1</v>
      </c>
      <c r="H405" s="1521"/>
      <c r="I405" s="1521"/>
      <c r="J405" s="1521"/>
      <c r="K405" s="1521"/>
      <c r="L405" s="1521"/>
      <c r="M405" s="1580"/>
      <c r="N405" s="1580"/>
      <c r="O405" s="1580"/>
      <c r="P405" s="1580"/>
      <c r="Q405" s="1580"/>
      <c r="R405" s="1580"/>
      <c r="S405" s="1580"/>
      <c r="T405" s="1580"/>
      <c r="U405" s="1580"/>
    </row>
    <row r="406" customFormat="false" ht="15" hidden="false" customHeight="true" outlineLevel="1" collapsed="false">
      <c r="A406" s="1520"/>
      <c r="B406" s="1520"/>
      <c r="C406" s="1520"/>
      <c r="D406" s="1520"/>
      <c r="E406" s="1520"/>
      <c r="F406" s="1520"/>
      <c r="G406" s="3072"/>
      <c r="H406" s="1521" t="n">
        <f aca="false">'Ввод данных'!E368</f>
        <v>1</v>
      </c>
      <c r="I406" s="1521"/>
      <c r="J406" s="1521"/>
      <c r="K406" s="1521"/>
      <c r="L406" s="1521"/>
      <c r="M406" s="1580"/>
      <c r="N406" s="1580"/>
      <c r="O406" s="1580"/>
      <c r="P406" s="1580"/>
      <c r="Q406" s="1580"/>
      <c r="R406" s="1580"/>
      <c r="S406" s="1580"/>
      <c r="T406" s="1580"/>
      <c r="U406" s="1580"/>
    </row>
    <row r="407" customFormat="false" ht="15" hidden="false" customHeight="true" outlineLevel="1" collapsed="false">
      <c r="A407" s="3057" t="s">
        <v>2902</v>
      </c>
      <c r="B407" s="3058" t="s">
        <v>15</v>
      </c>
      <c r="C407" s="3058" t="n">
        <f aca="false">дома!K1130+дома!L1130*(1-дома!Q1112)</f>
        <v>110.5307463295</v>
      </c>
      <c r="D407" s="3088" t="n">
        <v>1</v>
      </c>
      <c r="E407" s="1521"/>
      <c r="F407" s="1521"/>
      <c r="G407" s="1521"/>
      <c r="H407" s="1521"/>
      <c r="I407" s="1521"/>
      <c r="J407" s="1521"/>
      <c r="K407" s="1521"/>
      <c r="L407" s="1521"/>
      <c r="M407" s="1580"/>
      <c r="N407" s="1580"/>
      <c r="O407" s="1580"/>
      <c r="P407" s="1580"/>
      <c r="Q407" s="1580"/>
      <c r="R407" s="1580"/>
      <c r="S407" s="1580"/>
      <c r="T407" s="1580"/>
      <c r="U407" s="1580"/>
    </row>
    <row r="408" customFormat="false" ht="15" hidden="false" customHeight="true" outlineLevel="1" collapsed="false">
      <c r="A408" s="3057" t="s">
        <v>3941</v>
      </c>
      <c r="B408" s="3058" t="s">
        <v>15</v>
      </c>
      <c r="C408" s="3058" t="n">
        <f aca="false">'Ввод данных'!C373</f>
        <v>0</v>
      </c>
      <c r="D408" s="1521"/>
      <c r="E408" s="1521"/>
      <c r="F408" s="1521"/>
      <c r="G408" s="1521"/>
      <c r="H408" s="1521"/>
      <c r="I408" s="1521"/>
      <c r="J408" s="1521"/>
      <c r="K408" s="1521"/>
      <c r="L408" s="1521"/>
      <c r="M408" s="1580"/>
      <c r="N408" s="1580"/>
      <c r="O408" s="1580"/>
      <c r="P408" s="1580"/>
      <c r="Q408" s="1580"/>
      <c r="R408" s="1580"/>
      <c r="S408" s="1580"/>
      <c r="T408" s="1580"/>
      <c r="U408" s="1580"/>
    </row>
    <row r="409" customFormat="false" ht="15" hidden="false" customHeight="true" outlineLevel="1" collapsed="false">
      <c r="A409" s="3057" t="s">
        <v>3942</v>
      </c>
      <c r="B409" s="3058" t="s">
        <v>15</v>
      </c>
      <c r="C409" s="3058" t="n">
        <f aca="false">'Ввод данных'!C374</f>
        <v>0</v>
      </c>
      <c r="D409" s="1521"/>
      <c r="E409" s="1521"/>
      <c r="F409" s="1521"/>
      <c r="G409" s="1521"/>
      <c r="H409" s="1521"/>
      <c r="I409" s="1521"/>
      <c r="J409" s="1521"/>
      <c r="K409" s="1521"/>
      <c r="L409" s="1521"/>
      <c r="M409" s="1580"/>
      <c r="N409" s="1580"/>
      <c r="O409" s="1580"/>
      <c r="P409" s="1580"/>
      <c r="Q409" s="1580"/>
      <c r="R409" s="1580"/>
      <c r="S409" s="1580"/>
      <c r="T409" s="1580"/>
      <c r="U409" s="1580"/>
    </row>
    <row r="410" customFormat="false" ht="15" hidden="false" customHeight="true" outlineLevel="1" collapsed="false">
      <c r="A410" s="3073" t="s">
        <v>3943</v>
      </c>
      <c r="B410" s="1549" t="s">
        <v>48</v>
      </c>
      <c r="C410" s="3089" t="n">
        <f aca="false">IF('Ввод данных'!A372=связи1!A6,1,0)</f>
        <v>1</v>
      </c>
      <c r="D410" s="3090" t="s">
        <v>4242</v>
      </c>
      <c r="E410" s="3091"/>
      <c r="F410" s="3091" t="s">
        <v>200</v>
      </c>
      <c r="G410" s="3077" t="n">
        <f aca="false">дома!J1132</f>
        <v>8</v>
      </c>
      <c r="H410" s="3077"/>
      <c r="I410" s="3078"/>
      <c r="J410" s="2589"/>
      <c r="K410" s="2589"/>
      <c r="L410" s="2589"/>
      <c r="M410" s="1580"/>
      <c r="N410" s="1580"/>
      <c r="O410" s="1580"/>
      <c r="P410" s="1580"/>
      <c r="Q410" s="1580"/>
      <c r="R410" s="1580"/>
      <c r="S410" s="1580"/>
      <c r="T410" s="1580"/>
      <c r="U410" s="1580"/>
    </row>
    <row r="411" customFormat="false" ht="15" hidden="false" customHeight="true" outlineLevel="1" collapsed="false">
      <c r="A411" s="3065" t="s">
        <v>3944</v>
      </c>
      <c r="B411" s="837" t="s">
        <v>48</v>
      </c>
      <c r="C411" s="3089" t="n">
        <f aca="false">IF('Ввод данных'!A372=связи1!A7,1,0)</f>
        <v>0</v>
      </c>
      <c r="D411" s="3090" t="s">
        <v>4243</v>
      </c>
      <c r="E411" s="3091"/>
      <c r="F411" s="3091" t="s">
        <v>116</v>
      </c>
      <c r="G411" s="3077" t="n">
        <f aca="false">дома!J1133</f>
        <v>8</v>
      </c>
      <c r="H411" s="3077"/>
      <c r="I411" s="3078"/>
      <c r="J411" s="2589"/>
      <c r="K411" s="2589"/>
      <c r="L411" s="2589"/>
      <c r="M411" s="1580"/>
      <c r="N411" s="1580"/>
      <c r="O411" s="1580"/>
      <c r="P411" s="1580"/>
      <c r="Q411" s="1580"/>
      <c r="R411" s="1580"/>
      <c r="S411" s="1580"/>
      <c r="T411" s="1580"/>
      <c r="U411" s="1580"/>
    </row>
    <row r="412" customFormat="false" ht="15" hidden="false" customHeight="true" outlineLevel="1" collapsed="false">
      <c r="A412" s="3065" t="s">
        <v>3980</v>
      </c>
      <c r="B412" s="837" t="s">
        <v>4261</v>
      </c>
      <c r="C412" s="3089" t="n">
        <f aca="false">IF('Ввод данных'!A372=связи1!A8,1,0)</f>
        <v>0</v>
      </c>
      <c r="D412" s="3090"/>
      <c r="E412" s="3091"/>
      <c r="F412" s="3091"/>
      <c r="G412" s="3077"/>
      <c r="H412" s="3077"/>
      <c r="I412" s="3078"/>
      <c r="J412" s="2589"/>
      <c r="K412" s="2589"/>
      <c r="L412" s="2589"/>
      <c r="M412" s="1580"/>
      <c r="N412" s="1580"/>
      <c r="O412" s="1580"/>
      <c r="P412" s="1580"/>
      <c r="Q412" s="1580"/>
      <c r="R412" s="1580"/>
      <c r="S412" s="1580"/>
      <c r="T412" s="1580"/>
      <c r="U412" s="1580"/>
    </row>
    <row r="413" customFormat="false" ht="15" hidden="false" customHeight="true" outlineLevel="1" collapsed="false">
      <c r="A413" s="3065" t="s">
        <v>4245</v>
      </c>
      <c r="B413" s="837" t="s">
        <v>15</v>
      </c>
      <c r="C413" s="3092" t="n">
        <f aca="false">'Ввод данных'!C380</f>
        <v>0</v>
      </c>
      <c r="D413" s="3090" t="s">
        <v>4246</v>
      </c>
      <c r="E413" s="3091"/>
      <c r="F413" s="3091"/>
      <c r="G413" s="3077" t="n">
        <f aca="false">дома!J1138</f>
        <v>0.5</v>
      </c>
      <c r="H413" s="3077"/>
      <c r="I413" s="3078"/>
      <c r="J413" s="2589"/>
      <c r="K413" s="2589"/>
      <c r="L413" s="2589"/>
      <c r="M413" s="1580"/>
      <c r="N413" s="1580"/>
      <c r="O413" s="1580"/>
      <c r="P413" s="1580"/>
      <c r="Q413" s="1580"/>
      <c r="R413" s="1580"/>
      <c r="S413" s="1580"/>
      <c r="T413" s="1580"/>
      <c r="U413" s="1580"/>
    </row>
    <row r="414" customFormat="false" ht="15" hidden="false" customHeight="true" outlineLevel="1" collapsed="false">
      <c r="A414" s="3065" t="s">
        <v>4247</v>
      </c>
      <c r="B414" s="837" t="s">
        <v>15</v>
      </c>
      <c r="C414" s="3092" t="n">
        <v>0.05</v>
      </c>
      <c r="D414" s="3090" t="s">
        <v>4248</v>
      </c>
      <c r="E414" s="3091"/>
      <c r="F414" s="3091"/>
      <c r="G414" s="3077" t="n">
        <f aca="false">дома!J1135</f>
        <v>3.4</v>
      </c>
      <c r="H414" s="3077"/>
      <c r="I414" s="3078"/>
      <c r="J414" s="2589"/>
      <c r="K414" s="2589"/>
      <c r="L414" s="2589"/>
      <c r="M414" s="1580"/>
      <c r="N414" s="1580"/>
      <c r="O414" s="1580"/>
      <c r="P414" s="1580"/>
      <c r="Q414" s="1580"/>
      <c r="R414" s="1580"/>
      <c r="S414" s="1580"/>
      <c r="T414" s="1580"/>
      <c r="U414" s="1580"/>
    </row>
    <row r="415" customFormat="false" ht="15" hidden="false" customHeight="true" outlineLevel="1" collapsed="false">
      <c r="A415" s="3065" t="s">
        <v>4249</v>
      </c>
      <c r="B415" s="837" t="s">
        <v>15</v>
      </c>
      <c r="C415" s="2609" t="n">
        <f aca="false">дома!L1164</f>
        <v>6</v>
      </c>
      <c r="D415" s="3090" t="s">
        <v>4250</v>
      </c>
      <c r="E415" s="3091"/>
      <c r="F415" s="3091"/>
      <c r="G415" s="3077" t="n">
        <f aca="false">дома!J1164</f>
        <v>6</v>
      </c>
      <c r="H415" s="3077"/>
      <c r="I415" s="3078"/>
      <c r="J415" s="2589"/>
      <c r="K415" s="2589"/>
      <c r="L415" s="2589"/>
      <c r="M415" s="1580"/>
      <c r="N415" s="1580"/>
      <c r="O415" s="1580"/>
      <c r="P415" s="1580"/>
      <c r="Q415" s="1580"/>
      <c r="R415" s="1580"/>
      <c r="S415" s="1580"/>
      <c r="T415" s="1580"/>
      <c r="U415" s="1580"/>
    </row>
    <row r="416" customFormat="false" ht="15" hidden="false" customHeight="true" outlineLevel="1" collapsed="false">
      <c r="A416" s="3065" t="s">
        <v>4251</v>
      </c>
      <c r="B416" s="837" t="s">
        <v>15</v>
      </c>
      <c r="C416" s="2586" t="n">
        <f aca="false">дома!J1137</f>
        <v>2.4</v>
      </c>
      <c r="D416" s="3090" t="s">
        <v>4252</v>
      </c>
      <c r="E416" s="3091"/>
      <c r="F416" s="3091"/>
      <c r="G416" s="3077" t="n">
        <f aca="false">дома!J1167</f>
        <v>3.43656805548792</v>
      </c>
      <c r="H416" s="3077"/>
      <c r="I416" s="3078"/>
      <c r="J416" s="2589"/>
      <c r="K416" s="2589"/>
      <c r="L416" s="2589"/>
      <c r="M416" s="1580"/>
      <c r="N416" s="1580"/>
      <c r="O416" s="1580"/>
      <c r="P416" s="1580"/>
      <c r="Q416" s="1580"/>
      <c r="R416" s="1580"/>
      <c r="S416" s="1580"/>
      <c r="T416" s="1580"/>
      <c r="U416" s="1580"/>
    </row>
    <row r="417" customFormat="false" ht="15" hidden="false" customHeight="true" outlineLevel="1" collapsed="false">
      <c r="A417" s="837" t="s">
        <v>273</v>
      </c>
      <c r="B417" s="837" t="s">
        <v>15</v>
      </c>
      <c r="C417" s="3092" t="n">
        <f aca="false">дома!J1138</f>
        <v>0.5</v>
      </c>
      <c r="D417" s="3090" t="s">
        <v>4254</v>
      </c>
      <c r="E417" s="3091"/>
      <c r="F417" s="3091"/>
      <c r="G417" s="3077"/>
      <c r="H417" s="3077"/>
      <c r="I417" s="3078"/>
      <c r="J417" s="2589"/>
      <c r="K417" s="2589"/>
      <c r="L417" s="2589"/>
      <c r="M417" s="1580"/>
      <c r="N417" s="1580"/>
      <c r="O417" s="1580"/>
      <c r="P417" s="1580"/>
      <c r="Q417" s="1580"/>
      <c r="R417" s="1580"/>
      <c r="S417" s="1580"/>
      <c r="T417" s="1580"/>
      <c r="U417" s="1580"/>
    </row>
    <row r="418" customFormat="false" ht="15" hidden="false" customHeight="true" outlineLevel="1" collapsed="false">
      <c r="A418" s="1555" t="s">
        <v>276</v>
      </c>
      <c r="B418" s="1555" t="s">
        <v>15</v>
      </c>
      <c r="C418" s="3092" t="n">
        <f aca="false">дома!J1152</f>
        <v>0.5</v>
      </c>
      <c r="D418" s="3090" t="s">
        <v>4255</v>
      </c>
      <c r="E418" s="3091"/>
      <c r="F418" s="3091"/>
      <c r="G418" s="3077"/>
      <c r="H418" s="3077"/>
      <c r="I418" s="3078"/>
      <c r="J418" s="2589"/>
      <c r="K418" s="2589"/>
      <c r="L418" s="2589"/>
      <c r="M418" s="1580"/>
      <c r="N418" s="1580"/>
      <c r="O418" s="1580"/>
      <c r="P418" s="1580"/>
      <c r="Q418" s="1580"/>
      <c r="R418" s="1580"/>
      <c r="S418" s="1580"/>
      <c r="T418" s="1580"/>
      <c r="U418" s="1580"/>
    </row>
    <row r="419" customFormat="false" ht="15" hidden="false" customHeight="true" outlineLevel="1" collapsed="false">
      <c r="A419" s="3065" t="s">
        <v>4262</v>
      </c>
      <c r="B419" s="837"/>
      <c r="C419" s="2586" t="n">
        <f aca="false">дома!L1170</f>
        <v>4.89957608829831</v>
      </c>
      <c r="D419" s="1580"/>
      <c r="E419" s="3091"/>
      <c r="F419" s="3091"/>
      <c r="G419" s="3077"/>
      <c r="H419" s="3077"/>
      <c r="I419" s="3078"/>
      <c r="J419" s="2589"/>
      <c r="K419" s="2589"/>
      <c r="L419" s="2589"/>
      <c r="M419" s="1580"/>
      <c r="N419" s="1580"/>
      <c r="O419" s="1580"/>
      <c r="P419" s="1580"/>
      <c r="Q419" s="1580"/>
      <c r="R419" s="1580"/>
      <c r="S419" s="1580"/>
      <c r="T419" s="1580"/>
      <c r="U419" s="1580"/>
    </row>
    <row r="420" customFormat="false" ht="15" hidden="false" customHeight="true" outlineLevel="1" collapsed="false">
      <c r="A420" s="3065" t="s">
        <v>4263</v>
      </c>
      <c r="B420" s="837"/>
      <c r="C420" s="2586" t="n">
        <f aca="false">дома!L1169</f>
        <v>4.24381903478459</v>
      </c>
      <c r="D420" s="1580"/>
      <c r="E420" s="3091"/>
      <c r="F420" s="3091"/>
      <c r="G420" s="3077"/>
      <c r="H420" s="3077"/>
      <c r="I420" s="3078"/>
      <c r="J420" s="2589"/>
      <c r="K420" s="2589"/>
      <c r="L420" s="2589"/>
      <c r="M420" s="1580"/>
      <c r="N420" s="1580"/>
      <c r="O420" s="1580"/>
      <c r="P420" s="1580"/>
      <c r="Q420" s="1580"/>
      <c r="R420" s="1580"/>
      <c r="S420" s="1580"/>
      <c r="T420" s="1580"/>
      <c r="U420" s="1580"/>
    </row>
    <row r="421" customFormat="false" ht="15" hidden="false" customHeight="true" outlineLevel="1" collapsed="false">
      <c r="A421" s="3065" t="s">
        <v>4257</v>
      </c>
      <c r="B421" s="837"/>
      <c r="C421" s="2586" t="n">
        <f aca="false">дома!L1167</f>
        <v>3.43656805548792</v>
      </c>
      <c r="D421" s="1580"/>
      <c r="E421" s="3091"/>
      <c r="F421" s="3091"/>
      <c r="G421" s="3077"/>
      <c r="H421" s="3077"/>
      <c r="I421" s="3078"/>
      <c r="J421" s="2589"/>
      <c r="K421" s="2589"/>
      <c r="L421" s="2589"/>
      <c r="M421" s="1580"/>
      <c r="N421" s="1580"/>
      <c r="O421" s="1580"/>
      <c r="P421" s="1580"/>
      <c r="Q421" s="1580"/>
      <c r="R421" s="1580"/>
      <c r="S421" s="1580"/>
      <c r="T421" s="1580"/>
      <c r="U421" s="1580"/>
    </row>
    <row r="422" customFormat="false" ht="15" hidden="false" customHeight="true" outlineLevel="1" collapsed="false">
      <c r="A422" s="3065" t="s">
        <v>4264</v>
      </c>
      <c r="B422" s="837"/>
      <c r="C422" s="2586" t="n">
        <f aca="false">дома!L1159</f>
        <v>2.6</v>
      </c>
      <c r="D422" s="1580"/>
      <c r="E422" s="3091"/>
      <c r="F422" s="3091"/>
      <c r="G422" s="3077"/>
      <c r="H422" s="3077"/>
      <c r="I422" s="3078"/>
      <c r="J422" s="2589"/>
      <c r="K422" s="2589"/>
      <c r="L422" s="2589"/>
      <c r="M422" s="1580"/>
      <c r="N422" s="1580"/>
      <c r="O422" s="1580"/>
      <c r="P422" s="1580"/>
      <c r="Q422" s="1580"/>
      <c r="R422" s="1580"/>
      <c r="S422" s="1580"/>
      <c r="T422" s="1580"/>
      <c r="U422" s="1580"/>
    </row>
    <row r="423" customFormat="false" ht="15" hidden="false" customHeight="true" outlineLevel="1" collapsed="false">
      <c r="A423" s="837" t="s">
        <v>3996</v>
      </c>
      <c r="B423" s="837" t="s">
        <v>820</v>
      </c>
      <c r="C423" s="837" t="n">
        <f aca="false">дома!L1181</f>
        <v>127.528454117035</v>
      </c>
      <c r="D423" s="919"/>
      <c r="E423" s="3091"/>
      <c r="F423" s="3091"/>
      <c r="G423" s="3077"/>
      <c r="H423" s="3077"/>
      <c r="I423" s="3078"/>
      <c r="J423" s="2589"/>
      <c r="K423" s="2589"/>
      <c r="L423" s="2589"/>
      <c r="M423" s="1580"/>
      <c r="N423" s="1580"/>
      <c r="O423" s="1580"/>
      <c r="P423" s="1580"/>
      <c r="Q423" s="1580"/>
      <c r="R423" s="1580"/>
      <c r="S423" s="1580"/>
      <c r="T423" s="1580"/>
      <c r="U423" s="1580"/>
    </row>
    <row r="424" customFormat="false" ht="15" hidden="false" customHeight="true" outlineLevel="1" collapsed="false">
      <c r="A424" s="837" t="s">
        <v>4117</v>
      </c>
      <c r="B424" s="837" t="s">
        <v>820</v>
      </c>
      <c r="C424" s="837" t="n">
        <f aca="false">C423*1.4</f>
        <v>178.539835763849</v>
      </c>
      <c r="D424" s="2824" t="n">
        <v>1</v>
      </c>
      <c r="E424" s="919"/>
      <c r="F424" s="919"/>
      <c r="G424" s="2589"/>
      <c r="H424" s="2589"/>
      <c r="I424" s="2595"/>
      <c r="J424" s="2589"/>
      <c r="K424" s="2589"/>
      <c r="L424" s="2589"/>
      <c r="M424" s="1580"/>
      <c r="N424" s="1580"/>
      <c r="O424" s="1580"/>
      <c r="P424" s="1580"/>
      <c r="Q424" s="1580"/>
      <c r="R424" s="1580"/>
      <c r="S424" s="1580"/>
      <c r="T424" s="1580"/>
      <c r="U424" s="1580"/>
    </row>
    <row r="425" customFormat="false" ht="15" hidden="false" customHeight="true" outlineLevel="1" collapsed="false">
      <c r="A425" s="861" t="s">
        <v>2830</v>
      </c>
      <c r="B425" s="1555" t="s">
        <v>15</v>
      </c>
      <c r="C425" s="1555" t="n">
        <f aca="false">'Ввод данных'!C381</f>
        <v>0</v>
      </c>
      <c r="D425" s="2824" t="n">
        <v>1</v>
      </c>
      <c r="E425" s="919"/>
      <c r="F425" s="919"/>
      <c r="G425" s="2589"/>
      <c r="H425" s="2589"/>
      <c r="I425" s="2595"/>
      <c r="J425" s="2589"/>
      <c r="K425" s="2589"/>
      <c r="L425" s="2589"/>
      <c r="M425" s="1580"/>
      <c r="N425" s="1580"/>
      <c r="O425" s="1580"/>
      <c r="P425" s="1580"/>
      <c r="Q425" s="1580"/>
      <c r="R425" s="1580"/>
      <c r="S425" s="1580"/>
      <c r="T425" s="1580"/>
      <c r="U425" s="1580"/>
    </row>
    <row r="426" customFormat="false" ht="15" hidden="false" customHeight="true" outlineLevel="1" collapsed="false">
      <c r="A426" s="861"/>
      <c r="B426" s="1555" t="s">
        <v>15</v>
      </c>
      <c r="C426" s="1555" t="n">
        <v>0</v>
      </c>
      <c r="D426" s="2824" t="e">
        <f aca="false">'ввод данных'!#ref!</f>
        <v>#VALUE!</v>
      </c>
      <c r="E426" s="919"/>
      <c r="F426" s="919"/>
      <c r="G426" s="2589"/>
      <c r="H426" s="2589"/>
      <c r="I426" s="2595"/>
      <c r="J426" s="2589"/>
      <c r="K426" s="2589"/>
      <c r="L426" s="2589"/>
      <c r="M426" s="1580"/>
      <c r="N426" s="1580"/>
      <c r="O426" s="1580"/>
      <c r="P426" s="1580"/>
      <c r="Q426" s="1580"/>
      <c r="R426" s="1580"/>
      <c r="S426" s="1580"/>
      <c r="T426" s="1580"/>
      <c r="U426" s="1580"/>
    </row>
    <row r="427" customFormat="false" ht="15" hidden="false" customHeight="true" outlineLevel="1" collapsed="false">
      <c r="A427" s="2639" t="s">
        <v>1735</v>
      </c>
      <c r="B427" s="1555" t="s">
        <v>48</v>
      </c>
      <c r="C427" s="2585" t="n">
        <f aca="false">'Ввод данных'!C390</f>
        <v>0</v>
      </c>
      <c r="D427" s="919"/>
      <c r="E427" s="919"/>
      <c r="F427" s="919"/>
      <c r="G427" s="2589"/>
      <c r="H427" s="2589"/>
      <c r="I427" s="2595"/>
      <c r="J427" s="2589"/>
      <c r="K427" s="2589"/>
      <c r="L427" s="2589"/>
      <c r="M427" s="1580"/>
      <c r="N427" s="1580"/>
      <c r="O427" s="1580"/>
      <c r="P427" s="1580"/>
      <c r="Q427" s="1580"/>
      <c r="R427" s="1580"/>
      <c r="S427" s="1580"/>
      <c r="T427" s="1580"/>
      <c r="U427" s="1580"/>
    </row>
    <row r="428" customFormat="false" ht="15" hidden="false" customHeight="true" outlineLevel="1" collapsed="false">
      <c r="A428" s="2639" t="s">
        <v>1736</v>
      </c>
      <c r="B428" s="1555" t="s">
        <v>48</v>
      </c>
      <c r="C428" s="2585" t="n">
        <f aca="false">'Ввод данных'!C391</f>
        <v>0</v>
      </c>
      <c r="D428" s="919"/>
      <c r="E428" s="919"/>
      <c r="F428" s="919"/>
      <c r="G428" s="2589"/>
      <c r="H428" s="2589"/>
      <c r="I428" s="2595"/>
      <c r="J428" s="2589"/>
      <c r="K428" s="2589"/>
      <c r="L428" s="2589"/>
      <c r="M428" s="1580"/>
      <c r="N428" s="1580"/>
      <c r="O428" s="1580"/>
      <c r="P428" s="1580"/>
      <c r="Q428" s="1580"/>
      <c r="R428" s="1580"/>
      <c r="S428" s="1580"/>
      <c r="T428" s="1580"/>
      <c r="U428" s="1580"/>
    </row>
    <row r="429" customFormat="false" ht="15" hidden="false" customHeight="true" outlineLevel="1" collapsed="false">
      <c r="A429" s="2639" t="s">
        <v>1737</v>
      </c>
      <c r="B429" s="1555" t="s">
        <v>48</v>
      </c>
      <c r="C429" s="2585" t="n">
        <f aca="false">'Ввод данных'!C392</f>
        <v>0</v>
      </c>
      <c r="D429" s="919"/>
      <c r="E429" s="919"/>
      <c r="F429" s="919"/>
      <c r="G429" s="2589"/>
      <c r="H429" s="2589"/>
      <c r="I429" s="2595"/>
      <c r="J429" s="2589"/>
      <c r="K429" s="2589"/>
      <c r="L429" s="2589"/>
      <c r="M429" s="1580"/>
      <c r="N429" s="1580"/>
      <c r="O429" s="1580"/>
      <c r="P429" s="1580"/>
      <c r="Q429" s="1580"/>
      <c r="R429" s="1580"/>
      <c r="S429" s="1580"/>
      <c r="T429" s="1580"/>
      <c r="U429" s="1580"/>
    </row>
    <row r="430" customFormat="false" ht="15" hidden="false" customHeight="true" outlineLevel="1" collapsed="false">
      <c r="A430" s="3082" t="s">
        <v>2246</v>
      </c>
      <c r="B430" s="3082" t="s">
        <v>1738</v>
      </c>
      <c r="C430" s="3082" t="s">
        <v>118</v>
      </c>
      <c r="D430" s="3082" t="s">
        <v>2915</v>
      </c>
      <c r="E430" s="3082" t="s">
        <v>2916</v>
      </c>
      <c r="F430" s="1579"/>
      <c r="G430" s="3093" t="s">
        <v>2007</v>
      </c>
      <c r="H430" s="3094"/>
      <c r="I430" s="3082" t="s">
        <v>1738</v>
      </c>
      <c r="J430" s="3082" t="s">
        <v>118</v>
      </c>
      <c r="K430" s="3082" t="s">
        <v>2190</v>
      </c>
      <c r="L430" s="3082" t="s">
        <v>2916</v>
      </c>
      <c r="M430" s="1580"/>
      <c r="N430" s="1580"/>
      <c r="O430" s="1580"/>
      <c r="P430" s="1580"/>
      <c r="Q430" s="1580"/>
      <c r="R430" s="1580"/>
      <c r="S430" s="1580"/>
      <c r="T430" s="1580"/>
      <c r="U430" s="1580"/>
    </row>
    <row r="431" customFormat="false" ht="15" hidden="false" customHeight="true" outlineLevel="1" collapsed="false">
      <c r="A431" s="837" t="str">
        <f aca="false">'Ввод данных'!A374</f>
        <v>нет</v>
      </c>
      <c r="B431" s="837" t="s">
        <v>1043</v>
      </c>
      <c r="C431" s="837" t="n">
        <f aca="false">C407*D407*VLOOKUP(A431,связи1!F201:H211,3,0)*G405</f>
        <v>0</v>
      </c>
      <c r="D431" s="837" t="n">
        <f aca="false">VLOOKUP(A431,связи1!F201:H211,2,0)</f>
        <v>0</v>
      </c>
      <c r="E431" s="837" t="n">
        <f aca="false">C431*D431</f>
        <v>0</v>
      </c>
      <c r="F431" s="1579"/>
      <c r="G431" s="2634"/>
      <c r="H431" s="2635"/>
      <c r="I431" s="837"/>
      <c r="J431" s="837"/>
      <c r="K431" s="837"/>
      <c r="L431" s="837"/>
      <c r="M431" s="1580"/>
      <c r="N431" s="1580"/>
      <c r="O431" s="1580"/>
      <c r="P431" s="1580"/>
      <c r="Q431" s="1580"/>
      <c r="R431" s="1580"/>
      <c r="S431" s="1580"/>
      <c r="T431" s="1580"/>
      <c r="U431" s="1580"/>
    </row>
    <row r="432" customFormat="false" ht="15" hidden="false" customHeight="true" outlineLevel="1" collapsed="false">
      <c r="A432" s="837" t="str">
        <f aca="false">'Прайс лист'!B714</f>
        <v>Болты анкерные с гайкой 12,0 х 280          </v>
      </c>
      <c r="B432" s="837" t="s">
        <v>48</v>
      </c>
      <c r="C432" s="837" t="n">
        <f aca="false">C407*D407*G405</f>
        <v>110.5307463295</v>
      </c>
      <c r="D432" s="837" t="n">
        <f aca="false">'Прайс лист'!G714</f>
        <v>27.1</v>
      </c>
      <c r="E432" s="837" t="n">
        <f aca="false">C432*D432</f>
        <v>2995.38322552944</v>
      </c>
      <c r="F432" s="1579"/>
      <c r="G432" s="2632" t="s">
        <v>2125</v>
      </c>
      <c r="H432" s="2633"/>
      <c r="I432" s="837" t="s">
        <v>15</v>
      </c>
      <c r="J432" s="837" t="n">
        <f aca="false">C407*D407*H406</f>
        <v>110.5307463295</v>
      </c>
      <c r="K432" s="837" t="n">
        <f aca="false">'Прайс лист'!G1560</f>
        <v>250</v>
      </c>
      <c r="L432" s="837" t="n">
        <f aca="false">J432*K432</f>
        <v>27632.6865823749</v>
      </c>
      <c r="M432" s="1580"/>
      <c r="N432" s="1580"/>
      <c r="O432" s="1580"/>
      <c r="P432" s="1580"/>
      <c r="Q432" s="1580"/>
      <c r="R432" s="1580"/>
      <c r="S432" s="1580"/>
      <c r="T432" s="1580"/>
      <c r="U432" s="1580"/>
    </row>
    <row r="433" customFormat="false" ht="15" hidden="false" customHeight="true" outlineLevel="1" collapsed="false">
      <c r="A433" s="837" t="str">
        <f aca="false">'Ввод данных'!A381</f>
        <v>Доска сырая, 150*50мм</v>
      </c>
      <c r="B433" s="837" t="s">
        <v>1043</v>
      </c>
      <c r="C433" s="837" t="n">
        <f aca="false">((C419*8+C415+(((C415/0.6)+3)*C421)*2)+C415*2+(G411/0.6+1)*C422*2+G411*2+(G410-C415)/0.6*3+G410+G410+G411+G411)*G405*VLOOKUP(A433,связи1!A406:E415,5,0)*1.3</f>
        <v>2.72103693695345</v>
      </c>
      <c r="D433" s="837" t="n">
        <f aca="false">VLOOKUP(A433,связи1!A406:E415,2,0)</f>
        <v>6500</v>
      </c>
      <c r="E433" s="837" t="n">
        <f aca="false">C433*D433</f>
        <v>17686.7400901975</v>
      </c>
      <c r="F433" s="1579"/>
      <c r="G433" s="2632" t="s">
        <v>2126</v>
      </c>
      <c r="H433" s="2633"/>
      <c r="I433" s="837" t="s">
        <v>820</v>
      </c>
      <c r="J433" s="837" t="n">
        <f aca="false">C423*H406*IF(A433=связи1!A406,0,1)</f>
        <v>127.528454117035</v>
      </c>
      <c r="K433" s="837" t="n">
        <f aca="false">'Прайс лист'!G1561</f>
        <v>450</v>
      </c>
      <c r="L433" s="837" t="n">
        <f aca="false">J433*K433</f>
        <v>57387.8043526657</v>
      </c>
      <c r="M433" s="1580"/>
      <c r="N433" s="1580"/>
      <c r="O433" s="1580"/>
      <c r="P433" s="1580"/>
      <c r="Q433" s="1580"/>
      <c r="R433" s="1580"/>
      <c r="S433" s="1580"/>
      <c r="T433" s="1580"/>
      <c r="U433" s="1580"/>
    </row>
    <row r="434" customFormat="false" ht="15" hidden="false" customHeight="true" outlineLevel="1" collapsed="false">
      <c r="A434" s="837" t="s">
        <v>2917</v>
      </c>
      <c r="B434" s="837" t="s">
        <v>1043</v>
      </c>
      <c r="C434" s="837" t="n">
        <f aca="false">(((C415/0.6)+1)*3*2)*VLOOKUP(A433,связи1!A406:E415,5,0)*G405</f>
        <v>0.495</v>
      </c>
      <c r="D434" s="837" t="n">
        <f aca="false">VLOOKUP(A433,связи1!A406:E415,2,0)</f>
        <v>6500</v>
      </c>
      <c r="E434" s="837" t="n">
        <f aca="false">C434*D434</f>
        <v>3217.5</v>
      </c>
      <c r="F434" s="1579"/>
      <c r="G434" s="2632" t="s">
        <v>2127</v>
      </c>
      <c r="H434" s="2633"/>
      <c r="I434" s="837" t="s">
        <v>820</v>
      </c>
      <c r="J434" s="837" t="n">
        <f aca="false">J433*H406*IF(A436=связи1!A431,0,1)</f>
        <v>127.528454117035</v>
      </c>
      <c r="K434" s="837" t="n">
        <f aca="false">'Прайс лист'!G1562</f>
        <v>100</v>
      </c>
      <c r="L434" s="837" t="n">
        <f aca="false">J434*K434</f>
        <v>12752.8454117035</v>
      </c>
      <c r="M434" s="1580"/>
      <c r="N434" s="1580"/>
      <c r="O434" s="1580"/>
      <c r="P434" s="1580"/>
      <c r="Q434" s="1580"/>
      <c r="R434" s="1580"/>
      <c r="S434" s="1580"/>
      <c r="T434" s="1580"/>
      <c r="U434" s="1580"/>
    </row>
    <row r="435" customFormat="false" ht="15" hidden="false" customHeight="true" outlineLevel="1" collapsed="false">
      <c r="A435" s="837" t="s">
        <v>4241</v>
      </c>
      <c r="B435" s="837" t="s">
        <v>1043</v>
      </c>
      <c r="C435" s="837" t="n">
        <f aca="false">(((C415/2)+1)*C416)*VLOOKUP(A433,связи1!A406:E415,5,0)*G405</f>
        <v>0.072</v>
      </c>
      <c r="D435" s="837" t="n">
        <f aca="false">VLOOKUP(A433,связи1!A406:E415,2,0)</f>
        <v>6500</v>
      </c>
      <c r="E435" s="837" t="n">
        <f aca="false">C435*D435</f>
        <v>468</v>
      </c>
      <c r="F435" s="1579"/>
      <c r="G435" s="2632" t="s">
        <v>2128</v>
      </c>
      <c r="H435" s="2633"/>
      <c r="I435" s="837" t="s">
        <v>820</v>
      </c>
      <c r="J435" s="837" t="n">
        <f aca="false">J433*H406*IF(A437=связи1!A417,0,1)</f>
        <v>127.528454117035</v>
      </c>
      <c r="K435" s="837" t="n">
        <f aca="false">'Прайс лист'!G1563</f>
        <v>100</v>
      </c>
      <c r="L435" s="837" t="n">
        <f aca="false">J435*K435</f>
        <v>12752.8454117035</v>
      </c>
      <c r="M435" s="1580"/>
      <c r="N435" s="1580"/>
      <c r="O435" s="1580"/>
      <c r="P435" s="1580"/>
      <c r="Q435" s="1580"/>
      <c r="R435" s="1580"/>
      <c r="S435" s="1580"/>
      <c r="T435" s="1580"/>
      <c r="U435" s="1580"/>
    </row>
    <row r="436" customFormat="false" ht="15" hidden="false" customHeight="true" outlineLevel="1" collapsed="false">
      <c r="A436" s="837" t="str">
        <f aca="false">'Ввод данных'!A383</f>
        <v>Сосна влаж,100*25мм</v>
      </c>
      <c r="B436" s="837" t="s">
        <v>1043</v>
      </c>
      <c r="C436" s="837" t="n">
        <f aca="false">C423*3*G405*VLOOKUP(A436,связи1!A431:F439,5,0)*1.3</f>
        <v>1.24340242764109</v>
      </c>
      <c r="D436" s="837" t="n">
        <f aca="false">VLOOKUP(A436,связи1!A431:F439,6,0)</f>
        <v>6500</v>
      </c>
      <c r="E436" s="837" t="n">
        <f aca="false">C436*D436</f>
        <v>8082.11577966709</v>
      </c>
      <c r="F436" s="1579"/>
      <c r="G436" s="2632" t="s">
        <v>2129</v>
      </c>
      <c r="H436" s="2633"/>
      <c r="I436" s="837" t="s">
        <v>820</v>
      </c>
      <c r="J436" s="837" t="n">
        <f aca="false">J433*H406*IF(A438='Прайс лист'!B649,0,1)</f>
        <v>127.528454117035</v>
      </c>
      <c r="K436" s="837" t="n">
        <f aca="false">'Прайс лист'!G1564</f>
        <v>100</v>
      </c>
      <c r="L436" s="837" t="n">
        <f aca="false">J436*K436</f>
        <v>12752.8454117035</v>
      </c>
      <c r="M436" s="1580"/>
      <c r="N436" s="1580"/>
      <c r="O436" s="1580"/>
      <c r="P436" s="1580"/>
      <c r="Q436" s="1580"/>
      <c r="R436" s="1580"/>
      <c r="S436" s="1580"/>
      <c r="T436" s="1580"/>
      <c r="U436" s="1580"/>
    </row>
    <row r="437" customFormat="false" ht="15" hidden="false" customHeight="true" outlineLevel="1" collapsed="false">
      <c r="A437" s="837" t="str">
        <f aca="false">'Ввод данных'!A385</f>
        <v>Сосна влаж, 50*50мм</v>
      </c>
      <c r="B437" s="837" t="s">
        <v>1043</v>
      </c>
      <c r="C437" s="837" t="n">
        <f aca="false">C423*3*G405*VLOOKUP(A437,связи1!A417:E420,5,0)</f>
        <v>0.956463405877762</v>
      </c>
      <c r="D437" s="837" t="n">
        <f aca="false">VLOOKUP(A437,связи1!A417:D420,2,0)</f>
        <v>6500</v>
      </c>
      <c r="E437" s="837" t="n">
        <f aca="false">C437*D437</f>
        <v>6217.01213820546</v>
      </c>
      <c r="F437" s="1579"/>
      <c r="G437" s="2632" t="s">
        <v>2130</v>
      </c>
      <c r="H437" s="2633"/>
      <c r="I437" s="837" t="s">
        <v>820</v>
      </c>
      <c r="J437" s="837" t="n">
        <f aca="false">J433*H406*IF(A439='Прайс лист'!B676,0,1)</f>
        <v>127.528454117035</v>
      </c>
      <c r="K437" s="837" t="n">
        <f aca="false">'Прайс лист'!G1565</f>
        <v>100</v>
      </c>
      <c r="L437" s="837" t="n">
        <f aca="false">J437*K437</f>
        <v>12752.8454117035</v>
      </c>
      <c r="M437" s="1580"/>
      <c r="N437" s="1580"/>
      <c r="O437" s="1580"/>
      <c r="P437" s="1580"/>
      <c r="Q437" s="1580"/>
      <c r="R437" s="1580"/>
      <c r="S437" s="1580"/>
      <c r="T437" s="1580"/>
      <c r="U437" s="1580"/>
    </row>
    <row r="438" customFormat="false" ht="15" hidden="false" customHeight="true" outlineLevel="1" collapsed="false">
      <c r="A438" s="837" t="str">
        <f aca="false">'Ввод данных'!A394</f>
        <v>Универсальная Optima C</v>
      </c>
      <c r="B438" s="837" t="s">
        <v>820</v>
      </c>
      <c r="C438" s="837" t="n">
        <f aca="false">C424*G405</f>
        <v>178.539835763849</v>
      </c>
      <c r="D438" s="837" t="n">
        <f aca="false">VLOOKUP(A438,'Прайс лист'!B649:G675,6,0)</f>
        <v>19</v>
      </c>
      <c r="E438" s="837" t="n">
        <f aca="false">C438*D438</f>
        <v>3392.25687951313</v>
      </c>
      <c r="F438" s="1579"/>
      <c r="G438" s="2632" t="s">
        <v>2131</v>
      </c>
      <c r="H438" s="2633"/>
      <c r="I438" s="837" t="s">
        <v>820</v>
      </c>
      <c r="J438" s="837" t="n">
        <f aca="false">C423*H406*IF(A440='Прайс лист'!B600,0,1)</f>
        <v>127.528454117035</v>
      </c>
      <c r="K438" s="837" t="n">
        <f aca="false">'Прайс лист'!G1566</f>
        <v>200</v>
      </c>
      <c r="L438" s="837" t="n">
        <f aca="false">J438*K438</f>
        <v>25505.690823407</v>
      </c>
      <c r="M438" s="1580"/>
      <c r="N438" s="1580"/>
      <c r="O438" s="1580"/>
      <c r="P438" s="1580"/>
      <c r="Q438" s="1580"/>
      <c r="R438" s="1580"/>
      <c r="S438" s="1580"/>
      <c r="T438" s="1580"/>
      <c r="U438" s="1580"/>
    </row>
    <row r="439" customFormat="false" ht="15" hidden="false" customHeight="true" outlineLevel="1" collapsed="false">
      <c r="A439" s="837" t="str">
        <f aca="false">'Ввод данных'!A396</f>
        <v>Универсальная Optima C</v>
      </c>
      <c r="B439" s="837" t="s">
        <v>820</v>
      </c>
      <c r="C439" s="837" t="n">
        <f aca="false">C424*D424*G405</f>
        <v>178.539835763849</v>
      </c>
      <c r="D439" s="837" t="n">
        <f aca="false">VLOOKUP(A439,'Прайс лист'!B676:G687,6,0)</f>
        <v>20</v>
      </c>
      <c r="E439" s="837" t="n">
        <f aca="false">C439*D439</f>
        <v>3570.79671527698</v>
      </c>
      <c r="F439" s="1579"/>
      <c r="G439" s="2632" t="str">
        <f aca="false">'Прайс лист'!B1567</f>
        <v>Монтаж металлочерепицы</v>
      </c>
      <c r="H439" s="2633"/>
      <c r="I439" s="837" t="s">
        <v>820</v>
      </c>
      <c r="J439" s="837" t="n">
        <f aca="false">C423*H406</f>
        <v>127.528454117035</v>
      </c>
      <c r="K439" s="837" t="n">
        <f aca="false">'Прайс лист'!G1567</f>
        <v>300</v>
      </c>
      <c r="L439" s="837" t="n">
        <f aca="false">J439*K439</f>
        <v>38258.5362351105</v>
      </c>
      <c r="M439" s="1580"/>
      <c r="N439" s="1580"/>
      <c r="O439" s="1580"/>
      <c r="P439" s="1580"/>
      <c r="Q439" s="1580"/>
      <c r="R439" s="1580"/>
      <c r="S439" s="1580"/>
      <c r="T439" s="1580"/>
      <c r="U439" s="1580"/>
    </row>
    <row r="440" customFormat="false" ht="15" hidden="false" customHeight="true" outlineLevel="1" collapsed="false">
      <c r="A440" s="837" t="str">
        <f aca="false">'Ввод данных'!A389</f>
        <v>Плитный,28кг/м3, технониколь, 100мм</v>
      </c>
      <c r="B440" s="837" t="s">
        <v>1043</v>
      </c>
      <c r="C440" s="837" t="n">
        <f aca="false">C423*G405*VLOOKUP(A440,'Прайс лист'!B600:G638,3,0)</f>
        <v>12.7528454117035</v>
      </c>
      <c r="D440" s="837" t="n">
        <f aca="false">VLOOKUP(A440,'Прайс лист'!B600:G638,6,0)</f>
        <v>1700</v>
      </c>
      <c r="E440" s="837" t="n">
        <f aca="false">C440*D440</f>
        <v>21679.8371998959</v>
      </c>
      <c r="F440" s="1579"/>
      <c r="G440" s="2632" t="s">
        <v>4265</v>
      </c>
      <c r="H440" s="2633"/>
      <c r="I440" s="837" t="s">
        <v>15</v>
      </c>
      <c r="J440" s="876" t="n">
        <f aca="false">C448*H406</f>
        <v>0</v>
      </c>
      <c r="K440" s="837" t="n">
        <f aca="false">'Прайс лист'!G1569</f>
        <v>100</v>
      </c>
      <c r="L440" s="837" t="n">
        <f aca="false">J440*K440</f>
        <v>0</v>
      </c>
      <c r="M440" s="1580"/>
      <c r="N440" s="1580"/>
      <c r="O440" s="1580"/>
      <c r="P440" s="1580"/>
      <c r="Q440" s="1580"/>
      <c r="R440" s="1580"/>
      <c r="S440" s="1580"/>
      <c r="T440" s="1580"/>
      <c r="U440" s="1580"/>
    </row>
    <row r="441" customFormat="false" ht="15" hidden="false" customHeight="true" outlineLevel="1" collapsed="false">
      <c r="A441" s="837" t="s">
        <v>2918</v>
      </c>
      <c r="B441" s="837" t="s">
        <v>820</v>
      </c>
      <c r="C441" s="837" t="n">
        <f aca="false">C424*C410*G405</f>
        <v>178.539835763849</v>
      </c>
      <c r="D441" s="837" t="n">
        <f aca="false">'Прайс лист'!G956</f>
        <v>250</v>
      </c>
      <c r="E441" s="837" t="n">
        <f aca="false">C441*D441</f>
        <v>44634.9589409622</v>
      </c>
      <c r="F441" s="1579"/>
      <c r="G441" s="2632" t="s">
        <v>4258</v>
      </c>
      <c r="H441" s="2633"/>
      <c r="I441" s="837" t="s">
        <v>15</v>
      </c>
      <c r="J441" s="876" t="n">
        <f aca="false">C442*H406</f>
        <v>50</v>
      </c>
      <c r="K441" s="837" t="n">
        <f aca="false">'Прайс лист'!G1570</f>
        <v>100</v>
      </c>
      <c r="L441" s="837" t="n">
        <f aca="false">J441*K441</f>
        <v>5000</v>
      </c>
      <c r="M441" s="1580"/>
      <c r="N441" s="1580"/>
      <c r="O441" s="1580"/>
      <c r="P441" s="1580"/>
      <c r="Q441" s="1580"/>
      <c r="R441" s="1580"/>
      <c r="S441" s="1580"/>
      <c r="T441" s="1580"/>
      <c r="U441" s="1580"/>
    </row>
    <row r="442" customFormat="false" ht="15" hidden="false" customHeight="true" outlineLevel="1" collapsed="false">
      <c r="A442" s="837" t="str">
        <f aca="false">'Прайс лист'!B957</f>
        <v>Карнизная планка</v>
      </c>
      <c r="B442" s="837" t="s">
        <v>15</v>
      </c>
      <c r="C442" s="837" t="n">
        <f aca="false">(G410+C418+C418+G411+G411)*2*G405*C410</f>
        <v>50</v>
      </c>
      <c r="D442" s="837" t="n">
        <f aca="false">'Прайс лист'!G957</f>
        <v>200</v>
      </c>
      <c r="E442" s="837" t="n">
        <f aca="false">C442*D442</f>
        <v>10000</v>
      </c>
      <c r="F442" s="1579"/>
      <c r="G442" s="2632" t="s">
        <v>2137</v>
      </c>
      <c r="H442" s="2633"/>
      <c r="I442" s="837" t="s">
        <v>15</v>
      </c>
      <c r="J442" s="876" t="n">
        <f aca="false">C464*H406</f>
        <v>41.6666666666667</v>
      </c>
      <c r="K442" s="837" t="n">
        <f aca="false">'Прайс лист'!G1572</f>
        <v>300</v>
      </c>
      <c r="L442" s="837" t="n">
        <f aca="false">J442*K442</f>
        <v>12500</v>
      </c>
      <c r="M442" s="1580"/>
      <c r="N442" s="1580"/>
      <c r="O442" s="1580"/>
      <c r="P442" s="1580"/>
      <c r="Q442" s="1580"/>
      <c r="R442" s="1580"/>
      <c r="S442" s="1580"/>
      <c r="T442" s="1580"/>
      <c r="U442" s="1580"/>
    </row>
    <row r="443" customFormat="false" ht="15" hidden="false" customHeight="true" outlineLevel="1" collapsed="false">
      <c r="A443" s="837" t="str">
        <f aca="false">'Прайс лист'!B958</f>
        <v>Торцевая планка</v>
      </c>
      <c r="B443" s="837" t="s">
        <v>15</v>
      </c>
      <c r="C443" s="837" t="n">
        <f aca="false">C420*4*G405*C410</f>
        <v>16.9752761391384</v>
      </c>
      <c r="D443" s="837" t="n">
        <f aca="false">'Прайс лист'!G958</f>
        <v>200</v>
      </c>
      <c r="E443" s="837" t="n">
        <f aca="false">C443*D443</f>
        <v>3395.05522782767</v>
      </c>
      <c r="F443" s="1579"/>
      <c r="G443" s="2632" t="s">
        <v>1728</v>
      </c>
      <c r="H443" s="2633"/>
      <c r="I443" s="837" t="s">
        <v>15</v>
      </c>
      <c r="J443" s="876" t="n">
        <f aca="false">C466*H406</f>
        <v>50</v>
      </c>
      <c r="K443" s="837" t="n">
        <f aca="false">'Прайс лист'!G1573</f>
        <v>300</v>
      </c>
      <c r="L443" s="837" t="n">
        <f aca="false">J443*K443</f>
        <v>15000</v>
      </c>
      <c r="M443" s="1580"/>
      <c r="N443" s="1580"/>
      <c r="O443" s="1580"/>
      <c r="P443" s="1580"/>
      <c r="Q443" s="1580"/>
      <c r="R443" s="1580"/>
      <c r="S443" s="1580"/>
      <c r="T443" s="1580"/>
      <c r="U443" s="1580"/>
    </row>
    <row r="444" customFormat="false" ht="15" hidden="false" customHeight="true" outlineLevel="1" collapsed="false">
      <c r="A444" s="837" t="str">
        <f aca="false">'Прайс лист'!B959</f>
        <v>Конек</v>
      </c>
      <c r="B444" s="837" t="s">
        <v>15</v>
      </c>
      <c r="C444" s="837" t="n">
        <f aca="false">C415*G405*C410+C419*4*G405*1.1*C410</f>
        <v>27.5581347885125</v>
      </c>
      <c r="D444" s="837" t="n">
        <f aca="false">'Прайс лист'!G959</f>
        <v>230</v>
      </c>
      <c r="E444" s="837" t="n">
        <f aca="false">C444*D444</f>
        <v>6338.37100135789</v>
      </c>
      <c r="F444" s="1579"/>
      <c r="G444" s="2632" t="s">
        <v>2134</v>
      </c>
      <c r="H444" s="2633"/>
      <c r="I444" s="837" t="s">
        <v>15</v>
      </c>
      <c r="J444" s="876" t="n">
        <f aca="false">C443*H406</f>
        <v>16.9752761391384</v>
      </c>
      <c r="K444" s="837" t="n">
        <f aca="false">'Прайс лист'!G1574</f>
        <v>300</v>
      </c>
      <c r="L444" s="837" t="n">
        <f aca="false">J444*K444</f>
        <v>5092.58284174151</v>
      </c>
      <c r="M444" s="1580"/>
      <c r="N444" s="1580"/>
      <c r="O444" s="1580"/>
      <c r="P444" s="1580"/>
      <c r="Q444" s="1580"/>
      <c r="R444" s="1580"/>
      <c r="S444" s="1580"/>
      <c r="T444" s="1580"/>
      <c r="U444" s="1580"/>
    </row>
    <row r="445" customFormat="false" ht="15" hidden="false" customHeight="true" outlineLevel="1" collapsed="false">
      <c r="A445" s="837" t="s">
        <v>2919</v>
      </c>
      <c r="B445" s="837" t="s">
        <v>820</v>
      </c>
      <c r="C445" s="837" t="n">
        <f aca="false">C424*C411*G405</f>
        <v>0</v>
      </c>
      <c r="D445" s="837" t="n">
        <f aca="false">'Прайс лист'!G968</f>
        <v>180</v>
      </c>
      <c r="E445" s="837" t="n">
        <f aca="false">C445*D445</f>
        <v>0</v>
      </c>
      <c r="F445" s="1579"/>
      <c r="G445" s="3085" t="s">
        <v>249</v>
      </c>
      <c r="H445" s="3086"/>
      <c r="I445" s="2587" t="s">
        <v>15</v>
      </c>
      <c r="J445" s="876" t="n">
        <f aca="false">C415*H406</f>
        <v>6</v>
      </c>
      <c r="K445" s="837" t="n">
        <f aca="false">'Прайс лист'!G1575</f>
        <v>300</v>
      </c>
      <c r="L445" s="837" t="n">
        <f aca="false">J445*K445</f>
        <v>1800</v>
      </c>
      <c r="M445" s="1580"/>
      <c r="N445" s="1580"/>
      <c r="O445" s="1580"/>
      <c r="P445" s="1580"/>
      <c r="Q445" s="1580"/>
      <c r="R445" s="1580"/>
      <c r="S445" s="1580"/>
      <c r="T445" s="1580"/>
      <c r="U445" s="1580"/>
    </row>
    <row r="446" customFormat="false" ht="15" hidden="false" customHeight="true" outlineLevel="1" collapsed="false">
      <c r="A446" s="837" t="str">
        <f aca="false">'Прайс лист'!B969</f>
        <v>Карнизная планка</v>
      </c>
      <c r="B446" s="837" t="str">
        <f aca="false">'Прайс лист'!C969</f>
        <v>м.п.</v>
      </c>
      <c r="C446" s="837" t="n">
        <f aca="false">(G410+C418+C418+G411+G411)*2*G405*C411</f>
        <v>0</v>
      </c>
      <c r="D446" s="837" t="n">
        <f aca="false">'Прайс лист'!G969</f>
        <v>190</v>
      </c>
      <c r="E446" s="837" t="n">
        <f aca="false">C446*D446</f>
        <v>0</v>
      </c>
      <c r="F446" s="1579"/>
      <c r="G446" s="2632" t="str">
        <f aca="false">'Прайс лист'!B1568</f>
        <v>Монтаж ондулина</v>
      </c>
      <c r="H446" s="2633"/>
      <c r="I446" s="837" t="s">
        <v>820</v>
      </c>
      <c r="J446" s="876" t="n">
        <f aca="false">C423*C411</f>
        <v>0</v>
      </c>
      <c r="K446" s="837" t="n">
        <f aca="false">'Прайс лист'!G1568</f>
        <v>300</v>
      </c>
      <c r="L446" s="837" t="n">
        <f aca="false">J446*K446</f>
        <v>0</v>
      </c>
      <c r="M446" s="1580"/>
      <c r="N446" s="1580"/>
      <c r="O446" s="1580"/>
      <c r="P446" s="1580"/>
      <c r="Q446" s="1580"/>
      <c r="R446" s="1580"/>
      <c r="S446" s="1580"/>
      <c r="T446" s="1580"/>
      <c r="U446" s="1580"/>
    </row>
    <row r="447" customFormat="false" ht="15" hidden="false" customHeight="true" outlineLevel="1" collapsed="false">
      <c r="A447" s="837" t="str">
        <f aca="false">'Прайс лист'!B970</f>
        <v>Торцевая планка</v>
      </c>
      <c r="B447" s="837" t="str">
        <f aca="false">'Прайс лист'!C970</f>
        <v>м.п.</v>
      </c>
      <c r="C447" s="647" t="n">
        <f aca="false">C420*4*G405*C411</f>
        <v>0</v>
      </c>
      <c r="D447" s="837" t="n">
        <f aca="false">'Прайс лист'!G970</f>
        <v>190</v>
      </c>
      <c r="E447" s="837" t="n">
        <f aca="false">C447*D447</f>
        <v>0</v>
      </c>
      <c r="F447" s="1579"/>
      <c r="G447" s="738" t="str">
        <f aca="false">'Прайс лист'!B1576</f>
        <v>Монтаж фанеры/osb</v>
      </c>
      <c r="H447" s="738"/>
      <c r="I447" s="837" t="s">
        <v>820</v>
      </c>
      <c r="J447" s="876" t="n">
        <f aca="false">C423*H406*IF(A453='Прайс лист'!B863,0,1)</f>
        <v>0</v>
      </c>
      <c r="K447" s="837" t="n">
        <f aca="false">'Прайс лист'!G1576</f>
        <v>200</v>
      </c>
      <c r="L447" s="837" t="n">
        <f aca="false">J447*K447</f>
        <v>0</v>
      </c>
      <c r="M447" s="1580"/>
      <c r="N447" s="1580"/>
      <c r="O447" s="1580"/>
      <c r="P447" s="1580"/>
      <c r="Q447" s="1580"/>
      <c r="R447" s="1580"/>
      <c r="S447" s="1580"/>
      <c r="T447" s="1580"/>
      <c r="U447" s="1580"/>
    </row>
    <row r="448" customFormat="false" ht="15" hidden="false" customHeight="true" outlineLevel="1" collapsed="false">
      <c r="A448" s="837" t="str">
        <f aca="false">'Прайс лист'!B971</f>
        <v>Конек</v>
      </c>
      <c r="B448" s="837" t="str">
        <f aca="false">'Прайс лист'!C971</f>
        <v>м.п.</v>
      </c>
      <c r="C448" s="837" t="n">
        <f aca="false">C415*G405*C411+C419*4*G405*1.1*C411</f>
        <v>0</v>
      </c>
      <c r="D448" s="837" t="n">
        <f aca="false">'Прайс лист'!G971</f>
        <v>200</v>
      </c>
      <c r="E448" s="837" t="n">
        <f aca="false">C448*D448</f>
        <v>0</v>
      </c>
      <c r="F448" s="1579"/>
      <c r="G448" s="738" t="str">
        <f aca="false">'Прайс лист'!B1577</f>
        <v>монтаж подкладочного ковра</v>
      </c>
      <c r="H448" s="647"/>
      <c r="I448" s="837" t="s">
        <v>820</v>
      </c>
      <c r="J448" s="647" t="n">
        <f aca="false">C456</f>
        <v>0</v>
      </c>
      <c r="K448" s="837" t="n">
        <f aca="false">'Прайс лист'!G1577</f>
        <v>150</v>
      </c>
      <c r="L448" s="837" t="n">
        <f aca="false">J448*K448</f>
        <v>0</v>
      </c>
      <c r="M448" s="1580"/>
      <c r="N448" s="1580"/>
      <c r="O448" s="1580"/>
      <c r="P448" s="1580"/>
      <c r="Q448" s="1580"/>
      <c r="R448" s="1580"/>
      <c r="S448" s="1580"/>
      <c r="T448" s="1580"/>
      <c r="U448" s="1580"/>
    </row>
    <row r="449" customFormat="false" ht="15" hidden="false" customHeight="true" outlineLevel="1" collapsed="false">
      <c r="A449" s="837" t="str">
        <f aca="false">'Прайс лист'!B972</f>
        <v>Ендова нижняя</v>
      </c>
      <c r="B449" s="837" t="str">
        <f aca="false">'Прайс лист'!C972</f>
        <v>м.п.</v>
      </c>
      <c r="C449" s="647"/>
      <c r="D449" s="837" t="n">
        <f aca="false">'Прайс лист'!G972</f>
        <v>160</v>
      </c>
      <c r="E449" s="837" t="n">
        <f aca="false">C449*D449</f>
        <v>0</v>
      </c>
      <c r="F449" s="1579"/>
      <c r="G449" s="738" t="str">
        <f aca="false">'Прайс лист'!B1578</f>
        <v>Монтаж мягкой кровли</v>
      </c>
      <c r="H449" s="647"/>
      <c r="I449" s="837" t="s">
        <v>820</v>
      </c>
      <c r="J449" s="647" t="n">
        <f aca="false">C423*C412</f>
        <v>0</v>
      </c>
      <c r="K449" s="837" t="n">
        <f aca="false">'Прайс лист'!G1578</f>
        <v>350</v>
      </c>
      <c r="L449" s="837" t="n">
        <f aca="false">J449*K449</f>
        <v>0</v>
      </c>
      <c r="M449" s="1580"/>
      <c r="N449" s="1580"/>
      <c r="O449" s="1580"/>
      <c r="P449" s="1580"/>
      <c r="Q449" s="1580"/>
      <c r="R449" s="1580"/>
      <c r="S449" s="1580"/>
      <c r="T449" s="1580"/>
      <c r="U449" s="1580"/>
    </row>
    <row r="450" customFormat="false" ht="15" hidden="false" customHeight="true" outlineLevel="1" collapsed="false">
      <c r="A450" s="837" t="str">
        <f aca="false">'Прайс лист'!B973</f>
        <v>Ендова верхняя</v>
      </c>
      <c r="B450" s="837" t="str">
        <f aca="false">'Прайс лист'!C973</f>
        <v>м.п.</v>
      </c>
      <c r="C450" s="647"/>
      <c r="D450" s="837" t="n">
        <f aca="false">'Прайс лист'!G973</f>
        <v>190</v>
      </c>
      <c r="E450" s="837" t="n">
        <f aca="false">C450*D450</f>
        <v>0</v>
      </c>
      <c r="F450" s="1579"/>
      <c r="M450" s="1580"/>
      <c r="N450" s="1580"/>
      <c r="O450" s="1580"/>
      <c r="P450" s="1580"/>
      <c r="Q450" s="1580"/>
      <c r="R450" s="1580"/>
      <c r="S450" s="1580"/>
      <c r="T450" s="1580"/>
      <c r="U450" s="1580"/>
    </row>
    <row r="451" customFormat="false" ht="15" hidden="false" customHeight="true" outlineLevel="1" collapsed="false">
      <c r="A451" s="837" t="str">
        <f aca="false">'Прайс лист'!B974</f>
        <v>Планка примыкания</v>
      </c>
      <c r="B451" s="837" t="str">
        <f aca="false">'Прайс лист'!C974</f>
        <v>м.п.</v>
      </c>
      <c r="C451" s="647"/>
      <c r="D451" s="837" t="n">
        <f aca="false">'Прайс лист'!G974</f>
        <v>190</v>
      </c>
      <c r="E451" s="837" t="n">
        <f aca="false">C451*D451</f>
        <v>0</v>
      </c>
      <c r="F451" s="1579"/>
      <c r="M451" s="1580"/>
      <c r="N451" s="1580"/>
      <c r="O451" s="1580"/>
      <c r="P451" s="1580"/>
      <c r="Q451" s="1580"/>
      <c r="R451" s="1580"/>
      <c r="S451" s="1580"/>
      <c r="T451" s="1580"/>
      <c r="U451" s="1580"/>
    </row>
    <row r="452" customFormat="false" ht="15" hidden="false" customHeight="true" outlineLevel="1" collapsed="false">
      <c r="A452" s="837" t="str">
        <f aca="false">'Прайс лист'!B975</f>
        <v>Крепеж для ондулина</v>
      </c>
      <c r="B452" s="837" t="str">
        <f aca="false">'Прайс лист'!C975</f>
        <v>шт</v>
      </c>
      <c r="C452" s="647" t="n">
        <f aca="false">C423*12*G405*C411</f>
        <v>0</v>
      </c>
      <c r="D452" s="837" t="n">
        <f aca="false">'Прайс лист'!G975</f>
        <v>4.5</v>
      </c>
      <c r="E452" s="837" t="n">
        <f aca="false">C452*D452</f>
        <v>0</v>
      </c>
      <c r="F452" s="1579"/>
      <c r="G452" s="3085"/>
      <c r="H452" s="3086"/>
      <c r="I452" s="2587"/>
      <c r="J452" s="876"/>
      <c r="K452" s="837"/>
      <c r="L452" s="837"/>
      <c r="M452" s="1580"/>
      <c r="N452" s="1580"/>
      <c r="O452" s="1580"/>
      <c r="P452" s="1580"/>
      <c r="Q452" s="1580"/>
      <c r="R452" s="1580"/>
      <c r="S452" s="1580"/>
      <c r="T452" s="1580"/>
      <c r="U452" s="1580"/>
    </row>
    <row r="453" customFormat="false" ht="15" hidden="false" customHeight="true" outlineLevel="1" collapsed="false">
      <c r="A453" s="837" t="str">
        <f aca="false">'Ввод данных'!A387</f>
        <v>нет</v>
      </c>
      <c r="B453" s="837" t="s">
        <v>820</v>
      </c>
      <c r="C453" s="647" t="n">
        <f aca="false">C423*G405*1.15</f>
        <v>146.65772223459</v>
      </c>
      <c r="D453" s="837" t="n">
        <f aca="false">VLOOKUP(A453,'Прайс лист'!B863:G907,6,0)</f>
        <v>0</v>
      </c>
      <c r="E453" s="837" t="n">
        <f aca="false">C453*D453</f>
        <v>0</v>
      </c>
      <c r="F453" s="1579"/>
      <c r="G453" s="3085"/>
      <c r="H453" s="3086"/>
      <c r="I453" s="2587"/>
      <c r="J453" s="876"/>
      <c r="K453" s="837"/>
      <c r="L453" s="837"/>
      <c r="M453" s="1580"/>
      <c r="N453" s="1580"/>
      <c r="O453" s="1580"/>
      <c r="P453" s="1580"/>
      <c r="Q453" s="1580"/>
      <c r="R453" s="1580"/>
      <c r="S453" s="1580"/>
      <c r="T453" s="1580"/>
      <c r="U453" s="1580"/>
    </row>
    <row r="454" customFormat="false" ht="15" hidden="false" customHeight="true" outlineLevel="1" collapsed="false">
      <c r="A454" s="837" t="str">
        <f aca="false">'Прайс лист'!B980</f>
        <v>Рядовая черепица</v>
      </c>
      <c r="B454" s="837" t="str">
        <f aca="false">'Прайс лист'!C980</f>
        <v>м2</v>
      </c>
      <c r="C454" s="647" t="n">
        <f aca="false">C423*C412*G405*1.1-(G410+G410+C418*4+G411+G411)*C412*0.2</f>
        <v>0</v>
      </c>
      <c r="D454" s="837" t="n">
        <f aca="false">'Прайс лист'!G980</f>
        <v>360</v>
      </c>
      <c r="E454" s="837" t="n">
        <f aca="false">C454*D454</f>
        <v>0</v>
      </c>
      <c r="F454" s="1579"/>
      <c r="G454" s="3085"/>
      <c r="H454" s="3086"/>
      <c r="I454" s="2587"/>
      <c r="J454" s="876"/>
      <c r="K454" s="837"/>
      <c r="L454" s="837"/>
      <c r="M454" s="1580"/>
      <c r="N454" s="1580"/>
      <c r="O454" s="1580"/>
      <c r="P454" s="1580"/>
      <c r="Q454" s="1580"/>
      <c r="R454" s="1580"/>
      <c r="S454" s="1580"/>
      <c r="T454" s="1580"/>
      <c r="U454" s="1580"/>
    </row>
    <row r="455" customFormat="false" ht="15" hidden="false" customHeight="true" outlineLevel="1" collapsed="false">
      <c r="A455" s="837" t="str">
        <f aca="false">'Прайс лист'!B981</f>
        <v>Металл оцинк защита (карниз)</v>
      </c>
      <c r="B455" s="837" t="str">
        <f aca="false">'Прайс лист'!C981</f>
        <v>м.п.</v>
      </c>
      <c r="C455" s="647" t="n">
        <f aca="false">(G410+G410+C418*4+G411+G411)*C412</f>
        <v>0</v>
      </c>
      <c r="D455" s="837" t="n">
        <f aca="false">'Прайс лист'!G981</f>
        <v>200</v>
      </c>
      <c r="E455" s="837" t="n">
        <f aca="false">C455*D455</f>
        <v>0</v>
      </c>
      <c r="F455" s="1579"/>
      <c r="G455" s="3085"/>
      <c r="H455" s="3086"/>
      <c r="I455" s="2587"/>
      <c r="J455" s="876"/>
      <c r="K455" s="837"/>
      <c r="L455" s="837"/>
      <c r="M455" s="1580"/>
      <c r="N455" s="1580"/>
      <c r="O455" s="1580"/>
      <c r="P455" s="1580"/>
      <c r="Q455" s="1580"/>
      <c r="R455" s="1580"/>
      <c r="S455" s="1580"/>
      <c r="T455" s="1580"/>
      <c r="U455" s="1580"/>
    </row>
    <row r="456" customFormat="false" ht="15" hidden="false" customHeight="true" outlineLevel="1" collapsed="false">
      <c r="A456" s="837" t="str">
        <f aca="false">'Прайс лист'!B982</f>
        <v>Подкладочный ковер</v>
      </c>
      <c r="B456" s="837" t="str">
        <f aca="false">'Прайс лист'!C982</f>
        <v>м.п.</v>
      </c>
      <c r="C456" s="647" t="n">
        <f aca="false">C424*C412</f>
        <v>0</v>
      </c>
      <c r="D456" s="837" t="n">
        <f aca="false">'Прайс лист'!G982</f>
        <v>220</v>
      </c>
      <c r="E456" s="837" t="n">
        <f aca="false">C456*D456</f>
        <v>0</v>
      </c>
      <c r="F456" s="1579"/>
      <c r="G456" s="3085"/>
      <c r="H456" s="3086"/>
      <c r="I456" s="2587"/>
      <c r="J456" s="876"/>
      <c r="K456" s="837"/>
      <c r="L456" s="837"/>
      <c r="M456" s="1580"/>
      <c r="N456" s="1580"/>
      <c r="O456" s="1580"/>
      <c r="P456" s="1580"/>
      <c r="Q456" s="1580"/>
      <c r="R456" s="1580"/>
      <c r="S456" s="1580"/>
      <c r="T456" s="1580"/>
      <c r="U456" s="1580"/>
    </row>
    <row r="457" customFormat="false" ht="15" hidden="false" customHeight="true" outlineLevel="1" collapsed="false">
      <c r="A457" s="837" t="str">
        <f aca="false">'Прайс лист'!B983</f>
        <v>Карнизная самоклеющаяся черепица</v>
      </c>
      <c r="B457" s="837" t="str">
        <f aca="false">'Прайс лист'!C983</f>
        <v>м.п.</v>
      </c>
      <c r="C457" s="647" t="n">
        <f aca="false">(G410+G410+C418*4+G411+G411)*C412</f>
        <v>0</v>
      </c>
      <c r="D457" s="837" t="n">
        <f aca="false">'Прайс лист'!G983</f>
        <v>220</v>
      </c>
      <c r="E457" s="837" t="n">
        <f aca="false">C457*D457</f>
        <v>0</v>
      </c>
      <c r="F457" s="1579"/>
      <c r="G457" s="3085"/>
      <c r="H457" s="3086"/>
      <c r="I457" s="2587"/>
      <c r="J457" s="876"/>
      <c r="K457" s="837"/>
      <c r="L457" s="837"/>
      <c r="M457" s="1580"/>
      <c r="N457" s="1580"/>
      <c r="O457" s="1580"/>
      <c r="P457" s="1580"/>
      <c r="Q457" s="1580"/>
      <c r="R457" s="1580"/>
      <c r="S457" s="1580"/>
      <c r="T457" s="1580"/>
      <c r="U457" s="1580"/>
    </row>
    <row r="458" customFormat="false" ht="15" hidden="false" customHeight="true" outlineLevel="1" collapsed="false">
      <c r="A458" s="837" t="str">
        <f aca="false">'Прайс лист'!B984</f>
        <v>Спец ковер ендова нижняя</v>
      </c>
      <c r="B458" s="837" t="str">
        <f aca="false">'Прайс лист'!C984</f>
        <v>м.п.</v>
      </c>
      <c r="C458" s="647"/>
      <c r="D458" s="837" t="n">
        <f aca="false">'Прайс лист'!G984</f>
        <v>200</v>
      </c>
      <c r="E458" s="837" t="n">
        <f aca="false">C458*D458</f>
        <v>0</v>
      </c>
      <c r="F458" s="1579"/>
      <c r="G458" s="3085"/>
      <c r="H458" s="3086"/>
      <c r="I458" s="2587"/>
      <c r="J458" s="876"/>
      <c r="K458" s="837"/>
      <c r="L458" s="837"/>
      <c r="M458" s="1580"/>
      <c r="N458" s="1580"/>
      <c r="O458" s="1580"/>
      <c r="P458" s="1580"/>
      <c r="Q458" s="1580"/>
      <c r="R458" s="1580"/>
      <c r="S458" s="1580"/>
      <c r="T458" s="1580"/>
      <c r="U458" s="1580"/>
    </row>
    <row r="459" customFormat="false" ht="15" hidden="false" customHeight="true" outlineLevel="1" collapsed="false">
      <c r="A459" s="837" t="str">
        <f aca="false">'Прайс лист'!B985</f>
        <v>Коньковой элемент</v>
      </c>
      <c r="B459" s="837" t="str">
        <f aca="false">'Прайс лист'!C985</f>
        <v>м.п.</v>
      </c>
      <c r="C459" s="647" t="n">
        <f aca="false">C415*G405*C412+C419*4*G405*1.1*C412</f>
        <v>0</v>
      </c>
      <c r="D459" s="837" t="n">
        <f aca="false">'Прайс лист'!G985</f>
        <v>250</v>
      </c>
      <c r="E459" s="837" t="n">
        <f aca="false">C459*D459</f>
        <v>0</v>
      </c>
      <c r="F459" s="1579"/>
      <c r="G459" s="3085"/>
      <c r="H459" s="3086"/>
      <c r="I459" s="2587"/>
      <c r="J459" s="876"/>
      <c r="K459" s="837"/>
      <c r="L459" s="837"/>
      <c r="M459" s="1580"/>
      <c r="N459" s="1580"/>
      <c r="O459" s="1580"/>
      <c r="P459" s="1580"/>
      <c r="Q459" s="1580"/>
      <c r="R459" s="1580"/>
      <c r="S459" s="1580"/>
      <c r="T459" s="1580"/>
      <c r="U459" s="1580"/>
    </row>
    <row r="460" customFormat="false" ht="15" hidden="false" customHeight="true" outlineLevel="1" collapsed="false">
      <c r="A460" s="837" t="str">
        <f aca="false">'Прайс лист'!B986</f>
        <v>Планка премыкания</v>
      </c>
      <c r="B460" s="837" t="str">
        <f aca="false">'Прайс лист'!C986</f>
        <v>м.п.</v>
      </c>
      <c r="C460" s="647"/>
      <c r="D460" s="837" t="n">
        <f aca="false">'Прайс лист'!G986</f>
        <v>200</v>
      </c>
      <c r="E460" s="837" t="n">
        <f aca="false">C460*D460</f>
        <v>0</v>
      </c>
      <c r="F460" s="1579"/>
      <c r="G460" s="3085"/>
      <c r="H460" s="3086"/>
      <c r="I460" s="2587"/>
      <c r="J460" s="876"/>
      <c r="K460" s="837"/>
      <c r="L460" s="837"/>
      <c r="M460" s="1580"/>
      <c r="N460" s="1580"/>
      <c r="O460" s="1580"/>
      <c r="P460" s="1580"/>
      <c r="Q460" s="1580"/>
      <c r="R460" s="1580"/>
      <c r="S460" s="1580"/>
      <c r="T460" s="1580"/>
      <c r="U460" s="1580"/>
    </row>
    <row r="461" customFormat="false" ht="15" hidden="false" customHeight="true" outlineLevel="1" collapsed="false">
      <c r="A461" s="837" t="str">
        <f aca="false">'Прайс лист'!B987</f>
        <v>Гвозди для крепления подкладочного ковра</v>
      </c>
      <c r="B461" s="837" t="str">
        <f aca="false">'Прайс лист'!C987</f>
        <v>шт</v>
      </c>
      <c r="C461" s="647" t="n">
        <f aca="false">C456*12</f>
        <v>0</v>
      </c>
      <c r="D461" s="837" t="n">
        <f aca="false">'Прайс лист'!G987</f>
        <v>0.012</v>
      </c>
      <c r="E461" s="837" t="n">
        <f aca="false">C461*D461</f>
        <v>0</v>
      </c>
      <c r="F461" s="1579"/>
      <c r="G461" s="3085"/>
      <c r="H461" s="3086"/>
      <c r="I461" s="2587"/>
      <c r="J461" s="876"/>
      <c r="K461" s="837"/>
      <c r="L461" s="837"/>
      <c r="M461" s="1580"/>
      <c r="N461" s="1580"/>
      <c r="O461" s="1580"/>
      <c r="P461" s="1580"/>
      <c r="Q461" s="1580"/>
      <c r="R461" s="1580"/>
      <c r="S461" s="1580"/>
      <c r="T461" s="1580"/>
      <c r="U461" s="1580"/>
    </row>
    <row r="462" customFormat="false" ht="15" hidden="false" customHeight="true" outlineLevel="1" collapsed="false">
      <c r="A462" s="837" t="str">
        <f aca="false">'Прайс лист'!B988</f>
        <v>Гвозди для крепления черепицы</v>
      </c>
      <c r="B462" s="837" t="str">
        <f aca="false">'Прайс лист'!C988</f>
        <v>шт</v>
      </c>
      <c r="C462" s="647" t="n">
        <f aca="false">C424*C412*20</f>
        <v>0</v>
      </c>
      <c r="D462" s="837" t="n">
        <f aca="false">'Прайс лист'!G988</f>
        <v>0.25</v>
      </c>
      <c r="E462" s="837" t="n">
        <f aca="false">C462*D462</f>
        <v>0</v>
      </c>
      <c r="F462" s="1579"/>
      <c r="G462" s="3085"/>
      <c r="H462" s="3086"/>
      <c r="I462" s="2587"/>
      <c r="J462" s="876"/>
      <c r="K462" s="837"/>
      <c r="L462" s="837"/>
      <c r="M462" s="1580"/>
      <c r="N462" s="1580"/>
      <c r="O462" s="1580"/>
      <c r="P462" s="1580"/>
      <c r="Q462" s="1580"/>
      <c r="R462" s="1580"/>
      <c r="S462" s="1580"/>
      <c r="T462" s="1580"/>
      <c r="U462" s="1580"/>
    </row>
    <row r="463" customFormat="false" ht="15" hidden="false" customHeight="true" outlineLevel="1" collapsed="false">
      <c r="A463" s="837" t="str">
        <f aca="false">'Прайс лист'!B989</f>
        <v>Клей для монтажа черепицы</v>
      </c>
      <c r="B463" s="837" t="str">
        <f aca="false">'Прайс лист'!C989</f>
        <v>кг</v>
      </c>
      <c r="C463" s="647" t="n">
        <f aca="false">C424*C412</f>
        <v>0</v>
      </c>
      <c r="D463" s="837" t="n">
        <f aca="false">'Прайс лист'!G989</f>
        <v>250</v>
      </c>
      <c r="E463" s="837" t="n">
        <f aca="false">C463*D463</f>
        <v>0</v>
      </c>
      <c r="F463" s="1579"/>
      <c r="G463" s="3085"/>
      <c r="H463" s="3086"/>
      <c r="I463" s="2587"/>
      <c r="J463" s="876"/>
      <c r="K463" s="837"/>
      <c r="L463" s="837"/>
      <c r="M463" s="1580"/>
      <c r="N463" s="1580"/>
      <c r="O463" s="1580"/>
      <c r="P463" s="1580"/>
      <c r="Q463" s="1580"/>
      <c r="R463" s="1580"/>
      <c r="S463" s="1580"/>
      <c r="T463" s="1580"/>
      <c r="U463" s="1580"/>
    </row>
    <row r="464" customFormat="false" ht="15" hidden="false" customHeight="true" outlineLevel="1" collapsed="false">
      <c r="A464" s="837" t="str">
        <f aca="false">'Прайс лист'!B994</f>
        <v>желоб</v>
      </c>
      <c r="B464" s="837" t="s">
        <v>2013</v>
      </c>
      <c r="C464" s="837" t="n">
        <f aca="false">C442/1.2*G405</f>
        <v>41.6666666666667</v>
      </c>
      <c r="D464" s="837" t="n">
        <f aca="false">'Прайс лист'!G994</f>
        <v>300</v>
      </c>
      <c r="E464" s="837" t="n">
        <f aca="false">C464*D464</f>
        <v>12500</v>
      </c>
      <c r="F464" s="1579"/>
      <c r="G464" s="3085"/>
      <c r="H464" s="3086"/>
      <c r="I464" s="2587"/>
      <c r="J464" s="876"/>
      <c r="K464" s="837"/>
      <c r="L464" s="837"/>
      <c r="M464" s="1580"/>
      <c r="N464" s="1580"/>
      <c r="O464" s="1580"/>
      <c r="P464" s="1580"/>
      <c r="Q464" s="1580"/>
      <c r="R464" s="1580"/>
      <c r="S464" s="1580"/>
      <c r="T464" s="1580"/>
      <c r="U464" s="1580"/>
    </row>
    <row r="465" customFormat="false" ht="15" hidden="false" customHeight="true" outlineLevel="1" collapsed="false">
      <c r="A465" s="837" t="str">
        <f aca="false">'Прайс лист'!B995</f>
        <v>отвод</v>
      </c>
      <c r="B465" s="837" t="s">
        <v>48</v>
      </c>
      <c r="C465" s="837" t="n">
        <v>4</v>
      </c>
      <c r="D465" s="837" t="n">
        <f aca="false">'Прайс лист'!G995</f>
        <v>250</v>
      </c>
      <c r="E465" s="837" t="n">
        <f aca="false">C465*D465</f>
        <v>1000</v>
      </c>
      <c r="F465" s="1579"/>
      <c r="G465" s="2634"/>
      <c r="H465" s="2635"/>
      <c r="I465" s="837"/>
      <c r="J465" s="876"/>
      <c r="K465" s="837"/>
      <c r="L465" s="837"/>
      <c r="M465" s="1580"/>
      <c r="N465" s="1580"/>
      <c r="O465" s="1580"/>
      <c r="P465" s="1580"/>
      <c r="Q465" s="1580"/>
      <c r="R465" s="1580"/>
      <c r="S465" s="1580"/>
      <c r="T465" s="1580"/>
      <c r="U465" s="1580"/>
    </row>
    <row r="466" customFormat="false" ht="15" hidden="false" customHeight="true" outlineLevel="1" collapsed="false">
      <c r="A466" s="837" t="str">
        <f aca="false">'Прайс лист'!B996</f>
        <v>труба водосточная</v>
      </c>
      <c r="B466" s="837" t="s">
        <v>15</v>
      </c>
      <c r="C466" s="837" t="n">
        <f aca="false">C442*G405</f>
        <v>50</v>
      </c>
      <c r="D466" s="837" t="n">
        <f aca="false">'Прайс лист'!G996</f>
        <v>300</v>
      </c>
      <c r="E466" s="837" t="n">
        <f aca="false">C466*D466</f>
        <v>15000</v>
      </c>
      <c r="F466" s="1579"/>
      <c r="G466" s="2634"/>
      <c r="H466" s="2635"/>
      <c r="I466" s="837"/>
      <c r="J466" s="876"/>
      <c r="K466" s="837"/>
      <c r="L466" s="837"/>
      <c r="M466" s="1580"/>
      <c r="N466" s="1580"/>
      <c r="O466" s="1580"/>
      <c r="P466" s="1580"/>
      <c r="Q466" s="1580"/>
      <c r="R466" s="1580"/>
      <c r="S466" s="1580"/>
      <c r="T466" s="1580"/>
      <c r="U466" s="1580"/>
    </row>
    <row r="467" customFormat="false" ht="15" hidden="false" customHeight="true" outlineLevel="1" collapsed="false">
      <c r="A467" s="837" t="str">
        <f aca="false">'Прайс лист'!B997</f>
        <v>заглушка для желоба</v>
      </c>
      <c r="B467" s="837" t="s">
        <v>48</v>
      </c>
      <c r="C467" s="837" t="n">
        <v>4</v>
      </c>
      <c r="D467" s="837" t="n">
        <f aca="false">'Прайс лист'!G997</f>
        <v>190</v>
      </c>
      <c r="E467" s="837" t="n">
        <f aca="false">C467*D467</f>
        <v>760</v>
      </c>
      <c r="F467" s="1579"/>
      <c r="G467" s="2634"/>
      <c r="H467" s="2635"/>
      <c r="I467" s="837"/>
      <c r="J467" s="876"/>
      <c r="K467" s="837"/>
      <c r="L467" s="837"/>
      <c r="M467" s="1580"/>
      <c r="N467" s="1580"/>
      <c r="O467" s="1580"/>
      <c r="P467" s="1580"/>
      <c r="Q467" s="1580"/>
      <c r="R467" s="1580"/>
      <c r="S467" s="1580"/>
      <c r="T467" s="1580"/>
      <c r="U467" s="1580"/>
    </row>
    <row r="468" customFormat="false" ht="15" hidden="false" customHeight="true" outlineLevel="1" collapsed="false">
      <c r="A468" s="837" t="str">
        <f aca="false">'Прайс лист'!B998</f>
        <v>соеденитель для желоба</v>
      </c>
      <c r="B468" s="837" t="s">
        <v>48</v>
      </c>
      <c r="C468" s="837" t="n">
        <f aca="false">((C464/3)+1)*G405</f>
        <v>14.8888888888889</v>
      </c>
      <c r="D468" s="837" t="n">
        <f aca="false">'Прайс лист'!G998</f>
        <v>180</v>
      </c>
      <c r="E468" s="837" t="n">
        <f aca="false">C468*D468</f>
        <v>2680</v>
      </c>
      <c r="F468" s="1579"/>
      <c r="G468" s="2634"/>
      <c r="H468" s="2635"/>
      <c r="I468" s="876"/>
      <c r="J468" s="876"/>
      <c r="K468" s="837"/>
      <c r="L468" s="837"/>
      <c r="M468" s="1580"/>
      <c r="N468" s="1580"/>
      <c r="O468" s="1580"/>
      <c r="P468" s="1580"/>
      <c r="Q468" s="1580"/>
      <c r="R468" s="1580"/>
      <c r="S468" s="1580"/>
      <c r="T468" s="1580"/>
      <c r="U468" s="1580"/>
    </row>
    <row r="469" customFormat="false" ht="15" hidden="false" customHeight="true" outlineLevel="1" collapsed="false">
      <c r="A469" s="837" t="str">
        <f aca="false">'Прайс лист'!B999</f>
        <v>кронштейн для желоба</v>
      </c>
      <c r="B469" s="837" t="s">
        <v>48</v>
      </c>
      <c r="C469" s="837" t="n">
        <f aca="false">C464/0.4*G405</f>
        <v>104.166666666667</v>
      </c>
      <c r="D469" s="837" t="n">
        <f aca="false">'Прайс лист'!G999</f>
        <v>130</v>
      </c>
      <c r="E469" s="837" t="n">
        <f aca="false">C469*D469</f>
        <v>13541.6666666667</v>
      </c>
      <c r="F469" s="1579"/>
      <c r="G469" s="2634"/>
      <c r="H469" s="2635"/>
      <c r="I469" s="2587"/>
      <c r="J469" s="2587"/>
      <c r="K469" s="837"/>
      <c r="L469" s="837"/>
      <c r="M469" s="1580"/>
      <c r="N469" s="1580"/>
      <c r="O469" s="1580"/>
      <c r="P469" s="1580"/>
      <c r="Q469" s="1580"/>
      <c r="R469" s="1580"/>
      <c r="S469" s="1580"/>
      <c r="T469" s="1580"/>
      <c r="U469" s="1580"/>
    </row>
    <row r="470" customFormat="false" ht="15" hidden="false" customHeight="true" outlineLevel="1" collapsed="false">
      <c r="A470" s="837" t="str">
        <f aca="false">'Прайс лист'!B1000</f>
        <v>переход из желоба в трубу</v>
      </c>
      <c r="B470" s="837" t="s">
        <v>48</v>
      </c>
      <c r="C470" s="837" t="n">
        <v>4</v>
      </c>
      <c r="D470" s="837" t="n">
        <f aca="false">'Прайс лист'!G1000</f>
        <v>350</v>
      </c>
      <c r="E470" s="837" t="n">
        <f aca="false">C470*D470</f>
        <v>1400</v>
      </c>
      <c r="F470" s="1579"/>
      <c r="G470" s="2634"/>
      <c r="H470" s="2635"/>
      <c r="I470" s="2587"/>
      <c r="J470" s="2587"/>
      <c r="K470" s="837"/>
      <c r="L470" s="837"/>
      <c r="M470" s="1580"/>
      <c r="N470" s="1580"/>
      <c r="O470" s="1580"/>
      <c r="P470" s="1580"/>
      <c r="Q470" s="1580"/>
      <c r="R470" s="1580"/>
      <c r="S470" s="1580"/>
      <c r="T470" s="1580"/>
      <c r="U470" s="1580"/>
    </row>
    <row r="471" customFormat="false" ht="15" hidden="false" customHeight="true" outlineLevel="1" collapsed="false">
      <c r="A471" s="837" t="str">
        <f aca="false">'Прайс лист'!B1001</f>
        <v>лента дельта мульти бэнд</v>
      </c>
      <c r="B471" s="837" t="s">
        <v>48</v>
      </c>
      <c r="C471" s="837" t="n">
        <v>1</v>
      </c>
      <c r="D471" s="837" t="n">
        <f aca="false">'Прайс лист'!G1001</f>
        <v>1200</v>
      </c>
      <c r="E471" s="837" t="n">
        <f aca="false">C471*D471</f>
        <v>1200</v>
      </c>
      <c r="F471" s="1579"/>
      <c r="G471" s="2634"/>
      <c r="H471" s="2635"/>
      <c r="I471" s="2587"/>
      <c r="J471" s="2587"/>
      <c r="K471" s="837"/>
      <c r="L471" s="837"/>
      <c r="M471" s="1580"/>
      <c r="N471" s="1580"/>
      <c r="O471" s="1580"/>
      <c r="P471" s="1580"/>
      <c r="Q471" s="1580"/>
      <c r="R471" s="1580"/>
      <c r="S471" s="1580"/>
      <c r="T471" s="1580"/>
      <c r="U471" s="1580"/>
    </row>
    <row r="472" customFormat="false" ht="15" hidden="false" customHeight="true" outlineLevel="1" collapsed="false">
      <c r="A472" s="837" t="str">
        <f aca="false">'Прайс лист'!B1002</f>
        <v>лента дельта sb-60</v>
      </c>
      <c r="B472" s="837" t="s">
        <v>48</v>
      </c>
      <c r="C472" s="837" t="n">
        <f aca="false">C423/15*G405</f>
        <v>8.50189694113567</v>
      </c>
      <c r="D472" s="837" t="n">
        <f aca="false">'Прайс лист'!G1002</f>
        <v>1100</v>
      </c>
      <c r="E472" s="837" t="n">
        <f aca="false">C472*D472</f>
        <v>9352.08663524923</v>
      </c>
      <c r="F472" s="1579"/>
      <c r="G472" s="2634"/>
      <c r="H472" s="2635"/>
      <c r="I472" s="2587"/>
      <c r="J472" s="2587"/>
      <c r="K472" s="837"/>
      <c r="L472" s="837"/>
      <c r="M472" s="1580"/>
      <c r="N472" s="1580"/>
      <c r="O472" s="1580"/>
      <c r="P472" s="1580"/>
      <c r="Q472" s="1580"/>
      <c r="R472" s="1580"/>
      <c r="S472" s="1580"/>
      <c r="T472" s="1580"/>
      <c r="U472" s="1580"/>
    </row>
    <row r="473" customFormat="false" ht="15" hidden="false" customHeight="true" outlineLevel="1" collapsed="false">
      <c r="A473" s="837" t="str">
        <f aca="false">'Прайс лист'!B1003</f>
        <v>проходка кровельная, канализационная</v>
      </c>
      <c r="B473" s="1555" t="s">
        <v>48</v>
      </c>
      <c r="C473" s="837" t="n">
        <f aca="false">C427</f>
        <v>0</v>
      </c>
      <c r="D473" s="837" t="n">
        <f aca="false">'Прайс лист'!G1003</f>
        <v>3500</v>
      </c>
      <c r="E473" s="837" t="n">
        <f aca="false">C473*D473</f>
        <v>0</v>
      </c>
      <c r="F473" s="1579"/>
      <c r="G473" s="2634"/>
      <c r="H473" s="2635"/>
      <c r="I473" s="2587"/>
      <c r="J473" s="2587"/>
      <c r="K473" s="837"/>
      <c r="L473" s="837"/>
      <c r="M473" s="1580"/>
      <c r="N473" s="1580"/>
      <c r="O473" s="1580"/>
      <c r="P473" s="1580"/>
      <c r="Q473" s="1580"/>
      <c r="R473" s="1580"/>
      <c r="S473" s="1580"/>
      <c r="T473" s="1580"/>
      <c r="U473" s="1580"/>
    </row>
    <row r="474" customFormat="false" ht="15" hidden="false" customHeight="true" outlineLevel="1" collapsed="false">
      <c r="A474" s="837" t="str">
        <f aca="false">'Прайс лист'!B1004</f>
        <v>проходка кровельная, вентиляционная</v>
      </c>
      <c r="B474" s="1555" t="s">
        <v>48</v>
      </c>
      <c r="C474" s="837" t="n">
        <f aca="false">C428</f>
        <v>0</v>
      </c>
      <c r="D474" s="837" t="n">
        <f aca="false">'Прайс лист'!G1004</f>
        <v>3500</v>
      </c>
      <c r="E474" s="837" t="n">
        <f aca="false">C474*D474</f>
        <v>0</v>
      </c>
      <c r="F474" s="1579"/>
      <c r="G474" s="2634"/>
      <c r="H474" s="2635"/>
      <c r="I474" s="2587"/>
      <c r="J474" s="2587"/>
      <c r="K474" s="837"/>
      <c r="L474" s="837"/>
      <c r="M474" s="1580"/>
      <c r="N474" s="1580"/>
      <c r="O474" s="1580"/>
      <c r="P474" s="1580"/>
      <c r="Q474" s="1580"/>
      <c r="R474" s="1580"/>
      <c r="S474" s="1580"/>
      <c r="T474" s="1580"/>
      <c r="U474" s="1580"/>
    </row>
    <row r="475" customFormat="false" ht="15" hidden="false" customHeight="true" outlineLevel="1" collapsed="false">
      <c r="A475" s="837" t="str">
        <f aca="false">'Прайс лист'!B1005</f>
        <v>проодка кровельная, труба котел</v>
      </c>
      <c r="B475" s="1555" t="s">
        <v>48</v>
      </c>
      <c r="C475" s="837" t="n">
        <f aca="false">C429</f>
        <v>0</v>
      </c>
      <c r="D475" s="837" t="n">
        <f aca="false">'Прайс лист'!G1005</f>
        <v>4500</v>
      </c>
      <c r="E475" s="837" t="n">
        <f aca="false">C475*D475</f>
        <v>0</v>
      </c>
      <c r="F475" s="1579"/>
      <c r="G475" s="2634"/>
      <c r="H475" s="2635"/>
      <c r="I475" s="2587"/>
      <c r="J475" s="2587"/>
      <c r="K475" s="837"/>
      <c r="L475" s="837"/>
      <c r="M475" s="1580"/>
      <c r="N475" s="1580"/>
      <c r="O475" s="1580"/>
      <c r="P475" s="1580"/>
      <c r="Q475" s="1580"/>
      <c r="R475" s="1580"/>
      <c r="S475" s="1580"/>
      <c r="T475" s="1580"/>
      <c r="U475" s="1580"/>
    </row>
    <row r="476" customFormat="false" ht="15" hidden="false" customHeight="true" outlineLevel="1" collapsed="false">
      <c r="A476" s="837" t="str">
        <f aca="false">'Прайс лист'!B963</f>
        <v>Кровельный саморез</v>
      </c>
      <c r="B476" s="837" t="s">
        <v>48</v>
      </c>
      <c r="C476" s="837" t="n">
        <f aca="false">C423*12*G405*C410</f>
        <v>1530.34144940442</v>
      </c>
      <c r="D476" s="837" t="n">
        <f aca="false">'Прайс лист'!G963</f>
        <v>2</v>
      </c>
      <c r="E476" s="837" t="n">
        <f aca="false">C476*D476</f>
        <v>3060.68289880884</v>
      </c>
      <c r="F476" s="1579"/>
      <c r="G476" s="2634"/>
      <c r="H476" s="2635"/>
      <c r="I476" s="2587"/>
      <c r="J476" s="2587"/>
      <c r="K476" s="837"/>
      <c r="L476" s="837"/>
      <c r="M476" s="1580"/>
      <c r="N476" s="1580"/>
      <c r="O476" s="1580"/>
      <c r="P476" s="1580"/>
      <c r="Q476" s="1580"/>
      <c r="R476" s="1580"/>
      <c r="S476" s="1580"/>
      <c r="T476" s="1580"/>
      <c r="U476" s="1580"/>
    </row>
    <row r="477" customFormat="false" ht="15" hidden="false" customHeight="true" outlineLevel="1" collapsed="false">
      <c r="A477" s="837" t="str">
        <f aca="false">'Прайс лист'!B742</f>
        <v>Гвозди ершоные 3,4 x 60            </v>
      </c>
      <c r="B477" s="837" t="s">
        <v>434</v>
      </c>
      <c r="C477" s="837" t="n">
        <f aca="false">C436*10*G405</f>
        <v>12.4340242764109</v>
      </c>
      <c r="D477" s="837" t="n">
        <f aca="false">'Прайс лист'!G742</f>
        <v>75.51</v>
      </c>
      <c r="E477" s="837" t="n">
        <f aca="false">C477*D477</f>
        <v>938.893173111788</v>
      </c>
      <c r="F477" s="1579"/>
      <c r="G477" s="2634"/>
      <c r="H477" s="2635"/>
      <c r="I477" s="2587"/>
      <c r="J477" s="2587"/>
      <c r="K477" s="837"/>
      <c r="L477" s="837"/>
      <c r="M477" s="1580"/>
      <c r="N477" s="1580"/>
      <c r="O477" s="1580"/>
      <c r="P477" s="1580"/>
      <c r="Q477" s="1580"/>
      <c r="R477" s="1580"/>
      <c r="S477" s="1580"/>
      <c r="T477" s="1580"/>
      <c r="U477" s="1580"/>
    </row>
    <row r="478" customFormat="false" ht="15" hidden="false" customHeight="true" outlineLevel="1" collapsed="false">
      <c r="A478" s="837" t="str">
        <f aca="false">'Прайс лист'!B743</f>
        <v>Гвозди ершоные 2,8 х 90            </v>
      </c>
      <c r="B478" s="837" t="s">
        <v>434</v>
      </c>
      <c r="C478" s="837" t="n">
        <f aca="false">(C433+C434+C435)*6*G405</f>
        <v>19.7282216217207</v>
      </c>
      <c r="D478" s="837" t="n">
        <f aca="false">'Прайс лист'!G743</f>
        <v>76.49</v>
      </c>
      <c r="E478" s="837" t="n">
        <f aca="false">C478*D478</f>
        <v>1509.01167184542</v>
      </c>
      <c r="F478" s="1579"/>
      <c r="G478" s="2634"/>
      <c r="H478" s="2635"/>
      <c r="I478" s="2587"/>
      <c r="J478" s="2587"/>
      <c r="K478" s="837"/>
      <c r="L478" s="837"/>
      <c r="M478" s="1580"/>
      <c r="N478" s="1580"/>
      <c r="O478" s="1580"/>
      <c r="P478" s="1580"/>
      <c r="Q478" s="1580"/>
      <c r="R478" s="1580"/>
      <c r="S478" s="1580"/>
      <c r="T478" s="1580"/>
      <c r="U478" s="1580"/>
    </row>
    <row r="479" customFormat="false" ht="15" hidden="false" customHeight="true" outlineLevel="1" collapsed="false">
      <c r="A479" s="837" t="str">
        <f aca="false">'Прайс лист'!B699</f>
        <v>Пластина соеденительная 100х240х2           </v>
      </c>
      <c r="B479" s="837" t="s">
        <v>48</v>
      </c>
      <c r="C479" s="837" t="n">
        <f aca="false">C423/7*G405</f>
        <v>18.2183505881479</v>
      </c>
      <c r="D479" s="837" t="n">
        <f aca="false">'Прайс лист'!G699</f>
        <v>31.54</v>
      </c>
      <c r="E479" s="837" t="n">
        <f aca="false">C479*D479</f>
        <v>574.606777550183</v>
      </c>
      <c r="F479" s="1579"/>
      <c r="G479" s="2634"/>
      <c r="H479" s="2635"/>
      <c r="I479" s="2587"/>
      <c r="J479" s="2587"/>
      <c r="K479" s="837"/>
      <c r="L479" s="837"/>
      <c r="M479" s="1580"/>
      <c r="N479" s="1580"/>
      <c r="O479" s="1580"/>
      <c r="P479" s="1580"/>
      <c r="Q479" s="1580"/>
      <c r="R479" s="1580"/>
      <c r="S479" s="1580"/>
      <c r="T479" s="1580"/>
      <c r="U479" s="1580"/>
    </row>
    <row r="480" customFormat="false" ht="15" hidden="false" customHeight="true" outlineLevel="1" collapsed="false">
      <c r="A480" s="837" t="str">
        <f aca="false">'Прайс лист'!B693</f>
        <v>Уголок усиленный 90х70х55х2,5        </v>
      </c>
      <c r="B480" s="837" t="s">
        <v>48</v>
      </c>
      <c r="C480" s="837" t="n">
        <f aca="false">C423*2*G405</f>
        <v>255.05690823407</v>
      </c>
      <c r="D480" s="837" t="n">
        <f aca="false">'Прайс лист'!G693</f>
        <v>30</v>
      </c>
      <c r="E480" s="837" t="n">
        <f aca="false">C480*D480</f>
        <v>7651.7072470221</v>
      </c>
      <c r="F480" s="1579"/>
      <c r="G480" s="2634"/>
      <c r="H480" s="2635"/>
      <c r="I480" s="2587"/>
      <c r="J480" s="2587"/>
      <c r="K480" s="837"/>
      <c r="L480" s="837"/>
      <c r="M480" s="1580"/>
      <c r="N480" s="1580"/>
      <c r="O480" s="1580"/>
      <c r="P480" s="1580"/>
      <c r="Q480" s="1580"/>
      <c r="R480" s="1580"/>
      <c r="S480" s="1580"/>
      <c r="T480" s="1580"/>
      <c r="U480" s="1580"/>
    </row>
    <row r="481" customFormat="false" ht="15" hidden="false" customHeight="true" outlineLevel="1" collapsed="false">
      <c r="A481" s="837" t="str">
        <f aca="false">'Ввод данных'!A398</f>
        <v>Нет техники</v>
      </c>
      <c r="B481" s="837" t="str">
        <f aca="false">'Ввод данных'!B398</f>
        <v>ед.</v>
      </c>
      <c r="C481" s="837" t="n">
        <f aca="false">'Ввод данных'!C398</f>
        <v>0</v>
      </c>
      <c r="D481" s="837" t="n">
        <f aca="false">VLOOKUP(A481,'Прайс лист'!B192:G206,6,0)</f>
        <v>0</v>
      </c>
      <c r="E481" s="837" t="n">
        <f aca="false">C481*D481</f>
        <v>0</v>
      </c>
      <c r="F481" s="1579"/>
      <c r="G481" s="2634"/>
      <c r="H481" s="2635"/>
      <c r="I481" s="2587"/>
      <c r="J481" s="2587"/>
      <c r="K481" s="837"/>
      <c r="L481" s="837"/>
      <c r="M481" s="1580"/>
      <c r="N481" s="1580"/>
      <c r="O481" s="1580"/>
      <c r="P481" s="1580"/>
      <c r="Q481" s="1580"/>
      <c r="R481" s="1580"/>
      <c r="S481" s="1580"/>
      <c r="T481" s="1580"/>
      <c r="U481" s="1580"/>
    </row>
    <row r="482" customFormat="false" ht="15" hidden="false" customHeight="true" outlineLevel="1" collapsed="false">
      <c r="A482" s="837" t="str">
        <f aca="false">'Ввод данных'!A399</f>
        <v>Нет техники</v>
      </c>
      <c r="B482" s="837" t="str">
        <f aca="false">'Ввод данных'!B399</f>
        <v>ед.</v>
      </c>
      <c r="C482" s="837" t="n">
        <f aca="false">'Ввод данных'!C399</f>
        <v>0</v>
      </c>
      <c r="D482" s="647" t="n">
        <f aca="false">VLOOKUP(A482,'Прайс лист'!B192:G206,6,0)</f>
        <v>0</v>
      </c>
      <c r="E482" s="837" t="n">
        <f aca="false">C482*D482</f>
        <v>0</v>
      </c>
      <c r="F482" s="1579"/>
      <c r="G482" s="2634"/>
      <c r="H482" s="2635"/>
      <c r="I482" s="2587"/>
      <c r="J482" s="2587"/>
      <c r="K482" s="837"/>
      <c r="L482" s="837"/>
      <c r="M482" s="1580"/>
      <c r="N482" s="1580"/>
      <c r="O482" s="1580"/>
      <c r="P482" s="1580"/>
      <c r="Q482" s="1580"/>
      <c r="R482" s="1580"/>
      <c r="S482" s="1580"/>
      <c r="T482" s="1580"/>
      <c r="U482" s="1580"/>
    </row>
    <row r="483" customFormat="false" ht="15" hidden="false" customHeight="true" outlineLevel="1" collapsed="false">
      <c r="A483" s="837" t="str">
        <f aca="false">'Ввод данных'!A401</f>
        <v>расходные материалы полувальмовая кровля</v>
      </c>
      <c r="B483" s="837" t="str">
        <f aca="false">'Ввод данных'!B401</f>
        <v>рублей</v>
      </c>
      <c r="C483" s="837" t="n">
        <f aca="false">1</f>
        <v>1</v>
      </c>
      <c r="D483" s="837" t="n">
        <f aca="false">'Ввод данных'!C401</f>
        <v>3000</v>
      </c>
      <c r="E483" s="837" t="n">
        <f aca="false">C483*D483</f>
        <v>3000</v>
      </c>
      <c r="F483" s="1579"/>
      <c r="G483" s="919"/>
      <c r="H483" s="919"/>
      <c r="I483" s="2583"/>
      <c r="J483" s="2583"/>
      <c r="K483" s="2589"/>
      <c r="L483" s="837"/>
      <c r="M483" s="1580"/>
      <c r="N483" s="1580"/>
      <c r="O483" s="1580"/>
      <c r="P483" s="1580"/>
      <c r="Q483" s="1580"/>
      <c r="R483" s="1580"/>
      <c r="S483" s="1580"/>
      <c r="T483" s="1580"/>
      <c r="U483" s="1580"/>
    </row>
    <row r="484" customFormat="false" ht="15" hidden="false" customHeight="true" outlineLevel="1" collapsed="false">
      <c r="A484" s="1579"/>
      <c r="B484" s="1579"/>
      <c r="C484" s="1579"/>
      <c r="D484" s="1579"/>
      <c r="E484" s="2636" t="n">
        <f aca="false">SUM(E431:E483)</f>
        <v>205846.682268688</v>
      </c>
      <c r="F484" s="1579"/>
      <c r="G484" s="1579"/>
      <c r="H484" s="1580"/>
      <c r="I484" s="1580"/>
      <c r="J484" s="1580"/>
      <c r="K484" s="1580"/>
      <c r="L484" s="2587" t="n">
        <f aca="false">SUM(L433:L482)</f>
        <v>211555.995899739</v>
      </c>
      <c r="M484" s="1580"/>
      <c r="N484" s="1580"/>
      <c r="O484" s="1580"/>
      <c r="P484" s="1580"/>
      <c r="Q484" s="1580"/>
      <c r="R484" s="1580"/>
      <c r="S484" s="1580"/>
      <c r="T484" s="1580"/>
      <c r="U484" s="1580"/>
    </row>
    <row r="485" customFormat="false" ht="15" hidden="false" customHeight="true" outlineLevel="1" collapsed="false">
      <c r="A485" s="837" t="s">
        <v>2920</v>
      </c>
      <c r="B485" s="2636" t="n">
        <f aca="false">E484</f>
        <v>205846.682268688</v>
      </c>
      <c r="C485" s="1579"/>
      <c r="D485" s="1579"/>
      <c r="E485" s="1579"/>
      <c r="F485" s="1579"/>
      <c r="G485" s="1579"/>
      <c r="H485" s="1580"/>
      <c r="I485" s="1580"/>
      <c r="J485" s="1580"/>
      <c r="K485" s="1580"/>
      <c r="L485" s="1580"/>
      <c r="M485" s="1580"/>
      <c r="N485" s="1580"/>
      <c r="O485" s="1580"/>
      <c r="P485" s="1580"/>
      <c r="Q485" s="1580"/>
      <c r="R485" s="1580"/>
      <c r="S485" s="1580"/>
      <c r="T485" s="1580"/>
      <c r="U485" s="1580"/>
    </row>
    <row r="486" customFormat="false" ht="15" hidden="false" customHeight="true" outlineLevel="1" collapsed="false">
      <c r="A486" s="837" t="s">
        <v>2921</v>
      </c>
      <c r="B486" s="2636" t="n">
        <f aca="false">L484</f>
        <v>211555.995899739</v>
      </c>
      <c r="C486" s="1579"/>
      <c r="D486" s="1579"/>
      <c r="E486" s="1579"/>
      <c r="F486" s="1579"/>
      <c r="G486" s="1579"/>
      <c r="H486" s="1580"/>
      <c r="I486" s="1580"/>
      <c r="J486" s="1580"/>
      <c r="K486" s="1580"/>
      <c r="L486" s="1580"/>
      <c r="M486" s="1580"/>
      <c r="N486" s="1580"/>
      <c r="O486" s="1580"/>
      <c r="P486" s="1580"/>
      <c r="Q486" s="1580"/>
      <c r="R486" s="1580"/>
      <c r="S486" s="1580"/>
      <c r="T486" s="1580"/>
      <c r="U486" s="1580"/>
    </row>
    <row r="487" customFormat="false" ht="15" hidden="false" customHeight="true" outlineLevel="1" collapsed="false">
      <c r="A487" s="1555" t="s">
        <v>2922</v>
      </c>
      <c r="B487" s="3070" t="n">
        <f aca="false">(SUM(B485:B486))</f>
        <v>417402.678168426</v>
      </c>
      <c r="C487" s="1579"/>
      <c r="D487" s="1579"/>
      <c r="E487" s="1579"/>
      <c r="F487" s="1579"/>
      <c r="G487" s="1579"/>
      <c r="H487" s="1580"/>
      <c r="I487" s="1580"/>
      <c r="J487" s="1580"/>
      <c r="K487" s="1580"/>
      <c r="L487" s="1580"/>
      <c r="M487" s="1580"/>
      <c r="N487" s="1580"/>
      <c r="O487" s="1580"/>
      <c r="P487" s="1580"/>
      <c r="Q487" s="1580"/>
      <c r="R487" s="1580"/>
      <c r="S487" s="1580"/>
      <c r="T487" s="1580"/>
      <c r="U487" s="1580"/>
    </row>
    <row r="488" customFormat="false" ht="15" hidden="false" customHeight="true" outlineLevel="0" collapsed="false">
      <c r="A488" s="918" t="s">
        <v>4260</v>
      </c>
      <c r="B488" s="3006"/>
      <c r="C488" s="3064"/>
      <c r="D488" s="3064"/>
      <c r="E488" s="3064"/>
      <c r="F488" s="3064"/>
      <c r="G488" s="2630"/>
      <c r="H488" s="1580"/>
      <c r="I488" s="1580"/>
      <c r="J488" s="1580"/>
      <c r="K488" s="3069"/>
      <c r="L488" s="1580"/>
      <c r="M488" s="1580"/>
      <c r="N488" s="1580"/>
      <c r="O488" s="1580"/>
      <c r="P488" s="1580"/>
      <c r="Q488" s="1580"/>
      <c r="R488" s="1580"/>
      <c r="S488" s="1580"/>
      <c r="T488" s="1580"/>
      <c r="U488" s="1580"/>
    </row>
    <row r="489" customFormat="false" ht="15" hidden="false" customHeight="true" outlineLevel="0" collapsed="false">
      <c r="A489" s="2637"/>
      <c r="B489" s="1580"/>
      <c r="C489" s="2630"/>
      <c r="D489" s="2630"/>
      <c r="E489" s="1580"/>
      <c r="F489" s="2630"/>
      <c r="G489" s="2630"/>
      <c r="H489" s="1580"/>
      <c r="I489" s="1580"/>
      <c r="J489" s="1580"/>
      <c r="K489" s="3069"/>
      <c r="L489" s="1580"/>
      <c r="M489" s="1580"/>
      <c r="N489" s="1580"/>
      <c r="O489" s="1580"/>
      <c r="P489" s="1580"/>
      <c r="Q489" s="1580"/>
      <c r="R489" s="1580"/>
      <c r="S489" s="1580"/>
      <c r="T489" s="1580"/>
      <c r="U489" s="1580"/>
    </row>
    <row r="490" customFormat="false" ht="15" hidden="false" customHeight="true" outlineLevel="1" collapsed="false">
      <c r="A490" s="1518" t="s">
        <v>2271</v>
      </c>
      <c r="B490" s="1518"/>
      <c r="C490" s="1518"/>
      <c r="D490" s="1518"/>
      <c r="E490" s="1518"/>
      <c r="F490" s="1518"/>
      <c r="G490" s="1518"/>
      <c r="H490" s="1518"/>
      <c r="I490" s="1518"/>
      <c r="J490" s="1518"/>
      <c r="K490" s="1518"/>
      <c r="L490" s="1518"/>
      <c r="M490" s="1580"/>
      <c r="N490" s="1580"/>
      <c r="O490" s="1580"/>
      <c r="P490" s="1580"/>
      <c r="Q490" s="1580"/>
      <c r="R490" s="1580"/>
      <c r="S490" s="1580"/>
      <c r="T490" s="1580"/>
      <c r="U490" s="1580"/>
    </row>
    <row r="491" customFormat="false" ht="15" hidden="false" customHeight="true" outlineLevel="1" collapsed="false">
      <c r="A491" s="1518"/>
      <c r="B491" s="1518"/>
      <c r="C491" s="1518"/>
      <c r="D491" s="1518"/>
      <c r="E491" s="1518"/>
      <c r="F491" s="1518"/>
      <c r="G491" s="1518"/>
      <c r="H491" s="1518"/>
      <c r="I491" s="1518"/>
      <c r="J491" s="1518"/>
      <c r="K491" s="1518"/>
      <c r="L491" s="1518"/>
      <c r="M491" s="1580"/>
      <c r="N491" s="1580"/>
      <c r="O491" s="1580"/>
      <c r="P491" s="1580"/>
      <c r="Q491" s="1580"/>
      <c r="R491" s="1580"/>
      <c r="S491" s="1580"/>
      <c r="T491" s="1580"/>
      <c r="U491" s="1580"/>
    </row>
    <row r="492" customFormat="false" ht="15" hidden="false" customHeight="true" outlineLevel="1" collapsed="false">
      <c r="A492" s="1520" t="s">
        <v>461</v>
      </c>
      <c r="B492" s="1520"/>
      <c r="C492" s="1520"/>
      <c r="D492" s="1520"/>
      <c r="E492" s="1520"/>
      <c r="F492" s="1520"/>
      <c r="G492" s="3095" t="n">
        <f aca="false">'Ввод данных'!E406</f>
        <v>1</v>
      </c>
      <c r="H492" s="1521"/>
      <c r="I492" s="1521"/>
      <c r="J492" s="1521"/>
      <c r="K492" s="1521"/>
      <c r="L492" s="1521"/>
      <c r="M492" s="1580"/>
      <c r="N492" s="1580"/>
      <c r="O492" s="1580"/>
      <c r="P492" s="1580"/>
      <c r="Q492" s="1580"/>
      <c r="R492" s="1580"/>
      <c r="S492" s="1580"/>
      <c r="T492" s="1580"/>
      <c r="U492" s="1580"/>
    </row>
    <row r="493" customFormat="false" ht="15" hidden="false" customHeight="true" outlineLevel="1" collapsed="false">
      <c r="A493" s="1520"/>
      <c r="B493" s="1520"/>
      <c r="C493" s="1520"/>
      <c r="D493" s="1520"/>
      <c r="E493" s="1520"/>
      <c r="F493" s="1520"/>
      <c r="G493" s="3072"/>
      <c r="H493" s="1521" t="n">
        <f aca="false">'Ввод данных'!E407</f>
        <v>1</v>
      </c>
      <c r="I493" s="1521"/>
      <c r="J493" s="1521"/>
      <c r="K493" s="1521"/>
      <c r="L493" s="1521"/>
      <c r="M493" s="1580"/>
      <c r="N493" s="1580"/>
      <c r="O493" s="1580"/>
      <c r="P493" s="1580"/>
      <c r="Q493" s="1580"/>
      <c r="R493" s="1580"/>
      <c r="S493" s="1580"/>
      <c r="T493" s="1580"/>
      <c r="U493" s="1580"/>
    </row>
    <row r="494" customFormat="false" ht="15" hidden="false" customHeight="true" outlineLevel="1" collapsed="false">
      <c r="A494" s="864" t="s">
        <v>3943</v>
      </c>
      <c r="B494" s="1549" t="s">
        <v>48</v>
      </c>
      <c r="C494" s="3096" t="n">
        <f aca="false">IF('Ввод данных'!A410=связи1!A6,1,0)</f>
        <v>1</v>
      </c>
      <c r="D494" s="3063"/>
      <c r="E494" s="3064"/>
      <c r="F494" s="3064"/>
      <c r="G494" s="2589"/>
      <c r="H494" s="2589"/>
      <c r="I494" s="2595"/>
      <c r="J494" s="2589"/>
      <c r="K494" s="2643"/>
      <c r="L494" s="2589"/>
      <c r="M494" s="1580"/>
      <c r="N494" s="1580"/>
      <c r="O494" s="1580"/>
      <c r="P494" s="1580"/>
      <c r="Q494" s="1580"/>
      <c r="R494" s="1580"/>
      <c r="S494" s="1580"/>
      <c r="T494" s="1580"/>
      <c r="U494" s="1580"/>
    </row>
    <row r="495" customFormat="false" ht="15" hidden="false" customHeight="true" outlineLevel="1" collapsed="false">
      <c r="A495" s="3065" t="s">
        <v>3944</v>
      </c>
      <c r="B495" s="837" t="s">
        <v>48</v>
      </c>
      <c r="C495" s="3096" t="n">
        <f aca="false">IF('Ввод данных'!A410=связи1!A7,1,0)</f>
        <v>0</v>
      </c>
      <c r="D495" s="3063"/>
      <c r="E495" s="3064"/>
      <c r="F495" s="3064"/>
      <c r="G495" s="2589"/>
      <c r="H495" s="2589"/>
      <c r="I495" s="2595"/>
      <c r="J495" s="2589"/>
      <c r="K495" s="2643"/>
      <c r="L495" s="2589"/>
      <c r="M495" s="1580"/>
      <c r="N495" s="1580"/>
      <c r="O495" s="1580"/>
      <c r="P495" s="1580"/>
      <c r="Q495" s="1580"/>
      <c r="R495" s="1580"/>
      <c r="S495" s="1580"/>
      <c r="T495" s="1580"/>
      <c r="U495" s="1580"/>
    </row>
    <row r="496" customFormat="false" ht="15" hidden="false" customHeight="true" outlineLevel="1" collapsed="false">
      <c r="A496" s="3065" t="s">
        <v>3945</v>
      </c>
      <c r="B496" s="837" t="s">
        <v>48</v>
      </c>
      <c r="C496" s="3096" t="n">
        <f aca="false">IF('Ввод данных'!A410=связи1!A8,1,0)</f>
        <v>0</v>
      </c>
      <c r="D496" s="3063"/>
      <c r="E496" s="3064"/>
      <c r="F496" s="3064"/>
      <c r="G496" s="2589"/>
      <c r="H496" s="2589"/>
      <c r="I496" s="2595"/>
      <c r="J496" s="2589"/>
      <c r="K496" s="2643"/>
      <c r="L496" s="2589"/>
      <c r="M496" s="1580"/>
      <c r="N496" s="1580"/>
      <c r="O496" s="1580"/>
      <c r="P496" s="1580"/>
      <c r="Q496" s="1580"/>
      <c r="R496" s="1580"/>
      <c r="S496" s="1580"/>
      <c r="T496" s="1580"/>
      <c r="U496" s="1580"/>
    </row>
    <row r="497" customFormat="false" ht="15" hidden="false" customHeight="true" outlineLevel="1" collapsed="false">
      <c r="A497" s="837" t="s">
        <v>2821</v>
      </c>
      <c r="B497" s="837" t="s">
        <v>820</v>
      </c>
      <c r="C497" s="3097" t="n">
        <f aca="false">дома!J1215+дома!K1215</f>
        <v>20.0341166289984</v>
      </c>
      <c r="D497" s="3064"/>
      <c r="E497" s="3064"/>
      <c r="F497" s="3064"/>
      <c r="G497" s="2589"/>
      <c r="H497" s="2589"/>
      <c r="I497" s="2595"/>
      <c r="J497" s="2589"/>
      <c r="K497" s="2643"/>
      <c r="L497" s="2589"/>
      <c r="M497" s="1580"/>
      <c r="N497" s="1580"/>
      <c r="O497" s="1580"/>
      <c r="P497" s="1580"/>
      <c r="Q497" s="1580"/>
      <c r="R497" s="1580"/>
      <c r="S497" s="1580"/>
      <c r="T497" s="1580"/>
      <c r="U497" s="1580"/>
    </row>
    <row r="498" customFormat="false" ht="15" hidden="false" customHeight="true" outlineLevel="1" collapsed="false">
      <c r="A498" s="837" t="s">
        <v>249</v>
      </c>
      <c r="B498" s="837" t="s">
        <v>15</v>
      </c>
      <c r="C498" s="3097" t="n">
        <f aca="false">дома!J1216+дома!K1216</f>
        <v>4.8</v>
      </c>
      <c r="D498" s="3064"/>
      <c r="E498" s="3064"/>
      <c r="F498" s="3064"/>
      <c r="G498" s="2589"/>
      <c r="H498" s="2589"/>
      <c r="I498" s="2595"/>
      <c r="J498" s="2589"/>
      <c r="K498" s="2643"/>
      <c r="L498" s="2589"/>
      <c r="M498" s="1580"/>
      <c r="N498" s="1580"/>
      <c r="O498" s="1580"/>
      <c r="P498" s="1580"/>
      <c r="Q498" s="1580"/>
      <c r="R498" s="1580"/>
      <c r="S498" s="1580"/>
      <c r="T498" s="1580"/>
      <c r="U498" s="1580"/>
    </row>
    <row r="499" customFormat="false" ht="15" hidden="false" customHeight="true" outlineLevel="1" collapsed="false">
      <c r="A499" s="837" t="s">
        <v>3647</v>
      </c>
      <c r="B499" s="837" t="s">
        <v>15</v>
      </c>
      <c r="C499" s="3097" t="n">
        <f aca="false">дома!J1213+дома!K1213</f>
        <v>5.27213595499958</v>
      </c>
      <c r="D499" s="3064"/>
      <c r="E499" s="3064"/>
      <c r="F499" s="3064"/>
      <c r="G499" s="2589"/>
      <c r="H499" s="2589"/>
      <c r="I499" s="2595"/>
      <c r="J499" s="2589"/>
      <c r="K499" s="2643"/>
      <c r="L499" s="2589"/>
      <c r="M499" s="1580"/>
      <c r="N499" s="1580"/>
      <c r="O499" s="1580"/>
      <c r="P499" s="1580"/>
      <c r="Q499" s="1580"/>
      <c r="R499" s="1580"/>
      <c r="S499" s="1580"/>
      <c r="T499" s="1580"/>
      <c r="U499" s="1580"/>
    </row>
    <row r="500" customFormat="false" ht="15" hidden="false" customHeight="true" outlineLevel="1" collapsed="false">
      <c r="A500" s="837" t="s">
        <v>273</v>
      </c>
      <c r="B500" s="837" t="s">
        <v>15</v>
      </c>
      <c r="C500" s="3098" t="n">
        <f aca="false">'Ввод данных'!C417</f>
        <v>0.4</v>
      </c>
      <c r="D500" s="3064"/>
      <c r="E500" s="3064"/>
      <c r="F500" s="3064"/>
      <c r="G500" s="2589"/>
      <c r="H500" s="2589"/>
      <c r="I500" s="2595"/>
      <c r="J500" s="2589"/>
      <c r="K500" s="2643"/>
      <c r="L500" s="2589"/>
      <c r="M500" s="1580"/>
      <c r="N500" s="1580"/>
      <c r="O500" s="1580"/>
      <c r="P500" s="1580"/>
      <c r="Q500" s="1580"/>
      <c r="R500" s="1580"/>
      <c r="S500" s="1580"/>
      <c r="T500" s="1580"/>
      <c r="U500" s="1580"/>
    </row>
    <row r="501" customFormat="false" ht="15" hidden="false" customHeight="true" outlineLevel="1" collapsed="false">
      <c r="A501" s="1555" t="s">
        <v>276</v>
      </c>
      <c r="B501" s="1555" t="s">
        <v>15</v>
      </c>
      <c r="C501" s="3098" t="n">
        <f aca="false">'Ввод данных'!C418</f>
        <v>0.4</v>
      </c>
      <c r="D501" s="3064"/>
      <c r="E501" s="3064"/>
      <c r="F501" s="3064"/>
      <c r="G501" s="2589"/>
      <c r="H501" s="2589"/>
      <c r="I501" s="2595"/>
      <c r="J501" s="2589"/>
      <c r="K501" s="2643"/>
      <c r="L501" s="2589"/>
      <c r="M501" s="1580"/>
      <c r="N501" s="1580"/>
      <c r="O501" s="1580"/>
      <c r="P501" s="1580"/>
      <c r="Q501" s="1580"/>
      <c r="R501" s="1580"/>
      <c r="S501" s="1580"/>
      <c r="T501" s="1580"/>
      <c r="U501" s="1580"/>
    </row>
    <row r="502" customFormat="false" ht="15" hidden="false" customHeight="true" outlineLevel="1" collapsed="false">
      <c r="A502" s="837" t="s">
        <v>4266</v>
      </c>
      <c r="B502" s="837" t="s">
        <v>15</v>
      </c>
      <c r="C502" s="3098"/>
      <c r="D502" s="3064"/>
      <c r="E502" s="3064"/>
      <c r="F502" s="3064"/>
      <c r="G502" s="2589"/>
      <c r="H502" s="2589"/>
      <c r="I502" s="2595"/>
      <c r="J502" s="2589"/>
      <c r="K502" s="2643"/>
      <c r="L502" s="2589"/>
      <c r="M502" s="1580"/>
      <c r="N502" s="1580"/>
      <c r="O502" s="1580"/>
      <c r="P502" s="1580"/>
      <c r="Q502" s="1580"/>
      <c r="R502" s="1580"/>
      <c r="S502" s="1580"/>
      <c r="T502" s="1580"/>
      <c r="U502" s="1580"/>
    </row>
    <row r="503" customFormat="false" ht="15" hidden="false" customHeight="true" outlineLevel="1" collapsed="false">
      <c r="A503" s="1555" t="s">
        <v>4267</v>
      </c>
      <c r="B503" s="1555" t="s">
        <v>15</v>
      </c>
      <c r="C503" s="3098" t="n">
        <f aca="false">(дома!C1216*дома!C1206+дома!D1216*дома!D1206)*(1-дома!B1)+дома!E1216*дома!C1206+дома!F1216*дома!D1206</f>
        <v>17.7040275424933</v>
      </c>
      <c r="D503" s="3064"/>
      <c r="E503" s="3064"/>
      <c r="F503" s="3064"/>
      <c r="G503" s="2589"/>
      <c r="H503" s="2589"/>
      <c r="I503" s="2595"/>
      <c r="J503" s="2589"/>
      <c r="K503" s="2643"/>
      <c r="L503" s="2589"/>
      <c r="M503" s="1580"/>
      <c r="N503" s="1580"/>
      <c r="O503" s="1580"/>
      <c r="P503" s="1580"/>
      <c r="Q503" s="1580"/>
      <c r="R503" s="1580"/>
      <c r="S503" s="1580"/>
      <c r="T503" s="1580"/>
      <c r="U503" s="1580"/>
    </row>
    <row r="504" customFormat="false" ht="15" hidden="false" customHeight="true" outlineLevel="1" collapsed="false">
      <c r="A504" s="2639" t="s">
        <v>1735</v>
      </c>
      <c r="B504" s="1555" t="s">
        <v>48</v>
      </c>
      <c r="C504" s="3098" t="n">
        <v>0</v>
      </c>
      <c r="D504" s="3064"/>
      <c r="E504" s="3064"/>
      <c r="F504" s="3064"/>
      <c r="G504" s="2589"/>
      <c r="H504" s="2589"/>
      <c r="I504" s="2595"/>
      <c r="J504" s="2589"/>
      <c r="K504" s="2643"/>
      <c r="L504" s="2589"/>
      <c r="M504" s="1580"/>
      <c r="N504" s="1580"/>
      <c r="O504" s="1580"/>
      <c r="P504" s="1580"/>
      <c r="Q504" s="1580"/>
      <c r="R504" s="1580"/>
      <c r="S504" s="1580"/>
      <c r="T504" s="1580"/>
      <c r="U504" s="1580"/>
    </row>
    <row r="505" customFormat="false" ht="15" hidden="false" customHeight="true" outlineLevel="1" collapsed="false">
      <c r="A505" s="2639" t="s">
        <v>1736</v>
      </c>
      <c r="B505" s="1555" t="s">
        <v>48</v>
      </c>
      <c r="C505" s="3098" t="n">
        <v>0</v>
      </c>
      <c r="D505" s="3064"/>
      <c r="E505" s="3064"/>
      <c r="F505" s="3064"/>
      <c r="G505" s="2589"/>
      <c r="H505" s="2589"/>
      <c r="I505" s="2595"/>
      <c r="J505" s="2589"/>
      <c r="K505" s="2643"/>
      <c r="L505" s="2589"/>
      <c r="M505" s="1580"/>
      <c r="N505" s="1580"/>
      <c r="O505" s="1580"/>
      <c r="P505" s="1580"/>
      <c r="Q505" s="1580"/>
      <c r="R505" s="1580"/>
      <c r="S505" s="1580"/>
      <c r="T505" s="1580"/>
      <c r="U505" s="1580"/>
    </row>
    <row r="506" customFormat="false" ht="15" hidden="false" customHeight="true" outlineLevel="1" collapsed="false">
      <c r="A506" s="2639" t="s">
        <v>1737</v>
      </c>
      <c r="B506" s="1555" t="s">
        <v>48</v>
      </c>
      <c r="C506" s="3098" t="n">
        <v>0</v>
      </c>
      <c r="D506" s="3064"/>
      <c r="E506" s="3064"/>
      <c r="F506" s="3064"/>
      <c r="G506" s="2589"/>
      <c r="H506" s="2589"/>
      <c r="I506" s="2595"/>
      <c r="J506" s="2589"/>
      <c r="K506" s="2643"/>
      <c r="L506" s="2589"/>
      <c r="M506" s="1580"/>
      <c r="N506" s="1580"/>
      <c r="O506" s="1580"/>
      <c r="P506" s="1580"/>
      <c r="Q506" s="1580"/>
      <c r="R506" s="1580"/>
      <c r="S506" s="1580"/>
      <c r="T506" s="1580"/>
      <c r="U506" s="1580"/>
    </row>
    <row r="507" customFormat="false" ht="15" hidden="false" customHeight="true" outlineLevel="1" collapsed="false">
      <c r="A507" s="2641" t="s">
        <v>2246</v>
      </c>
      <c r="B507" s="2641" t="s">
        <v>1738</v>
      </c>
      <c r="C507" s="2641" t="s">
        <v>118</v>
      </c>
      <c r="D507" s="2641" t="s">
        <v>2915</v>
      </c>
      <c r="E507" s="2641" t="s">
        <v>2916</v>
      </c>
      <c r="F507" s="1579"/>
      <c r="G507" s="2670" t="s">
        <v>2007</v>
      </c>
      <c r="H507" s="2670"/>
      <c r="I507" s="2641" t="s">
        <v>1738</v>
      </c>
      <c r="J507" s="2641" t="s">
        <v>118</v>
      </c>
      <c r="K507" s="3066" t="s">
        <v>2190</v>
      </c>
      <c r="L507" s="2641" t="s">
        <v>2916</v>
      </c>
      <c r="M507" s="1580"/>
      <c r="N507" s="1580"/>
      <c r="O507" s="1580"/>
      <c r="P507" s="1580"/>
      <c r="Q507" s="1580"/>
      <c r="R507" s="1580"/>
      <c r="S507" s="1580"/>
      <c r="T507" s="1580"/>
      <c r="U507" s="1580"/>
    </row>
    <row r="508" customFormat="false" ht="15" hidden="false" customHeight="true" outlineLevel="1" collapsed="false">
      <c r="A508" s="837" t="str">
        <f aca="false">'Ввод данных'!A425</f>
        <v>Доска сухая, 200*50мм</v>
      </c>
      <c r="B508" s="837" t="s">
        <v>1043</v>
      </c>
      <c r="C508" s="837" t="n">
        <f aca="false">((C498/0.6)+1)*C499*2*VLOOKUP(A508,связи1!A406:E415,5,0)*(C494+C495)+(C498*3+C499*2)*(C494+C495)*VLOOKUP(A508,связи1!A406:E415,5,0)*1.1*G492</f>
        <v>1.22337146290992</v>
      </c>
      <c r="D508" s="837" t="n">
        <f aca="false">VLOOKUP(A508,связи1!A406:E415,2,0)</f>
        <v>9000</v>
      </c>
      <c r="E508" s="837" t="n">
        <f aca="false">C508*D508</f>
        <v>11010.3431661892</v>
      </c>
      <c r="F508" s="1579"/>
      <c r="G508" s="738" t="str">
        <f aca="false">'Прайс лист'!B1561</f>
        <v>монтаж стропил</v>
      </c>
      <c r="H508" s="738"/>
      <c r="I508" s="837" t="s">
        <v>820</v>
      </c>
      <c r="J508" s="837" t="n">
        <f aca="false">C497*(C494+C495+C496)*H493*IF(A508=связи1!A406,0,1)</f>
        <v>20.0341166289984</v>
      </c>
      <c r="K508" s="2642" t="n">
        <f aca="false">'Прайс лист'!G1561</f>
        <v>450</v>
      </c>
      <c r="L508" s="837" t="n">
        <f aca="false">J508*K508</f>
        <v>9015.35248304928</v>
      </c>
      <c r="M508" s="1580"/>
      <c r="N508" s="1580"/>
      <c r="O508" s="1580"/>
      <c r="P508" s="1580"/>
      <c r="Q508" s="1580"/>
      <c r="R508" s="1580"/>
      <c r="S508" s="1580"/>
      <c r="T508" s="1580"/>
      <c r="U508" s="1580"/>
    </row>
    <row r="509" customFormat="false" ht="15" hidden="false" customHeight="true" outlineLevel="1" collapsed="false">
      <c r="A509" s="837" t="s">
        <v>2917</v>
      </c>
      <c r="B509" s="837" t="s">
        <v>1043</v>
      </c>
      <c r="C509" s="837" t="n">
        <f aca="false">((C498/0.6)+1)*3*1.1*G492*VLOOKUP(A508,связи1!A406:E415,5,0)*(C494+C495)</f>
        <v>0.297</v>
      </c>
      <c r="D509" s="837" t="n">
        <f aca="false">VLOOKUP(A508,связи1!A406:E415,2,0)</f>
        <v>9000</v>
      </c>
      <c r="E509" s="837" t="n">
        <f aca="false">C509*D509</f>
        <v>2673</v>
      </c>
      <c r="F509" s="1579"/>
      <c r="G509" s="2663" t="str">
        <f aca="false">'Прайс лист'!B1562</f>
        <v>обрешетка</v>
      </c>
      <c r="H509" s="2664"/>
      <c r="I509" s="837" t="s">
        <v>820</v>
      </c>
      <c r="J509" s="837" t="n">
        <f aca="false">C497*(C494+C495+C496)*H493*IF(A511=связи1!A431,0,1)</f>
        <v>20.0341166289984</v>
      </c>
      <c r="K509" s="2642" t="n">
        <f aca="false">'Прайс лист'!G1562</f>
        <v>100</v>
      </c>
      <c r="L509" s="837" t="n">
        <f aca="false">J509*K509</f>
        <v>2003.41166289984</v>
      </c>
      <c r="M509" s="1580"/>
      <c r="N509" s="1580"/>
      <c r="O509" s="1580"/>
      <c r="P509" s="1580"/>
      <c r="Q509" s="1580"/>
      <c r="R509" s="1580"/>
      <c r="S509" s="1580"/>
      <c r="T509" s="1580"/>
      <c r="U509" s="1580"/>
    </row>
    <row r="510" customFormat="false" ht="15" hidden="false" customHeight="true" outlineLevel="1" collapsed="false">
      <c r="A510" s="837" t="s">
        <v>4241</v>
      </c>
      <c r="B510" s="837" t="s">
        <v>1043</v>
      </c>
      <c r="C510" s="837" t="n">
        <f aca="false">((C498/0.6)*C499*VLOOKUP(A508,связи1!A406:E415,5,0)*G492)</f>
        <v>0.421770876399966</v>
      </c>
      <c r="D510" s="837" t="n">
        <f aca="false">VLOOKUP(A508,связи1!A406:E415,2,0)</f>
        <v>9000</v>
      </c>
      <c r="E510" s="837" t="n">
        <f aca="false">C510*D510</f>
        <v>3795.9378875997</v>
      </c>
      <c r="F510" s="1579"/>
      <c r="G510" s="2663" t="str">
        <f aca="false">'Прайс лист'!B1563</f>
        <v>контробеш</v>
      </c>
      <c r="H510" s="2664"/>
      <c r="I510" s="837" t="s">
        <v>820</v>
      </c>
      <c r="J510" s="837" t="n">
        <f aca="false">C497*(C494+C495+C496)*H493*IF(A512=связи1!A417,0,1)</f>
        <v>20.0341166289984</v>
      </c>
      <c r="K510" s="2642" t="n">
        <f aca="false">'Прайс лист'!G1563</f>
        <v>100</v>
      </c>
      <c r="L510" s="837" t="n">
        <f aca="false">J510*K510</f>
        <v>2003.41166289984</v>
      </c>
      <c r="M510" s="1580"/>
      <c r="N510" s="1580"/>
      <c r="O510" s="1580"/>
      <c r="P510" s="1580"/>
      <c r="Q510" s="1580"/>
      <c r="R510" s="1580"/>
      <c r="S510" s="1580"/>
      <c r="T510" s="1580"/>
      <c r="U510" s="1580"/>
    </row>
    <row r="511" customFormat="false" ht="15" hidden="false" customHeight="true" outlineLevel="1" collapsed="false">
      <c r="A511" s="837" t="str">
        <f aca="false">'Ввод данных'!A427</f>
        <v>Сосна влаж,100*25мм</v>
      </c>
      <c r="B511" s="837" t="s">
        <v>1043</v>
      </c>
      <c r="C511" s="837" t="n">
        <f aca="false">(C499/0.25)*C498*2*G492*VLOOKUP(A511,связи1!A431:F439,5,0)</f>
        <v>0.50612505167996</v>
      </c>
      <c r="D511" s="837" t="n">
        <f aca="false">VLOOKUP(A511,связи1!A431:F439,6,0)</f>
        <v>6500</v>
      </c>
      <c r="E511" s="837" t="n">
        <f aca="false">C511*D511</f>
        <v>3289.81283591974</v>
      </c>
      <c r="F511" s="1579"/>
      <c r="G511" s="2663" t="str">
        <f aca="false">'Прайс лист'!B1564</f>
        <v>мембрана</v>
      </c>
      <c r="H511" s="2664"/>
      <c r="I511" s="837" t="s">
        <v>820</v>
      </c>
      <c r="J511" s="837" t="n">
        <f aca="false">C497*(C494+C495+C496)*H493*IF(A513='Прайс лист'!B649,0,1)</f>
        <v>0</v>
      </c>
      <c r="K511" s="2642" t="n">
        <f aca="false">'Прайс лист'!G1564</f>
        <v>100</v>
      </c>
      <c r="L511" s="837" t="n">
        <f aca="false">J511*K511</f>
        <v>0</v>
      </c>
      <c r="M511" s="1580"/>
      <c r="N511" s="1580"/>
      <c r="O511" s="1580"/>
      <c r="P511" s="1580"/>
      <c r="Q511" s="1580"/>
      <c r="R511" s="1580"/>
      <c r="S511" s="1580"/>
      <c r="T511" s="1580"/>
      <c r="U511" s="1580"/>
    </row>
    <row r="512" customFormat="false" ht="15" hidden="false" customHeight="true" outlineLevel="1" collapsed="false">
      <c r="A512" s="837" t="str">
        <f aca="false">'Ввод данных'!A429</f>
        <v>Доска сухая, калибр., 35*45мм</v>
      </c>
      <c r="B512" s="837" t="s">
        <v>48</v>
      </c>
      <c r="C512" s="837" t="n">
        <f aca="false">((C498/0.6)+1)*C499*2*G492*VLOOKUP(A512,связи1!A417:E420,5,0)</f>
        <v>0.116250597807741</v>
      </c>
      <c r="D512" s="837" t="n">
        <f aca="false">VLOOKUP(A512,связи1!A417:D420,2,0)</f>
        <v>12500</v>
      </c>
      <c r="E512" s="837" t="n">
        <f aca="false">C512*D512</f>
        <v>1453.13247259676</v>
      </c>
      <c r="F512" s="1579"/>
      <c r="G512" s="2663" t="str">
        <f aca="false">'Прайс лист'!B1565</f>
        <v>пароизоляц</v>
      </c>
      <c r="H512" s="2664"/>
      <c r="I512" s="837" t="s">
        <v>820</v>
      </c>
      <c r="J512" s="837" t="n">
        <f aca="false">J508*(C494+C495+C496)*H493*IF(A514='Прайс лист'!B676,0,1)</f>
        <v>0</v>
      </c>
      <c r="K512" s="2642" t="n">
        <f aca="false">'Прайс лист'!G1565</f>
        <v>100</v>
      </c>
      <c r="L512" s="837" t="n">
        <f aca="false">J512*K512</f>
        <v>0</v>
      </c>
      <c r="M512" s="1580"/>
      <c r="N512" s="1580"/>
      <c r="O512" s="1580"/>
      <c r="P512" s="1580"/>
      <c r="Q512" s="1580"/>
      <c r="R512" s="1580"/>
      <c r="S512" s="1580"/>
      <c r="T512" s="1580"/>
      <c r="U512" s="1580"/>
    </row>
    <row r="513" customFormat="false" ht="15" hidden="false" customHeight="true" outlineLevel="1" collapsed="false">
      <c r="A513" s="837" t="str">
        <f aca="false">'Ввод данных'!A435</f>
        <v>нет ветроизоляции</v>
      </c>
      <c r="B513" s="837" t="s">
        <v>820</v>
      </c>
      <c r="C513" s="837" t="n">
        <f aca="false">C497*1.2*G492</f>
        <v>24.0409399547981</v>
      </c>
      <c r="D513" s="837" t="n">
        <f aca="false">VLOOKUP(A513,'Прайс лист'!B649:G675,6,0)</f>
        <v>0</v>
      </c>
      <c r="E513" s="837" t="n">
        <f aca="false">C513*D513</f>
        <v>0</v>
      </c>
      <c r="F513" s="1579"/>
      <c r="G513" s="2663" t="str">
        <f aca="false">'Прайс лист'!B1566</f>
        <v>утеплитель</v>
      </c>
      <c r="H513" s="2664"/>
      <c r="I513" s="837" t="s">
        <v>820</v>
      </c>
      <c r="J513" s="837" t="n">
        <f aca="false">J508*(C494+C495+C496)*H493*IF(A515='Прайс лист'!B600,0,1)</f>
        <v>20.0341166289984</v>
      </c>
      <c r="K513" s="2642" t="n">
        <f aca="false">'Прайс лист'!G1566</f>
        <v>200</v>
      </c>
      <c r="L513" s="837" t="n">
        <f aca="false">J513*K513</f>
        <v>4006.82332579968</v>
      </c>
      <c r="M513" s="1580"/>
      <c r="N513" s="1580"/>
      <c r="O513" s="1580"/>
      <c r="P513" s="1580"/>
      <c r="Q513" s="1580"/>
      <c r="R513" s="1580"/>
      <c r="S513" s="1580"/>
      <c r="T513" s="1580"/>
      <c r="U513" s="1580"/>
    </row>
    <row r="514" customFormat="false" ht="15" hidden="false" customHeight="true" outlineLevel="1" collapsed="false">
      <c r="A514" s="837" t="str">
        <f aca="false">'Ввод данных'!A437</f>
        <v>нет пароизоляции</v>
      </c>
      <c r="B514" s="837" t="s">
        <v>820</v>
      </c>
      <c r="C514" s="837" t="n">
        <f aca="false">C497*1.1*G492*(C494+C495)</f>
        <v>22.0375282918982</v>
      </c>
      <c r="D514" s="837" t="n">
        <f aca="false">VLOOKUP(A514,'Прайс лист'!B676:G687,6,0)</f>
        <v>0</v>
      </c>
      <c r="E514" s="837" t="n">
        <f aca="false">C514*D514</f>
        <v>0</v>
      </c>
      <c r="F514" s="1579"/>
      <c r="G514" s="2663" t="str">
        <f aca="false">'Прайс лист'!B1567</f>
        <v>Монтаж металлочерепицы</v>
      </c>
      <c r="H514" s="2664"/>
      <c r="I514" s="837" t="s">
        <v>820</v>
      </c>
      <c r="J514" s="837" t="n">
        <f aca="false">C497*(C494)*H493</f>
        <v>20.0341166289984</v>
      </c>
      <c r="K514" s="2642" t="n">
        <f aca="false">'Прайс лист'!G1567</f>
        <v>300</v>
      </c>
      <c r="L514" s="837" t="n">
        <f aca="false">J514*K514</f>
        <v>6010.23498869952</v>
      </c>
      <c r="M514" s="1580"/>
      <c r="N514" s="1580"/>
      <c r="O514" s="1580"/>
      <c r="P514" s="1580"/>
      <c r="Q514" s="1580"/>
      <c r="R514" s="1580"/>
      <c r="S514" s="1580"/>
      <c r="T514" s="1580"/>
      <c r="U514" s="1580"/>
    </row>
    <row r="515" customFormat="false" ht="15" hidden="false" customHeight="true" outlineLevel="1" collapsed="false">
      <c r="A515" s="837" t="str">
        <f aca="false">'Ввод данных'!A433</f>
        <v>Плитный,28кг/м3, технониколь, 100мм</v>
      </c>
      <c r="B515" s="837" t="s">
        <v>1043</v>
      </c>
      <c r="C515" s="837" t="n">
        <f aca="false">C497*VLOOKUP(A515,'Прайс лист'!B600:G638,3,0)*(C494+C495)*G492</f>
        <v>2.00341166289984</v>
      </c>
      <c r="D515" s="837" t="n">
        <f aca="false">VLOOKUP(A515,'Прайс лист'!B600:G638,6,0)</f>
        <v>1700</v>
      </c>
      <c r="E515" s="837" t="n">
        <f aca="false">C515*D515</f>
        <v>3405.79982692973</v>
      </c>
      <c r="F515" s="1579"/>
      <c r="G515" s="2663" t="str">
        <f aca="false">'Прайс лист'!B1569</f>
        <v>карнизная планка</v>
      </c>
      <c r="H515" s="2664"/>
      <c r="I515" s="837" t="s">
        <v>820</v>
      </c>
      <c r="J515" s="876" t="n">
        <f aca="false">C517*H493</f>
        <v>4</v>
      </c>
      <c r="K515" s="2642" t="n">
        <f aca="false">'Прайс лист'!G1569</f>
        <v>100</v>
      </c>
      <c r="L515" s="837" t="n">
        <f aca="false">J515*K515</f>
        <v>400</v>
      </c>
      <c r="M515" s="1580"/>
      <c r="N515" s="1580"/>
      <c r="O515" s="1580"/>
      <c r="P515" s="1580"/>
      <c r="Q515" s="1580"/>
      <c r="R515" s="1580"/>
      <c r="S515" s="1580"/>
      <c r="T515" s="1580"/>
      <c r="U515" s="1580"/>
    </row>
    <row r="516" customFormat="false" ht="15" hidden="false" customHeight="true" outlineLevel="1" collapsed="false">
      <c r="A516" s="837" t="str">
        <f aca="false">'Прайс лист'!B956</f>
        <v>Металлочерепица</v>
      </c>
      <c r="B516" s="837" t="s">
        <v>820</v>
      </c>
      <c r="C516" s="837" t="n">
        <f aca="false">C497*1.4*G492*C494</f>
        <v>28.0477632805978</v>
      </c>
      <c r="D516" s="837" t="n">
        <f aca="false">'Прайс лист'!G956</f>
        <v>250</v>
      </c>
      <c r="E516" s="837" t="n">
        <f aca="false">C516*D516</f>
        <v>7011.94082014944</v>
      </c>
      <c r="F516" s="1579"/>
      <c r="G516" s="2663" t="str">
        <f aca="false">'Прайс лист'!B1570</f>
        <v>торцевая планка</v>
      </c>
      <c r="H516" s="2664"/>
      <c r="I516" s="837" t="s">
        <v>820</v>
      </c>
      <c r="J516" s="876" t="n">
        <f aca="false">C518*H493</f>
        <v>10.5442719099992</v>
      </c>
      <c r="K516" s="2642" t="n">
        <f aca="false">'Прайс лист'!G1570</f>
        <v>100</v>
      </c>
      <c r="L516" s="837" t="n">
        <f aca="false">J516*K516</f>
        <v>1054.42719099992</v>
      </c>
      <c r="M516" s="1580"/>
      <c r="N516" s="1580"/>
      <c r="O516" s="1580"/>
      <c r="P516" s="1580"/>
      <c r="Q516" s="1580"/>
      <c r="R516" s="1580"/>
      <c r="S516" s="1580"/>
      <c r="T516" s="1580"/>
      <c r="U516" s="1580"/>
    </row>
    <row r="517" customFormat="false" ht="15" hidden="false" customHeight="true" outlineLevel="1" collapsed="false">
      <c r="A517" s="837" t="str">
        <f aca="false">'Прайс лист'!B957</f>
        <v>Карнизная планка</v>
      </c>
      <c r="B517" s="837" t="s">
        <v>15</v>
      </c>
      <c r="C517" s="837" t="n">
        <f aca="false">(дома!C1207*2*дома!C1206)*G492*(C494+C496)</f>
        <v>4</v>
      </c>
      <c r="D517" s="837" t="n">
        <f aca="false">'Прайс лист'!G957</f>
        <v>200</v>
      </c>
      <c r="E517" s="837" t="n">
        <f aca="false">C517*D517</f>
        <v>800</v>
      </c>
      <c r="F517" s="1579"/>
      <c r="G517" s="2663" t="str">
        <f aca="false">'Прайс лист'!B1568</f>
        <v>Монтаж ондулина</v>
      </c>
      <c r="H517" s="2633"/>
      <c r="I517" s="837" t="s">
        <v>820</v>
      </c>
      <c r="J517" s="876" t="n">
        <f aca="false">C497*C495</f>
        <v>0</v>
      </c>
      <c r="K517" s="2642" t="n">
        <f aca="false">'Прайс лист'!G1568</f>
        <v>300</v>
      </c>
      <c r="L517" s="837" t="n">
        <f aca="false">J517*K517</f>
        <v>0</v>
      </c>
      <c r="M517" s="1580"/>
      <c r="N517" s="1580"/>
      <c r="O517" s="1580"/>
      <c r="P517" s="1580"/>
      <c r="Q517" s="1580"/>
      <c r="R517" s="1580"/>
      <c r="S517" s="1580"/>
      <c r="T517" s="1580"/>
      <c r="U517" s="1580"/>
    </row>
    <row r="518" customFormat="false" ht="15" hidden="false" customHeight="true" outlineLevel="1" collapsed="false">
      <c r="A518" s="837" t="str">
        <f aca="false">'Прайс лист'!B958</f>
        <v>Торцевая планка</v>
      </c>
      <c r="B518" s="837" t="s">
        <v>15</v>
      </c>
      <c r="C518" s="837" t="n">
        <f aca="false">C499*2*G492*(C494+C496)</f>
        <v>10.5442719099992</v>
      </c>
      <c r="D518" s="837" t="n">
        <f aca="false">'Прайс лист'!G958</f>
        <v>200</v>
      </c>
      <c r="E518" s="837" t="n">
        <f aca="false">C518*D518</f>
        <v>2108.85438199983</v>
      </c>
      <c r="F518" s="1579"/>
      <c r="G518" s="2663" t="str">
        <f aca="false">'Прайс лист'!B1576</f>
        <v>Монтаж фанеры/osb</v>
      </c>
      <c r="H518" s="2633"/>
      <c r="I518" s="837" t="s">
        <v>820</v>
      </c>
      <c r="J518" s="876" t="n">
        <f aca="false">C497*IF('Ввод данных'!A431='Прайс лист'!B863,0,1)</f>
        <v>20.0341166289984</v>
      </c>
      <c r="K518" s="2642" t="n">
        <f aca="false">'Прайс лист'!G1576</f>
        <v>200</v>
      </c>
      <c r="L518" s="837" t="n">
        <f aca="false">J518*K518</f>
        <v>4006.82332579968</v>
      </c>
      <c r="M518" s="1580"/>
      <c r="N518" s="1580"/>
      <c r="O518" s="1580"/>
      <c r="P518" s="1580"/>
      <c r="Q518" s="1580"/>
      <c r="R518" s="1580"/>
      <c r="S518" s="1580"/>
      <c r="T518" s="1580"/>
      <c r="U518" s="1580"/>
    </row>
    <row r="519" customFormat="false" ht="15" hidden="false" customHeight="true" outlineLevel="1" collapsed="false">
      <c r="A519" s="837" t="str">
        <f aca="false">'Прайс лист'!B959</f>
        <v>Конек</v>
      </c>
      <c r="B519" s="837" t="s">
        <v>15</v>
      </c>
      <c r="C519" s="837" t="n">
        <f aca="false">C498*G492*(C494)</f>
        <v>4.8</v>
      </c>
      <c r="D519" s="837" t="n">
        <f aca="false">'Прайс лист'!G959</f>
        <v>230</v>
      </c>
      <c r="E519" s="837" t="n">
        <f aca="false">C519*D519</f>
        <v>1104</v>
      </c>
      <c r="F519" s="1579"/>
      <c r="G519" s="2663" t="str">
        <f aca="false">'Прайс лист'!B1577</f>
        <v>монтаж подкладочного ковра</v>
      </c>
      <c r="H519" s="3099"/>
      <c r="I519" s="837" t="s">
        <v>820</v>
      </c>
      <c r="J519" s="876" t="n">
        <f aca="false">C497*C496</f>
        <v>0</v>
      </c>
      <c r="K519" s="2642" t="n">
        <f aca="false">'Прайс лист'!G1577</f>
        <v>150</v>
      </c>
      <c r="L519" s="837" t="n">
        <f aca="false">J519*K519</f>
        <v>0</v>
      </c>
      <c r="M519" s="1580"/>
      <c r="N519" s="1580"/>
      <c r="O519" s="1580"/>
      <c r="P519" s="1580"/>
      <c r="Q519" s="1580"/>
      <c r="R519" s="1580"/>
      <c r="S519" s="1580"/>
      <c r="T519" s="1580"/>
      <c r="U519" s="1580"/>
    </row>
    <row r="520" customFormat="false" ht="15" hidden="false" customHeight="true" outlineLevel="1" collapsed="false">
      <c r="A520" s="837" t="str">
        <f aca="false">'Прайс лист'!B960</f>
        <v>Ендова нижняя</v>
      </c>
      <c r="B520" s="837" t="s">
        <v>15</v>
      </c>
      <c r="C520" s="837" t="n">
        <f aca="false">(дома!J1218+дома!K1218+дома!J1214+дома!K1214)*1.1*G492*C494</f>
        <v>12.1426168033242</v>
      </c>
      <c r="D520" s="837" t="n">
        <f aca="false">'Прайс лист'!G960</f>
        <v>160</v>
      </c>
      <c r="E520" s="837" t="n">
        <f aca="false">C520*D520</f>
        <v>1942.81868853187</v>
      </c>
      <c r="F520" s="1579"/>
      <c r="G520" s="2663" t="str">
        <f aca="false">'Прайс лист'!B1578</f>
        <v>Монтаж мягкой кровли</v>
      </c>
      <c r="H520" s="3100"/>
      <c r="I520" s="2587" t="s">
        <v>820</v>
      </c>
      <c r="J520" s="876" t="n">
        <f aca="false">C497*C496</f>
        <v>0</v>
      </c>
      <c r="K520" s="2642" t="n">
        <f aca="false">'Прайс лист'!G1578</f>
        <v>350</v>
      </c>
      <c r="L520" s="837" t="n">
        <f aca="false">J520*K520</f>
        <v>0</v>
      </c>
      <c r="M520" s="1580"/>
      <c r="N520" s="1580"/>
      <c r="O520" s="1580"/>
      <c r="P520" s="1580"/>
      <c r="Q520" s="1580"/>
      <c r="R520" s="1580"/>
      <c r="S520" s="1580"/>
      <c r="T520" s="1580"/>
      <c r="U520" s="1580"/>
    </row>
    <row r="521" customFormat="false" ht="15" hidden="false" customHeight="true" outlineLevel="1" collapsed="false">
      <c r="A521" s="837" t="str">
        <f aca="false">'Прайс лист'!B961</f>
        <v>Ендова верхняя</v>
      </c>
      <c r="B521" s="837" t="s">
        <v>15</v>
      </c>
      <c r="C521" s="837" t="n">
        <f aca="false">C520</f>
        <v>12.1426168033242</v>
      </c>
      <c r="D521" s="837" t="n">
        <f aca="false">'Прайс лист'!G961</f>
        <v>190</v>
      </c>
      <c r="E521" s="837" t="n">
        <f aca="false">C521*D521</f>
        <v>2307.09719263159</v>
      </c>
      <c r="F521" s="1579"/>
      <c r="G521" s="3101"/>
      <c r="H521" s="3102"/>
      <c r="I521" s="2587"/>
      <c r="J521" s="876"/>
      <c r="K521" s="2642"/>
      <c r="L521" s="837"/>
      <c r="M521" s="1580"/>
      <c r="N521" s="1580"/>
      <c r="O521" s="1580"/>
      <c r="P521" s="1580"/>
      <c r="Q521" s="1580"/>
      <c r="R521" s="1580"/>
      <c r="S521" s="1580"/>
      <c r="T521" s="1580"/>
      <c r="U521" s="1580"/>
    </row>
    <row r="522" customFormat="false" ht="15" hidden="false" customHeight="true" outlineLevel="1" collapsed="false">
      <c r="A522" s="837" t="s">
        <v>2919</v>
      </c>
      <c r="B522" s="837" t="s">
        <v>820</v>
      </c>
      <c r="C522" s="837" t="n">
        <f aca="false">C497*1.4*G492*C495</f>
        <v>0</v>
      </c>
      <c r="D522" s="837" t="n">
        <f aca="false">'Прайс лист'!G968</f>
        <v>180</v>
      </c>
      <c r="E522" s="837" t="n">
        <f aca="false">C522*D522</f>
        <v>0</v>
      </c>
      <c r="F522" s="1579"/>
      <c r="G522" s="3101"/>
      <c r="H522" s="3102"/>
      <c r="I522" s="2587"/>
      <c r="J522" s="876"/>
      <c r="K522" s="2642"/>
      <c r="L522" s="837"/>
      <c r="M522" s="1580"/>
      <c r="N522" s="1580"/>
      <c r="O522" s="1580"/>
      <c r="P522" s="1580"/>
      <c r="Q522" s="1580"/>
      <c r="R522" s="1580"/>
      <c r="S522" s="1580"/>
      <c r="T522" s="1580"/>
      <c r="U522" s="1580"/>
    </row>
    <row r="523" customFormat="false" ht="15" hidden="false" customHeight="true" outlineLevel="1" collapsed="false">
      <c r="A523" s="649" t="str">
        <f aca="false">'Прайс лист'!B969</f>
        <v>Карнизная планка</v>
      </c>
      <c r="B523" s="649" t="str">
        <f aca="false">'Прайс лист'!C969</f>
        <v>м.п.</v>
      </c>
      <c r="C523" s="647" t="n">
        <f aca="false">(дома!C1207*2*дома!C1206)*G492*C495</f>
        <v>0</v>
      </c>
      <c r="D523" s="837" t="n">
        <f aca="false">'Прайс лист'!G969</f>
        <v>190</v>
      </c>
      <c r="E523" s="837" t="n">
        <f aca="false">C523*D523</f>
        <v>0</v>
      </c>
      <c r="F523" s="1579"/>
      <c r="G523" s="3101"/>
      <c r="H523" s="3102"/>
      <c r="I523" s="2587"/>
      <c r="J523" s="876"/>
      <c r="K523" s="2642"/>
      <c r="L523" s="837"/>
      <c r="M523" s="1580"/>
      <c r="N523" s="1580"/>
      <c r="O523" s="1580"/>
      <c r="P523" s="1580"/>
      <c r="Q523" s="1580"/>
      <c r="R523" s="1580"/>
      <c r="S523" s="1580"/>
      <c r="T523" s="1580"/>
      <c r="U523" s="1580"/>
    </row>
    <row r="524" customFormat="false" ht="15" hidden="false" customHeight="true" outlineLevel="1" collapsed="false">
      <c r="A524" s="649" t="str">
        <f aca="false">'Прайс лист'!B970</f>
        <v>Торцевая планка</v>
      </c>
      <c r="B524" s="649" t="str">
        <f aca="false">'Прайс лист'!C970</f>
        <v>м.п.</v>
      </c>
      <c r="C524" s="837" t="n">
        <f aca="false">C499*2*G492*C495</f>
        <v>0</v>
      </c>
      <c r="D524" s="837" t="n">
        <f aca="false">'Прайс лист'!G970</f>
        <v>190</v>
      </c>
      <c r="E524" s="837" t="n">
        <f aca="false">C524*D524</f>
        <v>0</v>
      </c>
      <c r="F524" s="1579"/>
      <c r="G524" s="3101"/>
      <c r="H524" s="3102"/>
      <c r="I524" s="2587"/>
      <c r="J524" s="876"/>
      <c r="K524" s="2642"/>
      <c r="L524" s="837"/>
      <c r="M524" s="1580"/>
      <c r="N524" s="1580"/>
      <c r="O524" s="1580"/>
      <c r="P524" s="1580"/>
      <c r="Q524" s="1580"/>
      <c r="R524" s="1580"/>
      <c r="S524" s="1580"/>
      <c r="T524" s="1580"/>
      <c r="U524" s="1580"/>
    </row>
    <row r="525" customFormat="false" ht="15" hidden="false" customHeight="true" outlineLevel="1" collapsed="false">
      <c r="A525" s="649" t="str">
        <f aca="false">'Прайс лист'!B971</f>
        <v>Конек</v>
      </c>
      <c r="B525" s="649" t="str">
        <f aca="false">'Прайс лист'!C971</f>
        <v>м.п.</v>
      </c>
      <c r="C525" s="837" t="n">
        <f aca="false">C498*G492*(C495)</f>
        <v>0</v>
      </c>
      <c r="D525" s="837" t="n">
        <f aca="false">'Прайс лист'!G971</f>
        <v>200</v>
      </c>
      <c r="E525" s="837" t="n">
        <f aca="false">C525*D525</f>
        <v>0</v>
      </c>
      <c r="F525" s="1579"/>
      <c r="G525" s="3101"/>
      <c r="H525" s="3102"/>
      <c r="I525" s="2587"/>
      <c r="J525" s="876"/>
      <c r="K525" s="2642"/>
      <c r="L525" s="837"/>
      <c r="M525" s="1580"/>
      <c r="N525" s="1580"/>
      <c r="O525" s="1580"/>
      <c r="P525" s="1580"/>
      <c r="Q525" s="1580"/>
      <c r="R525" s="1580"/>
      <c r="S525" s="1580"/>
      <c r="T525" s="1580"/>
      <c r="U525" s="1580"/>
    </row>
    <row r="526" customFormat="false" ht="15" hidden="false" customHeight="true" outlineLevel="1" collapsed="false">
      <c r="A526" s="649" t="str">
        <f aca="false">'Прайс лист'!B972</f>
        <v>Ендова нижняя</v>
      </c>
      <c r="B526" s="649" t="str">
        <f aca="false">'Прайс лист'!C972</f>
        <v>м.п.</v>
      </c>
      <c r="C526" s="837" t="n">
        <f aca="false">(дома!J1218+дома!K1218+дома!J1214+дома!K1214)*1.1*G492*C495</f>
        <v>0</v>
      </c>
      <c r="D526" s="837" t="n">
        <f aca="false">'Прайс лист'!G972</f>
        <v>160</v>
      </c>
      <c r="E526" s="837" t="n">
        <f aca="false">C526*D526</f>
        <v>0</v>
      </c>
      <c r="F526" s="1579"/>
      <c r="G526" s="3101"/>
      <c r="H526" s="3102"/>
      <c r="I526" s="2587"/>
      <c r="J526" s="876"/>
      <c r="K526" s="2642"/>
      <c r="L526" s="837"/>
      <c r="M526" s="1580"/>
      <c r="N526" s="1580"/>
      <c r="O526" s="1580"/>
      <c r="P526" s="1580"/>
      <c r="Q526" s="1580"/>
      <c r="R526" s="1580"/>
      <c r="S526" s="1580"/>
      <c r="T526" s="1580"/>
      <c r="U526" s="1580"/>
    </row>
    <row r="527" customFormat="false" ht="15" hidden="false" customHeight="true" outlineLevel="1" collapsed="false">
      <c r="A527" s="649" t="str">
        <f aca="false">'Прайс лист'!B973</f>
        <v>Ендова верхняя</v>
      </c>
      <c r="B527" s="649" t="str">
        <f aca="false">'Прайс лист'!C973</f>
        <v>м.п.</v>
      </c>
      <c r="C527" s="837" t="n">
        <f aca="false">C526</f>
        <v>0</v>
      </c>
      <c r="D527" s="837" t="n">
        <f aca="false">'Прайс лист'!G973</f>
        <v>190</v>
      </c>
      <c r="E527" s="837" t="n">
        <f aca="false">C527*D527</f>
        <v>0</v>
      </c>
      <c r="F527" s="1579"/>
      <c r="G527" s="3101"/>
      <c r="H527" s="3102"/>
      <c r="I527" s="2587"/>
      <c r="J527" s="876"/>
      <c r="K527" s="2642"/>
      <c r="L527" s="837"/>
      <c r="M527" s="1580"/>
      <c r="N527" s="1580"/>
      <c r="O527" s="1580"/>
      <c r="P527" s="1580"/>
      <c r="Q527" s="1580"/>
      <c r="R527" s="1580"/>
      <c r="S527" s="1580"/>
      <c r="T527" s="1580"/>
      <c r="U527" s="1580"/>
    </row>
    <row r="528" customFormat="false" ht="15" hidden="false" customHeight="true" outlineLevel="1" collapsed="false">
      <c r="A528" s="649" t="str">
        <f aca="false">'Прайс лист'!B974</f>
        <v>Планка примыкания</v>
      </c>
      <c r="B528" s="649" t="str">
        <f aca="false">'Прайс лист'!C974</f>
        <v>м.п.</v>
      </c>
      <c r="C528" s="837"/>
      <c r="D528" s="837" t="n">
        <f aca="false">'Прайс лист'!G974</f>
        <v>190</v>
      </c>
      <c r="E528" s="837" t="n">
        <f aca="false">C528*D528</f>
        <v>0</v>
      </c>
      <c r="F528" s="1579"/>
      <c r="G528" s="3101"/>
      <c r="H528" s="3102"/>
      <c r="I528" s="2587"/>
      <c r="J528" s="876"/>
      <c r="K528" s="2642"/>
      <c r="L528" s="837"/>
      <c r="M528" s="1580"/>
      <c r="N528" s="1580"/>
      <c r="O528" s="1580"/>
      <c r="P528" s="1580"/>
      <c r="Q528" s="1580"/>
      <c r="R528" s="1580"/>
      <c r="S528" s="1580"/>
      <c r="T528" s="1580"/>
      <c r="U528" s="1580"/>
    </row>
    <row r="529" customFormat="false" ht="15" hidden="false" customHeight="true" outlineLevel="1" collapsed="false">
      <c r="A529" s="649" t="str">
        <f aca="false">'Прайс лист'!B975</f>
        <v>Крепеж для ондулина</v>
      </c>
      <c r="B529" s="649" t="str">
        <f aca="false">'Прайс лист'!C975</f>
        <v>шт</v>
      </c>
      <c r="C529" s="837" t="n">
        <f aca="false">C497*12*(C495)*G492</f>
        <v>0</v>
      </c>
      <c r="D529" s="837" t="n">
        <f aca="false">'Прайс лист'!G975</f>
        <v>4.5</v>
      </c>
      <c r="E529" s="837" t="n">
        <f aca="false">C529*D529</f>
        <v>0</v>
      </c>
      <c r="F529" s="1579"/>
      <c r="G529" s="3101"/>
      <c r="H529" s="3102"/>
      <c r="I529" s="2587"/>
      <c r="J529" s="876"/>
      <c r="K529" s="2642"/>
      <c r="L529" s="837"/>
      <c r="M529" s="1580"/>
      <c r="N529" s="1580"/>
      <c r="O529" s="1580"/>
      <c r="P529" s="1580"/>
      <c r="Q529" s="1580"/>
      <c r="R529" s="1580"/>
      <c r="S529" s="1580"/>
      <c r="T529" s="1580"/>
      <c r="U529" s="1580"/>
    </row>
    <row r="530" customFormat="false" ht="15" hidden="false" customHeight="true" outlineLevel="1" collapsed="false">
      <c r="A530" s="649" t="str">
        <f aca="false">'Ввод данных'!A431</f>
        <v>Фанера Березовая марка ФК - влагостойкая,  18 мм </v>
      </c>
      <c r="B530" s="649" t="s">
        <v>820</v>
      </c>
      <c r="C530" s="837" t="n">
        <f aca="false">C497*1.1*G492</f>
        <v>22.0375282918982</v>
      </c>
      <c r="D530" s="837" t="n">
        <f aca="false">VLOOKUP(A530,'Прайс лист'!B863:G907,6,0)</f>
        <v>533.333333333333</v>
      </c>
      <c r="E530" s="837" t="n">
        <f aca="false">C530*D530</f>
        <v>11753.3484223457</v>
      </c>
      <c r="F530" s="1579"/>
      <c r="G530" s="3101"/>
      <c r="H530" s="3102"/>
      <c r="I530" s="2587"/>
      <c r="J530" s="876"/>
      <c r="K530" s="2642"/>
      <c r="L530" s="837"/>
      <c r="M530" s="1580"/>
      <c r="N530" s="1580"/>
      <c r="O530" s="1580"/>
      <c r="P530" s="1580"/>
      <c r="Q530" s="1580"/>
      <c r="R530" s="1580"/>
      <c r="S530" s="1580"/>
      <c r="T530" s="1580"/>
      <c r="U530" s="1580"/>
    </row>
    <row r="531" customFormat="false" ht="15" hidden="false" customHeight="true" outlineLevel="1" collapsed="false">
      <c r="A531" s="649" t="str">
        <f aca="false">'Прайс лист'!B980</f>
        <v>Рядовая черепица</v>
      </c>
      <c r="B531" s="649" t="str">
        <f aca="false">'Прайс лист'!C980</f>
        <v>м2</v>
      </c>
      <c r="C531" s="837" t="n">
        <f aca="false">C497*1.2*G492*C496</f>
        <v>0</v>
      </c>
      <c r="D531" s="837" t="n">
        <f aca="false">'Прайс лист'!G980</f>
        <v>360</v>
      </c>
      <c r="E531" s="837" t="n">
        <f aca="false">C531*D531</f>
        <v>0</v>
      </c>
      <c r="F531" s="1579"/>
      <c r="G531" s="3101"/>
      <c r="H531" s="3102"/>
      <c r="I531" s="2587"/>
      <c r="J531" s="876"/>
      <c r="K531" s="2642"/>
      <c r="L531" s="837"/>
      <c r="M531" s="1580"/>
      <c r="N531" s="1580"/>
      <c r="O531" s="1580"/>
      <c r="P531" s="1580"/>
      <c r="Q531" s="1580"/>
      <c r="R531" s="1580"/>
      <c r="S531" s="1580"/>
      <c r="T531" s="1580"/>
      <c r="U531" s="1580"/>
    </row>
    <row r="532" customFormat="false" ht="15" hidden="false" customHeight="true" outlineLevel="1" collapsed="false">
      <c r="A532" s="649" t="str">
        <f aca="false">'Прайс лист'!B981</f>
        <v>Металл оцинк защита (карниз)</v>
      </c>
      <c r="B532" s="649" t="str">
        <f aca="false">'Прайс лист'!C981</f>
        <v>м.п.</v>
      </c>
      <c r="C532" s="837"/>
      <c r="D532" s="837" t="n">
        <f aca="false">'Прайс лист'!G981</f>
        <v>200</v>
      </c>
      <c r="E532" s="837" t="n">
        <f aca="false">C532*D532</f>
        <v>0</v>
      </c>
      <c r="F532" s="1579"/>
      <c r="G532" s="3101"/>
      <c r="H532" s="3102"/>
      <c r="I532" s="2587"/>
      <c r="J532" s="876"/>
      <c r="K532" s="2642"/>
      <c r="L532" s="837"/>
      <c r="M532" s="1580"/>
      <c r="N532" s="1580"/>
      <c r="O532" s="1580"/>
      <c r="P532" s="1580"/>
      <c r="Q532" s="1580"/>
      <c r="R532" s="1580"/>
      <c r="S532" s="1580"/>
      <c r="T532" s="1580"/>
      <c r="U532" s="1580"/>
    </row>
    <row r="533" customFormat="false" ht="15" hidden="false" customHeight="true" outlineLevel="1" collapsed="false">
      <c r="A533" s="649" t="str">
        <f aca="false">'Прайс лист'!B982</f>
        <v>Подкладочный ковер</v>
      </c>
      <c r="B533" s="649" t="str">
        <f aca="false">'Прайс лист'!C982</f>
        <v>м.п.</v>
      </c>
      <c r="C533" s="837" t="n">
        <f aca="false">C531</f>
        <v>0</v>
      </c>
      <c r="D533" s="837" t="n">
        <f aca="false">'Прайс лист'!G982</f>
        <v>220</v>
      </c>
      <c r="E533" s="837" t="n">
        <f aca="false">C533*D533</f>
        <v>0</v>
      </c>
      <c r="F533" s="1579"/>
      <c r="G533" s="3101"/>
      <c r="H533" s="3102"/>
      <c r="I533" s="2587"/>
      <c r="J533" s="876"/>
      <c r="K533" s="2642"/>
      <c r="L533" s="837"/>
      <c r="M533" s="1580"/>
      <c r="N533" s="1580"/>
      <c r="O533" s="1580"/>
      <c r="P533" s="1580"/>
      <c r="Q533" s="1580"/>
      <c r="R533" s="1580"/>
      <c r="S533" s="1580"/>
      <c r="T533" s="1580"/>
      <c r="U533" s="1580"/>
    </row>
    <row r="534" customFormat="false" ht="15" hidden="false" customHeight="true" outlineLevel="1" collapsed="false">
      <c r="A534" s="649" t="str">
        <f aca="false">'Прайс лист'!B983</f>
        <v>Карнизная самоклеющаяся черепица</v>
      </c>
      <c r="B534" s="649" t="str">
        <f aca="false">'Прайс лист'!C983</f>
        <v>м.п.</v>
      </c>
      <c r="C534" s="837"/>
      <c r="D534" s="837" t="n">
        <f aca="false">'Прайс лист'!G983</f>
        <v>220</v>
      </c>
      <c r="E534" s="837" t="n">
        <f aca="false">C534*D534</f>
        <v>0</v>
      </c>
      <c r="F534" s="1579"/>
      <c r="G534" s="3101"/>
      <c r="H534" s="3102"/>
      <c r="I534" s="2587"/>
      <c r="J534" s="876"/>
      <c r="K534" s="2642"/>
      <c r="L534" s="837"/>
      <c r="M534" s="1580"/>
      <c r="N534" s="1580"/>
      <c r="O534" s="1580"/>
      <c r="P534" s="1580"/>
      <c r="Q534" s="1580"/>
      <c r="R534" s="1580"/>
      <c r="S534" s="1580"/>
      <c r="T534" s="1580"/>
      <c r="U534" s="1580"/>
    </row>
    <row r="535" customFormat="false" ht="15" hidden="false" customHeight="true" outlineLevel="1" collapsed="false">
      <c r="A535" s="649" t="str">
        <f aca="false">'Прайс лист'!B984</f>
        <v>Спец ковер ендова нижняя</v>
      </c>
      <c r="B535" s="649" t="str">
        <f aca="false">'Прайс лист'!C984</f>
        <v>м.п.</v>
      </c>
      <c r="C535" s="837" t="n">
        <f aca="false">(дома!J1218+дома!K1218+дома!J1214+дома!K1214)*1.1*G492*C496</f>
        <v>0</v>
      </c>
      <c r="D535" s="837" t="n">
        <f aca="false">'Прайс лист'!G984</f>
        <v>200</v>
      </c>
      <c r="E535" s="837" t="n">
        <f aca="false">C535*D535</f>
        <v>0</v>
      </c>
      <c r="F535" s="1579"/>
      <c r="G535" s="3101"/>
      <c r="H535" s="3102"/>
      <c r="I535" s="2587"/>
      <c r="J535" s="876"/>
      <c r="K535" s="2642"/>
      <c r="L535" s="837"/>
      <c r="M535" s="1580"/>
      <c r="N535" s="1580"/>
      <c r="O535" s="1580"/>
      <c r="P535" s="1580"/>
      <c r="Q535" s="1580"/>
      <c r="R535" s="1580"/>
      <c r="S535" s="1580"/>
      <c r="T535" s="1580"/>
      <c r="U535" s="1580"/>
    </row>
    <row r="536" customFormat="false" ht="15" hidden="false" customHeight="true" outlineLevel="1" collapsed="false">
      <c r="A536" s="649" t="str">
        <f aca="false">'Прайс лист'!B985</f>
        <v>Коньковой элемент</v>
      </c>
      <c r="B536" s="649" t="str">
        <f aca="false">'Прайс лист'!C985</f>
        <v>м.п.</v>
      </c>
      <c r="C536" s="837" t="n">
        <f aca="false">C498*G492*(C496)</f>
        <v>0</v>
      </c>
      <c r="D536" s="837" t="n">
        <f aca="false">'Прайс лист'!G985</f>
        <v>250</v>
      </c>
      <c r="E536" s="837" t="n">
        <f aca="false">C536*D536</f>
        <v>0</v>
      </c>
      <c r="F536" s="1579"/>
      <c r="G536" s="3101"/>
      <c r="H536" s="3102"/>
      <c r="I536" s="2587"/>
      <c r="J536" s="876"/>
      <c r="K536" s="2642"/>
      <c r="L536" s="837"/>
      <c r="M536" s="1580"/>
      <c r="N536" s="1580"/>
      <c r="O536" s="1580"/>
      <c r="P536" s="1580"/>
      <c r="Q536" s="1580"/>
      <c r="R536" s="1580"/>
      <c r="S536" s="1580"/>
      <c r="T536" s="1580"/>
      <c r="U536" s="1580"/>
    </row>
    <row r="537" customFormat="false" ht="15" hidden="false" customHeight="true" outlineLevel="1" collapsed="false">
      <c r="A537" s="649" t="str">
        <f aca="false">'Прайс лист'!B986</f>
        <v>Планка премыкания</v>
      </c>
      <c r="B537" s="649" t="str">
        <f aca="false">'Прайс лист'!C986</f>
        <v>м.п.</v>
      </c>
      <c r="C537" s="837"/>
      <c r="D537" s="837" t="n">
        <f aca="false">'Прайс лист'!G986</f>
        <v>200</v>
      </c>
      <c r="E537" s="837" t="n">
        <f aca="false">C537*D537</f>
        <v>0</v>
      </c>
      <c r="F537" s="1579"/>
      <c r="G537" s="3101"/>
      <c r="H537" s="3102"/>
      <c r="I537" s="2587"/>
      <c r="J537" s="876"/>
      <c r="K537" s="2642"/>
      <c r="L537" s="837"/>
      <c r="M537" s="1580"/>
      <c r="N537" s="1580"/>
      <c r="O537" s="1580"/>
      <c r="P537" s="1580"/>
      <c r="Q537" s="1580"/>
      <c r="R537" s="1580"/>
      <c r="S537" s="1580"/>
      <c r="T537" s="1580"/>
      <c r="U537" s="1580"/>
    </row>
    <row r="538" customFormat="false" ht="15" hidden="false" customHeight="true" outlineLevel="1" collapsed="false">
      <c r="A538" s="649" t="str">
        <f aca="false">'Прайс лист'!B987</f>
        <v>Гвозди для крепления подкладочного ковра</v>
      </c>
      <c r="B538" s="649" t="str">
        <f aca="false">'Прайс лист'!C987</f>
        <v>шт</v>
      </c>
      <c r="C538" s="837" t="n">
        <f aca="false">C533*12</f>
        <v>0</v>
      </c>
      <c r="D538" s="837" t="n">
        <f aca="false">'Прайс лист'!G987</f>
        <v>0.012</v>
      </c>
      <c r="E538" s="837" t="n">
        <f aca="false">C538*D538</f>
        <v>0</v>
      </c>
      <c r="F538" s="1579"/>
      <c r="G538" s="3101"/>
      <c r="H538" s="3102"/>
      <c r="I538" s="2587"/>
      <c r="J538" s="876"/>
      <c r="K538" s="2642"/>
      <c r="L538" s="837"/>
      <c r="M538" s="1580"/>
      <c r="N538" s="1580"/>
      <c r="O538" s="1580"/>
      <c r="P538" s="1580"/>
      <c r="Q538" s="1580"/>
      <c r="R538" s="1580"/>
      <c r="S538" s="1580"/>
      <c r="T538" s="1580"/>
      <c r="U538" s="1580"/>
    </row>
    <row r="539" customFormat="false" ht="15" hidden="false" customHeight="true" outlineLevel="1" collapsed="false">
      <c r="A539" s="649" t="str">
        <f aca="false">'Прайс лист'!B988</f>
        <v>Гвозди для крепления черепицы</v>
      </c>
      <c r="B539" s="649" t="str">
        <f aca="false">'Прайс лист'!C988</f>
        <v>шт</v>
      </c>
      <c r="C539" s="837" t="n">
        <f aca="false">C531*20</f>
        <v>0</v>
      </c>
      <c r="D539" s="837" t="n">
        <f aca="false">'Прайс лист'!G988</f>
        <v>0.25</v>
      </c>
      <c r="E539" s="837" t="n">
        <f aca="false">C539*D539</f>
        <v>0</v>
      </c>
      <c r="F539" s="1579"/>
      <c r="G539" s="3101"/>
      <c r="H539" s="3102"/>
      <c r="I539" s="2587"/>
      <c r="J539" s="876"/>
      <c r="K539" s="2642"/>
      <c r="L539" s="837"/>
      <c r="M539" s="1580"/>
      <c r="N539" s="1580"/>
      <c r="O539" s="1580"/>
      <c r="P539" s="1580"/>
      <c r="Q539" s="1580"/>
      <c r="R539" s="1580"/>
      <c r="S539" s="1580"/>
      <c r="T539" s="1580"/>
      <c r="U539" s="1580"/>
    </row>
    <row r="540" customFormat="false" ht="15" hidden="false" customHeight="true" outlineLevel="1" collapsed="false">
      <c r="A540" s="649" t="str">
        <f aca="false">'Прайс лист'!B989</f>
        <v>Клей для монтажа черепицы</v>
      </c>
      <c r="B540" s="649" t="str">
        <f aca="false">'Прайс лист'!C989</f>
        <v>кг</v>
      </c>
      <c r="C540" s="837" t="n">
        <f aca="false">C497*C496</f>
        <v>0</v>
      </c>
      <c r="D540" s="837" t="n">
        <f aca="false">'Прайс лист'!G989</f>
        <v>250</v>
      </c>
      <c r="E540" s="837" t="n">
        <f aca="false">C540*D540</f>
        <v>0</v>
      </c>
      <c r="F540" s="1579"/>
      <c r="G540" s="3101"/>
      <c r="H540" s="3102"/>
      <c r="I540" s="2587"/>
      <c r="J540" s="876"/>
      <c r="K540" s="2642"/>
      <c r="L540" s="837"/>
      <c r="M540" s="1580"/>
      <c r="N540" s="1580"/>
      <c r="O540" s="1580"/>
      <c r="P540" s="1580"/>
      <c r="Q540" s="1580"/>
      <c r="R540" s="1580"/>
      <c r="S540" s="1580"/>
      <c r="T540" s="1580"/>
      <c r="U540" s="1580"/>
    </row>
    <row r="541" customFormat="false" ht="15" hidden="false" customHeight="true" outlineLevel="1" collapsed="false">
      <c r="A541" s="837" t="str">
        <f aca="false">'Прайс лист'!B1001</f>
        <v>лента дельта мульти бэнд</v>
      </c>
      <c r="B541" s="837" t="s">
        <v>48</v>
      </c>
      <c r="C541" s="837" t="n">
        <f aca="false">C497/12*G492</f>
        <v>1.6695097190832</v>
      </c>
      <c r="D541" s="837" t="n">
        <f aca="false">'Прайс лист'!G1001</f>
        <v>1200</v>
      </c>
      <c r="E541" s="837" t="n">
        <f aca="false">C541*D541</f>
        <v>2003.41166289984</v>
      </c>
      <c r="F541" s="1579"/>
      <c r="G541" s="739"/>
      <c r="H541" s="739"/>
      <c r="I541" s="2587"/>
      <c r="J541" s="2587"/>
      <c r="K541" s="2642"/>
      <c r="L541" s="837"/>
      <c r="M541" s="1580"/>
      <c r="N541" s="1580"/>
      <c r="O541" s="1580"/>
      <c r="P541" s="1580"/>
      <c r="Q541" s="1580"/>
      <c r="R541" s="1580"/>
      <c r="S541" s="1580"/>
      <c r="T541" s="1580"/>
      <c r="U541" s="1580"/>
    </row>
    <row r="542" customFormat="false" ht="15" hidden="false" customHeight="true" outlineLevel="1" collapsed="false">
      <c r="A542" s="837" t="str">
        <f aca="false">'Прайс лист'!B1002</f>
        <v>лента дельта sb-60</v>
      </c>
      <c r="B542" s="837" t="s">
        <v>48</v>
      </c>
      <c r="C542" s="837" t="n">
        <f aca="false">C497/25*G492</f>
        <v>0.801364665159936</v>
      </c>
      <c r="D542" s="837" t="n">
        <f aca="false">'Прайс лист'!G1002</f>
        <v>1100</v>
      </c>
      <c r="E542" s="837" t="n">
        <f aca="false">C542*D542</f>
        <v>881.50113167593</v>
      </c>
      <c r="F542" s="1579"/>
      <c r="G542" s="739"/>
      <c r="H542" s="739"/>
      <c r="I542" s="2587"/>
      <c r="J542" s="2587"/>
      <c r="K542" s="2642"/>
      <c r="L542" s="837"/>
      <c r="M542" s="1580"/>
      <c r="N542" s="1580"/>
      <c r="O542" s="1580"/>
      <c r="P542" s="1580"/>
      <c r="Q542" s="1580"/>
      <c r="R542" s="1580"/>
      <c r="S542" s="1580"/>
      <c r="T542" s="1580"/>
      <c r="U542" s="1580"/>
    </row>
    <row r="543" customFormat="false" ht="15" hidden="false" customHeight="true" outlineLevel="1" collapsed="false">
      <c r="A543" s="837" t="str">
        <f aca="false">'Прайс лист'!B963</f>
        <v>Кровельный саморез</v>
      </c>
      <c r="B543" s="837" t="s">
        <v>48</v>
      </c>
      <c r="C543" s="837" t="n">
        <f aca="false">C497*12*(C494)*G492</f>
        <v>240.409399547981</v>
      </c>
      <c r="D543" s="837" t="n">
        <f aca="false">'Прайс лист'!G963</f>
        <v>2</v>
      </c>
      <c r="E543" s="837" t="n">
        <f aca="false">C543*D543</f>
        <v>480.818799095962</v>
      </c>
      <c r="F543" s="1579"/>
      <c r="G543" s="739"/>
      <c r="H543" s="739"/>
      <c r="I543" s="2587"/>
      <c r="J543" s="2587"/>
      <c r="K543" s="2642"/>
      <c r="L543" s="837"/>
      <c r="M543" s="1580"/>
      <c r="N543" s="1580"/>
      <c r="O543" s="1580"/>
      <c r="P543" s="1580"/>
      <c r="Q543" s="1580"/>
      <c r="R543" s="1580"/>
      <c r="S543" s="1580"/>
      <c r="T543" s="1580"/>
      <c r="U543" s="1580"/>
    </row>
    <row r="544" customFormat="false" ht="15" hidden="false" customHeight="true" outlineLevel="1" collapsed="false">
      <c r="A544" s="837" t="str">
        <f aca="false">'Прайс лист'!B742</f>
        <v>Гвозди ершоные 3,4 x 60            </v>
      </c>
      <c r="B544" s="837" t="s">
        <v>434</v>
      </c>
      <c r="C544" s="837" t="n">
        <f aca="false">C511*15*G492</f>
        <v>7.5918757751994</v>
      </c>
      <c r="D544" s="837" t="n">
        <f aca="false">'Прайс лист'!G742</f>
        <v>75.51</v>
      </c>
      <c r="E544" s="837" t="n">
        <f aca="false">C544*D544</f>
        <v>573.262539785306</v>
      </c>
      <c r="F544" s="1579"/>
      <c r="G544" s="739"/>
      <c r="H544" s="739"/>
      <c r="I544" s="2587"/>
      <c r="J544" s="2587"/>
      <c r="K544" s="2642"/>
      <c r="L544" s="837"/>
      <c r="M544" s="1580"/>
      <c r="N544" s="1580"/>
      <c r="O544" s="1580"/>
      <c r="P544" s="1580"/>
      <c r="Q544" s="1580"/>
      <c r="R544" s="1580"/>
      <c r="S544" s="1580"/>
      <c r="T544" s="1580"/>
      <c r="U544" s="1580"/>
    </row>
    <row r="545" customFormat="false" ht="15" hidden="false" customHeight="true" outlineLevel="1" collapsed="false">
      <c r="A545" s="837" t="str">
        <f aca="false">'Прайс лист'!B743</f>
        <v>Гвозди ершоные 2,8 х 90            </v>
      </c>
      <c r="B545" s="837" t="s">
        <v>434</v>
      </c>
      <c r="C545" s="837" t="n">
        <f aca="false">(C508+C509+C510)*10*G492</f>
        <v>19.4214233930988</v>
      </c>
      <c r="D545" s="837" t="n">
        <f aca="false">'Прайс лист'!G743</f>
        <v>76.49</v>
      </c>
      <c r="E545" s="837" t="n">
        <f aca="false">C545*D545</f>
        <v>1485.54467533813</v>
      </c>
      <c r="F545" s="1579"/>
      <c r="G545" s="739"/>
      <c r="H545" s="739"/>
      <c r="I545" s="2587"/>
      <c r="J545" s="2587"/>
      <c r="K545" s="2642"/>
      <c r="L545" s="837"/>
      <c r="M545" s="1580"/>
      <c r="N545" s="1580"/>
      <c r="O545" s="1580"/>
      <c r="P545" s="1580"/>
      <c r="Q545" s="1580"/>
      <c r="R545" s="1580"/>
      <c r="S545" s="1580"/>
      <c r="T545" s="1580"/>
      <c r="U545" s="1580"/>
    </row>
    <row r="546" customFormat="false" ht="15" hidden="false" customHeight="true" outlineLevel="1" collapsed="false">
      <c r="A546" s="837" t="str">
        <f aca="false">'Прайс лист'!B699</f>
        <v>Пластина соеденительная 100х240х2           </v>
      </c>
      <c r="B546" s="837" t="s">
        <v>48</v>
      </c>
      <c r="C546" s="2636" t="n">
        <f aca="false">((C498/0.6)+1)*2*G492</f>
        <v>18</v>
      </c>
      <c r="D546" s="837" t="n">
        <f aca="false">'Прайс лист'!G699</f>
        <v>31.54</v>
      </c>
      <c r="E546" s="837" t="n">
        <f aca="false">C546*D546</f>
        <v>567.72</v>
      </c>
      <c r="F546" s="1579"/>
      <c r="G546" s="739"/>
      <c r="H546" s="739"/>
      <c r="I546" s="2587"/>
      <c r="J546" s="2587"/>
      <c r="K546" s="2642"/>
      <c r="L546" s="837"/>
      <c r="M546" s="1580"/>
      <c r="N546" s="1580"/>
      <c r="O546" s="1580"/>
      <c r="P546" s="1580"/>
      <c r="Q546" s="1580"/>
      <c r="R546" s="1580"/>
      <c r="S546" s="1580"/>
      <c r="T546" s="1580"/>
      <c r="U546" s="1580"/>
    </row>
    <row r="547" customFormat="false" ht="15" hidden="false" customHeight="true" outlineLevel="1" collapsed="false">
      <c r="A547" s="837" t="str">
        <f aca="false">'Прайс лист'!B693</f>
        <v>Уголок усиленный 90х70х55х2,5        </v>
      </c>
      <c r="B547" s="837" t="s">
        <v>48</v>
      </c>
      <c r="C547" s="2636" t="n">
        <f aca="false">((C498/0.6)+1)*2*G492</f>
        <v>18</v>
      </c>
      <c r="D547" s="837" t="n">
        <f aca="false">'Прайс лист'!G693</f>
        <v>30</v>
      </c>
      <c r="E547" s="837" t="n">
        <f aca="false">C547*D547</f>
        <v>540</v>
      </c>
      <c r="F547" s="1579"/>
      <c r="G547" s="739"/>
      <c r="H547" s="739"/>
      <c r="I547" s="2587"/>
      <c r="J547" s="2587"/>
      <c r="K547" s="2642"/>
      <c r="L547" s="837"/>
      <c r="M547" s="1580"/>
      <c r="N547" s="1580"/>
      <c r="O547" s="1580"/>
      <c r="P547" s="1580"/>
      <c r="Q547" s="1580"/>
      <c r="R547" s="1580"/>
      <c r="S547" s="1580"/>
      <c r="T547" s="1580"/>
      <c r="U547" s="1580"/>
    </row>
    <row r="548" customFormat="false" ht="15" hidden="false" customHeight="true" outlineLevel="1" collapsed="false">
      <c r="A548" s="837" t="str">
        <f aca="false">'Ввод данных'!A439</f>
        <v>Нет техники</v>
      </c>
      <c r="B548" s="837" t="str">
        <f aca="false">'Ввод данных'!B439</f>
        <v>ед.</v>
      </c>
      <c r="C548" s="837" t="n">
        <f aca="false">'Ввод данных'!C439</f>
        <v>4</v>
      </c>
      <c r="D548" s="837" t="n">
        <f aca="false">VLOOKUP(A548,'Прайс лист'!B192:G206,6,0)</f>
        <v>0</v>
      </c>
      <c r="E548" s="837" t="n">
        <f aca="false">C548*D548</f>
        <v>0</v>
      </c>
      <c r="F548" s="1579"/>
      <c r="G548" s="739"/>
      <c r="H548" s="739"/>
      <c r="I548" s="2587"/>
      <c r="J548" s="2587"/>
      <c r="K548" s="2642"/>
      <c r="L548" s="837"/>
      <c r="M548" s="1580"/>
      <c r="N548" s="1580"/>
      <c r="O548" s="1580"/>
      <c r="P548" s="1580"/>
      <c r="Q548" s="1580"/>
      <c r="R548" s="1580"/>
      <c r="S548" s="1580"/>
      <c r="T548" s="1580"/>
      <c r="U548" s="1580"/>
    </row>
    <row r="549" customFormat="false" ht="15" hidden="false" customHeight="true" outlineLevel="1" collapsed="false">
      <c r="A549" s="837" t="str">
        <f aca="false">'Ввод данных'!A440</f>
        <v>Нет техники</v>
      </c>
      <c r="B549" s="837" t="str">
        <f aca="false">'Ввод данных'!B440</f>
        <v>ед.</v>
      </c>
      <c r="C549" s="837" t="n">
        <f aca="false">'Ввод данных'!C440</f>
        <v>0</v>
      </c>
      <c r="D549" s="837" t="n">
        <f aca="false">VLOOKUP(A549,'Прайс лист'!B192:G206,6,0)</f>
        <v>0</v>
      </c>
      <c r="E549" s="837" t="n">
        <f aca="false">C549*D549</f>
        <v>0</v>
      </c>
      <c r="F549" s="1579"/>
      <c r="G549" s="739"/>
      <c r="H549" s="739"/>
      <c r="I549" s="2587"/>
      <c r="J549" s="2587"/>
      <c r="K549" s="2642"/>
      <c r="L549" s="837"/>
      <c r="M549" s="1580"/>
      <c r="N549" s="1580"/>
      <c r="O549" s="1580"/>
      <c r="P549" s="1580"/>
      <c r="Q549" s="1580"/>
      <c r="R549" s="1580"/>
      <c r="S549" s="1580"/>
      <c r="T549" s="1580"/>
      <c r="U549" s="1580"/>
    </row>
    <row r="550" customFormat="false" ht="15" hidden="false" customHeight="true" outlineLevel="1" collapsed="false">
      <c r="A550" s="837" t="str">
        <f aca="false">'Ввод данных'!A442</f>
        <v>расходные материалы элементы кровель</v>
      </c>
      <c r="B550" s="837" t="str">
        <f aca="false">'Ввод данных'!B442</f>
        <v>рублей</v>
      </c>
      <c r="C550" s="837" t="n">
        <f aca="false">1</f>
        <v>1</v>
      </c>
      <c r="D550" s="837" t="n">
        <f aca="false">'Ввод данных'!C442</f>
        <v>10000</v>
      </c>
      <c r="E550" s="837" t="n">
        <f aca="false">C550*D550</f>
        <v>10000</v>
      </c>
      <c r="F550" s="1579"/>
      <c r="G550" s="739"/>
      <c r="H550" s="739"/>
      <c r="I550" s="2587"/>
      <c r="J550" s="2587"/>
      <c r="K550" s="2642"/>
      <c r="L550" s="837"/>
      <c r="M550" s="1580"/>
      <c r="N550" s="1580"/>
      <c r="O550" s="1580"/>
      <c r="P550" s="1580"/>
      <c r="Q550" s="1580"/>
      <c r="R550" s="1580"/>
      <c r="S550" s="1580"/>
      <c r="T550" s="1580"/>
      <c r="U550" s="1580"/>
    </row>
    <row r="551" customFormat="false" ht="15" hidden="false" customHeight="true" outlineLevel="1" collapsed="false">
      <c r="A551" s="1579"/>
      <c r="B551" s="1579"/>
      <c r="C551" s="1579"/>
      <c r="D551" s="1579"/>
      <c r="E551" s="1549" t="n">
        <f aca="false">SUM(E508:E548)</f>
        <v>59188.3445036888</v>
      </c>
      <c r="F551" s="1579"/>
      <c r="G551" s="1579"/>
      <c r="H551" s="1580"/>
      <c r="I551" s="1580"/>
      <c r="J551" s="1580"/>
      <c r="K551" s="3069"/>
      <c r="L551" s="2587" t="n">
        <f aca="false">SUM(L508:L548)</f>
        <v>28500.4846401478</v>
      </c>
      <c r="M551" s="1580"/>
      <c r="N551" s="1580"/>
      <c r="O551" s="1580"/>
      <c r="P551" s="1580"/>
      <c r="Q551" s="1580"/>
      <c r="R551" s="1580"/>
      <c r="S551" s="1580"/>
      <c r="T551" s="1580"/>
      <c r="U551" s="1580"/>
    </row>
    <row r="552" customFormat="false" ht="15" hidden="false" customHeight="true" outlineLevel="1" collapsed="false">
      <c r="A552" s="837" t="s">
        <v>2920</v>
      </c>
      <c r="B552" s="2636" t="n">
        <f aca="false">E551</f>
        <v>59188.3445036888</v>
      </c>
      <c r="C552" s="1579"/>
      <c r="D552" s="1579"/>
      <c r="E552" s="1579"/>
      <c r="F552" s="1579"/>
      <c r="G552" s="1579"/>
      <c r="H552" s="1580"/>
      <c r="I552" s="1580"/>
      <c r="J552" s="1580"/>
      <c r="K552" s="3069"/>
      <c r="L552" s="1580"/>
      <c r="M552" s="1580"/>
      <c r="N552" s="1580"/>
      <c r="O552" s="1580"/>
      <c r="P552" s="1580"/>
      <c r="Q552" s="1580"/>
      <c r="R552" s="1580"/>
      <c r="S552" s="1580"/>
      <c r="T552" s="1580"/>
      <c r="U552" s="1580"/>
    </row>
    <row r="553" customFormat="false" ht="15" hidden="false" customHeight="true" outlineLevel="1" collapsed="false">
      <c r="A553" s="837" t="s">
        <v>2921</v>
      </c>
      <c r="B553" s="2636" t="n">
        <f aca="false">L551</f>
        <v>28500.4846401478</v>
      </c>
      <c r="C553" s="1579"/>
      <c r="D553" s="1579"/>
      <c r="E553" s="1579"/>
      <c r="F553" s="1579"/>
      <c r="G553" s="1579"/>
      <c r="H553" s="1580"/>
      <c r="I553" s="1580"/>
      <c r="J553" s="1580"/>
      <c r="K553" s="3069"/>
      <c r="L553" s="1580"/>
      <c r="M553" s="1580"/>
      <c r="N553" s="1580"/>
      <c r="O553" s="1580"/>
      <c r="P553" s="1580"/>
      <c r="Q553" s="1580"/>
      <c r="R553" s="1580"/>
      <c r="S553" s="1580"/>
      <c r="T553" s="1580"/>
      <c r="U553" s="1580"/>
    </row>
    <row r="554" customFormat="false" ht="15" hidden="false" customHeight="true" outlineLevel="1" collapsed="false">
      <c r="A554" s="837" t="s">
        <v>2922</v>
      </c>
      <c r="B554" s="2636" t="n">
        <f aca="false">SUM(B552:B553)</f>
        <v>87688.8291438365</v>
      </c>
      <c r="C554" s="1579"/>
      <c r="D554" s="1579"/>
      <c r="E554" s="1579"/>
      <c r="F554" s="1579"/>
      <c r="G554" s="1579"/>
      <c r="H554" s="1580"/>
      <c r="I554" s="1580"/>
      <c r="J554" s="1580"/>
      <c r="K554" s="3069"/>
      <c r="L554" s="1580"/>
      <c r="M554" s="1580"/>
      <c r="N554" s="1580"/>
      <c r="O554" s="1580"/>
      <c r="P554" s="1580"/>
      <c r="Q554" s="1580"/>
      <c r="R554" s="1580"/>
      <c r="S554" s="1580"/>
      <c r="T554" s="1580"/>
      <c r="U554" s="1580"/>
    </row>
    <row r="555" customFormat="false" ht="15" hidden="false" customHeight="true" outlineLevel="0" collapsed="false">
      <c r="A555" s="2589" t="s">
        <v>2271</v>
      </c>
      <c r="B555" s="2665"/>
      <c r="C555" s="1579"/>
      <c r="D555" s="1579"/>
      <c r="E555" s="1579"/>
      <c r="F555" s="1579"/>
      <c r="G555" s="1579"/>
      <c r="H555" s="1580"/>
      <c r="I555" s="1580"/>
      <c r="J555" s="1580"/>
      <c r="K555" s="3069"/>
      <c r="L555" s="1580"/>
      <c r="M555" s="1580"/>
      <c r="N555" s="1580"/>
      <c r="O555" s="1580"/>
      <c r="P555" s="1580"/>
      <c r="Q555" s="1580"/>
      <c r="R555" s="1580"/>
      <c r="S555" s="1580"/>
      <c r="T555" s="1580"/>
      <c r="U555" s="1580"/>
    </row>
    <row r="556" customFormat="false" ht="15" hidden="false" customHeight="true" outlineLevel="0" collapsed="false">
      <c r="A556" s="2637"/>
      <c r="B556" s="1580"/>
      <c r="C556" s="2630"/>
      <c r="D556" s="2630"/>
      <c r="E556" s="1580"/>
      <c r="F556" s="2630"/>
      <c r="G556" s="2630"/>
      <c r="H556" s="1580"/>
      <c r="I556" s="1580"/>
      <c r="J556" s="1580"/>
      <c r="K556" s="3069"/>
      <c r="L556" s="1580"/>
      <c r="M556" s="1580"/>
      <c r="N556" s="1580"/>
      <c r="O556" s="1580"/>
      <c r="P556" s="1580"/>
      <c r="Q556" s="1580"/>
      <c r="R556" s="1580"/>
      <c r="S556" s="1580"/>
      <c r="T556" s="1580"/>
      <c r="U556" s="1580"/>
    </row>
    <row r="557" customFormat="false" ht="15" hidden="false" customHeight="true" outlineLevel="1" collapsed="false">
      <c r="A557" s="1518" t="s">
        <v>4268</v>
      </c>
      <c r="B557" s="1518"/>
      <c r="C557" s="1518"/>
      <c r="D557" s="1518"/>
      <c r="E557" s="1518"/>
      <c r="F557" s="1518"/>
      <c r="G557" s="1518"/>
      <c r="H557" s="1518"/>
      <c r="I557" s="1518"/>
      <c r="J557" s="1518"/>
      <c r="K557" s="1518"/>
      <c r="L557" s="1518"/>
      <c r="M557" s="1580"/>
      <c r="N557" s="1580"/>
      <c r="O557" s="1580"/>
      <c r="P557" s="1580"/>
      <c r="Q557" s="1580"/>
      <c r="R557" s="1580"/>
      <c r="S557" s="1580"/>
      <c r="T557" s="1580"/>
      <c r="U557" s="1580"/>
    </row>
    <row r="558" customFormat="false" ht="15" hidden="false" customHeight="true" outlineLevel="1" collapsed="false">
      <c r="A558" s="1520" t="s">
        <v>461</v>
      </c>
      <c r="B558" s="1520"/>
      <c r="C558" s="1520"/>
      <c r="D558" s="1520"/>
      <c r="E558" s="1520"/>
      <c r="F558" s="1520"/>
      <c r="G558" s="3095" t="n">
        <f aca="false">'Ввод данных'!E508</f>
        <v>1</v>
      </c>
      <c r="H558" s="1521" t="n">
        <f aca="false">'Ввод данных'!E509</f>
        <v>1</v>
      </c>
      <c r="I558" s="1521"/>
      <c r="J558" s="1521"/>
      <c r="K558" s="1521"/>
      <c r="L558" s="1521"/>
      <c r="M558" s="1580"/>
      <c r="N558" s="1580"/>
      <c r="O558" s="1580"/>
      <c r="P558" s="1580"/>
      <c r="Q558" s="1580"/>
      <c r="R558" s="1580"/>
      <c r="S558" s="1580"/>
      <c r="T558" s="1580"/>
      <c r="U558" s="1580"/>
    </row>
    <row r="559" customFormat="false" ht="15" hidden="false" customHeight="true" outlineLevel="1" collapsed="false">
      <c r="A559" s="3057" t="s">
        <v>2902</v>
      </c>
      <c r="B559" s="3058" t="s">
        <v>15</v>
      </c>
      <c r="C559" s="3058" t="n">
        <f aca="false">дома!D1229*(дома!C1275+дома!C1245)</f>
        <v>0</v>
      </c>
      <c r="D559" s="3059" t="n">
        <v>1</v>
      </c>
      <c r="E559" s="3060"/>
      <c r="F559" s="3060"/>
      <c r="G559" s="3060"/>
      <c r="H559" s="1521"/>
      <c r="I559" s="1521"/>
      <c r="J559" s="1521"/>
      <c r="K559" s="1521"/>
      <c r="L559" s="1521"/>
      <c r="M559" s="1580"/>
      <c r="N559" s="1580"/>
      <c r="O559" s="1580"/>
      <c r="P559" s="1580"/>
      <c r="Q559" s="1580"/>
      <c r="R559" s="1580"/>
      <c r="S559" s="1580"/>
      <c r="T559" s="1580"/>
      <c r="U559" s="1580"/>
    </row>
    <row r="560" customFormat="false" ht="15" hidden="false" customHeight="true" outlineLevel="1" collapsed="false">
      <c r="A560" s="3057" t="s">
        <v>3941</v>
      </c>
      <c r="B560" s="3058" t="s">
        <v>15</v>
      </c>
      <c r="C560" s="3058" t="n">
        <v>0.05</v>
      </c>
      <c r="D560" s="3061"/>
      <c r="E560" s="3060"/>
      <c r="F560" s="3060"/>
      <c r="G560" s="3060"/>
      <c r="H560" s="1521"/>
      <c r="I560" s="1521"/>
      <c r="J560" s="1521"/>
      <c r="K560" s="1521"/>
      <c r="L560" s="1521"/>
      <c r="M560" s="1580"/>
      <c r="N560" s="1580"/>
      <c r="O560" s="1580"/>
      <c r="P560" s="1580"/>
      <c r="Q560" s="1580"/>
      <c r="R560" s="1580"/>
      <c r="S560" s="1580"/>
      <c r="T560" s="1580"/>
      <c r="U560" s="1580"/>
    </row>
    <row r="561" customFormat="false" ht="15" hidden="false" customHeight="true" outlineLevel="1" collapsed="false">
      <c r="A561" s="3057" t="s">
        <v>3942</v>
      </c>
      <c r="B561" s="3058" t="s">
        <v>15</v>
      </c>
      <c r="C561" s="3058" t="n">
        <v>0.15</v>
      </c>
      <c r="D561" s="3061"/>
      <c r="E561" s="3060"/>
      <c r="F561" s="3060"/>
      <c r="G561" s="3060"/>
      <c r="H561" s="1521"/>
      <c r="I561" s="1521"/>
      <c r="J561" s="1521"/>
      <c r="K561" s="1521"/>
      <c r="L561" s="1521"/>
      <c r="M561" s="1580"/>
      <c r="N561" s="1580"/>
      <c r="O561" s="1580"/>
      <c r="P561" s="1580"/>
      <c r="Q561" s="1580"/>
      <c r="R561" s="1580"/>
      <c r="S561" s="1580"/>
      <c r="T561" s="1580"/>
      <c r="U561" s="1580"/>
    </row>
    <row r="562" customFormat="false" ht="15" hidden="false" customHeight="true" outlineLevel="1" collapsed="false">
      <c r="A562" s="864" t="s">
        <v>3943</v>
      </c>
      <c r="B562" s="1549" t="s">
        <v>48</v>
      </c>
      <c r="C562" s="3062" t="n">
        <f aca="false">IF('Ввод данных'!A58=связи1!A6,1,0)</f>
        <v>1</v>
      </c>
      <c r="D562" s="3063"/>
      <c r="E562" s="3064"/>
      <c r="F562" s="3064"/>
      <c r="G562" s="2589"/>
      <c r="H562" s="2589"/>
      <c r="I562" s="2595"/>
      <c r="J562" s="2589"/>
      <c r="K562" s="2643"/>
      <c r="L562" s="2589"/>
      <c r="M562" s="1580"/>
      <c r="N562" s="1580"/>
      <c r="O562" s="1580"/>
      <c r="P562" s="1580"/>
      <c r="Q562" s="1580"/>
      <c r="R562" s="1580"/>
      <c r="S562" s="1580"/>
      <c r="T562" s="1580"/>
      <c r="U562" s="1580"/>
    </row>
    <row r="563" customFormat="false" ht="15" hidden="false" customHeight="true" outlineLevel="1" collapsed="false">
      <c r="A563" s="3065" t="s">
        <v>3944</v>
      </c>
      <c r="B563" s="837" t="s">
        <v>48</v>
      </c>
      <c r="C563" s="3062" t="n">
        <f aca="false">IF('Ввод данных'!A58=связи1!A7,1,0)</f>
        <v>0</v>
      </c>
      <c r="D563" s="3063"/>
      <c r="E563" s="3064"/>
      <c r="F563" s="3064"/>
      <c r="G563" s="2589"/>
      <c r="H563" s="2589"/>
      <c r="I563" s="2595"/>
      <c r="J563" s="2589"/>
      <c r="K563" s="2643"/>
      <c r="L563" s="2589"/>
      <c r="M563" s="1580"/>
      <c r="N563" s="1580"/>
      <c r="O563" s="1580"/>
      <c r="P563" s="1580"/>
      <c r="Q563" s="1580"/>
      <c r="R563" s="1580"/>
      <c r="S563" s="1580"/>
      <c r="T563" s="1580"/>
      <c r="U563" s="1580"/>
    </row>
    <row r="564" customFormat="false" ht="15" hidden="false" customHeight="true" outlineLevel="1" collapsed="false">
      <c r="A564" s="3065" t="s">
        <v>3945</v>
      </c>
      <c r="B564" s="837" t="s">
        <v>48</v>
      </c>
      <c r="C564" s="3062" t="n">
        <f aca="false">IF('Ввод данных'!A58=связи1!A8,1,0)</f>
        <v>0</v>
      </c>
      <c r="D564" s="3063"/>
      <c r="E564" s="1545" t="e">
        <f aca="false">дома!#REF!</f>
        <v>#VALUE!</v>
      </c>
      <c r="F564" s="3064"/>
      <c r="G564" s="2589"/>
      <c r="H564" s="2589"/>
      <c r="I564" s="2595"/>
      <c r="J564" s="2589"/>
      <c r="K564" s="2643"/>
      <c r="L564" s="2589"/>
      <c r="M564" s="1580"/>
      <c r="N564" s="1580"/>
      <c r="O564" s="1580"/>
      <c r="P564" s="1580"/>
      <c r="Q564" s="1580"/>
      <c r="R564" s="1580"/>
      <c r="S564" s="1580"/>
      <c r="T564" s="1580"/>
      <c r="U564" s="1580"/>
    </row>
    <row r="565" customFormat="false" ht="15" hidden="false" customHeight="true" outlineLevel="1" collapsed="false">
      <c r="A565" s="837" t="s">
        <v>2821</v>
      </c>
      <c r="B565" s="837" t="s">
        <v>820</v>
      </c>
      <c r="C565" s="837" t="n">
        <f aca="false">дома!D1229*дома!C1285</f>
        <v>0</v>
      </c>
      <c r="D565" s="3064"/>
      <c r="E565" s="1545" t="e">
        <f aca="false">дома!#REF!</f>
        <v>#VALUE!</v>
      </c>
      <c r="F565" s="3064"/>
      <c r="G565" s="2589"/>
      <c r="H565" s="2589"/>
      <c r="I565" s="2595"/>
      <c r="J565" s="2589"/>
      <c r="K565" s="2643"/>
      <c r="L565" s="2589"/>
      <c r="M565" s="1580"/>
      <c r="N565" s="1580"/>
      <c r="O565" s="1580"/>
      <c r="P565" s="1580"/>
      <c r="Q565" s="1580"/>
      <c r="R565" s="1580"/>
      <c r="S565" s="1580"/>
      <c r="T565" s="1580"/>
      <c r="U565" s="1580"/>
    </row>
    <row r="566" customFormat="false" ht="15" hidden="false" customHeight="true" outlineLevel="1" collapsed="false">
      <c r="A566" s="837" t="s">
        <v>2909</v>
      </c>
      <c r="B566" s="837" t="s">
        <v>820</v>
      </c>
      <c r="C566" s="837" t="n">
        <v>0</v>
      </c>
      <c r="D566" s="3064"/>
      <c r="E566" s="3064"/>
      <c r="F566" s="3064"/>
      <c r="G566" s="2589"/>
      <c r="H566" s="2589"/>
      <c r="I566" s="2595"/>
      <c r="J566" s="2589"/>
      <c r="K566" s="2643"/>
      <c r="L566" s="2589"/>
      <c r="M566" s="1580"/>
      <c r="N566" s="1580"/>
      <c r="O566" s="1580"/>
      <c r="P566" s="1580"/>
      <c r="Q566" s="1580"/>
      <c r="R566" s="1580"/>
      <c r="S566" s="1580"/>
      <c r="T566" s="1580"/>
      <c r="U566" s="1580"/>
    </row>
    <row r="567" customFormat="false" ht="15" hidden="false" customHeight="true" outlineLevel="1" collapsed="false">
      <c r="A567" s="837" t="s">
        <v>4269</v>
      </c>
      <c r="B567" s="837" t="s">
        <v>820</v>
      </c>
      <c r="C567" s="837" t="n">
        <f aca="false">((дома!D1268*2+дома!D1269*2+дома!D1270*2+дома!C1275*1.5+дома!C1245+дома!C1245/0.5*дома!C1238)*дома!D1229)</f>
        <v>0</v>
      </c>
      <c r="D567" s="3064"/>
      <c r="E567" s="3064"/>
      <c r="F567" s="3064"/>
      <c r="G567" s="2589"/>
      <c r="H567" s="2589"/>
      <c r="I567" s="2595"/>
      <c r="J567" s="2589"/>
      <c r="K567" s="2643"/>
      <c r="L567" s="2589"/>
      <c r="M567" s="1580"/>
      <c r="N567" s="1580"/>
      <c r="O567" s="1580"/>
      <c r="P567" s="1580"/>
      <c r="Q567" s="1580"/>
      <c r="R567" s="1580"/>
      <c r="S567" s="1580"/>
      <c r="T567" s="1580"/>
      <c r="U567" s="1580"/>
    </row>
    <row r="568" customFormat="false" ht="15" hidden="false" customHeight="true" outlineLevel="1" collapsed="false">
      <c r="A568" s="837" t="s">
        <v>2911</v>
      </c>
      <c r="B568" s="837" t="s">
        <v>15</v>
      </c>
      <c r="C568" s="837" t="n">
        <f aca="false">дома!D1229*дома!C1275*2.1</f>
        <v>0</v>
      </c>
      <c r="D568" s="3064"/>
      <c r="E568" s="3064"/>
      <c r="F568" s="3064"/>
      <c r="G568" s="2589"/>
      <c r="H568" s="2589"/>
      <c r="I568" s="2595"/>
      <c r="J568" s="2589"/>
      <c r="K568" s="2643"/>
      <c r="L568" s="2589"/>
      <c r="M568" s="1580"/>
      <c r="N568" s="1580"/>
      <c r="O568" s="1580"/>
      <c r="P568" s="1580"/>
      <c r="Q568" s="1580"/>
      <c r="R568" s="1580"/>
      <c r="S568" s="1580"/>
      <c r="T568" s="1580"/>
      <c r="U568" s="1580"/>
    </row>
    <row r="569" customFormat="false" ht="15" hidden="false" customHeight="true" outlineLevel="1" collapsed="false">
      <c r="A569" s="837" t="s">
        <v>4266</v>
      </c>
      <c r="B569" s="837" t="s">
        <v>15</v>
      </c>
      <c r="C569" s="1557" t="n">
        <f aca="false">D569</f>
        <v>0</v>
      </c>
      <c r="D569" s="3064" t="n">
        <f aca="false">дома!D1229*дома!C1281</f>
        <v>0</v>
      </c>
      <c r="E569" s="3064"/>
      <c r="F569" s="3064"/>
      <c r="G569" s="2589"/>
      <c r="H569" s="2589"/>
      <c r="I569" s="2595"/>
      <c r="J569" s="2589"/>
      <c r="K569" s="2643"/>
      <c r="L569" s="2589"/>
      <c r="M569" s="1580"/>
      <c r="N569" s="1580"/>
      <c r="O569" s="1580"/>
      <c r="P569" s="1580"/>
      <c r="Q569" s="1580"/>
      <c r="R569" s="1580"/>
      <c r="S569" s="1580"/>
      <c r="T569" s="1580"/>
      <c r="U569" s="1580"/>
    </row>
    <row r="570" customFormat="false" ht="15" hidden="false" customHeight="true" outlineLevel="1" collapsed="false">
      <c r="A570" s="1555" t="s">
        <v>4267</v>
      </c>
      <c r="B570" s="1555" t="s">
        <v>15</v>
      </c>
      <c r="C570" s="1557" t="n">
        <f aca="false">дома!C1280*дома!D1229</f>
        <v>0</v>
      </c>
      <c r="D570" s="3064"/>
      <c r="E570" s="3064"/>
      <c r="F570" s="3064"/>
      <c r="G570" s="2589"/>
      <c r="H570" s="2589"/>
      <c r="I570" s="2595"/>
      <c r="J570" s="2589"/>
      <c r="K570" s="2643"/>
      <c r="L570" s="2589"/>
      <c r="M570" s="1580"/>
      <c r="N570" s="1580"/>
      <c r="O570" s="1580"/>
      <c r="P570" s="1580"/>
      <c r="Q570" s="1580"/>
      <c r="R570" s="1580"/>
      <c r="S570" s="1580"/>
      <c r="T570" s="1580"/>
      <c r="U570" s="1580"/>
    </row>
    <row r="571" customFormat="false" ht="15" hidden="false" customHeight="true" outlineLevel="1" collapsed="false">
      <c r="A571" s="2639" t="s">
        <v>1735</v>
      </c>
      <c r="B571" s="1555" t="s">
        <v>48</v>
      </c>
      <c r="C571" s="1557" t="n">
        <v>0</v>
      </c>
      <c r="D571" s="3064"/>
      <c r="E571" s="3064"/>
      <c r="F571" s="3064"/>
      <c r="G571" s="2589"/>
      <c r="H571" s="2589"/>
      <c r="I571" s="2595"/>
      <c r="J571" s="2589"/>
      <c r="K571" s="2643"/>
      <c r="L571" s="2589"/>
      <c r="M571" s="1580"/>
      <c r="N571" s="1580"/>
      <c r="O571" s="1580"/>
      <c r="P571" s="1580"/>
      <c r="Q571" s="1580"/>
      <c r="R571" s="1580"/>
      <c r="S571" s="1580"/>
      <c r="T571" s="1580"/>
      <c r="U571" s="1580"/>
    </row>
    <row r="572" customFormat="false" ht="15" hidden="false" customHeight="true" outlineLevel="1" collapsed="false">
      <c r="A572" s="2639" t="s">
        <v>1736</v>
      </c>
      <c r="B572" s="1555" t="s">
        <v>48</v>
      </c>
      <c r="C572" s="1557" t="n">
        <v>0</v>
      </c>
      <c r="D572" s="3064"/>
      <c r="E572" s="3064"/>
      <c r="F572" s="3064"/>
      <c r="G572" s="2589"/>
      <c r="H572" s="2589"/>
      <c r="I572" s="2595"/>
      <c r="J572" s="2589"/>
      <c r="K572" s="2643"/>
      <c r="L572" s="2589"/>
      <c r="M572" s="1580"/>
      <c r="N572" s="1580"/>
      <c r="O572" s="1580"/>
      <c r="P572" s="1580"/>
      <c r="Q572" s="1580"/>
      <c r="R572" s="1580"/>
      <c r="S572" s="1580"/>
      <c r="T572" s="1580"/>
      <c r="U572" s="1580"/>
    </row>
    <row r="573" customFormat="false" ht="15" hidden="false" customHeight="true" outlineLevel="1" collapsed="false">
      <c r="A573" s="2639" t="s">
        <v>1737</v>
      </c>
      <c r="B573" s="1555" t="s">
        <v>48</v>
      </c>
      <c r="C573" s="1557" t="n">
        <v>0</v>
      </c>
      <c r="D573" s="3064"/>
      <c r="E573" s="3064"/>
      <c r="F573" s="919" t="n">
        <v>1</v>
      </c>
      <c r="G573" s="2589"/>
      <c r="H573" s="2589"/>
      <c r="I573" s="2595"/>
      <c r="J573" s="2589"/>
      <c r="K573" s="2643"/>
      <c r="L573" s="2589"/>
      <c r="M573" s="1580"/>
      <c r="N573" s="1580"/>
      <c r="O573" s="1580"/>
      <c r="P573" s="1580"/>
      <c r="Q573" s="1580"/>
      <c r="R573" s="1580"/>
      <c r="S573" s="1580"/>
      <c r="T573" s="1580"/>
      <c r="U573" s="1580"/>
    </row>
    <row r="574" customFormat="false" ht="15" hidden="false" customHeight="true" outlineLevel="1" collapsed="false">
      <c r="A574" s="2641" t="s">
        <v>2246</v>
      </c>
      <c r="B574" s="2641" t="s">
        <v>1738</v>
      </c>
      <c r="C574" s="2641" t="s">
        <v>118</v>
      </c>
      <c r="D574" s="2641" t="s">
        <v>2915</v>
      </c>
      <c r="E574" s="2641" t="s">
        <v>2916</v>
      </c>
      <c r="F574" s="1579" t="n">
        <v>1</v>
      </c>
      <c r="G574" s="2670" t="s">
        <v>2007</v>
      </c>
      <c r="H574" s="2670"/>
      <c r="I574" s="2641" t="s">
        <v>1738</v>
      </c>
      <c r="J574" s="2641" t="s">
        <v>118</v>
      </c>
      <c r="K574" s="3066" t="s">
        <v>2190</v>
      </c>
      <c r="L574" s="2641" t="s">
        <v>2916</v>
      </c>
      <c r="M574" s="1580"/>
      <c r="N574" s="1580"/>
      <c r="O574" s="1580"/>
      <c r="P574" s="1580"/>
      <c r="Q574" s="1580"/>
      <c r="R574" s="1580"/>
      <c r="S574" s="1580"/>
      <c r="T574" s="1580"/>
      <c r="U574" s="1580"/>
    </row>
    <row r="575" customFormat="false" ht="15" hidden="false" customHeight="true" outlineLevel="1" collapsed="false">
      <c r="A575" s="837" t="str">
        <f aca="false">'Ввод данных'!A514</f>
        <v>нет</v>
      </c>
      <c r="B575" s="837" t="s">
        <v>1043</v>
      </c>
      <c r="C575" s="837" t="n">
        <f aca="false">C559*D559*G558*VLOOKUP(A575,связи1!F201:H211,3,0)</f>
        <v>0</v>
      </c>
      <c r="D575" s="837" t="n">
        <f aca="false">VLOOKUP(A575,связи1!F201:H211,2,0)</f>
        <v>0</v>
      </c>
      <c r="E575" s="837" t="n">
        <f aca="false">C575*D575</f>
        <v>0</v>
      </c>
      <c r="F575" s="1579"/>
      <c r="G575" s="2634"/>
      <c r="H575" s="2635"/>
      <c r="I575" s="837"/>
      <c r="J575" s="837"/>
      <c r="K575" s="2642"/>
      <c r="L575" s="837"/>
      <c r="M575" s="1580"/>
      <c r="N575" s="1580"/>
      <c r="O575" s="1580"/>
      <c r="P575" s="1580"/>
      <c r="Q575" s="1580"/>
      <c r="R575" s="1580"/>
      <c r="S575" s="1580"/>
      <c r="T575" s="1580"/>
      <c r="U575" s="1580"/>
    </row>
    <row r="576" customFormat="false" ht="15" hidden="false" customHeight="true" outlineLevel="1" collapsed="false">
      <c r="A576" s="837" t="str">
        <f aca="false">'Прайс лист'!B714</f>
        <v>Болты анкерные с гайкой 12,0 х 280          </v>
      </c>
      <c r="B576" s="837" t="s">
        <v>48</v>
      </c>
      <c r="C576" s="2636" t="n">
        <f aca="false">C559*D559*1*G558</f>
        <v>0</v>
      </c>
      <c r="D576" s="837" t="n">
        <f aca="false">'Прайс лист'!G714</f>
        <v>27.1</v>
      </c>
      <c r="E576" s="837" t="n">
        <f aca="false">C576*D576</f>
        <v>0</v>
      </c>
      <c r="F576" s="1579"/>
      <c r="G576" s="2663" t="str">
        <f aca="false">'Прайс лист'!B1560</f>
        <v>монтаж мауэрлат</v>
      </c>
      <c r="H576" s="2664"/>
      <c r="I576" s="837" t="s">
        <v>15</v>
      </c>
      <c r="J576" s="837" t="n">
        <f aca="false">C559*D559*H558</f>
        <v>0</v>
      </c>
      <c r="K576" s="2642" t="n">
        <f aca="false">'Прайс лист'!G1560</f>
        <v>250</v>
      </c>
      <c r="L576" s="837" t="n">
        <f aca="false">J576*K576</f>
        <v>0</v>
      </c>
      <c r="M576" s="1580"/>
      <c r="N576" s="1580"/>
      <c r="O576" s="1580"/>
      <c r="P576" s="1580"/>
      <c r="Q576" s="1580"/>
      <c r="R576" s="1580"/>
      <c r="S576" s="1580"/>
      <c r="T576" s="1580"/>
      <c r="U576" s="1580"/>
    </row>
    <row r="577" customFormat="false" ht="15" hidden="false" customHeight="true" outlineLevel="1" collapsed="false">
      <c r="A577" s="837" t="str">
        <f aca="false">'Ввод данных'!A517</f>
        <v>Доска сырая, 150*50мм</v>
      </c>
      <c r="B577" s="837" t="s">
        <v>1043</v>
      </c>
      <c r="C577" s="837" t="n">
        <f aca="false">(C567)*G558*VLOOKUP(A577,связи1!A406:E415,5,0)*1.4</f>
        <v>0</v>
      </c>
      <c r="D577" s="837" t="n">
        <f aca="false">VLOOKUP(A577,связи1!A406:E415,2,0)</f>
        <v>6500</v>
      </c>
      <c r="E577" s="837" t="n">
        <f aca="false">C577*D577</f>
        <v>0</v>
      </c>
      <c r="F577" s="1579"/>
      <c r="G577" s="2663" t="str">
        <f aca="false">'Прайс лист'!B1561</f>
        <v>монтаж стропил</v>
      </c>
      <c r="H577" s="2664"/>
      <c r="I577" s="837" t="s">
        <v>820</v>
      </c>
      <c r="J577" s="837" t="n">
        <f aca="false">C565*(C562+C563+C564)*H558*IF(A577=связи1!A406,0,1)</f>
        <v>0</v>
      </c>
      <c r="K577" s="2642" t="n">
        <f aca="false">'Прайс лист'!G1561</f>
        <v>450</v>
      </c>
      <c r="L577" s="837" t="n">
        <f aca="false">J577*K577</f>
        <v>0</v>
      </c>
      <c r="M577" s="1580"/>
      <c r="N577" s="1580"/>
      <c r="O577" s="1580"/>
      <c r="P577" s="1580"/>
      <c r="Q577" s="1580"/>
      <c r="R577" s="1580"/>
      <c r="S577" s="1580"/>
      <c r="T577" s="1580"/>
      <c r="U577" s="1580"/>
    </row>
    <row r="578" customFormat="false" ht="15" hidden="false" customHeight="true" outlineLevel="1" collapsed="false">
      <c r="A578" s="837" t="str">
        <f aca="false">'Ввод данных'!A520</f>
        <v>Сосна влаж,100*25мм</v>
      </c>
      <c r="B578" s="837" t="s">
        <v>1043</v>
      </c>
      <c r="C578" s="837" t="n">
        <f aca="false">C565*3.5*VLOOKUP(A578,связи1!A431:F439,5,0)*G558*F574*F573</f>
        <v>0</v>
      </c>
      <c r="D578" s="837" t="n">
        <f aca="false">VLOOKUP(A578,связи1!A431:F439,6,0)</f>
        <v>6500</v>
      </c>
      <c r="E578" s="837" t="n">
        <f aca="false">C578*D578</f>
        <v>0</v>
      </c>
      <c r="F578" s="1579"/>
      <c r="G578" s="2663" t="str">
        <f aca="false">'Прайс лист'!B1562</f>
        <v>обрешетка</v>
      </c>
      <c r="H578" s="2664"/>
      <c r="I578" s="837" t="s">
        <v>820</v>
      </c>
      <c r="J578" s="837" t="n">
        <f aca="false">C565*(C562+C563+C564)*H558*IF(A578=связи1!A431,0,1)</f>
        <v>0</v>
      </c>
      <c r="K578" s="2642" t="n">
        <f aca="false">'Прайс лист'!G1562</f>
        <v>100</v>
      </c>
      <c r="L578" s="837" t="n">
        <f aca="false">J578*K578</f>
        <v>0</v>
      </c>
      <c r="M578" s="1580"/>
      <c r="N578" s="1580"/>
      <c r="O578" s="1580"/>
      <c r="P578" s="1580"/>
      <c r="Q578" s="1580"/>
      <c r="R578" s="1580"/>
      <c r="S578" s="1580"/>
      <c r="T578" s="1580"/>
      <c r="U578" s="1580"/>
    </row>
    <row r="579" customFormat="false" ht="15" hidden="false" customHeight="true" outlineLevel="1" collapsed="false">
      <c r="A579" s="837" t="str">
        <f aca="false">'Ввод данных'!A523</f>
        <v>Доска сухая, калибр., 35*45мм</v>
      </c>
      <c r="B579" s="837" t="s">
        <v>48</v>
      </c>
      <c r="C579" s="837" t="n">
        <f aca="false">C565*1.7*VLOOKUP(A579,связи1!A417:E420,5,0)*G558*F574*F573</f>
        <v>0</v>
      </c>
      <c r="D579" s="837" t="n">
        <f aca="false">VLOOKUP(A579,связи1!A417:D420,2,0)</f>
        <v>12500</v>
      </c>
      <c r="E579" s="837" t="n">
        <f aca="false">C579*D579</f>
        <v>0</v>
      </c>
      <c r="F579" s="1579"/>
      <c r="G579" s="2663" t="str">
        <f aca="false">'Прайс лист'!B1563</f>
        <v>контробеш</v>
      </c>
      <c r="H579" s="2664"/>
      <c r="I579" s="837" t="s">
        <v>820</v>
      </c>
      <c r="J579" s="837" t="n">
        <f aca="false">C565*(C562+C563+C564)*H558*IF(A579=связи1!A417,0,1)</f>
        <v>0</v>
      </c>
      <c r="K579" s="2642" t="n">
        <f aca="false">'Прайс лист'!G1563</f>
        <v>100</v>
      </c>
      <c r="L579" s="837" t="n">
        <f aca="false">J579*K579</f>
        <v>0</v>
      </c>
      <c r="M579" s="1580"/>
      <c r="N579" s="1580"/>
      <c r="O579" s="1580"/>
      <c r="P579" s="1580"/>
      <c r="Q579" s="1580"/>
      <c r="R579" s="1580"/>
      <c r="S579" s="1580"/>
      <c r="T579" s="1580"/>
      <c r="U579" s="1580"/>
    </row>
    <row r="580" customFormat="false" ht="15" hidden="false" customHeight="true" outlineLevel="1" collapsed="false">
      <c r="A580" s="837" t="str">
        <f aca="false">'Ввод данных'!A532</f>
        <v>нет ветроизоляции</v>
      </c>
      <c r="B580" s="837" t="s">
        <v>820</v>
      </c>
      <c r="C580" s="837" t="n">
        <f aca="false">C565*1.3*G558*F574*F573</f>
        <v>0</v>
      </c>
      <c r="D580" s="837" t="n">
        <f aca="false">VLOOKUP(A580,'Прайс лист'!B649:G675,6,0)</f>
        <v>0</v>
      </c>
      <c r="E580" s="837" t="n">
        <f aca="false">C580*D580</f>
        <v>0</v>
      </c>
      <c r="F580" s="1579"/>
      <c r="G580" s="2663" t="str">
        <f aca="false">'Прайс лист'!B1564</f>
        <v>мембрана</v>
      </c>
      <c r="H580" s="2664"/>
      <c r="I580" s="837" t="s">
        <v>820</v>
      </c>
      <c r="J580" s="837" t="n">
        <f aca="false">C565*(C562+C563+C564)*H558*IF(A580='Прайс лист'!B649,0,1)</f>
        <v>0</v>
      </c>
      <c r="K580" s="2642" t="n">
        <f aca="false">'Прайс лист'!G1564</f>
        <v>100</v>
      </c>
      <c r="L580" s="837" t="n">
        <f aca="false">J580*K580</f>
        <v>0</v>
      </c>
      <c r="M580" s="1580"/>
      <c r="N580" s="1580"/>
      <c r="O580" s="1580"/>
      <c r="P580" s="1580"/>
      <c r="Q580" s="1580"/>
      <c r="R580" s="1580"/>
      <c r="S580" s="1580"/>
      <c r="T580" s="1580"/>
      <c r="U580" s="1580"/>
    </row>
    <row r="581" customFormat="false" ht="15" hidden="false" customHeight="true" outlineLevel="1" collapsed="false">
      <c r="A581" s="837" t="str">
        <f aca="false">'Ввод данных'!A535</f>
        <v>нет пароизоляции</v>
      </c>
      <c r="B581" s="837" t="s">
        <v>820</v>
      </c>
      <c r="C581" s="837" t="n">
        <f aca="false">C580*G558*F574*F573</f>
        <v>0</v>
      </c>
      <c r="D581" s="837" t="n">
        <f aca="false">VLOOKUP(A581,'Прайс лист'!B676:G687,6,0)</f>
        <v>0</v>
      </c>
      <c r="E581" s="837" t="n">
        <f aca="false">C581*D581</f>
        <v>0</v>
      </c>
      <c r="F581" s="1579"/>
      <c r="G581" s="2663" t="str">
        <f aca="false">'Прайс лист'!B1565</f>
        <v>пароизоляц</v>
      </c>
      <c r="H581" s="2664"/>
      <c r="I581" s="837" t="s">
        <v>820</v>
      </c>
      <c r="J581" s="837" t="n">
        <f aca="false">J577*(C562+C563+C564)*H558*IF(A581='Прайс лист'!B676,0,1)</f>
        <v>0</v>
      </c>
      <c r="K581" s="2642" t="n">
        <f aca="false">'Прайс лист'!G1565</f>
        <v>100</v>
      </c>
      <c r="L581" s="837" t="n">
        <f aca="false">J581*K581</f>
        <v>0</v>
      </c>
      <c r="M581" s="1580"/>
      <c r="N581" s="1580"/>
      <c r="O581" s="1580"/>
      <c r="P581" s="1580"/>
      <c r="Q581" s="1580"/>
      <c r="R581" s="1580"/>
      <c r="S581" s="1580"/>
      <c r="T581" s="1580"/>
      <c r="U581" s="1580"/>
    </row>
    <row r="582" customFormat="false" ht="15" hidden="false" customHeight="true" outlineLevel="1" collapsed="false">
      <c r="A582" s="837" t="str">
        <f aca="false">'Ввод данных'!A529</f>
        <v>Плитный,28кг/м3, технониколь, 100мм</v>
      </c>
      <c r="B582" s="837" t="s">
        <v>1043</v>
      </c>
      <c r="C582" s="837" t="n">
        <f aca="false">дома!C1284*0.9*G558*VLOOKUP(A582,'Прайс лист'!B600:G638,3,0)</f>
        <v>1.32975746684072</v>
      </c>
      <c r="D582" s="837" t="n">
        <f aca="false">VLOOKUP(A582,'Прайс лист'!B600:G638,6,0)</f>
        <v>1700</v>
      </c>
      <c r="E582" s="837" t="n">
        <f aca="false">C582*D582</f>
        <v>2260.58769362923</v>
      </c>
      <c r="F582" s="1579"/>
      <c r="G582" s="2663" t="str">
        <f aca="false">'Прайс лист'!B1566</f>
        <v>утеплитель</v>
      </c>
      <c r="H582" s="2664"/>
      <c r="I582" s="837" t="s">
        <v>820</v>
      </c>
      <c r="J582" s="837" t="n">
        <f aca="false">J577*(C562+C563+C564)*H558*IF(A582='Прайс лист'!B600,0,1)</f>
        <v>0</v>
      </c>
      <c r="K582" s="2642" t="n">
        <f aca="false">'Прайс лист'!G1566</f>
        <v>200</v>
      </c>
      <c r="L582" s="837" t="n">
        <f aca="false">J582*K582</f>
        <v>0</v>
      </c>
      <c r="M582" s="1580"/>
      <c r="N582" s="1580"/>
      <c r="O582" s="1580"/>
      <c r="P582" s="1580"/>
      <c r="Q582" s="1580"/>
      <c r="R582" s="1580"/>
      <c r="S582" s="1580"/>
      <c r="T582" s="1580"/>
      <c r="U582" s="1580"/>
    </row>
    <row r="583" customFormat="false" ht="15" hidden="false" customHeight="true" outlineLevel="1" collapsed="false">
      <c r="A583" s="837" t="s">
        <v>2918</v>
      </c>
      <c r="B583" s="837" t="s">
        <v>820</v>
      </c>
      <c r="C583" s="837" t="n">
        <f aca="false">C565*1.5*G558*(C562+C564)*F574*F573</f>
        <v>0</v>
      </c>
      <c r="D583" s="837" t="n">
        <f aca="false">'Прайс лист'!G956</f>
        <v>250</v>
      </c>
      <c r="E583" s="837" t="n">
        <f aca="false">C583*D583</f>
        <v>0</v>
      </c>
      <c r="F583" s="1579"/>
      <c r="G583" s="2663" t="str">
        <f aca="false">'Прайс лист'!B1567</f>
        <v>Монтаж металлочерепицы</v>
      </c>
      <c r="H583" s="2664"/>
      <c r="I583" s="837" t="s">
        <v>820</v>
      </c>
      <c r="J583" s="837" t="n">
        <f aca="false">C565*(C562)*H558</f>
        <v>0</v>
      </c>
      <c r="K583" s="2642" t="n">
        <f aca="false">'Прайс лист'!G1567</f>
        <v>300</v>
      </c>
      <c r="L583" s="837" t="n">
        <f aca="false">J583*K583</f>
        <v>0</v>
      </c>
      <c r="M583" s="1580"/>
      <c r="N583" s="1580"/>
      <c r="O583" s="1580"/>
      <c r="P583" s="1580"/>
      <c r="Q583" s="1580"/>
      <c r="R583" s="1580"/>
      <c r="S583" s="1580"/>
      <c r="T583" s="1580"/>
      <c r="U583" s="1580"/>
    </row>
    <row r="584" customFormat="false" ht="15" hidden="false" customHeight="true" outlineLevel="1" collapsed="false">
      <c r="A584" s="837" t="str">
        <f aca="false">'Прайс лист'!B957</f>
        <v>Карнизная планка</v>
      </c>
      <c r="B584" s="837" t="s">
        <v>15</v>
      </c>
      <c r="C584" s="837" t="n">
        <f aca="false">C568*G558*(C562+C564)</f>
        <v>0</v>
      </c>
      <c r="D584" s="837" t="n">
        <f aca="false">'Прайс лист'!G957</f>
        <v>200</v>
      </c>
      <c r="E584" s="837" t="n">
        <f aca="false">C584*D584</f>
        <v>0</v>
      </c>
      <c r="F584" s="1579"/>
      <c r="G584" s="2663" t="str">
        <f aca="false">'Прайс лист'!B1569</f>
        <v>карнизная планка</v>
      </c>
      <c r="H584" s="2664"/>
      <c r="I584" s="837" t="s">
        <v>820</v>
      </c>
      <c r="J584" s="876" t="n">
        <f aca="false">C584*H558+C589*H558</f>
        <v>0</v>
      </c>
      <c r="K584" s="2642" t="n">
        <f aca="false">'Прайс лист'!G1569</f>
        <v>100</v>
      </c>
      <c r="L584" s="837" t="n">
        <f aca="false">J584*K584</f>
        <v>0</v>
      </c>
      <c r="M584" s="1580"/>
      <c r="N584" s="1580"/>
      <c r="O584" s="1580"/>
      <c r="P584" s="1580"/>
      <c r="Q584" s="1580"/>
      <c r="R584" s="1580"/>
      <c r="S584" s="1580"/>
      <c r="T584" s="1580"/>
      <c r="U584" s="1580"/>
    </row>
    <row r="585" customFormat="false" ht="15" hidden="false" customHeight="true" outlineLevel="1" collapsed="false">
      <c r="A585" s="837" t="str">
        <f aca="false">'Прайс лист'!B959</f>
        <v>Конек</v>
      </c>
      <c r="B585" s="837" t="s">
        <v>15</v>
      </c>
      <c r="C585" s="837" t="n">
        <f aca="false">C569*1.1*G558*C562</f>
        <v>0</v>
      </c>
      <c r="D585" s="837" t="n">
        <f aca="false">'Прайс лист'!G959</f>
        <v>230</v>
      </c>
      <c r="E585" s="837" t="n">
        <f aca="false">C585*D585</f>
        <v>0</v>
      </c>
      <c r="F585" s="1579"/>
      <c r="G585" s="2663" t="str">
        <f aca="false">'Прайс лист'!B1572</f>
        <v>желоб водосточный</v>
      </c>
      <c r="H585" s="2633"/>
      <c r="I585" s="837" t="s">
        <v>15</v>
      </c>
      <c r="J585" s="876" t="n">
        <f aca="false">C607*H558</f>
        <v>0</v>
      </c>
      <c r="K585" s="2642" t="n">
        <f aca="false">'Прайс лист'!G1572</f>
        <v>300</v>
      </c>
      <c r="L585" s="837" t="n">
        <f aca="false">J585*K585</f>
        <v>0</v>
      </c>
      <c r="M585" s="1580"/>
      <c r="N585" s="1580"/>
      <c r="O585" s="1580"/>
      <c r="P585" s="1580"/>
      <c r="Q585" s="1580"/>
      <c r="R585" s="1580"/>
      <c r="S585" s="1580"/>
      <c r="T585" s="1580"/>
      <c r="U585" s="1580"/>
    </row>
    <row r="586" customFormat="false" ht="15" hidden="false" customHeight="true" outlineLevel="1" collapsed="false">
      <c r="A586" s="837" t="str">
        <f aca="false">'Прайс лист'!B960</f>
        <v>Ендова нижняя</v>
      </c>
      <c r="B586" s="837" t="s">
        <v>2013</v>
      </c>
      <c r="C586" s="837" t="n">
        <f aca="false">C570*1.1*G558*C562</f>
        <v>0</v>
      </c>
      <c r="D586" s="837" t="n">
        <f aca="false">'Прайс лист'!G960</f>
        <v>160</v>
      </c>
      <c r="E586" s="837" t="n">
        <f aca="false">C586*D586</f>
        <v>0</v>
      </c>
      <c r="F586" s="1579"/>
      <c r="G586" s="2663" t="str">
        <f aca="false">'Прайс лист'!B1573</f>
        <v>труба водосточная</v>
      </c>
      <c r="H586" s="2664"/>
      <c r="I586" s="837" t="s">
        <v>15</v>
      </c>
      <c r="J586" s="876" t="n">
        <f aca="false">C609*H558</f>
        <v>0</v>
      </c>
      <c r="K586" s="2642" t="n">
        <f aca="false">'Прайс лист'!G1573</f>
        <v>300</v>
      </c>
      <c r="L586" s="837" t="n">
        <f aca="false">J586*K586</f>
        <v>0</v>
      </c>
      <c r="M586" s="1580"/>
      <c r="N586" s="1580"/>
      <c r="O586" s="1580"/>
      <c r="P586" s="1580"/>
      <c r="Q586" s="1580"/>
      <c r="R586" s="1580"/>
      <c r="S586" s="1580"/>
      <c r="T586" s="1580"/>
      <c r="U586" s="1580"/>
    </row>
    <row r="587" customFormat="false" ht="15" hidden="false" customHeight="true" outlineLevel="1" collapsed="false">
      <c r="A587" s="2674" t="str">
        <f aca="false">'Прайс лист'!B962</f>
        <v>Планка примыкания</v>
      </c>
      <c r="B587" s="837" t="s">
        <v>2013</v>
      </c>
      <c r="C587" s="649" t="n">
        <f aca="false">C586</f>
        <v>0</v>
      </c>
      <c r="D587" s="649" t="n">
        <f aca="false">'Прайс лист'!G962</f>
        <v>190</v>
      </c>
      <c r="E587" s="837" t="n">
        <f aca="false">C587*D587</f>
        <v>0</v>
      </c>
      <c r="F587" s="1579"/>
      <c r="G587" s="2663" t="str">
        <f aca="false">'Прайс лист'!B1574</f>
        <v>ендова внутр/наружн</v>
      </c>
      <c r="H587" s="2866"/>
      <c r="I587" s="2587" t="s">
        <v>15</v>
      </c>
      <c r="J587" s="876" t="n">
        <f aca="false">(C585+C586+C587+C589+C592+C594+C603+C600)*H558</f>
        <v>0</v>
      </c>
      <c r="K587" s="2642" t="n">
        <f aca="false">'Прайс лист'!G1574</f>
        <v>300</v>
      </c>
      <c r="L587" s="837" t="n">
        <f aca="false">J587*K587</f>
        <v>0</v>
      </c>
      <c r="M587" s="1580"/>
      <c r="N587" s="1580"/>
      <c r="O587" s="1580"/>
      <c r="P587" s="1580"/>
      <c r="Q587" s="1580"/>
      <c r="R587" s="1580"/>
      <c r="S587" s="1580"/>
      <c r="T587" s="1580"/>
      <c r="U587" s="1580"/>
    </row>
    <row r="588" customFormat="false" ht="15" hidden="false" customHeight="true" outlineLevel="1" collapsed="false">
      <c r="A588" s="837" t="s">
        <v>2919</v>
      </c>
      <c r="B588" s="837" t="s">
        <v>820</v>
      </c>
      <c r="C588" s="837" t="n">
        <f aca="false">C565*1.5*G558*(C563+C564)*F574*F573</f>
        <v>0</v>
      </c>
      <c r="D588" s="837" t="n">
        <f aca="false">'Прайс лист'!G968</f>
        <v>180</v>
      </c>
      <c r="E588" s="837" t="n">
        <f aca="false">C588*D588</f>
        <v>0</v>
      </c>
      <c r="F588" s="1579"/>
      <c r="G588" s="3085" t="str">
        <f aca="false">'Прайс лист'!B1576</f>
        <v>Монтаж фанеры/osb</v>
      </c>
      <c r="H588" s="3102"/>
      <c r="I588" s="2587" t="s">
        <v>820</v>
      </c>
      <c r="J588" s="876" t="n">
        <f aca="false">C596*IF(A596='Прайс лист'!B863,0,1)</f>
        <v>0</v>
      </c>
      <c r="K588" s="2642" t="n">
        <f aca="false">'Прайс лист'!G1576</f>
        <v>200</v>
      </c>
      <c r="L588" s="837" t="n">
        <f aca="false">J588*K588</f>
        <v>0</v>
      </c>
      <c r="M588" s="1580"/>
      <c r="N588" s="1580"/>
      <c r="O588" s="1580"/>
      <c r="P588" s="1580"/>
      <c r="Q588" s="1580"/>
      <c r="R588" s="1580"/>
      <c r="S588" s="1580"/>
      <c r="T588" s="1580"/>
      <c r="U588" s="1580"/>
    </row>
    <row r="589" customFormat="false" ht="15" hidden="false" customHeight="true" outlineLevel="1" collapsed="false">
      <c r="A589" s="837" t="str">
        <f aca="false">'Прайс лист'!B969</f>
        <v>Карнизная планка</v>
      </c>
      <c r="B589" s="837" t="str">
        <f aca="false">'Прайс лист'!C969</f>
        <v>м.п.</v>
      </c>
      <c r="C589" s="837" t="n">
        <f aca="false">C568*G558*C563</f>
        <v>0</v>
      </c>
      <c r="D589" s="837" t="n">
        <f aca="false">'Прайс лист'!G969</f>
        <v>190</v>
      </c>
      <c r="E589" s="837" t="n">
        <f aca="false">C589*D589</f>
        <v>0</v>
      </c>
      <c r="F589" s="1579"/>
      <c r="G589" s="3085" t="str">
        <f aca="false">'Прайс лист'!B1577</f>
        <v>монтаж подкладочного ковра</v>
      </c>
      <c r="H589" s="2664"/>
      <c r="I589" s="837" t="s">
        <v>820</v>
      </c>
      <c r="J589" s="876" t="n">
        <f aca="false">C599</f>
        <v>0</v>
      </c>
      <c r="K589" s="2642" t="n">
        <f aca="false">'Прайс лист'!G1577</f>
        <v>150</v>
      </c>
      <c r="L589" s="837" t="n">
        <f aca="false">J589*K589</f>
        <v>0</v>
      </c>
      <c r="M589" s="1580"/>
      <c r="N589" s="1580"/>
      <c r="O589" s="1580"/>
      <c r="P589" s="1580"/>
      <c r="Q589" s="1580"/>
      <c r="R589" s="1580"/>
      <c r="S589" s="1580"/>
      <c r="T589" s="1580"/>
      <c r="U589" s="1580"/>
    </row>
    <row r="590" customFormat="false" ht="15" hidden="false" customHeight="true" outlineLevel="1" collapsed="false">
      <c r="A590" s="837" t="str">
        <f aca="false">'Прайс лист'!B970</f>
        <v>Торцевая планка</v>
      </c>
      <c r="B590" s="3103" t="str">
        <f aca="false">'Прайс лист'!C970</f>
        <v>м.п.</v>
      </c>
      <c r="C590" s="647"/>
      <c r="D590" s="837" t="n">
        <f aca="false">'Прайс лист'!G970</f>
        <v>190</v>
      </c>
      <c r="E590" s="837" t="n">
        <f aca="false">C590*D590</f>
        <v>0</v>
      </c>
      <c r="F590" s="1579"/>
      <c r="G590" s="3085" t="str">
        <f aca="false">'Прайс лист'!B1578</f>
        <v>Монтаж мягкой кровли</v>
      </c>
      <c r="H590" s="2664"/>
      <c r="I590" s="837" t="s">
        <v>820</v>
      </c>
      <c r="J590" s="876" t="n">
        <f aca="false">C565*C564</f>
        <v>0</v>
      </c>
      <c r="K590" s="2642" t="n">
        <f aca="false">'Прайс лист'!G1578</f>
        <v>350</v>
      </c>
      <c r="L590" s="837" t="n">
        <f aca="false">J590*K590</f>
        <v>0</v>
      </c>
      <c r="M590" s="1580"/>
      <c r="N590" s="1580"/>
      <c r="O590" s="1580"/>
      <c r="P590" s="1580"/>
      <c r="Q590" s="1580"/>
      <c r="R590" s="1580"/>
      <c r="S590" s="1580"/>
      <c r="T590" s="1580"/>
      <c r="U590" s="1580"/>
    </row>
    <row r="591" customFormat="false" ht="15" hidden="false" customHeight="true" outlineLevel="1" collapsed="false">
      <c r="A591" s="837" t="str">
        <f aca="false">'Прайс лист'!B971</f>
        <v>Конек</v>
      </c>
      <c r="B591" s="3103" t="str">
        <f aca="false">'Прайс лист'!C971</f>
        <v>м.п.</v>
      </c>
      <c r="C591" s="647" t="n">
        <f aca="false">C569*1.1*G558*C563</f>
        <v>0</v>
      </c>
      <c r="D591" s="837" t="n">
        <f aca="false">'Прайс лист'!G971</f>
        <v>200</v>
      </c>
      <c r="E591" s="837" t="n">
        <f aca="false">C591*D591</f>
        <v>0</v>
      </c>
      <c r="F591" s="1579"/>
      <c r="G591" s="647"/>
      <c r="H591" s="647"/>
      <c r="I591" s="647"/>
      <c r="J591" s="647"/>
      <c r="K591" s="647"/>
      <c r="L591" s="647"/>
      <c r="M591" s="1580"/>
      <c r="N591" s="1580"/>
      <c r="O591" s="1580"/>
      <c r="P591" s="1580"/>
      <c r="Q591" s="1580"/>
      <c r="R591" s="1580"/>
      <c r="S591" s="1580"/>
      <c r="T591" s="1580"/>
      <c r="U591" s="1580"/>
    </row>
    <row r="592" customFormat="false" ht="15" hidden="false" customHeight="true" outlineLevel="1" collapsed="false">
      <c r="A592" s="837" t="str">
        <f aca="false">'Прайс лист'!B972</f>
        <v>Ендова нижняя</v>
      </c>
      <c r="B592" s="3103" t="str">
        <f aca="false">'Прайс лист'!C972</f>
        <v>м.п.</v>
      </c>
      <c r="C592" s="647" t="n">
        <f aca="false">C570*1.1*G558*C563</f>
        <v>0</v>
      </c>
      <c r="D592" s="837" t="n">
        <f aca="false">'Прайс лист'!G972</f>
        <v>160</v>
      </c>
      <c r="E592" s="837" t="n">
        <f aca="false">C592*D592</f>
        <v>0</v>
      </c>
      <c r="F592" s="1579"/>
      <c r="G592" s="647"/>
      <c r="H592" s="647"/>
      <c r="I592" s="647"/>
      <c r="J592" s="647"/>
      <c r="K592" s="647"/>
      <c r="L592" s="647"/>
      <c r="M592" s="1580"/>
      <c r="N592" s="1580"/>
      <c r="O592" s="1580"/>
      <c r="P592" s="1580"/>
      <c r="Q592" s="1580"/>
      <c r="R592" s="1580"/>
      <c r="S592" s="1580"/>
      <c r="T592" s="1580"/>
      <c r="U592" s="1580"/>
    </row>
    <row r="593" customFormat="false" ht="15" hidden="false" customHeight="true" outlineLevel="1" collapsed="false">
      <c r="A593" s="837" t="str">
        <f aca="false">'Прайс лист'!B973</f>
        <v>Ендова верхняя</v>
      </c>
      <c r="B593" s="3103" t="str">
        <f aca="false">'Прайс лист'!C973</f>
        <v>м.п.</v>
      </c>
      <c r="C593" s="647"/>
      <c r="D593" s="837" t="n">
        <f aca="false">'Прайс лист'!G973</f>
        <v>190</v>
      </c>
      <c r="E593" s="837" t="n">
        <f aca="false">C593*D593</f>
        <v>0</v>
      </c>
      <c r="F593" s="1579"/>
      <c r="G593" s="2634"/>
      <c r="H593" s="2635"/>
      <c r="I593" s="837"/>
      <c r="J593" s="876"/>
      <c r="K593" s="2642"/>
      <c r="L593" s="837"/>
      <c r="M593" s="1580"/>
      <c r="N593" s="1580"/>
      <c r="O593" s="1580"/>
      <c r="P593" s="1580"/>
      <c r="Q593" s="1580"/>
      <c r="R593" s="1580"/>
      <c r="S593" s="1580"/>
      <c r="T593" s="1580"/>
      <c r="U593" s="1580"/>
    </row>
    <row r="594" customFormat="false" ht="15" hidden="false" customHeight="true" outlineLevel="1" collapsed="false">
      <c r="A594" s="837" t="str">
        <f aca="false">'Прайс лист'!B974</f>
        <v>Планка примыкания</v>
      </c>
      <c r="B594" s="3103" t="str">
        <f aca="false">'Прайс лист'!C974</f>
        <v>м.п.</v>
      </c>
      <c r="C594" s="647" t="n">
        <f aca="false">C592</f>
        <v>0</v>
      </c>
      <c r="D594" s="837" t="n">
        <f aca="false">'Прайс лист'!G974</f>
        <v>190</v>
      </c>
      <c r="E594" s="837" t="n">
        <f aca="false">C594*D594</f>
        <v>0</v>
      </c>
      <c r="F594" s="1579"/>
      <c r="G594" s="2634"/>
      <c r="H594" s="2635"/>
      <c r="I594" s="837"/>
      <c r="J594" s="876"/>
      <c r="K594" s="2642"/>
      <c r="L594" s="837"/>
      <c r="M594" s="1580"/>
      <c r="N594" s="1580"/>
      <c r="O594" s="1580"/>
      <c r="P594" s="1580"/>
      <c r="Q594" s="1580"/>
      <c r="R594" s="1580"/>
      <c r="S594" s="1580"/>
      <c r="T594" s="1580"/>
      <c r="U594" s="1580"/>
    </row>
    <row r="595" customFormat="false" ht="15" hidden="false" customHeight="true" outlineLevel="1" collapsed="false">
      <c r="A595" s="837" t="str">
        <f aca="false">'Прайс лист'!B975</f>
        <v>Крепеж для ондулина</v>
      </c>
      <c r="B595" s="3103" t="str">
        <f aca="false">'Прайс лист'!C975</f>
        <v>шт</v>
      </c>
      <c r="C595" s="647"/>
      <c r="D595" s="837" t="n">
        <f aca="false">'Прайс лист'!G975</f>
        <v>4.5</v>
      </c>
      <c r="E595" s="837" t="n">
        <f aca="false">C595*D595</f>
        <v>0</v>
      </c>
      <c r="F595" s="1579"/>
      <c r="G595" s="2634"/>
      <c r="H595" s="2635"/>
      <c r="I595" s="837"/>
      <c r="J595" s="876"/>
      <c r="K595" s="2642"/>
      <c r="L595" s="837"/>
      <c r="M595" s="1580"/>
      <c r="N595" s="1580"/>
      <c r="O595" s="1580"/>
      <c r="P595" s="1580"/>
      <c r="Q595" s="1580"/>
      <c r="R595" s="1580"/>
      <c r="S595" s="1580"/>
      <c r="T595" s="1580"/>
      <c r="U595" s="1580"/>
    </row>
    <row r="596" customFormat="false" ht="15" hidden="false" customHeight="true" outlineLevel="1" collapsed="false">
      <c r="A596" s="837" t="str">
        <f aca="false">'Ввод данных'!A526</f>
        <v>нет</v>
      </c>
      <c r="B596" s="652" t="s">
        <v>820</v>
      </c>
      <c r="C596" s="647" t="n">
        <f aca="false">C565*1.1*G558</f>
        <v>0</v>
      </c>
      <c r="D596" s="837" t="n">
        <f aca="false">VLOOKUP(A596,'Прайс лист'!B863:G907,6,0)</f>
        <v>0</v>
      </c>
      <c r="E596" s="837" t="n">
        <f aca="false">C596*D596</f>
        <v>0</v>
      </c>
      <c r="F596" s="1579"/>
      <c r="G596" s="2634"/>
      <c r="H596" s="2635"/>
      <c r="I596" s="837"/>
      <c r="J596" s="876"/>
      <c r="K596" s="2642"/>
      <c r="L596" s="837"/>
      <c r="M596" s="1580"/>
      <c r="N596" s="1580"/>
      <c r="O596" s="1580"/>
      <c r="P596" s="1580"/>
      <c r="Q596" s="1580"/>
      <c r="R596" s="1580"/>
      <c r="S596" s="1580"/>
      <c r="T596" s="1580"/>
      <c r="U596" s="1580"/>
    </row>
    <row r="597" customFormat="false" ht="15" hidden="false" customHeight="true" outlineLevel="1" collapsed="false">
      <c r="A597" s="837" t="str">
        <f aca="false">'Прайс лист'!B980</f>
        <v>Рядовая черепица</v>
      </c>
      <c r="B597" s="3103" t="str">
        <f aca="false">'Прайс лист'!C980</f>
        <v>м2</v>
      </c>
      <c r="C597" s="647" t="n">
        <f aca="false">C565*C564</f>
        <v>0</v>
      </c>
      <c r="D597" s="837" t="n">
        <f aca="false">'Прайс лист'!G980</f>
        <v>360</v>
      </c>
      <c r="E597" s="837" t="n">
        <f aca="false">C597*D597</f>
        <v>0</v>
      </c>
      <c r="F597" s="1579"/>
      <c r="G597" s="2634"/>
      <c r="H597" s="2635"/>
      <c r="I597" s="837"/>
      <c r="J597" s="876"/>
      <c r="K597" s="2642"/>
      <c r="L597" s="837"/>
      <c r="M597" s="1580"/>
      <c r="N597" s="1580"/>
      <c r="O597" s="1580"/>
      <c r="P597" s="1580"/>
      <c r="Q597" s="1580"/>
      <c r="R597" s="1580"/>
      <c r="S597" s="1580"/>
      <c r="T597" s="1580"/>
      <c r="U597" s="1580"/>
    </row>
    <row r="598" customFormat="false" ht="15" hidden="false" customHeight="true" outlineLevel="1" collapsed="false">
      <c r="A598" s="837" t="str">
        <f aca="false">'Прайс лист'!B981</f>
        <v>Металл оцинк защита (карниз)</v>
      </c>
      <c r="B598" s="3103" t="str">
        <f aca="false">'Прайс лист'!C981</f>
        <v>м.п.</v>
      </c>
      <c r="C598" s="647" t="n">
        <f aca="false">C559*C564</f>
        <v>0</v>
      </c>
      <c r="D598" s="837" t="n">
        <f aca="false">'Прайс лист'!G981</f>
        <v>200</v>
      </c>
      <c r="E598" s="837" t="n">
        <f aca="false">C598*D598</f>
        <v>0</v>
      </c>
      <c r="F598" s="1579"/>
      <c r="G598" s="2634"/>
      <c r="H598" s="2635"/>
      <c r="I598" s="837"/>
      <c r="J598" s="876"/>
      <c r="K598" s="2642"/>
      <c r="L598" s="837"/>
      <c r="M598" s="1580"/>
      <c r="N598" s="1580"/>
      <c r="O598" s="1580"/>
      <c r="P598" s="1580"/>
      <c r="Q598" s="1580"/>
      <c r="R598" s="1580"/>
      <c r="S598" s="1580"/>
      <c r="T598" s="1580"/>
      <c r="U598" s="1580"/>
    </row>
    <row r="599" customFormat="false" ht="15" hidden="false" customHeight="true" outlineLevel="1" collapsed="false">
      <c r="A599" s="837" t="str">
        <f aca="false">'Прайс лист'!B982</f>
        <v>Подкладочный ковер</v>
      </c>
      <c r="B599" s="3103" t="str">
        <f aca="false">'Прайс лист'!C982</f>
        <v>м.п.</v>
      </c>
      <c r="C599" s="647" t="n">
        <f aca="false">C565*C564</f>
        <v>0</v>
      </c>
      <c r="D599" s="837" t="n">
        <f aca="false">'Прайс лист'!G982</f>
        <v>220</v>
      </c>
      <c r="E599" s="837" t="n">
        <f aca="false">C599*D599</f>
        <v>0</v>
      </c>
      <c r="F599" s="1579"/>
      <c r="G599" s="2634"/>
      <c r="H599" s="2635"/>
      <c r="I599" s="837"/>
      <c r="J599" s="876"/>
      <c r="K599" s="2642"/>
      <c r="L599" s="837"/>
      <c r="M599" s="1580"/>
      <c r="N599" s="1580"/>
      <c r="O599" s="1580"/>
      <c r="P599" s="1580"/>
      <c r="Q599" s="1580"/>
      <c r="R599" s="1580"/>
      <c r="S599" s="1580"/>
      <c r="T599" s="1580"/>
      <c r="U599" s="1580"/>
    </row>
    <row r="600" customFormat="false" ht="15" hidden="false" customHeight="true" outlineLevel="1" collapsed="false">
      <c r="A600" s="837" t="str">
        <f aca="false">'Прайс лист'!B983</f>
        <v>Карнизная самоклеющаяся черепица</v>
      </c>
      <c r="B600" s="3103" t="str">
        <f aca="false">'Прайс лист'!C983</f>
        <v>м.п.</v>
      </c>
      <c r="C600" s="647" t="n">
        <f aca="false">C559*C564</f>
        <v>0</v>
      </c>
      <c r="D600" s="837" t="n">
        <f aca="false">'Прайс лист'!G983</f>
        <v>220</v>
      </c>
      <c r="E600" s="837" t="n">
        <f aca="false">C600*D600</f>
        <v>0</v>
      </c>
      <c r="F600" s="1579"/>
      <c r="G600" s="2634"/>
      <c r="H600" s="2635"/>
      <c r="I600" s="837"/>
      <c r="J600" s="876"/>
      <c r="K600" s="2642"/>
      <c r="L600" s="837"/>
      <c r="M600" s="1580"/>
      <c r="N600" s="1580"/>
      <c r="O600" s="1580"/>
      <c r="P600" s="1580"/>
      <c r="Q600" s="1580"/>
      <c r="R600" s="1580"/>
      <c r="S600" s="1580"/>
      <c r="T600" s="1580"/>
      <c r="U600" s="1580"/>
    </row>
    <row r="601" customFormat="false" ht="15" hidden="false" customHeight="true" outlineLevel="1" collapsed="false">
      <c r="A601" s="837" t="str">
        <f aca="false">'Прайс лист'!B984</f>
        <v>Спец ковер ендова нижняя</v>
      </c>
      <c r="B601" s="3103" t="str">
        <f aca="false">'Прайс лист'!C984</f>
        <v>м.п.</v>
      </c>
      <c r="C601" s="647" t="n">
        <f aca="false">C570*1.1*G558*C564</f>
        <v>0</v>
      </c>
      <c r="D601" s="837" t="n">
        <f aca="false">'Прайс лист'!G984</f>
        <v>200</v>
      </c>
      <c r="E601" s="837" t="n">
        <f aca="false">C601*D601</f>
        <v>0</v>
      </c>
      <c r="F601" s="1579"/>
      <c r="G601" s="2634"/>
      <c r="H601" s="2635"/>
      <c r="I601" s="837"/>
      <c r="J601" s="876"/>
      <c r="K601" s="2642"/>
      <c r="L601" s="837"/>
      <c r="M601" s="1580"/>
      <c r="N601" s="1580"/>
      <c r="O601" s="1580"/>
      <c r="P601" s="1580"/>
      <c r="Q601" s="1580"/>
      <c r="R601" s="1580"/>
      <c r="S601" s="1580"/>
      <c r="T601" s="1580"/>
      <c r="U601" s="1580"/>
    </row>
    <row r="602" customFormat="false" ht="15" hidden="false" customHeight="true" outlineLevel="1" collapsed="false">
      <c r="A602" s="837" t="str">
        <f aca="false">'Прайс лист'!B985</f>
        <v>Коньковой элемент</v>
      </c>
      <c r="B602" s="3103" t="str">
        <f aca="false">'Прайс лист'!C985</f>
        <v>м.п.</v>
      </c>
      <c r="C602" s="647" t="n">
        <f aca="false">C569*1.1*G558*C564</f>
        <v>0</v>
      </c>
      <c r="D602" s="837" t="n">
        <f aca="false">'Прайс лист'!G985</f>
        <v>250</v>
      </c>
      <c r="E602" s="837" t="n">
        <f aca="false">C602*D602</f>
        <v>0</v>
      </c>
      <c r="F602" s="1579"/>
      <c r="G602" s="2634"/>
      <c r="H602" s="2635"/>
      <c r="I602" s="837"/>
      <c r="J602" s="876"/>
      <c r="K602" s="2642"/>
      <c r="L602" s="837"/>
      <c r="M602" s="1580"/>
      <c r="N602" s="1580"/>
      <c r="O602" s="1580"/>
      <c r="P602" s="1580"/>
      <c r="Q602" s="1580"/>
      <c r="R602" s="1580"/>
      <c r="S602" s="1580"/>
      <c r="T602" s="1580"/>
      <c r="U602" s="1580"/>
    </row>
    <row r="603" customFormat="false" ht="15" hidden="false" customHeight="true" outlineLevel="1" collapsed="false">
      <c r="A603" s="837" t="str">
        <f aca="false">'Прайс лист'!B986</f>
        <v>Планка премыкания</v>
      </c>
      <c r="B603" s="3103" t="str">
        <f aca="false">'Прайс лист'!C986</f>
        <v>м.п.</v>
      </c>
      <c r="C603" s="647" t="n">
        <f aca="false">C601</f>
        <v>0</v>
      </c>
      <c r="D603" s="837" t="n">
        <f aca="false">'Прайс лист'!G986</f>
        <v>200</v>
      </c>
      <c r="E603" s="837" t="n">
        <f aca="false">C603*D603</f>
        <v>0</v>
      </c>
      <c r="F603" s="1579"/>
      <c r="G603" s="2634"/>
      <c r="H603" s="2635"/>
      <c r="I603" s="837"/>
      <c r="J603" s="876"/>
      <c r="K603" s="2642"/>
      <c r="L603" s="837"/>
      <c r="M603" s="1580"/>
      <c r="N603" s="1580"/>
      <c r="O603" s="1580"/>
      <c r="P603" s="1580"/>
      <c r="Q603" s="1580"/>
      <c r="R603" s="1580"/>
      <c r="S603" s="1580"/>
      <c r="T603" s="1580"/>
      <c r="U603" s="1580"/>
    </row>
    <row r="604" customFormat="false" ht="15" hidden="false" customHeight="true" outlineLevel="1" collapsed="false">
      <c r="A604" s="837" t="str">
        <f aca="false">'Прайс лист'!B987</f>
        <v>Гвозди для крепления подкладочного ковра</v>
      </c>
      <c r="B604" s="3103" t="str">
        <f aca="false">'Прайс лист'!C987</f>
        <v>шт</v>
      </c>
      <c r="C604" s="647" t="n">
        <f aca="false">C599*12</f>
        <v>0</v>
      </c>
      <c r="D604" s="837" t="n">
        <f aca="false">'Прайс лист'!G987</f>
        <v>0.012</v>
      </c>
      <c r="E604" s="837" t="n">
        <f aca="false">C604*D604</f>
        <v>0</v>
      </c>
      <c r="F604" s="1579"/>
      <c r="G604" s="2634"/>
      <c r="H604" s="2635"/>
      <c r="I604" s="837"/>
      <c r="J604" s="876"/>
      <c r="K604" s="2642"/>
      <c r="L604" s="837"/>
      <c r="M604" s="1580"/>
      <c r="N604" s="1580"/>
      <c r="O604" s="1580"/>
      <c r="P604" s="1580"/>
      <c r="Q604" s="1580"/>
      <c r="R604" s="1580"/>
      <c r="S604" s="1580"/>
      <c r="T604" s="1580"/>
      <c r="U604" s="1580"/>
    </row>
    <row r="605" customFormat="false" ht="15" hidden="false" customHeight="true" outlineLevel="1" collapsed="false">
      <c r="A605" s="837" t="str">
        <f aca="false">'Прайс лист'!B988</f>
        <v>Гвозди для крепления черепицы</v>
      </c>
      <c r="B605" s="3103" t="str">
        <f aca="false">'Прайс лист'!C988</f>
        <v>шт</v>
      </c>
      <c r="C605" s="647" t="n">
        <f aca="false">C565*C564*20</f>
        <v>0</v>
      </c>
      <c r="D605" s="837" t="n">
        <f aca="false">'Прайс лист'!G988</f>
        <v>0.25</v>
      </c>
      <c r="E605" s="837" t="n">
        <f aca="false">C605*D605</f>
        <v>0</v>
      </c>
      <c r="F605" s="1579"/>
      <c r="G605" s="2634"/>
      <c r="H605" s="2635"/>
      <c r="I605" s="837"/>
      <c r="J605" s="876"/>
      <c r="K605" s="2642"/>
      <c r="L605" s="837"/>
      <c r="M605" s="1580"/>
      <c r="N605" s="1580"/>
      <c r="O605" s="1580"/>
      <c r="P605" s="1580"/>
      <c r="Q605" s="1580"/>
      <c r="R605" s="1580"/>
      <c r="S605" s="1580"/>
      <c r="T605" s="1580"/>
      <c r="U605" s="1580"/>
    </row>
    <row r="606" customFormat="false" ht="15" hidden="false" customHeight="true" outlineLevel="1" collapsed="false">
      <c r="A606" s="837" t="str">
        <f aca="false">'Прайс лист'!B989</f>
        <v>Клей для монтажа черепицы</v>
      </c>
      <c r="B606" s="3103" t="str">
        <f aca="false">'Прайс лист'!C989</f>
        <v>кг</v>
      </c>
      <c r="C606" s="647"/>
      <c r="D606" s="837" t="n">
        <f aca="false">'Прайс лист'!G989</f>
        <v>250</v>
      </c>
      <c r="E606" s="837" t="n">
        <f aca="false">C606*D606</f>
        <v>0</v>
      </c>
      <c r="F606" s="1579"/>
      <c r="G606" s="2634"/>
      <c r="H606" s="2635"/>
      <c r="I606" s="837"/>
      <c r="J606" s="876"/>
      <c r="K606" s="2642"/>
      <c r="L606" s="837"/>
      <c r="M606" s="1580"/>
      <c r="N606" s="1580"/>
      <c r="O606" s="1580"/>
      <c r="P606" s="1580"/>
      <c r="Q606" s="1580"/>
      <c r="R606" s="1580"/>
      <c r="S606" s="1580"/>
      <c r="T606" s="1580"/>
      <c r="U606" s="1580"/>
    </row>
    <row r="607" customFormat="false" ht="15" hidden="false" customHeight="true" outlineLevel="1" collapsed="false">
      <c r="A607" s="837" t="str">
        <f aca="false">'Прайс лист'!B994</f>
        <v>желоб</v>
      </c>
      <c r="B607" s="837" t="s">
        <v>2013</v>
      </c>
      <c r="C607" s="837" t="n">
        <f aca="false">дома!C1283*дома!D1229</f>
        <v>0</v>
      </c>
      <c r="D607" s="837" t="n">
        <f aca="false">'Прайс лист'!G994</f>
        <v>300</v>
      </c>
      <c r="E607" s="837" t="n">
        <f aca="false">C607*D607</f>
        <v>0</v>
      </c>
      <c r="F607" s="1579"/>
      <c r="G607" s="739"/>
      <c r="H607" s="739"/>
      <c r="I607" s="837"/>
      <c r="J607" s="876"/>
      <c r="K607" s="2642"/>
      <c r="L607" s="837"/>
      <c r="M607" s="1580"/>
      <c r="N607" s="1580"/>
      <c r="O607" s="1580"/>
      <c r="P607" s="1580"/>
      <c r="Q607" s="1580"/>
      <c r="R607" s="1580"/>
      <c r="S607" s="1580"/>
      <c r="T607" s="1580"/>
      <c r="U607" s="1580"/>
    </row>
    <row r="608" customFormat="false" ht="15" hidden="false" customHeight="true" outlineLevel="1" collapsed="false">
      <c r="A608" s="837" t="str">
        <f aca="false">'Прайс лист'!B995</f>
        <v>отвод</v>
      </c>
      <c r="B608" s="837" t="s">
        <v>48</v>
      </c>
      <c r="C608" s="837" t="n">
        <v>4</v>
      </c>
      <c r="D608" s="837" t="n">
        <f aca="false">'Прайс лист'!G995</f>
        <v>250</v>
      </c>
      <c r="E608" s="837" t="n">
        <f aca="false">C608*D608</f>
        <v>1000</v>
      </c>
      <c r="F608" s="1579"/>
      <c r="G608" s="739"/>
      <c r="H608" s="739"/>
      <c r="I608" s="876"/>
      <c r="J608" s="876"/>
      <c r="K608" s="2642"/>
      <c r="L608" s="837"/>
      <c r="M608" s="1580"/>
      <c r="N608" s="1580"/>
      <c r="O608" s="1580"/>
      <c r="P608" s="1580"/>
      <c r="Q608" s="1580"/>
      <c r="R608" s="1580"/>
      <c r="S608" s="1580"/>
      <c r="T608" s="1580"/>
      <c r="U608" s="1580"/>
    </row>
    <row r="609" customFormat="false" ht="15" hidden="false" customHeight="true" outlineLevel="1" collapsed="false">
      <c r="A609" s="837" t="str">
        <f aca="false">'Прайс лист'!B996</f>
        <v>труба водосточная</v>
      </c>
      <c r="B609" s="837" t="s">
        <v>15</v>
      </c>
      <c r="C609" s="837" t="n">
        <f aca="false">дома!D1229*(дома!C1232*дома!C1241+дома!C1233)</f>
        <v>0</v>
      </c>
      <c r="D609" s="837" t="n">
        <f aca="false">'Прайс лист'!G996</f>
        <v>300</v>
      </c>
      <c r="E609" s="837" t="n">
        <f aca="false">C609*D609</f>
        <v>0</v>
      </c>
      <c r="F609" s="1579"/>
      <c r="G609" s="739"/>
      <c r="H609" s="739"/>
      <c r="I609" s="2587"/>
      <c r="J609" s="2587"/>
      <c r="K609" s="2642"/>
      <c r="L609" s="837"/>
      <c r="M609" s="1580"/>
      <c r="N609" s="1580"/>
      <c r="O609" s="1580"/>
      <c r="P609" s="1580"/>
      <c r="Q609" s="1580"/>
      <c r="R609" s="1580"/>
      <c r="S609" s="1580"/>
      <c r="T609" s="1580"/>
      <c r="U609" s="1580"/>
    </row>
    <row r="610" customFormat="false" ht="15" hidden="false" customHeight="true" outlineLevel="1" collapsed="false">
      <c r="A610" s="837" t="str">
        <f aca="false">'Прайс лист'!B997</f>
        <v>заглушка для желоба</v>
      </c>
      <c r="B610" s="837" t="s">
        <v>48</v>
      </c>
      <c r="C610" s="837" t="n">
        <f aca="false">2*дома!D1229</f>
        <v>0</v>
      </c>
      <c r="D610" s="837" t="n">
        <f aca="false">'Прайс лист'!G997</f>
        <v>190</v>
      </c>
      <c r="E610" s="837" t="n">
        <f aca="false">C610*D610</f>
        <v>0</v>
      </c>
      <c r="F610" s="1579"/>
      <c r="G610" s="739"/>
      <c r="H610" s="739"/>
      <c r="I610" s="2587"/>
      <c r="J610" s="2587"/>
      <c r="K610" s="2642"/>
      <c r="L610" s="837"/>
      <c r="M610" s="1580"/>
      <c r="N610" s="1580"/>
      <c r="O610" s="1580"/>
      <c r="P610" s="1580"/>
      <c r="Q610" s="1580"/>
      <c r="R610" s="1580"/>
      <c r="S610" s="1580"/>
      <c r="T610" s="1580"/>
      <c r="U610" s="1580"/>
    </row>
    <row r="611" customFormat="false" ht="15" hidden="false" customHeight="true" outlineLevel="1" collapsed="false">
      <c r="A611" s="837" t="str">
        <f aca="false">'Прайс лист'!B998</f>
        <v>соеденитель для желоба</v>
      </c>
      <c r="B611" s="837" t="s">
        <v>48</v>
      </c>
      <c r="C611" s="837" t="n">
        <f aca="false">C607/2*G558*F573</f>
        <v>0</v>
      </c>
      <c r="D611" s="837" t="n">
        <f aca="false">'Прайс лист'!G998</f>
        <v>180</v>
      </c>
      <c r="E611" s="837" t="n">
        <f aca="false">C611*D611</f>
        <v>0</v>
      </c>
      <c r="F611" s="1579"/>
      <c r="G611" s="739"/>
      <c r="H611" s="739"/>
      <c r="I611" s="2587"/>
      <c r="J611" s="2587"/>
      <c r="K611" s="2642"/>
      <c r="L611" s="837"/>
      <c r="M611" s="1580"/>
      <c r="N611" s="1580"/>
      <c r="O611" s="1580"/>
      <c r="P611" s="1580"/>
      <c r="Q611" s="1580"/>
      <c r="R611" s="1580"/>
      <c r="S611" s="1580"/>
      <c r="T611" s="1580"/>
      <c r="U611" s="1580"/>
    </row>
    <row r="612" customFormat="false" ht="15" hidden="false" customHeight="true" outlineLevel="1" collapsed="false">
      <c r="A612" s="837" t="str">
        <f aca="false">'Прайс лист'!B999</f>
        <v>кронштейн для желоба</v>
      </c>
      <c r="B612" s="837" t="s">
        <v>48</v>
      </c>
      <c r="C612" s="837" t="n">
        <f aca="false">C607/0.3*G558*F574*F573</f>
        <v>0</v>
      </c>
      <c r="D612" s="837" t="n">
        <f aca="false">'Прайс лист'!G999</f>
        <v>130</v>
      </c>
      <c r="E612" s="837" t="n">
        <f aca="false">C612*D612</f>
        <v>0</v>
      </c>
      <c r="F612" s="1579"/>
      <c r="G612" s="739"/>
      <c r="H612" s="739"/>
      <c r="I612" s="2587"/>
      <c r="J612" s="2587"/>
      <c r="K612" s="2642"/>
      <c r="L612" s="837"/>
      <c r="M612" s="1580"/>
      <c r="N612" s="1580"/>
      <c r="O612" s="1580"/>
      <c r="P612" s="1580"/>
      <c r="Q612" s="1580"/>
      <c r="R612" s="1580"/>
      <c r="S612" s="1580"/>
      <c r="T612" s="1580"/>
      <c r="U612" s="1580"/>
    </row>
    <row r="613" customFormat="false" ht="15" hidden="false" customHeight="true" outlineLevel="1" collapsed="false">
      <c r="A613" s="837" t="str">
        <f aca="false">'Прайс лист'!B1000</f>
        <v>переход из желоба в трубу</v>
      </c>
      <c r="B613" s="837" t="s">
        <v>48</v>
      </c>
      <c r="C613" s="837" t="n">
        <f aca="false">2</f>
        <v>2</v>
      </c>
      <c r="D613" s="837" t="n">
        <f aca="false">'Прайс лист'!G1000</f>
        <v>350</v>
      </c>
      <c r="E613" s="837" t="n">
        <f aca="false">C613*D613</f>
        <v>700</v>
      </c>
      <c r="F613" s="1579"/>
      <c r="G613" s="739"/>
      <c r="H613" s="739"/>
      <c r="I613" s="2587"/>
      <c r="J613" s="2587"/>
      <c r="K613" s="2642"/>
      <c r="L613" s="837"/>
      <c r="M613" s="1580"/>
      <c r="N613" s="1580"/>
      <c r="O613" s="1580"/>
      <c r="P613" s="1580"/>
      <c r="Q613" s="1580"/>
      <c r="R613" s="1580"/>
      <c r="S613" s="1580"/>
      <c r="T613" s="1580"/>
      <c r="U613" s="1580"/>
    </row>
    <row r="614" customFormat="false" ht="15" hidden="false" customHeight="true" outlineLevel="1" collapsed="false">
      <c r="A614" s="837" t="str">
        <f aca="false">'Прайс лист'!B1001</f>
        <v>лента дельта мульти бэнд</v>
      </c>
      <c r="B614" s="837" t="s">
        <v>48</v>
      </c>
      <c r="C614" s="837" t="n">
        <f aca="false">C565/12*G558*F573</f>
        <v>0</v>
      </c>
      <c r="D614" s="837" t="n">
        <f aca="false">'Прайс лист'!G1001</f>
        <v>1200</v>
      </c>
      <c r="E614" s="837" t="n">
        <f aca="false">C614*D614</f>
        <v>0</v>
      </c>
      <c r="F614" s="1579"/>
      <c r="G614" s="739"/>
      <c r="H614" s="739"/>
      <c r="I614" s="2587"/>
      <c r="J614" s="2587"/>
      <c r="K614" s="2642"/>
      <c r="L614" s="837"/>
      <c r="M614" s="1580"/>
      <c r="N614" s="1580"/>
      <c r="O614" s="1580"/>
      <c r="P614" s="1580"/>
      <c r="Q614" s="1580"/>
      <c r="R614" s="1580"/>
      <c r="S614" s="1580"/>
      <c r="T614" s="1580"/>
      <c r="U614" s="1580"/>
    </row>
    <row r="615" customFormat="false" ht="15" hidden="false" customHeight="true" outlineLevel="1" collapsed="false">
      <c r="A615" s="837" t="str">
        <f aca="false">'Прайс лист'!B1002</f>
        <v>лента дельта sb-60</v>
      </c>
      <c r="B615" s="837" t="s">
        <v>48</v>
      </c>
      <c r="C615" s="837" t="n">
        <f aca="false">C565/25*G558</f>
        <v>0</v>
      </c>
      <c r="D615" s="837" t="n">
        <f aca="false">'Прайс лист'!G1002</f>
        <v>1100</v>
      </c>
      <c r="E615" s="837" t="n">
        <f aca="false">C615*D615</f>
        <v>0</v>
      </c>
      <c r="F615" s="1579"/>
      <c r="G615" s="739"/>
      <c r="H615" s="739"/>
      <c r="I615" s="2587"/>
      <c r="J615" s="2587"/>
      <c r="K615" s="2642"/>
      <c r="L615" s="837"/>
      <c r="M615" s="1580"/>
      <c r="N615" s="1580"/>
      <c r="O615" s="1580"/>
      <c r="P615" s="1580"/>
      <c r="Q615" s="1580"/>
      <c r="R615" s="1580"/>
      <c r="S615" s="1580"/>
      <c r="T615" s="1580"/>
      <c r="U615" s="1580"/>
    </row>
    <row r="616" customFormat="false" ht="15" hidden="false" customHeight="true" outlineLevel="1" collapsed="false">
      <c r="A616" s="837" t="str">
        <f aca="false">'Прайс лист'!B963</f>
        <v>Кровельный саморез</v>
      </c>
      <c r="B616" s="837" t="s">
        <v>48</v>
      </c>
      <c r="C616" s="837" t="n">
        <f aca="false">C565*12*(C562+C564)*G558*F574*F573</f>
        <v>0</v>
      </c>
      <c r="D616" s="837" t="n">
        <f aca="false">'Прайс лист'!G963</f>
        <v>2</v>
      </c>
      <c r="E616" s="837" t="n">
        <f aca="false">C616*D616</f>
        <v>0</v>
      </c>
      <c r="F616" s="1579"/>
      <c r="G616" s="739"/>
      <c r="H616" s="739"/>
      <c r="I616" s="2587"/>
      <c r="J616" s="2587"/>
      <c r="K616" s="2642"/>
      <c r="L616" s="837"/>
      <c r="M616" s="1580"/>
      <c r="N616" s="1580"/>
      <c r="O616" s="1580"/>
      <c r="P616" s="1580"/>
      <c r="Q616" s="1580"/>
      <c r="R616" s="1580"/>
      <c r="S616" s="1580"/>
      <c r="T616" s="1580"/>
      <c r="U616" s="1580"/>
    </row>
    <row r="617" customFormat="false" ht="15" hidden="false" customHeight="true" outlineLevel="1" collapsed="false">
      <c r="A617" s="837" t="str">
        <f aca="false">'Прайс лист'!B742</f>
        <v>Гвозди ершоные 3,4 x 60            </v>
      </c>
      <c r="B617" s="837" t="s">
        <v>434</v>
      </c>
      <c r="C617" s="837" t="n">
        <f aca="false">C578*15*G558*F574*F573</f>
        <v>0</v>
      </c>
      <c r="D617" s="837" t="n">
        <f aca="false">'Прайс лист'!G742</f>
        <v>75.51</v>
      </c>
      <c r="E617" s="837" t="n">
        <f aca="false">C617*D617</f>
        <v>0</v>
      </c>
      <c r="F617" s="1579"/>
      <c r="G617" s="739"/>
      <c r="H617" s="739"/>
      <c r="I617" s="2587"/>
      <c r="J617" s="2587"/>
      <c r="K617" s="2642"/>
      <c r="L617" s="837"/>
      <c r="M617" s="1580"/>
      <c r="N617" s="1580"/>
      <c r="O617" s="1580"/>
      <c r="P617" s="1580"/>
      <c r="Q617" s="1580"/>
      <c r="R617" s="1580"/>
      <c r="S617" s="1580"/>
      <c r="T617" s="1580"/>
      <c r="U617" s="1580"/>
    </row>
    <row r="618" customFormat="false" ht="15" hidden="false" customHeight="true" outlineLevel="1" collapsed="false">
      <c r="A618" s="837" t="str">
        <f aca="false">'Прайс лист'!B743</f>
        <v>Гвозди ершоные 2,8 х 90            </v>
      </c>
      <c r="B618" s="837" t="s">
        <v>434</v>
      </c>
      <c r="C618" s="837" t="n">
        <f aca="false">(C577)*10*G558</f>
        <v>0</v>
      </c>
      <c r="D618" s="837" t="n">
        <f aca="false">'Прайс лист'!G743</f>
        <v>76.49</v>
      </c>
      <c r="E618" s="837" t="n">
        <f aca="false">C618*D618</f>
        <v>0</v>
      </c>
      <c r="F618" s="1579"/>
      <c r="G618" s="739"/>
      <c r="H618" s="739"/>
      <c r="I618" s="2587"/>
      <c r="J618" s="2587"/>
      <c r="K618" s="2642"/>
      <c r="L618" s="837"/>
      <c r="M618" s="1580"/>
      <c r="N618" s="1580"/>
      <c r="O618" s="1580"/>
      <c r="P618" s="1580"/>
      <c r="Q618" s="1580"/>
      <c r="R618" s="1580"/>
      <c r="S618" s="1580"/>
      <c r="T618" s="1580"/>
      <c r="U618" s="1580"/>
    </row>
    <row r="619" customFormat="false" ht="15" hidden="false" customHeight="true" outlineLevel="1" collapsed="false">
      <c r="A619" s="837" t="str">
        <f aca="false">'Прайс лист'!B699</f>
        <v>Пластина соеденительная 100х240х2           </v>
      </c>
      <c r="B619" s="837" t="s">
        <v>48</v>
      </c>
      <c r="C619" s="2636" t="n">
        <f aca="false">(((C566+C567)/0.6)+1)*2*G558*F574*F573</f>
        <v>2</v>
      </c>
      <c r="D619" s="837" t="n">
        <f aca="false">'Прайс лист'!G699</f>
        <v>31.54</v>
      </c>
      <c r="E619" s="837" t="n">
        <f aca="false">C619*D619</f>
        <v>63.08</v>
      </c>
      <c r="F619" s="1579"/>
      <c r="G619" s="739"/>
      <c r="H619" s="739"/>
      <c r="I619" s="2587"/>
      <c r="J619" s="2587"/>
      <c r="K619" s="2642"/>
      <c r="L619" s="837"/>
      <c r="M619" s="1580"/>
      <c r="N619" s="1580"/>
      <c r="O619" s="1580"/>
      <c r="P619" s="1580"/>
      <c r="Q619" s="1580"/>
      <c r="R619" s="1580"/>
      <c r="S619" s="1580"/>
      <c r="T619" s="1580"/>
      <c r="U619" s="1580"/>
    </row>
    <row r="620" customFormat="false" ht="15" hidden="false" customHeight="true" outlineLevel="1" collapsed="false">
      <c r="A620" s="837" t="str">
        <f aca="false">'Прайс лист'!B693</f>
        <v>Уголок усиленный 90х70х55х2,5        </v>
      </c>
      <c r="B620" s="837" t="s">
        <v>48</v>
      </c>
      <c r="C620" s="2636" t="n">
        <f aca="false">(((C566+C567)/0.6)+1)*3*G558*F574*F573</f>
        <v>3</v>
      </c>
      <c r="D620" s="837" t="n">
        <f aca="false">'Прайс лист'!G693</f>
        <v>30</v>
      </c>
      <c r="E620" s="837" t="n">
        <f aca="false">C620*D620</f>
        <v>90</v>
      </c>
      <c r="F620" s="1579"/>
      <c r="G620" s="919"/>
      <c r="H620" s="919"/>
      <c r="I620" s="2583"/>
      <c r="J620" s="2583"/>
      <c r="K620" s="2643"/>
      <c r="L620" s="837"/>
      <c r="M620" s="1580"/>
      <c r="N620" s="1580"/>
      <c r="O620" s="1580"/>
      <c r="P620" s="1580"/>
      <c r="Q620" s="1580"/>
      <c r="R620" s="1580"/>
      <c r="S620" s="1580"/>
      <c r="T620" s="1580"/>
      <c r="U620" s="1580"/>
    </row>
    <row r="621" customFormat="false" ht="15" hidden="false" customHeight="true" outlineLevel="1" collapsed="false">
      <c r="A621" s="837" t="str">
        <f aca="false">'Ввод данных'!A538</f>
        <v>Нет техники</v>
      </c>
      <c r="B621" s="837" t="str">
        <f aca="false">'Ввод данных'!B538</f>
        <v>ед.</v>
      </c>
      <c r="C621" s="837" t="n">
        <f aca="false">'Ввод данных'!C538</f>
        <v>0</v>
      </c>
      <c r="D621" s="837" t="n">
        <f aca="false">VLOOKUP(A621,'Прайс лист'!B192:G206,6,0)</f>
        <v>0</v>
      </c>
      <c r="E621" s="837" t="n">
        <f aca="false">C621*D621</f>
        <v>0</v>
      </c>
      <c r="F621" s="1579"/>
      <c r="G621" s="919"/>
      <c r="H621" s="919"/>
      <c r="I621" s="2583"/>
      <c r="J621" s="2583"/>
      <c r="K621" s="2643"/>
      <c r="L621" s="837"/>
      <c r="M621" s="1580"/>
      <c r="N621" s="1580"/>
      <c r="O621" s="1580"/>
      <c r="P621" s="1580"/>
      <c r="Q621" s="1580"/>
      <c r="R621" s="1580"/>
      <c r="S621" s="1580"/>
      <c r="T621" s="1580"/>
      <c r="U621" s="1580"/>
    </row>
    <row r="622" customFormat="false" ht="15" hidden="false" customHeight="true" outlineLevel="1" collapsed="false">
      <c r="A622" s="837" t="str">
        <f aca="false">'Ввод данных'!A539</f>
        <v>Нет техники</v>
      </c>
      <c r="B622" s="837" t="str">
        <f aca="false">'Ввод данных'!B539</f>
        <v>ед.</v>
      </c>
      <c r="C622" s="837" t="n">
        <f aca="false">'Ввод данных'!C539</f>
        <v>0</v>
      </c>
      <c r="D622" s="837" t="n">
        <f aca="false">VLOOKUP(A622,'Прайс лист'!B192:G206,6,0)</f>
        <v>0</v>
      </c>
      <c r="E622" s="837" t="n">
        <f aca="false">C622*D622</f>
        <v>0</v>
      </c>
      <c r="F622" s="1579"/>
      <c r="G622" s="919"/>
      <c r="H622" s="919"/>
      <c r="I622" s="2583"/>
      <c r="J622" s="2583"/>
      <c r="K622" s="2643"/>
      <c r="L622" s="837"/>
      <c r="M622" s="1580"/>
      <c r="N622" s="1580"/>
      <c r="O622" s="1580"/>
      <c r="P622" s="1580"/>
      <c r="Q622" s="1580"/>
      <c r="R622" s="1580"/>
      <c r="S622" s="1580"/>
      <c r="T622" s="1580"/>
      <c r="U622" s="1580"/>
    </row>
    <row r="623" customFormat="false" ht="15" hidden="false" customHeight="true" outlineLevel="1" collapsed="false">
      <c r="A623" s="837" t="str">
        <f aca="false">'Ввод данных'!A541</f>
        <v>расходные материалы эркер</v>
      </c>
      <c r="B623" s="837" t="str">
        <f aca="false">'Ввод данных'!B541</f>
        <v>рублей</v>
      </c>
      <c r="C623" s="837" t="n">
        <f aca="false">1</f>
        <v>1</v>
      </c>
      <c r="D623" s="837" t="n">
        <f aca="false">'Ввод данных'!C541</f>
        <v>0</v>
      </c>
      <c r="E623" s="837" t="n">
        <f aca="false">C623*D623</f>
        <v>0</v>
      </c>
      <c r="F623" s="1579"/>
      <c r="G623" s="919"/>
      <c r="H623" s="919"/>
      <c r="I623" s="2583"/>
      <c r="J623" s="2583"/>
      <c r="K623" s="2643"/>
      <c r="L623" s="837"/>
      <c r="M623" s="1580"/>
      <c r="N623" s="1580"/>
      <c r="O623" s="1580"/>
      <c r="P623" s="1580"/>
      <c r="Q623" s="1580"/>
      <c r="R623" s="1580"/>
      <c r="S623" s="1580"/>
      <c r="T623" s="1580"/>
      <c r="U623" s="1580"/>
    </row>
    <row r="624" customFormat="false" ht="15" hidden="false" customHeight="true" outlineLevel="1" collapsed="false">
      <c r="A624" s="1579"/>
      <c r="B624" s="1579"/>
      <c r="C624" s="1579"/>
      <c r="D624" s="1579"/>
      <c r="E624" s="837" t="n">
        <f aca="false">SUM(E577:E621)</f>
        <v>4113.66769362923</v>
      </c>
      <c r="F624" s="1579"/>
      <c r="G624" s="919"/>
      <c r="H624" s="919"/>
      <c r="I624" s="2583"/>
      <c r="J624" s="2583"/>
      <c r="K624" s="2643"/>
      <c r="L624" s="2587" t="n">
        <f aca="false">SUM(L577:L619)</f>
        <v>0</v>
      </c>
      <c r="M624" s="1580"/>
      <c r="N624" s="1580"/>
      <c r="O624" s="1580"/>
      <c r="P624" s="1580"/>
      <c r="Q624" s="1580"/>
      <c r="R624" s="1580"/>
      <c r="S624" s="1580"/>
      <c r="T624" s="1580"/>
      <c r="U624" s="1580"/>
    </row>
    <row r="625" customFormat="false" ht="15" hidden="false" customHeight="true" outlineLevel="1" collapsed="false">
      <c r="F625" s="1579"/>
      <c r="G625" s="1579"/>
      <c r="H625" s="1580"/>
      <c r="I625" s="1580"/>
      <c r="J625" s="1580"/>
      <c r="K625" s="3069"/>
      <c r="M625" s="1580"/>
      <c r="N625" s="1580"/>
      <c r="O625" s="1580"/>
      <c r="P625" s="1580"/>
      <c r="Q625" s="1580"/>
      <c r="R625" s="1580"/>
      <c r="S625" s="1580"/>
      <c r="T625" s="1580"/>
      <c r="U625" s="1580"/>
    </row>
    <row r="626" customFormat="false" ht="15" hidden="false" customHeight="true" outlineLevel="1" collapsed="false">
      <c r="A626" s="837" t="s">
        <v>2920</v>
      </c>
      <c r="B626" s="2636" t="n">
        <f aca="false">E624</f>
        <v>4113.66769362923</v>
      </c>
      <c r="C626" s="1579"/>
      <c r="D626" s="1579"/>
      <c r="E626" s="1579"/>
      <c r="F626" s="1579"/>
      <c r="G626" s="1579"/>
      <c r="H626" s="1580"/>
      <c r="I626" s="1580"/>
      <c r="J626" s="1580"/>
      <c r="K626" s="3069"/>
      <c r="L626" s="1580"/>
      <c r="M626" s="1580"/>
      <c r="N626" s="1580"/>
      <c r="O626" s="1580"/>
      <c r="P626" s="1580"/>
      <c r="Q626" s="1580"/>
      <c r="R626" s="1580"/>
      <c r="S626" s="1580"/>
      <c r="T626" s="1580"/>
      <c r="U626" s="1580"/>
    </row>
    <row r="627" customFormat="false" ht="15" hidden="false" customHeight="true" outlineLevel="1" collapsed="false">
      <c r="A627" s="837" t="s">
        <v>2921</v>
      </c>
      <c r="B627" s="2636" t="n">
        <f aca="false">L624</f>
        <v>0</v>
      </c>
      <c r="C627" s="1579"/>
      <c r="D627" s="1579"/>
      <c r="E627" s="1579"/>
      <c r="F627" s="1579"/>
      <c r="G627" s="1579"/>
      <c r="H627" s="1580"/>
      <c r="I627" s="1580"/>
      <c r="J627" s="1580"/>
      <c r="K627" s="3069"/>
      <c r="L627" s="1580"/>
      <c r="M627" s="1580"/>
      <c r="N627" s="1580"/>
      <c r="O627" s="1580"/>
      <c r="P627" s="1580"/>
      <c r="Q627" s="1580"/>
      <c r="R627" s="1580"/>
      <c r="S627" s="1580"/>
      <c r="T627" s="1580"/>
      <c r="U627" s="1580"/>
    </row>
    <row r="628" customFormat="false" ht="15" hidden="false" customHeight="true" outlineLevel="1" collapsed="false">
      <c r="A628" s="837" t="s">
        <v>2922</v>
      </c>
      <c r="B628" s="2636" t="n">
        <f aca="false">SUM(B626:B627)</f>
        <v>4113.66769362923</v>
      </c>
      <c r="C628" s="1579"/>
      <c r="D628" s="1579"/>
      <c r="E628" s="1579"/>
      <c r="F628" s="1579"/>
      <c r="G628" s="1579"/>
      <c r="H628" s="1580"/>
      <c r="I628" s="1580"/>
      <c r="J628" s="1580"/>
      <c r="K628" s="3069"/>
      <c r="L628" s="1580"/>
      <c r="M628" s="1580"/>
      <c r="N628" s="1580"/>
      <c r="O628" s="1580"/>
      <c r="P628" s="1580"/>
      <c r="Q628" s="1580"/>
      <c r="R628" s="1580"/>
      <c r="S628" s="1580"/>
      <c r="T628" s="1580"/>
      <c r="U628" s="1580"/>
    </row>
    <row r="629" customFormat="false" ht="15" hidden="false" customHeight="true" outlineLevel="0" collapsed="false">
      <c r="A629" s="2637" t="s">
        <v>4268</v>
      </c>
      <c r="B629" s="1580"/>
      <c r="C629" s="2630"/>
      <c r="D629" s="2630"/>
      <c r="E629" s="1580"/>
      <c r="F629" s="2630"/>
      <c r="G629" s="2630"/>
      <c r="H629" s="1580"/>
      <c r="I629" s="1580"/>
      <c r="J629" s="1580"/>
      <c r="K629" s="3069"/>
      <c r="L629" s="1580"/>
      <c r="M629" s="1580"/>
      <c r="N629" s="1580"/>
      <c r="O629" s="1580"/>
      <c r="P629" s="1580"/>
      <c r="Q629" s="1580"/>
      <c r="R629" s="1580"/>
      <c r="S629" s="1580"/>
      <c r="T629" s="1580"/>
      <c r="U629" s="1580"/>
    </row>
    <row r="630" customFormat="false" ht="15" hidden="false" customHeight="true" outlineLevel="0" collapsed="false">
      <c r="A630" s="2637"/>
      <c r="B630" s="1580"/>
      <c r="C630" s="2630"/>
      <c r="D630" s="2630"/>
      <c r="E630" s="1580"/>
      <c r="F630" s="2630"/>
      <c r="G630" s="2630"/>
      <c r="H630" s="1580"/>
      <c r="I630" s="1580"/>
      <c r="J630" s="1580"/>
      <c r="K630" s="3069"/>
      <c r="L630" s="1580"/>
      <c r="M630" s="1580"/>
      <c r="N630" s="1580"/>
      <c r="O630" s="1580"/>
      <c r="P630" s="1580"/>
      <c r="Q630" s="1580"/>
      <c r="R630" s="1580"/>
      <c r="S630" s="1580"/>
      <c r="T630" s="1580"/>
      <c r="U630" s="1580"/>
    </row>
    <row r="631" customFormat="false" ht="15" hidden="false" customHeight="true" outlineLevel="0" collapsed="false">
      <c r="A631" s="3053" t="s">
        <v>186</v>
      </c>
      <c r="B631" s="3053"/>
      <c r="C631" s="3053"/>
      <c r="D631" s="3053"/>
      <c r="E631" s="3053"/>
      <c r="F631" s="3053"/>
      <c r="G631" s="3053"/>
      <c r="H631" s="3053"/>
      <c r="I631" s="3053"/>
      <c r="J631" s="3054"/>
      <c r="K631" s="3054"/>
      <c r="L631" s="3055"/>
      <c r="M631" s="1580"/>
      <c r="N631" s="1580"/>
      <c r="O631" s="1580"/>
      <c r="P631" s="1580"/>
      <c r="Q631" s="1580"/>
      <c r="R631" s="1580"/>
      <c r="S631" s="1580"/>
      <c r="T631" s="1580"/>
      <c r="U631" s="1580"/>
    </row>
    <row r="632" customFormat="false" ht="15" hidden="false" customHeight="true" outlineLevel="0" collapsed="false">
      <c r="A632" s="1520" t="s">
        <v>461</v>
      </c>
      <c r="B632" s="1520"/>
      <c r="C632" s="1520"/>
      <c r="D632" s="1520"/>
      <c r="E632" s="1520"/>
      <c r="F632" s="1520"/>
      <c r="G632" s="3056" t="n">
        <f aca="false">'Ввод данных'!E240</f>
        <v>1</v>
      </c>
      <c r="H632" s="1521" t="n">
        <f aca="false">'Ввод данных'!E241</f>
        <v>1</v>
      </c>
      <c r="I632" s="1521"/>
      <c r="J632" s="1521"/>
      <c r="K632" s="1521"/>
      <c r="L632" s="1521"/>
      <c r="M632" s="1580"/>
      <c r="N632" s="1580"/>
      <c r="O632" s="1580"/>
      <c r="P632" s="1580"/>
      <c r="Q632" s="1580"/>
      <c r="R632" s="1580"/>
      <c r="S632" s="1580"/>
      <c r="T632" s="1580"/>
      <c r="U632" s="1580"/>
    </row>
    <row r="633" customFormat="false" ht="15" hidden="false" customHeight="true" outlineLevel="0" collapsed="false">
      <c r="A633" s="3057" t="s">
        <v>2902</v>
      </c>
      <c r="B633" s="3058" t="s">
        <v>15</v>
      </c>
      <c r="C633" s="3058" t="n">
        <f aca="false">дома!P1130+дома!Q1131</f>
        <v>0</v>
      </c>
      <c r="D633" s="3059"/>
      <c r="E633" s="3060"/>
      <c r="F633" s="3060"/>
      <c r="G633" s="3060"/>
      <c r="H633" s="1521"/>
      <c r="I633" s="1521"/>
      <c r="J633" s="1521"/>
      <c r="K633" s="1521"/>
      <c r="L633" s="1521"/>
      <c r="M633" s="1580"/>
      <c r="N633" s="1580"/>
      <c r="O633" s="1580"/>
      <c r="P633" s="1580"/>
      <c r="Q633" s="1580"/>
      <c r="R633" s="1580"/>
      <c r="S633" s="1580"/>
      <c r="T633" s="1580"/>
      <c r="U633" s="1580"/>
    </row>
    <row r="634" customFormat="false" ht="15" hidden="false" customHeight="true" outlineLevel="0" collapsed="false">
      <c r="A634" s="864" t="s">
        <v>3943</v>
      </c>
      <c r="B634" s="1549" t="s">
        <v>48</v>
      </c>
      <c r="C634" s="3062" t="n">
        <f aca="false">IF('Ввод данных'!A247=связи1!A6,1,0)</f>
        <v>1</v>
      </c>
      <c r="D634" s="3063"/>
      <c r="E634" s="3064"/>
      <c r="F634" s="3064"/>
      <c r="G634" s="2589"/>
      <c r="H634" s="2589"/>
      <c r="I634" s="2595"/>
      <c r="J634" s="2589"/>
      <c r="K634" s="2643"/>
      <c r="L634" s="2589"/>
      <c r="M634" s="1580"/>
      <c r="N634" s="1580"/>
      <c r="O634" s="1580"/>
      <c r="P634" s="1580"/>
      <c r="Q634" s="1580"/>
      <c r="R634" s="1580"/>
      <c r="S634" s="1580"/>
      <c r="T634" s="1580"/>
      <c r="U634" s="1580"/>
    </row>
    <row r="635" customFormat="false" ht="15" hidden="false" customHeight="true" outlineLevel="0" collapsed="false">
      <c r="A635" s="3065" t="s">
        <v>3944</v>
      </c>
      <c r="B635" s="837" t="s">
        <v>48</v>
      </c>
      <c r="C635" s="3062" t="n">
        <f aca="false">IF('Ввод данных'!A247=связи1!A7,1,0)</f>
        <v>0</v>
      </c>
      <c r="D635" s="3063"/>
      <c r="E635" s="3064"/>
      <c r="F635" s="3064"/>
      <c r="G635" s="2589"/>
      <c r="H635" s="2589"/>
      <c r="I635" s="2595"/>
      <c r="J635" s="2589"/>
      <c r="K635" s="2643"/>
      <c r="L635" s="2589"/>
      <c r="M635" s="1580"/>
      <c r="N635" s="1580"/>
      <c r="O635" s="1580"/>
      <c r="P635" s="1580"/>
      <c r="Q635" s="1580"/>
      <c r="R635" s="1580"/>
      <c r="S635" s="1580"/>
      <c r="T635" s="1580"/>
      <c r="U635" s="1580"/>
    </row>
    <row r="636" customFormat="false" ht="15" hidden="false" customHeight="true" outlineLevel="0" collapsed="false">
      <c r="A636" s="3065" t="s">
        <v>3945</v>
      </c>
      <c r="B636" s="837" t="s">
        <v>48</v>
      </c>
      <c r="C636" s="3062" t="n">
        <f aca="false">IF('Ввод данных'!A247=связи1!A8,1,0)</f>
        <v>0</v>
      </c>
      <c r="D636" s="3063"/>
      <c r="E636" s="3064"/>
      <c r="F636" s="3064"/>
      <c r="G636" s="2589"/>
      <c r="H636" s="2589"/>
      <c r="I636" s="2595"/>
      <c r="J636" s="2589"/>
      <c r="K636" s="2643"/>
      <c r="L636" s="2589"/>
      <c r="M636" s="1580"/>
      <c r="N636" s="1580"/>
      <c r="O636" s="1580"/>
      <c r="P636" s="1580"/>
      <c r="Q636" s="1580"/>
      <c r="R636" s="1580"/>
      <c r="S636" s="1580"/>
      <c r="T636" s="1580"/>
      <c r="U636" s="1580"/>
    </row>
    <row r="637" customFormat="false" ht="15" hidden="false" customHeight="true" outlineLevel="0" collapsed="false">
      <c r="A637" s="837" t="s">
        <v>2821</v>
      </c>
      <c r="B637" s="837" t="s">
        <v>820</v>
      </c>
      <c r="C637" s="837" t="n">
        <f aca="false">дома!P1181+дома!Q1182+'Ввод данных'!C256*'Ввод данных'!D256</f>
        <v>6</v>
      </c>
      <c r="D637" s="3064"/>
      <c r="E637" s="3064"/>
      <c r="F637" s="3064"/>
      <c r="G637" s="2589"/>
      <c r="H637" s="2589"/>
      <c r="I637" s="2595"/>
      <c r="J637" s="2589"/>
      <c r="K637" s="2643"/>
      <c r="L637" s="2589"/>
      <c r="M637" s="1580"/>
      <c r="N637" s="1580"/>
      <c r="O637" s="1580"/>
      <c r="P637" s="1580"/>
      <c r="Q637" s="1580"/>
      <c r="R637" s="1580"/>
      <c r="S637" s="1580"/>
      <c r="T637" s="1580"/>
      <c r="U637" s="1580"/>
    </row>
    <row r="638" customFormat="false" ht="15" hidden="false" customHeight="true" outlineLevel="0" collapsed="false">
      <c r="A638" s="837" t="s">
        <v>3935</v>
      </c>
      <c r="B638" s="837"/>
      <c r="C638" s="837" t="n">
        <f aca="false">дома!P1177+дома!Q1178</f>
        <v>0</v>
      </c>
      <c r="D638" s="3064"/>
      <c r="E638" s="3064"/>
      <c r="F638" s="3064"/>
      <c r="G638" s="2589"/>
      <c r="H638" s="2589"/>
      <c r="I638" s="2595"/>
      <c r="J638" s="2589"/>
      <c r="K638" s="2643"/>
      <c r="L638" s="2589"/>
      <c r="M638" s="1580"/>
      <c r="N638" s="1580"/>
      <c r="O638" s="1580"/>
      <c r="P638" s="1580"/>
      <c r="Q638" s="1580"/>
      <c r="R638" s="1580"/>
      <c r="S638" s="1580"/>
      <c r="T638" s="1580"/>
      <c r="U638" s="1580"/>
    </row>
    <row r="639" customFormat="false" ht="15" hidden="false" customHeight="true" outlineLevel="0" collapsed="false">
      <c r="A639" s="837" t="s">
        <v>249</v>
      </c>
      <c r="B639" s="837" t="s">
        <v>15</v>
      </c>
      <c r="C639" s="837" t="n">
        <f aca="false">дома!P1164+дома!Q1165</f>
        <v>0</v>
      </c>
      <c r="D639" s="3064"/>
      <c r="E639" s="3064"/>
      <c r="F639" s="3064"/>
      <c r="G639" s="2589"/>
      <c r="H639" s="2589"/>
      <c r="I639" s="2595"/>
      <c r="J639" s="2589"/>
      <c r="K639" s="2643"/>
      <c r="L639" s="2589"/>
      <c r="M639" s="1580"/>
      <c r="N639" s="1580"/>
      <c r="O639" s="1580"/>
      <c r="P639" s="1580"/>
      <c r="Q639" s="1580"/>
      <c r="R639" s="1580"/>
      <c r="S639" s="1580"/>
      <c r="T639" s="1580"/>
      <c r="U639" s="1580"/>
    </row>
    <row r="640" customFormat="false" ht="15" hidden="false" customHeight="true" outlineLevel="0" collapsed="false">
      <c r="A640" s="837" t="s">
        <v>3647</v>
      </c>
      <c r="B640" s="837" t="s">
        <v>15</v>
      </c>
      <c r="C640" s="837" t="n">
        <f aca="false">дома!P1168+дома!Q1169</f>
        <v>0</v>
      </c>
      <c r="D640" s="3064"/>
      <c r="E640" s="3064"/>
      <c r="F640" s="3064"/>
      <c r="G640" s="2589"/>
      <c r="H640" s="2589"/>
      <c r="I640" s="2595"/>
      <c r="J640" s="2589"/>
      <c r="K640" s="2643"/>
      <c r="L640" s="2589"/>
      <c r="M640" s="1580"/>
      <c r="N640" s="1580"/>
      <c r="O640" s="1580"/>
      <c r="P640" s="1580"/>
      <c r="Q640" s="1580"/>
      <c r="R640" s="1580"/>
      <c r="S640" s="1580"/>
      <c r="T640" s="1580"/>
      <c r="U640" s="1580"/>
    </row>
    <row r="641" customFormat="false" ht="15" hidden="false" customHeight="true" outlineLevel="0" collapsed="false">
      <c r="A641" s="1549" t="s">
        <v>208</v>
      </c>
      <c r="B641" s="1555"/>
      <c r="C641" s="837" t="n">
        <f aca="false">дома!P1132+дома!Q1133</f>
        <v>0</v>
      </c>
      <c r="D641" s="3064"/>
      <c r="E641" s="3064"/>
      <c r="F641" s="3064"/>
      <c r="G641" s="2589"/>
      <c r="H641" s="2589"/>
      <c r="I641" s="2595"/>
      <c r="J641" s="2589"/>
      <c r="K641" s="2643"/>
      <c r="L641" s="2589"/>
      <c r="M641" s="1580"/>
      <c r="N641" s="1580"/>
      <c r="O641" s="1580"/>
      <c r="P641" s="1580"/>
      <c r="Q641" s="1580"/>
      <c r="R641" s="1580"/>
      <c r="S641" s="1580"/>
      <c r="T641" s="1580"/>
      <c r="U641" s="1580"/>
    </row>
    <row r="642" customFormat="false" ht="15" hidden="false" customHeight="true" outlineLevel="0" collapsed="false">
      <c r="A642" s="1549" t="s">
        <v>4270</v>
      </c>
      <c r="B642" s="1555"/>
      <c r="C642" s="837" t="n">
        <f aca="false">дома!O1135</f>
        <v>3.4</v>
      </c>
      <c r="D642" s="3064"/>
      <c r="E642" s="3064"/>
      <c r="F642" s="3064"/>
      <c r="G642" s="2589"/>
      <c r="H642" s="2589"/>
      <c r="I642" s="2595"/>
      <c r="J642" s="2589"/>
      <c r="K642" s="2643"/>
      <c r="L642" s="2589"/>
      <c r="M642" s="1580"/>
      <c r="N642" s="1580"/>
      <c r="O642" s="1580"/>
      <c r="P642" s="1580"/>
      <c r="Q642" s="1580"/>
      <c r="R642" s="1580"/>
      <c r="S642" s="1580"/>
      <c r="T642" s="1580"/>
      <c r="U642" s="1580"/>
    </row>
    <row r="643" customFormat="false" ht="15" hidden="false" customHeight="true" outlineLevel="0" collapsed="false">
      <c r="A643" s="2639" t="s">
        <v>1735</v>
      </c>
      <c r="B643" s="1555" t="s">
        <v>48</v>
      </c>
      <c r="C643" s="1557" t="n">
        <f aca="false">'Ввод данных'!C271</f>
        <v>0</v>
      </c>
      <c r="D643" s="3064"/>
      <c r="E643" s="3064"/>
      <c r="F643" s="3064"/>
      <c r="G643" s="2589"/>
      <c r="H643" s="2589"/>
      <c r="I643" s="2595"/>
      <c r="J643" s="2589"/>
      <c r="K643" s="2643"/>
      <c r="L643" s="2589"/>
      <c r="M643" s="1580"/>
      <c r="N643" s="1580"/>
      <c r="O643" s="1580"/>
      <c r="P643" s="1580"/>
      <c r="Q643" s="1580"/>
      <c r="R643" s="1580"/>
      <c r="S643" s="1580"/>
      <c r="T643" s="1580"/>
      <c r="U643" s="1580"/>
    </row>
    <row r="644" customFormat="false" ht="15" hidden="false" customHeight="true" outlineLevel="0" collapsed="false">
      <c r="A644" s="2639" t="s">
        <v>1736</v>
      </c>
      <c r="B644" s="1555" t="s">
        <v>48</v>
      </c>
      <c r="C644" s="1557" t="n">
        <f aca="false">'Ввод данных'!C272</f>
        <v>0</v>
      </c>
      <c r="D644" s="3064"/>
      <c r="E644" s="3064"/>
      <c r="F644" s="3064"/>
      <c r="G644" s="2589"/>
      <c r="H644" s="2589"/>
      <c r="I644" s="2595"/>
      <c r="J644" s="2589"/>
      <c r="K644" s="2643"/>
      <c r="L644" s="2589"/>
      <c r="M644" s="1580"/>
      <c r="N644" s="1580"/>
      <c r="O644" s="1580"/>
      <c r="P644" s="1580"/>
      <c r="Q644" s="1580"/>
      <c r="R644" s="1580"/>
      <c r="S644" s="1580"/>
      <c r="T644" s="1580"/>
      <c r="U644" s="1580"/>
    </row>
    <row r="645" customFormat="false" ht="15" hidden="false" customHeight="true" outlineLevel="0" collapsed="false">
      <c r="A645" s="2639" t="s">
        <v>1737</v>
      </c>
      <c r="B645" s="1555" t="s">
        <v>48</v>
      </c>
      <c r="C645" s="1557" t="n">
        <f aca="false">'Ввод данных'!C273</f>
        <v>0</v>
      </c>
      <c r="D645" s="3064"/>
      <c r="E645" s="3064"/>
      <c r="F645" s="3064"/>
      <c r="G645" s="2589"/>
      <c r="H645" s="2589"/>
      <c r="I645" s="2595"/>
      <c r="J645" s="2589"/>
      <c r="K645" s="2643"/>
      <c r="L645" s="2589"/>
      <c r="M645" s="1580"/>
      <c r="N645" s="1580"/>
      <c r="O645" s="1580"/>
      <c r="P645" s="1580"/>
      <c r="Q645" s="1580"/>
      <c r="R645" s="1580"/>
      <c r="S645" s="1580"/>
      <c r="T645" s="1580"/>
      <c r="U645" s="1580"/>
    </row>
    <row r="646" customFormat="false" ht="15" hidden="false" customHeight="true" outlineLevel="0" collapsed="false">
      <c r="A646" s="2641" t="s">
        <v>2246</v>
      </c>
      <c r="B646" s="2641" t="s">
        <v>1738</v>
      </c>
      <c r="C646" s="2641" t="s">
        <v>118</v>
      </c>
      <c r="D646" s="2641" t="s">
        <v>2915</v>
      </c>
      <c r="E646" s="2641" t="s">
        <v>2916</v>
      </c>
      <c r="F646" s="1579"/>
      <c r="G646" s="3104" t="s">
        <v>2007</v>
      </c>
      <c r="H646" s="2641" t="s">
        <v>1738</v>
      </c>
      <c r="I646" s="2641" t="s">
        <v>118</v>
      </c>
      <c r="J646" s="3066" t="s">
        <v>2190</v>
      </c>
      <c r="K646" s="2641" t="s">
        <v>2916</v>
      </c>
      <c r="M646" s="1580"/>
      <c r="N646" s="1580"/>
      <c r="O646" s="1580"/>
      <c r="P646" s="1580"/>
      <c r="Q646" s="1580"/>
      <c r="R646" s="1580"/>
      <c r="S646" s="1580"/>
      <c r="T646" s="1580"/>
      <c r="U646" s="1580"/>
    </row>
    <row r="647" customFormat="false" ht="15" hidden="false" customHeight="true" outlineLevel="0" collapsed="false">
      <c r="A647" s="837" t="str">
        <f aca="false">'Ввод данных'!A249</f>
        <v>нет</v>
      </c>
      <c r="B647" s="837" t="str">
        <f aca="false">B262</f>
        <v>м3</v>
      </c>
      <c r="C647" s="837" t="n">
        <f aca="false">VLOOKUP(A647,связи1!F201:H211,3,0)*C633*G632</f>
        <v>0</v>
      </c>
      <c r="D647" s="837" t="n">
        <f aca="false">VLOOKUP(A647,связи1!F201:H211,2,0)</f>
        <v>0</v>
      </c>
      <c r="E647" s="837" t="n">
        <f aca="false">C647*D647</f>
        <v>0</v>
      </c>
      <c r="F647" s="1579"/>
      <c r="G647" s="2634"/>
      <c r="H647" s="837"/>
      <c r="I647" s="837"/>
      <c r="J647" s="2642"/>
      <c r="K647" s="837"/>
      <c r="M647" s="1580"/>
      <c r="N647" s="1580"/>
      <c r="O647" s="1580"/>
      <c r="P647" s="1580"/>
      <c r="Q647" s="1580"/>
      <c r="R647" s="1580"/>
      <c r="S647" s="1580"/>
      <c r="T647" s="1580"/>
      <c r="U647" s="1580"/>
    </row>
    <row r="648" customFormat="false" ht="15" hidden="false" customHeight="true" outlineLevel="0" collapsed="false">
      <c r="A648" s="837" t="str">
        <f aca="false">A263</f>
        <v>Болты анкерные с гайкой 12,0 х 280          </v>
      </c>
      <c r="B648" s="837" t="str">
        <f aca="false">B263</f>
        <v>шт</v>
      </c>
      <c r="C648" s="837" t="n">
        <f aca="false">C263*G632</f>
        <v>36.9990475974507</v>
      </c>
      <c r="D648" s="837" t="n">
        <f aca="false">D263</f>
        <v>27.1</v>
      </c>
      <c r="E648" s="837" t="n">
        <f aca="false">C648*D648</f>
        <v>1002.67418989091</v>
      </c>
      <c r="F648" s="1579"/>
      <c r="G648" s="2663" t="str">
        <f aca="false">G263</f>
        <v>монтаж мауэрлата</v>
      </c>
      <c r="H648" s="2663" t="str">
        <f aca="false">I263</f>
        <v>м.п.</v>
      </c>
      <c r="I648" s="2663" t="n">
        <f aca="false">C633*H632</f>
        <v>0</v>
      </c>
      <c r="J648" s="2663" t="n">
        <f aca="false">K263</f>
        <v>250</v>
      </c>
      <c r="K648" s="876" t="n">
        <f aca="false">I648*J648</f>
        <v>0</v>
      </c>
      <c r="M648" s="1580"/>
      <c r="N648" s="1580"/>
      <c r="O648" s="1580"/>
      <c r="P648" s="1580"/>
      <c r="Q648" s="1580"/>
      <c r="R648" s="1580"/>
      <c r="S648" s="1580"/>
      <c r="T648" s="1580"/>
      <c r="U648" s="1580"/>
    </row>
    <row r="649" customFormat="false" ht="15" hidden="false" customHeight="true" outlineLevel="0" collapsed="false">
      <c r="A649" s="837" t="str">
        <f aca="false">'Ввод данных'!A262</f>
        <v>Доска сырая, 150*50мм</v>
      </c>
      <c r="B649" s="837" t="str">
        <f aca="false">B264</f>
        <v>м3</v>
      </c>
      <c r="C649" s="837" t="n">
        <f aca="false">(C639/0.6+2+C639+C639)*C640*VLOOKUP(A649,связи1!A406:E415,5,0)*1.2*G632+('Ввод данных'!C256/0.6+1)*'Ввод данных'!D256*VLOOKUP(A649,связи1!A406:E415,5,0)*G632</f>
        <v>0.09</v>
      </c>
      <c r="D649" s="837" t="n">
        <f aca="false">VLOOKUP(A649,связи1!A406:E415,2,0)</f>
        <v>6500</v>
      </c>
      <c r="E649" s="837" t="n">
        <f aca="false">C649*D649</f>
        <v>585</v>
      </c>
      <c r="F649" s="1579"/>
      <c r="G649" s="2663" t="str">
        <f aca="false">G264</f>
        <v>монтаж стропил</v>
      </c>
      <c r="H649" s="2663" t="str">
        <f aca="false">I264</f>
        <v>м2</v>
      </c>
      <c r="I649" s="2663" t="n">
        <f aca="false">C637*IF(A649=связи1!A406,0,1)*H632</f>
        <v>6</v>
      </c>
      <c r="J649" s="2663" t="n">
        <f aca="false">K264</f>
        <v>450</v>
      </c>
      <c r="K649" s="876" t="n">
        <f aca="false">I649*J649</f>
        <v>2700</v>
      </c>
      <c r="M649" s="1580"/>
      <c r="N649" s="1580"/>
      <c r="O649" s="1580"/>
      <c r="P649" s="1580"/>
      <c r="Q649" s="1580"/>
      <c r="R649" s="1580"/>
      <c r="S649" s="1580"/>
      <c r="T649" s="1580"/>
      <c r="U649" s="1580"/>
    </row>
    <row r="650" customFormat="false" ht="15" hidden="false" customHeight="true" outlineLevel="0" collapsed="false">
      <c r="A650" s="837" t="str">
        <f aca="false">A265</f>
        <v>бугель, доска </v>
      </c>
      <c r="B650" s="837" t="str">
        <f aca="false">B265</f>
        <v>м3</v>
      </c>
      <c r="C650" s="837" t="n">
        <f aca="false">(C639/0.6+2)*C641*VLOOKUP(A649,связи1!A406:E415,5,0)*1.2*G632</f>
        <v>0</v>
      </c>
      <c r="D650" s="837" t="n">
        <f aca="false">VLOOKUP(A649,связи1!A406:E415,2,0)</f>
        <v>6500</v>
      </c>
      <c r="E650" s="837" t="n">
        <f aca="false">C650*D650</f>
        <v>0</v>
      </c>
      <c r="F650" s="1579"/>
      <c r="G650" s="2663" t="str">
        <f aca="false">G265</f>
        <v>обрешетка</v>
      </c>
      <c r="H650" s="2663" t="str">
        <f aca="false">I265</f>
        <v>м2</v>
      </c>
      <c r="I650" s="2663" t="n">
        <f aca="false">C637*IF(A652=связи1!A431,0,1)*H632</f>
        <v>6</v>
      </c>
      <c r="J650" s="2663" t="n">
        <f aca="false">K265</f>
        <v>100</v>
      </c>
      <c r="K650" s="876" t="n">
        <f aca="false">I650*J650</f>
        <v>600</v>
      </c>
      <c r="M650" s="1580"/>
      <c r="N650" s="1580"/>
      <c r="O650" s="1580"/>
      <c r="P650" s="1580"/>
      <c r="Q650" s="1580"/>
      <c r="R650" s="1580"/>
      <c r="S650" s="1580"/>
      <c r="T650" s="1580"/>
      <c r="U650" s="1580"/>
    </row>
    <row r="651" customFormat="false" ht="15" hidden="false" customHeight="true" outlineLevel="0" collapsed="false">
      <c r="A651" s="837" t="str">
        <f aca="false">A266</f>
        <v>стойка под конек</v>
      </c>
      <c r="B651" s="837" t="str">
        <f aca="false">B266</f>
        <v>м3</v>
      </c>
      <c r="C651" s="837" t="n">
        <f aca="false">(C639/0.6+2)*C642*VLOOKUP(A649,связи1!A406:E415,5,0)*1.2*G632</f>
        <v>0.0612</v>
      </c>
      <c r="D651" s="837" t="n">
        <f aca="false">VLOOKUP(A649,связи1!A406:E415,2,0)</f>
        <v>6500</v>
      </c>
      <c r="E651" s="837" t="n">
        <f aca="false">C651*D651</f>
        <v>397.8</v>
      </c>
      <c r="F651" s="1579"/>
      <c r="G651" s="2663" t="str">
        <f aca="false">G266</f>
        <v>контробеш</v>
      </c>
      <c r="H651" s="2663" t="str">
        <f aca="false">I266</f>
        <v>м2</v>
      </c>
      <c r="I651" s="2663" t="n">
        <f aca="false">C637*IF(A653=связи1!A417,0,1)*H632</f>
        <v>6</v>
      </c>
      <c r="J651" s="2663" t="n">
        <f aca="false">K266</f>
        <v>100</v>
      </c>
      <c r="K651" s="876" t="n">
        <f aca="false">I651*J651</f>
        <v>600</v>
      </c>
      <c r="M651" s="1580"/>
      <c r="N651" s="1580"/>
      <c r="O651" s="1580"/>
      <c r="P651" s="1580"/>
      <c r="Q651" s="1580"/>
      <c r="R651" s="1580"/>
      <c r="S651" s="1580"/>
      <c r="T651" s="1580"/>
      <c r="U651" s="1580"/>
    </row>
    <row r="652" customFormat="false" ht="15" hidden="false" customHeight="true" outlineLevel="0" collapsed="false">
      <c r="A652" s="837" t="str">
        <f aca="false">'Ввод данных'!A264</f>
        <v>Сосна влаж,100*25мм</v>
      </c>
      <c r="B652" s="837" t="str">
        <f aca="false">B267</f>
        <v>м3</v>
      </c>
      <c r="C652" s="837" t="n">
        <f aca="false">C637*3*VLOOKUP(A652,связи1!A431:F439,5,0)*G632</f>
        <v>0.045</v>
      </c>
      <c r="D652" s="837" t="n">
        <f aca="false">VLOOKUP(A652,связи1!A431:F439,6,0)</f>
        <v>6500</v>
      </c>
      <c r="E652" s="837" t="n">
        <f aca="false">C652*D652</f>
        <v>292.5</v>
      </c>
      <c r="F652" s="1579"/>
      <c r="G652" s="2663" t="str">
        <f aca="false">G267</f>
        <v>Монтаж металлочерепицы</v>
      </c>
      <c r="H652" s="2663" t="str">
        <f aca="false">I267</f>
        <v>м2</v>
      </c>
      <c r="I652" s="2663" t="n">
        <f aca="false">C637*C634*H632</f>
        <v>6</v>
      </c>
      <c r="J652" s="2663" t="n">
        <f aca="false">K267</f>
        <v>300</v>
      </c>
      <c r="K652" s="876" t="n">
        <f aca="false">I652*J652</f>
        <v>1800</v>
      </c>
      <c r="M652" s="1580"/>
      <c r="N652" s="1580"/>
      <c r="O652" s="1580"/>
      <c r="P652" s="1580"/>
      <c r="Q652" s="1580"/>
      <c r="R652" s="1580"/>
      <c r="S652" s="1580"/>
      <c r="T652" s="1580"/>
      <c r="U652" s="1580"/>
    </row>
    <row r="653" customFormat="false" ht="15" hidden="false" customHeight="true" outlineLevel="0" collapsed="false">
      <c r="A653" s="837" t="str">
        <f aca="false">'Ввод данных'!A266</f>
        <v>Сосна влаж, 50*50мм</v>
      </c>
      <c r="B653" s="837" t="s">
        <v>1043</v>
      </c>
      <c r="C653" s="837" t="n">
        <f aca="false">C637*2.5*VLOOKUP(A653,связи1!A417:E420,5,0)*G632</f>
        <v>0.0375</v>
      </c>
      <c r="D653" s="837" t="n">
        <f aca="false">VLOOKUP(A653,связи1!A417:D420,2,0)</f>
        <v>6500</v>
      </c>
      <c r="E653" s="837" t="n">
        <f aca="false">C653*D653</f>
        <v>243.75</v>
      </c>
      <c r="F653" s="1579"/>
      <c r="G653" s="2663" t="str">
        <f aca="false">G268</f>
        <v>Монтаж ондулина</v>
      </c>
      <c r="H653" s="2663" t="str">
        <f aca="false">I268</f>
        <v>м2</v>
      </c>
      <c r="I653" s="2663" t="n">
        <f aca="false">C637*C635*H632</f>
        <v>0</v>
      </c>
      <c r="J653" s="2663" t="n">
        <f aca="false">K268</f>
        <v>300</v>
      </c>
      <c r="K653" s="876" t="n">
        <f aca="false">I653*J653</f>
        <v>0</v>
      </c>
      <c r="M653" s="1580"/>
      <c r="N653" s="1580"/>
      <c r="O653" s="1580"/>
      <c r="P653" s="1580"/>
      <c r="Q653" s="1580"/>
      <c r="R653" s="1580"/>
      <c r="S653" s="1580"/>
      <c r="T653" s="1580"/>
      <c r="U653" s="1580"/>
    </row>
    <row r="654" customFormat="false" ht="15" hidden="false" customHeight="true" outlineLevel="0" collapsed="false">
      <c r="A654" s="837" t="str">
        <f aca="false">'Ввод данных'!A260</f>
        <v>Нет</v>
      </c>
      <c r="B654" s="837" t="s">
        <v>1043</v>
      </c>
      <c r="C654" s="837" t="n">
        <f aca="false">VLOOKUP(A654,'Прайс лист'!B340:G426,5,0)*'Ввод данных'!C260*'Ввод данных'!D260</f>
        <v>0</v>
      </c>
      <c r="D654" s="837" t="n">
        <f aca="false">VLOOKUP(A654,'Прайс лист'!B340:G426,6,0)</f>
        <v>0</v>
      </c>
      <c r="E654" s="837" t="n">
        <f aca="false">C654*D654</f>
        <v>0</v>
      </c>
      <c r="F654" s="1579"/>
      <c r="G654" s="2663"/>
      <c r="H654" s="2663"/>
      <c r="I654" s="2663"/>
      <c r="J654" s="2663"/>
      <c r="K654" s="876"/>
      <c r="M654" s="1580"/>
      <c r="N654" s="1580"/>
      <c r="O654" s="1580"/>
      <c r="P654" s="1580"/>
      <c r="Q654" s="1580"/>
      <c r="R654" s="1580"/>
      <c r="S654" s="1580"/>
      <c r="T654" s="1580"/>
      <c r="U654" s="1580"/>
    </row>
    <row r="655" customFormat="false" ht="15" hidden="false" customHeight="true" outlineLevel="0" collapsed="false">
      <c r="A655" s="837" t="str">
        <f aca="false">'Прайс лист'!B537</f>
        <v>Гидрокомпенсатор</v>
      </c>
      <c r="B655" s="837" t="s">
        <v>48</v>
      </c>
      <c r="C655" s="837" t="n">
        <f aca="false">'Ввод данных'!D260</f>
        <v>0</v>
      </c>
      <c r="D655" s="837" t="n">
        <f aca="false">'Прайс лист'!G537</f>
        <v>450</v>
      </c>
      <c r="E655" s="837" t="n">
        <f aca="false">C655*D655</f>
        <v>0</v>
      </c>
      <c r="F655" s="1579"/>
      <c r="G655" s="2663"/>
      <c r="H655" s="2663"/>
      <c r="I655" s="2663"/>
      <c r="J655" s="2663"/>
      <c r="K655" s="876"/>
      <c r="M655" s="1580"/>
      <c r="N655" s="1580"/>
      <c r="O655" s="1580"/>
      <c r="P655" s="1580"/>
      <c r="Q655" s="1580"/>
      <c r="R655" s="1580"/>
      <c r="S655" s="1580"/>
      <c r="T655" s="1580"/>
      <c r="U655" s="1580"/>
    </row>
    <row r="656" customFormat="false" ht="15" hidden="false" customHeight="true" outlineLevel="0" collapsed="false">
      <c r="A656" s="837" t="str">
        <f aca="false">'Ввод данных'!A275</f>
        <v>Универсальная Optima C</v>
      </c>
      <c r="B656" s="837" t="str">
        <f aca="false">B271</f>
        <v>м2</v>
      </c>
      <c r="C656" s="837" t="n">
        <f aca="false">C637*1.2*G632</f>
        <v>7.2</v>
      </c>
      <c r="D656" s="837" t="n">
        <f aca="false">VLOOKUP(A656,'Прайс лист'!B649:G675,6,0)</f>
        <v>19</v>
      </c>
      <c r="E656" s="837" t="n">
        <f aca="false">C656*D656</f>
        <v>136.8</v>
      </c>
      <c r="F656" s="1579"/>
      <c r="G656" s="2663" t="str">
        <f aca="false">G271</f>
        <v>мембрана</v>
      </c>
      <c r="H656" s="2663" t="str">
        <f aca="false">I271</f>
        <v>м2</v>
      </c>
      <c r="I656" s="2663" t="n">
        <f aca="false">C637*H632*IF(A656='Прайс лист'!B649,0,1)</f>
        <v>6</v>
      </c>
      <c r="J656" s="2663" t="n">
        <f aca="false">K271</f>
        <v>100</v>
      </c>
      <c r="K656" s="876" t="n">
        <f aca="false">I656*J656</f>
        <v>600</v>
      </c>
      <c r="M656" s="1580"/>
      <c r="N656" s="1580"/>
      <c r="O656" s="1580"/>
      <c r="P656" s="1580"/>
      <c r="Q656" s="1580"/>
      <c r="R656" s="1580"/>
      <c r="S656" s="1580"/>
      <c r="T656" s="1580"/>
      <c r="U656" s="1580"/>
    </row>
    <row r="657" customFormat="false" ht="15" hidden="false" customHeight="true" outlineLevel="0" collapsed="false">
      <c r="A657" s="837" t="str">
        <f aca="false">'Ввод данных'!A277</f>
        <v>Универсальная Optima C</v>
      </c>
      <c r="B657" s="837" t="str">
        <f aca="false">B272</f>
        <v>м2</v>
      </c>
      <c r="C657" s="837" t="n">
        <f aca="false">C638*1.25*G632</f>
        <v>0</v>
      </c>
      <c r="D657" s="837" t="n">
        <f aca="false">VLOOKUP(A657,'Прайс лист'!B676:G687,6,0)</f>
        <v>20</v>
      </c>
      <c r="E657" s="837" t="n">
        <f aca="false">C657*D657</f>
        <v>0</v>
      </c>
      <c r="F657" s="1579"/>
      <c r="G657" s="2663" t="str">
        <f aca="false">G272</f>
        <v>пароизоляц</v>
      </c>
      <c r="H657" s="2663" t="str">
        <f aca="false">I272</f>
        <v>м2</v>
      </c>
      <c r="I657" s="2663" t="n">
        <f aca="false">C637*H632*IF(A657='Прайс лист'!B676,0,1)</f>
        <v>6</v>
      </c>
      <c r="J657" s="2663" t="n">
        <f aca="false">K272</f>
        <v>100</v>
      </c>
      <c r="K657" s="876" t="n">
        <f aca="false">I657*J657</f>
        <v>600</v>
      </c>
      <c r="M657" s="1580"/>
      <c r="N657" s="1580"/>
      <c r="O657" s="1580"/>
      <c r="P657" s="1580"/>
      <c r="Q657" s="1580"/>
      <c r="R657" s="1580"/>
      <c r="S657" s="1580"/>
      <c r="T657" s="1580"/>
      <c r="U657" s="1580"/>
    </row>
    <row r="658" customFormat="false" ht="15" hidden="false" customHeight="true" outlineLevel="0" collapsed="false">
      <c r="A658" s="837" t="str">
        <f aca="false">'Ввод данных'!A270</f>
        <v>Плитный,28кг/м3, технониколь, 100мм</v>
      </c>
      <c r="B658" s="837" t="str">
        <f aca="false">B273</f>
        <v>м3</v>
      </c>
      <c r="C658" s="837" t="n">
        <f aca="false">VLOOKUP(A658,'Прайс лист'!B600:G638,3,0)*C638*G632</f>
        <v>0</v>
      </c>
      <c r="D658" s="837" t="n">
        <f aca="false">VLOOKUP(A658,'Прайс лист'!B600:G638,6,0)</f>
        <v>1700</v>
      </c>
      <c r="E658" s="837" t="n">
        <f aca="false">C658*D658</f>
        <v>0</v>
      </c>
      <c r="F658" s="1579"/>
      <c r="G658" s="2663" t="str">
        <f aca="false">G273</f>
        <v>утеплитель</v>
      </c>
      <c r="H658" s="2663" t="str">
        <f aca="false">I273</f>
        <v>м2</v>
      </c>
      <c r="I658" s="2663" t="n">
        <f aca="false">C638*IF(A658='Прайс лист'!B600,0,1)*H632</f>
        <v>0</v>
      </c>
      <c r="J658" s="2663" t="n">
        <f aca="false">K273</f>
        <v>200</v>
      </c>
      <c r="K658" s="876" t="n">
        <f aca="false">I658*J658</f>
        <v>0</v>
      </c>
      <c r="M658" s="1580"/>
      <c r="N658" s="1580"/>
      <c r="O658" s="1580"/>
      <c r="P658" s="1580"/>
      <c r="Q658" s="1580"/>
      <c r="R658" s="1580"/>
      <c r="S658" s="1580"/>
      <c r="T658" s="1580"/>
      <c r="U658" s="1580"/>
    </row>
    <row r="659" customFormat="false" ht="15" hidden="false" customHeight="true" outlineLevel="0" collapsed="false">
      <c r="A659" s="837" t="str">
        <f aca="false">A274</f>
        <v>Металлочерепица</v>
      </c>
      <c r="B659" s="837" t="str">
        <f aca="false">B274</f>
        <v>м2</v>
      </c>
      <c r="C659" s="837" t="n">
        <f aca="false">C637*1.2*C634*G632</f>
        <v>7.2</v>
      </c>
      <c r="D659" s="837" t="n">
        <f aca="false">D274</f>
        <v>250</v>
      </c>
      <c r="E659" s="837" t="n">
        <f aca="false">C659*D659</f>
        <v>1800</v>
      </c>
      <c r="F659" s="1579"/>
      <c r="G659" s="2663" t="str">
        <f aca="false">G274</f>
        <v>карнизная планка</v>
      </c>
      <c r="H659" s="2663" t="str">
        <f aca="false">I274</f>
        <v>м2</v>
      </c>
      <c r="I659" s="2663" t="n">
        <f aca="false">C660*H632+C664*H632</f>
        <v>0</v>
      </c>
      <c r="J659" s="2663" t="n">
        <f aca="false">K274</f>
        <v>100</v>
      </c>
      <c r="K659" s="876" t="n">
        <f aca="false">I659*J659</f>
        <v>0</v>
      </c>
    </row>
    <row r="660" customFormat="false" ht="15" hidden="false" customHeight="true" outlineLevel="0" collapsed="false">
      <c r="A660" s="837" t="str">
        <f aca="false">A275</f>
        <v>Карнизная планка</v>
      </c>
      <c r="B660" s="837" t="str">
        <f aca="false">B275</f>
        <v>м.п.</v>
      </c>
      <c r="C660" s="837" t="n">
        <f aca="false">(дома!P1197+дома!Q1198)*1.1*(C634+C636)*G632</f>
        <v>0</v>
      </c>
      <c r="D660" s="837" t="n">
        <f aca="false">D275</f>
        <v>190</v>
      </c>
      <c r="E660" s="837" t="n">
        <f aca="false">C660*D660</f>
        <v>0</v>
      </c>
      <c r="F660" s="1579"/>
      <c r="G660" s="2663" t="str">
        <f aca="false">G275</f>
        <v>торцевая планка</v>
      </c>
      <c r="H660" s="2663" t="str">
        <f aca="false">I275</f>
        <v>м2</v>
      </c>
      <c r="I660" s="2663" t="n">
        <f aca="false">C661*H632+C665*H632</f>
        <v>0</v>
      </c>
      <c r="J660" s="2663" t="n">
        <f aca="false">K275</f>
        <v>100</v>
      </c>
      <c r="K660" s="876" t="n">
        <f aca="false">I660*J660</f>
        <v>0</v>
      </c>
    </row>
    <row r="661" customFormat="false" ht="15" hidden="false" customHeight="true" outlineLevel="0" collapsed="false">
      <c r="A661" s="837" t="str">
        <f aca="false">A276</f>
        <v>Торцевая планка</v>
      </c>
      <c r="B661" s="837" t="str">
        <f aca="false">B276</f>
        <v>м.п.</v>
      </c>
      <c r="C661" s="837" t="n">
        <f aca="false">(дома!P1199+дома!Q1200)*1.1*(C634+C636)*G632</f>
        <v>0</v>
      </c>
      <c r="D661" s="837" t="n">
        <f aca="false">D276</f>
        <v>190</v>
      </c>
      <c r="E661" s="837" t="n">
        <f aca="false">C661*D661</f>
        <v>0</v>
      </c>
      <c r="F661" s="1579"/>
      <c r="G661" s="2663" t="str">
        <f aca="false">G276</f>
        <v>конек</v>
      </c>
      <c r="H661" s="2663" t="str">
        <f aca="false">I276</f>
        <v>м.п.</v>
      </c>
      <c r="I661" s="2663" t="n">
        <f aca="false">C662*H632+C666*H632</f>
        <v>0</v>
      </c>
      <c r="J661" s="2663" t="n">
        <f aca="false">K276</f>
        <v>300</v>
      </c>
      <c r="K661" s="876" t="n">
        <f aca="false">I661*J661</f>
        <v>0</v>
      </c>
    </row>
    <row r="662" customFormat="false" ht="15" hidden="false" customHeight="true" outlineLevel="0" collapsed="false">
      <c r="A662" s="837" t="str">
        <f aca="false">A277</f>
        <v>Конек</v>
      </c>
      <c r="B662" s="837" t="str">
        <f aca="false">B277</f>
        <v>м.п.</v>
      </c>
      <c r="C662" s="837" t="n">
        <f aca="false">C639*1.1*(C634)*G632</f>
        <v>0</v>
      </c>
      <c r="D662" s="837" t="n">
        <f aca="false">D277</f>
        <v>200</v>
      </c>
      <c r="E662" s="837" t="n">
        <f aca="false">C662*D662</f>
        <v>0</v>
      </c>
      <c r="F662" s="1579"/>
      <c r="G662" s="2663" t="str">
        <f aca="false">G277</f>
        <v>желоб водосточный</v>
      </c>
      <c r="H662" s="2663" t="str">
        <f aca="false">I277</f>
        <v>м.п.</v>
      </c>
      <c r="I662" s="2663" t="n">
        <f aca="false">C682*H632</f>
        <v>0</v>
      </c>
      <c r="J662" s="2663" t="n">
        <f aca="false">K277</f>
        <v>300</v>
      </c>
      <c r="K662" s="876" t="n">
        <f aca="false">I662*J662</f>
        <v>0</v>
      </c>
    </row>
    <row r="663" customFormat="false" ht="15" hidden="false" customHeight="true" outlineLevel="0" collapsed="false">
      <c r="A663" s="837" t="str">
        <f aca="false">A278</f>
        <v>ондулин</v>
      </c>
      <c r="B663" s="837" t="str">
        <f aca="false">B278</f>
        <v>м2</v>
      </c>
      <c r="C663" s="837" t="n">
        <f aca="false">C637*1.2*C635*G632</f>
        <v>0</v>
      </c>
      <c r="D663" s="837" t="n">
        <f aca="false">D278</f>
        <v>180</v>
      </c>
      <c r="E663" s="837" t="n">
        <f aca="false">C663*D663</f>
        <v>0</v>
      </c>
      <c r="F663" s="1579"/>
      <c r="G663" s="2663" t="str">
        <f aca="false">G278</f>
        <v>труба водосточная</v>
      </c>
      <c r="H663" s="2663" t="str">
        <f aca="false">I278</f>
        <v>м.п.</v>
      </c>
      <c r="I663" s="2663" t="n">
        <f aca="false">C684*H632</f>
        <v>11.34</v>
      </c>
      <c r="J663" s="2663" t="n">
        <f aca="false">K278</f>
        <v>300</v>
      </c>
      <c r="K663" s="876" t="n">
        <f aca="false">I663*J663</f>
        <v>3402</v>
      </c>
    </row>
    <row r="664" customFormat="false" ht="15" hidden="false" customHeight="true" outlineLevel="0" collapsed="false">
      <c r="A664" s="837" t="str">
        <f aca="false">A279</f>
        <v>Карнизная планка</v>
      </c>
      <c r="B664" s="837" t="str">
        <f aca="false">B279</f>
        <v>м.п.</v>
      </c>
      <c r="C664" s="837" t="n">
        <f aca="false">(дома!P1197+дома!Q1198)*1.1*(C635)*G632</f>
        <v>0</v>
      </c>
      <c r="D664" s="837" t="n">
        <f aca="false">D279</f>
        <v>190</v>
      </c>
      <c r="E664" s="837" t="n">
        <f aca="false">C664*D664</f>
        <v>0</v>
      </c>
      <c r="F664" s="1579"/>
      <c r="G664" s="2663" t="str">
        <f aca="false">G279</f>
        <v>Монтаж фанеры/osb</v>
      </c>
      <c r="H664" s="2663" t="str">
        <f aca="false">I279</f>
        <v>м2</v>
      </c>
      <c r="I664" s="2663" t="n">
        <f aca="false">C637*IF(A671='Прайс лист'!B863,0,1)*H632</f>
        <v>0</v>
      </c>
      <c r="J664" s="2663" t="n">
        <f aca="false">K279</f>
        <v>200</v>
      </c>
      <c r="K664" s="876" t="n">
        <f aca="false">I664*J664</f>
        <v>0</v>
      </c>
    </row>
    <row r="665" customFormat="false" ht="15" hidden="false" customHeight="true" outlineLevel="0" collapsed="false">
      <c r="A665" s="837" t="str">
        <f aca="false">A280</f>
        <v>Торцевая планка</v>
      </c>
      <c r="B665" s="837" t="str">
        <f aca="false">B280</f>
        <v>м.п.</v>
      </c>
      <c r="C665" s="837" t="n">
        <f aca="false">(дома!P1199+дома!Q1200)*1.1*(C635)*G632</f>
        <v>0</v>
      </c>
      <c r="D665" s="837" t="n">
        <f aca="false">D280</f>
        <v>190</v>
      </c>
      <c r="E665" s="837" t="n">
        <f aca="false">C665*D665</f>
        <v>0</v>
      </c>
      <c r="F665" s="1579"/>
      <c r="G665" s="2663" t="str">
        <f aca="false">G280</f>
        <v>монтаж подкладочного ковра</v>
      </c>
      <c r="H665" s="2663" t="str">
        <f aca="false">I280</f>
        <v>м2</v>
      </c>
      <c r="I665" s="2663" t="n">
        <f aca="false">C637*C636*H632</f>
        <v>0</v>
      </c>
      <c r="J665" s="2663" t="n">
        <f aca="false">K280</f>
        <v>150</v>
      </c>
      <c r="K665" s="876" t="n">
        <f aca="false">I665*J665</f>
        <v>0</v>
      </c>
    </row>
    <row r="666" customFormat="false" ht="15" hidden="false" customHeight="true" outlineLevel="0" collapsed="false">
      <c r="A666" s="837" t="str">
        <f aca="false">A281</f>
        <v>Конек</v>
      </c>
      <c r="B666" s="837" t="str">
        <f aca="false">B281</f>
        <v>м.п</v>
      </c>
      <c r="C666" s="837" t="n">
        <f aca="false">C639*1.1*C635*G632</f>
        <v>0</v>
      </c>
      <c r="D666" s="837" t="n">
        <f aca="false">D281</f>
        <v>200</v>
      </c>
      <c r="E666" s="837" t="n">
        <f aca="false">C666*D666</f>
        <v>0</v>
      </c>
      <c r="F666" s="1579"/>
      <c r="G666" s="2663" t="str">
        <f aca="false">G281</f>
        <v>Монтаж мягкой кровли</v>
      </c>
      <c r="H666" s="2663" t="str">
        <f aca="false">I281</f>
        <v>м2</v>
      </c>
      <c r="I666" s="2663" t="n">
        <f aca="false">C637*C636*H632</f>
        <v>0</v>
      </c>
      <c r="J666" s="2663" t="n">
        <f aca="false">K281</f>
        <v>350</v>
      </c>
      <c r="K666" s="876" t="n">
        <f aca="false">I666*J666</f>
        <v>0</v>
      </c>
    </row>
    <row r="667" customFormat="false" ht="15" hidden="false" customHeight="true" outlineLevel="0" collapsed="false">
      <c r="A667" s="837" t="str">
        <f aca="false">A282</f>
        <v>Ендова нижняя</v>
      </c>
      <c r="B667" s="837" t="str">
        <f aca="false">B282</f>
        <v>м.п.</v>
      </c>
      <c r="C667" s="837" t="n">
        <v>0</v>
      </c>
      <c r="D667" s="837" t="n">
        <f aca="false">D282</f>
        <v>160</v>
      </c>
      <c r="E667" s="837" t="n">
        <f aca="false">C667*D667</f>
        <v>0</v>
      </c>
      <c r="F667" s="1579"/>
    </row>
    <row r="668" customFormat="false" ht="15" hidden="false" customHeight="true" outlineLevel="0" collapsed="false">
      <c r="A668" s="837" t="str">
        <f aca="false">A283</f>
        <v>Ендова верхняя</v>
      </c>
      <c r="B668" s="837" t="str">
        <f aca="false">B283</f>
        <v>м.п.</v>
      </c>
      <c r="C668" s="837" t="n">
        <v>0</v>
      </c>
      <c r="D668" s="837" t="n">
        <f aca="false">D283</f>
        <v>190</v>
      </c>
      <c r="E668" s="837" t="n">
        <f aca="false">C668*D668</f>
        <v>0</v>
      </c>
      <c r="F668" s="1579"/>
      <c r="G668" s="2663"/>
      <c r="H668" s="2663"/>
      <c r="I668" s="2663"/>
      <c r="J668" s="2663"/>
      <c r="K668" s="876"/>
    </row>
    <row r="669" customFormat="false" ht="15" hidden="false" customHeight="true" outlineLevel="0" collapsed="false">
      <c r="A669" s="837" t="str">
        <f aca="false">A284</f>
        <v>Планка примыкания</v>
      </c>
      <c r="B669" s="837" t="str">
        <f aca="false">B284</f>
        <v>м.п.</v>
      </c>
      <c r="C669" s="837" t="n">
        <v>0</v>
      </c>
      <c r="D669" s="837" t="n">
        <f aca="false">D284</f>
        <v>190</v>
      </c>
      <c r="E669" s="837" t="n">
        <f aca="false">C669*D669</f>
        <v>0</v>
      </c>
      <c r="F669" s="1579"/>
      <c r="G669" s="2663"/>
      <c r="H669" s="2663"/>
      <c r="I669" s="2663"/>
      <c r="J669" s="2663"/>
      <c r="K669" s="876"/>
    </row>
    <row r="670" customFormat="false" ht="15" hidden="false" customHeight="true" outlineLevel="0" collapsed="false">
      <c r="A670" s="837" t="str">
        <f aca="false">A285</f>
        <v>Крепеж для ондулина</v>
      </c>
      <c r="B670" s="837" t="str">
        <f aca="false">B285</f>
        <v>шт</v>
      </c>
      <c r="C670" s="837" t="n">
        <f aca="false">C663*12*G632</f>
        <v>0</v>
      </c>
      <c r="D670" s="837" t="n">
        <f aca="false">D285</f>
        <v>4.5</v>
      </c>
      <c r="E670" s="837" t="n">
        <f aca="false">C670*D670</f>
        <v>0</v>
      </c>
      <c r="F670" s="1579"/>
      <c r="G670" s="2663"/>
      <c r="H670" s="2663"/>
      <c r="I670" s="2663"/>
      <c r="J670" s="2663"/>
      <c r="K670" s="876"/>
    </row>
    <row r="671" customFormat="false" ht="15" hidden="false" customHeight="true" outlineLevel="0" collapsed="false">
      <c r="A671" s="837" t="str">
        <f aca="false">'Ввод данных'!A268</f>
        <v>нет</v>
      </c>
      <c r="B671" s="837" t="str">
        <f aca="false">B286</f>
        <v>м2</v>
      </c>
      <c r="C671" s="837" t="n">
        <f aca="false">C286*G632</f>
        <v>116.359004924529</v>
      </c>
      <c r="D671" s="837" t="n">
        <f aca="false">VLOOKUP(A671,'Прайс лист'!B863:G907,6,0)</f>
        <v>0</v>
      </c>
      <c r="E671" s="837" t="n">
        <f aca="false">C671*D671</f>
        <v>0</v>
      </c>
      <c r="F671" s="1579"/>
    </row>
    <row r="672" customFormat="false" ht="15" hidden="false" customHeight="true" outlineLevel="0" collapsed="false">
      <c r="A672" s="837" t="str">
        <f aca="false">A287</f>
        <v>Рядовая черепица</v>
      </c>
      <c r="B672" s="837" t="str">
        <f aca="false">B287</f>
        <v>м2</v>
      </c>
      <c r="C672" s="837" t="n">
        <f aca="false">C637*1.05*C636*G632-C675*0.2*G632</f>
        <v>0</v>
      </c>
      <c r="D672" s="837" t="n">
        <f aca="false">D287</f>
        <v>360</v>
      </c>
      <c r="E672" s="837" t="n">
        <f aca="false">C672*D672</f>
        <v>0</v>
      </c>
      <c r="F672" s="1579"/>
    </row>
    <row r="673" customFormat="false" ht="15" hidden="false" customHeight="true" outlineLevel="0" collapsed="false">
      <c r="A673" s="837" t="str">
        <f aca="false">A288</f>
        <v>Металл оцинк защита (карниз)</v>
      </c>
      <c r="B673" s="837" t="str">
        <f aca="false">B288</f>
        <v>м.п.</v>
      </c>
      <c r="C673" s="837" t="n">
        <f aca="false">C639*C636*G632</f>
        <v>0</v>
      </c>
      <c r="D673" s="837" t="n">
        <f aca="false">D288</f>
        <v>200</v>
      </c>
      <c r="E673" s="837" t="n">
        <f aca="false">C673*D673</f>
        <v>0</v>
      </c>
      <c r="F673" s="1579"/>
    </row>
    <row r="674" customFormat="false" ht="15" hidden="false" customHeight="true" outlineLevel="0" collapsed="false">
      <c r="A674" s="837" t="str">
        <f aca="false">A289</f>
        <v>Подкладочный ковер</v>
      </c>
      <c r="B674" s="837" t="str">
        <f aca="false">B289</f>
        <v>м.п.</v>
      </c>
      <c r="C674" s="837" t="n">
        <f aca="false">C637*1.2*C636*G632</f>
        <v>0</v>
      </c>
      <c r="D674" s="837" t="n">
        <f aca="false">D289</f>
        <v>220</v>
      </c>
      <c r="E674" s="837" t="n">
        <f aca="false">C674*D674</f>
        <v>0</v>
      </c>
      <c r="F674" s="1579"/>
    </row>
    <row r="675" customFormat="false" ht="15" hidden="false" customHeight="true" outlineLevel="0" collapsed="false">
      <c r="A675" s="837" t="str">
        <f aca="false">A290</f>
        <v>Карнизная самоклеющаяся черепица</v>
      </c>
      <c r="B675" s="837" t="str">
        <f aca="false">B290</f>
        <v>м.п.</v>
      </c>
      <c r="C675" s="837" t="n">
        <f aca="false">C673*G632</f>
        <v>0</v>
      </c>
      <c r="D675" s="837" t="n">
        <f aca="false">D290</f>
        <v>220</v>
      </c>
      <c r="E675" s="837" t="n">
        <f aca="false">C675*D675</f>
        <v>0</v>
      </c>
      <c r="F675" s="1579"/>
    </row>
    <row r="676" customFormat="false" ht="15" hidden="false" customHeight="true" outlineLevel="0" collapsed="false">
      <c r="A676" s="837" t="str">
        <f aca="false">A291</f>
        <v>Спец ковер ендова нижняя</v>
      </c>
      <c r="B676" s="837" t="str">
        <f aca="false">B291</f>
        <v>м.п.</v>
      </c>
      <c r="C676" s="837" t="n">
        <v>0</v>
      </c>
      <c r="D676" s="837" t="n">
        <f aca="false">D291</f>
        <v>200</v>
      </c>
      <c r="E676" s="837" t="n">
        <f aca="false">C676*D676</f>
        <v>0</v>
      </c>
      <c r="F676" s="1579"/>
    </row>
    <row r="677" customFormat="false" ht="15" hidden="false" customHeight="true" outlineLevel="0" collapsed="false">
      <c r="A677" s="837" t="str">
        <f aca="false">A292</f>
        <v>Коньковой элемент</v>
      </c>
      <c r="B677" s="837" t="str">
        <f aca="false">B292</f>
        <v>м.п.</v>
      </c>
      <c r="C677" s="837" t="n">
        <f aca="false">C639*1.1*C636*G632</f>
        <v>0</v>
      </c>
      <c r="D677" s="837" t="n">
        <f aca="false">D292</f>
        <v>250</v>
      </c>
      <c r="E677" s="837" t="n">
        <f aca="false">C677*D677</f>
        <v>0</v>
      </c>
      <c r="F677" s="1579"/>
    </row>
    <row r="678" customFormat="false" ht="15" hidden="false" customHeight="true" outlineLevel="0" collapsed="false">
      <c r="A678" s="837" t="str">
        <f aca="false">A293</f>
        <v>Планка премыкания</v>
      </c>
      <c r="B678" s="837" t="str">
        <f aca="false">B293</f>
        <v>м.п.</v>
      </c>
      <c r="C678" s="837" t="n">
        <v>0</v>
      </c>
      <c r="D678" s="837" t="n">
        <f aca="false">D293</f>
        <v>200</v>
      </c>
      <c r="E678" s="837" t="n">
        <f aca="false">C678*D678</f>
        <v>0</v>
      </c>
      <c r="F678" s="1579"/>
    </row>
    <row r="679" customFormat="false" ht="15" hidden="false" customHeight="true" outlineLevel="0" collapsed="false">
      <c r="A679" s="837" t="str">
        <f aca="false">A294</f>
        <v>Гвозди для крепления подкладочного ковра</v>
      </c>
      <c r="B679" s="837" t="str">
        <f aca="false">B294</f>
        <v>шт</v>
      </c>
      <c r="C679" s="837" t="n">
        <f aca="false">C674*12*G632</f>
        <v>0</v>
      </c>
      <c r="D679" s="837" t="n">
        <f aca="false">D294</f>
        <v>0.012</v>
      </c>
      <c r="E679" s="837" t="n">
        <f aca="false">C679*D679</f>
        <v>0</v>
      </c>
      <c r="F679" s="1579"/>
    </row>
    <row r="680" customFormat="false" ht="15" hidden="false" customHeight="true" outlineLevel="0" collapsed="false">
      <c r="A680" s="837" t="str">
        <f aca="false">A295</f>
        <v>Гвозди для крепления черепицы</v>
      </c>
      <c r="B680" s="837" t="str">
        <f aca="false">B295</f>
        <v>шт</v>
      </c>
      <c r="C680" s="837" t="n">
        <f aca="false">C637*1.2*22*C636*G632</f>
        <v>0</v>
      </c>
      <c r="D680" s="837" t="n">
        <f aca="false">D295</f>
        <v>0.25</v>
      </c>
      <c r="E680" s="837" t="n">
        <f aca="false">C680*D680</f>
        <v>0</v>
      </c>
      <c r="F680" s="1579"/>
    </row>
    <row r="681" customFormat="false" ht="15" hidden="false" customHeight="true" outlineLevel="0" collapsed="false">
      <c r="A681" s="837" t="str">
        <f aca="false">A296</f>
        <v>Клей для монтажа черепицы</v>
      </c>
      <c r="B681" s="837" t="str">
        <f aca="false">B296</f>
        <v>кг</v>
      </c>
      <c r="C681" s="837" t="n">
        <f aca="false">C637*C636*G632</f>
        <v>0</v>
      </c>
      <c r="D681" s="837" t="n">
        <f aca="false">D296</f>
        <v>250</v>
      </c>
      <c r="E681" s="837" t="n">
        <f aca="false">C681*D681</f>
        <v>0</v>
      </c>
      <c r="F681" s="1579"/>
    </row>
    <row r="682" customFormat="false" ht="15" hidden="false" customHeight="true" outlineLevel="0" collapsed="false">
      <c r="A682" s="837" t="str">
        <f aca="false">A297</f>
        <v>желоб</v>
      </c>
      <c r="B682" s="837" t="str">
        <f aca="false">B297</f>
        <v>м.п</v>
      </c>
      <c r="C682" s="837" t="n">
        <f aca="false">(дома!P1195+дома!Q1196)*G632</f>
        <v>0</v>
      </c>
      <c r="D682" s="837" t="n">
        <f aca="false">D297</f>
        <v>300</v>
      </c>
      <c r="E682" s="837" t="n">
        <f aca="false">C682*D682</f>
        <v>0</v>
      </c>
      <c r="F682" s="1579"/>
      <c r="G682" s="739"/>
      <c r="H682" s="739"/>
      <c r="I682" s="837"/>
      <c r="J682" s="876"/>
      <c r="K682" s="2642"/>
      <c r="L682" s="837"/>
    </row>
    <row r="683" customFormat="false" ht="15" hidden="false" customHeight="true" outlineLevel="0" collapsed="false">
      <c r="A683" s="837" t="str">
        <f aca="false">A298</f>
        <v>отвод</v>
      </c>
      <c r="B683" s="837" t="str">
        <f aca="false">B298</f>
        <v>шт</v>
      </c>
      <c r="C683" s="837" t="n">
        <f aca="false">IF(AND(C639&lt;6,C639=6),1,2)*G632</f>
        <v>2</v>
      </c>
      <c r="D683" s="837" t="n">
        <f aca="false">D298</f>
        <v>250</v>
      </c>
      <c r="E683" s="837" t="n">
        <f aca="false">C683*D683</f>
        <v>500</v>
      </c>
      <c r="F683" s="1579"/>
      <c r="G683" s="739"/>
      <c r="H683" s="739"/>
      <c r="I683" s="837"/>
      <c r="J683" s="876"/>
      <c r="K683" s="2642"/>
      <c r="L683" s="837"/>
    </row>
    <row r="684" customFormat="false" ht="15" hidden="false" customHeight="true" outlineLevel="0" collapsed="false">
      <c r="A684" s="837" t="str">
        <f aca="false">A299</f>
        <v>труба водосточная</v>
      </c>
      <c r="B684" s="837" t="str">
        <f aca="false">B299</f>
        <v>м.п.</v>
      </c>
      <c r="C684" s="837" t="n">
        <f aca="false">IF(C683=1,(E236+F236+1)*1.1,(E236+F236+1)*2.1)*G632</f>
        <v>11.34</v>
      </c>
      <c r="D684" s="837" t="n">
        <f aca="false">D299</f>
        <v>300</v>
      </c>
      <c r="E684" s="837" t="n">
        <f aca="false">C684*D684</f>
        <v>3402</v>
      </c>
      <c r="F684" s="1579"/>
      <c r="G684" s="739"/>
      <c r="H684" s="739"/>
      <c r="I684" s="837"/>
      <c r="J684" s="876"/>
      <c r="K684" s="2642"/>
      <c r="L684" s="837"/>
    </row>
    <row r="685" customFormat="false" ht="15" hidden="false" customHeight="true" outlineLevel="0" collapsed="false">
      <c r="A685" s="837" t="str">
        <f aca="false">A300</f>
        <v>заглушка для желоба</v>
      </c>
      <c r="B685" s="837" t="str">
        <f aca="false">B300</f>
        <v>шт</v>
      </c>
      <c r="C685" s="837" t="n">
        <f aca="false">2</f>
        <v>2</v>
      </c>
      <c r="D685" s="837" t="n">
        <f aca="false">D300</f>
        <v>190</v>
      </c>
      <c r="E685" s="837" t="n">
        <f aca="false">C685*D685</f>
        <v>380</v>
      </c>
      <c r="F685" s="1579"/>
      <c r="G685" s="739"/>
      <c r="H685" s="739"/>
      <c r="I685" s="876"/>
      <c r="J685" s="876"/>
      <c r="K685" s="2642"/>
      <c r="L685" s="837"/>
    </row>
    <row r="686" customFormat="false" ht="15" hidden="false" customHeight="true" outlineLevel="0" collapsed="false">
      <c r="A686" s="837" t="str">
        <f aca="false">A301</f>
        <v>соеденитель для желоба</v>
      </c>
      <c r="B686" s="837" t="str">
        <f aca="false">B301</f>
        <v>шт</v>
      </c>
      <c r="C686" s="837" t="n">
        <f aca="false">CEILING(C682/2+1,1)</f>
        <v>1</v>
      </c>
      <c r="D686" s="837" t="n">
        <f aca="false">D301</f>
        <v>180</v>
      </c>
      <c r="E686" s="837" t="n">
        <f aca="false">C686*D686</f>
        <v>180</v>
      </c>
      <c r="F686" s="1579"/>
      <c r="G686" s="739"/>
      <c r="H686" s="739"/>
      <c r="I686" s="2587"/>
      <c r="J686" s="2587"/>
      <c r="K686" s="2642"/>
      <c r="L686" s="837"/>
    </row>
    <row r="687" customFormat="false" ht="15" hidden="false" customHeight="true" outlineLevel="0" collapsed="false">
      <c r="A687" s="837" t="str">
        <f aca="false">A302</f>
        <v>кронштейн для желоба</v>
      </c>
      <c r="B687" s="837" t="str">
        <f aca="false">B302</f>
        <v>шт</v>
      </c>
      <c r="C687" s="837" t="n">
        <f aca="false">(C682/0.4+4)*G632</f>
        <v>4</v>
      </c>
      <c r="D687" s="837" t="n">
        <f aca="false">D302</f>
        <v>130</v>
      </c>
      <c r="E687" s="837" t="n">
        <f aca="false">C687*D687</f>
        <v>520</v>
      </c>
      <c r="F687" s="1579"/>
      <c r="G687" s="739"/>
      <c r="H687" s="739"/>
      <c r="I687" s="2587"/>
      <c r="J687" s="2587"/>
      <c r="K687" s="2642"/>
      <c r="L687" s="837"/>
    </row>
    <row r="688" customFormat="false" ht="15" hidden="false" customHeight="true" outlineLevel="0" collapsed="false">
      <c r="A688" s="837" t="str">
        <f aca="false">A303</f>
        <v>переход из желоба в трубу</v>
      </c>
      <c r="B688" s="837" t="str">
        <f aca="false">B303</f>
        <v>шт</v>
      </c>
      <c r="C688" s="837" t="n">
        <f aca="false">C683</f>
        <v>2</v>
      </c>
      <c r="D688" s="837" t="n">
        <f aca="false">D303</f>
        <v>350</v>
      </c>
      <c r="E688" s="837" t="n">
        <f aca="false">C688*D688</f>
        <v>700</v>
      </c>
      <c r="F688" s="1579"/>
      <c r="G688" s="739"/>
      <c r="H688" s="739"/>
      <c r="I688" s="2587"/>
      <c r="J688" s="2587"/>
      <c r="K688" s="2642"/>
      <c r="L688" s="837"/>
    </row>
    <row r="689" customFormat="false" ht="15" hidden="false" customHeight="true" outlineLevel="0" collapsed="false">
      <c r="A689" s="837" t="str">
        <f aca="false">A304</f>
        <v>лента дельта мульти бэнд</v>
      </c>
      <c r="B689" s="837" t="str">
        <f aca="false">B304</f>
        <v>шт</v>
      </c>
      <c r="C689" s="837" t="n">
        <f aca="false">CEILING(C633/20*1.1,1)</f>
        <v>0</v>
      </c>
      <c r="D689" s="837" t="n">
        <f aca="false">D304</f>
        <v>1200</v>
      </c>
      <c r="E689" s="837" t="n">
        <f aca="false">C689*D689</f>
        <v>0</v>
      </c>
      <c r="F689" s="1579"/>
      <c r="G689" s="739"/>
      <c r="H689" s="739"/>
      <c r="I689" s="2587"/>
      <c r="J689" s="2587"/>
      <c r="K689" s="2642"/>
      <c r="L689" s="837"/>
    </row>
    <row r="690" customFormat="false" ht="15" hidden="false" customHeight="true" outlineLevel="0" collapsed="false">
      <c r="A690" s="837" t="str">
        <f aca="false">A305</f>
        <v>лента дельта sb-60</v>
      </c>
      <c r="B690" s="837" t="str">
        <f aca="false">B305</f>
        <v>шт</v>
      </c>
      <c r="C690" s="837" t="n">
        <f aca="false">CEILING(C637/17,1)</f>
        <v>1</v>
      </c>
      <c r="D690" s="837" t="n">
        <f aca="false">D305</f>
        <v>1100</v>
      </c>
      <c r="E690" s="837" t="n">
        <f aca="false">C690*D690</f>
        <v>1100</v>
      </c>
      <c r="F690" s="1579"/>
      <c r="G690" s="739"/>
      <c r="H690" s="739"/>
      <c r="I690" s="2587"/>
      <c r="J690" s="2587"/>
      <c r="K690" s="2642"/>
      <c r="L690" s="837"/>
    </row>
    <row r="691" customFormat="false" ht="15" hidden="false" customHeight="true" outlineLevel="0" collapsed="false">
      <c r="A691" s="837" t="str">
        <f aca="false">A306</f>
        <v>проходка кровельная, канализационная</v>
      </c>
      <c r="B691" s="837" t="str">
        <f aca="false">B306</f>
        <v>шт</v>
      </c>
      <c r="C691" s="837" t="n">
        <f aca="false">C643</f>
        <v>0</v>
      </c>
      <c r="D691" s="837" t="n">
        <f aca="false">D306</f>
        <v>3500</v>
      </c>
      <c r="E691" s="837" t="n">
        <f aca="false">C691*D691</f>
        <v>0</v>
      </c>
      <c r="F691" s="1579"/>
      <c r="G691" s="739"/>
      <c r="H691" s="739"/>
      <c r="I691" s="2587"/>
      <c r="J691" s="2587"/>
      <c r="K691" s="2642"/>
      <c r="L691" s="837"/>
    </row>
    <row r="692" customFormat="false" ht="15" hidden="false" customHeight="true" outlineLevel="0" collapsed="false">
      <c r="A692" s="837" t="str">
        <f aca="false">A307</f>
        <v>проходка кровельная, вентиляционная</v>
      </c>
      <c r="B692" s="837" t="str">
        <f aca="false">B307</f>
        <v>шт</v>
      </c>
      <c r="C692" s="837" t="n">
        <f aca="false">C644</f>
        <v>0</v>
      </c>
      <c r="D692" s="837" t="n">
        <f aca="false">D307</f>
        <v>3500</v>
      </c>
      <c r="E692" s="837" t="n">
        <f aca="false">C692*D692</f>
        <v>0</v>
      </c>
      <c r="F692" s="1579"/>
      <c r="G692" s="739"/>
      <c r="H692" s="739"/>
      <c r="I692" s="2587"/>
      <c r="J692" s="2587"/>
      <c r="K692" s="2642"/>
      <c r="L692" s="837"/>
    </row>
    <row r="693" customFormat="false" ht="15" hidden="false" customHeight="true" outlineLevel="0" collapsed="false">
      <c r="A693" s="837" t="str">
        <f aca="false">A308</f>
        <v>проодка кровельная, труба котел</v>
      </c>
      <c r="B693" s="837" t="str">
        <f aca="false">B308</f>
        <v>шт</v>
      </c>
      <c r="C693" s="837" t="n">
        <f aca="false">C645</f>
        <v>0</v>
      </c>
      <c r="D693" s="837" t="n">
        <f aca="false">D308</f>
        <v>4500</v>
      </c>
      <c r="E693" s="837" t="n">
        <f aca="false">C693*D693</f>
        <v>0</v>
      </c>
      <c r="F693" s="1579"/>
      <c r="G693" s="739"/>
      <c r="H693" s="739"/>
      <c r="I693" s="2587"/>
      <c r="J693" s="2587"/>
      <c r="K693" s="2642"/>
      <c r="L693" s="837"/>
    </row>
    <row r="694" customFormat="false" ht="15" hidden="false" customHeight="true" outlineLevel="0" collapsed="false">
      <c r="A694" s="837" t="str">
        <f aca="false">A309</f>
        <v>Кровельный саморез</v>
      </c>
      <c r="B694" s="837" t="str">
        <f aca="false">B309</f>
        <v>шт</v>
      </c>
      <c r="C694" s="837" t="n">
        <f aca="false">C659*12*G632</f>
        <v>86.4</v>
      </c>
      <c r="D694" s="837" t="n">
        <f aca="false">D309</f>
        <v>2</v>
      </c>
      <c r="E694" s="837" t="n">
        <f aca="false">C694*D694</f>
        <v>172.8</v>
      </c>
      <c r="F694" s="1579"/>
      <c r="G694" s="739"/>
      <c r="H694" s="739"/>
      <c r="I694" s="2587"/>
      <c r="J694" s="2587"/>
      <c r="K694" s="2642"/>
      <c r="L694" s="837"/>
    </row>
    <row r="695" customFormat="false" ht="15" hidden="false" customHeight="true" outlineLevel="0" collapsed="false">
      <c r="A695" s="837" t="str">
        <f aca="false">A310</f>
        <v>Гвозди ершоные 3,4 x 60            </v>
      </c>
      <c r="B695" s="837" t="str">
        <f aca="false">B310</f>
        <v>кг</v>
      </c>
      <c r="C695" s="837" t="n">
        <f aca="false">C637*0.1*G632</f>
        <v>0.6</v>
      </c>
      <c r="D695" s="837" t="n">
        <f aca="false">D310</f>
        <v>75.51</v>
      </c>
      <c r="E695" s="837" t="n">
        <f aca="false">C695*D695</f>
        <v>45.306</v>
      </c>
      <c r="F695" s="1579"/>
      <c r="G695" s="739"/>
      <c r="H695" s="739"/>
      <c r="I695" s="2587"/>
      <c r="J695" s="2587"/>
      <c r="K695" s="2642"/>
      <c r="L695" s="837"/>
    </row>
    <row r="696" customFormat="false" ht="15" hidden="false" customHeight="true" outlineLevel="0" collapsed="false">
      <c r="A696" s="837" t="str">
        <f aca="false">A311</f>
        <v>Гвозди ершоные 2,8 х 90            </v>
      </c>
      <c r="B696" s="837" t="str">
        <f aca="false">B311</f>
        <v>кг</v>
      </c>
      <c r="C696" s="837" t="n">
        <f aca="false">(C649+C650+C651+C653)*3*G632</f>
        <v>0.5661</v>
      </c>
      <c r="D696" s="837" t="n">
        <f aca="false">D311</f>
        <v>76.49</v>
      </c>
      <c r="E696" s="837" t="n">
        <f aca="false">C696*D696</f>
        <v>43.300989</v>
      </c>
      <c r="F696" s="1579"/>
      <c r="G696" s="739"/>
      <c r="H696" s="739"/>
      <c r="I696" s="2587"/>
      <c r="J696" s="2587"/>
      <c r="K696" s="2642"/>
      <c r="L696" s="837"/>
    </row>
    <row r="697" customFormat="false" ht="15" hidden="false" customHeight="true" outlineLevel="0" collapsed="false">
      <c r="A697" s="837" t="str">
        <f aca="false">A312</f>
        <v>Пластина соеденительная 100х240х2           </v>
      </c>
      <c r="B697" s="837" t="str">
        <f aca="false">B312</f>
        <v>шт</v>
      </c>
      <c r="C697" s="837" t="n">
        <v>0</v>
      </c>
      <c r="D697" s="837" t="n">
        <f aca="false">D312</f>
        <v>31.54</v>
      </c>
      <c r="E697" s="837" t="n">
        <f aca="false">C697*D697</f>
        <v>0</v>
      </c>
      <c r="F697" s="1579"/>
      <c r="G697" s="739"/>
      <c r="H697" s="739"/>
      <c r="I697" s="2587"/>
      <c r="J697" s="2587"/>
      <c r="K697" s="2642"/>
      <c r="L697" s="837"/>
    </row>
    <row r="698" customFormat="false" ht="15" hidden="false" customHeight="true" outlineLevel="0" collapsed="false">
      <c r="A698" s="837" t="str">
        <f aca="false">A313</f>
        <v>Уголок усиленный 90х70х55х2,5        </v>
      </c>
      <c r="B698" s="837" t="str">
        <f aca="false">B313</f>
        <v>шт</v>
      </c>
      <c r="C698" s="837" t="n">
        <f aca="false">CEILING((C639/0.6+2)*3,1)</f>
        <v>6</v>
      </c>
      <c r="D698" s="837" t="n">
        <f aca="false">D313</f>
        <v>30</v>
      </c>
      <c r="E698" s="837" t="n">
        <f aca="false">C698*D698</f>
        <v>180</v>
      </c>
      <c r="F698" s="1579"/>
      <c r="G698" s="739"/>
      <c r="H698" s="739"/>
      <c r="I698" s="2587"/>
      <c r="J698" s="2587"/>
      <c r="K698" s="2642"/>
      <c r="L698" s="837"/>
    </row>
    <row r="699" customFormat="false" ht="15" hidden="false" customHeight="true" outlineLevel="0" collapsed="false">
      <c r="A699" s="837" t="str">
        <f aca="false">'Ввод данных'!A280</f>
        <v>Нет техники</v>
      </c>
      <c r="B699" s="837" t="str">
        <f aca="false">'Ввод данных'!B280</f>
        <v>ед.</v>
      </c>
      <c r="C699" s="837" t="n">
        <f aca="false">'Ввод данных'!C280</f>
        <v>0</v>
      </c>
      <c r="D699" s="837" t="n">
        <f aca="false">VLOOKUP(A699,'Прайс лист'!B192:G206,6,0)</f>
        <v>0</v>
      </c>
      <c r="E699" s="837" t="n">
        <f aca="false">C699*D699</f>
        <v>0</v>
      </c>
      <c r="F699" s="1579"/>
      <c r="G699" s="919"/>
      <c r="H699" s="919"/>
      <c r="I699" s="2583"/>
      <c r="J699" s="2583"/>
      <c r="K699" s="2643"/>
      <c r="L699" s="837"/>
    </row>
    <row r="700" customFormat="false" ht="15" hidden="false" customHeight="true" outlineLevel="0" collapsed="false">
      <c r="A700" s="837" t="str">
        <f aca="false">'Ввод данных'!A281</f>
        <v>Нет техники</v>
      </c>
      <c r="B700" s="837" t="str">
        <f aca="false">'Ввод данных'!B281</f>
        <v>ед.</v>
      </c>
      <c r="C700" s="837" t="n">
        <f aca="false">'Ввод данных'!C281</f>
        <v>0</v>
      </c>
      <c r="D700" s="837" t="n">
        <f aca="false">VLOOKUP(A700,'Прайс лист'!B192:G206,6,0)</f>
        <v>0</v>
      </c>
      <c r="E700" s="837" t="n">
        <f aca="false">C700*D700</f>
        <v>0</v>
      </c>
      <c r="F700" s="1579"/>
      <c r="G700" s="919"/>
      <c r="H700" s="919"/>
      <c r="I700" s="2583"/>
      <c r="J700" s="2583"/>
      <c r="K700" s="2643"/>
      <c r="L700" s="837"/>
    </row>
    <row r="701" customFormat="false" ht="15" hidden="false" customHeight="true" outlineLevel="0" collapsed="false">
      <c r="A701" s="837" t="str">
        <f aca="false">'Ввод данных'!A283</f>
        <v>расходные материалы односкатная кровля</v>
      </c>
      <c r="B701" s="837" t="str">
        <f aca="false">'Ввод данных'!B283</f>
        <v>рублей</v>
      </c>
      <c r="C701" s="837" t="n">
        <f aca="false">1</f>
        <v>1</v>
      </c>
      <c r="D701" s="837" t="n">
        <f aca="false">'Ввод данных'!C283</f>
        <v>3000</v>
      </c>
      <c r="E701" s="837" t="n">
        <f aca="false">C701*D701</f>
        <v>3000</v>
      </c>
      <c r="F701" s="1579"/>
      <c r="G701" s="919"/>
      <c r="H701" s="919"/>
      <c r="I701" s="2583"/>
      <c r="J701" s="2583"/>
      <c r="K701" s="2643"/>
      <c r="L701" s="837"/>
    </row>
    <row r="702" customFormat="false" ht="15" hidden="false" customHeight="true" outlineLevel="0" collapsed="false">
      <c r="A702" s="1579"/>
      <c r="B702" s="1579"/>
      <c r="C702" s="1579"/>
      <c r="D702" s="1579"/>
      <c r="E702" s="837" t="n">
        <f aca="false">SUM(E649:E701)</f>
        <v>13679.256989</v>
      </c>
      <c r="F702" s="1579"/>
      <c r="G702" s="1579"/>
      <c r="H702" s="1580"/>
      <c r="I702" s="1580"/>
      <c r="J702" s="1580"/>
      <c r="K702" s="3069"/>
      <c r="L702" s="2587"/>
    </row>
    <row r="703" customFormat="false" ht="15" hidden="false" customHeight="true" outlineLevel="0" collapsed="false">
      <c r="A703" s="837" t="s">
        <v>2920</v>
      </c>
      <c r="B703" s="2636" t="n">
        <f aca="false">E702</f>
        <v>13679.256989</v>
      </c>
      <c r="C703" s="1579"/>
      <c r="D703" s="1579"/>
      <c r="E703" s="1579"/>
      <c r="F703" s="1579"/>
      <c r="G703" s="1579"/>
      <c r="H703" s="1580"/>
      <c r="I703" s="1580"/>
      <c r="J703" s="1580"/>
      <c r="K703" s="3069"/>
      <c r="L703" s="1580"/>
    </row>
    <row r="704" customFormat="false" ht="15" hidden="false" customHeight="true" outlineLevel="0" collapsed="false">
      <c r="A704" s="837" t="s">
        <v>2921</v>
      </c>
      <c r="B704" s="2636" t="n">
        <f aca="false">L702</f>
        <v>0</v>
      </c>
      <c r="C704" s="1579"/>
      <c r="D704" s="1579"/>
      <c r="E704" s="1579"/>
      <c r="F704" s="1579"/>
      <c r="G704" s="1579"/>
      <c r="H704" s="1580"/>
      <c r="I704" s="1580"/>
      <c r="J704" s="1580"/>
      <c r="K704" s="3069"/>
      <c r="L704" s="1580"/>
    </row>
    <row r="705" customFormat="false" ht="15" hidden="false" customHeight="true" outlineLevel="0" collapsed="false">
      <c r="A705" s="1555" t="s">
        <v>2922</v>
      </c>
      <c r="B705" s="3070" t="n">
        <f aca="false">SUM(B703:B704)</f>
        <v>13679.256989</v>
      </c>
      <c r="C705" s="1579"/>
      <c r="D705" s="1579"/>
      <c r="E705" s="1579"/>
      <c r="F705" s="1579"/>
      <c r="G705" s="1579"/>
      <c r="H705" s="1580"/>
      <c r="I705" s="1580"/>
      <c r="J705" s="1580"/>
      <c r="K705" s="3069"/>
      <c r="L705" s="1580"/>
    </row>
    <row r="706" customFormat="false" ht="15" hidden="false" customHeight="true" outlineLevel="0" collapsed="false">
      <c r="A706" s="876" t="s">
        <v>186</v>
      </c>
      <c r="B706" s="3006"/>
      <c r="C706" s="3064"/>
      <c r="D706" s="3064"/>
      <c r="E706" s="3064"/>
      <c r="F706" s="3064"/>
      <c r="G706" s="2653"/>
      <c r="H706" s="2589"/>
      <c r="I706" s="2589"/>
      <c r="J706" s="2589"/>
      <c r="K706" s="2643"/>
      <c r="L706" s="2589"/>
    </row>
  </sheetData>
  <mergeCells count="237">
    <mergeCell ref="A2:C2"/>
    <mergeCell ref="A3:C3"/>
    <mergeCell ref="A4:C4"/>
    <mergeCell ref="A5:C5"/>
    <mergeCell ref="A6:C6"/>
    <mergeCell ref="A7:C7"/>
    <mergeCell ref="A8:C8"/>
    <mergeCell ref="A9:C9"/>
    <mergeCell ref="A10:C10"/>
    <mergeCell ref="A11:C11"/>
    <mergeCell ref="A12:C12"/>
    <mergeCell ref="A13:C13"/>
    <mergeCell ref="A14:C14"/>
    <mergeCell ref="A15:C15"/>
    <mergeCell ref="A16:C16"/>
    <mergeCell ref="A17:C17"/>
    <mergeCell ref="A18:C18"/>
    <mergeCell ref="A19:F19"/>
    <mergeCell ref="A20:C20"/>
    <mergeCell ref="A21:C21"/>
    <mergeCell ref="A22:C22"/>
    <mergeCell ref="A23:C23"/>
    <mergeCell ref="A24:C24"/>
    <mergeCell ref="A25:F25"/>
    <mergeCell ref="A26:C26"/>
    <mergeCell ref="A27:C27"/>
    <mergeCell ref="A28:C28"/>
    <mergeCell ref="A29:C29"/>
    <mergeCell ref="A30:F30"/>
    <mergeCell ref="A32:B32"/>
    <mergeCell ref="A33:B36"/>
    <mergeCell ref="A37:B40"/>
    <mergeCell ref="A41:B44"/>
    <mergeCell ref="A45:B48"/>
    <mergeCell ref="A49:B52"/>
    <mergeCell ref="I49:I56"/>
    <mergeCell ref="A53:B56"/>
    <mergeCell ref="A57:B60"/>
    <mergeCell ref="A61:B64"/>
    <mergeCell ref="A65:B65"/>
    <mergeCell ref="A66:B66"/>
    <mergeCell ref="A67:B67"/>
    <mergeCell ref="A68:B68"/>
    <mergeCell ref="A69:B69"/>
    <mergeCell ref="A70:B70"/>
    <mergeCell ref="A71:E71"/>
    <mergeCell ref="A72:B72"/>
    <mergeCell ref="A73:B73"/>
    <mergeCell ref="A76:F76"/>
    <mergeCell ref="A77:C77"/>
    <mergeCell ref="A78:D78"/>
    <mergeCell ref="A79:C79"/>
    <mergeCell ref="A80:C80"/>
    <mergeCell ref="A81:C81"/>
    <mergeCell ref="A82:C82"/>
    <mergeCell ref="A83:C83"/>
    <mergeCell ref="A84:C84"/>
    <mergeCell ref="A85:C85"/>
    <mergeCell ref="A86:C86"/>
    <mergeCell ref="A87:C87"/>
    <mergeCell ref="A96:F96"/>
    <mergeCell ref="A97:C97"/>
    <mergeCell ref="A98:C98"/>
    <mergeCell ref="A99:C99"/>
    <mergeCell ref="A100:D100"/>
    <mergeCell ref="A101:C101"/>
    <mergeCell ref="A102:C102"/>
    <mergeCell ref="A103:C103"/>
    <mergeCell ref="A104:C104"/>
    <mergeCell ref="A105:C105"/>
    <mergeCell ref="A106:C106"/>
    <mergeCell ref="A107:C107"/>
    <mergeCell ref="A108:C108"/>
    <mergeCell ref="A109:C109"/>
    <mergeCell ref="A110:C110"/>
    <mergeCell ref="A111:C112"/>
    <mergeCell ref="A113:C114"/>
    <mergeCell ref="A119:F119"/>
    <mergeCell ref="A120:C120"/>
    <mergeCell ref="A121:C121"/>
    <mergeCell ref="A122:C122"/>
    <mergeCell ref="A123:C123"/>
    <mergeCell ref="A124:C124"/>
    <mergeCell ref="A125:C125"/>
    <mergeCell ref="A126:C126"/>
    <mergeCell ref="A127:C127"/>
    <mergeCell ref="A130:C130"/>
    <mergeCell ref="A131:C131"/>
    <mergeCell ref="A132:C132"/>
    <mergeCell ref="A133:C133"/>
    <mergeCell ref="A134:C134"/>
    <mergeCell ref="A135:C135"/>
    <mergeCell ref="A136:C137"/>
    <mergeCell ref="A138:C139"/>
    <mergeCell ref="A144:B144"/>
    <mergeCell ref="A145:B145"/>
    <mergeCell ref="A146:B146"/>
    <mergeCell ref="A147:B147"/>
    <mergeCell ref="A148:B148"/>
    <mergeCell ref="A149:B149"/>
    <mergeCell ref="A150:B150"/>
    <mergeCell ref="A151:B151"/>
    <mergeCell ref="A152:B152"/>
    <mergeCell ref="A153:B153"/>
    <mergeCell ref="A154:B154"/>
    <mergeCell ref="A155:B155"/>
    <mergeCell ref="A156:B156"/>
    <mergeCell ref="A157:B157"/>
    <mergeCell ref="A158:B159"/>
    <mergeCell ref="A160:B161"/>
    <mergeCell ref="A162:B163"/>
    <mergeCell ref="A164:B165"/>
    <mergeCell ref="A166:E166"/>
    <mergeCell ref="A168:B170"/>
    <mergeCell ref="A171:B172"/>
    <mergeCell ref="A173:B173"/>
    <mergeCell ref="A174:B174"/>
    <mergeCell ref="H182:I182"/>
    <mergeCell ref="H183:I183"/>
    <mergeCell ref="A185:C185"/>
    <mergeCell ref="A186:C187"/>
    <mergeCell ref="A188:C189"/>
    <mergeCell ref="H189:I189"/>
    <mergeCell ref="H190:I190"/>
    <mergeCell ref="H191:I191"/>
    <mergeCell ref="H192:I192"/>
    <mergeCell ref="H193:I193"/>
    <mergeCell ref="H194:I194"/>
    <mergeCell ref="H195:I195"/>
    <mergeCell ref="H196:I196"/>
    <mergeCell ref="H197:I197"/>
    <mergeCell ref="A234:I234"/>
    <mergeCell ref="H235:I235"/>
    <mergeCell ref="C237:D237"/>
    <mergeCell ref="G237:H237"/>
    <mergeCell ref="A239:I239"/>
    <mergeCell ref="A240:F240"/>
    <mergeCell ref="A250:A251"/>
    <mergeCell ref="A254:A255"/>
    <mergeCell ref="A256:A257"/>
    <mergeCell ref="G261:H261"/>
    <mergeCell ref="G263:H263"/>
    <mergeCell ref="G264:H264"/>
    <mergeCell ref="G265:H265"/>
    <mergeCell ref="G266:H266"/>
    <mergeCell ref="G297:H297"/>
    <mergeCell ref="G298:H298"/>
    <mergeCell ref="G299:H299"/>
    <mergeCell ref="G300:H300"/>
    <mergeCell ref="G301:H301"/>
    <mergeCell ref="G302:H302"/>
    <mergeCell ref="G303:H303"/>
    <mergeCell ref="G304:H304"/>
    <mergeCell ref="G305:H305"/>
    <mergeCell ref="G306:H306"/>
    <mergeCell ref="G307:H307"/>
    <mergeCell ref="G308:H308"/>
    <mergeCell ref="G309:H309"/>
    <mergeCell ref="G310:H310"/>
    <mergeCell ref="G311:H311"/>
    <mergeCell ref="G312:H312"/>
    <mergeCell ref="G313:H313"/>
    <mergeCell ref="C321:F321"/>
    <mergeCell ref="A323:L324"/>
    <mergeCell ref="A325:F326"/>
    <mergeCell ref="G346:H346"/>
    <mergeCell ref="G347:H347"/>
    <mergeCell ref="G377:H377"/>
    <mergeCell ref="G378:H378"/>
    <mergeCell ref="G379:H379"/>
    <mergeCell ref="G380:H380"/>
    <mergeCell ref="G381:H381"/>
    <mergeCell ref="G382:H382"/>
    <mergeCell ref="G383:H383"/>
    <mergeCell ref="G384:H384"/>
    <mergeCell ref="G385:H385"/>
    <mergeCell ref="G386:H386"/>
    <mergeCell ref="G387:H387"/>
    <mergeCell ref="G388:H388"/>
    <mergeCell ref="G389:H389"/>
    <mergeCell ref="G390:H390"/>
    <mergeCell ref="G391:H391"/>
    <mergeCell ref="G392:H392"/>
    <mergeCell ref="G394:H394"/>
    <mergeCell ref="C401:F401"/>
    <mergeCell ref="A403:L404"/>
    <mergeCell ref="A405:F406"/>
    <mergeCell ref="A425:A426"/>
    <mergeCell ref="C488:F488"/>
    <mergeCell ref="A490:L491"/>
    <mergeCell ref="A492:F493"/>
    <mergeCell ref="G507:H507"/>
    <mergeCell ref="G508:H508"/>
    <mergeCell ref="G541:H541"/>
    <mergeCell ref="G542:H542"/>
    <mergeCell ref="G543:H543"/>
    <mergeCell ref="G544:H544"/>
    <mergeCell ref="G545:H545"/>
    <mergeCell ref="G546:H546"/>
    <mergeCell ref="G547:H547"/>
    <mergeCell ref="G548:H548"/>
    <mergeCell ref="A557:L557"/>
    <mergeCell ref="A558:F558"/>
    <mergeCell ref="G574:H574"/>
    <mergeCell ref="G607:H607"/>
    <mergeCell ref="G608:H608"/>
    <mergeCell ref="G609:H609"/>
    <mergeCell ref="G610:H610"/>
    <mergeCell ref="G611:H611"/>
    <mergeCell ref="G612:H612"/>
    <mergeCell ref="G613:H613"/>
    <mergeCell ref="G614:H614"/>
    <mergeCell ref="G615:H615"/>
    <mergeCell ref="G616:H616"/>
    <mergeCell ref="G617:H617"/>
    <mergeCell ref="G618:H618"/>
    <mergeCell ref="G619:H619"/>
    <mergeCell ref="A631:I631"/>
    <mergeCell ref="A632:F632"/>
    <mergeCell ref="G682:H682"/>
    <mergeCell ref="G683:H683"/>
    <mergeCell ref="G684:H684"/>
    <mergeCell ref="G685:H685"/>
    <mergeCell ref="G686:H686"/>
    <mergeCell ref="G687:H687"/>
    <mergeCell ref="G688:H688"/>
    <mergeCell ref="G689:H689"/>
    <mergeCell ref="G690:H690"/>
    <mergeCell ref="G691:H691"/>
    <mergeCell ref="G692:H692"/>
    <mergeCell ref="G693:H693"/>
    <mergeCell ref="G694:H694"/>
    <mergeCell ref="G695:H695"/>
    <mergeCell ref="G696:H696"/>
    <mergeCell ref="G697:H697"/>
    <mergeCell ref="G698:H698"/>
    <mergeCell ref="C706:F706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87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746" activeCellId="0" sqref="F746"/>
    </sheetView>
  </sheetViews>
  <sheetFormatPr defaultColWidth="9.15625" defaultRowHeight="15" zeroHeight="false" outlineLevelRow="0" outlineLevelCol="0"/>
  <cols>
    <col collapsed="false" customWidth="true" hidden="false" outlineLevel="0" max="1" min="1" style="1383" width="63.42"/>
    <col collapsed="false" customWidth="true" hidden="false" outlineLevel="0" max="2" min="2" style="2315" width="8.29"/>
    <col collapsed="false" customWidth="false" hidden="false" outlineLevel="0" max="5" min="3" style="3105" width="9.14"/>
    <col collapsed="false" customWidth="true" hidden="false" outlineLevel="0" max="6" min="6" style="3105" width="10.42"/>
    <col collapsed="false" customWidth="false" hidden="false" outlineLevel="0" max="8" min="7" style="3105" width="9.14"/>
    <col collapsed="false" customWidth="false" hidden="false" outlineLevel="0" max="1024" min="9" style="1383" width="9.14"/>
  </cols>
  <sheetData>
    <row r="1" customFormat="false" ht="18.75" hidden="false" customHeight="true" outlineLevel="0" collapsed="false">
      <c r="A1" s="3106" t="s">
        <v>4271</v>
      </c>
      <c r="B1" s="3106"/>
      <c r="C1" s="3106"/>
      <c r="D1" s="3106"/>
      <c r="E1" s="3107" t="s">
        <v>4272</v>
      </c>
      <c r="F1" s="3107"/>
      <c r="G1" s="3107"/>
      <c r="H1" s="3108" t="n">
        <f aca="false">'Смета Внутр'!H6</f>
        <v>128</v>
      </c>
    </row>
    <row r="2" customFormat="false" ht="18.75" hidden="false" customHeight="true" outlineLevel="0" collapsed="false">
      <c r="A2" s="3106"/>
      <c r="B2" s="3106"/>
      <c r="C2" s="3106"/>
      <c r="D2" s="3106"/>
      <c r="E2" s="3109" t="s">
        <v>4273</v>
      </c>
      <c r="F2" s="3109"/>
      <c r="G2" s="3109"/>
      <c r="H2" s="3110" t="n">
        <f aca="false">'Смета Внутр'!H7</f>
        <v>94.7321893085902</v>
      </c>
    </row>
    <row r="3" s="3114" customFormat="true" ht="18.75" hidden="false" customHeight="true" outlineLevel="0" collapsed="false">
      <c r="A3" s="3111"/>
      <c r="B3" s="3111"/>
      <c r="C3" s="3111"/>
      <c r="D3" s="3111"/>
      <c r="E3" s="3112"/>
      <c r="F3" s="3112"/>
      <c r="G3" s="3112"/>
      <c r="H3" s="3113"/>
    </row>
    <row r="4" customFormat="false" ht="15.75" hidden="false" customHeight="false" outlineLevel="0" collapsed="false">
      <c r="A4" s="3115" t="s">
        <v>46</v>
      </c>
      <c r="B4" s="3116" t="s">
        <v>12</v>
      </c>
      <c r="C4" s="3117" t="s">
        <v>116</v>
      </c>
      <c r="D4" s="3117" t="s">
        <v>2491</v>
      </c>
      <c r="E4" s="3115" t="s">
        <v>3150</v>
      </c>
      <c r="F4" s="3115" t="s">
        <v>118</v>
      </c>
      <c r="G4" s="3115" t="s">
        <v>4274</v>
      </c>
      <c r="H4" s="3118" t="n">
        <f aca="false">H5</f>
        <v>0</v>
      </c>
    </row>
    <row r="5" customFormat="false" ht="21" hidden="false" customHeight="false" outlineLevel="0" collapsed="false">
      <c r="A5" s="3119" t="s">
        <v>4275</v>
      </c>
      <c r="B5" s="3119"/>
      <c r="C5" s="3119"/>
      <c r="D5" s="3119"/>
      <c r="E5" s="3119"/>
      <c r="F5" s="3119"/>
      <c r="G5" s="3120"/>
      <c r="H5" s="3121" t="n">
        <f aca="false">SUM(H6:H209)</f>
        <v>0</v>
      </c>
    </row>
    <row r="6" customFormat="false" ht="15" hidden="false" customHeight="false" outlineLevel="0" collapsed="false">
      <c r="A6" s="3122" t="str">
        <f aca="false">дома!A143</f>
        <v>Стойки каркаса передней/задней стены 1 эт</v>
      </c>
      <c r="B6" s="3123" t="str">
        <f aca="false">дома!B143</f>
        <v>м.п.</v>
      </c>
      <c r="C6" s="3124" t="n">
        <f aca="false">дома!C143</f>
        <v>0.145</v>
      </c>
      <c r="D6" s="3124" t="n">
        <f aca="false">дома!D143</f>
        <v>0.045</v>
      </c>
      <c r="E6" s="3124" t="n">
        <f aca="false">дома!E143</f>
        <v>0</v>
      </c>
      <c r="F6" s="3124" t="n">
        <f aca="false">дома!F143</f>
        <v>0</v>
      </c>
      <c r="G6" s="3124" t="n">
        <f aca="false">E6*F6*IF('Ввод данных'!$A$19=связи1!$A$150,1,0)</f>
        <v>0</v>
      </c>
      <c r="H6" s="3124" t="n">
        <f aca="false">дома!G143*IF('Ввод данных'!$A$19=связи1!$A$150,1,0)</f>
        <v>0</v>
      </c>
    </row>
    <row r="7" customFormat="false" ht="15" hidden="false" customHeight="false" outlineLevel="0" collapsed="false">
      <c r="A7" s="3122" t="str">
        <f aca="false">дома!A144</f>
        <v>Стойки каркаса, левая сторона 1 эт</v>
      </c>
      <c r="B7" s="3123" t="str">
        <f aca="false">дома!B144</f>
        <v>м.п.</v>
      </c>
      <c r="C7" s="3124" t="n">
        <f aca="false">дома!C144</f>
        <v>0.145</v>
      </c>
      <c r="D7" s="3124" t="n">
        <f aca="false">дома!D144</f>
        <v>0.045</v>
      </c>
      <c r="E7" s="3124" t="n">
        <f aca="false">дома!E144</f>
        <v>0</v>
      </c>
      <c r="F7" s="3124" t="n">
        <f aca="false">дома!F144</f>
        <v>0</v>
      </c>
      <c r="G7" s="3124" t="n">
        <f aca="false">E7*F7*IF('Ввод данных'!$A$19=связи1!$A$150,1,0)</f>
        <v>0</v>
      </c>
      <c r="H7" s="3124" t="n">
        <f aca="false">дома!G144*IF('Ввод данных'!$A$19=связи1!$A$150,1,0)</f>
        <v>0</v>
      </c>
    </row>
    <row r="8" customFormat="false" ht="15" hidden="false" customHeight="false" outlineLevel="0" collapsed="false">
      <c r="A8" s="3122" t="str">
        <f aca="false">дома!A145</f>
        <v>Стойки каркаса, правая сторона, 1 эт</v>
      </c>
      <c r="B8" s="3123" t="str">
        <f aca="false">дома!B145</f>
        <v>м.п.</v>
      </c>
      <c r="C8" s="3124" t="n">
        <f aca="false">дома!C145</f>
        <v>0.145</v>
      </c>
      <c r="D8" s="3124" t="n">
        <f aca="false">дома!D145</f>
        <v>0.045</v>
      </c>
      <c r="E8" s="3124" t="n">
        <f aca="false">дома!E145</f>
        <v>0</v>
      </c>
      <c r="F8" s="3124" t="n">
        <f aca="false">дома!F145</f>
        <v>0</v>
      </c>
      <c r="G8" s="3124" t="n">
        <f aca="false">E8*F8*IF('Ввод данных'!$A$19=связи1!$A$150,1,0)</f>
        <v>0</v>
      </c>
      <c r="H8" s="3124" t="n">
        <f aca="false">дома!G145*IF('Ввод данных'!$A$19=связи1!$A$150,1,0)</f>
        <v>0</v>
      </c>
    </row>
    <row r="9" customFormat="false" ht="15" hidden="false" customHeight="false" outlineLevel="0" collapsed="false">
      <c r="A9" s="3122" t="str">
        <f aca="false">дома!A146</f>
        <v>Стойки каркаса левой боковой стены 1 эт</v>
      </c>
      <c r="B9" s="3123" t="str">
        <f aca="false">дома!B146</f>
        <v>м.п.</v>
      </c>
      <c r="C9" s="3124" t="n">
        <f aca="false">дома!C146</f>
        <v>0.145</v>
      </c>
      <c r="D9" s="3124" t="n">
        <f aca="false">дома!D146</f>
        <v>0.045</v>
      </c>
      <c r="E9" s="3124" t="n">
        <f aca="false">дома!E146</f>
        <v>0</v>
      </c>
      <c r="F9" s="3124" t="n">
        <f aca="false">дома!F146</f>
        <v>1</v>
      </c>
      <c r="G9" s="3124" t="n">
        <f aca="false">E9*F9*IF('Ввод данных'!$A$19=связи1!$A$150,1,0)</f>
        <v>0</v>
      </c>
      <c r="H9" s="3124" t="n">
        <f aca="false">дома!G146*IF('Ввод данных'!$A$19=связи1!$A$150,1,0)</f>
        <v>0</v>
      </c>
    </row>
    <row r="10" customFormat="false" ht="15" hidden="false" customHeight="false" outlineLevel="0" collapsed="false">
      <c r="A10" s="3122" t="str">
        <f aca="false">дома!A147</f>
        <v>Стойки каркаса правой боковой стены 1 эт</v>
      </c>
      <c r="B10" s="3123" t="str">
        <f aca="false">дома!B147</f>
        <v>м.п.</v>
      </c>
      <c r="C10" s="3124" t="n">
        <f aca="false">дома!C147</f>
        <v>0.145</v>
      </c>
      <c r="D10" s="3124" t="n">
        <f aca="false">дома!D147</f>
        <v>0.045</v>
      </c>
      <c r="E10" s="3124" t="n">
        <f aca="false">дома!E147</f>
        <v>0</v>
      </c>
      <c r="F10" s="3124" t="n">
        <f aca="false">дома!F147</f>
        <v>1</v>
      </c>
      <c r="G10" s="3124" t="n">
        <f aca="false">E10*F10*IF('Ввод данных'!$A$19=связи1!$A$150,1,0)</f>
        <v>0</v>
      </c>
      <c r="H10" s="3124" t="n">
        <f aca="false">дома!G147*IF('Ввод данных'!$A$19=связи1!$A$150,1,0)</f>
        <v>0</v>
      </c>
    </row>
    <row r="11" customFormat="false" ht="15" hidden="false" customHeight="false" outlineLevel="0" collapsed="false">
      <c r="A11" s="3122" t="str">
        <f aca="false">дома!A149</f>
        <v>Обвязка каркаса верхняя/нижняя наружние стены 1 эт</v>
      </c>
      <c r="B11" s="3123" t="str">
        <f aca="false">дома!B149</f>
        <v>м.п.</v>
      </c>
      <c r="C11" s="3124" t="n">
        <f aca="false">дома!C149</f>
        <v>0.145</v>
      </c>
      <c r="D11" s="3124" t="n">
        <f aca="false">дома!D149</f>
        <v>0.045</v>
      </c>
      <c r="E11" s="3124" t="n">
        <f aca="false">дома!E149</f>
        <v>0</v>
      </c>
      <c r="F11" s="3124" t="n">
        <f aca="false">дома!F149</f>
        <v>1</v>
      </c>
      <c r="G11" s="3124" t="n">
        <f aca="false">E11*F11*IF('Ввод данных'!$A$19=связи1!$A$150,1,0)</f>
        <v>0</v>
      </c>
      <c r="H11" s="3124" t="n">
        <f aca="false">дома!G148*IF('Ввод данных'!$A$19=связи1!$A$150,1,0)</f>
        <v>0</v>
      </c>
    </row>
    <row r="12" customFormat="false" ht="15" hidden="false" customHeight="false" outlineLevel="0" collapsed="false">
      <c r="A12" s="3122" t="str">
        <f aca="false">дома!A150</f>
        <v>Ригель каркаса наружние стены 1 эт</v>
      </c>
      <c r="B12" s="3123" t="str">
        <f aca="false">дома!B150</f>
        <v>м.п.</v>
      </c>
      <c r="C12" s="3124" t="n">
        <f aca="false">дома!C150</f>
        <v>0.145</v>
      </c>
      <c r="D12" s="3124" t="n">
        <f aca="false">дома!D150</f>
        <v>0.045</v>
      </c>
      <c r="E12" s="3124" t="n">
        <f aca="false">дома!E150</f>
        <v>0</v>
      </c>
      <c r="F12" s="3124" t="n">
        <f aca="false">дома!F150</f>
        <v>1</v>
      </c>
      <c r="G12" s="3124" t="n">
        <f aca="false">E12*F12*IF('Ввод данных'!$A$19=связи1!$A$150,1,0)</f>
        <v>0</v>
      </c>
      <c r="H12" s="3124" t="n">
        <f aca="false">дома!G149*IF('Ввод данных'!$A$19=связи1!$A$150,1,0)</f>
        <v>0</v>
      </c>
    </row>
    <row r="13" customFormat="false" ht="15" hidden="false" customHeight="false" outlineLevel="0" collapsed="false">
      <c r="A13" s="3122" t="str">
        <f aca="false">дома!A151</f>
        <v>Стойка каркаса, несущие перегородки, 1 этаж, №1</v>
      </c>
      <c r="B13" s="3123" t="str">
        <f aca="false">дома!B151</f>
        <v>м.п.</v>
      </c>
      <c r="C13" s="3124" t="n">
        <f aca="false">дома!C151</f>
        <v>0.145</v>
      </c>
      <c r="D13" s="3124" t="n">
        <f aca="false">дома!D151</f>
        <v>0.045</v>
      </c>
      <c r="E13" s="3124" t="n">
        <f aca="false">дома!E151</f>
        <v>0</v>
      </c>
      <c r="F13" s="3124" t="n">
        <f aca="false">дома!F151</f>
        <v>0</v>
      </c>
      <c r="G13" s="3124" t="n">
        <f aca="false">E13*F13*IF('Ввод данных'!$A$19=связи1!$A$150,1,0)</f>
        <v>0</v>
      </c>
      <c r="H13" s="3124" t="n">
        <f aca="false">дома!G150*IF('Ввод данных'!$A$19=связи1!$A$150,1,0)</f>
        <v>0</v>
      </c>
    </row>
    <row r="14" customFormat="false" ht="15" hidden="false" customHeight="false" outlineLevel="0" collapsed="false">
      <c r="A14" s="3122" t="str">
        <f aca="false">дома!A178</f>
        <v>Обвязка несущих перегородок верх/низ, 1 этаж</v>
      </c>
      <c r="B14" s="3123" t="str">
        <f aca="false">дома!B178</f>
        <v>м.п.</v>
      </c>
      <c r="C14" s="3124" t="n">
        <f aca="false">дома!C178</f>
        <v>0.145</v>
      </c>
      <c r="D14" s="3124" t="n">
        <f aca="false">дома!D178</f>
        <v>0.045</v>
      </c>
      <c r="E14" s="3124" t="n">
        <f aca="false">дома!E178</f>
        <v>0</v>
      </c>
      <c r="F14" s="3124" t="n">
        <f aca="false">дома!F178</f>
        <v>1</v>
      </c>
      <c r="G14" s="3124" t="n">
        <f aca="false">E14*F14*IF('Ввод данных'!$A$19=связи1!$A$150,1,0)</f>
        <v>0</v>
      </c>
      <c r="H14" s="3124" t="n">
        <f aca="false">дома!G151*IF('Ввод данных'!$A$19=связи1!$A$150,1,0)</f>
        <v>0</v>
      </c>
    </row>
    <row r="15" customFormat="false" ht="15" hidden="false" customHeight="false" outlineLevel="0" collapsed="false">
      <c r="A15" s="3122" t="str">
        <f aca="false">дома!A179</f>
        <v>Ригель несущих перегородок, 1 этаж</v>
      </c>
      <c r="B15" s="3123" t="str">
        <f aca="false">дома!B179</f>
        <v>м.п.</v>
      </c>
      <c r="C15" s="3124" t="n">
        <f aca="false">дома!C179</f>
        <v>0.145</v>
      </c>
      <c r="D15" s="3124" t="n">
        <f aca="false">дома!D179</f>
        <v>0.045</v>
      </c>
      <c r="E15" s="3124" t="n">
        <f aca="false">дома!E179</f>
        <v>0</v>
      </c>
      <c r="F15" s="3124" t="n">
        <f aca="false">дома!F179</f>
        <v>1</v>
      </c>
      <c r="G15" s="3124" t="n">
        <f aca="false">E15*F15*IF('Ввод данных'!$A$19=связи1!$A$150,1,0)</f>
        <v>0</v>
      </c>
      <c r="H15" s="3124" t="n">
        <f aca="false">дома!G152*IF('Ввод данных'!$A$19=связи1!$A$150,1,0)</f>
        <v>0</v>
      </c>
    </row>
    <row r="16" customFormat="false" ht="15" hidden="false" customHeight="false" outlineLevel="0" collapsed="false">
      <c r="A16" s="3122" t="str">
        <f aca="false">дома!A180</f>
        <v>Стойка каркаса, перегородки, 1 этаж</v>
      </c>
      <c r="B16" s="3123" t="str">
        <f aca="false">дома!B180</f>
        <v>м.п.</v>
      </c>
      <c r="C16" s="3124" t="n">
        <f aca="false">дома!C180</f>
        <v>0.1</v>
      </c>
      <c r="D16" s="3124" t="n">
        <f aca="false">дома!D180</f>
        <v>0.045</v>
      </c>
      <c r="E16" s="3124" t="n">
        <f aca="false">дома!E180</f>
        <v>2.8</v>
      </c>
      <c r="F16" s="3124" t="n">
        <f aca="false">дома!F180</f>
        <v>0</v>
      </c>
      <c r="G16" s="3124" t="n">
        <f aca="false">E16*F16*IF('Ввод данных'!$A$19=связи1!$A$150,1,0)</f>
        <v>0</v>
      </c>
      <c r="H16" s="3124" t="n">
        <f aca="false">дома!G153*IF('Ввод данных'!$A$19=связи1!$A$150,1,0)</f>
        <v>0</v>
      </c>
    </row>
    <row r="17" customFormat="false" ht="15" hidden="false" customHeight="false" outlineLevel="0" collapsed="false">
      <c r="A17" s="3122" t="str">
        <f aca="false">дома!A181</f>
        <v>Обвязка перегородок верх/низ, 1 этаж</v>
      </c>
      <c r="B17" s="3123" t="str">
        <f aca="false">дома!B181</f>
        <v>м.п.</v>
      </c>
      <c r="C17" s="3124" t="n">
        <f aca="false">дома!C181</f>
        <v>0.1</v>
      </c>
      <c r="D17" s="3124" t="n">
        <f aca="false">дома!D181</f>
        <v>0.045</v>
      </c>
      <c r="E17" s="3124" t="n">
        <f aca="false">дома!E181</f>
        <v>0</v>
      </c>
      <c r="F17" s="3124" t="n">
        <f aca="false">дома!F181</f>
        <v>1</v>
      </c>
      <c r="G17" s="3124" t="n">
        <f aca="false">E17*F17*IF('Ввод данных'!$A$19=связи1!$A$150,1,0)</f>
        <v>0</v>
      </c>
      <c r="H17" s="3124" t="n">
        <f aca="false">дома!G154*IF('Ввод данных'!$A$19=связи1!$A$150,1,0)</f>
        <v>0</v>
      </c>
    </row>
    <row r="18" customFormat="false" ht="15" hidden="false" customHeight="false" outlineLevel="0" collapsed="false">
      <c r="A18" s="3122" t="str">
        <f aca="false">дома!A182</f>
        <v>Укосина наружних стен, усиление 1 этаж</v>
      </c>
      <c r="B18" s="3123" t="str">
        <f aca="false">дома!B182</f>
        <v>м.п.</v>
      </c>
      <c r="C18" s="3124" t="n">
        <f aca="false">дома!C182</f>
        <v>0.145</v>
      </c>
      <c r="D18" s="3124" t="n">
        <f aca="false">дома!D182</f>
        <v>0.045</v>
      </c>
      <c r="E18" s="3124" t="n">
        <f aca="false">дома!E182</f>
        <v>2</v>
      </c>
      <c r="F18" s="3124" t="n">
        <f aca="false">дома!F182</f>
        <v>16</v>
      </c>
      <c r="G18" s="3124" t="n">
        <f aca="false">E18*F18*IF('Ввод данных'!$A$19=связи1!$A$150,1,0)</f>
        <v>0</v>
      </c>
      <c r="H18" s="3124" t="n">
        <f aca="false">дома!G155*IF('Ввод данных'!$A$19=связи1!$A$150,1,0)</f>
        <v>0</v>
      </c>
    </row>
    <row r="19" customFormat="false" ht="15" hidden="false" customHeight="false" outlineLevel="0" collapsed="false">
      <c r="A19" s="3122" t="str">
        <f aca="false">дома!A183</f>
        <v>Стойка каркаса по фронтону, левая сторона 1</v>
      </c>
      <c r="B19" s="3123" t="str">
        <f aca="false">дома!B183</f>
        <v>м.п.</v>
      </c>
      <c r="C19" s="3124" t="n">
        <f aca="false">дома!C183</f>
        <v>0.145</v>
      </c>
      <c r="D19" s="3124" t="n">
        <f aca="false">дома!D183</f>
        <v>0.045</v>
      </c>
      <c r="E19" s="3124" t="n">
        <f aca="false">дома!E183</f>
        <v>0</v>
      </c>
      <c r="F19" s="3124" t="n">
        <f aca="false">дома!F183</f>
        <v>0</v>
      </c>
      <c r="G19" s="3124" t="n">
        <f aca="false">E19*F19*IF('Ввод данных'!$A$19=связи1!$A$150,1,0)</f>
        <v>0</v>
      </c>
      <c r="H19" s="3124" t="n">
        <f aca="false">дома!G156*IF('Ввод данных'!$A$19=связи1!$A$150,1,0)</f>
        <v>0</v>
      </c>
    </row>
    <row r="20" customFormat="false" ht="15" hidden="false" customHeight="false" outlineLevel="0" collapsed="false">
      <c r="A20" s="3122" t="str">
        <f aca="false">дома!A184</f>
        <v>Стойка каркаса по фронтону, левая сторона 2</v>
      </c>
      <c r="B20" s="3123" t="str">
        <f aca="false">дома!B184</f>
        <v>м.п.</v>
      </c>
      <c r="C20" s="3124" t="n">
        <f aca="false">дома!C184</f>
        <v>0.145</v>
      </c>
      <c r="D20" s="3124" t="n">
        <f aca="false">дома!D184</f>
        <v>0.045</v>
      </c>
      <c r="E20" s="3124" t="n">
        <f aca="false">дома!E184</f>
        <v>0</v>
      </c>
      <c r="F20" s="3124" t="n">
        <f aca="false">дома!F184</f>
        <v>0</v>
      </c>
      <c r="G20" s="3124" t="n">
        <f aca="false">E20*F20*IF('Ввод данных'!$A$19=связи1!$A$150,1,0)</f>
        <v>0</v>
      </c>
      <c r="H20" s="3124" t="n">
        <f aca="false">дома!G157*IF('Ввод данных'!$A$19=связи1!$A$150,1,0)</f>
        <v>0</v>
      </c>
    </row>
    <row r="21" customFormat="false" ht="15" hidden="false" customHeight="false" outlineLevel="0" collapsed="false">
      <c r="A21" s="3122" t="str">
        <f aca="false">дома!A185</f>
        <v>Стойка каркаса по фронтону, левая сторона 3</v>
      </c>
      <c r="B21" s="3123" t="str">
        <f aca="false">дома!B185</f>
        <v>м.п.</v>
      </c>
      <c r="C21" s="3124" t="n">
        <f aca="false">дома!C185</f>
        <v>0.145</v>
      </c>
      <c r="D21" s="3124" t="n">
        <f aca="false">дома!D185</f>
        <v>0.045</v>
      </c>
      <c r="E21" s="3124" t="n">
        <f aca="false">дома!E185</f>
        <v>0</v>
      </c>
      <c r="F21" s="3124" t="n">
        <f aca="false">дома!F185</f>
        <v>0</v>
      </c>
      <c r="G21" s="3124" t="n">
        <f aca="false">E21*F21*IF('Ввод данных'!$A$19=связи1!$A$150,1,0)</f>
        <v>0</v>
      </c>
      <c r="H21" s="3124" t="n">
        <f aca="false">дома!G158*IF('Ввод данных'!$A$19=связи1!$A$150,1,0)</f>
        <v>0</v>
      </c>
    </row>
    <row r="22" customFormat="false" ht="15" hidden="false" customHeight="false" outlineLevel="0" collapsed="false">
      <c r="A22" s="3122" t="str">
        <f aca="false">дома!A186</f>
        <v>Стойка каркаса по фронтону, левая сторона 4</v>
      </c>
      <c r="B22" s="3123" t="str">
        <f aca="false">дома!B186</f>
        <v>м.п.</v>
      </c>
      <c r="C22" s="3124" t="n">
        <f aca="false">дома!C186</f>
        <v>0.145</v>
      </c>
      <c r="D22" s="3124" t="n">
        <f aca="false">дома!D186</f>
        <v>0.045</v>
      </c>
      <c r="E22" s="3124" t="n">
        <f aca="false">дома!E186</f>
        <v>0</v>
      </c>
      <c r="F22" s="3124" t="n">
        <f aca="false">дома!F186</f>
        <v>0</v>
      </c>
      <c r="G22" s="3124" t="n">
        <f aca="false">E22*F22*IF('Ввод данных'!$A$19=связи1!$A$150,1,0)</f>
        <v>0</v>
      </c>
      <c r="H22" s="3124" t="n">
        <f aca="false">дома!G159*IF('Ввод данных'!$A$19=связи1!$A$150,1,0)</f>
        <v>0</v>
      </c>
    </row>
    <row r="23" customFormat="false" ht="15" hidden="false" customHeight="false" outlineLevel="0" collapsed="false">
      <c r="A23" s="3122" t="str">
        <f aca="false">дома!A187</f>
        <v>Стойка каркаса по фронтону, левая сторона 5</v>
      </c>
      <c r="B23" s="3123" t="str">
        <f aca="false">дома!B187</f>
        <v>м.п.</v>
      </c>
      <c r="C23" s="3124" t="n">
        <f aca="false">дома!C187</f>
        <v>0.145</v>
      </c>
      <c r="D23" s="3124" t="n">
        <f aca="false">дома!D187</f>
        <v>0.045</v>
      </c>
      <c r="E23" s="3124" t="n">
        <f aca="false">дома!E187</f>
        <v>0</v>
      </c>
      <c r="F23" s="3124" t="n">
        <f aca="false">дома!F187</f>
        <v>0</v>
      </c>
      <c r="G23" s="3124" t="n">
        <f aca="false">E23*F23*IF('Ввод данных'!$A$19=связи1!$A$150,1,0)</f>
        <v>0</v>
      </c>
      <c r="H23" s="3124" t="n">
        <f aca="false">дома!G160*IF('Ввод данных'!$A$19=связи1!$A$150,1,0)</f>
        <v>0</v>
      </c>
    </row>
    <row r="24" customFormat="false" ht="15" hidden="false" customHeight="false" outlineLevel="0" collapsed="false">
      <c r="A24" s="3122" t="str">
        <f aca="false">дома!A188</f>
        <v>Стойка каркаса по фронтону, левая сторона 6</v>
      </c>
      <c r="B24" s="3123" t="str">
        <f aca="false">дома!B188</f>
        <v>м.п.</v>
      </c>
      <c r="C24" s="3124" t="n">
        <f aca="false">дома!C188</f>
        <v>0.145</v>
      </c>
      <c r="D24" s="3124" t="n">
        <f aca="false">дома!D188</f>
        <v>0.045</v>
      </c>
      <c r="E24" s="3124" t="n">
        <f aca="false">дома!E188</f>
        <v>0</v>
      </c>
      <c r="F24" s="3124" t="n">
        <f aca="false">дома!F188</f>
        <v>0</v>
      </c>
      <c r="G24" s="3124" t="n">
        <f aca="false">E24*F24*IF('Ввод данных'!$A$19=связи1!$A$150,1,0)</f>
        <v>0</v>
      </c>
      <c r="H24" s="3124" t="n">
        <f aca="false">дома!G161*IF('Ввод данных'!$A$19=связи1!$A$150,1,0)</f>
        <v>0</v>
      </c>
    </row>
    <row r="25" customFormat="false" ht="15" hidden="false" customHeight="false" outlineLevel="0" collapsed="false">
      <c r="A25" s="3122" t="str">
        <f aca="false">дома!A189</f>
        <v>Стойка каркаса по фронтону, левая сторона 7</v>
      </c>
      <c r="B25" s="3123" t="str">
        <f aca="false">дома!B189</f>
        <v>м.п.</v>
      </c>
      <c r="C25" s="3124" t="n">
        <f aca="false">дома!C189</f>
        <v>0.145</v>
      </c>
      <c r="D25" s="3124" t="n">
        <f aca="false">дома!D189</f>
        <v>0.045</v>
      </c>
      <c r="E25" s="3124" t="n">
        <f aca="false">дома!E189</f>
        <v>0</v>
      </c>
      <c r="F25" s="3124" t="n">
        <f aca="false">дома!F189</f>
        <v>0</v>
      </c>
      <c r="G25" s="3124" t="n">
        <f aca="false">E25*F25*IF('Ввод данных'!$A$19=связи1!$A$150,1,0)</f>
        <v>0</v>
      </c>
      <c r="H25" s="3124" t="n">
        <f aca="false">дома!G162*IF('Ввод данных'!$A$19=связи1!$A$150,1,0)</f>
        <v>0</v>
      </c>
    </row>
    <row r="26" customFormat="false" ht="15" hidden="false" customHeight="false" outlineLevel="0" collapsed="false">
      <c r="A26" s="3122" t="str">
        <f aca="false">дома!A190</f>
        <v>Стойка каркаса по фронтону, левая сторона 8</v>
      </c>
      <c r="B26" s="3123" t="str">
        <f aca="false">дома!B190</f>
        <v>м.п.</v>
      </c>
      <c r="C26" s="3124" t="n">
        <f aca="false">дома!C190</f>
        <v>0.145</v>
      </c>
      <c r="D26" s="3124" t="n">
        <f aca="false">дома!D190</f>
        <v>0.045</v>
      </c>
      <c r="E26" s="3124" t="n">
        <f aca="false">дома!E190</f>
        <v>0</v>
      </c>
      <c r="F26" s="3124" t="n">
        <f aca="false">дома!F190</f>
        <v>0</v>
      </c>
      <c r="G26" s="3124" t="n">
        <f aca="false">E26*F26*IF('Ввод данных'!$A$19=связи1!$A$150,1,0)</f>
        <v>0</v>
      </c>
      <c r="H26" s="3124" t="n">
        <f aca="false">дома!G163*IF('Ввод данных'!$A$19=связи1!$A$150,1,0)</f>
        <v>0</v>
      </c>
    </row>
    <row r="27" customFormat="false" ht="15" hidden="false" customHeight="false" outlineLevel="0" collapsed="false">
      <c r="A27" s="3122" t="str">
        <f aca="false">дома!A191</f>
        <v>Стойка каркаса по фронтону, левая сторона 9</v>
      </c>
      <c r="B27" s="3123" t="str">
        <f aca="false">дома!B191</f>
        <v>м.п.</v>
      </c>
      <c r="C27" s="3124" t="n">
        <f aca="false">дома!C191</f>
        <v>0.145</v>
      </c>
      <c r="D27" s="3124" t="n">
        <f aca="false">дома!D191</f>
        <v>0.045</v>
      </c>
      <c r="E27" s="3124" t="n">
        <f aca="false">дома!E191</f>
        <v>0</v>
      </c>
      <c r="F27" s="3124" t="n">
        <f aca="false">дома!F191</f>
        <v>0</v>
      </c>
      <c r="G27" s="3124" t="n">
        <f aca="false">E27*F27*IF('Ввод данных'!$A$19=связи1!$A$150,1,0)</f>
        <v>0</v>
      </c>
      <c r="H27" s="3124" t="n">
        <f aca="false">дома!G164*IF('Ввод данных'!$A$19=связи1!$A$150,1,0)</f>
        <v>0</v>
      </c>
    </row>
    <row r="28" customFormat="false" ht="15" hidden="false" customHeight="false" outlineLevel="0" collapsed="false">
      <c r="A28" s="3122" t="str">
        <f aca="false">дома!A192</f>
        <v>Стойка каркаса по фронтону, левая сторона 10</v>
      </c>
      <c r="B28" s="3123" t="str">
        <f aca="false">дома!B192</f>
        <v>м.п.</v>
      </c>
      <c r="C28" s="3124" t="n">
        <f aca="false">дома!C192</f>
        <v>0.145</v>
      </c>
      <c r="D28" s="3124" t="n">
        <f aca="false">дома!D192</f>
        <v>0.045</v>
      </c>
      <c r="E28" s="3124" t="n">
        <f aca="false">дома!E192</f>
        <v>0</v>
      </c>
      <c r="F28" s="3124" t="n">
        <f aca="false">дома!F192</f>
        <v>0</v>
      </c>
      <c r="G28" s="3124" t="n">
        <f aca="false">E28*F28*IF('Ввод данных'!$A$19=связи1!$A$150,1,0)</f>
        <v>0</v>
      </c>
      <c r="H28" s="3124" t="n">
        <f aca="false">дома!G165*IF('Ввод данных'!$A$19=связи1!$A$150,1,0)</f>
        <v>0</v>
      </c>
    </row>
    <row r="29" customFormat="false" ht="15" hidden="false" customHeight="false" outlineLevel="0" collapsed="false">
      <c r="A29" s="3122" t="str">
        <f aca="false">дома!A193</f>
        <v>Стойка каркаса по фронтону, левая сторона 11</v>
      </c>
      <c r="B29" s="3123" t="str">
        <f aca="false">дома!B193</f>
        <v>м.п.</v>
      </c>
      <c r="C29" s="3124" t="n">
        <f aca="false">дома!C193</f>
        <v>0.145</v>
      </c>
      <c r="D29" s="3124" t="n">
        <f aca="false">дома!D193</f>
        <v>0.045</v>
      </c>
      <c r="E29" s="3124" t="n">
        <f aca="false">дома!E193</f>
        <v>0</v>
      </c>
      <c r="F29" s="3124" t="n">
        <f aca="false">дома!F193</f>
        <v>0</v>
      </c>
      <c r="G29" s="3124" t="n">
        <f aca="false">E29*F29*IF('Ввод данных'!$A$19=связи1!$A$150,1,0)</f>
        <v>0</v>
      </c>
      <c r="H29" s="3124" t="n">
        <f aca="false">дома!G166*IF('Ввод данных'!$A$19=связи1!$A$150,1,0)</f>
        <v>0</v>
      </c>
    </row>
    <row r="30" customFormat="false" ht="15" hidden="false" customHeight="false" outlineLevel="0" collapsed="false">
      <c r="A30" s="3122" t="str">
        <f aca="false">дома!A194</f>
        <v>Стойка каркаса по фронтону, левая сторона 12</v>
      </c>
      <c r="B30" s="3123" t="str">
        <f aca="false">дома!B194</f>
        <v>м.п.</v>
      </c>
      <c r="C30" s="3124" t="n">
        <f aca="false">дома!C194</f>
        <v>0.145</v>
      </c>
      <c r="D30" s="3124" t="n">
        <f aca="false">дома!D194</f>
        <v>0.045</v>
      </c>
      <c r="E30" s="3124" t="n">
        <f aca="false">дома!E194</f>
        <v>0</v>
      </c>
      <c r="F30" s="3124" t="n">
        <f aca="false">дома!F194</f>
        <v>0</v>
      </c>
      <c r="G30" s="3124" t="n">
        <f aca="false">E30*F30*IF('Ввод данных'!$A$19=связи1!$A$150,1,0)</f>
        <v>0</v>
      </c>
      <c r="H30" s="3124" t="n">
        <f aca="false">дома!G167*IF('Ввод данных'!$A$19=связи1!$A$150,1,0)</f>
        <v>0</v>
      </c>
    </row>
    <row r="31" customFormat="false" ht="15" hidden="false" customHeight="false" outlineLevel="0" collapsed="false">
      <c r="A31" s="3122" t="str">
        <f aca="false">дома!A195</f>
        <v>Стойка каркаса по фронтону, левая сторона 13</v>
      </c>
      <c r="B31" s="3123" t="str">
        <f aca="false">дома!B195</f>
        <v>м.п.</v>
      </c>
      <c r="C31" s="3124" t="n">
        <f aca="false">дома!C195</f>
        <v>0.145</v>
      </c>
      <c r="D31" s="3124" t="n">
        <f aca="false">дома!D195</f>
        <v>0.045</v>
      </c>
      <c r="E31" s="3124" t="n">
        <f aca="false">дома!E195</f>
        <v>0</v>
      </c>
      <c r="F31" s="3124" t="n">
        <f aca="false">дома!F195</f>
        <v>0</v>
      </c>
      <c r="G31" s="3124" t="n">
        <f aca="false">E31*F31*IF('Ввод данных'!$A$19=связи1!$A$150,1,0)</f>
        <v>0</v>
      </c>
      <c r="H31" s="3124" t="n">
        <f aca="false">дома!G168*IF('Ввод данных'!$A$19=связи1!$A$150,1,0)</f>
        <v>0</v>
      </c>
    </row>
    <row r="32" customFormat="false" ht="15" hidden="false" customHeight="false" outlineLevel="0" collapsed="false">
      <c r="A32" s="3122" t="str">
        <f aca="false">дома!A196</f>
        <v>Стойка каркаса по фронтону, левая сторона 14</v>
      </c>
      <c r="B32" s="3123" t="str">
        <f aca="false">дома!B196</f>
        <v>м.п.</v>
      </c>
      <c r="C32" s="3124" t="n">
        <f aca="false">дома!C196</f>
        <v>0.145</v>
      </c>
      <c r="D32" s="3124" t="n">
        <f aca="false">дома!D196</f>
        <v>0.045</v>
      </c>
      <c r="E32" s="3124" t="n">
        <f aca="false">дома!E196</f>
        <v>0</v>
      </c>
      <c r="F32" s="3124" t="n">
        <f aca="false">дома!F196</f>
        <v>0</v>
      </c>
      <c r="G32" s="3124" t="n">
        <f aca="false">E32*F32*IF('Ввод данных'!$A$19=связи1!$A$150,1,0)</f>
        <v>0</v>
      </c>
      <c r="H32" s="3124" t="n">
        <f aca="false">дома!G169*IF('Ввод данных'!$A$19=связи1!$A$150,1,0)</f>
        <v>0</v>
      </c>
    </row>
    <row r="33" customFormat="false" ht="15" hidden="false" customHeight="false" outlineLevel="0" collapsed="false">
      <c r="A33" s="3122" t="str">
        <f aca="false">дома!A197</f>
        <v>Стойка каркаса по фронтону, левая сторона 15</v>
      </c>
      <c r="B33" s="3123" t="str">
        <f aca="false">дома!B197</f>
        <v>м.п.</v>
      </c>
      <c r="C33" s="3124" t="n">
        <f aca="false">дома!C197</f>
        <v>0.145</v>
      </c>
      <c r="D33" s="3124" t="n">
        <f aca="false">дома!D197</f>
        <v>0.045</v>
      </c>
      <c r="E33" s="3124" t="n">
        <f aca="false">дома!E197</f>
        <v>0</v>
      </c>
      <c r="F33" s="3124" t="n">
        <f aca="false">дома!F197</f>
        <v>0</v>
      </c>
      <c r="G33" s="3124" t="n">
        <f aca="false">E33*F33*IF('Ввод данных'!$A$19=связи1!$A$150,1,0)</f>
        <v>0</v>
      </c>
      <c r="H33" s="3124" t="n">
        <f aca="false">дома!G170*IF('Ввод данных'!$A$19=связи1!$A$150,1,0)</f>
        <v>0</v>
      </c>
    </row>
    <row r="34" customFormat="false" ht="15" hidden="false" customHeight="false" outlineLevel="0" collapsed="false">
      <c r="A34" s="3122" t="str">
        <f aca="false">дома!A198</f>
        <v>Стойка каркаса по фронтону, левая сторона 16</v>
      </c>
      <c r="B34" s="3123" t="str">
        <f aca="false">дома!B198</f>
        <v>м.п.</v>
      </c>
      <c r="C34" s="3124" t="n">
        <f aca="false">дома!C198</f>
        <v>0.145</v>
      </c>
      <c r="D34" s="3124" t="n">
        <f aca="false">дома!D198</f>
        <v>0.045</v>
      </c>
      <c r="E34" s="3124" t="n">
        <f aca="false">дома!E198</f>
        <v>0</v>
      </c>
      <c r="F34" s="3124" t="n">
        <f aca="false">дома!F198</f>
        <v>0</v>
      </c>
      <c r="G34" s="3124" t="n">
        <f aca="false">E34*F34*IF('Ввод данных'!$A$19=связи1!$A$150,1,0)</f>
        <v>0</v>
      </c>
      <c r="H34" s="3124" t="n">
        <f aca="false">дома!G171*IF('Ввод данных'!$A$19=связи1!$A$150,1,0)</f>
        <v>0</v>
      </c>
    </row>
    <row r="35" customFormat="false" ht="15" hidden="false" customHeight="false" outlineLevel="0" collapsed="false">
      <c r="A35" s="3122" t="str">
        <f aca="false">дома!A199</f>
        <v>Стойка каркаса по фронтону, левая сторона 17</v>
      </c>
      <c r="B35" s="3123" t="str">
        <f aca="false">дома!B199</f>
        <v>м.п.</v>
      </c>
      <c r="C35" s="3124" t="n">
        <f aca="false">дома!C199</f>
        <v>0.145</v>
      </c>
      <c r="D35" s="3124" t="n">
        <f aca="false">дома!D199</f>
        <v>0.045</v>
      </c>
      <c r="E35" s="3124" t="n">
        <f aca="false">дома!E199</f>
        <v>0</v>
      </c>
      <c r="F35" s="3124" t="n">
        <f aca="false">дома!F199</f>
        <v>0</v>
      </c>
      <c r="G35" s="3124" t="n">
        <f aca="false">E35*F35*IF('Ввод данных'!$A$19=связи1!$A$150,1,0)</f>
        <v>0</v>
      </c>
      <c r="H35" s="3124" t="n">
        <f aca="false">дома!G172*IF('Ввод данных'!$A$19=связи1!$A$150,1,0)</f>
        <v>0</v>
      </c>
    </row>
    <row r="36" customFormat="false" ht="15" hidden="false" customHeight="false" outlineLevel="0" collapsed="false">
      <c r="A36" s="3122" t="str">
        <f aca="false">дома!A200</f>
        <v>Стойка каркаса по фронтону, левая сторона 18</v>
      </c>
      <c r="B36" s="3123" t="str">
        <f aca="false">дома!B200</f>
        <v>м.п.</v>
      </c>
      <c r="C36" s="3124" t="n">
        <f aca="false">дома!C200</f>
        <v>0.145</v>
      </c>
      <c r="D36" s="3124" t="n">
        <f aca="false">дома!D200</f>
        <v>0.045</v>
      </c>
      <c r="E36" s="3124" t="n">
        <f aca="false">дома!E200</f>
        <v>0</v>
      </c>
      <c r="F36" s="3124" t="n">
        <f aca="false">дома!F200</f>
        <v>0</v>
      </c>
      <c r="G36" s="3124" t="n">
        <f aca="false">E36*F36*IF('Ввод данных'!$A$19=связи1!$A$150,1,0)</f>
        <v>0</v>
      </c>
      <c r="H36" s="3124" t="n">
        <f aca="false">дома!G173*IF('Ввод данных'!$A$19=связи1!$A$150,1,0)</f>
        <v>0</v>
      </c>
    </row>
    <row r="37" customFormat="false" ht="15" hidden="false" customHeight="false" outlineLevel="0" collapsed="false">
      <c r="A37" s="3122" t="str">
        <f aca="false">дома!A201</f>
        <v>Стойка каркаса по фронтону, левая сторона 19</v>
      </c>
      <c r="B37" s="3123" t="str">
        <f aca="false">дома!B201</f>
        <v>м.п.</v>
      </c>
      <c r="C37" s="3124" t="n">
        <f aca="false">дома!C201</f>
        <v>0.145</v>
      </c>
      <c r="D37" s="3124" t="n">
        <f aca="false">дома!D201</f>
        <v>0.045</v>
      </c>
      <c r="E37" s="3124" t="n">
        <f aca="false">дома!E201</f>
        <v>0</v>
      </c>
      <c r="F37" s="3124" t="n">
        <f aca="false">дома!F201</f>
        <v>0</v>
      </c>
      <c r="G37" s="3124" t="n">
        <f aca="false">E37*F37*IF('Ввод данных'!$A$19=связи1!$A$150,1,0)</f>
        <v>0</v>
      </c>
      <c r="H37" s="3124" t="n">
        <f aca="false">дома!G174*IF('Ввод данных'!$A$19=связи1!$A$150,1,0)</f>
        <v>0</v>
      </c>
    </row>
    <row r="38" customFormat="false" ht="15" hidden="false" customHeight="false" outlineLevel="0" collapsed="false">
      <c r="A38" s="3122" t="str">
        <f aca="false">дома!A202</f>
        <v>Стойка каркаса по фронтону, левая сторона 20</v>
      </c>
      <c r="B38" s="3123" t="str">
        <f aca="false">дома!B202</f>
        <v>м.п.</v>
      </c>
      <c r="C38" s="3124" t="n">
        <f aca="false">дома!C202</f>
        <v>0.145</v>
      </c>
      <c r="D38" s="3124" t="n">
        <f aca="false">дома!D202</f>
        <v>0.045</v>
      </c>
      <c r="E38" s="3124" t="n">
        <f aca="false">дома!E202</f>
        <v>0</v>
      </c>
      <c r="F38" s="3124" t="n">
        <f aca="false">дома!F202</f>
        <v>0</v>
      </c>
      <c r="G38" s="3124" t="n">
        <f aca="false">E38*F38*IF('Ввод данных'!$A$19=связи1!$A$150,1,0)</f>
        <v>0</v>
      </c>
      <c r="H38" s="3124" t="n">
        <f aca="false">дома!G175*IF('Ввод данных'!$A$19=связи1!$A$150,1,0)</f>
        <v>0</v>
      </c>
    </row>
    <row r="39" customFormat="false" ht="15" hidden="false" customHeight="false" outlineLevel="0" collapsed="false">
      <c r="A39" s="3122" t="str">
        <f aca="false">дома!A203</f>
        <v>Стойка каркаса по фронтону, левая сторона 21</v>
      </c>
      <c r="B39" s="3123" t="str">
        <f aca="false">дома!B203</f>
        <v>м.п.</v>
      </c>
      <c r="C39" s="3124" t="n">
        <f aca="false">дома!C203</f>
        <v>0.145</v>
      </c>
      <c r="D39" s="3124" t="n">
        <f aca="false">дома!D203</f>
        <v>0.045</v>
      </c>
      <c r="E39" s="3124" t="n">
        <f aca="false">дома!E203</f>
        <v>0</v>
      </c>
      <c r="F39" s="3124" t="n">
        <f aca="false">дома!F203</f>
        <v>0</v>
      </c>
      <c r="G39" s="3124" t="n">
        <f aca="false">E39*F39*IF('Ввод данных'!$A$19=связи1!$A$150,1,0)</f>
        <v>0</v>
      </c>
      <c r="H39" s="3124" t="n">
        <f aca="false">дома!G176*IF('Ввод данных'!$A$19=связи1!$A$150,1,0)</f>
        <v>0</v>
      </c>
    </row>
    <row r="40" customFormat="false" ht="15" hidden="false" customHeight="false" outlineLevel="0" collapsed="false">
      <c r="A40" s="3122" t="str">
        <f aca="false">дома!A204</f>
        <v>Стойка каркаса по фронтону, левая сторона 22</v>
      </c>
      <c r="B40" s="3123" t="str">
        <f aca="false">дома!B204</f>
        <v>м.п.</v>
      </c>
      <c r="C40" s="3124" t="n">
        <f aca="false">дома!C204</f>
        <v>0.145</v>
      </c>
      <c r="D40" s="3124" t="n">
        <f aca="false">дома!D204</f>
        <v>0.045</v>
      </c>
      <c r="E40" s="3124" t="n">
        <f aca="false">дома!E204</f>
        <v>0</v>
      </c>
      <c r="F40" s="3124" t="n">
        <f aca="false">дома!F204</f>
        <v>0</v>
      </c>
      <c r="G40" s="3124" t="n">
        <f aca="false">E40*F40*IF('Ввод данных'!$A$19=связи1!$A$150,1,0)</f>
        <v>0</v>
      </c>
      <c r="H40" s="3124" t="n">
        <f aca="false">дома!G177*IF('Ввод данных'!$A$19=связи1!$A$150,1,0)</f>
        <v>0</v>
      </c>
    </row>
    <row r="41" customFormat="false" ht="15" hidden="false" customHeight="false" outlineLevel="0" collapsed="false">
      <c r="A41" s="3122" t="str">
        <f aca="false">дома!A205</f>
        <v>Стойка каркаса по фронтону, левая сторона 23</v>
      </c>
      <c r="B41" s="3123" t="str">
        <f aca="false">дома!B205</f>
        <v>м.п.</v>
      </c>
      <c r="C41" s="3124" t="n">
        <f aca="false">дома!C205</f>
        <v>0.145</v>
      </c>
      <c r="D41" s="3124" t="n">
        <f aca="false">дома!D205</f>
        <v>0.045</v>
      </c>
      <c r="E41" s="3124" t="n">
        <f aca="false">дома!E205</f>
        <v>0</v>
      </c>
      <c r="F41" s="3124" t="n">
        <f aca="false">дома!F205</f>
        <v>0</v>
      </c>
      <c r="G41" s="3124" t="n">
        <f aca="false">E41*F41*IF('Ввод данных'!$A$19=связи1!$A$150,1,0)</f>
        <v>0</v>
      </c>
      <c r="H41" s="3124" t="n">
        <f aca="false">дома!G178*IF('Ввод данных'!$A$19=связи1!$A$150,1,0)</f>
        <v>0</v>
      </c>
    </row>
    <row r="42" customFormat="false" ht="15" hidden="false" customHeight="false" outlineLevel="0" collapsed="false">
      <c r="A42" s="3122" t="str">
        <f aca="false">дома!A206</f>
        <v>Стойка каркаса по фронтону, левая сторона 24</v>
      </c>
      <c r="B42" s="3123" t="str">
        <f aca="false">дома!B206</f>
        <v>м.п.</v>
      </c>
      <c r="C42" s="3124" t="n">
        <f aca="false">дома!C206</f>
        <v>0.145</v>
      </c>
      <c r="D42" s="3124" t="n">
        <f aca="false">дома!D206</f>
        <v>0.045</v>
      </c>
      <c r="E42" s="3124" t="n">
        <f aca="false">дома!E206</f>
        <v>0</v>
      </c>
      <c r="F42" s="3124" t="n">
        <f aca="false">дома!F206</f>
        <v>0</v>
      </c>
      <c r="G42" s="3124" t="n">
        <f aca="false">E42*F42*IF('Ввод данных'!$A$19=связи1!$A$150,1,0)</f>
        <v>0</v>
      </c>
      <c r="H42" s="3124" t="n">
        <f aca="false">дома!G179*IF('Ввод данных'!$A$19=связи1!$A$150,1,0)</f>
        <v>0</v>
      </c>
    </row>
    <row r="43" customFormat="false" ht="15" hidden="false" customHeight="false" outlineLevel="0" collapsed="false">
      <c r="A43" s="3122" t="str">
        <f aca="false">дома!A207</f>
        <v>Стойка каркаса по фронтону, левая сторона 25</v>
      </c>
      <c r="B43" s="3123" t="str">
        <f aca="false">дома!B207</f>
        <v>м.п.</v>
      </c>
      <c r="C43" s="3124" t="n">
        <f aca="false">дома!C207</f>
        <v>0.145</v>
      </c>
      <c r="D43" s="3124" t="n">
        <f aca="false">дома!D207</f>
        <v>0.045</v>
      </c>
      <c r="E43" s="3124" t="n">
        <f aca="false">дома!E207</f>
        <v>0</v>
      </c>
      <c r="F43" s="3124" t="n">
        <f aca="false">дома!F207</f>
        <v>0</v>
      </c>
      <c r="G43" s="3124" t="n">
        <f aca="false">E43*F43*IF('Ввод данных'!$A$19=связи1!$A$150,1,0)</f>
        <v>0</v>
      </c>
      <c r="H43" s="3124" t="n">
        <f aca="false">дома!G180*IF('Ввод данных'!$A$19=связи1!$A$150,1,0)</f>
        <v>0</v>
      </c>
    </row>
    <row r="44" customFormat="false" ht="15" hidden="false" customHeight="false" outlineLevel="0" collapsed="false">
      <c r="A44" s="3122" t="str">
        <f aca="false">дома!A208</f>
        <v>Стойка каркаса по фронтону, левая сторона 26</v>
      </c>
      <c r="B44" s="3123" t="str">
        <f aca="false">дома!B208</f>
        <v>м.п.</v>
      </c>
      <c r="C44" s="3124" t="n">
        <f aca="false">дома!C208</f>
        <v>0.145</v>
      </c>
      <c r="D44" s="3124" t="n">
        <f aca="false">дома!D208</f>
        <v>0.045</v>
      </c>
      <c r="E44" s="3124" t="n">
        <f aca="false">дома!E208</f>
        <v>0</v>
      </c>
      <c r="F44" s="3124" t="n">
        <f aca="false">дома!F208</f>
        <v>0</v>
      </c>
      <c r="G44" s="3124" t="n">
        <f aca="false">E44*F44*IF('Ввод данных'!$A$19=связи1!$A$150,1,0)</f>
        <v>0</v>
      </c>
      <c r="H44" s="3124" t="n">
        <f aca="false">дома!G181*IF('Ввод данных'!$A$19=связи1!$A$150,1,0)</f>
        <v>0</v>
      </c>
    </row>
    <row r="45" customFormat="false" ht="15" hidden="false" customHeight="false" outlineLevel="0" collapsed="false">
      <c r="A45" s="3122" t="str">
        <f aca="false">дома!A209</f>
        <v>Стойка каркаса по фронтону, левая сторона 27</v>
      </c>
      <c r="B45" s="3123" t="str">
        <f aca="false">дома!B209</f>
        <v>м.п.</v>
      </c>
      <c r="C45" s="3124" t="n">
        <f aca="false">дома!C209</f>
        <v>0.145</v>
      </c>
      <c r="D45" s="3124" t="n">
        <f aca="false">дома!D209</f>
        <v>0.045</v>
      </c>
      <c r="E45" s="3124" t="n">
        <f aca="false">дома!E209</f>
        <v>0</v>
      </c>
      <c r="F45" s="3124" t="n">
        <f aca="false">дома!F209</f>
        <v>0</v>
      </c>
      <c r="G45" s="3124" t="n">
        <f aca="false">E45*F45*IF('Ввод данных'!$A$19=связи1!$A$150,1,0)</f>
        <v>0</v>
      </c>
      <c r="H45" s="3124" t="n">
        <f aca="false">дома!G182*IF('Ввод данных'!$A$19=связи1!$A$150,1,0)</f>
        <v>0</v>
      </c>
    </row>
    <row r="46" customFormat="false" ht="15" hidden="false" customHeight="false" outlineLevel="0" collapsed="false">
      <c r="A46" s="3122" t="str">
        <f aca="false">дома!A210</f>
        <v>Стойка каркаса по фронтону, левая сторона 28</v>
      </c>
      <c r="B46" s="3123" t="str">
        <f aca="false">дома!B210</f>
        <v>м.п.</v>
      </c>
      <c r="C46" s="3124" t="n">
        <f aca="false">дома!C210</f>
        <v>0.145</v>
      </c>
      <c r="D46" s="3124" t="n">
        <f aca="false">дома!D210</f>
        <v>0.045</v>
      </c>
      <c r="E46" s="3124" t="n">
        <f aca="false">дома!E210</f>
        <v>0</v>
      </c>
      <c r="F46" s="3124" t="n">
        <f aca="false">дома!F210</f>
        <v>0</v>
      </c>
      <c r="G46" s="3124" t="n">
        <f aca="false">E46*F46*IF('Ввод данных'!$A$19=связи1!$A$150,1,0)</f>
        <v>0</v>
      </c>
      <c r="H46" s="3124" t="n">
        <f aca="false">дома!G183*IF('Ввод данных'!$A$19=связи1!$A$150,1,0)</f>
        <v>0</v>
      </c>
    </row>
    <row r="47" customFormat="false" ht="15" hidden="false" customHeight="false" outlineLevel="0" collapsed="false">
      <c r="A47" s="3122" t="str">
        <f aca="false">дома!A211</f>
        <v>Стойка каркаса по фронтону, левая сторона 29</v>
      </c>
      <c r="B47" s="3123" t="str">
        <f aca="false">дома!B211</f>
        <v>м.п.</v>
      </c>
      <c r="C47" s="3124" t="n">
        <f aca="false">дома!C211</f>
        <v>0.145</v>
      </c>
      <c r="D47" s="3124" t="n">
        <f aca="false">дома!D211</f>
        <v>0.045</v>
      </c>
      <c r="E47" s="3124" t="n">
        <f aca="false">дома!E211</f>
        <v>0</v>
      </c>
      <c r="F47" s="3124" t="n">
        <f aca="false">дома!F211</f>
        <v>0</v>
      </c>
      <c r="G47" s="3124" t="n">
        <f aca="false">E47*F47*IF('Ввод данных'!$A$19=связи1!$A$150,1,0)</f>
        <v>0</v>
      </c>
      <c r="H47" s="3124" t="n">
        <f aca="false">дома!G184*IF('Ввод данных'!$A$19=связи1!$A$150,1,0)</f>
        <v>0</v>
      </c>
    </row>
    <row r="48" customFormat="false" ht="15" hidden="false" customHeight="false" outlineLevel="0" collapsed="false">
      <c r="A48" s="3122" t="str">
        <f aca="false">дома!A212</f>
        <v>Стойка каркаса по фронтону, левая сторона 30</v>
      </c>
      <c r="B48" s="3123" t="str">
        <f aca="false">дома!B212</f>
        <v>м.п.</v>
      </c>
      <c r="C48" s="3124" t="n">
        <f aca="false">дома!C212</f>
        <v>0.145</v>
      </c>
      <c r="D48" s="3124" t="n">
        <f aca="false">дома!D212</f>
        <v>0.045</v>
      </c>
      <c r="E48" s="3124" t="n">
        <f aca="false">дома!E212</f>
        <v>0</v>
      </c>
      <c r="F48" s="3124" t="n">
        <f aca="false">дома!F212</f>
        <v>0</v>
      </c>
      <c r="G48" s="3124" t="n">
        <f aca="false">E48*F48*IF('Ввод данных'!$A$19=связи1!$A$150,1,0)</f>
        <v>0</v>
      </c>
      <c r="H48" s="3124" t="n">
        <f aca="false">дома!G185*IF('Ввод данных'!$A$19=связи1!$A$150,1,0)</f>
        <v>0</v>
      </c>
    </row>
    <row r="49" customFormat="false" ht="15" hidden="false" customHeight="false" outlineLevel="0" collapsed="false">
      <c r="A49" s="3122" t="str">
        <f aca="false">дома!A213</f>
        <v>Стойка каркаса по фронтону, левая сторона 31</v>
      </c>
      <c r="B49" s="3123" t="str">
        <f aca="false">дома!B213</f>
        <v>м.п.</v>
      </c>
      <c r="C49" s="3124" t="n">
        <f aca="false">дома!C213</f>
        <v>0.145</v>
      </c>
      <c r="D49" s="3124" t="n">
        <f aca="false">дома!D213</f>
        <v>0.045</v>
      </c>
      <c r="E49" s="3124" t="n">
        <f aca="false">дома!E213</f>
        <v>0</v>
      </c>
      <c r="F49" s="3124" t="n">
        <f aca="false">дома!F213</f>
        <v>0</v>
      </c>
      <c r="G49" s="3124" t="n">
        <f aca="false">E49*F49*IF('Ввод данных'!$A$19=связи1!$A$150,1,0)</f>
        <v>0</v>
      </c>
      <c r="H49" s="3124" t="n">
        <f aca="false">дома!G186*IF('Ввод данных'!$A$19=связи1!$A$150,1,0)</f>
        <v>0</v>
      </c>
    </row>
    <row r="50" customFormat="false" ht="15" hidden="false" customHeight="false" outlineLevel="0" collapsed="false">
      <c r="A50" s="3122" t="str">
        <f aca="false">дома!A214</f>
        <v>Обвязка каркаса фронтона верхняя</v>
      </c>
      <c r="B50" s="3123" t="str">
        <f aca="false">дома!B214</f>
        <v>м.п.</v>
      </c>
      <c r="C50" s="3124" t="n">
        <f aca="false">дома!C214</f>
        <v>0.145</v>
      </c>
      <c r="D50" s="3124" t="n">
        <f aca="false">дома!D214</f>
        <v>0.045</v>
      </c>
      <c r="E50" s="3124" t="n">
        <f aca="false">дома!E214</f>
        <v>0</v>
      </c>
      <c r="F50" s="3124" t="n">
        <f aca="false">дома!F214</f>
        <v>0</v>
      </c>
      <c r="G50" s="3124" t="n">
        <f aca="false">E50*F50*IF('Ввод данных'!$A$19=связи1!$A$150,1,0)</f>
        <v>0</v>
      </c>
      <c r="H50" s="3124" t="n">
        <f aca="false">дома!G187*IF('Ввод данных'!$A$19=связи1!$A$150,1,0)</f>
        <v>0</v>
      </c>
    </row>
    <row r="51" customFormat="false" ht="15" hidden="false" customHeight="false" outlineLevel="0" collapsed="false">
      <c r="A51" s="3122" t="str">
        <f aca="false">дома!A215</f>
        <v>Обвязка каркаса фронтона нижняя</v>
      </c>
      <c r="B51" s="3123" t="str">
        <f aca="false">дома!B215</f>
        <v>м.п.</v>
      </c>
      <c r="C51" s="3124" t="n">
        <f aca="false">дома!C215</f>
        <v>0.145</v>
      </c>
      <c r="D51" s="3124" t="n">
        <f aca="false">дома!D215</f>
        <v>0.045</v>
      </c>
      <c r="E51" s="3124" t="n">
        <f aca="false">дома!E215</f>
        <v>0</v>
      </c>
      <c r="F51" s="3124" t="n">
        <f aca="false">дома!F215</f>
        <v>0</v>
      </c>
      <c r="G51" s="3124" t="n">
        <f aca="false">E51*F51*IF('Ввод данных'!$A$19=связи1!$A$150,1,0)</f>
        <v>0</v>
      </c>
      <c r="H51" s="3124" t="n">
        <f aca="false">дома!G188*IF('Ввод данных'!$A$19=связи1!$A$150,1,0)</f>
        <v>0</v>
      </c>
    </row>
    <row r="52" customFormat="false" ht="15" hidden="false" customHeight="false" outlineLevel="0" collapsed="false">
      <c r="A52" s="3122" t="str">
        <f aca="false">дома!A216</f>
        <v>Ригель каркаса фронтона</v>
      </c>
      <c r="B52" s="3123" t="str">
        <f aca="false">дома!B216</f>
        <v>м.п.</v>
      </c>
      <c r="C52" s="3124" t="n">
        <f aca="false">дома!C216</f>
        <v>0.145</v>
      </c>
      <c r="D52" s="3124" t="n">
        <f aca="false">дома!D216</f>
        <v>0.045</v>
      </c>
      <c r="E52" s="3124" t="n">
        <f aca="false">дома!E216</f>
        <v>0</v>
      </c>
      <c r="F52" s="3124" t="n">
        <f aca="false">дома!F216</f>
        <v>0</v>
      </c>
      <c r="G52" s="3124" t="n">
        <f aca="false">E52*F52*IF('Ввод данных'!$A$19=связи1!$A$150,1,0)</f>
        <v>0</v>
      </c>
      <c r="H52" s="3124" t="n">
        <f aca="false">дома!G189*IF('Ввод данных'!$A$19=связи1!$A$150,1,0)</f>
        <v>0</v>
      </c>
    </row>
    <row r="53" customFormat="false" ht="15" hidden="false" customHeight="false" outlineLevel="0" collapsed="false">
      <c r="A53" s="3122" t="str">
        <f aca="false">дома!A217</f>
        <v>Стойка каркаса по фронтону правая сторона 32</v>
      </c>
      <c r="B53" s="3123" t="str">
        <f aca="false">дома!B217</f>
        <v>м.п.</v>
      </c>
      <c r="C53" s="3124" t="n">
        <f aca="false">дома!C217</f>
        <v>0.145</v>
      </c>
      <c r="D53" s="3124" t="n">
        <f aca="false">дома!D217</f>
        <v>0.045</v>
      </c>
      <c r="E53" s="3124" t="n">
        <f aca="false">дома!E217</f>
        <v>0</v>
      </c>
      <c r="F53" s="3124" t="n">
        <f aca="false">дома!F217</f>
        <v>0</v>
      </c>
      <c r="G53" s="3124" t="n">
        <f aca="false">E53*F53*IF('Ввод данных'!$A$19=связи1!$A$150,1,0)</f>
        <v>0</v>
      </c>
      <c r="H53" s="3124" t="n">
        <f aca="false">дома!G190*IF('Ввод данных'!$A$19=связи1!$A$150,1,0)</f>
        <v>0</v>
      </c>
    </row>
    <row r="54" customFormat="false" ht="15" hidden="false" customHeight="false" outlineLevel="0" collapsed="false">
      <c r="A54" s="3122" t="str">
        <f aca="false">дома!A218</f>
        <v>Стойка каркаса по фронтону правая сторона 33</v>
      </c>
      <c r="B54" s="3123" t="str">
        <f aca="false">дома!B218</f>
        <v>м.п.</v>
      </c>
      <c r="C54" s="3124" t="n">
        <f aca="false">дома!C218</f>
        <v>0.145</v>
      </c>
      <c r="D54" s="3124" t="n">
        <f aca="false">дома!D218</f>
        <v>0.045</v>
      </c>
      <c r="E54" s="3124" t="n">
        <f aca="false">дома!E218</f>
        <v>0</v>
      </c>
      <c r="F54" s="3124" t="n">
        <f aca="false">дома!F218</f>
        <v>0</v>
      </c>
      <c r="G54" s="3124" t="n">
        <f aca="false">E54*F54*IF('Ввод данных'!$A$19=связи1!$A$150,1,0)</f>
        <v>0</v>
      </c>
      <c r="H54" s="3124" t="n">
        <f aca="false">дома!G191*IF('Ввод данных'!$A$19=связи1!$A$150,1,0)</f>
        <v>0</v>
      </c>
    </row>
    <row r="55" customFormat="false" ht="15" hidden="false" customHeight="false" outlineLevel="0" collapsed="false">
      <c r="A55" s="3122" t="str">
        <f aca="false">дома!A219</f>
        <v>Стойка каркаса по фронтону правая сторона 34</v>
      </c>
      <c r="B55" s="3123" t="str">
        <f aca="false">дома!B219</f>
        <v>м.п.</v>
      </c>
      <c r="C55" s="3124" t="n">
        <f aca="false">дома!C219</f>
        <v>0.145</v>
      </c>
      <c r="D55" s="3124" t="n">
        <f aca="false">дома!D219</f>
        <v>0.045</v>
      </c>
      <c r="E55" s="3124" t="n">
        <f aca="false">дома!E219</f>
        <v>0</v>
      </c>
      <c r="F55" s="3124" t="n">
        <f aca="false">дома!F219</f>
        <v>0</v>
      </c>
      <c r="G55" s="3124" t="n">
        <f aca="false">E55*F55*IF('Ввод данных'!$A$19=связи1!$A$150,1,0)</f>
        <v>0</v>
      </c>
      <c r="H55" s="3124" t="n">
        <f aca="false">дома!G192*IF('Ввод данных'!$A$19=связи1!$A$150,1,0)</f>
        <v>0</v>
      </c>
    </row>
    <row r="56" customFormat="false" ht="15" hidden="false" customHeight="false" outlineLevel="0" collapsed="false">
      <c r="A56" s="3122" t="str">
        <f aca="false">дома!A220</f>
        <v>Стойка каркаса по фронтону правая сторона 35</v>
      </c>
      <c r="B56" s="3123" t="str">
        <f aca="false">дома!B220</f>
        <v>м.п.</v>
      </c>
      <c r="C56" s="3124" t="n">
        <f aca="false">дома!C220</f>
        <v>0.145</v>
      </c>
      <c r="D56" s="3124" t="n">
        <f aca="false">дома!D220</f>
        <v>0.045</v>
      </c>
      <c r="E56" s="3124" t="n">
        <f aca="false">дома!E220</f>
        <v>0</v>
      </c>
      <c r="F56" s="3124" t="n">
        <f aca="false">дома!F220</f>
        <v>0</v>
      </c>
      <c r="G56" s="3124" t="n">
        <f aca="false">E56*F56*IF('Ввод данных'!$A$19=связи1!$A$150,1,0)</f>
        <v>0</v>
      </c>
      <c r="H56" s="3124" t="n">
        <f aca="false">дома!G193*IF('Ввод данных'!$A$19=связи1!$A$150,1,0)</f>
        <v>0</v>
      </c>
    </row>
    <row r="57" customFormat="false" ht="15" hidden="false" customHeight="false" outlineLevel="0" collapsed="false">
      <c r="A57" s="3122" t="str">
        <f aca="false">дома!A221</f>
        <v>Стойка каркаса по фронтону правая сторона 36</v>
      </c>
      <c r="B57" s="3123" t="str">
        <f aca="false">дома!B221</f>
        <v>м.п.</v>
      </c>
      <c r="C57" s="3124" t="n">
        <f aca="false">дома!C221</f>
        <v>0.145</v>
      </c>
      <c r="D57" s="3124" t="n">
        <f aca="false">дома!D221</f>
        <v>0.045</v>
      </c>
      <c r="E57" s="3124" t="n">
        <f aca="false">дома!E221</f>
        <v>0</v>
      </c>
      <c r="F57" s="3124" t="n">
        <f aca="false">дома!F221</f>
        <v>0</v>
      </c>
      <c r="G57" s="3124" t="n">
        <f aca="false">E57*F57*IF('Ввод данных'!$A$19=связи1!$A$150,1,0)</f>
        <v>0</v>
      </c>
      <c r="H57" s="3124" t="n">
        <f aca="false">дома!G194*IF('Ввод данных'!$A$19=связи1!$A$150,1,0)</f>
        <v>0</v>
      </c>
    </row>
    <row r="58" customFormat="false" ht="15" hidden="false" customHeight="false" outlineLevel="0" collapsed="false">
      <c r="A58" s="3122" t="str">
        <f aca="false">дома!A222</f>
        <v>Стойка каркаса по фронтону правая сторона 37</v>
      </c>
      <c r="B58" s="3123" t="str">
        <f aca="false">дома!B222</f>
        <v>м.п.</v>
      </c>
      <c r="C58" s="3124" t="n">
        <f aca="false">дома!C222</f>
        <v>0.145</v>
      </c>
      <c r="D58" s="3124" t="n">
        <f aca="false">дома!D222</f>
        <v>0.045</v>
      </c>
      <c r="E58" s="3124" t="n">
        <f aca="false">дома!E222</f>
        <v>0</v>
      </c>
      <c r="F58" s="3124" t="n">
        <f aca="false">дома!F222</f>
        <v>0</v>
      </c>
      <c r="G58" s="3124" t="n">
        <f aca="false">E58*F58*IF('Ввод данных'!$A$19=связи1!$A$150,1,0)</f>
        <v>0</v>
      </c>
      <c r="H58" s="3124" t="n">
        <f aca="false">дома!G195*IF('Ввод данных'!$A$19=связи1!$A$150,1,0)</f>
        <v>0</v>
      </c>
    </row>
    <row r="59" customFormat="false" ht="15" hidden="false" customHeight="false" outlineLevel="0" collapsed="false">
      <c r="A59" s="3122" t="str">
        <f aca="false">дома!A223</f>
        <v>Стойка каркаса по фронтону правая сторона 38</v>
      </c>
      <c r="B59" s="3123" t="str">
        <f aca="false">дома!B223</f>
        <v>м.п.</v>
      </c>
      <c r="C59" s="3124" t="n">
        <f aca="false">дома!C223</f>
        <v>0.145</v>
      </c>
      <c r="D59" s="3124" t="n">
        <f aca="false">дома!D223</f>
        <v>0.045</v>
      </c>
      <c r="E59" s="3124" t="n">
        <f aca="false">дома!E223</f>
        <v>0</v>
      </c>
      <c r="F59" s="3124" t="n">
        <f aca="false">дома!F223</f>
        <v>0</v>
      </c>
      <c r="G59" s="3124" t="n">
        <f aca="false">E59*F59*IF('Ввод данных'!$A$19=связи1!$A$150,1,0)</f>
        <v>0</v>
      </c>
      <c r="H59" s="3124" t="n">
        <f aca="false">дома!G196*IF('Ввод данных'!$A$19=связи1!$A$150,1,0)</f>
        <v>0</v>
      </c>
    </row>
    <row r="60" customFormat="false" ht="15" hidden="false" customHeight="false" outlineLevel="0" collapsed="false">
      <c r="A60" s="3122" t="str">
        <f aca="false">дома!A224</f>
        <v>Стойка каркаса по фронтону правая сторона 39</v>
      </c>
      <c r="B60" s="3123" t="str">
        <f aca="false">дома!B224</f>
        <v>м.п.</v>
      </c>
      <c r="C60" s="3124" t="n">
        <f aca="false">дома!C224</f>
        <v>0.145</v>
      </c>
      <c r="D60" s="3124" t="n">
        <f aca="false">дома!D224</f>
        <v>0.045</v>
      </c>
      <c r="E60" s="3124" t="n">
        <f aca="false">дома!E224</f>
        <v>0</v>
      </c>
      <c r="F60" s="3124" t="n">
        <f aca="false">дома!F224</f>
        <v>0</v>
      </c>
      <c r="G60" s="3124" t="n">
        <f aca="false">E60*F60*IF('Ввод данных'!$A$19=связи1!$A$150,1,0)</f>
        <v>0</v>
      </c>
      <c r="H60" s="3124" t="n">
        <f aca="false">дома!G197*IF('Ввод данных'!$A$19=связи1!$A$150,1,0)</f>
        <v>0</v>
      </c>
    </row>
    <row r="61" customFormat="false" ht="15" hidden="false" customHeight="false" outlineLevel="0" collapsed="false">
      <c r="A61" s="3122" t="str">
        <f aca="false">дома!A225</f>
        <v>Стойка каркаса по фронтону правая сторона 40</v>
      </c>
      <c r="B61" s="3123" t="str">
        <f aca="false">дома!B225</f>
        <v>м.п.</v>
      </c>
      <c r="C61" s="3124" t="n">
        <f aca="false">дома!C225</f>
        <v>0.145</v>
      </c>
      <c r="D61" s="3124" t="n">
        <f aca="false">дома!D225</f>
        <v>0.045</v>
      </c>
      <c r="E61" s="3124" t="n">
        <f aca="false">дома!E225</f>
        <v>0</v>
      </c>
      <c r="F61" s="3124" t="n">
        <f aca="false">дома!F225</f>
        <v>0</v>
      </c>
      <c r="G61" s="3124" t="n">
        <f aca="false">E61*F61*IF('Ввод данных'!$A$19=связи1!$A$150,1,0)</f>
        <v>0</v>
      </c>
      <c r="H61" s="3124" t="n">
        <f aca="false">дома!G198*IF('Ввод данных'!$A$19=связи1!$A$150,1,0)</f>
        <v>0</v>
      </c>
    </row>
    <row r="62" customFormat="false" ht="15" hidden="false" customHeight="false" outlineLevel="0" collapsed="false">
      <c r="A62" s="3122" t="str">
        <f aca="false">дома!A226</f>
        <v>Стойка каркаса по фронтону правая сторона 41</v>
      </c>
      <c r="B62" s="3123" t="str">
        <f aca="false">дома!B226</f>
        <v>м.п.</v>
      </c>
      <c r="C62" s="3124" t="n">
        <f aca="false">дома!C226</f>
        <v>0.145</v>
      </c>
      <c r="D62" s="3124" t="n">
        <f aca="false">дома!D226</f>
        <v>0.045</v>
      </c>
      <c r="E62" s="3124" t="n">
        <f aca="false">дома!E226</f>
        <v>0</v>
      </c>
      <c r="F62" s="3124" t="n">
        <f aca="false">дома!F226</f>
        <v>0</v>
      </c>
      <c r="G62" s="3124" t="n">
        <f aca="false">E62*F62*IF('Ввод данных'!$A$19=связи1!$A$150,1,0)</f>
        <v>0</v>
      </c>
      <c r="H62" s="3124" t="n">
        <f aca="false">дома!G199*IF('Ввод данных'!$A$19=связи1!$A$150,1,0)</f>
        <v>0</v>
      </c>
    </row>
    <row r="63" customFormat="false" ht="15" hidden="false" customHeight="false" outlineLevel="0" collapsed="false">
      <c r="A63" s="3122" t="str">
        <f aca="false">дома!A227</f>
        <v>Стойка каркаса по фронтону правая сторона 42</v>
      </c>
      <c r="B63" s="3123" t="str">
        <f aca="false">дома!B227</f>
        <v>м.п.</v>
      </c>
      <c r="C63" s="3124" t="n">
        <f aca="false">дома!C227</f>
        <v>0.145</v>
      </c>
      <c r="D63" s="3124" t="n">
        <f aca="false">дома!D227</f>
        <v>0.045</v>
      </c>
      <c r="E63" s="3124" t="n">
        <f aca="false">дома!E227</f>
        <v>0</v>
      </c>
      <c r="F63" s="3124" t="n">
        <f aca="false">дома!F227</f>
        <v>0</v>
      </c>
      <c r="G63" s="3124" t="n">
        <f aca="false">E63*F63*IF('Ввод данных'!$A$19=связи1!$A$150,1,0)</f>
        <v>0</v>
      </c>
      <c r="H63" s="3124" t="n">
        <f aca="false">дома!G200*IF('Ввод данных'!$A$19=связи1!$A$150,1,0)</f>
        <v>0</v>
      </c>
    </row>
    <row r="64" customFormat="false" ht="15" hidden="false" customHeight="false" outlineLevel="0" collapsed="false">
      <c r="A64" s="3122" t="str">
        <f aca="false">дома!A228</f>
        <v>Стойка каркаса по фронтону правая сторона 43</v>
      </c>
      <c r="B64" s="3123" t="str">
        <f aca="false">дома!B228</f>
        <v>м.п.</v>
      </c>
      <c r="C64" s="3124" t="n">
        <f aca="false">дома!C228</f>
        <v>0.145</v>
      </c>
      <c r="D64" s="3124" t="n">
        <f aca="false">дома!D228</f>
        <v>0.045</v>
      </c>
      <c r="E64" s="3124" t="n">
        <f aca="false">дома!E228</f>
        <v>0</v>
      </c>
      <c r="F64" s="3124" t="n">
        <f aca="false">дома!F228</f>
        <v>0</v>
      </c>
      <c r="G64" s="3124" t="n">
        <f aca="false">E64*F64*IF('Ввод данных'!$A$19=связи1!$A$150,1,0)</f>
        <v>0</v>
      </c>
      <c r="H64" s="3124" t="n">
        <f aca="false">дома!G201*IF('Ввод данных'!$A$19=связи1!$A$150,1,0)</f>
        <v>0</v>
      </c>
    </row>
    <row r="65" customFormat="false" ht="15" hidden="false" customHeight="false" outlineLevel="0" collapsed="false">
      <c r="A65" s="3122" t="str">
        <f aca="false">дома!A229</f>
        <v>Стойка каркаса по фронтону правая сторона 44</v>
      </c>
      <c r="B65" s="3123" t="str">
        <f aca="false">дома!B229</f>
        <v>м.п.</v>
      </c>
      <c r="C65" s="3124" t="n">
        <f aca="false">дома!C229</f>
        <v>0.145</v>
      </c>
      <c r="D65" s="3124" t="n">
        <f aca="false">дома!D229</f>
        <v>0.045</v>
      </c>
      <c r="E65" s="3124" t="n">
        <f aca="false">дома!E229</f>
        <v>0</v>
      </c>
      <c r="F65" s="3124" t="n">
        <f aca="false">дома!F229</f>
        <v>0</v>
      </c>
      <c r="G65" s="3124" t="n">
        <f aca="false">E65*F65*IF('Ввод данных'!$A$19=связи1!$A$150,1,0)</f>
        <v>0</v>
      </c>
      <c r="H65" s="3124" t="n">
        <f aca="false">дома!G202*IF('Ввод данных'!$A$19=связи1!$A$150,1,0)</f>
        <v>0</v>
      </c>
    </row>
    <row r="66" customFormat="false" ht="15" hidden="false" customHeight="false" outlineLevel="0" collapsed="false">
      <c r="A66" s="3122" t="str">
        <f aca="false">дома!A230</f>
        <v>Стойка каркаса по фронтону правая сторона 45</v>
      </c>
      <c r="B66" s="3123" t="str">
        <f aca="false">дома!B230</f>
        <v>м.п.</v>
      </c>
      <c r="C66" s="3124" t="n">
        <f aca="false">дома!C230</f>
        <v>0.145</v>
      </c>
      <c r="D66" s="3124" t="n">
        <f aca="false">дома!D230</f>
        <v>0.045</v>
      </c>
      <c r="E66" s="3124" t="n">
        <f aca="false">дома!E230</f>
        <v>0</v>
      </c>
      <c r="F66" s="3124" t="n">
        <f aca="false">дома!F230</f>
        <v>0</v>
      </c>
      <c r="G66" s="3124" t="n">
        <f aca="false">E66*F66*IF('Ввод данных'!$A$19=связи1!$A$150,1,0)</f>
        <v>0</v>
      </c>
      <c r="H66" s="3124" t="n">
        <f aca="false">дома!G203*IF('Ввод данных'!$A$19=связи1!$A$150,1,0)</f>
        <v>0</v>
      </c>
    </row>
    <row r="67" customFormat="false" ht="15" hidden="false" customHeight="false" outlineLevel="0" collapsed="false">
      <c r="A67" s="3122" t="str">
        <f aca="false">дома!A231</f>
        <v>Стойка каркаса по фронтону правая сторона 46</v>
      </c>
      <c r="B67" s="3123" t="str">
        <f aca="false">дома!B231</f>
        <v>м.п.</v>
      </c>
      <c r="C67" s="3124" t="n">
        <f aca="false">дома!C231</f>
        <v>0.145</v>
      </c>
      <c r="D67" s="3124" t="n">
        <f aca="false">дома!D231</f>
        <v>0.045</v>
      </c>
      <c r="E67" s="3124" t="n">
        <f aca="false">дома!E231</f>
        <v>0</v>
      </c>
      <c r="F67" s="3124" t="n">
        <f aca="false">дома!F231</f>
        <v>0</v>
      </c>
      <c r="G67" s="3124" t="n">
        <f aca="false">E67*F67*IF('Ввод данных'!$A$19=связи1!$A$150,1,0)</f>
        <v>0</v>
      </c>
      <c r="H67" s="3124" t="n">
        <f aca="false">дома!G204*IF('Ввод данных'!$A$19=связи1!$A$150,1,0)</f>
        <v>0</v>
      </c>
    </row>
    <row r="68" customFormat="false" ht="15" hidden="false" customHeight="false" outlineLevel="0" collapsed="false">
      <c r="A68" s="3122" t="str">
        <f aca="false">дома!A232</f>
        <v>Стойка каркаса по фронтону правая сторона 47</v>
      </c>
      <c r="B68" s="3123" t="str">
        <f aca="false">дома!B232</f>
        <v>м.п.</v>
      </c>
      <c r="C68" s="3124" t="n">
        <f aca="false">дома!C232</f>
        <v>0.145</v>
      </c>
      <c r="D68" s="3124" t="n">
        <f aca="false">дома!D232</f>
        <v>0.045</v>
      </c>
      <c r="E68" s="3124" t="n">
        <f aca="false">дома!E232</f>
        <v>0</v>
      </c>
      <c r="F68" s="3124" t="n">
        <f aca="false">дома!F232</f>
        <v>0</v>
      </c>
      <c r="G68" s="3124" t="n">
        <f aca="false">E68*F68*IF('Ввод данных'!$A$19=связи1!$A$150,1,0)</f>
        <v>0</v>
      </c>
      <c r="H68" s="3124" t="n">
        <f aca="false">дома!G205*IF('Ввод данных'!$A$19=связи1!$A$150,1,0)</f>
        <v>0</v>
      </c>
    </row>
    <row r="69" customFormat="false" ht="15" hidden="false" customHeight="false" outlineLevel="0" collapsed="false">
      <c r="A69" s="3122" t="str">
        <f aca="false">дома!A233</f>
        <v>Стойка каркаса по фронтону правая сторона 48</v>
      </c>
      <c r="B69" s="3123" t="str">
        <f aca="false">дома!B233</f>
        <v>м.п.</v>
      </c>
      <c r="C69" s="3124" t="n">
        <f aca="false">дома!C233</f>
        <v>0.145</v>
      </c>
      <c r="D69" s="3124" t="n">
        <f aca="false">дома!D233</f>
        <v>0.045</v>
      </c>
      <c r="E69" s="3124" t="n">
        <f aca="false">дома!E233</f>
        <v>0</v>
      </c>
      <c r="F69" s="3124" t="n">
        <f aca="false">дома!F233</f>
        <v>0</v>
      </c>
      <c r="G69" s="3124" t="n">
        <f aca="false">E69*F69*IF('Ввод данных'!$A$19=связи1!$A$150,1,0)</f>
        <v>0</v>
      </c>
      <c r="H69" s="3124" t="n">
        <f aca="false">дома!G206*IF('Ввод данных'!$A$19=связи1!$A$150,1,0)</f>
        <v>0</v>
      </c>
    </row>
    <row r="70" customFormat="false" ht="15" hidden="false" customHeight="false" outlineLevel="0" collapsed="false">
      <c r="A70" s="3122" t="str">
        <f aca="false">дома!A234</f>
        <v>Стойка каркаса по фронтону правая сторона 49</v>
      </c>
      <c r="B70" s="3123" t="str">
        <f aca="false">дома!B234</f>
        <v>м.п.</v>
      </c>
      <c r="C70" s="3124" t="n">
        <f aca="false">дома!C234</f>
        <v>0.145</v>
      </c>
      <c r="D70" s="3124" t="n">
        <f aca="false">дома!D234</f>
        <v>0.045</v>
      </c>
      <c r="E70" s="3124" t="n">
        <f aca="false">дома!E234</f>
        <v>0</v>
      </c>
      <c r="F70" s="3124" t="n">
        <f aca="false">дома!F234</f>
        <v>0</v>
      </c>
      <c r="G70" s="3124" t="n">
        <f aca="false">E70*F70*IF('Ввод данных'!$A$19=связи1!$A$150,1,0)</f>
        <v>0</v>
      </c>
      <c r="H70" s="3124" t="n">
        <f aca="false">дома!G207*IF('Ввод данных'!$A$19=связи1!$A$150,1,0)</f>
        <v>0</v>
      </c>
    </row>
    <row r="71" customFormat="false" ht="15" hidden="false" customHeight="false" outlineLevel="0" collapsed="false">
      <c r="A71" s="3122" t="str">
        <f aca="false">дома!A235</f>
        <v>Стойка каркаса по фронтону правая сторона 50</v>
      </c>
      <c r="B71" s="3123" t="str">
        <f aca="false">дома!B235</f>
        <v>м.п.</v>
      </c>
      <c r="C71" s="3124" t="n">
        <f aca="false">дома!C235</f>
        <v>0.145</v>
      </c>
      <c r="D71" s="3124" t="n">
        <f aca="false">дома!D235</f>
        <v>0.045</v>
      </c>
      <c r="E71" s="3124" t="n">
        <f aca="false">дома!E235</f>
        <v>0</v>
      </c>
      <c r="F71" s="3124" t="n">
        <f aca="false">дома!F235</f>
        <v>0</v>
      </c>
      <c r="G71" s="3124" t="n">
        <f aca="false">E71*F71*IF('Ввод данных'!$A$19=связи1!$A$150,1,0)</f>
        <v>0</v>
      </c>
      <c r="H71" s="3124" t="n">
        <f aca="false">дома!G208*IF('Ввод данных'!$A$19=связи1!$A$150,1,0)</f>
        <v>0</v>
      </c>
    </row>
    <row r="72" customFormat="false" ht="15" hidden="false" customHeight="false" outlineLevel="0" collapsed="false">
      <c r="A72" s="3122" t="str">
        <f aca="false">дома!A236</f>
        <v>Стойка каркаса по фронтону правая сторона 51</v>
      </c>
      <c r="B72" s="3123" t="str">
        <f aca="false">дома!B236</f>
        <v>м.п.</v>
      </c>
      <c r="C72" s="3124" t="n">
        <f aca="false">дома!C236</f>
        <v>0.145</v>
      </c>
      <c r="D72" s="3124" t="n">
        <f aca="false">дома!D236</f>
        <v>0.045</v>
      </c>
      <c r="E72" s="3124" t="n">
        <f aca="false">дома!E236</f>
        <v>0</v>
      </c>
      <c r="F72" s="3124" t="n">
        <f aca="false">дома!F236</f>
        <v>0</v>
      </c>
      <c r="G72" s="3124" t="n">
        <f aca="false">E72*F72*IF('Ввод данных'!$A$19=связи1!$A$150,1,0)</f>
        <v>0</v>
      </c>
      <c r="H72" s="3124" t="n">
        <f aca="false">дома!G209*IF('Ввод данных'!$A$19=связи1!$A$150,1,0)</f>
        <v>0</v>
      </c>
    </row>
    <row r="73" customFormat="false" ht="15" hidden="false" customHeight="false" outlineLevel="0" collapsed="false">
      <c r="A73" s="3122" t="str">
        <f aca="false">дома!A237</f>
        <v>Стойка каркаса по фронтону правая сторона 52</v>
      </c>
      <c r="B73" s="3123" t="str">
        <f aca="false">дома!B237</f>
        <v>м.п.</v>
      </c>
      <c r="C73" s="3124" t="n">
        <f aca="false">дома!C237</f>
        <v>0.145</v>
      </c>
      <c r="D73" s="3124" t="n">
        <f aca="false">дома!D237</f>
        <v>0.045</v>
      </c>
      <c r="E73" s="3124" t="n">
        <f aca="false">дома!E237</f>
        <v>0</v>
      </c>
      <c r="F73" s="3124" t="n">
        <f aca="false">дома!F237</f>
        <v>0</v>
      </c>
      <c r="G73" s="3124" t="n">
        <f aca="false">E73*F73*IF('Ввод данных'!$A$19=связи1!$A$150,1,0)</f>
        <v>0</v>
      </c>
      <c r="H73" s="3124" t="n">
        <f aca="false">дома!G210*IF('Ввод данных'!$A$19=связи1!$A$150,1,0)</f>
        <v>0</v>
      </c>
    </row>
    <row r="74" customFormat="false" ht="15" hidden="false" customHeight="false" outlineLevel="0" collapsed="false">
      <c r="A74" s="3122" t="str">
        <f aca="false">дома!A238</f>
        <v>Стойка каркаса по фронтону правая сторона 53</v>
      </c>
      <c r="B74" s="3123" t="str">
        <f aca="false">дома!B238</f>
        <v>м.п.</v>
      </c>
      <c r="C74" s="3124" t="n">
        <f aca="false">дома!C238</f>
        <v>0.145</v>
      </c>
      <c r="D74" s="3124" t="n">
        <f aca="false">дома!D238</f>
        <v>0.045</v>
      </c>
      <c r="E74" s="3124" t="n">
        <f aca="false">дома!E238</f>
        <v>0</v>
      </c>
      <c r="F74" s="3124" t="n">
        <f aca="false">дома!F238</f>
        <v>0</v>
      </c>
      <c r="G74" s="3124" t="n">
        <f aca="false">E74*F74*IF('Ввод данных'!$A$19=связи1!$A$150,1,0)</f>
        <v>0</v>
      </c>
      <c r="H74" s="3124" t="n">
        <f aca="false">дома!G211*IF('Ввод данных'!$A$19=связи1!$A$150,1,0)</f>
        <v>0</v>
      </c>
    </row>
    <row r="75" customFormat="false" ht="15" hidden="false" customHeight="false" outlineLevel="0" collapsed="false">
      <c r="A75" s="3122" t="str">
        <f aca="false">дома!A239</f>
        <v>Стойка каркаса по фронтону правая сторона 54</v>
      </c>
      <c r="B75" s="3123" t="str">
        <f aca="false">дома!B239</f>
        <v>м.п.</v>
      </c>
      <c r="C75" s="3124" t="n">
        <f aca="false">дома!C239</f>
        <v>0.145</v>
      </c>
      <c r="D75" s="3124" t="n">
        <f aca="false">дома!D239</f>
        <v>0.045</v>
      </c>
      <c r="E75" s="3124" t="n">
        <f aca="false">дома!E239</f>
        <v>0</v>
      </c>
      <c r="F75" s="3124" t="n">
        <f aca="false">дома!F239</f>
        <v>0</v>
      </c>
      <c r="G75" s="3124" t="n">
        <f aca="false">E75*F75*IF('Ввод данных'!$A$19=связи1!$A$150,1,0)</f>
        <v>0</v>
      </c>
      <c r="H75" s="3124" t="n">
        <f aca="false">дома!G212*IF('Ввод данных'!$A$19=связи1!$A$150,1,0)</f>
        <v>0</v>
      </c>
    </row>
    <row r="76" customFormat="false" ht="15" hidden="false" customHeight="false" outlineLevel="0" collapsed="false">
      <c r="A76" s="3122" t="str">
        <f aca="false">дома!A240</f>
        <v>Стойка каркаса по фронтону правая сторона 55</v>
      </c>
      <c r="B76" s="3123" t="str">
        <f aca="false">дома!B240</f>
        <v>м.п.</v>
      </c>
      <c r="C76" s="3124" t="n">
        <f aca="false">дома!C240</f>
        <v>0.145</v>
      </c>
      <c r="D76" s="3124" t="n">
        <f aca="false">дома!D240</f>
        <v>0.045</v>
      </c>
      <c r="E76" s="3124" t="n">
        <f aca="false">дома!E240</f>
        <v>0</v>
      </c>
      <c r="F76" s="3124" t="n">
        <f aca="false">дома!F240</f>
        <v>0</v>
      </c>
      <c r="G76" s="3124" t="n">
        <f aca="false">E76*F76*IF('Ввод данных'!$A$19=связи1!$A$150,1,0)</f>
        <v>0</v>
      </c>
      <c r="H76" s="3124" t="n">
        <f aca="false">дома!G213*IF('Ввод данных'!$A$19=связи1!$A$150,1,0)</f>
        <v>0</v>
      </c>
    </row>
    <row r="77" customFormat="false" ht="15" hidden="false" customHeight="false" outlineLevel="0" collapsed="false">
      <c r="A77" s="3122" t="str">
        <f aca="false">дома!A241</f>
        <v>Стойка каркаса по фронтону правая сторона 56</v>
      </c>
      <c r="B77" s="3123" t="str">
        <f aca="false">дома!B241</f>
        <v>м.п.</v>
      </c>
      <c r="C77" s="3124" t="n">
        <f aca="false">дома!C241</f>
        <v>0.145</v>
      </c>
      <c r="D77" s="3124" t="n">
        <f aca="false">дома!D241</f>
        <v>0.045</v>
      </c>
      <c r="E77" s="3124" t="n">
        <f aca="false">дома!E241</f>
        <v>0</v>
      </c>
      <c r="F77" s="3124" t="n">
        <f aca="false">дома!F241</f>
        <v>0</v>
      </c>
      <c r="G77" s="3124" t="n">
        <f aca="false">E77*F77*IF('Ввод данных'!$A$19=связи1!$A$150,1,0)</f>
        <v>0</v>
      </c>
      <c r="H77" s="3124" t="n">
        <f aca="false">дома!G214*IF('Ввод данных'!$A$19=связи1!$A$150,1,0)</f>
        <v>0</v>
      </c>
    </row>
    <row r="78" customFormat="false" ht="15" hidden="false" customHeight="false" outlineLevel="0" collapsed="false">
      <c r="A78" s="3122" t="str">
        <f aca="false">дома!A242</f>
        <v>Стойка каркаса по фронтону правая сторона 57</v>
      </c>
      <c r="B78" s="3123" t="str">
        <f aca="false">дома!B242</f>
        <v>м.п.</v>
      </c>
      <c r="C78" s="3124" t="n">
        <f aca="false">дома!C242</f>
        <v>0.145</v>
      </c>
      <c r="D78" s="3124" t="n">
        <f aca="false">дома!D242</f>
        <v>0.045</v>
      </c>
      <c r="E78" s="3124" t="n">
        <f aca="false">дома!E242</f>
        <v>0</v>
      </c>
      <c r="F78" s="3124" t="n">
        <f aca="false">дома!F242</f>
        <v>0</v>
      </c>
      <c r="G78" s="3124" t="n">
        <f aca="false">E78*F78*IF('Ввод данных'!$A$19=связи1!$A$150,1,0)</f>
        <v>0</v>
      </c>
      <c r="H78" s="3124" t="n">
        <f aca="false">дома!G215*IF('Ввод данных'!$A$19=связи1!$A$150,1,0)</f>
        <v>0</v>
      </c>
    </row>
    <row r="79" customFormat="false" ht="15" hidden="false" customHeight="false" outlineLevel="0" collapsed="false">
      <c r="A79" s="3122" t="str">
        <f aca="false">дома!A243</f>
        <v>Стойка каркаса по фронтону правая сторона 58</v>
      </c>
      <c r="B79" s="3123" t="str">
        <f aca="false">дома!B243</f>
        <v>м.п.</v>
      </c>
      <c r="C79" s="3124" t="n">
        <f aca="false">дома!C243</f>
        <v>0.145</v>
      </c>
      <c r="D79" s="3124" t="n">
        <f aca="false">дома!D243</f>
        <v>0.045</v>
      </c>
      <c r="E79" s="3124" t="n">
        <f aca="false">дома!E243</f>
        <v>0</v>
      </c>
      <c r="F79" s="3124" t="n">
        <f aca="false">дома!F243</f>
        <v>0</v>
      </c>
      <c r="G79" s="3124" t="n">
        <f aca="false">E79*F79*IF('Ввод данных'!$A$19=связи1!$A$150,1,0)</f>
        <v>0</v>
      </c>
      <c r="H79" s="3124" t="n">
        <f aca="false">дома!G216*IF('Ввод данных'!$A$19=связи1!$A$150,1,0)</f>
        <v>0</v>
      </c>
    </row>
    <row r="80" customFormat="false" ht="15" hidden="false" customHeight="false" outlineLevel="0" collapsed="false">
      <c r="A80" s="3122" t="str">
        <f aca="false">дома!A244</f>
        <v>Стойка каркаса по фронтону правая сторона 59</v>
      </c>
      <c r="B80" s="3123" t="str">
        <f aca="false">дома!B244</f>
        <v>м.п.</v>
      </c>
      <c r="C80" s="3124" t="n">
        <f aca="false">дома!C244</f>
        <v>0.145</v>
      </c>
      <c r="D80" s="3124" t="n">
        <f aca="false">дома!D244</f>
        <v>0.045</v>
      </c>
      <c r="E80" s="3124" t="n">
        <f aca="false">дома!E244</f>
        <v>0</v>
      </c>
      <c r="F80" s="3124" t="n">
        <f aca="false">дома!F244</f>
        <v>0</v>
      </c>
      <c r="G80" s="3124" t="n">
        <f aca="false">E80*F80*IF('Ввод данных'!$A$19=связи1!$A$150,1,0)</f>
        <v>0</v>
      </c>
      <c r="H80" s="3124" t="n">
        <f aca="false">дома!G217*IF('Ввод данных'!$A$19=связи1!$A$150,1,0)</f>
        <v>0</v>
      </c>
    </row>
    <row r="81" customFormat="false" ht="15" hidden="false" customHeight="false" outlineLevel="0" collapsed="false">
      <c r="A81" s="3122" t="str">
        <f aca="false">дома!A245</f>
        <v>Стойка каркаса по фронтону правая сторона 60</v>
      </c>
      <c r="B81" s="3123" t="str">
        <f aca="false">дома!B245</f>
        <v>м.п.</v>
      </c>
      <c r="C81" s="3124" t="n">
        <f aca="false">дома!C245</f>
        <v>0.145</v>
      </c>
      <c r="D81" s="3124" t="n">
        <f aca="false">дома!D245</f>
        <v>0.045</v>
      </c>
      <c r="E81" s="3124" t="n">
        <f aca="false">дома!E245</f>
        <v>0</v>
      </c>
      <c r="F81" s="3124" t="n">
        <f aca="false">дома!F245</f>
        <v>0</v>
      </c>
      <c r="G81" s="3124" t="n">
        <f aca="false">E81*F81*IF('Ввод данных'!$A$19=связи1!$A$150,1,0)</f>
        <v>0</v>
      </c>
      <c r="H81" s="3124" t="n">
        <f aca="false">дома!G218*IF('Ввод данных'!$A$19=связи1!$A$150,1,0)</f>
        <v>0</v>
      </c>
    </row>
    <row r="82" customFormat="false" ht="15" hidden="false" customHeight="false" outlineLevel="0" collapsed="false">
      <c r="A82" s="3122" t="str">
        <f aca="false">дома!A246</f>
        <v>Стойка каркаса по фронтону правая сторона 61</v>
      </c>
      <c r="B82" s="3123" t="str">
        <f aca="false">дома!B246</f>
        <v>м.п.</v>
      </c>
      <c r="C82" s="3124" t="n">
        <f aca="false">дома!C246</f>
        <v>0.145</v>
      </c>
      <c r="D82" s="3124" t="n">
        <f aca="false">дома!D246</f>
        <v>0.045</v>
      </c>
      <c r="E82" s="3124" t="n">
        <f aca="false">дома!E246</f>
        <v>0</v>
      </c>
      <c r="F82" s="3124" t="n">
        <f aca="false">дома!F246</f>
        <v>0</v>
      </c>
      <c r="G82" s="3124" t="n">
        <f aca="false">E82*F82*IF('Ввод данных'!$A$19=связи1!$A$150,1,0)</f>
        <v>0</v>
      </c>
      <c r="H82" s="3124" t="n">
        <f aca="false">дома!G219*IF('Ввод данных'!$A$19=связи1!$A$150,1,0)</f>
        <v>0</v>
      </c>
    </row>
    <row r="83" customFormat="false" ht="15" hidden="false" customHeight="false" outlineLevel="0" collapsed="false">
      <c r="A83" s="3122" t="str">
        <f aca="false">дома!A247</f>
        <v>Стойка каркаса по фронтону правая сторона 62</v>
      </c>
      <c r="B83" s="3123" t="str">
        <f aca="false">дома!B247</f>
        <v>м.п.</v>
      </c>
      <c r="C83" s="3124" t="n">
        <f aca="false">дома!C247</f>
        <v>0.145</v>
      </c>
      <c r="D83" s="3124" t="n">
        <f aca="false">дома!D247</f>
        <v>0.045</v>
      </c>
      <c r="E83" s="3124" t="n">
        <f aca="false">дома!E247</f>
        <v>0</v>
      </c>
      <c r="F83" s="3124" t="n">
        <f aca="false">дома!F247</f>
        <v>0</v>
      </c>
      <c r="G83" s="3124" t="n">
        <f aca="false">E83*F83*IF('Ввод данных'!$A$19=связи1!$A$150,1,0)</f>
        <v>0</v>
      </c>
      <c r="H83" s="3124" t="n">
        <f aca="false">дома!G220*IF('Ввод данных'!$A$19=связи1!$A$150,1,0)</f>
        <v>0</v>
      </c>
    </row>
    <row r="84" customFormat="false" ht="15" hidden="false" customHeight="false" outlineLevel="0" collapsed="false">
      <c r="A84" s="3122" t="str">
        <f aca="false">дома!A248</f>
        <v>Обвязка каркаса фронтона верхняя</v>
      </c>
      <c r="B84" s="3123" t="str">
        <f aca="false">дома!B248</f>
        <v>м.п.</v>
      </c>
      <c r="C84" s="3124" t="n">
        <f aca="false">дома!C248</f>
        <v>0.145</v>
      </c>
      <c r="D84" s="3124" t="n">
        <f aca="false">дома!D248</f>
        <v>0.045</v>
      </c>
      <c r="E84" s="3124" t="n">
        <f aca="false">дома!E248</f>
        <v>0</v>
      </c>
      <c r="F84" s="3124" t="n">
        <f aca="false">дома!F248</f>
        <v>0</v>
      </c>
      <c r="G84" s="3124" t="n">
        <f aca="false">E84*F84*IF('Ввод данных'!$A$19=связи1!$A$150,1,0)</f>
        <v>0</v>
      </c>
      <c r="H84" s="3124" t="n">
        <f aca="false">дома!G221*IF('Ввод данных'!$A$19=связи1!$A$150,1,0)</f>
        <v>0</v>
      </c>
    </row>
    <row r="85" customFormat="false" ht="15" hidden="false" customHeight="false" outlineLevel="0" collapsed="false">
      <c r="A85" s="3122" t="str">
        <f aca="false">дома!A249</f>
        <v>Обвязка каркаса фронтона нижняя</v>
      </c>
      <c r="B85" s="3123" t="str">
        <f aca="false">дома!B249</f>
        <v>м.п.</v>
      </c>
      <c r="C85" s="3124" t="n">
        <f aca="false">дома!C249</f>
        <v>0.145</v>
      </c>
      <c r="D85" s="3124" t="n">
        <f aca="false">дома!D249</f>
        <v>0.045</v>
      </c>
      <c r="E85" s="3124" t="n">
        <f aca="false">дома!E249</f>
        <v>0</v>
      </c>
      <c r="F85" s="3124" t="n">
        <f aca="false">дома!F249</f>
        <v>0</v>
      </c>
      <c r="G85" s="3124" t="n">
        <f aca="false">E85*F85*IF('Ввод данных'!$A$19=связи1!$A$150,1,0)</f>
        <v>0</v>
      </c>
      <c r="H85" s="3124" t="n">
        <f aca="false">дома!G222*IF('Ввод данных'!$A$19=связи1!$A$150,1,0)</f>
        <v>0</v>
      </c>
    </row>
    <row r="86" customFormat="false" ht="15" hidden="false" customHeight="false" outlineLevel="0" collapsed="false">
      <c r="A86" s="3122" t="str">
        <f aca="false">дома!A250</f>
        <v>Ригель каркаса фронтона</v>
      </c>
      <c r="B86" s="3123" t="str">
        <f aca="false">дома!B250</f>
        <v>м.п.</v>
      </c>
      <c r="C86" s="3124" t="n">
        <f aca="false">дома!C250</f>
        <v>0.145</v>
      </c>
      <c r="D86" s="3124" t="n">
        <f aca="false">дома!D250</f>
        <v>0.045</v>
      </c>
      <c r="E86" s="3124" t="n">
        <f aca="false">дома!E250</f>
        <v>0</v>
      </c>
      <c r="F86" s="3124" t="n">
        <f aca="false">дома!F250</f>
        <v>0</v>
      </c>
      <c r="G86" s="3124" t="n">
        <f aca="false">E86*F86*IF('Ввод данных'!$A$19=связи1!$A$150,1,0)</f>
        <v>0</v>
      </c>
      <c r="H86" s="3124" t="n">
        <f aca="false">дома!G223*IF('Ввод данных'!$A$19=связи1!$A$150,1,0)</f>
        <v>0</v>
      </c>
    </row>
    <row r="87" customFormat="false" ht="15" hidden="false" customHeight="false" outlineLevel="0" collapsed="false">
      <c r="A87" s="3122" t="str">
        <f aca="false">дома!A251</f>
        <v>Стойки каркаса левой боковой стены 1 этаж</v>
      </c>
      <c r="B87" s="3123" t="str">
        <f aca="false">дома!B251</f>
        <v>м.п.</v>
      </c>
      <c r="C87" s="3124" t="n">
        <f aca="false">дома!C251</f>
        <v>0.145</v>
      </c>
      <c r="D87" s="3124" t="n">
        <f aca="false">дома!D251</f>
        <v>0.045</v>
      </c>
      <c r="E87" s="3124" t="n">
        <f aca="false">дома!E251</f>
        <v>2.8</v>
      </c>
      <c r="F87" s="3124" t="n">
        <f aca="false">дома!F251</f>
        <v>1</v>
      </c>
      <c r="G87" s="3124" t="n">
        <f aca="false">E87*F87*IF('Ввод данных'!$A$19=связи1!$A$150,1,0)</f>
        <v>0</v>
      </c>
      <c r="H87" s="3124" t="n">
        <f aca="false">дома!G224*IF('Ввод данных'!$A$19=связи1!$A$150,1,0)</f>
        <v>0</v>
      </c>
    </row>
    <row r="88" customFormat="false" ht="15" hidden="false" customHeight="false" outlineLevel="0" collapsed="false">
      <c r="A88" s="3122" t="str">
        <f aca="false">дома!A252</f>
        <v>Стойки каркаса правой боковой стены 1 этаж</v>
      </c>
      <c r="B88" s="3123" t="str">
        <f aca="false">дома!B252</f>
        <v>м.п.</v>
      </c>
      <c r="C88" s="3124" t="n">
        <f aca="false">дома!C252</f>
        <v>0.145</v>
      </c>
      <c r="D88" s="3124" t="n">
        <f aca="false">дома!D252</f>
        <v>0.045</v>
      </c>
      <c r="E88" s="3124" t="n">
        <f aca="false">дома!E252</f>
        <v>2.8</v>
      </c>
      <c r="F88" s="3124" t="n">
        <f aca="false">дома!F252</f>
        <v>1</v>
      </c>
      <c r="G88" s="3124" t="n">
        <f aca="false">E88*F88*IF('Ввод данных'!$A$19=связи1!$A$150,1,0)</f>
        <v>0</v>
      </c>
      <c r="H88" s="3124" t="n">
        <f aca="false">дома!G225*IF('Ввод данных'!$A$19=связи1!$A$150,1,0)</f>
        <v>0</v>
      </c>
    </row>
    <row r="89" customFormat="false" ht="15" hidden="false" customHeight="false" outlineLevel="0" collapsed="false">
      <c r="A89" s="3122" t="str">
        <f aca="false">дома!A253</f>
        <v>Стойка каркаса по фронтону, полувальмовая кровля №1</v>
      </c>
      <c r="B89" s="3123" t="str">
        <f aca="false">дома!B253</f>
        <v>м.п.</v>
      </c>
      <c r="C89" s="3124" t="n">
        <f aca="false">дома!C253</f>
        <v>0.145</v>
      </c>
      <c r="D89" s="3124" t="n">
        <f aca="false">дома!D253</f>
        <v>0.045</v>
      </c>
      <c r="E89" s="3124" t="n">
        <f aca="false">дома!E253</f>
        <v>2.8</v>
      </c>
      <c r="F89" s="3124" t="n">
        <f aca="false">дома!F253</f>
        <v>4</v>
      </c>
      <c r="G89" s="3124" t="n">
        <f aca="false">E89*F89*IF('Ввод данных'!$A$19=связи1!$A$150,1,0)</f>
        <v>0</v>
      </c>
      <c r="H89" s="3124" t="n">
        <f aca="false">дома!G226*IF('Ввод данных'!$A$19=связи1!$A$150,1,0)</f>
        <v>0</v>
      </c>
    </row>
    <row r="90" customFormat="false" ht="15" hidden="false" customHeight="false" outlineLevel="0" collapsed="false">
      <c r="A90" s="3122" t="str">
        <f aca="false">дома!A254</f>
        <v>Стойка каркаса по фронтону, полувальмовая кровля №2</v>
      </c>
      <c r="B90" s="3123" t="str">
        <f aca="false">дома!B254</f>
        <v>м.п.</v>
      </c>
      <c r="C90" s="3124" t="n">
        <f aca="false">дома!C254</f>
        <v>0.145</v>
      </c>
      <c r="D90" s="3124" t="n">
        <f aca="false">дома!D254</f>
        <v>0.045</v>
      </c>
      <c r="E90" s="3124" t="n">
        <f aca="false">дома!E254</f>
        <v>2.8</v>
      </c>
      <c r="F90" s="3124" t="n">
        <f aca="false">дома!F254</f>
        <v>0</v>
      </c>
      <c r="G90" s="3124" t="n">
        <f aca="false">E90*F90*IF('Ввод данных'!$A$19=связи1!$A$150,1,0)</f>
        <v>0</v>
      </c>
      <c r="H90" s="3124" t="n">
        <f aca="false">дома!G227*IF('Ввод данных'!$A$19=связи1!$A$150,1,0)</f>
        <v>0</v>
      </c>
    </row>
    <row r="91" customFormat="false" ht="15" hidden="false" customHeight="false" outlineLevel="0" collapsed="false">
      <c r="A91" s="3122" t="str">
        <f aca="false">дома!A255</f>
        <v>Обвязка каркаса нижняя 1 этаж</v>
      </c>
      <c r="B91" s="3123" t="str">
        <f aca="false">дома!B255</f>
        <v>м.п.</v>
      </c>
      <c r="C91" s="3124" t="n">
        <f aca="false">дома!C255</f>
        <v>0.145</v>
      </c>
      <c r="D91" s="3124" t="n">
        <f aca="false">дома!D255</f>
        <v>0.045</v>
      </c>
      <c r="E91" s="3124" t="n">
        <f aca="false">дома!E255</f>
        <v>0</v>
      </c>
      <c r="F91" s="3124" t="n">
        <f aca="false">дома!F255</f>
        <v>1</v>
      </c>
      <c r="G91" s="3124" t="n">
        <f aca="false">E91*F91*IF('Ввод данных'!$A$19=связи1!$A$150,1,0)</f>
        <v>0</v>
      </c>
      <c r="H91" s="3124" t="n">
        <f aca="false">дома!G228*IF('Ввод данных'!$A$19=связи1!$A$150,1,0)</f>
        <v>0</v>
      </c>
    </row>
    <row r="92" customFormat="false" ht="15" hidden="false" customHeight="false" outlineLevel="0" collapsed="false">
      <c r="A92" s="3122" t="str">
        <f aca="false">дома!A256</f>
        <v>Обвязка каркаса верхняя 1 этаж</v>
      </c>
      <c r="B92" s="3123" t="str">
        <f aca="false">дома!B256</f>
        <v>м.п.</v>
      </c>
      <c r="C92" s="3124" t="n">
        <f aca="false">дома!C256</f>
        <v>0.145</v>
      </c>
      <c r="D92" s="3124" t="n">
        <f aca="false">дома!D256</f>
        <v>0.045</v>
      </c>
      <c r="E92" s="3124" t="n">
        <f aca="false">дома!E256</f>
        <v>15.2604497220734</v>
      </c>
      <c r="F92" s="3124" t="n">
        <f aca="false">дома!F256</f>
        <v>1</v>
      </c>
      <c r="G92" s="3124" t="n">
        <f aca="false">E92*F92*IF('Ввод данных'!$A$19=связи1!$A$150,1,0)</f>
        <v>0</v>
      </c>
      <c r="H92" s="3124" t="n">
        <f aca="false">дома!G229*IF('Ввод данных'!$A$19=связи1!$A$150,1,0)</f>
        <v>0</v>
      </c>
    </row>
    <row r="93" customFormat="false" ht="15" hidden="false" customHeight="false" outlineLevel="0" collapsed="false">
      <c r="A93" s="3122" t="str">
        <f aca="false">дома!A257</f>
        <v>Ригель каркаса фронтона 1 этаж</v>
      </c>
      <c r="B93" s="3123" t="str">
        <f aca="false">дома!B257</f>
        <v>м.п.</v>
      </c>
      <c r="C93" s="3124" t="n">
        <f aca="false">дома!C257</f>
        <v>0.145</v>
      </c>
      <c r="D93" s="3124" t="n">
        <f aca="false">дома!D257</f>
        <v>0.045</v>
      </c>
      <c r="E93" s="3124" t="n">
        <f aca="false">дома!E257</f>
        <v>15.2604497220734</v>
      </c>
      <c r="F93" s="3124" t="n">
        <f aca="false">дома!F257</f>
        <v>1</v>
      </c>
      <c r="G93" s="3124" t="n">
        <f aca="false">E93*F93*IF('Ввод данных'!$A$19=связи1!$A$150,1,0)</f>
        <v>0</v>
      </c>
      <c r="H93" s="3124" t="n">
        <f aca="false">дома!G230*IF('Ввод данных'!$A$19=связи1!$A$150,1,0)</f>
        <v>0</v>
      </c>
    </row>
    <row r="94" customFormat="false" ht="15" hidden="false" customHeight="false" outlineLevel="0" collapsed="false">
      <c r="A94" s="3122" t="str">
        <f aca="false">дома!A258</f>
        <v>Обвязка каркаса нижняя, односкатная кровля</v>
      </c>
      <c r="B94" s="3123" t="str">
        <f aca="false">дома!B258</f>
        <v>м.п.</v>
      </c>
      <c r="C94" s="3124" t="n">
        <f aca="false">дома!C258</f>
        <v>0.145</v>
      </c>
      <c r="D94" s="3124" t="n">
        <f aca="false">дома!D258</f>
        <v>0.045</v>
      </c>
      <c r="E94" s="3124" t="n">
        <f aca="false">дома!E258</f>
        <v>0</v>
      </c>
      <c r="F94" s="3124" t="n">
        <f aca="false">дома!F258</f>
        <v>1</v>
      </c>
      <c r="G94" s="3124" t="n">
        <f aca="false">E94*F94*IF('Ввод данных'!$A$19=связи1!$A$150,1,0)</f>
        <v>0</v>
      </c>
      <c r="H94" s="3124" t="n">
        <f aca="false">дома!G231*IF('Ввод данных'!$A$19=связи1!$A$150,1,0)</f>
        <v>0</v>
      </c>
    </row>
    <row r="95" customFormat="false" ht="15" hidden="false" customHeight="false" outlineLevel="0" collapsed="false">
      <c r="A95" s="3122" t="str">
        <f aca="false">дома!A259</f>
        <v>Обвязка каркаса верхняя, односкатная кровля</v>
      </c>
      <c r="B95" s="3123" t="str">
        <f aca="false">дома!B259</f>
        <v>м.п.</v>
      </c>
      <c r="C95" s="3124" t="n">
        <f aca="false">дома!C259</f>
        <v>0.145</v>
      </c>
      <c r="D95" s="3124" t="n">
        <f aca="false">дома!D259</f>
        <v>0.045</v>
      </c>
      <c r="E95" s="3124" t="n">
        <f aca="false">дома!E259</f>
        <v>0</v>
      </c>
      <c r="F95" s="3124" t="n">
        <f aca="false">дома!F259</f>
        <v>1</v>
      </c>
      <c r="G95" s="3124" t="n">
        <f aca="false">E95*F95*IF('Ввод данных'!$A$19=связи1!$A$150,1,0)</f>
        <v>0</v>
      </c>
      <c r="H95" s="3124" t="n">
        <f aca="false">дома!G232*IF('Ввод данных'!$A$19=связи1!$A$150,1,0)</f>
        <v>0</v>
      </c>
    </row>
    <row r="96" customFormat="false" ht="15" hidden="false" customHeight="false" outlineLevel="0" collapsed="false">
      <c r="A96" s="3122" t="str">
        <f aca="false">дома!A260</f>
        <v>Ригель каркаса фронтона, односкатная кровля</v>
      </c>
      <c r="B96" s="3123" t="str">
        <f aca="false">дома!B260</f>
        <v>м.п.</v>
      </c>
      <c r="C96" s="3124" t="n">
        <f aca="false">дома!C260</f>
        <v>0.145</v>
      </c>
      <c r="D96" s="3124" t="n">
        <f aca="false">дома!D260</f>
        <v>0.045</v>
      </c>
      <c r="E96" s="3124" t="n">
        <f aca="false">дома!E260</f>
        <v>0</v>
      </c>
      <c r="F96" s="3124" t="n">
        <f aca="false">дома!F260</f>
        <v>1</v>
      </c>
      <c r="G96" s="3124" t="n">
        <f aca="false">E96*F96*IF('Ввод данных'!$A$19=связи1!$A$150,1,0)</f>
        <v>0</v>
      </c>
      <c r="H96" s="3124" t="n">
        <f aca="false">дома!G233*IF('Ввод данных'!$A$19=связи1!$A$150,1,0)</f>
        <v>0</v>
      </c>
    </row>
    <row r="97" customFormat="false" ht="15" hidden="false" customHeight="false" outlineLevel="0" collapsed="false">
      <c r="A97" s="3122" t="str">
        <f aca="false">дома!A261</f>
        <v>Стойки каркаса передней стены 1 этаж</v>
      </c>
      <c r="B97" s="3123" t="str">
        <f aca="false">дома!B261</f>
        <v>м.п.</v>
      </c>
      <c r="C97" s="3124" t="n">
        <f aca="false">дома!C261</f>
        <v>0.145</v>
      </c>
      <c r="D97" s="3124" t="n">
        <f aca="false">дома!D261</f>
        <v>0.045</v>
      </c>
      <c r="E97" s="3124" t="n">
        <f aca="false">дома!E261</f>
        <v>0</v>
      </c>
      <c r="F97" s="3124" t="n">
        <f aca="false">дома!F261</f>
        <v>1</v>
      </c>
      <c r="G97" s="3124" t="n">
        <f aca="false">E97*F97*IF('Ввод данных'!$A$19=связи1!$A$150,1,0)</f>
        <v>0</v>
      </c>
      <c r="H97" s="3124" t="n">
        <f aca="false">дома!G234*IF('Ввод данных'!$A$19=связи1!$A$150,1,0)</f>
        <v>0</v>
      </c>
    </row>
    <row r="98" customFormat="false" ht="15" hidden="false" customHeight="false" outlineLevel="0" collapsed="false">
      <c r="A98" s="3122" t="str">
        <f aca="false">дома!A262</f>
        <v>Стойки каркаса задней стены 1 этаж</v>
      </c>
      <c r="B98" s="3123" t="str">
        <f aca="false">дома!B262</f>
        <v>м.п.</v>
      </c>
      <c r="C98" s="3124" t="n">
        <f aca="false">дома!C262</f>
        <v>0.145</v>
      </c>
      <c r="D98" s="3124" t="n">
        <f aca="false">дома!D262</f>
        <v>0.045</v>
      </c>
      <c r="E98" s="3124" t="n">
        <f aca="false">дома!E262</f>
        <v>0</v>
      </c>
      <c r="F98" s="3124" t="n">
        <f aca="false">дома!F262</f>
        <v>1</v>
      </c>
      <c r="G98" s="3124" t="n">
        <f aca="false">E98*F98*IF('Ввод данных'!$A$19=связи1!$A$150,1,0)</f>
        <v>0</v>
      </c>
      <c r="H98" s="3124" t="n">
        <f aca="false">дома!G235*IF('Ввод данных'!$A$19=связи1!$A$150,1,0)</f>
        <v>0</v>
      </c>
    </row>
    <row r="99" customFormat="false" ht="15" hidden="false" customHeight="false" outlineLevel="0" collapsed="false">
      <c r="A99" s="3122" t="str">
        <f aca="false">дома!A263</f>
        <v>Стойки каркаса, левая/правая сторона 1 этаж</v>
      </c>
      <c r="B99" s="3123" t="str">
        <f aca="false">дома!B263</f>
        <v>м.п.</v>
      </c>
      <c r="C99" s="3124" t="n">
        <f aca="false">дома!C263</f>
        <v>0.145</v>
      </c>
      <c r="D99" s="3124" t="n">
        <f aca="false">дома!D263</f>
        <v>0.045</v>
      </c>
      <c r="E99" s="3124" t="n">
        <f aca="false">дома!E263</f>
        <v>0</v>
      </c>
      <c r="F99" s="3124" t="n">
        <f aca="false">дома!F263</f>
        <v>0</v>
      </c>
      <c r="G99" s="3124" t="n">
        <f aca="false">E99*F99*IF('Ввод данных'!$A$19=связи1!$A$150,1,0)</f>
        <v>0</v>
      </c>
      <c r="H99" s="3124" t="n">
        <f aca="false">дома!G236*IF('Ввод данных'!$A$19=связи1!$A$150,1,0)</f>
        <v>0</v>
      </c>
    </row>
    <row r="100" customFormat="false" ht="15" hidden="false" customHeight="false" outlineLevel="0" collapsed="false">
      <c r="A100" s="3122" t="str">
        <f aca="false">дома!A264</f>
        <v>Стойка каркаса по фронтону, односкатная кровля №0</v>
      </c>
      <c r="B100" s="3123" t="str">
        <f aca="false">дома!B264</f>
        <v>м.п.</v>
      </c>
      <c r="C100" s="3124" t="n">
        <f aca="false">дома!C264</f>
        <v>0.145</v>
      </c>
      <c r="D100" s="3124" t="n">
        <f aca="false">дома!D264</f>
        <v>0.045</v>
      </c>
      <c r="E100" s="3124" t="n">
        <f aca="false">дома!E264</f>
        <v>0</v>
      </c>
      <c r="F100" s="3124" t="n">
        <f aca="false">дома!F264</f>
        <v>2</v>
      </c>
      <c r="G100" s="3124" t="n">
        <f aca="false">E100*F100*IF('Ввод данных'!$A$19=связи1!$A$150,1,0)</f>
        <v>0</v>
      </c>
      <c r="H100" s="3124" t="n">
        <f aca="false">дома!G237*IF('Ввод данных'!$A$19=связи1!$A$150,1,0)</f>
        <v>0</v>
      </c>
    </row>
    <row r="101" customFormat="false" ht="15" hidden="false" customHeight="false" outlineLevel="0" collapsed="false">
      <c r="A101" s="3122" t="str">
        <f aca="false">дома!A265</f>
        <v>Стойка каркаса по фронтону, односкатная кровля №1</v>
      </c>
      <c r="B101" s="3123" t="str">
        <f aca="false">дома!B265</f>
        <v>м.п.</v>
      </c>
      <c r="C101" s="3124" t="n">
        <f aca="false">дома!C265</f>
        <v>0.145</v>
      </c>
      <c r="D101" s="3124" t="n">
        <f aca="false">дома!D265</f>
        <v>0.045</v>
      </c>
      <c r="E101" s="3124" t="n">
        <f aca="false">дома!E265</f>
        <v>0</v>
      </c>
      <c r="F101" s="3124" t="n">
        <f aca="false">дома!F265</f>
        <v>2</v>
      </c>
      <c r="G101" s="3124" t="n">
        <f aca="false">E101*F101*IF('Ввод данных'!$A$19=связи1!$A$150,1,0)</f>
        <v>0</v>
      </c>
      <c r="H101" s="3124" t="n">
        <f aca="false">дома!G238*IF('Ввод данных'!$A$19=связи1!$A$150,1,0)</f>
        <v>0</v>
      </c>
    </row>
    <row r="102" customFormat="false" ht="15" hidden="false" customHeight="false" outlineLevel="0" collapsed="false">
      <c r="A102" s="3122" t="str">
        <f aca="false">дома!A266</f>
        <v>Стойка каркаса по фронтону, односкатная кровля №2</v>
      </c>
      <c r="B102" s="3123" t="str">
        <f aca="false">дома!B266</f>
        <v>м.п.</v>
      </c>
      <c r="C102" s="3124" t="n">
        <f aca="false">дома!C266</f>
        <v>0.145</v>
      </c>
      <c r="D102" s="3124" t="n">
        <f aca="false">дома!D266</f>
        <v>0.045</v>
      </c>
      <c r="E102" s="3124" t="n">
        <f aca="false">дома!E266</f>
        <v>0</v>
      </c>
      <c r="F102" s="3124" t="n">
        <f aca="false">дома!F266</f>
        <v>2</v>
      </c>
      <c r="G102" s="3124" t="n">
        <f aca="false">E102*F102*IF('Ввод данных'!$A$19=связи1!$A$150,1,0)</f>
        <v>0</v>
      </c>
      <c r="H102" s="3124" t="n">
        <f aca="false">дома!G239*IF('Ввод данных'!$A$19=связи1!$A$150,1,0)</f>
        <v>0</v>
      </c>
    </row>
    <row r="103" customFormat="false" ht="15" hidden="false" customHeight="false" outlineLevel="0" collapsed="false">
      <c r="A103" s="3122" t="str">
        <f aca="false">дома!A267</f>
        <v>Стойка каркаса по фронтону, односкатная кровля №3</v>
      </c>
      <c r="B103" s="3123" t="str">
        <f aca="false">дома!B267</f>
        <v>м.п.</v>
      </c>
      <c r="C103" s="3124" t="n">
        <f aca="false">дома!C267</f>
        <v>0.145</v>
      </c>
      <c r="D103" s="3124" t="n">
        <f aca="false">дома!D267</f>
        <v>0.045</v>
      </c>
      <c r="E103" s="3124" t="n">
        <f aca="false">дома!E267</f>
        <v>0</v>
      </c>
      <c r="F103" s="3124" t="n">
        <f aca="false">дома!F267</f>
        <v>2</v>
      </c>
      <c r="G103" s="3124" t="n">
        <f aca="false">E103*F103*IF('Ввод данных'!$A$19=связи1!$A$150,1,0)</f>
        <v>0</v>
      </c>
      <c r="H103" s="3124" t="n">
        <f aca="false">дома!G240*IF('Ввод данных'!$A$19=связи1!$A$150,1,0)</f>
        <v>0</v>
      </c>
    </row>
    <row r="104" customFormat="false" ht="15" hidden="false" customHeight="false" outlineLevel="0" collapsed="false">
      <c r="A104" s="3122" t="str">
        <f aca="false">дома!A268</f>
        <v>Стойка каркаса по фронтону, односкатная кровля №4</v>
      </c>
      <c r="B104" s="3123" t="str">
        <f aca="false">дома!B268</f>
        <v>м.п.</v>
      </c>
      <c r="C104" s="3124" t="n">
        <f aca="false">дома!C268</f>
        <v>0.145</v>
      </c>
      <c r="D104" s="3124" t="n">
        <f aca="false">дома!D268</f>
        <v>0.045</v>
      </c>
      <c r="E104" s="3124" t="n">
        <f aca="false">дома!E268</f>
        <v>0</v>
      </c>
      <c r="F104" s="3124" t="n">
        <f aca="false">дома!F268</f>
        <v>2</v>
      </c>
      <c r="G104" s="3124" t="n">
        <f aca="false">E104*F104*IF('Ввод данных'!$A$19=связи1!$A$150,1,0)</f>
        <v>0</v>
      </c>
      <c r="H104" s="3124" t="n">
        <f aca="false">дома!G241*IF('Ввод данных'!$A$19=связи1!$A$150,1,0)</f>
        <v>0</v>
      </c>
    </row>
    <row r="105" customFormat="false" ht="15" hidden="false" customHeight="false" outlineLevel="0" collapsed="false">
      <c r="A105" s="3122" t="str">
        <f aca="false">дома!A269</f>
        <v>Стойка каркаса по фронтону, односкатная кровля №5</v>
      </c>
      <c r="B105" s="3123" t="str">
        <f aca="false">дома!B269</f>
        <v>м.п.</v>
      </c>
      <c r="C105" s="3124" t="n">
        <f aca="false">дома!C269</f>
        <v>0.145</v>
      </c>
      <c r="D105" s="3124" t="n">
        <f aca="false">дома!D269</f>
        <v>0.045</v>
      </c>
      <c r="E105" s="3124" t="n">
        <f aca="false">дома!E269</f>
        <v>0</v>
      </c>
      <c r="F105" s="3124" t="n">
        <f aca="false">дома!F269</f>
        <v>2</v>
      </c>
      <c r="G105" s="3124" t="n">
        <f aca="false">E105*F105*IF('Ввод данных'!$A$19=связи1!$A$150,1,0)</f>
        <v>0</v>
      </c>
      <c r="H105" s="3124" t="n">
        <f aca="false">дома!G242*IF('Ввод данных'!$A$19=связи1!$A$150,1,0)</f>
        <v>0</v>
      </c>
    </row>
    <row r="106" customFormat="false" ht="15" hidden="false" customHeight="false" outlineLevel="0" collapsed="false">
      <c r="A106" s="3122" t="str">
        <f aca="false">дома!A270</f>
        <v>Стойка каркаса по фронтону, односкатная кровля №6</v>
      </c>
      <c r="B106" s="3123" t="str">
        <f aca="false">дома!B270</f>
        <v>м.п.</v>
      </c>
      <c r="C106" s="3124" t="n">
        <f aca="false">дома!C270</f>
        <v>0.145</v>
      </c>
      <c r="D106" s="3124" t="n">
        <f aca="false">дома!D270</f>
        <v>0.045</v>
      </c>
      <c r="E106" s="3124" t="n">
        <f aca="false">дома!E270</f>
        <v>0</v>
      </c>
      <c r="F106" s="3124" t="n">
        <f aca="false">дома!F270</f>
        <v>2</v>
      </c>
      <c r="G106" s="3124" t="n">
        <f aca="false">E106*F106*IF('Ввод данных'!$A$19=связи1!$A$150,1,0)</f>
        <v>0</v>
      </c>
      <c r="H106" s="3124" t="n">
        <f aca="false">дома!G243*IF('Ввод данных'!$A$19=связи1!$A$150,1,0)</f>
        <v>0</v>
      </c>
    </row>
    <row r="107" customFormat="false" ht="15" hidden="false" customHeight="false" outlineLevel="0" collapsed="false">
      <c r="A107" s="3122" t="str">
        <f aca="false">дома!A271</f>
        <v>Стойка каркаса по фронтону, односкатная кровля №7</v>
      </c>
      <c r="B107" s="3123" t="str">
        <f aca="false">дома!B271</f>
        <v>м.п.</v>
      </c>
      <c r="C107" s="3124" t="n">
        <f aca="false">дома!C271</f>
        <v>0.145</v>
      </c>
      <c r="D107" s="3124" t="n">
        <f aca="false">дома!D271</f>
        <v>0.045</v>
      </c>
      <c r="E107" s="3124" t="n">
        <f aca="false">дома!E271</f>
        <v>0</v>
      </c>
      <c r="F107" s="3124" t="n">
        <f aca="false">дома!F271</f>
        <v>2</v>
      </c>
      <c r="G107" s="3124" t="n">
        <f aca="false">E107*F107*IF('Ввод данных'!$A$19=связи1!$A$150,1,0)</f>
        <v>0</v>
      </c>
      <c r="H107" s="3124" t="n">
        <f aca="false">дома!G244*IF('Ввод данных'!$A$19=связи1!$A$150,1,0)</f>
        <v>0</v>
      </c>
    </row>
    <row r="108" customFormat="false" ht="15" hidden="false" customHeight="false" outlineLevel="0" collapsed="false">
      <c r="A108" s="3122" t="str">
        <f aca="false">дома!A272</f>
        <v>Стойка каркаса по фронтону, односкатная кровля №8</v>
      </c>
      <c r="B108" s="3123" t="str">
        <f aca="false">дома!B272</f>
        <v>м.п.</v>
      </c>
      <c r="C108" s="3124" t="n">
        <f aca="false">дома!C272</f>
        <v>0.145</v>
      </c>
      <c r="D108" s="3124" t="n">
        <f aca="false">дома!D272</f>
        <v>0.045</v>
      </c>
      <c r="E108" s="3124" t="n">
        <f aca="false">дома!E272</f>
        <v>0</v>
      </c>
      <c r="F108" s="3124" t="n">
        <f aca="false">дома!F272</f>
        <v>2</v>
      </c>
      <c r="G108" s="3124" t="n">
        <f aca="false">E108*F108*IF('Ввод данных'!$A$19=связи1!$A$150,1,0)</f>
        <v>0</v>
      </c>
      <c r="H108" s="3124" t="n">
        <f aca="false">дома!G245*IF('Ввод данных'!$A$19=связи1!$A$150,1,0)</f>
        <v>0</v>
      </c>
    </row>
    <row r="109" customFormat="false" ht="15" hidden="false" customHeight="false" outlineLevel="0" collapsed="false">
      <c r="A109" s="3122" t="str">
        <f aca="false">дома!A273</f>
        <v>Стойка каркаса по фронтону, односкатная кровля №9</v>
      </c>
      <c r="B109" s="3123" t="str">
        <f aca="false">дома!B273</f>
        <v>м.п.</v>
      </c>
      <c r="C109" s="3124" t="n">
        <f aca="false">дома!C273</f>
        <v>0.145</v>
      </c>
      <c r="D109" s="3124" t="n">
        <f aca="false">дома!D273</f>
        <v>0.045</v>
      </c>
      <c r="E109" s="3124" t="n">
        <f aca="false">дома!E273</f>
        <v>0</v>
      </c>
      <c r="F109" s="3124" t="n">
        <f aca="false">дома!F273</f>
        <v>2</v>
      </c>
      <c r="G109" s="3124" t="n">
        <f aca="false">E109*F109*IF('Ввод данных'!$A$19=связи1!$A$150,1,0)</f>
        <v>0</v>
      </c>
      <c r="H109" s="3124" t="n">
        <f aca="false">дома!G246*IF('Ввод данных'!$A$19=связи1!$A$150,1,0)</f>
        <v>0</v>
      </c>
    </row>
    <row r="110" customFormat="false" ht="15" hidden="false" customHeight="false" outlineLevel="0" collapsed="false">
      <c r="A110" s="3122" t="str">
        <f aca="false">дома!A274</f>
        <v>Стойка каркаса по фронтону, односкатная кровля №10</v>
      </c>
      <c r="B110" s="3123" t="str">
        <f aca="false">дома!B274</f>
        <v>м.п.</v>
      </c>
      <c r="C110" s="3124" t="n">
        <f aca="false">дома!C274</f>
        <v>0.145</v>
      </c>
      <c r="D110" s="3124" t="n">
        <f aca="false">дома!D274</f>
        <v>0.045</v>
      </c>
      <c r="E110" s="3124" t="n">
        <f aca="false">дома!E274</f>
        <v>0</v>
      </c>
      <c r="F110" s="3124" t="n">
        <f aca="false">дома!F274</f>
        <v>2</v>
      </c>
      <c r="G110" s="3124" t="n">
        <f aca="false">E110*F110*IF('Ввод данных'!$A$19=связи1!$A$150,1,0)</f>
        <v>0</v>
      </c>
      <c r="H110" s="3124" t="n">
        <f aca="false">дома!G247*IF('Ввод данных'!$A$19=связи1!$A$150,1,0)</f>
        <v>0</v>
      </c>
    </row>
    <row r="111" customFormat="false" ht="15" hidden="false" customHeight="false" outlineLevel="0" collapsed="false">
      <c r="A111" s="3122" t="str">
        <f aca="false">дома!A275</f>
        <v>Стойка каркаса по фронтону, односкатная кровля №11</v>
      </c>
      <c r="B111" s="3123" t="str">
        <f aca="false">дома!B275</f>
        <v>м.п.</v>
      </c>
      <c r="C111" s="3124" t="n">
        <f aca="false">дома!C275</f>
        <v>0.145</v>
      </c>
      <c r="D111" s="3124" t="n">
        <f aca="false">дома!D275</f>
        <v>0.045</v>
      </c>
      <c r="E111" s="3124" t="n">
        <f aca="false">дома!E275</f>
        <v>0</v>
      </c>
      <c r="F111" s="3124" t="n">
        <f aca="false">дома!F275</f>
        <v>2</v>
      </c>
      <c r="G111" s="3124" t="n">
        <f aca="false">E111*F111*IF('Ввод данных'!$A$19=связи1!$A$150,1,0)</f>
        <v>0</v>
      </c>
      <c r="H111" s="3124" t="n">
        <f aca="false">дома!G248*IF('Ввод данных'!$A$19=связи1!$A$150,1,0)</f>
        <v>0</v>
      </c>
    </row>
    <row r="112" customFormat="false" ht="15" hidden="false" customHeight="false" outlineLevel="0" collapsed="false">
      <c r="A112" s="3122" t="str">
        <f aca="false">дома!A276</f>
        <v>Стойка каркаса по фронтону, односкатная кровля №12</v>
      </c>
      <c r="B112" s="3123" t="str">
        <f aca="false">дома!B276</f>
        <v>м.п.</v>
      </c>
      <c r="C112" s="3124" t="n">
        <f aca="false">дома!C276</f>
        <v>0.145</v>
      </c>
      <c r="D112" s="3124" t="n">
        <f aca="false">дома!D276</f>
        <v>0.045</v>
      </c>
      <c r="E112" s="3124" t="n">
        <f aca="false">дома!E276</f>
        <v>0</v>
      </c>
      <c r="F112" s="3124" t="n">
        <f aca="false">дома!F276</f>
        <v>2</v>
      </c>
      <c r="G112" s="3124" t="n">
        <f aca="false">E112*F112*IF('Ввод данных'!$A$19=связи1!$A$150,1,0)</f>
        <v>0</v>
      </c>
      <c r="H112" s="3124" t="n">
        <f aca="false">дома!G249*IF('Ввод данных'!$A$19=связи1!$A$150,1,0)</f>
        <v>0</v>
      </c>
    </row>
    <row r="113" customFormat="false" ht="15" hidden="false" customHeight="false" outlineLevel="0" collapsed="false">
      <c r="A113" s="3122" t="str">
        <f aca="false">дома!A277</f>
        <v>Стойка каркаса по фронтону, односкатная кровля №13</v>
      </c>
      <c r="B113" s="3123" t="str">
        <f aca="false">дома!B277</f>
        <v>м.п.</v>
      </c>
      <c r="C113" s="3124" t="n">
        <f aca="false">дома!C277</f>
        <v>0.145</v>
      </c>
      <c r="D113" s="3124" t="n">
        <f aca="false">дома!D277</f>
        <v>0.045</v>
      </c>
      <c r="E113" s="3124" t="n">
        <f aca="false">дома!E277</f>
        <v>0</v>
      </c>
      <c r="F113" s="3124" t="n">
        <f aca="false">дома!F277</f>
        <v>2</v>
      </c>
      <c r="G113" s="3124" t="n">
        <f aca="false">E113*F113*IF('Ввод данных'!$A$19=связи1!$A$150,1,0)</f>
        <v>0</v>
      </c>
      <c r="H113" s="3124" t="n">
        <f aca="false">дома!G250*IF('Ввод данных'!$A$19=связи1!$A$150,1,0)</f>
        <v>0</v>
      </c>
    </row>
    <row r="114" customFormat="false" ht="15" hidden="false" customHeight="false" outlineLevel="0" collapsed="false">
      <c r="A114" s="3122" t="str">
        <f aca="false">дома!A278</f>
        <v>Стойка каркаса по фронтону, односкатная кровля №14</v>
      </c>
      <c r="B114" s="3123" t="str">
        <f aca="false">дома!B278</f>
        <v>м.п.</v>
      </c>
      <c r="C114" s="3124" t="n">
        <f aca="false">дома!C278</f>
        <v>0.145</v>
      </c>
      <c r="D114" s="3124" t="n">
        <f aca="false">дома!D278</f>
        <v>0.045</v>
      </c>
      <c r="E114" s="3124" t="n">
        <f aca="false">дома!E278</f>
        <v>0</v>
      </c>
      <c r="F114" s="3124" t="n">
        <f aca="false">дома!F278</f>
        <v>2</v>
      </c>
      <c r="G114" s="3124" t="n">
        <f aca="false">E114*F114*IF('Ввод данных'!$A$19=связи1!$A$150,1,0)</f>
        <v>0</v>
      </c>
      <c r="H114" s="3124" t="n">
        <f aca="false">дома!G251*IF('Ввод данных'!$A$19=связи1!$A$150,1,0)</f>
        <v>0</v>
      </c>
    </row>
    <row r="115" customFormat="false" ht="15" hidden="false" customHeight="false" outlineLevel="0" collapsed="false">
      <c r="A115" s="3122" t="str">
        <f aca="false">дома!A279</f>
        <v>Стойка каркаса по фронтону, односкатная кровля №15</v>
      </c>
      <c r="B115" s="3123" t="str">
        <f aca="false">дома!B279</f>
        <v>м.п.</v>
      </c>
      <c r="C115" s="3124" t="n">
        <f aca="false">дома!C279</f>
        <v>0.145</v>
      </c>
      <c r="D115" s="3124" t="n">
        <f aca="false">дома!D279</f>
        <v>0.045</v>
      </c>
      <c r="E115" s="3124" t="n">
        <f aca="false">дома!E279</f>
        <v>0</v>
      </c>
      <c r="F115" s="3124" t="n">
        <f aca="false">дома!F279</f>
        <v>2</v>
      </c>
      <c r="G115" s="3124" t="n">
        <f aca="false">E115*F115*IF('Ввод данных'!$A$19=связи1!$A$150,1,0)</f>
        <v>0</v>
      </c>
      <c r="H115" s="3124" t="n">
        <f aca="false">дома!G252*IF('Ввод данных'!$A$19=связи1!$A$150,1,0)</f>
        <v>0</v>
      </c>
    </row>
    <row r="116" customFormat="false" ht="15" hidden="false" customHeight="false" outlineLevel="0" collapsed="false">
      <c r="A116" s="3122" t="str">
        <f aca="false">дома!A280</f>
        <v>Стойка каркаса по фронтону, односкатная кровля №16</v>
      </c>
      <c r="B116" s="3123" t="str">
        <f aca="false">дома!B280</f>
        <v>м.п.</v>
      </c>
      <c r="C116" s="3124" t="n">
        <f aca="false">дома!C280</f>
        <v>0.145</v>
      </c>
      <c r="D116" s="3124" t="n">
        <f aca="false">дома!D280</f>
        <v>0.045</v>
      </c>
      <c r="E116" s="3124" t="n">
        <f aca="false">дома!E280</f>
        <v>0</v>
      </c>
      <c r="F116" s="3124" t="n">
        <f aca="false">дома!F280</f>
        <v>2</v>
      </c>
      <c r="G116" s="3124" t="n">
        <f aca="false">E116*F116*IF('Ввод данных'!$A$19=связи1!$A$150,1,0)</f>
        <v>0</v>
      </c>
      <c r="H116" s="3124" t="n">
        <f aca="false">дома!G253*IF('Ввод данных'!$A$19=связи1!$A$150,1,0)</f>
        <v>0</v>
      </c>
    </row>
    <row r="117" customFormat="false" ht="15" hidden="false" customHeight="false" outlineLevel="0" collapsed="false">
      <c r="A117" s="3122" t="str">
        <f aca="false">дома!A281</f>
        <v>Стойка каркаса по фронтону, односкатная кровля №17</v>
      </c>
      <c r="B117" s="3123" t="str">
        <f aca="false">дома!B281</f>
        <v>м.п.</v>
      </c>
      <c r="C117" s="3124" t="n">
        <f aca="false">дома!C281</f>
        <v>0.145</v>
      </c>
      <c r="D117" s="3124" t="n">
        <f aca="false">дома!D281</f>
        <v>0.045</v>
      </c>
      <c r="E117" s="3124" t="n">
        <f aca="false">дома!E281</f>
        <v>0</v>
      </c>
      <c r="F117" s="3124" t="n">
        <f aca="false">дома!F281</f>
        <v>2</v>
      </c>
      <c r="G117" s="3124" t="n">
        <f aca="false">E117*F117*IF('Ввод данных'!$A$19=связи1!$A$150,1,0)</f>
        <v>0</v>
      </c>
      <c r="H117" s="3124" t="n">
        <f aca="false">дома!G254*IF('Ввод данных'!$A$19=связи1!$A$150,1,0)</f>
        <v>0</v>
      </c>
    </row>
    <row r="118" customFormat="false" ht="15" hidden="false" customHeight="false" outlineLevel="0" collapsed="false">
      <c r="A118" s="3122" t="str">
        <f aca="false">дома!A282</f>
        <v>Стойка каркаса по фронтону, односкатная кровля №18</v>
      </c>
      <c r="B118" s="3123" t="str">
        <f aca="false">дома!B282</f>
        <v>м.п.</v>
      </c>
      <c r="C118" s="3124" t="n">
        <f aca="false">дома!C282</f>
        <v>0.145</v>
      </c>
      <c r="D118" s="3124" t="n">
        <f aca="false">дома!D282</f>
        <v>0.045</v>
      </c>
      <c r="E118" s="3124" t="n">
        <f aca="false">дома!E282</f>
        <v>0</v>
      </c>
      <c r="F118" s="3124" t="n">
        <f aca="false">дома!F282</f>
        <v>2</v>
      </c>
      <c r="G118" s="3124" t="n">
        <f aca="false">E118*F118*IF('Ввод данных'!$A$19=связи1!$A$150,1,0)</f>
        <v>0</v>
      </c>
      <c r="H118" s="3124" t="n">
        <f aca="false">дома!G255*IF('Ввод данных'!$A$19=связи1!$A$150,1,0)</f>
        <v>0</v>
      </c>
    </row>
    <row r="119" customFormat="false" ht="15" hidden="false" customHeight="false" outlineLevel="0" collapsed="false">
      <c r="A119" s="3122" t="str">
        <f aca="false">дома!A283</f>
        <v>Стойка каркаса по фронтону, односкатная кровля №19</v>
      </c>
      <c r="B119" s="3123" t="str">
        <f aca="false">дома!B283</f>
        <v>м.п.</v>
      </c>
      <c r="C119" s="3124" t="n">
        <f aca="false">дома!C283</f>
        <v>0.145</v>
      </c>
      <c r="D119" s="3124" t="n">
        <f aca="false">дома!D283</f>
        <v>0.045</v>
      </c>
      <c r="E119" s="3124" t="n">
        <f aca="false">дома!E283</f>
        <v>0</v>
      </c>
      <c r="F119" s="3124" t="n">
        <f aca="false">дома!F283</f>
        <v>2</v>
      </c>
      <c r="G119" s="3124" t="n">
        <f aca="false">E119*F119*IF('Ввод данных'!$A$19=связи1!$A$150,1,0)</f>
        <v>0</v>
      </c>
      <c r="H119" s="3124" t="n">
        <f aca="false">дома!G256*IF('Ввод данных'!$A$19=связи1!$A$150,1,0)</f>
        <v>0</v>
      </c>
    </row>
    <row r="120" customFormat="false" ht="15" hidden="false" customHeight="false" outlineLevel="0" collapsed="false">
      <c r="A120" s="3122" t="str">
        <f aca="false">дома!A284</f>
        <v>Стойка каркаса по фронтону, односкатная кровля №20</v>
      </c>
      <c r="B120" s="3123" t="str">
        <f aca="false">дома!B284</f>
        <v>м.п.</v>
      </c>
      <c r="C120" s="3124" t="n">
        <f aca="false">дома!C284</f>
        <v>0.145</v>
      </c>
      <c r="D120" s="3124" t="n">
        <f aca="false">дома!D284</f>
        <v>0.045</v>
      </c>
      <c r="E120" s="3124" t="n">
        <f aca="false">дома!E284</f>
        <v>0</v>
      </c>
      <c r="F120" s="3124" t="n">
        <f aca="false">дома!F284</f>
        <v>2</v>
      </c>
      <c r="G120" s="3124" t="n">
        <f aca="false">E120*F120*IF('Ввод данных'!$A$19=связи1!$A$150,1,0)</f>
        <v>0</v>
      </c>
      <c r="H120" s="3124" t="n">
        <f aca="false">дома!G257*IF('Ввод данных'!$A$19=связи1!$A$150,1,0)</f>
        <v>0</v>
      </c>
    </row>
    <row r="121" customFormat="false" ht="15" hidden="false" customHeight="false" outlineLevel="0" collapsed="false">
      <c r="A121" s="3122" t="str">
        <f aca="false">дома!A285</f>
        <v>Стойка каркаса по фронтону, односкатная кровля №21</v>
      </c>
      <c r="B121" s="3123" t="str">
        <f aca="false">дома!B285</f>
        <v>м.п.</v>
      </c>
      <c r="C121" s="3124" t="n">
        <f aca="false">дома!C285</f>
        <v>0.145</v>
      </c>
      <c r="D121" s="3124" t="n">
        <f aca="false">дома!D285</f>
        <v>0.045</v>
      </c>
      <c r="E121" s="3124" t="n">
        <f aca="false">дома!E285</f>
        <v>0</v>
      </c>
      <c r="F121" s="3124" t="n">
        <f aca="false">дома!F285</f>
        <v>2</v>
      </c>
      <c r="G121" s="3124" t="n">
        <f aca="false">E121*F121*IF('Ввод данных'!$A$19=связи1!$A$150,1,0)</f>
        <v>0</v>
      </c>
      <c r="H121" s="3124" t="n">
        <f aca="false">дома!G258*IF('Ввод данных'!$A$19=связи1!$A$150,1,0)</f>
        <v>0</v>
      </c>
    </row>
    <row r="122" customFormat="false" ht="15" hidden="false" customHeight="false" outlineLevel="0" collapsed="false">
      <c r="A122" s="3122" t="str">
        <f aca="false">дома!A286</f>
        <v>Стойка каркаса по фронтону, односкатная кровля №22</v>
      </c>
      <c r="B122" s="3123" t="str">
        <f aca="false">дома!B286</f>
        <v>м.п.</v>
      </c>
      <c r="C122" s="3124" t="n">
        <f aca="false">дома!C286</f>
        <v>0.145</v>
      </c>
      <c r="D122" s="3124" t="n">
        <f aca="false">дома!D286</f>
        <v>0.045</v>
      </c>
      <c r="E122" s="3124" t="n">
        <f aca="false">дома!E286</f>
        <v>0</v>
      </c>
      <c r="F122" s="3124" t="n">
        <f aca="false">дома!F286</f>
        <v>2</v>
      </c>
      <c r="G122" s="3124" t="n">
        <f aca="false">E122*F122*IF('Ввод данных'!$A$19=связи1!$A$150,1,0)</f>
        <v>0</v>
      </c>
      <c r="H122" s="3124" t="n">
        <f aca="false">дома!G259*IF('Ввод данных'!$A$19=связи1!$A$150,1,0)</f>
        <v>0</v>
      </c>
    </row>
    <row r="123" customFormat="false" ht="15" hidden="false" customHeight="false" outlineLevel="0" collapsed="false">
      <c r="A123" s="3122" t="str">
        <f aca="false">дома!A287</f>
        <v>Стойка каркаса по фронтону, односкатная кровля №23</v>
      </c>
      <c r="B123" s="3123" t="str">
        <f aca="false">дома!B287</f>
        <v>м.п.</v>
      </c>
      <c r="C123" s="3124" t="n">
        <f aca="false">дома!C287</f>
        <v>0.145</v>
      </c>
      <c r="D123" s="3124" t="n">
        <f aca="false">дома!D287</f>
        <v>0.045</v>
      </c>
      <c r="E123" s="3124" t="n">
        <f aca="false">дома!E287</f>
        <v>0</v>
      </c>
      <c r="F123" s="3124" t="n">
        <f aca="false">дома!F287</f>
        <v>2</v>
      </c>
      <c r="G123" s="3124" t="n">
        <f aca="false">E123*F123*IF('Ввод данных'!$A$19=связи1!$A$150,1,0)</f>
        <v>0</v>
      </c>
      <c r="H123" s="3124" t="n">
        <f aca="false">дома!G260*IF('Ввод данных'!$A$19=связи1!$A$150,1,0)</f>
        <v>0</v>
      </c>
    </row>
    <row r="124" customFormat="false" ht="15" hidden="false" customHeight="false" outlineLevel="0" collapsed="false">
      <c r="A124" s="3122" t="str">
        <f aca="false">дома!A288</f>
        <v>Стойка каркаса по фронтону, односкатная кровля №24</v>
      </c>
      <c r="B124" s="3123" t="str">
        <f aca="false">дома!B288</f>
        <v>м.п.</v>
      </c>
      <c r="C124" s="3124" t="n">
        <f aca="false">дома!C288</f>
        <v>0.145</v>
      </c>
      <c r="D124" s="3124" t="n">
        <f aca="false">дома!D288</f>
        <v>0.045</v>
      </c>
      <c r="E124" s="3124" t="n">
        <f aca="false">дома!E288</f>
        <v>0</v>
      </c>
      <c r="F124" s="3124" t="n">
        <f aca="false">дома!F288</f>
        <v>2</v>
      </c>
      <c r="G124" s="3124" t="n">
        <f aca="false">E124*F124*IF('Ввод данных'!$A$19=связи1!$A$150,1,0)</f>
        <v>0</v>
      </c>
      <c r="H124" s="3124" t="n">
        <f aca="false">дома!G261*IF('Ввод данных'!$A$19=связи1!$A$150,1,0)</f>
        <v>0</v>
      </c>
    </row>
    <row r="125" customFormat="false" ht="15" hidden="false" customHeight="false" outlineLevel="0" collapsed="false">
      <c r="A125" s="3122" t="str">
        <f aca="false">дома!A289</f>
        <v>Стойка каркаса по фронтону, односкатная кровля №25</v>
      </c>
      <c r="B125" s="3123" t="str">
        <f aca="false">дома!B289</f>
        <v>м.п.</v>
      </c>
      <c r="C125" s="3124" t="n">
        <f aca="false">дома!C289</f>
        <v>0.145</v>
      </c>
      <c r="D125" s="3124" t="n">
        <f aca="false">дома!D289</f>
        <v>0.045</v>
      </c>
      <c r="E125" s="3124" t="n">
        <f aca="false">дома!E289</f>
        <v>0</v>
      </c>
      <c r="F125" s="3124" t="n">
        <f aca="false">дома!F289</f>
        <v>2</v>
      </c>
      <c r="G125" s="3124" t="n">
        <f aca="false">E125*F125*IF('Ввод данных'!$A$19=связи1!$A$150,1,0)</f>
        <v>0</v>
      </c>
      <c r="H125" s="3124" t="n">
        <f aca="false">дома!G262*IF('Ввод данных'!$A$19=связи1!$A$150,1,0)</f>
        <v>0</v>
      </c>
    </row>
    <row r="126" customFormat="false" ht="15" hidden="false" customHeight="false" outlineLevel="0" collapsed="false">
      <c r="A126" s="3122" t="str">
        <f aca="false">дома!A290</f>
        <v>Стойка каркаса по фронтону, односкатная кровля №26</v>
      </c>
      <c r="B126" s="3123" t="str">
        <f aca="false">дома!B290</f>
        <v>м.п.</v>
      </c>
      <c r="C126" s="3124" t="n">
        <f aca="false">дома!C290</f>
        <v>0.145</v>
      </c>
      <c r="D126" s="3124" t="n">
        <f aca="false">дома!D290</f>
        <v>0.045</v>
      </c>
      <c r="E126" s="3124" t="n">
        <f aca="false">дома!E290</f>
        <v>0</v>
      </c>
      <c r="F126" s="3124" t="n">
        <f aca="false">дома!F290</f>
        <v>2</v>
      </c>
      <c r="G126" s="3124" t="n">
        <f aca="false">E126*F126*IF('Ввод данных'!$A$19=связи1!$A$150,1,0)</f>
        <v>0</v>
      </c>
      <c r="H126" s="3124" t="n">
        <f aca="false">дома!G263*IF('Ввод данных'!$A$19=связи1!$A$150,1,0)</f>
        <v>0</v>
      </c>
    </row>
    <row r="127" customFormat="false" ht="15" hidden="false" customHeight="false" outlineLevel="0" collapsed="false">
      <c r="A127" s="3122" t="str">
        <f aca="false">дома!A291</f>
        <v>Стойка каркаса по фронтону, односкатная кровля №27</v>
      </c>
      <c r="B127" s="3123" t="str">
        <f aca="false">дома!B291</f>
        <v>м.п.</v>
      </c>
      <c r="C127" s="3124" t="n">
        <f aca="false">дома!C291</f>
        <v>0.145</v>
      </c>
      <c r="D127" s="3124" t="n">
        <f aca="false">дома!D291</f>
        <v>0.045</v>
      </c>
      <c r="E127" s="3124" t="n">
        <f aca="false">дома!E291</f>
        <v>0</v>
      </c>
      <c r="F127" s="3124" t="n">
        <f aca="false">дома!F291</f>
        <v>2</v>
      </c>
      <c r="G127" s="3124" t="n">
        <f aca="false">E127*F127*IF('Ввод данных'!$A$19=связи1!$A$150,1,0)</f>
        <v>0</v>
      </c>
      <c r="H127" s="3124" t="n">
        <f aca="false">дома!G264*IF('Ввод данных'!$A$19=связи1!$A$150,1,0)</f>
        <v>0</v>
      </c>
    </row>
    <row r="128" customFormat="false" ht="15" hidden="false" customHeight="false" outlineLevel="0" collapsed="false">
      <c r="A128" s="3122" t="str">
        <f aca="false">дома!A292</f>
        <v>Стойка каркаса по фронтону, односкатная кровля №28</v>
      </c>
      <c r="B128" s="3123" t="str">
        <f aca="false">дома!B292</f>
        <v>м.п.</v>
      </c>
      <c r="C128" s="3124" t="n">
        <f aca="false">дома!C292</f>
        <v>0.145</v>
      </c>
      <c r="D128" s="3124" t="n">
        <f aca="false">дома!D292</f>
        <v>0.045</v>
      </c>
      <c r="E128" s="3124" t="n">
        <f aca="false">дома!E292</f>
        <v>0</v>
      </c>
      <c r="F128" s="3124" t="n">
        <f aca="false">дома!F292</f>
        <v>2</v>
      </c>
      <c r="G128" s="3124" t="n">
        <f aca="false">E128*F128*IF('Ввод данных'!$A$19=связи1!$A$150,1,0)</f>
        <v>0</v>
      </c>
      <c r="H128" s="3124" t="n">
        <f aca="false">дома!G265*IF('Ввод данных'!$A$19=связи1!$A$150,1,0)</f>
        <v>0</v>
      </c>
    </row>
    <row r="129" customFormat="false" ht="15" hidden="false" customHeight="false" outlineLevel="0" collapsed="false">
      <c r="A129" s="3122" t="str">
        <f aca="false">дома!A293</f>
        <v>Стойка каркаса по фронтону, односкатная кровля №29</v>
      </c>
      <c r="B129" s="3123" t="str">
        <f aca="false">дома!B293</f>
        <v>м.п.</v>
      </c>
      <c r="C129" s="3124" t="n">
        <f aca="false">дома!C293</f>
        <v>0.145</v>
      </c>
      <c r="D129" s="3124" t="n">
        <f aca="false">дома!D293</f>
        <v>0.045</v>
      </c>
      <c r="E129" s="3124" t="n">
        <f aca="false">дома!E293</f>
        <v>0</v>
      </c>
      <c r="F129" s="3124" t="n">
        <f aca="false">дома!F293</f>
        <v>2</v>
      </c>
      <c r="G129" s="3124" t="n">
        <f aca="false">E129*F129*IF('Ввод данных'!$A$19=связи1!$A$150,1,0)</f>
        <v>0</v>
      </c>
      <c r="H129" s="3124" t="n">
        <f aca="false">дома!G266*IF('Ввод данных'!$A$19=связи1!$A$150,1,0)</f>
        <v>0</v>
      </c>
    </row>
    <row r="130" customFormat="false" ht="15" hidden="false" customHeight="false" outlineLevel="0" collapsed="false">
      <c r="A130" s="3122" t="str">
        <f aca="false">дома!A294</f>
        <v>Стойка каркаса по фронтону, односкатная кровля №30</v>
      </c>
      <c r="B130" s="3123" t="str">
        <f aca="false">дома!B294</f>
        <v>м.п.</v>
      </c>
      <c r="C130" s="3124" t="n">
        <f aca="false">дома!C294</f>
        <v>0.145</v>
      </c>
      <c r="D130" s="3124" t="n">
        <f aca="false">дома!D294</f>
        <v>0.045</v>
      </c>
      <c r="E130" s="3124" t="n">
        <f aca="false">дома!E294</f>
        <v>0</v>
      </c>
      <c r="F130" s="3124" t="n">
        <f aca="false">дома!F294</f>
        <v>2</v>
      </c>
      <c r="G130" s="3124" t="n">
        <f aca="false">E130*F130*IF('Ввод данных'!$A$19=связи1!$A$150,1,0)</f>
        <v>0</v>
      </c>
      <c r="H130" s="3124" t="n">
        <f aca="false">дома!G267*IF('Ввод данных'!$A$19=связи1!$A$150,1,0)</f>
        <v>0</v>
      </c>
    </row>
    <row r="131" customFormat="false" ht="15" hidden="false" customHeight="false" outlineLevel="0" collapsed="false">
      <c r="A131" s="3122" t="str">
        <f aca="false">дома!A295</f>
        <v>Стойка каркаса по фронтону, односкатная кровля №31</v>
      </c>
      <c r="B131" s="3123" t="str">
        <f aca="false">дома!B295</f>
        <v>м.п.</v>
      </c>
      <c r="C131" s="3124" t="n">
        <f aca="false">дома!C295</f>
        <v>0.145</v>
      </c>
      <c r="D131" s="3124" t="n">
        <f aca="false">дома!D295</f>
        <v>0.045</v>
      </c>
      <c r="E131" s="3124" t="n">
        <f aca="false">дома!E295</f>
        <v>0</v>
      </c>
      <c r="F131" s="3124" t="n">
        <f aca="false">дома!F295</f>
        <v>2</v>
      </c>
      <c r="G131" s="3124" t="n">
        <f aca="false">E131*F131*IF('Ввод данных'!$A$19=связи1!$A$150,1,0)</f>
        <v>0</v>
      </c>
      <c r="H131" s="3124" t="n">
        <f aca="false">дома!G268*IF('Ввод данных'!$A$19=связи1!$A$150,1,0)</f>
        <v>0</v>
      </c>
    </row>
    <row r="132" customFormat="false" ht="15" hidden="false" customHeight="false" outlineLevel="0" collapsed="false">
      <c r="A132" s="3122" t="str">
        <f aca="false">дома!A296</f>
        <v>Стойка каркаса по фронтону, односкатная кровля №32</v>
      </c>
      <c r="B132" s="3123" t="str">
        <f aca="false">дома!B296</f>
        <v>м.п.</v>
      </c>
      <c r="C132" s="3124" t="n">
        <f aca="false">дома!C296</f>
        <v>0.145</v>
      </c>
      <c r="D132" s="3124" t="n">
        <f aca="false">дома!D296</f>
        <v>0.045</v>
      </c>
      <c r="E132" s="3124" t="n">
        <f aca="false">дома!E296</f>
        <v>0</v>
      </c>
      <c r="F132" s="3124" t="n">
        <f aca="false">дома!F296</f>
        <v>2</v>
      </c>
      <c r="G132" s="3124" t="n">
        <f aca="false">E132*F132*IF('Ввод данных'!$A$19=связи1!$A$150,1,0)</f>
        <v>0</v>
      </c>
      <c r="H132" s="3124" t="n">
        <f aca="false">дома!G269*IF('Ввод данных'!$A$19=связи1!$A$150,1,0)</f>
        <v>0</v>
      </c>
    </row>
    <row r="133" customFormat="false" ht="15" hidden="false" customHeight="false" outlineLevel="0" collapsed="false">
      <c r="A133" s="3122" t="str">
        <f aca="false">дома!A297</f>
        <v>Стойка каркаса по фронтону, односкатная кровля №33</v>
      </c>
      <c r="B133" s="3123" t="str">
        <f aca="false">дома!B297</f>
        <v>м.п.</v>
      </c>
      <c r="C133" s="3124" t="n">
        <f aca="false">дома!C297</f>
        <v>0.145</v>
      </c>
      <c r="D133" s="3124" t="n">
        <f aca="false">дома!D297</f>
        <v>0.045</v>
      </c>
      <c r="E133" s="3124" t="n">
        <f aca="false">дома!E297</f>
        <v>0</v>
      </c>
      <c r="F133" s="3124" t="n">
        <f aca="false">дома!F297</f>
        <v>2</v>
      </c>
      <c r="G133" s="3124" t="n">
        <f aca="false">E133*F133*IF('Ввод данных'!$A$19=связи1!$A$150,1,0)</f>
        <v>0</v>
      </c>
      <c r="H133" s="3124" t="n">
        <f aca="false">дома!G270*IF('Ввод данных'!$A$19=связи1!$A$150,1,0)</f>
        <v>0</v>
      </c>
    </row>
    <row r="134" customFormat="false" ht="15" hidden="false" customHeight="false" outlineLevel="0" collapsed="false">
      <c r="A134" s="3122" t="str">
        <f aca="false">дома!A298</f>
        <v>Стойка каркаса по фронтону, односкатная кровля №34</v>
      </c>
      <c r="B134" s="3123" t="str">
        <f aca="false">дома!B298</f>
        <v>м.п.</v>
      </c>
      <c r="C134" s="3124" t="n">
        <f aca="false">дома!C298</f>
        <v>0.145</v>
      </c>
      <c r="D134" s="3124" t="n">
        <f aca="false">дома!D298</f>
        <v>0.045</v>
      </c>
      <c r="E134" s="3124" t="n">
        <f aca="false">дома!E298</f>
        <v>0</v>
      </c>
      <c r="F134" s="3124" t="n">
        <f aca="false">дома!F298</f>
        <v>2</v>
      </c>
      <c r="G134" s="3124" t="n">
        <f aca="false">E134*F134*IF('Ввод данных'!$A$19=связи1!$A$150,1,0)</f>
        <v>0</v>
      </c>
      <c r="H134" s="3124" t="n">
        <f aca="false">дома!G271*IF('Ввод данных'!$A$19=связи1!$A$150,1,0)</f>
        <v>0</v>
      </c>
    </row>
    <row r="135" customFormat="false" ht="15" hidden="false" customHeight="false" outlineLevel="0" collapsed="false">
      <c r="A135" s="3122" t="str">
        <f aca="false">дома!A299</f>
        <v>Стойка каркаса по фронтону, односкатная кровля №35</v>
      </c>
      <c r="B135" s="3123" t="str">
        <f aca="false">дома!B299</f>
        <v>м.п.</v>
      </c>
      <c r="C135" s="3124" t="n">
        <f aca="false">дома!C299</f>
        <v>0.145</v>
      </c>
      <c r="D135" s="3124" t="n">
        <f aca="false">дома!D299</f>
        <v>0.045</v>
      </c>
      <c r="E135" s="3124" t="n">
        <f aca="false">дома!E299</f>
        <v>0</v>
      </c>
      <c r="F135" s="3124" t="n">
        <f aca="false">дома!F299</f>
        <v>2</v>
      </c>
      <c r="G135" s="3124" t="n">
        <f aca="false">E135*F135*IF('Ввод данных'!$A$19=связи1!$A$150,1,0)</f>
        <v>0</v>
      </c>
      <c r="H135" s="3124" t="n">
        <f aca="false">дома!G272*IF('Ввод данных'!$A$19=связи1!$A$150,1,0)</f>
        <v>0</v>
      </c>
    </row>
    <row r="136" customFormat="false" ht="15" hidden="false" customHeight="false" outlineLevel="0" collapsed="false">
      <c r="A136" s="3122" t="str">
        <f aca="false">дома!A300</f>
        <v>Стойка каркаса по фронтону, односкатная кровля №36</v>
      </c>
      <c r="B136" s="3123" t="str">
        <f aca="false">дома!B300</f>
        <v>м.п.</v>
      </c>
      <c r="C136" s="3124" t="n">
        <f aca="false">дома!C300</f>
        <v>0.145</v>
      </c>
      <c r="D136" s="3124" t="n">
        <f aca="false">дома!D300</f>
        <v>0.045</v>
      </c>
      <c r="E136" s="3124" t="n">
        <f aca="false">дома!E300</f>
        <v>0</v>
      </c>
      <c r="F136" s="3124" t="n">
        <f aca="false">дома!F300</f>
        <v>2</v>
      </c>
      <c r="G136" s="3124" t="n">
        <f aca="false">E136*F136*IF('Ввод данных'!$A$19=связи1!$A$150,1,0)</f>
        <v>0</v>
      </c>
      <c r="H136" s="3124" t="n">
        <f aca="false">дома!G273*IF('Ввод данных'!$A$19=связи1!$A$150,1,0)</f>
        <v>0</v>
      </c>
    </row>
    <row r="137" customFormat="false" ht="15" hidden="false" customHeight="false" outlineLevel="0" collapsed="false">
      <c r="A137" s="3122" t="str">
        <f aca="false">дома!A301</f>
        <v>Стойка каркаса по фронтону, односкатная кровля №37</v>
      </c>
      <c r="B137" s="3123" t="str">
        <f aca="false">дома!B301</f>
        <v>м.п.</v>
      </c>
      <c r="C137" s="3124" t="n">
        <f aca="false">дома!C301</f>
        <v>0.145</v>
      </c>
      <c r="D137" s="3124" t="n">
        <f aca="false">дома!D301</f>
        <v>0.045</v>
      </c>
      <c r="E137" s="3124" t="n">
        <f aca="false">дома!E301</f>
        <v>0</v>
      </c>
      <c r="F137" s="3124" t="n">
        <f aca="false">дома!F301</f>
        <v>2</v>
      </c>
      <c r="G137" s="3124" t="n">
        <f aca="false">E137*F137*IF('Ввод данных'!$A$19=связи1!$A$150,1,0)</f>
        <v>0</v>
      </c>
      <c r="H137" s="3124" t="n">
        <f aca="false">дома!G274*IF('Ввод данных'!$A$19=связи1!$A$150,1,0)</f>
        <v>0</v>
      </c>
    </row>
    <row r="138" customFormat="false" ht="15" hidden="false" customHeight="false" outlineLevel="0" collapsed="false">
      <c r="A138" s="3122" t="str">
        <f aca="false">дома!A302</f>
        <v>Стойка каркаса по фронтону, односкатная кровля №38</v>
      </c>
      <c r="B138" s="3123" t="str">
        <f aca="false">дома!B302</f>
        <v>м.п.</v>
      </c>
      <c r="C138" s="3124" t="n">
        <f aca="false">дома!C302</f>
        <v>0.145</v>
      </c>
      <c r="D138" s="3124" t="n">
        <f aca="false">дома!D302</f>
        <v>0.045</v>
      </c>
      <c r="E138" s="3124" t="n">
        <f aca="false">дома!E302</f>
        <v>0</v>
      </c>
      <c r="F138" s="3124" t="n">
        <f aca="false">дома!F302</f>
        <v>2</v>
      </c>
      <c r="G138" s="3124" t="n">
        <f aca="false">E138*F138*IF('Ввод данных'!$A$19=связи1!$A$150,1,0)</f>
        <v>0</v>
      </c>
      <c r="H138" s="3124" t="n">
        <f aca="false">дома!G275*IF('Ввод данных'!$A$19=связи1!$A$150,1,0)</f>
        <v>0</v>
      </c>
    </row>
    <row r="139" customFormat="false" ht="15" hidden="false" customHeight="false" outlineLevel="0" collapsed="false">
      <c r="A139" s="3122" t="str">
        <f aca="false">дома!A303</f>
        <v>Стойка каркаса по фронтону, односкатная кровля №39</v>
      </c>
      <c r="B139" s="3123" t="str">
        <f aca="false">дома!B303</f>
        <v>м.п.</v>
      </c>
      <c r="C139" s="3124" t="n">
        <f aca="false">дома!C303</f>
        <v>0.145</v>
      </c>
      <c r="D139" s="3124" t="n">
        <f aca="false">дома!D303</f>
        <v>0.045</v>
      </c>
      <c r="E139" s="3124" t="n">
        <f aca="false">дома!E303</f>
        <v>0</v>
      </c>
      <c r="F139" s="3124" t="n">
        <f aca="false">дома!F303</f>
        <v>2</v>
      </c>
      <c r="G139" s="3124" t="n">
        <f aca="false">E139*F139*IF('Ввод данных'!$A$19=связи1!$A$150,1,0)</f>
        <v>0</v>
      </c>
      <c r="H139" s="3124" t="n">
        <f aca="false">дома!G276*IF('Ввод данных'!$A$19=связи1!$A$150,1,0)</f>
        <v>0</v>
      </c>
    </row>
    <row r="140" customFormat="false" ht="15" hidden="false" customHeight="false" outlineLevel="0" collapsed="false">
      <c r="A140" s="3122" t="str">
        <f aca="false">дома!A304</f>
        <v>Стойка каркаса по фронтону, односкатная кровля №40</v>
      </c>
      <c r="B140" s="3123" t="str">
        <f aca="false">дома!B304</f>
        <v>м.п.</v>
      </c>
      <c r="C140" s="3124" t="n">
        <f aca="false">дома!C304</f>
        <v>0.145</v>
      </c>
      <c r="D140" s="3124" t="n">
        <f aca="false">дома!D304</f>
        <v>0.045</v>
      </c>
      <c r="E140" s="3124" t="n">
        <f aca="false">дома!E304</f>
        <v>0</v>
      </c>
      <c r="F140" s="3124" t="n">
        <f aca="false">дома!F304</f>
        <v>2</v>
      </c>
      <c r="G140" s="3124" t="n">
        <f aca="false">E140*F140*IF('Ввод данных'!$A$19=связи1!$A$150,1,0)</f>
        <v>0</v>
      </c>
      <c r="H140" s="3124" t="n">
        <f aca="false">дома!G277*IF('Ввод данных'!$A$19=связи1!$A$150,1,0)</f>
        <v>0</v>
      </c>
    </row>
    <row r="141" customFormat="false" ht="15" hidden="false" customHeight="false" outlineLevel="0" collapsed="false">
      <c r="A141" s="3122" t="str">
        <f aca="false">дома!A305</f>
        <v>Стойка каркаса по фронтону, односкатная кровля №41</v>
      </c>
      <c r="B141" s="3123" t="str">
        <f aca="false">дома!B305</f>
        <v>м.п.</v>
      </c>
      <c r="C141" s="3124" t="n">
        <f aca="false">дома!C305</f>
        <v>0.145</v>
      </c>
      <c r="D141" s="3124" t="n">
        <f aca="false">дома!D305</f>
        <v>0.045</v>
      </c>
      <c r="E141" s="3124" t="n">
        <f aca="false">дома!E305</f>
        <v>0</v>
      </c>
      <c r="F141" s="3124" t="n">
        <f aca="false">дома!F305</f>
        <v>2</v>
      </c>
      <c r="G141" s="3124" t="n">
        <f aca="false">E141*F141*IF('Ввод данных'!$A$19=связи1!$A$150,1,0)</f>
        <v>0</v>
      </c>
      <c r="H141" s="3124" t="n">
        <f aca="false">дома!G278*IF('Ввод данных'!$A$19=связи1!$A$150,1,0)</f>
        <v>0</v>
      </c>
    </row>
    <row r="142" customFormat="false" ht="15" hidden="false" customHeight="false" outlineLevel="0" collapsed="false">
      <c r="A142" s="3122" t="str">
        <f aca="false">дома!A306</f>
        <v>Обвязка каркаса нижняя, односкатная кровля</v>
      </c>
      <c r="B142" s="3123" t="str">
        <f aca="false">дома!B306</f>
        <v>м.п.</v>
      </c>
      <c r="C142" s="3124" t="n">
        <f aca="false">дома!C306</f>
        <v>0.145</v>
      </c>
      <c r="D142" s="3124" t="n">
        <f aca="false">дома!D306</f>
        <v>0.045</v>
      </c>
      <c r="E142" s="3124" t="n">
        <f aca="false">дома!E306</f>
        <v>0</v>
      </c>
      <c r="F142" s="3124" t="n">
        <f aca="false">дома!F306</f>
        <v>0</v>
      </c>
      <c r="G142" s="3124" t="n">
        <f aca="false">E142*F142*IF('Ввод данных'!$A$19=связи1!$A$150,1,0)</f>
        <v>0</v>
      </c>
      <c r="H142" s="3124" t="n">
        <f aca="false">дома!G279*IF('Ввод данных'!$A$19=связи1!$A$150,1,0)</f>
        <v>0</v>
      </c>
    </row>
    <row r="143" customFormat="false" ht="15" hidden="false" customHeight="false" outlineLevel="0" collapsed="false">
      <c r="A143" s="3122" t="str">
        <f aca="false">дома!A307</f>
        <v>Обвязка каркаса верхняя, односкатная кровля</v>
      </c>
      <c r="B143" s="3123" t="str">
        <f aca="false">дома!B307</f>
        <v>м.п.</v>
      </c>
      <c r="C143" s="3124" t="n">
        <f aca="false">дома!C307</f>
        <v>0.145</v>
      </c>
      <c r="D143" s="3124" t="n">
        <f aca="false">дома!D307</f>
        <v>0.045</v>
      </c>
      <c r="E143" s="3124" t="n">
        <f aca="false">дома!E307</f>
        <v>0</v>
      </c>
      <c r="F143" s="3124" t="n">
        <f aca="false">дома!F307</f>
        <v>0</v>
      </c>
      <c r="G143" s="3124" t="n">
        <f aca="false">E143*F143*IF('Ввод данных'!$A$19=связи1!$A$150,1,0)</f>
        <v>0</v>
      </c>
      <c r="H143" s="3124" t="n">
        <f aca="false">дома!G280*IF('Ввод данных'!$A$19=связи1!$A$150,1,0)</f>
        <v>0</v>
      </c>
    </row>
    <row r="144" customFormat="false" ht="15" hidden="false" customHeight="false" outlineLevel="0" collapsed="false">
      <c r="A144" s="3122" t="str">
        <f aca="false">дома!A308</f>
        <v>Ригель каркаса фронтона, односкатная кровля</v>
      </c>
      <c r="B144" s="3123" t="str">
        <f aca="false">дома!B308</f>
        <v>м.п.</v>
      </c>
      <c r="C144" s="3124" t="n">
        <f aca="false">дома!C308</f>
        <v>0.145</v>
      </c>
      <c r="D144" s="3124" t="n">
        <f aca="false">дома!D308</f>
        <v>0.045</v>
      </c>
      <c r="E144" s="3124" t="n">
        <f aca="false">дома!E308</f>
        <v>0</v>
      </c>
      <c r="F144" s="3124" t="n">
        <f aca="false">дома!F308</f>
        <v>0</v>
      </c>
      <c r="G144" s="3124" t="n">
        <f aca="false">E144*F144*IF('Ввод данных'!$A$19=связи1!$A$150,1,0)</f>
        <v>0</v>
      </c>
      <c r="H144" s="3124" t="n">
        <f aca="false">дома!G281*IF('Ввод данных'!$A$19=связи1!$A$150,1,0)</f>
        <v>0</v>
      </c>
    </row>
    <row r="145" customFormat="false" ht="15" hidden="false" customHeight="false" outlineLevel="0" collapsed="false">
      <c r="A145" s="3122" t="str">
        <f aca="false">дома!A309</f>
        <v>Стойки каркаса, левая сторона 2 эт</v>
      </c>
      <c r="B145" s="3123" t="str">
        <f aca="false">дома!B309</f>
        <v>м.п.</v>
      </c>
      <c r="C145" s="3124" t="n">
        <f aca="false">дома!C309</f>
        <v>0.145</v>
      </c>
      <c r="D145" s="3124" t="n">
        <f aca="false">дома!D309</f>
        <v>0.045</v>
      </c>
      <c r="E145" s="3124" t="n">
        <f aca="false">дома!E309</f>
        <v>0</v>
      </c>
      <c r="F145" s="3124" t="n">
        <f aca="false">дома!F309</f>
        <v>0</v>
      </c>
      <c r="G145" s="3124" t="n">
        <f aca="false">E145*F145*IF('Ввод данных'!$A$19=связи1!$A$150,1,0)</f>
        <v>0</v>
      </c>
      <c r="H145" s="3124" t="n">
        <f aca="false">дома!G282*IF('Ввод данных'!$A$19=связи1!$A$150,1,0)</f>
        <v>0</v>
      </c>
    </row>
    <row r="146" customFormat="false" ht="15" hidden="false" customHeight="false" outlineLevel="0" collapsed="false">
      <c r="A146" s="3122" t="str">
        <f aca="false">дома!A310</f>
        <v>Стойки каркаса, правая сторона 2 эт</v>
      </c>
      <c r="B146" s="3123" t="str">
        <f aca="false">дома!B310</f>
        <v>м.п.</v>
      </c>
      <c r="C146" s="3124" t="n">
        <f aca="false">дома!C310</f>
        <v>0.145</v>
      </c>
      <c r="D146" s="3124" t="n">
        <f aca="false">дома!D310</f>
        <v>0.045</v>
      </c>
      <c r="E146" s="3124" t="n">
        <f aca="false">дома!E310</f>
        <v>2.8</v>
      </c>
      <c r="F146" s="3124" t="n">
        <f aca="false">дома!F310</f>
        <v>0</v>
      </c>
      <c r="G146" s="3124" t="n">
        <f aca="false">E146*F146*IF('Ввод данных'!$A$19=связи1!$A$150,1,0)</f>
        <v>0</v>
      </c>
      <c r="H146" s="3124" t="n">
        <f aca="false">дома!G283*IF('Ввод данных'!$A$19=связи1!$A$150,1,0)</f>
        <v>0</v>
      </c>
    </row>
    <row r="147" customFormat="false" ht="15" hidden="false" customHeight="false" outlineLevel="0" collapsed="false">
      <c r="A147" s="3122" t="str">
        <f aca="false">дома!A311</f>
        <v>Стойки каркаса передней/задней стены 2 эт</v>
      </c>
      <c r="B147" s="3123" t="str">
        <f aca="false">дома!B311</f>
        <v>м.п.</v>
      </c>
      <c r="C147" s="3124" t="n">
        <f aca="false">дома!C311</f>
        <v>0.145</v>
      </c>
      <c r="D147" s="3124" t="n">
        <f aca="false">дома!D311</f>
        <v>0.045</v>
      </c>
      <c r="E147" s="3124" t="n">
        <f aca="false">дома!E311</f>
        <v>0</v>
      </c>
      <c r="F147" s="3124" t="n">
        <f aca="false">дома!F311</f>
        <v>0</v>
      </c>
      <c r="G147" s="3124" t="n">
        <f aca="false">E147*F147*IF('Ввод данных'!$A$19=связи1!$A$150,1,0)</f>
        <v>0</v>
      </c>
      <c r="H147" s="3124" t="n">
        <f aca="false">дома!G284*IF('Ввод данных'!$A$19=связи1!$A$150,1,0)</f>
        <v>0</v>
      </c>
    </row>
    <row r="148" customFormat="false" ht="15" hidden="false" customHeight="false" outlineLevel="0" collapsed="false">
      <c r="A148" s="3122" t="str">
        <f aca="false">дома!A312</f>
        <v>Стойка каркаса по фронтону, односкатная кровля №0</v>
      </c>
      <c r="B148" s="3123" t="str">
        <f aca="false">дома!B312</f>
        <v>м.п.</v>
      </c>
      <c r="C148" s="3124" t="n">
        <f aca="false">дома!C312</f>
        <v>0.145</v>
      </c>
      <c r="D148" s="3124" t="n">
        <f aca="false">дома!D312</f>
        <v>0.045</v>
      </c>
      <c r="E148" s="3124" t="n">
        <f aca="false">дома!E312</f>
        <v>0</v>
      </c>
      <c r="F148" s="3124" t="n">
        <f aca="false">дома!F312</f>
        <v>0</v>
      </c>
      <c r="G148" s="3124" t="n">
        <f aca="false">E148*F148*IF('Ввод данных'!$A$19=связи1!$A$150,1,0)</f>
        <v>0</v>
      </c>
      <c r="H148" s="3124" t="n">
        <f aca="false">дома!G285*IF('Ввод данных'!$A$19=связи1!$A$150,1,0)</f>
        <v>0</v>
      </c>
    </row>
    <row r="149" customFormat="false" ht="15" hidden="false" customHeight="false" outlineLevel="0" collapsed="false">
      <c r="A149" s="3122" t="str">
        <f aca="false">дома!A313</f>
        <v>Стойка каркаса по фронтону, односкатная кровля №1</v>
      </c>
      <c r="B149" s="3123" t="str">
        <f aca="false">дома!B313</f>
        <v>м.п.</v>
      </c>
      <c r="C149" s="3124" t="n">
        <f aca="false">дома!C313</f>
        <v>0.145</v>
      </c>
      <c r="D149" s="3124" t="n">
        <f aca="false">дома!D313</f>
        <v>0.045</v>
      </c>
      <c r="E149" s="3124" t="n">
        <f aca="false">дома!E313</f>
        <v>0</v>
      </c>
      <c r="F149" s="3124" t="n">
        <f aca="false">дома!F313</f>
        <v>0</v>
      </c>
      <c r="G149" s="3124" t="n">
        <f aca="false">E149*F149*IF('Ввод данных'!$A$19=связи1!$A$150,1,0)</f>
        <v>0</v>
      </c>
      <c r="H149" s="3124" t="n">
        <f aca="false">дома!G286*IF('Ввод данных'!$A$19=связи1!$A$150,1,0)</f>
        <v>0</v>
      </c>
    </row>
    <row r="150" customFormat="false" ht="15" hidden="false" customHeight="false" outlineLevel="0" collapsed="false">
      <c r="A150" s="3122" t="str">
        <f aca="false">дома!A314</f>
        <v>Стойка каркаса по фронтону, односкатная кровля №2</v>
      </c>
      <c r="B150" s="3123" t="str">
        <f aca="false">дома!B314</f>
        <v>м.п.</v>
      </c>
      <c r="C150" s="3124" t="n">
        <f aca="false">дома!C314</f>
        <v>0.145</v>
      </c>
      <c r="D150" s="3124" t="n">
        <f aca="false">дома!D314</f>
        <v>0.045</v>
      </c>
      <c r="E150" s="3124" t="n">
        <f aca="false">дома!E314</f>
        <v>0</v>
      </c>
      <c r="F150" s="3124" t="n">
        <f aca="false">дома!F314</f>
        <v>0</v>
      </c>
      <c r="G150" s="3124" t="n">
        <f aca="false">E150*F150*IF('Ввод данных'!$A$19=связи1!$A$150,1,0)</f>
        <v>0</v>
      </c>
      <c r="H150" s="3124" t="n">
        <f aca="false">дома!G287*IF('Ввод данных'!$A$19=связи1!$A$150,1,0)</f>
        <v>0</v>
      </c>
    </row>
    <row r="151" customFormat="false" ht="15" hidden="false" customHeight="false" outlineLevel="0" collapsed="false">
      <c r="A151" s="3122" t="str">
        <f aca="false">дома!A315</f>
        <v>Стойка каркаса по фронтону, односкатная кровля №3</v>
      </c>
      <c r="B151" s="3123" t="str">
        <f aca="false">дома!B315</f>
        <v>м.п.</v>
      </c>
      <c r="C151" s="3124" t="n">
        <f aca="false">дома!C315</f>
        <v>0.145</v>
      </c>
      <c r="D151" s="3124" t="n">
        <f aca="false">дома!D315</f>
        <v>0.045</v>
      </c>
      <c r="E151" s="3124" t="n">
        <f aca="false">дома!E315</f>
        <v>0</v>
      </c>
      <c r="F151" s="3124" t="n">
        <f aca="false">дома!F315</f>
        <v>0</v>
      </c>
      <c r="G151" s="3124" t="n">
        <f aca="false">E151*F151*IF('Ввод данных'!$A$19=связи1!$A$150,1,0)</f>
        <v>0</v>
      </c>
      <c r="H151" s="3124" t="n">
        <f aca="false">дома!G288*IF('Ввод данных'!$A$19=связи1!$A$150,1,0)</f>
        <v>0</v>
      </c>
    </row>
    <row r="152" customFormat="false" ht="15" hidden="false" customHeight="false" outlineLevel="0" collapsed="false">
      <c r="A152" s="3122" t="str">
        <f aca="false">дома!A316</f>
        <v>Стойка каркаса по фронтону, односкатная кровля №4</v>
      </c>
      <c r="B152" s="3123" t="str">
        <f aca="false">дома!B316</f>
        <v>м.п.</v>
      </c>
      <c r="C152" s="3124" t="n">
        <f aca="false">дома!C316</f>
        <v>0.145</v>
      </c>
      <c r="D152" s="3124" t="n">
        <f aca="false">дома!D316</f>
        <v>0.045</v>
      </c>
      <c r="E152" s="3124" t="n">
        <f aca="false">дома!E316</f>
        <v>0</v>
      </c>
      <c r="F152" s="3124" t="n">
        <f aca="false">дома!F316</f>
        <v>0</v>
      </c>
      <c r="G152" s="3124" t="n">
        <f aca="false">E152*F152*IF('Ввод данных'!$A$19=связи1!$A$150,1,0)</f>
        <v>0</v>
      </c>
      <c r="H152" s="3124" t="n">
        <f aca="false">дома!G289*IF('Ввод данных'!$A$19=связи1!$A$150,1,0)</f>
        <v>0</v>
      </c>
    </row>
    <row r="153" customFormat="false" ht="15" hidden="false" customHeight="false" outlineLevel="0" collapsed="false">
      <c r="A153" s="3122" t="str">
        <f aca="false">дома!A317</f>
        <v>Стойка каркаса по фронтону, односкатная кровля №5</v>
      </c>
      <c r="B153" s="3123" t="str">
        <f aca="false">дома!B317</f>
        <v>м.п.</v>
      </c>
      <c r="C153" s="3124" t="n">
        <f aca="false">дома!C317</f>
        <v>0.145</v>
      </c>
      <c r="D153" s="3124" t="n">
        <f aca="false">дома!D317</f>
        <v>0.045</v>
      </c>
      <c r="E153" s="3124" t="n">
        <f aca="false">дома!E317</f>
        <v>0</v>
      </c>
      <c r="F153" s="3124" t="n">
        <f aca="false">дома!F317</f>
        <v>0</v>
      </c>
      <c r="G153" s="3124" t="n">
        <f aca="false">E153*F153*IF('Ввод данных'!$A$19=связи1!$A$150,1,0)</f>
        <v>0</v>
      </c>
      <c r="H153" s="3124" t="n">
        <f aca="false">дома!G290*IF('Ввод данных'!$A$19=связи1!$A$150,1,0)</f>
        <v>0</v>
      </c>
    </row>
    <row r="154" customFormat="false" ht="15" hidden="false" customHeight="false" outlineLevel="0" collapsed="false">
      <c r="A154" s="3122" t="str">
        <f aca="false">дома!A318</f>
        <v>Стойка каркаса по фронтону, односкатная кровля №6</v>
      </c>
      <c r="B154" s="3123" t="str">
        <f aca="false">дома!B318</f>
        <v>м.п.</v>
      </c>
      <c r="C154" s="3124" t="n">
        <f aca="false">дома!C318</f>
        <v>0.145</v>
      </c>
      <c r="D154" s="3124" t="n">
        <f aca="false">дома!D318</f>
        <v>0.045</v>
      </c>
      <c r="E154" s="3124" t="n">
        <f aca="false">дома!E318</f>
        <v>0</v>
      </c>
      <c r="F154" s="3124" t="n">
        <f aca="false">дома!F318</f>
        <v>0</v>
      </c>
      <c r="G154" s="3124" t="n">
        <f aca="false">E154*F154*IF('Ввод данных'!$A$19=связи1!$A$150,1,0)</f>
        <v>0</v>
      </c>
      <c r="H154" s="3124" t="n">
        <f aca="false">дома!G291*IF('Ввод данных'!$A$19=связи1!$A$150,1,0)</f>
        <v>0</v>
      </c>
    </row>
    <row r="155" customFormat="false" ht="15" hidden="false" customHeight="false" outlineLevel="0" collapsed="false">
      <c r="A155" s="3122" t="str">
        <f aca="false">дома!A319</f>
        <v>Стойка каркаса по фронтону, односкатная кровля №7</v>
      </c>
      <c r="B155" s="3123" t="str">
        <f aca="false">дома!B319</f>
        <v>м.п.</v>
      </c>
      <c r="C155" s="3124" t="n">
        <f aca="false">дома!C319</f>
        <v>0.145</v>
      </c>
      <c r="D155" s="3124" t="n">
        <f aca="false">дома!D319</f>
        <v>0.045</v>
      </c>
      <c r="E155" s="3124" t="n">
        <f aca="false">дома!E319</f>
        <v>0</v>
      </c>
      <c r="F155" s="3124" t="n">
        <f aca="false">дома!F319</f>
        <v>0</v>
      </c>
      <c r="G155" s="3124" t="n">
        <f aca="false">E155*F155*IF('Ввод данных'!$A$19=связи1!$A$150,1,0)</f>
        <v>0</v>
      </c>
      <c r="H155" s="3124" t="n">
        <f aca="false">дома!G292*IF('Ввод данных'!$A$19=связи1!$A$150,1,0)</f>
        <v>0</v>
      </c>
    </row>
    <row r="156" customFormat="false" ht="15" hidden="false" customHeight="false" outlineLevel="0" collapsed="false">
      <c r="A156" s="3122" t="str">
        <f aca="false">дома!A320</f>
        <v>Стойка каркаса по фронтону, односкатная кровля №8</v>
      </c>
      <c r="B156" s="3123" t="str">
        <f aca="false">дома!B320</f>
        <v>м.п.</v>
      </c>
      <c r="C156" s="3124" t="n">
        <f aca="false">дома!C320</f>
        <v>0.145</v>
      </c>
      <c r="D156" s="3124" t="n">
        <f aca="false">дома!D320</f>
        <v>0.045</v>
      </c>
      <c r="E156" s="3124" t="n">
        <f aca="false">дома!E320</f>
        <v>0</v>
      </c>
      <c r="F156" s="3124" t="n">
        <f aca="false">дома!F320</f>
        <v>0</v>
      </c>
      <c r="G156" s="3124" t="n">
        <f aca="false">E156*F156*IF('Ввод данных'!$A$19=связи1!$A$150,1,0)</f>
        <v>0</v>
      </c>
      <c r="H156" s="3124" t="n">
        <f aca="false">дома!G293*IF('Ввод данных'!$A$19=связи1!$A$150,1,0)</f>
        <v>0</v>
      </c>
    </row>
    <row r="157" customFormat="false" ht="15" hidden="false" customHeight="false" outlineLevel="0" collapsed="false">
      <c r="A157" s="3122" t="str">
        <f aca="false">дома!A321</f>
        <v>Стойка каркаса по фронтону, односкатная кровля №9</v>
      </c>
      <c r="B157" s="3123" t="str">
        <f aca="false">дома!B321</f>
        <v>м.п.</v>
      </c>
      <c r="C157" s="3124" t="n">
        <f aca="false">дома!C321</f>
        <v>0.145</v>
      </c>
      <c r="D157" s="3124" t="n">
        <f aca="false">дома!D321</f>
        <v>0.045</v>
      </c>
      <c r="E157" s="3124" t="n">
        <f aca="false">дома!E321</f>
        <v>0</v>
      </c>
      <c r="F157" s="3124" t="n">
        <f aca="false">дома!F321</f>
        <v>0</v>
      </c>
      <c r="G157" s="3124" t="n">
        <f aca="false">E157*F157*IF('Ввод данных'!$A$19=связи1!$A$150,1,0)</f>
        <v>0</v>
      </c>
      <c r="H157" s="3124" t="n">
        <f aca="false">дома!G294*IF('Ввод данных'!$A$19=связи1!$A$150,1,0)</f>
        <v>0</v>
      </c>
    </row>
    <row r="158" customFormat="false" ht="15" hidden="false" customHeight="false" outlineLevel="0" collapsed="false">
      <c r="A158" s="3122" t="str">
        <f aca="false">дома!A322</f>
        <v>Стойка каркаса по фронтону, односкатная кровля №10</v>
      </c>
      <c r="B158" s="3123" t="str">
        <f aca="false">дома!B322</f>
        <v>м.п.</v>
      </c>
      <c r="C158" s="3124" t="n">
        <f aca="false">дома!C322</f>
        <v>0.145</v>
      </c>
      <c r="D158" s="3124" t="n">
        <f aca="false">дома!D322</f>
        <v>0.045</v>
      </c>
      <c r="E158" s="3124" t="n">
        <f aca="false">дома!E322</f>
        <v>0</v>
      </c>
      <c r="F158" s="3124" t="n">
        <f aca="false">дома!F322</f>
        <v>0</v>
      </c>
      <c r="G158" s="3124" t="n">
        <f aca="false">E158*F158*IF('Ввод данных'!$A$19=связи1!$A$150,1,0)</f>
        <v>0</v>
      </c>
      <c r="H158" s="3124" t="n">
        <f aca="false">дома!G295*IF('Ввод данных'!$A$19=связи1!$A$150,1,0)</f>
        <v>0</v>
      </c>
    </row>
    <row r="159" customFormat="false" ht="15" hidden="false" customHeight="false" outlineLevel="0" collapsed="false">
      <c r="A159" s="3122" t="str">
        <f aca="false">дома!A323</f>
        <v>Стойка каркаса по фронтону, односкатная кровля №11</v>
      </c>
      <c r="B159" s="3123" t="str">
        <f aca="false">дома!B323</f>
        <v>м.п.</v>
      </c>
      <c r="C159" s="3124" t="n">
        <f aca="false">дома!C323</f>
        <v>0.145</v>
      </c>
      <c r="D159" s="3124" t="n">
        <f aca="false">дома!D323</f>
        <v>0.045</v>
      </c>
      <c r="E159" s="3124" t="n">
        <f aca="false">дома!E323</f>
        <v>0</v>
      </c>
      <c r="F159" s="3124" t="n">
        <f aca="false">дома!F323</f>
        <v>0</v>
      </c>
      <c r="G159" s="3124" t="n">
        <f aca="false">E159*F159*IF('Ввод данных'!$A$19=связи1!$A$150,1,0)</f>
        <v>0</v>
      </c>
      <c r="H159" s="3124" t="n">
        <f aca="false">дома!G296*IF('Ввод данных'!$A$19=связи1!$A$150,1,0)</f>
        <v>0</v>
      </c>
    </row>
    <row r="160" customFormat="false" ht="15" hidden="false" customHeight="false" outlineLevel="0" collapsed="false">
      <c r="A160" s="3122" t="str">
        <f aca="false">дома!A324</f>
        <v>Стойка каркаса по фронтону, односкатная кровля №12</v>
      </c>
      <c r="B160" s="3123" t="str">
        <f aca="false">дома!B324</f>
        <v>м.п.</v>
      </c>
      <c r="C160" s="3124" t="n">
        <f aca="false">дома!C324</f>
        <v>0.145</v>
      </c>
      <c r="D160" s="3124" t="n">
        <f aca="false">дома!D324</f>
        <v>0.045</v>
      </c>
      <c r="E160" s="3124" t="n">
        <f aca="false">дома!E324</f>
        <v>0</v>
      </c>
      <c r="F160" s="3124" t="n">
        <f aca="false">дома!F324</f>
        <v>0</v>
      </c>
      <c r="G160" s="3124" t="n">
        <f aca="false">E160*F160*IF('Ввод данных'!$A$19=связи1!$A$150,1,0)</f>
        <v>0</v>
      </c>
      <c r="H160" s="3124" t="n">
        <f aca="false">дома!G297*IF('Ввод данных'!$A$19=связи1!$A$150,1,0)</f>
        <v>0</v>
      </c>
    </row>
    <row r="161" customFormat="false" ht="15" hidden="false" customHeight="false" outlineLevel="0" collapsed="false">
      <c r="A161" s="3122" t="str">
        <f aca="false">дома!A325</f>
        <v>Стойка каркаса по фронтону, односкатная кровля №13</v>
      </c>
      <c r="B161" s="3123" t="str">
        <f aca="false">дома!B325</f>
        <v>м.п.</v>
      </c>
      <c r="C161" s="3124" t="n">
        <f aca="false">дома!C325</f>
        <v>0.145</v>
      </c>
      <c r="D161" s="3124" t="n">
        <f aca="false">дома!D325</f>
        <v>0.045</v>
      </c>
      <c r="E161" s="3124" t="n">
        <f aca="false">дома!E325</f>
        <v>0</v>
      </c>
      <c r="F161" s="3124" t="n">
        <f aca="false">дома!F325</f>
        <v>0</v>
      </c>
      <c r="G161" s="3124" t="n">
        <f aca="false">E161*F161*IF('Ввод данных'!$A$19=связи1!$A$150,1,0)</f>
        <v>0</v>
      </c>
      <c r="H161" s="3124" t="n">
        <f aca="false">дома!G298*IF('Ввод данных'!$A$19=связи1!$A$150,1,0)</f>
        <v>0</v>
      </c>
    </row>
    <row r="162" customFormat="false" ht="15" hidden="false" customHeight="false" outlineLevel="0" collapsed="false">
      <c r="A162" s="3122" t="str">
        <f aca="false">дома!A326</f>
        <v>Стойка каркаса по фронтону, односкатная кровля №14</v>
      </c>
      <c r="B162" s="3123" t="str">
        <f aca="false">дома!B326</f>
        <v>м.п.</v>
      </c>
      <c r="C162" s="3124" t="n">
        <f aca="false">дома!C326</f>
        <v>0.145</v>
      </c>
      <c r="D162" s="3124" t="n">
        <f aca="false">дома!D326</f>
        <v>0.045</v>
      </c>
      <c r="E162" s="3124" t="n">
        <f aca="false">дома!E326</f>
        <v>0</v>
      </c>
      <c r="F162" s="3124" t="n">
        <f aca="false">дома!F326</f>
        <v>0</v>
      </c>
      <c r="G162" s="3124" t="n">
        <f aca="false">E162*F162*IF('Ввод данных'!$A$19=связи1!$A$150,1,0)</f>
        <v>0</v>
      </c>
      <c r="H162" s="3124" t="n">
        <f aca="false">дома!G299*IF('Ввод данных'!$A$19=связи1!$A$150,1,0)</f>
        <v>0</v>
      </c>
    </row>
    <row r="163" customFormat="false" ht="15" hidden="false" customHeight="false" outlineLevel="0" collapsed="false">
      <c r="A163" s="3122" t="str">
        <f aca="false">дома!A327</f>
        <v>Стойка каркаса по фронтону, односкатная кровля №15</v>
      </c>
      <c r="B163" s="3123" t="str">
        <f aca="false">дома!B327</f>
        <v>м.п.</v>
      </c>
      <c r="C163" s="3124" t="n">
        <f aca="false">дома!C327</f>
        <v>0.145</v>
      </c>
      <c r="D163" s="3124" t="n">
        <f aca="false">дома!D327</f>
        <v>0.045</v>
      </c>
      <c r="E163" s="3124" t="n">
        <f aca="false">дома!E327</f>
        <v>0</v>
      </c>
      <c r="F163" s="3124" t="n">
        <f aca="false">дома!F327</f>
        <v>0</v>
      </c>
      <c r="G163" s="3124" t="n">
        <f aca="false">E163*F163*IF('Ввод данных'!$A$19=связи1!$A$150,1,0)</f>
        <v>0</v>
      </c>
      <c r="H163" s="3124" t="n">
        <f aca="false">дома!G300*IF('Ввод данных'!$A$19=связи1!$A$150,1,0)</f>
        <v>0</v>
      </c>
    </row>
    <row r="164" customFormat="false" ht="15" hidden="false" customHeight="false" outlineLevel="0" collapsed="false">
      <c r="A164" s="3122" t="str">
        <f aca="false">дома!A328</f>
        <v>Стойка каркаса по фронтону, односкатная кровля №16</v>
      </c>
      <c r="B164" s="3123" t="str">
        <f aca="false">дома!B328</f>
        <v>м.п.</v>
      </c>
      <c r="C164" s="3124" t="n">
        <f aca="false">дома!C328</f>
        <v>0.145</v>
      </c>
      <c r="D164" s="3124" t="n">
        <f aca="false">дома!D328</f>
        <v>0.045</v>
      </c>
      <c r="E164" s="3124" t="n">
        <f aca="false">дома!E328</f>
        <v>0</v>
      </c>
      <c r="F164" s="3124" t="n">
        <f aca="false">дома!F328</f>
        <v>0</v>
      </c>
      <c r="G164" s="3124" t="n">
        <f aca="false">E164*F164*IF('Ввод данных'!$A$19=связи1!$A$150,1,0)</f>
        <v>0</v>
      </c>
      <c r="H164" s="3124" t="n">
        <f aca="false">дома!G301*IF('Ввод данных'!$A$19=связи1!$A$150,1,0)</f>
        <v>0</v>
      </c>
    </row>
    <row r="165" customFormat="false" ht="15" hidden="false" customHeight="false" outlineLevel="0" collapsed="false">
      <c r="A165" s="3122" t="str">
        <f aca="false">дома!A329</f>
        <v>Стойка каркаса по фронтону, односкатная кровля №17</v>
      </c>
      <c r="B165" s="3123" t="str">
        <f aca="false">дома!B329</f>
        <v>м.п.</v>
      </c>
      <c r="C165" s="3124" t="n">
        <f aca="false">дома!C329</f>
        <v>0.145</v>
      </c>
      <c r="D165" s="3124" t="n">
        <f aca="false">дома!D329</f>
        <v>0.045</v>
      </c>
      <c r="E165" s="3124" t="n">
        <f aca="false">дома!E329</f>
        <v>0</v>
      </c>
      <c r="F165" s="3124" t="n">
        <f aca="false">дома!F329</f>
        <v>0</v>
      </c>
      <c r="G165" s="3124" t="n">
        <f aca="false">E165*F165*IF('Ввод данных'!$A$19=связи1!$A$150,1,0)</f>
        <v>0</v>
      </c>
      <c r="H165" s="3124" t="n">
        <f aca="false">дома!G302*IF('Ввод данных'!$A$19=связи1!$A$150,1,0)</f>
        <v>0</v>
      </c>
    </row>
    <row r="166" customFormat="false" ht="15" hidden="false" customHeight="false" outlineLevel="0" collapsed="false">
      <c r="A166" s="3122" t="str">
        <f aca="false">дома!A330</f>
        <v>Стойка каркаса по фронтону, односкатная кровля №18</v>
      </c>
      <c r="B166" s="3123" t="str">
        <f aca="false">дома!B330</f>
        <v>м.п.</v>
      </c>
      <c r="C166" s="3124" t="n">
        <f aca="false">дома!C330</f>
        <v>0.145</v>
      </c>
      <c r="D166" s="3124" t="n">
        <f aca="false">дома!D330</f>
        <v>0.045</v>
      </c>
      <c r="E166" s="3124" t="n">
        <f aca="false">дома!E330</f>
        <v>0</v>
      </c>
      <c r="F166" s="3124" t="n">
        <f aca="false">дома!F330</f>
        <v>0</v>
      </c>
      <c r="G166" s="3124" t="n">
        <f aca="false">E166*F166*IF('Ввод данных'!$A$19=связи1!$A$150,1,0)</f>
        <v>0</v>
      </c>
      <c r="H166" s="3124" t="n">
        <f aca="false">дома!G303*IF('Ввод данных'!$A$19=связи1!$A$150,1,0)</f>
        <v>0</v>
      </c>
    </row>
    <row r="167" customFormat="false" ht="15" hidden="false" customHeight="false" outlineLevel="0" collapsed="false">
      <c r="A167" s="3122" t="str">
        <f aca="false">дома!A331</f>
        <v>Стойка каркаса по фронтону, односкатная кровля №19</v>
      </c>
      <c r="B167" s="3123" t="str">
        <f aca="false">дома!B331</f>
        <v>м.п.</v>
      </c>
      <c r="C167" s="3124" t="n">
        <f aca="false">дома!C331</f>
        <v>0.145</v>
      </c>
      <c r="D167" s="3124" t="n">
        <f aca="false">дома!D331</f>
        <v>0.045</v>
      </c>
      <c r="E167" s="3124" t="n">
        <f aca="false">дома!E331</f>
        <v>0</v>
      </c>
      <c r="F167" s="3124" t="n">
        <f aca="false">дома!F331</f>
        <v>0</v>
      </c>
      <c r="G167" s="3124" t="n">
        <f aca="false">E167*F167*IF('Ввод данных'!$A$19=связи1!$A$150,1,0)</f>
        <v>0</v>
      </c>
      <c r="H167" s="3124" t="n">
        <f aca="false">дома!G304*IF('Ввод данных'!$A$19=связи1!$A$150,1,0)</f>
        <v>0</v>
      </c>
    </row>
    <row r="168" customFormat="false" ht="15" hidden="false" customHeight="false" outlineLevel="0" collapsed="false">
      <c r="A168" s="3122" t="str">
        <f aca="false">дома!A332</f>
        <v>Стойка каркаса по фронтону, односкатная кровля №20</v>
      </c>
      <c r="B168" s="3123" t="str">
        <f aca="false">дома!B332</f>
        <v>м.п.</v>
      </c>
      <c r="C168" s="3124" t="n">
        <f aca="false">дома!C332</f>
        <v>0.145</v>
      </c>
      <c r="D168" s="3124" t="n">
        <f aca="false">дома!D332</f>
        <v>0.045</v>
      </c>
      <c r="E168" s="3124" t="n">
        <f aca="false">дома!E332</f>
        <v>0</v>
      </c>
      <c r="F168" s="3124" t="n">
        <f aca="false">дома!F332</f>
        <v>0</v>
      </c>
      <c r="G168" s="3124" t="n">
        <f aca="false">E168*F168*IF('Ввод данных'!$A$19=связи1!$A$150,1,0)</f>
        <v>0</v>
      </c>
      <c r="H168" s="3124" t="n">
        <f aca="false">дома!G305*IF('Ввод данных'!$A$19=связи1!$A$150,1,0)</f>
        <v>0</v>
      </c>
    </row>
    <row r="169" customFormat="false" ht="15" hidden="false" customHeight="false" outlineLevel="0" collapsed="false">
      <c r="A169" s="3122" t="str">
        <f aca="false">дома!A333</f>
        <v>Стойка каркаса по фронтону, односкатная кровля №21</v>
      </c>
      <c r="B169" s="3123" t="str">
        <f aca="false">дома!B333</f>
        <v>м.п.</v>
      </c>
      <c r="C169" s="3124" t="n">
        <f aca="false">дома!C333</f>
        <v>0.145</v>
      </c>
      <c r="D169" s="3124" t="n">
        <f aca="false">дома!D333</f>
        <v>0.045</v>
      </c>
      <c r="E169" s="3124" t="n">
        <f aca="false">дома!E333</f>
        <v>0</v>
      </c>
      <c r="F169" s="3124" t="n">
        <f aca="false">дома!F333</f>
        <v>0</v>
      </c>
      <c r="G169" s="3124" t="n">
        <f aca="false">E169*F169*IF('Ввод данных'!$A$19=связи1!$A$150,1,0)</f>
        <v>0</v>
      </c>
      <c r="H169" s="3124" t="n">
        <f aca="false">дома!G306*IF('Ввод данных'!$A$19=связи1!$A$150,1,0)</f>
        <v>0</v>
      </c>
    </row>
    <row r="170" customFormat="false" ht="15" hidden="false" customHeight="false" outlineLevel="0" collapsed="false">
      <c r="A170" s="3122" t="str">
        <f aca="false">дома!A334</f>
        <v>Стойка каркаса по фронтону, односкатная кровля №22</v>
      </c>
      <c r="B170" s="3123" t="str">
        <f aca="false">дома!B334</f>
        <v>м.п.</v>
      </c>
      <c r="C170" s="3124" t="n">
        <f aca="false">дома!C334</f>
        <v>0.145</v>
      </c>
      <c r="D170" s="3124" t="n">
        <f aca="false">дома!D334</f>
        <v>0.045</v>
      </c>
      <c r="E170" s="3124" t="n">
        <f aca="false">дома!E334</f>
        <v>0</v>
      </c>
      <c r="F170" s="3124" t="n">
        <f aca="false">дома!F334</f>
        <v>0</v>
      </c>
      <c r="G170" s="3124" t="n">
        <f aca="false">E170*F170*IF('Ввод данных'!$A$19=связи1!$A$150,1,0)</f>
        <v>0</v>
      </c>
      <c r="H170" s="3124" t="n">
        <f aca="false">дома!G307*IF('Ввод данных'!$A$19=связи1!$A$150,1,0)</f>
        <v>0</v>
      </c>
    </row>
    <row r="171" customFormat="false" ht="15" hidden="false" customHeight="false" outlineLevel="0" collapsed="false">
      <c r="A171" s="3122" t="str">
        <f aca="false">дома!A335</f>
        <v>Стойка каркаса по фронтону, односкатная кровля №23</v>
      </c>
      <c r="B171" s="3123" t="str">
        <f aca="false">дома!B335</f>
        <v>м.п.</v>
      </c>
      <c r="C171" s="3124" t="n">
        <f aca="false">дома!C335</f>
        <v>0.145</v>
      </c>
      <c r="D171" s="3124" t="n">
        <f aca="false">дома!D335</f>
        <v>0.045</v>
      </c>
      <c r="E171" s="3124" t="n">
        <f aca="false">дома!E335</f>
        <v>0</v>
      </c>
      <c r="F171" s="3124" t="n">
        <f aca="false">дома!F335</f>
        <v>0</v>
      </c>
      <c r="G171" s="3124" t="n">
        <f aca="false">E171*F171*IF('Ввод данных'!$A$19=связи1!$A$150,1,0)</f>
        <v>0</v>
      </c>
      <c r="H171" s="3124" t="n">
        <f aca="false">дома!G308*IF('Ввод данных'!$A$19=связи1!$A$150,1,0)</f>
        <v>0</v>
      </c>
    </row>
    <row r="172" customFormat="false" ht="15" hidden="false" customHeight="false" outlineLevel="0" collapsed="false">
      <c r="A172" s="3122" t="str">
        <f aca="false">дома!A336</f>
        <v>Стойка каркаса по фронтону, односкатная кровля №24</v>
      </c>
      <c r="B172" s="3123" t="str">
        <f aca="false">дома!B336</f>
        <v>м.п.</v>
      </c>
      <c r="C172" s="3124" t="n">
        <f aca="false">дома!C336</f>
        <v>0.145</v>
      </c>
      <c r="D172" s="3124" t="n">
        <f aca="false">дома!D336</f>
        <v>0.045</v>
      </c>
      <c r="E172" s="3124" t="n">
        <f aca="false">дома!E336</f>
        <v>0</v>
      </c>
      <c r="F172" s="3124" t="n">
        <f aca="false">дома!F336</f>
        <v>0</v>
      </c>
      <c r="G172" s="3124" t="n">
        <f aca="false">E172*F172*IF('Ввод данных'!$A$19=связи1!$A$150,1,0)</f>
        <v>0</v>
      </c>
      <c r="H172" s="3124" t="n">
        <f aca="false">дома!G309*IF('Ввод данных'!$A$19=связи1!$A$150,1,0)</f>
        <v>0</v>
      </c>
    </row>
    <row r="173" customFormat="false" ht="15" hidden="false" customHeight="false" outlineLevel="0" collapsed="false">
      <c r="A173" s="3122" t="str">
        <f aca="false">дома!A337</f>
        <v>Стойка каркаса по фронтону, односкатная кровля №25</v>
      </c>
      <c r="B173" s="3123" t="str">
        <f aca="false">дома!B337</f>
        <v>м.п.</v>
      </c>
      <c r="C173" s="3124" t="n">
        <f aca="false">дома!C337</f>
        <v>0.145</v>
      </c>
      <c r="D173" s="3124" t="n">
        <f aca="false">дома!D337</f>
        <v>0.045</v>
      </c>
      <c r="E173" s="3124" t="n">
        <f aca="false">дома!E337</f>
        <v>0</v>
      </c>
      <c r="F173" s="3124" t="n">
        <f aca="false">дома!F337</f>
        <v>0</v>
      </c>
      <c r="G173" s="3124" t="n">
        <f aca="false">E173*F173*IF('Ввод данных'!$A$19=связи1!$A$150,1,0)</f>
        <v>0</v>
      </c>
      <c r="H173" s="3124" t="n">
        <f aca="false">дома!G310*IF('Ввод данных'!$A$19=связи1!$A$150,1,0)</f>
        <v>0</v>
      </c>
    </row>
    <row r="174" customFormat="false" ht="15" hidden="false" customHeight="false" outlineLevel="0" collapsed="false">
      <c r="A174" s="3122" t="str">
        <f aca="false">дома!A338</f>
        <v>Стойка каркаса по фронтону, односкатная кровля №26</v>
      </c>
      <c r="B174" s="3123" t="str">
        <f aca="false">дома!B338</f>
        <v>м.п.</v>
      </c>
      <c r="C174" s="3124" t="n">
        <f aca="false">дома!C338</f>
        <v>0.145</v>
      </c>
      <c r="D174" s="3124" t="n">
        <f aca="false">дома!D338</f>
        <v>0.045</v>
      </c>
      <c r="E174" s="3124" t="n">
        <f aca="false">дома!E338</f>
        <v>0</v>
      </c>
      <c r="F174" s="3124" t="n">
        <f aca="false">дома!F338</f>
        <v>0</v>
      </c>
      <c r="G174" s="3124" t="n">
        <f aca="false">E174*F174*IF('Ввод данных'!$A$19=связи1!$A$150,1,0)</f>
        <v>0</v>
      </c>
      <c r="H174" s="3124" t="n">
        <f aca="false">дома!G311*IF('Ввод данных'!$A$19=связи1!$A$150,1,0)</f>
        <v>0</v>
      </c>
    </row>
    <row r="175" customFormat="false" ht="15" hidden="false" customHeight="false" outlineLevel="0" collapsed="false">
      <c r="A175" s="3122" t="str">
        <f aca="false">дома!A339</f>
        <v>Стойка каркаса по фронтону, односкатная кровля №27</v>
      </c>
      <c r="B175" s="3123" t="str">
        <f aca="false">дома!B339</f>
        <v>м.п.</v>
      </c>
      <c r="C175" s="3124" t="n">
        <f aca="false">дома!C339</f>
        <v>0.145</v>
      </c>
      <c r="D175" s="3124" t="n">
        <f aca="false">дома!D339</f>
        <v>0.045</v>
      </c>
      <c r="E175" s="3124" t="n">
        <f aca="false">дома!E339</f>
        <v>0</v>
      </c>
      <c r="F175" s="3124" t="n">
        <f aca="false">дома!F339</f>
        <v>0</v>
      </c>
      <c r="G175" s="3124" t="n">
        <f aca="false">E175*F175*IF('Ввод данных'!$A$19=связи1!$A$150,1,0)</f>
        <v>0</v>
      </c>
      <c r="H175" s="3124" t="n">
        <f aca="false">дома!G312*IF('Ввод данных'!$A$19=связи1!$A$150,1,0)</f>
        <v>0</v>
      </c>
    </row>
    <row r="176" customFormat="false" ht="15" hidden="false" customHeight="false" outlineLevel="0" collapsed="false">
      <c r="A176" s="3122" t="str">
        <f aca="false">дома!A340</f>
        <v>Стойка каркаса по фронтону, односкатная кровля №28</v>
      </c>
      <c r="B176" s="3123" t="str">
        <f aca="false">дома!B340</f>
        <v>м.п.</v>
      </c>
      <c r="C176" s="3124" t="n">
        <f aca="false">дома!C340</f>
        <v>0.145</v>
      </c>
      <c r="D176" s="3124" t="n">
        <f aca="false">дома!D340</f>
        <v>0.045</v>
      </c>
      <c r="E176" s="3124" t="n">
        <f aca="false">дома!E340</f>
        <v>0</v>
      </c>
      <c r="F176" s="3124" t="n">
        <f aca="false">дома!F340</f>
        <v>0</v>
      </c>
      <c r="G176" s="3124" t="n">
        <f aca="false">E176*F176*IF('Ввод данных'!$A$19=связи1!$A$150,1,0)</f>
        <v>0</v>
      </c>
      <c r="H176" s="3124" t="n">
        <f aca="false">дома!G313*IF('Ввод данных'!$A$19=связи1!$A$150,1,0)</f>
        <v>0</v>
      </c>
    </row>
    <row r="177" customFormat="false" ht="15" hidden="false" customHeight="false" outlineLevel="0" collapsed="false">
      <c r="A177" s="3122" t="str">
        <f aca="false">дома!A341</f>
        <v>Стойка каркаса по фронтону, односкатная кровля №29</v>
      </c>
      <c r="B177" s="3123" t="str">
        <f aca="false">дома!B341</f>
        <v>м.п.</v>
      </c>
      <c r="C177" s="3124" t="n">
        <f aca="false">дома!C341</f>
        <v>0.145</v>
      </c>
      <c r="D177" s="3124" t="n">
        <f aca="false">дома!D341</f>
        <v>0.045</v>
      </c>
      <c r="E177" s="3124" t="n">
        <f aca="false">дома!E341</f>
        <v>0</v>
      </c>
      <c r="F177" s="3124" t="n">
        <f aca="false">дома!F341</f>
        <v>0</v>
      </c>
      <c r="G177" s="3124" t="n">
        <f aca="false">E177*F177*IF('Ввод данных'!$A$19=связи1!$A$150,1,0)</f>
        <v>0</v>
      </c>
      <c r="H177" s="3124" t="n">
        <f aca="false">дома!G314*IF('Ввод данных'!$A$19=связи1!$A$150,1,0)</f>
        <v>0</v>
      </c>
    </row>
    <row r="178" customFormat="false" ht="15" hidden="false" customHeight="false" outlineLevel="0" collapsed="false">
      <c r="A178" s="3122" t="str">
        <f aca="false">дома!A342</f>
        <v>Стойка каркаса по фронтону, односкатная кровля №30</v>
      </c>
      <c r="B178" s="3123" t="str">
        <f aca="false">дома!B342</f>
        <v>м.п.</v>
      </c>
      <c r="C178" s="3124" t="n">
        <f aca="false">дома!C342</f>
        <v>0.145</v>
      </c>
      <c r="D178" s="3124" t="n">
        <f aca="false">дома!D342</f>
        <v>0.045</v>
      </c>
      <c r="E178" s="3124" t="n">
        <f aca="false">дома!E342</f>
        <v>0</v>
      </c>
      <c r="F178" s="3124" t="n">
        <f aca="false">дома!F342</f>
        <v>0</v>
      </c>
      <c r="G178" s="3124" t="n">
        <f aca="false">E178*F178*IF('Ввод данных'!$A$19=связи1!$A$150,1,0)</f>
        <v>0</v>
      </c>
      <c r="H178" s="3124" t="n">
        <f aca="false">дома!G315*IF('Ввод данных'!$A$19=связи1!$A$150,1,0)</f>
        <v>0</v>
      </c>
    </row>
    <row r="179" customFormat="false" ht="15" hidden="false" customHeight="false" outlineLevel="0" collapsed="false">
      <c r="A179" s="3122" t="str">
        <f aca="false">дома!A343</f>
        <v>Стойка каркаса по фронтону, односкатная кровля №31</v>
      </c>
      <c r="B179" s="3123" t="str">
        <f aca="false">дома!B343</f>
        <v>м.п.</v>
      </c>
      <c r="C179" s="3124" t="n">
        <f aca="false">дома!C343</f>
        <v>0.145</v>
      </c>
      <c r="D179" s="3124" t="n">
        <f aca="false">дома!D343</f>
        <v>0.045</v>
      </c>
      <c r="E179" s="3124" t="n">
        <f aca="false">дома!E343</f>
        <v>0</v>
      </c>
      <c r="F179" s="3124" t="n">
        <f aca="false">дома!F343</f>
        <v>0</v>
      </c>
      <c r="G179" s="3124" t="n">
        <f aca="false">E179*F179*IF('Ввод данных'!$A$19=связи1!$A$150,1,0)</f>
        <v>0</v>
      </c>
      <c r="H179" s="3124" t="n">
        <f aca="false">дома!G316*IF('Ввод данных'!$A$19=связи1!$A$150,1,0)</f>
        <v>0</v>
      </c>
    </row>
    <row r="180" customFormat="false" ht="15" hidden="false" customHeight="false" outlineLevel="0" collapsed="false">
      <c r="A180" s="3122" t="str">
        <f aca="false">дома!A344</f>
        <v>Стойка каркаса по фронтону, односкатная кровля №32</v>
      </c>
      <c r="B180" s="3123" t="str">
        <f aca="false">дома!B344</f>
        <v>м.п.</v>
      </c>
      <c r="C180" s="3124" t="n">
        <f aca="false">дома!C344</f>
        <v>0.145</v>
      </c>
      <c r="D180" s="3124" t="n">
        <f aca="false">дома!D344</f>
        <v>0.045</v>
      </c>
      <c r="E180" s="3124" t="n">
        <f aca="false">дома!E344</f>
        <v>0</v>
      </c>
      <c r="F180" s="3124" t="n">
        <f aca="false">дома!F344</f>
        <v>0</v>
      </c>
      <c r="G180" s="3124" t="n">
        <f aca="false">E180*F180*IF('Ввод данных'!$A$19=связи1!$A$150,1,0)</f>
        <v>0</v>
      </c>
      <c r="H180" s="3124" t="n">
        <f aca="false">дома!G317*IF('Ввод данных'!$A$19=связи1!$A$150,1,0)</f>
        <v>0</v>
      </c>
    </row>
    <row r="181" customFormat="false" ht="15" hidden="false" customHeight="false" outlineLevel="0" collapsed="false">
      <c r="A181" s="3122" t="str">
        <f aca="false">дома!A345</f>
        <v>Стойка каркаса по фронтону, односкатная кровля №33</v>
      </c>
      <c r="B181" s="3123" t="str">
        <f aca="false">дома!B345</f>
        <v>м.п.</v>
      </c>
      <c r="C181" s="3124" t="n">
        <f aca="false">дома!C345</f>
        <v>0.145</v>
      </c>
      <c r="D181" s="3124" t="n">
        <f aca="false">дома!D345</f>
        <v>0.045</v>
      </c>
      <c r="E181" s="3124" t="n">
        <f aca="false">дома!E345</f>
        <v>0</v>
      </c>
      <c r="F181" s="3124" t="n">
        <f aca="false">дома!F345</f>
        <v>0</v>
      </c>
      <c r="G181" s="3124" t="n">
        <f aca="false">E181*F181*IF('Ввод данных'!$A$19=связи1!$A$150,1,0)</f>
        <v>0</v>
      </c>
      <c r="H181" s="3124" t="n">
        <f aca="false">дома!G318*IF('Ввод данных'!$A$19=связи1!$A$150,1,0)</f>
        <v>0</v>
      </c>
    </row>
    <row r="182" customFormat="false" ht="15" hidden="false" customHeight="false" outlineLevel="0" collapsed="false">
      <c r="A182" s="3122" t="str">
        <f aca="false">дома!A346</f>
        <v>Стойка каркаса по фронтону, односкатная кровля №34</v>
      </c>
      <c r="B182" s="3123" t="str">
        <f aca="false">дома!B346</f>
        <v>м.п.</v>
      </c>
      <c r="C182" s="3124" t="n">
        <f aca="false">дома!C346</f>
        <v>0.145</v>
      </c>
      <c r="D182" s="3124" t="n">
        <f aca="false">дома!D346</f>
        <v>0.045</v>
      </c>
      <c r="E182" s="3124" t="n">
        <f aca="false">дома!E346</f>
        <v>0</v>
      </c>
      <c r="F182" s="3124" t="n">
        <f aca="false">дома!F346</f>
        <v>0</v>
      </c>
      <c r="G182" s="3124" t="n">
        <f aca="false">E182*F182*IF('Ввод данных'!$A$19=связи1!$A$150,1,0)</f>
        <v>0</v>
      </c>
      <c r="H182" s="3124" t="n">
        <f aca="false">дома!G319*IF('Ввод данных'!$A$19=связи1!$A$150,1,0)</f>
        <v>0</v>
      </c>
    </row>
    <row r="183" customFormat="false" ht="15" hidden="false" customHeight="false" outlineLevel="0" collapsed="false">
      <c r="A183" s="3122" t="str">
        <f aca="false">дома!A347</f>
        <v>Стойка каркаса по фронтону, односкатная кровля №35</v>
      </c>
      <c r="B183" s="3123" t="str">
        <f aca="false">дома!B347</f>
        <v>м.п.</v>
      </c>
      <c r="C183" s="3124" t="n">
        <f aca="false">дома!C347</f>
        <v>0.145</v>
      </c>
      <c r="D183" s="3124" t="n">
        <f aca="false">дома!D347</f>
        <v>0.045</v>
      </c>
      <c r="E183" s="3124" t="n">
        <f aca="false">дома!E347</f>
        <v>0</v>
      </c>
      <c r="F183" s="3124" t="n">
        <f aca="false">дома!F347</f>
        <v>0</v>
      </c>
      <c r="G183" s="3124" t="n">
        <f aca="false">E183*F183*IF('Ввод данных'!$A$19=связи1!$A$150,1,0)</f>
        <v>0</v>
      </c>
      <c r="H183" s="3124" t="n">
        <f aca="false">дома!G320*IF('Ввод данных'!$A$19=связи1!$A$150,1,0)</f>
        <v>0</v>
      </c>
    </row>
    <row r="184" customFormat="false" ht="15" hidden="false" customHeight="false" outlineLevel="0" collapsed="false">
      <c r="A184" s="3122" t="str">
        <f aca="false">дома!A348</f>
        <v>Стойка каркаса по фронтону, односкатная кровля №36</v>
      </c>
      <c r="B184" s="3123" t="str">
        <f aca="false">дома!B348</f>
        <v>м.п.</v>
      </c>
      <c r="C184" s="3124" t="n">
        <f aca="false">дома!C348</f>
        <v>0.145</v>
      </c>
      <c r="D184" s="3124" t="n">
        <f aca="false">дома!D348</f>
        <v>0.045</v>
      </c>
      <c r="E184" s="3124" t="n">
        <f aca="false">дома!E348</f>
        <v>0</v>
      </c>
      <c r="F184" s="3124" t="n">
        <f aca="false">дома!F348</f>
        <v>0</v>
      </c>
      <c r="G184" s="3124" t="n">
        <f aca="false">E184*F184*IF('Ввод данных'!$A$19=связи1!$A$150,1,0)</f>
        <v>0</v>
      </c>
      <c r="H184" s="3124" t="n">
        <f aca="false">дома!G321*IF('Ввод данных'!$A$19=связи1!$A$150,1,0)</f>
        <v>0</v>
      </c>
    </row>
    <row r="185" customFormat="false" ht="15" hidden="false" customHeight="false" outlineLevel="0" collapsed="false">
      <c r="A185" s="3122" t="str">
        <f aca="false">дома!A349</f>
        <v>Стойка каркаса по фронтону, односкатная кровля №37</v>
      </c>
      <c r="B185" s="3123" t="str">
        <f aca="false">дома!B349</f>
        <v>м.п.</v>
      </c>
      <c r="C185" s="3124" t="n">
        <f aca="false">дома!C349</f>
        <v>0.145</v>
      </c>
      <c r="D185" s="3124" t="n">
        <f aca="false">дома!D349</f>
        <v>0.045</v>
      </c>
      <c r="E185" s="3124" t="n">
        <f aca="false">дома!E349</f>
        <v>0</v>
      </c>
      <c r="F185" s="3124" t="n">
        <f aca="false">дома!F349</f>
        <v>0</v>
      </c>
      <c r="G185" s="3124" t="n">
        <f aca="false">E185*F185*IF('Ввод данных'!$A$19=связи1!$A$150,1,0)</f>
        <v>0</v>
      </c>
      <c r="H185" s="3124" t="n">
        <f aca="false">дома!G322*IF('Ввод данных'!$A$19=связи1!$A$150,1,0)</f>
        <v>0</v>
      </c>
    </row>
    <row r="186" customFormat="false" ht="15" hidden="false" customHeight="false" outlineLevel="0" collapsed="false">
      <c r="A186" s="3122" t="str">
        <f aca="false">дома!A350</f>
        <v>Стойка каркаса по фронтону, односкатная кровля №38</v>
      </c>
      <c r="B186" s="3123" t="str">
        <f aca="false">дома!B350</f>
        <v>м.п.</v>
      </c>
      <c r="C186" s="3124" t="n">
        <f aca="false">дома!C350</f>
        <v>0.145</v>
      </c>
      <c r="D186" s="3124" t="n">
        <f aca="false">дома!D350</f>
        <v>0.045</v>
      </c>
      <c r="E186" s="3124" t="n">
        <f aca="false">дома!E350</f>
        <v>0</v>
      </c>
      <c r="F186" s="3124" t="n">
        <f aca="false">дома!F350</f>
        <v>0</v>
      </c>
      <c r="G186" s="3124" t="n">
        <f aca="false">E186*F186*IF('Ввод данных'!$A$19=связи1!$A$150,1,0)</f>
        <v>0</v>
      </c>
      <c r="H186" s="3124" t="n">
        <f aca="false">дома!G323*IF('Ввод данных'!$A$19=связи1!$A$150,1,0)</f>
        <v>0</v>
      </c>
    </row>
    <row r="187" customFormat="false" ht="15" hidden="false" customHeight="false" outlineLevel="0" collapsed="false">
      <c r="A187" s="3122" t="str">
        <f aca="false">дома!A351</f>
        <v>Стойка каркаса по фронтону, односкатная кровля №39</v>
      </c>
      <c r="B187" s="3123" t="str">
        <f aca="false">дома!B351</f>
        <v>м.п.</v>
      </c>
      <c r="C187" s="3124" t="n">
        <f aca="false">дома!C351</f>
        <v>0.145</v>
      </c>
      <c r="D187" s="3124" t="n">
        <f aca="false">дома!D351</f>
        <v>0.045</v>
      </c>
      <c r="E187" s="3124" t="n">
        <f aca="false">дома!E351</f>
        <v>0</v>
      </c>
      <c r="F187" s="3124" t="n">
        <f aca="false">дома!F351</f>
        <v>0</v>
      </c>
      <c r="G187" s="3124" t="n">
        <f aca="false">E187*F187*IF('Ввод данных'!$A$19=связи1!$A$150,1,0)</f>
        <v>0</v>
      </c>
      <c r="H187" s="3124" t="n">
        <f aca="false">дома!G324*IF('Ввод данных'!$A$19=связи1!$A$150,1,0)</f>
        <v>0</v>
      </c>
    </row>
    <row r="188" customFormat="false" ht="15" hidden="false" customHeight="false" outlineLevel="0" collapsed="false">
      <c r="A188" s="3122" t="str">
        <f aca="false">дома!A352</f>
        <v>Стойка каркаса по фронтону, односкатная кровля №40</v>
      </c>
      <c r="B188" s="3123" t="str">
        <f aca="false">дома!B352</f>
        <v>м.п.</v>
      </c>
      <c r="C188" s="3124" t="n">
        <f aca="false">дома!C352</f>
        <v>0.145</v>
      </c>
      <c r="D188" s="3124" t="n">
        <f aca="false">дома!D352</f>
        <v>0.045</v>
      </c>
      <c r="E188" s="3124" t="n">
        <f aca="false">дома!E352</f>
        <v>0</v>
      </c>
      <c r="F188" s="3124" t="n">
        <f aca="false">дома!F352</f>
        <v>0</v>
      </c>
      <c r="G188" s="3124" t="n">
        <f aca="false">E188*F188*IF('Ввод данных'!$A$19=связи1!$A$150,1,0)</f>
        <v>0</v>
      </c>
      <c r="H188" s="3124" t="n">
        <f aca="false">дома!G325*IF('Ввод данных'!$A$19=связи1!$A$150,1,0)</f>
        <v>0</v>
      </c>
    </row>
    <row r="189" customFormat="false" ht="15" hidden="false" customHeight="false" outlineLevel="0" collapsed="false">
      <c r="A189" s="3122" t="str">
        <f aca="false">дома!A353</f>
        <v>Стойка каркаса по фронтону, односкатная кровля №41</v>
      </c>
      <c r="B189" s="3123" t="str">
        <f aca="false">дома!B353</f>
        <v>м.п.</v>
      </c>
      <c r="C189" s="3124" t="n">
        <f aca="false">дома!C353</f>
        <v>0.145</v>
      </c>
      <c r="D189" s="3124" t="n">
        <f aca="false">дома!D353</f>
        <v>0.045</v>
      </c>
      <c r="E189" s="3124" t="n">
        <f aca="false">дома!E353</f>
        <v>0</v>
      </c>
      <c r="F189" s="3124" t="n">
        <f aca="false">дома!F353</f>
        <v>0</v>
      </c>
      <c r="G189" s="3124" t="n">
        <f aca="false">E189*F189*IF('Ввод данных'!$A$19=связи1!$A$150,1,0)</f>
        <v>0</v>
      </c>
      <c r="H189" s="3124" t="n">
        <f aca="false">дома!G326*IF('Ввод данных'!$A$19=связи1!$A$150,1,0)</f>
        <v>0</v>
      </c>
    </row>
    <row r="190" customFormat="false" ht="15" hidden="false" customHeight="false" outlineLevel="0" collapsed="false">
      <c r="A190" s="3122" t="str">
        <f aca="false">дома!A354</f>
        <v>Стойки для окон вертикальные</v>
      </c>
      <c r="B190" s="3123" t="str">
        <f aca="false">дома!B354</f>
        <v>м.п.</v>
      </c>
      <c r="C190" s="3124" t="n">
        <f aca="false">дома!C354</f>
        <v>0.145</v>
      </c>
      <c r="D190" s="3124" t="n">
        <f aca="false">дома!D354</f>
        <v>0.045</v>
      </c>
      <c r="E190" s="3124" t="n">
        <f aca="false">дома!E354</f>
        <v>2.8</v>
      </c>
      <c r="F190" s="3124" t="n">
        <f aca="false">дома!F354</f>
        <v>0</v>
      </c>
      <c r="G190" s="3124" t="n">
        <f aca="false">E190*F190*IF('Ввод данных'!$A$19=связи1!$A$150,1,0)</f>
        <v>0</v>
      </c>
      <c r="H190" s="3124" t="n">
        <f aca="false">дома!G327*IF('Ввод данных'!$A$19=связи1!$A$150,1,0)</f>
        <v>0</v>
      </c>
    </row>
    <row r="191" customFormat="false" ht="15" hidden="false" customHeight="false" outlineLevel="0" collapsed="false">
      <c r="A191" s="3122" t="str">
        <f aca="false">дома!A355</f>
        <v>Перекладины для окон горизонтальные, 1</v>
      </c>
      <c r="B191" s="3123" t="str">
        <f aca="false">дома!B355</f>
        <v>м.п.</v>
      </c>
      <c r="C191" s="3124" t="n">
        <f aca="false">дома!C355</f>
        <v>0.145</v>
      </c>
      <c r="D191" s="3124" t="n">
        <f aca="false">дома!D355</f>
        <v>0.045</v>
      </c>
      <c r="E191" s="3124" t="n">
        <f aca="false">дома!E355</f>
        <v>1</v>
      </c>
      <c r="F191" s="3124" t="n">
        <f aca="false">дома!F355</f>
        <v>0</v>
      </c>
      <c r="G191" s="3124" t="n">
        <f aca="false">E191*F191*IF('Ввод данных'!$A$19=связи1!$A$150,1,0)</f>
        <v>0</v>
      </c>
      <c r="H191" s="3124" t="n">
        <f aca="false">дома!G328*IF('Ввод данных'!$A$19=связи1!$A$150,1,0)</f>
        <v>0</v>
      </c>
    </row>
    <row r="192" customFormat="false" ht="15" hidden="false" customHeight="false" outlineLevel="0" collapsed="false">
      <c r="A192" s="3122" t="str">
        <f aca="false">дома!A356</f>
        <v>Перекладины для окон горизонтальные, 2</v>
      </c>
      <c r="B192" s="3123" t="str">
        <f aca="false">дома!B356</f>
        <v>м.п.</v>
      </c>
      <c r="C192" s="3124" t="n">
        <f aca="false">дома!C356</f>
        <v>0.145</v>
      </c>
      <c r="D192" s="3124" t="n">
        <f aca="false">дома!D356</f>
        <v>0.045</v>
      </c>
      <c r="E192" s="3124" t="n">
        <f aca="false">дома!E356</f>
        <v>0</v>
      </c>
      <c r="F192" s="3124" t="n">
        <f aca="false">дома!F356</f>
        <v>0</v>
      </c>
      <c r="G192" s="3124" t="n">
        <f aca="false">E192*F192*IF('Ввод данных'!$A$19=связи1!$A$150,1,0)</f>
        <v>0</v>
      </c>
      <c r="H192" s="3124" t="n">
        <f aca="false">дома!G329*IF('Ввод данных'!$A$19=связи1!$A$150,1,0)</f>
        <v>0</v>
      </c>
    </row>
    <row r="193" customFormat="false" ht="15" hidden="false" customHeight="false" outlineLevel="0" collapsed="false">
      <c r="A193" s="3122" t="str">
        <f aca="false">дома!A357</f>
        <v>Перекладины для окон горизонтальные, 3</v>
      </c>
      <c r="B193" s="3123" t="str">
        <f aca="false">дома!B357</f>
        <v>м.п.</v>
      </c>
      <c r="C193" s="3124" t="n">
        <f aca="false">дома!C357</f>
        <v>0.145</v>
      </c>
      <c r="D193" s="3124" t="n">
        <f aca="false">дома!D357</f>
        <v>0.045</v>
      </c>
      <c r="E193" s="3124" t="n">
        <f aca="false">дома!E357</f>
        <v>0</v>
      </c>
      <c r="F193" s="3124" t="n">
        <f aca="false">дома!F357</f>
        <v>0</v>
      </c>
      <c r="G193" s="3124" t="n">
        <f aca="false">E193*F193*IF('Ввод данных'!$A$19=связи1!$A$150,1,0)</f>
        <v>0</v>
      </c>
      <c r="H193" s="3124" t="n">
        <f aca="false">дома!G330*IF('Ввод данных'!$A$19=связи1!$A$150,1,0)</f>
        <v>0</v>
      </c>
    </row>
    <row r="194" customFormat="false" ht="15" hidden="false" customHeight="false" outlineLevel="0" collapsed="false">
      <c r="A194" s="3122" t="str">
        <f aca="false">дома!A358</f>
        <v>Перекладины для окон горизонтальные, 4</v>
      </c>
      <c r="B194" s="3123" t="str">
        <f aca="false">дома!B358</f>
        <v>м.п.</v>
      </c>
      <c r="C194" s="3124" t="n">
        <f aca="false">дома!C358</f>
        <v>0.145</v>
      </c>
      <c r="D194" s="3124" t="n">
        <f aca="false">дома!D358</f>
        <v>0.045</v>
      </c>
      <c r="E194" s="3124" t="n">
        <f aca="false">дома!E358</f>
        <v>0.6</v>
      </c>
      <c r="F194" s="3124" t="n">
        <f aca="false">дома!F358</f>
        <v>0</v>
      </c>
      <c r="G194" s="3124" t="n">
        <f aca="false">E194*F194*IF('Ввод данных'!$A$19=связи1!$A$150,1,0)</f>
        <v>0</v>
      </c>
      <c r="H194" s="3124" t="n">
        <f aca="false">дома!G331*IF('Ввод данных'!$A$19=связи1!$A$150,1,0)</f>
        <v>0</v>
      </c>
    </row>
    <row r="195" customFormat="false" ht="15" hidden="false" customHeight="false" outlineLevel="0" collapsed="false">
      <c r="A195" s="3122" t="str">
        <f aca="false">дома!A359</f>
        <v>Перекладины для окон горизонтальные, 5</v>
      </c>
      <c r="B195" s="3123" t="str">
        <f aca="false">дома!B359</f>
        <v>м.п.</v>
      </c>
      <c r="C195" s="3124" t="n">
        <f aca="false">дома!C359</f>
        <v>0.145</v>
      </c>
      <c r="D195" s="3124" t="n">
        <f aca="false">дома!D359</f>
        <v>0.045</v>
      </c>
      <c r="E195" s="3124" t="n">
        <f aca="false">дома!E359</f>
        <v>1</v>
      </c>
      <c r="F195" s="3124" t="n">
        <f aca="false">дома!F359</f>
        <v>0</v>
      </c>
      <c r="G195" s="3124" t="n">
        <f aca="false">E195*F195*IF('Ввод данных'!$A$19=связи1!$A$150,1,0)</f>
        <v>0</v>
      </c>
      <c r="H195" s="3124" t="n">
        <f aca="false">дома!G332*IF('Ввод данных'!$A$19=связи1!$A$150,1,0)</f>
        <v>0</v>
      </c>
    </row>
    <row r="196" customFormat="false" ht="15" hidden="false" customHeight="false" outlineLevel="0" collapsed="false">
      <c r="A196" s="3122" t="str">
        <f aca="false">дома!A360</f>
        <v>Стойки для входных дверей вертикальные</v>
      </c>
      <c r="B196" s="3123" t="str">
        <f aca="false">дома!B360</f>
        <v>м.п.</v>
      </c>
      <c r="C196" s="3124" t="n">
        <f aca="false">дома!C360</f>
        <v>0.145</v>
      </c>
      <c r="D196" s="3124" t="n">
        <f aca="false">дома!D360</f>
        <v>0.045</v>
      </c>
      <c r="E196" s="3124" t="n">
        <f aca="false">дома!E360</f>
        <v>2.8</v>
      </c>
      <c r="F196" s="3124" t="n">
        <f aca="false">дома!F360</f>
        <v>0</v>
      </c>
      <c r="G196" s="3124" t="n">
        <f aca="false">E196*F196*IF('Ввод данных'!$A$19=связи1!$A$150,1,0)</f>
        <v>0</v>
      </c>
      <c r="H196" s="3124" t="n">
        <f aca="false">дома!G333*IF('Ввод данных'!$A$19=связи1!$A$150,1,0)</f>
        <v>0</v>
      </c>
    </row>
    <row r="197" customFormat="false" ht="15" hidden="false" customHeight="false" outlineLevel="0" collapsed="false">
      <c r="A197" s="3122" t="str">
        <f aca="false">дома!A361</f>
        <v>Перекладины для входных дверей горизонтальные,1</v>
      </c>
      <c r="B197" s="3123" t="str">
        <f aca="false">дома!B361</f>
        <v>м.п.</v>
      </c>
      <c r="C197" s="3124" t="n">
        <f aca="false">дома!C361</f>
        <v>0.145</v>
      </c>
      <c r="D197" s="3124" t="n">
        <f aca="false">дома!D361</f>
        <v>0.045</v>
      </c>
      <c r="E197" s="3124" t="n">
        <f aca="false">дома!E361</f>
        <v>0.8</v>
      </c>
      <c r="F197" s="3124" t="n">
        <f aca="false">дома!F361</f>
        <v>0</v>
      </c>
      <c r="G197" s="3124" t="n">
        <f aca="false">E197*F197*IF('Ввод данных'!$A$19=связи1!$A$150,1,0)</f>
        <v>0</v>
      </c>
      <c r="H197" s="3124" t="n">
        <f aca="false">дома!G334*IF('Ввод данных'!$A$19=связи1!$A$150,1,0)</f>
        <v>0</v>
      </c>
    </row>
    <row r="198" customFormat="false" ht="15" hidden="false" customHeight="false" outlineLevel="0" collapsed="false">
      <c r="A198" s="3122" t="str">
        <f aca="false">дома!A362</f>
        <v>Перекладины для входных дверей горизонтальные,2</v>
      </c>
      <c r="B198" s="3123" t="str">
        <f aca="false">дома!B362</f>
        <v>м.п.</v>
      </c>
      <c r="C198" s="3124" t="n">
        <f aca="false">дома!C362</f>
        <v>0.145</v>
      </c>
      <c r="D198" s="3124" t="n">
        <f aca="false">дома!D362</f>
        <v>0.045</v>
      </c>
      <c r="E198" s="3124" t="n">
        <f aca="false">дома!E362</f>
        <v>0</v>
      </c>
      <c r="F198" s="3124" t="n">
        <f aca="false">дома!F362</f>
        <v>0</v>
      </c>
      <c r="G198" s="3124" t="n">
        <f aca="false">E198*F198*IF('Ввод данных'!$A$19=связи1!$A$150,1,0)</f>
        <v>0</v>
      </c>
      <c r="H198" s="3124" t="n">
        <f aca="false">дома!G335*IF('Ввод данных'!$A$19=связи1!$A$150,1,0)</f>
        <v>0</v>
      </c>
    </row>
    <row r="199" customFormat="false" ht="15" hidden="false" customHeight="false" outlineLevel="0" collapsed="false">
      <c r="A199" s="3122" t="str">
        <f aca="false">дома!A363</f>
        <v>Перекладины для входных дверей горизонтальные,3</v>
      </c>
      <c r="B199" s="3123" t="str">
        <f aca="false">дома!B363</f>
        <v>м.п.</v>
      </c>
      <c r="C199" s="3124" t="n">
        <f aca="false">дома!C363</f>
        <v>0.145</v>
      </c>
      <c r="D199" s="3124" t="n">
        <f aca="false">дома!D363</f>
        <v>0.045</v>
      </c>
      <c r="E199" s="3124" t="n">
        <f aca="false">дома!E363</f>
        <v>0</v>
      </c>
      <c r="F199" s="3124" t="n">
        <f aca="false">дома!F363</f>
        <v>0</v>
      </c>
      <c r="G199" s="3124" t="n">
        <f aca="false">E199*F199*IF('Ввод данных'!$A$19=связи1!$A$150,1,0)</f>
        <v>0</v>
      </c>
      <c r="H199" s="3124" t="n">
        <f aca="false">дома!G336*IF('Ввод данных'!$A$19=связи1!$A$150,1,0)</f>
        <v>0</v>
      </c>
    </row>
    <row r="200" customFormat="false" ht="15" hidden="false" customHeight="false" outlineLevel="0" collapsed="false">
      <c r="A200" s="3122" t="str">
        <f aca="false">дома!A364</f>
        <v>Перекладины для входных дверей горизонтальные,4</v>
      </c>
      <c r="B200" s="3123" t="str">
        <f aca="false">дома!B364</f>
        <v>м.п.</v>
      </c>
      <c r="C200" s="3124" t="n">
        <f aca="false">дома!C364</f>
        <v>0.145</v>
      </c>
      <c r="D200" s="3124" t="n">
        <f aca="false">дома!D364</f>
        <v>0.045</v>
      </c>
      <c r="E200" s="3124" t="n">
        <f aca="false">дома!E364</f>
        <v>0.9</v>
      </c>
      <c r="F200" s="3124" t="n">
        <f aca="false">дома!F364</f>
        <v>0</v>
      </c>
      <c r="G200" s="3124" t="n">
        <f aca="false">E200*F200*IF('Ввод данных'!$A$19=связи1!$A$150,1,0)</f>
        <v>0</v>
      </c>
      <c r="H200" s="3124" t="n">
        <f aca="false">дома!G337*IF('Ввод данных'!$A$19=связи1!$A$150,1,0)</f>
        <v>0</v>
      </c>
    </row>
    <row r="201" customFormat="false" ht="15" hidden="false" customHeight="false" outlineLevel="0" collapsed="false">
      <c r="A201" s="3122" t="str">
        <f aca="false">дома!A365</f>
        <v>Перекладины для входных дверей горизонтальные,5</v>
      </c>
      <c r="B201" s="3123" t="str">
        <f aca="false">дома!B365</f>
        <v>м.п.</v>
      </c>
      <c r="C201" s="3124" t="n">
        <f aca="false">дома!C365</f>
        <v>0.145</v>
      </c>
      <c r="D201" s="3124" t="n">
        <f aca="false">дома!D365</f>
        <v>0.045</v>
      </c>
      <c r="E201" s="3124" t="n">
        <f aca="false">дома!E365</f>
        <v>1</v>
      </c>
      <c r="F201" s="3124" t="n">
        <f aca="false">дома!F365</f>
        <v>0</v>
      </c>
      <c r="G201" s="3124" t="n">
        <f aca="false">E201*F201*IF('Ввод данных'!$A$19=связи1!$A$150,1,0)</f>
        <v>0</v>
      </c>
      <c r="H201" s="3124" t="n">
        <f aca="false">дома!G338*IF('Ввод данных'!$A$19=связи1!$A$150,1,0)</f>
        <v>0</v>
      </c>
    </row>
    <row r="202" customFormat="false" ht="15" hidden="false" customHeight="false" outlineLevel="0" collapsed="false">
      <c r="A202" s="3122" t="str">
        <f aca="false">дома!A366</f>
        <v>Стойки для межкомнатных дверей вертикальные</v>
      </c>
      <c r="B202" s="3123" t="str">
        <f aca="false">дома!B366</f>
        <v>м.п.</v>
      </c>
      <c r="C202" s="3124" t="n">
        <f aca="false">дома!C366</f>
        <v>0.145</v>
      </c>
      <c r="D202" s="3124" t="n">
        <f aca="false">дома!D366</f>
        <v>0.045</v>
      </c>
      <c r="E202" s="3124" t="n">
        <f aca="false">дома!E366</f>
        <v>2.8</v>
      </c>
      <c r="F202" s="3124" t="n">
        <f aca="false">дома!F366</f>
        <v>0</v>
      </c>
      <c r="G202" s="3124" t="n">
        <f aca="false">E202*F202*IF('Ввод данных'!$A$19=связи1!$A$150,1,0)</f>
        <v>0</v>
      </c>
      <c r="H202" s="3124" t="n">
        <f aca="false">дома!G339*IF('Ввод данных'!$A$19=связи1!$A$150,1,0)</f>
        <v>0</v>
      </c>
    </row>
    <row r="203" customFormat="false" ht="15" hidden="false" customHeight="false" outlineLevel="0" collapsed="false">
      <c r="A203" s="3122" t="str">
        <f aca="false">дома!A367</f>
        <v>Перекладины для межкомнатных дверей горизонтальные,1</v>
      </c>
      <c r="B203" s="3123" t="str">
        <f aca="false">дома!B367</f>
        <v>м.п.</v>
      </c>
      <c r="C203" s="3124" t="n">
        <f aca="false">дома!C367</f>
        <v>0.145</v>
      </c>
      <c r="D203" s="3124" t="n">
        <f aca="false">дома!D367</f>
        <v>0.045</v>
      </c>
      <c r="E203" s="3124" t="n">
        <f aca="false">дома!E367</f>
        <v>0.8</v>
      </c>
      <c r="F203" s="3124" t="n">
        <f aca="false">дома!F367</f>
        <v>0</v>
      </c>
      <c r="G203" s="3124" t="n">
        <f aca="false">E203*F203*IF('Ввод данных'!$A$19=связи1!$A$150,1,0)</f>
        <v>0</v>
      </c>
      <c r="H203" s="3124" t="n">
        <f aca="false">дома!G340*IF('Ввод данных'!$A$19=связи1!$A$150,1,0)</f>
        <v>0</v>
      </c>
    </row>
    <row r="204" customFormat="false" ht="15" hidden="false" customHeight="false" outlineLevel="0" collapsed="false">
      <c r="A204" s="3122" t="str">
        <f aca="false">дома!A368</f>
        <v>Перекладины для межкомнатных дверей горизонтальные,2</v>
      </c>
      <c r="B204" s="3123" t="str">
        <f aca="false">дома!B368</f>
        <v>м.п.</v>
      </c>
      <c r="C204" s="3124" t="n">
        <f aca="false">дома!C368</f>
        <v>0.145</v>
      </c>
      <c r="D204" s="3124" t="n">
        <f aca="false">дома!D368</f>
        <v>0.045</v>
      </c>
      <c r="E204" s="3124" t="n">
        <f aca="false">дома!E368</f>
        <v>0.6</v>
      </c>
      <c r="F204" s="3124" t="n">
        <f aca="false">дома!F368</f>
        <v>0</v>
      </c>
      <c r="G204" s="3124" t="n">
        <f aca="false">E204*F204*IF('Ввод данных'!$A$19=связи1!$A$150,1,0)</f>
        <v>0</v>
      </c>
      <c r="H204" s="3124" t="n">
        <f aca="false">дома!G341*IF('Ввод данных'!$A$19=связи1!$A$150,1,0)</f>
        <v>0</v>
      </c>
    </row>
    <row r="205" customFormat="false" ht="15" hidden="false" customHeight="false" outlineLevel="0" collapsed="false">
      <c r="A205" s="3122" t="str">
        <f aca="false">дома!A369</f>
        <v>Перекладины для межкомнатных дверей горизонтальные,3</v>
      </c>
      <c r="B205" s="3123" t="str">
        <f aca="false">дома!B369</f>
        <v>м.п.</v>
      </c>
      <c r="C205" s="3124" t="n">
        <f aca="false">дома!C369</f>
        <v>0.145</v>
      </c>
      <c r="D205" s="3124" t="n">
        <f aca="false">дома!D369</f>
        <v>0.045</v>
      </c>
      <c r="E205" s="3124" t="n">
        <f aca="false">дома!E369</f>
        <v>0.9</v>
      </c>
      <c r="F205" s="3124" t="n">
        <f aca="false">дома!F369</f>
        <v>0</v>
      </c>
      <c r="G205" s="3124" t="n">
        <f aca="false">E205*F205*IF('Ввод данных'!$A$19=связи1!$A$150,1,0)</f>
        <v>0</v>
      </c>
      <c r="H205" s="3124" t="n">
        <f aca="false">дома!G342*IF('Ввод данных'!$A$19=связи1!$A$150,1,0)</f>
        <v>0</v>
      </c>
    </row>
    <row r="206" customFormat="false" ht="15" hidden="false" customHeight="false" outlineLevel="0" collapsed="false">
      <c r="A206" s="3122" t="str">
        <f aca="false">дома!A370</f>
        <v>Перекладины для межкомнатных дверей горизонтальные,4</v>
      </c>
      <c r="B206" s="3123" t="str">
        <f aca="false">дома!B370</f>
        <v>м.п.</v>
      </c>
      <c r="C206" s="3124" t="n">
        <f aca="false">дома!C370</f>
        <v>0.145</v>
      </c>
      <c r="D206" s="3124" t="n">
        <f aca="false">дома!D370</f>
        <v>0.045</v>
      </c>
      <c r="E206" s="3124" t="n">
        <f aca="false">дома!E370</f>
        <v>0</v>
      </c>
      <c r="F206" s="3124" t="n">
        <f aca="false">дома!F370</f>
        <v>0</v>
      </c>
      <c r="G206" s="3124" t="n">
        <f aca="false">E206*F206*IF('Ввод данных'!$A$19=связи1!$A$150,1,0)</f>
        <v>0</v>
      </c>
      <c r="H206" s="3124" t="n">
        <f aca="false">дома!G343*IF('Ввод данных'!$A$19=связи1!$A$150,1,0)</f>
        <v>0</v>
      </c>
    </row>
    <row r="207" customFormat="false" ht="15" hidden="false" customHeight="false" outlineLevel="0" collapsed="false">
      <c r="A207" s="3122" t="str">
        <f aca="false">дома!A371</f>
        <v>Стойки для проемов вертикальные</v>
      </c>
      <c r="B207" s="3123" t="str">
        <f aca="false">дома!B371</f>
        <v>м.п.</v>
      </c>
      <c r="C207" s="3124" t="n">
        <f aca="false">дома!C371</f>
        <v>0.145</v>
      </c>
      <c r="D207" s="3124" t="n">
        <f aca="false">дома!D371</f>
        <v>0.045</v>
      </c>
      <c r="E207" s="3124" t="n">
        <f aca="false">дома!E371</f>
        <v>0</v>
      </c>
      <c r="F207" s="3124" t="n">
        <f aca="false">дома!F371</f>
        <v>0</v>
      </c>
      <c r="G207" s="3124" t="n">
        <f aca="false">E207*F207*IF('Ввод данных'!$A$19=связи1!$A$150,1,0)</f>
        <v>0</v>
      </c>
      <c r="H207" s="3124" t="n">
        <f aca="false">дома!G344*IF('Ввод данных'!$A$19=связи1!$A$150,1,0)</f>
        <v>0</v>
      </c>
    </row>
    <row r="208" customFormat="false" ht="15" hidden="false" customHeight="false" outlineLevel="0" collapsed="false">
      <c r="A208" s="3122" t="str">
        <f aca="false">дома!A372</f>
        <v>Перекладины для проемов горизонтальные,1</v>
      </c>
      <c r="B208" s="3123" t="str">
        <f aca="false">дома!B372</f>
        <v>м.п.</v>
      </c>
      <c r="C208" s="3124" t="n">
        <f aca="false">дома!C372</f>
        <v>0.145</v>
      </c>
      <c r="D208" s="3124" t="n">
        <f aca="false">дома!D372</f>
        <v>0.045</v>
      </c>
      <c r="E208" s="3124" t="n">
        <f aca="false">дома!E372</f>
        <v>2</v>
      </c>
      <c r="F208" s="3124" t="n">
        <f aca="false">дома!F372</f>
        <v>0</v>
      </c>
      <c r="G208" s="3124" t="n">
        <f aca="false">E208*F208*IF('Ввод данных'!$A$19=связи1!$A$150,1,0)</f>
        <v>0</v>
      </c>
      <c r="H208" s="3124" t="n">
        <f aca="false">дома!G345*IF('Ввод данных'!$A$19=связи1!$A$150,1,0)</f>
        <v>0</v>
      </c>
    </row>
    <row r="209" customFormat="false" ht="15" hidden="false" customHeight="false" outlineLevel="0" collapsed="false">
      <c r="A209" s="3122" t="str">
        <f aca="false">дома!A373</f>
        <v>Перекладины для проемов горизонтальные,2</v>
      </c>
      <c r="B209" s="3123" t="str">
        <f aca="false">дома!B373</f>
        <v>м.п.</v>
      </c>
      <c r="C209" s="3124" t="n">
        <f aca="false">дома!C373</f>
        <v>0.145</v>
      </c>
      <c r="D209" s="3124" t="n">
        <f aca="false">дома!D373</f>
        <v>0.045</v>
      </c>
      <c r="E209" s="3124" t="n">
        <f aca="false">дома!E373</f>
        <v>0</v>
      </c>
      <c r="F209" s="3124" t="n">
        <f aca="false">дома!F373</f>
        <v>0</v>
      </c>
      <c r="G209" s="3124" t="n">
        <f aca="false">E209*F209*IF('Ввод данных'!$A$19=связи1!$A$150,1,0)</f>
        <v>0</v>
      </c>
      <c r="H209" s="3124" t="n">
        <f aca="false">дома!G346*IF('Ввод данных'!$A$19=связи1!$A$150,1,0)</f>
        <v>0</v>
      </c>
    </row>
    <row r="210" customFormat="false" ht="21" hidden="false" customHeight="false" outlineLevel="0" collapsed="false">
      <c r="A210" s="3119" t="s">
        <v>4276</v>
      </c>
      <c r="B210" s="3119"/>
      <c r="C210" s="3119"/>
      <c r="D210" s="3119"/>
      <c r="E210" s="3119"/>
      <c r="F210" s="3119"/>
      <c r="G210" s="3125" t="n">
        <f aca="false">E210*F210</f>
        <v>0</v>
      </c>
      <c r="H210" s="3126" t="n">
        <f aca="false">SUM(H211:H407)</f>
        <v>0</v>
      </c>
    </row>
    <row r="211" customFormat="false" ht="15" hidden="false" customHeight="false" outlineLevel="0" collapsed="false">
      <c r="A211" s="3122" t="str">
        <f aca="false">дома!A637</f>
        <v>Стойки каркаса передней/задней стены 2 эт</v>
      </c>
      <c r="B211" s="3123" t="str">
        <f aca="false">дома!B637</f>
        <v>м.п.</v>
      </c>
      <c r="C211" s="3124" t="n">
        <f aca="false">дома!C637</f>
        <v>0.145</v>
      </c>
      <c r="D211" s="3124" t="n">
        <f aca="false">дома!D637</f>
        <v>0.045</v>
      </c>
      <c r="E211" s="3124" t="n">
        <f aca="false">дома!E637</f>
        <v>0</v>
      </c>
      <c r="F211" s="3124" t="n">
        <f aca="false">дома!F637</f>
        <v>0</v>
      </c>
      <c r="G211" s="3124" t="n">
        <f aca="false">E211*F211*(IF('Ввод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211" s="3124" t="n">
        <f aca="false">дома!G637*(IF('Ввод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212" customFormat="false" ht="15" hidden="false" customHeight="false" outlineLevel="0" collapsed="false">
      <c r="A212" s="3122" t="str">
        <f aca="false">дома!A638</f>
        <v>Стойки каркаса, левая сторона 2 эт</v>
      </c>
      <c r="B212" s="3123" t="str">
        <f aca="false">дома!B638</f>
        <v>м.п.</v>
      </c>
      <c r="C212" s="3124" t="n">
        <f aca="false">дома!C638</f>
        <v>0.145</v>
      </c>
      <c r="D212" s="3124" t="n">
        <f aca="false">дома!D638</f>
        <v>0.045</v>
      </c>
      <c r="E212" s="3124" t="n">
        <f aca="false">дома!E638</f>
        <v>0</v>
      </c>
      <c r="F212" s="3124" t="n">
        <f aca="false">дома!F638</f>
        <v>0</v>
      </c>
      <c r="G212" s="3124" t="n">
        <f aca="false">E212*F212*(IF('Ввод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212" s="3124" t="n">
        <f aca="false">дома!G638*(IF('Ввод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213" customFormat="false" ht="15" hidden="false" customHeight="false" outlineLevel="0" collapsed="false">
      <c r="A213" s="3122" t="str">
        <f aca="false">дома!A639</f>
        <v>Стойки каркаса, правая сторона 2 эт</v>
      </c>
      <c r="B213" s="3123" t="str">
        <f aca="false">дома!B639</f>
        <v>м.п.</v>
      </c>
      <c r="C213" s="3124" t="n">
        <f aca="false">дома!C639</f>
        <v>0.145</v>
      </c>
      <c r="D213" s="3124" t="n">
        <f aca="false">дома!D639</f>
        <v>0.045</v>
      </c>
      <c r="E213" s="3124" t="n">
        <f aca="false">дома!E639</f>
        <v>0</v>
      </c>
      <c r="F213" s="3124" t="n">
        <f aca="false">дома!F639</f>
        <v>0</v>
      </c>
      <c r="G213" s="3124" t="n">
        <f aca="false">E213*F213*(IF('Ввод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213" s="3124" t="n">
        <f aca="false">дома!G639*(IF('Ввод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214" customFormat="false" ht="15" hidden="false" customHeight="false" outlineLevel="0" collapsed="false">
      <c r="A214" s="3122" t="str">
        <f aca="false">дома!A640</f>
        <v>Стойки каркаса левой боковой стены 2 эт</v>
      </c>
      <c r="B214" s="3123" t="str">
        <f aca="false">дома!B640</f>
        <v>м.п.</v>
      </c>
      <c r="C214" s="3124" t="n">
        <f aca="false">дома!C640</f>
        <v>0.145</v>
      </c>
      <c r="D214" s="3124" t="n">
        <f aca="false">дома!D640</f>
        <v>0.045</v>
      </c>
      <c r="E214" s="3124" t="n">
        <f aca="false">дома!E640</f>
        <v>1.6</v>
      </c>
      <c r="F214" s="3124" t="n">
        <f aca="false">дома!F640</f>
        <v>15</v>
      </c>
      <c r="G214" s="3124" t="n">
        <f aca="false">E214*F214*(IF('Ввод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214" s="3124" t="n">
        <f aca="false">дома!G640*(IF('Ввод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215" customFormat="false" ht="15" hidden="false" customHeight="false" outlineLevel="0" collapsed="false">
      <c r="A215" s="3122" t="str">
        <f aca="false">дома!A641</f>
        <v>Стойки каркаса правой боковой стены 1 эт</v>
      </c>
      <c r="B215" s="3123" t="str">
        <f aca="false">дома!B641</f>
        <v>м.п.</v>
      </c>
      <c r="C215" s="3124" t="n">
        <f aca="false">дома!C641</f>
        <v>0.145</v>
      </c>
      <c r="D215" s="3124" t="n">
        <f aca="false">дома!D641</f>
        <v>0.045</v>
      </c>
      <c r="E215" s="3124" t="n">
        <f aca="false">дома!E641</f>
        <v>1.6</v>
      </c>
      <c r="F215" s="3124" t="n">
        <f aca="false">дома!F641</f>
        <v>15</v>
      </c>
      <c r="G215" s="3124" t="n">
        <f aca="false">E215*F215*(IF('Ввод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215" s="3124" t="n">
        <f aca="false">дома!G641*(IF('Ввод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216" customFormat="false" ht="15" hidden="false" customHeight="false" outlineLevel="0" collapsed="false">
      <c r="A216" s="3122" t="str">
        <f aca="false">дома!A642</f>
        <v>Обвязка каркаса фронтона верхняя,двускатная кровля</v>
      </c>
      <c r="B216" s="3123" t="str">
        <f aca="false">дома!B642</f>
        <v>м.п.</v>
      </c>
      <c r="C216" s="3124" t="n">
        <f aca="false">дома!C642</f>
        <v>0.145</v>
      </c>
      <c r="D216" s="3124" t="n">
        <f aca="false">дома!D642</f>
        <v>0.045</v>
      </c>
      <c r="E216" s="3124" t="n">
        <f aca="false">дома!E642</f>
        <v>5.51224999433081</v>
      </c>
      <c r="F216" s="3124" t="n">
        <f aca="false">дома!F642</f>
        <v>2</v>
      </c>
      <c r="G216" s="3124" t="n">
        <f aca="false">E216*F216*(IF('Ввод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216" s="3124" t="n">
        <f aca="false">дома!G642*(IF('Ввод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217" customFormat="false" ht="15" hidden="false" customHeight="false" outlineLevel="0" collapsed="false">
      <c r="A217" s="3122" t="str">
        <f aca="false">дома!A643</f>
        <v>Обвязка каркаса фронтона нижняя,двускатная кровля</v>
      </c>
      <c r="B217" s="3123" t="str">
        <f aca="false">дома!B643</f>
        <v>м.п.</v>
      </c>
      <c r="C217" s="3124" t="n">
        <f aca="false">дома!C643</f>
        <v>0.145</v>
      </c>
      <c r="D217" s="3124" t="n">
        <f aca="false">дома!D643</f>
        <v>0.045</v>
      </c>
      <c r="E217" s="3124" t="n">
        <f aca="false">дома!E643</f>
        <v>4</v>
      </c>
      <c r="F217" s="3124" t="n">
        <f aca="false">дома!F643</f>
        <v>2</v>
      </c>
      <c r="G217" s="3124" t="n">
        <f aca="false">E217*F217*(IF('Ввод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217" s="3124" t="n">
        <f aca="false">дома!G643*(IF('Ввод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218" customFormat="false" ht="15" hidden="false" customHeight="false" outlineLevel="0" collapsed="false">
      <c r="A218" s="3122" t="str">
        <f aca="false">дома!A644</f>
        <v>Ригель каркаса фронтона,двускатная кровля</v>
      </c>
      <c r="B218" s="3123" t="str">
        <f aca="false">дома!B644</f>
        <v>м.п.</v>
      </c>
      <c r="C218" s="3124" t="n">
        <f aca="false">дома!C644</f>
        <v>0.145</v>
      </c>
      <c r="D218" s="3124" t="n">
        <f aca="false">дома!D644</f>
        <v>0.045</v>
      </c>
      <c r="E218" s="3124" t="n">
        <f aca="false">дома!E644</f>
        <v>5.51224999433081</v>
      </c>
      <c r="F218" s="3124" t="n">
        <f aca="false">дома!F644</f>
        <v>2</v>
      </c>
      <c r="G218" s="3124" t="n">
        <f aca="false">E218*F218*(IF('Ввод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218" s="3124" t="n">
        <f aca="false">дома!G644*(IF('Ввод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219" customFormat="false" ht="15" hidden="false" customHeight="false" outlineLevel="0" collapsed="false">
      <c r="A219" s="3122" t="str">
        <f aca="false">дома!A645</f>
        <v>Обвязка каркаса верхняя/нижняя наружние стены 2 эт</v>
      </c>
      <c r="B219" s="3123" t="str">
        <f aca="false">дома!B645</f>
        <v>м.п.</v>
      </c>
      <c r="C219" s="3124" t="n">
        <f aca="false">дома!C645</f>
        <v>0.145</v>
      </c>
      <c r="D219" s="3124" t="n">
        <f aca="false">дома!D645</f>
        <v>0.045</v>
      </c>
      <c r="E219" s="3124" t="n">
        <f aca="false">дома!E645</f>
        <v>64</v>
      </c>
      <c r="F219" s="3124" t="n">
        <f aca="false">дома!F645</f>
        <v>1</v>
      </c>
      <c r="G219" s="3124" t="n">
        <f aca="false">E219*F219*(IF('Ввод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219" s="3124" t="n">
        <f aca="false">дома!G645*(IF('Ввод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220" customFormat="false" ht="15" hidden="false" customHeight="false" outlineLevel="0" collapsed="false">
      <c r="A220" s="3122" t="str">
        <f aca="false">дома!A646</f>
        <v>Ригель каркаса наружние стены 2 эт</v>
      </c>
      <c r="B220" s="3123" t="str">
        <f aca="false">дома!B646</f>
        <v>м.п.</v>
      </c>
      <c r="C220" s="3124" t="n">
        <f aca="false">дома!C646</f>
        <v>0.145</v>
      </c>
      <c r="D220" s="3124" t="n">
        <f aca="false">дома!D646</f>
        <v>0.045</v>
      </c>
      <c r="E220" s="3124" t="n">
        <f aca="false">дома!E646</f>
        <v>32</v>
      </c>
      <c r="F220" s="3124" t="n">
        <f aca="false">дома!F646</f>
        <v>1</v>
      </c>
      <c r="G220" s="3124" t="n">
        <f aca="false">E220*F220*(IF('Ввод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220" s="3124" t="n">
        <f aca="false">дома!G646*(IF('Ввод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221" customFormat="false" ht="15" hidden="false" customHeight="false" outlineLevel="0" collapsed="false">
      <c r="A221" s="3122" t="str">
        <f aca="false">дома!A647</f>
        <v>Стойка каркаса, несущие перегородки, 2 этаж</v>
      </c>
      <c r="B221" s="3123" t="str">
        <f aca="false">дома!B647</f>
        <v>м.п.</v>
      </c>
      <c r="C221" s="3124" t="n">
        <f aca="false">дома!C647</f>
        <v>0.145</v>
      </c>
      <c r="D221" s="3124" t="n">
        <f aca="false">дома!D647</f>
        <v>0.045</v>
      </c>
      <c r="E221" s="3124" t="n">
        <f aca="false">дома!E647</f>
        <v>2.6</v>
      </c>
      <c r="F221" s="3124" t="n">
        <f aca="false">дома!F647</f>
        <v>25</v>
      </c>
      <c r="G221" s="3124" t="n">
        <f aca="false">E221*F221*(IF('Ввод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221" s="3124" t="n">
        <f aca="false">дома!G647*(IF('Ввод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222" customFormat="false" ht="15" hidden="false" customHeight="false" outlineLevel="0" collapsed="false">
      <c r="A222" s="3122" t="str">
        <f aca="false">дома!A648</f>
        <v>Обвязка несущих перегородок верх, 2 этаж</v>
      </c>
      <c r="B222" s="3123" t="str">
        <f aca="false">дома!B648</f>
        <v>м.п.</v>
      </c>
      <c r="C222" s="3124" t="n">
        <f aca="false">дома!C648</f>
        <v>0.145</v>
      </c>
      <c r="D222" s="3124" t="n">
        <f aca="false">дома!D648</f>
        <v>0.045</v>
      </c>
      <c r="E222" s="3124" t="n">
        <f aca="false">дома!E648</f>
        <v>25</v>
      </c>
      <c r="F222" s="3124" t="n">
        <f aca="false">дома!F648</f>
        <v>0</v>
      </c>
      <c r="G222" s="3124" t="n">
        <f aca="false">E222*F222*(IF('Ввод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222" s="3124" t="n">
        <f aca="false">дома!G648*(IF('Ввод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223" customFormat="false" ht="15" hidden="false" customHeight="false" outlineLevel="0" collapsed="false">
      <c r="A223" s="3122" t="str">
        <f aca="false">дома!A649</f>
        <v>Ригель несущих перегородок, 2 этаж</v>
      </c>
      <c r="B223" s="3123" t="str">
        <f aca="false">дома!B649</f>
        <v>м.п.</v>
      </c>
      <c r="C223" s="3124" t="n">
        <f aca="false">дома!C649</f>
        <v>0.145</v>
      </c>
      <c r="D223" s="3124" t="n">
        <f aca="false">дома!D649</f>
        <v>0.045</v>
      </c>
      <c r="E223" s="3124" t="n">
        <f aca="false">дома!E649</f>
        <v>12.5</v>
      </c>
      <c r="F223" s="3124" t="n">
        <f aca="false">дома!F649</f>
        <v>0</v>
      </c>
      <c r="G223" s="3124" t="n">
        <f aca="false">E223*F223*(IF('Ввод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223" s="3124" t="n">
        <f aca="false">дома!G649*(IF('Ввод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224" customFormat="false" ht="15" hidden="false" customHeight="false" outlineLevel="0" collapsed="false">
      <c r="A224" s="3122" t="str">
        <f aca="false">дома!A650</f>
        <v>Стойка каркаса, перегородки, 2 этаж</v>
      </c>
      <c r="B224" s="3123" t="str">
        <f aca="false">дома!B650</f>
        <v>м.п.</v>
      </c>
      <c r="C224" s="3124" t="n">
        <f aca="false">дома!C650</f>
        <v>0.1</v>
      </c>
      <c r="D224" s="3124" t="n">
        <f aca="false">дома!D650</f>
        <v>0.045</v>
      </c>
      <c r="E224" s="3124" t="n">
        <f aca="false">дома!E650</f>
        <v>2.6</v>
      </c>
      <c r="F224" s="3124" t="n">
        <f aca="false">дома!F650</f>
        <v>0</v>
      </c>
      <c r="G224" s="3124" t="n">
        <f aca="false">E224*F224*(IF('Ввод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224" s="3124" t="n">
        <f aca="false">дома!G650*(IF('Ввод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225" customFormat="false" ht="15" hidden="false" customHeight="false" outlineLevel="0" collapsed="false">
      <c r="A225" s="3122" t="str">
        <f aca="false">дома!A651</f>
        <v>Обвязка перегородок верх, 2 этаж</v>
      </c>
      <c r="B225" s="3123" t="str">
        <f aca="false">дома!B651</f>
        <v>м.п.</v>
      </c>
      <c r="C225" s="3124" t="n">
        <f aca="false">дома!C651</f>
        <v>0.1</v>
      </c>
      <c r="D225" s="3124" t="n">
        <f aca="false">дома!D651</f>
        <v>0.045</v>
      </c>
      <c r="E225" s="3124" t="n">
        <f aca="false">дома!E651</f>
        <v>0</v>
      </c>
      <c r="F225" s="3124" t="n">
        <f aca="false">дома!F651</f>
        <v>0</v>
      </c>
      <c r="G225" s="3124" t="n">
        <f aca="false">E225*F225*(IF('Ввод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225" s="3124" t="n">
        <f aca="false">дома!G651*(IF('Ввод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226" customFormat="false" ht="15" hidden="false" customHeight="false" outlineLevel="0" collapsed="false">
      <c r="A226" s="3122" t="str">
        <f aca="false">дома!A652</f>
        <v>Стойка каркаса по фронтону, левая сторона, двускатная кровля №1</v>
      </c>
      <c r="B226" s="3123" t="str">
        <f aca="false">дома!B652</f>
        <v>м.п.</v>
      </c>
      <c r="C226" s="3124" t="n">
        <f aca="false">дома!C652</f>
        <v>0.145</v>
      </c>
      <c r="D226" s="3124" t="n">
        <f aca="false">дома!D652</f>
        <v>0.045</v>
      </c>
      <c r="E226" s="3124" t="n">
        <f aca="false">дома!E652</f>
        <v>1.6</v>
      </c>
      <c r="F226" s="3124" t="n">
        <f aca="false">дома!F652</f>
        <v>2</v>
      </c>
      <c r="G226" s="3124" t="n">
        <f aca="false">E226*F226*(IF('Ввод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226" s="3124" t="n">
        <f aca="false">дома!G652*(IF('Ввод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227" customFormat="false" ht="15" hidden="false" customHeight="false" outlineLevel="0" collapsed="false">
      <c r="A227" s="3122" t="str">
        <f aca="false">дома!A653</f>
        <v>Стойка каркаса по фронтону, левая сторона, двускатная кровля №2</v>
      </c>
      <c r="B227" s="3123" t="str">
        <f aca="false">дома!B653</f>
        <v>м.п.</v>
      </c>
      <c r="C227" s="3124" t="n">
        <f aca="false">дома!C653</f>
        <v>0.145</v>
      </c>
      <c r="D227" s="3124" t="n">
        <f aca="false">дома!D653</f>
        <v>0.045</v>
      </c>
      <c r="E227" s="3124" t="n">
        <f aca="false">дома!E653</f>
        <v>2.08571428571429</v>
      </c>
      <c r="F227" s="3124" t="n">
        <f aca="false">дома!F653</f>
        <v>2</v>
      </c>
      <c r="G227" s="3124" t="n">
        <f aca="false">E227*F227*(IF('Ввод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227" s="3124" t="n">
        <f aca="false">дома!G653*(IF('Ввод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228" customFormat="false" ht="15" hidden="false" customHeight="false" outlineLevel="0" collapsed="false">
      <c r="A228" s="3122" t="str">
        <f aca="false">дома!A654</f>
        <v>Стойка каркаса по фронтону, левая сторона, двускатная кровля №3</v>
      </c>
      <c r="B228" s="3123" t="str">
        <f aca="false">дома!B654</f>
        <v>м.п.</v>
      </c>
      <c r="C228" s="3124" t="n">
        <f aca="false">дома!C654</f>
        <v>0.145</v>
      </c>
      <c r="D228" s="3124" t="n">
        <f aca="false">дома!D654</f>
        <v>0.045</v>
      </c>
      <c r="E228" s="3124" t="n">
        <f aca="false">дома!E654</f>
        <v>2.57142857142857</v>
      </c>
      <c r="F228" s="3124" t="n">
        <f aca="false">дома!F654</f>
        <v>2</v>
      </c>
      <c r="G228" s="3124" t="n">
        <f aca="false">E228*F228*(IF('Ввод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228" s="3124" t="n">
        <f aca="false">дома!G654*(IF('Ввод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229" customFormat="false" ht="15" hidden="false" customHeight="false" outlineLevel="0" collapsed="false">
      <c r="A229" s="3122" t="str">
        <f aca="false">дома!A655</f>
        <v>Стойка каркаса по фронтону, левая сторона, двускатная кровля №4</v>
      </c>
      <c r="B229" s="3123" t="str">
        <f aca="false">дома!B655</f>
        <v>м.п.</v>
      </c>
      <c r="C229" s="3124" t="n">
        <f aca="false">дома!C655</f>
        <v>0.145</v>
      </c>
      <c r="D229" s="3124" t="n">
        <f aca="false">дома!D655</f>
        <v>0.045</v>
      </c>
      <c r="E229" s="3124" t="n">
        <f aca="false">дома!E655</f>
        <v>3.05714285714286</v>
      </c>
      <c r="F229" s="3124" t="n">
        <f aca="false">дома!F655</f>
        <v>2</v>
      </c>
      <c r="G229" s="3124" t="n">
        <f aca="false">E229*F229*(IF('Ввод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229" s="3124" t="n">
        <f aca="false">дома!G655*(IF('Ввод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230" customFormat="false" ht="15" hidden="false" customHeight="false" outlineLevel="0" collapsed="false">
      <c r="A230" s="3122" t="str">
        <f aca="false">дома!A656</f>
        <v>Стойка каркаса по фронтону, левая сторона, двускатная кровля №5</v>
      </c>
      <c r="B230" s="3123" t="str">
        <f aca="false">дома!B656</f>
        <v>м.п.</v>
      </c>
      <c r="C230" s="3124" t="n">
        <f aca="false">дома!C656</f>
        <v>0.145</v>
      </c>
      <c r="D230" s="3124" t="n">
        <f aca="false">дома!D656</f>
        <v>0.045</v>
      </c>
      <c r="E230" s="3124" t="n">
        <f aca="false">дома!E656</f>
        <v>3.54285714285714</v>
      </c>
      <c r="F230" s="3124" t="n">
        <f aca="false">дома!F656</f>
        <v>2</v>
      </c>
      <c r="G230" s="3124" t="n">
        <f aca="false">E230*F230*(IF('Ввод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230" s="3124" t="n">
        <f aca="false">дома!G656*(IF('Ввод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231" customFormat="false" ht="15" hidden="false" customHeight="false" outlineLevel="0" collapsed="false">
      <c r="A231" s="3122" t="str">
        <f aca="false">дома!A657</f>
        <v>Стойка каркаса по фронтону, левая сторона, двускатная кровля №6</v>
      </c>
      <c r="B231" s="3123" t="str">
        <f aca="false">дома!B657</f>
        <v>м.п.</v>
      </c>
      <c r="C231" s="3124" t="n">
        <f aca="false">дома!C657</f>
        <v>0.145</v>
      </c>
      <c r="D231" s="3124" t="n">
        <f aca="false">дома!D657</f>
        <v>0.045</v>
      </c>
      <c r="E231" s="3124" t="n">
        <f aca="false">дома!E657</f>
        <v>4.02857142857143</v>
      </c>
      <c r="F231" s="3124" t="n">
        <f aca="false">дома!F657</f>
        <v>2</v>
      </c>
      <c r="G231" s="3124" t="n">
        <f aca="false">E231*F231*(IF('Ввод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231" s="3124" t="n">
        <f aca="false">дома!G657*(IF('Ввод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232" customFormat="false" ht="15" hidden="false" customHeight="false" outlineLevel="0" collapsed="false">
      <c r="A232" s="3122" t="str">
        <f aca="false">дома!A658</f>
        <v>Стойка каркаса по фронтону, левая сторона, двускатная кровля №7</v>
      </c>
      <c r="B232" s="3123" t="str">
        <f aca="false">дома!B658</f>
        <v>м.п.</v>
      </c>
      <c r="C232" s="3124" t="n">
        <f aca="false">дома!C658</f>
        <v>0.145</v>
      </c>
      <c r="D232" s="3124" t="n">
        <f aca="false">дома!D658</f>
        <v>0.045</v>
      </c>
      <c r="E232" s="3124" t="n">
        <f aca="false">дома!E658</f>
        <v>4.51428571428571</v>
      </c>
      <c r="F232" s="3124" t="n">
        <f aca="false">дома!F658</f>
        <v>2</v>
      </c>
      <c r="G232" s="3124" t="n">
        <f aca="false">E232*F232*(IF('Ввод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232" s="3124" t="n">
        <f aca="false">дома!G658*(IF('Ввод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233" customFormat="false" ht="15" hidden="false" customHeight="false" outlineLevel="0" collapsed="false">
      <c r="A233" s="3122" t="str">
        <f aca="false">дома!A659</f>
        <v>Стойка каркаса по фронтону, левая сторона, двускатная кровля №8</v>
      </c>
      <c r="B233" s="3123" t="str">
        <f aca="false">дома!B659</f>
        <v>м.п.</v>
      </c>
      <c r="C233" s="3124" t="n">
        <f aca="false">дома!C659</f>
        <v>0.145</v>
      </c>
      <c r="D233" s="3124" t="n">
        <f aca="false">дома!D659</f>
        <v>0.045</v>
      </c>
      <c r="E233" s="3124" t="n">
        <f aca="false">дома!E659</f>
        <v>5</v>
      </c>
      <c r="F233" s="3124" t="n">
        <f aca="false">дома!F659</f>
        <v>2</v>
      </c>
      <c r="G233" s="3124" t="n">
        <f aca="false">E233*F233*(IF('Ввод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233" s="3124" t="n">
        <f aca="false">дома!G659*(IF('Ввод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234" customFormat="false" ht="15" hidden="false" customHeight="false" outlineLevel="0" collapsed="false">
      <c r="A234" s="3122" t="str">
        <f aca="false">дома!A660</f>
        <v>Стойка каркаса по фронтону, левая сторона, двускатная кровля №9</v>
      </c>
      <c r="B234" s="3123" t="str">
        <f aca="false">дома!B660</f>
        <v>м.п.</v>
      </c>
      <c r="C234" s="3124" t="n">
        <f aca="false">дома!C660</f>
        <v>0.145</v>
      </c>
      <c r="D234" s="3124" t="n">
        <f aca="false">дома!D660</f>
        <v>0.045</v>
      </c>
      <c r="E234" s="3124" t="n">
        <f aca="false">дома!E660</f>
        <v>0</v>
      </c>
      <c r="F234" s="3124" t="n">
        <f aca="false">дома!F660</f>
        <v>2</v>
      </c>
      <c r="G234" s="3124" t="n">
        <f aca="false">E234*F234*(IF('Ввод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234" s="3124" t="n">
        <f aca="false">дома!G660*(IF('Ввод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235" customFormat="false" ht="15" hidden="false" customHeight="false" outlineLevel="0" collapsed="false">
      <c r="A235" s="3122" t="str">
        <f aca="false">дома!A661</f>
        <v>Стойка каркаса по фронтону, левая сторона, двускатная кровля №10</v>
      </c>
      <c r="B235" s="3123" t="str">
        <f aca="false">дома!B661</f>
        <v>м.п.</v>
      </c>
      <c r="C235" s="3124" t="n">
        <f aca="false">дома!C661</f>
        <v>0.145</v>
      </c>
      <c r="D235" s="3124" t="n">
        <f aca="false">дома!D661</f>
        <v>0.045</v>
      </c>
      <c r="E235" s="3124" t="n">
        <f aca="false">дома!E661</f>
        <v>0</v>
      </c>
      <c r="F235" s="3124" t="n">
        <f aca="false">дома!F661</f>
        <v>2</v>
      </c>
      <c r="G235" s="3124" t="n">
        <f aca="false">E235*F235*(IF('Ввод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235" s="3124" t="n">
        <f aca="false">дома!G661*(IF('Ввод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236" customFormat="false" ht="15" hidden="false" customHeight="false" outlineLevel="0" collapsed="false">
      <c r="A236" s="3122" t="str">
        <f aca="false">дома!A662</f>
        <v>Стойка каркаса по фронтону, левая сторона, двускатная кровля №11</v>
      </c>
      <c r="B236" s="3123" t="str">
        <f aca="false">дома!B662</f>
        <v>м.п.</v>
      </c>
      <c r="C236" s="3124" t="n">
        <f aca="false">дома!C662</f>
        <v>0.145</v>
      </c>
      <c r="D236" s="3124" t="n">
        <f aca="false">дома!D662</f>
        <v>0.045</v>
      </c>
      <c r="E236" s="3124" t="n">
        <f aca="false">дома!E662</f>
        <v>0</v>
      </c>
      <c r="F236" s="3124" t="n">
        <f aca="false">дома!F662</f>
        <v>2</v>
      </c>
      <c r="G236" s="3124" t="n">
        <f aca="false">E236*F236*(IF('Ввод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236" s="3124" t="n">
        <f aca="false">дома!G662*(IF('Ввод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237" customFormat="false" ht="15" hidden="false" customHeight="false" outlineLevel="0" collapsed="false">
      <c r="A237" s="3122" t="str">
        <f aca="false">дома!A663</f>
        <v>Стойка каркаса по фронтону, левая сторона, двускатная кровля №12</v>
      </c>
      <c r="B237" s="3123" t="str">
        <f aca="false">дома!B663</f>
        <v>м.п.</v>
      </c>
      <c r="C237" s="3124" t="n">
        <f aca="false">дома!C663</f>
        <v>0.145</v>
      </c>
      <c r="D237" s="3124" t="n">
        <f aca="false">дома!D663</f>
        <v>0.045</v>
      </c>
      <c r="E237" s="3124" t="n">
        <f aca="false">дома!E663</f>
        <v>0</v>
      </c>
      <c r="F237" s="3124" t="n">
        <f aca="false">дома!F663</f>
        <v>2</v>
      </c>
      <c r="G237" s="3124" t="n">
        <f aca="false">E237*F237*(IF('Ввод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237" s="3124" t="n">
        <f aca="false">дома!G663*(IF('Ввод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238" customFormat="false" ht="15" hidden="false" customHeight="false" outlineLevel="0" collapsed="false">
      <c r="A238" s="3122" t="str">
        <f aca="false">дома!A664</f>
        <v>Стойка каркаса по фронтону, левая сторона, двускатная кровля №13</v>
      </c>
      <c r="B238" s="3123" t="str">
        <f aca="false">дома!B664</f>
        <v>м.п.</v>
      </c>
      <c r="C238" s="3124" t="n">
        <f aca="false">дома!C664</f>
        <v>0.145</v>
      </c>
      <c r="D238" s="3124" t="n">
        <f aca="false">дома!D664</f>
        <v>0.045</v>
      </c>
      <c r="E238" s="3124" t="n">
        <f aca="false">дома!E664</f>
        <v>0</v>
      </c>
      <c r="F238" s="3124" t="n">
        <f aca="false">дома!F664</f>
        <v>2</v>
      </c>
      <c r="G238" s="3124" t="n">
        <f aca="false">E238*F238*(IF('Ввод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238" s="3124" t="n">
        <f aca="false">дома!G664*(IF('Ввод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239" customFormat="false" ht="15" hidden="false" customHeight="false" outlineLevel="0" collapsed="false">
      <c r="A239" s="3122" t="str">
        <f aca="false">дома!A665</f>
        <v>Стойка каркаса по фронтону, левая сторона, двускатная кровля №14</v>
      </c>
      <c r="B239" s="3123" t="str">
        <f aca="false">дома!B665</f>
        <v>м.п.</v>
      </c>
      <c r="C239" s="3124" t="n">
        <f aca="false">дома!C665</f>
        <v>0.145</v>
      </c>
      <c r="D239" s="3124" t="n">
        <f aca="false">дома!D665</f>
        <v>0.045</v>
      </c>
      <c r="E239" s="3124" t="n">
        <f aca="false">дома!E665</f>
        <v>0</v>
      </c>
      <c r="F239" s="3124" t="n">
        <f aca="false">дома!F665</f>
        <v>2</v>
      </c>
      <c r="G239" s="3124" t="n">
        <f aca="false">E239*F239*(IF('Ввод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239" s="3124" t="n">
        <f aca="false">дома!G665*(IF('Ввод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240" customFormat="false" ht="15" hidden="false" customHeight="false" outlineLevel="0" collapsed="false">
      <c r="A240" s="3122" t="str">
        <f aca="false">дома!A666</f>
        <v>Стойка каркаса по фронтону, левая сторона, двускатная кровля №15</v>
      </c>
      <c r="B240" s="3123" t="str">
        <f aca="false">дома!B666</f>
        <v>м.п.</v>
      </c>
      <c r="C240" s="3124" t="n">
        <f aca="false">дома!C666</f>
        <v>0.145</v>
      </c>
      <c r="D240" s="3124" t="n">
        <f aca="false">дома!D666</f>
        <v>0.045</v>
      </c>
      <c r="E240" s="3124" t="n">
        <f aca="false">дома!E666</f>
        <v>0</v>
      </c>
      <c r="F240" s="3124" t="n">
        <f aca="false">дома!F666</f>
        <v>2</v>
      </c>
      <c r="G240" s="3124" t="n">
        <f aca="false">E240*F240*(IF('Ввод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240" s="3124" t="n">
        <f aca="false">дома!G666*(IF('Ввод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241" customFormat="false" ht="15" hidden="false" customHeight="false" outlineLevel="0" collapsed="false">
      <c r="A241" s="3122" t="str">
        <f aca="false">дома!A667</f>
        <v>Стойка каркаса по фронтону, левая сторона, двускатная кровля №16</v>
      </c>
      <c r="B241" s="3123" t="str">
        <f aca="false">дома!B667</f>
        <v>м.п.</v>
      </c>
      <c r="C241" s="3124" t="n">
        <f aca="false">дома!C667</f>
        <v>0.145</v>
      </c>
      <c r="D241" s="3124" t="n">
        <f aca="false">дома!D667</f>
        <v>0.045</v>
      </c>
      <c r="E241" s="3124" t="n">
        <f aca="false">дома!E667</f>
        <v>0</v>
      </c>
      <c r="F241" s="3124" t="n">
        <f aca="false">дома!F667</f>
        <v>2</v>
      </c>
      <c r="G241" s="3124" t="n">
        <f aca="false">E241*F241*(IF('Ввод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241" s="3124" t="n">
        <f aca="false">дома!G667*(IF('Ввод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242" customFormat="false" ht="15" hidden="false" customHeight="false" outlineLevel="0" collapsed="false">
      <c r="A242" s="3122" t="str">
        <f aca="false">дома!A668</f>
        <v>Стойка каркаса по фронтону, левая сторона, двускатная кровля №17</v>
      </c>
      <c r="B242" s="3123" t="str">
        <f aca="false">дома!B668</f>
        <v>м.п.</v>
      </c>
      <c r="C242" s="3124" t="n">
        <f aca="false">дома!C668</f>
        <v>0.145</v>
      </c>
      <c r="D242" s="3124" t="n">
        <f aca="false">дома!D668</f>
        <v>0.045</v>
      </c>
      <c r="E242" s="3124" t="n">
        <f aca="false">дома!E668</f>
        <v>0</v>
      </c>
      <c r="F242" s="3124" t="n">
        <f aca="false">дома!F668</f>
        <v>2</v>
      </c>
      <c r="G242" s="3124" t="n">
        <f aca="false">E242*F242*(IF('Ввод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242" s="3124" t="n">
        <f aca="false">дома!G668*(IF('Ввод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243" customFormat="false" ht="15" hidden="false" customHeight="false" outlineLevel="0" collapsed="false">
      <c r="A243" s="3122" t="str">
        <f aca="false">дома!A669</f>
        <v>Стойка каркаса по фронтону, левая сторона, двускатная кровля №18</v>
      </c>
      <c r="B243" s="3123" t="str">
        <f aca="false">дома!B669</f>
        <v>м.п.</v>
      </c>
      <c r="C243" s="3124" t="n">
        <f aca="false">дома!C669</f>
        <v>0.145</v>
      </c>
      <c r="D243" s="3124" t="n">
        <f aca="false">дома!D669</f>
        <v>0.045</v>
      </c>
      <c r="E243" s="3124" t="n">
        <f aca="false">дома!E669</f>
        <v>0</v>
      </c>
      <c r="F243" s="3124" t="n">
        <f aca="false">дома!F669</f>
        <v>2</v>
      </c>
      <c r="G243" s="3124" t="n">
        <f aca="false">E243*F243*(IF('Ввод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243" s="3124" t="n">
        <f aca="false">дома!G669*(IF('Ввод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244" customFormat="false" ht="15" hidden="false" customHeight="false" outlineLevel="0" collapsed="false">
      <c r="A244" s="3122" t="str">
        <f aca="false">дома!A670</f>
        <v>Стойка каркаса по фронтону, левая сторона, двускатная кровля №19</v>
      </c>
      <c r="B244" s="3123" t="str">
        <f aca="false">дома!B670</f>
        <v>м.п.</v>
      </c>
      <c r="C244" s="3124" t="n">
        <f aca="false">дома!C670</f>
        <v>0.145</v>
      </c>
      <c r="D244" s="3124" t="n">
        <f aca="false">дома!D670</f>
        <v>0.045</v>
      </c>
      <c r="E244" s="3124" t="n">
        <f aca="false">дома!E670</f>
        <v>0</v>
      </c>
      <c r="F244" s="3124" t="n">
        <f aca="false">дома!F670</f>
        <v>2</v>
      </c>
      <c r="G244" s="3124" t="n">
        <f aca="false">E244*F244*(IF('Ввод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244" s="3124" t="n">
        <f aca="false">дома!G670*(IF('Ввод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245" customFormat="false" ht="15" hidden="false" customHeight="false" outlineLevel="0" collapsed="false">
      <c r="A245" s="3122" t="str">
        <f aca="false">дома!A671</f>
        <v>Стойка каркаса по фронтону, левая сторона, двускатная кровля №20</v>
      </c>
      <c r="B245" s="3123" t="str">
        <f aca="false">дома!B671</f>
        <v>м.п.</v>
      </c>
      <c r="C245" s="3124" t="n">
        <f aca="false">дома!C671</f>
        <v>0.145</v>
      </c>
      <c r="D245" s="3124" t="n">
        <f aca="false">дома!D671</f>
        <v>0.045</v>
      </c>
      <c r="E245" s="3124" t="n">
        <f aca="false">дома!E671</f>
        <v>0</v>
      </c>
      <c r="F245" s="3124" t="n">
        <f aca="false">дома!F671</f>
        <v>2</v>
      </c>
      <c r="G245" s="3124" t="n">
        <f aca="false">E245*F245*(IF('Ввод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245" s="3124" t="n">
        <f aca="false">дома!G671*(IF('Ввод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246" customFormat="false" ht="15" hidden="false" customHeight="false" outlineLevel="0" collapsed="false">
      <c r="A246" s="3122" t="str">
        <f aca="false">дома!A672</f>
        <v>Стойка каркаса по фронтону, левая сторона, двускатная кровля №21</v>
      </c>
      <c r="B246" s="3123" t="str">
        <f aca="false">дома!B672</f>
        <v>м.п.</v>
      </c>
      <c r="C246" s="3124" t="n">
        <f aca="false">дома!C672</f>
        <v>0.145</v>
      </c>
      <c r="D246" s="3124" t="n">
        <f aca="false">дома!D672</f>
        <v>0.045</v>
      </c>
      <c r="E246" s="3124" t="n">
        <f aca="false">дома!E672</f>
        <v>0</v>
      </c>
      <c r="F246" s="3124" t="n">
        <f aca="false">дома!F672</f>
        <v>2</v>
      </c>
      <c r="G246" s="3124" t="n">
        <f aca="false">E246*F246*(IF('Ввод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246" s="3124" t="n">
        <f aca="false">дома!G672*(IF('Ввод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247" customFormat="false" ht="15" hidden="false" customHeight="false" outlineLevel="0" collapsed="false">
      <c r="A247" s="3122" t="str">
        <f aca="false">дома!A673</f>
        <v>Стойка каркаса по фронтону, левая сторона, двускатная кровля №22</v>
      </c>
      <c r="B247" s="3123" t="str">
        <f aca="false">дома!B673</f>
        <v>м.п.</v>
      </c>
      <c r="C247" s="3124" t="n">
        <f aca="false">дома!C673</f>
        <v>0.145</v>
      </c>
      <c r="D247" s="3124" t="n">
        <f aca="false">дома!D673</f>
        <v>0.045</v>
      </c>
      <c r="E247" s="3124" t="n">
        <f aca="false">дома!E673</f>
        <v>0</v>
      </c>
      <c r="F247" s="3124" t="n">
        <f aca="false">дома!F673</f>
        <v>2</v>
      </c>
      <c r="G247" s="3124" t="n">
        <f aca="false">E247*F247*(IF('Ввод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247" s="3124" t="n">
        <f aca="false">дома!G673*(IF('Ввод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248" customFormat="false" ht="15" hidden="false" customHeight="false" outlineLevel="0" collapsed="false">
      <c r="A248" s="3122" t="str">
        <f aca="false">дома!A674</f>
        <v>Стойка каркаса по фронтону, левая сторона, двускатная кровля №23</v>
      </c>
      <c r="B248" s="3123" t="str">
        <f aca="false">дома!B674</f>
        <v>м.п.</v>
      </c>
      <c r="C248" s="3124" t="n">
        <f aca="false">дома!C674</f>
        <v>0.145</v>
      </c>
      <c r="D248" s="3124" t="n">
        <f aca="false">дома!D674</f>
        <v>0.045</v>
      </c>
      <c r="E248" s="3124" t="n">
        <f aca="false">дома!E674</f>
        <v>0</v>
      </c>
      <c r="F248" s="3124" t="n">
        <f aca="false">дома!F674</f>
        <v>2</v>
      </c>
      <c r="G248" s="3124" t="n">
        <f aca="false">E248*F248*(IF('Ввод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248" s="3124" t="n">
        <f aca="false">дома!G674*(IF('Ввод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249" customFormat="false" ht="15" hidden="false" customHeight="false" outlineLevel="0" collapsed="false">
      <c r="A249" s="3122" t="str">
        <f aca="false">дома!A675</f>
        <v>Стойка каркаса по фронтону, левая сторона, двускатная кровля №24</v>
      </c>
      <c r="B249" s="3123" t="str">
        <f aca="false">дома!B675</f>
        <v>м.п.</v>
      </c>
      <c r="C249" s="3124" t="n">
        <f aca="false">дома!C675</f>
        <v>0.145</v>
      </c>
      <c r="D249" s="3124" t="n">
        <f aca="false">дома!D675</f>
        <v>0.045</v>
      </c>
      <c r="E249" s="3124" t="n">
        <f aca="false">дома!E675</f>
        <v>0</v>
      </c>
      <c r="F249" s="3124" t="n">
        <f aca="false">дома!F675</f>
        <v>2</v>
      </c>
      <c r="G249" s="3124" t="n">
        <f aca="false">E249*F249*(IF('Ввод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249" s="3124" t="n">
        <f aca="false">дома!G675*(IF('Ввод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250" customFormat="false" ht="15" hidden="false" customHeight="false" outlineLevel="0" collapsed="false">
      <c r="A250" s="3122" t="str">
        <f aca="false">дома!A676</f>
        <v>Стойка каркаса по фронтону, левая сторона, двускатная кровля №25</v>
      </c>
      <c r="B250" s="3123" t="str">
        <f aca="false">дома!B676</f>
        <v>м.п.</v>
      </c>
      <c r="C250" s="3124" t="n">
        <f aca="false">дома!C676</f>
        <v>0.145</v>
      </c>
      <c r="D250" s="3124" t="n">
        <f aca="false">дома!D676</f>
        <v>0.045</v>
      </c>
      <c r="E250" s="3124" t="n">
        <f aca="false">дома!E676</f>
        <v>0</v>
      </c>
      <c r="F250" s="3124" t="n">
        <f aca="false">дома!F676</f>
        <v>2</v>
      </c>
      <c r="G250" s="3124" t="n">
        <f aca="false">E250*F250*(IF('Ввод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250" s="3124" t="n">
        <f aca="false">дома!G676*(IF('Ввод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251" customFormat="false" ht="15" hidden="false" customHeight="false" outlineLevel="0" collapsed="false">
      <c r="A251" s="3122" t="str">
        <f aca="false">дома!A677</f>
        <v>Стойка каркаса по фронтону, левая сторона, двускатная кровля №26</v>
      </c>
      <c r="B251" s="3123" t="str">
        <f aca="false">дома!B677</f>
        <v>м.п.</v>
      </c>
      <c r="C251" s="3124" t="n">
        <f aca="false">дома!C677</f>
        <v>0.145</v>
      </c>
      <c r="D251" s="3124" t="n">
        <f aca="false">дома!D677</f>
        <v>0.045</v>
      </c>
      <c r="E251" s="3124" t="n">
        <f aca="false">дома!E677</f>
        <v>0</v>
      </c>
      <c r="F251" s="3124" t="n">
        <f aca="false">дома!F677</f>
        <v>2</v>
      </c>
      <c r="G251" s="3124" t="n">
        <f aca="false">E251*F251*(IF('Ввод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251" s="3124" t="n">
        <f aca="false">дома!G677*(IF('Ввод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252" customFormat="false" ht="15" hidden="false" customHeight="false" outlineLevel="0" collapsed="false">
      <c r="A252" s="3122" t="str">
        <f aca="false">дома!A678</f>
        <v>Стойка каркаса по фронтону, левая сторона, двускатная кровля №27</v>
      </c>
      <c r="B252" s="3123" t="str">
        <f aca="false">дома!B678</f>
        <v>м.п.</v>
      </c>
      <c r="C252" s="3124" t="n">
        <f aca="false">дома!C678</f>
        <v>0.145</v>
      </c>
      <c r="D252" s="3124" t="n">
        <f aca="false">дома!D678</f>
        <v>0.045</v>
      </c>
      <c r="E252" s="3124" t="n">
        <f aca="false">дома!E678</f>
        <v>0</v>
      </c>
      <c r="F252" s="3124" t="n">
        <f aca="false">дома!F678</f>
        <v>2</v>
      </c>
      <c r="G252" s="3124" t="n">
        <f aca="false">E252*F252*(IF('Ввод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252" s="3124" t="n">
        <f aca="false">дома!G678*(IF('Ввод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253" customFormat="false" ht="15" hidden="false" customHeight="false" outlineLevel="0" collapsed="false">
      <c r="A253" s="3122" t="str">
        <f aca="false">дома!A679</f>
        <v>Стойка каркаса по фронтону, левая сторона, двускатная кровля №28</v>
      </c>
      <c r="B253" s="3123" t="str">
        <f aca="false">дома!B679</f>
        <v>м.п.</v>
      </c>
      <c r="C253" s="3124" t="n">
        <f aca="false">дома!C679</f>
        <v>0.145</v>
      </c>
      <c r="D253" s="3124" t="n">
        <f aca="false">дома!D679</f>
        <v>0.045</v>
      </c>
      <c r="E253" s="3124" t="n">
        <f aca="false">дома!E679</f>
        <v>0</v>
      </c>
      <c r="F253" s="3124" t="n">
        <f aca="false">дома!F679</f>
        <v>2</v>
      </c>
      <c r="G253" s="3124" t="n">
        <f aca="false">E253*F253*(IF('Ввод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253" s="3124" t="n">
        <f aca="false">дома!G679*(IF('Ввод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254" customFormat="false" ht="15" hidden="false" customHeight="false" outlineLevel="0" collapsed="false">
      <c r="A254" s="3122" t="str">
        <f aca="false">дома!A680</f>
        <v>Стойка каркаса по фронтону, левая сторона, двускатная кровля №29</v>
      </c>
      <c r="B254" s="3123" t="str">
        <f aca="false">дома!B680</f>
        <v>м.п.</v>
      </c>
      <c r="C254" s="3124" t="n">
        <f aca="false">дома!C680</f>
        <v>0.145</v>
      </c>
      <c r="D254" s="3124" t="n">
        <f aca="false">дома!D680</f>
        <v>0.045</v>
      </c>
      <c r="E254" s="3124" t="n">
        <f aca="false">дома!E680</f>
        <v>0</v>
      </c>
      <c r="F254" s="3124" t="n">
        <f aca="false">дома!F680</f>
        <v>2</v>
      </c>
      <c r="G254" s="3124" t="n">
        <f aca="false">E254*F254*(IF('Ввод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254" s="3124" t="n">
        <f aca="false">дома!G680*(IF('Ввод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255" customFormat="false" ht="15" hidden="false" customHeight="false" outlineLevel="0" collapsed="false">
      <c r="A255" s="3122" t="str">
        <f aca="false">дома!A681</f>
        <v>Стойка каркаса по фронтону, левая сторона, двускатная кровля №30</v>
      </c>
      <c r="B255" s="3123" t="str">
        <f aca="false">дома!B681</f>
        <v>м.п.</v>
      </c>
      <c r="C255" s="3124" t="n">
        <f aca="false">дома!C681</f>
        <v>0.145</v>
      </c>
      <c r="D255" s="3124" t="n">
        <f aca="false">дома!D681</f>
        <v>0.045</v>
      </c>
      <c r="E255" s="3124" t="n">
        <f aca="false">дома!E681</f>
        <v>0</v>
      </c>
      <c r="F255" s="3124" t="n">
        <f aca="false">дома!F681</f>
        <v>2</v>
      </c>
      <c r="G255" s="3124" t="n">
        <f aca="false">E255*F255*(IF('Ввод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255" s="3124" t="n">
        <f aca="false">дома!G681*(IF('Ввод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256" customFormat="false" ht="15" hidden="false" customHeight="false" outlineLevel="0" collapsed="false">
      <c r="A256" s="3122" t="str">
        <f aca="false">дома!A682</f>
        <v>Стойка каркаса по фронтону, левая сторона, двускатная кровля №31</v>
      </c>
      <c r="B256" s="3123" t="str">
        <f aca="false">дома!B682</f>
        <v>м.п.</v>
      </c>
      <c r="C256" s="3124" t="n">
        <f aca="false">дома!C682</f>
        <v>0.145</v>
      </c>
      <c r="D256" s="3124" t="n">
        <f aca="false">дома!D682</f>
        <v>0.045</v>
      </c>
      <c r="E256" s="3124" t="n">
        <f aca="false">дома!E682</f>
        <v>0</v>
      </c>
      <c r="F256" s="3124" t="n">
        <f aca="false">дома!F682</f>
        <v>2</v>
      </c>
      <c r="G256" s="3124" t="n">
        <f aca="false">E256*F256*(IF('Ввод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256" s="3124" t="n">
        <f aca="false">дома!G682*(IF('Ввод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257" customFormat="false" ht="15" hidden="false" customHeight="false" outlineLevel="0" collapsed="false">
      <c r="A257" s="3122" t="str">
        <f aca="false">дома!A683</f>
        <v>Обвязка каркаса фронтона верхняя,двускатная кровля</v>
      </c>
      <c r="B257" s="3123" t="str">
        <f aca="false">дома!B683</f>
        <v>м.п.</v>
      </c>
      <c r="C257" s="3124" t="n">
        <f aca="false">дома!C683</f>
        <v>0.145</v>
      </c>
      <c r="D257" s="3124" t="n">
        <f aca="false">дома!D683</f>
        <v>0.045</v>
      </c>
      <c r="E257" s="3124" t="n">
        <f aca="false">дома!E683</f>
        <v>5.51224999433081</v>
      </c>
      <c r="F257" s="3124" t="n">
        <f aca="false">дома!F683</f>
        <v>2</v>
      </c>
      <c r="G257" s="3124" t="n">
        <f aca="false">E257*F257*(IF('Ввод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257" s="3124" t="n">
        <f aca="false">дома!G683*(IF('Ввод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258" customFormat="false" ht="15" hidden="false" customHeight="false" outlineLevel="0" collapsed="false">
      <c r="A258" s="3122" t="str">
        <f aca="false">дома!A684</f>
        <v>Обвязка каркаса фронтона нижняя,двускатная кровля</v>
      </c>
      <c r="B258" s="3123" t="str">
        <f aca="false">дома!B684</f>
        <v>м.п.</v>
      </c>
      <c r="C258" s="3124" t="n">
        <f aca="false">дома!C684</f>
        <v>0.145</v>
      </c>
      <c r="D258" s="3124" t="n">
        <f aca="false">дома!D684</f>
        <v>0.045</v>
      </c>
      <c r="E258" s="3124" t="n">
        <f aca="false">дома!E684</f>
        <v>4</v>
      </c>
      <c r="F258" s="3124" t="n">
        <f aca="false">дома!F684</f>
        <v>2</v>
      </c>
      <c r="G258" s="3124" t="n">
        <f aca="false">E258*F258*(IF('Ввод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258" s="3124" t="n">
        <f aca="false">дома!G684*(IF('Ввод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259" customFormat="false" ht="15" hidden="false" customHeight="false" outlineLevel="0" collapsed="false">
      <c r="A259" s="3122" t="str">
        <f aca="false">дома!A685</f>
        <v>Ригель каркаса фронтона,двускатная кровля</v>
      </c>
      <c r="B259" s="3123" t="str">
        <f aca="false">дома!B685</f>
        <v>м.п.</v>
      </c>
      <c r="C259" s="3124" t="n">
        <f aca="false">дома!C685</f>
        <v>0.145</v>
      </c>
      <c r="D259" s="3124" t="n">
        <f aca="false">дома!D685</f>
        <v>0.045</v>
      </c>
      <c r="E259" s="3124" t="n">
        <f aca="false">дома!E685</f>
        <v>5.51224999433081</v>
      </c>
      <c r="F259" s="3124" t="n">
        <f aca="false">дома!F685</f>
        <v>2</v>
      </c>
      <c r="G259" s="3124" t="n">
        <f aca="false">E259*F259*(IF('Ввод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259" s="3124" t="n">
        <f aca="false">дома!G685*(IF('Ввод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260" customFormat="false" ht="15" hidden="false" customHeight="false" outlineLevel="0" collapsed="false">
      <c r="A260" s="3122" t="str">
        <f aca="false">дома!A686</f>
        <v>Стойка каркаса по фронтону, левая сторона, двускатная кровля №32</v>
      </c>
      <c r="B260" s="3123" t="str">
        <f aca="false">дома!B686</f>
        <v>м.п.</v>
      </c>
      <c r="C260" s="3124" t="n">
        <f aca="false">дома!C686</f>
        <v>0.145</v>
      </c>
      <c r="D260" s="3124" t="n">
        <f aca="false">дома!D686</f>
        <v>0.045</v>
      </c>
      <c r="E260" s="3124" t="n">
        <f aca="false">дома!E686</f>
        <v>1.6</v>
      </c>
      <c r="F260" s="3124" t="n">
        <f aca="false">дома!F686</f>
        <v>2</v>
      </c>
      <c r="G260" s="3124" t="n">
        <f aca="false">E260*F260*(IF('Ввод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260" s="3124" t="n">
        <f aca="false">дома!G686*(IF('Ввод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261" customFormat="false" ht="15" hidden="false" customHeight="false" outlineLevel="0" collapsed="false">
      <c r="A261" s="3122" t="str">
        <f aca="false">дома!A687</f>
        <v>Стойка каркаса по фронтону, левая сторона, двускатная кровля №33</v>
      </c>
      <c r="B261" s="3123" t="str">
        <f aca="false">дома!B687</f>
        <v>м.п.</v>
      </c>
      <c r="C261" s="3124" t="n">
        <f aca="false">дома!C687</f>
        <v>0.145</v>
      </c>
      <c r="D261" s="3124" t="n">
        <f aca="false">дома!D687</f>
        <v>0.045</v>
      </c>
      <c r="E261" s="3124" t="n">
        <f aca="false">дома!E687</f>
        <v>2.08571428571429</v>
      </c>
      <c r="F261" s="3124" t="n">
        <f aca="false">дома!F687</f>
        <v>2</v>
      </c>
      <c r="G261" s="3124" t="n">
        <f aca="false">E261*F261*(IF('Ввод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261" s="3124" t="n">
        <f aca="false">дома!G687*(IF('Ввод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262" customFormat="false" ht="15" hidden="false" customHeight="false" outlineLevel="0" collapsed="false">
      <c r="A262" s="3122" t="str">
        <f aca="false">дома!A688</f>
        <v>Стойка каркаса по фронтону, левая сторона, двускатная кровля №34</v>
      </c>
      <c r="B262" s="3123" t="str">
        <f aca="false">дома!B688</f>
        <v>м.п.</v>
      </c>
      <c r="C262" s="3124" t="n">
        <f aca="false">дома!C688</f>
        <v>0.145</v>
      </c>
      <c r="D262" s="3124" t="n">
        <f aca="false">дома!D688</f>
        <v>0.045</v>
      </c>
      <c r="E262" s="3124" t="n">
        <f aca="false">дома!E688</f>
        <v>2.57142857142857</v>
      </c>
      <c r="F262" s="3124" t="n">
        <f aca="false">дома!F688</f>
        <v>2</v>
      </c>
      <c r="G262" s="3124" t="n">
        <f aca="false">E262*F262*(IF('Ввод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262" s="3124" t="n">
        <f aca="false">дома!G688*(IF('Ввод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263" customFormat="false" ht="15" hidden="false" customHeight="false" outlineLevel="0" collapsed="false">
      <c r="A263" s="3122" t="str">
        <f aca="false">дома!A689</f>
        <v>Стойка каркаса по фронтону, левая сторона, двускатная кровля №35</v>
      </c>
      <c r="B263" s="3123" t="str">
        <f aca="false">дома!B689</f>
        <v>м.п.</v>
      </c>
      <c r="C263" s="3124" t="n">
        <f aca="false">дома!C689</f>
        <v>0.145</v>
      </c>
      <c r="D263" s="3124" t="n">
        <f aca="false">дома!D689</f>
        <v>0.045</v>
      </c>
      <c r="E263" s="3124" t="n">
        <f aca="false">дома!E689</f>
        <v>3.05714285714286</v>
      </c>
      <c r="F263" s="3124" t="n">
        <f aca="false">дома!F689</f>
        <v>2</v>
      </c>
      <c r="G263" s="3124" t="n">
        <f aca="false">E263*F263*(IF('Ввод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263" s="3124" t="n">
        <f aca="false">дома!G689*(IF('Ввод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264" customFormat="false" ht="15" hidden="false" customHeight="false" outlineLevel="0" collapsed="false">
      <c r="A264" s="3122" t="str">
        <f aca="false">дома!A690</f>
        <v>Стойка каркаса по фронтону, левая сторона, двускатная кровля №36</v>
      </c>
      <c r="B264" s="3123" t="str">
        <f aca="false">дома!B690</f>
        <v>м.п.</v>
      </c>
      <c r="C264" s="3124" t="n">
        <f aca="false">дома!C690</f>
        <v>0.145</v>
      </c>
      <c r="D264" s="3124" t="n">
        <f aca="false">дома!D690</f>
        <v>0.045</v>
      </c>
      <c r="E264" s="3124" t="n">
        <f aca="false">дома!E690</f>
        <v>3.54285714285714</v>
      </c>
      <c r="F264" s="3124" t="n">
        <f aca="false">дома!F690</f>
        <v>2</v>
      </c>
      <c r="G264" s="3124" t="n">
        <f aca="false">E264*F264*(IF('Ввод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264" s="3124" t="n">
        <f aca="false">дома!G690*(IF('Ввод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265" customFormat="false" ht="15" hidden="false" customHeight="false" outlineLevel="0" collapsed="false">
      <c r="A265" s="3122" t="str">
        <f aca="false">дома!A691</f>
        <v>Стойка каркаса по фронтону, левая сторона, двускатная кровля №37</v>
      </c>
      <c r="B265" s="3123" t="str">
        <f aca="false">дома!B691</f>
        <v>м.п.</v>
      </c>
      <c r="C265" s="3124" t="n">
        <f aca="false">дома!C691</f>
        <v>0.145</v>
      </c>
      <c r="D265" s="3124" t="n">
        <f aca="false">дома!D691</f>
        <v>0.045</v>
      </c>
      <c r="E265" s="3124" t="n">
        <f aca="false">дома!E691</f>
        <v>4.02857142857143</v>
      </c>
      <c r="F265" s="3124" t="n">
        <f aca="false">дома!F691</f>
        <v>2</v>
      </c>
      <c r="G265" s="3124" t="n">
        <f aca="false">E265*F265*(IF('Ввод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265" s="3124" t="n">
        <f aca="false">дома!G691*(IF('Ввод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266" customFormat="false" ht="15" hidden="false" customHeight="false" outlineLevel="0" collapsed="false">
      <c r="A266" s="3122" t="str">
        <f aca="false">дома!A692</f>
        <v>Стойка каркаса по фронтону, левая сторона, двускатная кровля №38</v>
      </c>
      <c r="B266" s="3123" t="str">
        <f aca="false">дома!B692</f>
        <v>м.п.</v>
      </c>
      <c r="C266" s="3124" t="n">
        <f aca="false">дома!C692</f>
        <v>0.145</v>
      </c>
      <c r="D266" s="3124" t="n">
        <f aca="false">дома!D692</f>
        <v>0.045</v>
      </c>
      <c r="E266" s="3124" t="n">
        <f aca="false">дома!E692</f>
        <v>4.51428571428571</v>
      </c>
      <c r="F266" s="3124" t="n">
        <f aca="false">дома!F692</f>
        <v>2</v>
      </c>
      <c r="G266" s="3124" t="n">
        <f aca="false">E266*F266*(IF('Ввод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266" s="3124" t="n">
        <f aca="false">дома!G692*(IF('Ввод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267" customFormat="false" ht="15" hidden="false" customHeight="false" outlineLevel="0" collapsed="false">
      <c r="A267" s="3122" t="str">
        <f aca="false">дома!A693</f>
        <v>Стойка каркаса по фронтону, левая сторона, двускатная кровля №39</v>
      </c>
      <c r="B267" s="3123" t="str">
        <f aca="false">дома!B693</f>
        <v>м.п.</v>
      </c>
      <c r="C267" s="3124" t="n">
        <f aca="false">дома!C693</f>
        <v>0.145</v>
      </c>
      <c r="D267" s="3124" t="n">
        <f aca="false">дома!D693</f>
        <v>0.045</v>
      </c>
      <c r="E267" s="3124" t="n">
        <f aca="false">дома!E693</f>
        <v>5</v>
      </c>
      <c r="F267" s="3124" t="n">
        <f aca="false">дома!F693</f>
        <v>2</v>
      </c>
      <c r="G267" s="3124" t="n">
        <f aca="false">E267*F267*(IF('Ввод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267" s="3124" t="n">
        <f aca="false">дома!G693*(IF('Ввод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268" customFormat="false" ht="15" hidden="false" customHeight="false" outlineLevel="0" collapsed="false">
      <c r="A268" s="3122" t="str">
        <f aca="false">дома!A694</f>
        <v>Стойка каркаса по фронтону, левая сторона, двускатная кровля №40</v>
      </c>
      <c r="B268" s="3123" t="str">
        <f aca="false">дома!B694</f>
        <v>м.п.</v>
      </c>
      <c r="C268" s="3124" t="n">
        <f aca="false">дома!C694</f>
        <v>0.145</v>
      </c>
      <c r="D268" s="3124" t="n">
        <f aca="false">дома!D694</f>
        <v>0.045</v>
      </c>
      <c r="E268" s="3124" t="n">
        <f aca="false">дома!E694</f>
        <v>0</v>
      </c>
      <c r="F268" s="3124" t="n">
        <f aca="false">дома!F694</f>
        <v>2</v>
      </c>
      <c r="G268" s="3124" t="n">
        <f aca="false">E268*F268*(IF('Ввод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268" s="3124" t="n">
        <f aca="false">дома!G694*(IF('Ввод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269" customFormat="false" ht="15" hidden="false" customHeight="false" outlineLevel="0" collapsed="false">
      <c r="A269" s="3122" t="str">
        <f aca="false">дома!A695</f>
        <v>Стойка каркаса по фронтону, левая сторона, двускатная кровля №41</v>
      </c>
      <c r="B269" s="3123" t="str">
        <f aca="false">дома!B695</f>
        <v>м.п.</v>
      </c>
      <c r="C269" s="3124" t="n">
        <f aca="false">дома!C695</f>
        <v>0.145</v>
      </c>
      <c r="D269" s="3124" t="n">
        <f aca="false">дома!D695</f>
        <v>0.045</v>
      </c>
      <c r="E269" s="3124" t="n">
        <f aca="false">дома!E695</f>
        <v>0</v>
      </c>
      <c r="F269" s="3124" t="n">
        <f aca="false">дома!F695</f>
        <v>2</v>
      </c>
      <c r="G269" s="3124" t="n">
        <f aca="false">E269*F269*(IF('Ввод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269" s="3124" t="n">
        <f aca="false">дома!G695*(IF('Ввод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270" customFormat="false" ht="15" hidden="false" customHeight="false" outlineLevel="0" collapsed="false">
      <c r="A270" s="3122" t="str">
        <f aca="false">дома!A696</f>
        <v>Стойка каркаса по фронтону, левая сторона, двускатная кровля №42</v>
      </c>
      <c r="B270" s="3123" t="str">
        <f aca="false">дома!B696</f>
        <v>м.п.</v>
      </c>
      <c r="C270" s="3124" t="n">
        <f aca="false">дома!C696</f>
        <v>0.145</v>
      </c>
      <c r="D270" s="3124" t="n">
        <f aca="false">дома!D696</f>
        <v>0.045</v>
      </c>
      <c r="E270" s="3124" t="n">
        <f aca="false">дома!E696</f>
        <v>0</v>
      </c>
      <c r="F270" s="3124" t="n">
        <f aca="false">дома!F696</f>
        <v>2</v>
      </c>
      <c r="G270" s="3124" t="n">
        <f aca="false">E270*F270*(IF('Ввод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270" s="3124" t="n">
        <f aca="false">дома!G696*(IF('Ввод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271" customFormat="false" ht="15" hidden="false" customHeight="false" outlineLevel="0" collapsed="false">
      <c r="A271" s="3122" t="str">
        <f aca="false">дома!A697</f>
        <v>Стойка каркаса по фронтону, левая сторона, двускатная кровля №43</v>
      </c>
      <c r="B271" s="3123" t="str">
        <f aca="false">дома!B697</f>
        <v>м.п.</v>
      </c>
      <c r="C271" s="3124" t="n">
        <f aca="false">дома!C697</f>
        <v>0.145</v>
      </c>
      <c r="D271" s="3124" t="n">
        <f aca="false">дома!D697</f>
        <v>0.045</v>
      </c>
      <c r="E271" s="3124" t="n">
        <f aca="false">дома!E697</f>
        <v>0</v>
      </c>
      <c r="F271" s="3124" t="n">
        <f aca="false">дома!F697</f>
        <v>2</v>
      </c>
      <c r="G271" s="3124" t="n">
        <f aca="false">E271*F271*(IF('Ввод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271" s="3124" t="n">
        <f aca="false">дома!G697*(IF('Ввод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272" customFormat="false" ht="15" hidden="false" customHeight="false" outlineLevel="0" collapsed="false">
      <c r="A272" s="3122" t="str">
        <f aca="false">дома!A698</f>
        <v>Стойка каркаса по фронтону, левая сторона, двускатная кровля №44</v>
      </c>
      <c r="B272" s="3123" t="str">
        <f aca="false">дома!B698</f>
        <v>м.п.</v>
      </c>
      <c r="C272" s="3124" t="n">
        <f aca="false">дома!C698</f>
        <v>0.145</v>
      </c>
      <c r="D272" s="3124" t="n">
        <f aca="false">дома!D698</f>
        <v>0.045</v>
      </c>
      <c r="E272" s="3124" t="n">
        <f aca="false">дома!E698</f>
        <v>0</v>
      </c>
      <c r="F272" s="3124" t="n">
        <f aca="false">дома!F698</f>
        <v>2</v>
      </c>
      <c r="G272" s="3124" t="n">
        <f aca="false">E272*F272*(IF('Ввод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272" s="3124" t="n">
        <f aca="false">дома!G698*(IF('Ввод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273" customFormat="false" ht="15" hidden="false" customHeight="false" outlineLevel="0" collapsed="false">
      <c r="A273" s="3122" t="str">
        <f aca="false">дома!A699</f>
        <v>Стойка каркаса по фронтону, левая сторона, двускатная кровля №45</v>
      </c>
      <c r="B273" s="3123" t="str">
        <f aca="false">дома!B699</f>
        <v>м.п.</v>
      </c>
      <c r="C273" s="3124" t="n">
        <f aca="false">дома!C699</f>
        <v>0.145</v>
      </c>
      <c r="D273" s="3124" t="n">
        <f aca="false">дома!D699</f>
        <v>0.045</v>
      </c>
      <c r="E273" s="3124" t="n">
        <f aca="false">дома!E699</f>
        <v>0</v>
      </c>
      <c r="F273" s="3124" t="n">
        <f aca="false">дома!F699</f>
        <v>2</v>
      </c>
      <c r="G273" s="3124" t="n">
        <f aca="false">E273*F273*(IF('Ввод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273" s="3124" t="n">
        <f aca="false">дома!G699*(IF('Ввод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274" customFormat="false" ht="15" hidden="false" customHeight="false" outlineLevel="0" collapsed="false">
      <c r="A274" s="3122" t="str">
        <f aca="false">дома!A700</f>
        <v>Стойка каркаса по фронтону, левая сторона, двускатная кровля №46</v>
      </c>
      <c r="B274" s="3123" t="str">
        <f aca="false">дома!B700</f>
        <v>м.п.</v>
      </c>
      <c r="C274" s="3124" t="n">
        <f aca="false">дома!C700</f>
        <v>0.145</v>
      </c>
      <c r="D274" s="3124" t="n">
        <f aca="false">дома!D700</f>
        <v>0.045</v>
      </c>
      <c r="E274" s="3124" t="n">
        <f aca="false">дома!E700</f>
        <v>0</v>
      </c>
      <c r="F274" s="3124" t="n">
        <f aca="false">дома!F700</f>
        <v>2</v>
      </c>
      <c r="G274" s="3124" t="n">
        <f aca="false">E274*F274*(IF('Ввод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274" s="3124" t="n">
        <f aca="false">дома!G700*(IF('Ввод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275" customFormat="false" ht="15" hidden="false" customHeight="false" outlineLevel="0" collapsed="false">
      <c r="A275" s="3122" t="str">
        <f aca="false">дома!A701</f>
        <v>Стойка каркаса по фронтону, левая сторона, двускатная кровля №47</v>
      </c>
      <c r="B275" s="3123" t="str">
        <f aca="false">дома!B701</f>
        <v>м.п.</v>
      </c>
      <c r="C275" s="3124" t="n">
        <f aca="false">дома!C701</f>
        <v>0.145</v>
      </c>
      <c r="D275" s="3124" t="n">
        <f aca="false">дома!D701</f>
        <v>0.045</v>
      </c>
      <c r="E275" s="3124" t="n">
        <f aca="false">дома!E701</f>
        <v>0</v>
      </c>
      <c r="F275" s="3124" t="n">
        <f aca="false">дома!F701</f>
        <v>2</v>
      </c>
      <c r="G275" s="3124" t="n">
        <f aca="false">E275*F275*(IF('Ввод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275" s="3124" t="n">
        <f aca="false">дома!G701*(IF('Ввод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276" customFormat="false" ht="15" hidden="false" customHeight="false" outlineLevel="0" collapsed="false">
      <c r="A276" s="3122" t="str">
        <f aca="false">дома!A702</f>
        <v>Стойка каркаса по фронтону, левая сторона, двускатная кровля №48</v>
      </c>
      <c r="B276" s="3123" t="str">
        <f aca="false">дома!B702</f>
        <v>м.п.</v>
      </c>
      <c r="C276" s="3124" t="n">
        <f aca="false">дома!C702</f>
        <v>0.145</v>
      </c>
      <c r="D276" s="3124" t="n">
        <f aca="false">дома!D702</f>
        <v>0.045</v>
      </c>
      <c r="E276" s="3124" t="n">
        <f aca="false">дома!E702</f>
        <v>0</v>
      </c>
      <c r="F276" s="3124" t="n">
        <f aca="false">дома!F702</f>
        <v>2</v>
      </c>
      <c r="G276" s="3124" t="n">
        <f aca="false">E276*F276*(IF('Ввод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276" s="3124" t="n">
        <f aca="false">дома!G702*(IF('Ввод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277" customFormat="false" ht="15" hidden="false" customHeight="false" outlineLevel="0" collapsed="false">
      <c r="A277" s="3122" t="str">
        <f aca="false">дома!A703</f>
        <v>Стойка каркаса по фронтону, левая сторона, двускатная кровля №49</v>
      </c>
      <c r="B277" s="3123" t="str">
        <f aca="false">дома!B703</f>
        <v>м.п.</v>
      </c>
      <c r="C277" s="3124" t="n">
        <f aca="false">дома!C703</f>
        <v>0.145</v>
      </c>
      <c r="D277" s="3124" t="n">
        <f aca="false">дома!D703</f>
        <v>0.045</v>
      </c>
      <c r="E277" s="3124" t="n">
        <f aca="false">дома!E703</f>
        <v>0</v>
      </c>
      <c r="F277" s="3124" t="n">
        <f aca="false">дома!F703</f>
        <v>2</v>
      </c>
      <c r="G277" s="3124" t="n">
        <f aca="false">E277*F277*(IF('Ввод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277" s="3124" t="n">
        <f aca="false">дома!G703*(IF('Ввод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278" customFormat="false" ht="15" hidden="false" customHeight="false" outlineLevel="0" collapsed="false">
      <c r="A278" s="3122" t="str">
        <f aca="false">дома!A704</f>
        <v>Стойка каркаса по фронтону, левая сторона, двускатная кровля №50</v>
      </c>
      <c r="B278" s="3123" t="str">
        <f aca="false">дома!B704</f>
        <v>м.п.</v>
      </c>
      <c r="C278" s="3124" t="n">
        <f aca="false">дома!C704</f>
        <v>0.145</v>
      </c>
      <c r="D278" s="3124" t="n">
        <f aca="false">дома!D704</f>
        <v>0.045</v>
      </c>
      <c r="E278" s="3124" t="n">
        <f aca="false">дома!E704</f>
        <v>0</v>
      </c>
      <c r="F278" s="3124" t="n">
        <f aca="false">дома!F704</f>
        <v>2</v>
      </c>
      <c r="G278" s="3124" t="n">
        <f aca="false">E278*F278*(IF('Ввод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278" s="3124" t="n">
        <f aca="false">дома!G704*(IF('Ввод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279" customFormat="false" ht="15" hidden="false" customHeight="false" outlineLevel="0" collapsed="false">
      <c r="A279" s="3122" t="str">
        <f aca="false">дома!A705</f>
        <v>Стойка каркаса по фронтону, левая сторона, двускатная кровля №51</v>
      </c>
      <c r="B279" s="3123" t="str">
        <f aca="false">дома!B705</f>
        <v>м.п.</v>
      </c>
      <c r="C279" s="3124" t="n">
        <f aca="false">дома!C705</f>
        <v>0.145</v>
      </c>
      <c r="D279" s="3124" t="n">
        <f aca="false">дома!D705</f>
        <v>0.045</v>
      </c>
      <c r="E279" s="3124" t="n">
        <f aca="false">дома!E705</f>
        <v>0</v>
      </c>
      <c r="F279" s="3124" t="n">
        <f aca="false">дома!F705</f>
        <v>2</v>
      </c>
      <c r="G279" s="3124" t="n">
        <f aca="false">E279*F279*(IF('Ввод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279" s="3124" t="n">
        <f aca="false">дома!G705*(IF('Ввод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280" customFormat="false" ht="15" hidden="false" customHeight="false" outlineLevel="0" collapsed="false">
      <c r="A280" s="3122" t="str">
        <f aca="false">дома!A706</f>
        <v>Стойка каркаса по фронтону, левая сторона, двускатная кровля №52</v>
      </c>
      <c r="B280" s="3123" t="str">
        <f aca="false">дома!B706</f>
        <v>м.п.</v>
      </c>
      <c r="C280" s="3124" t="n">
        <f aca="false">дома!C706</f>
        <v>0.145</v>
      </c>
      <c r="D280" s="3124" t="n">
        <f aca="false">дома!D706</f>
        <v>0.045</v>
      </c>
      <c r="E280" s="3124" t="n">
        <f aca="false">дома!E706</f>
        <v>0</v>
      </c>
      <c r="F280" s="3124" t="n">
        <f aca="false">дома!F706</f>
        <v>2</v>
      </c>
      <c r="G280" s="3124" t="n">
        <f aca="false">E280*F280*(IF('Ввод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280" s="3124" t="n">
        <f aca="false">дома!G706*(IF('Ввод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281" customFormat="false" ht="15" hidden="false" customHeight="false" outlineLevel="0" collapsed="false">
      <c r="A281" s="3122" t="str">
        <f aca="false">дома!A707</f>
        <v>Стойка каркаса по фронтону, левая сторона, двускатная кровля №53</v>
      </c>
      <c r="B281" s="3123" t="str">
        <f aca="false">дома!B707</f>
        <v>м.п.</v>
      </c>
      <c r="C281" s="3124" t="n">
        <f aca="false">дома!C707</f>
        <v>0.145</v>
      </c>
      <c r="D281" s="3124" t="n">
        <f aca="false">дома!D707</f>
        <v>0.045</v>
      </c>
      <c r="E281" s="3124" t="n">
        <f aca="false">дома!E707</f>
        <v>0</v>
      </c>
      <c r="F281" s="3124" t="n">
        <f aca="false">дома!F707</f>
        <v>2</v>
      </c>
      <c r="G281" s="3124" t="n">
        <f aca="false">E281*F281*(IF('Ввод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281" s="3124" t="n">
        <f aca="false">дома!G707*(IF('Ввод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282" customFormat="false" ht="15" hidden="false" customHeight="false" outlineLevel="0" collapsed="false">
      <c r="A282" s="3122" t="str">
        <f aca="false">дома!A708</f>
        <v>Стойка каркаса по фронтону, левая сторона, двускатная кровля №54</v>
      </c>
      <c r="B282" s="3123" t="str">
        <f aca="false">дома!B708</f>
        <v>м.п.</v>
      </c>
      <c r="C282" s="3124" t="n">
        <f aca="false">дома!C708</f>
        <v>0.145</v>
      </c>
      <c r="D282" s="3124" t="n">
        <f aca="false">дома!D708</f>
        <v>0.045</v>
      </c>
      <c r="E282" s="3124" t="n">
        <f aca="false">дома!E708</f>
        <v>0</v>
      </c>
      <c r="F282" s="3124" t="n">
        <f aca="false">дома!F708</f>
        <v>2</v>
      </c>
      <c r="G282" s="3124" t="n">
        <f aca="false">E282*F282*(IF('Ввод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282" s="3124" t="n">
        <f aca="false">дома!G708*(IF('Ввод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283" customFormat="false" ht="15" hidden="false" customHeight="false" outlineLevel="0" collapsed="false">
      <c r="A283" s="3122" t="str">
        <f aca="false">дома!A709</f>
        <v>Стойка каркаса по фронтону, левая сторона, двускатная кровля №55</v>
      </c>
      <c r="B283" s="3123" t="str">
        <f aca="false">дома!B709</f>
        <v>м.п.</v>
      </c>
      <c r="C283" s="3124" t="n">
        <f aca="false">дома!C709</f>
        <v>0.145</v>
      </c>
      <c r="D283" s="3124" t="n">
        <f aca="false">дома!D709</f>
        <v>0.045</v>
      </c>
      <c r="E283" s="3124" t="n">
        <f aca="false">дома!E709</f>
        <v>0</v>
      </c>
      <c r="F283" s="3124" t="n">
        <f aca="false">дома!F709</f>
        <v>2</v>
      </c>
      <c r="G283" s="3124" t="n">
        <f aca="false">E283*F283*(IF('Ввод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283" s="3124" t="n">
        <f aca="false">дома!G709*(IF('Ввод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284" customFormat="false" ht="15" hidden="false" customHeight="false" outlineLevel="0" collapsed="false">
      <c r="A284" s="3122" t="str">
        <f aca="false">дома!A710</f>
        <v>Стойка каркаса по фронтону, левая сторона, двускатная кровля №56</v>
      </c>
      <c r="B284" s="3123" t="str">
        <f aca="false">дома!B710</f>
        <v>м.п.</v>
      </c>
      <c r="C284" s="3124" t="n">
        <f aca="false">дома!C710</f>
        <v>0.145</v>
      </c>
      <c r="D284" s="3124" t="n">
        <f aca="false">дома!D710</f>
        <v>0.045</v>
      </c>
      <c r="E284" s="3124" t="n">
        <f aca="false">дома!E710</f>
        <v>0</v>
      </c>
      <c r="F284" s="3124" t="n">
        <f aca="false">дома!F710</f>
        <v>2</v>
      </c>
      <c r="G284" s="3124" t="n">
        <f aca="false">E284*F284*(IF('Ввод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284" s="3124" t="n">
        <f aca="false">дома!G710*(IF('Ввод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285" customFormat="false" ht="15" hidden="false" customHeight="false" outlineLevel="0" collapsed="false">
      <c r="A285" s="3122" t="str">
        <f aca="false">дома!A711</f>
        <v>Стойка каркаса по фронтону, левая сторона, двускатная кровля №57</v>
      </c>
      <c r="B285" s="3123" t="str">
        <f aca="false">дома!B711</f>
        <v>м.п.</v>
      </c>
      <c r="C285" s="3124" t="n">
        <f aca="false">дома!C711</f>
        <v>0.145</v>
      </c>
      <c r="D285" s="3124" t="n">
        <f aca="false">дома!D711</f>
        <v>0.045</v>
      </c>
      <c r="E285" s="3124" t="n">
        <f aca="false">дома!E711</f>
        <v>0</v>
      </c>
      <c r="F285" s="3124" t="n">
        <f aca="false">дома!F711</f>
        <v>2</v>
      </c>
      <c r="G285" s="3124" t="n">
        <f aca="false">E285*F285*(IF('Ввод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285" s="3124" t="n">
        <f aca="false">дома!G711*(IF('Ввод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286" customFormat="false" ht="15" hidden="false" customHeight="false" outlineLevel="0" collapsed="false">
      <c r="A286" s="3122" t="str">
        <f aca="false">дома!A712</f>
        <v>Стойка каркаса по фронтону, левая сторона, двускатная кровля №58</v>
      </c>
      <c r="B286" s="3123" t="str">
        <f aca="false">дома!B712</f>
        <v>м.п.</v>
      </c>
      <c r="C286" s="3124" t="n">
        <f aca="false">дома!C712</f>
        <v>0.145</v>
      </c>
      <c r="D286" s="3124" t="n">
        <f aca="false">дома!D712</f>
        <v>0.045</v>
      </c>
      <c r="E286" s="3124" t="n">
        <f aca="false">дома!E712</f>
        <v>0</v>
      </c>
      <c r="F286" s="3124" t="n">
        <f aca="false">дома!F712</f>
        <v>2</v>
      </c>
      <c r="G286" s="3124" t="n">
        <f aca="false">E286*F286*(IF('Ввод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286" s="3124" t="n">
        <f aca="false">дома!G712*(IF('Ввод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287" customFormat="false" ht="15" hidden="false" customHeight="false" outlineLevel="0" collapsed="false">
      <c r="A287" s="3122" t="str">
        <f aca="false">дома!A713</f>
        <v>Стойка каркаса по фронтону, левая сторона, двускатная кровля №59</v>
      </c>
      <c r="B287" s="3123" t="str">
        <f aca="false">дома!B713</f>
        <v>м.п.</v>
      </c>
      <c r="C287" s="3124" t="n">
        <f aca="false">дома!C713</f>
        <v>0.145</v>
      </c>
      <c r="D287" s="3124" t="n">
        <f aca="false">дома!D713</f>
        <v>0.045</v>
      </c>
      <c r="E287" s="3124" t="n">
        <f aca="false">дома!E713</f>
        <v>0</v>
      </c>
      <c r="F287" s="3124" t="n">
        <f aca="false">дома!F713</f>
        <v>2</v>
      </c>
      <c r="G287" s="3124" t="n">
        <f aca="false">E287*F287*(IF('Ввод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287" s="3124" t="n">
        <f aca="false">дома!G713*(IF('Ввод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288" customFormat="false" ht="15" hidden="false" customHeight="false" outlineLevel="0" collapsed="false">
      <c r="A288" s="3122" t="str">
        <f aca="false">дома!A714</f>
        <v>Стойка каркаса по фронтону, левая сторона, двускатная кровля №60</v>
      </c>
      <c r="B288" s="3123" t="str">
        <f aca="false">дома!B714</f>
        <v>м.п.</v>
      </c>
      <c r="C288" s="3124" t="n">
        <f aca="false">дома!C714</f>
        <v>0.145</v>
      </c>
      <c r="D288" s="3124" t="n">
        <f aca="false">дома!D714</f>
        <v>0.045</v>
      </c>
      <c r="E288" s="3124" t="n">
        <f aca="false">дома!E714</f>
        <v>0</v>
      </c>
      <c r="F288" s="3124" t="n">
        <f aca="false">дома!F714</f>
        <v>2</v>
      </c>
      <c r="G288" s="3124" t="n">
        <f aca="false">E288*F288*(IF('Ввод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288" s="3124" t="n">
        <f aca="false">дома!G714*(IF('Ввод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289" customFormat="false" ht="15" hidden="false" customHeight="false" outlineLevel="0" collapsed="false">
      <c r="A289" s="3122" t="str">
        <f aca="false">дома!A715</f>
        <v>Стойка каркаса по фронтону, левая сторона, двускатная кровля №61</v>
      </c>
      <c r="B289" s="3123" t="str">
        <f aca="false">дома!B715</f>
        <v>м.п.</v>
      </c>
      <c r="C289" s="3124" t="n">
        <f aca="false">дома!C715</f>
        <v>0.145</v>
      </c>
      <c r="D289" s="3124" t="n">
        <f aca="false">дома!D715</f>
        <v>0.045</v>
      </c>
      <c r="E289" s="3124" t="n">
        <f aca="false">дома!E715</f>
        <v>0</v>
      </c>
      <c r="F289" s="3124" t="n">
        <f aca="false">дома!F715</f>
        <v>2</v>
      </c>
      <c r="G289" s="3124" t="n">
        <f aca="false">E289*F289*(IF('Ввод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289" s="3124" t="n">
        <f aca="false">дома!G715*(IF('Ввод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290" customFormat="false" ht="15" hidden="false" customHeight="false" outlineLevel="0" collapsed="false">
      <c r="A290" s="3122" t="str">
        <f aca="false">дома!A716</f>
        <v>Стойка каркаса по фронтону, левая сторона, двускатная кровля №62</v>
      </c>
      <c r="B290" s="3123" t="str">
        <f aca="false">дома!B716</f>
        <v>м.п.</v>
      </c>
      <c r="C290" s="3124" t="n">
        <f aca="false">дома!C716</f>
        <v>0.145</v>
      </c>
      <c r="D290" s="3124" t="n">
        <f aca="false">дома!D716</f>
        <v>0.045</v>
      </c>
      <c r="E290" s="3124" t="n">
        <f aca="false">дома!E716</f>
        <v>0</v>
      </c>
      <c r="F290" s="3124" t="n">
        <f aca="false">дома!F716</f>
        <v>2</v>
      </c>
      <c r="G290" s="3124" t="n">
        <f aca="false">E290*F290*(IF('Ввод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290" s="3124" t="n">
        <f aca="false">дома!G716*(IF('Ввод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291" customFormat="false" ht="15" hidden="false" customHeight="false" outlineLevel="0" collapsed="false">
      <c r="A291" s="3122" t="str">
        <f aca="false">дома!A717</f>
        <v>Стойки каркаса левой боковой стены 2 эт</v>
      </c>
      <c r="B291" s="3123" t="str">
        <f aca="false">дома!B717</f>
        <v>м.п.</v>
      </c>
      <c r="C291" s="3124" t="n">
        <f aca="false">дома!C717</f>
        <v>0.145</v>
      </c>
      <c r="D291" s="3124" t="n">
        <f aca="false">дома!D717</f>
        <v>0.045</v>
      </c>
      <c r="E291" s="3124" t="n">
        <f aca="false">дома!E717</f>
        <v>1.6</v>
      </c>
      <c r="F291" s="3124" t="n">
        <f aca="false">дома!F717</f>
        <v>15</v>
      </c>
      <c r="G291" s="3124" t="n">
        <f aca="false">E291*F291*(IF('Ввод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291" s="3124" t="n">
        <f aca="false">дома!G717*(IF('Ввод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292" customFormat="false" ht="15" hidden="false" customHeight="false" outlineLevel="0" collapsed="false">
      <c r="A292" s="3122" t="str">
        <f aca="false">дома!A718</f>
        <v>Стойки каркаса правой боковой стены 2 эт</v>
      </c>
      <c r="B292" s="3123" t="str">
        <f aca="false">дома!B718</f>
        <v>м.п.</v>
      </c>
      <c r="C292" s="3124" t="n">
        <f aca="false">дома!C718</f>
        <v>0.145</v>
      </c>
      <c r="D292" s="3124" t="n">
        <f aca="false">дома!D718</f>
        <v>0.045</v>
      </c>
      <c r="E292" s="3124" t="n">
        <f aca="false">дома!E718</f>
        <v>1.6</v>
      </c>
      <c r="F292" s="3124" t="n">
        <f aca="false">дома!F718</f>
        <v>15</v>
      </c>
      <c r="G292" s="3124" t="n">
        <f aca="false">E292*F292*(IF('Ввод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292" s="3124" t="n">
        <f aca="false">дома!G718*(IF('Ввод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293" customFormat="false" ht="15" hidden="false" customHeight="false" outlineLevel="0" collapsed="false">
      <c r="A293" s="3122" t="str">
        <f aca="false">дома!A719</f>
        <v>Стойка каркаса по фронтону, полувальмовая кровля №1</v>
      </c>
      <c r="B293" s="3123" t="str">
        <f aca="false">дома!B719</f>
        <v>м.п.</v>
      </c>
      <c r="C293" s="3124" t="n">
        <f aca="false">дома!C719</f>
        <v>0.145</v>
      </c>
      <c r="D293" s="3124" t="n">
        <f aca="false">дома!D719</f>
        <v>0.045</v>
      </c>
      <c r="E293" s="3124" t="n">
        <f aca="false">дома!E719</f>
        <v>1.6</v>
      </c>
      <c r="F293" s="3124" t="n">
        <f aca="false">дома!F719</f>
        <v>4</v>
      </c>
      <c r="G293" s="3124" t="n">
        <f aca="false">E293*F293*(IF('Ввод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293" s="3124" t="n">
        <f aca="false">дома!G719*(IF('Ввод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294" customFormat="false" ht="15" hidden="false" customHeight="false" outlineLevel="0" collapsed="false">
      <c r="A294" s="3122" t="str">
        <f aca="false">дома!A720</f>
        <v>Стойка каркаса по фронтону, полувальмовая кровля №2</v>
      </c>
      <c r="B294" s="3123" t="str">
        <f aca="false">дома!B720</f>
        <v>м.п.</v>
      </c>
      <c r="C294" s="3124" t="n">
        <f aca="false">дома!C720</f>
        <v>0.145</v>
      </c>
      <c r="D294" s="3124" t="n">
        <f aca="false">дома!D720</f>
        <v>0.045</v>
      </c>
      <c r="E294" s="3124" t="n">
        <f aca="false">дома!E720</f>
        <v>2.6</v>
      </c>
      <c r="F294" s="3124" t="n">
        <f aca="false">дома!F720</f>
        <v>28</v>
      </c>
      <c r="G294" s="3124" t="n">
        <f aca="false">E294*F294*(IF('Ввод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294" s="3124" t="n">
        <f aca="false">дома!G720*(IF('Ввод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295" customFormat="false" ht="15" hidden="false" customHeight="false" outlineLevel="0" collapsed="false">
      <c r="A295" s="3122" t="str">
        <f aca="false">дома!A721</f>
        <v>Обвязка каркаса нижняя</v>
      </c>
      <c r="B295" s="3123" t="str">
        <f aca="false">дома!B721</f>
        <v>м.п.</v>
      </c>
      <c r="C295" s="3124" t="n">
        <f aca="false">дома!C721</f>
        <v>0.145</v>
      </c>
      <c r="D295" s="3124" t="n">
        <f aca="false">дома!D721</f>
        <v>0.045</v>
      </c>
      <c r="E295" s="3124" t="n">
        <f aca="false">дома!E721</f>
        <v>16</v>
      </c>
      <c r="F295" s="3124" t="n">
        <f aca="false">дома!F721</f>
        <v>2</v>
      </c>
      <c r="G295" s="3124" t="n">
        <f aca="false">E295*F295*(IF('Ввод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295" s="3124" t="n">
        <f aca="false">дома!G721*(IF('Ввод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296" customFormat="false" ht="15" hidden="false" customHeight="false" outlineLevel="0" collapsed="false">
      <c r="A296" s="3122" t="str">
        <f aca="false">дома!A722</f>
        <v>Обвязка каркаса верхняя</v>
      </c>
      <c r="B296" s="3123" t="str">
        <f aca="false">дома!B722</f>
        <v>м.п.</v>
      </c>
      <c r="C296" s="3124" t="n">
        <f aca="false">дома!C722</f>
        <v>0.145</v>
      </c>
      <c r="D296" s="3124" t="n">
        <f aca="false">дома!D722</f>
        <v>0.045</v>
      </c>
      <c r="E296" s="3124" t="n">
        <f aca="false">дома!E722</f>
        <v>32.8604497220734</v>
      </c>
      <c r="F296" s="3124" t="n">
        <f aca="false">дома!F722</f>
        <v>2</v>
      </c>
      <c r="G296" s="3124" t="n">
        <f aca="false">E296*F296*(IF('Ввод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296" s="3124" t="n">
        <f aca="false">дома!G722*(IF('Ввод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297" customFormat="false" ht="15" hidden="false" customHeight="false" outlineLevel="0" collapsed="false">
      <c r="A297" s="3122" t="str">
        <f aca="false">дома!A723</f>
        <v>Ригель каркаса фронтона</v>
      </c>
      <c r="B297" s="3123" t="str">
        <f aca="false">дома!B723</f>
        <v>м.п.</v>
      </c>
      <c r="C297" s="3124" t="n">
        <f aca="false">дома!C723</f>
        <v>0.145</v>
      </c>
      <c r="D297" s="3124" t="n">
        <f aca="false">дома!D723</f>
        <v>0.045</v>
      </c>
      <c r="E297" s="3124" t="n">
        <f aca="false">дома!E723</f>
        <v>32.8604497220734</v>
      </c>
      <c r="F297" s="3124" t="n">
        <f aca="false">дома!F723</f>
        <v>2</v>
      </c>
      <c r="G297" s="3124" t="n">
        <f aca="false">E297*F297*(IF('Ввод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297" s="3124" t="n">
        <f aca="false">дома!G723*(IF('Ввод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298" customFormat="false" ht="15" hidden="false" customHeight="false" outlineLevel="0" collapsed="false">
      <c r="A298" s="3122" t="str">
        <f aca="false">дома!A724</f>
        <v>Обвязка каркаса нижняя, односкатная кровля</v>
      </c>
      <c r="B298" s="3123" t="str">
        <f aca="false">дома!B724</f>
        <v>м.п.</v>
      </c>
      <c r="C298" s="3124" t="n">
        <f aca="false">дома!C724</f>
        <v>0.145</v>
      </c>
      <c r="D298" s="3124" t="n">
        <f aca="false">дома!D724</f>
        <v>0.045</v>
      </c>
      <c r="E298" s="3124" t="n">
        <f aca="false">дома!E724</f>
        <v>32</v>
      </c>
      <c r="F298" s="3124" t="n">
        <f aca="false">дома!F724</f>
        <v>1</v>
      </c>
      <c r="G298" s="3124" t="n">
        <f aca="false">E298*F298*(IF('Ввод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298" s="3124" t="n">
        <f aca="false">дома!G724*(IF('Ввод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299" customFormat="false" ht="15" hidden="false" customHeight="false" outlineLevel="0" collapsed="false">
      <c r="A299" s="3122" t="str">
        <f aca="false">дома!A725</f>
        <v>Обвязка каркаса верхняя, односкатная кровля</v>
      </c>
      <c r="B299" s="3123" t="str">
        <f aca="false">дома!B725</f>
        <v>м.п.</v>
      </c>
      <c r="C299" s="3124" t="n">
        <f aca="false">дома!C725</f>
        <v>0.145</v>
      </c>
      <c r="D299" s="3124" t="n">
        <f aca="false">дома!D725</f>
        <v>0.045</v>
      </c>
      <c r="E299" s="3124" t="n">
        <f aca="false">дома!E725</f>
        <v>33.3850510496806</v>
      </c>
      <c r="F299" s="3124" t="n">
        <f aca="false">дома!F725</f>
        <v>1</v>
      </c>
      <c r="G299" s="3124" t="n">
        <f aca="false">E299*F299*(IF('Ввод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299" s="3124" t="n">
        <f aca="false">дома!G725*(IF('Ввод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300" customFormat="false" ht="15" hidden="false" customHeight="false" outlineLevel="0" collapsed="false">
      <c r="A300" s="3122" t="str">
        <f aca="false">дома!A726</f>
        <v>Ригель каркаса фронтона, односкатная кровля</v>
      </c>
      <c r="B300" s="3123" t="str">
        <f aca="false">дома!B726</f>
        <v>м.п.</v>
      </c>
      <c r="C300" s="3124" t="n">
        <f aca="false">дома!C726</f>
        <v>0.145</v>
      </c>
      <c r="D300" s="3124" t="n">
        <f aca="false">дома!D726</f>
        <v>0.045</v>
      </c>
      <c r="E300" s="3124" t="n">
        <f aca="false">дома!E726</f>
        <v>33.3850510496806</v>
      </c>
      <c r="F300" s="3124" t="n">
        <f aca="false">дома!F726</f>
        <v>1</v>
      </c>
      <c r="G300" s="3124" t="n">
        <f aca="false">E300*F300*(IF('Ввод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300" s="3124" t="n">
        <f aca="false">дома!G726*(IF('Ввод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301" customFormat="false" ht="15" hidden="false" customHeight="false" outlineLevel="0" collapsed="false">
      <c r="A301" s="3122" t="str">
        <f aca="false">дома!A727</f>
        <v>Стойки каркаса передней стены 2 эт</v>
      </c>
      <c r="B301" s="3123" t="str">
        <f aca="false">дома!B727</f>
        <v>м.п.</v>
      </c>
      <c r="C301" s="3124" t="n">
        <f aca="false">дома!C727</f>
        <v>0.145</v>
      </c>
      <c r="D301" s="3124" t="n">
        <f aca="false">дома!D727</f>
        <v>0.045</v>
      </c>
      <c r="E301" s="3124" t="n">
        <f aca="false">дома!E727</f>
        <v>1.6</v>
      </c>
      <c r="F301" s="3124" t="n">
        <f aca="false">дома!F727</f>
        <v>15</v>
      </c>
      <c r="G301" s="3124" t="n">
        <f aca="false">E301*F301*(IF('Ввод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301" s="3124" t="n">
        <f aca="false">дома!G727*(IF('Ввод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302" customFormat="false" ht="15" hidden="false" customHeight="false" outlineLevel="0" collapsed="false">
      <c r="A302" s="3122" t="str">
        <f aca="false">дома!A728</f>
        <v>Стойки каркаса задней стены 2 эт</v>
      </c>
      <c r="B302" s="3123" t="str">
        <f aca="false">дома!B728</f>
        <v>м.п.</v>
      </c>
      <c r="C302" s="3124" t="n">
        <f aca="false">дома!C728</f>
        <v>0.145</v>
      </c>
      <c r="D302" s="3124" t="n">
        <f aca="false">дома!D728</f>
        <v>0.045</v>
      </c>
      <c r="E302" s="3124" t="n">
        <f aca="false">дома!E728</f>
        <v>5</v>
      </c>
      <c r="F302" s="3124" t="n">
        <f aca="false">дома!F728</f>
        <v>15</v>
      </c>
      <c r="G302" s="3124" t="n">
        <f aca="false">E302*F302*(IF('Ввод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302" s="3124" t="n">
        <f aca="false">дома!G728*(IF('Ввод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303" customFormat="false" ht="15" hidden="false" customHeight="false" outlineLevel="0" collapsed="false">
      <c r="A303" s="3122" t="str">
        <f aca="false">дома!A729</f>
        <v>Стойки каркаса, левая/правая сторона 2 эт</v>
      </c>
      <c r="B303" s="3123" t="str">
        <f aca="false">дома!B729</f>
        <v>м.п.</v>
      </c>
      <c r="C303" s="3124" t="n">
        <f aca="false">дома!C729</f>
        <v>0.145</v>
      </c>
      <c r="D303" s="3124" t="n">
        <f aca="false">дома!D729</f>
        <v>0.045</v>
      </c>
      <c r="E303" s="3124" t="n">
        <f aca="false">дома!E729</f>
        <v>5</v>
      </c>
      <c r="F303" s="3124" t="n">
        <f aca="false">дома!F729</f>
        <v>0</v>
      </c>
      <c r="G303" s="3124" t="n">
        <f aca="false">E303*F303*(IF('Ввод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303" s="3124" t="n">
        <f aca="false">дома!G729*(IF('Ввод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304" customFormat="false" ht="15" hidden="false" customHeight="false" outlineLevel="0" collapsed="false">
      <c r="A304" s="3122" t="str">
        <f aca="false">дома!A730</f>
        <v>Стойка каркаса по фронтону, односкатная кровля №0</v>
      </c>
      <c r="B304" s="3123" t="str">
        <f aca="false">дома!B730</f>
        <v>м.п.</v>
      </c>
      <c r="C304" s="3124" t="n">
        <f aca="false">дома!C730</f>
        <v>0.145</v>
      </c>
      <c r="D304" s="3124" t="n">
        <f aca="false">дома!D730</f>
        <v>0.045</v>
      </c>
      <c r="E304" s="3124" t="n">
        <f aca="false">дома!E730</f>
        <v>5</v>
      </c>
      <c r="F304" s="3124" t="n">
        <f aca="false">дома!F730</f>
        <v>2</v>
      </c>
      <c r="G304" s="3124" t="n">
        <f aca="false">E304*F304*(IF('Ввод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304" s="3124" t="n">
        <f aca="false">дома!G730*(IF('Ввод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305" customFormat="false" ht="15" hidden="false" customHeight="false" outlineLevel="0" collapsed="false">
      <c r="A305" s="3122" t="str">
        <f aca="false">дома!A731</f>
        <v>Стойка каркаса по фронтону, односкатная кровля №1</v>
      </c>
      <c r="B305" s="3123" t="str">
        <f aca="false">дома!B731</f>
        <v>м.п.</v>
      </c>
      <c r="C305" s="3124" t="n">
        <f aca="false">дома!C731</f>
        <v>0.145</v>
      </c>
      <c r="D305" s="3124" t="n">
        <f aca="false">дома!D731</f>
        <v>0.045</v>
      </c>
      <c r="E305" s="3124" t="n">
        <f aca="false">дома!E731</f>
        <v>4.77333333333333</v>
      </c>
      <c r="F305" s="3124" t="n">
        <f aca="false">дома!F731</f>
        <v>2</v>
      </c>
      <c r="G305" s="3124" t="n">
        <f aca="false">E305*F305*(IF('Ввод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305" s="3124" t="n">
        <f aca="false">дома!G731*(IF('Ввод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306" customFormat="false" ht="15" hidden="false" customHeight="false" outlineLevel="0" collapsed="false">
      <c r="A306" s="3122" t="str">
        <f aca="false">дома!A732</f>
        <v>Стойка каркаса по фронтону, односкатная кровля №2</v>
      </c>
      <c r="B306" s="3123" t="str">
        <f aca="false">дома!B732</f>
        <v>м.п.</v>
      </c>
      <c r="C306" s="3124" t="n">
        <f aca="false">дома!C732</f>
        <v>0.145</v>
      </c>
      <c r="D306" s="3124" t="n">
        <f aca="false">дома!D732</f>
        <v>0.045</v>
      </c>
      <c r="E306" s="3124" t="n">
        <f aca="false">дома!E732</f>
        <v>4.54666666666667</v>
      </c>
      <c r="F306" s="3124" t="n">
        <f aca="false">дома!F732</f>
        <v>2</v>
      </c>
      <c r="G306" s="3124" t="n">
        <f aca="false">E306*F306*(IF('Ввод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306" s="3124" t="n">
        <f aca="false">дома!G732*(IF('Ввод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307" customFormat="false" ht="15" hidden="false" customHeight="false" outlineLevel="0" collapsed="false">
      <c r="A307" s="3122" t="str">
        <f aca="false">дома!A733</f>
        <v>Стойка каркаса по фронтону, односкатная кровля №3</v>
      </c>
      <c r="B307" s="3123" t="str">
        <f aca="false">дома!B733</f>
        <v>м.п.</v>
      </c>
      <c r="C307" s="3124" t="n">
        <f aca="false">дома!C733</f>
        <v>0.145</v>
      </c>
      <c r="D307" s="3124" t="n">
        <f aca="false">дома!D733</f>
        <v>0.045</v>
      </c>
      <c r="E307" s="3124" t="n">
        <f aca="false">дома!E733</f>
        <v>4.32</v>
      </c>
      <c r="F307" s="3124" t="n">
        <f aca="false">дома!F733</f>
        <v>2</v>
      </c>
      <c r="G307" s="3124" t="n">
        <f aca="false">E307*F307*(IF('Ввод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307" s="3124" t="n">
        <f aca="false">дома!G733*(IF('Ввод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308" customFormat="false" ht="15" hidden="false" customHeight="false" outlineLevel="0" collapsed="false">
      <c r="A308" s="3122" t="str">
        <f aca="false">дома!A734</f>
        <v>Стойка каркаса по фронтону, односкатная кровля №4</v>
      </c>
      <c r="B308" s="3123" t="str">
        <f aca="false">дома!B734</f>
        <v>м.п.</v>
      </c>
      <c r="C308" s="3124" t="n">
        <f aca="false">дома!C734</f>
        <v>0.145</v>
      </c>
      <c r="D308" s="3124" t="n">
        <f aca="false">дома!D734</f>
        <v>0.045</v>
      </c>
      <c r="E308" s="3124" t="n">
        <f aca="false">дома!E734</f>
        <v>4.09333333333333</v>
      </c>
      <c r="F308" s="3124" t="n">
        <f aca="false">дома!F734</f>
        <v>2</v>
      </c>
      <c r="G308" s="3124" t="n">
        <f aca="false">E308*F308*(IF('Ввод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308" s="3124" t="n">
        <f aca="false">дома!G734*(IF('Ввод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309" customFormat="false" ht="15" hidden="false" customHeight="false" outlineLevel="0" collapsed="false">
      <c r="A309" s="3122" t="str">
        <f aca="false">дома!A735</f>
        <v>Стойка каркаса по фронтону, односкатная кровля №5</v>
      </c>
      <c r="B309" s="3123" t="str">
        <f aca="false">дома!B735</f>
        <v>м.п.</v>
      </c>
      <c r="C309" s="3124" t="n">
        <f aca="false">дома!C735</f>
        <v>0.145</v>
      </c>
      <c r="D309" s="3124" t="n">
        <f aca="false">дома!D735</f>
        <v>0.045</v>
      </c>
      <c r="E309" s="3124" t="n">
        <f aca="false">дома!E735</f>
        <v>3.86666666666667</v>
      </c>
      <c r="F309" s="3124" t="n">
        <f aca="false">дома!F735</f>
        <v>2</v>
      </c>
      <c r="G309" s="3124" t="n">
        <f aca="false">E309*F309*(IF('Ввод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309" s="3124" t="n">
        <f aca="false">дома!G735*(IF('Ввод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310" customFormat="false" ht="15" hidden="false" customHeight="false" outlineLevel="0" collapsed="false">
      <c r="A310" s="3122" t="str">
        <f aca="false">дома!A736</f>
        <v>Стойка каркаса по фронтону, односкатная кровля №6</v>
      </c>
      <c r="B310" s="3123" t="str">
        <f aca="false">дома!B736</f>
        <v>м.п.</v>
      </c>
      <c r="C310" s="3124" t="n">
        <f aca="false">дома!C736</f>
        <v>0.145</v>
      </c>
      <c r="D310" s="3124" t="n">
        <f aca="false">дома!D736</f>
        <v>0.045</v>
      </c>
      <c r="E310" s="3124" t="n">
        <f aca="false">дома!E736</f>
        <v>3.64</v>
      </c>
      <c r="F310" s="3124" t="n">
        <f aca="false">дома!F736</f>
        <v>2</v>
      </c>
      <c r="G310" s="3124" t="n">
        <f aca="false">E310*F310*(IF('Ввод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310" s="3124" t="n">
        <f aca="false">дома!G736*(IF('Ввод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311" customFormat="false" ht="15" hidden="false" customHeight="false" outlineLevel="0" collapsed="false">
      <c r="A311" s="3122" t="str">
        <f aca="false">дома!A737</f>
        <v>Стойка каркаса по фронтону, односкатная кровля №7</v>
      </c>
      <c r="B311" s="3123" t="str">
        <f aca="false">дома!B737</f>
        <v>м.п.</v>
      </c>
      <c r="C311" s="3124" t="n">
        <f aca="false">дома!C737</f>
        <v>0.145</v>
      </c>
      <c r="D311" s="3124" t="n">
        <f aca="false">дома!D737</f>
        <v>0.045</v>
      </c>
      <c r="E311" s="3124" t="n">
        <f aca="false">дома!E737</f>
        <v>3.41333333333333</v>
      </c>
      <c r="F311" s="3124" t="n">
        <f aca="false">дома!F737</f>
        <v>2</v>
      </c>
      <c r="G311" s="3124" t="n">
        <f aca="false">E311*F311*(IF('Ввод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311" s="3124" t="n">
        <f aca="false">дома!G737*(IF('Ввод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312" customFormat="false" ht="15" hidden="false" customHeight="false" outlineLevel="0" collapsed="false">
      <c r="A312" s="3122" t="str">
        <f aca="false">дома!A738</f>
        <v>Стойка каркаса по фронтону, односкатная кровля №8</v>
      </c>
      <c r="B312" s="3123" t="str">
        <f aca="false">дома!B738</f>
        <v>м.п.</v>
      </c>
      <c r="C312" s="3124" t="n">
        <f aca="false">дома!C738</f>
        <v>0.145</v>
      </c>
      <c r="D312" s="3124" t="n">
        <f aca="false">дома!D738</f>
        <v>0.045</v>
      </c>
      <c r="E312" s="3124" t="n">
        <f aca="false">дома!E738</f>
        <v>3.18666666666667</v>
      </c>
      <c r="F312" s="3124" t="n">
        <f aca="false">дома!F738</f>
        <v>2</v>
      </c>
      <c r="G312" s="3124" t="n">
        <f aca="false">E312*F312*(IF('Ввод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312" s="3124" t="n">
        <f aca="false">дома!G738*(IF('Ввод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313" customFormat="false" ht="15" hidden="false" customHeight="false" outlineLevel="0" collapsed="false">
      <c r="A313" s="3122" t="str">
        <f aca="false">дома!A739</f>
        <v>Стойка каркаса по фронтону, односкатная кровля №9</v>
      </c>
      <c r="B313" s="3123" t="str">
        <f aca="false">дома!B739</f>
        <v>м.п.</v>
      </c>
      <c r="C313" s="3124" t="n">
        <f aca="false">дома!C739</f>
        <v>0.145</v>
      </c>
      <c r="D313" s="3124" t="n">
        <f aca="false">дома!D739</f>
        <v>0.045</v>
      </c>
      <c r="E313" s="3124" t="n">
        <f aca="false">дома!E739</f>
        <v>2.96</v>
      </c>
      <c r="F313" s="3124" t="n">
        <f aca="false">дома!F739</f>
        <v>2</v>
      </c>
      <c r="G313" s="3124" t="n">
        <f aca="false">E313*F313*(IF('Ввод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313" s="3124" t="n">
        <f aca="false">дома!G739*(IF('Ввод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314" customFormat="false" ht="15" hidden="false" customHeight="false" outlineLevel="0" collapsed="false">
      <c r="A314" s="3122" t="str">
        <f aca="false">дома!A740</f>
        <v>Стойка каркаса по фронтону, односкатная кровля №10</v>
      </c>
      <c r="B314" s="3123" t="str">
        <f aca="false">дома!B740</f>
        <v>м.п.</v>
      </c>
      <c r="C314" s="3124" t="n">
        <f aca="false">дома!C740</f>
        <v>0.145</v>
      </c>
      <c r="D314" s="3124" t="n">
        <f aca="false">дома!D740</f>
        <v>0.045</v>
      </c>
      <c r="E314" s="3124" t="n">
        <f aca="false">дома!E740</f>
        <v>2.73333333333333</v>
      </c>
      <c r="F314" s="3124" t="n">
        <f aca="false">дома!F740</f>
        <v>2</v>
      </c>
      <c r="G314" s="3124" t="n">
        <f aca="false">E314*F314*(IF('Ввод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314" s="3124" t="n">
        <f aca="false">дома!G740*(IF('Ввод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315" customFormat="false" ht="15" hidden="false" customHeight="false" outlineLevel="0" collapsed="false">
      <c r="A315" s="3122" t="str">
        <f aca="false">дома!A741</f>
        <v>Стойка каркаса по фронтону, односкатная кровля №11</v>
      </c>
      <c r="B315" s="3123" t="str">
        <f aca="false">дома!B741</f>
        <v>м.п.</v>
      </c>
      <c r="C315" s="3124" t="n">
        <f aca="false">дома!C741</f>
        <v>0.145</v>
      </c>
      <c r="D315" s="3124" t="n">
        <f aca="false">дома!D741</f>
        <v>0.045</v>
      </c>
      <c r="E315" s="3124" t="n">
        <f aca="false">дома!E741</f>
        <v>2.50666666666667</v>
      </c>
      <c r="F315" s="3124" t="n">
        <f aca="false">дома!F741</f>
        <v>2</v>
      </c>
      <c r="G315" s="3124" t="n">
        <f aca="false">E315*F315*(IF('Ввод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315" s="3124" t="n">
        <f aca="false">дома!G741*(IF('Ввод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316" customFormat="false" ht="15" hidden="false" customHeight="false" outlineLevel="0" collapsed="false">
      <c r="A316" s="3122" t="str">
        <f aca="false">дома!A742</f>
        <v>Стойка каркаса по фронтону, односкатная кровля №12</v>
      </c>
      <c r="B316" s="3123" t="str">
        <f aca="false">дома!B742</f>
        <v>м.п.</v>
      </c>
      <c r="C316" s="3124" t="n">
        <f aca="false">дома!C742</f>
        <v>0.145</v>
      </c>
      <c r="D316" s="3124" t="n">
        <f aca="false">дома!D742</f>
        <v>0.045</v>
      </c>
      <c r="E316" s="3124" t="n">
        <f aca="false">дома!E742</f>
        <v>2.28</v>
      </c>
      <c r="F316" s="3124" t="n">
        <f aca="false">дома!F742</f>
        <v>2</v>
      </c>
      <c r="G316" s="3124" t="n">
        <f aca="false">E316*F316*(IF('Ввод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316" s="3124" t="n">
        <f aca="false">дома!G742*(IF('Ввод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317" customFormat="false" ht="15" hidden="false" customHeight="false" outlineLevel="0" collapsed="false">
      <c r="A317" s="3122" t="str">
        <f aca="false">дома!A743</f>
        <v>Стойка каркаса по фронтону, односкатная кровля №13</v>
      </c>
      <c r="B317" s="3123" t="str">
        <f aca="false">дома!B743</f>
        <v>м.п.</v>
      </c>
      <c r="C317" s="3124" t="n">
        <f aca="false">дома!C743</f>
        <v>0.145</v>
      </c>
      <c r="D317" s="3124" t="n">
        <f aca="false">дома!D743</f>
        <v>0.045</v>
      </c>
      <c r="E317" s="3124" t="n">
        <f aca="false">дома!E743</f>
        <v>2.05333333333333</v>
      </c>
      <c r="F317" s="3124" t="n">
        <f aca="false">дома!F743</f>
        <v>2</v>
      </c>
      <c r="G317" s="3124" t="n">
        <f aca="false">E317*F317*(IF('Ввод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317" s="3124" t="n">
        <f aca="false">дома!G743*(IF('Ввод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318" customFormat="false" ht="15" hidden="false" customHeight="false" outlineLevel="0" collapsed="false">
      <c r="A318" s="3122" t="str">
        <f aca="false">дома!A744</f>
        <v>Стойка каркаса по фронтону, односкатная кровля №14</v>
      </c>
      <c r="B318" s="3123" t="str">
        <f aca="false">дома!B744</f>
        <v>м.п.</v>
      </c>
      <c r="C318" s="3124" t="n">
        <f aca="false">дома!C744</f>
        <v>0.145</v>
      </c>
      <c r="D318" s="3124" t="n">
        <f aca="false">дома!D744</f>
        <v>0.045</v>
      </c>
      <c r="E318" s="3124" t="n">
        <f aca="false">дома!E744</f>
        <v>1.82666666666667</v>
      </c>
      <c r="F318" s="3124" t="n">
        <f aca="false">дома!F744</f>
        <v>2</v>
      </c>
      <c r="G318" s="3124" t="n">
        <f aca="false">E318*F318*(IF('Ввод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318" s="3124" t="n">
        <f aca="false">дома!G744*(IF('Ввод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319" customFormat="false" ht="15" hidden="false" customHeight="false" outlineLevel="0" collapsed="false">
      <c r="A319" s="3122" t="str">
        <f aca="false">дома!A745</f>
        <v>Стойка каркаса по фронтону, односкатная кровля №15</v>
      </c>
      <c r="B319" s="3123" t="str">
        <f aca="false">дома!B745</f>
        <v>м.п.</v>
      </c>
      <c r="C319" s="3124" t="n">
        <f aca="false">дома!C745</f>
        <v>0.145</v>
      </c>
      <c r="D319" s="3124" t="n">
        <f aca="false">дома!D745</f>
        <v>0.045</v>
      </c>
      <c r="E319" s="3124" t="n">
        <f aca="false">дома!E745</f>
        <v>1.6</v>
      </c>
      <c r="F319" s="3124" t="n">
        <f aca="false">дома!F745</f>
        <v>2</v>
      </c>
      <c r="G319" s="3124" t="n">
        <f aca="false">E319*F319*(IF('Ввод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319" s="3124" t="n">
        <f aca="false">дома!G745*(IF('Ввод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320" customFormat="false" ht="15" hidden="false" customHeight="false" outlineLevel="0" collapsed="false">
      <c r="A320" s="3122" t="str">
        <f aca="false">дома!A746</f>
        <v>Стойка каркаса по фронтону, односкатная кровля №16</v>
      </c>
      <c r="B320" s="3123" t="str">
        <f aca="false">дома!B746</f>
        <v>м.п.</v>
      </c>
      <c r="C320" s="3124" t="n">
        <f aca="false">дома!C746</f>
        <v>0.145</v>
      </c>
      <c r="D320" s="3124" t="n">
        <f aca="false">дома!D746</f>
        <v>0.045</v>
      </c>
      <c r="E320" s="3124" t="n">
        <f aca="false">дома!E746</f>
        <v>1.37333333333333</v>
      </c>
      <c r="F320" s="3124" t="n">
        <f aca="false">дома!F746</f>
        <v>2</v>
      </c>
      <c r="G320" s="3124" t="n">
        <f aca="false">E320*F320*(IF('Ввод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320" s="3124" t="n">
        <f aca="false">дома!G746*(IF('Ввод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321" customFormat="false" ht="15" hidden="false" customHeight="false" outlineLevel="0" collapsed="false">
      <c r="A321" s="3122" t="str">
        <f aca="false">дома!A747</f>
        <v>Стойка каркаса по фронтону, односкатная кровля №17</v>
      </c>
      <c r="B321" s="3123" t="str">
        <f aca="false">дома!B747</f>
        <v>м.п.</v>
      </c>
      <c r="C321" s="3124" t="n">
        <f aca="false">дома!C747</f>
        <v>0.145</v>
      </c>
      <c r="D321" s="3124" t="n">
        <f aca="false">дома!D747</f>
        <v>0.045</v>
      </c>
      <c r="E321" s="3124" t="n">
        <f aca="false">дома!E747</f>
        <v>0</v>
      </c>
      <c r="F321" s="3124" t="n">
        <f aca="false">дома!F747</f>
        <v>2</v>
      </c>
      <c r="G321" s="3124" t="n">
        <f aca="false">E321*F321*(IF('Ввод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321" s="3124" t="n">
        <f aca="false">дома!G747*(IF('Ввод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322" customFormat="false" ht="15" hidden="false" customHeight="false" outlineLevel="0" collapsed="false">
      <c r="A322" s="3122" t="str">
        <f aca="false">дома!A748</f>
        <v>Стойка каркаса по фронтону, односкатная кровля №18</v>
      </c>
      <c r="B322" s="3123" t="str">
        <f aca="false">дома!B748</f>
        <v>м.п.</v>
      </c>
      <c r="C322" s="3124" t="n">
        <f aca="false">дома!C748</f>
        <v>0.145</v>
      </c>
      <c r="D322" s="3124" t="n">
        <f aca="false">дома!D748</f>
        <v>0.045</v>
      </c>
      <c r="E322" s="3124" t="n">
        <f aca="false">дома!E748</f>
        <v>0</v>
      </c>
      <c r="F322" s="3124" t="n">
        <f aca="false">дома!F748</f>
        <v>2</v>
      </c>
      <c r="G322" s="3124" t="n">
        <f aca="false">E322*F322*(IF('Ввод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322" s="3124" t="n">
        <f aca="false">дома!G748*(IF('Ввод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323" customFormat="false" ht="15" hidden="false" customHeight="false" outlineLevel="0" collapsed="false">
      <c r="A323" s="3122" t="str">
        <f aca="false">дома!A749</f>
        <v>Стойка каркаса по фронтону, односкатная кровля №19</v>
      </c>
      <c r="B323" s="3123" t="str">
        <f aca="false">дома!B749</f>
        <v>м.п.</v>
      </c>
      <c r="C323" s="3124" t="n">
        <f aca="false">дома!C749</f>
        <v>0.145</v>
      </c>
      <c r="D323" s="3124" t="n">
        <f aca="false">дома!D749</f>
        <v>0.045</v>
      </c>
      <c r="E323" s="3124" t="n">
        <f aca="false">дома!E749</f>
        <v>0</v>
      </c>
      <c r="F323" s="3124" t="n">
        <f aca="false">дома!F749</f>
        <v>2</v>
      </c>
      <c r="G323" s="3124" t="n">
        <f aca="false">E323*F323*(IF('Ввод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323" s="3124" t="n">
        <f aca="false">дома!G749*(IF('Ввод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324" customFormat="false" ht="15" hidden="false" customHeight="false" outlineLevel="0" collapsed="false">
      <c r="A324" s="3122" t="str">
        <f aca="false">дома!A750</f>
        <v>Стойка каркаса по фронтону, односкатная кровля №20</v>
      </c>
      <c r="B324" s="3123" t="str">
        <f aca="false">дома!B750</f>
        <v>м.п.</v>
      </c>
      <c r="C324" s="3124" t="n">
        <f aca="false">дома!C750</f>
        <v>0.145</v>
      </c>
      <c r="D324" s="3124" t="n">
        <f aca="false">дома!D750</f>
        <v>0.045</v>
      </c>
      <c r="E324" s="3124" t="n">
        <f aca="false">дома!E750</f>
        <v>0</v>
      </c>
      <c r="F324" s="3124" t="n">
        <f aca="false">дома!F750</f>
        <v>2</v>
      </c>
      <c r="G324" s="3124" t="n">
        <f aca="false">E324*F324*(IF('Ввод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324" s="3124" t="n">
        <f aca="false">дома!G750*(IF('Ввод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325" customFormat="false" ht="15" hidden="false" customHeight="false" outlineLevel="0" collapsed="false">
      <c r="A325" s="3122" t="str">
        <f aca="false">дома!A751</f>
        <v>Стойка каркаса по фронтону, односкатная кровля №21</v>
      </c>
      <c r="B325" s="3123" t="str">
        <f aca="false">дома!B751</f>
        <v>м.п.</v>
      </c>
      <c r="C325" s="3124" t="n">
        <f aca="false">дома!C751</f>
        <v>0.145</v>
      </c>
      <c r="D325" s="3124" t="n">
        <f aca="false">дома!D751</f>
        <v>0.045</v>
      </c>
      <c r="E325" s="3124" t="n">
        <f aca="false">дома!E751</f>
        <v>0</v>
      </c>
      <c r="F325" s="3124" t="n">
        <f aca="false">дома!F751</f>
        <v>2</v>
      </c>
      <c r="G325" s="3124" t="n">
        <f aca="false">E325*F325*(IF('Ввод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325" s="3124" t="n">
        <f aca="false">дома!G751*(IF('Ввод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326" customFormat="false" ht="15" hidden="false" customHeight="false" outlineLevel="0" collapsed="false">
      <c r="A326" s="3122" t="str">
        <f aca="false">дома!A752</f>
        <v>Стойка каркаса по фронтону, односкатная кровля №22</v>
      </c>
      <c r="B326" s="3123" t="str">
        <f aca="false">дома!B752</f>
        <v>м.п.</v>
      </c>
      <c r="C326" s="3124" t="n">
        <f aca="false">дома!C752</f>
        <v>0.145</v>
      </c>
      <c r="D326" s="3124" t="n">
        <f aca="false">дома!D752</f>
        <v>0.045</v>
      </c>
      <c r="E326" s="3124" t="n">
        <f aca="false">дома!E752</f>
        <v>0</v>
      </c>
      <c r="F326" s="3124" t="n">
        <f aca="false">дома!F752</f>
        <v>2</v>
      </c>
      <c r="G326" s="3124" t="n">
        <f aca="false">E326*F326*(IF('Ввод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326" s="3124" t="n">
        <f aca="false">дома!G752*(IF('Ввод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327" customFormat="false" ht="15" hidden="false" customHeight="false" outlineLevel="0" collapsed="false">
      <c r="A327" s="3122" t="str">
        <f aca="false">дома!A753</f>
        <v>Стойка каркаса по фронтону, односкатная кровля №23</v>
      </c>
      <c r="B327" s="3123" t="str">
        <f aca="false">дома!B753</f>
        <v>м.п.</v>
      </c>
      <c r="C327" s="3124" t="n">
        <f aca="false">дома!C753</f>
        <v>0.145</v>
      </c>
      <c r="D327" s="3124" t="n">
        <f aca="false">дома!D753</f>
        <v>0.045</v>
      </c>
      <c r="E327" s="3124" t="n">
        <f aca="false">дома!E753</f>
        <v>0</v>
      </c>
      <c r="F327" s="3124" t="n">
        <f aca="false">дома!F753</f>
        <v>2</v>
      </c>
      <c r="G327" s="3124" t="n">
        <f aca="false">E327*F327*(IF('Ввод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327" s="3124" t="n">
        <f aca="false">дома!G753*(IF('Ввод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328" customFormat="false" ht="15" hidden="false" customHeight="false" outlineLevel="0" collapsed="false">
      <c r="A328" s="3122" t="str">
        <f aca="false">дома!A754</f>
        <v>Стойка каркаса по фронтону, односкатная кровля №24</v>
      </c>
      <c r="B328" s="3123" t="str">
        <f aca="false">дома!B754</f>
        <v>м.п.</v>
      </c>
      <c r="C328" s="3124" t="n">
        <f aca="false">дома!C754</f>
        <v>0.145</v>
      </c>
      <c r="D328" s="3124" t="n">
        <f aca="false">дома!D754</f>
        <v>0.045</v>
      </c>
      <c r="E328" s="3124" t="n">
        <f aca="false">дома!E754</f>
        <v>0</v>
      </c>
      <c r="F328" s="3124" t="n">
        <f aca="false">дома!F754</f>
        <v>2</v>
      </c>
      <c r="G328" s="3124" t="n">
        <f aca="false">E328*F328*(IF('Ввод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328" s="3124" t="n">
        <f aca="false">дома!G754*(IF('Ввод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329" customFormat="false" ht="15" hidden="false" customHeight="false" outlineLevel="0" collapsed="false">
      <c r="A329" s="3122" t="str">
        <f aca="false">дома!A755</f>
        <v>Стойка каркаса по фронтону, односкатная кровля №25</v>
      </c>
      <c r="B329" s="3123" t="str">
        <f aca="false">дома!B755</f>
        <v>м.п.</v>
      </c>
      <c r="C329" s="3124" t="n">
        <f aca="false">дома!C755</f>
        <v>0.145</v>
      </c>
      <c r="D329" s="3124" t="n">
        <f aca="false">дома!D755</f>
        <v>0.045</v>
      </c>
      <c r="E329" s="3124" t="n">
        <f aca="false">дома!E755</f>
        <v>0</v>
      </c>
      <c r="F329" s="3124" t="n">
        <f aca="false">дома!F755</f>
        <v>2</v>
      </c>
      <c r="G329" s="3124" t="n">
        <f aca="false">E329*F329*(IF('Ввод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329" s="3124" t="n">
        <f aca="false">дома!G755*(IF('Ввод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330" customFormat="false" ht="15" hidden="false" customHeight="false" outlineLevel="0" collapsed="false">
      <c r="A330" s="3122" t="str">
        <f aca="false">дома!A756</f>
        <v>Стойка каркаса по фронтону, односкатная кровля №26</v>
      </c>
      <c r="B330" s="3123" t="str">
        <f aca="false">дома!B756</f>
        <v>м.п.</v>
      </c>
      <c r="C330" s="3124" t="n">
        <f aca="false">дома!C756</f>
        <v>0.145</v>
      </c>
      <c r="D330" s="3124" t="n">
        <f aca="false">дома!D756</f>
        <v>0.045</v>
      </c>
      <c r="E330" s="3124" t="n">
        <f aca="false">дома!E756</f>
        <v>0</v>
      </c>
      <c r="F330" s="3124" t="n">
        <f aca="false">дома!F756</f>
        <v>2</v>
      </c>
      <c r="G330" s="3124" t="n">
        <f aca="false">E330*F330*(IF('Ввод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330" s="3124" t="n">
        <f aca="false">дома!G756*(IF('Ввод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331" customFormat="false" ht="15" hidden="false" customHeight="false" outlineLevel="0" collapsed="false">
      <c r="A331" s="3122" t="str">
        <f aca="false">дома!A757</f>
        <v>Стойка каркаса по фронтону, односкатная кровля №27</v>
      </c>
      <c r="B331" s="3123" t="str">
        <f aca="false">дома!B757</f>
        <v>м.п.</v>
      </c>
      <c r="C331" s="3124" t="n">
        <f aca="false">дома!C757</f>
        <v>0.145</v>
      </c>
      <c r="D331" s="3124" t="n">
        <f aca="false">дома!D757</f>
        <v>0.045</v>
      </c>
      <c r="E331" s="3124" t="n">
        <f aca="false">дома!E757</f>
        <v>0</v>
      </c>
      <c r="F331" s="3124" t="n">
        <f aca="false">дома!F757</f>
        <v>2</v>
      </c>
      <c r="G331" s="3124" t="n">
        <f aca="false">E331*F331*(IF('Ввод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331" s="3124" t="n">
        <f aca="false">дома!G757*(IF('Ввод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332" customFormat="false" ht="15" hidden="false" customHeight="false" outlineLevel="0" collapsed="false">
      <c r="A332" s="3122" t="str">
        <f aca="false">дома!A758</f>
        <v>Стойка каркаса по фронтону, односкатная кровля №28</v>
      </c>
      <c r="B332" s="3123" t="str">
        <f aca="false">дома!B758</f>
        <v>м.п.</v>
      </c>
      <c r="C332" s="3124" t="n">
        <f aca="false">дома!C758</f>
        <v>0.145</v>
      </c>
      <c r="D332" s="3124" t="n">
        <f aca="false">дома!D758</f>
        <v>0.045</v>
      </c>
      <c r="E332" s="3124" t="n">
        <f aca="false">дома!E758</f>
        <v>0</v>
      </c>
      <c r="F332" s="3124" t="n">
        <f aca="false">дома!F758</f>
        <v>2</v>
      </c>
      <c r="G332" s="3124" t="n">
        <f aca="false">E332*F332*(IF('Ввод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332" s="3124" t="n">
        <f aca="false">дома!G758*(IF('Ввод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333" customFormat="false" ht="15" hidden="false" customHeight="false" outlineLevel="0" collapsed="false">
      <c r="A333" s="3122" t="str">
        <f aca="false">дома!A759</f>
        <v>Стойка каркаса по фронтону, односкатная кровля №29</v>
      </c>
      <c r="B333" s="3123" t="str">
        <f aca="false">дома!B759</f>
        <v>м.п.</v>
      </c>
      <c r="C333" s="3124" t="n">
        <f aca="false">дома!C759</f>
        <v>0.145</v>
      </c>
      <c r="D333" s="3124" t="n">
        <f aca="false">дома!D759</f>
        <v>0.045</v>
      </c>
      <c r="E333" s="3124" t="n">
        <f aca="false">дома!E759</f>
        <v>0</v>
      </c>
      <c r="F333" s="3124" t="n">
        <f aca="false">дома!F759</f>
        <v>2</v>
      </c>
      <c r="G333" s="3124" t="n">
        <f aca="false">E333*F333*(IF('Ввод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333" s="3124" t="n">
        <f aca="false">дома!G759*(IF('Ввод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334" customFormat="false" ht="15" hidden="false" customHeight="false" outlineLevel="0" collapsed="false">
      <c r="A334" s="3122" t="str">
        <f aca="false">дома!A760</f>
        <v>Стойка каркаса по фронтону, односкатная кровля №30</v>
      </c>
      <c r="B334" s="3123" t="str">
        <f aca="false">дома!B760</f>
        <v>м.п.</v>
      </c>
      <c r="C334" s="3124" t="n">
        <f aca="false">дома!C760</f>
        <v>0.145</v>
      </c>
      <c r="D334" s="3124" t="n">
        <f aca="false">дома!D760</f>
        <v>0.045</v>
      </c>
      <c r="E334" s="3124" t="n">
        <f aca="false">дома!E760</f>
        <v>0</v>
      </c>
      <c r="F334" s="3124" t="n">
        <f aca="false">дома!F760</f>
        <v>2</v>
      </c>
      <c r="G334" s="3124" t="n">
        <f aca="false">E334*F334*(IF('Ввод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334" s="3124" t="n">
        <f aca="false">дома!G760*(IF('Ввод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335" customFormat="false" ht="15" hidden="false" customHeight="false" outlineLevel="0" collapsed="false">
      <c r="A335" s="3122" t="str">
        <f aca="false">дома!A761</f>
        <v>Стойка каркаса по фронтону, односкатная кровля №31</v>
      </c>
      <c r="B335" s="3123" t="str">
        <f aca="false">дома!B761</f>
        <v>м.п.</v>
      </c>
      <c r="C335" s="3124" t="n">
        <f aca="false">дома!C761</f>
        <v>0.145</v>
      </c>
      <c r="D335" s="3124" t="n">
        <f aca="false">дома!D761</f>
        <v>0.045</v>
      </c>
      <c r="E335" s="3124" t="n">
        <f aca="false">дома!E761</f>
        <v>0</v>
      </c>
      <c r="F335" s="3124" t="n">
        <f aca="false">дома!F761</f>
        <v>2</v>
      </c>
      <c r="G335" s="3124" t="n">
        <f aca="false">E335*F335*(IF('Ввод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335" s="3124" t="n">
        <f aca="false">дома!G761*(IF('Ввод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336" customFormat="false" ht="15" hidden="false" customHeight="false" outlineLevel="0" collapsed="false">
      <c r="A336" s="3122" t="str">
        <f aca="false">дома!A762</f>
        <v>Стойка каркаса по фронтону, односкатная кровля №32</v>
      </c>
      <c r="B336" s="3123" t="str">
        <f aca="false">дома!B762</f>
        <v>м.п.</v>
      </c>
      <c r="C336" s="3124" t="n">
        <f aca="false">дома!C762</f>
        <v>0.145</v>
      </c>
      <c r="D336" s="3124" t="n">
        <f aca="false">дома!D762</f>
        <v>0.045</v>
      </c>
      <c r="E336" s="3124" t="n">
        <f aca="false">дома!E762</f>
        <v>0</v>
      </c>
      <c r="F336" s="3124" t="n">
        <f aca="false">дома!F762</f>
        <v>2</v>
      </c>
      <c r="G336" s="3124" t="n">
        <f aca="false">E336*F336*(IF('Ввод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336" s="3124" t="n">
        <f aca="false">дома!G762*(IF('Ввод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337" customFormat="false" ht="15" hidden="false" customHeight="false" outlineLevel="0" collapsed="false">
      <c r="A337" s="3122" t="str">
        <f aca="false">дома!A763</f>
        <v>Стойка каркаса по фронтону, односкатная кровля №33</v>
      </c>
      <c r="B337" s="3123" t="str">
        <f aca="false">дома!B763</f>
        <v>м.п.</v>
      </c>
      <c r="C337" s="3124" t="n">
        <f aca="false">дома!C763</f>
        <v>0.145</v>
      </c>
      <c r="D337" s="3124" t="n">
        <f aca="false">дома!D763</f>
        <v>0.045</v>
      </c>
      <c r="E337" s="3124" t="n">
        <f aca="false">дома!E763</f>
        <v>0</v>
      </c>
      <c r="F337" s="3124" t="n">
        <f aca="false">дома!F763</f>
        <v>2</v>
      </c>
      <c r="G337" s="3124" t="n">
        <f aca="false">E337*F337*(IF('Ввод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337" s="3124" t="n">
        <f aca="false">дома!G763*(IF('Ввод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338" customFormat="false" ht="15" hidden="false" customHeight="false" outlineLevel="0" collapsed="false">
      <c r="A338" s="3122" t="str">
        <f aca="false">дома!A764</f>
        <v>Стойка каркаса по фронтону, односкатная кровля №34</v>
      </c>
      <c r="B338" s="3123" t="str">
        <f aca="false">дома!B764</f>
        <v>м.п.</v>
      </c>
      <c r="C338" s="3124" t="n">
        <f aca="false">дома!C764</f>
        <v>0.145</v>
      </c>
      <c r="D338" s="3124" t="n">
        <f aca="false">дома!D764</f>
        <v>0.045</v>
      </c>
      <c r="E338" s="3124" t="n">
        <f aca="false">дома!E764</f>
        <v>0</v>
      </c>
      <c r="F338" s="3124" t="n">
        <f aca="false">дома!F764</f>
        <v>2</v>
      </c>
      <c r="G338" s="3124" t="n">
        <f aca="false">E338*F338*(IF('Ввод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338" s="3124" t="n">
        <f aca="false">дома!G764*(IF('Ввод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339" customFormat="false" ht="15" hidden="false" customHeight="false" outlineLevel="0" collapsed="false">
      <c r="A339" s="3122" t="str">
        <f aca="false">дома!A765</f>
        <v>Стойка каркаса по фронтону, односкатная кровля №35</v>
      </c>
      <c r="B339" s="3123" t="str">
        <f aca="false">дома!B765</f>
        <v>м.п.</v>
      </c>
      <c r="C339" s="3124" t="n">
        <f aca="false">дома!C765</f>
        <v>0.145</v>
      </c>
      <c r="D339" s="3124" t="n">
        <f aca="false">дома!D765</f>
        <v>0.045</v>
      </c>
      <c r="E339" s="3124" t="n">
        <f aca="false">дома!E765</f>
        <v>0</v>
      </c>
      <c r="F339" s="3124" t="n">
        <f aca="false">дома!F765</f>
        <v>2</v>
      </c>
      <c r="G339" s="3124" t="n">
        <f aca="false">E339*F339*(IF('Ввод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339" s="3124" t="n">
        <f aca="false">дома!G765*(IF('Ввод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340" customFormat="false" ht="15" hidden="false" customHeight="false" outlineLevel="0" collapsed="false">
      <c r="A340" s="3122" t="str">
        <f aca="false">дома!A766</f>
        <v>Стойка каркаса по фронтону, односкатная кровля №36</v>
      </c>
      <c r="B340" s="3123" t="str">
        <f aca="false">дома!B766</f>
        <v>м.п.</v>
      </c>
      <c r="C340" s="3124" t="n">
        <f aca="false">дома!C766</f>
        <v>0.145</v>
      </c>
      <c r="D340" s="3124" t="n">
        <f aca="false">дома!D766</f>
        <v>0.045</v>
      </c>
      <c r="E340" s="3124" t="n">
        <f aca="false">дома!E766</f>
        <v>0</v>
      </c>
      <c r="F340" s="3124" t="n">
        <f aca="false">дома!F766</f>
        <v>2</v>
      </c>
      <c r="G340" s="3124" t="n">
        <f aca="false">E340*F340*(IF('Ввод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340" s="3124" t="n">
        <f aca="false">дома!G766*(IF('Ввод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341" customFormat="false" ht="15" hidden="false" customHeight="false" outlineLevel="0" collapsed="false">
      <c r="A341" s="3122" t="str">
        <f aca="false">дома!A767</f>
        <v>Стойка каркаса по фронтону, односкатная кровля №37</v>
      </c>
      <c r="B341" s="3123" t="str">
        <f aca="false">дома!B767</f>
        <v>м.п.</v>
      </c>
      <c r="C341" s="3124" t="n">
        <f aca="false">дома!C767</f>
        <v>0.145</v>
      </c>
      <c r="D341" s="3124" t="n">
        <f aca="false">дома!D767</f>
        <v>0.045</v>
      </c>
      <c r="E341" s="3124" t="n">
        <f aca="false">дома!E767</f>
        <v>0</v>
      </c>
      <c r="F341" s="3124" t="n">
        <f aca="false">дома!F767</f>
        <v>2</v>
      </c>
      <c r="G341" s="3124" t="n">
        <f aca="false">E341*F341*(IF('Ввод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341" s="3124" t="n">
        <f aca="false">дома!G767*(IF('Ввод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342" customFormat="false" ht="15" hidden="false" customHeight="false" outlineLevel="0" collapsed="false">
      <c r="A342" s="3122" t="str">
        <f aca="false">дома!A768</f>
        <v>Стойка каркаса по фронтону, односкатная кровля №38</v>
      </c>
      <c r="B342" s="3123" t="str">
        <f aca="false">дома!B768</f>
        <v>м.п.</v>
      </c>
      <c r="C342" s="3124" t="n">
        <f aca="false">дома!C768</f>
        <v>0.145</v>
      </c>
      <c r="D342" s="3124" t="n">
        <f aca="false">дома!D768</f>
        <v>0.045</v>
      </c>
      <c r="E342" s="3124" t="n">
        <f aca="false">дома!E768</f>
        <v>0</v>
      </c>
      <c r="F342" s="3124" t="n">
        <f aca="false">дома!F768</f>
        <v>2</v>
      </c>
      <c r="G342" s="3124" t="n">
        <f aca="false">E342*F342*(IF('Ввод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342" s="3124" t="n">
        <f aca="false">дома!G768*(IF('Ввод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343" customFormat="false" ht="15" hidden="false" customHeight="false" outlineLevel="0" collapsed="false">
      <c r="A343" s="3122" t="str">
        <f aca="false">дома!A769</f>
        <v>Стойка каркаса по фронтону, односкатная кровля №39</v>
      </c>
      <c r="B343" s="3123" t="str">
        <f aca="false">дома!B769</f>
        <v>м.п.</v>
      </c>
      <c r="C343" s="3124" t="n">
        <f aca="false">дома!C769</f>
        <v>0.145</v>
      </c>
      <c r="D343" s="3124" t="n">
        <f aca="false">дома!D769</f>
        <v>0.045</v>
      </c>
      <c r="E343" s="3124" t="n">
        <f aca="false">дома!E769</f>
        <v>0</v>
      </c>
      <c r="F343" s="3124" t="n">
        <f aca="false">дома!F769</f>
        <v>2</v>
      </c>
      <c r="G343" s="3124" t="n">
        <f aca="false">E343*F343*(IF('Ввод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343" s="3124" t="n">
        <f aca="false">дома!G769*(IF('Ввод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344" customFormat="false" ht="15" hidden="false" customHeight="false" outlineLevel="0" collapsed="false">
      <c r="A344" s="3122" t="str">
        <f aca="false">дома!A770</f>
        <v>Стойка каркаса по фронтону, односкатная кровля №40</v>
      </c>
      <c r="B344" s="3123" t="str">
        <f aca="false">дома!B770</f>
        <v>м.п.</v>
      </c>
      <c r="C344" s="3124" t="n">
        <f aca="false">дома!C770</f>
        <v>0.145</v>
      </c>
      <c r="D344" s="3124" t="n">
        <f aca="false">дома!D770</f>
        <v>0.045</v>
      </c>
      <c r="E344" s="3124" t="n">
        <f aca="false">дома!E770</f>
        <v>0</v>
      </c>
      <c r="F344" s="3124" t="n">
        <f aca="false">дома!F770</f>
        <v>2</v>
      </c>
      <c r="G344" s="3124" t="n">
        <f aca="false">E344*F344*(IF('Ввод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344" s="3124" t="n">
        <f aca="false">дома!G770*(IF('Ввод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345" customFormat="false" ht="15" hidden="false" customHeight="false" outlineLevel="0" collapsed="false">
      <c r="A345" s="3122" t="str">
        <f aca="false">дома!A771</f>
        <v>Стойка каркаса по фронтону, односкатная кровля №41</v>
      </c>
      <c r="B345" s="3123" t="str">
        <f aca="false">дома!B771</f>
        <v>м.п.</v>
      </c>
      <c r="C345" s="3124" t="n">
        <f aca="false">дома!C771</f>
        <v>0.145</v>
      </c>
      <c r="D345" s="3124" t="n">
        <f aca="false">дома!D771</f>
        <v>0.045</v>
      </c>
      <c r="E345" s="3124" t="n">
        <f aca="false">дома!E771</f>
        <v>0</v>
      </c>
      <c r="F345" s="3124" t="n">
        <f aca="false">дома!F771</f>
        <v>2</v>
      </c>
      <c r="G345" s="3124" t="n">
        <f aca="false">E345*F345*(IF('Ввод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345" s="3124" t="n">
        <f aca="false">дома!G771*(IF('Ввод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346" customFormat="false" ht="15" hidden="false" customHeight="false" outlineLevel="0" collapsed="false">
      <c r="A346" s="3122" t="str">
        <f aca="false">дома!A772</f>
        <v>Обвязка каркаса нижняя, односкатная кровля</v>
      </c>
      <c r="B346" s="3123" t="str">
        <f aca="false">дома!B772</f>
        <v>м.п.</v>
      </c>
      <c r="C346" s="3124" t="n">
        <f aca="false">дома!C772</f>
        <v>0.145</v>
      </c>
      <c r="D346" s="3124" t="n">
        <f aca="false">дома!D772</f>
        <v>0.045</v>
      </c>
      <c r="E346" s="3124" t="n">
        <f aca="false">дома!E772</f>
        <v>32</v>
      </c>
      <c r="F346" s="3124" t="n">
        <f aca="false">дома!F772</f>
        <v>0</v>
      </c>
      <c r="G346" s="3124" t="n">
        <f aca="false">E346*F346*(IF('Ввод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346" s="3124" t="n">
        <f aca="false">дома!G772*(IF('Ввод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347" customFormat="false" ht="15" hidden="false" customHeight="false" outlineLevel="0" collapsed="false">
      <c r="A347" s="3122" t="str">
        <f aca="false">дома!A773</f>
        <v>Обвязка каркаса верхняя, односкатная кровля</v>
      </c>
      <c r="B347" s="3123" t="str">
        <f aca="false">дома!B773</f>
        <v>м.п.</v>
      </c>
      <c r="C347" s="3124" t="n">
        <f aca="false">дома!C773</f>
        <v>0.145</v>
      </c>
      <c r="D347" s="3124" t="n">
        <f aca="false">дома!D773</f>
        <v>0.045</v>
      </c>
      <c r="E347" s="3124" t="n">
        <f aca="false">дома!E773</f>
        <v>33.3850510496806</v>
      </c>
      <c r="F347" s="3124" t="n">
        <f aca="false">дома!F773</f>
        <v>0</v>
      </c>
      <c r="G347" s="3124" t="n">
        <f aca="false">E347*F347*(IF('Ввод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347" s="3124" t="n">
        <f aca="false">дома!G773*(IF('Ввод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348" customFormat="false" ht="15" hidden="false" customHeight="false" outlineLevel="0" collapsed="false">
      <c r="A348" s="3122" t="str">
        <f aca="false">дома!A774</f>
        <v>Ригель каркаса фронтона, односкатная кровля</v>
      </c>
      <c r="B348" s="3123" t="str">
        <f aca="false">дома!B774</f>
        <v>м.п.</v>
      </c>
      <c r="C348" s="3124" t="n">
        <f aca="false">дома!C774</f>
        <v>0.145</v>
      </c>
      <c r="D348" s="3124" t="n">
        <f aca="false">дома!D774</f>
        <v>0.045</v>
      </c>
      <c r="E348" s="3124" t="n">
        <f aca="false">дома!E774</f>
        <v>33.3850510496806</v>
      </c>
      <c r="F348" s="3124" t="n">
        <f aca="false">дома!F774</f>
        <v>0</v>
      </c>
      <c r="G348" s="3124" t="n">
        <f aca="false">E348*F348*(IF('Ввод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348" s="3124" t="n">
        <f aca="false">дома!G774*(IF('Ввод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349" customFormat="false" ht="15" hidden="false" customHeight="false" outlineLevel="0" collapsed="false">
      <c r="A349" s="3122" t="str">
        <f aca="false">дома!A775</f>
        <v>Стойки каркаса, левая сторона 2 эт</v>
      </c>
      <c r="B349" s="3123" t="str">
        <f aca="false">дома!B775</f>
        <v>м.п.</v>
      </c>
      <c r="C349" s="3124" t="n">
        <f aca="false">дома!C775</f>
        <v>0.145</v>
      </c>
      <c r="D349" s="3124" t="n">
        <f aca="false">дома!D775</f>
        <v>0.045</v>
      </c>
      <c r="E349" s="3124" t="n">
        <f aca="false">дома!E775</f>
        <v>0</v>
      </c>
      <c r="F349" s="3124" t="n">
        <f aca="false">дома!F775</f>
        <v>0</v>
      </c>
      <c r="G349" s="3124" t="n">
        <f aca="false">E349*F349*(IF('Ввод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349" s="3124" t="n">
        <f aca="false">дома!G775*(IF('Ввод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350" customFormat="false" ht="15" hidden="false" customHeight="false" outlineLevel="0" collapsed="false">
      <c r="A350" s="3122" t="str">
        <f aca="false">дома!A776</f>
        <v>Стойки каркаса, правая сторона 2 эт</v>
      </c>
      <c r="B350" s="3123" t="str">
        <f aca="false">дома!B776</f>
        <v>м.п.</v>
      </c>
      <c r="C350" s="3124" t="n">
        <f aca="false">дома!C776</f>
        <v>0.145</v>
      </c>
      <c r="D350" s="3124" t="n">
        <f aca="false">дома!D776</f>
        <v>0.045</v>
      </c>
      <c r="E350" s="3124" t="n">
        <f aca="false">дома!E776</f>
        <v>0</v>
      </c>
      <c r="F350" s="3124" t="n">
        <f aca="false">дома!F776</f>
        <v>0</v>
      </c>
      <c r="G350" s="3124" t="n">
        <f aca="false">E350*F350*(IF('Ввод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350" s="3124" t="n">
        <f aca="false">дома!G776*(IF('Ввод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351" customFormat="false" ht="15" hidden="false" customHeight="false" outlineLevel="0" collapsed="false">
      <c r="A351" s="3122" t="str">
        <f aca="false">дома!A777</f>
        <v>Стойки каркаса передней/задней стены 2 эт</v>
      </c>
      <c r="B351" s="3123" t="str">
        <f aca="false">дома!B777</f>
        <v>м.п.</v>
      </c>
      <c r="C351" s="3124" t="n">
        <f aca="false">дома!C777</f>
        <v>0.145</v>
      </c>
      <c r="D351" s="3124" t="n">
        <f aca="false">дома!D777</f>
        <v>0.045</v>
      </c>
      <c r="E351" s="3124" t="n">
        <f aca="false">дома!E777</f>
        <v>0</v>
      </c>
      <c r="F351" s="3124" t="n">
        <f aca="false">дома!F777</f>
        <v>0</v>
      </c>
      <c r="G351" s="3124" t="n">
        <f aca="false">E351*F351*(IF('Ввод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351" s="3124" t="n">
        <f aca="false">дома!G777*(IF('Ввод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352" customFormat="false" ht="15" hidden="false" customHeight="false" outlineLevel="0" collapsed="false">
      <c r="A352" s="3122" t="str">
        <f aca="false">дома!A778</f>
        <v>Стойка каркаса по фронтону, односкатная кровля №0</v>
      </c>
      <c r="B352" s="3123" t="str">
        <f aca="false">дома!B778</f>
        <v>м.п.</v>
      </c>
      <c r="C352" s="3124" t="n">
        <f aca="false">дома!C778</f>
        <v>0.145</v>
      </c>
      <c r="D352" s="3124" t="n">
        <f aca="false">дома!D778</f>
        <v>0.045</v>
      </c>
      <c r="E352" s="3124" t="n">
        <f aca="false">дома!E778</f>
        <v>5</v>
      </c>
      <c r="F352" s="3124" t="n">
        <f aca="false">дома!F778</f>
        <v>0</v>
      </c>
      <c r="G352" s="3124" t="n">
        <f aca="false">E352*F352*(IF('Ввод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352" s="3124" t="n">
        <f aca="false">дома!G778*(IF('Ввод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353" customFormat="false" ht="15" hidden="false" customHeight="false" outlineLevel="0" collapsed="false">
      <c r="A353" s="3122" t="str">
        <f aca="false">дома!A779</f>
        <v>Стойка каркаса по фронтону, односкатная кровля №1</v>
      </c>
      <c r="B353" s="3123" t="str">
        <f aca="false">дома!B779</f>
        <v>м.п.</v>
      </c>
      <c r="C353" s="3124" t="n">
        <f aca="false">дома!C779</f>
        <v>0.145</v>
      </c>
      <c r="D353" s="3124" t="n">
        <f aca="false">дома!D779</f>
        <v>0.045</v>
      </c>
      <c r="E353" s="3124" t="n">
        <f aca="false">дома!E779</f>
        <v>4.77333333333333</v>
      </c>
      <c r="F353" s="3124" t="n">
        <f aca="false">дома!F779</f>
        <v>0</v>
      </c>
      <c r="G353" s="3124" t="n">
        <f aca="false">E353*F353*(IF('Ввод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353" s="3124" t="n">
        <f aca="false">дома!G779*(IF('Ввод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354" customFormat="false" ht="15" hidden="false" customHeight="false" outlineLevel="0" collapsed="false">
      <c r="A354" s="3122" t="str">
        <f aca="false">дома!A780</f>
        <v>Стойка каркаса по фронтону, односкатная кровля №2</v>
      </c>
      <c r="B354" s="3123" t="str">
        <f aca="false">дома!B780</f>
        <v>м.п.</v>
      </c>
      <c r="C354" s="3124" t="n">
        <f aca="false">дома!C780</f>
        <v>0.145</v>
      </c>
      <c r="D354" s="3124" t="n">
        <f aca="false">дома!D780</f>
        <v>0.045</v>
      </c>
      <c r="E354" s="3124" t="n">
        <f aca="false">дома!E780</f>
        <v>4.54666666666667</v>
      </c>
      <c r="F354" s="3124" t="n">
        <f aca="false">дома!F780</f>
        <v>0</v>
      </c>
      <c r="G354" s="3124" t="n">
        <f aca="false">E354*F354*(IF('Ввод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354" s="3124" t="n">
        <f aca="false">дома!G780*(IF('Ввод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355" customFormat="false" ht="15" hidden="false" customHeight="false" outlineLevel="0" collapsed="false">
      <c r="A355" s="3122" t="str">
        <f aca="false">дома!A781</f>
        <v>Стойка каркаса по фронтону, односкатная кровля №3</v>
      </c>
      <c r="B355" s="3123" t="str">
        <f aca="false">дома!B781</f>
        <v>м.п.</v>
      </c>
      <c r="C355" s="3124" t="n">
        <f aca="false">дома!C781</f>
        <v>0.145</v>
      </c>
      <c r="D355" s="3124" t="n">
        <f aca="false">дома!D781</f>
        <v>0.045</v>
      </c>
      <c r="E355" s="3124" t="n">
        <f aca="false">дома!E781</f>
        <v>4.32</v>
      </c>
      <c r="F355" s="3124" t="n">
        <f aca="false">дома!F781</f>
        <v>0</v>
      </c>
      <c r="G355" s="3124" t="n">
        <f aca="false">E355*F355*(IF('Ввод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355" s="3124" t="n">
        <f aca="false">дома!G781*(IF('Ввод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356" customFormat="false" ht="15" hidden="false" customHeight="false" outlineLevel="0" collapsed="false">
      <c r="A356" s="3122" t="str">
        <f aca="false">дома!A782</f>
        <v>Стойка каркаса по фронтону, односкатная кровля №4</v>
      </c>
      <c r="B356" s="3123" t="str">
        <f aca="false">дома!B782</f>
        <v>м.п.</v>
      </c>
      <c r="C356" s="3124" t="n">
        <f aca="false">дома!C782</f>
        <v>0.145</v>
      </c>
      <c r="D356" s="3124" t="n">
        <f aca="false">дома!D782</f>
        <v>0.045</v>
      </c>
      <c r="E356" s="3124" t="n">
        <f aca="false">дома!E782</f>
        <v>4.09333333333333</v>
      </c>
      <c r="F356" s="3124" t="n">
        <f aca="false">дома!F782</f>
        <v>0</v>
      </c>
      <c r="G356" s="3124" t="n">
        <f aca="false">E356*F356*(IF('Ввод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356" s="3124" t="n">
        <f aca="false">дома!G782*(IF('Ввод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357" customFormat="false" ht="15" hidden="false" customHeight="false" outlineLevel="0" collapsed="false">
      <c r="A357" s="3122" t="str">
        <f aca="false">дома!A783</f>
        <v>Стойка каркаса по фронтону, односкатная кровля №5</v>
      </c>
      <c r="B357" s="3123" t="str">
        <f aca="false">дома!B783</f>
        <v>м.п.</v>
      </c>
      <c r="C357" s="3124" t="n">
        <f aca="false">дома!C783</f>
        <v>0.145</v>
      </c>
      <c r="D357" s="3124" t="n">
        <f aca="false">дома!D783</f>
        <v>0.045</v>
      </c>
      <c r="E357" s="3124" t="n">
        <f aca="false">дома!E783</f>
        <v>3.86666666666667</v>
      </c>
      <c r="F357" s="3124" t="n">
        <f aca="false">дома!F783</f>
        <v>0</v>
      </c>
      <c r="G357" s="3124" t="n">
        <f aca="false">E357*F357*(IF('Ввод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357" s="3124" t="n">
        <f aca="false">дома!G783*(IF('Ввод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358" customFormat="false" ht="15" hidden="false" customHeight="false" outlineLevel="0" collapsed="false">
      <c r="A358" s="3122" t="str">
        <f aca="false">дома!A784</f>
        <v>Стойка каркаса по фронтону, односкатная кровля №6</v>
      </c>
      <c r="B358" s="3123" t="str">
        <f aca="false">дома!B784</f>
        <v>м.п.</v>
      </c>
      <c r="C358" s="3124" t="n">
        <f aca="false">дома!C784</f>
        <v>0.145</v>
      </c>
      <c r="D358" s="3124" t="n">
        <f aca="false">дома!D784</f>
        <v>0.045</v>
      </c>
      <c r="E358" s="3124" t="n">
        <f aca="false">дома!E784</f>
        <v>3.64</v>
      </c>
      <c r="F358" s="3124" t="n">
        <f aca="false">дома!F784</f>
        <v>0</v>
      </c>
      <c r="G358" s="3124" t="n">
        <f aca="false">E358*F358*(IF('Ввод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358" s="3124" t="n">
        <f aca="false">дома!G784*(IF('Ввод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359" customFormat="false" ht="15" hidden="false" customHeight="false" outlineLevel="0" collapsed="false">
      <c r="A359" s="3122" t="str">
        <f aca="false">дома!A785</f>
        <v>Стойка каркаса по фронтону, односкатная кровля №7</v>
      </c>
      <c r="B359" s="3123" t="str">
        <f aca="false">дома!B785</f>
        <v>м.п.</v>
      </c>
      <c r="C359" s="3124" t="n">
        <f aca="false">дома!C785</f>
        <v>0.145</v>
      </c>
      <c r="D359" s="3124" t="n">
        <f aca="false">дома!D785</f>
        <v>0.045</v>
      </c>
      <c r="E359" s="3124" t="n">
        <f aca="false">дома!E785</f>
        <v>3.41333333333333</v>
      </c>
      <c r="F359" s="3124" t="n">
        <f aca="false">дома!F785</f>
        <v>0</v>
      </c>
      <c r="G359" s="3124" t="n">
        <f aca="false">E359*F359*(IF('Ввод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359" s="3124" t="n">
        <f aca="false">дома!G785*(IF('Ввод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360" customFormat="false" ht="15" hidden="false" customHeight="false" outlineLevel="0" collapsed="false">
      <c r="A360" s="3122" t="str">
        <f aca="false">дома!A786</f>
        <v>Стойка каркаса по фронтону, односкатная кровля №8</v>
      </c>
      <c r="B360" s="3123" t="str">
        <f aca="false">дома!B786</f>
        <v>м.п.</v>
      </c>
      <c r="C360" s="3124" t="n">
        <f aca="false">дома!C786</f>
        <v>0.145</v>
      </c>
      <c r="D360" s="3124" t="n">
        <f aca="false">дома!D786</f>
        <v>0.045</v>
      </c>
      <c r="E360" s="3124" t="n">
        <f aca="false">дома!E786</f>
        <v>3.18666666666667</v>
      </c>
      <c r="F360" s="3124" t="n">
        <f aca="false">дома!F786</f>
        <v>0</v>
      </c>
      <c r="G360" s="3124" t="n">
        <f aca="false">E360*F360*(IF('Ввод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360" s="3124" t="n">
        <f aca="false">дома!G786*(IF('Ввод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361" customFormat="false" ht="15" hidden="false" customHeight="false" outlineLevel="0" collapsed="false">
      <c r="A361" s="3122" t="str">
        <f aca="false">дома!A787</f>
        <v>Стойка каркаса по фронтону, односкатная кровля №9</v>
      </c>
      <c r="B361" s="3123" t="str">
        <f aca="false">дома!B787</f>
        <v>м.п.</v>
      </c>
      <c r="C361" s="3124" t="n">
        <f aca="false">дома!C787</f>
        <v>0.145</v>
      </c>
      <c r="D361" s="3124" t="n">
        <f aca="false">дома!D787</f>
        <v>0.045</v>
      </c>
      <c r="E361" s="3124" t="n">
        <f aca="false">дома!E787</f>
        <v>2.96</v>
      </c>
      <c r="F361" s="3124" t="n">
        <f aca="false">дома!F787</f>
        <v>0</v>
      </c>
      <c r="G361" s="3124" t="n">
        <f aca="false">E361*F361*(IF('Ввод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361" s="3124" t="n">
        <f aca="false">дома!G787*(IF('Ввод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362" customFormat="false" ht="15" hidden="false" customHeight="false" outlineLevel="0" collapsed="false">
      <c r="A362" s="3122" t="str">
        <f aca="false">дома!A788</f>
        <v>Стойка каркаса по фронтону, односкатная кровля №10</v>
      </c>
      <c r="B362" s="3123" t="str">
        <f aca="false">дома!B788</f>
        <v>м.п.</v>
      </c>
      <c r="C362" s="3124" t="n">
        <f aca="false">дома!C788</f>
        <v>0.145</v>
      </c>
      <c r="D362" s="3124" t="n">
        <f aca="false">дома!D788</f>
        <v>0.045</v>
      </c>
      <c r="E362" s="3124" t="n">
        <f aca="false">дома!E788</f>
        <v>2.73333333333333</v>
      </c>
      <c r="F362" s="3124" t="n">
        <f aca="false">дома!F788</f>
        <v>0</v>
      </c>
      <c r="G362" s="3124" t="n">
        <f aca="false">E362*F362*(IF('Ввод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362" s="3124" t="n">
        <f aca="false">дома!G788*(IF('Ввод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363" customFormat="false" ht="15" hidden="false" customHeight="false" outlineLevel="0" collapsed="false">
      <c r="A363" s="3122" t="str">
        <f aca="false">дома!A789</f>
        <v>Стойка каркаса по фронтону, односкатная кровля №11</v>
      </c>
      <c r="B363" s="3123" t="str">
        <f aca="false">дома!B789</f>
        <v>м.п.</v>
      </c>
      <c r="C363" s="3124" t="n">
        <f aca="false">дома!C789</f>
        <v>0.145</v>
      </c>
      <c r="D363" s="3124" t="n">
        <f aca="false">дома!D789</f>
        <v>0.045</v>
      </c>
      <c r="E363" s="3124" t="n">
        <f aca="false">дома!E789</f>
        <v>2.50666666666667</v>
      </c>
      <c r="F363" s="3124" t="n">
        <f aca="false">дома!F789</f>
        <v>0</v>
      </c>
      <c r="G363" s="3124" t="n">
        <f aca="false">E363*F363*(IF('Ввод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363" s="3124" t="n">
        <f aca="false">дома!G789*(IF('Ввод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364" customFormat="false" ht="15" hidden="false" customHeight="false" outlineLevel="0" collapsed="false">
      <c r="A364" s="3122" t="str">
        <f aca="false">дома!A790</f>
        <v>Стойка каркаса по фронтону, односкатная кровля №12</v>
      </c>
      <c r="B364" s="3123" t="str">
        <f aca="false">дома!B790</f>
        <v>м.п.</v>
      </c>
      <c r="C364" s="3124" t="n">
        <f aca="false">дома!C790</f>
        <v>0.145</v>
      </c>
      <c r="D364" s="3124" t="n">
        <f aca="false">дома!D790</f>
        <v>0.045</v>
      </c>
      <c r="E364" s="3124" t="n">
        <f aca="false">дома!E790</f>
        <v>2.28</v>
      </c>
      <c r="F364" s="3124" t="n">
        <f aca="false">дома!F790</f>
        <v>0</v>
      </c>
      <c r="G364" s="3124" t="n">
        <f aca="false">E364*F364*(IF('Ввод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364" s="3124" t="n">
        <f aca="false">дома!G790*(IF('Ввод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365" customFormat="false" ht="15" hidden="false" customHeight="false" outlineLevel="0" collapsed="false">
      <c r="A365" s="3122" t="str">
        <f aca="false">дома!A791</f>
        <v>Стойка каркаса по фронтону, односкатная кровля №13</v>
      </c>
      <c r="B365" s="3123" t="str">
        <f aca="false">дома!B791</f>
        <v>м.п.</v>
      </c>
      <c r="C365" s="3124" t="n">
        <f aca="false">дома!C791</f>
        <v>0.145</v>
      </c>
      <c r="D365" s="3124" t="n">
        <f aca="false">дома!D791</f>
        <v>0.045</v>
      </c>
      <c r="E365" s="3124" t="n">
        <f aca="false">дома!E791</f>
        <v>2.05333333333333</v>
      </c>
      <c r="F365" s="3124" t="n">
        <f aca="false">дома!F791</f>
        <v>0</v>
      </c>
      <c r="G365" s="3124" t="n">
        <f aca="false">E365*F365*(IF('Ввод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365" s="3124" t="n">
        <f aca="false">дома!G791*(IF('Ввод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366" customFormat="false" ht="15" hidden="false" customHeight="false" outlineLevel="0" collapsed="false">
      <c r="A366" s="3122" t="str">
        <f aca="false">дома!A792</f>
        <v>Стойка каркаса по фронтону, односкатная кровля №14</v>
      </c>
      <c r="B366" s="3123" t="str">
        <f aca="false">дома!B792</f>
        <v>м.п.</v>
      </c>
      <c r="C366" s="3124" t="n">
        <f aca="false">дома!C792</f>
        <v>0.145</v>
      </c>
      <c r="D366" s="3124" t="n">
        <f aca="false">дома!D792</f>
        <v>0.045</v>
      </c>
      <c r="E366" s="3124" t="n">
        <f aca="false">дома!E792</f>
        <v>1.82666666666667</v>
      </c>
      <c r="F366" s="3124" t="n">
        <f aca="false">дома!F792</f>
        <v>0</v>
      </c>
      <c r="G366" s="3124" t="n">
        <f aca="false">E366*F366*(IF('Ввод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366" s="3124" t="n">
        <f aca="false">дома!G792*(IF('Ввод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367" customFormat="false" ht="15" hidden="false" customHeight="false" outlineLevel="0" collapsed="false">
      <c r="A367" s="3122" t="str">
        <f aca="false">дома!A793</f>
        <v>Стойка каркаса по фронтону, односкатная кровля №15</v>
      </c>
      <c r="B367" s="3123" t="str">
        <f aca="false">дома!B793</f>
        <v>м.п.</v>
      </c>
      <c r="C367" s="3124" t="n">
        <f aca="false">дома!C793</f>
        <v>0.145</v>
      </c>
      <c r="D367" s="3124" t="n">
        <f aca="false">дома!D793</f>
        <v>0.045</v>
      </c>
      <c r="E367" s="3124" t="n">
        <f aca="false">дома!E793</f>
        <v>1.6</v>
      </c>
      <c r="F367" s="3124" t="n">
        <f aca="false">дома!F793</f>
        <v>0</v>
      </c>
      <c r="G367" s="3124" t="n">
        <f aca="false">E367*F367*(IF('Ввод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367" s="3124" t="n">
        <f aca="false">дома!G793*(IF('Ввод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368" customFormat="false" ht="15" hidden="false" customHeight="false" outlineLevel="0" collapsed="false">
      <c r="A368" s="3122" t="str">
        <f aca="false">дома!A794</f>
        <v>Стойка каркаса по фронтону, односкатная кровля №16</v>
      </c>
      <c r="B368" s="3123" t="str">
        <f aca="false">дома!B794</f>
        <v>м.п.</v>
      </c>
      <c r="C368" s="3124" t="n">
        <f aca="false">дома!C794</f>
        <v>0.145</v>
      </c>
      <c r="D368" s="3124" t="n">
        <f aca="false">дома!D794</f>
        <v>0.045</v>
      </c>
      <c r="E368" s="3124" t="n">
        <f aca="false">дома!E794</f>
        <v>1.37333333333333</v>
      </c>
      <c r="F368" s="3124" t="n">
        <f aca="false">дома!F794</f>
        <v>0</v>
      </c>
      <c r="G368" s="3124" t="n">
        <f aca="false">E368*F368*(IF('Ввод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368" s="3124" t="n">
        <f aca="false">дома!G794*(IF('Ввод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369" customFormat="false" ht="15" hidden="false" customHeight="false" outlineLevel="0" collapsed="false">
      <c r="A369" s="3122" t="str">
        <f aca="false">дома!A795</f>
        <v>Стойка каркаса по фронтону, односкатная кровля №17</v>
      </c>
      <c r="B369" s="3123" t="str">
        <f aca="false">дома!B795</f>
        <v>м.п.</v>
      </c>
      <c r="C369" s="3124" t="n">
        <f aca="false">дома!C795</f>
        <v>0.145</v>
      </c>
      <c r="D369" s="3124" t="n">
        <f aca="false">дома!D795</f>
        <v>0.045</v>
      </c>
      <c r="E369" s="3124" t="n">
        <f aca="false">дома!E795</f>
        <v>0</v>
      </c>
      <c r="F369" s="3124" t="n">
        <f aca="false">дома!F795</f>
        <v>0</v>
      </c>
      <c r="G369" s="3124" t="n">
        <f aca="false">E369*F369*(IF('Ввод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369" s="3124" t="n">
        <f aca="false">дома!G795*(IF('Ввод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370" customFormat="false" ht="15" hidden="false" customHeight="false" outlineLevel="0" collapsed="false">
      <c r="A370" s="3122" t="str">
        <f aca="false">дома!A796</f>
        <v>Стойка каркаса по фронтону, односкатная кровля №18</v>
      </c>
      <c r="B370" s="3123" t="str">
        <f aca="false">дома!B796</f>
        <v>м.п.</v>
      </c>
      <c r="C370" s="3124" t="n">
        <f aca="false">дома!C796</f>
        <v>0.145</v>
      </c>
      <c r="D370" s="3124" t="n">
        <f aca="false">дома!D796</f>
        <v>0.045</v>
      </c>
      <c r="E370" s="3124" t="n">
        <f aca="false">дома!E796</f>
        <v>0</v>
      </c>
      <c r="F370" s="3124" t="n">
        <f aca="false">дома!F796</f>
        <v>0</v>
      </c>
      <c r="G370" s="3124" t="n">
        <f aca="false">E370*F370*(IF('Ввод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370" s="3124" t="n">
        <f aca="false">дома!G796*(IF('Ввод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371" customFormat="false" ht="15" hidden="false" customHeight="false" outlineLevel="0" collapsed="false">
      <c r="A371" s="3122" t="str">
        <f aca="false">дома!A797</f>
        <v>Стойка каркаса по фронтону, односкатная кровля №19</v>
      </c>
      <c r="B371" s="3123" t="str">
        <f aca="false">дома!B797</f>
        <v>м.п.</v>
      </c>
      <c r="C371" s="3124" t="n">
        <f aca="false">дома!C797</f>
        <v>0.145</v>
      </c>
      <c r="D371" s="3124" t="n">
        <f aca="false">дома!D797</f>
        <v>0.045</v>
      </c>
      <c r="E371" s="3124" t="n">
        <f aca="false">дома!E797</f>
        <v>0</v>
      </c>
      <c r="F371" s="3124" t="n">
        <f aca="false">дома!F797</f>
        <v>0</v>
      </c>
      <c r="G371" s="3124" t="n">
        <f aca="false">E371*F371*(IF('Ввод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371" s="3124" t="n">
        <f aca="false">дома!G797*(IF('Ввод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372" customFormat="false" ht="15" hidden="false" customHeight="false" outlineLevel="0" collapsed="false">
      <c r="A372" s="3122" t="str">
        <f aca="false">дома!A798</f>
        <v>Стойка каркаса по фронтону, односкатная кровля №20</v>
      </c>
      <c r="B372" s="3123" t="str">
        <f aca="false">дома!B798</f>
        <v>м.п.</v>
      </c>
      <c r="C372" s="3124" t="n">
        <f aca="false">дома!C798</f>
        <v>0.145</v>
      </c>
      <c r="D372" s="3124" t="n">
        <f aca="false">дома!D798</f>
        <v>0.045</v>
      </c>
      <c r="E372" s="3124" t="n">
        <f aca="false">дома!E798</f>
        <v>0</v>
      </c>
      <c r="F372" s="3124" t="n">
        <f aca="false">дома!F798</f>
        <v>0</v>
      </c>
      <c r="G372" s="3124" t="n">
        <f aca="false">E372*F372*(IF('Ввод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372" s="3124" t="n">
        <f aca="false">дома!G798*(IF('Ввод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373" customFormat="false" ht="15" hidden="false" customHeight="false" outlineLevel="0" collapsed="false">
      <c r="A373" s="3122" t="str">
        <f aca="false">дома!A799</f>
        <v>Стойка каркаса по фронтону, односкатная кровля №21</v>
      </c>
      <c r="B373" s="3123" t="str">
        <f aca="false">дома!B799</f>
        <v>м.п.</v>
      </c>
      <c r="C373" s="3124" t="n">
        <f aca="false">дома!C799</f>
        <v>0.145</v>
      </c>
      <c r="D373" s="3124" t="n">
        <f aca="false">дома!D799</f>
        <v>0.045</v>
      </c>
      <c r="E373" s="3124" t="n">
        <f aca="false">дома!E799</f>
        <v>0</v>
      </c>
      <c r="F373" s="3124" t="n">
        <f aca="false">дома!F799</f>
        <v>0</v>
      </c>
      <c r="G373" s="3124" t="n">
        <f aca="false">E373*F373*(IF('Ввод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373" s="3124" t="n">
        <f aca="false">дома!G799*(IF('Ввод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374" customFormat="false" ht="15" hidden="false" customHeight="false" outlineLevel="0" collapsed="false">
      <c r="A374" s="3122" t="str">
        <f aca="false">дома!A800</f>
        <v>Стойка каркаса по фронтону, односкатная кровля №22</v>
      </c>
      <c r="B374" s="3123" t="str">
        <f aca="false">дома!B800</f>
        <v>м.п.</v>
      </c>
      <c r="C374" s="3124" t="n">
        <f aca="false">дома!C800</f>
        <v>0.145</v>
      </c>
      <c r="D374" s="3124" t="n">
        <f aca="false">дома!D800</f>
        <v>0.045</v>
      </c>
      <c r="E374" s="3124" t="n">
        <f aca="false">дома!E800</f>
        <v>0</v>
      </c>
      <c r="F374" s="3124" t="n">
        <f aca="false">дома!F800</f>
        <v>0</v>
      </c>
      <c r="G374" s="3124" t="n">
        <f aca="false">E374*F374*(IF('Ввод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374" s="3124" t="n">
        <f aca="false">дома!G800*(IF('Ввод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375" customFormat="false" ht="15" hidden="false" customHeight="false" outlineLevel="0" collapsed="false">
      <c r="A375" s="3122" t="str">
        <f aca="false">дома!A801</f>
        <v>Стойка каркаса по фронтону, односкатная кровля №23</v>
      </c>
      <c r="B375" s="3123" t="str">
        <f aca="false">дома!B801</f>
        <v>м.п.</v>
      </c>
      <c r="C375" s="3124" t="n">
        <f aca="false">дома!C801</f>
        <v>0.145</v>
      </c>
      <c r="D375" s="3124" t="n">
        <f aca="false">дома!D801</f>
        <v>0.045</v>
      </c>
      <c r="E375" s="3124" t="n">
        <f aca="false">дома!E801</f>
        <v>0</v>
      </c>
      <c r="F375" s="3124" t="n">
        <f aca="false">дома!F801</f>
        <v>0</v>
      </c>
      <c r="G375" s="3124" t="n">
        <f aca="false">E375*F375*(IF('Ввод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375" s="3124" t="n">
        <f aca="false">дома!G801*(IF('Ввод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376" customFormat="false" ht="15" hidden="false" customHeight="false" outlineLevel="0" collapsed="false">
      <c r="A376" s="3122" t="str">
        <f aca="false">дома!A802</f>
        <v>Стойка каркаса по фронтону, односкатная кровля №24</v>
      </c>
      <c r="B376" s="3123" t="str">
        <f aca="false">дома!B802</f>
        <v>м.п.</v>
      </c>
      <c r="C376" s="3124" t="n">
        <f aca="false">дома!C802</f>
        <v>0.145</v>
      </c>
      <c r="D376" s="3124" t="n">
        <f aca="false">дома!D802</f>
        <v>0.045</v>
      </c>
      <c r="E376" s="3124" t="n">
        <f aca="false">дома!E802</f>
        <v>0</v>
      </c>
      <c r="F376" s="3124" t="n">
        <f aca="false">дома!F802</f>
        <v>0</v>
      </c>
      <c r="G376" s="3124" t="n">
        <f aca="false">E376*F376*(IF('Ввод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376" s="3124" t="n">
        <f aca="false">дома!G802*(IF('Ввод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377" customFormat="false" ht="15" hidden="false" customHeight="false" outlineLevel="0" collapsed="false">
      <c r="A377" s="3122" t="str">
        <f aca="false">дома!A803</f>
        <v>Стойка каркаса по фронтону, односкатная кровля №25</v>
      </c>
      <c r="B377" s="3123" t="str">
        <f aca="false">дома!B803</f>
        <v>м.п.</v>
      </c>
      <c r="C377" s="3124" t="n">
        <f aca="false">дома!C803</f>
        <v>0.145</v>
      </c>
      <c r="D377" s="3124" t="n">
        <f aca="false">дома!D803</f>
        <v>0.045</v>
      </c>
      <c r="E377" s="3124" t="n">
        <f aca="false">дома!E803</f>
        <v>0</v>
      </c>
      <c r="F377" s="3124" t="n">
        <f aca="false">дома!F803</f>
        <v>0</v>
      </c>
      <c r="G377" s="3124" t="n">
        <f aca="false">E377*F377*(IF('Ввод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377" s="3124" t="n">
        <f aca="false">дома!G803*(IF('Ввод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378" customFormat="false" ht="15" hidden="false" customHeight="false" outlineLevel="0" collapsed="false">
      <c r="A378" s="3122" t="str">
        <f aca="false">дома!A804</f>
        <v>Стойка каркаса по фронтону, односкатная кровля №26</v>
      </c>
      <c r="B378" s="3123" t="str">
        <f aca="false">дома!B804</f>
        <v>м.п.</v>
      </c>
      <c r="C378" s="3124" t="n">
        <f aca="false">дома!C804</f>
        <v>0.145</v>
      </c>
      <c r="D378" s="3124" t="n">
        <f aca="false">дома!D804</f>
        <v>0.045</v>
      </c>
      <c r="E378" s="3124" t="n">
        <f aca="false">дома!E804</f>
        <v>0</v>
      </c>
      <c r="F378" s="3124" t="n">
        <f aca="false">дома!F804</f>
        <v>0</v>
      </c>
      <c r="G378" s="3124" t="n">
        <f aca="false">E378*F378*(IF('Ввод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378" s="3124" t="n">
        <f aca="false">дома!G804*(IF('Ввод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379" customFormat="false" ht="15" hidden="false" customHeight="false" outlineLevel="0" collapsed="false">
      <c r="A379" s="3122" t="str">
        <f aca="false">дома!A805</f>
        <v>Стойка каркаса по фронтону, односкатная кровля №27</v>
      </c>
      <c r="B379" s="3123" t="str">
        <f aca="false">дома!B805</f>
        <v>м.п.</v>
      </c>
      <c r="C379" s="3124" t="n">
        <f aca="false">дома!C805</f>
        <v>0.145</v>
      </c>
      <c r="D379" s="3124" t="n">
        <f aca="false">дома!D805</f>
        <v>0.045</v>
      </c>
      <c r="E379" s="3124" t="n">
        <f aca="false">дома!E805</f>
        <v>0</v>
      </c>
      <c r="F379" s="3124" t="n">
        <f aca="false">дома!F805</f>
        <v>0</v>
      </c>
      <c r="G379" s="3124" t="n">
        <f aca="false">E379*F379*(IF('Ввод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379" s="3124" t="n">
        <f aca="false">дома!G805*(IF('Ввод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380" customFormat="false" ht="15" hidden="false" customHeight="false" outlineLevel="0" collapsed="false">
      <c r="A380" s="3122" t="str">
        <f aca="false">дома!A806</f>
        <v>Стойка каркаса по фронтону, односкатная кровля №28</v>
      </c>
      <c r="B380" s="3123" t="str">
        <f aca="false">дома!B806</f>
        <v>м.п.</v>
      </c>
      <c r="C380" s="3124" t="n">
        <f aca="false">дома!C806</f>
        <v>0.145</v>
      </c>
      <c r="D380" s="3124" t="n">
        <f aca="false">дома!D806</f>
        <v>0.045</v>
      </c>
      <c r="E380" s="3124" t="n">
        <f aca="false">дома!E806</f>
        <v>0</v>
      </c>
      <c r="F380" s="3124" t="n">
        <f aca="false">дома!F806</f>
        <v>0</v>
      </c>
      <c r="G380" s="3124" t="n">
        <f aca="false">E380*F380*(IF('Ввод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380" s="3124" t="n">
        <f aca="false">дома!G806*(IF('Ввод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381" customFormat="false" ht="15" hidden="false" customHeight="false" outlineLevel="0" collapsed="false">
      <c r="A381" s="3122" t="str">
        <f aca="false">дома!A807</f>
        <v>Стойка каркаса по фронтону, односкатная кровля №29</v>
      </c>
      <c r="B381" s="3123" t="str">
        <f aca="false">дома!B807</f>
        <v>м.п.</v>
      </c>
      <c r="C381" s="3124" t="n">
        <f aca="false">дома!C807</f>
        <v>0.145</v>
      </c>
      <c r="D381" s="3124" t="n">
        <f aca="false">дома!D807</f>
        <v>0.045</v>
      </c>
      <c r="E381" s="3124" t="n">
        <f aca="false">дома!E807</f>
        <v>0</v>
      </c>
      <c r="F381" s="3124" t="n">
        <f aca="false">дома!F807</f>
        <v>0</v>
      </c>
      <c r="G381" s="3124" t="n">
        <f aca="false">E381*F381*(IF('Ввод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381" s="3124" t="n">
        <f aca="false">дома!G807*(IF('Ввод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382" customFormat="false" ht="15" hidden="false" customHeight="false" outlineLevel="0" collapsed="false">
      <c r="A382" s="3122" t="str">
        <f aca="false">дома!A808</f>
        <v>Стойка каркаса по фронтону, односкатная кровля №30</v>
      </c>
      <c r="B382" s="3123" t="str">
        <f aca="false">дома!B808</f>
        <v>м.п.</v>
      </c>
      <c r="C382" s="3124" t="n">
        <f aca="false">дома!C808</f>
        <v>0.145</v>
      </c>
      <c r="D382" s="3124" t="n">
        <f aca="false">дома!D808</f>
        <v>0.045</v>
      </c>
      <c r="E382" s="3124" t="n">
        <f aca="false">дома!E808</f>
        <v>0</v>
      </c>
      <c r="F382" s="3124" t="n">
        <f aca="false">дома!F808</f>
        <v>0</v>
      </c>
      <c r="G382" s="3124" t="n">
        <f aca="false">E382*F382*(IF('Ввод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382" s="3124" t="n">
        <f aca="false">дома!G808*(IF('Ввод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383" customFormat="false" ht="15" hidden="false" customHeight="false" outlineLevel="0" collapsed="false">
      <c r="A383" s="3122" t="str">
        <f aca="false">дома!A809</f>
        <v>Стойка каркаса по фронтону, односкатная кровля №31</v>
      </c>
      <c r="B383" s="3123" t="str">
        <f aca="false">дома!B809</f>
        <v>м.п.</v>
      </c>
      <c r="C383" s="3124" t="n">
        <f aca="false">дома!C809</f>
        <v>0.145</v>
      </c>
      <c r="D383" s="3124" t="n">
        <f aca="false">дома!D809</f>
        <v>0.045</v>
      </c>
      <c r="E383" s="3124" t="n">
        <f aca="false">дома!E809</f>
        <v>0</v>
      </c>
      <c r="F383" s="3124" t="n">
        <f aca="false">дома!F809</f>
        <v>0</v>
      </c>
      <c r="G383" s="3124" t="n">
        <f aca="false">E383*F383*(IF('Ввод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383" s="3124" t="n">
        <f aca="false">дома!G809*(IF('Ввод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384" customFormat="false" ht="15" hidden="false" customHeight="false" outlineLevel="0" collapsed="false">
      <c r="A384" s="3122" t="str">
        <f aca="false">дома!A810</f>
        <v>Стойка каркаса по фронтону, односкатная кровля №32</v>
      </c>
      <c r="B384" s="3123" t="str">
        <f aca="false">дома!B810</f>
        <v>м.п.</v>
      </c>
      <c r="C384" s="3124" t="n">
        <f aca="false">дома!C810</f>
        <v>0.145</v>
      </c>
      <c r="D384" s="3124" t="n">
        <f aca="false">дома!D810</f>
        <v>0.045</v>
      </c>
      <c r="E384" s="3124" t="n">
        <f aca="false">дома!E810</f>
        <v>0</v>
      </c>
      <c r="F384" s="3124" t="n">
        <f aca="false">дома!F810</f>
        <v>0</v>
      </c>
      <c r="G384" s="3124" t="n">
        <f aca="false">E384*F384*(IF('Ввод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384" s="3124" t="n">
        <f aca="false">дома!G810*(IF('Ввод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385" customFormat="false" ht="15" hidden="false" customHeight="false" outlineLevel="0" collapsed="false">
      <c r="A385" s="3122" t="str">
        <f aca="false">дома!A811</f>
        <v>Стойка каркаса по фронтону, односкатная кровля №33</v>
      </c>
      <c r="B385" s="3123" t="str">
        <f aca="false">дома!B811</f>
        <v>м.п.</v>
      </c>
      <c r="C385" s="3124" t="n">
        <f aca="false">дома!C811</f>
        <v>0.145</v>
      </c>
      <c r="D385" s="3124" t="n">
        <f aca="false">дома!D811</f>
        <v>0.045</v>
      </c>
      <c r="E385" s="3124" t="n">
        <f aca="false">дома!E811</f>
        <v>0</v>
      </c>
      <c r="F385" s="3124" t="n">
        <f aca="false">дома!F811</f>
        <v>0</v>
      </c>
      <c r="G385" s="3124" t="n">
        <f aca="false">E385*F385*(IF('Ввод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385" s="3124" t="n">
        <f aca="false">дома!G811*(IF('Ввод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386" customFormat="false" ht="15" hidden="false" customHeight="false" outlineLevel="0" collapsed="false">
      <c r="A386" s="3122" t="str">
        <f aca="false">дома!A812</f>
        <v>Стойка каркаса по фронтону, односкатная кровля №34</v>
      </c>
      <c r="B386" s="3123" t="str">
        <f aca="false">дома!B812</f>
        <v>м.п.</v>
      </c>
      <c r="C386" s="3124" t="n">
        <f aca="false">дома!C812</f>
        <v>0.145</v>
      </c>
      <c r="D386" s="3124" t="n">
        <f aca="false">дома!D812</f>
        <v>0.045</v>
      </c>
      <c r="E386" s="3124" t="n">
        <f aca="false">дома!E812</f>
        <v>0</v>
      </c>
      <c r="F386" s="3124" t="n">
        <f aca="false">дома!F812</f>
        <v>0</v>
      </c>
      <c r="G386" s="3124" t="n">
        <f aca="false">E386*F386*(IF('Ввод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386" s="3124" t="n">
        <f aca="false">дома!G812*(IF('Ввод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387" customFormat="false" ht="15" hidden="false" customHeight="false" outlineLevel="0" collapsed="false">
      <c r="A387" s="3122" t="str">
        <f aca="false">дома!A813</f>
        <v>Стойка каркаса по фронтону, односкатная кровля №35</v>
      </c>
      <c r="B387" s="3123" t="str">
        <f aca="false">дома!B813</f>
        <v>м.п.</v>
      </c>
      <c r="C387" s="3124" t="n">
        <f aca="false">дома!C813</f>
        <v>0.145</v>
      </c>
      <c r="D387" s="3124" t="n">
        <f aca="false">дома!D813</f>
        <v>0.045</v>
      </c>
      <c r="E387" s="3124" t="n">
        <f aca="false">дома!E813</f>
        <v>0</v>
      </c>
      <c r="F387" s="3124" t="n">
        <f aca="false">дома!F813</f>
        <v>0</v>
      </c>
      <c r="G387" s="3124" t="n">
        <f aca="false">E387*F387*(IF('Ввод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387" s="3124" t="n">
        <f aca="false">дома!G813*(IF('Ввод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388" customFormat="false" ht="15" hidden="false" customHeight="false" outlineLevel="0" collapsed="false">
      <c r="A388" s="3122" t="str">
        <f aca="false">дома!A814</f>
        <v>Стойка каркаса по фронтону, односкатная кровля №36</v>
      </c>
      <c r="B388" s="3123" t="str">
        <f aca="false">дома!B814</f>
        <v>м.п.</v>
      </c>
      <c r="C388" s="3124" t="n">
        <f aca="false">дома!C814</f>
        <v>0.145</v>
      </c>
      <c r="D388" s="3124" t="n">
        <f aca="false">дома!D814</f>
        <v>0.045</v>
      </c>
      <c r="E388" s="3124" t="n">
        <f aca="false">дома!E814</f>
        <v>0</v>
      </c>
      <c r="F388" s="3124" t="n">
        <f aca="false">дома!F814</f>
        <v>0</v>
      </c>
      <c r="G388" s="3124" t="n">
        <f aca="false">E388*F388*(IF('Ввод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388" s="3124" t="n">
        <f aca="false">дома!G814*(IF('Ввод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389" customFormat="false" ht="15" hidden="false" customHeight="false" outlineLevel="0" collapsed="false">
      <c r="A389" s="3122" t="str">
        <f aca="false">дома!A815</f>
        <v>Стойка каркаса по фронтону, односкатная кровля №37</v>
      </c>
      <c r="B389" s="3123" t="str">
        <f aca="false">дома!B815</f>
        <v>м.п.</v>
      </c>
      <c r="C389" s="3124" t="n">
        <f aca="false">дома!C815</f>
        <v>0.145</v>
      </c>
      <c r="D389" s="3124" t="n">
        <f aca="false">дома!D815</f>
        <v>0.045</v>
      </c>
      <c r="E389" s="3124" t="n">
        <f aca="false">дома!E815</f>
        <v>0</v>
      </c>
      <c r="F389" s="3124" t="n">
        <f aca="false">дома!F815</f>
        <v>0</v>
      </c>
      <c r="G389" s="3124" t="n">
        <f aca="false">E389*F389*(IF('Ввод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389" s="3124" t="n">
        <f aca="false">дома!G815*(IF('Ввод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390" customFormat="false" ht="15" hidden="false" customHeight="false" outlineLevel="0" collapsed="false">
      <c r="A390" s="3122" t="str">
        <f aca="false">дома!A816</f>
        <v>Стойка каркаса по фронтону, односкатная кровля №38</v>
      </c>
      <c r="B390" s="3123" t="str">
        <f aca="false">дома!B816</f>
        <v>м.п.</v>
      </c>
      <c r="C390" s="3124" t="n">
        <f aca="false">дома!C816</f>
        <v>0.145</v>
      </c>
      <c r="D390" s="3124" t="n">
        <f aca="false">дома!D816</f>
        <v>0.045</v>
      </c>
      <c r="E390" s="3124" t="n">
        <f aca="false">дома!E816</f>
        <v>0</v>
      </c>
      <c r="F390" s="3124" t="n">
        <f aca="false">дома!F816</f>
        <v>0</v>
      </c>
      <c r="G390" s="3124" t="n">
        <f aca="false">E390*F390*(IF('Ввод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390" s="3124" t="n">
        <f aca="false">дома!G816*(IF('Ввод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391" customFormat="false" ht="15" hidden="false" customHeight="false" outlineLevel="0" collapsed="false">
      <c r="A391" s="3122" t="str">
        <f aca="false">дома!A817</f>
        <v>Стойка каркаса по фронтону, односкатная кровля №39</v>
      </c>
      <c r="B391" s="3123" t="str">
        <f aca="false">дома!B817</f>
        <v>м.п.</v>
      </c>
      <c r="C391" s="3124" t="n">
        <f aca="false">дома!C817</f>
        <v>0.145</v>
      </c>
      <c r="D391" s="3124" t="n">
        <f aca="false">дома!D817</f>
        <v>0.045</v>
      </c>
      <c r="E391" s="3124" t="n">
        <f aca="false">дома!E817</f>
        <v>0</v>
      </c>
      <c r="F391" s="3124" t="n">
        <f aca="false">дома!F817</f>
        <v>0</v>
      </c>
      <c r="G391" s="3124" t="n">
        <f aca="false">E391*F391*(IF('Ввод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391" s="3124" t="n">
        <f aca="false">дома!G817*(IF('Ввод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392" customFormat="false" ht="15" hidden="false" customHeight="false" outlineLevel="0" collapsed="false">
      <c r="A392" s="3122" t="str">
        <f aca="false">дома!A818</f>
        <v>Стойка каркаса по фронтону, односкатная кровля №40</v>
      </c>
      <c r="B392" s="3123" t="str">
        <f aca="false">дома!B818</f>
        <v>м.п.</v>
      </c>
      <c r="C392" s="3124" t="n">
        <f aca="false">дома!C818</f>
        <v>0.145</v>
      </c>
      <c r="D392" s="3124" t="n">
        <f aca="false">дома!D818</f>
        <v>0.045</v>
      </c>
      <c r="E392" s="3124" t="n">
        <f aca="false">дома!E818</f>
        <v>0</v>
      </c>
      <c r="F392" s="3124" t="n">
        <f aca="false">дома!F818</f>
        <v>0</v>
      </c>
      <c r="G392" s="3124" t="n">
        <f aca="false">E392*F392*(IF('Ввод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392" s="3124" t="n">
        <f aca="false">дома!G818*(IF('Ввод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393" customFormat="false" ht="15" hidden="false" customHeight="false" outlineLevel="0" collapsed="false">
      <c r="A393" s="3122" t="str">
        <f aca="false">дома!A819</f>
        <v>Стойка каркаса по фронтону, односкатная кровля №41</v>
      </c>
      <c r="B393" s="3123" t="str">
        <f aca="false">дома!B819</f>
        <v>м.п.</v>
      </c>
      <c r="C393" s="3124" t="n">
        <f aca="false">дома!C819</f>
        <v>0.145</v>
      </c>
      <c r="D393" s="3124" t="n">
        <f aca="false">дома!D819</f>
        <v>0.045</v>
      </c>
      <c r="E393" s="3124" t="n">
        <f aca="false">дома!E819</f>
        <v>0</v>
      </c>
      <c r="F393" s="3124" t="n">
        <f aca="false">дома!F819</f>
        <v>0</v>
      </c>
      <c r="G393" s="3124" t="n">
        <f aca="false">E393*F393*(IF('Ввод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393" s="3124" t="n">
        <f aca="false">дома!G819*(IF('Ввод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394" customFormat="false" ht="15" hidden="false" customHeight="false" outlineLevel="0" collapsed="false">
      <c r="A394" s="3122" t="str">
        <f aca="false">дома!A820</f>
        <v>Стойки для окон вертикальные</v>
      </c>
      <c r="B394" s="3123" t="str">
        <f aca="false">дома!B820</f>
        <v>м.п.</v>
      </c>
      <c r="C394" s="3124" t="n">
        <f aca="false">дома!C820</f>
        <v>0.145</v>
      </c>
      <c r="D394" s="3124" t="n">
        <f aca="false">дома!D820</f>
        <v>0.045</v>
      </c>
      <c r="E394" s="3124" t="n">
        <f aca="false">дома!E820</f>
        <v>0</v>
      </c>
      <c r="F394" s="3124" t="n">
        <f aca="false">дома!F820</f>
        <v>2</v>
      </c>
      <c r="G394" s="3124" t="n">
        <f aca="false">E394*F394*(IF('Ввод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394" s="3124" t="n">
        <f aca="false">дома!G820*(IF('Ввод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395" customFormat="false" ht="15" hidden="false" customHeight="false" outlineLevel="0" collapsed="false">
      <c r="A395" s="3122" t="str">
        <f aca="false">дома!A821</f>
        <v>Перекладины для окон горизонтальные, 1</v>
      </c>
      <c r="B395" s="3123" t="str">
        <f aca="false">дома!B821</f>
        <v>м.п.</v>
      </c>
      <c r="C395" s="3124" t="n">
        <f aca="false">дома!C821</f>
        <v>0.145</v>
      </c>
      <c r="D395" s="3124" t="n">
        <f aca="false">дома!D821</f>
        <v>0.045</v>
      </c>
      <c r="E395" s="3124" t="n">
        <f aca="false">дома!E821</f>
        <v>0.6</v>
      </c>
      <c r="F395" s="3124" t="n">
        <f aca="false">дома!F821</f>
        <v>1</v>
      </c>
      <c r="G395" s="3124" t="n">
        <f aca="false">E395*F395*(IF('Ввод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395" s="3124" t="n">
        <f aca="false">дома!G821*(IF('Ввод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396" customFormat="false" ht="15" hidden="false" customHeight="false" outlineLevel="0" collapsed="false">
      <c r="A396" s="3122" t="str">
        <f aca="false">дома!A822</f>
        <v>Перекладины для окон горизонтальные, 2</v>
      </c>
      <c r="B396" s="3123" t="str">
        <f aca="false">дома!B822</f>
        <v>м.п.</v>
      </c>
      <c r="C396" s="3124" t="n">
        <f aca="false">дома!C822</f>
        <v>0.145</v>
      </c>
      <c r="D396" s="3124" t="n">
        <f aca="false">дома!D822</f>
        <v>0.045</v>
      </c>
      <c r="E396" s="3124" t="n">
        <f aca="false">дома!E822</f>
        <v>0.8</v>
      </c>
      <c r="F396" s="3124" t="n">
        <f aca="false">дома!F822</f>
        <v>1</v>
      </c>
      <c r="G396" s="3124" t="n">
        <f aca="false">E396*F396*(IF('Ввод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396" s="3124" t="n">
        <f aca="false">дома!G822*(IF('Ввод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397" customFormat="false" ht="15" hidden="false" customHeight="false" outlineLevel="0" collapsed="false">
      <c r="A397" s="3122" t="str">
        <f aca="false">дома!A823</f>
        <v>Перекладины для окон горизонтальные, 3</v>
      </c>
      <c r="B397" s="3123" t="str">
        <f aca="false">дома!B823</f>
        <v>м.п.</v>
      </c>
      <c r="C397" s="3124" t="n">
        <f aca="false">дома!C823</f>
        <v>0.145</v>
      </c>
      <c r="D397" s="3124" t="n">
        <f aca="false">дома!D823</f>
        <v>0.045</v>
      </c>
      <c r="E397" s="3124" t="n">
        <f aca="false">дома!E823</f>
        <v>1</v>
      </c>
      <c r="F397" s="3124" t="n">
        <f aca="false">дома!F823</f>
        <v>1</v>
      </c>
      <c r="G397" s="3124" t="n">
        <f aca="false">E397*F397*(IF('Ввод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397" s="3124" t="n">
        <f aca="false">дома!G823*(IF('Ввод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398" customFormat="false" ht="15" hidden="false" customHeight="false" outlineLevel="0" collapsed="false">
      <c r="A398" s="3122" t="str">
        <f aca="false">дома!A824</f>
        <v>Перекладины для окон горизонтальные, 4</v>
      </c>
      <c r="B398" s="3123" t="str">
        <f aca="false">дома!B824</f>
        <v>м.п.</v>
      </c>
      <c r="C398" s="3124" t="n">
        <f aca="false">дома!C824</f>
        <v>0.145</v>
      </c>
      <c r="D398" s="3124" t="n">
        <f aca="false">дома!D824</f>
        <v>0.045</v>
      </c>
      <c r="E398" s="3124" t="n">
        <f aca="false">дома!E824</f>
        <v>5</v>
      </c>
      <c r="F398" s="3124" t="n">
        <f aca="false">дома!F824</f>
        <v>1</v>
      </c>
      <c r="G398" s="3124" t="n">
        <f aca="false">E398*F398*(IF('Ввод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398" s="3124" t="n">
        <f aca="false">дома!G824*(IF('Ввод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399" customFormat="false" ht="15" hidden="false" customHeight="false" outlineLevel="0" collapsed="false">
      <c r="A399" s="3122" t="str">
        <f aca="false">дома!A825</f>
        <v>Перекладины для окон горизонтальные, 5</v>
      </c>
      <c r="B399" s="3123" t="str">
        <f aca="false">дома!B825</f>
        <v>м.п.</v>
      </c>
      <c r="C399" s="3124" t="n">
        <f aca="false">дома!C825</f>
        <v>0.145</v>
      </c>
      <c r="D399" s="3124" t="n">
        <f aca="false">дома!D825</f>
        <v>0.045</v>
      </c>
      <c r="E399" s="3124" t="n">
        <f aca="false">дома!E825</f>
        <v>6</v>
      </c>
      <c r="F399" s="3124" t="n">
        <f aca="false">дома!F825</f>
        <v>1</v>
      </c>
      <c r="G399" s="3124" t="n">
        <f aca="false">E399*F399*(IF('Ввод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399" s="3124" t="n">
        <f aca="false">дома!G825*(IF('Ввод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400" customFormat="false" ht="15" hidden="false" customHeight="false" outlineLevel="0" collapsed="false">
      <c r="A400" s="3122" t="str">
        <f aca="false">дома!A826</f>
        <v>Стойки для межкомнатных дверей вертикальные</v>
      </c>
      <c r="B400" s="3123" t="str">
        <f aca="false">дома!B826</f>
        <v>м.п.</v>
      </c>
      <c r="C400" s="3124" t="n">
        <f aca="false">дома!C826</f>
        <v>0.145</v>
      </c>
      <c r="D400" s="3124" t="n">
        <f aca="false">дома!D826</f>
        <v>0.045</v>
      </c>
      <c r="E400" s="3124" t="n">
        <f aca="false">дома!E826</f>
        <v>2.8</v>
      </c>
      <c r="F400" s="3124" t="n">
        <f aca="false">дома!F826</f>
        <v>0</v>
      </c>
      <c r="G400" s="3124" t="n">
        <f aca="false">E400*F400*(IF('Ввод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400" s="3124" t="n">
        <f aca="false">дома!G826*(IF('Ввод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401" customFormat="false" ht="15" hidden="false" customHeight="false" outlineLevel="0" collapsed="false">
      <c r="A401" s="3122" t="str">
        <f aca="false">дома!A827</f>
        <v>Перекладины для межкомнатных дверей горизонтальные,1</v>
      </c>
      <c r="B401" s="3123" t="str">
        <f aca="false">дома!B827</f>
        <v>м.п.</v>
      </c>
      <c r="C401" s="3124" t="n">
        <f aca="false">дома!C827</f>
        <v>0.145</v>
      </c>
      <c r="D401" s="3124" t="n">
        <f aca="false">дома!D827</f>
        <v>0.045</v>
      </c>
      <c r="E401" s="3124" t="n">
        <f aca="false">дома!E827</f>
        <v>0.8</v>
      </c>
      <c r="F401" s="3124" t="n">
        <f aca="false">дома!F827</f>
        <v>1</v>
      </c>
      <c r="G401" s="3124" t="n">
        <f aca="false">E401*F401*(IF('Ввод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401" s="3124" t="n">
        <f aca="false">дома!G827*(IF('Ввод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402" customFormat="false" ht="15" hidden="false" customHeight="false" outlineLevel="0" collapsed="false">
      <c r="A402" s="3122" t="str">
        <f aca="false">дома!A828</f>
        <v>Перекладины для межкомнатных дверей горизонтальные,2</v>
      </c>
      <c r="B402" s="3123" t="str">
        <f aca="false">дома!B828</f>
        <v>м.п.</v>
      </c>
      <c r="C402" s="3124" t="n">
        <f aca="false">дома!C828</f>
        <v>0.145</v>
      </c>
      <c r="D402" s="3124" t="n">
        <f aca="false">дома!D828</f>
        <v>0.045</v>
      </c>
      <c r="E402" s="3124" t="n">
        <f aca="false">дома!E828</f>
        <v>1</v>
      </c>
      <c r="F402" s="3124" t="n">
        <f aca="false">дома!F828</f>
        <v>1</v>
      </c>
      <c r="G402" s="3124" t="n">
        <f aca="false">E402*F402*(IF('Ввод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402" s="3124" t="n">
        <f aca="false">дома!G828*(IF('Ввод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403" customFormat="false" ht="15" hidden="false" customHeight="false" outlineLevel="0" collapsed="false">
      <c r="A403" s="3122" t="str">
        <f aca="false">дома!A829</f>
        <v>Перекладины для межкомнатных дверей горизонтальные,3</v>
      </c>
      <c r="B403" s="3123" t="str">
        <f aca="false">дома!B829</f>
        <v>м.п.</v>
      </c>
      <c r="C403" s="3124" t="n">
        <f aca="false">дома!C829</f>
        <v>0.145</v>
      </c>
      <c r="D403" s="3124" t="n">
        <f aca="false">дома!D829</f>
        <v>0.045</v>
      </c>
      <c r="E403" s="3124" t="n">
        <f aca="false">дома!E829</f>
        <v>1</v>
      </c>
      <c r="F403" s="3124" t="n">
        <f aca="false">дома!F829</f>
        <v>1</v>
      </c>
      <c r="G403" s="3124" t="n">
        <f aca="false">E403*F403*(IF('Ввод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403" s="3124" t="n">
        <f aca="false">дома!G829*(IF('Ввод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404" customFormat="false" ht="15" hidden="false" customHeight="false" outlineLevel="0" collapsed="false">
      <c r="A404" s="3122" t="str">
        <f aca="false">дома!A830</f>
        <v>Перекладины для межкомнатных дверей горизонтальные,4</v>
      </c>
      <c r="B404" s="3123" t="str">
        <f aca="false">дома!B830</f>
        <v>м.п.</v>
      </c>
      <c r="C404" s="3124" t="n">
        <f aca="false">дома!C830</f>
        <v>0.145</v>
      </c>
      <c r="D404" s="3124" t="n">
        <f aca="false">дома!D830</f>
        <v>0.045</v>
      </c>
      <c r="E404" s="3124" t="n">
        <f aca="false">дома!E830</f>
        <v>0</v>
      </c>
      <c r="F404" s="3124" t="n">
        <f aca="false">дома!F830</f>
        <v>1</v>
      </c>
      <c r="G404" s="3124" t="n">
        <f aca="false">E404*F404*(IF('Ввод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404" s="3124" t="n">
        <f aca="false">дома!G830*(IF('Ввод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405" customFormat="false" ht="15" hidden="false" customHeight="false" outlineLevel="0" collapsed="false">
      <c r="A405" s="3122" t="str">
        <f aca="false">дома!A831</f>
        <v>Стойки для проемов вертикальные</v>
      </c>
      <c r="B405" s="3123" t="str">
        <f aca="false">дома!B831</f>
        <v>м.п.</v>
      </c>
      <c r="C405" s="3124" t="n">
        <f aca="false">дома!C831</f>
        <v>0.145</v>
      </c>
      <c r="D405" s="3124" t="n">
        <f aca="false">дома!D831</f>
        <v>0.045</v>
      </c>
      <c r="E405" s="3124" t="n">
        <f aca="false">дома!E831</f>
        <v>0</v>
      </c>
      <c r="F405" s="3124" t="n">
        <f aca="false">дома!F831</f>
        <v>2</v>
      </c>
      <c r="G405" s="3124" t="n">
        <f aca="false">E405*F405*(IF('Ввод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405" s="3124" t="n">
        <f aca="false">дома!G831*(IF('Ввод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406" customFormat="false" ht="15" hidden="false" customHeight="false" outlineLevel="0" collapsed="false">
      <c r="A406" s="3122" t="str">
        <f aca="false">дома!A832</f>
        <v>Перекладины для проемов горизонтальные,1</v>
      </c>
      <c r="B406" s="3123" t="str">
        <f aca="false">дома!B832</f>
        <v>м.п.</v>
      </c>
      <c r="C406" s="3124" t="n">
        <f aca="false">дома!C832</f>
        <v>0.145</v>
      </c>
      <c r="D406" s="3124" t="n">
        <f aca="false">дома!D832</f>
        <v>0.045</v>
      </c>
      <c r="E406" s="3124" t="n">
        <f aca="false">дома!E832</f>
        <v>2</v>
      </c>
      <c r="F406" s="3124" t="n">
        <f aca="false">дома!F832</f>
        <v>1</v>
      </c>
      <c r="G406" s="3124" t="n">
        <f aca="false">E406*F406*(IF('Ввод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406" s="3124" t="n">
        <f aca="false">дома!G832*(IF('Ввод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407" customFormat="false" ht="15" hidden="false" customHeight="false" outlineLevel="0" collapsed="false">
      <c r="A407" s="3122" t="str">
        <f aca="false">дома!A833</f>
        <v>Перекладины для проемов горизонтальные,2</v>
      </c>
      <c r="B407" s="3123" t="str">
        <f aca="false">дома!B833</f>
        <v>м.п.</v>
      </c>
      <c r="C407" s="3124" t="n">
        <f aca="false">дома!C833</f>
        <v>0.145</v>
      </c>
      <c r="D407" s="3124" t="n">
        <f aca="false">дома!D833</f>
        <v>0.045</v>
      </c>
      <c r="E407" s="3124" t="n">
        <f aca="false">дома!E833</f>
        <v>2</v>
      </c>
      <c r="F407" s="3124" t="n">
        <f aca="false">дома!F833</f>
        <v>1</v>
      </c>
      <c r="G407" s="3124" t="n">
        <f aca="false">E407*F407*(IF('Ввод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407" s="3124" t="n">
        <f aca="false">дома!G833*(IF('Ввод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408" customFormat="false" ht="21" hidden="false" customHeight="false" outlineLevel="0" collapsed="false">
      <c r="A408" s="3119" t="s">
        <v>4277</v>
      </c>
      <c r="B408" s="3119"/>
      <c r="C408" s="3119"/>
      <c r="D408" s="3119"/>
      <c r="E408" s="3119"/>
      <c r="F408" s="3119"/>
      <c r="G408" s="3125" t="n">
        <f aca="false">E408*F408</f>
        <v>0</v>
      </c>
      <c r="H408" s="3126" t="n">
        <f aca="false">SUM(H409:H448)</f>
        <v>0</v>
      </c>
    </row>
    <row r="409" customFormat="false" ht="15" hidden="false" customHeight="false" outlineLevel="0" collapsed="false">
      <c r="A409" s="3122" t="str">
        <f aca="false">дома!A424</f>
        <v>Стойки каркаса передней стены 1 эт</v>
      </c>
      <c r="B409" s="3123" t="str">
        <f aca="false">дома!B424</f>
        <v>м.п.</v>
      </c>
      <c r="C409" s="3124" t="n">
        <f aca="false">дома!C424</f>
        <v>0.4</v>
      </c>
      <c r="D409" s="3124" t="n">
        <f aca="false">дома!D424</f>
        <v>0.045</v>
      </c>
      <c r="E409" s="3124" t="n">
        <f aca="false">дома!E424</f>
        <v>2.9</v>
      </c>
      <c r="F409" s="3124" t="n">
        <f aca="false">дома!F424</f>
        <v>0</v>
      </c>
      <c r="G409" s="3124" t="n">
        <f aca="false">E409*F409*(IF('Ввод данных'!$A$19=связи1!$A$150,1,0))</f>
        <v>0</v>
      </c>
      <c r="H409" s="3124" t="n">
        <f aca="false">дома!G424*(IF('Ввод данных'!$A$19=связи1!$A$150,1,0))</f>
        <v>0</v>
      </c>
    </row>
    <row r="410" customFormat="false" ht="15" hidden="false" customHeight="false" outlineLevel="0" collapsed="false">
      <c r="A410" s="3122" t="str">
        <f aca="false">дома!A425</f>
        <v>Стойки каркаса, левая сторона 1 эт</v>
      </c>
      <c r="B410" s="3123" t="str">
        <f aca="false">дома!B425</f>
        <v>м.п.</v>
      </c>
      <c r="C410" s="3124" t="n">
        <f aca="false">дома!C425</f>
        <v>0.4</v>
      </c>
      <c r="D410" s="3124" t="n">
        <f aca="false">дома!D425</f>
        <v>0.045</v>
      </c>
      <c r="E410" s="3124" t="n">
        <f aca="false">дома!E425</f>
        <v>1.2</v>
      </c>
      <c r="F410" s="3124" t="n">
        <f aca="false">дома!F425</f>
        <v>0</v>
      </c>
      <c r="G410" s="3124" t="n">
        <f aca="false">E410*F410*(IF('Ввод данных'!$A$19=связи1!$A$150,1,0))</f>
        <v>0</v>
      </c>
      <c r="H410" s="3124" t="n">
        <f aca="false">дома!G425*(IF('Ввод данных'!$A$19=связи1!$A$150,1,0))</f>
        <v>0</v>
      </c>
    </row>
    <row r="411" customFormat="false" ht="15" hidden="false" customHeight="false" outlineLevel="0" collapsed="false">
      <c r="A411" s="3122" t="str">
        <f aca="false">дома!A426</f>
        <v>Стойки каркаса, правая сторона, 1 эт</v>
      </c>
      <c r="B411" s="3123" t="str">
        <f aca="false">дома!B426</f>
        <v>м.п.</v>
      </c>
      <c r="C411" s="3124" t="n">
        <f aca="false">дома!C426</f>
        <v>0.4</v>
      </c>
      <c r="D411" s="3124" t="n">
        <f aca="false">дома!D426</f>
        <v>0.045</v>
      </c>
      <c r="E411" s="3124" t="n">
        <f aca="false">дома!E426</f>
        <v>1.2</v>
      </c>
      <c r="F411" s="3124" t="n">
        <f aca="false">дома!F426</f>
        <v>0</v>
      </c>
      <c r="G411" s="3124" t="n">
        <f aca="false">E411*F411*(IF('Ввод данных'!$A$19=связи1!$A$150,1,0))</f>
        <v>0</v>
      </c>
      <c r="H411" s="3124" t="n">
        <f aca="false">дома!G426*(IF('Ввод данных'!$A$19=связи1!$A$150,1,0))</f>
        <v>0</v>
      </c>
    </row>
    <row r="412" customFormat="false" ht="15" hidden="false" customHeight="false" outlineLevel="0" collapsed="false">
      <c r="A412" s="3122" t="str">
        <f aca="false">дома!A427</f>
        <v>Обвязка каркаса верхняя/нижняя наружние стены 1 эт</v>
      </c>
      <c r="B412" s="3123" t="str">
        <f aca="false">дома!B427</f>
        <v>м.п.</v>
      </c>
      <c r="C412" s="3124" t="n">
        <f aca="false">дома!C427</f>
        <v>0.4</v>
      </c>
      <c r="D412" s="3124" t="n">
        <f aca="false">дома!D427</f>
        <v>0.045</v>
      </c>
      <c r="E412" s="3124" t="n">
        <f aca="false">дома!E427</f>
        <v>0</v>
      </c>
      <c r="F412" s="3124" t="n">
        <f aca="false">дома!F427</f>
        <v>0</v>
      </c>
      <c r="G412" s="3124" t="n">
        <f aca="false">E412*F412*(IF('Ввод данных'!$A$19=связи1!$A$150,1,0))</f>
        <v>0</v>
      </c>
      <c r="H412" s="3124" t="n">
        <f aca="false">дома!G427*(IF('Ввод данных'!$A$19=связи1!$A$150,1,0))</f>
        <v>0</v>
      </c>
    </row>
    <row r="413" customFormat="false" ht="15" hidden="false" customHeight="false" outlineLevel="0" collapsed="false">
      <c r="A413" s="3122" t="str">
        <f aca="false">дома!A428</f>
        <v>Ригель каркаса наружние стены 1 эт</v>
      </c>
      <c r="B413" s="3123" t="str">
        <f aca="false">дома!B428</f>
        <v>м.п.</v>
      </c>
      <c r="C413" s="3124" t="n">
        <f aca="false">дома!C428</f>
        <v>0.4</v>
      </c>
      <c r="D413" s="3124" t="n">
        <f aca="false">дома!D428</f>
        <v>0.045</v>
      </c>
      <c r="E413" s="3124" t="n">
        <f aca="false">дома!E428</f>
        <v>0</v>
      </c>
      <c r="F413" s="3124" t="n">
        <f aca="false">дома!F428</f>
        <v>0</v>
      </c>
      <c r="G413" s="3124" t="n">
        <f aca="false">E413*F413*(IF('Ввод данных'!$A$19=связи1!$A$150,1,0))</f>
        <v>0</v>
      </c>
      <c r="H413" s="3124" t="n">
        <f aca="false">дома!G428*(IF('Ввод данных'!$A$19=связи1!$A$150,1,0))</f>
        <v>0</v>
      </c>
    </row>
    <row r="414" customFormat="false" ht="15" hidden="false" customHeight="false" outlineLevel="0" collapsed="false">
      <c r="A414" s="3122" t="str">
        <f aca="false">дома!A429</f>
        <v>Укосина наружних стен, усиление 1 этаж</v>
      </c>
      <c r="B414" s="3123" t="str">
        <f aca="false">дома!B429</f>
        <v>м.п.</v>
      </c>
      <c r="C414" s="3124" t="n">
        <f aca="false">дома!C429</f>
        <v>0.4</v>
      </c>
      <c r="D414" s="3124" t="n">
        <f aca="false">дома!D429</f>
        <v>0.045</v>
      </c>
      <c r="E414" s="3124" t="n">
        <f aca="false">дома!E429</f>
        <v>0</v>
      </c>
      <c r="F414" s="3124" t="n">
        <f aca="false">дома!F429</f>
        <v>8</v>
      </c>
      <c r="G414" s="3124" t="n">
        <f aca="false">E414*F414*(IF('Ввод данных'!$A$19=связи1!$A$150,1,0))</f>
        <v>0</v>
      </c>
      <c r="H414" s="3124" t="n">
        <f aca="false">дома!G429*(IF('Ввод данных'!$A$19=связи1!$A$150,1,0))</f>
        <v>0</v>
      </c>
    </row>
    <row r="415" customFormat="false" ht="15" hidden="false" customHeight="false" outlineLevel="0" collapsed="false">
      <c r="A415" s="3122" t="str">
        <f aca="false">дома!A430</f>
        <v>Стойка каркаса по фронтону, 1 этаж, односкатная кровля, №1</v>
      </c>
      <c r="B415" s="3123" t="str">
        <f aca="false">дома!B430</f>
        <v>м.п.</v>
      </c>
      <c r="C415" s="3124" t="n">
        <f aca="false">дома!C430</f>
        <v>0.4</v>
      </c>
      <c r="D415" s="3124" t="n">
        <f aca="false">дома!D430</f>
        <v>0.045</v>
      </c>
      <c r="E415" s="3124" t="n">
        <f aca="false">дома!E430</f>
        <v>0</v>
      </c>
      <c r="F415" s="3124" t="n">
        <f aca="false">дома!F430</f>
        <v>2</v>
      </c>
      <c r="G415" s="3124" t="n">
        <f aca="false">E415*F415*(IF('Ввод данных'!$A$19=связи1!$A$150,1,0))</f>
        <v>0</v>
      </c>
      <c r="H415" s="3124" t="n">
        <f aca="false">дома!G430*(IF('Ввод данных'!$A$19=связи1!$A$150,1,0))</f>
        <v>0</v>
      </c>
    </row>
    <row r="416" customFormat="false" ht="15" hidden="false" customHeight="false" outlineLevel="0" collapsed="false">
      <c r="A416" s="3122" t="str">
        <f aca="false">дома!A431</f>
        <v>Стойка каркаса по фронтону, 1 этаж, односкатная кровля, №2</v>
      </c>
      <c r="B416" s="3123" t="str">
        <f aca="false">дома!B431</f>
        <v>м.п.</v>
      </c>
      <c r="C416" s="3124" t="n">
        <f aca="false">дома!C431</f>
        <v>0.4</v>
      </c>
      <c r="D416" s="3124" t="n">
        <f aca="false">дома!D431</f>
        <v>0.045</v>
      </c>
      <c r="E416" s="3124" t="n">
        <f aca="false">дома!E431</f>
        <v>0</v>
      </c>
      <c r="F416" s="3124" t="n">
        <f aca="false">дома!F431</f>
        <v>2</v>
      </c>
      <c r="G416" s="3124" t="n">
        <f aca="false">E416*F416*(IF('Ввод данных'!$A$19=связи1!$A$150,1,0))</f>
        <v>0</v>
      </c>
      <c r="H416" s="3124" t="n">
        <f aca="false">дома!G431*(IF('Ввод данных'!$A$19=связи1!$A$150,1,0))</f>
        <v>0</v>
      </c>
    </row>
    <row r="417" customFormat="false" ht="15" hidden="false" customHeight="false" outlineLevel="0" collapsed="false">
      <c r="A417" s="3122" t="str">
        <f aca="false">дома!A432</f>
        <v>Стойка каркаса по фронтону, 1 этаж, односкатная кровля, №3</v>
      </c>
      <c r="B417" s="3123" t="str">
        <f aca="false">дома!B432</f>
        <v>м.п.</v>
      </c>
      <c r="C417" s="3124" t="n">
        <f aca="false">дома!C432</f>
        <v>0.4</v>
      </c>
      <c r="D417" s="3124" t="n">
        <f aca="false">дома!D432</f>
        <v>0.045</v>
      </c>
      <c r="E417" s="3124" t="n">
        <f aca="false">дома!E432</f>
        <v>0</v>
      </c>
      <c r="F417" s="3124" t="n">
        <f aca="false">дома!F432</f>
        <v>2</v>
      </c>
      <c r="G417" s="3124" t="n">
        <f aca="false">E417*F417*(IF('Ввод данных'!$A$19=связи1!$A$150,1,0))</f>
        <v>0</v>
      </c>
      <c r="H417" s="3124" t="n">
        <f aca="false">дома!G432*(IF('Ввод данных'!$A$19=связи1!$A$150,1,0))</f>
        <v>0</v>
      </c>
    </row>
    <row r="418" customFormat="false" ht="15" hidden="false" customHeight="false" outlineLevel="0" collapsed="false">
      <c r="A418" s="3122" t="str">
        <f aca="false">дома!A433</f>
        <v>Стойка каркаса по фронтону, 1 этаж, односкатная кровля, №4</v>
      </c>
      <c r="B418" s="3123" t="str">
        <f aca="false">дома!B433</f>
        <v>м.п.</v>
      </c>
      <c r="C418" s="3124" t="n">
        <f aca="false">дома!C433</f>
        <v>0.4</v>
      </c>
      <c r="D418" s="3124" t="n">
        <f aca="false">дома!D433</f>
        <v>0.045</v>
      </c>
      <c r="E418" s="3124" t="n">
        <f aca="false">дома!E433</f>
        <v>0</v>
      </c>
      <c r="F418" s="3124" t="n">
        <f aca="false">дома!F433</f>
        <v>2</v>
      </c>
      <c r="G418" s="3124" t="n">
        <f aca="false">E418*F418*(IF('Ввод данных'!$A$19=связи1!$A$150,1,0))</f>
        <v>0</v>
      </c>
      <c r="H418" s="3124" t="n">
        <f aca="false">дома!G433*(IF('Ввод данных'!$A$19=связи1!$A$150,1,0))</f>
        <v>0</v>
      </c>
    </row>
    <row r="419" customFormat="false" ht="15" hidden="false" customHeight="false" outlineLevel="0" collapsed="false">
      <c r="A419" s="3122" t="str">
        <f aca="false">дома!A434</f>
        <v>Стойка каркаса по фронтону, 1 этаж, односкатная кровля, №5</v>
      </c>
      <c r="B419" s="3123" t="str">
        <f aca="false">дома!B434</f>
        <v>м.п.</v>
      </c>
      <c r="C419" s="3124" t="n">
        <f aca="false">дома!C434</f>
        <v>0.4</v>
      </c>
      <c r="D419" s="3124" t="n">
        <f aca="false">дома!D434</f>
        <v>0.045</v>
      </c>
      <c r="E419" s="3124" t="n">
        <f aca="false">дома!E434</f>
        <v>0</v>
      </c>
      <c r="F419" s="3124" t="n">
        <f aca="false">дома!F434</f>
        <v>2</v>
      </c>
      <c r="G419" s="3124" t="n">
        <f aca="false">E419*F419*(IF('Ввод данных'!$A$19=связи1!$A$150,1,0))</f>
        <v>0</v>
      </c>
      <c r="H419" s="3124" t="n">
        <f aca="false">дома!G434*(IF('Ввод данных'!$A$19=связи1!$A$150,1,0))</f>
        <v>0</v>
      </c>
    </row>
    <row r="420" customFormat="false" ht="15" hidden="false" customHeight="false" outlineLevel="0" collapsed="false">
      <c r="A420" s="3122" t="str">
        <f aca="false">дома!A435</f>
        <v>Стойка каркаса по фронтону, 1 этаж, односкатная кровля, №6</v>
      </c>
      <c r="B420" s="3123" t="str">
        <f aca="false">дома!B435</f>
        <v>м.п.</v>
      </c>
      <c r="C420" s="3124" t="n">
        <f aca="false">дома!C435</f>
        <v>0.4</v>
      </c>
      <c r="D420" s="3124" t="n">
        <f aca="false">дома!D435</f>
        <v>0.045</v>
      </c>
      <c r="E420" s="3124" t="n">
        <f aca="false">дома!E435</f>
        <v>0</v>
      </c>
      <c r="F420" s="3124" t="n">
        <f aca="false">дома!F435</f>
        <v>2</v>
      </c>
      <c r="G420" s="3124" t="n">
        <f aca="false">E420*F420*(IF('Ввод данных'!$A$19=связи1!$A$150,1,0))</f>
        <v>0</v>
      </c>
      <c r="H420" s="3124" t="n">
        <f aca="false">дома!G435*(IF('Ввод данных'!$A$19=связи1!$A$150,1,0))</f>
        <v>0</v>
      </c>
    </row>
    <row r="421" customFormat="false" ht="15" hidden="false" customHeight="false" outlineLevel="0" collapsed="false">
      <c r="A421" s="3122" t="str">
        <f aca="false">дома!A436</f>
        <v>Стойка каркаса по фронтону, 1 этаж, односкатная кровля, №7</v>
      </c>
      <c r="B421" s="3123" t="str">
        <f aca="false">дома!B436</f>
        <v>м.п.</v>
      </c>
      <c r="C421" s="3124" t="n">
        <f aca="false">дома!C436</f>
        <v>0.4</v>
      </c>
      <c r="D421" s="3124" t="n">
        <f aca="false">дома!D436</f>
        <v>0.045</v>
      </c>
      <c r="E421" s="3124" t="n">
        <f aca="false">дома!E436</f>
        <v>0</v>
      </c>
      <c r="F421" s="3124" t="n">
        <f aca="false">дома!F436</f>
        <v>2</v>
      </c>
      <c r="G421" s="3124" t="n">
        <f aca="false">E421*F421*(IF('Ввод данных'!$A$19=связи1!$A$150,1,0))</f>
        <v>0</v>
      </c>
      <c r="H421" s="3124" t="n">
        <f aca="false">дома!G436*(IF('Ввод данных'!$A$19=связи1!$A$150,1,0))</f>
        <v>0</v>
      </c>
    </row>
    <row r="422" customFormat="false" ht="15" hidden="false" customHeight="false" outlineLevel="0" collapsed="false">
      <c r="A422" s="3122" t="str">
        <f aca="false">дома!A437</f>
        <v>Стойка каркаса по фронтону, 1 этаж, односкатная кровля, №8</v>
      </c>
      <c r="B422" s="3123" t="str">
        <f aca="false">дома!B437</f>
        <v>м.п.</v>
      </c>
      <c r="C422" s="3124" t="n">
        <f aca="false">дома!C437</f>
        <v>0.4</v>
      </c>
      <c r="D422" s="3124" t="n">
        <f aca="false">дома!D437</f>
        <v>0.045</v>
      </c>
      <c r="E422" s="3124" t="n">
        <f aca="false">дома!E437</f>
        <v>0</v>
      </c>
      <c r="F422" s="3124" t="n">
        <f aca="false">дома!F437</f>
        <v>2</v>
      </c>
      <c r="G422" s="3124" t="n">
        <f aca="false">E422*F422*(IF('Ввод данных'!$A$19=связи1!$A$150,1,0))</f>
        <v>0</v>
      </c>
      <c r="H422" s="3124" t="n">
        <f aca="false">дома!G437*(IF('Ввод данных'!$A$19=связи1!$A$150,1,0))</f>
        <v>0</v>
      </c>
    </row>
    <row r="423" customFormat="false" ht="15" hidden="false" customHeight="false" outlineLevel="0" collapsed="false">
      <c r="A423" s="3122" t="str">
        <f aca="false">дома!A438</f>
        <v>Стойка каркаса по фронтону, 1 этаж, односкатная кровля, №9</v>
      </c>
      <c r="B423" s="3123" t="str">
        <f aca="false">дома!B438</f>
        <v>м.п.</v>
      </c>
      <c r="C423" s="3124" t="n">
        <f aca="false">дома!C438</f>
        <v>0.4</v>
      </c>
      <c r="D423" s="3124" t="n">
        <f aca="false">дома!D438</f>
        <v>0.045</v>
      </c>
      <c r="E423" s="3124" t="n">
        <f aca="false">дома!E438</f>
        <v>0</v>
      </c>
      <c r="F423" s="3124" t="n">
        <f aca="false">дома!F438</f>
        <v>2</v>
      </c>
      <c r="G423" s="3124" t="n">
        <f aca="false">E423*F423*(IF('Ввод данных'!$A$19=связи1!$A$150,1,0))</f>
        <v>0</v>
      </c>
      <c r="H423" s="3124" t="n">
        <f aca="false">дома!G438*(IF('Ввод данных'!$A$19=связи1!$A$150,1,0))</f>
        <v>0</v>
      </c>
    </row>
    <row r="424" customFormat="false" ht="15" hidden="false" customHeight="false" outlineLevel="0" collapsed="false">
      <c r="A424" s="3122" t="str">
        <f aca="false">дома!A439</f>
        <v>Стойка каркаса по фронтону, 1 этаж, односкатная кровля, №10</v>
      </c>
      <c r="B424" s="3123" t="str">
        <f aca="false">дома!B439</f>
        <v>м.п.</v>
      </c>
      <c r="C424" s="3124" t="n">
        <f aca="false">дома!C439</f>
        <v>0.4</v>
      </c>
      <c r="D424" s="3124" t="n">
        <f aca="false">дома!D439</f>
        <v>0.045</v>
      </c>
      <c r="E424" s="3124" t="n">
        <f aca="false">дома!E439</f>
        <v>0</v>
      </c>
      <c r="F424" s="3124" t="n">
        <f aca="false">дома!F439</f>
        <v>2</v>
      </c>
      <c r="G424" s="3124" t="n">
        <f aca="false">E424*F424*(IF('Ввод данных'!$A$19=связи1!$A$150,1,0))</f>
        <v>0</v>
      </c>
      <c r="H424" s="3124" t="n">
        <f aca="false">дома!G439*(IF('Ввод данных'!$A$19=связи1!$A$150,1,0))</f>
        <v>0</v>
      </c>
    </row>
    <row r="425" customFormat="false" ht="15" hidden="false" customHeight="false" outlineLevel="0" collapsed="false">
      <c r="A425" s="3122" t="str">
        <f aca="false">дома!A440</f>
        <v>Стойка каркаса по фронтону, 1 этаж, односкатная кровля, №11</v>
      </c>
      <c r="B425" s="3123" t="str">
        <f aca="false">дома!B440</f>
        <v>м.п.</v>
      </c>
      <c r="C425" s="3124" t="n">
        <f aca="false">дома!C440</f>
        <v>0.4</v>
      </c>
      <c r="D425" s="3124" t="n">
        <f aca="false">дома!D440</f>
        <v>0.045</v>
      </c>
      <c r="E425" s="3124" t="n">
        <f aca="false">дома!E440</f>
        <v>0</v>
      </c>
      <c r="F425" s="3124" t="n">
        <f aca="false">дома!F440</f>
        <v>2</v>
      </c>
      <c r="G425" s="3124" t="n">
        <f aca="false">E425*F425*(IF('Ввод данных'!$A$19=связи1!$A$150,1,0))</f>
        <v>0</v>
      </c>
      <c r="H425" s="3124" t="n">
        <f aca="false">дома!G440*(IF('Ввод данных'!$A$19=связи1!$A$150,1,0))</f>
        <v>0</v>
      </c>
    </row>
    <row r="426" customFormat="false" ht="15" hidden="false" customHeight="false" outlineLevel="0" collapsed="false">
      <c r="A426" s="3122" t="str">
        <f aca="false">дома!A441</f>
        <v>Стойка каркаса по фронтону, 1 этаж, односкатная кровля, №12</v>
      </c>
      <c r="B426" s="3123" t="str">
        <f aca="false">дома!B441</f>
        <v>м.п.</v>
      </c>
      <c r="C426" s="3124" t="n">
        <f aca="false">дома!C441</f>
        <v>0.4</v>
      </c>
      <c r="D426" s="3124" t="n">
        <f aca="false">дома!D441</f>
        <v>0.045</v>
      </c>
      <c r="E426" s="3124" t="n">
        <f aca="false">дома!E441</f>
        <v>0</v>
      </c>
      <c r="F426" s="3124" t="n">
        <f aca="false">дома!F441</f>
        <v>2</v>
      </c>
      <c r="G426" s="3124" t="n">
        <f aca="false">E426*F426*(IF('Ввод данных'!$A$19=связи1!$A$150,1,0))</f>
        <v>0</v>
      </c>
      <c r="H426" s="3124" t="n">
        <f aca="false">дома!G441*(IF('Ввод данных'!$A$19=связи1!$A$150,1,0))</f>
        <v>0</v>
      </c>
    </row>
    <row r="427" customFormat="false" ht="15" hidden="false" customHeight="false" outlineLevel="0" collapsed="false">
      <c r="A427" s="3122" t="str">
        <f aca="false">дома!A442</f>
        <v>Стойка каркаса по фронтону, 1 этаж, односкатная кровля, №13</v>
      </c>
      <c r="B427" s="3123" t="str">
        <f aca="false">дома!B442</f>
        <v>м.п.</v>
      </c>
      <c r="C427" s="3124" t="n">
        <f aca="false">дома!C442</f>
        <v>0.4</v>
      </c>
      <c r="D427" s="3124" t="n">
        <f aca="false">дома!D442</f>
        <v>0.045</v>
      </c>
      <c r="E427" s="3124" t="n">
        <f aca="false">дома!E442</f>
        <v>0</v>
      </c>
      <c r="F427" s="3124" t="n">
        <f aca="false">дома!F442</f>
        <v>2</v>
      </c>
      <c r="G427" s="3124" t="n">
        <f aca="false">E427*F427*(IF('Ввод данных'!$A$19=связи1!$A$150,1,0))</f>
        <v>0</v>
      </c>
      <c r="H427" s="3124" t="n">
        <f aca="false">дома!G442*(IF('Ввод данных'!$A$19=связи1!$A$150,1,0))</f>
        <v>0</v>
      </c>
    </row>
    <row r="428" customFormat="false" ht="15" hidden="false" customHeight="false" outlineLevel="0" collapsed="false">
      <c r="A428" s="3122" t="str">
        <f aca="false">дома!A443</f>
        <v>Стойка каркаса по фронтону, 1 этаж, односкатная кровля, №14</v>
      </c>
      <c r="B428" s="3123" t="str">
        <f aca="false">дома!B443</f>
        <v>м.п.</v>
      </c>
      <c r="C428" s="3124" t="n">
        <f aca="false">дома!C443</f>
        <v>0.4</v>
      </c>
      <c r="D428" s="3124" t="n">
        <f aca="false">дома!D443</f>
        <v>0.045</v>
      </c>
      <c r="E428" s="3124" t="n">
        <f aca="false">дома!E443</f>
        <v>0</v>
      </c>
      <c r="F428" s="3124" t="n">
        <f aca="false">дома!F443</f>
        <v>2</v>
      </c>
      <c r="G428" s="3124" t="n">
        <f aca="false">E428*F428*(IF('Ввод данных'!$A$19=связи1!$A$150,1,0))</f>
        <v>0</v>
      </c>
      <c r="H428" s="3124" t="n">
        <f aca="false">дома!G443*(IF('Ввод данных'!$A$19=связи1!$A$150,1,0))</f>
        <v>0</v>
      </c>
    </row>
    <row r="429" customFormat="false" ht="15" hidden="false" customHeight="false" outlineLevel="0" collapsed="false">
      <c r="A429" s="3122" t="str">
        <f aca="false">дома!A444</f>
        <v>Стойка каркаса по фронтону, 1 этаж, односкатная кровля, №15</v>
      </c>
      <c r="B429" s="3123" t="str">
        <f aca="false">дома!B444</f>
        <v>м.п.</v>
      </c>
      <c r="C429" s="3124" t="n">
        <f aca="false">дома!C444</f>
        <v>0.4</v>
      </c>
      <c r="D429" s="3124" t="n">
        <f aca="false">дома!D444</f>
        <v>0.045</v>
      </c>
      <c r="E429" s="3124" t="n">
        <f aca="false">дома!E444</f>
        <v>0</v>
      </c>
      <c r="F429" s="3124" t="n">
        <f aca="false">дома!F444</f>
        <v>2</v>
      </c>
      <c r="G429" s="3124" t="n">
        <f aca="false">E429*F429*(IF('Ввод данных'!$A$19=связи1!$A$150,1,0))</f>
        <v>0</v>
      </c>
      <c r="H429" s="3124" t="n">
        <f aca="false">дома!G444*(IF('Ввод данных'!$A$19=связи1!$A$150,1,0))</f>
        <v>0</v>
      </c>
    </row>
    <row r="430" customFormat="false" ht="15" hidden="false" customHeight="false" outlineLevel="0" collapsed="false">
      <c r="A430" s="3122" t="str">
        <f aca="false">дома!A445</f>
        <v>Стойка каркаса по фронтону, 1 этаж, односкатная кровля, №16</v>
      </c>
      <c r="B430" s="3123" t="str">
        <f aca="false">дома!B445</f>
        <v>м.п.</v>
      </c>
      <c r="C430" s="3124" t="n">
        <f aca="false">дома!C445</f>
        <v>0.4</v>
      </c>
      <c r="D430" s="3124" t="n">
        <f aca="false">дома!D445</f>
        <v>0.045</v>
      </c>
      <c r="E430" s="3124" t="n">
        <f aca="false">дома!E445</f>
        <v>0</v>
      </c>
      <c r="F430" s="3124" t="n">
        <f aca="false">дома!F445</f>
        <v>2</v>
      </c>
      <c r="G430" s="3124" t="n">
        <f aca="false">E430*F430*(IF('Ввод данных'!$A$19=связи1!$A$150,1,0))</f>
        <v>0</v>
      </c>
      <c r="H430" s="3124" t="n">
        <f aca="false">дома!G445*(IF('Ввод данных'!$A$19=связи1!$A$150,1,0))</f>
        <v>0</v>
      </c>
    </row>
    <row r="431" customFormat="false" ht="15" hidden="false" customHeight="false" outlineLevel="0" collapsed="false">
      <c r="A431" s="3122" t="str">
        <f aca="false">дома!A446</f>
        <v>Стойка каркаса по фронтону, 1 этаж, односкатная кровля, №17</v>
      </c>
      <c r="B431" s="3123" t="str">
        <f aca="false">дома!B446</f>
        <v>м.п.</v>
      </c>
      <c r="C431" s="3124" t="n">
        <f aca="false">дома!C446</f>
        <v>0.4</v>
      </c>
      <c r="D431" s="3124" t="n">
        <f aca="false">дома!D446</f>
        <v>0.045</v>
      </c>
      <c r="E431" s="3124" t="n">
        <f aca="false">дома!E446</f>
        <v>0</v>
      </c>
      <c r="F431" s="3124" t="n">
        <f aca="false">дома!F446</f>
        <v>2</v>
      </c>
      <c r="G431" s="3124" t="n">
        <f aca="false">E431*F431*(IF('Ввод данных'!$A$19=связи1!$A$150,1,0))</f>
        <v>0</v>
      </c>
      <c r="H431" s="3124" t="n">
        <f aca="false">дома!G446*(IF('Ввод данных'!$A$19=связи1!$A$150,1,0))</f>
        <v>0</v>
      </c>
    </row>
    <row r="432" customFormat="false" ht="15" hidden="false" customHeight="false" outlineLevel="0" collapsed="false">
      <c r="A432" s="3122" t="str">
        <f aca="false">дома!A447</f>
        <v>Стойка каркаса по фронтону, 1 этаж, двускатная кровля, №1</v>
      </c>
      <c r="B432" s="3123" t="str">
        <f aca="false">дома!B447</f>
        <v>м.п.</v>
      </c>
      <c r="C432" s="3124" t="n">
        <f aca="false">дома!C447</f>
        <v>0.4</v>
      </c>
      <c r="D432" s="3124" t="n">
        <f aca="false">дома!D447</f>
        <v>0.045</v>
      </c>
      <c r="E432" s="3124" t="n">
        <f aca="false">дома!E447</f>
        <v>5</v>
      </c>
      <c r="F432" s="3124" t="n">
        <f aca="false">дома!F447</f>
        <v>2</v>
      </c>
      <c r="G432" s="3124" t="n">
        <f aca="false">E432*F432*(IF('Ввод данных'!$A$19=связи1!$A$150,1,0))</f>
        <v>0</v>
      </c>
      <c r="H432" s="3124" t="n">
        <f aca="false">дома!G447*(IF('Ввод данных'!$A$19=связи1!$A$150,1,0))</f>
        <v>0</v>
      </c>
    </row>
    <row r="433" customFormat="false" ht="15" hidden="false" customHeight="false" outlineLevel="0" collapsed="false">
      <c r="A433" s="3122" t="str">
        <f aca="false">дома!A448</f>
        <v>Стойка каркаса по фронтону, 1 этаж, двускатная кровля, №2</v>
      </c>
      <c r="B433" s="3123" t="str">
        <f aca="false">дома!B448</f>
        <v>м.п.</v>
      </c>
      <c r="C433" s="3124" t="n">
        <f aca="false">дома!C448</f>
        <v>0.4</v>
      </c>
      <c r="D433" s="3124" t="n">
        <f aca="false">дома!D448</f>
        <v>0.045</v>
      </c>
      <c r="E433" s="3124" t="n">
        <f aca="false">дома!E448</f>
        <v>5</v>
      </c>
      <c r="F433" s="3124" t="n">
        <f aca="false">дома!F448</f>
        <v>2</v>
      </c>
      <c r="G433" s="3124" t="n">
        <f aca="false">E433*F433*(IF('Ввод данных'!$A$19=связи1!$A$150,1,0))</f>
        <v>0</v>
      </c>
      <c r="H433" s="3124" t="n">
        <f aca="false">дома!G448*(IF('Ввод данных'!$A$19=связи1!$A$150,1,0))</f>
        <v>0</v>
      </c>
    </row>
    <row r="434" customFormat="false" ht="15" hidden="false" customHeight="false" outlineLevel="0" collapsed="false">
      <c r="A434" s="3122" t="str">
        <f aca="false">дома!A449</f>
        <v>Стойка каркаса по фронтону, 1 этаж, двускатная кровля, №3</v>
      </c>
      <c r="B434" s="3123" t="str">
        <f aca="false">дома!B449</f>
        <v>м.п.</v>
      </c>
      <c r="C434" s="3124" t="n">
        <f aca="false">дома!C449</f>
        <v>0.4</v>
      </c>
      <c r="D434" s="3124" t="n">
        <f aca="false">дома!D449</f>
        <v>0.045</v>
      </c>
      <c r="E434" s="3124" t="n">
        <f aca="false">дома!E449</f>
        <v>5</v>
      </c>
      <c r="F434" s="3124" t="n">
        <f aca="false">дома!F449</f>
        <v>2</v>
      </c>
      <c r="G434" s="3124" t="n">
        <f aca="false">E434*F434*(IF('Ввод данных'!$A$19=связи1!$A$150,1,0))</f>
        <v>0</v>
      </c>
      <c r="H434" s="3124" t="n">
        <f aca="false">дома!G449*(IF('Ввод данных'!$A$19=связи1!$A$150,1,0))</f>
        <v>0</v>
      </c>
    </row>
    <row r="435" customFormat="false" ht="15" hidden="false" customHeight="false" outlineLevel="0" collapsed="false">
      <c r="A435" s="3122" t="str">
        <f aca="false">дома!A450</f>
        <v>Стойка каркаса по фронтону, 1 этаж, двускатная кровля, №4</v>
      </c>
      <c r="B435" s="3123" t="str">
        <f aca="false">дома!B450</f>
        <v>м.п.</v>
      </c>
      <c r="C435" s="3124" t="n">
        <f aca="false">дома!C450</f>
        <v>0.4</v>
      </c>
      <c r="D435" s="3124" t="n">
        <f aca="false">дома!D450</f>
        <v>0.045</v>
      </c>
      <c r="E435" s="3124" t="n">
        <f aca="false">дома!E450</f>
        <v>5</v>
      </c>
      <c r="F435" s="3124" t="n">
        <f aca="false">дома!F450</f>
        <v>2</v>
      </c>
      <c r="G435" s="3124" t="n">
        <f aca="false">E435*F435*(IF('Ввод данных'!$A$19=связи1!$A$150,1,0))</f>
        <v>0</v>
      </c>
      <c r="H435" s="3124" t="n">
        <f aca="false">дома!G450*(IF('Ввод данных'!$A$19=связи1!$A$150,1,0))</f>
        <v>0</v>
      </c>
    </row>
    <row r="436" customFormat="false" ht="15" hidden="false" customHeight="false" outlineLevel="0" collapsed="false">
      <c r="A436" s="3122" t="str">
        <f aca="false">дома!A451</f>
        <v>Стойка каркаса по фронтону, 1 этаж, двускатная кровля, №5</v>
      </c>
      <c r="B436" s="3123" t="str">
        <f aca="false">дома!B451</f>
        <v>м.п.</v>
      </c>
      <c r="C436" s="3124" t="n">
        <f aca="false">дома!C451</f>
        <v>0.4</v>
      </c>
      <c r="D436" s="3124" t="n">
        <f aca="false">дома!D451</f>
        <v>0.045</v>
      </c>
      <c r="E436" s="3124" t="n">
        <f aca="false">дома!E451</f>
        <v>5</v>
      </c>
      <c r="F436" s="3124" t="n">
        <f aca="false">дома!F451</f>
        <v>2</v>
      </c>
      <c r="G436" s="3124" t="n">
        <f aca="false">E436*F436*(IF('Ввод данных'!$A$19=связи1!$A$150,1,0))</f>
        <v>0</v>
      </c>
      <c r="H436" s="3124" t="n">
        <f aca="false">дома!G451*(IF('Ввод данных'!$A$19=связи1!$A$150,1,0))</f>
        <v>0</v>
      </c>
    </row>
    <row r="437" customFormat="false" ht="15" hidden="false" customHeight="false" outlineLevel="0" collapsed="false">
      <c r="A437" s="3122" t="str">
        <f aca="false">дома!A452</f>
        <v>Стойка каркаса по фронтону, 1 этаж, двускатная кровля, №6</v>
      </c>
      <c r="B437" s="3123" t="str">
        <f aca="false">дома!B452</f>
        <v>м.п.</v>
      </c>
      <c r="C437" s="3124" t="n">
        <f aca="false">дома!C452</f>
        <v>0.4</v>
      </c>
      <c r="D437" s="3124" t="n">
        <f aca="false">дома!D452</f>
        <v>0.045</v>
      </c>
      <c r="E437" s="3124" t="n">
        <f aca="false">дома!E452</f>
        <v>5</v>
      </c>
      <c r="F437" s="3124" t="n">
        <f aca="false">дома!F452</f>
        <v>2</v>
      </c>
      <c r="G437" s="3124" t="n">
        <f aca="false">E437*F437*(IF('Ввод данных'!$A$19=связи1!$A$150,1,0))</f>
        <v>0</v>
      </c>
      <c r="H437" s="3124" t="n">
        <f aca="false">дома!G452*(IF('Ввод данных'!$A$19=связи1!$A$150,1,0))</f>
        <v>0</v>
      </c>
    </row>
    <row r="438" customFormat="false" ht="15" hidden="false" customHeight="false" outlineLevel="0" collapsed="false">
      <c r="A438" s="3122" t="str">
        <f aca="false">дома!A453</f>
        <v>Стойка каркаса по фронтону, 1 этаж, двускатная кровля, №7</v>
      </c>
      <c r="B438" s="3123" t="str">
        <f aca="false">дома!B453</f>
        <v>м.п.</v>
      </c>
      <c r="C438" s="3124" t="n">
        <f aca="false">дома!C453</f>
        <v>0.4</v>
      </c>
      <c r="D438" s="3124" t="n">
        <f aca="false">дома!D453</f>
        <v>0.045</v>
      </c>
      <c r="E438" s="3124" t="n">
        <f aca="false">дома!E453</f>
        <v>5</v>
      </c>
      <c r="F438" s="3124" t="n">
        <f aca="false">дома!F453</f>
        <v>2</v>
      </c>
      <c r="G438" s="3124" t="n">
        <f aca="false">E438*F438*(IF('Ввод данных'!$A$19=связи1!$A$150,1,0))</f>
        <v>0</v>
      </c>
      <c r="H438" s="3124" t="n">
        <f aca="false">дома!G453*(IF('Ввод данных'!$A$19=связи1!$A$150,1,0))</f>
        <v>0</v>
      </c>
    </row>
    <row r="439" customFormat="false" ht="15" hidden="false" customHeight="false" outlineLevel="0" collapsed="false">
      <c r="A439" s="3122" t="str">
        <f aca="false">дома!A454</f>
        <v>Стойка каркаса по фронтону, 1 этаж, двускатная кровля, №8</v>
      </c>
      <c r="B439" s="3123" t="str">
        <f aca="false">дома!B454</f>
        <v>м.п.</v>
      </c>
      <c r="C439" s="3124" t="n">
        <f aca="false">дома!C454</f>
        <v>0.4</v>
      </c>
      <c r="D439" s="3124" t="n">
        <f aca="false">дома!D454</f>
        <v>0.045</v>
      </c>
      <c r="E439" s="3124" t="n">
        <f aca="false">дома!E454</f>
        <v>5</v>
      </c>
      <c r="F439" s="3124" t="n">
        <f aca="false">дома!F454</f>
        <v>2</v>
      </c>
      <c r="G439" s="3124" t="n">
        <f aca="false">E439*F439*(IF('Ввод данных'!$A$19=связи1!$A$150,1,0))</f>
        <v>0</v>
      </c>
      <c r="H439" s="3124" t="n">
        <f aca="false">дома!G454*(IF('Ввод данных'!$A$19=связи1!$A$150,1,0))</f>
        <v>0</v>
      </c>
    </row>
    <row r="440" customFormat="false" ht="15" hidden="false" customHeight="false" outlineLevel="0" collapsed="false">
      <c r="A440" s="3122" t="str">
        <f aca="false">дома!A455</f>
        <v>Стойка каркаса по фронтону, 1 этаж, двускатная кровля, №9</v>
      </c>
      <c r="B440" s="3123" t="str">
        <f aca="false">дома!B455</f>
        <v>м.п.</v>
      </c>
      <c r="C440" s="3124" t="n">
        <f aca="false">дома!C455</f>
        <v>0.4</v>
      </c>
      <c r="D440" s="3124" t="n">
        <f aca="false">дома!D455</f>
        <v>0.045</v>
      </c>
      <c r="E440" s="3124" t="n">
        <f aca="false">дома!E455</f>
        <v>5</v>
      </c>
      <c r="F440" s="3124" t="n">
        <f aca="false">дома!F455</f>
        <v>2</v>
      </c>
      <c r="G440" s="3124" t="n">
        <f aca="false">E440*F440*(IF('Ввод данных'!$A$19=связи1!$A$150,1,0))</f>
        <v>0</v>
      </c>
      <c r="H440" s="3124" t="n">
        <f aca="false">дома!G455*(IF('Ввод данных'!$A$19=связи1!$A$150,1,0))</f>
        <v>0</v>
      </c>
    </row>
    <row r="441" customFormat="false" ht="15" hidden="false" customHeight="false" outlineLevel="0" collapsed="false">
      <c r="A441" s="3122" t="str">
        <f aca="false">дома!A456</f>
        <v>Стойка каркаса по фронтону, 1 этаж, двускатная кровля, №10</v>
      </c>
      <c r="B441" s="3123" t="str">
        <f aca="false">дома!B456</f>
        <v>м.п.</v>
      </c>
      <c r="C441" s="3124" t="n">
        <f aca="false">дома!C456</f>
        <v>0.4</v>
      </c>
      <c r="D441" s="3124" t="n">
        <f aca="false">дома!D456</f>
        <v>0.045</v>
      </c>
      <c r="E441" s="3124" t="n">
        <f aca="false">дома!E456</f>
        <v>5</v>
      </c>
      <c r="F441" s="3124" t="n">
        <f aca="false">дома!F456</f>
        <v>2</v>
      </c>
      <c r="G441" s="3124" t="n">
        <f aca="false">E441*F441*(IF('Ввод данных'!$A$19=связи1!$A$150,1,0))</f>
        <v>0</v>
      </c>
      <c r="H441" s="3124" t="n">
        <f aca="false">дома!G456*(IF('Ввод данных'!$A$19=связи1!$A$150,1,0))</f>
        <v>0</v>
      </c>
    </row>
    <row r="442" customFormat="false" ht="15" hidden="false" customHeight="false" outlineLevel="0" collapsed="false">
      <c r="A442" s="3122" t="str">
        <f aca="false">дома!A457</f>
        <v>Стойка каркаса по фронтону, 1 этаж, двускатная кровля, №11</v>
      </c>
      <c r="B442" s="3123" t="str">
        <f aca="false">дома!B457</f>
        <v>м.п.</v>
      </c>
      <c r="C442" s="3124" t="n">
        <f aca="false">дома!C457</f>
        <v>0.4</v>
      </c>
      <c r="D442" s="3124" t="n">
        <f aca="false">дома!D457</f>
        <v>0.045</v>
      </c>
      <c r="E442" s="3124" t="n">
        <f aca="false">дома!E457</f>
        <v>5</v>
      </c>
      <c r="F442" s="3124" t="n">
        <f aca="false">дома!F457</f>
        <v>2</v>
      </c>
      <c r="G442" s="3124" t="n">
        <f aca="false">E442*F442*(IF('Ввод данных'!$A$19=связи1!$A$150,1,0))</f>
        <v>0</v>
      </c>
      <c r="H442" s="3124" t="n">
        <f aca="false">дома!G457*(IF('Ввод данных'!$A$19=связи1!$A$150,1,0))</f>
        <v>0</v>
      </c>
    </row>
    <row r="443" customFormat="false" ht="15" hidden="false" customHeight="false" outlineLevel="0" collapsed="false">
      <c r="A443" s="3122" t="str">
        <f aca="false">дома!A458</f>
        <v>Стойка каркаса по фронтону, 1 этаж, двускатная кровля, №12</v>
      </c>
      <c r="B443" s="3123" t="str">
        <f aca="false">дома!B458</f>
        <v>м.п.</v>
      </c>
      <c r="C443" s="3124" t="n">
        <f aca="false">дома!C458</f>
        <v>0.4</v>
      </c>
      <c r="D443" s="3124" t="n">
        <f aca="false">дома!D458</f>
        <v>0.045</v>
      </c>
      <c r="E443" s="3124" t="n">
        <f aca="false">дома!E458</f>
        <v>5</v>
      </c>
      <c r="F443" s="3124" t="n">
        <f aca="false">дома!F458</f>
        <v>2</v>
      </c>
      <c r="G443" s="3124" t="n">
        <f aca="false">E443*F443*(IF('Ввод данных'!$A$19=связи1!$A$150,1,0))</f>
        <v>0</v>
      </c>
      <c r="H443" s="3124" t="n">
        <f aca="false">дома!G458*(IF('Ввод данных'!$A$19=связи1!$A$150,1,0))</f>
        <v>0</v>
      </c>
    </row>
    <row r="444" customFormat="false" ht="15" hidden="false" customHeight="false" outlineLevel="0" collapsed="false">
      <c r="A444" s="3122" t="str">
        <f aca="false">дома!A459</f>
        <v>Стойка каркаса по фронтону, 1 этаж, двускатная кровля, №13</v>
      </c>
      <c r="B444" s="3123" t="str">
        <f aca="false">дома!B459</f>
        <v>м.п.</v>
      </c>
      <c r="C444" s="3124" t="n">
        <f aca="false">дома!C459</f>
        <v>0.4</v>
      </c>
      <c r="D444" s="3124" t="n">
        <f aca="false">дома!D459</f>
        <v>0.045</v>
      </c>
      <c r="E444" s="3124" t="n">
        <f aca="false">дома!E459</f>
        <v>5</v>
      </c>
      <c r="F444" s="3124" t="n">
        <f aca="false">дома!F459</f>
        <v>2</v>
      </c>
      <c r="G444" s="3124" t="n">
        <f aca="false">E444*F444*(IF('Ввод данных'!$A$19=связи1!$A$150,1,0))</f>
        <v>0</v>
      </c>
      <c r="H444" s="3124" t="n">
        <f aca="false">дома!G459*(IF('Ввод данных'!$A$19=связи1!$A$150,1,0))</f>
        <v>0</v>
      </c>
    </row>
    <row r="445" customFormat="false" ht="15" hidden="false" customHeight="false" outlineLevel="0" collapsed="false">
      <c r="A445" s="3122" t="str">
        <f aca="false">дома!A460</f>
        <v>Стойка каркаса по фронтону, 1 этаж, двускатная кровля, №14</v>
      </c>
      <c r="B445" s="3123" t="str">
        <f aca="false">дома!B460</f>
        <v>м.п.</v>
      </c>
      <c r="C445" s="3124" t="n">
        <f aca="false">дома!C460</f>
        <v>0.4</v>
      </c>
      <c r="D445" s="3124" t="n">
        <f aca="false">дома!D460</f>
        <v>0.045</v>
      </c>
      <c r="E445" s="3124" t="n">
        <f aca="false">дома!E460</f>
        <v>5</v>
      </c>
      <c r="F445" s="3124" t="n">
        <f aca="false">дома!F460</f>
        <v>2</v>
      </c>
      <c r="G445" s="3124" t="n">
        <f aca="false">E445*F445*(IF('Ввод данных'!$A$19=связи1!$A$150,1,0))</f>
        <v>0</v>
      </c>
      <c r="H445" s="3124" t="n">
        <f aca="false">дома!G460*(IF('Ввод данных'!$A$19=связи1!$A$150,1,0))</f>
        <v>0</v>
      </c>
    </row>
    <row r="446" customFormat="false" ht="15" hidden="false" customHeight="false" outlineLevel="0" collapsed="false">
      <c r="A446" s="3122" t="str">
        <f aca="false">дома!A461</f>
        <v>Стойка каркаса по фронтону, 1 этаж, двускатная кровля, №15</v>
      </c>
      <c r="B446" s="3123" t="str">
        <f aca="false">дома!B461</f>
        <v>м.п.</v>
      </c>
      <c r="C446" s="3124" t="n">
        <f aca="false">дома!C461</f>
        <v>0.4</v>
      </c>
      <c r="D446" s="3124" t="n">
        <f aca="false">дома!D461</f>
        <v>0.045</v>
      </c>
      <c r="E446" s="3124" t="n">
        <f aca="false">дома!E461</f>
        <v>5</v>
      </c>
      <c r="F446" s="3124" t="n">
        <f aca="false">дома!F461</f>
        <v>2</v>
      </c>
      <c r="G446" s="3124" t="n">
        <f aca="false">E446*F446*(IF('Ввод данных'!$A$19=связи1!$A$150,1,0))</f>
        <v>0</v>
      </c>
      <c r="H446" s="3124" t="n">
        <f aca="false">дома!G461*(IF('Ввод данных'!$A$19=связи1!$A$150,1,0))</f>
        <v>0</v>
      </c>
    </row>
    <row r="447" customFormat="false" ht="15" hidden="false" customHeight="false" outlineLevel="0" collapsed="false">
      <c r="A447" s="3122" t="str">
        <f aca="false">дома!A462</f>
        <v>Стойка каркаса по фронтону, 1 этаж, двускатная кровля, №16</v>
      </c>
      <c r="B447" s="3123" t="str">
        <f aca="false">дома!B462</f>
        <v>м.п.</v>
      </c>
      <c r="C447" s="3124" t="n">
        <f aca="false">дома!C462</f>
        <v>0.4</v>
      </c>
      <c r="D447" s="3124" t="n">
        <f aca="false">дома!D462</f>
        <v>0.045</v>
      </c>
      <c r="E447" s="3124" t="n">
        <f aca="false">дома!E462</f>
        <v>5</v>
      </c>
      <c r="F447" s="3124" t="n">
        <f aca="false">дома!F462</f>
        <v>2</v>
      </c>
      <c r="G447" s="3124" t="n">
        <f aca="false">E447*F447*(IF('Ввод данных'!$A$19=связи1!$A$150,1,0))</f>
        <v>0</v>
      </c>
      <c r="H447" s="3124" t="n">
        <f aca="false">дома!G462*(IF('Ввод данных'!$A$19=связи1!$A$150,1,0))</f>
        <v>0</v>
      </c>
    </row>
    <row r="448" customFormat="false" ht="15" hidden="false" customHeight="false" outlineLevel="0" collapsed="false">
      <c r="A448" s="3122" t="str">
        <f aca="false">дома!A463</f>
        <v>Стойка каркаса по фронтону, 1 этаж, двускатная кровля, №17</v>
      </c>
      <c r="B448" s="3123" t="str">
        <f aca="false">дома!B463</f>
        <v>м.п.</v>
      </c>
      <c r="C448" s="3124" t="n">
        <f aca="false">дома!C463</f>
        <v>0.4</v>
      </c>
      <c r="D448" s="3124" t="n">
        <f aca="false">дома!D463</f>
        <v>0.045</v>
      </c>
      <c r="E448" s="3124" t="n">
        <f aca="false">дома!E463</f>
        <v>5</v>
      </c>
      <c r="F448" s="3124" t="n">
        <f aca="false">дома!F463</f>
        <v>2</v>
      </c>
      <c r="G448" s="3124" t="n">
        <f aca="false">E448*F448*(IF('Ввод данных'!$A$19=связи1!$A$150,1,0))</f>
        <v>0</v>
      </c>
      <c r="H448" s="3124" t="n">
        <f aca="false">дома!G463*(IF('Ввод данных'!$A$19=связи1!$A$150,1,0))</f>
        <v>0</v>
      </c>
    </row>
    <row r="449" customFormat="false" ht="21" hidden="false" customHeight="false" outlineLevel="0" collapsed="false">
      <c r="A449" s="3119" t="s">
        <v>4278</v>
      </c>
      <c r="B449" s="3119"/>
      <c r="C449" s="3119"/>
      <c r="D449" s="3119"/>
      <c r="E449" s="3119"/>
      <c r="F449" s="3119"/>
      <c r="G449" s="3125" t="n">
        <f aca="false">E449*F449</f>
        <v>0</v>
      </c>
      <c r="H449" s="3125" t="n">
        <f aca="false">SUM(H450:H489)</f>
        <v>0</v>
      </c>
    </row>
    <row r="450" customFormat="false" ht="15" hidden="false" customHeight="false" outlineLevel="0" collapsed="false">
      <c r="A450" s="3122" t="str">
        <f aca="false">дома!A886</f>
        <v>Стойки каркаса передняя стена, 2 эт</v>
      </c>
      <c r="B450" s="3123" t="str">
        <f aca="false">дома!B886</f>
        <v>м.п.</v>
      </c>
      <c r="C450" s="3124" t="n">
        <f aca="false">дома!C886</f>
        <v>0.4</v>
      </c>
      <c r="D450" s="3124" t="n">
        <f aca="false">дома!D886</f>
        <v>0.045</v>
      </c>
      <c r="E450" s="3124" t="n">
        <f aca="false">дома!E886</f>
        <v>0</v>
      </c>
      <c r="F450" s="3124" t="n">
        <f aca="false">дома!F886</f>
        <v>0</v>
      </c>
      <c r="G450" s="3124" t="n">
        <f aca="false">E450*F450*(IF('Ввод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450" s="3124" t="n">
        <f aca="false">дома!G886*(IF('Ввод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451" customFormat="false" ht="15" hidden="false" customHeight="false" outlineLevel="0" collapsed="false">
      <c r="A451" s="3122" t="str">
        <f aca="false">дома!A887</f>
        <v>Стойки каркаса , левая стена, 2 эт</v>
      </c>
      <c r="B451" s="3123" t="str">
        <f aca="false">дома!B887</f>
        <v>м.п.</v>
      </c>
      <c r="C451" s="3124" t="n">
        <f aca="false">дома!C887</f>
        <v>0.4</v>
      </c>
      <c r="D451" s="3124" t="n">
        <f aca="false">дома!D887</f>
        <v>0.045</v>
      </c>
      <c r="E451" s="3124" t="n">
        <f aca="false">дома!E887</f>
        <v>0</v>
      </c>
      <c r="F451" s="3124" t="n">
        <f aca="false">дома!F887</f>
        <v>0</v>
      </c>
      <c r="G451" s="3124" t="n">
        <f aca="false">E451*F451*(IF('Ввод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451" s="3124" t="n">
        <f aca="false">дома!G887*(IF('Ввод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452" customFormat="false" ht="15" hidden="false" customHeight="false" outlineLevel="0" collapsed="false">
      <c r="A452" s="3122" t="str">
        <f aca="false">дома!A888</f>
        <v>Стойки каркаса , правая стена, 2 эт</v>
      </c>
      <c r="B452" s="3123" t="str">
        <f aca="false">дома!B888</f>
        <v>м.п.</v>
      </c>
      <c r="C452" s="3124" t="n">
        <f aca="false">дома!C888</f>
        <v>0.4</v>
      </c>
      <c r="D452" s="3124" t="n">
        <f aca="false">дома!D888</f>
        <v>0.045</v>
      </c>
      <c r="E452" s="3124" t="n">
        <f aca="false">дома!E888</f>
        <v>0</v>
      </c>
      <c r="F452" s="3124" t="n">
        <f aca="false">дома!F888</f>
        <v>0</v>
      </c>
      <c r="G452" s="3124" t="n">
        <f aca="false">E452*F452*(IF('Ввод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452" s="3124" t="n">
        <f aca="false">дома!G888*(IF('Ввод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453" customFormat="false" ht="15" hidden="false" customHeight="false" outlineLevel="0" collapsed="false">
      <c r="A453" s="3122" t="str">
        <f aca="false">дома!A889</f>
        <v>Обвязка каркаса верхняя/нижняя наружние стены 2 эт</v>
      </c>
      <c r="B453" s="3123" t="str">
        <f aca="false">дома!B889</f>
        <v>м.п.</v>
      </c>
      <c r="C453" s="3124" t="n">
        <f aca="false">дома!C889</f>
        <v>0.4</v>
      </c>
      <c r="D453" s="3124" t="n">
        <f aca="false">дома!D889</f>
        <v>0.045</v>
      </c>
      <c r="E453" s="3124" t="n">
        <f aca="false">дома!E889</f>
        <v>1</v>
      </c>
      <c r="F453" s="3124" t="n">
        <f aca="false">дома!F889</f>
        <v>0</v>
      </c>
      <c r="G453" s="3124" t="n">
        <f aca="false">E453*F453*(IF('Ввод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453" s="3124" t="n">
        <f aca="false">дома!G889*(IF('Ввод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454" customFormat="false" ht="15" hidden="false" customHeight="false" outlineLevel="0" collapsed="false">
      <c r="A454" s="3122" t="str">
        <f aca="false">дома!A890</f>
        <v>Ригель каркаса наружние стены 2 эт</v>
      </c>
      <c r="B454" s="3123" t="str">
        <f aca="false">дома!B890</f>
        <v>м.п.</v>
      </c>
      <c r="C454" s="3124" t="n">
        <f aca="false">дома!C890</f>
        <v>0.4</v>
      </c>
      <c r="D454" s="3124" t="n">
        <f aca="false">дома!D890</f>
        <v>0.045</v>
      </c>
      <c r="E454" s="3124" t="n">
        <f aca="false">дома!E890</f>
        <v>1</v>
      </c>
      <c r="F454" s="3124" t="n">
        <f aca="false">дома!F890</f>
        <v>0</v>
      </c>
      <c r="G454" s="3124" t="n">
        <f aca="false">E454*F454*(IF('Ввод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454" s="3124" t="n">
        <f aca="false">дома!G890*(IF('Ввод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455" customFormat="false" ht="15" hidden="false" customHeight="false" outlineLevel="0" collapsed="false">
      <c r="A455" s="3122" t="str">
        <f aca="false">дома!A891</f>
        <v>Укосина наружних стен, усиление 2 этаж</v>
      </c>
      <c r="B455" s="3123" t="str">
        <f aca="false">дома!B891</f>
        <v>м.п.</v>
      </c>
      <c r="C455" s="3124" t="n">
        <f aca="false">дома!C891</f>
        <v>0.4</v>
      </c>
      <c r="D455" s="3124" t="n">
        <f aca="false">дома!D891</f>
        <v>0.045</v>
      </c>
      <c r="E455" s="3124" t="n">
        <f aca="false">дома!E891</f>
        <v>1.5</v>
      </c>
      <c r="F455" s="3124" t="n">
        <f aca="false">дома!F891</f>
        <v>0</v>
      </c>
      <c r="G455" s="3124" t="n">
        <f aca="false">E455*F455*(IF('Ввод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455" s="3124" t="n">
        <f aca="false">дома!G891*(IF('Ввод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456" customFormat="false" ht="15" hidden="false" customHeight="false" outlineLevel="0" collapsed="false">
      <c r="A456" s="3122" t="str">
        <f aca="false">дома!A892</f>
        <v>Стойка каркаса по фронтону, 2 этаж, односкатная кровля, №1</v>
      </c>
      <c r="B456" s="3123" t="str">
        <f aca="false">дома!B892</f>
        <v>м.п.</v>
      </c>
      <c r="C456" s="3124" t="n">
        <f aca="false">дома!C892</f>
        <v>0.4</v>
      </c>
      <c r="D456" s="3124" t="n">
        <f aca="false">дома!D892</f>
        <v>0.045</v>
      </c>
      <c r="E456" s="3124" t="n">
        <f aca="false">дома!E892</f>
        <v>0</v>
      </c>
      <c r="F456" s="3124" t="n">
        <f aca="false">дома!F892</f>
        <v>0</v>
      </c>
      <c r="G456" s="3124" t="n">
        <f aca="false">E456*F456*(IF('Ввод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456" s="3124" t="n">
        <f aca="false">дома!G892*(IF('Ввод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457" customFormat="false" ht="15" hidden="false" customHeight="false" outlineLevel="0" collapsed="false">
      <c r="A457" s="3122" t="str">
        <f aca="false">дома!A893</f>
        <v>Стойка каркаса по фронтону, 2 этаж, односкатная кровля, №2</v>
      </c>
      <c r="B457" s="3123" t="str">
        <f aca="false">дома!B893</f>
        <v>м.п.</v>
      </c>
      <c r="C457" s="3124" t="n">
        <f aca="false">дома!C893</f>
        <v>0.4</v>
      </c>
      <c r="D457" s="3124" t="n">
        <f aca="false">дома!D893</f>
        <v>0.045</v>
      </c>
      <c r="E457" s="3124" t="n">
        <f aca="false">дома!E893</f>
        <v>0</v>
      </c>
      <c r="F457" s="3124" t="n">
        <f aca="false">дома!F893</f>
        <v>0</v>
      </c>
      <c r="G457" s="3124" t="n">
        <f aca="false">E457*F457*(IF('Ввод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457" s="3124" t="n">
        <f aca="false">дома!G893*(IF('Ввод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458" customFormat="false" ht="15" hidden="false" customHeight="false" outlineLevel="0" collapsed="false">
      <c r="A458" s="3122" t="str">
        <f aca="false">дома!A894</f>
        <v>Стойка каркаса по фронтону, 2 этаж, односкатная кровля, №3</v>
      </c>
      <c r="B458" s="3123" t="str">
        <f aca="false">дома!B894</f>
        <v>м.п.</v>
      </c>
      <c r="C458" s="3124" t="n">
        <f aca="false">дома!C894</f>
        <v>0.4</v>
      </c>
      <c r="D458" s="3124" t="n">
        <f aca="false">дома!D894</f>
        <v>0.045</v>
      </c>
      <c r="E458" s="3124" t="n">
        <f aca="false">дома!E894</f>
        <v>0</v>
      </c>
      <c r="F458" s="3124" t="n">
        <f aca="false">дома!F894</f>
        <v>0</v>
      </c>
      <c r="G458" s="3124" t="n">
        <f aca="false">E458*F458*(IF('Ввод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458" s="3124" t="n">
        <f aca="false">дома!G894*(IF('Ввод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459" customFormat="false" ht="15" hidden="false" customHeight="false" outlineLevel="0" collapsed="false">
      <c r="A459" s="3122" t="str">
        <f aca="false">дома!A895</f>
        <v>Стойка каркаса по фронтону, 2 этаж, односкатная кровля, №4</v>
      </c>
      <c r="B459" s="3123" t="str">
        <f aca="false">дома!B895</f>
        <v>м.п.</v>
      </c>
      <c r="C459" s="3124" t="n">
        <f aca="false">дома!C895</f>
        <v>0.4</v>
      </c>
      <c r="D459" s="3124" t="n">
        <f aca="false">дома!D895</f>
        <v>0.045</v>
      </c>
      <c r="E459" s="3124" t="n">
        <f aca="false">дома!E895</f>
        <v>0</v>
      </c>
      <c r="F459" s="3124" t="n">
        <f aca="false">дома!F895</f>
        <v>0</v>
      </c>
      <c r="G459" s="3124" t="n">
        <f aca="false">E459*F459*(IF('Ввод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459" s="3124" t="n">
        <f aca="false">дома!G895*(IF('Ввод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460" customFormat="false" ht="15" hidden="false" customHeight="false" outlineLevel="0" collapsed="false">
      <c r="A460" s="3122" t="str">
        <f aca="false">дома!A896</f>
        <v>Стойка каркаса по фронтону, 2 этаж, односкатная кровля, №5</v>
      </c>
      <c r="B460" s="3123" t="str">
        <f aca="false">дома!B896</f>
        <v>м.п.</v>
      </c>
      <c r="C460" s="3124" t="n">
        <f aca="false">дома!C896</f>
        <v>0.4</v>
      </c>
      <c r="D460" s="3124" t="n">
        <f aca="false">дома!D896</f>
        <v>0.045</v>
      </c>
      <c r="E460" s="3124" t="n">
        <f aca="false">дома!E896</f>
        <v>0</v>
      </c>
      <c r="F460" s="3124" t="n">
        <f aca="false">дома!F896</f>
        <v>0</v>
      </c>
      <c r="G460" s="3124" t="n">
        <f aca="false">E460*F460*(IF('Ввод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460" s="3124" t="n">
        <f aca="false">дома!G896*(IF('Ввод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461" customFormat="false" ht="15" hidden="false" customHeight="false" outlineLevel="0" collapsed="false">
      <c r="A461" s="3122" t="str">
        <f aca="false">дома!A897</f>
        <v>Стойка каркаса по фронтону, 2 этаж, односкатная кровля, №6</v>
      </c>
      <c r="B461" s="3123" t="str">
        <f aca="false">дома!B897</f>
        <v>м.п.</v>
      </c>
      <c r="C461" s="3124" t="n">
        <f aca="false">дома!C897</f>
        <v>0.4</v>
      </c>
      <c r="D461" s="3124" t="n">
        <f aca="false">дома!D897</f>
        <v>0.045</v>
      </c>
      <c r="E461" s="3124" t="n">
        <f aca="false">дома!E897</f>
        <v>0</v>
      </c>
      <c r="F461" s="3124" t="n">
        <f aca="false">дома!F897</f>
        <v>0</v>
      </c>
      <c r="G461" s="3124" t="n">
        <f aca="false">E461*F461*(IF('Ввод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461" s="3124" t="n">
        <f aca="false">дома!G897*(IF('Ввод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462" customFormat="false" ht="15" hidden="false" customHeight="false" outlineLevel="0" collapsed="false">
      <c r="A462" s="3122" t="str">
        <f aca="false">дома!A898</f>
        <v>Стойка каркаса по фронтону, 2 этаж, односкатная кровля, №7</v>
      </c>
      <c r="B462" s="3123" t="str">
        <f aca="false">дома!B898</f>
        <v>м.п.</v>
      </c>
      <c r="C462" s="3124" t="n">
        <f aca="false">дома!C898</f>
        <v>0.4</v>
      </c>
      <c r="D462" s="3124" t="n">
        <f aca="false">дома!D898</f>
        <v>0.045</v>
      </c>
      <c r="E462" s="3124" t="n">
        <f aca="false">дома!E898</f>
        <v>0</v>
      </c>
      <c r="F462" s="3124" t="n">
        <f aca="false">дома!F898</f>
        <v>0</v>
      </c>
      <c r="G462" s="3124" t="n">
        <f aca="false">E462*F462*(IF('Ввод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462" s="3124" t="n">
        <f aca="false">дома!G898*(IF('Ввод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463" customFormat="false" ht="15" hidden="false" customHeight="false" outlineLevel="0" collapsed="false">
      <c r="A463" s="3122" t="str">
        <f aca="false">дома!A899</f>
        <v>Стойка каркаса по фронтону, 2 этаж, односкатная кровля, №8</v>
      </c>
      <c r="B463" s="3123" t="str">
        <f aca="false">дома!B899</f>
        <v>м.п.</v>
      </c>
      <c r="C463" s="3124" t="n">
        <f aca="false">дома!C899</f>
        <v>0.4</v>
      </c>
      <c r="D463" s="3124" t="n">
        <f aca="false">дома!D899</f>
        <v>0.045</v>
      </c>
      <c r="E463" s="3124" t="n">
        <f aca="false">дома!E899</f>
        <v>0</v>
      </c>
      <c r="F463" s="3124" t="n">
        <f aca="false">дома!F899</f>
        <v>0</v>
      </c>
      <c r="G463" s="3124" t="n">
        <f aca="false">E463*F463*(IF('Ввод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463" s="3124" t="n">
        <f aca="false">дома!G899*(IF('Ввод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464" customFormat="false" ht="15" hidden="false" customHeight="false" outlineLevel="0" collapsed="false">
      <c r="A464" s="3122" t="str">
        <f aca="false">дома!A900</f>
        <v>Стойка каркаса по фронтону, 2 этаж, односкатная кровля, №9</v>
      </c>
      <c r="B464" s="3123" t="str">
        <f aca="false">дома!B900</f>
        <v>м.п.</v>
      </c>
      <c r="C464" s="3124" t="n">
        <f aca="false">дома!C900</f>
        <v>0.4</v>
      </c>
      <c r="D464" s="3124" t="n">
        <f aca="false">дома!D900</f>
        <v>0.045</v>
      </c>
      <c r="E464" s="3124" t="n">
        <f aca="false">дома!E900</f>
        <v>0</v>
      </c>
      <c r="F464" s="3124" t="n">
        <f aca="false">дома!F900</f>
        <v>0</v>
      </c>
      <c r="G464" s="3124" t="n">
        <f aca="false">E464*F464*(IF('Ввод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464" s="3124" t="n">
        <f aca="false">дома!G900*(IF('Ввод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465" customFormat="false" ht="15" hidden="false" customHeight="false" outlineLevel="0" collapsed="false">
      <c r="A465" s="3122" t="str">
        <f aca="false">дома!A901</f>
        <v>Стойка каркаса по фронтону, 2 этаж, односкатная кровля, №10</v>
      </c>
      <c r="B465" s="3123" t="str">
        <f aca="false">дома!B901</f>
        <v>м.п.</v>
      </c>
      <c r="C465" s="3124" t="n">
        <f aca="false">дома!C901</f>
        <v>0.4</v>
      </c>
      <c r="D465" s="3124" t="n">
        <f aca="false">дома!D901</f>
        <v>0.045</v>
      </c>
      <c r="E465" s="3124" t="n">
        <f aca="false">дома!E901</f>
        <v>0</v>
      </c>
      <c r="F465" s="3124" t="n">
        <f aca="false">дома!F901</f>
        <v>0</v>
      </c>
      <c r="G465" s="3124" t="n">
        <f aca="false">E465*F465*(IF('Ввод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465" s="3124" t="n">
        <f aca="false">дома!G901*(IF('Ввод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466" customFormat="false" ht="15" hidden="false" customHeight="false" outlineLevel="0" collapsed="false">
      <c r="A466" s="3122" t="str">
        <f aca="false">дома!A902</f>
        <v>Стойка каркаса по фронтону, 2 этаж, односкатная кровля, №11</v>
      </c>
      <c r="B466" s="3123" t="str">
        <f aca="false">дома!B902</f>
        <v>м.п.</v>
      </c>
      <c r="C466" s="3124" t="n">
        <f aca="false">дома!C902</f>
        <v>0.4</v>
      </c>
      <c r="D466" s="3124" t="n">
        <f aca="false">дома!D902</f>
        <v>0.045</v>
      </c>
      <c r="E466" s="3124" t="n">
        <f aca="false">дома!E902</f>
        <v>0</v>
      </c>
      <c r="F466" s="3124" t="n">
        <f aca="false">дома!F902</f>
        <v>0</v>
      </c>
      <c r="G466" s="3124" t="n">
        <f aca="false">E466*F466*(IF('Ввод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466" s="3124" t="n">
        <f aca="false">дома!G902*(IF('Ввод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467" customFormat="false" ht="15" hidden="false" customHeight="false" outlineLevel="0" collapsed="false">
      <c r="A467" s="3122" t="str">
        <f aca="false">дома!A903</f>
        <v>Стойка каркаса по фронтону, 2 этаж, односкатная кровля, №12</v>
      </c>
      <c r="B467" s="3123" t="str">
        <f aca="false">дома!B903</f>
        <v>м.п.</v>
      </c>
      <c r="C467" s="3124" t="n">
        <f aca="false">дома!C903</f>
        <v>0.4</v>
      </c>
      <c r="D467" s="3124" t="n">
        <f aca="false">дома!D903</f>
        <v>0.045</v>
      </c>
      <c r="E467" s="3124" t="n">
        <f aca="false">дома!E903</f>
        <v>0</v>
      </c>
      <c r="F467" s="3124" t="n">
        <f aca="false">дома!F903</f>
        <v>0</v>
      </c>
      <c r="G467" s="3124" t="n">
        <f aca="false">E467*F467*(IF('Ввод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467" s="3124" t="n">
        <f aca="false">дома!G903*(IF('Ввод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468" customFormat="false" ht="15" hidden="false" customHeight="false" outlineLevel="0" collapsed="false">
      <c r="A468" s="3122" t="str">
        <f aca="false">дома!A904</f>
        <v>Стойка каркаса по фронтону, 2 этаж, односкатная кровля, №13</v>
      </c>
      <c r="B468" s="3123" t="str">
        <f aca="false">дома!B904</f>
        <v>м.п.</v>
      </c>
      <c r="C468" s="3124" t="n">
        <f aca="false">дома!C904</f>
        <v>0.4</v>
      </c>
      <c r="D468" s="3124" t="n">
        <f aca="false">дома!D904</f>
        <v>0.045</v>
      </c>
      <c r="E468" s="3124" t="n">
        <f aca="false">дома!E904</f>
        <v>0</v>
      </c>
      <c r="F468" s="3124" t="n">
        <f aca="false">дома!F904</f>
        <v>0</v>
      </c>
      <c r="G468" s="3124" t="n">
        <f aca="false">E468*F468*(IF('Ввод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468" s="3124" t="n">
        <f aca="false">дома!G904*(IF('Ввод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469" customFormat="false" ht="15" hidden="false" customHeight="false" outlineLevel="0" collapsed="false">
      <c r="A469" s="3122" t="str">
        <f aca="false">дома!A905</f>
        <v>Стойка каркаса по фронтону, 2 этаж, односкатная кровля, №14</v>
      </c>
      <c r="B469" s="3123" t="str">
        <f aca="false">дома!B905</f>
        <v>м.п.</v>
      </c>
      <c r="C469" s="3124" t="n">
        <f aca="false">дома!C905</f>
        <v>0.4</v>
      </c>
      <c r="D469" s="3124" t="n">
        <f aca="false">дома!D905</f>
        <v>0.045</v>
      </c>
      <c r="E469" s="3124" t="n">
        <f aca="false">дома!E905</f>
        <v>0</v>
      </c>
      <c r="F469" s="3124" t="n">
        <f aca="false">дома!F905</f>
        <v>0</v>
      </c>
      <c r="G469" s="3124" t="n">
        <f aca="false">E469*F469*(IF('Ввод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469" s="3124" t="n">
        <f aca="false">дома!G905*(IF('Ввод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470" customFormat="false" ht="15" hidden="false" customHeight="false" outlineLevel="0" collapsed="false">
      <c r="A470" s="3122" t="str">
        <f aca="false">дома!A906</f>
        <v>Стойка каркаса по фронтону, 2 этаж, односкатная кровля, №15</v>
      </c>
      <c r="B470" s="3123" t="str">
        <f aca="false">дома!B906</f>
        <v>м.п.</v>
      </c>
      <c r="C470" s="3124" t="n">
        <f aca="false">дома!C906</f>
        <v>0.4</v>
      </c>
      <c r="D470" s="3124" t="n">
        <f aca="false">дома!D906</f>
        <v>0.045</v>
      </c>
      <c r="E470" s="3124" t="n">
        <f aca="false">дома!E906</f>
        <v>0</v>
      </c>
      <c r="F470" s="3124" t="n">
        <f aca="false">дома!F906</f>
        <v>0</v>
      </c>
      <c r="G470" s="3124" t="n">
        <f aca="false">E470*F470*(IF('Ввод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470" s="3124" t="n">
        <f aca="false">дома!G906*(IF('Ввод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471" customFormat="false" ht="15" hidden="false" customHeight="false" outlineLevel="0" collapsed="false">
      <c r="A471" s="3122" t="str">
        <f aca="false">дома!A907</f>
        <v>Стойка каркаса по фронтону, 2 этаж, односкатная кровля, №16</v>
      </c>
      <c r="B471" s="3123" t="str">
        <f aca="false">дома!B907</f>
        <v>м.п.</v>
      </c>
      <c r="C471" s="3124" t="n">
        <f aca="false">дома!C907</f>
        <v>0.4</v>
      </c>
      <c r="D471" s="3124" t="n">
        <f aca="false">дома!D907</f>
        <v>0.045</v>
      </c>
      <c r="E471" s="3124" t="n">
        <f aca="false">дома!E907</f>
        <v>0</v>
      </c>
      <c r="F471" s="3124" t="n">
        <f aca="false">дома!F907</f>
        <v>0</v>
      </c>
      <c r="G471" s="3124" t="n">
        <f aca="false">E471*F471*(IF('Ввод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471" s="3124" t="n">
        <f aca="false">дома!G907*(IF('Ввод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472" customFormat="false" ht="15" hidden="false" customHeight="false" outlineLevel="0" collapsed="false">
      <c r="A472" s="3122" t="str">
        <f aca="false">дома!A908</f>
        <v>Стойка каркаса по фронтону, 2 этаж, односкатная кровля, №17</v>
      </c>
      <c r="B472" s="3123" t="str">
        <f aca="false">дома!B908</f>
        <v>м.п.</v>
      </c>
      <c r="C472" s="3124" t="n">
        <f aca="false">дома!C908</f>
        <v>0.4</v>
      </c>
      <c r="D472" s="3124" t="n">
        <f aca="false">дома!D908</f>
        <v>0.045</v>
      </c>
      <c r="E472" s="3124" t="n">
        <f aca="false">дома!E908</f>
        <v>0</v>
      </c>
      <c r="F472" s="3124" t="n">
        <f aca="false">дома!F908</f>
        <v>0</v>
      </c>
      <c r="G472" s="3124" t="n">
        <f aca="false">E472*F472*(IF('Ввод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472" s="3124" t="n">
        <f aca="false">дома!G908*(IF('Ввод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473" customFormat="false" ht="15" hidden="false" customHeight="false" outlineLevel="0" collapsed="false">
      <c r="A473" s="3122" t="str">
        <f aca="false">дома!A909</f>
        <v>Стойка каркаса по фронтону, 2 этаж, двускатная кровля, №1</v>
      </c>
      <c r="B473" s="3123" t="str">
        <f aca="false">дома!B909</f>
        <v>м.п.</v>
      </c>
      <c r="C473" s="3124" t="n">
        <f aca="false">дома!C909</f>
        <v>0.4</v>
      </c>
      <c r="D473" s="3124" t="n">
        <f aca="false">дома!D909</f>
        <v>0.045</v>
      </c>
      <c r="E473" s="3124" t="n">
        <f aca="false">дома!E909</f>
        <v>0</v>
      </c>
      <c r="F473" s="3124" t="n">
        <f aca="false">дома!F909</f>
        <v>0</v>
      </c>
      <c r="G473" s="3124" t="n">
        <f aca="false">E473*F473*(IF('Ввод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473" s="3124" t="n">
        <f aca="false">дома!G909*(IF('Ввод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474" customFormat="false" ht="15" hidden="false" customHeight="false" outlineLevel="0" collapsed="false">
      <c r="A474" s="3122" t="str">
        <f aca="false">дома!A910</f>
        <v>Стойка каркаса по фронтону, 2 этаж, двускатная кровля, №2</v>
      </c>
      <c r="B474" s="3123" t="str">
        <f aca="false">дома!B910</f>
        <v>м.п.</v>
      </c>
      <c r="C474" s="3124" t="n">
        <f aca="false">дома!C910</f>
        <v>0.4</v>
      </c>
      <c r="D474" s="3124" t="n">
        <f aca="false">дома!D910</f>
        <v>0.045</v>
      </c>
      <c r="E474" s="3124" t="n">
        <f aca="false">дома!E910</f>
        <v>0</v>
      </c>
      <c r="F474" s="3124" t="n">
        <f aca="false">дома!F910</f>
        <v>0</v>
      </c>
      <c r="G474" s="3124" t="n">
        <f aca="false">E474*F474*(IF('Ввод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474" s="3124" t="n">
        <f aca="false">дома!G910*(IF('Ввод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475" customFormat="false" ht="15" hidden="false" customHeight="false" outlineLevel="0" collapsed="false">
      <c r="A475" s="3122" t="str">
        <f aca="false">дома!A911</f>
        <v>Стойка каркаса по фронтону, 2 этаж, двускатная кровля, №3</v>
      </c>
      <c r="B475" s="3123" t="str">
        <f aca="false">дома!B911</f>
        <v>м.п.</v>
      </c>
      <c r="C475" s="3124" t="n">
        <f aca="false">дома!C911</f>
        <v>0.4</v>
      </c>
      <c r="D475" s="3124" t="n">
        <f aca="false">дома!D911</f>
        <v>0.045</v>
      </c>
      <c r="E475" s="3124" t="n">
        <f aca="false">дома!E911</f>
        <v>0</v>
      </c>
      <c r="F475" s="3124" t="n">
        <f aca="false">дома!F911</f>
        <v>0</v>
      </c>
      <c r="G475" s="3124" t="n">
        <f aca="false">E475*F475*(IF('Ввод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475" s="3124" t="n">
        <f aca="false">дома!G911*(IF('Ввод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476" customFormat="false" ht="15" hidden="false" customHeight="false" outlineLevel="0" collapsed="false">
      <c r="A476" s="3122" t="str">
        <f aca="false">дома!A912</f>
        <v>Стойка каркаса по фронтону, 2 этаж, двускатная кровля, №4</v>
      </c>
      <c r="B476" s="3123" t="str">
        <f aca="false">дома!B912</f>
        <v>м.п.</v>
      </c>
      <c r="C476" s="3124" t="n">
        <f aca="false">дома!C912</f>
        <v>0.4</v>
      </c>
      <c r="D476" s="3124" t="n">
        <f aca="false">дома!D912</f>
        <v>0.045</v>
      </c>
      <c r="E476" s="3124" t="n">
        <f aca="false">дома!E912</f>
        <v>0</v>
      </c>
      <c r="F476" s="3124" t="n">
        <f aca="false">дома!F912</f>
        <v>0</v>
      </c>
      <c r="G476" s="3124" t="n">
        <f aca="false">E476*F476*(IF('Ввод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476" s="3124" t="n">
        <f aca="false">дома!G912*(IF('Ввод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477" customFormat="false" ht="15" hidden="false" customHeight="false" outlineLevel="0" collapsed="false">
      <c r="A477" s="3122" t="str">
        <f aca="false">дома!A913</f>
        <v>Стойка каркаса по фронтону, 2 этаж, двускатная кровля, №5</v>
      </c>
      <c r="B477" s="3123" t="str">
        <f aca="false">дома!B913</f>
        <v>м.п.</v>
      </c>
      <c r="C477" s="3124" t="n">
        <f aca="false">дома!C913</f>
        <v>0.4</v>
      </c>
      <c r="D477" s="3124" t="n">
        <f aca="false">дома!D913</f>
        <v>0.045</v>
      </c>
      <c r="E477" s="3124" t="n">
        <f aca="false">дома!E913</f>
        <v>0</v>
      </c>
      <c r="F477" s="3124" t="n">
        <f aca="false">дома!F913</f>
        <v>0</v>
      </c>
      <c r="G477" s="3124" t="n">
        <f aca="false">E477*F477*(IF('Ввод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477" s="3124" t="n">
        <f aca="false">дома!G913*(IF('Ввод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478" customFormat="false" ht="15" hidden="false" customHeight="false" outlineLevel="0" collapsed="false">
      <c r="A478" s="3122" t="str">
        <f aca="false">дома!A914</f>
        <v>Стойка каркаса по фронтону, 2 этаж, двускатная кровля, №6</v>
      </c>
      <c r="B478" s="3123" t="str">
        <f aca="false">дома!B914</f>
        <v>м.п.</v>
      </c>
      <c r="C478" s="3124" t="n">
        <f aca="false">дома!C914</f>
        <v>0.4</v>
      </c>
      <c r="D478" s="3124" t="n">
        <f aca="false">дома!D914</f>
        <v>0.045</v>
      </c>
      <c r="E478" s="3124" t="n">
        <f aca="false">дома!E914</f>
        <v>0</v>
      </c>
      <c r="F478" s="3124" t="n">
        <f aca="false">дома!F914</f>
        <v>0</v>
      </c>
      <c r="G478" s="3124" t="n">
        <f aca="false">E478*F478*(IF('Ввод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478" s="3124" t="n">
        <f aca="false">дома!G914*(IF('Ввод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479" customFormat="false" ht="15" hidden="false" customHeight="false" outlineLevel="0" collapsed="false">
      <c r="A479" s="3122" t="str">
        <f aca="false">дома!A915</f>
        <v>Стойка каркаса по фронтону, 2 этаж, двускатная кровля, №7</v>
      </c>
      <c r="B479" s="3123" t="str">
        <f aca="false">дома!B915</f>
        <v>м.п.</v>
      </c>
      <c r="C479" s="3124" t="n">
        <f aca="false">дома!C915</f>
        <v>0.4</v>
      </c>
      <c r="D479" s="3124" t="n">
        <f aca="false">дома!D915</f>
        <v>0.045</v>
      </c>
      <c r="E479" s="3124" t="n">
        <f aca="false">дома!E915</f>
        <v>0</v>
      </c>
      <c r="F479" s="3124" t="n">
        <f aca="false">дома!F915</f>
        <v>0</v>
      </c>
      <c r="G479" s="3124" t="n">
        <f aca="false">E479*F479*(IF('Ввод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479" s="3124" t="n">
        <f aca="false">дома!G915*(IF('Ввод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480" customFormat="false" ht="15" hidden="false" customHeight="false" outlineLevel="0" collapsed="false">
      <c r="A480" s="3122" t="str">
        <f aca="false">дома!A916</f>
        <v>Стойка каркаса по фронтону, 2 этаж, двускатная кровля, №8</v>
      </c>
      <c r="B480" s="3123" t="str">
        <f aca="false">дома!B916</f>
        <v>м.п.</v>
      </c>
      <c r="C480" s="3124" t="n">
        <f aca="false">дома!C916</f>
        <v>0.4</v>
      </c>
      <c r="D480" s="3124" t="n">
        <f aca="false">дома!D916</f>
        <v>0.045</v>
      </c>
      <c r="E480" s="3124" t="n">
        <f aca="false">дома!E916</f>
        <v>0</v>
      </c>
      <c r="F480" s="3124" t="n">
        <f aca="false">дома!F916</f>
        <v>0</v>
      </c>
      <c r="G480" s="3124" t="n">
        <f aca="false">E480*F480*(IF('Ввод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480" s="3124" t="n">
        <f aca="false">дома!G916*(IF('Ввод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481" customFormat="false" ht="15" hidden="false" customHeight="false" outlineLevel="0" collapsed="false">
      <c r="A481" s="3122" t="str">
        <f aca="false">дома!A917</f>
        <v>Стойка каркаса по фронтону, 2 этаж, двускатная кровля, №9</v>
      </c>
      <c r="B481" s="3123" t="str">
        <f aca="false">дома!B917</f>
        <v>м.п.</v>
      </c>
      <c r="C481" s="3124" t="n">
        <f aca="false">дома!C917</f>
        <v>0.4</v>
      </c>
      <c r="D481" s="3124" t="n">
        <f aca="false">дома!D917</f>
        <v>0.045</v>
      </c>
      <c r="E481" s="3124" t="n">
        <f aca="false">дома!E917</f>
        <v>0</v>
      </c>
      <c r="F481" s="3124" t="n">
        <f aca="false">дома!F917</f>
        <v>0</v>
      </c>
      <c r="G481" s="3124" t="n">
        <f aca="false">E481*F481*(IF('Ввод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481" s="3124" t="n">
        <f aca="false">дома!G917*(IF('Ввод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482" customFormat="false" ht="15" hidden="false" customHeight="false" outlineLevel="0" collapsed="false">
      <c r="A482" s="3122" t="str">
        <f aca="false">дома!A918</f>
        <v>Стойка каркаса по фронтону, 2 этаж, двускатная кровля, №10</v>
      </c>
      <c r="B482" s="3123" t="str">
        <f aca="false">дома!B918</f>
        <v>м.п.</v>
      </c>
      <c r="C482" s="3124" t="n">
        <f aca="false">дома!C918</f>
        <v>0.4</v>
      </c>
      <c r="D482" s="3124" t="n">
        <f aca="false">дома!D918</f>
        <v>0.045</v>
      </c>
      <c r="E482" s="3124" t="n">
        <f aca="false">дома!E918</f>
        <v>0</v>
      </c>
      <c r="F482" s="3124" t="n">
        <f aca="false">дома!F918</f>
        <v>0</v>
      </c>
      <c r="G482" s="3124" t="n">
        <f aca="false">E482*F482*(IF('Ввод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482" s="3124" t="n">
        <f aca="false">дома!G918*(IF('Ввод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483" customFormat="false" ht="15" hidden="false" customHeight="false" outlineLevel="0" collapsed="false">
      <c r="A483" s="3122" t="str">
        <f aca="false">дома!A919</f>
        <v>Стойка каркаса по фронтону, 2 этаж, двускатная кровля, №11</v>
      </c>
      <c r="B483" s="3123" t="str">
        <f aca="false">дома!B919</f>
        <v>м.п.</v>
      </c>
      <c r="C483" s="3124" t="n">
        <f aca="false">дома!C919</f>
        <v>0.4</v>
      </c>
      <c r="D483" s="3124" t="n">
        <f aca="false">дома!D919</f>
        <v>0.045</v>
      </c>
      <c r="E483" s="3124" t="n">
        <f aca="false">дома!E919</f>
        <v>0</v>
      </c>
      <c r="F483" s="3124" t="n">
        <f aca="false">дома!F919</f>
        <v>0</v>
      </c>
      <c r="G483" s="3124" t="n">
        <f aca="false">E483*F483*(IF('Ввод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483" s="3124" t="n">
        <f aca="false">дома!G919*(IF('Ввод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484" customFormat="false" ht="15" hidden="false" customHeight="false" outlineLevel="0" collapsed="false">
      <c r="A484" s="3122" t="str">
        <f aca="false">дома!A920</f>
        <v>Стойка каркаса по фронтону, 2 этаж, двускатная кровля, №12</v>
      </c>
      <c r="B484" s="3123" t="str">
        <f aca="false">дома!B920</f>
        <v>м.п.</v>
      </c>
      <c r="C484" s="3124" t="n">
        <f aca="false">дома!C920</f>
        <v>0.4</v>
      </c>
      <c r="D484" s="3124" t="n">
        <f aca="false">дома!D920</f>
        <v>0.045</v>
      </c>
      <c r="E484" s="3124" t="n">
        <f aca="false">дома!E920</f>
        <v>0</v>
      </c>
      <c r="F484" s="3124" t="n">
        <f aca="false">дома!F920</f>
        <v>0</v>
      </c>
      <c r="G484" s="3124" t="n">
        <f aca="false">E484*F484*(IF('Ввод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484" s="3124" t="n">
        <f aca="false">дома!G920*(IF('Ввод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485" customFormat="false" ht="15" hidden="false" customHeight="false" outlineLevel="0" collapsed="false">
      <c r="A485" s="3122" t="str">
        <f aca="false">дома!A921</f>
        <v>Стойка каркаса по фронтону, 2 этаж, двускатная кровля, №13</v>
      </c>
      <c r="B485" s="3123" t="str">
        <f aca="false">дома!B921</f>
        <v>м.п.</v>
      </c>
      <c r="C485" s="3124" t="n">
        <f aca="false">дома!C921</f>
        <v>0.4</v>
      </c>
      <c r="D485" s="3124" t="n">
        <f aca="false">дома!D921</f>
        <v>0.045</v>
      </c>
      <c r="E485" s="3124" t="n">
        <f aca="false">дома!E921</f>
        <v>0</v>
      </c>
      <c r="F485" s="3124" t="n">
        <f aca="false">дома!F921</f>
        <v>0</v>
      </c>
      <c r="G485" s="3124" t="n">
        <f aca="false">E485*F485*(IF('Ввод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485" s="3124" t="n">
        <f aca="false">дома!G921*(IF('Ввод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486" customFormat="false" ht="15" hidden="false" customHeight="false" outlineLevel="0" collapsed="false">
      <c r="A486" s="3122" t="str">
        <f aca="false">дома!A922</f>
        <v>Стойка каркаса по фронтону, 2 этаж, двускатная кровля, №14</v>
      </c>
      <c r="B486" s="3123" t="str">
        <f aca="false">дома!B922</f>
        <v>м.п.</v>
      </c>
      <c r="C486" s="3124" t="n">
        <f aca="false">дома!C922</f>
        <v>0.4</v>
      </c>
      <c r="D486" s="3124" t="n">
        <f aca="false">дома!D922</f>
        <v>0.045</v>
      </c>
      <c r="E486" s="3124" t="n">
        <f aca="false">дома!E922</f>
        <v>0</v>
      </c>
      <c r="F486" s="3124" t="n">
        <f aca="false">дома!F922</f>
        <v>0</v>
      </c>
      <c r="G486" s="3124" t="n">
        <f aca="false">E486*F486*(IF('Ввод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486" s="3124" t="n">
        <f aca="false">дома!G922*(IF('Ввод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487" customFormat="false" ht="15" hidden="false" customHeight="false" outlineLevel="0" collapsed="false">
      <c r="A487" s="3122" t="str">
        <f aca="false">дома!A923</f>
        <v>Стойка каркаса по фронтону, 2 этаж, двускатная кровля, №15</v>
      </c>
      <c r="B487" s="3123" t="str">
        <f aca="false">дома!B923</f>
        <v>м.п.</v>
      </c>
      <c r="C487" s="3124" t="n">
        <f aca="false">дома!C923</f>
        <v>0.4</v>
      </c>
      <c r="D487" s="3124" t="n">
        <f aca="false">дома!D923</f>
        <v>0.045</v>
      </c>
      <c r="E487" s="3124" t="n">
        <f aca="false">дома!E923</f>
        <v>0</v>
      </c>
      <c r="F487" s="3124" t="n">
        <f aca="false">дома!F923</f>
        <v>0</v>
      </c>
      <c r="G487" s="3124" t="n">
        <f aca="false">E487*F487*(IF('Ввод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487" s="3124" t="n">
        <f aca="false">дома!G923*(IF('Ввод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488" customFormat="false" ht="15" hidden="false" customHeight="false" outlineLevel="0" collapsed="false">
      <c r="A488" s="3122" t="str">
        <f aca="false">дома!A924</f>
        <v>Стойка каркаса по фронтону, 2 этаж, двускатная кровля, №16</v>
      </c>
      <c r="B488" s="3123" t="str">
        <f aca="false">дома!B924</f>
        <v>м.п.</v>
      </c>
      <c r="C488" s="3124" t="n">
        <f aca="false">дома!C924</f>
        <v>0.4</v>
      </c>
      <c r="D488" s="3124" t="n">
        <f aca="false">дома!D924</f>
        <v>0.045</v>
      </c>
      <c r="E488" s="3124" t="n">
        <f aca="false">дома!E924</f>
        <v>0</v>
      </c>
      <c r="F488" s="3124" t="n">
        <f aca="false">дома!F924</f>
        <v>0</v>
      </c>
      <c r="G488" s="3124" t="n">
        <f aca="false">E488*F488*(IF('Ввод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488" s="3124" t="n">
        <f aca="false">дома!G924*(IF('Ввод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489" customFormat="false" ht="15" hidden="false" customHeight="false" outlineLevel="0" collapsed="false">
      <c r="A489" s="3122" t="str">
        <f aca="false">дома!A925</f>
        <v>Стойка каркаса по фронтону, 2 этаж, двускатная кровля, №17</v>
      </c>
      <c r="B489" s="3123" t="str">
        <f aca="false">дома!B925</f>
        <v>м.п.</v>
      </c>
      <c r="C489" s="3124" t="n">
        <f aca="false">дома!C925</f>
        <v>0.4</v>
      </c>
      <c r="D489" s="3124" t="n">
        <f aca="false">дома!D925</f>
        <v>0.045</v>
      </c>
      <c r="E489" s="3124" t="n">
        <f aca="false">дома!E925</f>
        <v>0</v>
      </c>
      <c r="F489" s="3124" t="n">
        <f aca="false">дома!F925</f>
        <v>0</v>
      </c>
      <c r="G489" s="3124" t="n">
        <f aca="false">E489*F489*(IF('Ввод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489" s="3124" t="n">
        <f aca="false">дома!G925*(IF('Ввод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490" customFormat="false" ht="21" hidden="false" customHeight="false" outlineLevel="0" collapsed="false">
      <c r="A490" s="3119" t="s">
        <v>4279</v>
      </c>
      <c r="B490" s="3119"/>
      <c r="C490" s="3119"/>
      <c r="D490" s="3119"/>
      <c r="E490" s="3119"/>
      <c r="F490" s="3119"/>
      <c r="G490" s="3125" t="n">
        <f aca="false">E490*F490</f>
        <v>0</v>
      </c>
      <c r="H490" s="3125" t="n">
        <f aca="false">SUM(H491:H530)</f>
        <v>0</v>
      </c>
    </row>
    <row r="491" customFormat="false" ht="15" hidden="false" customHeight="false" outlineLevel="0" collapsed="false">
      <c r="A491" s="3122" t="str">
        <f aca="false">дома!A466</f>
        <v>Стойки каркаса передней стены 1 эт</v>
      </c>
      <c r="B491" s="3123" t="str">
        <f aca="false">дома!B466</f>
        <v>м.п.</v>
      </c>
      <c r="C491" s="3124" t="n">
        <f aca="false">дома!C466</f>
        <v>0.4</v>
      </c>
      <c r="D491" s="3124" t="n">
        <f aca="false">дома!D466</f>
        <v>0.045</v>
      </c>
      <c r="E491" s="3124" t="n">
        <f aca="false">дома!E466</f>
        <v>2.9</v>
      </c>
      <c r="F491" s="3124" t="n">
        <f aca="false">дома!F466</f>
        <v>0</v>
      </c>
      <c r="G491" s="3124" t="n">
        <f aca="false">E491*F491*IF('Ввод данных'!$A$19=связи1!$A$150,1,0)</f>
        <v>0</v>
      </c>
      <c r="H491" s="3124" t="n">
        <f aca="false">дома!G466*IF('Ввод данных'!$A$19=связи1!$A$150,1,0)</f>
        <v>0</v>
      </c>
    </row>
    <row r="492" customFormat="false" ht="15" hidden="false" customHeight="false" outlineLevel="0" collapsed="false">
      <c r="A492" s="3122" t="str">
        <f aca="false">дома!A467</f>
        <v>Стойки каркаса, левая сторона 1 эт</v>
      </c>
      <c r="B492" s="3123" t="str">
        <f aca="false">дома!B467</f>
        <v>м.п.</v>
      </c>
      <c r="C492" s="3124" t="n">
        <f aca="false">дома!C467</f>
        <v>0.4</v>
      </c>
      <c r="D492" s="3124" t="n">
        <f aca="false">дома!D467</f>
        <v>0.045</v>
      </c>
      <c r="E492" s="3124" t="n">
        <f aca="false">дома!E467</f>
        <v>2.9</v>
      </c>
      <c r="F492" s="3124" t="n">
        <f aca="false">дома!F467</f>
        <v>0</v>
      </c>
      <c r="G492" s="3124" t="n">
        <f aca="false">E492*F492*IF('Ввод данных'!$A$19=связи1!$A$150,1,0)</f>
        <v>0</v>
      </c>
      <c r="H492" s="3124" t="n">
        <f aca="false">дома!G467*IF('Ввод данных'!$A$19=связи1!$A$150,1,0)</f>
        <v>0</v>
      </c>
    </row>
    <row r="493" customFormat="false" ht="15" hidden="false" customHeight="false" outlineLevel="0" collapsed="false">
      <c r="A493" s="3122" t="str">
        <f aca="false">дома!A468</f>
        <v>Стойки каркаса, правая сторона, 1 эт</v>
      </c>
      <c r="B493" s="3123" t="str">
        <f aca="false">дома!B468</f>
        <v>м.п.</v>
      </c>
      <c r="C493" s="3124" t="n">
        <f aca="false">дома!C468</f>
        <v>0.4</v>
      </c>
      <c r="D493" s="3124" t="n">
        <f aca="false">дома!D468</f>
        <v>0.045</v>
      </c>
      <c r="E493" s="3124" t="n">
        <f aca="false">дома!E468</f>
        <v>2.9</v>
      </c>
      <c r="F493" s="3124" t="n">
        <f aca="false">дома!F468</f>
        <v>0</v>
      </c>
      <c r="G493" s="3124" t="n">
        <f aca="false">E493*F493*IF('Ввод данных'!$A$19=связи1!$A$150,1,0)</f>
        <v>0</v>
      </c>
      <c r="H493" s="3124" t="n">
        <f aca="false">дома!G468*IF('Ввод данных'!$A$19=связи1!$A$150,1,0)</f>
        <v>0</v>
      </c>
    </row>
    <row r="494" customFormat="false" ht="15" hidden="false" customHeight="false" outlineLevel="0" collapsed="false">
      <c r="A494" s="3122" t="str">
        <f aca="false">дома!A469</f>
        <v>Обвязка каркаса верхняя/нижняя наружние стены 1 эт</v>
      </c>
      <c r="B494" s="3123" t="str">
        <f aca="false">дома!B469</f>
        <v>м.п.</v>
      </c>
      <c r="C494" s="3124" t="n">
        <f aca="false">дома!C469</f>
        <v>0.4</v>
      </c>
      <c r="D494" s="3124" t="n">
        <f aca="false">дома!D469</f>
        <v>0.045</v>
      </c>
      <c r="E494" s="3124" t="n">
        <f aca="false">дома!E469</f>
        <v>0</v>
      </c>
      <c r="F494" s="3124" t="n">
        <f aca="false">дома!F469</f>
        <v>0</v>
      </c>
      <c r="G494" s="3124" t="n">
        <f aca="false">E494*F494*IF('Ввод данных'!$A$19=связи1!$A$150,1,0)</f>
        <v>0</v>
      </c>
      <c r="H494" s="3124" t="n">
        <f aca="false">дома!G469*IF('Ввод данных'!$A$19=связи1!$A$150,1,0)</f>
        <v>0</v>
      </c>
    </row>
    <row r="495" customFormat="false" ht="15" hidden="false" customHeight="false" outlineLevel="0" collapsed="false">
      <c r="A495" s="3122" t="str">
        <f aca="false">дома!A470</f>
        <v>Ригель каркаса наружние стены 1 эт</v>
      </c>
      <c r="B495" s="3123" t="str">
        <f aca="false">дома!B470</f>
        <v>м.п.</v>
      </c>
      <c r="C495" s="3124" t="n">
        <f aca="false">дома!C470</f>
        <v>0.4</v>
      </c>
      <c r="D495" s="3124" t="n">
        <f aca="false">дома!D470</f>
        <v>0.045</v>
      </c>
      <c r="E495" s="3124" t="n">
        <f aca="false">дома!E470</f>
        <v>0</v>
      </c>
      <c r="F495" s="3124" t="n">
        <f aca="false">дома!F470</f>
        <v>0</v>
      </c>
      <c r="G495" s="3124" t="n">
        <f aca="false">E495*F495*IF('Ввод данных'!$A$19=связи1!$A$150,1,0)</f>
        <v>0</v>
      </c>
      <c r="H495" s="3124" t="n">
        <f aca="false">дома!G470*IF('Ввод данных'!$A$19=связи1!$A$150,1,0)</f>
        <v>0</v>
      </c>
    </row>
    <row r="496" customFormat="false" ht="15" hidden="false" customHeight="false" outlineLevel="0" collapsed="false">
      <c r="A496" s="3122" t="str">
        <f aca="false">дома!A471</f>
        <v>Укосина наружних стен, усиление 1 этаж</v>
      </c>
      <c r="B496" s="3123" t="str">
        <f aca="false">дома!B471</f>
        <v>м.п.</v>
      </c>
      <c r="C496" s="3124" t="n">
        <f aca="false">дома!C471</f>
        <v>0.4</v>
      </c>
      <c r="D496" s="3124" t="n">
        <f aca="false">дома!D471</f>
        <v>0.045</v>
      </c>
      <c r="E496" s="3124" t="n">
        <f aca="false">дома!E471</f>
        <v>0</v>
      </c>
      <c r="F496" s="3124" t="n">
        <f aca="false">дома!F471</f>
        <v>8</v>
      </c>
      <c r="G496" s="3124" t="n">
        <f aca="false">E496*F496*IF('Ввод данных'!$A$19=связи1!$A$150,1,0)</f>
        <v>0</v>
      </c>
      <c r="H496" s="3124" t="n">
        <f aca="false">дома!G471*IF('Ввод данных'!$A$19=связи1!$A$150,1,0)</f>
        <v>0</v>
      </c>
    </row>
    <row r="497" customFormat="false" ht="15" hidden="false" customHeight="false" outlineLevel="0" collapsed="false">
      <c r="A497" s="3122" t="str">
        <f aca="false">дома!A472</f>
        <v>Стойка каркаса по фронтону, 1 этаж, односкатная кровля, №1</v>
      </c>
      <c r="B497" s="3123" t="str">
        <f aca="false">дома!B472</f>
        <v>м.п.</v>
      </c>
      <c r="C497" s="3124" t="n">
        <f aca="false">дома!C472</f>
        <v>0.4</v>
      </c>
      <c r="D497" s="3124" t="n">
        <f aca="false">дома!D472</f>
        <v>0.045</v>
      </c>
      <c r="E497" s="3124" t="n">
        <f aca="false">дома!E472</f>
        <v>0</v>
      </c>
      <c r="F497" s="3124" t="n">
        <f aca="false">дома!F472</f>
        <v>2</v>
      </c>
      <c r="G497" s="3124" t="n">
        <f aca="false">E497*F497*IF('Ввод данных'!$A$19=связи1!$A$150,1,0)</f>
        <v>0</v>
      </c>
      <c r="H497" s="3124" t="n">
        <f aca="false">дома!G472*IF('Ввод данных'!$A$19=связи1!$A$150,1,0)</f>
        <v>0</v>
      </c>
    </row>
    <row r="498" customFormat="false" ht="15" hidden="false" customHeight="false" outlineLevel="0" collapsed="false">
      <c r="A498" s="3122" t="str">
        <f aca="false">дома!A473</f>
        <v>Стойка каркаса по фронтону, 1 этаж, односкатная кровля, №2</v>
      </c>
      <c r="B498" s="3123" t="str">
        <f aca="false">дома!B473</f>
        <v>м.п.</v>
      </c>
      <c r="C498" s="3124" t="n">
        <f aca="false">дома!C473</f>
        <v>0.4</v>
      </c>
      <c r="D498" s="3124" t="n">
        <f aca="false">дома!D473</f>
        <v>0.045</v>
      </c>
      <c r="E498" s="3124" t="n">
        <f aca="false">дома!E473</f>
        <v>0</v>
      </c>
      <c r="F498" s="3124" t="n">
        <f aca="false">дома!F473</f>
        <v>2</v>
      </c>
      <c r="G498" s="3124" t="n">
        <f aca="false">E498*F498*IF('Ввод данных'!$A$19=связи1!$A$150,1,0)</f>
        <v>0</v>
      </c>
      <c r="H498" s="3124" t="n">
        <f aca="false">дома!G473*IF('Ввод данных'!$A$19=связи1!$A$150,1,0)</f>
        <v>0</v>
      </c>
    </row>
    <row r="499" customFormat="false" ht="15" hidden="false" customHeight="false" outlineLevel="0" collapsed="false">
      <c r="A499" s="3122" t="str">
        <f aca="false">дома!A474</f>
        <v>Стойка каркаса по фронтону, 1 этаж, односкатная кровля, №3</v>
      </c>
      <c r="B499" s="3123" t="str">
        <f aca="false">дома!B474</f>
        <v>м.п.</v>
      </c>
      <c r="C499" s="3124" t="n">
        <f aca="false">дома!C474</f>
        <v>0.4</v>
      </c>
      <c r="D499" s="3124" t="n">
        <f aca="false">дома!D474</f>
        <v>0.045</v>
      </c>
      <c r="E499" s="3124" t="n">
        <f aca="false">дома!E474</f>
        <v>0</v>
      </c>
      <c r="F499" s="3124" t="n">
        <f aca="false">дома!F474</f>
        <v>2</v>
      </c>
      <c r="G499" s="3124" t="n">
        <f aca="false">E499*F499*IF('Ввод данных'!$A$19=связи1!$A$150,1,0)</f>
        <v>0</v>
      </c>
      <c r="H499" s="3124" t="n">
        <f aca="false">дома!G474*IF('Ввод данных'!$A$19=связи1!$A$150,1,0)</f>
        <v>0</v>
      </c>
    </row>
    <row r="500" customFormat="false" ht="15" hidden="false" customHeight="false" outlineLevel="0" collapsed="false">
      <c r="A500" s="3122" t="str">
        <f aca="false">дома!A475</f>
        <v>Стойка каркаса по фронтону, 1 этаж, односкатная кровля, №4</v>
      </c>
      <c r="B500" s="3123" t="str">
        <f aca="false">дома!B475</f>
        <v>м.п.</v>
      </c>
      <c r="C500" s="3124" t="n">
        <f aca="false">дома!C475</f>
        <v>0.4</v>
      </c>
      <c r="D500" s="3124" t="n">
        <f aca="false">дома!D475</f>
        <v>0.045</v>
      </c>
      <c r="E500" s="3124" t="n">
        <f aca="false">дома!E475</f>
        <v>0</v>
      </c>
      <c r="F500" s="3124" t="n">
        <f aca="false">дома!F475</f>
        <v>2</v>
      </c>
      <c r="G500" s="3124" t="n">
        <f aca="false">E500*F500*IF('Ввод данных'!$A$19=связи1!$A$150,1,0)</f>
        <v>0</v>
      </c>
      <c r="H500" s="3124" t="n">
        <f aca="false">дома!G475*IF('Ввод данных'!$A$19=связи1!$A$150,1,0)</f>
        <v>0</v>
      </c>
    </row>
    <row r="501" customFormat="false" ht="15" hidden="false" customHeight="false" outlineLevel="0" collapsed="false">
      <c r="A501" s="3122" t="str">
        <f aca="false">дома!A476</f>
        <v>Стойка каркаса по фронтону, 1 этаж, односкатная кровля, №5</v>
      </c>
      <c r="B501" s="3123" t="str">
        <f aca="false">дома!B476</f>
        <v>м.п.</v>
      </c>
      <c r="C501" s="3124" t="n">
        <f aca="false">дома!C476</f>
        <v>0.4</v>
      </c>
      <c r="D501" s="3124" t="n">
        <f aca="false">дома!D476</f>
        <v>0.045</v>
      </c>
      <c r="E501" s="3124" t="n">
        <f aca="false">дома!E476</f>
        <v>0</v>
      </c>
      <c r="F501" s="3124" t="n">
        <f aca="false">дома!F476</f>
        <v>2</v>
      </c>
      <c r="G501" s="3124" t="n">
        <f aca="false">E501*F501*IF('Ввод данных'!$A$19=связи1!$A$150,1,0)</f>
        <v>0</v>
      </c>
      <c r="H501" s="3124" t="n">
        <f aca="false">дома!G476*IF('Ввод данных'!$A$19=связи1!$A$150,1,0)</f>
        <v>0</v>
      </c>
    </row>
    <row r="502" customFormat="false" ht="15" hidden="false" customHeight="false" outlineLevel="0" collapsed="false">
      <c r="A502" s="3122" t="str">
        <f aca="false">дома!A477</f>
        <v>Стойка каркаса по фронтону, 1 этаж, односкатная кровля, №6</v>
      </c>
      <c r="B502" s="3123" t="str">
        <f aca="false">дома!B477</f>
        <v>м.п.</v>
      </c>
      <c r="C502" s="3124" t="n">
        <f aca="false">дома!C477</f>
        <v>0.4</v>
      </c>
      <c r="D502" s="3124" t="n">
        <f aca="false">дома!D477</f>
        <v>0.045</v>
      </c>
      <c r="E502" s="3124" t="n">
        <f aca="false">дома!E477</f>
        <v>0</v>
      </c>
      <c r="F502" s="3124" t="n">
        <f aca="false">дома!F477</f>
        <v>2</v>
      </c>
      <c r="G502" s="3124" t="n">
        <f aca="false">E502*F502*IF('Ввод данных'!$A$19=связи1!$A$150,1,0)</f>
        <v>0</v>
      </c>
      <c r="H502" s="3124" t="n">
        <f aca="false">дома!G477*IF('Ввод данных'!$A$19=связи1!$A$150,1,0)</f>
        <v>0</v>
      </c>
    </row>
    <row r="503" customFormat="false" ht="15" hidden="false" customHeight="false" outlineLevel="0" collapsed="false">
      <c r="A503" s="3122" t="str">
        <f aca="false">дома!A478</f>
        <v>Стойка каркаса по фронтону, 1 этаж, односкатная кровля, №7</v>
      </c>
      <c r="B503" s="3123" t="str">
        <f aca="false">дома!B478</f>
        <v>м.п.</v>
      </c>
      <c r="C503" s="3124" t="n">
        <f aca="false">дома!C478</f>
        <v>0.4</v>
      </c>
      <c r="D503" s="3124" t="n">
        <f aca="false">дома!D478</f>
        <v>0.045</v>
      </c>
      <c r="E503" s="3124" t="n">
        <f aca="false">дома!E478</f>
        <v>0</v>
      </c>
      <c r="F503" s="3124" t="n">
        <f aca="false">дома!F478</f>
        <v>2</v>
      </c>
      <c r="G503" s="3124" t="n">
        <f aca="false">E503*F503*IF('Ввод данных'!$A$19=связи1!$A$150,1,0)</f>
        <v>0</v>
      </c>
      <c r="H503" s="3124" t="n">
        <f aca="false">дома!G478*IF('Ввод данных'!$A$19=связи1!$A$150,1,0)</f>
        <v>0</v>
      </c>
    </row>
    <row r="504" customFormat="false" ht="15" hidden="false" customHeight="false" outlineLevel="0" collapsed="false">
      <c r="A504" s="3122" t="str">
        <f aca="false">дома!A479</f>
        <v>Стойка каркаса по фронтону, 1 этаж, односкатная кровля, №8</v>
      </c>
      <c r="B504" s="3123" t="str">
        <f aca="false">дома!B479</f>
        <v>м.п.</v>
      </c>
      <c r="C504" s="3124" t="n">
        <f aca="false">дома!C479</f>
        <v>0.4</v>
      </c>
      <c r="D504" s="3124" t="n">
        <f aca="false">дома!D479</f>
        <v>0.045</v>
      </c>
      <c r="E504" s="3124" t="n">
        <f aca="false">дома!E479</f>
        <v>0</v>
      </c>
      <c r="F504" s="3124" t="n">
        <f aca="false">дома!F479</f>
        <v>2</v>
      </c>
      <c r="G504" s="3124" t="n">
        <f aca="false">E504*F504*IF('Ввод данных'!$A$19=связи1!$A$150,1,0)</f>
        <v>0</v>
      </c>
      <c r="H504" s="3124" t="n">
        <f aca="false">дома!G479*IF('Ввод данных'!$A$19=связи1!$A$150,1,0)</f>
        <v>0</v>
      </c>
    </row>
    <row r="505" customFormat="false" ht="15" hidden="false" customHeight="false" outlineLevel="0" collapsed="false">
      <c r="A505" s="3122" t="str">
        <f aca="false">дома!A480</f>
        <v>Стойка каркаса по фронтону, 1 этаж, односкатная кровля, №9</v>
      </c>
      <c r="B505" s="3123" t="str">
        <f aca="false">дома!B480</f>
        <v>м.п.</v>
      </c>
      <c r="C505" s="3124" t="n">
        <f aca="false">дома!C480</f>
        <v>0.4</v>
      </c>
      <c r="D505" s="3124" t="n">
        <f aca="false">дома!D480</f>
        <v>0.045</v>
      </c>
      <c r="E505" s="3124" t="n">
        <f aca="false">дома!E480</f>
        <v>0</v>
      </c>
      <c r="F505" s="3124" t="n">
        <f aca="false">дома!F480</f>
        <v>2</v>
      </c>
      <c r="G505" s="3124" t="n">
        <f aca="false">E505*F505*IF('Ввод данных'!$A$19=связи1!$A$150,1,0)</f>
        <v>0</v>
      </c>
      <c r="H505" s="3124" t="n">
        <f aca="false">дома!G480*IF('Ввод данных'!$A$19=связи1!$A$150,1,0)</f>
        <v>0</v>
      </c>
    </row>
    <row r="506" customFormat="false" ht="15" hidden="false" customHeight="false" outlineLevel="0" collapsed="false">
      <c r="A506" s="3122" t="str">
        <f aca="false">дома!A481</f>
        <v>Стойка каркаса по фронтону, 1 этаж, односкатная кровля, №10</v>
      </c>
      <c r="B506" s="3123" t="str">
        <f aca="false">дома!B481</f>
        <v>м.п.</v>
      </c>
      <c r="C506" s="3124" t="n">
        <f aca="false">дома!C481</f>
        <v>0.4</v>
      </c>
      <c r="D506" s="3124" t="n">
        <f aca="false">дома!D481</f>
        <v>0.045</v>
      </c>
      <c r="E506" s="3124" t="n">
        <f aca="false">дома!E481</f>
        <v>0</v>
      </c>
      <c r="F506" s="3124" t="n">
        <f aca="false">дома!F481</f>
        <v>2</v>
      </c>
      <c r="G506" s="3124" t="n">
        <f aca="false">E506*F506*IF('Ввод данных'!$A$19=связи1!$A$150,1,0)</f>
        <v>0</v>
      </c>
      <c r="H506" s="3124" t="n">
        <f aca="false">дома!G481*IF('Ввод данных'!$A$19=связи1!$A$150,1,0)</f>
        <v>0</v>
      </c>
    </row>
    <row r="507" customFormat="false" ht="15" hidden="false" customHeight="false" outlineLevel="0" collapsed="false">
      <c r="A507" s="3122" t="str">
        <f aca="false">дома!A482</f>
        <v>Стойка каркаса по фронтону, 1 этаж, односкатная кровля, №11</v>
      </c>
      <c r="B507" s="3123" t="str">
        <f aca="false">дома!B482</f>
        <v>м.п.</v>
      </c>
      <c r="C507" s="3124" t="n">
        <f aca="false">дома!C482</f>
        <v>0.4</v>
      </c>
      <c r="D507" s="3124" t="n">
        <f aca="false">дома!D482</f>
        <v>0.045</v>
      </c>
      <c r="E507" s="3124" t="n">
        <f aca="false">дома!E482</f>
        <v>0</v>
      </c>
      <c r="F507" s="3124" t="n">
        <f aca="false">дома!F482</f>
        <v>2</v>
      </c>
      <c r="G507" s="3124" t="n">
        <f aca="false">E507*F507*IF('Ввод данных'!$A$19=связи1!$A$150,1,0)</f>
        <v>0</v>
      </c>
      <c r="H507" s="3124" t="n">
        <f aca="false">дома!G482*IF('Ввод данных'!$A$19=связи1!$A$150,1,0)</f>
        <v>0</v>
      </c>
    </row>
    <row r="508" customFormat="false" ht="15" hidden="false" customHeight="false" outlineLevel="0" collapsed="false">
      <c r="A508" s="3122" t="str">
        <f aca="false">дома!A483</f>
        <v>Стойка каркаса по фронтону, 1 этаж, односкатная кровля, №12</v>
      </c>
      <c r="B508" s="3123" t="str">
        <f aca="false">дома!B483</f>
        <v>м.п.</v>
      </c>
      <c r="C508" s="3124" t="n">
        <f aca="false">дома!C483</f>
        <v>0.4</v>
      </c>
      <c r="D508" s="3124" t="n">
        <f aca="false">дома!D483</f>
        <v>0.045</v>
      </c>
      <c r="E508" s="3124" t="n">
        <f aca="false">дома!E483</f>
        <v>0</v>
      </c>
      <c r="F508" s="3124" t="n">
        <f aca="false">дома!F483</f>
        <v>2</v>
      </c>
      <c r="G508" s="3124" t="n">
        <f aca="false">E508*F508*IF('Ввод данных'!$A$19=связи1!$A$150,1,0)</f>
        <v>0</v>
      </c>
      <c r="H508" s="3124" t="n">
        <f aca="false">дома!G483*IF('Ввод данных'!$A$19=связи1!$A$150,1,0)</f>
        <v>0</v>
      </c>
    </row>
    <row r="509" customFormat="false" ht="15" hidden="false" customHeight="false" outlineLevel="0" collapsed="false">
      <c r="A509" s="3122" t="str">
        <f aca="false">дома!A484</f>
        <v>Стойка каркаса по фронтону, 1 этаж, односкатная кровля, №13</v>
      </c>
      <c r="B509" s="3123" t="str">
        <f aca="false">дома!B484</f>
        <v>м.п.</v>
      </c>
      <c r="C509" s="3124" t="n">
        <f aca="false">дома!C484</f>
        <v>0.4</v>
      </c>
      <c r="D509" s="3124" t="n">
        <f aca="false">дома!D484</f>
        <v>0.045</v>
      </c>
      <c r="E509" s="3124" t="n">
        <f aca="false">дома!E484</f>
        <v>0</v>
      </c>
      <c r="F509" s="3124" t="n">
        <f aca="false">дома!F484</f>
        <v>2</v>
      </c>
      <c r="G509" s="3124" t="n">
        <f aca="false">E509*F509*IF('Ввод данных'!$A$19=связи1!$A$150,1,0)</f>
        <v>0</v>
      </c>
      <c r="H509" s="3124" t="n">
        <f aca="false">дома!G484*IF('Ввод данных'!$A$19=связи1!$A$150,1,0)</f>
        <v>0</v>
      </c>
    </row>
    <row r="510" customFormat="false" ht="15" hidden="false" customHeight="false" outlineLevel="0" collapsed="false">
      <c r="A510" s="3122" t="str">
        <f aca="false">дома!A485</f>
        <v>Стойка каркаса по фронтону, 1 этаж, односкатная кровля, №14</v>
      </c>
      <c r="B510" s="3123" t="str">
        <f aca="false">дома!B485</f>
        <v>м.п.</v>
      </c>
      <c r="C510" s="3124" t="n">
        <f aca="false">дома!C485</f>
        <v>0.4</v>
      </c>
      <c r="D510" s="3124" t="n">
        <f aca="false">дома!D485</f>
        <v>0.045</v>
      </c>
      <c r="E510" s="3124" t="n">
        <f aca="false">дома!E485</f>
        <v>0</v>
      </c>
      <c r="F510" s="3124" t="n">
        <f aca="false">дома!F485</f>
        <v>2</v>
      </c>
      <c r="G510" s="3124" t="n">
        <f aca="false">E510*F510*IF('Ввод данных'!$A$19=связи1!$A$150,1,0)</f>
        <v>0</v>
      </c>
      <c r="H510" s="3124" t="n">
        <f aca="false">дома!G485*IF('Ввод данных'!$A$19=связи1!$A$150,1,0)</f>
        <v>0</v>
      </c>
    </row>
    <row r="511" customFormat="false" ht="15" hidden="false" customHeight="false" outlineLevel="0" collapsed="false">
      <c r="A511" s="3122" t="str">
        <f aca="false">дома!A486</f>
        <v>Стойка каркаса по фронтону, 1 этаж, односкатная кровля, №15</v>
      </c>
      <c r="B511" s="3123" t="str">
        <f aca="false">дома!B486</f>
        <v>м.п.</v>
      </c>
      <c r="C511" s="3124" t="n">
        <f aca="false">дома!C486</f>
        <v>0.4</v>
      </c>
      <c r="D511" s="3124" t="n">
        <f aca="false">дома!D486</f>
        <v>0.045</v>
      </c>
      <c r="E511" s="3124" t="n">
        <f aca="false">дома!E486</f>
        <v>0</v>
      </c>
      <c r="F511" s="3124" t="n">
        <f aca="false">дома!F486</f>
        <v>2</v>
      </c>
      <c r="G511" s="3124" t="n">
        <f aca="false">E511*F511*IF('Ввод данных'!$A$19=связи1!$A$150,1,0)</f>
        <v>0</v>
      </c>
      <c r="H511" s="3124" t="n">
        <f aca="false">дома!G486*IF('Ввод данных'!$A$19=связи1!$A$150,1,0)</f>
        <v>0</v>
      </c>
    </row>
    <row r="512" customFormat="false" ht="15" hidden="false" customHeight="false" outlineLevel="0" collapsed="false">
      <c r="A512" s="3122" t="str">
        <f aca="false">дома!A487</f>
        <v>Стойка каркаса по фронтону, 1 этаж, односкатная кровля, №16</v>
      </c>
      <c r="B512" s="3123" t="str">
        <f aca="false">дома!B487</f>
        <v>м.п.</v>
      </c>
      <c r="C512" s="3124" t="n">
        <f aca="false">дома!C487</f>
        <v>0.4</v>
      </c>
      <c r="D512" s="3124" t="n">
        <f aca="false">дома!D487</f>
        <v>0.045</v>
      </c>
      <c r="E512" s="3124" t="n">
        <f aca="false">дома!E487</f>
        <v>0</v>
      </c>
      <c r="F512" s="3124" t="n">
        <f aca="false">дома!F487</f>
        <v>2</v>
      </c>
      <c r="G512" s="3124" t="n">
        <f aca="false">E512*F512*IF('Ввод данных'!$A$19=связи1!$A$150,1,0)</f>
        <v>0</v>
      </c>
      <c r="H512" s="3124" t="n">
        <f aca="false">дома!G487*IF('Ввод данных'!$A$19=связи1!$A$150,1,0)</f>
        <v>0</v>
      </c>
    </row>
    <row r="513" customFormat="false" ht="15" hidden="false" customHeight="false" outlineLevel="0" collapsed="false">
      <c r="A513" s="3122" t="str">
        <f aca="false">дома!A488</f>
        <v>Стойка каркаса по фронтону, 1 этаж, односкатная кровля, №17</v>
      </c>
      <c r="B513" s="3123" t="str">
        <f aca="false">дома!B488</f>
        <v>м.п.</v>
      </c>
      <c r="C513" s="3124" t="n">
        <f aca="false">дома!C488</f>
        <v>0.4</v>
      </c>
      <c r="D513" s="3124" t="n">
        <f aca="false">дома!D488</f>
        <v>0.045</v>
      </c>
      <c r="E513" s="3124" t="n">
        <f aca="false">дома!E488</f>
        <v>0</v>
      </c>
      <c r="F513" s="3124" t="n">
        <f aca="false">дома!F488</f>
        <v>2</v>
      </c>
      <c r="G513" s="3124" t="n">
        <f aca="false">E513*F513*IF('Ввод данных'!$A$19=связи1!$A$150,1,0)</f>
        <v>0</v>
      </c>
      <c r="H513" s="3124" t="n">
        <f aca="false">дома!G488*IF('Ввод данных'!$A$19=связи1!$A$150,1,0)</f>
        <v>0</v>
      </c>
    </row>
    <row r="514" customFormat="false" ht="15" hidden="false" customHeight="false" outlineLevel="0" collapsed="false">
      <c r="A514" s="3122" t="str">
        <f aca="false">дома!A489</f>
        <v>Стойка каркаса по фронтону, 1 этаж, двускатная кровля, №1</v>
      </c>
      <c r="B514" s="3123" t="str">
        <f aca="false">дома!B489</f>
        <v>м.п.</v>
      </c>
      <c r="C514" s="3124" t="n">
        <f aca="false">дома!C489</f>
        <v>0.4</v>
      </c>
      <c r="D514" s="3124" t="n">
        <f aca="false">дома!D489</f>
        <v>0.045</v>
      </c>
      <c r="E514" s="3124" t="n">
        <f aca="false">дома!E489</f>
        <v>0</v>
      </c>
      <c r="F514" s="3124" t="n">
        <f aca="false">дома!F489</f>
        <v>2</v>
      </c>
      <c r="G514" s="3124" t="n">
        <f aca="false">E514*F514*IF('Ввод данных'!$A$19=связи1!$A$150,1,0)</f>
        <v>0</v>
      </c>
      <c r="H514" s="3124" t="n">
        <f aca="false">дома!G489*IF('Ввод данных'!$A$19=связи1!$A$150,1,0)</f>
        <v>0</v>
      </c>
    </row>
    <row r="515" customFormat="false" ht="15" hidden="false" customHeight="false" outlineLevel="0" collapsed="false">
      <c r="A515" s="3122" t="str">
        <f aca="false">дома!A490</f>
        <v>Стойка каркаса по фронтону, 1 этаж, двускатная кровля, №2</v>
      </c>
      <c r="B515" s="3123" t="str">
        <f aca="false">дома!B490</f>
        <v>м.п.</v>
      </c>
      <c r="C515" s="3124" t="n">
        <f aca="false">дома!C490</f>
        <v>0.4</v>
      </c>
      <c r="D515" s="3124" t="n">
        <f aca="false">дома!D490</f>
        <v>0.045</v>
      </c>
      <c r="E515" s="3124" t="n">
        <f aca="false">дома!E490</f>
        <v>0</v>
      </c>
      <c r="F515" s="3124" t="n">
        <f aca="false">дома!F490</f>
        <v>2</v>
      </c>
      <c r="G515" s="3124" t="n">
        <f aca="false">E515*F515*IF('Ввод данных'!$A$19=связи1!$A$150,1,0)</f>
        <v>0</v>
      </c>
      <c r="H515" s="3124" t="n">
        <f aca="false">дома!G490*IF('Ввод данных'!$A$19=связи1!$A$150,1,0)</f>
        <v>0</v>
      </c>
    </row>
    <row r="516" customFormat="false" ht="15" hidden="false" customHeight="false" outlineLevel="0" collapsed="false">
      <c r="A516" s="3122" t="str">
        <f aca="false">дома!A491</f>
        <v>Стойка каркаса по фронтону, 1 этаж, двускатная кровля, №3</v>
      </c>
      <c r="B516" s="3123" t="str">
        <f aca="false">дома!B491</f>
        <v>м.п.</v>
      </c>
      <c r="C516" s="3124" t="n">
        <f aca="false">дома!C491</f>
        <v>0.4</v>
      </c>
      <c r="D516" s="3124" t="n">
        <f aca="false">дома!D491</f>
        <v>0.045</v>
      </c>
      <c r="E516" s="3124" t="n">
        <f aca="false">дома!E491</f>
        <v>0</v>
      </c>
      <c r="F516" s="3124" t="n">
        <f aca="false">дома!F491</f>
        <v>2</v>
      </c>
      <c r="G516" s="3124" t="n">
        <f aca="false">E516*F516*IF('Ввод данных'!$A$19=связи1!$A$150,1,0)</f>
        <v>0</v>
      </c>
      <c r="H516" s="3124" t="n">
        <f aca="false">дома!G491*IF('Ввод данных'!$A$19=связи1!$A$150,1,0)</f>
        <v>0</v>
      </c>
    </row>
    <row r="517" customFormat="false" ht="15" hidden="false" customHeight="false" outlineLevel="0" collapsed="false">
      <c r="A517" s="3122" t="str">
        <f aca="false">дома!A492</f>
        <v>Стойка каркаса по фронтону, 1 этаж, двускатная кровля, №4</v>
      </c>
      <c r="B517" s="3123" t="str">
        <f aca="false">дома!B492</f>
        <v>м.п.</v>
      </c>
      <c r="C517" s="3124" t="n">
        <f aca="false">дома!C492</f>
        <v>0.4</v>
      </c>
      <c r="D517" s="3124" t="n">
        <f aca="false">дома!D492</f>
        <v>0.045</v>
      </c>
      <c r="E517" s="3124" t="n">
        <f aca="false">дома!E492</f>
        <v>0</v>
      </c>
      <c r="F517" s="3124" t="n">
        <f aca="false">дома!F492</f>
        <v>2</v>
      </c>
      <c r="G517" s="3124" t="n">
        <f aca="false">E517*F517*IF('Ввод данных'!$A$19=связи1!$A$150,1,0)</f>
        <v>0</v>
      </c>
      <c r="H517" s="3124" t="n">
        <f aca="false">дома!G492*IF('Ввод данных'!$A$19=связи1!$A$150,1,0)</f>
        <v>0</v>
      </c>
    </row>
    <row r="518" customFormat="false" ht="15" hidden="false" customHeight="false" outlineLevel="0" collapsed="false">
      <c r="A518" s="3122" t="str">
        <f aca="false">дома!A493</f>
        <v>Стойка каркаса по фронтону, 1 этаж, двускатная кровля, №5</v>
      </c>
      <c r="B518" s="3123" t="str">
        <f aca="false">дома!B493</f>
        <v>м.п.</v>
      </c>
      <c r="C518" s="3124" t="n">
        <f aca="false">дома!C493</f>
        <v>0.4</v>
      </c>
      <c r="D518" s="3124" t="n">
        <f aca="false">дома!D493</f>
        <v>0.045</v>
      </c>
      <c r="E518" s="3124" t="n">
        <f aca="false">дома!E493</f>
        <v>0</v>
      </c>
      <c r="F518" s="3124" t="n">
        <f aca="false">дома!F493</f>
        <v>2</v>
      </c>
      <c r="G518" s="3124" t="n">
        <f aca="false">E518*F518*IF('Ввод данных'!$A$19=связи1!$A$150,1,0)</f>
        <v>0</v>
      </c>
      <c r="H518" s="3124" t="n">
        <f aca="false">дома!G493*IF('Ввод данных'!$A$19=связи1!$A$150,1,0)</f>
        <v>0</v>
      </c>
    </row>
    <row r="519" customFormat="false" ht="15" hidden="false" customHeight="false" outlineLevel="0" collapsed="false">
      <c r="A519" s="3122" t="str">
        <f aca="false">дома!A494</f>
        <v>Стойка каркаса по фронтону, 1 этаж, двускатная кровля, №6</v>
      </c>
      <c r="B519" s="3123" t="str">
        <f aca="false">дома!B494</f>
        <v>м.п.</v>
      </c>
      <c r="C519" s="3124" t="n">
        <f aca="false">дома!C494</f>
        <v>0.4</v>
      </c>
      <c r="D519" s="3124" t="n">
        <f aca="false">дома!D494</f>
        <v>0.045</v>
      </c>
      <c r="E519" s="3124" t="n">
        <f aca="false">дома!E494</f>
        <v>0</v>
      </c>
      <c r="F519" s="3124" t="n">
        <f aca="false">дома!F494</f>
        <v>2</v>
      </c>
      <c r="G519" s="3124" t="n">
        <f aca="false">E519*F519*IF('Ввод данных'!$A$19=связи1!$A$150,1,0)</f>
        <v>0</v>
      </c>
      <c r="H519" s="3124" t="n">
        <f aca="false">дома!G494*IF('Ввод данных'!$A$19=связи1!$A$150,1,0)</f>
        <v>0</v>
      </c>
    </row>
    <row r="520" customFormat="false" ht="15" hidden="false" customHeight="false" outlineLevel="0" collapsed="false">
      <c r="A520" s="3122" t="str">
        <f aca="false">дома!A495</f>
        <v>Стойка каркаса по фронтону, 1 этаж, двускатная кровля, №7</v>
      </c>
      <c r="B520" s="3123" t="str">
        <f aca="false">дома!B495</f>
        <v>м.п.</v>
      </c>
      <c r="C520" s="3124" t="n">
        <f aca="false">дома!C495</f>
        <v>0.4</v>
      </c>
      <c r="D520" s="3124" t="n">
        <f aca="false">дома!D495</f>
        <v>0.045</v>
      </c>
      <c r="E520" s="3124" t="n">
        <f aca="false">дома!E495</f>
        <v>0</v>
      </c>
      <c r="F520" s="3124" t="n">
        <f aca="false">дома!F495</f>
        <v>2</v>
      </c>
      <c r="G520" s="3124" t="n">
        <f aca="false">E520*F520*IF('Ввод данных'!$A$19=связи1!$A$150,1,0)</f>
        <v>0</v>
      </c>
      <c r="H520" s="3124" t="n">
        <f aca="false">дома!G495*IF('Ввод данных'!$A$19=связи1!$A$150,1,0)</f>
        <v>0</v>
      </c>
    </row>
    <row r="521" customFormat="false" ht="15" hidden="false" customHeight="false" outlineLevel="0" collapsed="false">
      <c r="A521" s="3122" t="str">
        <f aca="false">дома!A496</f>
        <v>Стойка каркаса по фронтону, 1 этаж, двускатная кровля, №8</v>
      </c>
      <c r="B521" s="3123" t="str">
        <f aca="false">дома!B496</f>
        <v>м.п.</v>
      </c>
      <c r="C521" s="3124" t="n">
        <f aca="false">дома!C496</f>
        <v>0.4</v>
      </c>
      <c r="D521" s="3124" t="n">
        <f aca="false">дома!D496</f>
        <v>0.045</v>
      </c>
      <c r="E521" s="3124" t="n">
        <f aca="false">дома!E496</f>
        <v>0</v>
      </c>
      <c r="F521" s="3124" t="n">
        <f aca="false">дома!F496</f>
        <v>2</v>
      </c>
      <c r="G521" s="3124" t="n">
        <f aca="false">E521*F521*IF('Ввод данных'!$A$19=связи1!$A$150,1,0)</f>
        <v>0</v>
      </c>
      <c r="H521" s="3124" t="n">
        <f aca="false">дома!G496*IF('Ввод данных'!$A$19=связи1!$A$150,1,0)</f>
        <v>0</v>
      </c>
    </row>
    <row r="522" customFormat="false" ht="15" hidden="false" customHeight="false" outlineLevel="0" collapsed="false">
      <c r="A522" s="3122" t="str">
        <f aca="false">дома!A497</f>
        <v>Стойка каркаса по фронтону, 1 этаж, двускатная кровля, №9</v>
      </c>
      <c r="B522" s="3123" t="str">
        <f aca="false">дома!B497</f>
        <v>м.п.</v>
      </c>
      <c r="C522" s="3124" t="n">
        <f aca="false">дома!C497</f>
        <v>0.4</v>
      </c>
      <c r="D522" s="3124" t="n">
        <f aca="false">дома!D497</f>
        <v>0.045</v>
      </c>
      <c r="E522" s="3124" t="n">
        <f aca="false">дома!E497</f>
        <v>0</v>
      </c>
      <c r="F522" s="3124" t="n">
        <f aca="false">дома!F497</f>
        <v>2</v>
      </c>
      <c r="G522" s="3124" t="n">
        <f aca="false">E522*F522*IF('Ввод данных'!$A$19=связи1!$A$150,1,0)</f>
        <v>0</v>
      </c>
      <c r="H522" s="3124" t="n">
        <f aca="false">дома!G497*IF('Ввод данных'!$A$19=связи1!$A$150,1,0)</f>
        <v>0</v>
      </c>
    </row>
    <row r="523" customFormat="false" ht="15" hidden="false" customHeight="false" outlineLevel="0" collapsed="false">
      <c r="A523" s="3122" t="str">
        <f aca="false">дома!A498</f>
        <v>Стойка каркаса по фронтону, 1 этаж, двускатная кровля, №10</v>
      </c>
      <c r="B523" s="3123" t="str">
        <f aca="false">дома!B498</f>
        <v>м.п.</v>
      </c>
      <c r="C523" s="3124" t="n">
        <f aca="false">дома!C498</f>
        <v>0.4</v>
      </c>
      <c r="D523" s="3124" t="n">
        <f aca="false">дома!D498</f>
        <v>0.045</v>
      </c>
      <c r="E523" s="3124" t="n">
        <f aca="false">дома!E498</f>
        <v>0</v>
      </c>
      <c r="F523" s="3124" t="n">
        <f aca="false">дома!F498</f>
        <v>2</v>
      </c>
      <c r="G523" s="3124" t="n">
        <f aca="false">E523*F523*IF('Ввод данных'!$A$19=связи1!$A$150,1,0)</f>
        <v>0</v>
      </c>
      <c r="H523" s="3124" t="n">
        <f aca="false">дома!G498*IF('Ввод данных'!$A$19=связи1!$A$150,1,0)</f>
        <v>0</v>
      </c>
    </row>
    <row r="524" customFormat="false" ht="15" hidden="false" customHeight="false" outlineLevel="0" collapsed="false">
      <c r="A524" s="3122" t="str">
        <f aca="false">дома!A499</f>
        <v>Стойка каркаса по фронтону, 1 этаж, двускатная кровля, №11</v>
      </c>
      <c r="B524" s="3123" t="str">
        <f aca="false">дома!B499</f>
        <v>м.п.</v>
      </c>
      <c r="C524" s="3124" t="n">
        <f aca="false">дома!C499</f>
        <v>0.4</v>
      </c>
      <c r="D524" s="3124" t="n">
        <f aca="false">дома!D499</f>
        <v>0.045</v>
      </c>
      <c r="E524" s="3124" t="n">
        <f aca="false">дома!E499</f>
        <v>0</v>
      </c>
      <c r="F524" s="3124" t="n">
        <f aca="false">дома!F499</f>
        <v>2</v>
      </c>
      <c r="G524" s="3124" t="n">
        <f aca="false">E524*F524*IF('Ввод данных'!$A$19=связи1!$A$150,1,0)</f>
        <v>0</v>
      </c>
      <c r="H524" s="3124" t="n">
        <f aca="false">дома!G499*IF('Ввод данных'!$A$19=связи1!$A$150,1,0)</f>
        <v>0</v>
      </c>
    </row>
    <row r="525" customFormat="false" ht="15" hidden="false" customHeight="false" outlineLevel="0" collapsed="false">
      <c r="A525" s="3122" t="str">
        <f aca="false">дома!A500</f>
        <v>Стойка каркаса по фронтону, 1 этаж, двускатная кровля, №12</v>
      </c>
      <c r="B525" s="3123" t="str">
        <f aca="false">дома!B500</f>
        <v>м.п.</v>
      </c>
      <c r="C525" s="3124" t="n">
        <f aca="false">дома!C500</f>
        <v>0.4</v>
      </c>
      <c r="D525" s="3124" t="n">
        <f aca="false">дома!D500</f>
        <v>0.045</v>
      </c>
      <c r="E525" s="3124" t="n">
        <f aca="false">дома!E500</f>
        <v>0</v>
      </c>
      <c r="F525" s="3124" t="n">
        <f aca="false">дома!F500</f>
        <v>2</v>
      </c>
      <c r="G525" s="3124" t="n">
        <f aca="false">E525*F525*IF('Ввод данных'!$A$19=связи1!$A$150,1,0)</f>
        <v>0</v>
      </c>
      <c r="H525" s="3124" t="n">
        <f aca="false">дома!G500*IF('Ввод данных'!$A$19=связи1!$A$150,1,0)</f>
        <v>0</v>
      </c>
    </row>
    <row r="526" customFormat="false" ht="15" hidden="false" customHeight="false" outlineLevel="0" collapsed="false">
      <c r="A526" s="3122" t="str">
        <f aca="false">дома!A501</f>
        <v>Стойка каркаса по фронтону, 1 этаж, двускатная кровля, №13</v>
      </c>
      <c r="B526" s="3123" t="str">
        <f aca="false">дома!B501</f>
        <v>м.п.</v>
      </c>
      <c r="C526" s="3124" t="n">
        <f aca="false">дома!C501</f>
        <v>0.4</v>
      </c>
      <c r="D526" s="3124" t="n">
        <f aca="false">дома!D501</f>
        <v>0.045</v>
      </c>
      <c r="E526" s="3124" t="n">
        <f aca="false">дома!E501</f>
        <v>0</v>
      </c>
      <c r="F526" s="3124" t="n">
        <f aca="false">дома!F501</f>
        <v>2</v>
      </c>
      <c r="G526" s="3124" t="n">
        <f aca="false">E526*F526*IF('Ввод данных'!$A$19=связи1!$A$150,1,0)</f>
        <v>0</v>
      </c>
      <c r="H526" s="3124" t="n">
        <f aca="false">дома!G501*IF('Ввод данных'!$A$19=связи1!$A$150,1,0)</f>
        <v>0</v>
      </c>
    </row>
    <row r="527" customFormat="false" ht="15" hidden="false" customHeight="false" outlineLevel="0" collapsed="false">
      <c r="A527" s="3122" t="str">
        <f aca="false">дома!A502</f>
        <v>Стойка каркаса по фронтону, 1 этаж, двускатная кровля, №14</v>
      </c>
      <c r="B527" s="3123" t="str">
        <f aca="false">дома!B502</f>
        <v>м.п.</v>
      </c>
      <c r="C527" s="3124" t="n">
        <f aca="false">дома!C502</f>
        <v>0.4</v>
      </c>
      <c r="D527" s="3124" t="n">
        <f aca="false">дома!D502</f>
        <v>0.045</v>
      </c>
      <c r="E527" s="3124" t="n">
        <f aca="false">дома!E502</f>
        <v>0</v>
      </c>
      <c r="F527" s="3124" t="n">
        <f aca="false">дома!F502</f>
        <v>2</v>
      </c>
      <c r="G527" s="3124" t="n">
        <f aca="false">E527*F527*IF('Ввод данных'!$A$19=связи1!$A$150,1,0)</f>
        <v>0</v>
      </c>
      <c r="H527" s="3124" t="n">
        <f aca="false">дома!G502*IF('Ввод данных'!$A$19=связи1!$A$150,1,0)</f>
        <v>0</v>
      </c>
    </row>
    <row r="528" customFormat="false" ht="15" hidden="false" customHeight="false" outlineLevel="0" collapsed="false">
      <c r="A528" s="3122" t="str">
        <f aca="false">дома!A503</f>
        <v>Стойка каркаса по фронтону, 1 этаж, двускатная кровля, №15</v>
      </c>
      <c r="B528" s="3123" t="str">
        <f aca="false">дома!B503</f>
        <v>м.п.</v>
      </c>
      <c r="C528" s="3124" t="n">
        <f aca="false">дома!C503</f>
        <v>0.4</v>
      </c>
      <c r="D528" s="3124" t="n">
        <f aca="false">дома!D503</f>
        <v>0.045</v>
      </c>
      <c r="E528" s="3124" t="n">
        <f aca="false">дома!E503</f>
        <v>0</v>
      </c>
      <c r="F528" s="3124" t="n">
        <f aca="false">дома!F503</f>
        <v>2</v>
      </c>
      <c r="G528" s="3124" t="n">
        <f aca="false">E528*F528*IF('Ввод данных'!$A$19=связи1!$A$150,1,0)</f>
        <v>0</v>
      </c>
      <c r="H528" s="3124" t="n">
        <f aca="false">дома!G503*IF('Ввод данных'!$A$19=связи1!$A$150,1,0)</f>
        <v>0</v>
      </c>
    </row>
    <row r="529" customFormat="false" ht="15" hidden="false" customHeight="false" outlineLevel="0" collapsed="false">
      <c r="A529" s="3122" t="str">
        <f aca="false">дома!A504</f>
        <v>Стойка каркаса по фронтону, 1 этаж, двускатная кровля, №16</v>
      </c>
      <c r="B529" s="3123" t="str">
        <f aca="false">дома!B504</f>
        <v>м.п.</v>
      </c>
      <c r="C529" s="3124" t="n">
        <f aca="false">дома!C504</f>
        <v>0.4</v>
      </c>
      <c r="D529" s="3124" t="n">
        <f aca="false">дома!D504</f>
        <v>0.045</v>
      </c>
      <c r="E529" s="3124" t="n">
        <f aca="false">дома!E504</f>
        <v>0</v>
      </c>
      <c r="F529" s="3124" t="n">
        <f aca="false">дома!F504</f>
        <v>2</v>
      </c>
      <c r="G529" s="3124" t="n">
        <f aca="false">E529*F529*IF('Ввод данных'!$A$19=связи1!$A$150,1,0)</f>
        <v>0</v>
      </c>
      <c r="H529" s="3124" t="n">
        <f aca="false">дома!G504*IF('Ввод данных'!$A$19=связи1!$A$150,1,0)</f>
        <v>0</v>
      </c>
    </row>
    <row r="530" customFormat="false" ht="15" hidden="false" customHeight="false" outlineLevel="0" collapsed="false">
      <c r="A530" s="3122" t="str">
        <f aca="false">дома!A505</f>
        <v>Стойка каркаса по фронтону, 1 этаж, двускатная кровля, №17</v>
      </c>
      <c r="B530" s="3123" t="str">
        <f aca="false">дома!B505</f>
        <v>м.п.</v>
      </c>
      <c r="C530" s="3124" t="n">
        <f aca="false">дома!C505</f>
        <v>0.4</v>
      </c>
      <c r="D530" s="3124" t="n">
        <f aca="false">дома!D505</f>
        <v>0.045</v>
      </c>
      <c r="E530" s="3124" t="n">
        <f aca="false">дома!E505</f>
        <v>0</v>
      </c>
      <c r="F530" s="3124" t="n">
        <f aca="false">дома!F505</f>
        <v>2</v>
      </c>
      <c r="G530" s="3124" t="n">
        <f aca="false">E530*F530*IF('Ввод данных'!$A$19=связи1!$A$150,1,0)</f>
        <v>0</v>
      </c>
      <c r="H530" s="3124" t="n">
        <f aca="false">дома!G505*IF('Ввод данных'!$A$19=связи1!$A$150,1,0)</f>
        <v>0</v>
      </c>
    </row>
    <row r="531" customFormat="false" ht="21" hidden="false" customHeight="false" outlineLevel="0" collapsed="false">
      <c r="A531" s="3119" t="s">
        <v>4280</v>
      </c>
      <c r="B531" s="3119"/>
      <c r="C531" s="3119"/>
      <c r="D531" s="3119"/>
      <c r="E531" s="3119"/>
      <c r="F531" s="3119"/>
      <c r="G531" s="3125" t="n">
        <f aca="false">E531*F531</f>
        <v>0</v>
      </c>
      <c r="H531" s="3125" t="n">
        <f aca="false">SUM(H532:H571)</f>
        <v>0</v>
      </c>
    </row>
    <row r="532" customFormat="false" ht="15" hidden="false" customHeight="false" outlineLevel="0" collapsed="false">
      <c r="A532" s="3122" t="str">
        <f aca="false">дома!A928</f>
        <v>Стойки каркаса передняя стена, 2 эт</v>
      </c>
      <c r="B532" s="3123" t="str">
        <f aca="false">дома!B928</f>
        <v>м.п.</v>
      </c>
      <c r="C532" s="3124" t="n">
        <f aca="false">дома!C928</f>
        <v>0.4</v>
      </c>
      <c r="D532" s="3124" t="n">
        <f aca="false">дома!D928</f>
        <v>0.045</v>
      </c>
      <c r="E532" s="3124" t="n">
        <f aca="false">дома!E928</f>
        <v>2.2</v>
      </c>
      <c r="F532" s="3124" t="n">
        <f aca="false">дома!F928</f>
        <v>0</v>
      </c>
      <c r="G532" s="3124" t="n">
        <f aca="false">E532*F532*(IF('Ввод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532" s="3124" t="n">
        <f aca="false">дома!G928*(IF('Ввод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533" customFormat="false" ht="15" hidden="false" customHeight="false" outlineLevel="0" collapsed="false">
      <c r="A533" s="3122" t="str">
        <f aca="false">дома!A929</f>
        <v>Стойки каркаса , левая стена, 2 эт</v>
      </c>
      <c r="B533" s="3123" t="str">
        <f aca="false">дома!B929</f>
        <v>м.п.</v>
      </c>
      <c r="C533" s="3124" t="n">
        <f aca="false">дома!C929</f>
        <v>0.4</v>
      </c>
      <c r="D533" s="3124" t="n">
        <f aca="false">дома!D929</f>
        <v>0.045</v>
      </c>
      <c r="E533" s="3124" t="n">
        <f aca="false">дома!E929</f>
        <v>2.2</v>
      </c>
      <c r="F533" s="3124" t="n">
        <f aca="false">дома!F929</f>
        <v>0</v>
      </c>
      <c r="G533" s="3124" t="n">
        <f aca="false">E533*F533*(IF('Ввод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533" s="3124" t="n">
        <f aca="false">дома!G929*(IF('Ввод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534" customFormat="false" ht="15" hidden="false" customHeight="false" outlineLevel="0" collapsed="false">
      <c r="A534" s="3122" t="str">
        <f aca="false">дома!A930</f>
        <v>Стойки каркаса , правая стена, 2 эт</v>
      </c>
      <c r="B534" s="3123" t="str">
        <f aca="false">дома!B930</f>
        <v>м.п.</v>
      </c>
      <c r="C534" s="3124" t="n">
        <f aca="false">дома!C930</f>
        <v>0.4</v>
      </c>
      <c r="D534" s="3124" t="n">
        <f aca="false">дома!D930</f>
        <v>0.045</v>
      </c>
      <c r="E534" s="3124" t="n">
        <f aca="false">дома!E930</f>
        <v>2.2</v>
      </c>
      <c r="F534" s="3124" t="n">
        <f aca="false">дома!F930</f>
        <v>0</v>
      </c>
      <c r="G534" s="3124" t="n">
        <f aca="false">E534*F534*(IF('Ввод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534" s="3124" t="n">
        <f aca="false">дома!G930*(IF('Ввод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535" customFormat="false" ht="15" hidden="false" customHeight="false" outlineLevel="0" collapsed="false">
      <c r="A535" s="3122" t="str">
        <f aca="false">дома!A931</f>
        <v>Обвязка каркаса верхняя/нижняя наружние стены 2 эт</v>
      </c>
      <c r="B535" s="3123" t="str">
        <f aca="false">дома!B931</f>
        <v>м.п.</v>
      </c>
      <c r="C535" s="3124" t="n">
        <f aca="false">дома!C931</f>
        <v>0.4</v>
      </c>
      <c r="D535" s="3124" t="n">
        <f aca="false">дома!D931</f>
        <v>0.045</v>
      </c>
      <c r="E535" s="3124" t="n">
        <f aca="false">дома!E931</f>
        <v>1</v>
      </c>
      <c r="F535" s="3124" t="n">
        <f aca="false">дома!F931</f>
        <v>0</v>
      </c>
      <c r="G535" s="3124" t="n">
        <f aca="false">E535*F535*(IF('Ввод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535" s="3124" t="n">
        <f aca="false">дома!G931*(IF('Ввод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536" customFormat="false" ht="15" hidden="false" customHeight="false" outlineLevel="0" collapsed="false">
      <c r="A536" s="3122" t="str">
        <f aca="false">дома!A932</f>
        <v>Ригель каркаса наружние стены 2 эт</v>
      </c>
      <c r="B536" s="3123" t="str">
        <f aca="false">дома!B932</f>
        <v>м.п.</v>
      </c>
      <c r="C536" s="3124" t="n">
        <f aca="false">дома!C932</f>
        <v>0.4</v>
      </c>
      <c r="D536" s="3124" t="n">
        <f aca="false">дома!D932</f>
        <v>0.045</v>
      </c>
      <c r="E536" s="3124" t="n">
        <f aca="false">дома!E932</f>
        <v>1</v>
      </c>
      <c r="F536" s="3124" t="n">
        <f aca="false">дома!F932</f>
        <v>0</v>
      </c>
      <c r="G536" s="3124" t="n">
        <f aca="false">E536*F536*(IF('Ввод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536" s="3124" t="n">
        <f aca="false">дома!G932*(IF('Ввод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537" customFormat="false" ht="15" hidden="false" customHeight="false" outlineLevel="0" collapsed="false">
      <c r="A537" s="3122" t="str">
        <f aca="false">дома!A933</f>
        <v>Укосина наружних стен, усиление 2 этаж</v>
      </c>
      <c r="B537" s="3123" t="str">
        <f aca="false">дома!B933</f>
        <v>м.п.</v>
      </c>
      <c r="C537" s="3124" t="n">
        <f aca="false">дома!C933</f>
        <v>0.4</v>
      </c>
      <c r="D537" s="3124" t="n">
        <f aca="false">дома!D933</f>
        <v>0.045</v>
      </c>
      <c r="E537" s="3124" t="n">
        <f aca="false">дома!E933</f>
        <v>1.5</v>
      </c>
      <c r="F537" s="3124" t="n">
        <f aca="false">дома!F933</f>
        <v>0</v>
      </c>
      <c r="G537" s="3124" t="n">
        <f aca="false">E537*F537*(IF('Ввод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537" s="3124" t="n">
        <f aca="false">дома!G933*(IF('Ввод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538" customFormat="false" ht="15" hidden="false" customHeight="false" outlineLevel="0" collapsed="false">
      <c r="A538" s="3122" t="str">
        <f aca="false">дома!A934</f>
        <v>Стойка каркаса по фронтону, 2 этаж, односкатная кровля, №1</v>
      </c>
      <c r="B538" s="3123" t="str">
        <f aca="false">дома!B934</f>
        <v>м.п.</v>
      </c>
      <c r="C538" s="3124" t="n">
        <f aca="false">дома!C934</f>
        <v>0.4</v>
      </c>
      <c r="D538" s="3124" t="n">
        <f aca="false">дома!D934</f>
        <v>0.045</v>
      </c>
      <c r="E538" s="3124" t="n">
        <f aca="false">дома!E934</f>
        <v>0</v>
      </c>
      <c r="F538" s="3124" t="n">
        <f aca="false">дома!F934</f>
        <v>0</v>
      </c>
      <c r="G538" s="3124" t="n">
        <f aca="false">E538*F538*(IF('Ввод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538" s="3124" t="n">
        <f aca="false">дома!G934*(IF('Ввод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539" customFormat="false" ht="15" hidden="false" customHeight="false" outlineLevel="0" collapsed="false">
      <c r="A539" s="3122" t="str">
        <f aca="false">дома!A935</f>
        <v>Стойка каркаса по фронтону, 2 этаж, односкатная кровля, №2</v>
      </c>
      <c r="B539" s="3123" t="str">
        <f aca="false">дома!B935</f>
        <v>м.п.</v>
      </c>
      <c r="C539" s="3124" t="n">
        <f aca="false">дома!C935</f>
        <v>0.4</v>
      </c>
      <c r="D539" s="3124" t="n">
        <f aca="false">дома!D935</f>
        <v>0.045</v>
      </c>
      <c r="E539" s="3124" t="n">
        <f aca="false">дома!E935</f>
        <v>0</v>
      </c>
      <c r="F539" s="3124" t="n">
        <f aca="false">дома!F935</f>
        <v>0</v>
      </c>
      <c r="G539" s="3124" t="n">
        <f aca="false">E539*F539*(IF('Ввод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539" s="3124" t="n">
        <f aca="false">дома!G935*(IF('Ввод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540" customFormat="false" ht="15" hidden="false" customHeight="false" outlineLevel="0" collapsed="false">
      <c r="A540" s="3122" t="str">
        <f aca="false">дома!A936</f>
        <v>Стойка каркаса по фронтону, 2 этаж, односкатная кровля, №3</v>
      </c>
      <c r="B540" s="3123" t="str">
        <f aca="false">дома!B936</f>
        <v>м.п.</v>
      </c>
      <c r="C540" s="3124" t="n">
        <f aca="false">дома!C936</f>
        <v>0.4</v>
      </c>
      <c r="D540" s="3124" t="n">
        <f aca="false">дома!D936</f>
        <v>0.045</v>
      </c>
      <c r="E540" s="3124" t="n">
        <f aca="false">дома!E936</f>
        <v>0</v>
      </c>
      <c r="F540" s="3124" t="n">
        <f aca="false">дома!F936</f>
        <v>0</v>
      </c>
      <c r="G540" s="3124" t="n">
        <f aca="false">E540*F540*(IF('Ввод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540" s="3124" t="n">
        <f aca="false">дома!G936*(IF('Ввод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541" customFormat="false" ht="15" hidden="false" customHeight="false" outlineLevel="0" collapsed="false">
      <c r="A541" s="3122" t="str">
        <f aca="false">дома!A937</f>
        <v>Стойка каркаса по фронтону, 2 этаж, односкатная кровля, №4</v>
      </c>
      <c r="B541" s="3123" t="str">
        <f aca="false">дома!B937</f>
        <v>м.п.</v>
      </c>
      <c r="C541" s="3124" t="n">
        <f aca="false">дома!C937</f>
        <v>0.4</v>
      </c>
      <c r="D541" s="3124" t="n">
        <f aca="false">дома!D937</f>
        <v>0.045</v>
      </c>
      <c r="E541" s="3124" t="n">
        <f aca="false">дома!E937</f>
        <v>0</v>
      </c>
      <c r="F541" s="3124" t="n">
        <f aca="false">дома!F937</f>
        <v>0</v>
      </c>
      <c r="G541" s="3124" t="n">
        <f aca="false">E541*F541*(IF('Ввод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541" s="3124" t="n">
        <f aca="false">дома!G937*(IF('Ввод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542" customFormat="false" ht="15" hidden="false" customHeight="false" outlineLevel="0" collapsed="false">
      <c r="A542" s="3122" t="str">
        <f aca="false">дома!A938</f>
        <v>Стойка каркаса по фронтону, 2 этаж, односкатная кровля, №5</v>
      </c>
      <c r="B542" s="3123" t="str">
        <f aca="false">дома!B938</f>
        <v>м.п.</v>
      </c>
      <c r="C542" s="3124" t="n">
        <f aca="false">дома!C938</f>
        <v>0.4</v>
      </c>
      <c r="D542" s="3124" t="n">
        <f aca="false">дома!D938</f>
        <v>0.045</v>
      </c>
      <c r="E542" s="3124" t="n">
        <f aca="false">дома!E938</f>
        <v>0</v>
      </c>
      <c r="F542" s="3124" t="n">
        <f aca="false">дома!F938</f>
        <v>0</v>
      </c>
      <c r="G542" s="3124" t="n">
        <f aca="false">E542*F542*(IF('Ввод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542" s="3124" t="n">
        <f aca="false">дома!G938*(IF('Ввод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543" customFormat="false" ht="15" hidden="false" customHeight="false" outlineLevel="0" collapsed="false">
      <c r="A543" s="3122" t="str">
        <f aca="false">дома!A939</f>
        <v>Стойка каркаса по фронтону, 2 этаж, односкатная кровля, №6</v>
      </c>
      <c r="B543" s="3123" t="str">
        <f aca="false">дома!B939</f>
        <v>м.п.</v>
      </c>
      <c r="C543" s="3124" t="n">
        <f aca="false">дома!C939</f>
        <v>0.4</v>
      </c>
      <c r="D543" s="3124" t="n">
        <f aca="false">дома!D939</f>
        <v>0.045</v>
      </c>
      <c r="E543" s="3124" t="n">
        <f aca="false">дома!E939</f>
        <v>0</v>
      </c>
      <c r="F543" s="3124" t="n">
        <f aca="false">дома!F939</f>
        <v>0</v>
      </c>
      <c r="G543" s="3124" t="n">
        <f aca="false">E543*F543*(IF('Ввод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543" s="3124" t="n">
        <f aca="false">дома!G939*(IF('Ввод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544" customFormat="false" ht="15" hidden="false" customHeight="false" outlineLevel="0" collapsed="false">
      <c r="A544" s="3122" t="str">
        <f aca="false">дома!A940</f>
        <v>Стойка каркаса по фронтону, 2 этаж, односкатная кровля, №7</v>
      </c>
      <c r="B544" s="3123" t="str">
        <f aca="false">дома!B940</f>
        <v>м.п.</v>
      </c>
      <c r="C544" s="3124" t="n">
        <f aca="false">дома!C940</f>
        <v>0.4</v>
      </c>
      <c r="D544" s="3124" t="n">
        <f aca="false">дома!D940</f>
        <v>0.045</v>
      </c>
      <c r="E544" s="3124" t="n">
        <f aca="false">дома!E940</f>
        <v>0</v>
      </c>
      <c r="F544" s="3124" t="n">
        <f aca="false">дома!F940</f>
        <v>0</v>
      </c>
      <c r="G544" s="3124" t="n">
        <f aca="false">E544*F544*(IF('Ввод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544" s="3124" t="n">
        <f aca="false">дома!G940*(IF('Ввод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545" customFormat="false" ht="15" hidden="false" customHeight="false" outlineLevel="0" collapsed="false">
      <c r="A545" s="3122" t="str">
        <f aca="false">дома!A941</f>
        <v>Стойка каркаса по фронтону, 2 этаж, односкатная кровля, №8</v>
      </c>
      <c r="B545" s="3123" t="str">
        <f aca="false">дома!B941</f>
        <v>м.п.</v>
      </c>
      <c r="C545" s="3124" t="n">
        <f aca="false">дома!C941</f>
        <v>0.4</v>
      </c>
      <c r="D545" s="3124" t="n">
        <f aca="false">дома!D941</f>
        <v>0.045</v>
      </c>
      <c r="E545" s="3124" t="n">
        <f aca="false">дома!E941</f>
        <v>0</v>
      </c>
      <c r="F545" s="3124" t="n">
        <f aca="false">дома!F941</f>
        <v>0</v>
      </c>
      <c r="G545" s="3124" t="n">
        <f aca="false">E545*F545*(IF('Ввод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545" s="3124" t="n">
        <f aca="false">дома!G941*(IF('Ввод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546" customFormat="false" ht="15" hidden="false" customHeight="false" outlineLevel="0" collapsed="false">
      <c r="A546" s="3122" t="str">
        <f aca="false">дома!A942</f>
        <v>Стойка каркаса по фронтону, 2 этаж, односкатная кровля, №9</v>
      </c>
      <c r="B546" s="3123" t="str">
        <f aca="false">дома!B942</f>
        <v>м.п.</v>
      </c>
      <c r="C546" s="3124" t="n">
        <f aca="false">дома!C942</f>
        <v>0.4</v>
      </c>
      <c r="D546" s="3124" t="n">
        <f aca="false">дома!D942</f>
        <v>0.045</v>
      </c>
      <c r="E546" s="3124" t="n">
        <f aca="false">дома!E942</f>
        <v>0</v>
      </c>
      <c r="F546" s="3124" t="n">
        <f aca="false">дома!F942</f>
        <v>0</v>
      </c>
      <c r="G546" s="3124" t="n">
        <f aca="false">E546*F546*(IF('Ввод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546" s="3124" t="n">
        <f aca="false">дома!G942*(IF('Ввод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547" customFormat="false" ht="15" hidden="false" customHeight="false" outlineLevel="0" collapsed="false">
      <c r="A547" s="3122" t="str">
        <f aca="false">дома!A943</f>
        <v>Стойка каркаса по фронтону, 2 этаж, односкатная кровля, №10</v>
      </c>
      <c r="B547" s="3123" t="str">
        <f aca="false">дома!B943</f>
        <v>м.п.</v>
      </c>
      <c r="C547" s="3124" t="n">
        <f aca="false">дома!C943</f>
        <v>0.4</v>
      </c>
      <c r="D547" s="3124" t="n">
        <f aca="false">дома!D943</f>
        <v>0.045</v>
      </c>
      <c r="E547" s="3124" t="n">
        <f aca="false">дома!E943</f>
        <v>0</v>
      </c>
      <c r="F547" s="3124" t="n">
        <f aca="false">дома!F943</f>
        <v>0</v>
      </c>
      <c r="G547" s="3124" t="n">
        <f aca="false">E547*F547*(IF('Ввод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547" s="3124" t="n">
        <f aca="false">дома!G943*(IF('Ввод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548" customFormat="false" ht="15" hidden="false" customHeight="false" outlineLevel="0" collapsed="false">
      <c r="A548" s="3122" t="str">
        <f aca="false">дома!A944</f>
        <v>Стойка каркаса по фронтону, 2 этаж, односкатная кровля, №11</v>
      </c>
      <c r="B548" s="3123" t="str">
        <f aca="false">дома!B944</f>
        <v>м.п.</v>
      </c>
      <c r="C548" s="3124" t="n">
        <f aca="false">дома!C944</f>
        <v>0.4</v>
      </c>
      <c r="D548" s="3124" t="n">
        <f aca="false">дома!D944</f>
        <v>0.045</v>
      </c>
      <c r="E548" s="3124" t="n">
        <f aca="false">дома!E944</f>
        <v>0</v>
      </c>
      <c r="F548" s="3124" t="n">
        <f aca="false">дома!F944</f>
        <v>0</v>
      </c>
      <c r="G548" s="3124" t="n">
        <f aca="false">E548*F548*(IF('Ввод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548" s="3124" t="n">
        <f aca="false">дома!G944*(IF('Ввод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549" customFormat="false" ht="15" hidden="false" customHeight="false" outlineLevel="0" collapsed="false">
      <c r="A549" s="3122" t="str">
        <f aca="false">дома!A945</f>
        <v>Стойка каркаса по фронтону, 2 этаж, односкатная кровля, №12</v>
      </c>
      <c r="B549" s="3123" t="str">
        <f aca="false">дома!B945</f>
        <v>м.п.</v>
      </c>
      <c r="C549" s="3124" t="n">
        <f aca="false">дома!C945</f>
        <v>0.4</v>
      </c>
      <c r="D549" s="3124" t="n">
        <f aca="false">дома!D945</f>
        <v>0.045</v>
      </c>
      <c r="E549" s="3124" t="n">
        <f aca="false">дома!E945</f>
        <v>0</v>
      </c>
      <c r="F549" s="3124" t="n">
        <f aca="false">дома!F945</f>
        <v>0</v>
      </c>
      <c r="G549" s="3124" t="n">
        <f aca="false">E549*F549*(IF('Ввод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549" s="3124" t="n">
        <f aca="false">дома!G945*(IF('Ввод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550" customFormat="false" ht="15" hidden="false" customHeight="false" outlineLevel="0" collapsed="false">
      <c r="A550" s="3122" t="str">
        <f aca="false">дома!A946</f>
        <v>Стойка каркаса по фронтону, 2 этаж, односкатная кровля, №13</v>
      </c>
      <c r="B550" s="3123" t="str">
        <f aca="false">дома!B946</f>
        <v>м.п.</v>
      </c>
      <c r="C550" s="3124" t="n">
        <f aca="false">дома!C946</f>
        <v>0.4</v>
      </c>
      <c r="D550" s="3124" t="n">
        <f aca="false">дома!D946</f>
        <v>0.045</v>
      </c>
      <c r="E550" s="3124" t="n">
        <f aca="false">дома!E946</f>
        <v>0</v>
      </c>
      <c r="F550" s="3124" t="n">
        <f aca="false">дома!F946</f>
        <v>0</v>
      </c>
      <c r="G550" s="3124" t="n">
        <f aca="false">E550*F550*(IF('Ввод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550" s="3124" t="n">
        <f aca="false">дома!G946*(IF('Ввод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551" customFormat="false" ht="15" hidden="false" customHeight="false" outlineLevel="0" collapsed="false">
      <c r="A551" s="3122" t="str">
        <f aca="false">дома!A947</f>
        <v>Стойка каркаса по фронтону, 2 этаж, односкатная кровля, №14</v>
      </c>
      <c r="B551" s="3123" t="str">
        <f aca="false">дома!B947</f>
        <v>м.п.</v>
      </c>
      <c r="C551" s="3124" t="n">
        <f aca="false">дома!C947</f>
        <v>0.4</v>
      </c>
      <c r="D551" s="3124" t="n">
        <f aca="false">дома!D947</f>
        <v>0.045</v>
      </c>
      <c r="E551" s="3124" t="n">
        <f aca="false">дома!E947</f>
        <v>0</v>
      </c>
      <c r="F551" s="3124" t="n">
        <f aca="false">дома!F947</f>
        <v>0</v>
      </c>
      <c r="G551" s="3124" t="n">
        <f aca="false">E551*F551*(IF('Ввод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551" s="3124" t="n">
        <f aca="false">дома!G947*(IF('Ввод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552" customFormat="false" ht="15" hidden="false" customHeight="false" outlineLevel="0" collapsed="false">
      <c r="A552" s="3122" t="str">
        <f aca="false">дома!A948</f>
        <v>Стойка каркаса по фронтону, 2 этаж, односкатная кровля, №15</v>
      </c>
      <c r="B552" s="3123" t="str">
        <f aca="false">дома!B948</f>
        <v>м.п.</v>
      </c>
      <c r="C552" s="3124" t="n">
        <f aca="false">дома!C948</f>
        <v>0.4</v>
      </c>
      <c r="D552" s="3124" t="n">
        <f aca="false">дома!D948</f>
        <v>0.045</v>
      </c>
      <c r="E552" s="3124" t="n">
        <f aca="false">дома!E948</f>
        <v>0</v>
      </c>
      <c r="F552" s="3124" t="n">
        <f aca="false">дома!F948</f>
        <v>0</v>
      </c>
      <c r="G552" s="3124" t="n">
        <f aca="false">E552*F552*(IF('Ввод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552" s="3124" t="n">
        <f aca="false">дома!G948*(IF('Ввод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553" customFormat="false" ht="15" hidden="false" customHeight="false" outlineLevel="0" collapsed="false">
      <c r="A553" s="3122" t="str">
        <f aca="false">дома!A949</f>
        <v>Стойка каркаса по фронтону, 2 этаж, односкатная кровля, №16</v>
      </c>
      <c r="B553" s="3123" t="str">
        <f aca="false">дома!B949</f>
        <v>м.п.</v>
      </c>
      <c r="C553" s="3124" t="n">
        <f aca="false">дома!C949</f>
        <v>0.4</v>
      </c>
      <c r="D553" s="3124" t="n">
        <f aca="false">дома!D949</f>
        <v>0.045</v>
      </c>
      <c r="E553" s="3124" t="n">
        <f aca="false">дома!E949</f>
        <v>0</v>
      </c>
      <c r="F553" s="3124" t="n">
        <f aca="false">дома!F949</f>
        <v>0</v>
      </c>
      <c r="G553" s="3124" t="n">
        <f aca="false">E553*F553*(IF('Ввод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553" s="3124" t="n">
        <f aca="false">дома!G949*(IF('Ввод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554" customFormat="false" ht="15" hidden="false" customHeight="false" outlineLevel="0" collapsed="false">
      <c r="A554" s="3122" t="str">
        <f aca="false">дома!A950</f>
        <v>Стойка каркаса по фронтону, 2 этаж, односкатная кровля, №17</v>
      </c>
      <c r="B554" s="3123" t="str">
        <f aca="false">дома!B950</f>
        <v>м.п.</v>
      </c>
      <c r="C554" s="3124" t="n">
        <f aca="false">дома!C950</f>
        <v>0.4</v>
      </c>
      <c r="D554" s="3124" t="n">
        <f aca="false">дома!D950</f>
        <v>0.045</v>
      </c>
      <c r="E554" s="3124" t="n">
        <f aca="false">дома!E950</f>
        <v>0</v>
      </c>
      <c r="F554" s="3124" t="n">
        <f aca="false">дома!F950</f>
        <v>0</v>
      </c>
      <c r="G554" s="3124" t="n">
        <f aca="false">E554*F554*(IF('Ввод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554" s="3124" t="n">
        <f aca="false">дома!G950*(IF('Ввод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555" customFormat="false" ht="15" hidden="false" customHeight="false" outlineLevel="0" collapsed="false">
      <c r="A555" s="3122" t="str">
        <f aca="false">дома!A951</f>
        <v>Стойка каркаса по фронтону, 2 этаж, двускатная кровля, №1</v>
      </c>
      <c r="B555" s="3123" t="str">
        <f aca="false">дома!B951</f>
        <v>м.п.</v>
      </c>
      <c r="C555" s="3124" t="n">
        <f aca="false">дома!C951</f>
        <v>0.4</v>
      </c>
      <c r="D555" s="3124" t="n">
        <f aca="false">дома!D951</f>
        <v>0.045</v>
      </c>
      <c r="E555" s="3124" t="n">
        <f aca="false">дома!E951</f>
        <v>-1.2</v>
      </c>
      <c r="F555" s="3124" t="n">
        <f aca="false">дома!F951</f>
        <v>0</v>
      </c>
      <c r="G555" s="3124" t="n">
        <f aca="false">E555*F555*(IF('Ввод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555" s="3124" t="n">
        <f aca="false">дома!G951*(IF('Ввод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556" customFormat="false" ht="15" hidden="false" customHeight="false" outlineLevel="0" collapsed="false">
      <c r="A556" s="3122" t="str">
        <f aca="false">дома!A952</f>
        <v>Стойка каркаса по фронтону, 2 этаж, двускатная кровля, №2</v>
      </c>
      <c r="B556" s="3123" t="str">
        <f aca="false">дома!B952</f>
        <v>м.п.</v>
      </c>
      <c r="C556" s="3124" t="n">
        <f aca="false">дома!C952</f>
        <v>0.4</v>
      </c>
      <c r="D556" s="3124" t="n">
        <f aca="false">дома!D952</f>
        <v>0.045</v>
      </c>
      <c r="E556" s="3124" t="n">
        <f aca="false">дома!E952</f>
        <v>0</v>
      </c>
      <c r="F556" s="3124" t="n">
        <f aca="false">дома!F952</f>
        <v>0</v>
      </c>
      <c r="G556" s="3124" t="n">
        <f aca="false">E556*F556*(IF('Ввод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556" s="3124" t="n">
        <f aca="false">дома!G952*(IF('Ввод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557" customFormat="false" ht="15" hidden="false" customHeight="false" outlineLevel="0" collapsed="false">
      <c r="A557" s="3122" t="str">
        <f aca="false">дома!A953</f>
        <v>Стойка каркаса по фронтону, 2 этаж, двускатная кровля, №3</v>
      </c>
      <c r="B557" s="3123" t="str">
        <f aca="false">дома!B953</f>
        <v>м.п.</v>
      </c>
      <c r="C557" s="3124" t="n">
        <f aca="false">дома!C953</f>
        <v>0.4</v>
      </c>
      <c r="D557" s="3124" t="n">
        <f aca="false">дома!D953</f>
        <v>0.045</v>
      </c>
      <c r="E557" s="3124" t="n">
        <f aca="false">дома!E953</f>
        <v>0</v>
      </c>
      <c r="F557" s="3124" t="n">
        <f aca="false">дома!F953</f>
        <v>0</v>
      </c>
      <c r="G557" s="3124" t="n">
        <f aca="false">E557*F557*(IF('Ввод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557" s="3124" t="n">
        <f aca="false">дома!G953*(IF('Ввод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558" customFormat="false" ht="15" hidden="false" customHeight="false" outlineLevel="0" collapsed="false">
      <c r="A558" s="3122" t="str">
        <f aca="false">дома!A954</f>
        <v>Стойка каркаса по фронтону, 2 этаж, двускатная кровля, №4</v>
      </c>
      <c r="B558" s="3123" t="str">
        <f aca="false">дома!B954</f>
        <v>м.п.</v>
      </c>
      <c r="C558" s="3124" t="n">
        <f aca="false">дома!C954</f>
        <v>0.4</v>
      </c>
      <c r="D558" s="3124" t="n">
        <f aca="false">дома!D954</f>
        <v>0.045</v>
      </c>
      <c r="E558" s="3124" t="n">
        <f aca="false">дома!E954</f>
        <v>0</v>
      </c>
      <c r="F558" s="3124" t="n">
        <f aca="false">дома!F954</f>
        <v>0</v>
      </c>
      <c r="G558" s="3124" t="n">
        <f aca="false">E558*F558*(IF('Ввод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558" s="3124" t="n">
        <f aca="false">дома!G954*(IF('Ввод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559" customFormat="false" ht="15" hidden="false" customHeight="false" outlineLevel="0" collapsed="false">
      <c r="A559" s="3122" t="str">
        <f aca="false">дома!A955</f>
        <v>Стойка каркаса по фронтону, 2 этаж, двускатная кровля, №5</v>
      </c>
      <c r="B559" s="3123" t="str">
        <f aca="false">дома!B955</f>
        <v>м.п.</v>
      </c>
      <c r="C559" s="3124" t="n">
        <f aca="false">дома!C955</f>
        <v>0.4</v>
      </c>
      <c r="D559" s="3124" t="n">
        <f aca="false">дома!D955</f>
        <v>0.045</v>
      </c>
      <c r="E559" s="3124" t="n">
        <f aca="false">дома!E955</f>
        <v>0</v>
      </c>
      <c r="F559" s="3124" t="n">
        <f aca="false">дома!F955</f>
        <v>0</v>
      </c>
      <c r="G559" s="3124" t="n">
        <f aca="false">E559*F559*(IF('Ввод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559" s="3124" t="n">
        <f aca="false">дома!G955*(IF('Ввод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560" customFormat="false" ht="15" hidden="false" customHeight="false" outlineLevel="0" collapsed="false">
      <c r="A560" s="3122" t="str">
        <f aca="false">дома!A956</f>
        <v>Стойка каркаса по фронтону, 2 этаж, двускатная кровля, №6</v>
      </c>
      <c r="B560" s="3123" t="str">
        <f aca="false">дома!B956</f>
        <v>м.п.</v>
      </c>
      <c r="C560" s="3124" t="n">
        <f aca="false">дома!C956</f>
        <v>0.4</v>
      </c>
      <c r="D560" s="3124" t="n">
        <f aca="false">дома!D956</f>
        <v>0.045</v>
      </c>
      <c r="E560" s="3124" t="n">
        <f aca="false">дома!E956</f>
        <v>0</v>
      </c>
      <c r="F560" s="3124" t="n">
        <f aca="false">дома!F956</f>
        <v>0</v>
      </c>
      <c r="G560" s="3124" t="n">
        <f aca="false">E560*F560*(IF('Ввод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560" s="3124" t="n">
        <f aca="false">дома!G956*(IF('Ввод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561" customFormat="false" ht="15" hidden="false" customHeight="false" outlineLevel="0" collapsed="false">
      <c r="A561" s="3122" t="str">
        <f aca="false">дома!A957</f>
        <v>Стойка каркаса по фронтону, 2 этаж, двускатная кровля, №7</v>
      </c>
      <c r="B561" s="3123" t="str">
        <f aca="false">дома!B957</f>
        <v>м.п.</v>
      </c>
      <c r="C561" s="3124" t="n">
        <f aca="false">дома!C957</f>
        <v>0.4</v>
      </c>
      <c r="D561" s="3124" t="n">
        <f aca="false">дома!D957</f>
        <v>0.045</v>
      </c>
      <c r="E561" s="3124" t="n">
        <f aca="false">дома!E957</f>
        <v>0</v>
      </c>
      <c r="F561" s="3124" t="n">
        <f aca="false">дома!F957</f>
        <v>0</v>
      </c>
      <c r="G561" s="3124" t="n">
        <f aca="false">E561*F561*(IF('Ввод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561" s="3124" t="n">
        <f aca="false">дома!G957*(IF('Ввод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562" customFormat="false" ht="15" hidden="false" customHeight="false" outlineLevel="0" collapsed="false">
      <c r="A562" s="3122" t="str">
        <f aca="false">дома!A958</f>
        <v>Стойка каркаса по фронтону, 2 этаж, двускатная кровля, №8</v>
      </c>
      <c r="B562" s="3123" t="str">
        <f aca="false">дома!B958</f>
        <v>м.п.</v>
      </c>
      <c r="C562" s="3124" t="n">
        <f aca="false">дома!C958</f>
        <v>0.4</v>
      </c>
      <c r="D562" s="3124" t="n">
        <f aca="false">дома!D958</f>
        <v>0.045</v>
      </c>
      <c r="E562" s="3124" t="n">
        <f aca="false">дома!E958</f>
        <v>0</v>
      </c>
      <c r="F562" s="3124" t="n">
        <f aca="false">дома!F958</f>
        <v>0</v>
      </c>
      <c r="G562" s="3124" t="n">
        <f aca="false">E562*F562*(IF('Ввод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562" s="3124" t="n">
        <f aca="false">дома!G958*(IF('Ввод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563" customFormat="false" ht="15" hidden="false" customHeight="false" outlineLevel="0" collapsed="false">
      <c r="A563" s="3122" t="str">
        <f aca="false">дома!A959</f>
        <v>Стойка каркаса по фронтону, 2 этаж, двускатная кровля, №9</v>
      </c>
      <c r="B563" s="3123" t="str">
        <f aca="false">дома!B959</f>
        <v>м.п.</v>
      </c>
      <c r="C563" s="3124" t="n">
        <f aca="false">дома!C959</f>
        <v>0.4</v>
      </c>
      <c r="D563" s="3124" t="n">
        <f aca="false">дома!D959</f>
        <v>0.045</v>
      </c>
      <c r="E563" s="3124" t="n">
        <f aca="false">дома!E959</f>
        <v>0</v>
      </c>
      <c r="F563" s="3124" t="n">
        <f aca="false">дома!F959</f>
        <v>0</v>
      </c>
      <c r="G563" s="3124" t="n">
        <f aca="false">E563*F563*(IF('Ввод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563" s="3124" t="n">
        <f aca="false">дома!G959*(IF('Ввод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564" customFormat="false" ht="15" hidden="false" customHeight="false" outlineLevel="0" collapsed="false">
      <c r="A564" s="3122" t="str">
        <f aca="false">дома!A960</f>
        <v>Стойка каркаса по фронтону, 2 этаж, двускатная кровля, №10</v>
      </c>
      <c r="B564" s="3123" t="str">
        <f aca="false">дома!B960</f>
        <v>м.п.</v>
      </c>
      <c r="C564" s="3124" t="n">
        <f aca="false">дома!C960</f>
        <v>0.4</v>
      </c>
      <c r="D564" s="3124" t="n">
        <f aca="false">дома!D960</f>
        <v>0.045</v>
      </c>
      <c r="E564" s="3124" t="n">
        <f aca="false">дома!E960</f>
        <v>0</v>
      </c>
      <c r="F564" s="3124" t="n">
        <f aca="false">дома!F960</f>
        <v>0</v>
      </c>
      <c r="G564" s="3124" t="n">
        <f aca="false">E564*F564*(IF('Ввод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564" s="3124" t="n">
        <f aca="false">дома!G960*(IF('Ввод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565" customFormat="false" ht="15" hidden="false" customHeight="false" outlineLevel="0" collapsed="false">
      <c r="A565" s="3122" t="str">
        <f aca="false">дома!A961</f>
        <v>Стойка каркаса по фронтону, 2 этаж, двускатная кровля, №11</v>
      </c>
      <c r="B565" s="3123" t="str">
        <f aca="false">дома!B961</f>
        <v>м.п.</v>
      </c>
      <c r="C565" s="3124" t="n">
        <f aca="false">дома!C961</f>
        <v>0.4</v>
      </c>
      <c r="D565" s="3124" t="n">
        <f aca="false">дома!D961</f>
        <v>0.045</v>
      </c>
      <c r="E565" s="3124" t="n">
        <f aca="false">дома!E961</f>
        <v>0</v>
      </c>
      <c r="F565" s="3124" t="n">
        <f aca="false">дома!F961</f>
        <v>0</v>
      </c>
      <c r="G565" s="3124" t="n">
        <f aca="false">E565*F565*(IF('Ввод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565" s="3124" t="n">
        <f aca="false">дома!G961*(IF('Ввод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566" customFormat="false" ht="15" hidden="false" customHeight="false" outlineLevel="0" collapsed="false">
      <c r="A566" s="3122" t="str">
        <f aca="false">дома!A962</f>
        <v>Стойка каркаса по фронтону, 2 этаж, двускатная кровля, №12</v>
      </c>
      <c r="B566" s="3123" t="str">
        <f aca="false">дома!B962</f>
        <v>м.п.</v>
      </c>
      <c r="C566" s="3124" t="n">
        <f aca="false">дома!C962</f>
        <v>0.4</v>
      </c>
      <c r="D566" s="3124" t="n">
        <f aca="false">дома!D962</f>
        <v>0.045</v>
      </c>
      <c r="E566" s="3124" t="n">
        <f aca="false">дома!E962</f>
        <v>0</v>
      </c>
      <c r="F566" s="3124" t="n">
        <f aca="false">дома!F962</f>
        <v>0</v>
      </c>
      <c r="G566" s="3124" t="n">
        <f aca="false">E566*F566*(IF('Ввод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566" s="3124" t="n">
        <f aca="false">дома!G962*(IF('Ввод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567" customFormat="false" ht="15" hidden="false" customHeight="false" outlineLevel="0" collapsed="false">
      <c r="A567" s="3122" t="str">
        <f aca="false">дома!A963</f>
        <v>Стойка каркаса по фронтону, 2 этаж, двускатная кровля, №13</v>
      </c>
      <c r="B567" s="3123" t="str">
        <f aca="false">дома!B963</f>
        <v>м.п.</v>
      </c>
      <c r="C567" s="3124" t="n">
        <f aca="false">дома!C963</f>
        <v>0.4</v>
      </c>
      <c r="D567" s="3124" t="n">
        <f aca="false">дома!D963</f>
        <v>0.045</v>
      </c>
      <c r="E567" s="3124" t="n">
        <f aca="false">дома!E963</f>
        <v>0</v>
      </c>
      <c r="F567" s="3124" t="n">
        <f aca="false">дома!F963</f>
        <v>0</v>
      </c>
      <c r="G567" s="3124" t="n">
        <f aca="false">E567*F567*(IF('Ввод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567" s="3124" t="n">
        <f aca="false">дома!G963*(IF('Ввод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568" customFormat="false" ht="15" hidden="false" customHeight="false" outlineLevel="0" collapsed="false">
      <c r="A568" s="3122" t="str">
        <f aca="false">дома!A964</f>
        <v>Стойка каркаса по фронтону, 2 этаж, двускатная кровля, №14</v>
      </c>
      <c r="B568" s="3123" t="str">
        <f aca="false">дома!B964</f>
        <v>м.п.</v>
      </c>
      <c r="C568" s="3124" t="n">
        <f aca="false">дома!C964</f>
        <v>0.4</v>
      </c>
      <c r="D568" s="3124" t="n">
        <f aca="false">дома!D964</f>
        <v>0.045</v>
      </c>
      <c r="E568" s="3124" t="n">
        <f aca="false">дома!E964</f>
        <v>0</v>
      </c>
      <c r="F568" s="3124" t="n">
        <f aca="false">дома!F964</f>
        <v>0</v>
      </c>
      <c r="G568" s="3124" t="n">
        <f aca="false">E568*F568*(IF('Ввод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568" s="3124" t="n">
        <f aca="false">дома!G964*(IF('Ввод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569" customFormat="false" ht="15" hidden="false" customHeight="false" outlineLevel="0" collapsed="false">
      <c r="A569" s="3122" t="str">
        <f aca="false">дома!A965</f>
        <v>Стойка каркаса по фронтону, 2 этаж, двускатная кровля, №15</v>
      </c>
      <c r="B569" s="3123" t="str">
        <f aca="false">дома!B965</f>
        <v>м.п.</v>
      </c>
      <c r="C569" s="3124" t="n">
        <f aca="false">дома!C965</f>
        <v>0.4</v>
      </c>
      <c r="D569" s="3124" t="n">
        <f aca="false">дома!D965</f>
        <v>0.045</v>
      </c>
      <c r="E569" s="3124" t="n">
        <f aca="false">дома!E965</f>
        <v>0</v>
      </c>
      <c r="F569" s="3124" t="n">
        <f aca="false">дома!F965</f>
        <v>0</v>
      </c>
      <c r="G569" s="3124" t="n">
        <f aca="false">E569*F569*(IF('Ввод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569" s="3124" t="n">
        <f aca="false">дома!G965*(IF('Ввод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570" customFormat="false" ht="15" hidden="false" customHeight="false" outlineLevel="0" collapsed="false">
      <c r="A570" s="3122" t="str">
        <f aca="false">дома!A966</f>
        <v>Стойка каркаса по фронтону, 2 этаж, двускатная кровля, №16</v>
      </c>
      <c r="B570" s="3123" t="str">
        <f aca="false">дома!B966</f>
        <v>м.п.</v>
      </c>
      <c r="C570" s="3124" t="n">
        <f aca="false">дома!C966</f>
        <v>0.4</v>
      </c>
      <c r="D570" s="3124" t="n">
        <f aca="false">дома!D966</f>
        <v>0.045</v>
      </c>
      <c r="E570" s="3124" t="n">
        <f aca="false">дома!E966</f>
        <v>0</v>
      </c>
      <c r="F570" s="3124" t="n">
        <f aca="false">дома!F966</f>
        <v>0</v>
      </c>
      <c r="G570" s="3124" t="n">
        <f aca="false">E570*F570*(IF('Ввод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570" s="3124" t="n">
        <f aca="false">дома!G966*(IF('Ввод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571" customFormat="false" ht="15" hidden="false" customHeight="false" outlineLevel="0" collapsed="false">
      <c r="A571" s="3122" t="str">
        <f aca="false">дома!A967</f>
        <v>Стойка каркаса по фронтону, 2 этаж, двускатная кровля, №17</v>
      </c>
      <c r="B571" s="3123" t="str">
        <f aca="false">дома!B967</f>
        <v>м.п.</v>
      </c>
      <c r="C571" s="3124" t="n">
        <f aca="false">дома!C967</f>
        <v>0.4</v>
      </c>
      <c r="D571" s="3124" t="n">
        <f aca="false">дома!D967</f>
        <v>0.045</v>
      </c>
      <c r="E571" s="3124" t="n">
        <f aca="false">дома!E967</f>
        <v>0</v>
      </c>
      <c r="F571" s="3124" t="n">
        <f aca="false">дома!F967</f>
        <v>0</v>
      </c>
      <c r="G571" s="3124" t="n">
        <f aca="false">E571*F571*(IF('Ввод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571" s="3124" t="n">
        <f aca="false">дома!G967*(IF('Ввод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572" customFormat="false" ht="21" hidden="false" customHeight="false" outlineLevel="0" collapsed="false">
      <c r="A572" s="3119" t="s">
        <v>4281</v>
      </c>
      <c r="B572" s="3119"/>
      <c r="C572" s="3119"/>
      <c r="D572" s="3119"/>
      <c r="E572" s="3119"/>
      <c r="F572" s="3119"/>
      <c r="G572" s="3125" t="n">
        <f aca="false">E572*F572</f>
        <v>0</v>
      </c>
      <c r="H572" s="3125" t="n">
        <f aca="false">SUM(H573:H612)</f>
        <v>0</v>
      </c>
    </row>
    <row r="573" customFormat="false" ht="15" hidden="false" customHeight="false" outlineLevel="0" collapsed="false">
      <c r="A573" s="3122" t="str">
        <f aca="false">дома!A508</f>
        <v>Стойки каркаса передней стены 1 эт</v>
      </c>
      <c r="B573" s="3123" t="str">
        <f aca="false">дома!B508</f>
        <v>м.п.</v>
      </c>
      <c r="C573" s="3124" t="n">
        <f aca="false">дома!C508</f>
        <v>0.4</v>
      </c>
      <c r="D573" s="3124" t="n">
        <f aca="false">дома!D508</f>
        <v>0.045</v>
      </c>
      <c r="E573" s="3124" t="n">
        <f aca="false">дома!E508</f>
        <v>2.9</v>
      </c>
      <c r="F573" s="3124" t="n">
        <f aca="false">дома!F508</f>
        <v>0</v>
      </c>
      <c r="G573" s="3124" t="n">
        <f aca="false">E573*F573*IF('Ввод данных'!$A$19=связи1!$A$150,1,0)</f>
        <v>0</v>
      </c>
      <c r="H573" s="3124" t="n">
        <f aca="false">дома!G508*IF('Ввод данных'!$A$19=связи1!$A$150,1,0)</f>
        <v>0</v>
      </c>
    </row>
    <row r="574" customFormat="false" ht="15" hidden="false" customHeight="false" outlineLevel="0" collapsed="false">
      <c r="A574" s="3122" t="str">
        <f aca="false">дома!A509</f>
        <v>Стойки каркаса, левая сторона 1 эт</v>
      </c>
      <c r="B574" s="3123" t="str">
        <f aca="false">дома!B509</f>
        <v>м.п.</v>
      </c>
      <c r="C574" s="3124" t="n">
        <f aca="false">дома!C509</f>
        <v>0.4</v>
      </c>
      <c r="D574" s="3124" t="n">
        <f aca="false">дома!D509</f>
        <v>0.045</v>
      </c>
      <c r="E574" s="3124" t="n">
        <f aca="false">дома!E509</f>
        <v>2.9</v>
      </c>
      <c r="F574" s="3124" t="n">
        <f aca="false">дома!F509</f>
        <v>0</v>
      </c>
      <c r="G574" s="3124" t="n">
        <f aca="false">E574*F574*IF('Ввод данных'!$A$19=связи1!$A$150,1,0)</f>
        <v>0</v>
      </c>
      <c r="H574" s="3124" t="n">
        <f aca="false">дома!G509*IF('Ввод данных'!$A$19=связи1!$A$150,1,0)</f>
        <v>0</v>
      </c>
    </row>
    <row r="575" customFormat="false" ht="15" hidden="false" customHeight="false" outlineLevel="0" collapsed="false">
      <c r="A575" s="3122" t="str">
        <f aca="false">дома!A510</f>
        <v>Стойки каркаса, правая сторона, 1 эт</v>
      </c>
      <c r="B575" s="3123" t="str">
        <f aca="false">дома!B510</f>
        <v>м.п.</v>
      </c>
      <c r="C575" s="3124" t="n">
        <f aca="false">дома!C510</f>
        <v>0.4</v>
      </c>
      <c r="D575" s="3124" t="n">
        <f aca="false">дома!D510</f>
        <v>0.045</v>
      </c>
      <c r="E575" s="3124" t="n">
        <f aca="false">дома!E510</f>
        <v>2.9</v>
      </c>
      <c r="F575" s="3124" t="n">
        <f aca="false">дома!F510</f>
        <v>0</v>
      </c>
      <c r="G575" s="3124" t="n">
        <f aca="false">E575*F575*IF('Ввод данных'!$A$19=связи1!$A$150,1,0)</f>
        <v>0</v>
      </c>
      <c r="H575" s="3124" t="n">
        <f aca="false">дома!G510*IF('Ввод данных'!$A$19=связи1!$A$150,1,0)</f>
        <v>0</v>
      </c>
    </row>
    <row r="576" customFormat="false" ht="15" hidden="false" customHeight="false" outlineLevel="0" collapsed="false">
      <c r="A576" s="3122" t="str">
        <f aca="false">дома!A511</f>
        <v>Обвязка каркаса верхняя/нижняя наружние стены 1 эт</v>
      </c>
      <c r="B576" s="3123" t="str">
        <f aca="false">дома!B511</f>
        <v>м.п.</v>
      </c>
      <c r="C576" s="3124" t="n">
        <f aca="false">дома!C511</f>
        <v>0.4</v>
      </c>
      <c r="D576" s="3124" t="n">
        <f aca="false">дома!D511</f>
        <v>0.045</v>
      </c>
      <c r="E576" s="3124" t="n">
        <f aca="false">дома!E511</f>
        <v>0</v>
      </c>
      <c r="F576" s="3124" t="n">
        <f aca="false">дома!F511</f>
        <v>0</v>
      </c>
      <c r="G576" s="3124" t="n">
        <f aca="false">E576*F576*IF('Ввод данных'!$A$19=связи1!$A$150,1,0)</f>
        <v>0</v>
      </c>
      <c r="H576" s="3124" t="n">
        <f aca="false">дома!G511*IF('Ввод данных'!$A$19=связи1!$A$150,1,0)</f>
        <v>0</v>
      </c>
    </row>
    <row r="577" customFormat="false" ht="15" hidden="false" customHeight="false" outlineLevel="0" collapsed="false">
      <c r="A577" s="3122" t="str">
        <f aca="false">дома!A512</f>
        <v>Ригель каркаса наружние стены 1 эт</v>
      </c>
      <c r="B577" s="3123" t="str">
        <f aca="false">дома!B512</f>
        <v>м.п.</v>
      </c>
      <c r="C577" s="3124" t="n">
        <f aca="false">дома!C512</f>
        <v>0.4</v>
      </c>
      <c r="D577" s="3124" t="n">
        <f aca="false">дома!D512</f>
        <v>0.045</v>
      </c>
      <c r="E577" s="3124" t="n">
        <f aca="false">дома!E512</f>
        <v>0</v>
      </c>
      <c r="F577" s="3124" t="n">
        <f aca="false">дома!F512</f>
        <v>0</v>
      </c>
      <c r="G577" s="3124" t="n">
        <f aca="false">E577*F577*IF('Ввод данных'!$A$19=связи1!$A$150,1,0)</f>
        <v>0</v>
      </c>
      <c r="H577" s="3124" t="n">
        <f aca="false">дома!G512*IF('Ввод данных'!$A$19=связи1!$A$150,1,0)</f>
        <v>0</v>
      </c>
    </row>
    <row r="578" customFormat="false" ht="15" hidden="false" customHeight="false" outlineLevel="0" collapsed="false">
      <c r="A578" s="3122" t="str">
        <f aca="false">дома!A513</f>
        <v>Укосина наружних стен, усиление 1 этаж</v>
      </c>
      <c r="B578" s="3123" t="str">
        <f aca="false">дома!B513</f>
        <v>м.п.</v>
      </c>
      <c r="C578" s="3124" t="n">
        <f aca="false">дома!C513</f>
        <v>0.4</v>
      </c>
      <c r="D578" s="3124" t="n">
        <f aca="false">дома!D513</f>
        <v>0.045</v>
      </c>
      <c r="E578" s="3124" t="n">
        <f aca="false">дома!E513</f>
        <v>0</v>
      </c>
      <c r="F578" s="3124" t="n">
        <f aca="false">дома!F513</f>
        <v>8</v>
      </c>
      <c r="G578" s="3124" t="n">
        <f aca="false">E578*F578*IF('Ввод данных'!$A$19=связи1!$A$150,1,0)</f>
        <v>0</v>
      </c>
      <c r="H578" s="3124" t="n">
        <f aca="false">дома!G513*IF('Ввод данных'!$A$19=связи1!$A$150,1,0)</f>
        <v>0</v>
      </c>
    </row>
    <row r="579" customFormat="false" ht="15" hidden="false" customHeight="false" outlineLevel="0" collapsed="false">
      <c r="A579" s="3122" t="str">
        <f aca="false">дома!A514</f>
        <v>Стойка каркаса по фронтону, 1 этаж, односкатная кровля, №1</v>
      </c>
      <c r="B579" s="3123" t="str">
        <f aca="false">дома!B514</f>
        <v>м.п.</v>
      </c>
      <c r="C579" s="3124" t="n">
        <f aca="false">дома!C514</f>
        <v>0.4</v>
      </c>
      <c r="D579" s="3124" t="n">
        <f aca="false">дома!D514</f>
        <v>0.045</v>
      </c>
      <c r="E579" s="3124" t="n">
        <f aca="false">дома!E514</f>
        <v>0</v>
      </c>
      <c r="F579" s="3124" t="n">
        <f aca="false">дома!F514</f>
        <v>2</v>
      </c>
      <c r="G579" s="3124" t="n">
        <f aca="false">E579*F579*IF('Ввод данных'!$A$19=связи1!$A$150,1,0)</f>
        <v>0</v>
      </c>
      <c r="H579" s="3124" t="n">
        <f aca="false">дома!G514*IF('Ввод данных'!$A$19=связи1!$A$150,1,0)</f>
        <v>0</v>
      </c>
    </row>
    <row r="580" customFormat="false" ht="15" hidden="false" customHeight="false" outlineLevel="0" collapsed="false">
      <c r="A580" s="3122" t="str">
        <f aca="false">дома!A515</f>
        <v>Стойка каркаса по фронтону, 1 этаж, односкатная кровля, №2</v>
      </c>
      <c r="B580" s="3123" t="str">
        <f aca="false">дома!B515</f>
        <v>м.п.</v>
      </c>
      <c r="C580" s="3124" t="n">
        <f aca="false">дома!C515</f>
        <v>0.4</v>
      </c>
      <c r="D580" s="3124" t="n">
        <f aca="false">дома!D515</f>
        <v>0.045</v>
      </c>
      <c r="E580" s="3124" t="n">
        <f aca="false">дома!E515</f>
        <v>0</v>
      </c>
      <c r="F580" s="3124" t="n">
        <f aca="false">дома!F515</f>
        <v>2</v>
      </c>
      <c r="G580" s="3124" t="n">
        <f aca="false">E580*F580*IF('Ввод данных'!$A$19=связи1!$A$150,1,0)</f>
        <v>0</v>
      </c>
      <c r="H580" s="3124" t="n">
        <f aca="false">дома!G515*IF('Ввод данных'!$A$19=связи1!$A$150,1,0)</f>
        <v>0</v>
      </c>
    </row>
    <row r="581" customFormat="false" ht="15" hidden="false" customHeight="false" outlineLevel="0" collapsed="false">
      <c r="A581" s="3122" t="str">
        <f aca="false">дома!A516</f>
        <v>Стойка каркаса по фронтону, 1 этаж, односкатная кровля, №3</v>
      </c>
      <c r="B581" s="3123" t="str">
        <f aca="false">дома!B516</f>
        <v>м.п.</v>
      </c>
      <c r="C581" s="3124" t="n">
        <f aca="false">дома!C516</f>
        <v>0.4</v>
      </c>
      <c r="D581" s="3124" t="n">
        <f aca="false">дома!D516</f>
        <v>0.045</v>
      </c>
      <c r="E581" s="3124" t="n">
        <f aca="false">дома!E516</f>
        <v>0</v>
      </c>
      <c r="F581" s="3124" t="n">
        <f aca="false">дома!F516</f>
        <v>2</v>
      </c>
      <c r="G581" s="3124" t="n">
        <f aca="false">E581*F581*IF('Ввод данных'!$A$19=связи1!$A$150,1,0)</f>
        <v>0</v>
      </c>
      <c r="H581" s="3124" t="n">
        <f aca="false">дома!G516*IF('Ввод данных'!$A$19=связи1!$A$150,1,0)</f>
        <v>0</v>
      </c>
    </row>
    <row r="582" customFormat="false" ht="15" hidden="false" customHeight="false" outlineLevel="0" collapsed="false">
      <c r="A582" s="3122" t="str">
        <f aca="false">дома!A517</f>
        <v>Стойка каркаса по фронтону, 1 этаж, односкатная кровля, №4</v>
      </c>
      <c r="B582" s="3123" t="str">
        <f aca="false">дома!B517</f>
        <v>м.п.</v>
      </c>
      <c r="C582" s="3124" t="n">
        <f aca="false">дома!C517</f>
        <v>0.4</v>
      </c>
      <c r="D582" s="3124" t="n">
        <f aca="false">дома!D517</f>
        <v>0.045</v>
      </c>
      <c r="E582" s="3124" t="n">
        <f aca="false">дома!E517</f>
        <v>0</v>
      </c>
      <c r="F582" s="3124" t="n">
        <f aca="false">дома!F517</f>
        <v>2</v>
      </c>
      <c r="G582" s="3124" t="n">
        <f aca="false">E582*F582*IF('Ввод данных'!$A$19=связи1!$A$150,1,0)</f>
        <v>0</v>
      </c>
      <c r="H582" s="3124" t="n">
        <f aca="false">дома!G517*IF('Ввод данных'!$A$19=связи1!$A$150,1,0)</f>
        <v>0</v>
      </c>
    </row>
    <row r="583" customFormat="false" ht="15" hidden="false" customHeight="false" outlineLevel="0" collapsed="false">
      <c r="A583" s="3122" t="str">
        <f aca="false">дома!A518</f>
        <v>Стойка каркаса по фронтону, 1 этаж, односкатная кровля, №5</v>
      </c>
      <c r="B583" s="3123" t="str">
        <f aca="false">дома!B518</f>
        <v>м.п.</v>
      </c>
      <c r="C583" s="3124" t="n">
        <f aca="false">дома!C518</f>
        <v>0.4</v>
      </c>
      <c r="D583" s="3124" t="n">
        <f aca="false">дома!D518</f>
        <v>0.045</v>
      </c>
      <c r="E583" s="3124" t="n">
        <f aca="false">дома!E518</f>
        <v>0</v>
      </c>
      <c r="F583" s="3124" t="n">
        <f aca="false">дома!F518</f>
        <v>2</v>
      </c>
      <c r="G583" s="3124" t="n">
        <f aca="false">E583*F583*IF('Ввод данных'!$A$19=связи1!$A$150,1,0)</f>
        <v>0</v>
      </c>
      <c r="H583" s="3124" t="n">
        <f aca="false">дома!G518*IF('Ввод данных'!$A$19=связи1!$A$150,1,0)</f>
        <v>0</v>
      </c>
    </row>
    <row r="584" customFormat="false" ht="15" hidden="false" customHeight="false" outlineLevel="0" collapsed="false">
      <c r="A584" s="3122" t="str">
        <f aca="false">дома!A519</f>
        <v>Стойка каркаса по фронтону, 1 этаж, односкатная кровля, №6</v>
      </c>
      <c r="B584" s="3123" t="str">
        <f aca="false">дома!B519</f>
        <v>м.п.</v>
      </c>
      <c r="C584" s="3124" t="n">
        <f aca="false">дома!C519</f>
        <v>0.4</v>
      </c>
      <c r="D584" s="3124" t="n">
        <f aca="false">дома!D519</f>
        <v>0.045</v>
      </c>
      <c r="E584" s="3124" t="n">
        <f aca="false">дома!E519</f>
        <v>0</v>
      </c>
      <c r="F584" s="3124" t="n">
        <f aca="false">дома!F519</f>
        <v>2</v>
      </c>
      <c r="G584" s="3124" t="n">
        <f aca="false">E584*F584*IF('Ввод данных'!$A$19=связи1!$A$150,1,0)</f>
        <v>0</v>
      </c>
      <c r="H584" s="3124" t="n">
        <f aca="false">дома!G519*IF('Ввод данных'!$A$19=связи1!$A$150,1,0)</f>
        <v>0</v>
      </c>
    </row>
    <row r="585" customFormat="false" ht="15" hidden="false" customHeight="false" outlineLevel="0" collapsed="false">
      <c r="A585" s="3122" t="str">
        <f aca="false">дома!A520</f>
        <v>Стойка каркаса по фронтону, 1 этаж, односкатная кровля, №7</v>
      </c>
      <c r="B585" s="3123" t="str">
        <f aca="false">дома!B520</f>
        <v>м.п.</v>
      </c>
      <c r="C585" s="3124" t="n">
        <f aca="false">дома!C520</f>
        <v>0.4</v>
      </c>
      <c r="D585" s="3124" t="n">
        <f aca="false">дома!D520</f>
        <v>0.045</v>
      </c>
      <c r="E585" s="3124" t="n">
        <f aca="false">дома!E520</f>
        <v>0</v>
      </c>
      <c r="F585" s="3124" t="n">
        <f aca="false">дома!F520</f>
        <v>2</v>
      </c>
      <c r="G585" s="3124" t="n">
        <f aca="false">E585*F585*IF('Ввод данных'!$A$19=связи1!$A$150,1,0)</f>
        <v>0</v>
      </c>
      <c r="H585" s="3124" t="n">
        <f aca="false">дома!G520*IF('Ввод данных'!$A$19=связи1!$A$150,1,0)</f>
        <v>0</v>
      </c>
    </row>
    <row r="586" customFormat="false" ht="15" hidden="false" customHeight="false" outlineLevel="0" collapsed="false">
      <c r="A586" s="3122" t="str">
        <f aca="false">дома!A521</f>
        <v>Стойка каркаса по фронтону, 1 этаж, односкатная кровля, №8</v>
      </c>
      <c r="B586" s="3123" t="str">
        <f aca="false">дома!B521</f>
        <v>м.п.</v>
      </c>
      <c r="C586" s="3124" t="n">
        <f aca="false">дома!C521</f>
        <v>0.4</v>
      </c>
      <c r="D586" s="3124" t="n">
        <f aca="false">дома!D521</f>
        <v>0.045</v>
      </c>
      <c r="E586" s="3124" t="n">
        <f aca="false">дома!E521</f>
        <v>0</v>
      </c>
      <c r="F586" s="3124" t="n">
        <f aca="false">дома!F521</f>
        <v>2</v>
      </c>
      <c r="G586" s="3124" t="n">
        <f aca="false">E586*F586*IF('Ввод данных'!$A$19=связи1!$A$150,1,0)</f>
        <v>0</v>
      </c>
      <c r="H586" s="3124" t="n">
        <f aca="false">дома!G521*IF('Ввод данных'!$A$19=связи1!$A$150,1,0)</f>
        <v>0</v>
      </c>
    </row>
    <row r="587" customFormat="false" ht="15" hidden="false" customHeight="false" outlineLevel="0" collapsed="false">
      <c r="A587" s="3122" t="str">
        <f aca="false">дома!A522</f>
        <v>Стойка каркаса по фронтону, 1 этаж, односкатная кровля, №9</v>
      </c>
      <c r="B587" s="3123" t="str">
        <f aca="false">дома!B522</f>
        <v>м.п.</v>
      </c>
      <c r="C587" s="3124" t="n">
        <f aca="false">дома!C522</f>
        <v>0.4</v>
      </c>
      <c r="D587" s="3124" t="n">
        <f aca="false">дома!D522</f>
        <v>0.045</v>
      </c>
      <c r="E587" s="3124" t="n">
        <f aca="false">дома!E522</f>
        <v>0</v>
      </c>
      <c r="F587" s="3124" t="n">
        <f aca="false">дома!F522</f>
        <v>2</v>
      </c>
      <c r="G587" s="3124" t="n">
        <f aca="false">E587*F587*IF('Ввод данных'!$A$19=связи1!$A$150,1,0)</f>
        <v>0</v>
      </c>
      <c r="H587" s="3124" t="n">
        <f aca="false">дома!G522*IF('Ввод данных'!$A$19=связи1!$A$150,1,0)</f>
        <v>0</v>
      </c>
    </row>
    <row r="588" customFormat="false" ht="15" hidden="false" customHeight="false" outlineLevel="0" collapsed="false">
      <c r="A588" s="3122" t="str">
        <f aca="false">дома!A523</f>
        <v>Стойка каркаса по фронтону, 1 этаж, односкатная кровля, №10</v>
      </c>
      <c r="B588" s="3123" t="str">
        <f aca="false">дома!B523</f>
        <v>м.п.</v>
      </c>
      <c r="C588" s="3124" t="n">
        <f aca="false">дома!C523</f>
        <v>0.4</v>
      </c>
      <c r="D588" s="3124" t="n">
        <f aca="false">дома!D523</f>
        <v>0.045</v>
      </c>
      <c r="E588" s="3124" t="n">
        <f aca="false">дома!E523</f>
        <v>0</v>
      </c>
      <c r="F588" s="3124" t="n">
        <f aca="false">дома!F523</f>
        <v>2</v>
      </c>
      <c r="G588" s="3124" t="n">
        <f aca="false">E588*F588*IF('Ввод данных'!$A$19=связи1!$A$150,1,0)</f>
        <v>0</v>
      </c>
      <c r="H588" s="3124" t="n">
        <f aca="false">дома!G523*IF('Ввод данных'!$A$19=связи1!$A$150,1,0)</f>
        <v>0</v>
      </c>
    </row>
    <row r="589" customFormat="false" ht="15" hidden="false" customHeight="false" outlineLevel="0" collapsed="false">
      <c r="A589" s="3122" t="str">
        <f aca="false">дома!A524</f>
        <v>Стойка каркаса по фронтону, 1 этаж, односкатная кровля, №11</v>
      </c>
      <c r="B589" s="3123" t="str">
        <f aca="false">дома!B524</f>
        <v>м.п.</v>
      </c>
      <c r="C589" s="3124" t="n">
        <f aca="false">дома!C524</f>
        <v>0.4</v>
      </c>
      <c r="D589" s="3124" t="n">
        <f aca="false">дома!D524</f>
        <v>0.045</v>
      </c>
      <c r="E589" s="3124" t="n">
        <f aca="false">дома!E524</f>
        <v>0</v>
      </c>
      <c r="F589" s="3124" t="n">
        <f aca="false">дома!F524</f>
        <v>2</v>
      </c>
      <c r="G589" s="3124" t="n">
        <f aca="false">E589*F589*IF('Ввод данных'!$A$19=связи1!$A$150,1,0)</f>
        <v>0</v>
      </c>
      <c r="H589" s="3124" t="n">
        <f aca="false">дома!G524*IF('Ввод данных'!$A$19=связи1!$A$150,1,0)</f>
        <v>0</v>
      </c>
    </row>
    <row r="590" customFormat="false" ht="15" hidden="false" customHeight="false" outlineLevel="0" collapsed="false">
      <c r="A590" s="3122" t="str">
        <f aca="false">дома!A525</f>
        <v>Стойка каркаса по фронтону, 1 этаж, односкатная кровля, №12</v>
      </c>
      <c r="B590" s="3123" t="str">
        <f aca="false">дома!B525</f>
        <v>м.п.</v>
      </c>
      <c r="C590" s="3124" t="n">
        <f aca="false">дома!C525</f>
        <v>0.4</v>
      </c>
      <c r="D590" s="3124" t="n">
        <f aca="false">дома!D525</f>
        <v>0.045</v>
      </c>
      <c r="E590" s="3124" t="n">
        <f aca="false">дома!E525</f>
        <v>0</v>
      </c>
      <c r="F590" s="3124" t="n">
        <f aca="false">дома!F525</f>
        <v>2</v>
      </c>
      <c r="G590" s="3124" t="n">
        <f aca="false">E590*F590*IF('Ввод данных'!$A$19=связи1!$A$150,1,0)</f>
        <v>0</v>
      </c>
      <c r="H590" s="3124" t="n">
        <f aca="false">дома!G525*IF('Ввод данных'!$A$19=связи1!$A$150,1,0)</f>
        <v>0</v>
      </c>
    </row>
    <row r="591" customFormat="false" ht="15" hidden="false" customHeight="false" outlineLevel="0" collapsed="false">
      <c r="A591" s="3122" t="str">
        <f aca="false">дома!A526</f>
        <v>Стойка каркаса по фронтону, 1 этаж, односкатная кровля, №13</v>
      </c>
      <c r="B591" s="3123" t="str">
        <f aca="false">дома!B526</f>
        <v>м.п.</v>
      </c>
      <c r="C591" s="3124" t="n">
        <f aca="false">дома!C526</f>
        <v>0.4</v>
      </c>
      <c r="D591" s="3124" t="n">
        <f aca="false">дома!D526</f>
        <v>0.045</v>
      </c>
      <c r="E591" s="3124" t="n">
        <f aca="false">дома!E526</f>
        <v>0</v>
      </c>
      <c r="F591" s="3124" t="n">
        <f aca="false">дома!F526</f>
        <v>2</v>
      </c>
      <c r="G591" s="3124" t="n">
        <f aca="false">E591*F591*IF('Ввод данных'!$A$19=связи1!$A$150,1,0)</f>
        <v>0</v>
      </c>
      <c r="H591" s="3124" t="n">
        <f aca="false">дома!G526*IF('Ввод данных'!$A$19=связи1!$A$150,1,0)</f>
        <v>0</v>
      </c>
    </row>
    <row r="592" customFormat="false" ht="15" hidden="false" customHeight="false" outlineLevel="0" collapsed="false">
      <c r="A592" s="3122" t="str">
        <f aca="false">дома!A527</f>
        <v>Стойка каркаса по фронтону, 1 этаж, односкатная кровля, №14</v>
      </c>
      <c r="B592" s="3123" t="str">
        <f aca="false">дома!B527</f>
        <v>м.п.</v>
      </c>
      <c r="C592" s="3124" t="n">
        <f aca="false">дома!C527</f>
        <v>0.4</v>
      </c>
      <c r="D592" s="3124" t="n">
        <f aca="false">дома!D527</f>
        <v>0.045</v>
      </c>
      <c r="E592" s="3124" t="n">
        <f aca="false">дома!E527</f>
        <v>0</v>
      </c>
      <c r="F592" s="3124" t="n">
        <f aca="false">дома!F527</f>
        <v>2</v>
      </c>
      <c r="G592" s="3124" t="n">
        <f aca="false">E592*F592*IF('Ввод данных'!$A$19=связи1!$A$150,1,0)</f>
        <v>0</v>
      </c>
      <c r="H592" s="3124" t="n">
        <f aca="false">дома!G527*IF('Ввод данных'!$A$19=связи1!$A$150,1,0)</f>
        <v>0</v>
      </c>
    </row>
    <row r="593" customFormat="false" ht="15" hidden="false" customHeight="false" outlineLevel="0" collapsed="false">
      <c r="A593" s="3122" t="str">
        <f aca="false">дома!A528</f>
        <v>Стойка каркаса по фронтону, 1 этаж, односкатная кровля, №15</v>
      </c>
      <c r="B593" s="3123" t="str">
        <f aca="false">дома!B528</f>
        <v>м.п.</v>
      </c>
      <c r="C593" s="3124" t="n">
        <f aca="false">дома!C528</f>
        <v>0.4</v>
      </c>
      <c r="D593" s="3124" t="n">
        <f aca="false">дома!D528</f>
        <v>0.045</v>
      </c>
      <c r="E593" s="3124" t="n">
        <f aca="false">дома!E528</f>
        <v>0</v>
      </c>
      <c r="F593" s="3124" t="n">
        <f aca="false">дома!F528</f>
        <v>2</v>
      </c>
      <c r="G593" s="3124" t="n">
        <f aca="false">E593*F593*IF('Ввод данных'!$A$19=связи1!$A$150,1,0)</f>
        <v>0</v>
      </c>
      <c r="H593" s="3124" t="n">
        <f aca="false">дома!G528*IF('Ввод данных'!$A$19=связи1!$A$150,1,0)</f>
        <v>0</v>
      </c>
    </row>
    <row r="594" customFormat="false" ht="15" hidden="false" customHeight="false" outlineLevel="0" collapsed="false">
      <c r="A594" s="3122" t="str">
        <f aca="false">дома!A529</f>
        <v>Стойка каркаса по фронтону, 1 этаж, односкатная кровля, №16</v>
      </c>
      <c r="B594" s="3123" t="str">
        <f aca="false">дома!B529</f>
        <v>м.п.</v>
      </c>
      <c r="C594" s="3124" t="n">
        <f aca="false">дома!C529</f>
        <v>0.4</v>
      </c>
      <c r="D594" s="3124" t="n">
        <f aca="false">дома!D529</f>
        <v>0.045</v>
      </c>
      <c r="E594" s="3124" t="n">
        <f aca="false">дома!E529</f>
        <v>0</v>
      </c>
      <c r="F594" s="3124" t="n">
        <f aca="false">дома!F529</f>
        <v>2</v>
      </c>
      <c r="G594" s="3124" t="n">
        <f aca="false">E594*F594*IF('Ввод данных'!$A$19=связи1!$A$150,1,0)</f>
        <v>0</v>
      </c>
      <c r="H594" s="3124" t="n">
        <f aca="false">дома!G529*IF('Ввод данных'!$A$19=связи1!$A$150,1,0)</f>
        <v>0</v>
      </c>
    </row>
    <row r="595" customFormat="false" ht="15" hidden="false" customHeight="false" outlineLevel="0" collapsed="false">
      <c r="A595" s="3122" t="str">
        <f aca="false">дома!A530</f>
        <v>Стойка каркаса по фронтону, 1 этаж, односкатная кровля, №17</v>
      </c>
      <c r="B595" s="3123" t="str">
        <f aca="false">дома!B530</f>
        <v>м.п.</v>
      </c>
      <c r="C595" s="3124" t="n">
        <f aca="false">дома!C530</f>
        <v>0.4</v>
      </c>
      <c r="D595" s="3124" t="n">
        <f aca="false">дома!D530</f>
        <v>0.045</v>
      </c>
      <c r="E595" s="3124" t="n">
        <f aca="false">дома!E530</f>
        <v>0</v>
      </c>
      <c r="F595" s="3124" t="n">
        <f aca="false">дома!F530</f>
        <v>2</v>
      </c>
      <c r="G595" s="3124" t="n">
        <f aca="false">E595*F595*IF('Ввод данных'!$A$19=связи1!$A$150,1,0)</f>
        <v>0</v>
      </c>
      <c r="H595" s="3124" t="n">
        <f aca="false">дома!G530*IF('Ввод данных'!$A$19=связи1!$A$150,1,0)</f>
        <v>0</v>
      </c>
    </row>
    <row r="596" customFormat="false" ht="15" hidden="false" customHeight="false" outlineLevel="0" collapsed="false">
      <c r="A596" s="3122" t="str">
        <f aca="false">дома!A531</f>
        <v>Стойка каркаса по фронтону, 1 этаж, двускатная кровля, №1</v>
      </c>
      <c r="B596" s="3123" t="str">
        <f aca="false">дома!B531</f>
        <v>м.п.</v>
      </c>
      <c r="C596" s="3124" t="n">
        <f aca="false">дома!C531</f>
        <v>0.4</v>
      </c>
      <c r="D596" s="3124" t="n">
        <f aca="false">дома!D531</f>
        <v>0.045</v>
      </c>
      <c r="E596" s="3124" t="n">
        <f aca="false">дома!E531</f>
        <v>0</v>
      </c>
      <c r="F596" s="3124" t="n">
        <f aca="false">дома!F531</f>
        <v>2</v>
      </c>
      <c r="G596" s="3124" t="n">
        <f aca="false">E596*F596*IF('Ввод данных'!$A$19=связи1!$A$150,1,0)</f>
        <v>0</v>
      </c>
      <c r="H596" s="3124" t="n">
        <f aca="false">дома!G531*IF('Ввод данных'!$A$19=связи1!$A$150,1,0)</f>
        <v>0</v>
      </c>
    </row>
    <row r="597" customFormat="false" ht="15" hidden="false" customHeight="false" outlineLevel="0" collapsed="false">
      <c r="A597" s="3122" t="str">
        <f aca="false">дома!A532</f>
        <v>Стойка каркаса по фронтону, 1 этаж, двускатная кровля, №2</v>
      </c>
      <c r="B597" s="3123" t="str">
        <f aca="false">дома!B532</f>
        <v>м.п.</v>
      </c>
      <c r="C597" s="3124" t="n">
        <f aca="false">дома!C532</f>
        <v>0.4</v>
      </c>
      <c r="D597" s="3124" t="n">
        <f aca="false">дома!D532</f>
        <v>0.045</v>
      </c>
      <c r="E597" s="3124" t="n">
        <f aca="false">дома!E532</f>
        <v>0</v>
      </c>
      <c r="F597" s="3124" t="n">
        <f aca="false">дома!F532</f>
        <v>2</v>
      </c>
      <c r="G597" s="3124" t="n">
        <f aca="false">E597*F597*IF('Ввод данных'!$A$19=связи1!$A$150,1,0)</f>
        <v>0</v>
      </c>
      <c r="H597" s="3124" t="n">
        <f aca="false">дома!G532*IF('Ввод данных'!$A$19=связи1!$A$150,1,0)</f>
        <v>0</v>
      </c>
    </row>
    <row r="598" customFormat="false" ht="15" hidden="false" customHeight="false" outlineLevel="0" collapsed="false">
      <c r="A598" s="3122" t="str">
        <f aca="false">дома!A533</f>
        <v>Стойка каркаса по фронтону, 1 этаж, двускатная кровля, №3</v>
      </c>
      <c r="B598" s="3123" t="str">
        <f aca="false">дома!B533</f>
        <v>м.п.</v>
      </c>
      <c r="C598" s="3124" t="n">
        <f aca="false">дома!C533</f>
        <v>0.4</v>
      </c>
      <c r="D598" s="3124" t="n">
        <f aca="false">дома!D533</f>
        <v>0.045</v>
      </c>
      <c r="E598" s="3124" t="n">
        <f aca="false">дома!E533</f>
        <v>0</v>
      </c>
      <c r="F598" s="3124" t="n">
        <f aca="false">дома!F533</f>
        <v>2</v>
      </c>
      <c r="G598" s="3124" t="n">
        <f aca="false">E598*F598*IF('Ввод данных'!$A$19=связи1!$A$150,1,0)</f>
        <v>0</v>
      </c>
      <c r="H598" s="3124" t="n">
        <f aca="false">дома!G533*IF('Ввод данных'!$A$19=связи1!$A$150,1,0)</f>
        <v>0</v>
      </c>
    </row>
    <row r="599" customFormat="false" ht="15" hidden="false" customHeight="false" outlineLevel="0" collapsed="false">
      <c r="A599" s="3122" t="str">
        <f aca="false">дома!A534</f>
        <v>Стойка каркаса по фронтону, 1 этаж, двускатная кровля, №4</v>
      </c>
      <c r="B599" s="3123" t="str">
        <f aca="false">дома!B534</f>
        <v>м.п.</v>
      </c>
      <c r="C599" s="3124" t="n">
        <f aca="false">дома!C534</f>
        <v>0.4</v>
      </c>
      <c r="D599" s="3124" t="n">
        <f aca="false">дома!D534</f>
        <v>0.045</v>
      </c>
      <c r="E599" s="3124" t="n">
        <f aca="false">дома!E534</f>
        <v>0</v>
      </c>
      <c r="F599" s="3124" t="n">
        <f aca="false">дома!F534</f>
        <v>2</v>
      </c>
      <c r="G599" s="3124" t="n">
        <f aca="false">E599*F599*IF('Ввод данных'!$A$19=связи1!$A$150,1,0)</f>
        <v>0</v>
      </c>
      <c r="H599" s="3124" t="n">
        <f aca="false">дома!G534*IF('Ввод данных'!$A$19=связи1!$A$150,1,0)</f>
        <v>0</v>
      </c>
    </row>
    <row r="600" customFormat="false" ht="15" hidden="false" customHeight="false" outlineLevel="0" collapsed="false">
      <c r="A600" s="3122" t="str">
        <f aca="false">дома!A535</f>
        <v>Стойка каркаса по фронтону, 1 этаж, двускатная кровля, №5</v>
      </c>
      <c r="B600" s="3123" t="str">
        <f aca="false">дома!B535</f>
        <v>м.п.</v>
      </c>
      <c r="C600" s="3124" t="n">
        <f aca="false">дома!C535</f>
        <v>0.4</v>
      </c>
      <c r="D600" s="3124" t="n">
        <f aca="false">дома!D535</f>
        <v>0.045</v>
      </c>
      <c r="E600" s="3124" t="n">
        <f aca="false">дома!E535</f>
        <v>0</v>
      </c>
      <c r="F600" s="3124" t="n">
        <f aca="false">дома!F535</f>
        <v>2</v>
      </c>
      <c r="G600" s="3124" t="n">
        <f aca="false">E600*F600*IF('Ввод данных'!$A$19=связи1!$A$150,1,0)</f>
        <v>0</v>
      </c>
      <c r="H600" s="3124" t="n">
        <f aca="false">дома!G535*IF('Ввод данных'!$A$19=связи1!$A$150,1,0)</f>
        <v>0</v>
      </c>
    </row>
    <row r="601" customFormat="false" ht="15" hidden="false" customHeight="false" outlineLevel="0" collapsed="false">
      <c r="A601" s="3122" t="str">
        <f aca="false">дома!A536</f>
        <v>Стойка каркаса по фронтону, 1 этаж, двускатная кровля, №6</v>
      </c>
      <c r="B601" s="3123" t="str">
        <f aca="false">дома!B536</f>
        <v>м.п.</v>
      </c>
      <c r="C601" s="3124" t="n">
        <f aca="false">дома!C536</f>
        <v>0.4</v>
      </c>
      <c r="D601" s="3124" t="n">
        <f aca="false">дома!D536</f>
        <v>0.045</v>
      </c>
      <c r="E601" s="3124" t="n">
        <f aca="false">дома!E536</f>
        <v>0</v>
      </c>
      <c r="F601" s="3124" t="n">
        <f aca="false">дома!F536</f>
        <v>2</v>
      </c>
      <c r="G601" s="3124" t="n">
        <f aca="false">E601*F601*IF('Ввод данных'!$A$19=связи1!$A$150,1,0)</f>
        <v>0</v>
      </c>
      <c r="H601" s="3124" t="n">
        <f aca="false">дома!G536*IF('Ввод данных'!$A$19=связи1!$A$150,1,0)</f>
        <v>0</v>
      </c>
    </row>
    <row r="602" customFormat="false" ht="15" hidden="false" customHeight="false" outlineLevel="0" collapsed="false">
      <c r="A602" s="3122" t="str">
        <f aca="false">дома!A537</f>
        <v>Стойка каркаса по фронтону, 1 этаж, двускатная кровля, №7</v>
      </c>
      <c r="B602" s="3123" t="str">
        <f aca="false">дома!B537</f>
        <v>м.п.</v>
      </c>
      <c r="C602" s="3124" t="n">
        <f aca="false">дома!C537</f>
        <v>0.4</v>
      </c>
      <c r="D602" s="3124" t="n">
        <f aca="false">дома!D537</f>
        <v>0.045</v>
      </c>
      <c r="E602" s="3124" t="n">
        <f aca="false">дома!E537</f>
        <v>0</v>
      </c>
      <c r="F602" s="3124" t="n">
        <f aca="false">дома!F537</f>
        <v>2</v>
      </c>
      <c r="G602" s="3124" t="n">
        <f aca="false">E602*F602*IF('Ввод данных'!$A$19=связи1!$A$150,1,0)</f>
        <v>0</v>
      </c>
      <c r="H602" s="3124" t="n">
        <f aca="false">дома!G537*IF('Ввод данных'!$A$19=связи1!$A$150,1,0)</f>
        <v>0</v>
      </c>
    </row>
    <row r="603" customFormat="false" ht="15" hidden="false" customHeight="false" outlineLevel="0" collapsed="false">
      <c r="A603" s="3122" t="str">
        <f aca="false">дома!A538</f>
        <v>Стойка каркаса по фронтону, 1 этаж, двускатная кровля, №8</v>
      </c>
      <c r="B603" s="3123" t="str">
        <f aca="false">дома!B538</f>
        <v>м.п.</v>
      </c>
      <c r="C603" s="3124" t="n">
        <f aca="false">дома!C538</f>
        <v>0.4</v>
      </c>
      <c r="D603" s="3124" t="n">
        <f aca="false">дома!D538</f>
        <v>0.045</v>
      </c>
      <c r="E603" s="3124" t="n">
        <f aca="false">дома!E538</f>
        <v>0</v>
      </c>
      <c r="F603" s="3124" t="n">
        <f aca="false">дома!F538</f>
        <v>2</v>
      </c>
      <c r="G603" s="3124" t="n">
        <f aca="false">E603*F603*IF('Ввод данных'!$A$19=связи1!$A$150,1,0)</f>
        <v>0</v>
      </c>
      <c r="H603" s="3124" t="n">
        <f aca="false">дома!G538*IF('Ввод данных'!$A$19=связи1!$A$150,1,0)</f>
        <v>0</v>
      </c>
    </row>
    <row r="604" customFormat="false" ht="15" hidden="false" customHeight="false" outlineLevel="0" collapsed="false">
      <c r="A604" s="3122" t="str">
        <f aca="false">дома!A539</f>
        <v>Стойка каркаса по фронтону, 1 этаж, двускатная кровля, №9</v>
      </c>
      <c r="B604" s="3123" t="str">
        <f aca="false">дома!B539</f>
        <v>м.п.</v>
      </c>
      <c r="C604" s="3124" t="n">
        <f aca="false">дома!C539</f>
        <v>0.4</v>
      </c>
      <c r="D604" s="3124" t="n">
        <f aca="false">дома!D539</f>
        <v>0.045</v>
      </c>
      <c r="E604" s="3124" t="n">
        <f aca="false">дома!E539</f>
        <v>0</v>
      </c>
      <c r="F604" s="3124" t="n">
        <f aca="false">дома!F539</f>
        <v>2</v>
      </c>
      <c r="G604" s="3124" t="n">
        <f aca="false">E604*F604*IF('Ввод данных'!$A$19=связи1!$A$150,1,0)</f>
        <v>0</v>
      </c>
      <c r="H604" s="3124" t="n">
        <f aca="false">дома!G539*IF('Ввод данных'!$A$19=связи1!$A$150,1,0)</f>
        <v>0</v>
      </c>
    </row>
    <row r="605" customFormat="false" ht="15" hidden="false" customHeight="false" outlineLevel="0" collapsed="false">
      <c r="A605" s="3122" t="str">
        <f aca="false">дома!A540</f>
        <v>Стойка каркаса по фронтону, 1 этаж, двускатная кровля, №10</v>
      </c>
      <c r="B605" s="3123" t="str">
        <f aca="false">дома!B540</f>
        <v>м.п.</v>
      </c>
      <c r="C605" s="3124" t="n">
        <f aca="false">дома!C540</f>
        <v>0.4</v>
      </c>
      <c r="D605" s="3124" t="n">
        <f aca="false">дома!D540</f>
        <v>0.045</v>
      </c>
      <c r="E605" s="3124" t="n">
        <f aca="false">дома!E540</f>
        <v>0</v>
      </c>
      <c r="F605" s="3124" t="n">
        <f aca="false">дома!F540</f>
        <v>2</v>
      </c>
      <c r="G605" s="3124" t="n">
        <f aca="false">E605*F605*IF('Ввод данных'!$A$19=связи1!$A$150,1,0)</f>
        <v>0</v>
      </c>
      <c r="H605" s="3124" t="n">
        <f aca="false">дома!G540*IF('Ввод данных'!$A$19=связи1!$A$150,1,0)</f>
        <v>0</v>
      </c>
    </row>
    <row r="606" customFormat="false" ht="15" hidden="false" customHeight="false" outlineLevel="0" collapsed="false">
      <c r="A606" s="3122" t="str">
        <f aca="false">дома!A541</f>
        <v>Стойка каркаса по фронтону, 1 этаж, двускатная кровля, №11</v>
      </c>
      <c r="B606" s="3123" t="str">
        <f aca="false">дома!B541</f>
        <v>м.п.</v>
      </c>
      <c r="C606" s="3124" t="n">
        <f aca="false">дома!C541</f>
        <v>0.4</v>
      </c>
      <c r="D606" s="3124" t="n">
        <f aca="false">дома!D541</f>
        <v>0.045</v>
      </c>
      <c r="E606" s="3124" t="n">
        <f aca="false">дома!E541</f>
        <v>0</v>
      </c>
      <c r="F606" s="3124" t="n">
        <f aca="false">дома!F541</f>
        <v>2</v>
      </c>
      <c r="G606" s="3124" t="n">
        <f aca="false">E606*F606*IF('Ввод данных'!$A$19=связи1!$A$150,1,0)</f>
        <v>0</v>
      </c>
      <c r="H606" s="3124" t="n">
        <f aca="false">дома!G541*IF('Ввод данных'!$A$19=связи1!$A$150,1,0)</f>
        <v>0</v>
      </c>
    </row>
    <row r="607" customFormat="false" ht="15" hidden="false" customHeight="false" outlineLevel="0" collapsed="false">
      <c r="A607" s="3122" t="str">
        <f aca="false">дома!A542</f>
        <v>Стойка каркаса по фронтону, 1 этаж, двускатная кровля, №12</v>
      </c>
      <c r="B607" s="3123" t="str">
        <f aca="false">дома!B542</f>
        <v>м.п.</v>
      </c>
      <c r="C607" s="3124" t="n">
        <f aca="false">дома!C542</f>
        <v>0.4</v>
      </c>
      <c r="D607" s="3124" t="n">
        <f aca="false">дома!D542</f>
        <v>0.045</v>
      </c>
      <c r="E607" s="3124" t="n">
        <f aca="false">дома!E542</f>
        <v>0</v>
      </c>
      <c r="F607" s="3124" t="n">
        <f aca="false">дома!F542</f>
        <v>2</v>
      </c>
      <c r="G607" s="3124" t="n">
        <f aca="false">E607*F607*IF('Ввод данных'!$A$19=связи1!$A$150,1,0)</f>
        <v>0</v>
      </c>
      <c r="H607" s="3124" t="n">
        <f aca="false">дома!G542*IF('Ввод данных'!$A$19=связи1!$A$150,1,0)</f>
        <v>0</v>
      </c>
    </row>
    <row r="608" customFormat="false" ht="15" hidden="false" customHeight="false" outlineLevel="0" collapsed="false">
      <c r="A608" s="3122" t="str">
        <f aca="false">дома!A543</f>
        <v>Стойка каркаса по фронтону, 1 этаж, двускатная кровля, №13</v>
      </c>
      <c r="B608" s="3123" t="str">
        <f aca="false">дома!B543</f>
        <v>м.п.</v>
      </c>
      <c r="C608" s="3124" t="n">
        <f aca="false">дома!C543</f>
        <v>0.4</v>
      </c>
      <c r="D608" s="3124" t="n">
        <f aca="false">дома!D543</f>
        <v>0.045</v>
      </c>
      <c r="E608" s="3124" t="n">
        <f aca="false">дома!E543</f>
        <v>0</v>
      </c>
      <c r="F608" s="3124" t="n">
        <f aca="false">дома!F543</f>
        <v>2</v>
      </c>
      <c r="G608" s="3124" t="n">
        <f aca="false">E608*F608*IF('Ввод данных'!$A$19=связи1!$A$150,1,0)</f>
        <v>0</v>
      </c>
      <c r="H608" s="3124" t="n">
        <f aca="false">дома!G543*IF('Ввод данных'!$A$19=связи1!$A$150,1,0)</f>
        <v>0</v>
      </c>
    </row>
    <row r="609" customFormat="false" ht="15" hidden="false" customHeight="false" outlineLevel="0" collapsed="false">
      <c r="A609" s="3122" t="str">
        <f aca="false">дома!A544</f>
        <v>Стойка каркаса по фронтону, 1 этаж, двускатная кровля, №14</v>
      </c>
      <c r="B609" s="3123" t="str">
        <f aca="false">дома!B544</f>
        <v>м.п.</v>
      </c>
      <c r="C609" s="3124" t="n">
        <f aca="false">дома!C544</f>
        <v>0.4</v>
      </c>
      <c r="D609" s="3124" t="n">
        <f aca="false">дома!D544</f>
        <v>0.045</v>
      </c>
      <c r="E609" s="3124" t="n">
        <f aca="false">дома!E544</f>
        <v>0</v>
      </c>
      <c r="F609" s="3124" t="n">
        <f aca="false">дома!F544</f>
        <v>2</v>
      </c>
      <c r="G609" s="3124" t="n">
        <f aca="false">E609*F609*IF('Ввод данных'!$A$19=связи1!$A$150,1,0)</f>
        <v>0</v>
      </c>
      <c r="H609" s="3124" t="n">
        <f aca="false">дома!G544*IF('Ввод данных'!$A$19=связи1!$A$150,1,0)</f>
        <v>0</v>
      </c>
    </row>
    <row r="610" customFormat="false" ht="15" hidden="false" customHeight="false" outlineLevel="0" collapsed="false">
      <c r="A610" s="3122" t="str">
        <f aca="false">дома!A545</f>
        <v>Стойка каркаса по фронтону, 1 этаж, двускатная кровля, №15</v>
      </c>
      <c r="B610" s="3123" t="str">
        <f aca="false">дома!B545</f>
        <v>м.п.</v>
      </c>
      <c r="C610" s="3124" t="n">
        <f aca="false">дома!C545</f>
        <v>0.4</v>
      </c>
      <c r="D610" s="3124" t="n">
        <f aca="false">дома!D545</f>
        <v>0.045</v>
      </c>
      <c r="E610" s="3124" t="n">
        <f aca="false">дома!E545</f>
        <v>0</v>
      </c>
      <c r="F610" s="3124" t="n">
        <f aca="false">дома!F545</f>
        <v>2</v>
      </c>
      <c r="G610" s="3124" t="n">
        <f aca="false">E610*F610*IF('Ввод данных'!$A$19=связи1!$A$150,1,0)</f>
        <v>0</v>
      </c>
      <c r="H610" s="3124" t="n">
        <f aca="false">дома!G545*IF('Ввод данных'!$A$19=связи1!$A$150,1,0)</f>
        <v>0</v>
      </c>
    </row>
    <row r="611" customFormat="false" ht="15" hidden="false" customHeight="false" outlineLevel="0" collapsed="false">
      <c r="A611" s="3122" t="str">
        <f aca="false">дома!A546</f>
        <v>Стойка каркаса по фронтону, 1 этаж, двускатная кровля, №16</v>
      </c>
      <c r="B611" s="3123" t="str">
        <f aca="false">дома!B546</f>
        <v>м.п.</v>
      </c>
      <c r="C611" s="3124" t="n">
        <f aca="false">дома!C546</f>
        <v>0.4</v>
      </c>
      <c r="D611" s="3124" t="n">
        <f aca="false">дома!D546</f>
        <v>0.045</v>
      </c>
      <c r="E611" s="3124" t="n">
        <f aca="false">дома!E546</f>
        <v>0</v>
      </c>
      <c r="F611" s="3124" t="n">
        <f aca="false">дома!F546</f>
        <v>2</v>
      </c>
      <c r="G611" s="3124" t="n">
        <f aca="false">E611*F611*IF('Ввод данных'!$A$19=связи1!$A$150,1,0)</f>
        <v>0</v>
      </c>
      <c r="H611" s="3124" t="n">
        <f aca="false">дома!G546*IF('Ввод данных'!$A$19=связи1!$A$150,1,0)</f>
        <v>0</v>
      </c>
    </row>
    <row r="612" customFormat="false" ht="15" hidden="false" customHeight="false" outlineLevel="0" collapsed="false">
      <c r="A612" s="3122" t="str">
        <f aca="false">дома!A547</f>
        <v>Стойка каркаса по фронтону, 1 этаж, двускатная кровля, №17</v>
      </c>
      <c r="B612" s="3123" t="str">
        <f aca="false">дома!B547</f>
        <v>м.п.</v>
      </c>
      <c r="C612" s="3124" t="n">
        <f aca="false">дома!C547</f>
        <v>0.4</v>
      </c>
      <c r="D612" s="3124" t="n">
        <f aca="false">дома!D547</f>
        <v>0.045</v>
      </c>
      <c r="E612" s="3124" t="n">
        <f aca="false">дома!E547</f>
        <v>0</v>
      </c>
      <c r="F612" s="3124" t="n">
        <f aca="false">дома!F547</f>
        <v>2</v>
      </c>
      <c r="G612" s="3124" t="n">
        <f aca="false">E612*F612*IF('Ввод данных'!$A$19=связи1!$A$150,1,0)</f>
        <v>0</v>
      </c>
      <c r="H612" s="3124" t="n">
        <f aca="false">дома!G547*IF('Ввод данных'!$A$19=связи1!$A$150,1,0)</f>
        <v>0</v>
      </c>
    </row>
    <row r="613" customFormat="false" ht="21" hidden="false" customHeight="false" outlineLevel="0" collapsed="false">
      <c r="A613" s="3119" t="s">
        <v>4282</v>
      </c>
      <c r="B613" s="3119"/>
      <c r="C613" s="3119"/>
      <c r="D613" s="3119"/>
      <c r="E613" s="3119"/>
      <c r="F613" s="3119"/>
      <c r="G613" s="3125" t="n">
        <f aca="false">E613*F613</f>
        <v>0</v>
      </c>
      <c r="H613" s="3125" t="n">
        <f aca="false">SUM(H614:H653)</f>
        <v>0</v>
      </c>
    </row>
    <row r="614" customFormat="false" ht="15" hidden="false" customHeight="false" outlineLevel="0" collapsed="false">
      <c r="A614" s="3122" t="str">
        <f aca="false">дома!A970</f>
        <v>Стойки каркаса передняя стена, 2 эт</v>
      </c>
      <c r="B614" s="3123" t="str">
        <f aca="false">дома!B970</f>
        <v>м.п.</v>
      </c>
      <c r="C614" s="3124" t="n">
        <f aca="false">дома!C970</f>
        <v>0.4</v>
      </c>
      <c r="D614" s="3124" t="n">
        <f aca="false">дома!D970</f>
        <v>0.045</v>
      </c>
      <c r="E614" s="3124" t="n">
        <f aca="false">дома!E970</f>
        <v>2.9</v>
      </c>
      <c r="F614" s="3124" t="n">
        <f aca="false">дома!F970</f>
        <v>0</v>
      </c>
      <c r="G614" s="3124" t="n">
        <f aca="false">E614*F614*(IF('Ввод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614" s="3124" t="n">
        <f aca="false">дома!G970*(IF('Ввод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615" customFormat="false" ht="15" hidden="false" customHeight="false" outlineLevel="0" collapsed="false">
      <c r="A615" s="3122" t="str">
        <f aca="false">дома!A971</f>
        <v>Стойки каркаса , левая стена, 2 эт</v>
      </c>
      <c r="B615" s="3123" t="str">
        <f aca="false">дома!B971</f>
        <v>м.п.</v>
      </c>
      <c r="C615" s="3124" t="n">
        <f aca="false">дома!C971</f>
        <v>0.4</v>
      </c>
      <c r="D615" s="3124" t="n">
        <f aca="false">дома!D971</f>
        <v>0.045</v>
      </c>
      <c r="E615" s="3124" t="n">
        <f aca="false">дома!E971</f>
        <v>1.5</v>
      </c>
      <c r="F615" s="3124" t="n">
        <f aca="false">дома!F971</f>
        <v>0</v>
      </c>
      <c r="G615" s="3124" t="n">
        <f aca="false">E615*F615*(IF('Ввод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615" s="3124" t="n">
        <f aca="false">дома!G971*(IF('Ввод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616" customFormat="false" ht="15" hidden="false" customHeight="false" outlineLevel="0" collapsed="false">
      <c r="A616" s="3122" t="str">
        <f aca="false">дома!A972</f>
        <v>Стойки каркаса , правая стена, 2 эт</v>
      </c>
      <c r="B616" s="3123" t="str">
        <f aca="false">дома!B972</f>
        <v>м.п.</v>
      </c>
      <c r="C616" s="3124" t="n">
        <f aca="false">дома!C972</f>
        <v>0.4</v>
      </c>
      <c r="D616" s="3124" t="n">
        <f aca="false">дома!D972</f>
        <v>0.045</v>
      </c>
      <c r="E616" s="3124" t="n">
        <f aca="false">дома!E972</f>
        <v>1.5</v>
      </c>
      <c r="F616" s="3124" t="n">
        <f aca="false">дома!F972</f>
        <v>0</v>
      </c>
      <c r="G616" s="3124" t="n">
        <f aca="false">E616*F616*(IF('Ввод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616" s="3124" t="n">
        <f aca="false">дома!G972*(IF('Ввод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617" customFormat="false" ht="15" hidden="false" customHeight="false" outlineLevel="0" collapsed="false">
      <c r="A617" s="3122" t="str">
        <f aca="false">дома!A973</f>
        <v>Обвязка каркаса верхняя/нижняя наружние стены 2 эт</v>
      </c>
      <c r="B617" s="3123" t="str">
        <f aca="false">дома!B973</f>
        <v>м.п.</v>
      </c>
      <c r="C617" s="3124" t="n">
        <f aca="false">дома!C973</f>
        <v>0.4</v>
      </c>
      <c r="D617" s="3124" t="n">
        <f aca="false">дома!D973</f>
        <v>0.045</v>
      </c>
      <c r="E617" s="3124" t="n">
        <f aca="false">дома!E973</f>
        <v>1</v>
      </c>
      <c r="F617" s="3124" t="n">
        <f aca="false">дома!F973</f>
        <v>0</v>
      </c>
      <c r="G617" s="3124" t="n">
        <f aca="false">E617*F617*(IF('Ввод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617" s="3124" t="n">
        <f aca="false">дома!G973*(IF('Ввод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618" customFormat="false" ht="15" hidden="false" customHeight="false" outlineLevel="0" collapsed="false">
      <c r="A618" s="3122" t="str">
        <f aca="false">дома!A974</f>
        <v>Ригель каркаса наружние стены 2 эт</v>
      </c>
      <c r="B618" s="3123" t="str">
        <f aca="false">дома!B974</f>
        <v>м.п.</v>
      </c>
      <c r="C618" s="3124" t="n">
        <f aca="false">дома!C974</f>
        <v>0.4</v>
      </c>
      <c r="D618" s="3124" t="n">
        <f aca="false">дома!D974</f>
        <v>0.045</v>
      </c>
      <c r="E618" s="3124" t="n">
        <f aca="false">дома!E974</f>
        <v>1</v>
      </c>
      <c r="F618" s="3124" t="n">
        <f aca="false">дома!F974</f>
        <v>0</v>
      </c>
      <c r="G618" s="3124" t="n">
        <f aca="false">E618*F618*(IF('Ввод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618" s="3124" t="n">
        <f aca="false">дома!G974*(IF('Ввод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619" customFormat="false" ht="15" hidden="false" customHeight="false" outlineLevel="0" collapsed="false">
      <c r="A619" s="3122" t="str">
        <f aca="false">дома!A975</f>
        <v>Укосина наружних стен, усиление 2 этаж</v>
      </c>
      <c r="B619" s="3123" t="str">
        <f aca="false">дома!B975</f>
        <v>м.п.</v>
      </c>
      <c r="C619" s="3124" t="n">
        <f aca="false">дома!C975</f>
        <v>0.4</v>
      </c>
      <c r="D619" s="3124" t="n">
        <f aca="false">дома!D975</f>
        <v>0.045</v>
      </c>
      <c r="E619" s="3124" t="n">
        <f aca="false">дома!E975</f>
        <v>1.5</v>
      </c>
      <c r="F619" s="3124" t="n">
        <f aca="false">дома!F975</f>
        <v>0</v>
      </c>
      <c r="G619" s="3124" t="n">
        <f aca="false">E619*F619*(IF('Ввод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619" s="3124" t="n">
        <f aca="false">дома!G975*(IF('Ввод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620" customFormat="false" ht="15" hidden="false" customHeight="false" outlineLevel="0" collapsed="false">
      <c r="A620" s="3122" t="str">
        <f aca="false">дома!A976</f>
        <v>Стойка каркаса по фронтону, 2 этаж, односкатная кровля, №1</v>
      </c>
      <c r="B620" s="3123" t="str">
        <f aca="false">дома!B976</f>
        <v>м.п.</v>
      </c>
      <c r="C620" s="3124" t="n">
        <f aca="false">дома!C976</f>
        <v>0.4</v>
      </c>
      <c r="D620" s="3124" t="n">
        <f aca="false">дома!D976</f>
        <v>0.045</v>
      </c>
      <c r="E620" s="3124" t="n">
        <f aca="false">дома!E976</f>
        <v>0</v>
      </c>
      <c r="F620" s="3124" t="n">
        <f aca="false">дома!F976</f>
        <v>0</v>
      </c>
      <c r="G620" s="3124" t="n">
        <f aca="false">E620*F620*(IF('Ввод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620" s="3124" t="n">
        <f aca="false">дома!G976*(IF('Ввод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621" customFormat="false" ht="15" hidden="false" customHeight="false" outlineLevel="0" collapsed="false">
      <c r="A621" s="3122" t="str">
        <f aca="false">дома!A977</f>
        <v>Стойка каркаса по фронтону, 2 этаж, односкатная кровля, №2</v>
      </c>
      <c r="B621" s="3123" t="str">
        <f aca="false">дома!B977</f>
        <v>м.п.</v>
      </c>
      <c r="C621" s="3124" t="n">
        <f aca="false">дома!C977</f>
        <v>0.4</v>
      </c>
      <c r="D621" s="3124" t="n">
        <f aca="false">дома!D977</f>
        <v>0.045</v>
      </c>
      <c r="E621" s="3124" t="n">
        <f aca="false">дома!E977</f>
        <v>0</v>
      </c>
      <c r="F621" s="3124" t="n">
        <f aca="false">дома!F977</f>
        <v>0</v>
      </c>
      <c r="G621" s="3124" t="n">
        <f aca="false">E621*F621*(IF('Ввод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621" s="3124" t="n">
        <f aca="false">дома!G977*(IF('Ввод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622" customFormat="false" ht="15" hidden="false" customHeight="false" outlineLevel="0" collapsed="false">
      <c r="A622" s="3122" t="str">
        <f aca="false">дома!A978</f>
        <v>Стойка каркаса по фронтону, 2 этаж, односкатная кровля, №3</v>
      </c>
      <c r="B622" s="3123" t="str">
        <f aca="false">дома!B978</f>
        <v>м.п.</v>
      </c>
      <c r="C622" s="3124" t="n">
        <f aca="false">дома!C978</f>
        <v>0.4</v>
      </c>
      <c r="D622" s="3124" t="n">
        <f aca="false">дома!D978</f>
        <v>0.045</v>
      </c>
      <c r="E622" s="3124" t="n">
        <f aca="false">дома!E978</f>
        <v>0</v>
      </c>
      <c r="F622" s="3124" t="n">
        <f aca="false">дома!F978</f>
        <v>0</v>
      </c>
      <c r="G622" s="3124" t="n">
        <f aca="false">E622*F622*(IF('Ввод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622" s="3124" t="n">
        <f aca="false">дома!G978*(IF('Ввод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623" customFormat="false" ht="15" hidden="false" customHeight="false" outlineLevel="0" collapsed="false">
      <c r="A623" s="3122" t="str">
        <f aca="false">дома!A979</f>
        <v>Стойка каркаса по фронтону, 2 этаж, односкатная кровля, №4</v>
      </c>
      <c r="B623" s="3123" t="str">
        <f aca="false">дома!B979</f>
        <v>м.п.</v>
      </c>
      <c r="C623" s="3124" t="n">
        <f aca="false">дома!C979</f>
        <v>0.4</v>
      </c>
      <c r="D623" s="3124" t="n">
        <f aca="false">дома!D979</f>
        <v>0.045</v>
      </c>
      <c r="E623" s="3124" t="n">
        <f aca="false">дома!E979</f>
        <v>0</v>
      </c>
      <c r="F623" s="3124" t="n">
        <f aca="false">дома!F979</f>
        <v>0</v>
      </c>
      <c r="G623" s="3124" t="n">
        <f aca="false">E623*F623*(IF('Ввод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623" s="3124" t="n">
        <f aca="false">дома!G979*(IF('Ввод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624" customFormat="false" ht="15" hidden="false" customHeight="false" outlineLevel="0" collapsed="false">
      <c r="A624" s="3122" t="str">
        <f aca="false">дома!A980</f>
        <v>Стойка каркаса по фронтону, 2 этаж, односкатная кровля, №5</v>
      </c>
      <c r="B624" s="3123" t="str">
        <f aca="false">дома!B980</f>
        <v>м.п.</v>
      </c>
      <c r="C624" s="3124" t="n">
        <f aca="false">дома!C980</f>
        <v>0.4</v>
      </c>
      <c r="D624" s="3124" t="n">
        <f aca="false">дома!D980</f>
        <v>0.045</v>
      </c>
      <c r="E624" s="3124" t="n">
        <f aca="false">дома!E980</f>
        <v>0</v>
      </c>
      <c r="F624" s="3124" t="n">
        <f aca="false">дома!F980</f>
        <v>0</v>
      </c>
      <c r="G624" s="3124" t="n">
        <f aca="false">E624*F624*(IF('Ввод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624" s="3124" t="n">
        <f aca="false">дома!G980*(IF('Ввод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625" customFormat="false" ht="15" hidden="false" customHeight="false" outlineLevel="0" collapsed="false">
      <c r="A625" s="3122" t="str">
        <f aca="false">дома!A981</f>
        <v>Стойка каркаса по фронтону, 2 этаж, односкатная кровля, №6</v>
      </c>
      <c r="B625" s="3123" t="str">
        <f aca="false">дома!B981</f>
        <v>м.п.</v>
      </c>
      <c r="C625" s="3124" t="n">
        <f aca="false">дома!C981</f>
        <v>0.4</v>
      </c>
      <c r="D625" s="3124" t="n">
        <f aca="false">дома!D981</f>
        <v>0.045</v>
      </c>
      <c r="E625" s="3124" t="n">
        <f aca="false">дома!E981</f>
        <v>0</v>
      </c>
      <c r="F625" s="3124" t="n">
        <f aca="false">дома!F981</f>
        <v>0</v>
      </c>
      <c r="G625" s="3124" t="n">
        <f aca="false">E625*F625*(IF('Ввод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625" s="3124" t="n">
        <f aca="false">дома!G981*(IF('Ввод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626" customFormat="false" ht="15" hidden="false" customHeight="false" outlineLevel="0" collapsed="false">
      <c r="A626" s="3122" t="str">
        <f aca="false">дома!A982</f>
        <v>Стойка каркаса по фронтону, 2 этаж, односкатная кровля, №7</v>
      </c>
      <c r="B626" s="3123" t="str">
        <f aca="false">дома!B982</f>
        <v>м.п.</v>
      </c>
      <c r="C626" s="3124" t="n">
        <f aca="false">дома!C982</f>
        <v>0.4</v>
      </c>
      <c r="D626" s="3124" t="n">
        <f aca="false">дома!D982</f>
        <v>0.045</v>
      </c>
      <c r="E626" s="3124" t="n">
        <f aca="false">дома!E982</f>
        <v>0</v>
      </c>
      <c r="F626" s="3124" t="n">
        <f aca="false">дома!F982</f>
        <v>0</v>
      </c>
      <c r="G626" s="3124" t="n">
        <f aca="false">E626*F626*(IF('Ввод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626" s="3124" t="n">
        <f aca="false">дома!G982*(IF('Ввод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627" customFormat="false" ht="15" hidden="false" customHeight="false" outlineLevel="0" collapsed="false">
      <c r="A627" s="3122" t="str">
        <f aca="false">дома!A983</f>
        <v>Стойка каркаса по фронтону, 2 этаж, односкатная кровля, №8</v>
      </c>
      <c r="B627" s="3123" t="str">
        <f aca="false">дома!B983</f>
        <v>м.п.</v>
      </c>
      <c r="C627" s="3124" t="n">
        <f aca="false">дома!C983</f>
        <v>0.4</v>
      </c>
      <c r="D627" s="3124" t="n">
        <f aca="false">дома!D983</f>
        <v>0.045</v>
      </c>
      <c r="E627" s="3124" t="n">
        <f aca="false">дома!E983</f>
        <v>0</v>
      </c>
      <c r="F627" s="3124" t="n">
        <f aca="false">дома!F983</f>
        <v>0</v>
      </c>
      <c r="G627" s="3124" t="n">
        <f aca="false">E627*F627*(IF('Ввод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627" s="3124" t="n">
        <f aca="false">дома!G983*(IF('Ввод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628" customFormat="false" ht="15" hidden="false" customHeight="false" outlineLevel="0" collapsed="false">
      <c r="A628" s="3122" t="str">
        <f aca="false">дома!A984</f>
        <v>Стойка каркаса по фронтону, 2 этаж, односкатная кровля, №9</v>
      </c>
      <c r="B628" s="3123" t="str">
        <f aca="false">дома!B984</f>
        <v>м.п.</v>
      </c>
      <c r="C628" s="3124" t="n">
        <f aca="false">дома!C984</f>
        <v>0.4</v>
      </c>
      <c r="D628" s="3124" t="n">
        <f aca="false">дома!D984</f>
        <v>0.045</v>
      </c>
      <c r="E628" s="3124" t="n">
        <f aca="false">дома!E984</f>
        <v>0</v>
      </c>
      <c r="F628" s="3124" t="n">
        <f aca="false">дома!F984</f>
        <v>0</v>
      </c>
      <c r="G628" s="3124" t="n">
        <f aca="false">E628*F628*(IF('Ввод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628" s="3124" t="n">
        <f aca="false">дома!G984*(IF('Ввод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629" customFormat="false" ht="15" hidden="false" customHeight="false" outlineLevel="0" collapsed="false">
      <c r="A629" s="3122" t="str">
        <f aca="false">дома!A985</f>
        <v>Стойка каркаса по фронтону, 2 этаж, односкатная кровля, №10</v>
      </c>
      <c r="B629" s="3123" t="str">
        <f aca="false">дома!B985</f>
        <v>м.п.</v>
      </c>
      <c r="C629" s="3124" t="n">
        <f aca="false">дома!C985</f>
        <v>0.4</v>
      </c>
      <c r="D629" s="3124" t="n">
        <f aca="false">дома!D985</f>
        <v>0.045</v>
      </c>
      <c r="E629" s="3124" t="n">
        <f aca="false">дома!E985</f>
        <v>0</v>
      </c>
      <c r="F629" s="3124" t="n">
        <f aca="false">дома!F985</f>
        <v>0</v>
      </c>
      <c r="G629" s="3124" t="n">
        <f aca="false">E629*F629*(IF('Ввод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629" s="3124" t="n">
        <f aca="false">дома!G985*(IF('Ввод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630" customFormat="false" ht="15" hidden="false" customHeight="false" outlineLevel="0" collapsed="false">
      <c r="A630" s="3122" t="str">
        <f aca="false">дома!A986</f>
        <v>Стойка каркаса по фронтону, 2 этаж, односкатная кровля, №11</v>
      </c>
      <c r="B630" s="3123" t="str">
        <f aca="false">дома!B986</f>
        <v>м.п.</v>
      </c>
      <c r="C630" s="3124" t="n">
        <f aca="false">дома!C986</f>
        <v>0.4</v>
      </c>
      <c r="D630" s="3124" t="n">
        <f aca="false">дома!D986</f>
        <v>0.045</v>
      </c>
      <c r="E630" s="3124" t="n">
        <f aca="false">дома!E986</f>
        <v>0</v>
      </c>
      <c r="F630" s="3124" t="n">
        <f aca="false">дома!F986</f>
        <v>0</v>
      </c>
      <c r="G630" s="3124" t="n">
        <f aca="false">E630*F630*(IF('Ввод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630" s="3124" t="n">
        <f aca="false">дома!G986*(IF('Ввод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631" customFormat="false" ht="15" hidden="false" customHeight="false" outlineLevel="0" collapsed="false">
      <c r="A631" s="3122" t="str">
        <f aca="false">дома!A987</f>
        <v>Стойка каркаса по фронтону, 2 этаж, односкатная кровля, №12</v>
      </c>
      <c r="B631" s="3123" t="str">
        <f aca="false">дома!B987</f>
        <v>м.п.</v>
      </c>
      <c r="C631" s="3124" t="n">
        <f aca="false">дома!C987</f>
        <v>0.4</v>
      </c>
      <c r="D631" s="3124" t="n">
        <f aca="false">дома!D987</f>
        <v>0.045</v>
      </c>
      <c r="E631" s="3124" t="n">
        <f aca="false">дома!E987</f>
        <v>0</v>
      </c>
      <c r="F631" s="3124" t="n">
        <f aca="false">дома!F987</f>
        <v>0</v>
      </c>
      <c r="G631" s="3124" t="n">
        <f aca="false">E631*F631*(IF('Ввод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631" s="3124" t="n">
        <f aca="false">дома!G987*(IF('Ввод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632" customFormat="false" ht="15" hidden="false" customHeight="false" outlineLevel="0" collapsed="false">
      <c r="A632" s="3122" t="str">
        <f aca="false">дома!A988</f>
        <v>Стойка каркаса по фронтону, 2 этаж, односкатная кровля, №13</v>
      </c>
      <c r="B632" s="3123" t="str">
        <f aca="false">дома!B988</f>
        <v>м.п.</v>
      </c>
      <c r="C632" s="3124" t="n">
        <f aca="false">дома!C988</f>
        <v>0.4</v>
      </c>
      <c r="D632" s="3124" t="n">
        <f aca="false">дома!D988</f>
        <v>0.045</v>
      </c>
      <c r="E632" s="3124" t="n">
        <f aca="false">дома!E988</f>
        <v>0</v>
      </c>
      <c r="F632" s="3124" t="n">
        <f aca="false">дома!F988</f>
        <v>0</v>
      </c>
      <c r="G632" s="3124" t="n">
        <f aca="false">E632*F632*(IF('Ввод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632" s="3124" t="n">
        <f aca="false">дома!G988*(IF('Ввод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633" customFormat="false" ht="15" hidden="false" customHeight="false" outlineLevel="0" collapsed="false">
      <c r="A633" s="3122" t="str">
        <f aca="false">дома!A989</f>
        <v>Стойка каркаса по фронтону, 2 этаж, односкатная кровля, №14</v>
      </c>
      <c r="B633" s="3123" t="str">
        <f aca="false">дома!B989</f>
        <v>м.п.</v>
      </c>
      <c r="C633" s="3124" t="n">
        <f aca="false">дома!C989</f>
        <v>0.4</v>
      </c>
      <c r="D633" s="3124" t="n">
        <f aca="false">дома!D989</f>
        <v>0.045</v>
      </c>
      <c r="E633" s="3124" t="n">
        <f aca="false">дома!E989</f>
        <v>0</v>
      </c>
      <c r="F633" s="3124" t="n">
        <f aca="false">дома!F989</f>
        <v>0</v>
      </c>
      <c r="G633" s="3124" t="n">
        <f aca="false">E633*F633*(IF('Ввод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633" s="3124" t="n">
        <f aca="false">дома!G989*(IF('Ввод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634" customFormat="false" ht="15" hidden="false" customHeight="false" outlineLevel="0" collapsed="false">
      <c r="A634" s="3122" t="str">
        <f aca="false">дома!A990</f>
        <v>Стойка каркаса по фронтону, 2 этаж, односкатная кровля, №15</v>
      </c>
      <c r="B634" s="3123" t="str">
        <f aca="false">дома!B990</f>
        <v>м.п.</v>
      </c>
      <c r="C634" s="3124" t="n">
        <f aca="false">дома!C990</f>
        <v>0.4</v>
      </c>
      <c r="D634" s="3124" t="n">
        <f aca="false">дома!D990</f>
        <v>0.045</v>
      </c>
      <c r="E634" s="3124" t="n">
        <f aca="false">дома!E990</f>
        <v>0</v>
      </c>
      <c r="F634" s="3124" t="n">
        <f aca="false">дома!F990</f>
        <v>0</v>
      </c>
      <c r="G634" s="3124" t="n">
        <f aca="false">E634*F634*(IF('Ввод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634" s="3124" t="n">
        <f aca="false">дома!G990*(IF('Ввод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635" customFormat="false" ht="15" hidden="false" customHeight="false" outlineLevel="0" collapsed="false">
      <c r="A635" s="3122" t="str">
        <f aca="false">дома!A991</f>
        <v>Стойка каркаса по фронтону, 2 этаж, односкатная кровля, №16</v>
      </c>
      <c r="B635" s="3123" t="str">
        <f aca="false">дома!B991</f>
        <v>м.п.</v>
      </c>
      <c r="C635" s="3124" t="n">
        <f aca="false">дома!C991</f>
        <v>0.4</v>
      </c>
      <c r="D635" s="3124" t="n">
        <f aca="false">дома!D991</f>
        <v>0.045</v>
      </c>
      <c r="E635" s="3124" t="n">
        <f aca="false">дома!E991</f>
        <v>0</v>
      </c>
      <c r="F635" s="3124" t="n">
        <f aca="false">дома!F991</f>
        <v>0</v>
      </c>
      <c r="G635" s="3124" t="n">
        <f aca="false">E635*F635*(IF('Ввод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635" s="3124" t="n">
        <f aca="false">дома!G991*(IF('Ввод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636" customFormat="false" ht="15" hidden="false" customHeight="false" outlineLevel="0" collapsed="false">
      <c r="A636" s="3122" t="str">
        <f aca="false">дома!A992</f>
        <v>Стойка каркаса по фронтону, 2 этаж, односкатная кровля, №17</v>
      </c>
      <c r="B636" s="3123" t="str">
        <f aca="false">дома!B992</f>
        <v>м.п.</v>
      </c>
      <c r="C636" s="3124" t="n">
        <f aca="false">дома!C992</f>
        <v>0.4</v>
      </c>
      <c r="D636" s="3124" t="n">
        <f aca="false">дома!D992</f>
        <v>0.045</v>
      </c>
      <c r="E636" s="3124" t="n">
        <f aca="false">дома!E992</f>
        <v>0</v>
      </c>
      <c r="F636" s="3124" t="n">
        <f aca="false">дома!F992</f>
        <v>0</v>
      </c>
      <c r="G636" s="3124" t="n">
        <f aca="false">E636*F636*(IF('Ввод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636" s="3124" t="n">
        <f aca="false">дома!G992*(IF('Ввод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637" customFormat="false" ht="15" hidden="false" customHeight="false" outlineLevel="0" collapsed="false">
      <c r="A637" s="3122" t="str">
        <f aca="false">дома!A993</f>
        <v>Стойка каркаса по фронтону, 2 этаж, двускатная кровля, №1</v>
      </c>
      <c r="B637" s="3123" t="str">
        <f aca="false">дома!B993</f>
        <v>м.п.</v>
      </c>
      <c r="C637" s="3124" t="n">
        <f aca="false">дома!C993</f>
        <v>0.4</v>
      </c>
      <c r="D637" s="3124" t="n">
        <f aca="false">дома!D993</f>
        <v>0.045</v>
      </c>
      <c r="E637" s="3124" t="n">
        <f aca="false">дома!E993</f>
        <v>2.9</v>
      </c>
      <c r="F637" s="3124" t="n">
        <f aca="false">дома!F993</f>
        <v>0</v>
      </c>
      <c r="G637" s="3124" t="n">
        <f aca="false">E637*F637*(IF('Ввод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637" s="3124" t="n">
        <f aca="false">дома!G993*(IF('Ввод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638" customFormat="false" ht="15" hidden="false" customHeight="false" outlineLevel="0" collapsed="false">
      <c r="A638" s="3122" t="str">
        <f aca="false">дома!A994</f>
        <v>Стойка каркаса по фронтону, 2 этаж, двускатная кровля, №2</v>
      </c>
      <c r="B638" s="3123" t="str">
        <f aca="false">дома!B994</f>
        <v>м.п.</v>
      </c>
      <c r="C638" s="3124" t="n">
        <f aca="false">дома!C994</f>
        <v>0.4</v>
      </c>
      <c r="D638" s="3124" t="n">
        <f aca="false">дома!D994</f>
        <v>0.045</v>
      </c>
      <c r="E638" s="3124" t="n">
        <f aca="false">дома!E994</f>
        <v>2.9</v>
      </c>
      <c r="F638" s="3124" t="n">
        <f aca="false">дома!F994</f>
        <v>0</v>
      </c>
      <c r="G638" s="3124" t="n">
        <f aca="false">E638*F638*(IF('Ввод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638" s="3124" t="n">
        <f aca="false">дома!G994*(IF('Ввод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639" customFormat="false" ht="15" hidden="false" customHeight="false" outlineLevel="0" collapsed="false">
      <c r="A639" s="3122" t="str">
        <f aca="false">дома!A995</f>
        <v>Стойка каркаса по фронтону, 2 этаж, двускатная кровля, №3</v>
      </c>
      <c r="B639" s="3123" t="str">
        <f aca="false">дома!B995</f>
        <v>м.п.</v>
      </c>
      <c r="C639" s="3124" t="n">
        <f aca="false">дома!C995</f>
        <v>0.4</v>
      </c>
      <c r="D639" s="3124" t="n">
        <f aca="false">дома!D995</f>
        <v>0.045</v>
      </c>
      <c r="E639" s="3124" t="n">
        <f aca="false">дома!E995</f>
        <v>2.9</v>
      </c>
      <c r="F639" s="3124" t="n">
        <f aca="false">дома!F995</f>
        <v>0</v>
      </c>
      <c r="G639" s="3124" t="n">
        <f aca="false">E639*F639*(IF('Ввод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639" s="3124" t="n">
        <f aca="false">дома!G995*(IF('Ввод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640" customFormat="false" ht="15" hidden="false" customHeight="false" outlineLevel="0" collapsed="false">
      <c r="A640" s="3122" t="str">
        <f aca="false">дома!A996</f>
        <v>Стойка каркаса по фронтону, 2 этаж, двускатная кровля, №4</v>
      </c>
      <c r="B640" s="3123" t="str">
        <f aca="false">дома!B996</f>
        <v>м.п.</v>
      </c>
      <c r="C640" s="3124" t="n">
        <f aca="false">дома!C996</f>
        <v>0.4</v>
      </c>
      <c r="D640" s="3124" t="n">
        <f aca="false">дома!D996</f>
        <v>0.045</v>
      </c>
      <c r="E640" s="3124" t="n">
        <f aca="false">дома!E996</f>
        <v>2.9</v>
      </c>
      <c r="F640" s="3124" t="n">
        <f aca="false">дома!F996</f>
        <v>0</v>
      </c>
      <c r="G640" s="3124" t="n">
        <f aca="false">E640*F640*(IF('Ввод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640" s="3124" t="n">
        <f aca="false">дома!G996*(IF('Ввод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641" customFormat="false" ht="15" hidden="false" customHeight="false" outlineLevel="0" collapsed="false">
      <c r="A641" s="3122" t="str">
        <f aca="false">дома!A997</f>
        <v>Стойка каркаса по фронтону, 2 этаж, двускатная кровля, №5</v>
      </c>
      <c r="B641" s="3123" t="str">
        <f aca="false">дома!B997</f>
        <v>м.п.</v>
      </c>
      <c r="C641" s="3124" t="n">
        <f aca="false">дома!C997</f>
        <v>0.4</v>
      </c>
      <c r="D641" s="3124" t="n">
        <f aca="false">дома!D997</f>
        <v>0.045</v>
      </c>
      <c r="E641" s="3124" t="n">
        <f aca="false">дома!E997</f>
        <v>2.9</v>
      </c>
      <c r="F641" s="3124" t="n">
        <f aca="false">дома!F997</f>
        <v>0</v>
      </c>
      <c r="G641" s="3124" t="n">
        <f aca="false">E641*F641*(IF('Ввод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641" s="3124" t="n">
        <f aca="false">дома!G997*(IF('Ввод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642" customFormat="false" ht="15" hidden="false" customHeight="false" outlineLevel="0" collapsed="false">
      <c r="A642" s="3122" t="str">
        <f aca="false">дома!A998</f>
        <v>Стойка каркаса по фронтону, 2 этаж, двускатная кровля, №6</v>
      </c>
      <c r="B642" s="3123" t="str">
        <f aca="false">дома!B998</f>
        <v>м.п.</v>
      </c>
      <c r="C642" s="3124" t="n">
        <f aca="false">дома!C998</f>
        <v>0.4</v>
      </c>
      <c r="D642" s="3124" t="n">
        <f aca="false">дома!D998</f>
        <v>0.045</v>
      </c>
      <c r="E642" s="3124" t="n">
        <f aca="false">дома!E998</f>
        <v>2.9</v>
      </c>
      <c r="F642" s="3124" t="n">
        <f aca="false">дома!F998</f>
        <v>0</v>
      </c>
      <c r="G642" s="3124" t="n">
        <f aca="false">E642*F642*(IF('Ввод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642" s="3124" t="n">
        <f aca="false">дома!G998*(IF('Ввод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643" customFormat="false" ht="15" hidden="false" customHeight="false" outlineLevel="0" collapsed="false">
      <c r="A643" s="3122" t="str">
        <f aca="false">дома!A999</f>
        <v>Стойка каркаса по фронтону, 2 этаж, двускатная кровля, №7</v>
      </c>
      <c r="B643" s="3123" t="str">
        <f aca="false">дома!B999</f>
        <v>м.п.</v>
      </c>
      <c r="C643" s="3124" t="n">
        <f aca="false">дома!C999</f>
        <v>0.4</v>
      </c>
      <c r="D643" s="3124" t="n">
        <f aca="false">дома!D999</f>
        <v>0.045</v>
      </c>
      <c r="E643" s="3124" t="n">
        <f aca="false">дома!E999</f>
        <v>2.9</v>
      </c>
      <c r="F643" s="3124" t="n">
        <f aca="false">дома!F999</f>
        <v>0</v>
      </c>
      <c r="G643" s="3124" t="n">
        <f aca="false">E643*F643*(IF('Ввод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643" s="3124" t="n">
        <f aca="false">дома!G999*(IF('Ввод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644" customFormat="false" ht="15" hidden="false" customHeight="false" outlineLevel="0" collapsed="false">
      <c r="A644" s="3122" t="str">
        <f aca="false">дома!A1000</f>
        <v>Стойка каркаса по фронтону, 2 этаж, двускатная кровля, №8</v>
      </c>
      <c r="B644" s="3123" t="str">
        <f aca="false">дома!B1000</f>
        <v>м.п.</v>
      </c>
      <c r="C644" s="3124" t="n">
        <f aca="false">дома!C1000</f>
        <v>0.4</v>
      </c>
      <c r="D644" s="3124" t="n">
        <f aca="false">дома!D1000</f>
        <v>0.045</v>
      </c>
      <c r="E644" s="3124" t="n">
        <f aca="false">дома!E1000</f>
        <v>2.9</v>
      </c>
      <c r="F644" s="3124" t="n">
        <f aca="false">дома!F1000</f>
        <v>0</v>
      </c>
      <c r="G644" s="3124" t="n">
        <f aca="false">E644*F644*(IF('Ввод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644" s="3124" t="n">
        <f aca="false">дома!G1000*(IF('Ввод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645" customFormat="false" ht="15" hidden="false" customHeight="false" outlineLevel="0" collapsed="false">
      <c r="A645" s="3122" t="str">
        <f aca="false">дома!A1001</f>
        <v>Стойка каркаса по фронтону, 2 этаж, двускатная кровля, №9</v>
      </c>
      <c r="B645" s="3123" t="str">
        <f aca="false">дома!B1001</f>
        <v>м.п.</v>
      </c>
      <c r="C645" s="3124" t="n">
        <f aca="false">дома!C1001</f>
        <v>0.4</v>
      </c>
      <c r="D645" s="3124" t="n">
        <f aca="false">дома!D1001</f>
        <v>0.045</v>
      </c>
      <c r="E645" s="3124" t="n">
        <f aca="false">дома!E1001</f>
        <v>2.9</v>
      </c>
      <c r="F645" s="3124" t="n">
        <f aca="false">дома!F1001</f>
        <v>0</v>
      </c>
      <c r="G645" s="3124" t="n">
        <f aca="false">E645*F645*(IF('Ввод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645" s="3124" t="n">
        <f aca="false">дома!G1001*(IF('Ввод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646" customFormat="false" ht="15" hidden="false" customHeight="false" outlineLevel="0" collapsed="false">
      <c r="A646" s="3122" t="str">
        <f aca="false">дома!A1002</f>
        <v>Стойка каркаса по фронтону, 2 этаж, двускатная кровля, №10</v>
      </c>
      <c r="B646" s="3123" t="str">
        <f aca="false">дома!B1002</f>
        <v>м.п.</v>
      </c>
      <c r="C646" s="3124" t="n">
        <f aca="false">дома!C1002</f>
        <v>0.4</v>
      </c>
      <c r="D646" s="3124" t="n">
        <f aca="false">дома!D1002</f>
        <v>0.045</v>
      </c>
      <c r="E646" s="3124" t="n">
        <f aca="false">дома!E1002</f>
        <v>2.9</v>
      </c>
      <c r="F646" s="3124" t="n">
        <f aca="false">дома!F1002</f>
        <v>0</v>
      </c>
      <c r="G646" s="3124" t="n">
        <f aca="false">E646*F646*(IF('Ввод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646" s="3124" t="n">
        <f aca="false">дома!G1002*(IF('Ввод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647" customFormat="false" ht="15" hidden="false" customHeight="false" outlineLevel="0" collapsed="false">
      <c r="A647" s="3122" t="str">
        <f aca="false">дома!A1003</f>
        <v>Стойка каркаса по фронтону, 2 этаж, двускатная кровля, №11</v>
      </c>
      <c r="B647" s="3123" t="str">
        <f aca="false">дома!B1003</f>
        <v>м.п.</v>
      </c>
      <c r="C647" s="3124" t="n">
        <f aca="false">дома!C1003</f>
        <v>0.4</v>
      </c>
      <c r="D647" s="3124" t="n">
        <f aca="false">дома!D1003</f>
        <v>0.045</v>
      </c>
      <c r="E647" s="3124" t="n">
        <f aca="false">дома!E1003</f>
        <v>2.9</v>
      </c>
      <c r="F647" s="3124" t="n">
        <f aca="false">дома!F1003</f>
        <v>0</v>
      </c>
      <c r="G647" s="3124" t="n">
        <f aca="false">E647*F647*(IF('Ввод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647" s="3124" t="n">
        <f aca="false">дома!G1003*(IF('Ввод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648" customFormat="false" ht="15" hidden="false" customHeight="false" outlineLevel="0" collapsed="false">
      <c r="A648" s="3122" t="str">
        <f aca="false">дома!A1004</f>
        <v>Стойка каркаса по фронтону, 2 этаж, двускатная кровля, №12</v>
      </c>
      <c r="B648" s="3123" t="str">
        <f aca="false">дома!B1004</f>
        <v>м.п.</v>
      </c>
      <c r="C648" s="3124" t="n">
        <f aca="false">дома!C1004</f>
        <v>0.4</v>
      </c>
      <c r="D648" s="3124" t="n">
        <f aca="false">дома!D1004</f>
        <v>0.045</v>
      </c>
      <c r="E648" s="3124" t="n">
        <f aca="false">дома!E1004</f>
        <v>2.9</v>
      </c>
      <c r="F648" s="3124" t="n">
        <f aca="false">дома!F1004</f>
        <v>0</v>
      </c>
      <c r="G648" s="3124" t="n">
        <f aca="false">E648*F648*(IF('Ввод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648" s="3124" t="n">
        <f aca="false">дома!G1004*(IF('Ввод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649" customFormat="false" ht="15" hidden="false" customHeight="false" outlineLevel="0" collapsed="false">
      <c r="A649" s="3122" t="str">
        <f aca="false">дома!A1005</f>
        <v>Стойка каркаса по фронтону, 2 этаж, двускатная кровля, №13</v>
      </c>
      <c r="B649" s="3123" t="str">
        <f aca="false">дома!B1005</f>
        <v>м.п.</v>
      </c>
      <c r="C649" s="3124" t="n">
        <f aca="false">дома!C1005</f>
        <v>0.4</v>
      </c>
      <c r="D649" s="3124" t="n">
        <f aca="false">дома!D1005</f>
        <v>0.045</v>
      </c>
      <c r="E649" s="3124" t="n">
        <f aca="false">дома!E1005</f>
        <v>2.9</v>
      </c>
      <c r="F649" s="3124" t="n">
        <f aca="false">дома!F1005</f>
        <v>0</v>
      </c>
      <c r="G649" s="3124" t="n">
        <f aca="false">E649*F649*(IF('Ввод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649" s="3124" t="n">
        <f aca="false">дома!G1005*(IF('Ввод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650" customFormat="false" ht="15" hidden="false" customHeight="false" outlineLevel="0" collapsed="false">
      <c r="A650" s="3122" t="str">
        <f aca="false">дома!A1006</f>
        <v>Стойка каркаса по фронтону, 2 этаж, двускатная кровля, №14</v>
      </c>
      <c r="B650" s="3123" t="str">
        <f aca="false">дома!B1006</f>
        <v>м.п.</v>
      </c>
      <c r="C650" s="3124" t="n">
        <f aca="false">дома!C1006</f>
        <v>0.4</v>
      </c>
      <c r="D650" s="3124" t="n">
        <f aca="false">дома!D1006</f>
        <v>0.045</v>
      </c>
      <c r="E650" s="3124" t="n">
        <f aca="false">дома!E1006</f>
        <v>2.9</v>
      </c>
      <c r="F650" s="3124" t="n">
        <f aca="false">дома!F1006</f>
        <v>0</v>
      </c>
      <c r="G650" s="3124" t="n">
        <f aca="false">E650*F650*(IF('Ввод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650" s="3124" t="n">
        <f aca="false">дома!G1006*(IF('Ввод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651" customFormat="false" ht="15" hidden="false" customHeight="false" outlineLevel="0" collapsed="false">
      <c r="A651" s="3122" t="str">
        <f aca="false">дома!A1007</f>
        <v>Стойка каркаса по фронтону, 2 этаж, двускатная кровля, №15</v>
      </c>
      <c r="B651" s="3123" t="str">
        <f aca="false">дома!B1007</f>
        <v>м.п.</v>
      </c>
      <c r="C651" s="3124" t="n">
        <f aca="false">дома!C1007</f>
        <v>0.4</v>
      </c>
      <c r="D651" s="3124" t="n">
        <f aca="false">дома!D1007</f>
        <v>0.045</v>
      </c>
      <c r="E651" s="3124" t="n">
        <f aca="false">дома!E1007</f>
        <v>2.9</v>
      </c>
      <c r="F651" s="3124" t="n">
        <f aca="false">дома!F1007</f>
        <v>0</v>
      </c>
      <c r="G651" s="3124" t="n">
        <f aca="false">E651*F651*(IF('Ввод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651" s="3124" t="n">
        <f aca="false">дома!G1007*(IF('Ввод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652" customFormat="false" ht="15" hidden="false" customHeight="false" outlineLevel="0" collapsed="false">
      <c r="A652" s="3122" t="str">
        <f aca="false">дома!A1008</f>
        <v>Стойка каркаса по фронтону, 2 этаж, двускатная кровля, №16</v>
      </c>
      <c r="B652" s="3123" t="str">
        <f aca="false">дома!B1008</f>
        <v>м.п.</v>
      </c>
      <c r="C652" s="3124" t="n">
        <f aca="false">дома!C1008</f>
        <v>0.4</v>
      </c>
      <c r="D652" s="3124" t="n">
        <f aca="false">дома!D1008</f>
        <v>0.045</v>
      </c>
      <c r="E652" s="3124" t="n">
        <f aca="false">дома!E1008</f>
        <v>2.9</v>
      </c>
      <c r="F652" s="3124" t="n">
        <f aca="false">дома!F1008</f>
        <v>0</v>
      </c>
      <c r="G652" s="3124" t="n">
        <f aca="false">E652*F652*(IF('Ввод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652" s="3124" t="n">
        <f aca="false">дома!G1008*(IF('Ввод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653" customFormat="false" ht="15" hidden="false" customHeight="false" outlineLevel="0" collapsed="false">
      <c r="A653" s="3122" t="str">
        <f aca="false">дома!A1009</f>
        <v>Стойка каркаса по фронтону, 2 этаж, двускатная кровля, №17</v>
      </c>
      <c r="B653" s="3123" t="str">
        <f aca="false">дома!B1009</f>
        <v>м.п.</v>
      </c>
      <c r="C653" s="3124" t="n">
        <f aca="false">дома!C1009</f>
        <v>0.4</v>
      </c>
      <c r="D653" s="3124" t="n">
        <f aca="false">дома!D1009</f>
        <v>0.045</v>
      </c>
      <c r="E653" s="3124" t="n">
        <f aca="false">дома!E1009</f>
        <v>2.9</v>
      </c>
      <c r="F653" s="3124" t="n">
        <f aca="false">дома!F1009</f>
        <v>0</v>
      </c>
      <c r="G653" s="3124" t="n">
        <f aca="false">E653*F653*(IF('Ввод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653" s="3124" t="n">
        <f aca="false">дома!G1009*(IF('Ввод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654" customFormat="false" ht="21" hidden="false" customHeight="false" outlineLevel="0" collapsed="false">
      <c r="A654" s="3119" t="s">
        <v>4283</v>
      </c>
      <c r="B654" s="3119"/>
      <c r="C654" s="3119"/>
      <c r="D654" s="3119"/>
      <c r="E654" s="3119"/>
      <c r="F654" s="3119"/>
      <c r="G654" s="3125" t="n">
        <f aca="false">E654*F654</f>
        <v>0</v>
      </c>
      <c r="H654" s="3125" t="n">
        <f aca="false">SUM(H655:H694)</f>
        <v>0</v>
      </c>
    </row>
    <row r="655" customFormat="false" ht="15" hidden="false" customHeight="false" outlineLevel="0" collapsed="false">
      <c r="A655" s="3122" t="str">
        <f aca="false">дома!A550</f>
        <v>Стойки каркаса передней стены 1 эт</v>
      </c>
      <c r="B655" s="3123" t="str">
        <f aca="false">дома!B550</f>
        <v>м.п.</v>
      </c>
      <c r="C655" s="3124" t="n">
        <f aca="false">дома!C550</f>
        <v>0.4</v>
      </c>
      <c r="D655" s="3124" t="n">
        <f aca="false">дома!D550</f>
        <v>0.045</v>
      </c>
      <c r="E655" s="3124" t="n">
        <f aca="false">дома!E550</f>
        <v>3</v>
      </c>
      <c r="F655" s="3124" t="n">
        <f aca="false">дома!F550</f>
        <v>0</v>
      </c>
      <c r="G655" s="3124" t="n">
        <f aca="false">E655*F655*IF('Ввод данных'!$A$19=связи1!$A$150,1,0)</f>
        <v>0</v>
      </c>
      <c r="H655" s="3124" t="n">
        <f aca="false">дома!G550*IF('Ввод данных'!$A$19=связи1!$A$150,1,0)</f>
        <v>0</v>
      </c>
    </row>
    <row r="656" customFormat="false" ht="15" hidden="false" customHeight="false" outlineLevel="0" collapsed="false">
      <c r="A656" s="3122" t="str">
        <f aca="false">дома!A551</f>
        <v>Стойки каркаса, левая сторона 1 эт</v>
      </c>
      <c r="B656" s="3123" t="str">
        <f aca="false">дома!B551</f>
        <v>м.п.</v>
      </c>
      <c r="C656" s="3124" t="n">
        <f aca="false">дома!C551</f>
        <v>0.4</v>
      </c>
      <c r="D656" s="3124" t="n">
        <f aca="false">дома!D551</f>
        <v>0.045</v>
      </c>
      <c r="E656" s="3124" t="n">
        <f aca="false">дома!E551</f>
        <v>3</v>
      </c>
      <c r="F656" s="3124" t="n">
        <f aca="false">дома!F551</f>
        <v>0</v>
      </c>
      <c r="G656" s="3124" t="n">
        <f aca="false">E656*F656*IF('Ввод данных'!$A$19=связи1!$A$150,1,0)</f>
        <v>0</v>
      </c>
      <c r="H656" s="3124" t="n">
        <f aca="false">дома!G551*IF('Ввод данных'!$A$19=связи1!$A$150,1,0)</f>
        <v>0</v>
      </c>
    </row>
    <row r="657" customFormat="false" ht="15" hidden="false" customHeight="false" outlineLevel="0" collapsed="false">
      <c r="A657" s="3122" t="str">
        <f aca="false">дома!A552</f>
        <v>Стойки каркаса, правая сторона, 1 эт</v>
      </c>
      <c r="B657" s="3123" t="str">
        <f aca="false">дома!B552</f>
        <v>м.п.</v>
      </c>
      <c r="C657" s="3124" t="n">
        <f aca="false">дома!C552</f>
        <v>0.4</v>
      </c>
      <c r="D657" s="3124" t="n">
        <f aca="false">дома!D552</f>
        <v>0.045</v>
      </c>
      <c r="E657" s="3124" t="n">
        <f aca="false">дома!E552</f>
        <v>3</v>
      </c>
      <c r="F657" s="3124" t="n">
        <f aca="false">дома!F552</f>
        <v>0</v>
      </c>
      <c r="G657" s="3124" t="n">
        <f aca="false">E657*F657*IF('Ввод данных'!$A$19=связи1!$A$150,1,0)</f>
        <v>0</v>
      </c>
      <c r="H657" s="3124" t="n">
        <f aca="false">дома!G552*IF('Ввод данных'!$A$19=связи1!$A$150,1,0)</f>
        <v>0</v>
      </c>
    </row>
    <row r="658" customFormat="false" ht="15" hidden="false" customHeight="false" outlineLevel="0" collapsed="false">
      <c r="A658" s="3122" t="str">
        <f aca="false">дома!A553</f>
        <v>Обвязка каркаса верхняя/нижняя наружние стены 1 эт</v>
      </c>
      <c r="B658" s="3123" t="str">
        <f aca="false">дома!B553</f>
        <v>м.п.</v>
      </c>
      <c r="C658" s="3124" t="n">
        <f aca="false">дома!C553</f>
        <v>0.4</v>
      </c>
      <c r="D658" s="3124" t="n">
        <f aca="false">дома!D553</f>
        <v>0.045</v>
      </c>
      <c r="E658" s="3124" t="n">
        <f aca="false">дома!E553</f>
        <v>0</v>
      </c>
      <c r="F658" s="3124" t="n">
        <f aca="false">дома!F553</f>
        <v>0</v>
      </c>
      <c r="G658" s="3124" t="n">
        <f aca="false">E658*F658*IF('Ввод данных'!$A$19=связи1!$A$150,1,0)</f>
        <v>0</v>
      </c>
      <c r="H658" s="3124" t="n">
        <f aca="false">дома!G553*IF('Ввод данных'!$A$19=связи1!$A$150,1,0)</f>
        <v>0</v>
      </c>
    </row>
    <row r="659" customFormat="false" ht="15" hidden="false" customHeight="false" outlineLevel="0" collapsed="false">
      <c r="A659" s="3122" t="str">
        <f aca="false">дома!A554</f>
        <v>Ригель каркаса наружние стены 1 эт</v>
      </c>
      <c r="B659" s="3123" t="str">
        <f aca="false">дома!B554</f>
        <v>м.п.</v>
      </c>
      <c r="C659" s="3124" t="n">
        <f aca="false">дома!C554</f>
        <v>0.4</v>
      </c>
      <c r="D659" s="3124" t="n">
        <f aca="false">дома!D554</f>
        <v>0.045</v>
      </c>
      <c r="E659" s="3124" t="n">
        <f aca="false">дома!E554</f>
        <v>0</v>
      </c>
      <c r="F659" s="3124" t="n">
        <f aca="false">дома!F554</f>
        <v>0</v>
      </c>
      <c r="G659" s="3124" t="n">
        <f aca="false">E659*F659*IF('Ввод данных'!$A$19=связи1!$A$150,1,0)</f>
        <v>0</v>
      </c>
      <c r="H659" s="3124" t="n">
        <f aca="false">дома!G554*IF('Ввод данных'!$A$19=связи1!$A$150,1,0)</f>
        <v>0</v>
      </c>
    </row>
    <row r="660" customFormat="false" ht="15" hidden="false" customHeight="false" outlineLevel="0" collapsed="false">
      <c r="A660" s="3122" t="str">
        <f aca="false">дома!A555</f>
        <v>Укосина наружних стен, усиление 1 этаж</v>
      </c>
      <c r="B660" s="3123" t="str">
        <f aca="false">дома!B555</f>
        <v>м.п.</v>
      </c>
      <c r="C660" s="3124" t="n">
        <f aca="false">дома!C555</f>
        <v>0.4</v>
      </c>
      <c r="D660" s="3124" t="n">
        <f aca="false">дома!D555</f>
        <v>0.045</v>
      </c>
      <c r="E660" s="3124" t="n">
        <f aca="false">дома!E555</f>
        <v>0</v>
      </c>
      <c r="F660" s="3124" t="n">
        <f aca="false">дома!F555</f>
        <v>8</v>
      </c>
      <c r="G660" s="3124" t="n">
        <f aca="false">E660*F660*IF('Ввод данных'!$A$19=связи1!$A$150,1,0)</f>
        <v>0</v>
      </c>
      <c r="H660" s="3124" t="n">
        <f aca="false">дома!G555*IF('Ввод данных'!$A$19=связи1!$A$150,1,0)</f>
        <v>0</v>
      </c>
    </row>
    <row r="661" customFormat="false" ht="15" hidden="false" customHeight="false" outlineLevel="0" collapsed="false">
      <c r="A661" s="3122" t="str">
        <f aca="false">дома!A556</f>
        <v>Стойка каркаса по фронтону, 1 этаж, односкатная кровля, №1</v>
      </c>
      <c r="B661" s="3123" t="str">
        <f aca="false">дома!B556</f>
        <v>м.п.</v>
      </c>
      <c r="C661" s="3124" t="n">
        <f aca="false">дома!C556</f>
        <v>0.4</v>
      </c>
      <c r="D661" s="3124" t="n">
        <f aca="false">дома!D556</f>
        <v>0.045</v>
      </c>
      <c r="E661" s="3124" t="n">
        <f aca="false">дома!E556</f>
        <v>0</v>
      </c>
      <c r="F661" s="3124" t="n">
        <f aca="false">дома!F556</f>
        <v>2</v>
      </c>
      <c r="G661" s="3124" t="n">
        <f aca="false">E661*F661*IF('Ввод данных'!$A$19=связи1!$A$150,1,0)</f>
        <v>0</v>
      </c>
      <c r="H661" s="3124" t="n">
        <f aca="false">дома!G556*IF('Ввод данных'!$A$19=связи1!$A$150,1,0)</f>
        <v>0</v>
      </c>
    </row>
    <row r="662" customFormat="false" ht="15" hidden="false" customHeight="false" outlineLevel="0" collapsed="false">
      <c r="A662" s="3122" t="str">
        <f aca="false">дома!A557</f>
        <v>Стойка каркаса по фронтону, 1 этаж, односкатная кровля, №2</v>
      </c>
      <c r="B662" s="3123" t="str">
        <f aca="false">дома!B557</f>
        <v>м.п.</v>
      </c>
      <c r="C662" s="3124" t="n">
        <f aca="false">дома!C557</f>
        <v>0.4</v>
      </c>
      <c r="D662" s="3124" t="n">
        <f aca="false">дома!D557</f>
        <v>0.045</v>
      </c>
      <c r="E662" s="3124" t="n">
        <f aca="false">дома!E557</f>
        <v>0</v>
      </c>
      <c r="F662" s="3124" t="n">
        <f aca="false">дома!F557</f>
        <v>2</v>
      </c>
      <c r="G662" s="3124" t="n">
        <f aca="false">E662*F662*IF('Ввод данных'!$A$19=связи1!$A$150,1,0)</f>
        <v>0</v>
      </c>
      <c r="H662" s="3124" t="n">
        <f aca="false">дома!G557*IF('Ввод данных'!$A$19=связи1!$A$150,1,0)</f>
        <v>0</v>
      </c>
    </row>
    <row r="663" customFormat="false" ht="15" hidden="false" customHeight="false" outlineLevel="0" collapsed="false">
      <c r="A663" s="3122" t="str">
        <f aca="false">дома!A558</f>
        <v>Стойка каркаса по фронтону, 1 этаж, односкатная кровля, №3</v>
      </c>
      <c r="B663" s="3123" t="str">
        <f aca="false">дома!B558</f>
        <v>м.п.</v>
      </c>
      <c r="C663" s="3124" t="n">
        <f aca="false">дома!C558</f>
        <v>0.4</v>
      </c>
      <c r="D663" s="3124" t="n">
        <f aca="false">дома!D558</f>
        <v>0.045</v>
      </c>
      <c r="E663" s="3124" t="n">
        <f aca="false">дома!E558</f>
        <v>0</v>
      </c>
      <c r="F663" s="3124" t="n">
        <f aca="false">дома!F558</f>
        <v>2</v>
      </c>
      <c r="G663" s="3124" t="n">
        <f aca="false">E663*F663*IF('Ввод данных'!$A$19=связи1!$A$150,1,0)</f>
        <v>0</v>
      </c>
      <c r="H663" s="3124" t="n">
        <f aca="false">дома!G558*IF('Ввод данных'!$A$19=связи1!$A$150,1,0)</f>
        <v>0</v>
      </c>
    </row>
    <row r="664" customFormat="false" ht="15" hidden="false" customHeight="false" outlineLevel="0" collapsed="false">
      <c r="A664" s="3122" t="str">
        <f aca="false">дома!A559</f>
        <v>Стойка каркаса по фронтону, 1 этаж, односкатная кровля, №4</v>
      </c>
      <c r="B664" s="3123" t="str">
        <f aca="false">дома!B559</f>
        <v>м.п.</v>
      </c>
      <c r="C664" s="3124" t="n">
        <f aca="false">дома!C559</f>
        <v>0.4</v>
      </c>
      <c r="D664" s="3124" t="n">
        <f aca="false">дома!D559</f>
        <v>0.045</v>
      </c>
      <c r="E664" s="3124" t="n">
        <f aca="false">дома!E559</f>
        <v>0</v>
      </c>
      <c r="F664" s="3124" t="n">
        <f aca="false">дома!F559</f>
        <v>2</v>
      </c>
      <c r="G664" s="3124" t="n">
        <f aca="false">E664*F664*IF('Ввод данных'!$A$19=связи1!$A$150,1,0)</f>
        <v>0</v>
      </c>
      <c r="H664" s="3124" t="n">
        <f aca="false">дома!G559*IF('Ввод данных'!$A$19=связи1!$A$150,1,0)</f>
        <v>0</v>
      </c>
    </row>
    <row r="665" customFormat="false" ht="15" hidden="false" customHeight="false" outlineLevel="0" collapsed="false">
      <c r="A665" s="3122" t="str">
        <f aca="false">дома!A560</f>
        <v>Стойка каркаса по фронтону, 1 этаж, односкатная кровля, №5</v>
      </c>
      <c r="B665" s="3123" t="str">
        <f aca="false">дома!B560</f>
        <v>м.п.</v>
      </c>
      <c r="C665" s="3124" t="n">
        <f aca="false">дома!C560</f>
        <v>0.4</v>
      </c>
      <c r="D665" s="3124" t="n">
        <f aca="false">дома!D560</f>
        <v>0.045</v>
      </c>
      <c r="E665" s="3124" t="n">
        <f aca="false">дома!E560</f>
        <v>0</v>
      </c>
      <c r="F665" s="3124" t="n">
        <f aca="false">дома!F560</f>
        <v>2</v>
      </c>
      <c r="G665" s="3124" t="n">
        <f aca="false">E665*F665*IF('Ввод данных'!$A$19=связи1!$A$150,1,0)</f>
        <v>0</v>
      </c>
      <c r="H665" s="3124" t="n">
        <f aca="false">дома!G560*IF('Ввод данных'!$A$19=связи1!$A$150,1,0)</f>
        <v>0</v>
      </c>
    </row>
    <row r="666" customFormat="false" ht="15" hidden="false" customHeight="false" outlineLevel="0" collapsed="false">
      <c r="A666" s="3122" t="str">
        <f aca="false">дома!A561</f>
        <v>Стойка каркаса по фронтону, 1 этаж, односкатная кровля, №6</v>
      </c>
      <c r="B666" s="3123" t="str">
        <f aca="false">дома!B561</f>
        <v>м.п.</v>
      </c>
      <c r="C666" s="3124" t="n">
        <f aca="false">дома!C561</f>
        <v>0.4</v>
      </c>
      <c r="D666" s="3124" t="n">
        <f aca="false">дома!D561</f>
        <v>0.045</v>
      </c>
      <c r="E666" s="3124" t="n">
        <f aca="false">дома!E561</f>
        <v>0</v>
      </c>
      <c r="F666" s="3124" t="n">
        <f aca="false">дома!F561</f>
        <v>2</v>
      </c>
      <c r="G666" s="3124" t="n">
        <f aca="false">E666*F666*IF('Ввод данных'!$A$19=связи1!$A$150,1,0)</f>
        <v>0</v>
      </c>
      <c r="H666" s="3124" t="n">
        <f aca="false">дома!G561*IF('Ввод данных'!$A$19=связи1!$A$150,1,0)</f>
        <v>0</v>
      </c>
    </row>
    <row r="667" customFormat="false" ht="15" hidden="false" customHeight="false" outlineLevel="0" collapsed="false">
      <c r="A667" s="3122" t="str">
        <f aca="false">дома!A562</f>
        <v>Стойка каркаса по фронтону, 1 этаж, односкатная кровля, №7</v>
      </c>
      <c r="B667" s="3123" t="str">
        <f aca="false">дома!B562</f>
        <v>м.п.</v>
      </c>
      <c r="C667" s="3124" t="n">
        <f aca="false">дома!C562</f>
        <v>0.4</v>
      </c>
      <c r="D667" s="3124" t="n">
        <f aca="false">дома!D562</f>
        <v>0.045</v>
      </c>
      <c r="E667" s="3124" t="n">
        <f aca="false">дома!E562</f>
        <v>0</v>
      </c>
      <c r="F667" s="3124" t="n">
        <f aca="false">дома!F562</f>
        <v>2</v>
      </c>
      <c r="G667" s="3124" t="n">
        <f aca="false">E667*F667*IF('Ввод данных'!$A$19=связи1!$A$150,1,0)</f>
        <v>0</v>
      </c>
      <c r="H667" s="3124" t="n">
        <f aca="false">дома!G562*IF('Ввод данных'!$A$19=связи1!$A$150,1,0)</f>
        <v>0</v>
      </c>
    </row>
    <row r="668" customFormat="false" ht="15" hidden="false" customHeight="false" outlineLevel="0" collapsed="false">
      <c r="A668" s="3122" t="str">
        <f aca="false">дома!A563</f>
        <v>Стойка каркаса по фронтону, 1 этаж, односкатная кровля, №8</v>
      </c>
      <c r="B668" s="3123" t="str">
        <f aca="false">дома!B563</f>
        <v>м.п.</v>
      </c>
      <c r="C668" s="3124" t="n">
        <f aca="false">дома!C563</f>
        <v>0.4</v>
      </c>
      <c r="D668" s="3124" t="n">
        <f aca="false">дома!D563</f>
        <v>0.045</v>
      </c>
      <c r="E668" s="3124" t="n">
        <f aca="false">дома!E563</f>
        <v>0</v>
      </c>
      <c r="F668" s="3124" t="n">
        <f aca="false">дома!F563</f>
        <v>2</v>
      </c>
      <c r="G668" s="3124" t="n">
        <f aca="false">E668*F668*IF('Ввод данных'!$A$19=связи1!$A$150,1,0)</f>
        <v>0</v>
      </c>
      <c r="H668" s="3124" t="n">
        <f aca="false">дома!G563*IF('Ввод данных'!$A$19=связи1!$A$150,1,0)</f>
        <v>0</v>
      </c>
    </row>
    <row r="669" customFormat="false" ht="15" hidden="false" customHeight="false" outlineLevel="0" collapsed="false">
      <c r="A669" s="3122" t="str">
        <f aca="false">дома!A564</f>
        <v>Стойка каркаса по фронтону, 1 этаж, односкатная кровля, №9</v>
      </c>
      <c r="B669" s="3123" t="str">
        <f aca="false">дома!B564</f>
        <v>м.п.</v>
      </c>
      <c r="C669" s="3124" t="n">
        <f aca="false">дома!C564</f>
        <v>0.4</v>
      </c>
      <c r="D669" s="3124" t="n">
        <f aca="false">дома!D564</f>
        <v>0.045</v>
      </c>
      <c r="E669" s="3124" t="n">
        <f aca="false">дома!E564</f>
        <v>0</v>
      </c>
      <c r="F669" s="3124" t="n">
        <f aca="false">дома!F564</f>
        <v>2</v>
      </c>
      <c r="G669" s="3124" t="n">
        <f aca="false">E669*F669*IF('Ввод данных'!$A$19=связи1!$A$150,1,0)</f>
        <v>0</v>
      </c>
      <c r="H669" s="3124" t="n">
        <f aca="false">дома!G564*IF('Ввод данных'!$A$19=связи1!$A$150,1,0)</f>
        <v>0</v>
      </c>
    </row>
    <row r="670" customFormat="false" ht="15" hidden="false" customHeight="false" outlineLevel="0" collapsed="false">
      <c r="A670" s="3122" t="str">
        <f aca="false">дома!A565</f>
        <v>Стойка каркаса по фронтону, 1 этаж, односкатная кровля, №10</v>
      </c>
      <c r="B670" s="3123" t="str">
        <f aca="false">дома!B565</f>
        <v>м.п.</v>
      </c>
      <c r="C670" s="3124" t="n">
        <f aca="false">дома!C565</f>
        <v>0.4</v>
      </c>
      <c r="D670" s="3124" t="n">
        <f aca="false">дома!D565</f>
        <v>0.045</v>
      </c>
      <c r="E670" s="3124" t="n">
        <f aca="false">дома!E565</f>
        <v>0</v>
      </c>
      <c r="F670" s="3124" t="n">
        <f aca="false">дома!F565</f>
        <v>2</v>
      </c>
      <c r="G670" s="3124" t="n">
        <f aca="false">E670*F670*IF('Ввод данных'!$A$19=связи1!$A$150,1,0)</f>
        <v>0</v>
      </c>
      <c r="H670" s="3124" t="n">
        <f aca="false">дома!G565*IF('Ввод данных'!$A$19=связи1!$A$150,1,0)</f>
        <v>0</v>
      </c>
    </row>
    <row r="671" customFormat="false" ht="15" hidden="false" customHeight="false" outlineLevel="0" collapsed="false">
      <c r="A671" s="3122" t="str">
        <f aca="false">дома!A566</f>
        <v>Стойка каркаса по фронтону, 1 этаж, односкатная кровля, №11</v>
      </c>
      <c r="B671" s="3123" t="str">
        <f aca="false">дома!B566</f>
        <v>м.п.</v>
      </c>
      <c r="C671" s="3124" t="n">
        <f aca="false">дома!C566</f>
        <v>0.4</v>
      </c>
      <c r="D671" s="3124" t="n">
        <f aca="false">дома!D566</f>
        <v>0.045</v>
      </c>
      <c r="E671" s="3124" t="n">
        <f aca="false">дома!E566</f>
        <v>0</v>
      </c>
      <c r="F671" s="3124" t="n">
        <f aca="false">дома!F566</f>
        <v>2</v>
      </c>
      <c r="G671" s="3124" t="n">
        <f aca="false">E671*F671*IF('Ввод данных'!$A$19=связи1!$A$150,1,0)</f>
        <v>0</v>
      </c>
      <c r="H671" s="3124" t="n">
        <f aca="false">дома!G566*IF('Ввод данных'!$A$19=связи1!$A$150,1,0)</f>
        <v>0</v>
      </c>
    </row>
    <row r="672" customFormat="false" ht="15" hidden="false" customHeight="false" outlineLevel="0" collapsed="false">
      <c r="A672" s="3122" t="str">
        <f aca="false">дома!A567</f>
        <v>Стойка каркаса по фронтону, 1 этаж, односкатная кровля, №12</v>
      </c>
      <c r="B672" s="3123" t="str">
        <f aca="false">дома!B567</f>
        <v>м.п.</v>
      </c>
      <c r="C672" s="3124" t="n">
        <f aca="false">дома!C567</f>
        <v>0.4</v>
      </c>
      <c r="D672" s="3124" t="n">
        <f aca="false">дома!D567</f>
        <v>0.045</v>
      </c>
      <c r="E672" s="3124" t="n">
        <f aca="false">дома!E567</f>
        <v>0</v>
      </c>
      <c r="F672" s="3124" t="n">
        <f aca="false">дома!F567</f>
        <v>2</v>
      </c>
      <c r="G672" s="3124" t="n">
        <f aca="false">E672*F672*IF('Ввод данных'!$A$19=связи1!$A$150,1,0)</f>
        <v>0</v>
      </c>
      <c r="H672" s="3124" t="n">
        <f aca="false">дома!G567*IF('Ввод данных'!$A$19=связи1!$A$150,1,0)</f>
        <v>0</v>
      </c>
    </row>
    <row r="673" customFormat="false" ht="15" hidden="false" customHeight="false" outlineLevel="0" collapsed="false">
      <c r="A673" s="3122" t="str">
        <f aca="false">дома!A568</f>
        <v>Стойка каркаса по фронтону, 1 этаж, односкатная кровля, №13</v>
      </c>
      <c r="B673" s="3123" t="str">
        <f aca="false">дома!B568</f>
        <v>м.п.</v>
      </c>
      <c r="C673" s="3124" t="n">
        <f aca="false">дома!C568</f>
        <v>0.4</v>
      </c>
      <c r="D673" s="3124" t="n">
        <f aca="false">дома!D568</f>
        <v>0.045</v>
      </c>
      <c r="E673" s="3124" t="n">
        <f aca="false">дома!E568</f>
        <v>0</v>
      </c>
      <c r="F673" s="3124" t="n">
        <f aca="false">дома!F568</f>
        <v>2</v>
      </c>
      <c r="G673" s="3124" t="n">
        <f aca="false">E673*F673*IF('Ввод данных'!$A$19=связи1!$A$150,1,0)</f>
        <v>0</v>
      </c>
      <c r="H673" s="3124" t="n">
        <f aca="false">дома!G568*IF('Ввод данных'!$A$19=связи1!$A$150,1,0)</f>
        <v>0</v>
      </c>
    </row>
    <row r="674" customFormat="false" ht="15" hidden="false" customHeight="false" outlineLevel="0" collapsed="false">
      <c r="A674" s="3122" t="str">
        <f aca="false">дома!A569</f>
        <v>Стойка каркаса по фронтону, 1 этаж, односкатная кровля, №14</v>
      </c>
      <c r="B674" s="3123" t="str">
        <f aca="false">дома!B569</f>
        <v>м.п.</v>
      </c>
      <c r="C674" s="3124" t="n">
        <f aca="false">дома!C569</f>
        <v>0.4</v>
      </c>
      <c r="D674" s="3124" t="n">
        <f aca="false">дома!D569</f>
        <v>0.045</v>
      </c>
      <c r="E674" s="3124" t="n">
        <f aca="false">дома!E569</f>
        <v>0</v>
      </c>
      <c r="F674" s="3124" t="n">
        <f aca="false">дома!F569</f>
        <v>2</v>
      </c>
      <c r="G674" s="3124" t="n">
        <f aca="false">E674*F674*IF('Ввод данных'!$A$19=связи1!$A$150,1,0)</f>
        <v>0</v>
      </c>
      <c r="H674" s="3124" t="n">
        <f aca="false">дома!G569*IF('Ввод данных'!$A$19=связи1!$A$150,1,0)</f>
        <v>0</v>
      </c>
    </row>
    <row r="675" customFormat="false" ht="15" hidden="false" customHeight="false" outlineLevel="0" collapsed="false">
      <c r="A675" s="3122" t="str">
        <f aca="false">дома!A570</f>
        <v>Стойка каркаса по фронтону, 1 этаж, односкатная кровля, №15</v>
      </c>
      <c r="B675" s="3123" t="str">
        <f aca="false">дома!B570</f>
        <v>м.п.</v>
      </c>
      <c r="C675" s="3124" t="n">
        <f aca="false">дома!C570</f>
        <v>0.4</v>
      </c>
      <c r="D675" s="3124" t="n">
        <f aca="false">дома!D570</f>
        <v>0.045</v>
      </c>
      <c r="E675" s="3124" t="n">
        <f aca="false">дома!E570</f>
        <v>0</v>
      </c>
      <c r="F675" s="3124" t="n">
        <f aca="false">дома!F570</f>
        <v>2</v>
      </c>
      <c r="G675" s="3124" t="n">
        <f aca="false">E675*F675*IF('Ввод данных'!$A$19=связи1!$A$150,1,0)</f>
        <v>0</v>
      </c>
      <c r="H675" s="3124" t="n">
        <f aca="false">дома!G570*IF('Ввод данных'!$A$19=связи1!$A$150,1,0)</f>
        <v>0</v>
      </c>
    </row>
    <row r="676" customFormat="false" ht="15" hidden="false" customHeight="false" outlineLevel="0" collapsed="false">
      <c r="A676" s="3122" t="str">
        <f aca="false">дома!A571</f>
        <v>Стойка каркаса по фронтону, 1 этаж, односкатная кровля, №16</v>
      </c>
      <c r="B676" s="3123" t="str">
        <f aca="false">дома!B571</f>
        <v>м.п.</v>
      </c>
      <c r="C676" s="3124" t="n">
        <f aca="false">дома!C571</f>
        <v>0.4</v>
      </c>
      <c r="D676" s="3124" t="n">
        <f aca="false">дома!D571</f>
        <v>0.045</v>
      </c>
      <c r="E676" s="3124" t="n">
        <f aca="false">дома!E571</f>
        <v>0</v>
      </c>
      <c r="F676" s="3124" t="n">
        <f aca="false">дома!F571</f>
        <v>2</v>
      </c>
      <c r="G676" s="3124" t="n">
        <f aca="false">E676*F676*IF('Ввод данных'!$A$19=связи1!$A$150,1,0)</f>
        <v>0</v>
      </c>
      <c r="H676" s="3124" t="n">
        <f aca="false">дома!G571*IF('Ввод данных'!$A$19=связи1!$A$150,1,0)</f>
        <v>0</v>
      </c>
    </row>
    <row r="677" customFormat="false" ht="15" hidden="false" customHeight="false" outlineLevel="0" collapsed="false">
      <c r="A677" s="3122" t="str">
        <f aca="false">дома!A572</f>
        <v>Стойка каркаса по фронтону, 1 этаж, односкатная кровля, №17</v>
      </c>
      <c r="B677" s="3123" t="str">
        <f aca="false">дома!B572</f>
        <v>м.п.</v>
      </c>
      <c r="C677" s="3124" t="n">
        <f aca="false">дома!C572</f>
        <v>0.4</v>
      </c>
      <c r="D677" s="3124" t="n">
        <f aca="false">дома!D572</f>
        <v>0.045</v>
      </c>
      <c r="E677" s="3124" t="n">
        <f aca="false">дома!E572</f>
        <v>0</v>
      </c>
      <c r="F677" s="3124" t="n">
        <f aca="false">дома!F572</f>
        <v>2</v>
      </c>
      <c r="G677" s="3124" t="n">
        <f aca="false">E677*F677*IF('Ввод данных'!$A$19=связи1!$A$150,1,0)</f>
        <v>0</v>
      </c>
      <c r="H677" s="3124" t="n">
        <f aca="false">дома!G572*IF('Ввод данных'!$A$19=связи1!$A$150,1,0)</f>
        <v>0</v>
      </c>
    </row>
    <row r="678" customFormat="false" ht="15" hidden="false" customHeight="false" outlineLevel="0" collapsed="false">
      <c r="A678" s="3122" t="str">
        <f aca="false">дома!A573</f>
        <v>Стойка каркаса по фронтону, 1 этаж, двускатная кровля, №1</v>
      </c>
      <c r="B678" s="3123" t="str">
        <f aca="false">дома!B573</f>
        <v>м.п.</v>
      </c>
      <c r="C678" s="3124" t="n">
        <f aca="false">дома!C573</f>
        <v>0.4</v>
      </c>
      <c r="D678" s="3124" t="n">
        <f aca="false">дома!D573</f>
        <v>0.045</v>
      </c>
      <c r="E678" s="3124" t="n">
        <f aca="false">дома!E573</f>
        <v>1</v>
      </c>
      <c r="F678" s="3124" t="n">
        <f aca="false">дома!F573</f>
        <v>2</v>
      </c>
      <c r="G678" s="3124" t="n">
        <f aca="false">E678*F678*IF('Ввод данных'!$A$19=связи1!$A$150,1,0)</f>
        <v>0</v>
      </c>
      <c r="H678" s="3124" t="n">
        <f aca="false">дома!G573*IF('Ввод данных'!$A$19=связи1!$A$150,1,0)</f>
        <v>0</v>
      </c>
    </row>
    <row r="679" customFormat="false" ht="15" hidden="false" customHeight="false" outlineLevel="0" collapsed="false">
      <c r="A679" s="3122" t="str">
        <f aca="false">дома!A574</f>
        <v>Стойка каркаса по фронтону, 1 этаж, двускатная кровля, №2</v>
      </c>
      <c r="B679" s="3123" t="str">
        <f aca="false">дома!B574</f>
        <v>м.п.</v>
      </c>
      <c r="C679" s="3124" t="n">
        <f aca="false">дома!C574</f>
        <v>0.4</v>
      </c>
      <c r="D679" s="3124" t="n">
        <f aca="false">дома!D574</f>
        <v>0.045</v>
      </c>
      <c r="E679" s="3124" t="n">
        <f aca="false">дома!E574</f>
        <v>1</v>
      </c>
      <c r="F679" s="3124" t="n">
        <f aca="false">дома!F574</f>
        <v>2</v>
      </c>
      <c r="G679" s="3124" t="n">
        <f aca="false">E679*F679*IF('Ввод данных'!$A$19=связи1!$A$150,1,0)</f>
        <v>0</v>
      </c>
      <c r="H679" s="3124" t="n">
        <f aca="false">дома!G574*IF('Ввод данных'!$A$19=связи1!$A$150,1,0)</f>
        <v>0</v>
      </c>
    </row>
    <row r="680" customFormat="false" ht="15" hidden="false" customHeight="false" outlineLevel="0" collapsed="false">
      <c r="A680" s="3122" t="str">
        <f aca="false">дома!A575</f>
        <v>Стойка каркаса по фронтону, 1 этаж, двускатная кровля, №3</v>
      </c>
      <c r="B680" s="3123" t="str">
        <f aca="false">дома!B575</f>
        <v>м.п.</v>
      </c>
      <c r="C680" s="3124" t="n">
        <f aca="false">дома!C575</f>
        <v>0.4</v>
      </c>
      <c r="D680" s="3124" t="n">
        <f aca="false">дома!D575</f>
        <v>0.045</v>
      </c>
      <c r="E680" s="3124" t="n">
        <f aca="false">дома!E575</f>
        <v>1</v>
      </c>
      <c r="F680" s="3124" t="n">
        <f aca="false">дома!F575</f>
        <v>2</v>
      </c>
      <c r="G680" s="3124" t="n">
        <f aca="false">E680*F680*IF('Ввод данных'!$A$19=связи1!$A$150,1,0)</f>
        <v>0</v>
      </c>
      <c r="H680" s="3124" t="n">
        <f aca="false">дома!G575*IF('Ввод данных'!$A$19=связи1!$A$150,1,0)</f>
        <v>0</v>
      </c>
    </row>
    <row r="681" customFormat="false" ht="15" hidden="false" customHeight="false" outlineLevel="0" collapsed="false">
      <c r="A681" s="3122" t="str">
        <f aca="false">дома!A576</f>
        <v>Стойка каркаса по фронтону, 1 этаж, двускатная кровля, №4</v>
      </c>
      <c r="B681" s="3123" t="str">
        <f aca="false">дома!B576</f>
        <v>м.п.</v>
      </c>
      <c r="C681" s="3124" t="n">
        <f aca="false">дома!C576</f>
        <v>0.4</v>
      </c>
      <c r="D681" s="3124" t="n">
        <f aca="false">дома!D576</f>
        <v>0.045</v>
      </c>
      <c r="E681" s="3124" t="n">
        <f aca="false">дома!E576</f>
        <v>1</v>
      </c>
      <c r="F681" s="3124" t="n">
        <f aca="false">дома!F576</f>
        <v>2</v>
      </c>
      <c r="G681" s="3124" t="n">
        <f aca="false">E681*F681*IF('Ввод данных'!$A$19=связи1!$A$150,1,0)</f>
        <v>0</v>
      </c>
      <c r="H681" s="3124" t="n">
        <f aca="false">дома!G576*IF('Ввод данных'!$A$19=связи1!$A$150,1,0)</f>
        <v>0</v>
      </c>
    </row>
    <row r="682" customFormat="false" ht="15" hidden="false" customHeight="false" outlineLevel="0" collapsed="false">
      <c r="A682" s="3122" t="str">
        <f aca="false">дома!A577</f>
        <v>Стойка каркаса по фронтону, 1 этаж, двускатная кровля, №5</v>
      </c>
      <c r="B682" s="3123" t="str">
        <f aca="false">дома!B577</f>
        <v>м.п.</v>
      </c>
      <c r="C682" s="3124" t="n">
        <f aca="false">дома!C577</f>
        <v>0.4</v>
      </c>
      <c r="D682" s="3124" t="n">
        <f aca="false">дома!D577</f>
        <v>0.045</v>
      </c>
      <c r="E682" s="3124" t="n">
        <f aca="false">дома!E577</f>
        <v>1</v>
      </c>
      <c r="F682" s="3124" t="n">
        <f aca="false">дома!F577</f>
        <v>2</v>
      </c>
      <c r="G682" s="3124" t="n">
        <f aca="false">E682*F682*IF('Ввод данных'!$A$19=связи1!$A$150,1,0)</f>
        <v>0</v>
      </c>
      <c r="H682" s="3124" t="n">
        <f aca="false">дома!G577*IF('Ввод данных'!$A$19=связи1!$A$150,1,0)</f>
        <v>0</v>
      </c>
    </row>
    <row r="683" customFormat="false" ht="15" hidden="false" customHeight="false" outlineLevel="0" collapsed="false">
      <c r="A683" s="3122" t="str">
        <f aca="false">дома!A578</f>
        <v>Стойка каркаса по фронтону, 1 этаж, двускатная кровля, №6</v>
      </c>
      <c r="B683" s="3123" t="str">
        <f aca="false">дома!B578</f>
        <v>м.п.</v>
      </c>
      <c r="C683" s="3124" t="n">
        <f aca="false">дома!C578</f>
        <v>0.4</v>
      </c>
      <c r="D683" s="3124" t="n">
        <f aca="false">дома!D578</f>
        <v>0.045</v>
      </c>
      <c r="E683" s="3124" t="n">
        <f aca="false">дома!E578</f>
        <v>1</v>
      </c>
      <c r="F683" s="3124" t="n">
        <f aca="false">дома!F578</f>
        <v>2</v>
      </c>
      <c r="G683" s="3124" t="n">
        <f aca="false">E683*F683*IF('Ввод данных'!$A$19=связи1!$A$150,1,0)</f>
        <v>0</v>
      </c>
      <c r="H683" s="3124" t="n">
        <f aca="false">дома!G578*IF('Ввод данных'!$A$19=связи1!$A$150,1,0)</f>
        <v>0</v>
      </c>
    </row>
    <row r="684" customFormat="false" ht="15" hidden="false" customHeight="false" outlineLevel="0" collapsed="false">
      <c r="A684" s="3122" t="str">
        <f aca="false">дома!A579</f>
        <v>Стойка каркаса по фронтону, 1 этаж, двускатная кровля, №7</v>
      </c>
      <c r="B684" s="3123" t="str">
        <f aca="false">дома!B579</f>
        <v>м.п.</v>
      </c>
      <c r="C684" s="3124" t="n">
        <f aca="false">дома!C579</f>
        <v>0.4</v>
      </c>
      <c r="D684" s="3124" t="n">
        <f aca="false">дома!D579</f>
        <v>0.045</v>
      </c>
      <c r="E684" s="3124" t="n">
        <f aca="false">дома!E579</f>
        <v>1</v>
      </c>
      <c r="F684" s="3124" t="n">
        <f aca="false">дома!F579</f>
        <v>2</v>
      </c>
      <c r="G684" s="3124" t="n">
        <f aca="false">E684*F684*IF('Ввод данных'!$A$19=связи1!$A$150,1,0)</f>
        <v>0</v>
      </c>
      <c r="H684" s="3124" t="n">
        <f aca="false">дома!G579*IF('Ввод данных'!$A$19=связи1!$A$150,1,0)</f>
        <v>0</v>
      </c>
    </row>
    <row r="685" customFormat="false" ht="15" hidden="false" customHeight="false" outlineLevel="0" collapsed="false">
      <c r="A685" s="3122" t="str">
        <f aca="false">дома!A580</f>
        <v>Стойка каркаса по фронтону, 1 этаж, двускатная кровля, №8</v>
      </c>
      <c r="B685" s="3123" t="str">
        <f aca="false">дома!B580</f>
        <v>м.п.</v>
      </c>
      <c r="C685" s="3124" t="n">
        <f aca="false">дома!C580</f>
        <v>0.4</v>
      </c>
      <c r="D685" s="3124" t="n">
        <f aca="false">дома!D580</f>
        <v>0.045</v>
      </c>
      <c r="E685" s="3124" t="n">
        <f aca="false">дома!E580</f>
        <v>1</v>
      </c>
      <c r="F685" s="3124" t="n">
        <f aca="false">дома!F580</f>
        <v>2</v>
      </c>
      <c r="G685" s="3124" t="n">
        <f aca="false">E685*F685*IF('Ввод данных'!$A$19=связи1!$A$150,1,0)</f>
        <v>0</v>
      </c>
      <c r="H685" s="3124" t="n">
        <f aca="false">дома!G580*IF('Ввод данных'!$A$19=связи1!$A$150,1,0)</f>
        <v>0</v>
      </c>
    </row>
    <row r="686" customFormat="false" ht="15" hidden="false" customHeight="false" outlineLevel="0" collapsed="false">
      <c r="A686" s="3122" t="str">
        <f aca="false">дома!A581</f>
        <v>Стойка каркаса по фронтону, 1 этаж, двускатная кровля, №9</v>
      </c>
      <c r="B686" s="3123" t="str">
        <f aca="false">дома!B581</f>
        <v>м.п.</v>
      </c>
      <c r="C686" s="3124" t="n">
        <f aca="false">дома!C581</f>
        <v>0.4</v>
      </c>
      <c r="D686" s="3124" t="n">
        <f aca="false">дома!D581</f>
        <v>0.045</v>
      </c>
      <c r="E686" s="3124" t="n">
        <f aca="false">дома!E581</f>
        <v>1</v>
      </c>
      <c r="F686" s="3124" t="n">
        <f aca="false">дома!F581</f>
        <v>2</v>
      </c>
      <c r="G686" s="3124" t="n">
        <f aca="false">E686*F686*IF('Ввод данных'!$A$19=связи1!$A$150,1,0)</f>
        <v>0</v>
      </c>
      <c r="H686" s="3124" t="n">
        <f aca="false">дома!G581*IF('Ввод данных'!$A$19=связи1!$A$150,1,0)</f>
        <v>0</v>
      </c>
    </row>
    <row r="687" customFormat="false" ht="15" hidden="false" customHeight="false" outlineLevel="0" collapsed="false">
      <c r="A687" s="3122" t="str">
        <f aca="false">дома!A582</f>
        <v>Стойка каркаса по фронтону, 1 этаж, двускатная кровля, №10</v>
      </c>
      <c r="B687" s="3123" t="str">
        <f aca="false">дома!B582</f>
        <v>м.п.</v>
      </c>
      <c r="C687" s="3124" t="n">
        <f aca="false">дома!C582</f>
        <v>0.4</v>
      </c>
      <c r="D687" s="3124" t="n">
        <f aca="false">дома!D582</f>
        <v>0.045</v>
      </c>
      <c r="E687" s="3124" t="n">
        <f aca="false">дома!E582</f>
        <v>1</v>
      </c>
      <c r="F687" s="3124" t="n">
        <f aca="false">дома!F582</f>
        <v>2</v>
      </c>
      <c r="G687" s="3124" t="n">
        <f aca="false">E687*F687*IF('Ввод данных'!$A$19=связи1!$A$150,1,0)</f>
        <v>0</v>
      </c>
      <c r="H687" s="3124" t="n">
        <f aca="false">дома!G582*IF('Ввод данных'!$A$19=связи1!$A$150,1,0)</f>
        <v>0</v>
      </c>
    </row>
    <row r="688" customFormat="false" ht="15" hidden="false" customHeight="false" outlineLevel="0" collapsed="false">
      <c r="A688" s="3122" t="str">
        <f aca="false">дома!A583</f>
        <v>Стойка каркаса по фронтону, 1 этаж, двускатная кровля, №11</v>
      </c>
      <c r="B688" s="3123" t="str">
        <f aca="false">дома!B583</f>
        <v>м.п.</v>
      </c>
      <c r="C688" s="3124" t="n">
        <f aca="false">дома!C583</f>
        <v>0.4</v>
      </c>
      <c r="D688" s="3124" t="n">
        <f aca="false">дома!D583</f>
        <v>0.045</v>
      </c>
      <c r="E688" s="3124" t="n">
        <f aca="false">дома!E583</f>
        <v>1</v>
      </c>
      <c r="F688" s="3124" t="n">
        <f aca="false">дома!F583</f>
        <v>2</v>
      </c>
      <c r="G688" s="3124" t="n">
        <f aca="false">E688*F688*IF('Ввод данных'!$A$19=связи1!$A$150,1,0)</f>
        <v>0</v>
      </c>
      <c r="H688" s="3124" t="n">
        <f aca="false">дома!G583*IF('Ввод данных'!$A$19=связи1!$A$150,1,0)</f>
        <v>0</v>
      </c>
    </row>
    <row r="689" customFormat="false" ht="15" hidden="false" customHeight="false" outlineLevel="0" collapsed="false">
      <c r="A689" s="3122" t="str">
        <f aca="false">дома!A584</f>
        <v>Стойка каркаса по фронтону, 1 этаж, двускатная кровля, №12</v>
      </c>
      <c r="B689" s="3123" t="str">
        <f aca="false">дома!B584</f>
        <v>м.п.</v>
      </c>
      <c r="C689" s="3124" t="n">
        <f aca="false">дома!C584</f>
        <v>0.4</v>
      </c>
      <c r="D689" s="3124" t="n">
        <f aca="false">дома!D584</f>
        <v>0.045</v>
      </c>
      <c r="E689" s="3124" t="n">
        <f aca="false">дома!E584</f>
        <v>1</v>
      </c>
      <c r="F689" s="3124" t="n">
        <f aca="false">дома!F584</f>
        <v>2</v>
      </c>
      <c r="G689" s="3124" t="n">
        <f aca="false">E689*F689*IF('Ввод данных'!$A$19=связи1!$A$150,1,0)</f>
        <v>0</v>
      </c>
      <c r="H689" s="3124" t="n">
        <f aca="false">дома!G584*IF('Ввод данных'!$A$19=связи1!$A$150,1,0)</f>
        <v>0</v>
      </c>
    </row>
    <row r="690" customFormat="false" ht="15" hidden="false" customHeight="false" outlineLevel="0" collapsed="false">
      <c r="A690" s="3122" t="str">
        <f aca="false">дома!A585</f>
        <v>Стойка каркаса по фронтону, 1 этаж, двускатная кровля, №13</v>
      </c>
      <c r="B690" s="3123" t="str">
        <f aca="false">дома!B585</f>
        <v>м.п.</v>
      </c>
      <c r="C690" s="3124" t="n">
        <f aca="false">дома!C585</f>
        <v>0.4</v>
      </c>
      <c r="D690" s="3124" t="n">
        <f aca="false">дома!D585</f>
        <v>0.045</v>
      </c>
      <c r="E690" s="3124" t="n">
        <f aca="false">дома!E585</f>
        <v>1</v>
      </c>
      <c r="F690" s="3124" t="n">
        <f aca="false">дома!F585</f>
        <v>2</v>
      </c>
      <c r="G690" s="3124" t="n">
        <f aca="false">E690*F690*IF('Ввод данных'!$A$19=связи1!$A$150,1,0)</f>
        <v>0</v>
      </c>
      <c r="H690" s="3124" t="n">
        <f aca="false">дома!G585*IF('Ввод данных'!$A$19=связи1!$A$150,1,0)</f>
        <v>0</v>
      </c>
    </row>
    <row r="691" customFormat="false" ht="15" hidden="false" customHeight="false" outlineLevel="0" collapsed="false">
      <c r="A691" s="3122" t="str">
        <f aca="false">дома!A586</f>
        <v>Стойка каркаса по фронтону, 1 этаж, двускатная кровля, №14</v>
      </c>
      <c r="B691" s="3123" t="str">
        <f aca="false">дома!B586</f>
        <v>м.п.</v>
      </c>
      <c r="C691" s="3124" t="n">
        <f aca="false">дома!C586</f>
        <v>0.4</v>
      </c>
      <c r="D691" s="3124" t="n">
        <f aca="false">дома!D586</f>
        <v>0.045</v>
      </c>
      <c r="E691" s="3124" t="n">
        <f aca="false">дома!E586</f>
        <v>1</v>
      </c>
      <c r="F691" s="3124" t="n">
        <f aca="false">дома!F586</f>
        <v>2</v>
      </c>
      <c r="G691" s="3124" t="n">
        <f aca="false">E691*F691*IF('Ввод данных'!$A$19=связи1!$A$150,1,0)</f>
        <v>0</v>
      </c>
      <c r="H691" s="3124" t="n">
        <f aca="false">дома!G586*IF('Ввод данных'!$A$19=связи1!$A$150,1,0)</f>
        <v>0</v>
      </c>
    </row>
    <row r="692" customFormat="false" ht="15" hidden="false" customHeight="false" outlineLevel="0" collapsed="false">
      <c r="A692" s="3122" t="str">
        <f aca="false">дома!A587</f>
        <v>Стойка каркаса по фронтону, 1 этаж, двускатная кровля, №15</v>
      </c>
      <c r="B692" s="3123" t="str">
        <f aca="false">дома!B587</f>
        <v>м.п.</v>
      </c>
      <c r="C692" s="3124" t="n">
        <f aca="false">дома!C587</f>
        <v>0.4</v>
      </c>
      <c r="D692" s="3124" t="n">
        <f aca="false">дома!D587</f>
        <v>0.045</v>
      </c>
      <c r="E692" s="3124" t="n">
        <f aca="false">дома!E587</f>
        <v>1</v>
      </c>
      <c r="F692" s="3124" t="n">
        <f aca="false">дома!F587</f>
        <v>2</v>
      </c>
      <c r="G692" s="3124" t="n">
        <f aca="false">E692*F692*IF('Ввод данных'!$A$19=связи1!$A$150,1,0)</f>
        <v>0</v>
      </c>
      <c r="H692" s="3124" t="n">
        <f aca="false">дома!G587*IF('Ввод данных'!$A$19=связи1!$A$150,1,0)</f>
        <v>0</v>
      </c>
    </row>
    <row r="693" customFormat="false" ht="15" hidden="false" customHeight="false" outlineLevel="0" collapsed="false">
      <c r="A693" s="3122" t="str">
        <f aca="false">дома!A588</f>
        <v>Стойка каркаса по фронтону, 1 этаж, двускатная кровля, №16</v>
      </c>
      <c r="B693" s="3123" t="str">
        <f aca="false">дома!B588</f>
        <v>м.п.</v>
      </c>
      <c r="C693" s="3124" t="n">
        <f aca="false">дома!C588</f>
        <v>0.4</v>
      </c>
      <c r="D693" s="3124" t="n">
        <f aca="false">дома!D588</f>
        <v>0.045</v>
      </c>
      <c r="E693" s="3124" t="n">
        <f aca="false">дома!E588</f>
        <v>1</v>
      </c>
      <c r="F693" s="3124" t="n">
        <f aca="false">дома!F588</f>
        <v>2</v>
      </c>
      <c r="G693" s="3124" t="n">
        <f aca="false">E693*F693*IF('Ввод данных'!$A$19=связи1!$A$150,1,0)</f>
        <v>0</v>
      </c>
      <c r="H693" s="3124" t="n">
        <f aca="false">дома!G588*IF('Ввод данных'!$A$19=связи1!$A$150,1,0)</f>
        <v>0</v>
      </c>
    </row>
    <row r="694" customFormat="false" ht="15" hidden="false" customHeight="false" outlineLevel="0" collapsed="false">
      <c r="A694" s="3122" t="str">
        <f aca="false">дома!A589</f>
        <v>Стойка каркаса по фронтону, 1 этаж, двускатная кровля, №17</v>
      </c>
      <c r="B694" s="3123" t="str">
        <f aca="false">дома!B589</f>
        <v>м.п.</v>
      </c>
      <c r="C694" s="3124" t="n">
        <f aca="false">дома!C589</f>
        <v>0.4</v>
      </c>
      <c r="D694" s="3124" t="n">
        <f aca="false">дома!D589</f>
        <v>0.045</v>
      </c>
      <c r="E694" s="3124" t="n">
        <f aca="false">дома!E589</f>
        <v>1</v>
      </c>
      <c r="F694" s="3124" t="n">
        <f aca="false">дома!F589</f>
        <v>2</v>
      </c>
      <c r="G694" s="3124" t="n">
        <f aca="false">E694*F694*IF('Ввод данных'!$A$19=связи1!$A$150,1,0)</f>
        <v>0</v>
      </c>
      <c r="H694" s="3124" t="n">
        <f aca="false">дома!G589*IF('Ввод данных'!$A$19=связи1!$A$150,1,0)</f>
        <v>0</v>
      </c>
    </row>
    <row r="695" customFormat="false" ht="21" hidden="false" customHeight="false" outlineLevel="0" collapsed="false">
      <c r="A695" s="3119" t="s">
        <v>4284</v>
      </c>
      <c r="B695" s="3119"/>
      <c r="C695" s="3119"/>
      <c r="D695" s="3119"/>
      <c r="E695" s="3119"/>
      <c r="F695" s="3119"/>
      <c r="G695" s="3127" t="n">
        <f aca="false">E695*F695</f>
        <v>0</v>
      </c>
      <c r="H695" s="3127" t="n">
        <f aca="false">SUM(H696:H735)</f>
        <v>0</v>
      </c>
    </row>
    <row r="696" customFormat="false" ht="15" hidden="false" customHeight="false" outlineLevel="0" collapsed="false">
      <c r="A696" s="3122" t="str">
        <f aca="false">дома!A1012</f>
        <v>Стойки каркаса передняя стена, 2 эт</v>
      </c>
      <c r="B696" s="3123" t="str">
        <f aca="false">дома!B1012</f>
        <v>м.п.</v>
      </c>
      <c r="C696" s="3124" t="n">
        <f aca="false">дома!C1012</f>
        <v>0.4</v>
      </c>
      <c r="D696" s="3124" t="n">
        <f aca="false">дома!D1012</f>
        <v>0.045</v>
      </c>
      <c r="E696" s="3124" t="n">
        <f aca="false">дома!E1012</f>
        <v>0</v>
      </c>
      <c r="F696" s="3124" t="n">
        <f aca="false">дома!F1012</f>
        <v>0</v>
      </c>
      <c r="G696" s="3124" t="n">
        <f aca="false">E696*F696*(IF('Ввод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696" s="3124" t="n">
        <f aca="false">дома!G1012*(IF('Ввод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697" customFormat="false" ht="15" hidden="false" customHeight="false" outlineLevel="0" collapsed="false">
      <c r="A697" s="3122" t="str">
        <f aca="false">дома!A1013</f>
        <v>Стойки каркаса , левая стена, 2 эт</v>
      </c>
      <c r="B697" s="3123" t="str">
        <f aca="false">дома!B1013</f>
        <v>м.п.</v>
      </c>
      <c r="C697" s="3124" t="n">
        <f aca="false">дома!C1013</f>
        <v>0.4</v>
      </c>
      <c r="D697" s="3124" t="n">
        <f aca="false">дома!D1013</f>
        <v>0.045</v>
      </c>
      <c r="E697" s="3124" t="n">
        <f aca="false">дома!E1013</f>
        <v>0</v>
      </c>
      <c r="F697" s="3124" t="n">
        <f aca="false">дома!F1013</f>
        <v>0</v>
      </c>
      <c r="G697" s="3124" t="n">
        <f aca="false">E697*F697*(IF('Ввод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697" s="3124" t="n">
        <f aca="false">дома!G1013*(IF('Ввод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698" customFormat="false" ht="15" hidden="false" customHeight="false" outlineLevel="0" collapsed="false">
      <c r="A698" s="3122" t="str">
        <f aca="false">дома!A1014</f>
        <v>Стойки каркаса , правая стена, 2 эт</v>
      </c>
      <c r="B698" s="3123" t="str">
        <f aca="false">дома!B1014</f>
        <v>м.п.</v>
      </c>
      <c r="C698" s="3124" t="n">
        <f aca="false">дома!C1014</f>
        <v>0.4</v>
      </c>
      <c r="D698" s="3124" t="n">
        <f aca="false">дома!D1014</f>
        <v>0.045</v>
      </c>
      <c r="E698" s="3124" t="n">
        <f aca="false">дома!E1014</f>
        <v>0</v>
      </c>
      <c r="F698" s="3124" t="n">
        <f aca="false">дома!F1014</f>
        <v>0</v>
      </c>
      <c r="G698" s="3124" t="n">
        <f aca="false">E698*F698*(IF('Ввод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698" s="3124" t="n">
        <f aca="false">дома!G1014*(IF('Ввод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699" customFormat="false" ht="15" hidden="false" customHeight="false" outlineLevel="0" collapsed="false">
      <c r="A699" s="3122" t="str">
        <f aca="false">дома!A1015</f>
        <v>Обвязка каркаса верхняя/нижняя наружние стены 2 эт</v>
      </c>
      <c r="B699" s="3123" t="str">
        <f aca="false">дома!B1015</f>
        <v>м.п.</v>
      </c>
      <c r="C699" s="3124" t="n">
        <f aca="false">дома!C1015</f>
        <v>0.4</v>
      </c>
      <c r="D699" s="3124" t="n">
        <f aca="false">дома!D1015</f>
        <v>0.045</v>
      </c>
      <c r="E699" s="3124" t="n">
        <f aca="false">дома!E1015</f>
        <v>1</v>
      </c>
      <c r="F699" s="3124" t="n">
        <f aca="false">дома!F1015</f>
        <v>0</v>
      </c>
      <c r="G699" s="3124" t="n">
        <f aca="false">E699*F699*(IF('Ввод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699" s="3124" t="n">
        <f aca="false">дома!G1015*(IF('Ввод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700" customFormat="false" ht="15" hidden="false" customHeight="false" outlineLevel="0" collapsed="false">
      <c r="A700" s="3122" t="str">
        <f aca="false">дома!A1016</f>
        <v>Ригель каркаса наружние стены 2 эт</v>
      </c>
      <c r="B700" s="3123" t="str">
        <f aca="false">дома!B1016</f>
        <v>м.п.</v>
      </c>
      <c r="C700" s="3124" t="n">
        <f aca="false">дома!C1016</f>
        <v>0.4</v>
      </c>
      <c r="D700" s="3124" t="n">
        <f aca="false">дома!D1016</f>
        <v>0.045</v>
      </c>
      <c r="E700" s="3124" t="n">
        <f aca="false">дома!E1016</f>
        <v>1</v>
      </c>
      <c r="F700" s="3124" t="n">
        <f aca="false">дома!F1016</f>
        <v>0</v>
      </c>
      <c r="G700" s="3124" t="n">
        <f aca="false">E700*F700*(IF('Ввод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700" s="3124" t="n">
        <f aca="false">дома!G1016*(IF('Ввод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701" customFormat="false" ht="15" hidden="false" customHeight="false" outlineLevel="0" collapsed="false">
      <c r="A701" s="3122" t="str">
        <f aca="false">дома!A1017</f>
        <v>Укосина наружних стен, усиление 2 этаж</v>
      </c>
      <c r="B701" s="3123" t="str">
        <f aca="false">дома!B1017</f>
        <v>м.п.</v>
      </c>
      <c r="C701" s="3124" t="n">
        <f aca="false">дома!C1017</f>
        <v>0.4</v>
      </c>
      <c r="D701" s="3124" t="n">
        <f aca="false">дома!D1017</f>
        <v>0.045</v>
      </c>
      <c r="E701" s="3124" t="n">
        <f aca="false">дома!E1017</f>
        <v>1.5</v>
      </c>
      <c r="F701" s="3124" t="n">
        <f aca="false">дома!F1017</f>
        <v>0</v>
      </c>
      <c r="G701" s="3124" t="n">
        <f aca="false">E701*F701*(IF('Ввод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701" s="3124" t="n">
        <f aca="false">дома!G1017*(IF('Ввод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702" customFormat="false" ht="15" hidden="false" customHeight="false" outlineLevel="0" collapsed="false">
      <c r="A702" s="3122" t="str">
        <f aca="false">дома!A1018</f>
        <v>Стойка каркаса по фронтону, 2 этаж, односкатная кровля, №1</v>
      </c>
      <c r="B702" s="3123" t="str">
        <f aca="false">дома!B1018</f>
        <v>м.п.</v>
      </c>
      <c r="C702" s="3124" t="n">
        <f aca="false">дома!C1018</f>
        <v>0.4</v>
      </c>
      <c r="D702" s="3124" t="n">
        <f aca="false">дома!D1018</f>
        <v>0.045</v>
      </c>
      <c r="E702" s="3124" t="n">
        <f aca="false">дома!E1018</f>
        <v>0</v>
      </c>
      <c r="F702" s="3124" t="n">
        <f aca="false">дома!F1018</f>
        <v>0</v>
      </c>
      <c r="G702" s="3124" t="n">
        <f aca="false">E702*F702*(IF('Ввод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702" s="3124" t="n">
        <f aca="false">дома!G1018*(IF('Ввод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703" customFormat="false" ht="15" hidden="false" customHeight="false" outlineLevel="0" collapsed="false">
      <c r="A703" s="3122" t="str">
        <f aca="false">дома!A1019</f>
        <v>Стойка каркаса по фронтону, 2 этаж, односкатная кровля, №2</v>
      </c>
      <c r="B703" s="3123" t="str">
        <f aca="false">дома!B1019</f>
        <v>м.п.</v>
      </c>
      <c r="C703" s="3124" t="n">
        <f aca="false">дома!C1019</f>
        <v>0.4</v>
      </c>
      <c r="D703" s="3124" t="n">
        <f aca="false">дома!D1019</f>
        <v>0.045</v>
      </c>
      <c r="E703" s="3124" t="n">
        <f aca="false">дома!E1019</f>
        <v>0</v>
      </c>
      <c r="F703" s="3124" t="n">
        <f aca="false">дома!F1019</f>
        <v>0</v>
      </c>
      <c r="G703" s="3124" t="n">
        <f aca="false">E703*F703*(IF('Ввод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703" s="3124" t="n">
        <f aca="false">дома!G1019*(IF('Ввод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704" customFormat="false" ht="15" hidden="false" customHeight="false" outlineLevel="0" collapsed="false">
      <c r="A704" s="3122" t="str">
        <f aca="false">дома!A1020</f>
        <v>Стойка каркаса по фронтону, 2 этаж, односкатная кровля, №3</v>
      </c>
      <c r="B704" s="3123" t="str">
        <f aca="false">дома!B1020</f>
        <v>м.п.</v>
      </c>
      <c r="C704" s="3124" t="n">
        <f aca="false">дома!C1020</f>
        <v>0.4</v>
      </c>
      <c r="D704" s="3124" t="n">
        <f aca="false">дома!D1020</f>
        <v>0.045</v>
      </c>
      <c r="E704" s="3124" t="n">
        <f aca="false">дома!E1020</f>
        <v>0</v>
      </c>
      <c r="F704" s="3124" t="n">
        <f aca="false">дома!F1020</f>
        <v>0</v>
      </c>
      <c r="G704" s="3124" t="n">
        <f aca="false">E704*F704*(IF('Ввод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704" s="3124" t="n">
        <f aca="false">дома!G1020*(IF('Ввод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705" customFormat="false" ht="15" hidden="false" customHeight="false" outlineLevel="0" collapsed="false">
      <c r="A705" s="3122" t="str">
        <f aca="false">дома!A1021</f>
        <v>Стойка каркаса по фронтону, 2 этаж, односкатная кровля, №4</v>
      </c>
      <c r="B705" s="3123" t="str">
        <f aca="false">дома!B1021</f>
        <v>м.п.</v>
      </c>
      <c r="C705" s="3124" t="n">
        <f aca="false">дома!C1021</f>
        <v>0.4</v>
      </c>
      <c r="D705" s="3124" t="n">
        <f aca="false">дома!D1021</f>
        <v>0.045</v>
      </c>
      <c r="E705" s="3124" t="n">
        <f aca="false">дома!E1021</f>
        <v>0</v>
      </c>
      <c r="F705" s="3124" t="n">
        <f aca="false">дома!F1021</f>
        <v>0</v>
      </c>
      <c r="G705" s="3124" t="n">
        <f aca="false">E705*F705*(IF('Ввод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705" s="3124" t="n">
        <f aca="false">дома!G1021*(IF('Ввод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706" customFormat="false" ht="15" hidden="false" customHeight="false" outlineLevel="0" collapsed="false">
      <c r="A706" s="3122" t="str">
        <f aca="false">дома!A1022</f>
        <v>Стойка каркаса по фронтону, 2 этаж, односкатная кровля, №5</v>
      </c>
      <c r="B706" s="3123" t="str">
        <f aca="false">дома!B1022</f>
        <v>м.п.</v>
      </c>
      <c r="C706" s="3124" t="n">
        <f aca="false">дома!C1022</f>
        <v>0.4</v>
      </c>
      <c r="D706" s="3124" t="n">
        <f aca="false">дома!D1022</f>
        <v>0.045</v>
      </c>
      <c r="E706" s="3124" t="n">
        <f aca="false">дома!E1022</f>
        <v>0</v>
      </c>
      <c r="F706" s="3124" t="n">
        <f aca="false">дома!F1022</f>
        <v>0</v>
      </c>
      <c r="G706" s="3124" t="n">
        <f aca="false">E706*F706*(IF('Ввод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706" s="3124" t="n">
        <f aca="false">дома!G1022*(IF('Ввод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707" customFormat="false" ht="15" hidden="false" customHeight="false" outlineLevel="0" collapsed="false">
      <c r="A707" s="3122" t="str">
        <f aca="false">дома!A1023</f>
        <v>Стойка каркаса по фронтону, 2 этаж, односкатная кровля, №6</v>
      </c>
      <c r="B707" s="3123" t="str">
        <f aca="false">дома!B1023</f>
        <v>м.п.</v>
      </c>
      <c r="C707" s="3124" t="n">
        <f aca="false">дома!C1023</f>
        <v>0.4</v>
      </c>
      <c r="D707" s="3124" t="n">
        <f aca="false">дома!D1023</f>
        <v>0.045</v>
      </c>
      <c r="E707" s="3124" t="n">
        <f aca="false">дома!E1023</f>
        <v>0</v>
      </c>
      <c r="F707" s="3124" t="n">
        <f aca="false">дома!F1023</f>
        <v>0</v>
      </c>
      <c r="G707" s="3124" t="n">
        <f aca="false">E707*F707*(IF('Ввод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707" s="3124" t="n">
        <f aca="false">дома!G1023*(IF('Ввод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708" customFormat="false" ht="15" hidden="false" customHeight="false" outlineLevel="0" collapsed="false">
      <c r="A708" s="3122" t="str">
        <f aca="false">дома!A1024</f>
        <v>Стойка каркаса по фронтону, 2 этаж, односкатная кровля, №7</v>
      </c>
      <c r="B708" s="3123" t="str">
        <f aca="false">дома!B1024</f>
        <v>м.п.</v>
      </c>
      <c r="C708" s="3124" t="n">
        <f aca="false">дома!C1024</f>
        <v>0.4</v>
      </c>
      <c r="D708" s="3124" t="n">
        <f aca="false">дома!D1024</f>
        <v>0.045</v>
      </c>
      <c r="E708" s="3124" t="n">
        <f aca="false">дома!E1024</f>
        <v>0</v>
      </c>
      <c r="F708" s="3124" t="n">
        <f aca="false">дома!F1024</f>
        <v>0</v>
      </c>
      <c r="G708" s="3124" t="n">
        <f aca="false">E708*F708*(IF('Ввод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708" s="3124" t="n">
        <f aca="false">дома!G1024*(IF('Ввод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709" customFormat="false" ht="15" hidden="false" customHeight="false" outlineLevel="0" collapsed="false">
      <c r="A709" s="3122" t="str">
        <f aca="false">дома!A1025</f>
        <v>Стойка каркаса по фронтону, 2 этаж, односкатная кровля, №8</v>
      </c>
      <c r="B709" s="3123" t="str">
        <f aca="false">дома!B1025</f>
        <v>м.п.</v>
      </c>
      <c r="C709" s="3124" t="n">
        <f aca="false">дома!C1025</f>
        <v>0.4</v>
      </c>
      <c r="D709" s="3124" t="n">
        <f aca="false">дома!D1025</f>
        <v>0.045</v>
      </c>
      <c r="E709" s="3124" t="n">
        <f aca="false">дома!E1025</f>
        <v>0</v>
      </c>
      <c r="F709" s="3124" t="n">
        <f aca="false">дома!F1025</f>
        <v>0</v>
      </c>
      <c r="G709" s="3124" t="n">
        <f aca="false">E709*F709*(IF('Ввод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709" s="3124" t="n">
        <f aca="false">дома!G1025*(IF('Ввод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710" customFormat="false" ht="15" hidden="false" customHeight="false" outlineLevel="0" collapsed="false">
      <c r="A710" s="3122" t="str">
        <f aca="false">дома!A1026</f>
        <v>Стойка каркаса по фронтону, 2 этаж, односкатная кровля, №9</v>
      </c>
      <c r="B710" s="3123" t="str">
        <f aca="false">дома!B1026</f>
        <v>м.п.</v>
      </c>
      <c r="C710" s="3124" t="n">
        <f aca="false">дома!C1026</f>
        <v>0.4</v>
      </c>
      <c r="D710" s="3124" t="n">
        <f aca="false">дома!D1026</f>
        <v>0.045</v>
      </c>
      <c r="E710" s="3124" t="n">
        <f aca="false">дома!E1026</f>
        <v>0</v>
      </c>
      <c r="F710" s="3124" t="n">
        <f aca="false">дома!F1026</f>
        <v>0</v>
      </c>
      <c r="G710" s="3124" t="n">
        <f aca="false">E710*F710*(IF('Ввод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710" s="3124" t="n">
        <f aca="false">дома!G1026*(IF('Ввод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711" customFormat="false" ht="15" hidden="false" customHeight="false" outlineLevel="0" collapsed="false">
      <c r="A711" s="3122" t="str">
        <f aca="false">дома!A1027</f>
        <v>Стойка каркаса по фронтону, 2 этаж, односкатная кровля, №10</v>
      </c>
      <c r="B711" s="3123" t="str">
        <f aca="false">дома!B1027</f>
        <v>м.п.</v>
      </c>
      <c r="C711" s="3124" t="n">
        <f aca="false">дома!C1027</f>
        <v>0.4</v>
      </c>
      <c r="D711" s="3124" t="n">
        <f aca="false">дома!D1027</f>
        <v>0.045</v>
      </c>
      <c r="E711" s="3124" t="n">
        <f aca="false">дома!E1027</f>
        <v>0</v>
      </c>
      <c r="F711" s="3124" t="n">
        <f aca="false">дома!F1027</f>
        <v>0</v>
      </c>
      <c r="G711" s="3124" t="n">
        <f aca="false">E711*F711*(IF('Ввод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711" s="3124" t="n">
        <f aca="false">дома!G1027*(IF('Ввод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712" customFormat="false" ht="15" hidden="false" customHeight="false" outlineLevel="0" collapsed="false">
      <c r="A712" s="3122" t="str">
        <f aca="false">дома!A1028</f>
        <v>Стойка каркаса по фронтону, 2 этаж, односкатная кровля, №11</v>
      </c>
      <c r="B712" s="3123" t="str">
        <f aca="false">дома!B1028</f>
        <v>м.п.</v>
      </c>
      <c r="C712" s="3124" t="n">
        <f aca="false">дома!C1028</f>
        <v>0.4</v>
      </c>
      <c r="D712" s="3124" t="n">
        <f aca="false">дома!D1028</f>
        <v>0.045</v>
      </c>
      <c r="E712" s="3124" t="n">
        <f aca="false">дома!E1028</f>
        <v>0</v>
      </c>
      <c r="F712" s="3124" t="n">
        <f aca="false">дома!F1028</f>
        <v>0</v>
      </c>
      <c r="G712" s="3124" t="n">
        <f aca="false">E712*F712*(IF('Ввод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712" s="3124" t="n">
        <f aca="false">дома!G1028*(IF('Ввод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713" customFormat="false" ht="15" hidden="false" customHeight="false" outlineLevel="0" collapsed="false">
      <c r="A713" s="3122" t="str">
        <f aca="false">дома!A1029</f>
        <v>Стойка каркаса по фронтону, 2 этаж, односкатная кровля, №12</v>
      </c>
      <c r="B713" s="3123" t="str">
        <f aca="false">дома!B1029</f>
        <v>м.п.</v>
      </c>
      <c r="C713" s="3124" t="n">
        <f aca="false">дома!C1029</f>
        <v>0.4</v>
      </c>
      <c r="D713" s="3124" t="n">
        <f aca="false">дома!D1029</f>
        <v>0.045</v>
      </c>
      <c r="E713" s="3124" t="n">
        <f aca="false">дома!E1029</f>
        <v>0</v>
      </c>
      <c r="F713" s="3124" t="n">
        <f aca="false">дома!F1029</f>
        <v>0</v>
      </c>
      <c r="G713" s="3124" t="n">
        <f aca="false">E713*F713*(IF('Ввод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713" s="3124" t="n">
        <f aca="false">дома!G1029*(IF('Ввод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714" customFormat="false" ht="15" hidden="false" customHeight="false" outlineLevel="0" collapsed="false">
      <c r="A714" s="3122" t="str">
        <f aca="false">дома!A1030</f>
        <v>Стойка каркаса по фронтону, 2 этаж, односкатная кровля, №13</v>
      </c>
      <c r="B714" s="3123" t="str">
        <f aca="false">дома!B1030</f>
        <v>м.п.</v>
      </c>
      <c r="C714" s="3124" t="n">
        <f aca="false">дома!C1030</f>
        <v>0.4</v>
      </c>
      <c r="D714" s="3124" t="n">
        <f aca="false">дома!D1030</f>
        <v>0.045</v>
      </c>
      <c r="E714" s="3124" t="n">
        <f aca="false">дома!E1030</f>
        <v>0</v>
      </c>
      <c r="F714" s="3124" t="n">
        <f aca="false">дома!F1030</f>
        <v>0</v>
      </c>
      <c r="G714" s="3124" t="n">
        <f aca="false">E714*F714*(IF('Ввод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714" s="3124" t="n">
        <f aca="false">дома!G1030*(IF('Ввод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715" customFormat="false" ht="15" hidden="false" customHeight="false" outlineLevel="0" collapsed="false">
      <c r="A715" s="3122" t="str">
        <f aca="false">дома!A1031</f>
        <v>Стойка каркаса по фронтону, 2 этаж, односкатная кровля, №14</v>
      </c>
      <c r="B715" s="3123" t="str">
        <f aca="false">дома!B1031</f>
        <v>м.п.</v>
      </c>
      <c r="C715" s="3124" t="n">
        <f aca="false">дома!C1031</f>
        <v>0.4</v>
      </c>
      <c r="D715" s="3124" t="n">
        <f aca="false">дома!D1031</f>
        <v>0.045</v>
      </c>
      <c r="E715" s="3124" t="n">
        <f aca="false">дома!E1031</f>
        <v>0</v>
      </c>
      <c r="F715" s="3124" t="n">
        <f aca="false">дома!F1031</f>
        <v>0</v>
      </c>
      <c r="G715" s="3124" t="n">
        <f aca="false">E715*F715*(IF('Ввод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715" s="3124" t="n">
        <f aca="false">дома!G1031*(IF('Ввод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716" customFormat="false" ht="15" hidden="false" customHeight="false" outlineLevel="0" collapsed="false">
      <c r="A716" s="3122" t="str">
        <f aca="false">дома!A1032</f>
        <v>Стойка каркаса по фронтону, 2 этаж, односкатная кровля, №15</v>
      </c>
      <c r="B716" s="3123" t="str">
        <f aca="false">дома!B1032</f>
        <v>м.п.</v>
      </c>
      <c r="C716" s="3124" t="n">
        <f aca="false">дома!C1032</f>
        <v>0.4</v>
      </c>
      <c r="D716" s="3124" t="n">
        <f aca="false">дома!D1032</f>
        <v>0.045</v>
      </c>
      <c r="E716" s="3124" t="n">
        <f aca="false">дома!E1032</f>
        <v>0</v>
      </c>
      <c r="F716" s="3124" t="n">
        <f aca="false">дома!F1032</f>
        <v>0</v>
      </c>
      <c r="G716" s="3124" t="n">
        <f aca="false">E716*F716*(IF('Ввод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716" s="3124" t="n">
        <f aca="false">дома!G1032*(IF('Ввод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717" customFormat="false" ht="15" hidden="false" customHeight="false" outlineLevel="0" collapsed="false">
      <c r="A717" s="3122" t="str">
        <f aca="false">дома!A1033</f>
        <v>Стойка каркаса по фронтону, 2 этаж, односкатная кровля, №16</v>
      </c>
      <c r="B717" s="3123" t="str">
        <f aca="false">дома!B1033</f>
        <v>м.п.</v>
      </c>
      <c r="C717" s="3124" t="n">
        <f aca="false">дома!C1033</f>
        <v>0.4</v>
      </c>
      <c r="D717" s="3124" t="n">
        <f aca="false">дома!D1033</f>
        <v>0.045</v>
      </c>
      <c r="E717" s="3124" t="n">
        <f aca="false">дома!E1033</f>
        <v>0</v>
      </c>
      <c r="F717" s="3124" t="n">
        <f aca="false">дома!F1033</f>
        <v>0</v>
      </c>
      <c r="G717" s="3124" t="n">
        <f aca="false">E717*F717*(IF('Ввод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717" s="3124" t="n">
        <f aca="false">дома!G1033*(IF('Ввод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718" customFormat="false" ht="15" hidden="false" customHeight="false" outlineLevel="0" collapsed="false">
      <c r="A718" s="3122" t="str">
        <f aca="false">дома!A1034</f>
        <v>Стойка каркаса по фронтону, 2 этаж, односкатная кровля, №17</v>
      </c>
      <c r="B718" s="3123" t="str">
        <f aca="false">дома!B1034</f>
        <v>м.п.</v>
      </c>
      <c r="C718" s="3124" t="n">
        <f aca="false">дома!C1034</f>
        <v>0.4</v>
      </c>
      <c r="D718" s="3124" t="n">
        <f aca="false">дома!D1034</f>
        <v>0.045</v>
      </c>
      <c r="E718" s="3124" t="n">
        <f aca="false">дома!E1034</f>
        <v>0</v>
      </c>
      <c r="F718" s="3124" t="n">
        <f aca="false">дома!F1034</f>
        <v>0</v>
      </c>
      <c r="G718" s="3124" t="n">
        <f aca="false">E718*F718*(IF('Ввод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718" s="3124" t="n">
        <f aca="false">дома!G1034*(IF('Ввод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719" customFormat="false" ht="15" hidden="false" customHeight="false" outlineLevel="0" collapsed="false">
      <c r="A719" s="3122" t="str">
        <f aca="false">дома!A1035</f>
        <v>Стойка каркаса по фронтону, 2 этаж, двускатная кровля, №1</v>
      </c>
      <c r="B719" s="3123" t="str">
        <f aca="false">дома!B1035</f>
        <v>м.п.</v>
      </c>
      <c r="C719" s="3124" t="n">
        <f aca="false">дома!C1035</f>
        <v>0.4</v>
      </c>
      <c r="D719" s="3124" t="n">
        <f aca="false">дома!D1035</f>
        <v>0.045</v>
      </c>
      <c r="E719" s="3124" t="n">
        <f aca="false">дома!E1035</f>
        <v>0</v>
      </c>
      <c r="F719" s="3124" t="n">
        <f aca="false">дома!F1035</f>
        <v>0</v>
      </c>
      <c r="G719" s="3124" t="n">
        <f aca="false">E719*F719*(IF('Ввод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719" s="3124" t="n">
        <f aca="false">дома!G1035*(IF('Ввод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720" customFormat="false" ht="15" hidden="false" customHeight="false" outlineLevel="0" collapsed="false">
      <c r="A720" s="3122" t="str">
        <f aca="false">дома!A1036</f>
        <v>Стойка каркаса по фронтону, 2 этаж, двускатная кровля, №2</v>
      </c>
      <c r="B720" s="3123" t="str">
        <f aca="false">дома!B1036</f>
        <v>м.п.</v>
      </c>
      <c r="C720" s="3124" t="n">
        <f aca="false">дома!C1036</f>
        <v>0.4</v>
      </c>
      <c r="D720" s="3124" t="n">
        <f aca="false">дома!D1036</f>
        <v>0.045</v>
      </c>
      <c r="E720" s="3124" t="n">
        <f aca="false">дома!E1036</f>
        <v>0</v>
      </c>
      <c r="F720" s="3124" t="n">
        <f aca="false">дома!F1036</f>
        <v>0</v>
      </c>
      <c r="G720" s="3124" t="n">
        <f aca="false">E720*F720*(IF('Ввод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720" s="3124" t="n">
        <f aca="false">дома!G1036*(IF('Ввод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721" customFormat="false" ht="15" hidden="false" customHeight="false" outlineLevel="0" collapsed="false">
      <c r="A721" s="3122" t="str">
        <f aca="false">дома!A1037</f>
        <v>Стойка каркаса по фронтону, 2 этаж, двускатная кровля, №3</v>
      </c>
      <c r="B721" s="3123" t="str">
        <f aca="false">дома!B1037</f>
        <v>м.п.</v>
      </c>
      <c r="C721" s="3124" t="n">
        <f aca="false">дома!C1037</f>
        <v>0.4</v>
      </c>
      <c r="D721" s="3124" t="n">
        <f aca="false">дома!D1037</f>
        <v>0.045</v>
      </c>
      <c r="E721" s="3124" t="n">
        <f aca="false">дома!E1037</f>
        <v>0</v>
      </c>
      <c r="F721" s="3124" t="n">
        <f aca="false">дома!F1037</f>
        <v>0</v>
      </c>
      <c r="G721" s="3124" t="n">
        <f aca="false">E721*F721*(IF('Ввод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721" s="3124" t="n">
        <f aca="false">дома!G1037*(IF('Ввод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722" customFormat="false" ht="15" hidden="false" customHeight="false" outlineLevel="0" collapsed="false">
      <c r="A722" s="3122" t="str">
        <f aca="false">дома!A1038</f>
        <v>Стойка каркаса по фронтону, 2 этаж, двускатная кровля, №4</v>
      </c>
      <c r="B722" s="3123" t="str">
        <f aca="false">дома!B1038</f>
        <v>м.п.</v>
      </c>
      <c r="C722" s="3124" t="n">
        <f aca="false">дома!C1038</f>
        <v>0.4</v>
      </c>
      <c r="D722" s="3124" t="n">
        <f aca="false">дома!D1038</f>
        <v>0.045</v>
      </c>
      <c r="E722" s="3124" t="n">
        <f aca="false">дома!E1038</f>
        <v>0</v>
      </c>
      <c r="F722" s="3124" t="n">
        <f aca="false">дома!F1038</f>
        <v>0</v>
      </c>
      <c r="G722" s="3124" t="n">
        <f aca="false">E722*F722*(IF('Ввод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722" s="3124" t="n">
        <f aca="false">дома!G1038*(IF('Ввод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723" customFormat="false" ht="15" hidden="false" customHeight="false" outlineLevel="0" collapsed="false">
      <c r="A723" s="3122" t="str">
        <f aca="false">дома!A1039</f>
        <v>Стойка каркаса по фронтону, 2 этаж, двускатная кровля, №5</v>
      </c>
      <c r="B723" s="3123" t="str">
        <f aca="false">дома!B1039</f>
        <v>м.п.</v>
      </c>
      <c r="C723" s="3124" t="n">
        <f aca="false">дома!C1039</f>
        <v>0.4</v>
      </c>
      <c r="D723" s="3124" t="n">
        <f aca="false">дома!D1039</f>
        <v>0.045</v>
      </c>
      <c r="E723" s="3124" t="n">
        <f aca="false">дома!E1039</f>
        <v>0</v>
      </c>
      <c r="F723" s="3124" t="n">
        <f aca="false">дома!F1039</f>
        <v>0</v>
      </c>
      <c r="G723" s="3124" t="n">
        <f aca="false">E723*F723*(IF('Ввод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723" s="3124" t="n">
        <f aca="false">дома!G1039*(IF('Ввод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724" customFormat="false" ht="15" hidden="false" customHeight="false" outlineLevel="0" collapsed="false">
      <c r="A724" s="3122" t="str">
        <f aca="false">дома!A1040</f>
        <v>Стойка каркаса по фронтону, 2 этаж, двускатная кровля, №6</v>
      </c>
      <c r="B724" s="3123" t="str">
        <f aca="false">дома!B1040</f>
        <v>м.п.</v>
      </c>
      <c r="C724" s="3124" t="n">
        <f aca="false">дома!C1040</f>
        <v>0.4</v>
      </c>
      <c r="D724" s="3124" t="n">
        <f aca="false">дома!D1040</f>
        <v>0.045</v>
      </c>
      <c r="E724" s="3124" t="n">
        <f aca="false">дома!E1040</f>
        <v>0</v>
      </c>
      <c r="F724" s="3124" t="n">
        <f aca="false">дома!F1040</f>
        <v>0</v>
      </c>
      <c r="G724" s="3124" t="n">
        <f aca="false">E724*F724*(IF('Ввод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724" s="3124" t="n">
        <f aca="false">дома!G1040*(IF('Ввод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725" customFormat="false" ht="15" hidden="false" customHeight="false" outlineLevel="0" collapsed="false">
      <c r="A725" s="3122" t="str">
        <f aca="false">дома!A1041</f>
        <v>Стойка каркаса по фронтону, 2 этаж, двускатная кровля, №7</v>
      </c>
      <c r="B725" s="3123" t="str">
        <f aca="false">дома!B1041</f>
        <v>м.п.</v>
      </c>
      <c r="C725" s="3124" t="n">
        <f aca="false">дома!C1041</f>
        <v>0.4</v>
      </c>
      <c r="D725" s="3124" t="n">
        <f aca="false">дома!D1041</f>
        <v>0.045</v>
      </c>
      <c r="E725" s="3124" t="n">
        <f aca="false">дома!E1041</f>
        <v>0</v>
      </c>
      <c r="F725" s="3124" t="n">
        <f aca="false">дома!F1041</f>
        <v>0</v>
      </c>
      <c r="G725" s="3124" t="n">
        <f aca="false">E725*F725*(IF('Ввод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725" s="3124" t="n">
        <f aca="false">дома!G1041*(IF('Ввод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726" customFormat="false" ht="15" hidden="false" customHeight="false" outlineLevel="0" collapsed="false">
      <c r="A726" s="3122" t="str">
        <f aca="false">дома!A1042</f>
        <v>Стойка каркаса по фронтону, 2 этаж, двускатная кровля, №8</v>
      </c>
      <c r="B726" s="3123" t="str">
        <f aca="false">дома!B1042</f>
        <v>м.п.</v>
      </c>
      <c r="C726" s="3124" t="n">
        <f aca="false">дома!C1042</f>
        <v>0.4</v>
      </c>
      <c r="D726" s="3124" t="n">
        <f aca="false">дома!D1042</f>
        <v>0.045</v>
      </c>
      <c r="E726" s="3124" t="n">
        <f aca="false">дома!E1042</f>
        <v>0</v>
      </c>
      <c r="F726" s="3124" t="n">
        <f aca="false">дома!F1042</f>
        <v>0</v>
      </c>
      <c r="G726" s="3124" t="n">
        <f aca="false">E726*F726*(IF('Ввод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726" s="3124" t="n">
        <f aca="false">дома!G1042*(IF('Ввод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727" customFormat="false" ht="15" hidden="false" customHeight="false" outlineLevel="0" collapsed="false">
      <c r="A727" s="3122" t="str">
        <f aca="false">дома!A1043</f>
        <v>Стойка каркаса по фронтону, 2 этаж, двускатная кровля, №9</v>
      </c>
      <c r="B727" s="3123" t="str">
        <f aca="false">дома!B1043</f>
        <v>м.п.</v>
      </c>
      <c r="C727" s="3124" t="n">
        <f aca="false">дома!C1043</f>
        <v>0.4</v>
      </c>
      <c r="D727" s="3124" t="n">
        <f aca="false">дома!D1043</f>
        <v>0.045</v>
      </c>
      <c r="E727" s="3124" t="n">
        <f aca="false">дома!E1043</f>
        <v>0</v>
      </c>
      <c r="F727" s="3124" t="n">
        <f aca="false">дома!F1043</f>
        <v>0</v>
      </c>
      <c r="G727" s="3124" t="n">
        <f aca="false">E727*F727*(IF('Ввод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727" s="3124" t="n">
        <f aca="false">дома!G1043*(IF('Ввод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728" customFormat="false" ht="15" hidden="false" customHeight="false" outlineLevel="0" collapsed="false">
      <c r="A728" s="3122" t="str">
        <f aca="false">дома!A1044</f>
        <v>Стойка каркаса по фронтону, 2 этаж, двускатная кровля, №10</v>
      </c>
      <c r="B728" s="3123" t="str">
        <f aca="false">дома!B1044</f>
        <v>м.п.</v>
      </c>
      <c r="C728" s="3124" t="n">
        <f aca="false">дома!C1044</f>
        <v>0.4</v>
      </c>
      <c r="D728" s="3124" t="n">
        <f aca="false">дома!D1044</f>
        <v>0.045</v>
      </c>
      <c r="E728" s="3124" t="n">
        <f aca="false">дома!E1044</f>
        <v>0</v>
      </c>
      <c r="F728" s="3124" t="n">
        <f aca="false">дома!F1044</f>
        <v>0</v>
      </c>
      <c r="G728" s="3124" t="n">
        <f aca="false">E728*F728*(IF('Ввод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728" s="3124" t="n">
        <f aca="false">дома!G1044*(IF('Ввод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729" customFormat="false" ht="15" hidden="false" customHeight="false" outlineLevel="0" collapsed="false">
      <c r="A729" s="3122" t="str">
        <f aca="false">дома!A1045</f>
        <v>Стойка каркаса по фронтону, 2 этаж, двускатная кровля, №11</v>
      </c>
      <c r="B729" s="3123" t="str">
        <f aca="false">дома!B1045</f>
        <v>м.п.</v>
      </c>
      <c r="C729" s="3124" t="n">
        <f aca="false">дома!C1045</f>
        <v>0.4</v>
      </c>
      <c r="D729" s="3124" t="n">
        <f aca="false">дома!D1045</f>
        <v>0.045</v>
      </c>
      <c r="E729" s="3124" t="n">
        <f aca="false">дома!E1045</f>
        <v>0</v>
      </c>
      <c r="F729" s="3124" t="n">
        <f aca="false">дома!F1045</f>
        <v>0</v>
      </c>
      <c r="G729" s="3124" t="n">
        <f aca="false">E729*F729*(IF('Ввод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729" s="3124" t="n">
        <f aca="false">дома!G1045*(IF('Ввод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730" customFormat="false" ht="15" hidden="false" customHeight="false" outlineLevel="0" collapsed="false">
      <c r="A730" s="3122" t="str">
        <f aca="false">дома!A1046</f>
        <v>Стойка каркаса по фронтону, 2 этаж, двускатная кровля, №12</v>
      </c>
      <c r="B730" s="3123" t="str">
        <f aca="false">дома!B1046</f>
        <v>м.п.</v>
      </c>
      <c r="C730" s="3124" t="n">
        <f aca="false">дома!C1046</f>
        <v>0.4</v>
      </c>
      <c r="D730" s="3124" t="n">
        <f aca="false">дома!D1046</f>
        <v>0.045</v>
      </c>
      <c r="E730" s="3124" t="n">
        <f aca="false">дома!E1046</f>
        <v>0</v>
      </c>
      <c r="F730" s="3124" t="n">
        <f aca="false">дома!F1046</f>
        <v>0</v>
      </c>
      <c r="G730" s="3124" t="n">
        <f aca="false">E730*F730*(IF('Ввод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730" s="3124" t="n">
        <f aca="false">дома!G1046*(IF('Ввод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731" customFormat="false" ht="15" hidden="false" customHeight="false" outlineLevel="0" collapsed="false">
      <c r="A731" s="3122" t="str">
        <f aca="false">дома!A1047</f>
        <v>Стойка каркаса по фронтону, 2 этаж, двускатная кровля, №13</v>
      </c>
      <c r="B731" s="3123" t="str">
        <f aca="false">дома!B1047</f>
        <v>м.п.</v>
      </c>
      <c r="C731" s="3124" t="n">
        <f aca="false">дома!C1047</f>
        <v>0.4</v>
      </c>
      <c r="D731" s="3124" t="n">
        <f aca="false">дома!D1047</f>
        <v>0.045</v>
      </c>
      <c r="E731" s="3124" t="n">
        <f aca="false">дома!E1047</f>
        <v>0</v>
      </c>
      <c r="F731" s="3124" t="n">
        <f aca="false">дома!F1047</f>
        <v>0</v>
      </c>
      <c r="G731" s="3124" t="n">
        <f aca="false">E731*F731*(IF('Ввод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731" s="3124" t="n">
        <f aca="false">дома!G1047*(IF('Ввод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732" customFormat="false" ht="15" hidden="false" customHeight="false" outlineLevel="0" collapsed="false">
      <c r="A732" s="3122" t="str">
        <f aca="false">дома!A1048</f>
        <v>Стойка каркаса по фронтону, 2 этаж, двускатная кровля, №14</v>
      </c>
      <c r="B732" s="3123" t="str">
        <f aca="false">дома!B1048</f>
        <v>м.п.</v>
      </c>
      <c r="C732" s="3124" t="n">
        <f aca="false">дома!C1048</f>
        <v>0.4</v>
      </c>
      <c r="D732" s="3124" t="n">
        <f aca="false">дома!D1048</f>
        <v>0.045</v>
      </c>
      <c r="E732" s="3124" t="n">
        <f aca="false">дома!E1048</f>
        <v>0</v>
      </c>
      <c r="F732" s="3124" t="n">
        <f aca="false">дома!F1048</f>
        <v>0</v>
      </c>
      <c r="G732" s="3124" t="n">
        <f aca="false">E732*F732*(IF('Ввод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732" s="3124" t="n">
        <f aca="false">дома!G1048*(IF('Ввод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733" customFormat="false" ht="15" hidden="false" customHeight="false" outlineLevel="0" collapsed="false">
      <c r="A733" s="3122" t="str">
        <f aca="false">дома!A1049</f>
        <v>Стойка каркаса по фронтону, 2 этаж, двускатная кровля, №15</v>
      </c>
      <c r="B733" s="3123" t="str">
        <f aca="false">дома!B1049</f>
        <v>м.п.</v>
      </c>
      <c r="C733" s="3124" t="n">
        <f aca="false">дома!C1049</f>
        <v>0.4</v>
      </c>
      <c r="D733" s="3124" t="n">
        <f aca="false">дома!D1049</f>
        <v>0.045</v>
      </c>
      <c r="E733" s="3124" t="n">
        <f aca="false">дома!E1049</f>
        <v>0</v>
      </c>
      <c r="F733" s="3124" t="n">
        <f aca="false">дома!F1049</f>
        <v>0</v>
      </c>
      <c r="G733" s="3124" t="n">
        <f aca="false">E733*F733*(IF('Ввод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733" s="3124" t="n">
        <f aca="false">дома!G1049*(IF('Ввод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734" customFormat="false" ht="15" hidden="false" customHeight="false" outlineLevel="0" collapsed="false">
      <c r="A734" s="3122" t="str">
        <f aca="false">дома!A1050</f>
        <v>Стойка каркаса по фронтону, 2 этаж, двускатная кровля, №16</v>
      </c>
      <c r="B734" s="3123" t="str">
        <f aca="false">дома!B1050</f>
        <v>м.п.</v>
      </c>
      <c r="C734" s="3124" t="n">
        <f aca="false">дома!C1050</f>
        <v>0.4</v>
      </c>
      <c r="D734" s="3124" t="n">
        <f aca="false">дома!D1050</f>
        <v>0.045</v>
      </c>
      <c r="E734" s="3124" t="n">
        <f aca="false">дома!E1050</f>
        <v>0</v>
      </c>
      <c r="F734" s="3124" t="n">
        <f aca="false">дома!F1050</f>
        <v>0</v>
      </c>
      <c r="G734" s="3124" t="n">
        <f aca="false">E734*F734*(IF('Ввод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734" s="3124" t="n">
        <f aca="false">дома!G1050*(IF('Ввод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735" customFormat="false" ht="15" hidden="false" customHeight="false" outlineLevel="0" collapsed="false">
      <c r="A735" s="3122" t="str">
        <f aca="false">дома!A1051</f>
        <v>Стойка каркаса по фронтону, 2 этаж, двускатная кровля, №17</v>
      </c>
      <c r="B735" s="3123" t="str">
        <f aca="false">дома!B1051</f>
        <v>м.п.</v>
      </c>
      <c r="C735" s="3124" t="n">
        <f aca="false">дома!C1051</f>
        <v>0.4</v>
      </c>
      <c r="D735" s="3124" t="n">
        <f aca="false">дома!D1051</f>
        <v>0.045</v>
      </c>
      <c r="E735" s="3124" t="n">
        <f aca="false">дома!E1051</f>
        <v>0</v>
      </c>
      <c r="F735" s="3124" t="n">
        <f aca="false">дома!F1051</f>
        <v>0</v>
      </c>
      <c r="G735" s="3124" t="n">
        <f aca="false">E735*F735*(IF('Ввод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735" s="3124" t="n">
        <f aca="false">дома!G1051*(IF('Ввод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736" customFormat="false" ht="21" hidden="false" customHeight="false" outlineLevel="0" collapsed="false">
      <c r="A736" s="3128" t="s">
        <v>4285</v>
      </c>
      <c r="B736" s="3128"/>
      <c r="C736" s="3128"/>
      <c r="D736" s="3128"/>
      <c r="E736" s="3128"/>
      <c r="F736" s="3128"/>
      <c r="G736" s="3129"/>
      <c r="H736" s="3125" t="n">
        <f aca="false">SUM(H737:H739)</f>
        <v>0</v>
      </c>
    </row>
    <row r="737" customFormat="false" ht="15" hidden="false" customHeight="false" outlineLevel="0" collapsed="false">
      <c r="A737" s="3122" t="str">
        <f aca="false">дома!A591</f>
        <v>Стойка каркаса 1 этаж</v>
      </c>
      <c r="B737" s="3123" t="str">
        <f aca="false">дома!B591</f>
        <v>м.п.</v>
      </c>
      <c r="C737" s="3124" t="n">
        <f aca="false">дома!C591</f>
        <v>0.145</v>
      </c>
      <c r="D737" s="3124" t="n">
        <f aca="false">дома!D591</f>
        <v>0.045</v>
      </c>
      <c r="E737" s="3124" t="n">
        <f aca="false">дома!E591</f>
        <v>3.2</v>
      </c>
      <c r="F737" s="3124" t="n">
        <f aca="false">дома!F591</f>
        <v>0</v>
      </c>
      <c r="G737" s="3124" t="n">
        <f aca="false">E737*F737*IF('Ввод данных'!$A$19=связи1!$A$150,1,0)</f>
        <v>0</v>
      </c>
      <c r="H737" s="3124" t="n">
        <f aca="false">дома!G591*IF('Ввод данных'!$A$19=связи1!$A$150,1,0)</f>
        <v>0</v>
      </c>
    </row>
    <row r="738" customFormat="false" ht="15" hidden="false" customHeight="false" outlineLevel="0" collapsed="false">
      <c r="A738" s="3122" t="str">
        <f aca="false">дома!A592</f>
        <v>Обвязка нижняя/верхняя стен каркаса 1 этаж</v>
      </c>
      <c r="B738" s="3123" t="str">
        <f aca="false">дома!B592</f>
        <v>м.п.</v>
      </c>
      <c r="C738" s="3124" t="n">
        <f aca="false">дома!C592</f>
        <v>0.145</v>
      </c>
      <c r="D738" s="3124" t="n">
        <f aca="false">дома!D592</f>
        <v>0.045</v>
      </c>
      <c r="E738" s="3124" t="n">
        <f aca="false">дома!E592</f>
        <v>0</v>
      </c>
      <c r="F738" s="3124" t="n">
        <f aca="false">дома!F592</f>
        <v>0</v>
      </c>
      <c r="G738" s="3124" t="n">
        <f aca="false">E738*F738*IF('Ввод данных'!$A$19=связи1!$A$150,1,0)</f>
        <v>0</v>
      </c>
      <c r="H738" s="3124" t="n">
        <f aca="false">дома!G592*IF('Ввод данных'!$A$19=связи1!$A$150,1,0)</f>
        <v>0</v>
      </c>
    </row>
    <row r="739" customFormat="false" ht="15" hidden="false" customHeight="false" outlineLevel="0" collapsed="false">
      <c r="A739" s="3122" t="str">
        <f aca="false">дома!A593</f>
        <v>Ригель каркаса, 1 этаж</v>
      </c>
      <c r="B739" s="3123" t="str">
        <f aca="false">дома!B593</f>
        <v>м.п.</v>
      </c>
      <c r="C739" s="3124" t="n">
        <f aca="false">дома!C593</f>
        <v>0.145</v>
      </c>
      <c r="D739" s="3124" t="n">
        <f aca="false">дома!D593</f>
        <v>0.045</v>
      </c>
      <c r="E739" s="3124" t="n">
        <f aca="false">дома!E593</f>
        <v>0</v>
      </c>
      <c r="F739" s="3124" t="n">
        <f aca="false">дома!F593</f>
        <v>0</v>
      </c>
      <c r="G739" s="3124" t="n">
        <f aca="false">E739*F739*IF('Ввод данных'!$A$19=связи1!$A$150,1,0)</f>
        <v>0</v>
      </c>
      <c r="H739" s="3124" t="n">
        <f aca="false">дома!G593*IF('Ввод данных'!$A$19=связи1!$A$150,1,0)</f>
        <v>0</v>
      </c>
    </row>
    <row r="740" customFormat="false" ht="21" hidden="false" customHeight="false" outlineLevel="0" collapsed="false">
      <c r="A740" s="3128" t="s">
        <v>4286</v>
      </c>
      <c r="B740" s="3128"/>
      <c r="C740" s="3128"/>
      <c r="D740" s="3128"/>
      <c r="E740" s="3128"/>
      <c r="F740" s="3128"/>
      <c r="G740" s="3130"/>
      <c r="H740" s="3131" t="n">
        <f aca="false">SUM(H741:H743)</f>
        <v>0</v>
      </c>
    </row>
    <row r="741" customFormat="false" ht="15" hidden="false" customHeight="false" outlineLevel="0" collapsed="false">
      <c r="A741" s="3122" t="str">
        <f aca="false">дома!A594</f>
        <v>Стойка каркаса 1 этаж</v>
      </c>
      <c r="B741" s="3123" t="str">
        <f aca="false">дома!B594</f>
        <v>м.п.</v>
      </c>
      <c r="C741" s="3122" t="n">
        <f aca="false">дома!C594</f>
        <v>0.145</v>
      </c>
      <c r="D741" s="3122" t="n">
        <f aca="false">дома!D594</f>
        <v>0.045</v>
      </c>
      <c r="E741" s="3122" t="n">
        <f aca="false">дома!E594</f>
        <v>3.2</v>
      </c>
      <c r="F741" s="3122" t="n">
        <f aca="false">дома!F594</f>
        <v>0</v>
      </c>
      <c r="G741" s="3124" t="n">
        <f aca="false">E741*F741*(IF('Ввод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741" s="3124" t="n">
        <f aca="false">дома!G594*(IF('Ввод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742" customFormat="false" ht="15" hidden="false" customHeight="false" outlineLevel="0" collapsed="false">
      <c r="A742" s="3122" t="str">
        <f aca="false">дома!A595</f>
        <v>Обвязка нижняя/верхняя стен каркаса 1 этаж</v>
      </c>
      <c r="B742" s="3123" t="str">
        <f aca="false">дома!B595</f>
        <v>м.п.</v>
      </c>
      <c r="C742" s="3122" t="n">
        <f aca="false">дома!C595</f>
        <v>0.145</v>
      </c>
      <c r="D742" s="3122" t="n">
        <f aca="false">дома!D595</f>
        <v>0.045</v>
      </c>
      <c r="E742" s="3122" t="n">
        <f aca="false">дома!E595</f>
        <v>0</v>
      </c>
      <c r="F742" s="3122" t="n">
        <f aca="false">дома!F595</f>
        <v>0</v>
      </c>
      <c r="G742" s="3124" t="n">
        <f aca="false">E742*F742*(IF('Ввод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742" s="3124" t="n">
        <f aca="false">дома!G595*(IF('Ввод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743" customFormat="false" ht="15" hidden="false" customHeight="false" outlineLevel="0" collapsed="false">
      <c r="A743" s="3122" t="str">
        <f aca="false">дома!A596</f>
        <v>Ригель каркаса, 1 этаж</v>
      </c>
      <c r="B743" s="3123" t="str">
        <f aca="false">дома!B596</f>
        <v>м.п.</v>
      </c>
      <c r="C743" s="3122" t="n">
        <f aca="false">дома!C596</f>
        <v>0.145</v>
      </c>
      <c r="D743" s="3122" t="n">
        <f aca="false">дома!D596</f>
        <v>0.045</v>
      </c>
      <c r="E743" s="3122" t="n">
        <f aca="false">дома!E596</f>
        <v>0</v>
      </c>
      <c r="F743" s="3122" t="n">
        <f aca="false">дома!F596</f>
        <v>0</v>
      </c>
      <c r="G743" s="3124" t="n">
        <f aca="false">E743*F743*(IF('Ввод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  <c r="H743" s="3124" t="n">
        <f aca="false">дома!G596*(IF('Ввод данных'!$A$19=связи1!$A$150,1,0)+IF('Ввод данных'!$A$19=связи1!$A$167,1,0)+IF('Ввод данных'!$A$19=связи1!$A$175,1,0)+IF('Ввод данных'!$A$19=связи1!$A$182,1,0)+IF('Ввод данных'!$A$19=связи1!$A$183,1,0))</f>
        <v>0</v>
      </c>
    </row>
    <row r="744" customFormat="false" ht="32.25" hidden="false" customHeight="true" outlineLevel="0" collapsed="false">
      <c r="A744" s="3132" t="s">
        <v>46</v>
      </c>
      <c r="B744" s="3133" t="s">
        <v>162</v>
      </c>
      <c r="C744" s="3133" t="s">
        <v>1149</v>
      </c>
      <c r="D744" s="3133" t="s">
        <v>1137</v>
      </c>
      <c r="E744" s="3134" t="s">
        <v>4287</v>
      </c>
      <c r="F744" s="3135" t="s">
        <v>4274</v>
      </c>
      <c r="G744" s="3135" t="s">
        <v>4288</v>
      </c>
      <c r="H744" s="3136" t="n">
        <f aca="false">SUM(H745:H747)</f>
        <v>0</v>
      </c>
    </row>
    <row r="745" customFormat="false" ht="15.75" hidden="false" customHeight="false" outlineLevel="0" collapsed="false">
      <c r="A745" s="3122" t="s">
        <v>4289</v>
      </c>
      <c r="B745" s="3137" t="s">
        <v>4290</v>
      </c>
      <c r="C745" s="2811" t="n">
        <f aca="false">C6</f>
        <v>0.145</v>
      </c>
      <c r="D745" s="2811" t="n">
        <f aca="false">D6</f>
        <v>0.045</v>
      </c>
      <c r="E745" s="2811" t="n">
        <f aca="false">F745/6</f>
        <v>0</v>
      </c>
      <c r="F745" s="3124" t="n">
        <f aca="false">SUM(G6:G12)+SUM(G18:G202)+SUM(G211:G220)+SUM(G226:G399)+SUM(G409:G448)+SUM(G450:G489)+SUM(G491:G530)+SUM(G532:G571)+SUM(G573:G612)+SUM(G614:G653)+SUM(G655:G694)+SUM(G696:G735)+SUM(G737:G739)+SUM(G741:G743)</f>
        <v>0</v>
      </c>
      <c r="G745" s="3124" t="n">
        <f aca="false">SUM(H6:H12)+SUM(H18:H202)+SUM(H211:H220)+SUM(H226:H399)+SUM(H409:H448)+SUM(H450:H489)+SUM(H491:H530)+SUM(H532:H571)+SUM(H573:H612)+SUM(H614:H653)+SUM(H655:H694)+SUM(H696:H735)+SUM(H737:H739)+SUM(H741:H743)</f>
        <v>0</v>
      </c>
      <c r="H745" s="3136" t="n">
        <f aca="false">G745</f>
        <v>0</v>
      </c>
    </row>
    <row r="746" customFormat="false" ht="15.75" hidden="false" customHeight="false" outlineLevel="0" collapsed="false">
      <c r="A746" s="3138" t="s">
        <v>4291</v>
      </c>
      <c r="B746" s="3137" t="s">
        <v>4290</v>
      </c>
      <c r="C746" s="2811" t="n">
        <f aca="false">C13</f>
        <v>0.145</v>
      </c>
      <c r="D746" s="2811" t="n">
        <f aca="false">D13</f>
        <v>0.045</v>
      </c>
      <c r="E746" s="2811" t="n">
        <f aca="false">F746/6</f>
        <v>0</v>
      </c>
      <c r="F746" s="3124" t="n">
        <f aca="false">SUM(G13:G15)+SUM(G221:G223)+SUM(G203:G209)+SUM(G400:G407)</f>
        <v>0</v>
      </c>
      <c r="G746" s="2811" t="n">
        <f aca="false">SUM(H13:H15)+SUM(H221:H223)+SUM(H203:H209)+SUM(H400:H407)</f>
        <v>0</v>
      </c>
      <c r="H746" s="3139" t="n">
        <f aca="false">G746</f>
        <v>0</v>
      </c>
    </row>
    <row r="747" customFormat="false" ht="15.75" hidden="false" customHeight="false" outlineLevel="0" collapsed="false">
      <c r="A747" s="3138" t="s">
        <v>4292</v>
      </c>
      <c r="B747" s="3137" t="s">
        <v>4290</v>
      </c>
      <c r="C747" s="2811" t="n">
        <f aca="false">C16</f>
        <v>0.1</v>
      </c>
      <c r="D747" s="2811" t="n">
        <f aca="false">D16</f>
        <v>0.045</v>
      </c>
      <c r="E747" s="2811" t="n">
        <f aca="false">F747/6</f>
        <v>0</v>
      </c>
      <c r="F747" s="3124" t="n">
        <f aca="false">SUM(G16:G17)+SUM(G224:G225)</f>
        <v>0</v>
      </c>
      <c r="G747" s="2811" t="n">
        <f aca="false">SUM(H16:H17)+SUM(H224:H225)</f>
        <v>0</v>
      </c>
      <c r="H747" s="3139" t="n">
        <f aca="false">G747</f>
        <v>0</v>
      </c>
    </row>
    <row r="748" customFormat="false" ht="21" hidden="false" customHeight="false" outlineLevel="0" collapsed="false">
      <c r="A748" s="3119" t="s">
        <v>4293</v>
      </c>
      <c r="B748" s="3119"/>
      <c r="C748" s="3119"/>
      <c r="D748" s="3119"/>
      <c r="E748" s="3119"/>
      <c r="F748" s="3119"/>
      <c r="G748" s="3120"/>
      <c r="H748" s="3121" t="n">
        <f aca="false">H749</f>
        <v>0</v>
      </c>
    </row>
    <row r="749" s="3143" customFormat="true" ht="15.75" hidden="false" customHeight="false" outlineLevel="0" collapsed="false">
      <c r="A749" s="3140" t="s">
        <v>46</v>
      </c>
      <c r="B749" s="3140" t="s">
        <v>162</v>
      </c>
      <c r="C749" s="3140" t="s">
        <v>137</v>
      </c>
      <c r="D749" s="3140" t="s">
        <v>116</v>
      </c>
      <c r="E749" s="3140" t="s">
        <v>200</v>
      </c>
      <c r="F749" s="3140" t="s">
        <v>2659</v>
      </c>
      <c r="G749" s="3141" t="s">
        <v>118</v>
      </c>
      <c r="H749" s="3142" t="n">
        <f aca="false">SUM(H750:H784)</f>
        <v>0</v>
      </c>
    </row>
    <row r="750" customFormat="false" ht="15" hidden="false" customHeight="false" outlineLevel="0" collapsed="false">
      <c r="A750" s="3138" t="str">
        <f aca="false">дома!A1531</f>
        <v>Газоблок D400 200х300х390 </v>
      </c>
      <c r="B750" s="3144" t="str">
        <f aca="false">дома!B1531</f>
        <v>м3</v>
      </c>
      <c r="C750" s="3138" t="n">
        <f aca="false">дома!D1531</f>
        <v>200</v>
      </c>
      <c r="D750" s="3138" t="n">
        <f aca="false">дома!E1531</f>
        <v>390</v>
      </c>
      <c r="E750" s="3138" t="n">
        <f aca="false">дома!F1531</f>
        <v>300</v>
      </c>
      <c r="F750" s="2811" t="n">
        <f aca="false">дома!C1531</f>
        <v>-4.992</v>
      </c>
      <c r="G750" s="3138" t="n">
        <f aca="false">H750</f>
        <v>0</v>
      </c>
      <c r="H750" s="3145" t="n">
        <f aca="false">дома!G1531*(IF('Ввод данных'!$A$19=связи1!$A$151,1,0)+IF('Ввод данных'!$A$19=связи1!$A$168,1,0)+IF('Ввод данных'!$A$19=связи1!$A$169,1,0)+IF('Ввод данных'!$A$19=связи1!$A$170,1,0)+IF('Ввод данных'!$A$19=связи1!$A$171,1,0)+IF('Ввод данных'!$A$19=связи1!$A$172,1,0)+IF('Ввод данных'!$A$19=связи1!$A$173,1,0)+IF('Ввод данных'!$A$19=связи1!$A$174,1,0)+IF('Ввод данных'!$A$19=связи1!$A$175,1,0)+IF('Ввод данных'!$A$19=связи1!$A$176,1,0)+IF('Ввод данных'!$A$19=связи1!$A$177,1,0))</f>
        <v>0</v>
      </c>
    </row>
    <row r="751" customFormat="false" ht="15" hidden="false" customHeight="false" outlineLevel="0" collapsed="false">
      <c r="A751" s="3138" t="str">
        <f aca="false">дома!A1532</f>
        <v>Газоблок D400 200х200х390 </v>
      </c>
      <c r="B751" s="3144" t="str">
        <f aca="false">дома!B1532</f>
        <v>м3</v>
      </c>
      <c r="C751" s="3138" t="n">
        <f aca="false">дома!D1532</f>
        <v>200</v>
      </c>
      <c r="D751" s="3138" t="n">
        <f aca="false">дома!E1532</f>
        <v>390</v>
      </c>
      <c r="E751" s="3138" t="n">
        <f aca="false">дома!F1532</f>
        <v>200</v>
      </c>
      <c r="F751" s="2811" t="n">
        <f aca="false">дома!C1532</f>
        <v>0</v>
      </c>
      <c r="G751" s="3138" t="n">
        <f aca="false">H751</f>
        <v>0</v>
      </c>
      <c r="H751" s="3145" t="n">
        <f aca="false">дома!G1532*(IF('Ввод данных'!$A$19=связи1!$A$151,1,0)+IF('Ввод данных'!$A$19=связи1!$A$168,1,0)+IF('Ввод данных'!$A$19=связи1!$A$169,1,0)+IF('Ввод данных'!$A$19=связи1!$A$170,1,0)+IF('Ввод данных'!$A$19=связи1!$A$171,1,0)+IF('Ввод данных'!$A$19=связи1!$A$172,1,0)+IF('Ввод данных'!$A$19=связи1!$A$173,1,0)+IF('Ввод данных'!$A$19=связи1!$A$174,1,0)+IF('Ввод данных'!$A$19=связи1!$A$175,1,0)+IF('Ввод данных'!$A$19=связи1!$A$176,1,0)+IF('Ввод данных'!$A$19=связи1!$A$177,1,0))</f>
        <v>0</v>
      </c>
    </row>
    <row r="752" customFormat="false" ht="15" hidden="false" customHeight="false" outlineLevel="0" collapsed="false">
      <c r="A752" s="3138" t="str">
        <f aca="false">дома!A1533</f>
        <v>Газоблок D400 200х100х390 </v>
      </c>
      <c r="B752" s="3144" t="str">
        <f aca="false">дома!B1533</f>
        <v>м3</v>
      </c>
      <c r="C752" s="3138" t="n">
        <f aca="false">дома!D1533</f>
        <v>200</v>
      </c>
      <c r="D752" s="3138" t="n">
        <f aca="false">дома!E1533</f>
        <v>390</v>
      </c>
      <c r="E752" s="3138" t="n">
        <f aca="false">дома!F1533</f>
        <v>100</v>
      </c>
      <c r="F752" s="2811" t="n">
        <f aca="false">дома!C1533</f>
        <v>0</v>
      </c>
      <c r="G752" s="3138" t="n">
        <f aca="false">H752</f>
        <v>0</v>
      </c>
      <c r="H752" s="3145" t="n">
        <f aca="false">дома!G1533*(IF('Ввод данных'!$A$19=связи1!$A$151,1,0)+IF('Ввод данных'!$A$19=связи1!$A$168,1,0)+IF('Ввод данных'!$A$19=связи1!$A$169,1,0)+IF('Ввод данных'!$A$19=связи1!$A$170,1,0)+IF('Ввод данных'!$A$19=связи1!$A$171,1,0)+IF('Ввод данных'!$A$19=связи1!$A$172,1,0)+IF('Ввод данных'!$A$19=связи1!$A$173,1,0)+IF('Ввод данных'!$A$19=связи1!$A$174,1,0)+IF('Ввод данных'!$A$19=связи1!$A$175,1,0)+IF('Ввод данных'!$A$19=связи1!$A$176,1,0)+IF('Ввод данных'!$A$19=связи1!$A$177,1,0))</f>
        <v>0</v>
      </c>
    </row>
    <row r="753" customFormat="false" ht="15" hidden="false" customHeight="false" outlineLevel="0" collapsed="false">
      <c r="A753" s="3138" t="str">
        <f aca="false">дома!A1534</f>
        <v>Газоблок поясной D400 200х300х390 </v>
      </c>
      <c r="B753" s="3144" t="str">
        <f aca="false">дома!B1534</f>
        <v>м3</v>
      </c>
      <c r="C753" s="3138" t="n">
        <f aca="false">дома!D1534</f>
        <v>200</v>
      </c>
      <c r="D753" s="3138" t="n">
        <f aca="false">дома!E1534</f>
        <v>300</v>
      </c>
      <c r="E753" s="3138" t="n">
        <f aca="false">дома!F1534</f>
        <v>390</v>
      </c>
      <c r="F753" s="2811" t="n">
        <f aca="false">дома!C1534</f>
        <v>4.8048</v>
      </c>
      <c r="G753" s="3138" t="n">
        <f aca="false">H753</f>
        <v>0</v>
      </c>
      <c r="H753" s="3145" t="n">
        <f aca="false">дома!G1534*(IF('Ввод данных'!$A$19=связи1!$A$151,1,0)+IF('Ввод данных'!$A$19=связи1!$A$168,1,0)+IF('Ввод данных'!$A$19=связи1!$A$169,1,0)+IF('Ввод данных'!$A$19=связи1!$A$170,1,0)+IF('Ввод данных'!$A$19=связи1!$A$171,1,0)+IF('Ввод данных'!$A$19=связи1!$A$172,1,0)+IF('Ввод данных'!$A$19=связи1!$A$173,1,0)+IF('Ввод данных'!$A$19=связи1!$A$174,1,0)+IF('Ввод данных'!$A$19=связи1!$A$175,1,0)+IF('Ввод данных'!$A$19=связи1!$A$176,1,0)+IF('Ввод данных'!$A$19=связи1!$A$177,1,0))</f>
        <v>0</v>
      </c>
    </row>
    <row r="754" customFormat="false" ht="15" hidden="false" customHeight="false" outlineLevel="0" collapsed="false">
      <c r="A754" s="3138" t="str">
        <f aca="false">дома!A1535</f>
        <v>Поясной 200х300х600 угловой внешний</v>
      </c>
      <c r="B754" s="3144" t="str">
        <f aca="false">дома!B1535</f>
        <v>м3</v>
      </c>
      <c r="C754" s="3138" t="n">
        <f aca="false">дома!D1535</f>
        <v>200</v>
      </c>
      <c r="D754" s="3138" t="n">
        <f aca="false">дома!E1535</f>
        <v>300</v>
      </c>
      <c r="E754" s="3138" t="n">
        <f aca="false">дома!F1535</f>
        <v>390</v>
      </c>
      <c r="F754" s="2811" t="n">
        <f aca="false">дома!C1535</f>
        <v>0.1872</v>
      </c>
      <c r="G754" s="3138" t="n">
        <f aca="false">H754</f>
        <v>0</v>
      </c>
      <c r="H754" s="3145" t="n">
        <f aca="false">дома!G1535*(IF('Ввод данных'!$A$19=связи1!$A$151,1,0)+IF('Ввод данных'!$A$19=связи1!$A$168,1,0)+IF('Ввод данных'!$A$19=связи1!$A$169,1,0)+IF('Ввод данных'!$A$19=связи1!$A$170,1,0)+IF('Ввод данных'!$A$19=связи1!$A$171,1,0)+IF('Ввод данных'!$A$19=связи1!$A$172,1,0)+IF('Ввод данных'!$A$19=связи1!$A$173,1,0)+IF('Ввод данных'!$A$19=связи1!$A$174,1,0)+IF('Ввод данных'!$A$19=связи1!$A$175,1,0)+IF('Ввод данных'!$A$19=связи1!$A$176,1,0)+IF('Ввод данных'!$A$19=связи1!$A$177,1,0))</f>
        <v>0</v>
      </c>
    </row>
    <row r="755" customFormat="false" ht="15" hidden="false" customHeight="false" outlineLevel="0" collapsed="false">
      <c r="A755" s="3138" t="str">
        <f aca="false">дома!A1536</f>
        <v>Поясной 200х300х600 угловой внутренний</v>
      </c>
      <c r="B755" s="3144" t="str">
        <f aca="false">дома!B1536</f>
        <v>м3</v>
      </c>
      <c r="C755" s="3138" t="n">
        <f aca="false">дома!D1536</f>
        <v>200</v>
      </c>
      <c r="D755" s="3138" t="n">
        <f aca="false">дома!E1536</f>
        <v>300</v>
      </c>
      <c r="E755" s="3138" t="n">
        <f aca="false">дома!F1536</f>
        <v>390</v>
      </c>
      <c r="F755" s="2811" t="n">
        <f aca="false">дома!C1536</f>
        <v>0</v>
      </c>
      <c r="G755" s="3138" t="n">
        <f aca="false">H755</f>
        <v>0</v>
      </c>
      <c r="H755" s="3145" t="n">
        <f aca="false">дома!G1536*(IF('Ввод данных'!$A$19=связи1!$A$151,1,0)+IF('Ввод данных'!$A$19=связи1!$A$168,1,0)+IF('Ввод данных'!$A$19=связи1!$A$169,1,0)+IF('Ввод данных'!$A$19=связи1!$A$170,1,0)+IF('Ввод данных'!$A$19=связи1!$A$171,1,0)+IF('Ввод данных'!$A$19=связи1!$A$172,1,0)+IF('Ввод данных'!$A$19=связи1!$A$173,1,0)+IF('Ввод данных'!$A$19=связи1!$A$174,1,0)+IF('Ввод данных'!$A$19=связи1!$A$175,1,0)+IF('Ввод данных'!$A$19=связи1!$A$176,1,0)+IF('Ввод данных'!$A$19=связи1!$A$177,1,0))</f>
        <v>0</v>
      </c>
    </row>
    <row r="756" customFormat="false" ht="15" hidden="false" customHeight="false" outlineLevel="0" collapsed="false">
      <c r="A756" s="3138" t="str">
        <f aca="false">дома!A1537</f>
        <v>200х300х600 угловой внешний</v>
      </c>
      <c r="B756" s="3144" t="str">
        <f aca="false">дома!B1537</f>
        <v>м3</v>
      </c>
      <c r="C756" s="3138" t="n">
        <f aca="false">дома!D1537</f>
        <v>200</v>
      </c>
      <c r="D756" s="3138" t="n">
        <f aca="false">дома!E1537</f>
        <v>300</v>
      </c>
      <c r="E756" s="3138" t="n">
        <f aca="false">дома!F1537</f>
        <v>600</v>
      </c>
      <c r="F756" s="2811" t="n">
        <f aca="false">дома!C1537</f>
        <v>3.168</v>
      </c>
      <c r="G756" s="3138" t="n">
        <f aca="false">H756</f>
        <v>0</v>
      </c>
      <c r="H756" s="3145" t="n">
        <f aca="false">дома!G1537*(IF('Ввод данных'!$A$19=связи1!$A$151,1,0)+IF('Ввод данных'!$A$19=связи1!$A$168,1,0)+IF('Ввод данных'!$A$19=связи1!$A$169,1,0)+IF('Ввод данных'!$A$19=связи1!$A$170,1,0)+IF('Ввод данных'!$A$19=связи1!$A$171,1,0)+IF('Ввод данных'!$A$19=связи1!$A$172,1,0)+IF('Ввод данных'!$A$19=связи1!$A$173,1,0)+IF('Ввод данных'!$A$19=связи1!$A$174,1,0)+IF('Ввод данных'!$A$19=связи1!$A$175,1,0)+IF('Ввод данных'!$A$19=связи1!$A$176,1,0)+IF('Ввод данных'!$A$19=связи1!$A$177,1,0))</f>
        <v>0</v>
      </c>
    </row>
    <row r="757" customFormat="false" ht="15" hidden="false" customHeight="false" outlineLevel="0" collapsed="false">
      <c r="A757" s="3138" t="str">
        <f aca="false">дома!A1538</f>
        <v>200х300х600 угловой внутренний</v>
      </c>
      <c r="B757" s="3144" t="str">
        <f aca="false">дома!B1538</f>
        <v>м4</v>
      </c>
      <c r="C757" s="3138" t="n">
        <f aca="false">дома!D1538</f>
        <v>200</v>
      </c>
      <c r="D757" s="3138" t="n">
        <f aca="false">дома!E1538</f>
        <v>300</v>
      </c>
      <c r="E757" s="3138" t="n">
        <f aca="false">дома!F1538</f>
        <v>600</v>
      </c>
      <c r="F757" s="2811" t="n">
        <f aca="false">дома!C1538</f>
        <v>0</v>
      </c>
      <c r="G757" s="3138" t="n">
        <f aca="false">H757</f>
        <v>0</v>
      </c>
      <c r="H757" s="3145" t="n">
        <f aca="false">дома!G1538*(IF('Ввод данных'!$A$19=связи1!$A$151,1,0)+IF('Ввод данных'!$A$19=связи1!$A$168,1,0)+IF('Ввод данных'!$A$19=связи1!$A$169,1,0)+IF('Ввод данных'!$A$19=связи1!$A$170,1,0)+IF('Ввод данных'!$A$19=связи1!$A$171,1,0)+IF('Ввод данных'!$A$19=связи1!$A$172,1,0)+IF('Ввод данных'!$A$19=связи1!$A$173,1,0)+IF('Ввод данных'!$A$19=связи1!$A$174,1,0)+IF('Ввод данных'!$A$19=связи1!$A$175,1,0)+IF('Ввод данных'!$A$19=связи1!$A$176,1,0)+IF('Ввод данных'!$A$19=связи1!$A$177,1,0))</f>
        <v>0</v>
      </c>
    </row>
    <row r="758" s="1383" customFormat="true" ht="15" hidden="false" customHeight="false" outlineLevel="0" collapsed="false">
      <c r="A758" s="3138" t="str">
        <f aca="false">дома!A1546</f>
        <v>Перемычка оконная, 1-ый эт. Вариант 1</v>
      </c>
      <c r="B758" s="3144" t="str">
        <f aca="false">дома!B1546</f>
        <v>м.п.</v>
      </c>
      <c r="C758" s="3138" t="n">
        <f aca="false">дома!D1546</f>
        <v>0.2</v>
      </c>
      <c r="E758" s="2811" t="n">
        <f aca="false">дома!C1546</f>
        <v>1</v>
      </c>
      <c r="G758" s="3138" t="n">
        <f aca="false">H758</f>
        <v>0</v>
      </c>
      <c r="H758" s="3145" t="n">
        <f aca="false">дома!C1546*(IF('Ввод данных'!$A$19=связи1!$A$151,1,0)+IF('Ввод данных'!$A$19=связи1!$A$168,1,0)+IF('Ввод данных'!$A$19=связи1!$A$169,1,0)+IF('Ввод данных'!$A$19=связи1!$A$170,1,0)+IF('Ввод данных'!$A$19=связи1!$A$171,1,0)+IF('Ввод данных'!$A$19=связи1!$A$172,1,0)+IF('Ввод данных'!$A$19=связи1!$A$173,1,0)+IF('Ввод данных'!$A$19=связи1!$A$174,1,0)+IF('Ввод данных'!$A$19=связи1!$A$175,1,0)+IF('Ввод данных'!$A$19=связи1!$A$176,1,0)+IF('Ввод данных'!$A$19=связи1!$A$177,1,0))</f>
        <v>0</v>
      </c>
    </row>
    <row r="759" customFormat="false" ht="15" hidden="false" customHeight="false" outlineLevel="0" collapsed="false">
      <c r="A759" s="3138" t="str">
        <f aca="false">дома!A1547</f>
        <v>Перемычка оконная, 1-ый эт. Вариант 2</v>
      </c>
      <c r="B759" s="3144" t="str">
        <f aca="false">дома!B1547</f>
        <v>м.п.</v>
      </c>
      <c r="C759" s="3138" t="n">
        <f aca="false">дома!D1547</f>
        <v>0.2</v>
      </c>
      <c r="D759" s="2811"/>
      <c r="E759" s="2811" t="n">
        <f aca="false">дома!C1547</f>
        <v>0</v>
      </c>
      <c r="F759" s="3138"/>
      <c r="G759" s="3138" t="n">
        <f aca="false">H759</f>
        <v>0</v>
      </c>
      <c r="H759" s="3145" t="n">
        <f aca="false">дома!C1547*(IF('Ввод данных'!$A$19=связи1!$A$151,1,0)+IF('Ввод данных'!$A$19=связи1!$A$168,1,0)+IF('Ввод данных'!$A$19=связи1!$A$169,1,0)+IF('Ввод данных'!$A$19=связи1!$A$170,1,0)+IF('Ввод данных'!$A$19=связи1!$A$171,1,0)+IF('Ввод данных'!$A$19=связи1!$A$172,1,0)+IF('Ввод данных'!$A$19=связи1!$A$173,1,0)+IF('Ввод данных'!$A$19=связи1!$A$174,1,0)+IF('Ввод данных'!$A$19=связи1!$A$175,1,0)+IF('Ввод данных'!$A$19=связи1!$A$176,1,0)+IF('Ввод данных'!$A$19=связи1!$A$177,1,0))</f>
        <v>0</v>
      </c>
    </row>
    <row r="760" customFormat="false" ht="15" hidden="false" customHeight="false" outlineLevel="0" collapsed="false">
      <c r="A760" s="3138" t="str">
        <f aca="false">дома!A1548</f>
        <v>Перемычка оконная, 1-ый эт. Вариант 3</v>
      </c>
      <c r="B760" s="3144" t="str">
        <f aca="false">дома!B1548</f>
        <v>м.п.</v>
      </c>
      <c r="C760" s="3138" t="n">
        <f aca="false">дома!D1548</f>
        <v>0.2</v>
      </c>
      <c r="D760" s="2811"/>
      <c r="E760" s="2811" t="n">
        <f aca="false">дома!C1548</f>
        <v>0</v>
      </c>
      <c r="F760" s="3138"/>
      <c r="G760" s="3138" t="n">
        <f aca="false">H760</f>
        <v>0</v>
      </c>
      <c r="H760" s="3145" t="n">
        <f aca="false">дома!C1548*(IF('Ввод данных'!$A$19=связи1!$A$151,1,0)+IF('Ввод данных'!$A$19=связи1!$A$168,1,0)+IF('Ввод данных'!$A$19=связи1!$A$169,1,0)+IF('Ввод данных'!$A$19=связи1!$A$170,1,0)+IF('Ввод данных'!$A$19=связи1!$A$171,1,0)+IF('Ввод данных'!$A$19=связи1!$A$172,1,0)+IF('Ввод данных'!$A$19=связи1!$A$173,1,0)+IF('Ввод данных'!$A$19=связи1!$A$174,1,0)+IF('Ввод данных'!$A$19=связи1!$A$175,1,0)+IF('Ввод данных'!$A$19=связи1!$A$176,1,0)+IF('Ввод данных'!$A$19=связи1!$A$177,1,0))</f>
        <v>0</v>
      </c>
    </row>
    <row r="761" customFormat="false" ht="15" hidden="false" customHeight="false" outlineLevel="0" collapsed="false">
      <c r="A761" s="3138" t="str">
        <f aca="false">дома!A1549</f>
        <v>Перемычка оконная, 1-ый эт. Вариант 4</v>
      </c>
      <c r="B761" s="3144" t="str">
        <f aca="false">дома!B1549</f>
        <v>м.п.</v>
      </c>
      <c r="C761" s="3138" t="n">
        <f aca="false">дома!D1549</f>
        <v>0.2</v>
      </c>
      <c r="D761" s="2811"/>
      <c r="E761" s="2811" t="n">
        <f aca="false">дома!C1549</f>
        <v>0</v>
      </c>
      <c r="F761" s="3138"/>
      <c r="G761" s="3138" t="n">
        <f aca="false">H761</f>
        <v>0</v>
      </c>
      <c r="H761" s="3145" t="n">
        <f aca="false">дома!C1549*(IF('Ввод данных'!$A$19=связи1!$A$151,1,0)+IF('Ввод данных'!$A$19=связи1!$A$168,1,0)+IF('Ввод данных'!$A$19=связи1!$A$169,1,0)+IF('Ввод данных'!$A$19=связи1!$A$170,1,0)+IF('Ввод данных'!$A$19=связи1!$A$171,1,0)+IF('Ввод данных'!$A$19=связи1!$A$172,1,0)+IF('Ввод данных'!$A$19=связи1!$A$173,1,0)+IF('Ввод данных'!$A$19=связи1!$A$174,1,0)+IF('Ввод данных'!$A$19=связи1!$A$175,1,0)+IF('Ввод данных'!$A$19=связи1!$A$176,1,0)+IF('Ввод данных'!$A$19=связи1!$A$177,1,0))</f>
        <v>0</v>
      </c>
    </row>
    <row r="762" customFormat="false" ht="15" hidden="false" customHeight="false" outlineLevel="0" collapsed="false">
      <c r="A762" s="3138" t="str">
        <f aca="false">дома!A1550</f>
        <v>Перемычка оконная, 1-ый эт. Вариант 5</v>
      </c>
      <c r="B762" s="3144" t="str">
        <f aca="false">дома!B1550</f>
        <v>м.п.</v>
      </c>
      <c r="C762" s="3138" t="n">
        <f aca="false">дома!D1550</f>
        <v>0.2</v>
      </c>
      <c r="D762" s="2811"/>
      <c r="E762" s="2811" t="n">
        <f aca="false">дома!C1550</f>
        <v>0</v>
      </c>
      <c r="F762" s="3138"/>
      <c r="G762" s="3138" t="n">
        <f aca="false">H762</f>
        <v>0</v>
      </c>
      <c r="H762" s="3145" t="n">
        <f aca="false">дома!C1550*(IF('Ввод данных'!$A$19=связи1!$A$151,1,0)+IF('Ввод данных'!$A$19=связи1!$A$168,1,0)+IF('Ввод данных'!$A$19=связи1!$A$169,1,0)+IF('Ввод данных'!$A$19=связи1!$A$170,1,0)+IF('Ввод данных'!$A$19=связи1!$A$171,1,0)+IF('Ввод данных'!$A$19=связи1!$A$172,1,0)+IF('Ввод данных'!$A$19=связи1!$A$173,1,0)+IF('Ввод данных'!$A$19=связи1!$A$174,1,0)+IF('Ввод данных'!$A$19=связи1!$A$175,1,0)+IF('Ввод данных'!$A$19=связи1!$A$176,1,0)+IF('Ввод данных'!$A$19=связи1!$A$177,1,0))</f>
        <v>0</v>
      </c>
    </row>
    <row r="763" customFormat="false" ht="15" hidden="false" customHeight="false" outlineLevel="0" collapsed="false">
      <c r="A763" s="3138" t="str">
        <f aca="false">дома!A1551</f>
        <v>Перемычка оконная, 2-ый эт. Вариант 6</v>
      </c>
      <c r="B763" s="3144" t="str">
        <f aca="false">дома!B1551</f>
        <v>м.п.</v>
      </c>
      <c r="C763" s="3138" t="n">
        <f aca="false">дома!D1551</f>
        <v>0.2</v>
      </c>
      <c r="D763" s="2811"/>
      <c r="E763" s="2811" t="n">
        <f aca="false">дома!C1551</f>
        <v>0</v>
      </c>
      <c r="F763" s="3138"/>
      <c r="G763" s="3138" t="n">
        <f aca="false">H763</f>
        <v>0</v>
      </c>
      <c r="H763" s="3145" t="n">
        <f aca="false">дома!C1551*(IF('Ввод данных'!$A$19=связи1!$A$151,1,0)+IF('Ввод данных'!$A$19=связи1!$A$168,1,0)+IF('Ввод данных'!$A$19=связи1!$A$169,1,0)+IF('Ввод данных'!$A$19=связи1!$A$170,1,0)+IF('Ввод данных'!$A$19=связи1!$A$171,1,0)+IF('Ввод данных'!$A$19=связи1!$A$172,1,0)+IF('Ввод данных'!$A$19=связи1!$A$173,1,0)+IF('Ввод данных'!$A$19=связи1!$A$174,1,0)+IF('Ввод данных'!$A$19=связи1!$A$175,1,0)+IF('Ввод данных'!$A$19=связи1!$A$176,1,0)+IF('Ввод данных'!$A$19=связи1!$A$177,1,0))</f>
        <v>0</v>
      </c>
    </row>
    <row r="764" customFormat="false" ht="15" hidden="false" customHeight="false" outlineLevel="0" collapsed="false">
      <c r="A764" s="3138" t="str">
        <f aca="false">дома!A1552</f>
        <v>Перемычка оконная, 2-ый эт. Вариант 7</v>
      </c>
      <c r="B764" s="3144" t="str">
        <f aca="false">дома!B1552</f>
        <v>м.п.</v>
      </c>
      <c r="C764" s="3138" t="n">
        <f aca="false">дома!D1552</f>
        <v>0.2</v>
      </c>
      <c r="D764" s="2811"/>
      <c r="E764" s="2811" t="n">
        <f aca="false">дома!C1552</f>
        <v>0</v>
      </c>
      <c r="F764" s="3138"/>
      <c r="G764" s="3138" t="n">
        <f aca="false">H764</f>
        <v>0</v>
      </c>
      <c r="H764" s="3145" t="n">
        <f aca="false">дома!C1552*(IF('Ввод данных'!$A$19=связи1!$A$151,1,0)+IF('Ввод данных'!$A$19=связи1!$A$168,1,0)+IF('Ввод данных'!$A$19=связи1!$A$169,1,0)+IF('Ввод данных'!$A$19=связи1!$A$170,1,0)+IF('Ввод данных'!$A$19=связи1!$A$171,1,0)+IF('Ввод данных'!$A$19=связи1!$A$172,1,0)+IF('Ввод данных'!$A$19=связи1!$A$173,1,0)+IF('Ввод данных'!$A$19=связи1!$A$174,1,0)+IF('Ввод данных'!$A$19=связи1!$A$175,1,0)+IF('Ввод данных'!$A$19=связи1!$A$176,1,0)+IF('Ввод данных'!$A$19=связи1!$A$177,1,0))</f>
        <v>0</v>
      </c>
    </row>
    <row r="765" customFormat="false" ht="15" hidden="false" customHeight="false" outlineLevel="0" collapsed="false">
      <c r="A765" s="3138" t="str">
        <f aca="false">дома!A1553</f>
        <v>Перемычка оконная, 2-ый эт. Вариант 8</v>
      </c>
      <c r="B765" s="3144" t="str">
        <f aca="false">дома!B1553</f>
        <v>м.п.</v>
      </c>
      <c r="C765" s="3138" t="n">
        <f aca="false">дома!D1553</f>
        <v>0.2</v>
      </c>
      <c r="D765" s="2811"/>
      <c r="E765" s="2811" t="n">
        <f aca="false">дома!C1553</f>
        <v>0</v>
      </c>
      <c r="F765" s="3138"/>
      <c r="G765" s="3138" t="n">
        <f aca="false">H765</f>
        <v>0</v>
      </c>
      <c r="H765" s="3145" t="n">
        <f aca="false">дома!C1553*(IF('Ввод данных'!$A$19=связи1!$A$151,1,0)+IF('Ввод данных'!$A$19=связи1!$A$168,1,0)+IF('Ввод данных'!$A$19=связи1!$A$169,1,0)+IF('Ввод данных'!$A$19=связи1!$A$170,1,0)+IF('Ввод данных'!$A$19=связи1!$A$171,1,0)+IF('Ввод данных'!$A$19=связи1!$A$172,1,0)+IF('Ввод данных'!$A$19=связи1!$A$173,1,0)+IF('Ввод данных'!$A$19=связи1!$A$174,1,0)+IF('Ввод данных'!$A$19=связи1!$A$175,1,0)+IF('Ввод данных'!$A$19=связи1!$A$176,1,0)+IF('Ввод данных'!$A$19=связи1!$A$177,1,0))</f>
        <v>0</v>
      </c>
    </row>
    <row r="766" customFormat="false" ht="15" hidden="false" customHeight="false" outlineLevel="0" collapsed="false">
      <c r="A766" s="3138" t="str">
        <f aca="false">дома!A1554</f>
        <v>Перемычка оконная, 2-ый эт. Вариант 9</v>
      </c>
      <c r="B766" s="3144" t="str">
        <f aca="false">дома!B1554</f>
        <v>м.п.</v>
      </c>
      <c r="C766" s="3138" t="n">
        <f aca="false">дома!D1554</f>
        <v>0.2</v>
      </c>
      <c r="D766" s="2811"/>
      <c r="E766" s="2811" t="n">
        <f aca="false">дома!C1554</f>
        <v>0</v>
      </c>
      <c r="F766" s="3138"/>
      <c r="G766" s="3138" t="n">
        <f aca="false">H766</f>
        <v>0</v>
      </c>
      <c r="H766" s="3145" t="n">
        <f aca="false">дома!C1554*(IF('Ввод данных'!$A$19=связи1!$A$151,1,0)+IF('Ввод данных'!$A$19=связи1!$A$168,1,0)+IF('Ввод данных'!$A$19=связи1!$A$169,1,0)+IF('Ввод данных'!$A$19=связи1!$A$170,1,0)+IF('Ввод данных'!$A$19=связи1!$A$171,1,0)+IF('Ввод данных'!$A$19=связи1!$A$172,1,0)+IF('Ввод данных'!$A$19=связи1!$A$173,1,0)+IF('Ввод данных'!$A$19=связи1!$A$174,1,0)+IF('Ввод данных'!$A$19=связи1!$A$175,1,0)+IF('Ввод данных'!$A$19=связи1!$A$176,1,0)+IF('Ввод данных'!$A$19=связи1!$A$177,1,0))</f>
        <v>0</v>
      </c>
    </row>
    <row r="767" customFormat="false" ht="15" hidden="false" customHeight="false" outlineLevel="0" collapsed="false">
      <c r="A767" s="3138" t="str">
        <f aca="false">дома!A1555</f>
        <v>Перемычка оконная, 2-ый эт. Вариант 10</v>
      </c>
      <c r="B767" s="3144" t="str">
        <f aca="false">дома!B1555</f>
        <v>м.п.</v>
      </c>
      <c r="C767" s="3138" t="n">
        <f aca="false">дома!D1555</f>
        <v>0.2</v>
      </c>
      <c r="D767" s="2811"/>
      <c r="E767" s="2811" t="n">
        <f aca="false">дома!C1555</f>
        <v>0</v>
      </c>
      <c r="F767" s="3138"/>
      <c r="G767" s="3138" t="n">
        <f aca="false">H767</f>
        <v>0</v>
      </c>
      <c r="H767" s="3145" t="n">
        <f aca="false">дома!C1555*(IF('Ввод данных'!$A$19=связи1!$A$151,1,0)+IF('Ввод данных'!$A$19=связи1!$A$168,1,0)+IF('Ввод данных'!$A$19=связи1!$A$169,1,0)+IF('Ввод данных'!$A$19=связи1!$A$170,1,0)+IF('Ввод данных'!$A$19=связи1!$A$171,1,0)+IF('Ввод данных'!$A$19=связи1!$A$172,1,0)+IF('Ввод данных'!$A$19=связи1!$A$173,1,0)+IF('Ввод данных'!$A$19=связи1!$A$174,1,0)+IF('Ввод данных'!$A$19=связи1!$A$175,1,0)+IF('Ввод данных'!$A$19=связи1!$A$176,1,0)+IF('Ввод данных'!$A$19=связи1!$A$177,1,0))</f>
        <v>0</v>
      </c>
    </row>
    <row r="768" customFormat="false" ht="15" hidden="false" customHeight="false" outlineLevel="0" collapsed="false">
      <c r="A768" s="3138" t="str">
        <f aca="false">дома!A1556</f>
        <v>Перемычка дверная, 1-ый эт. Вариант 1</v>
      </c>
      <c r="B768" s="3144" t="str">
        <f aca="false">дома!B1556</f>
        <v>м.п.</v>
      </c>
      <c r="C768" s="3138" t="n">
        <f aca="false">дома!D1556</f>
        <v>0.2</v>
      </c>
      <c r="D768" s="2811"/>
      <c r="E768" s="2811" t="n">
        <f aca="false">дома!C1556</f>
        <v>0</v>
      </c>
      <c r="F768" s="3138"/>
      <c r="G768" s="3138" t="n">
        <f aca="false">H768</f>
        <v>0</v>
      </c>
      <c r="H768" s="3145" t="n">
        <f aca="false">дома!C1556*(IF('Ввод данных'!$A$19=связи1!$A$151,1,0)+IF('Ввод данных'!$A$19=связи1!$A$168,1,0)+IF('Ввод данных'!$A$19=связи1!$A$169,1,0)+IF('Ввод данных'!$A$19=связи1!$A$170,1,0)+IF('Ввод данных'!$A$19=связи1!$A$171,1,0)+IF('Ввод данных'!$A$19=связи1!$A$172,1,0)+IF('Ввод данных'!$A$19=связи1!$A$173,1,0)+IF('Ввод данных'!$A$19=связи1!$A$174,1,0)+IF('Ввод данных'!$A$19=связи1!$A$175,1,0)+IF('Ввод данных'!$A$19=связи1!$A$176,1,0)+IF('Ввод данных'!$A$19=связи1!$A$177,1,0))</f>
        <v>0</v>
      </c>
    </row>
    <row r="769" customFormat="false" ht="15" hidden="false" customHeight="false" outlineLevel="0" collapsed="false">
      <c r="A769" s="3138" t="str">
        <f aca="false">дома!A1557</f>
        <v>Перемычка дверная, 2-ый эт. Вариант 2</v>
      </c>
      <c r="B769" s="3144" t="str">
        <f aca="false">дома!B1557</f>
        <v>м.п.</v>
      </c>
      <c r="C769" s="3138" t="n">
        <f aca="false">дома!D1557</f>
        <v>0.2</v>
      </c>
      <c r="D769" s="2811"/>
      <c r="E769" s="2811" t="n">
        <f aca="false">дома!C1557</f>
        <v>0</v>
      </c>
      <c r="F769" s="3138"/>
      <c r="G769" s="3138" t="n">
        <f aca="false">H769</f>
        <v>0</v>
      </c>
      <c r="H769" s="3145" t="n">
        <f aca="false">дома!C1557*(IF('Ввод данных'!$A$19=связи1!$A$151,1,0)+IF('Ввод данных'!$A$19=связи1!$A$168,1,0)+IF('Ввод данных'!$A$19=связи1!$A$169,1,0)+IF('Ввод данных'!$A$19=связи1!$A$170,1,0)+IF('Ввод данных'!$A$19=связи1!$A$171,1,0)+IF('Ввод данных'!$A$19=связи1!$A$172,1,0)+IF('Ввод данных'!$A$19=связи1!$A$173,1,0)+IF('Ввод данных'!$A$19=связи1!$A$174,1,0)+IF('Ввод данных'!$A$19=связи1!$A$175,1,0)+IF('Ввод данных'!$A$19=связи1!$A$176,1,0)+IF('Ввод данных'!$A$19=связи1!$A$177,1,0))</f>
        <v>0</v>
      </c>
    </row>
    <row r="770" customFormat="false" ht="15" hidden="false" customHeight="false" outlineLevel="0" collapsed="false">
      <c r="A770" s="3138" t="str">
        <f aca="false">дома!A1558</f>
        <v>Перемычка оконная 1-ый эт, Вариант 11</v>
      </c>
      <c r="B770" s="3144" t="str">
        <f aca="false">дома!B1558</f>
        <v>м.п.</v>
      </c>
      <c r="C770" s="3138" t="n">
        <f aca="false">дома!D1558</f>
        <v>0.2</v>
      </c>
      <c r="D770" s="2811"/>
      <c r="E770" s="2811" t="n">
        <f aca="false">дома!C1558</f>
        <v>0</v>
      </c>
      <c r="F770" s="3138"/>
      <c r="G770" s="3138" t="n">
        <f aca="false">H770</f>
        <v>0</v>
      </c>
      <c r="H770" s="3145" t="n">
        <f aca="false">дома!C1558*(IF('Ввод данных'!$A$19=связи1!$A$151,1,0)+IF('Ввод данных'!$A$19=связи1!$A$168,1,0)+IF('Ввод данных'!$A$19=связи1!$A$169,1,0)+IF('Ввод данных'!$A$19=связи1!$A$170,1,0)+IF('Ввод данных'!$A$19=связи1!$A$171,1,0)+IF('Ввод данных'!$A$19=связи1!$A$172,1,0)+IF('Ввод данных'!$A$19=связи1!$A$173,1,0)+IF('Ввод данных'!$A$19=связи1!$A$174,1,0)+IF('Ввод данных'!$A$19=связи1!$A$175,1,0)+IF('Ввод данных'!$A$19=связи1!$A$176,1,0)+IF('Ввод данных'!$A$19=связи1!$A$177,1,0))</f>
        <v>0</v>
      </c>
    </row>
    <row r="771" customFormat="false" ht="15" hidden="false" customHeight="false" outlineLevel="0" collapsed="false">
      <c r="A771" s="3138" t="str">
        <f aca="false">дома!A1559</f>
        <v>Перемычка оконная 1-ый эт, Вариант 12</v>
      </c>
      <c r="B771" s="3144" t="str">
        <f aca="false">дома!B1559</f>
        <v>м.п.</v>
      </c>
      <c r="C771" s="3138" t="n">
        <f aca="false">дома!D1559</f>
        <v>0.2</v>
      </c>
      <c r="D771" s="2811"/>
      <c r="E771" s="2811" t="n">
        <f aca="false">дома!C1559</f>
        <v>0</v>
      </c>
      <c r="F771" s="3138"/>
      <c r="G771" s="3138" t="n">
        <f aca="false">H771</f>
        <v>0</v>
      </c>
      <c r="H771" s="3145" t="n">
        <f aca="false">дома!C1559*(IF('Ввод данных'!$A$19=связи1!$A$151,1,0)+IF('Ввод данных'!$A$19=связи1!$A$168,1,0)+IF('Ввод данных'!$A$19=связи1!$A$169,1,0)+IF('Ввод данных'!$A$19=связи1!$A$170,1,0)+IF('Ввод данных'!$A$19=связи1!$A$171,1,0)+IF('Ввод данных'!$A$19=связи1!$A$172,1,0)+IF('Ввод данных'!$A$19=связи1!$A$173,1,0)+IF('Ввод данных'!$A$19=связи1!$A$174,1,0)+IF('Ввод данных'!$A$19=связи1!$A$175,1,0)+IF('Ввод данных'!$A$19=связи1!$A$176,1,0)+IF('Ввод данных'!$A$19=связи1!$A$177,1,0))</f>
        <v>0</v>
      </c>
    </row>
    <row r="772" customFormat="false" ht="15" hidden="false" customHeight="false" outlineLevel="0" collapsed="false">
      <c r="A772" s="3138" t="str">
        <f aca="false">дома!A1560</f>
        <v>Перемычка дверная, 1-ый эт. Вариант 4</v>
      </c>
      <c r="B772" s="3144" t="str">
        <f aca="false">дома!B1560</f>
        <v>м.п.</v>
      </c>
      <c r="C772" s="3138" t="n">
        <f aca="false">дома!D1560</f>
        <v>0.2</v>
      </c>
      <c r="D772" s="2811"/>
      <c r="E772" s="2811" t="n">
        <f aca="false">дома!C1560</f>
        <v>3</v>
      </c>
      <c r="F772" s="3138"/>
      <c r="G772" s="3138" t="n">
        <f aca="false">H772</f>
        <v>0</v>
      </c>
      <c r="H772" s="3145" t="n">
        <f aca="false">дома!C1560*(IF('Ввод данных'!$A$19=связи1!$A$151,1,0)+IF('Ввод данных'!$A$19=связи1!$A$168,1,0)+IF('Ввод данных'!$A$19=связи1!$A$169,1,0)+IF('Ввод данных'!$A$19=связи1!$A$170,1,0)+IF('Ввод данных'!$A$19=связи1!$A$171,1,0)+IF('Ввод данных'!$A$19=связи1!$A$172,1,0)+IF('Ввод данных'!$A$19=связи1!$A$173,1,0)+IF('Ввод данных'!$A$19=связи1!$A$174,1,0)+IF('Ввод данных'!$A$19=связи1!$A$175,1,0)+IF('Ввод данных'!$A$19=связи1!$A$176,1,0)+IF('Ввод данных'!$A$19=связи1!$A$177,1,0))</f>
        <v>0</v>
      </c>
    </row>
    <row r="773" customFormat="false" ht="15" hidden="false" customHeight="false" outlineLevel="0" collapsed="false">
      <c r="A773" s="3138" t="str">
        <f aca="false">дома!A1561</f>
        <v>Перемычка дверная, 1-ый эт. Вариант 5</v>
      </c>
      <c r="B773" s="3144" t="str">
        <f aca="false">дома!B1561</f>
        <v>м.п.</v>
      </c>
      <c r="C773" s="3138" t="n">
        <f aca="false">дома!D1561</f>
        <v>0.2</v>
      </c>
      <c r="D773" s="2811"/>
      <c r="E773" s="2811" t="n">
        <f aca="false">дома!C1561</f>
        <v>0</v>
      </c>
      <c r="F773" s="3138"/>
      <c r="G773" s="3138" t="n">
        <f aca="false">H773</f>
        <v>0</v>
      </c>
      <c r="H773" s="3145" t="n">
        <f aca="false">дома!C1561*(IF('Ввод данных'!$A$19=связи1!$A$151,1,0)+IF('Ввод данных'!$A$19=связи1!$A$168,1,0)+IF('Ввод данных'!$A$19=связи1!$A$169,1,0)+IF('Ввод данных'!$A$19=связи1!$A$170,1,0)+IF('Ввод данных'!$A$19=связи1!$A$171,1,0)+IF('Ввод данных'!$A$19=связи1!$A$172,1,0)+IF('Ввод данных'!$A$19=связи1!$A$173,1,0)+IF('Ввод данных'!$A$19=связи1!$A$174,1,0)+IF('Ввод данных'!$A$19=связи1!$A$175,1,0)+IF('Ввод данных'!$A$19=связи1!$A$176,1,0)+IF('Ввод данных'!$A$19=связи1!$A$177,1,0))</f>
        <v>0</v>
      </c>
    </row>
    <row r="774" customFormat="false" ht="15" hidden="false" customHeight="false" outlineLevel="0" collapsed="false">
      <c r="A774" s="3138" t="str">
        <f aca="false">дома!A1562</f>
        <v>Перемычка дверная, 1-ый эт. Вариант 6</v>
      </c>
      <c r="B774" s="3144" t="str">
        <f aca="false">дома!B1562</f>
        <v>м.п.</v>
      </c>
      <c r="C774" s="3138" t="n">
        <f aca="false">дома!D1562</f>
        <v>0.2</v>
      </c>
      <c r="D774" s="2811"/>
      <c r="E774" s="2811" t="n">
        <f aca="false">дома!C1562</f>
        <v>0</v>
      </c>
      <c r="F774" s="3138"/>
      <c r="G774" s="3138" t="n">
        <f aca="false">H774</f>
        <v>0</v>
      </c>
      <c r="H774" s="3145" t="n">
        <f aca="false">дома!C1562*(IF('Ввод данных'!$A$19=связи1!$A$151,1,0)+IF('Ввод данных'!$A$19=связи1!$A$168,1,0)+IF('Ввод данных'!$A$19=связи1!$A$169,1,0)+IF('Ввод данных'!$A$19=связи1!$A$170,1,0)+IF('Ввод данных'!$A$19=связи1!$A$171,1,0)+IF('Ввод данных'!$A$19=связи1!$A$172,1,0)+IF('Ввод данных'!$A$19=связи1!$A$173,1,0)+IF('Ввод данных'!$A$19=связи1!$A$174,1,0)+IF('Ввод данных'!$A$19=связи1!$A$175,1,0)+IF('Ввод данных'!$A$19=связи1!$A$176,1,0)+IF('Ввод данных'!$A$19=связи1!$A$177,1,0))</f>
        <v>0</v>
      </c>
    </row>
    <row r="775" customFormat="false" ht="15" hidden="false" customHeight="false" outlineLevel="0" collapsed="false">
      <c r="A775" s="3138" t="str">
        <f aca="false">дома!A1563</f>
        <v>Перемычка дверная, 2-ый эт. Вариант 7</v>
      </c>
      <c r="B775" s="3144" t="str">
        <f aca="false">дома!B1563</f>
        <v>м.п.</v>
      </c>
      <c r="C775" s="3138" t="n">
        <f aca="false">дома!D1563</f>
        <v>0.2</v>
      </c>
      <c r="D775" s="2811"/>
      <c r="E775" s="2811" t="n">
        <f aca="false">дома!C1563</f>
        <v>0</v>
      </c>
      <c r="F775" s="3138"/>
      <c r="G775" s="3138" t="n">
        <f aca="false">H775</f>
        <v>0</v>
      </c>
      <c r="H775" s="3145" t="n">
        <f aca="false">дома!C1563*(IF('Ввод данных'!$A$19=связи1!$A$151,1,0)+IF('Ввод данных'!$A$19=связи1!$A$168,1,0)+IF('Ввод данных'!$A$19=связи1!$A$169,1,0)+IF('Ввод данных'!$A$19=связи1!$A$170,1,0)+IF('Ввод данных'!$A$19=связи1!$A$171,1,0)+IF('Ввод данных'!$A$19=связи1!$A$172,1,0)+IF('Ввод данных'!$A$19=связи1!$A$173,1,0)+IF('Ввод данных'!$A$19=связи1!$A$174,1,0)+IF('Ввод данных'!$A$19=связи1!$A$175,1,0)+IF('Ввод данных'!$A$19=связи1!$A$176,1,0)+IF('Ввод данных'!$A$19=связи1!$A$177,1,0))</f>
        <v>0</v>
      </c>
    </row>
    <row r="776" customFormat="false" ht="15" hidden="false" customHeight="false" outlineLevel="0" collapsed="false">
      <c r="A776" s="3138" t="str">
        <f aca="false">дома!A1564</f>
        <v>Перемычка дверная, 2-ый эт. Вариант 8</v>
      </c>
      <c r="B776" s="3144" t="str">
        <f aca="false">дома!B1564</f>
        <v>м.п.</v>
      </c>
      <c r="C776" s="3138" t="n">
        <f aca="false">дома!D1564</f>
        <v>0.2</v>
      </c>
      <c r="D776" s="2811"/>
      <c r="E776" s="2811" t="n">
        <f aca="false">дома!C1564</f>
        <v>0</v>
      </c>
      <c r="F776" s="3138"/>
      <c r="G776" s="3138" t="n">
        <f aca="false">H776</f>
        <v>0</v>
      </c>
      <c r="H776" s="3145" t="n">
        <f aca="false">дома!C1564*(IF('Ввод данных'!$A$19=связи1!$A$151,1,0)+IF('Ввод данных'!$A$19=связи1!$A$168,1,0)+IF('Ввод данных'!$A$19=связи1!$A$169,1,0)+IF('Ввод данных'!$A$19=связи1!$A$170,1,0)+IF('Ввод данных'!$A$19=связи1!$A$171,1,0)+IF('Ввод данных'!$A$19=связи1!$A$172,1,0)+IF('Ввод данных'!$A$19=связи1!$A$173,1,0)+IF('Ввод данных'!$A$19=связи1!$A$174,1,0)+IF('Ввод данных'!$A$19=связи1!$A$175,1,0)+IF('Ввод данных'!$A$19=связи1!$A$176,1,0)+IF('Ввод данных'!$A$19=связи1!$A$177,1,0))</f>
        <v>0</v>
      </c>
    </row>
    <row r="777" customFormat="false" ht="15" hidden="false" customHeight="false" outlineLevel="0" collapsed="false">
      <c r="A777" s="3138" t="str">
        <f aca="false">дома!A1565</f>
        <v>Перемычка дверная, 2-ый эт. Вариант 9</v>
      </c>
      <c r="B777" s="3144" t="str">
        <f aca="false">дома!B1565</f>
        <v>м.п.</v>
      </c>
      <c r="C777" s="3138" t="n">
        <f aca="false">дома!D1565</f>
        <v>0.2</v>
      </c>
      <c r="D777" s="2811"/>
      <c r="E777" s="2811" t="n">
        <f aca="false">дома!C1565</f>
        <v>0</v>
      </c>
      <c r="F777" s="3138"/>
      <c r="G777" s="3138" t="n">
        <f aca="false">H777</f>
        <v>0</v>
      </c>
      <c r="H777" s="3145" t="n">
        <f aca="false">дома!C1565*(IF('Ввод данных'!$A$19=связи1!$A$151,1,0)+IF('Ввод данных'!$A$19=связи1!$A$168,1,0)+IF('Ввод данных'!$A$19=связи1!$A$169,1,0)+IF('Ввод данных'!$A$19=связи1!$A$170,1,0)+IF('Ввод данных'!$A$19=связи1!$A$171,1,0)+IF('Ввод данных'!$A$19=связи1!$A$172,1,0)+IF('Ввод данных'!$A$19=связи1!$A$173,1,0)+IF('Ввод данных'!$A$19=связи1!$A$174,1,0)+IF('Ввод данных'!$A$19=связи1!$A$175,1,0)+IF('Ввод данных'!$A$19=связи1!$A$176,1,0)+IF('Ввод данных'!$A$19=связи1!$A$177,1,0))</f>
        <v>0</v>
      </c>
    </row>
    <row r="778" customFormat="false" ht="15" hidden="false" customHeight="false" outlineLevel="0" collapsed="false">
      <c r="A778" s="3138" t="str">
        <f aca="false">дома!A1566</f>
        <v>Перемычка проема, 1-ый эт. Вариант 10</v>
      </c>
      <c r="B778" s="3144" t="str">
        <f aca="false">дома!B1566</f>
        <v>м.п.</v>
      </c>
      <c r="C778" s="3138" t="n">
        <f aca="false">дома!D1566</f>
        <v>0.2</v>
      </c>
      <c r="D778" s="2811"/>
      <c r="E778" s="2811" t="n">
        <f aca="false">дома!C1566</f>
        <v>0</v>
      </c>
      <c r="F778" s="3138"/>
      <c r="G778" s="3138" t="n">
        <f aca="false">H778</f>
        <v>0</v>
      </c>
      <c r="H778" s="3145" t="n">
        <f aca="false">дома!C1566*(IF('Ввод данных'!$A$19=связи1!$A$151,1,0)+IF('Ввод данных'!$A$19=связи1!$A$168,1,0)+IF('Ввод данных'!$A$19=связи1!$A$169,1,0)+IF('Ввод данных'!$A$19=связи1!$A$170,1,0)+IF('Ввод данных'!$A$19=связи1!$A$171,1,0)+IF('Ввод данных'!$A$19=связи1!$A$172,1,0)+IF('Ввод данных'!$A$19=связи1!$A$173,1,0)+IF('Ввод данных'!$A$19=связи1!$A$174,1,0)+IF('Ввод данных'!$A$19=связи1!$A$175,1,0)+IF('Ввод данных'!$A$19=связи1!$A$176,1,0)+IF('Ввод данных'!$A$19=связи1!$A$177,1,0))</f>
        <v>0</v>
      </c>
    </row>
    <row r="779" customFormat="false" ht="15" hidden="false" customHeight="false" outlineLevel="0" collapsed="false">
      <c r="A779" s="3138" t="str">
        <f aca="false">дома!A1567</f>
        <v>Перемычка проема, 1-ый эт. Вариант 11</v>
      </c>
      <c r="B779" s="3144" t="str">
        <f aca="false">дома!B1567</f>
        <v>м.п.</v>
      </c>
      <c r="C779" s="3138" t="n">
        <f aca="false">дома!D1567</f>
        <v>0.2</v>
      </c>
      <c r="D779" s="2811"/>
      <c r="E779" s="2811" t="n">
        <f aca="false">дома!C1567</f>
        <v>0</v>
      </c>
      <c r="F779" s="3138"/>
      <c r="G779" s="3138" t="n">
        <f aca="false">H779</f>
        <v>0</v>
      </c>
      <c r="H779" s="3145" t="n">
        <f aca="false">дома!C1567*(IF('Ввод данных'!$A$19=связи1!$A$151,1,0)+IF('Ввод данных'!$A$19=связи1!$A$168,1,0)+IF('Ввод данных'!$A$19=связи1!$A$169,1,0)+IF('Ввод данных'!$A$19=связи1!$A$170,1,0)+IF('Ввод данных'!$A$19=связи1!$A$171,1,0)+IF('Ввод данных'!$A$19=связи1!$A$172,1,0)+IF('Ввод данных'!$A$19=связи1!$A$173,1,0)+IF('Ввод данных'!$A$19=связи1!$A$174,1,0)+IF('Ввод данных'!$A$19=связи1!$A$175,1,0)+IF('Ввод данных'!$A$19=связи1!$A$176,1,0)+IF('Ввод данных'!$A$19=связи1!$A$177,1,0))</f>
        <v>0</v>
      </c>
    </row>
    <row r="780" customFormat="false" ht="15" hidden="false" customHeight="false" outlineLevel="0" collapsed="false">
      <c r="A780" s="3138" t="str">
        <f aca="false">дома!A1568</f>
        <v>Перемычка проема, 2-ый эт. Вариант 12</v>
      </c>
      <c r="B780" s="3144" t="str">
        <f aca="false">дома!B1568</f>
        <v>м.п.</v>
      </c>
      <c r="C780" s="3138" t="n">
        <f aca="false">дома!D1568</f>
        <v>0.2</v>
      </c>
      <c r="D780" s="2811"/>
      <c r="E780" s="2811" t="n">
        <f aca="false">дома!C1568</f>
        <v>0</v>
      </c>
      <c r="F780" s="3138"/>
      <c r="G780" s="3138" t="n">
        <f aca="false">H780</f>
        <v>0</v>
      </c>
      <c r="H780" s="3145" t="n">
        <f aca="false">дома!C1568*(IF('Ввод данных'!$A$19=связи1!$A$151,1,0)+IF('Ввод данных'!$A$19=связи1!$A$168,1,0)+IF('Ввод данных'!$A$19=связи1!$A$169,1,0)+IF('Ввод данных'!$A$19=связи1!$A$170,1,0)+IF('Ввод данных'!$A$19=связи1!$A$171,1,0)+IF('Ввод данных'!$A$19=связи1!$A$172,1,0)+IF('Ввод данных'!$A$19=связи1!$A$173,1,0)+IF('Ввод данных'!$A$19=связи1!$A$174,1,0)+IF('Ввод данных'!$A$19=связи1!$A$175,1,0)+IF('Ввод данных'!$A$19=связи1!$A$176,1,0)+IF('Ввод данных'!$A$19=связи1!$A$177,1,0))</f>
        <v>0</v>
      </c>
    </row>
    <row r="781" customFormat="false" ht="15" hidden="false" customHeight="false" outlineLevel="0" collapsed="false">
      <c r="A781" s="3138" t="str">
        <f aca="false">дома!A1569</f>
        <v>Перемычка проема, 2-ый эт. Вариант 13</v>
      </c>
      <c r="B781" s="3144" t="str">
        <f aca="false">дома!B1569</f>
        <v>м.п.</v>
      </c>
      <c r="C781" s="3138" t="n">
        <f aca="false">дома!D1569</f>
        <v>0.2</v>
      </c>
      <c r="D781" s="2811"/>
      <c r="E781" s="2811" t="n">
        <f aca="false">дома!C1569</f>
        <v>0</v>
      </c>
      <c r="F781" s="3138"/>
      <c r="G781" s="3138" t="n">
        <f aca="false">H781</f>
        <v>0</v>
      </c>
      <c r="H781" s="3145" t="n">
        <f aca="false">дома!C1569*(IF('Ввод данных'!$A$19=связи1!$A$151,1,0)+IF('Ввод данных'!$A$19=связи1!$A$168,1,0)+IF('Ввод данных'!$A$19=связи1!$A$169,1,0)+IF('Ввод данных'!$A$19=связи1!$A$170,1,0)+IF('Ввод данных'!$A$19=связи1!$A$171,1,0)+IF('Ввод данных'!$A$19=связи1!$A$172,1,0)+IF('Ввод данных'!$A$19=связи1!$A$173,1,0)+IF('Ввод данных'!$A$19=связи1!$A$174,1,0)+IF('Ввод данных'!$A$19=связи1!$A$175,1,0)+IF('Ввод данных'!$A$19=связи1!$A$176,1,0)+IF('Ввод данных'!$A$19=связи1!$A$177,1,0))</f>
        <v>0</v>
      </c>
    </row>
    <row r="782" customFormat="false" ht="15" hidden="false" customHeight="false" outlineLevel="0" collapsed="false">
      <c r="A782" s="3138" t="str">
        <f aca="false">дома!A1570</f>
        <v>Перемычка дверная, 1-ый эт. Вариант 1</v>
      </c>
      <c r="B782" s="3144" t="str">
        <f aca="false">дома!B1570</f>
        <v>м.п.</v>
      </c>
      <c r="C782" s="3138" t="n">
        <f aca="false">дома!D1570</f>
        <v>0.2</v>
      </c>
      <c r="D782" s="2811"/>
      <c r="E782" s="2811" t="n">
        <f aca="false">дома!C1570</f>
        <v>0</v>
      </c>
      <c r="F782" s="3138"/>
      <c r="G782" s="3138" t="n">
        <f aca="false">H782</f>
        <v>0</v>
      </c>
      <c r="H782" s="3145" t="n">
        <f aca="false">дома!C1570*(IF('Ввод данных'!$A$19=связи1!$A$151,1,0)+IF('Ввод данных'!$A$19=связи1!$A$168,1,0)+IF('Ввод данных'!$A$19=связи1!$A$169,1,0)+IF('Ввод данных'!$A$19=связи1!$A$170,1,0)+IF('Ввод данных'!$A$19=связи1!$A$171,1,0)+IF('Ввод данных'!$A$19=связи1!$A$172,1,0)+IF('Ввод данных'!$A$19=связи1!$A$173,1,0)+IF('Ввод данных'!$A$19=связи1!$A$174,1,0)+IF('Ввод данных'!$A$19=связи1!$A$175,1,0)+IF('Ввод данных'!$A$19=связи1!$A$176,1,0)+IF('Ввод данных'!$A$19=связи1!$A$177,1,0))</f>
        <v>0</v>
      </c>
    </row>
    <row r="783" customFormat="false" ht="15" hidden="false" customHeight="false" outlineLevel="0" collapsed="false">
      <c r="A783" s="3138" t="str">
        <f aca="false">дома!A1571</f>
        <v>Перемычка дверная, 1-ый эт. Вариант 2</v>
      </c>
      <c r="B783" s="3144" t="str">
        <f aca="false">дома!B1571</f>
        <v>м.п.</v>
      </c>
      <c r="C783" s="3138" t="n">
        <f aca="false">дома!D1571</f>
        <v>0.2</v>
      </c>
      <c r="D783" s="2811"/>
      <c r="E783" s="2811" t="n">
        <f aca="false">дома!C1571</f>
        <v>1</v>
      </c>
      <c r="F783" s="3138"/>
      <c r="G783" s="3138" t="n">
        <f aca="false">H783</f>
        <v>0</v>
      </c>
      <c r="H783" s="3145" t="n">
        <f aca="false">дома!C1571*(IF('Ввод данных'!$A$19=связи1!$A$151,1,0)+IF('Ввод данных'!$A$19=связи1!$A$168,1,0)+IF('Ввод данных'!$A$19=связи1!$A$169,1,0)+IF('Ввод данных'!$A$19=связи1!$A$170,1,0)+IF('Ввод данных'!$A$19=связи1!$A$171,1,0)+IF('Ввод данных'!$A$19=связи1!$A$172,1,0)+IF('Ввод данных'!$A$19=связи1!$A$173,1,0)+IF('Ввод данных'!$A$19=связи1!$A$174,1,0)+IF('Ввод данных'!$A$19=связи1!$A$175,1,0)+IF('Ввод данных'!$A$19=связи1!$A$176,1,0)+IF('Ввод данных'!$A$19=связи1!$A$177,1,0))</f>
        <v>0</v>
      </c>
    </row>
    <row r="784" customFormat="false" ht="15" hidden="false" customHeight="false" outlineLevel="0" collapsed="false">
      <c r="A784" s="3138" t="str">
        <f aca="false">дома!A1572</f>
        <v>Перемычка дверная, 1-ый эт. Вариант 3</v>
      </c>
      <c r="B784" s="3144" t="str">
        <f aca="false">дома!B1572</f>
        <v>м.п.</v>
      </c>
      <c r="C784" s="3138" t="n">
        <f aca="false">дома!D1572</f>
        <v>0.2</v>
      </c>
      <c r="D784" s="2811"/>
      <c r="E784" s="2811" t="n">
        <f aca="false">дома!C1572</f>
        <v>0</v>
      </c>
      <c r="F784" s="3138"/>
      <c r="G784" s="3138" t="n">
        <f aca="false">H784</f>
        <v>0</v>
      </c>
      <c r="H784" s="3145" t="n">
        <f aca="false">дома!C1572*(IF('Ввод данных'!$A$19=связи1!$A$151,1,0)+IF('Ввод данных'!$A$19=связи1!$A$168,1,0)+IF('Ввод данных'!$A$19=связи1!$A$169,1,0)+IF('Ввод данных'!$A$19=связи1!$A$170,1,0)+IF('Ввод данных'!$A$19=связи1!$A$171,1,0)+IF('Ввод данных'!$A$19=связи1!$A$172,1,0)+IF('Ввод данных'!$A$19=связи1!$A$173,1,0)+IF('Ввод данных'!$A$19=связи1!$A$174,1,0)+IF('Ввод данных'!$A$19=связи1!$A$175,1,0)+IF('Ввод данных'!$A$19=связи1!$A$176,1,0)+IF('Ввод данных'!$A$19=связи1!$A$177,1,0))</f>
        <v>0</v>
      </c>
    </row>
    <row r="785" customFormat="false" ht="18" hidden="false" customHeight="true" outlineLevel="0" collapsed="false">
      <c r="A785" s="3146" t="s">
        <v>46</v>
      </c>
      <c r="B785" s="3147" t="s">
        <v>162</v>
      </c>
      <c r="C785" s="3147" t="s">
        <v>137</v>
      </c>
      <c r="D785" s="3147" t="s">
        <v>116</v>
      </c>
      <c r="E785" s="3134" t="s">
        <v>200</v>
      </c>
      <c r="F785" s="3146" t="s">
        <v>204</v>
      </c>
      <c r="G785" s="3146" t="s">
        <v>4294</v>
      </c>
      <c r="H785" s="3139" t="n">
        <f aca="false">SUM(H786:H790)</f>
        <v>0</v>
      </c>
    </row>
    <row r="786" customFormat="false" ht="15.75" hidden="false" customHeight="false" outlineLevel="0" collapsed="false">
      <c r="A786" s="3122" t="s">
        <v>4289</v>
      </c>
      <c r="B786" s="3137" t="s">
        <v>1043</v>
      </c>
      <c r="C786" s="2811" t="n">
        <f aca="false">C750</f>
        <v>200</v>
      </c>
      <c r="D786" s="2811" t="n">
        <f aca="false">D750</f>
        <v>390</v>
      </c>
      <c r="E786" s="2811" t="n">
        <f aca="false">E750</f>
        <v>300</v>
      </c>
      <c r="F786" s="3124" t="n">
        <f aca="false">F750+F753+F754+F755+F756+F757</f>
        <v>3.168</v>
      </c>
      <c r="G786" s="3124" t="n">
        <f aca="false">G750+G753+G754+G755+G756+G757</f>
        <v>0</v>
      </c>
      <c r="H786" s="3139" t="n">
        <f aca="false">IF(G786&gt;0,1,0)</f>
        <v>0</v>
      </c>
    </row>
    <row r="787" customFormat="false" ht="15.75" hidden="false" customHeight="false" outlineLevel="0" collapsed="false">
      <c r="A787" s="3138" t="s">
        <v>4291</v>
      </c>
      <c r="B787" s="3137" t="s">
        <v>1043</v>
      </c>
      <c r="C787" s="2811" t="n">
        <f aca="false">C751</f>
        <v>200</v>
      </c>
      <c r="D787" s="2811" t="n">
        <f aca="false">D751</f>
        <v>390</v>
      </c>
      <c r="E787" s="2811" t="n">
        <f aca="false">E751</f>
        <v>200</v>
      </c>
      <c r="F787" s="3124" t="n">
        <f aca="false">F751</f>
        <v>0</v>
      </c>
      <c r="G787" s="2811" t="n">
        <f aca="false">G751</f>
        <v>0</v>
      </c>
      <c r="H787" s="3139" t="n">
        <f aca="false">IF(G787&gt;0,1,0)</f>
        <v>0</v>
      </c>
    </row>
    <row r="788" customFormat="false" ht="15.75" hidden="false" customHeight="false" outlineLevel="0" collapsed="false">
      <c r="A788" s="3138" t="s">
        <v>4292</v>
      </c>
      <c r="B788" s="3137" t="s">
        <v>1043</v>
      </c>
      <c r="C788" s="2811" t="n">
        <f aca="false">C752</f>
        <v>200</v>
      </c>
      <c r="D788" s="2811" t="n">
        <f aca="false">D752</f>
        <v>390</v>
      </c>
      <c r="E788" s="2811" t="n">
        <f aca="false">E752</f>
        <v>100</v>
      </c>
      <c r="F788" s="3124" t="n">
        <f aca="false">F752</f>
        <v>0</v>
      </c>
      <c r="G788" s="2811" t="n">
        <f aca="false">G752</f>
        <v>0</v>
      </c>
      <c r="H788" s="3139" t="n">
        <f aca="false">IF(G788&gt;0,1,0)</f>
        <v>0</v>
      </c>
    </row>
    <row r="789" customFormat="false" ht="15" hidden="false" customHeight="false" outlineLevel="0" collapsed="false">
      <c r="A789" s="3148" t="s">
        <v>4295</v>
      </c>
      <c r="B789" s="3144" t="s">
        <v>15</v>
      </c>
      <c r="C789" s="2811"/>
      <c r="D789" s="2811"/>
      <c r="E789" s="2811"/>
      <c r="F789" s="2811" t="n">
        <f aca="false">SUM(G758:G771)+SUM(G782:G784)</f>
        <v>0</v>
      </c>
      <c r="G789" s="2811"/>
      <c r="H789" s="3139" t="n">
        <f aca="false">IF(F789&gt;0,1,0)</f>
        <v>0</v>
      </c>
    </row>
    <row r="790" customFormat="false" ht="15" hidden="false" customHeight="false" outlineLevel="0" collapsed="false">
      <c r="A790" s="3148" t="s">
        <v>4296</v>
      </c>
      <c r="B790" s="3144" t="s">
        <v>15</v>
      </c>
      <c r="C790" s="2811"/>
      <c r="D790" s="2811"/>
      <c r="E790" s="2811"/>
      <c r="F790" s="2811" t="n">
        <f aca="false">SUM(G772:G781)</f>
        <v>0</v>
      </c>
      <c r="G790" s="2811"/>
      <c r="H790" s="3139" t="n">
        <f aca="false">IF(F790&gt;0,1,0)</f>
        <v>0</v>
      </c>
    </row>
    <row r="791" customFormat="false" ht="21" hidden="false" customHeight="false" outlineLevel="0" collapsed="false">
      <c r="A791" s="3119" t="s">
        <v>4297</v>
      </c>
      <c r="B791" s="3119"/>
      <c r="C791" s="3119"/>
      <c r="D791" s="3119"/>
      <c r="E791" s="3119"/>
      <c r="F791" s="3119"/>
      <c r="G791" s="3120"/>
      <c r="H791" s="3121" t="n">
        <f aca="false">H792</f>
        <v>0</v>
      </c>
    </row>
    <row r="792" customFormat="false" ht="15.75" hidden="false" customHeight="false" outlineLevel="0" collapsed="false">
      <c r="A792" s="3149" t="s">
        <v>46</v>
      </c>
      <c r="B792" s="3149" t="s">
        <v>162</v>
      </c>
      <c r="C792" s="3149" t="s">
        <v>137</v>
      </c>
      <c r="D792" s="3149" t="s">
        <v>116</v>
      </c>
      <c r="E792" s="3149" t="s">
        <v>200</v>
      </c>
      <c r="F792" s="3149" t="s">
        <v>2659</v>
      </c>
      <c r="G792" s="3150" t="s">
        <v>118</v>
      </c>
      <c r="H792" s="3151" t="n">
        <f aca="false">SUM(H793:H822)</f>
        <v>0</v>
      </c>
    </row>
    <row r="793" customFormat="false" ht="15" hidden="false" customHeight="false" outlineLevel="0" collapsed="false">
      <c r="A793" s="3138" t="str">
        <f aca="false">дома!A1612</f>
        <v>Пенобетон 200x300x600</v>
      </c>
      <c r="B793" s="3144" t="str">
        <f aca="false">дома!B1612</f>
        <v>м3</v>
      </c>
      <c r="C793" s="3138" t="n">
        <f aca="false">дома!D1612</f>
        <v>200</v>
      </c>
      <c r="D793" s="3138" t="n">
        <f aca="false">дома!E1612</f>
        <v>300</v>
      </c>
      <c r="E793" s="3138" t="n">
        <f aca="false">дома!F1612</f>
        <v>600</v>
      </c>
      <c r="F793" s="3138" t="n">
        <f aca="false">дома!C1612</f>
        <v>0</v>
      </c>
      <c r="G793" s="3138" t="n">
        <f aca="false">H793</f>
        <v>0</v>
      </c>
      <c r="H793" s="3145" t="n">
        <f aca="false">дома!G1612*(IF('Ввод данных'!$A$19=связи1!$A$152,1,0)+IF('Ввод данных'!$A$19=связи1!$A$160,1,0)+IF('Ввод данных'!$A$19=связи1!$A$176,1,0)+IF('Ввод данных'!$A$19=связи1!$A$177,1,0)+IF('Ввод данных'!$A$19=связи1!$A$178,1,0)+IF('Ввод данных'!$A$19=связи1!$A$179,1,0)+IF('Ввод данных'!$A$19=связи1!$A$180,1,0)+IF('Ввод данных'!$A$19=связи1!$A$181,1,0)+IF('Ввод данных'!$A$19=связи1!$A$182,1,0))</f>
        <v>0</v>
      </c>
    </row>
    <row r="794" customFormat="false" ht="15" hidden="false" customHeight="false" outlineLevel="0" collapsed="false">
      <c r="A794" s="3138" t="str">
        <f aca="false">дома!A1613</f>
        <v>Пенобетон 200x150x600</v>
      </c>
      <c r="B794" s="3144" t="str">
        <f aca="false">дома!B1613</f>
        <v>м3</v>
      </c>
      <c r="C794" s="3138" t="n">
        <f aca="false">дома!D1613</f>
        <v>200</v>
      </c>
      <c r="D794" s="3138" t="n">
        <f aca="false">дома!E1613</f>
        <v>150</v>
      </c>
      <c r="E794" s="3138" t="n">
        <f aca="false">дома!F1613</f>
        <v>600</v>
      </c>
      <c r="F794" s="3138" t="n">
        <f aca="false">дома!C1613</f>
        <v>0</v>
      </c>
      <c r="G794" s="3138" t="n">
        <f aca="false">H794</f>
        <v>0</v>
      </c>
      <c r="H794" s="3145" t="n">
        <f aca="false">дома!G1613*(IF('Ввод данных'!$A$19=связи1!$A$152,1,0)+IF('Ввод данных'!$A$19=связи1!$A$160,1,0)+IF('Ввод данных'!$A$19=связи1!$A$176,1,0)+IF('Ввод данных'!$A$19=связи1!$A$177,1,0)+IF('Ввод данных'!$A$19=связи1!$A$178,1,0)+IF('Ввод данных'!$A$19=связи1!$A$179,1,0)+IF('Ввод данных'!$A$19=связи1!$A$180,1,0)+IF('Ввод данных'!$A$19=связи1!$A$181,1,0)+IF('Ввод данных'!$A$19=связи1!$A$182,1,0))</f>
        <v>0</v>
      </c>
    </row>
    <row r="795" customFormat="false" ht="15" hidden="false" customHeight="false" outlineLevel="0" collapsed="false">
      <c r="A795" s="3138" t="str">
        <f aca="false">дома!A1614</f>
        <v>Пенобетон 200x150x600</v>
      </c>
      <c r="B795" s="3144" t="str">
        <f aca="false">дома!B1614</f>
        <v>м3</v>
      </c>
      <c r="C795" s="3138" t="n">
        <f aca="false">дома!D1614</f>
        <v>200</v>
      </c>
      <c r="D795" s="3138" t="n">
        <f aca="false">дома!E1614</f>
        <v>150</v>
      </c>
      <c r="E795" s="3138" t="n">
        <f aca="false">дома!F1614</f>
        <v>600</v>
      </c>
      <c r="F795" s="3138" t="n">
        <f aca="false">дома!C1614</f>
        <v>0</v>
      </c>
      <c r="G795" s="3138" t="n">
        <f aca="false">H795</f>
        <v>0</v>
      </c>
      <c r="H795" s="3145" t="n">
        <f aca="false">дома!G1614*(IF('Ввод данных'!$A$19=связи1!$A$152,1,0)+IF('Ввод данных'!$A$19=связи1!$A$160,1,0)+IF('Ввод данных'!$A$19=связи1!$A$176,1,0)+IF('Ввод данных'!$A$19=связи1!$A$177,1,0)+IF('Ввод данных'!$A$19=связи1!$A$178,1,0)+IF('Ввод данных'!$A$19=связи1!$A$179,1,0)+IF('Ввод данных'!$A$19=связи1!$A$180,1,0)+IF('Ввод данных'!$A$19=связи1!$A$181,1,0)+IF('Ввод данных'!$A$19=связи1!$A$182,1,0))</f>
        <v>0</v>
      </c>
    </row>
    <row r="796" customFormat="false" ht="15" hidden="false" customHeight="false" outlineLevel="0" collapsed="false">
      <c r="A796" s="3138" t="str">
        <f aca="false">A758</f>
        <v>Перемычка оконная, 1-ый эт. Вариант 1</v>
      </c>
      <c r="B796" s="3144" t="str">
        <f aca="false">B758</f>
        <v>м.п.</v>
      </c>
      <c r="C796" s="3138" t="n">
        <f aca="false">C758</f>
        <v>0.2</v>
      </c>
      <c r="D796" s="3138"/>
      <c r="E796" s="3138" t="n">
        <f aca="false">E758</f>
        <v>1</v>
      </c>
      <c r="F796" s="3138"/>
      <c r="G796" s="3138" t="n">
        <f aca="false">H796</f>
        <v>0</v>
      </c>
      <c r="H796" s="3145" t="n">
        <f aca="false">дома!C1546*(IF('Ввод данных'!$A$19=связи1!$A$152,1,0)+IF('Ввод данных'!$A$19=связи1!$A$160,1,0)+IF('Ввод данных'!$A$19=связи1!$A$176,1,0)+IF('Ввод данных'!$A$19=связи1!$A$177,1,0)+IF('Ввод данных'!$A$19=связи1!$A$178,1,0)+IF('Ввод данных'!$A$19=связи1!$A$179,1,0)+IF('Ввод данных'!$A$19=связи1!$A$180,1,0)+IF('Ввод данных'!$A$19=связи1!$A$181,1,0)+IF('Ввод данных'!$A$19=связи1!$A$182,1,0))</f>
        <v>0</v>
      </c>
    </row>
    <row r="797" customFormat="false" ht="15" hidden="false" customHeight="false" outlineLevel="0" collapsed="false">
      <c r="A797" s="3138" t="str">
        <f aca="false">A759</f>
        <v>Перемычка оконная, 1-ый эт. Вариант 2</v>
      </c>
      <c r="B797" s="3144" t="str">
        <f aca="false">B759</f>
        <v>м.п.</v>
      </c>
      <c r="C797" s="3138" t="n">
        <f aca="false">C759</f>
        <v>0.2</v>
      </c>
      <c r="D797" s="3138"/>
      <c r="E797" s="3138" t="n">
        <f aca="false">E759</f>
        <v>0</v>
      </c>
      <c r="F797" s="3138"/>
      <c r="G797" s="3138" t="n">
        <f aca="false">H797</f>
        <v>0</v>
      </c>
      <c r="H797" s="3145" t="n">
        <f aca="false">дома!C1547*(IF('Ввод данных'!$A$19=связи1!$A$152,1,0)+IF('Ввод данных'!$A$19=связи1!$A$160,1,0)+IF('Ввод данных'!$A$19=связи1!$A$176,1,0)+IF('Ввод данных'!$A$19=связи1!$A$177,1,0)+IF('Ввод данных'!$A$19=связи1!$A$178,1,0)+IF('Ввод данных'!$A$19=связи1!$A$179,1,0)+IF('Ввод данных'!$A$19=связи1!$A$180,1,0)+IF('Ввод данных'!$A$19=связи1!$A$181,1,0)+IF('Ввод данных'!$A$19=связи1!$A$182,1,0))</f>
        <v>0</v>
      </c>
    </row>
    <row r="798" customFormat="false" ht="15" hidden="false" customHeight="false" outlineLevel="0" collapsed="false">
      <c r="A798" s="3138" t="str">
        <f aca="false">A760</f>
        <v>Перемычка оконная, 1-ый эт. Вариант 3</v>
      </c>
      <c r="B798" s="3144" t="str">
        <f aca="false">B760</f>
        <v>м.п.</v>
      </c>
      <c r="C798" s="3138" t="n">
        <f aca="false">C760</f>
        <v>0.2</v>
      </c>
      <c r="D798" s="3138"/>
      <c r="E798" s="3138" t="n">
        <f aca="false">E760</f>
        <v>0</v>
      </c>
      <c r="F798" s="3138"/>
      <c r="G798" s="3138" t="n">
        <f aca="false">H798</f>
        <v>0</v>
      </c>
      <c r="H798" s="3145" t="n">
        <f aca="false">дома!C1548*(IF('Ввод данных'!$A$19=связи1!$A$152,1,0)+IF('Ввод данных'!$A$19=связи1!$A$160,1,0)+IF('Ввод данных'!$A$19=связи1!$A$176,1,0)+IF('Ввод данных'!$A$19=связи1!$A$177,1,0)+IF('Ввод данных'!$A$19=связи1!$A$178,1,0)+IF('Ввод данных'!$A$19=связи1!$A$179,1,0)+IF('Ввод данных'!$A$19=связи1!$A$180,1,0)+IF('Ввод данных'!$A$19=связи1!$A$181,1,0)+IF('Ввод данных'!$A$19=связи1!$A$182,1,0))</f>
        <v>0</v>
      </c>
    </row>
    <row r="799" customFormat="false" ht="15" hidden="false" customHeight="false" outlineLevel="0" collapsed="false">
      <c r="A799" s="3138" t="str">
        <f aca="false">A761</f>
        <v>Перемычка оконная, 1-ый эт. Вариант 4</v>
      </c>
      <c r="B799" s="3144" t="str">
        <f aca="false">B761</f>
        <v>м.п.</v>
      </c>
      <c r="C799" s="3138" t="n">
        <f aca="false">C761</f>
        <v>0.2</v>
      </c>
      <c r="D799" s="3138"/>
      <c r="E799" s="3138" t="n">
        <f aca="false">E761</f>
        <v>0</v>
      </c>
      <c r="F799" s="3138"/>
      <c r="G799" s="3138" t="n">
        <f aca="false">H799</f>
        <v>0</v>
      </c>
      <c r="H799" s="3145" t="n">
        <f aca="false">дома!C1549*(IF('Ввод данных'!$A$19=связи1!$A$152,1,0)+IF('Ввод данных'!$A$19=связи1!$A$160,1,0)+IF('Ввод данных'!$A$19=связи1!$A$176,1,0)+IF('Ввод данных'!$A$19=связи1!$A$177,1,0)+IF('Ввод данных'!$A$19=связи1!$A$178,1,0)+IF('Ввод данных'!$A$19=связи1!$A$179,1,0)+IF('Ввод данных'!$A$19=связи1!$A$180,1,0)+IF('Ввод данных'!$A$19=связи1!$A$181,1,0)+IF('Ввод данных'!$A$19=связи1!$A$182,1,0))</f>
        <v>0</v>
      </c>
    </row>
    <row r="800" customFormat="false" ht="15" hidden="false" customHeight="false" outlineLevel="0" collapsed="false">
      <c r="A800" s="3138" t="str">
        <f aca="false">A762</f>
        <v>Перемычка оконная, 1-ый эт. Вариант 5</v>
      </c>
      <c r="B800" s="3144" t="str">
        <f aca="false">B762</f>
        <v>м.п.</v>
      </c>
      <c r="C800" s="3138" t="n">
        <f aca="false">C762</f>
        <v>0.2</v>
      </c>
      <c r="D800" s="3138"/>
      <c r="E800" s="3138" t="n">
        <f aca="false">E762</f>
        <v>0</v>
      </c>
      <c r="F800" s="3138"/>
      <c r="G800" s="3138" t="n">
        <f aca="false">H800</f>
        <v>0</v>
      </c>
      <c r="H800" s="3145" t="n">
        <f aca="false">дома!C1550*(IF('Ввод данных'!$A$19=связи1!$A$152,1,0)+IF('Ввод данных'!$A$19=связи1!$A$160,1,0)+IF('Ввод данных'!$A$19=связи1!$A$176,1,0)+IF('Ввод данных'!$A$19=связи1!$A$177,1,0)+IF('Ввод данных'!$A$19=связи1!$A$178,1,0)+IF('Ввод данных'!$A$19=связи1!$A$179,1,0)+IF('Ввод данных'!$A$19=связи1!$A$180,1,0)+IF('Ввод данных'!$A$19=связи1!$A$181,1,0)+IF('Ввод данных'!$A$19=связи1!$A$182,1,0))</f>
        <v>0</v>
      </c>
    </row>
    <row r="801" customFormat="false" ht="15" hidden="false" customHeight="false" outlineLevel="0" collapsed="false">
      <c r="A801" s="3138" t="str">
        <f aca="false">A763</f>
        <v>Перемычка оконная, 2-ый эт. Вариант 6</v>
      </c>
      <c r="B801" s="3144" t="str">
        <f aca="false">B763</f>
        <v>м.п.</v>
      </c>
      <c r="C801" s="3138" t="n">
        <f aca="false">C763</f>
        <v>0.2</v>
      </c>
      <c r="D801" s="3138"/>
      <c r="E801" s="3138" t="n">
        <f aca="false">E763</f>
        <v>0</v>
      </c>
      <c r="F801" s="3138"/>
      <c r="G801" s="3138" t="n">
        <f aca="false">H801</f>
        <v>0</v>
      </c>
      <c r="H801" s="3145" t="n">
        <f aca="false">дома!C1551*(IF('Ввод данных'!$A$19=связи1!$A$152,1,0)+IF('Ввод данных'!$A$19=связи1!$A$160,1,0)+IF('Ввод данных'!$A$19=связи1!$A$176,1,0)+IF('Ввод данных'!$A$19=связи1!$A$177,1,0)+IF('Ввод данных'!$A$19=связи1!$A$178,1,0)+IF('Ввод данных'!$A$19=связи1!$A$179,1,0)+IF('Ввод данных'!$A$19=связи1!$A$180,1,0)+IF('Ввод данных'!$A$19=связи1!$A$181,1,0)+IF('Ввод данных'!$A$19=связи1!$A$182,1,0))</f>
        <v>0</v>
      </c>
    </row>
    <row r="802" customFormat="false" ht="15" hidden="false" customHeight="false" outlineLevel="0" collapsed="false">
      <c r="A802" s="3138" t="str">
        <f aca="false">A764</f>
        <v>Перемычка оконная, 2-ый эт. Вариант 7</v>
      </c>
      <c r="B802" s="3144" t="str">
        <f aca="false">B764</f>
        <v>м.п.</v>
      </c>
      <c r="C802" s="3138" t="n">
        <f aca="false">C764</f>
        <v>0.2</v>
      </c>
      <c r="D802" s="3138"/>
      <c r="E802" s="3138" t="n">
        <f aca="false">E764</f>
        <v>0</v>
      </c>
      <c r="F802" s="3138"/>
      <c r="G802" s="3138" t="n">
        <f aca="false">H802</f>
        <v>0</v>
      </c>
      <c r="H802" s="3145" t="n">
        <f aca="false">дома!C1552*(IF('Ввод данных'!$A$19=связи1!$A$152,1,0)+IF('Ввод данных'!$A$19=связи1!$A$160,1,0)+IF('Ввод данных'!$A$19=связи1!$A$176,1,0)+IF('Ввод данных'!$A$19=связи1!$A$177,1,0)+IF('Ввод данных'!$A$19=связи1!$A$178,1,0)+IF('Ввод данных'!$A$19=связи1!$A$179,1,0)+IF('Ввод данных'!$A$19=связи1!$A$180,1,0)+IF('Ввод данных'!$A$19=связи1!$A$181,1,0)+IF('Ввод данных'!$A$19=связи1!$A$182,1,0))</f>
        <v>0</v>
      </c>
    </row>
    <row r="803" customFormat="false" ht="15" hidden="false" customHeight="false" outlineLevel="0" collapsed="false">
      <c r="A803" s="3138" t="str">
        <f aca="false">A765</f>
        <v>Перемычка оконная, 2-ый эт. Вариант 8</v>
      </c>
      <c r="B803" s="3144" t="str">
        <f aca="false">B765</f>
        <v>м.п.</v>
      </c>
      <c r="C803" s="3138" t="n">
        <f aca="false">C765</f>
        <v>0.2</v>
      </c>
      <c r="D803" s="3138"/>
      <c r="E803" s="3138" t="n">
        <f aca="false">E765</f>
        <v>0</v>
      </c>
      <c r="F803" s="3138"/>
      <c r="G803" s="3138" t="n">
        <f aca="false">H803</f>
        <v>0</v>
      </c>
      <c r="H803" s="3145" t="n">
        <f aca="false">дома!C1553*(IF('Ввод данных'!$A$19=связи1!$A$152,1,0)+IF('Ввод данных'!$A$19=связи1!$A$160,1,0)+IF('Ввод данных'!$A$19=связи1!$A$176,1,0)+IF('Ввод данных'!$A$19=связи1!$A$177,1,0)+IF('Ввод данных'!$A$19=связи1!$A$178,1,0)+IF('Ввод данных'!$A$19=связи1!$A$179,1,0)+IF('Ввод данных'!$A$19=связи1!$A$180,1,0)+IF('Ввод данных'!$A$19=связи1!$A$181,1,0)+IF('Ввод данных'!$A$19=связи1!$A$182,1,0))</f>
        <v>0</v>
      </c>
    </row>
    <row r="804" customFormat="false" ht="15" hidden="false" customHeight="false" outlineLevel="0" collapsed="false">
      <c r="A804" s="3138" t="str">
        <f aca="false">A766</f>
        <v>Перемычка оконная, 2-ый эт. Вариант 9</v>
      </c>
      <c r="B804" s="3144" t="str">
        <f aca="false">B766</f>
        <v>м.п.</v>
      </c>
      <c r="C804" s="3138" t="n">
        <f aca="false">C766</f>
        <v>0.2</v>
      </c>
      <c r="D804" s="3138"/>
      <c r="E804" s="3138" t="n">
        <f aca="false">E766</f>
        <v>0</v>
      </c>
      <c r="F804" s="3138"/>
      <c r="G804" s="3138" t="n">
        <f aca="false">H804</f>
        <v>0</v>
      </c>
      <c r="H804" s="3145" t="n">
        <f aca="false">дома!C1554*(IF('Ввод данных'!$A$19=связи1!$A$152,1,0)+IF('Ввод данных'!$A$19=связи1!$A$160,1,0)+IF('Ввод данных'!$A$19=связи1!$A$176,1,0)+IF('Ввод данных'!$A$19=связи1!$A$177,1,0)+IF('Ввод данных'!$A$19=связи1!$A$178,1,0)+IF('Ввод данных'!$A$19=связи1!$A$179,1,0)+IF('Ввод данных'!$A$19=связи1!$A$180,1,0)+IF('Ввод данных'!$A$19=связи1!$A$181,1,0)+IF('Ввод данных'!$A$19=связи1!$A$182,1,0))</f>
        <v>0</v>
      </c>
    </row>
    <row r="805" customFormat="false" ht="15" hidden="false" customHeight="false" outlineLevel="0" collapsed="false">
      <c r="A805" s="3138" t="str">
        <f aca="false">A767</f>
        <v>Перемычка оконная, 2-ый эт. Вариант 10</v>
      </c>
      <c r="B805" s="3144" t="str">
        <f aca="false">B767</f>
        <v>м.п.</v>
      </c>
      <c r="C805" s="3138" t="n">
        <f aca="false">C767</f>
        <v>0.2</v>
      </c>
      <c r="D805" s="3138"/>
      <c r="E805" s="3138" t="n">
        <f aca="false">E767</f>
        <v>0</v>
      </c>
      <c r="F805" s="3138"/>
      <c r="G805" s="3138" t="n">
        <f aca="false">H805</f>
        <v>0</v>
      </c>
      <c r="H805" s="3145" t="n">
        <f aca="false">дома!C1555*(IF('Ввод данных'!$A$19=связи1!$A$152,1,0)+IF('Ввод данных'!$A$19=связи1!$A$160,1,0)+IF('Ввод данных'!$A$19=связи1!$A$176,1,0)+IF('Ввод данных'!$A$19=связи1!$A$177,1,0)+IF('Ввод данных'!$A$19=связи1!$A$178,1,0)+IF('Ввод данных'!$A$19=связи1!$A$179,1,0)+IF('Ввод данных'!$A$19=связи1!$A$180,1,0)+IF('Ввод данных'!$A$19=связи1!$A$181,1,0)+IF('Ввод данных'!$A$19=связи1!$A$182,1,0))</f>
        <v>0</v>
      </c>
    </row>
    <row r="806" customFormat="false" ht="15" hidden="false" customHeight="false" outlineLevel="0" collapsed="false">
      <c r="A806" s="3138" t="str">
        <f aca="false">A768</f>
        <v>Перемычка дверная, 1-ый эт. Вариант 1</v>
      </c>
      <c r="B806" s="3144" t="str">
        <f aca="false">B768</f>
        <v>м.п.</v>
      </c>
      <c r="C806" s="3138" t="n">
        <f aca="false">C768</f>
        <v>0.2</v>
      </c>
      <c r="D806" s="3138"/>
      <c r="E806" s="3138" t="n">
        <f aca="false">E768</f>
        <v>0</v>
      </c>
      <c r="F806" s="3138"/>
      <c r="G806" s="3138" t="n">
        <f aca="false">H806</f>
        <v>0</v>
      </c>
      <c r="H806" s="3145" t="n">
        <f aca="false">дома!C1556*(IF('Ввод данных'!$A$19=связи1!$A$152,1,0)+IF('Ввод данных'!$A$19=связи1!$A$160,1,0)+IF('Ввод данных'!$A$19=связи1!$A$176,1,0)+IF('Ввод данных'!$A$19=связи1!$A$177,1,0)+IF('Ввод данных'!$A$19=связи1!$A$178,1,0)+IF('Ввод данных'!$A$19=связи1!$A$179,1,0)+IF('Ввод данных'!$A$19=связи1!$A$180,1,0)+IF('Ввод данных'!$A$19=связи1!$A$181,1,0)+IF('Ввод данных'!$A$19=связи1!$A$182,1,0))</f>
        <v>0</v>
      </c>
    </row>
    <row r="807" customFormat="false" ht="15" hidden="false" customHeight="false" outlineLevel="0" collapsed="false">
      <c r="A807" s="3138" t="str">
        <f aca="false">A769</f>
        <v>Перемычка дверная, 2-ый эт. Вариант 2</v>
      </c>
      <c r="B807" s="3144" t="str">
        <f aca="false">B769</f>
        <v>м.п.</v>
      </c>
      <c r="C807" s="3138" t="n">
        <f aca="false">C769</f>
        <v>0.2</v>
      </c>
      <c r="D807" s="3138"/>
      <c r="E807" s="3138" t="n">
        <f aca="false">E769</f>
        <v>0</v>
      </c>
      <c r="F807" s="3138"/>
      <c r="G807" s="3138" t="n">
        <f aca="false">H807</f>
        <v>0</v>
      </c>
      <c r="H807" s="3145" t="n">
        <f aca="false">дома!C1557*(IF('Ввод данных'!$A$19=связи1!$A$152,1,0)+IF('Ввод данных'!$A$19=связи1!$A$160,1,0)+IF('Ввод данных'!$A$19=связи1!$A$176,1,0)+IF('Ввод данных'!$A$19=связи1!$A$177,1,0)+IF('Ввод данных'!$A$19=связи1!$A$178,1,0)+IF('Ввод данных'!$A$19=связи1!$A$179,1,0)+IF('Ввод данных'!$A$19=связи1!$A$180,1,0)+IF('Ввод данных'!$A$19=связи1!$A$181,1,0)+IF('Ввод данных'!$A$19=связи1!$A$182,1,0))</f>
        <v>0</v>
      </c>
    </row>
    <row r="808" customFormat="false" ht="15" hidden="false" customHeight="false" outlineLevel="0" collapsed="false">
      <c r="A808" s="3138" t="str">
        <f aca="false">A770</f>
        <v>Перемычка оконная 1-ый эт, Вариант 11</v>
      </c>
      <c r="B808" s="3144" t="str">
        <f aca="false">B770</f>
        <v>м.п.</v>
      </c>
      <c r="C808" s="3138" t="n">
        <f aca="false">C770</f>
        <v>0.2</v>
      </c>
      <c r="D808" s="3138"/>
      <c r="E808" s="3138" t="n">
        <f aca="false">E770</f>
        <v>0</v>
      </c>
      <c r="F808" s="3138"/>
      <c r="G808" s="3138" t="n">
        <f aca="false">H808</f>
        <v>0</v>
      </c>
      <c r="H808" s="3145" t="n">
        <f aca="false">дома!C1558*(IF('Ввод данных'!$A$19=связи1!$A$152,1,0)+IF('Ввод данных'!$A$19=связи1!$A$160,1,0)+IF('Ввод данных'!$A$19=связи1!$A$176,1,0)+IF('Ввод данных'!$A$19=связи1!$A$177,1,0)+IF('Ввод данных'!$A$19=связи1!$A$178,1,0)+IF('Ввод данных'!$A$19=связи1!$A$179,1,0)+IF('Ввод данных'!$A$19=связи1!$A$180,1,0)+IF('Ввод данных'!$A$19=связи1!$A$181,1,0)+IF('Ввод данных'!$A$19=связи1!$A$182,1,0))</f>
        <v>0</v>
      </c>
    </row>
    <row r="809" customFormat="false" ht="15" hidden="false" customHeight="false" outlineLevel="0" collapsed="false">
      <c r="A809" s="3138" t="str">
        <f aca="false">A771</f>
        <v>Перемычка оконная 1-ый эт, Вариант 12</v>
      </c>
      <c r="B809" s="3144" t="str">
        <f aca="false">B771</f>
        <v>м.п.</v>
      </c>
      <c r="C809" s="3138" t="n">
        <f aca="false">C771</f>
        <v>0.2</v>
      </c>
      <c r="D809" s="3138"/>
      <c r="E809" s="3138" t="n">
        <f aca="false">E771</f>
        <v>0</v>
      </c>
      <c r="F809" s="3138"/>
      <c r="G809" s="3138" t="n">
        <f aca="false">H809</f>
        <v>0</v>
      </c>
      <c r="H809" s="3145" t="n">
        <f aca="false">дома!C1559*(IF('Ввод данных'!$A$19=связи1!$A$152,1,0)+IF('Ввод данных'!$A$19=связи1!$A$160,1,0)+IF('Ввод данных'!$A$19=связи1!$A$176,1,0)+IF('Ввод данных'!$A$19=связи1!$A$177,1,0)+IF('Ввод данных'!$A$19=связи1!$A$178,1,0)+IF('Ввод данных'!$A$19=связи1!$A$179,1,0)+IF('Ввод данных'!$A$19=связи1!$A$180,1,0)+IF('Ввод данных'!$A$19=связи1!$A$181,1,0)+IF('Ввод данных'!$A$19=связи1!$A$182,1,0))</f>
        <v>0</v>
      </c>
    </row>
    <row r="810" customFormat="false" ht="15" hidden="false" customHeight="false" outlineLevel="0" collapsed="false">
      <c r="A810" s="3138" t="str">
        <f aca="false">A772</f>
        <v>Перемычка дверная, 1-ый эт. Вариант 4</v>
      </c>
      <c r="B810" s="3144" t="str">
        <f aca="false">B772</f>
        <v>м.п.</v>
      </c>
      <c r="C810" s="3138" t="n">
        <f aca="false">C772</f>
        <v>0.2</v>
      </c>
      <c r="D810" s="3138"/>
      <c r="E810" s="3138" t="n">
        <f aca="false">E772</f>
        <v>3</v>
      </c>
      <c r="F810" s="3138"/>
      <c r="G810" s="3138" t="n">
        <f aca="false">H810</f>
        <v>0</v>
      </c>
      <c r="H810" s="3145" t="n">
        <f aca="false">дома!C1560*(IF('Ввод данных'!$A$19=связи1!$A$152,1,0)+IF('Ввод данных'!$A$19=связи1!$A$160,1,0)+IF('Ввод данных'!$A$19=связи1!$A$176,1,0)+IF('Ввод данных'!$A$19=связи1!$A$177,1,0)+IF('Ввод данных'!$A$19=связи1!$A$178,1,0)+IF('Ввод данных'!$A$19=связи1!$A$179,1,0)+IF('Ввод данных'!$A$19=связи1!$A$180,1,0)+IF('Ввод данных'!$A$19=связи1!$A$181,1,0)+IF('Ввод данных'!$A$19=связи1!$A$182,1,0))</f>
        <v>0</v>
      </c>
    </row>
    <row r="811" customFormat="false" ht="15" hidden="false" customHeight="false" outlineLevel="0" collapsed="false">
      <c r="A811" s="3138" t="str">
        <f aca="false">A773</f>
        <v>Перемычка дверная, 1-ый эт. Вариант 5</v>
      </c>
      <c r="B811" s="3144" t="str">
        <f aca="false">B773</f>
        <v>м.п.</v>
      </c>
      <c r="C811" s="3138" t="n">
        <f aca="false">C773</f>
        <v>0.2</v>
      </c>
      <c r="D811" s="3138"/>
      <c r="E811" s="3138" t="n">
        <f aca="false">E773</f>
        <v>0</v>
      </c>
      <c r="F811" s="3138"/>
      <c r="G811" s="3138" t="n">
        <f aca="false">H811</f>
        <v>0</v>
      </c>
      <c r="H811" s="3145" t="n">
        <f aca="false">дома!C1561*(IF('Ввод данных'!$A$19=связи1!$A$152,1,0)+IF('Ввод данных'!$A$19=связи1!$A$160,1,0)+IF('Ввод данных'!$A$19=связи1!$A$176,1,0)+IF('Ввод данных'!$A$19=связи1!$A$177,1,0)+IF('Ввод данных'!$A$19=связи1!$A$178,1,0)+IF('Ввод данных'!$A$19=связи1!$A$179,1,0)+IF('Ввод данных'!$A$19=связи1!$A$180,1,0)+IF('Ввод данных'!$A$19=связи1!$A$181,1,0)+IF('Ввод данных'!$A$19=связи1!$A$182,1,0))</f>
        <v>0</v>
      </c>
    </row>
    <row r="812" customFormat="false" ht="15" hidden="false" customHeight="false" outlineLevel="0" collapsed="false">
      <c r="A812" s="3138" t="str">
        <f aca="false">A774</f>
        <v>Перемычка дверная, 1-ый эт. Вариант 6</v>
      </c>
      <c r="B812" s="3144" t="str">
        <f aca="false">B774</f>
        <v>м.п.</v>
      </c>
      <c r="C812" s="3138" t="n">
        <f aca="false">C774</f>
        <v>0.2</v>
      </c>
      <c r="D812" s="3138"/>
      <c r="E812" s="3138" t="n">
        <f aca="false">E774</f>
        <v>0</v>
      </c>
      <c r="F812" s="3138"/>
      <c r="G812" s="3138" t="n">
        <f aca="false">H812</f>
        <v>0</v>
      </c>
      <c r="H812" s="3145" t="n">
        <f aca="false">дома!C1562*(IF('Ввод данных'!$A$19=связи1!$A$152,1,0)+IF('Ввод данных'!$A$19=связи1!$A$160,1,0)+IF('Ввод данных'!$A$19=связи1!$A$176,1,0)+IF('Ввод данных'!$A$19=связи1!$A$177,1,0)+IF('Ввод данных'!$A$19=связи1!$A$178,1,0)+IF('Ввод данных'!$A$19=связи1!$A$179,1,0)+IF('Ввод данных'!$A$19=связи1!$A$180,1,0)+IF('Ввод данных'!$A$19=связи1!$A$181,1,0)+IF('Ввод данных'!$A$19=связи1!$A$182,1,0))</f>
        <v>0</v>
      </c>
    </row>
    <row r="813" customFormat="false" ht="15" hidden="false" customHeight="false" outlineLevel="0" collapsed="false">
      <c r="A813" s="3138" t="str">
        <f aca="false">A775</f>
        <v>Перемычка дверная, 2-ый эт. Вариант 7</v>
      </c>
      <c r="B813" s="3144" t="str">
        <f aca="false">B775</f>
        <v>м.п.</v>
      </c>
      <c r="C813" s="3138" t="n">
        <f aca="false">C775</f>
        <v>0.2</v>
      </c>
      <c r="D813" s="3138"/>
      <c r="E813" s="3138" t="n">
        <f aca="false">E775</f>
        <v>0</v>
      </c>
      <c r="F813" s="3138"/>
      <c r="G813" s="3138" t="n">
        <f aca="false">H813</f>
        <v>0</v>
      </c>
      <c r="H813" s="3145" t="n">
        <f aca="false">дома!C1563*(IF('Ввод данных'!$A$19=связи1!$A$152,1,0)+IF('Ввод данных'!$A$19=связи1!$A$160,1,0)+IF('Ввод данных'!$A$19=связи1!$A$176,1,0)+IF('Ввод данных'!$A$19=связи1!$A$177,1,0)+IF('Ввод данных'!$A$19=связи1!$A$178,1,0)+IF('Ввод данных'!$A$19=связи1!$A$179,1,0)+IF('Ввод данных'!$A$19=связи1!$A$180,1,0)+IF('Ввод данных'!$A$19=связи1!$A$181,1,0)+IF('Ввод данных'!$A$19=связи1!$A$182,1,0))</f>
        <v>0</v>
      </c>
    </row>
    <row r="814" customFormat="false" ht="15" hidden="false" customHeight="false" outlineLevel="0" collapsed="false">
      <c r="A814" s="3138" t="str">
        <f aca="false">A776</f>
        <v>Перемычка дверная, 2-ый эт. Вариант 8</v>
      </c>
      <c r="B814" s="3144" t="str">
        <f aca="false">B776</f>
        <v>м.п.</v>
      </c>
      <c r="C814" s="3138" t="n">
        <f aca="false">C776</f>
        <v>0.2</v>
      </c>
      <c r="D814" s="3138"/>
      <c r="E814" s="3138" t="n">
        <f aca="false">E776</f>
        <v>0</v>
      </c>
      <c r="F814" s="3138"/>
      <c r="G814" s="3138" t="n">
        <f aca="false">H814</f>
        <v>0</v>
      </c>
      <c r="H814" s="3145" t="n">
        <f aca="false">дома!C1564*(IF('Ввод данных'!$A$19=связи1!$A$152,1,0)+IF('Ввод данных'!$A$19=связи1!$A$160,1,0)+IF('Ввод данных'!$A$19=связи1!$A$176,1,0)+IF('Ввод данных'!$A$19=связи1!$A$177,1,0)+IF('Ввод данных'!$A$19=связи1!$A$178,1,0)+IF('Ввод данных'!$A$19=связи1!$A$179,1,0)+IF('Ввод данных'!$A$19=связи1!$A$180,1,0)+IF('Ввод данных'!$A$19=связи1!$A$181,1,0)+IF('Ввод данных'!$A$19=связи1!$A$182,1,0))</f>
        <v>0</v>
      </c>
    </row>
    <row r="815" customFormat="false" ht="15" hidden="false" customHeight="false" outlineLevel="0" collapsed="false">
      <c r="A815" s="3138" t="str">
        <f aca="false">A777</f>
        <v>Перемычка дверная, 2-ый эт. Вариант 9</v>
      </c>
      <c r="B815" s="3144" t="str">
        <f aca="false">B777</f>
        <v>м.п.</v>
      </c>
      <c r="C815" s="3138" t="n">
        <f aca="false">C777</f>
        <v>0.2</v>
      </c>
      <c r="D815" s="3138"/>
      <c r="E815" s="3138" t="n">
        <f aca="false">E777</f>
        <v>0</v>
      </c>
      <c r="F815" s="3138"/>
      <c r="G815" s="3138" t="n">
        <f aca="false">H815</f>
        <v>0</v>
      </c>
      <c r="H815" s="3145" t="n">
        <f aca="false">дома!C1565*(IF('Ввод данных'!$A$19=связи1!$A$152,1,0)+IF('Ввод данных'!$A$19=связи1!$A$160,1,0)+IF('Ввод данных'!$A$19=связи1!$A$176,1,0)+IF('Ввод данных'!$A$19=связи1!$A$177,1,0)+IF('Ввод данных'!$A$19=связи1!$A$178,1,0)+IF('Ввод данных'!$A$19=связи1!$A$179,1,0)+IF('Ввод данных'!$A$19=связи1!$A$180,1,0)+IF('Ввод данных'!$A$19=связи1!$A$181,1,0)+IF('Ввод данных'!$A$19=связи1!$A$182,1,0))</f>
        <v>0</v>
      </c>
    </row>
    <row r="816" customFormat="false" ht="15" hidden="false" customHeight="false" outlineLevel="0" collapsed="false">
      <c r="A816" s="3138" t="str">
        <f aca="false">A778</f>
        <v>Перемычка проема, 1-ый эт. Вариант 10</v>
      </c>
      <c r="B816" s="3144" t="str">
        <f aca="false">B778</f>
        <v>м.п.</v>
      </c>
      <c r="C816" s="3138" t="n">
        <f aca="false">C778</f>
        <v>0.2</v>
      </c>
      <c r="D816" s="3138"/>
      <c r="E816" s="3138" t="n">
        <f aca="false">E778</f>
        <v>0</v>
      </c>
      <c r="F816" s="3138"/>
      <c r="G816" s="3138" t="n">
        <f aca="false">H816</f>
        <v>0</v>
      </c>
      <c r="H816" s="3145" t="n">
        <f aca="false">дома!C1566*(IF('Ввод данных'!$A$19=связи1!$A$152,1,0)+IF('Ввод данных'!$A$19=связи1!$A$160,1,0)+IF('Ввод данных'!$A$19=связи1!$A$176,1,0)+IF('Ввод данных'!$A$19=связи1!$A$177,1,0)+IF('Ввод данных'!$A$19=связи1!$A$178,1,0)+IF('Ввод данных'!$A$19=связи1!$A$179,1,0)+IF('Ввод данных'!$A$19=связи1!$A$180,1,0)+IF('Ввод данных'!$A$19=связи1!$A$181,1,0)+IF('Ввод данных'!$A$19=связи1!$A$182,1,0))</f>
        <v>0</v>
      </c>
    </row>
    <row r="817" customFormat="false" ht="15" hidden="false" customHeight="false" outlineLevel="0" collapsed="false">
      <c r="A817" s="3138" t="str">
        <f aca="false">A779</f>
        <v>Перемычка проема, 1-ый эт. Вариант 11</v>
      </c>
      <c r="B817" s="3144" t="str">
        <f aca="false">B779</f>
        <v>м.п.</v>
      </c>
      <c r="C817" s="3138" t="n">
        <f aca="false">C779</f>
        <v>0.2</v>
      </c>
      <c r="D817" s="3138"/>
      <c r="E817" s="3138" t="n">
        <f aca="false">E779</f>
        <v>0</v>
      </c>
      <c r="F817" s="3138"/>
      <c r="G817" s="3138" t="n">
        <f aca="false">H817</f>
        <v>0</v>
      </c>
      <c r="H817" s="3145" t="n">
        <f aca="false">дома!C1567*(IF('Ввод данных'!$A$19=связи1!$A$152,1,0)+IF('Ввод данных'!$A$19=связи1!$A$160,1,0)+IF('Ввод данных'!$A$19=связи1!$A$176,1,0)+IF('Ввод данных'!$A$19=связи1!$A$177,1,0)+IF('Ввод данных'!$A$19=связи1!$A$178,1,0)+IF('Ввод данных'!$A$19=связи1!$A$179,1,0)+IF('Ввод данных'!$A$19=связи1!$A$180,1,0)+IF('Ввод данных'!$A$19=связи1!$A$181,1,0)+IF('Ввод данных'!$A$19=связи1!$A$182,1,0))</f>
        <v>0</v>
      </c>
    </row>
    <row r="818" customFormat="false" ht="15" hidden="false" customHeight="false" outlineLevel="0" collapsed="false">
      <c r="A818" s="3138" t="str">
        <f aca="false">A780</f>
        <v>Перемычка проема, 2-ый эт. Вариант 12</v>
      </c>
      <c r="B818" s="3144" t="str">
        <f aca="false">B780</f>
        <v>м.п.</v>
      </c>
      <c r="C818" s="3138" t="n">
        <f aca="false">C780</f>
        <v>0.2</v>
      </c>
      <c r="D818" s="3138"/>
      <c r="E818" s="3138" t="n">
        <f aca="false">E780</f>
        <v>0</v>
      </c>
      <c r="F818" s="3138"/>
      <c r="G818" s="3138" t="n">
        <f aca="false">H818</f>
        <v>0</v>
      </c>
      <c r="H818" s="3145" t="n">
        <f aca="false">дома!C1568*(IF('Ввод данных'!$A$19=связи1!$A$152,1,0)+IF('Ввод данных'!$A$19=связи1!$A$160,1,0)+IF('Ввод данных'!$A$19=связи1!$A$176,1,0)+IF('Ввод данных'!$A$19=связи1!$A$177,1,0)+IF('Ввод данных'!$A$19=связи1!$A$178,1,0)+IF('Ввод данных'!$A$19=связи1!$A$179,1,0)+IF('Ввод данных'!$A$19=связи1!$A$180,1,0)+IF('Ввод данных'!$A$19=связи1!$A$181,1,0)+IF('Ввод данных'!$A$19=связи1!$A$182,1,0))</f>
        <v>0</v>
      </c>
    </row>
    <row r="819" customFormat="false" ht="15" hidden="false" customHeight="false" outlineLevel="0" collapsed="false">
      <c r="A819" s="3138" t="str">
        <f aca="false">A781</f>
        <v>Перемычка проема, 2-ый эт. Вариант 13</v>
      </c>
      <c r="B819" s="3144" t="str">
        <f aca="false">B781</f>
        <v>м.п.</v>
      </c>
      <c r="C819" s="3138" t="n">
        <f aca="false">C781</f>
        <v>0.2</v>
      </c>
      <c r="D819" s="3138"/>
      <c r="E819" s="3138" t="n">
        <f aca="false">E781</f>
        <v>0</v>
      </c>
      <c r="F819" s="3138"/>
      <c r="G819" s="3138" t="n">
        <f aca="false">H819</f>
        <v>0</v>
      </c>
      <c r="H819" s="3145" t="n">
        <f aca="false">дома!C1569*(IF('Ввод данных'!$A$19=связи1!$A$152,1,0)+IF('Ввод данных'!$A$19=связи1!$A$160,1,0)+IF('Ввод данных'!$A$19=связи1!$A$176,1,0)+IF('Ввод данных'!$A$19=связи1!$A$177,1,0)+IF('Ввод данных'!$A$19=связи1!$A$178,1,0)+IF('Ввод данных'!$A$19=связи1!$A$179,1,0)+IF('Ввод данных'!$A$19=связи1!$A$180,1,0)+IF('Ввод данных'!$A$19=связи1!$A$181,1,0)+IF('Ввод данных'!$A$19=связи1!$A$182,1,0))</f>
        <v>0</v>
      </c>
    </row>
    <row r="820" customFormat="false" ht="15" hidden="false" customHeight="false" outlineLevel="0" collapsed="false">
      <c r="A820" s="3138" t="str">
        <f aca="false">A782</f>
        <v>Перемычка дверная, 1-ый эт. Вариант 1</v>
      </c>
      <c r="B820" s="3144" t="str">
        <f aca="false">B782</f>
        <v>м.п.</v>
      </c>
      <c r="C820" s="3138" t="n">
        <f aca="false">C782</f>
        <v>0.2</v>
      </c>
      <c r="D820" s="3138"/>
      <c r="E820" s="3138" t="n">
        <f aca="false">E782</f>
        <v>0</v>
      </c>
      <c r="F820" s="3138"/>
      <c r="G820" s="3138" t="n">
        <f aca="false">H820</f>
        <v>0</v>
      </c>
      <c r="H820" s="3145" t="n">
        <f aca="false">дома!C1570*(IF('Ввод данных'!$A$19=связи1!$A$152,1,0)+IF('Ввод данных'!$A$19=связи1!$A$160,1,0)+IF('Ввод данных'!$A$19=связи1!$A$176,1,0)+IF('Ввод данных'!$A$19=связи1!$A$177,1,0)+IF('Ввод данных'!$A$19=связи1!$A$178,1,0)+IF('Ввод данных'!$A$19=связи1!$A$179,1,0)+IF('Ввод данных'!$A$19=связи1!$A$180,1,0)+IF('Ввод данных'!$A$19=связи1!$A$181,1,0)+IF('Ввод данных'!$A$19=связи1!$A$182,1,0))</f>
        <v>0</v>
      </c>
    </row>
    <row r="821" customFormat="false" ht="15" hidden="false" customHeight="false" outlineLevel="0" collapsed="false">
      <c r="A821" s="3138" t="str">
        <f aca="false">A783</f>
        <v>Перемычка дверная, 1-ый эт. Вариант 2</v>
      </c>
      <c r="B821" s="3144" t="str">
        <f aca="false">B783</f>
        <v>м.п.</v>
      </c>
      <c r="C821" s="3138" t="n">
        <f aca="false">C783</f>
        <v>0.2</v>
      </c>
      <c r="D821" s="3138"/>
      <c r="E821" s="3138" t="n">
        <f aca="false">E783</f>
        <v>1</v>
      </c>
      <c r="F821" s="3138"/>
      <c r="G821" s="3138" t="n">
        <f aca="false">H821</f>
        <v>0</v>
      </c>
      <c r="H821" s="3145" t="n">
        <f aca="false">дома!C1571*(IF('Ввод данных'!$A$19=связи1!$A$152,1,0)+IF('Ввод данных'!$A$19=связи1!$A$160,1,0)+IF('Ввод данных'!$A$19=связи1!$A$176,1,0)+IF('Ввод данных'!$A$19=связи1!$A$177,1,0)+IF('Ввод данных'!$A$19=связи1!$A$178,1,0)+IF('Ввод данных'!$A$19=связи1!$A$179,1,0)+IF('Ввод данных'!$A$19=связи1!$A$180,1,0)+IF('Ввод данных'!$A$19=связи1!$A$181,1,0)+IF('Ввод данных'!$A$19=связи1!$A$182,1,0))</f>
        <v>0</v>
      </c>
    </row>
    <row r="822" customFormat="false" ht="15" hidden="false" customHeight="false" outlineLevel="0" collapsed="false">
      <c r="A822" s="3138" t="str">
        <f aca="false">A784</f>
        <v>Перемычка дверная, 1-ый эт. Вариант 3</v>
      </c>
      <c r="B822" s="3144" t="str">
        <f aca="false">B784</f>
        <v>м.п.</v>
      </c>
      <c r="C822" s="3138" t="n">
        <f aca="false">C784</f>
        <v>0.2</v>
      </c>
      <c r="D822" s="3138"/>
      <c r="E822" s="3138" t="n">
        <f aca="false">E784</f>
        <v>0</v>
      </c>
      <c r="F822" s="3138"/>
      <c r="G822" s="3138" t="n">
        <f aca="false">H822</f>
        <v>0</v>
      </c>
      <c r="H822" s="3145" t="n">
        <f aca="false">дома!C1572*(IF('Ввод данных'!$A$19=связи1!$A$152,1,0)+IF('Ввод данных'!$A$19=связи1!$A$160,1,0)+IF('Ввод данных'!$A$19=связи1!$A$176,1,0)+IF('Ввод данных'!$A$19=связи1!$A$177,1,0)+IF('Ввод данных'!$A$19=связи1!$A$178,1,0)+IF('Ввод данных'!$A$19=связи1!$A$179,1,0)+IF('Ввод данных'!$A$19=связи1!$A$180,1,0)+IF('Ввод данных'!$A$19=связи1!$A$181,1,0)+IF('Ввод данных'!$A$19=связи1!$A$182,1,0))</f>
        <v>0</v>
      </c>
    </row>
    <row r="823" customFormat="false" ht="31.5" hidden="false" customHeight="false" outlineLevel="0" collapsed="false">
      <c r="A823" s="3152" t="s">
        <v>46</v>
      </c>
      <c r="B823" s="3147" t="s">
        <v>162</v>
      </c>
      <c r="C823" s="3147" t="s">
        <v>137</v>
      </c>
      <c r="D823" s="3147" t="s">
        <v>116</v>
      </c>
      <c r="E823" s="3134" t="s">
        <v>200</v>
      </c>
      <c r="F823" s="3146" t="s">
        <v>204</v>
      </c>
      <c r="G823" s="3146" t="s">
        <v>4294</v>
      </c>
      <c r="H823" s="3139" t="n">
        <f aca="false">SUM(H824:H828)</f>
        <v>0</v>
      </c>
    </row>
    <row r="824" customFormat="false" ht="15.75" hidden="false" customHeight="false" outlineLevel="0" collapsed="false">
      <c r="A824" s="3122" t="s">
        <v>4289</v>
      </c>
      <c r="B824" s="3137" t="s">
        <v>1043</v>
      </c>
      <c r="C824" s="2811" t="n">
        <f aca="false">C793</f>
        <v>200</v>
      </c>
      <c r="D824" s="2811" t="n">
        <f aca="false">D793</f>
        <v>300</v>
      </c>
      <c r="E824" s="2811" t="n">
        <f aca="false">E793</f>
        <v>600</v>
      </c>
      <c r="F824" s="3124" t="n">
        <f aca="false">F793</f>
        <v>0</v>
      </c>
      <c r="G824" s="3124" t="n">
        <f aca="false">G793</f>
        <v>0</v>
      </c>
      <c r="H824" s="3139" t="n">
        <f aca="false">IF(G824&gt;0,1,0)</f>
        <v>0</v>
      </c>
    </row>
    <row r="825" customFormat="false" ht="15.75" hidden="false" customHeight="false" outlineLevel="0" collapsed="false">
      <c r="A825" s="3138" t="s">
        <v>4291</v>
      </c>
      <c r="B825" s="3137" t="s">
        <v>1043</v>
      </c>
      <c r="C825" s="2811" t="n">
        <f aca="false">C794</f>
        <v>200</v>
      </c>
      <c r="D825" s="2811" t="n">
        <f aca="false">D794</f>
        <v>150</v>
      </c>
      <c r="E825" s="2811" t="n">
        <f aca="false">E794</f>
        <v>600</v>
      </c>
      <c r="F825" s="3124" t="n">
        <f aca="false">F794</f>
        <v>0</v>
      </c>
      <c r="G825" s="3124" t="n">
        <f aca="false">G794</f>
        <v>0</v>
      </c>
      <c r="H825" s="3139" t="n">
        <f aca="false">IF(G825&gt;0,1,0)</f>
        <v>0</v>
      </c>
    </row>
    <row r="826" customFormat="false" ht="15.75" hidden="false" customHeight="false" outlineLevel="0" collapsed="false">
      <c r="A826" s="3138" t="s">
        <v>4292</v>
      </c>
      <c r="B826" s="3137" t="s">
        <v>1043</v>
      </c>
      <c r="C826" s="2811" t="n">
        <f aca="false">C795</f>
        <v>200</v>
      </c>
      <c r="D826" s="2811" t="n">
        <f aca="false">D795</f>
        <v>150</v>
      </c>
      <c r="E826" s="2811" t="n">
        <f aca="false">E795</f>
        <v>600</v>
      </c>
      <c r="F826" s="3124" t="n">
        <f aca="false">F795</f>
        <v>0</v>
      </c>
      <c r="G826" s="3124" t="n">
        <f aca="false">G795</f>
        <v>0</v>
      </c>
      <c r="H826" s="3139" t="n">
        <f aca="false">IF(G826&gt;0,1,0)</f>
        <v>0</v>
      </c>
    </row>
    <row r="827" customFormat="false" ht="15" hidden="false" customHeight="false" outlineLevel="0" collapsed="false">
      <c r="A827" s="3148" t="s">
        <v>4295</v>
      </c>
      <c r="B827" s="3144" t="s">
        <v>15</v>
      </c>
      <c r="C827" s="2811"/>
      <c r="D827" s="2811"/>
      <c r="E827" s="2811"/>
      <c r="F827" s="2811" t="n">
        <f aca="false">SUM(H796:H809)+SUM(H820:H822)</f>
        <v>0</v>
      </c>
      <c r="G827" s="2811"/>
      <c r="H827" s="3139" t="n">
        <f aca="false">IF(F827&gt;0,1,0)</f>
        <v>0</v>
      </c>
    </row>
    <row r="828" customFormat="false" ht="15" hidden="false" customHeight="false" outlineLevel="0" collapsed="false">
      <c r="A828" s="3148" t="s">
        <v>4296</v>
      </c>
      <c r="B828" s="3144" t="s">
        <v>15</v>
      </c>
      <c r="C828" s="2811"/>
      <c r="D828" s="2811"/>
      <c r="E828" s="2811"/>
      <c r="F828" s="2811" t="n">
        <f aca="false">SUM(H810:H819)</f>
        <v>0</v>
      </c>
      <c r="G828" s="2811"/>
      <c r="H828" s="3139" t="n">
        <f aca="false">IF(F828&gt;0,1,0)</f>
        <v>0</v>
      </c>
    </row>
    <row r="829" customFormat="false" ht="21" hidden="false" customHeight="false" outlineLevel="0" collapsed="false">
      <c r="A829" s="3119" t="s">
        <v>4298</v>
      </c>
      <c r="B829" s="3119"/>
      <c r="C829" s="3119"/>
      <c r="D829" s="3119"/>
      <c r="E829" s="3119"/>
      <c r="F829" s="3119"/>
      <c r="G829" s="3120"/>
      <c r="H829" s="3121" t="n">
        <f aca="false">H830</f>
        <v>59096.7212669683</v>
      </c>
    </row>
    <row r="830" customFormat="false" ht="15.75" hidden="false" customHeight="false" outlineLevel="0" collapsed="false">
      <c r="A830" s="3149" t="s">
        <v>46</v>
      </c>
      <c r="B830" s="3149" t="s">
        <v>162</v>
      </c>
      <c r="C830" s="3149" t="s">
        <v>137</v>
      </c>
      <c r="D830" s="3149" t="s">
        <v>116</v>
      </c>
      <c r="E830" s="3149" t="s">
        <v>200</v>
      </c>
      <c r="F830" s="3149" t="s">
        <v>2659</v>
      </c>
      <c r="G830" s="3150" t="s">
        <v>118</v>
      </c>
      <c r="H830" s="3151" t="n">
        <f aca="false">SUM(H831:H860)</f>
        <v>59096.7212669683</v>
      </c>
    </row>
    <row r="831" customFormat="false" ht="15" hidden="false" customHeight="false" outlineLevel="0" collapsed="false">
      <c r="A831" s="3138" t="str">
        <f aca="false">дома!A1697</f>
        <v>0,7НФ/150/75 Красный</v>
      </c>
      <c r="B831" s="3144" t="str">
        <f aca="false">дома!B1697</f>
        <v>м3</v>
      </c>
      <c r="C831" s="2811" t="n">
        <f aca="false">дома!D1697</f>
        <v>65</v>
      </c>
      <c r="D831" s="2811" t="n">
        <f aca="false">дома!E1697</f>
        <v>85</v>
      </c>
      <c r="E831" s="2811" t="n">
        <f aca="false">дома!F1697</f>
        <v>250</v>
      </c>
      <c r="F831" s="2811" t="n">
        <f aca="false">дома!C1697</f>
        <v>60.52816</v>
      </c>
      <c r="G831" s="2811" t="n">
        <f aca="false">H831</f>
        <v>43821.2923076923</v>
      </c>
      <c r="H831" s="2811" t="n">
        <f aca="false">дома!G1697*(IF('Ввод данных'!$A$19=связи1!$A$153,1,0)+IF('Ввод данных'!$A$19=связи1!$A$160,1,0)+IF('Ввод данных'!$A$19=связи1!$A$161,1,0)+IF('Ввод данных'!$A$19=связи1!$A$162,1,0)+IF('Ввод данных'!$A$19=связи1!$A$163,1,0)+IF('Ввод данных'!$A$19=связи1!$A$164,1,0)+IF('Ввод данных'!$A$19=связи1!$A$165,1,0)+IF('Ввод данных'!$A$19=связи1!$A$166,1,0)+IF('Ввод данных'!$A$19=связи1!$A$167,1,0)+IF('Ввод данных'!$A$19=связи1!$A$168,1,0))</f>
        <v>43821.2923076923</v>
      </c>
    </row>
    <row r="832" customFormat="false" ht="15" hidden="false" customHeight="false" outlineLevel="0" collapsed="false">
      <c r="A832" s="3138" t="str">
        <f aca="false">дома!A1698</f>
        <v>0,7НФ/150/75 Красный</v>
      </c>
      <c r="B832" s="3144" t="str">
        <f aca="false">дома!B1698</f>
        <v>м3</v>
      </c>
      <c r="C832" s="2811" t="n">
        <f aca="false">дома!D1698</f>
        <v>65</v>
      </c>
      <c r="D832" s="2811" t="n">
        <f aca="false">дома!E1698</f>
        <v>85</v>
      </c>
      <c r="E832" s="2811" t="n">
        <f aca="false">дома!F1698</f>
        <v>250</v>
      </c>
      <c r="F832" s="2811" t="n">
        <f aca="false">дома!C1698</f>
        <v>17.24844</v>
      </c>
      <c r="G832" s="2811" t="n">
        <f aca="false">H832</f>
        <v>12487.5583710407</v>
      </c>
      <c r="H832" s="2811" t="n">
        <f aca="false">дома!G1698*(IF('Ввод данных'!$A$19=связи1!$A$153,1,0)+IF('Ввод данных'!$A$19=связи1!$A$160,1,0)+IF('Ввод данных'!$A$19=связи1!$A$161,1,0)+IF('Ввод данных'!$A$19=связи1!$A$162,1,0)+IF('Ввод данных'!$A$19=связи1!$A$163,1,0)+IF('Ввод данных'!$A$19=связи1!$A$164,1,0)+IF('Ввод данных'!$A$19=связи1!$A$165,1,0)+IF('Ввод данных'!$A$19=связи1!$A$166,1,0)+IF('Ввод данных'!$A$19=связи1!$A$167,1,0)+IF('Ввод данных'!$A$19=связи1!$A$168,1,0))</f>
        <v>12487.5583710407</v>
      </c>
    </row>
    <row r="833" customFormat="false" ht="15" hidden="false" customHeight="false" outlineLevel="0" collapsed="false">
      <c r="A833" s="3138" t="str">
        <f aca="false">дома!A1699</f>
        <v>0,7НФ/150/75 Красный</v>
      </c>
      <c r="B833" s="3144" t="str">
        <f aca="false">дома!B1699</f>
        <v>м3</v>
      </c>
      <c r="C833" s="2811" t="n">
        <f aca="false">дома!D1699</f>
        <v>65</v>
      </c>
      <c r="D833" s="2811" t="n">
        <f aca="false">дома!E1699</f>
        <v>85</v>
      </c>
      <c r="E833" s="2811" t="n">
        <f aca="false">дома!F1699</f>
        <v>250</v>
      </c>
      <c r="F833" s="2811" t="n">
        <f aca="false">дома!C1699</f>
        <v>3.84384</v>
      </c>
      <c r="G833" s="2811" t="n">
        <f aca="false">H833</f>
        <v>2782.87058823529</v>
      </c>
      <c r="H833" s="2811" t="n">
        <f aca="false">дома!G1699*(IF('Ввод данных'!$A$19=связи1!$A$153,1,0)+IF('Ввод данных'!$A$19=связи1!$A$160,1,0)+IF('Ввод данных'!$A$19=связи1!$A$161,1,0)+IF('Ввод данных'!$A$19=связи1!$A$162,1,0)+IF('Ввод данных'!$A$19=связи1!$A$163,1,0)+IF('Ввод данных'!$A$19=связи1!$A$164,1,0)+IF('Ввод данных'!$A$19=связи1!$A$165,1,0)+IF('Ввод данных'!$A$19=связи1!$A$166,1,0)+IF('Ввод данных'!$A$19=связи1!$A$167,1,0)+IF('Ввод данных'!$A$19=связи1!$A$168,1,0))</f>
        <v>2782.87058823529</v>
      </c>
    </row>
    <row r="834" customFormat="false" ht="15" hidden="false" customHeight="false" outlineLevel="0" collapsed="false">
      <c r="A834" s="3138" t="str">
        <f aca="false">A796</f>
        <v>Перемычка оконная, 1-ый эт. Вариант 1</v>
      </c>
      <c r="B834" s="3144" t="str">
        <f aca="false">B796</f>
        <v>м.п.</v>
      </c>
      <c r="C834" s="3138" t="n">
        <f aca="false">C796</f>
        <v>0.2</v>
      </c>
      <c r="D834" s="3138"/>
      <c r="E834" s="3138" t="n">
        <f aca="false">E796</f>
        <v>1</v>
      </c>
      <c r="F834" s="3138"/>
      <c r="G834" s="3138" t="n">
        <f aca="false">H834</f>
        <v>1</v>
      </c>
      <c r="H834" s="2811" t="n">
        <f aca="false">дома!C1546*(IF('Ввод данных'!$A$19=связи1!$A$153,1,0)+IF('Ввод данных'!$A$19=связи1!$A$160,1,0)+IF('Ввод данных'!$A$19=связи1!$A$161,1,0)+IF('Ввод данных'!$A$19=связи1!$A$162,1,0)+IF('Ввод данных'!$A$19=связи1!$A$163,1,0)+IF('Ввод данных'!$A$19=связи1!$A$164,1,0)+IF('Ввод данных'!$A$19=связи1!$A$165,1,0)+IF('Ввод данных'!$A$19=связи1!$A$166,1,0)+IF('Ввод данных'!$A$19=связи1!$A$167,1,0)+IF('Ввод данных'!$A$19=связи1!$A$168,1,0))</f>
        <v>1</v>
      </c>
    </row>
    <row r="835" customFormat="false" ht="15" hidden="false" customHeight="false" outlineLevel="0" collapsed="false">
      <c r="A835" s="3138" t="str">
        <f aca="false">A797</f>
        <v>Перемычка оконная, 1-ый эт. Вариант 2</v>
      </c>
      <c r="B835" s="3144" t="str">
        <f aca="false">B797</f>
        <v>м.п.</v>
      </c>
      <c r="C835" s="3138" t="n">
        <f aca="false">C797</f>
        <v>0.2</v>
      </c>
      <c r="D835" s="3138"/>
      <c r="E835" s="3138" t="n">
        <f aca="false">E797</f>
        <v>0</v>
      </c>
      <c r="F835" s="3138"/>
      <c r="G835" s="3138" t="n">
        <f aca="false">H835</f>
        <v>0</v>
      </c>
      <c r="H835" s="2811" t="n">
        <f aca="false">дома!C1547*(IF('Ввод данных'!$A$19=связи1!$A$153,1,0)+IF('Ввод данных'!$A$19=связи1!$A$160,1,0)+IF('Ввод данных'!$A$19=связи1!$A$161,1,0)+IF('Ввод данных'!$A$19=связи1!$A$162,1,0)+IF('Ввод данных'!$A$19=связи1!$A$163,1,0)+IF('Ввод данных'!$A$19=связи1!$A$164,1,0)+IF('Ввод данных'!$A$19=связи1!$A$165,1,0)+IF('Ввод данных'!$A$19=связи1!$A$166,1,0)+IF('Ввод данных'!$A$19=связи1!$A$167,1,0)+IF('Ввод данных'!$A$19=связи1!$A$168,1,0))</f>
        <v>0</v>
      </c>
    </row>
    <row r="836" customFormat="false" ht="15" hidden="false" customHeight="false" outlineLevel="0" collapsed="false">
      <c r="A836" s="3138" t="str">
        <f aca="false">A798</f>
        <v>Перемычка оконная, 1-ый эт. Вариант 3</v>
      </c>
      <c r="B836" s="3144" t="str">
        <f aca="false">B798</f>
        <v>м.п.</v>
      </c>
      <c r="C836" s="3138" t="n">
        <f aca="false">C798</f>
        <v>0.2</v>
      </c>
      <c r="D836" s="3138"/>
      <c r="E836" s="3138" t="n">
        <f aca="false">E798</f>
        <v>0</v>
      </c>
      <c r="F836" s="3138"/>
      <c r="G836" s="3138" t="n">
        <f aca="false">H836</f>
        <v>0</v>
      </c>
      <c r="H836" s="2811" t="n">
        <f aca="false">дома!C1548*(IF('Ввод данных'!$A$19=связи1!$A$153,1,0)+IF('Ввод данных'!$A$19=связи1!$A$160,1,0)+IF('Ввод данных'!$A$19=связи1!$A$161,1,0)+IF('Ввод данных'!$A$19=связи1!$A$162,1,0)+IF('Ввод данных'!$A$19=связи1!$A$163,1,0)+IF('Ввод данных'!$A$19=связи1!$A$164,1,0)+IF('Ввод данных'!$A$19=связи1!$A$165,1,0)+IF('Ввод данных'!$A$19=связи1!$A$166,1,0)+IF('Ввод данных'!$A$19=связи1!$A$167,1,0)+IF('Ввод данных'!$A$19=связи1!$A$168,1,0))</f>
        <v>0</v>
      </c>
    </row>
    <row r="837" customFormat="false" ht="15" hidden="false" customHeight="false" outlineLevel="0" collapsed="false">
      <c r="A837" s="3138" t="str">
        <f aca="false">A799</f>
        <v>Перемычка оконная, 1-ый эт. Вариант 4</v>
      </c>
      <c r="B837" s="3144" t="str">
        <f aca="false">B799</f>
        <v>м.п.</v>
      </c>
      <c r="C837" s="3138" t="n">
        <f aca="false">C799</f>
        <v>0.2</v>
      </c>
      <c r="D837" s="3138"/>
      <c r="E837" s="3138" t="n">
        <f aca="false">E799</f>
        <v>0</v>
      </c>
      <c r="F837" s="3138"/>
      <c r="G837" s="3138" t="n">
        <f aca="false">H837</f>
        <v>0</v>
      </c>
      <c r="H837" s="2811" t="n">
        <f aca="false">дома!C1549*(IF('Ввод данных'!$A$19=связи1!$A$153,1,0)+IF('Ввод данных'!$A$19=связи1!$A$160,1,0)+IF('Ввод данных'!$A$19=связи1!$A$161,1,0)+IF('Ввод данных'!$A$19=связи1!$A$162,1,0)+IF('Ввод данных'!$A$19=связи1!$A$163,1,0)+IF('Ввод данных'!$A$19=связи1!$A$164,1,0)+IF('Ввод данных'!$A$19=связи1!$A$165,1,0)+IF('Ввод данных'!$A$19=связи1!$A$166,1,0)+IF('Ввод данных'!$A$19=связи1!$A$167,1,0)+IF('Ввод данных'!$A$19=связи1!$A$168,1,0))</f>
        <v>0</v>
      </c>
    </row>
    <row r="838" customFormat="false" ht="15" hidden="false" customHeight="false" outlineLevel="0" collapsed="false">
      <c r="A838" s="3138" t="str">
        <f aca="false">A800</f>
        <v>Перемычка оконная, 1-ый эт. Вариант 5</v>
      </c>
      <c r="B838" s="3144" t="str">
        <f aca="false">B800</f>
        <v>м.п.</v>
      </c>
      <c r="C838" s="3138" t="n">
        <f aca="false">C800</f>
        <v>0.2</v>
      </c>
      <c r="D838" s="3138"/>
      <c r="E838" s="3138" t="n">
        <f aca="false">E800</f>
        <v>0</v>
      </c>
      <c r="F838" s="3138"/>
      <c r="G838" s="3138" t="n">
        <f aca="false">H838</f>
        <v>0</v>
      </c>
      <c r="H838" s="2811" t="n">
        <f aca="false">дома!C1550*(IF('Ввод данных'!$A$19=связи1!$A$153,1,0)+IF('Ввод данных'!$A$19=связи1!$A$160,1,0)+IF('Ввод данных'!$A$19=связи1!$A$161,1,0)+IF('Ввод данных'!$A$19=связи1!$A$162,1,0)+IF('Ввод данных'!$A$19=связи1!$A$163,1,0)+IF('Ввод данных'!$A$19=связи1!$A$164,1,0)+IF('Ввод данных'!$A$19=связи1!$A$165,1,0)+IF('Ввод данных'!$A$19=связи1!$A$166,1,0)+IF('Ввод данных'!$A$19=связи1!$A$167,1,0)+IF('Ввод данных'!$A$19=связи1!$A$168,1,0))</f>
        <v>0</v>
      </c>
    </row>
    <row r="839" customFormat="false" ht="15" hidden="false" customHeight="false" outlineLevel="0" collapsed="false">
      <c r="A839" s="3138" t="str">
        <f aca="false">A801</f>
        <v>Перемычка оконная, 2-ый эт. Вариант 6</v>
      </c>
      <c r="B839" s="3144" t="str">
        <f aca="false">B801</f>
        <v>м.п.</v>
      </c>
      <c r="C839" s="3138" t="n">
        <f aca="false">C801</f>
        <v>0.2</v>
      </c>
      <c r="D839" s="3138"/>
      <c r="E839" s="3138" t="n">
        <f aca="false">E801</f>
        <v>0</v>
      </c>
      <c r="F839" s="3138"/>
      <c r="G839" s="3138" t="n">
        <f aca="false">H839</f>
        <v>0</v>
      </c>
      <c r="H839" s="2811" t="n">
        <f aca="false">дома!C1551*(IF('Ввод данных'!$A$19=связи1!$A$153,1,0)+IF('Ввод данных'!$A$19=связи1!$A$160,1,0)+IF('Ввод данных'!$A$19=связи1!$A$161,1,0)+IF('Ввод данных'!$A$19=связи1!$A$162,1,0)+IF('Ввод данных'!$A$19=связи1!$A$163,1,0)+IF('Ввод данных'!$A$19=связи1!$A$164,1,0)+IF('Ввод данных'!$A$19=связи1!$A$165,1,0)+IF('Ввод данных'!$A$19=связи1!$A$166,1,0)+IF('Ввод данных'!$A$19=связи1!$A$167,1,0)+IF('Ввод данных'!$A$19=связи1!$A$168,1,0))</f>
        <v>0</v>
      </c>
    </row>
    <row r="840" customFormat="false" ht="15" hidden="false" customHeight="false" outlineLevel="0" collapsed="false">
      <c r="A840" s="3138" t="str">
        <f aca="false">A802</f>
        <v>Перемычка оконная, 2-ый эт. Вариант 7</v>
      </c>
      <c r="B840" s="3144" t="str">
        <f aca="false">B802</f>
        <v>м.п.</v>
      </c>
      <c r="C840" s="3138" t="n">
        <f aca="false">C802</f>
        <v>0.2</v>
      </c>
      <c r="D840" s="3138"/>
      <c r="E840" s="3138" t="n">
        <f aca="false">E802</f>
        <v>0</v>
      </c>
      <c r="F840" s="3138"/>
      <c r="G840" s="3138" t="n">
        <f aca="false">H840</f>
        <v>0</v>
      </c>
      <c r="H840" s="2811" t="n">
        <f aca="false">дома!C1552*(IF('Ввод данных'!$A$19=связи1!$A$153,1,0)+IF('Ввод данных'!$A$19=связи1!$A$160,1,0)+IF('Ввод данных'!$A$19=связи1!$A$161,1,0)+IF('Ввод данных'!$A$19=связи1!$A$162,1,0)+IF('Ввод данных'!$A$19=связи1!$A$163,1,0)+IF('Ввод данных'!$A$19=связи1!$A$164,1,0)+IF('Ввод данных'!$A$19=связи1!$A$165,1,0)+IF('Ввод данных'!$A$19=связи1!$A$166,1,0)+IF('Ввод данных'!$A$19=связи1!$A$167,1,0)+IF('Ввод данных'!$A$19=связи1!$A$168,1,0))</f>
        <v>0</v>
      </c>
    </row>
    <row r="841" customFormat="false" ht="15" hidden="false" customHeight="false" outlineLevel="0" collapsed="false">
      <c r="A841" s="3138" t="str">
        <f aca="false">A803</f>
        <v>Перемычка оконная, 2-ый эт. Вариант 8</v>
      </c>
      <c r="B841" s="3144" t="str">
        <f aca="false">B803</f>
        <v>м.п.</v>
      </c>
      <c r="C841" s="3138" t="n">
        <f aca="false">C803</f>
        <v>0.2</v>
      </c>
      <c r="D841" s="3138"/>
      <c r="E841" s="3138" t="n">
        <f aca="false">E803</f>
        <v>0</v>
      </c>
      <c r="F841" s="3138"/>
      <c r="G841" s="3138" t="n">
        <f aca="false">H841</f>
        <v>0</v>
      </c>
      <c r="H841" s="2811" t="n">
        <f aca="false">дома!C1553*(IF('Ввод данных'!$A$19=связи1!$A$153,1,0)+IF('Ввод данных'!$A$19=связи1!$A$160,1,0)+IF('Ввод данных'!$A$19=связи1!$A$161,1,0)+IF('Ввод данных'!$A$19=связи1!$A$162,1,0)+IF('Ввод данных'!$A$19=связи1!$A$163,1,0)+IF('Ввод данных'!$A$19=связи1!$A$164,1,0)+IF('Ввод данных'!$A$19=связи1!$A$165,1,0)+IF('Ввод данных'!$A$19=связи1!$A$166,1,0)+IF('Ввод данных'!$A$19=связи1!$A$167,1,0)+IF('Ввод данных'!$A$19=связи1!$A$168,1,0))</f>
        <v>0</v>
      </c>
    </row>
    <row r="842" customFormat="false" ht="15" hidden="false" customHeight="false" outlineLevel="0" collapsed="false">
      <c r="A842" s="3138" t="str">
        <f aca="false">A804</f>
        <v>Перемычка оконная, 2-ый эт. Вариант 9</v>
      </c>
      <c r="B842" s="3144" t="str">
        <f aca="false">B804</f>
        <v>м.п.</v>
      </c>
      <c r="C842" s="3138" t="n">
        <f aca="false">C804</f>
        <v>0.2</v>
      </c>
      <c r="D842" s="3138"/>
      <c r="E842" s="3138" t="n">
        <f aca="false">E804</f>
        <v>0</v>
      </c>
      <c r="F842" s="3138"/>
      <c r="G842" s="3138" t="n">
        <f aca="false">H842</f>
        <v>0</v>
      </c>
      <c r="H842" s="2811" t="n">
        <f aca="false">дома!C1554*(IF('Ввод данных'!$A$19=связи1!$A$153,1,0)+IF('Ввод данных'!$A$19=связи1!$A$160,1,0)+IF('Ввод данных'!$A$19=связи1!$A$161,1,0)+IF('Ввод данных'!$A$19=связи1!$A$162,1,0)+IF('Ввод данных'!$A$19=связи1!$A$163,1,0)+IF('Ввод данных'!$A$19=связи1!$A$164,1,0)+IF('Ввод данных'!$A$19=связи1!$A$165,1,0)+IF('Ввод данных'!$A$19=связи1!$A$166,1,0)+IF('Ввод данных'!$A$19=связи1!$A$167,1,0)+IF('Ввод данных'!$A$19=связи1!$A$168,1,0))</f>
        <v>0</v>
      </c>
    </row>
    <row r="843" customFormat="false" ht="15" hidden="false" customHeight="false" outlineLevel="0" collapsed="false">
      <c r="A843" s="3138" t="str">
        <f aca="false">A805</f>
        <v>Перемычка оконная, 2-ый эт. Вариант 10</v>
      </c>
      <c r="B843" s="3144" t="str">
        <f aca="false">B805</f>
        <v>м.п.</v>
      </c>
      <c r="C843" s="3138" t="n">
        <f aca="false">C805</f>
        <v>0.2</v>
      </c>
      <c r="D843" s="3138"/>
      <c r="E843" s="3138" t="n">
        <f aca="false">E805</f>
        <v>0</v>
      </c>
      <c r="F843" s="3138"/>
      <c r="G843" s="3138" t="n">
        <f aca="false">H843</f>
        <v>0</v>
      </c>
      <c r="H843" s="2811" t="n">
        <f aca="false">дома!C1555*(IF('Ввод данных'!$A$19=связи1!$A$153,1,0)+IF('Ввод данных'!$A$19=связи1!$A$160,1,0)+IF('Ввод данных'!$A$19=связи1!$A$161,1,0)+IF('Ввод данных'!$A$19=связи1!$A$162,1,0)+IF('Ввод данных'!$A$19=связи1!$A$163,1,0)+IF('Ввод данных'!$A$19=связи1!$A$164,1,0)+IF('Ввод данных'!$A$19=связи1!$A$165,1,0)+IF('Ввод данных'!$A$19=связи1!$A$166,1,0)+IF('Ввод данных'!$A$19=связи1!$A$167,1,0)+IF('Ввод данных'!$A$19=связи1!$A$168,1,0))</f>
        <v>0</v>
      </c>
    </row>
    <row r="844" customFormat="false" ht="15" hidden="false" customHeight="false" outlineLevel="0" collapsed="false">
      <c r="A844" s="3138" t="str">
        <f aca="false">A806</f>
        <v>Перемычка дверная, 1-ый эт. Вариант 1</v>
      </c>
      <c r="B844" s="3144" t="str">
        <f aca="false">B806</f>
        <v>м.п.</v>
      </c>
      <c r="C844" s="3138" t="n">
        <f aca="false">C806</f>
        <v>0.2</v>
      </c>
      <c r="D844" s="3138"/>
      <c r="E844" s="3138" t="n">
        <f aca="false">E806</f>
        <v>0</v>
      </c>
      <c r="F844" s="3138"/>
      <c r="G844" s="3138" t="n">
        <f aca="false">H844</f>
        <v>0</v>
      </c>
      <c r="H844" s="2811" t="n">
        <f aca="false">дома!C1556*(IF('Ввод данных'!$A$19=связи1!$A$153,1,0)+IF('Ввод данных'!$A$19=связи1!$A$160,1,0)+IF('Ввод данных'!$A$19=связи1!$A$161,1,0)+IF('Ввод данных'!$A$19=связи1!$A$162,1,0)+IF('Ввод данных'!$A$19=связи1!$A$163,1,0)+IF('Ввод данных'!$A$19=связи1!$A$164,1,0)+IF('Ввод данных'!$A$19=связи1!$A$165,1,0)+IF('Ввод данных'!$A$19=связи1!$A$166,1,0)+IF('Ввод данных'!$A$19=связи1!$A$167,1,0)+IF('Ввод данных'!$A$19=связи1!$A$168,1,0))</f>
        <v>0</v>
      </c>
    </row>
    <row r="845" customFormat="false" ht="15" hidden="false" customHeight="false" outlineLevel="0" collapsed="false">
      <c r="A845" s="3138" t="str">
        <f aca="false">A807</f>
        <v>Перемычка дверная, 2-ый эт. Вариант 2</v>
      </c>
      <c r="B845" s="3144" t="str">
        <f aca="false">B807</f>
        <v>м.п.</v>
      </c>
      <c r="C845" s="3138" t="n">
        <f aca="false">C807</f>
        <v>0.2</v>
      </c>
      <c r="D845" s="3138"/>
      <c r="E845" s="3138" t="n">
        <f aca="false">E807</f>
        <v>0</v>
      </c>
      <c r="F845" s="3138"/>
      <c r="G845" s="3138" t="n">
        <f aca="false">H845</f>
        <v>0</v>
      </c>
      <c r="H845" s="2811" t="n">
        <f aca="false">дома!C1557*(IF('Ввод данных'!$A$19=связи1!$A$153,1,0)+IF('Ввод данных'!$A$19=связи1!$A$160,1,0)+IF('Ввод данных'!$A$19=связи1!$A$161,1,0)+IF('Ввод данных'!$A$19=связи1!$A$162,1,0)+IF('Ввод данных'!$A$19=связи1!$A$163,1,0)+IF('Ввод данных'!$A$19=связи1!$A$164,1,0)+IF('Ввод данных'!$A$19=связи1!$A$165,1,0)+IF('Ввод данных'!$A$19=связи1!$A$166,1,0)+IF('Ввод данных'!$A$19=связи1!$A$167,1,0)+IF('Ввод данных'!$A$19=связи1!$A$168,1,0))</f>
        <v>0</v>
      </c>
    </row>
    <row r="846" customFormat="false" ht="15" hidden="false" customHeight="false" outlineLevel="0" collapsed="false">
      <c r="A846" s="3138" t="str">
        <f aca="false">A808</f>
        <v>Перемычка оконная 1-ый эт, Вариант 11</v>
      </c>
      <c r="B846" s="3144" t="str">
        <f aca="false">B808</f>
        <v>м.п.</v>
      </c>
      <c r="C846" s="3138" t="n">
        <f aca="false">C808</f>
        <v>0.2</v>
      </c>
      <c r="D846" s="3138"/>
      <c r="E846" s="3138" t="n">
        <f aca="false">E808</f>
        <v>0</v>
      </c>
      <c r="F846" s="3138"/>
      <c r="G846" s="3138" t="n">
        <f aca="false">H846</f>
        <v>0</v>
      </c>
      <c r="H846" s="2811" t="n">
        <f aca="false">дома!C1558*(IF('Ввод данных'!$A$19=связи1!$A$153,1,0)+IF('Ввод данных'!$A$19=связи1!$A$160,1,0)+IF('Ввод данных'!$A$19=связи1!$A$161,1,0)+IF('Ввод данных'!$A$19=связи1!$A$162,1,0)+IF('Ввод данных'!$A$19=связи1!$A$163,1,0)+IF('Ввод данных'!$A$19=связи1!$A$164,1,0)+IF('Ввод данных'!$A$19=связи1!$A$165,1,0)+IF('Ввод данных'!$A$19=связи1!$A$166,1,0)+IF('Ввод данных'!$A$19=связи1!$A$167,1,0)+IF('Ввод данных'!$A$19=связи1!$A$168,1,0))</f>
        <v>0</v>
      </c>
    </row>
    <row r="847" customFormat="false" ht="15" hidden="false" customHeight="false" outlineLevel="0" collapsed="false">
      <c r="A847" s="3138" t="str">
        <f aca="false">A809</f>
        <v>Перемычка оконная 1-ый эт, Вариант 12</v>
      </c>
      <c r="B847" s="3144" t="str">
        <f aca="false">B809</f>
        <v>м.п.</v>
      </c>
      <c r="C847" s="3138" t="n">
        <f aca="false">C809</f>
        <v>0.2</v>
      </c>
      <c r="D847" s="3138"/>
      <c r="E847" s="3138" t="n">
        <f aca="false">E809</f>
        <v>0</v>
      </c>
      <c r="F847" s="3138"/>
      <c r="G847" s="3138" t="n">
        <f aca="false">H847</f>
        <v>0</v>
      </c>
      <c r="H847" s="2811" t="n">
        <f aca="false">дома!C1559*(IF('Ввод данных'!$A$19=связи1!$A$153,1,0)+IF('Ввод данных'!$A$19=связи1!$A$160,1,0)+IF('Ввод данных'!$A$19=связи1!$A$161,1,0)+IF('Ввод данных'!$A$19=связи1!$A$162,1,0)+IF('Ввод данных'!$A$19=связи1!$A$163,1,0)+IF('Ввод данных'!$A$19=связи1!$A$164,1,0)+IF('Ввод данных'!$A$19=связи1!$A$165,1,0)+IF('Ввод данных'!$A$19=связи1!$A$166,1,0)+IF('Ввод данных'!$A$19=связи1!$A$167,1,0)+IF('Ввод данных'!$A$19=связи1!$A$168,1,0))</f>
        <v>0</v>
      </c>
    </row>
    <row r="848" customFormat="false" ht="15" hidden="false" customHeight="false" outlineLevel="0" collapsed="false">
      <c r="A848" s="3138" t="str">
        <f aca="false">A810</f>
        <v>Перемычка дверная, 1-ый эт. Вариант 4</v>
      </c>
      <c r="B848" s="3144" t="str">
        <f aca="false">B810</f>
        <v>м.п.</v>
      </c>
      <c r="C848" s="3138" t="n">
        <f aca="false">C810</f>
        <v>0.2</v>
      </c>
      <c r="D848" s="3138"/>
      <c r="E848" s="3138" t="n">
        <f aca="false">E810</f>
        <v>3</v>
      </c>
      <c r="F848" s="3138"/>
      <c r="G848" s="3138" t="n">
        <f aca="false">H848</f>
        <v>3</v>
      </c>
      <c r="H848" s="2811" t="n">
        <f aca="false">дома!C1560*(IF('Ввод данных'!$A$19=связи1!$A$153,1,0)+IF('Ввод данных'!$A$19=связи1!$A$160,1,0)+IF('Ввод данных'!$A$19=связи1!$A$161,1,0)+IF('Ввод данных'!$A$19=связи1!$A$162,1,0)+IF('Ввод данных'!$A$19=связи1!$A$163,1,0)+IF('Ввод данных'!$A$19=связи1!$A$164,1,0)+IF('Ввод данных'!$A$19=связи1!$A$165,1,0)+IF('Ввод данных'!$A$19=связи1!$A$166,1,0)+IF('Ввод данных'!$A$19=связи1!$A$167,1,0)+IF('Ввод данных'!$A$19=связи1!$A$168,1,0))</f>
        <v>3</v>
      </c>
    </row>
    <row r="849" customFormat="false" ht="15" hidden="false" customHeight="false" outlineLevel="0" collapsed="false">
      <c r="A849" s="3138" t="str">
        <f aca="false">A811</f>
        <v>Перемычка дверная, 1-ый эт. Вариант 5</v>
      </c>
      <c r="B849" s="3144" t="str">
        <f aca="false">B811</f>
        <v>м.п.</v>
      </c>
      <c r="C849" s="3138" t="n">
        <f aca="false">C811</f>
        <v>0.2</v>
      </c>
      <c r="D849" s="3138"/>
      <c r="E849" s="3138" t="n">
        <f aca="false">E811</f>
        <v>0</v>
      </c>
      <c r="F849" s="3138"/>
      <c r="G849" s="3138" t="n">
        <f aca="false">H849</f>
        <v>0</v>
      </c>
      <c r="H849" s="2811" t="n">
        <f aca="false">дома!C1561*(IF('Ввод данных'!$A$19=связи1!$A$153,1,0)+IF('Ввод данных'!$A$19=связи1!$A$160,1,0)+IF('Ввод данных'!$A$19=связи1!$A$161,1,0)+IF('Ввод данных'!$A$19=связи1!$A$162,1,0)+IF('Ввод данных'!$A$19=связи1!$A$163,1,0)+IF('Ввод данных'!$A$19=связи1!$A$164,1,0)+IF('Ввод данных'!$A$19=связи1!$A$165,1,0)+IF('Ввод данных'!$A$19=связи1!$A$166,1,0)+IF('Ввод данных'!$A$19=связи1!$A$167,1,0)+IF('Ввод данных'!$A$19=связи1!$A$168,1,0))</f>
        <v>0</v>
      </c>
    </row>
    <row r="850" customFormat="false" ht="15" hidden="false" customHeight="false" outlineLevel="0" collapsed="false">
      <c r="A850" s="3138" t="str">
        <f aca="false">A812</f>
        <v>Перемычка дверная, 1-ый эт. Вариант 6</v>
      </c>
      <c r="B850" s="3144" t="str">
        <f aca="false">B812</f>
        <v>м.п.</v>
      </c>
      <c r="C850" s="3138" t="n">
        <f aca="false">C812</f>
        <v>0.2</v>
      </c>
      <c r="D850" s="3138"/>
      <c r="E850" s="3138" t="n">
        <f aca="false">E812</f>
        <v>0</v>
      </c>
      <c r="F850" s="3138"/>
      <c r="G850" s="3138" t="n">
        <f aca="false">H850</f>
        <v>0</v>
      </c>
      <c r="H850" s="2811" t="n">
        <f aca="false">дома!C1562*(IF('Ввод данных'!$A$19=связи1!$A$153,1,0)+IF('Ввод данных'!$A$19=связи1!$A$160,1,0)+IF('Ввод данных'!$A$19=связи1!$A$161,1,0)+IF('Ввод данных'!$A$19=связи1!$A$162,1,0)+IF('Ввод данных'!$A$19=связи1!$A$163,1,0)+IF('Ввод данных'!$A$19=связи1!$A$164,1,0)+IF('Ввод данных'!$A$19=связи1!$A$165,1,0)+IF('Ввод данных'!$A$19=связи1!$A$166,1,0)+IF('Ввод данных'!$A$19=связи1!$A$167,1,0)+IF('Ввод данных'!$A$19=связи1!$A$168,1,0))</f>
        <v>0</v>
      </c>
    </row>
    <row r="851" customFormat="false" ht="15" hidden="false" customHeight="false" outlineLevel="0" collapsed="false">
      <c r="A851" s="3138" t="str">
        <f aca="false">A813</f>
        <v>Перемычка дверная, 2-ый эт. Вариант 7</v>
      </c>
      <c r="B851" s="3144" t="str">
        <f aca="false">B813</f>
        <v>м.п.</v>
      </c>
      <c r="C851" s="3138" t="n">
        <f aca="false">C813</f>
        <v>0.2</v>
      </c>
      <c r="D851" s="3138"/>
      <c r="E851" s="3138" t="n">
        <f aca="false">E813</f>
        <v>0</v>
      </c>
      <c r="F851" s="3138"/>
      <c r="G851" s="3138" t="n">
        <f aca="false">H851</f>
        <v>0</v>
      </c>
      <c r="H851" s="2811" t="n">
        <f aca="false">дома!C1563*(IF('Ввод данных'!$A$19=связи1!$A$153,1,0)+IF('Ввод данных'!$A$19=связи1!$A$160,1,0)+IF('Ввод данных'!$A$19=связи1!$A$161,1,0)+IF('Ввод данных'!$A$19=связи1!$A$162,1,0)+IF('Ввод данных'!$A$19=связи1!$A$163,1,0)+IF('Ввод данных'!$A$19=связи1!$A$164,1,0)+IF('Ввод данных'!$A$19=связи1!$A$165,1,0)+IF('Ввод данных'!$A$19=связи1!$A$166,1,0)+IF('Ввод данных'!$A$19=связи1!$A$167,1,0)+IF('Ввод данных'!$A$19=связи1!$A$168,1,0))</f>
        <v>0</v>
      </c>
    </row>
    <row r="852" customFormat="false" ht="15" hidden="false" customHeight="false" outlineLevel="0" collapsed="false">
      <c r="A852" s="3138" t="str">
        <f aca="false">A814</f>
        <v>Перемычка дверная, 2-ый эт. Вариант 8</v>
      </c>
      <c r="B852" s="3144" t="str">
        <f aca="false">B814</f>
        <v>м.п.</v>
      </c>
      <c r="C852" s="3138" t="n">
        <f aca="false">C814</f>
        <v>0.2</v>
      </c>
      <c r="D852" s="3138"/>
      <c r="E852" s="3138" t="n">
        <f aca="false">E814</f>
        <v>0</v>
      </c>
      <c r="F852" s="3138"/>
      <c r="G852" s="3138" t="n">
        <f aca="false">H852</f>
        <v>0</v>
      </c>
      <c r="H852" s="2811" t="n">
        <f aca="false">дома!C1564*(IF('Ввод данных'!$A$19=связи1!$A$153,1,0)+IF('Ввод данных'!$A$19=связи1!$A$160,1,0)+IF('Ввод данных'!$A$19=связи1!$A$161,1,0)+IF('Ввод данных'!$A$19=связи1!$A$162,1,0)+IF('Ввод данных'!$A$19=связи1!$A$163,1,0)+IF('Ввод данных'!$A$19=связи1!$A$164,1,0)+IF('Ввод данных'!$A$19=связи1!$A$165,1,0)+IF('Ввод данных'!$A$19=связи1!$A$166,1,0)+IF('Ввод данных'!$A$19=связи1!$A$167,1,0)+IF('Ввод данных'!$A$19=связи1!$A$168,1,0))</f>
        <v>0</v>
      </c>
    </row>
    <row r="853" customFormat="false" ht="15" hidden="false" customHeight="false" outlineLevel="0" collapsed="false">
      <c r="A853" s="3138" t="str">
        <f aca="false">A815</f>
        <v>Перемычка дверная, 2-ый эт. Вариант 9</v>
      </c>
      <c r="B853" s="3144" t="str">
        <f aca="false">B815</f>
        <v>м.п.</v>
      </c>
      <c r="C853" s="3138" t="n">
        <f aca="false">C815</f>
        <v>0.2</v>
      </c>
      <c r="D853" s="3138"/>
      <c r="E853" s="3138" t="n">
        <f aca="false">E815</f>
        <v>0</v>
      </c>
      <c r="F853" s="3138"/>
      <c r="G853" s="3138" t="n">
        <f aca="false">H853</f>
        <v>0</v>
      </c>
      <c r="H853" s="2811" t="n">
        <f aca="false">дома!C1565*(IF('Ввод данных'!$A$19=связи1!$A$153,1,0)+IF('Ввод данных'!$A$19=связи1!$A$160,1,0)+IF('Ввод данных'!$A$19=связи1!$A$161,1,0)+IF('Ввод данных'!$A$19=связи1!$A$162,1,0)+IF('Ввод данных'!$A$19=связи1!$A$163,1,0)+IF('Ввод данных'!$A$19=связи1!$A$164,1,0)+IF('Ввод данных'!$A$19=связи1!$A$165,1,0)+IF('Ввод данных'!$A$19=связи1!$A$166,1,0)+IF('Ввод данных'!$A$19=связи1!$A$167,1,0)+IF('Ввод данных'!$A$19=связи1!$A$168,1,0))</f>
        <v>0</v>
      </c>
    </row>
    <row r="854" customFormat="false" ht="15" hidden="false" customHeight="false" outlineLevel="0" collapsed="false">
      <c r="A854" s="3138" t="str">
        <f aca="false">A816</f>
        <v>Перемычка проема, 1-ый эт. Вариант 10</v>
      </c>
      <c r="B854" s="3144" t="str">
        <f aca="false">B816</f>
        <v>м.п.</v>
      </c>
      <c r="C854" s="3138" t="n">
        <f aca="false">C816</f>
        <v>0.2</v>
      </c>
      <c r="D854" s="3138"/>
      <c r="E854" s="3138" t="n">
        <f aca="false">E816</f>
        <v>0</v>
      </c>
      <c r="F854" s="3138"/>
      <c r="G854" s="3138" t="n">
        <f aca="false">H854</f>
        <v>0</v>
      </c>
      <c r="H854" s="2811" t="n">
        <f aca="false">дома!C1566*(IF('Ввод данных'!$A$19=связи1!$A$153,1,0)+IF('Ввод данных'!$A$19=связи1!$A$160,1,0)+IF('Ввод данных'!$A$19=связи1!$A$161,1,0)+IF('Ввод данных'!$A$19=связи1!$A$162,1,0)+IF('Ввод данных'!$A$19=связи1!$A$163,1,0)+IF('Ввод данных'!$A$19=связи1!$A$164,1,0)+IF('Ввод данных'!$A$19=связи1!$A$165,1,0)+IF('Ввод данных'!$A$19=связи1!$A$166,1,0)+IF('Ввод данных'!$A$19=связи1!$A$167,1,0)+IF('Ввод данных'!$A$19=связи1!$A$168,1,0))</f>
        <v>0</v>
      </c>
    </row>
    <row r="855" customFormat="false" ht="15" hidden="false" customHeight="false" outlineLevel="0" collapsed="false">
      <c r="A855" s="3138" t="str">
        <f aca="false">A817</f>
        <v>Перемычка проема, 1-ый эт. Вариант 11</v>
      </c>
      <c r="B855" s="3144" t="str">
        <f aca="false">B817</f>
        <v>м.п.</v>
      </c>
      <c r="C855" s="3138" t="n">
        <f aca="false">C817</f>
        <v>0.2</v>
      </c>
      <c r="D855" s="3138"/>
      <c r="E855" s="3138" t="n">
        <f aca="false">E817</f>
        <v>0</v>
      </c>
      <c r="F855" s="3138"/>
      <c r="G855" s="3138" t="n">
        <f aca="false">H855</f>
        <v>0</v>
      </c>
      <c r="H855" s="2811" t="n">
        <f aca="false">дома!C1567*(IF('Ввод данных'!$A$19=связи1!$A$153,1,0)+IF('Ввод данных'!$A$19=связи1!$A$160,1,0)+IF('Ввод данных'!$A$19=связи1!$A$161,1,0)+IF('Ввод данных'!$A$19=связи1!$A$162,1,0)+IF('Ввод данных'!$A$19=связи1!$A$163,1,0)+IF('Ввод данных'!$A$19=связи1!$A$164,1,0)+IF('Ввод данных'!$A$19=связи1!$A$165,1,0)+IF('Ввод данных'!$A$19=связи1!$A$166,1,0)+IF('Ввод данных'!$A$19=связи1!$A$167,1,0)+IF('Ввод данных'!$A$19=связи1!$A$168,1,0))</f>
        <v>0</v>
      </c>
    </row>
    <row r="856" customFormat="false" ht="15" hidden="false" customHeight="false" outlineLevel="0" collapsed="false">
      <c r="A856" s="3138" t="str">
        <f aca="false">A818</f>
        <v>Перемычка проема, 2-ый эт. Вариант 12</v>
      </c>
      <c r="B856" s="3144" t="str">
        <f aca="false">B818</f>
        <v>м.п.</v>
      </c>
      <c r="C856" s="3138" t="n">
        <f aca="false">C818</f>
        <v>0.2</v>
      </c>
      <c r="D856" s="3138"/>
      <c r="E856" s="3138" t="n">
        <f aca="false">E818</f>
        <v>0</v>
      </c>
      <c r="F856" s="3138"/>
      <c r="G856" s="3138" t="n">
        <f aca="false">H856</f>
        <v>0</v>
      </c>
      <c r="H856" s="2811" t="n">
        <f aca="false">дома!C1568*(IF('Ввод данных'!$A$19=связи1!$A$153,1,0)+IF('Ввод данных'!$A$19=связи1!$A$160,1,0)+IF('Ввод данных'!$A$19=связи1!$A$161,1,0)+IF('Ввод данных'!$A$19=связи1!$A$162,1,0)+IF('Ввод данных'!$A$19=связи1!$A$163,1,0)+IF('Ввод данных'!$A$19=связи1!$A$164,1,0)+IF('Ввод данных'!$A$19=связи1!$A$165,1,0)+IF('Ввод данных'!$A$19=связи1!$A$166,1,0)+IF('Ввод данных'!$A$19=связи1!$A$167,1,0)+IF('Ввод данных'!$A$19=связи1!$A$168,1,0))</f>
        <v>0</v>
      </c>
    </row>
    <row r="857" customFormat="false" ht="15" hidden="false" customHeight="false" outlineLevel="0" collapsed="false">
      <c r="A857" s="3138" t="str">
        <f aca="false">A819</f>
        <v>Перемычка проема, 2-ый эт. Вариант 13</v>
      </c>
      <c r="B857" s="3144" t="str">
        <f aca="false">B819</f>
        <v>м.п.</v>
      </c>
      <c r="C857" s="3138" t="n">
        <f aca="false">C819</f>
        <v>0.2</v>
      </c>
      <c r="D857" s="3138"/>
      <c r="E857" s="3138" t="n">
        <f aca="false">E819</f>
        <v>0</v>
      </c>
      <c r="F857" s="3138"/>
      <c r="G857" s="3138" t="n">
        <f aca="false">H857</f>
        <v>0</v>
      </c>
      <c r="H857" s="2811" t="n">
        <f aca="false">дома!C1569*(IF('Ввод данных'!$A$19=связи1!$A$153,1,0)+IF('Ввод данных'!$A$19=связи1!$A$160,1,0)+IF('Ввод данных'!$A$19=связи1!$A$161,1,0)+IF('Ввод данных'!$A$19=связи1!$A$162,1,0)+IF('Ввод данных'!$A$19=связи1!$A$163,1,0)+IF('Ввод данных'!$A$19=связи1!$A$164,1,0)+IF('Ввод данных'!$A$19=связи1!$A$165,1,0)+IF('Ввод данных'!$A$19=связи1!$A$166,1,0)+IF('Ввод данных'!$A$19=связи1!$A$167,1,0)+IF('Ввод данных'!$A$19=связи1!$A$168,1,0))</f>
        <v>0</v>
      </c>
    </row>
    <row r="858" customFormat="false" ht="15" hidden="false" customHeight="false" outlineLevel="0" collapsed="false">
      <c r="A858" s="3138" t="str">
        <f aca="false">A820</f>
        <v>Перемычка дверная, 1-ый эт. Вариант 1</v>
      </c>
      <c r="B858" s="3144" t="str">
        <f aca="false">B820</f>
        <v>м.п.</v>
      </c>
      <c r="C858" s="3138" t="n">
        <f aca="false">C820</f>
        <v>0.2</v>
      </c>
      <c r="D858" s="3138"/>
      <c r="E858" s="3138" t="n">
        <f aca="false">E820</f>
        <v>0</v>
      </c>
      <c r="F858" s="3138"/>
      <c r="G858" s="3138" t="n">
        <f aca="false">H858</f>
        <v>0</v>
      </c>
      <c r="H858" s="2811" t="n">
        <f aca="false">дома!C1570*(IF('Ввод данных'!$A$19=связи1!$A$153,1,0)+IF('Ввод данных'!$A$19=связи1!$A$160,1,0)+IF('Ввод данных'!$A$19=связи1!$A$161,1,0)+IF('Ввод данных'!$A$19=связи1!$A$162,1,0)+IF('Ввод данных'!$A$19=связи1!$A$163,1,0)+IF('Ввод данных'!$A$19=связи1!$A$164,1,0)+IF('Ввод данных'!$A$19=связи1!$A$165,1,0)+IF('Ввод данных'!$A$19=связи1!$A$166,1,0)+IF('Ввод данных'!$A$19=связи1!$A$167,1,0)+IF('Ввод данных'!$A$19=связи1!$A$168,1,0))</f>
        <v>0</v>
      </c>
    </row>
    <row r="859" customFormat="false" ht="15" hidden="false" customHeight="false" outlineLevel="0" collapsed="false">
      <c r="A859" s="3138" t="str">
        <f aca="false">A821</f>
        <v>Перемычка дверная, 1-ый эт. Вариант 2</v>
      </c>
      <c r="B859" s="3144" t="str">
        <f aca="false">B821</f>
        <v>м.п.</v>
      </c>
      <c r="C859" s="3138" t="n">
        <f aca="false">C821</f>
        <v>0.2</v>
      </c>
      <c r="D859" s="3138"/>
      <c r="E859" s="3138" t="n">
        <f aca="false">E821</f>
        <v>1</v>
      </c>
      <c r="F859" s="3138"/>
      <c r="G859" s="3138" t="n">
        <f aca="false">H859</f>
        <v>1</v>
      </c>
      <c r="H859" s="2811" t="n">
        <f aca="false">дома!C1571*(IF('Ввод данных'!$A$19=связи1!$A$153,1,0)+IF('Ввод данных'!$A$19=связи1!$A$160,1,0)+IF('Ввод данных'!$A$19=связи1!$A$161,1,0)+IF('Ввод данных'!$A$19=связи1!$A$162,1,0)+IF('Ввод данных'!$A$19=связи1!$A$163,1,0)+IF('Ввод данных'!$A$19=связи1!$A$164,1,0)+IF('Ввод данных'!$A$19=связи1!$A$165,1,0)+IF('Ввод данных'!$A$19=связи1!$A$166,1,0)+IF('Ввод данных'!$A$19=связи1!$A$167,1,0)+IF('Ввод данных'!$A$19=связи1!$A$168,1,0))</f>
        <v>1</v>
      </c>
    </row>
    <row r="860" customFormat="false" ht="15" hidden="false" customHeight="false" outlineLevel="0" collapsed="false">
      <c r="A860" s="3138" t="str">
        <f aca="false">A822</f>
        <v>Перемычка дверная, 1-ый эт. Вариант 3</v>
      </c>
      <c r="B860" s="3144" t="str">
        <f aca="false">B822</f>
        <v>м.п.</v>
      </c>
      <c r="C860" s="3138" t="n">
        <f aca="false">C822</f>
        <v>0.2</v>
      </c>
      <c r="D860" s="3138"/>
      <c r="E860" s="3138" t="n">
        <f aca="false">E822</f>
        <v>0</v>
      </c>
      <c r="F860" s="3138"/>
      <c r="G860" s="3138" t="n">
        <f aca="false">H860</f>
        <v>0</v>
      </c>
      <c r="H860" s="2811" t="n">
        <f aca="false">дома!C1572*(IF('Ввод данных'!$A$19=связи1!$A$153,1,0)+IF('Ввод данных'!$A$19=связи1!$A$160,1,0)+IF('Ввод данных'!$A$19=связи1!$A$161,1,0)+IF('Ввод данных'!$A$19=связи1!$A$162,1,0)+IF('Ввод данных'!$A$19=связи1!$A$163,1,0)+IF('Ввод данных'!$A$19=связи1!$A$164,1,0)+IF('Ввод данных'!$A$19=связи1!$A$165,1,0)+IF('Ввод данных'!$A$19=связи1!$A$166,1,0)+IF('Ввод данных'!$A$19=связи1!$A$167,1,0)+IF('Ввод данных'!$A$19=связи1!$A$168,1,0))</f>
        <v>0</v>
      </c>
    </row>
    <row r="861" customFormat="false" ht="31.5" hidden="false" customHeight="false" outlineLevel="0" collapsed="false">
      <c r="A861" s="3152" t="s">
        <v>46</v>
      </c>
      <c r="B861" s="3147" t="s">
        <v>162</v>
      </c>
      <c r="C861" s="3147" t="s">
        <v>137</v>
      </c>
      <c r="D861" s="3147" t="s">
        <v>116</v>
      </c>
      <c r="E861" s="3134" t="s">
        <v>200</v>
      </c>
      <c r="F861" s="3146" t="s">
        <v>204</v>
      </c>
      <c r="G861" s="3146" t="s">
        <v>4294</v>
      </c>
      <c r="H861" s="3139" t="n">
        <f aca="false">SUM(H862:H866)</f>
        <v>5</v>
      </c>
    </row>
    <row r="862" customFormat="false" ht="15.75" hidden="false" customHeight="false" outlineLevel="0" collapsed="false">
      <c r="A862" s="3122" t="s">
        <v>4289</v>
      </c>
      <c r="B862" s="3137" t="s">
        <v>1043</v>
      </c>
      <c r="C862" s="2811" t="n">
        <f aca="false">C831</f>
        <v>65</v>
      </c>
      <c r="D862" s="2811" t="n">
        <f aca="false">D831</f>
        <v>85</v>
      </c>
      <c r="E862" s="2811" t="n">
        <f aca="false">E831</f>
        <v>250</v>
      </c>
      <c r="F862" s="3124" t="n">
        <f aca="false">F831</f>
        <v>60.52816</v>
      </c>
      <c r="G862" s="3124" t="n">
        <f aca="false">G831</f>
        <v>43821.2923076923</v>
      </c>
      <c r="H862" s="3139" t="n">
        <f aca="false">IF(G862&gt;0,1,0)</f>
        <v>1</v>
      </c>
    </row>
    <row r="863" customFormat="false" ht="15.75" hidden="false" customHeight="false" outlineLevel="0" collapsed="false">
      <c r="A863" s="3138" t="s">
        <v>4291</v>
      </c>
      <c r="B863" s="3137" t="s">
        <v>1043</v>
      </c>
      <c r="C863" s="2811" t="n">
        <f aca="false">C832</f>
        <v>65</v>
      </c>
      <c r="D863" s="2811" t="n">
        <f aca="false">D832</f>
        <v>85</v>
      </c>
      <c r="E863" s="2811" t="n">
        <f aca="false">E832</f>
        <v>250</v>
      </c>
      <c r="F863" s="3124" t="n">
        <f aca="false">F832</f>
        <v>17.24844</v>
      </c>
      <c r="G863" s="3124" t="n">
        <f aca="false">G832</f>
        <v>12487.5583710407</v>
      </c>
      <c r="H863" s="3139" t="n">
        <f aca="false">IF(G863&gt;0,1,0)</f>
        <v>1</v>
      </c>
    </row>
    <row r="864" customFormat="false" ht="15.75" hidden="false" customHeight="false" outlineLevel="0" collapsed="false">
      <c r="A864" s="3138" t="s">
        <v>4292</v>
      </c>
      <c r="B864" s="3137" t="s">
        <v>1043</v>
      </c>
      <c r="C864" s="2811" t="n">
        <f aca="false">C833</f>
        <v>65</v>
      </c>
      <c r="D864" s="2811" t="n">
        <f aca="false">D833</f>
        <v>85</v>
      </c>
      <c r="E864" s="2811" t="n">
        <f aca="false">E833</f>
        <v>250</v>
      </c>
      <c r="F864" s="3124" t="n">
        <f aca="false">F833</f>
        <v>3.84384</v>
      </c>
      <c r="G864" s="3124" t="n">
        <f aca="false">G833</f>
        <v>2782.87058823529</v>
      </c>
      <c r="H864" s="3139" t="n">
        <f aca="false">IF(G864&gt;0,1,0)</f>
        <v>1</v>
      </c>
    </row>
    <row r="865" customFormat="false" ht="15" hidden="false" customHeight="false" outlineLevel="0" collapsed="false">
      <c r="A865" s="3148" t="s">
        <v>4295</v>
      </c>
      <c r="B865" s="3144" t="s">
        <v>15</v>
      </c>
      <c r="C865" s="2811"/>
      <c r="D865" s="2811"/>
      <c r="E865" s="2811"/>
      <c r="F865" s="2811" t="n">
        <f aca="false">SUM(H834:H847)+SUM(H858:H860)</f>
        <v>2</v>
      </c>
      <c r="G865" s="2811"/>
      <c r="H865" s="3139" t="n">
        <f aca="false">IF(F865&gt;0,1,0)</f>
        <v>1</v>
      </c>
    </row>
    <row r="866" customFormat="false" ht="15" hidden="false" customHeight="false" outlineLevel="0" collapsed="false">
      <c r="A866" s="3148" t="s">
        <v>4296</v>
      </c>
      <c r="B866" s="3144" t="s">
        <v>15</v>
      </c>
      <c r="C866" s="2811"/>
      <c r="D866" s="2811"/>
      <c r="E866" s="2811"/>
      <c r="F866" s="2811" t="n">
        <f aca="false">SUM(H848:H857)</f>
        <v>3</v>
      </c>
      <c r="G866" s="2811"/>
      <c r="H866" s="3139" t="n">
        <f aca="false">IF(F866&gt;0,1,0)</f>
        <v>1</v>
      </c>
    </row>
    <row r="867" customFormat="false" ht="23.25" hidden="false" customHeight="false" outlineLevel="0" collapsed="false">
      <c r="A867" s="3153" t="s">
        <v>4299</v>
      </c>
      <c r="B867" s="3153"/>
      <c r="C867" s="3153"/>
      <c r="D867" s="3153"/>
      <c r="E867" s="3153"/>
      <c r="F867" s="3153"/>
      <c r="G867" s="3120"/>
      <c r="H867" s="3121" t="n">
        <f aca="false">H868</f>
        <v>0</v>
      </c>
    </row>
    <row r="868" customFormat="false" ht="36.75" hidden="false" customHeight="true" outlineLevel="0" collapsed="false">
      <c r="A868" s="3135" t="s">
        <v>46</v>
      </c>
      <c r="B868" s="3135" t="s">
        <v>162</v>
      </c>
      <c r="C868" s="3135" t="s">
        <v>1097</v>
      </c>
      <c r="D868" s="3135" t="s">
        <v>1149</v>
      </c>
      <c r="E868" s="3135" t="s">
        <v>1137</v>
      </c>
      <c r="F868" s="3146" t="s">
        <v>4300</v>
      </c>
      <c r="G868" s="3154" t="s">
        <v>4301</v>
      </c>
      <c r="H868" s="3151" t="n">
        <f aca="false">SUM(H869:H872)</f>
        <v>0</v>
      </c>
    </row>
    <row r="869" customFormat="false" ht="15" hidden="false" customHeight="false" outlineLevel="0" collapsed="false">
      <c r="A869" s="3138" t="str">
        <f aca="false">дома!A1396</f>
        <v>Sip панель 2800*1250*174мм</v>
      </c>
      <c r="B869" s="3144" t="s">
        <v>48</v>
      </c>
      <c r="C869" s="3138" t="n">
        <f aca="false">дома!I1396</f>
        <v>2.8</v>
      </c>
      <c r="D869" s="3138" t="n">
        <f aca="false">дома!J1396</f>
        <v>1.25</v>
      </c>
      <c r="E869" s="3138" t="n">
        <f aca="false">дома!K1396</f>
        <v>0.174</v>
      </c>
      <c r="F869" s="3138" t="n">
        <f aca="false">дома!C1396</f>
        <v>-2.64</v>
      </c>
      <c r="G869" s="3138" t="n">
        <f aca="false">дома!G1396</f>
        <v>1</v>
      </c>
      <c r="H869" s="3145" t="n">
        <f aca="false">G869*(IF('Ввод данных'!$A$19=связи1!$A$155,1,0)+IF('Ввод данных'!$A$19=связи1!$A$166,1,0)+IF('Ввод данных'!$A$19=связи1!$A$174,1,0)+IF('Ввод данных'!$A$19=связи1!$A$181,1,0))</f>
        <v>0</v>
      </c>
    </row>
    <row r="870" customFormat="false" ht="15" hidden="false" customHeight="false" outlineLevel="0" collapsed="false">
      <c r="A870" s="3138" t="str">
        <f aca="false">дома!A1397</f>
        <v>Sip панель 2800*1250*174мм</v>
      </c>
      <c r="B870" s="3144" t="s">
        <v>48</v>
      </c>
      <c r="C870" s="3138" t="n">
        <f aca="false">дома!I1397</f>
        <v>2.8</v>
      </c>
      <c r="D870" s="3138" t="n">
        <f aca="false">дома!J1397</f>
        <v>1.25</v>
      </c>
      <c r="E870" s="3138" t="n">
        <f aca="false">дома!K1397</f>
        <v>0.174</v>
      </c>
      <c r="F870" s="3138" t="n">
        <f aca="false">дома!C1397</f>
        <v>0</v>
      </c>
      <c r="G870" s="3138" t="n">
        <f aca="false">дома!G1397</f>
        <v>1</v>
      </c>
      <c r="H870" s="3145" t="n">
        <f aca="false">G870*(IF('Ввод данных'!$A$19=связи1!$A$155,1,0)+IF('Ввод данных'!$A$19=связи1!$A$166,1,0)+IF('Ввод данных'!$A$19=связи1!$A$174,1,0)+IF('Ввод данных'!$A$19=связи1!$A$181,1,0))</f>
        <v>0</v>
      </c>
    </row>
    <row r="871" customFormat="false" ht="15" hidden="false" customHeight="false" outlineLevel="0" collapsed="false">
      <c r="A871" s="3138" t="str">
        <f aca="false">дома!A1398</f>
        <v>Sip панель 2800*1250*124мм</v>
      </c>
      <c r="B871" s="3144" t="s">
        <v>48</v>
      </c>
      <c r="C871" s="3138" t="n">
        <f aca="false">дома!I1398</f>
        <v>2.8</v>
      </c>
      <c r="D871" s="3138" t="n">
        <f aca="false">дома!J1398</f>
        <v>1.25</v>
      </c>
      <c r="E871" s="3138" t="n">
        <f aca="false">дома!K1398</f>
        <v>0.124</v>
      </c>
      <c r="F871" s="3138" t="n">
        <f aca="false">дома!C1398</f>
        <v>0</v>
      </c>
      <c r="G871" s="3138" t="n">
        <f aca="false">дома!G1398</f>
        <v>1</v>
      </c>
      <c r="H871" s="3145" t="n">
        <f aca="false">G871*(IF('Ввод данных'!$A$19=связи1!$A$155,1,0)+IF('Ввод данных'!$A$19=связи1!$A$166,1,0)+IF('Ввод данных'!$A$19=связи1!$A$174,1,0)+IF('Ввод данных'!$A$19=связи1!$A$181,1,0))</f>
        <v>0</v>
      </c>
    </row>
    <row r="872" customFormat="false" ht="15" hidden="false" customHeight="false" outlineLevel="0" collapsed="false">
      <c r="A872" s="3138" t="str">
        <f aca="false">дома!A1408</f>
        <v>Нет </v>
      </c>
      <c r="B872" s="3144" t="s">
        <v>48</v>
      </c>
      <c r="C872" s="3138" t="n">
        <f aca="false">дома!I1408</f>
        <v>0</v>
      </c>
      <c r="D872" s="3138" t="n">
        <f aca="false">дома!J1408</f>
        <v>0</v>
      </c>
      <c r="E872" s="3138" t="n">
        <f aca="false">дома!K1408</f>
        <v>0</v>
      </c>
      <c r="F872" s="3138" t="n">
        <f aca="false">дома!C1408</f>
        <v>105.780913567754</v>
      </c>
      <c r="G872" s="3138" t="n">
        <f aca="false">дома!G1408</f>
        <v>0</v>
      </c>
      <c r="H872" s="3145" t="n">
        <f aca="false">G872*(IF('Ввод данных'!$A$19=связи1!$A$155,1,0)+IF('Ввод данных'!$A$19=связи1!$A$166,1,0)+IF('Ввод данных'!$A$19=связи1!$A$174,1,0)+IF('Ввод данных'!$A$19=связи1!$A$181,1,0))</f>
        <v>0</v>
      </c>
    </row>
  </sheetData>
  <autoFilter ref="H3:H872"/>
  <mergeCells count="19">
    <mergeCell ref="A1:D2"/>
    <mergeCell ref="E1:G1"/>
    <mergeCell ref="E2:G2"/>
    <mergeCell ref="A5:F5"/>
    <mergeCell ref="A210:F210"/>
    <mergeCell ref="A408:F408"/>
    <mergeCell ref="A449:F449"/>
    <mergeCell ref="A490:F490"/>
    <mergeCell ref="A531:F531"/>
    <mergeCell ref="A572:F572"/>
    <mergeCell ref="A613:F613"/>
    <mergeCell ref="A654:F654"/>
    <mergeCell ref="A695:F695"/>
    <mergeCell ref="A736:F736"/>
    <mergeCell ref="A740:F740"/>
    <mergeCell ref="A748:F748"/>
    <mergeCell ref="A791:F791"/>
    <mergeCell ref="A829:F829"/>
    <mergeCell ref="A867:F867"/>
  </mergeCells>
  <printOptions headings="false" gridLines="false" gridLinesSet="true" horizontalCentered="false" verticalCentered="false"/>
  <pageMargins left="0.708333333333333" right="0.708333333333333" top="0.747916666666667" bottom="0.747916666666667" header="0.511805555555555" footer="0.511805555555555"/>
  <pageSetup paperSize="9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N578"/>
  <sheetViews>
    <sheetView showFormulas="false" showGridLines="true" showRowColHeaders="true" showZeros="true" rightToLeft="false" tabSelected="false" showOutlineSymbols="true" defaultGridColor="true" view="normal" topLeftCell="A362" colorId="64" zoomScale="100" zoomScaleNormal="100" zoomScalePageLayoutView="100" workbookViewId="0">
      <selection pane="topLeft" activeCell="G374" activeCellId="0" sqref="G374"/>
    </sheetView>
  </sheetViews>
  <sheetFormatPr defaultColWidth="8.6875" defaultRowHeight="15" zeroHeight="false" outlineLevelRow="0" outlineLevelCol="0"/>
  <cols>
    <col collapsed="false" customWidth="true" hidden="false" outlineLevel="0" max="1" min="1" style="0" width="37.42"/>
    <col collapsed="false" customWidth="true" hidden="false" outlineLevel="0" max="2" min="2" style="0" width="10.29"/>
    <col collapsed="false" customWidth="true" hidden="false" outlineLevel="0" max="4" min="4" style="0" width="12.42"/>
    <col collapsed="false" customWidth="true" hidden="false" outlineLevel="0" max="5" min="5" style="0" width="13.7"/>
    <col collapsed="false" customWidth="true" hidden="false" outlineLevel="0" max="6" min="6" style="0" width="11.14"/>
    <col collapsed="false" customWidth="true" hidden="false" outlineLevel="0" max="7" min="7" style="0" width="13.43"/>
    <col collapsed="false" customWidth="true" hidden="false" outlineLevel="0" max="11" min="11" style="0" width="12.42"/>
  </cols>
  <sheetData>
    <row r="1" customFormat="false" ht="15.75" hidden="false" customHeight="false" outlineLevel="0" collapsed="false">
      <c r="A1" s="2454" t="s">
        <v>46</v>
      </c>
      <c r="B1" s="2454"/>
      <c r="C1" s="2454"/>
      <c r="D1" s="2455" t="s">
        <v>12</v>
      </c>
      <c r="E1" s="2455" t="s">
        <v>13</v>
      </c>
      <c r="F1" s="2456"/>
      <c r="G1" s="1614"/>
      <c r="H1" s="1614"/>
      <c r="I1" s="1614"/>
      <c r="J1" s="1614"/>
      <c r="K1" s="1580"/>
      <c r="L1" s="1580"/>
      <c r="M1" s="1580"/>
      <c r="N1" s="1580"/>
    </row>
    <row r="2" customFormat="false" ht="15.75" hidden="false" customHeight="false" outlineLevel="0" collapsed="false">
      <c r="A2" s="1616" t="s">
        <v>2947</v>
      </c>
      <c r="B2" s="1616"/>
      <c r="C2" s="1616"/>
      <c r="D2" s="2457"/>
      <c r="E2" s="2458" t="e">
        <f aca="false">'ввод данных'!#ref!</f>
        <v>#VALUE!</v>
      </c>
      <c r="F2" s="2459"/>
      <c r="G2" s="2456"/>
      <c r="H2" s="1269"/>
      <c r="I2" s="2435"/>
      <c r="J2" s="2435"/>
      <c r="K2" s="1580"/>
      <c r="L2" s="1580"/>
      <c r="M2" s="1580"/>
      <c r="N2" s="1580"/>
    </row>
    <row r="3" customFormat="false" ht="15.75" hidden="false" customHeight="false" outlineLevel="0" collapsed="false">
      <c r="A3" s="1310" t="s">
        <v>2948</v>
      </c>
      <c r="B3" s="1310"/>
      <c r="C3" s="1310"/>
      <c r="D3" s="2457" t="s">
        <v>15</v>
      </c>
      <c r="E3" s="2458" t="n">
        <f aca="false">'Ввод данных'!C9</f>
        <v>8</v>
      </c>
      <c r="F3" s="1269"/>
      <c r="G3" s="2456"/>
      <c r="H3" s="1269"/>
      <c r="I3" s="2435"/>
      <c r="J3" s="2435"/>
      <c r="K3" s="1580"/>
      <c r="L3" s="1580"/>
      <c r="M3" s="1580"/>
      <c r="N3" s="1580"/>
    </row>
    <row r="4" customFormat="false" ht="15.75" hidden="false" customHeight="false" outlineLevel="0" collapsed="false">
      <c r="A4" s="1310" t="s">
        <v>2949</v>
      </c>
      <c r="B4" s="1310"/>
      <c r="C4" s="1310"/>
      <c r="D4" s="2457" t="s">
        <v>15</v>
      </c>
      <c r="E4" s="2458" t="n">
        <f aca="false">'Ввод данных'!C10</f>
        <v>8</v>
      </c>
      <c r="F4" s="1269"/>
      <c r="G4" s="1269"/>
      <c r="H4" s="1269"/>
      <c r="I4" s="1417"/>
      <c r="J4" s="1417"/>
      <c r="K4" s="1580"/>
      <c r="L4" s="1580"/>
      <c r="M4" s="1580"/>
      <c r="N4" s="1580"/>
    </row>
    <row r="5" customFormat="false" ht="15.75" hidden="false" customHeight="false" outlineLevel="0" collapsed="false">
      <c r="A5" s="1310" t="s">
        <v>2950</v>
      </c>
      <c r="B5" s="1310"/>
      <c r="C5" s="1310"/>
      <c r="D5" s="2457" t="s">
        <v>15</v>
      </c>
      <c r="E5" s="2458" t="n">
        <f aca="false">'Ввод данных'!C11</f>
        <v>2.8</v>
      </c>
      <c r="F5" s="1269"/>
      <c r="G5" s="1269"/>
      <c r="H5" s="1269"/>
      <c r="I5" s="1631"/>
      <c r="J5" s="1631"/>
      <c r="K5" s="1580"/>
      <c r="L5" s="1580"/>
      <c r="M5" s="1580"/>
      <c r="N5" s="1580"/>
    </row>
    <row r="6" customFormat="false" ht="15.75" hidden="false" customHeight="false" outlineLevel="0" collapsed="false">
      <c r="A6" s="1310" t="s">
        <v>2957</v>
      </c>
      <c r="B6" s="1310"/>
      <c r="C6" s="1310"/>
      <c r="D6" s="2457" t="s">
        <v>15</v>
      </c>
      <c r="E6" s="2458" t="n">
        <f aca="false">связи1!H236</f>
        <v>1.6</v>
      </c>
      <c r="F6" s="1269"/>
      <c r="G6" s="1269"/>
      <c r="H6" s="1269"/>
      <c r="I6" s="2460"/>
      <c r="J6" s="1631"/>
      <c r="K6" s="1580"/>
      <c r="L6" s="1580"/>
      <c r="M6" s="1580"/>
      <c r="N6" s="1580"/>
    </row>
    <row r="7" customFormat="false" ht="15.75" hidden="false" customHeight="false" outlineLevel="0" collapsed="false">
      <c r="A7" s="1310" t="s">
        <v>3982</v>
      </c>
      <c r="B7" s="1310"/>
      <c r="C7" s="1310"/>
      <c r="D7" s="2461" t="s">
        <v>15</v>
      </c>
      <c r="E7" s="2458" t="n">
        <f aca="false">'Ввод данных'!C12</f>
        <v>2.6</v>
      </c>
      <c r="F7" s="1311"/>
      <c r="G7" s="1269"/>
      <c r="H7" s="2460"/>
      <c r="I7" s="2460"/>
      <c r="J7" s="1631"/>
      <c r="K7" s="1580"/>
      <c r="L7" s="1580"/>
      <c r="M7" s="1580"/>
      <c r="N7" s="1580"/>
    </row>
    <row r="8" customFormat="false" ht="15.75" hidden="false" customHeight="false" outlineLevel="0" collapsed="false">
      <c r="A8" s="1310" t="s">
        <v>3983</v>
      </c>
      <c r="B8" s="1310"/>
      <c r="C8" s="1310"/>
      <c r="D8" s="2457" t="s">
        <v>15</v>
      </c>
      <c r="E8" s="2458" t="n">
        <f aca="false">связи1!H235</f>
        <v>5</v>
      </c>
      <c r="F8" s="1269"/>
      <c r="G8" s="1311"/>
      <c r="H8" s="2456"/>
      <c r="I8" s="2456"/>
      <c r="J8" s="2456"/>
      <c r="K8" s="1580"/>
      <c r="L8" s="1580"/>
      <c r="M8" s="1580"/>
      <c r="N8" s="1580"/>
    </row>
    <row r="9" customFormat="false" ht="15.75" hidden="false" customHeight="false" outlineLevel="0" collapsed="false">
      <c r="A9" s="1316" t="s">
        <v>3984</v>
      </c>
      <c r="B9" s="1316"/>
      <c r="C9" s="1316"/>
      <c r="D9" s="2462" t="s">
        <v>486</v>
      </c>
      <c r="E9" s="2458"/>
      <c r="F9" s="1269" t="s">
        <v>3985</v>
      </c>
      <c r="G9" s="1417"/>
      <c r="H9" s="1269"/>
      <c r="I9" s="1271"/>
      <c r="J9" s="1271"/>
      <c r="K9" s="1580"/>
      <c r="L9" s="1580"/>
      <c r="M9" s="1580"/>
      <c r="N9" s="1580"/>
    </row>
    <row r="10" customFormat="false" ht="15.75" hidden="false" customHeight="true" outlineLevel="0" collapsed="false">
      <c r="A10" s="2463" t="s">
        <v>3005</v>
      </c>
      <c r="B10" s="2463"/>
      <c r="C10" s="2463"/>
      <c r="D10" s="2464" t="s">
        <v>12</v>
      </c>
      <c r="E10" s="2465" t="s">
        <v>137</v>
      </c>
      <c r="F10" s="2466"/>
      <c r="G10" s="1417"/>
      <c r="H10" s="1269"/>
      <c r="I10" s="1271"/>
      <c r="J10" s="1271"/>
      <c r="K10" s="1580"/>
      <c r="L10" s="1580"/>
      <c r="M10" s="1580"/>
      <c r="N10" s="1580"/>
    </row>
    <row r="11" customFormat="false" ht="15.75" hidden="false" customHeight="false" outlineLevel="0" collapsed="false">
      <c r="A11" s="1310" t="s">
        <v>302</v>
      </c>
      <c r="B11" s="1310"/>
      <c r="C11" s="1310"/>
      <c r="D11" s="1333" t="s">
        <v>15</v>
      </c>
      <c r="E11" s="2458"/>
      <c r="F11" s="2467" t="n">
        <f aca="false">дома!AA38</f>
        <v>6.3</v>
      </c>
      <c r="G11" s="2459" t="s">
        <v>3668</v>
      </c>
      <c r="H11" s="1269"/>
      <c r="I11" s="1271"/>
      <c r="J11" s="1271"/>
      <c r="K11" s="1580"/>
      <c r="L11" s="1580"/>
      <c r="M11" s="1580"/>
      <c r="N11" s="1580"/>
    </row>
    <row r="12" customFormat="false" ht="15.75" hidden="false" customHeight="false" outlineLevel="0" collapsed="false">
      <c r="A12" s="1310" t="s">
        <v>2758</v>
      </c>
      <c r="B12" s="1310"/>
      <c r="C12" s="1310"/>
      <c r="D12" s="1333" t="s">
        <v>15</v>
      </c>
      <c r="E12" s="2458"/>
      <c r="F12" s="2467" t="n">
        <f aca="false">дома!AA42</f>
        <v>6.3</v>
      </c>
      <c r="G12" s="2459" t="s">
        <v>3669</v>
      </c>
      <c r="H12" s="1269"/>
      <c r="I12" s="1271"/>
      <c r="J12" s="1271"/>
      <c r="K12" s="1580"/>
      <c r="L12" s="1580"/>
      <c r="M12" s="1580"/>
      <c r="N12" s="1580"/>
    </row>
    <row r="13" customFormat="false" ht="15.75" hidden="false" customHeight="false" outlineLevel="0" collapsed="false">
      <c r="A13" s="1310" t="s">
        <v>2759</v>
      </c>
      <c r="B13" s="1310"/>
      <c r="C13" s="1310"/>
      <c r="D13" s="1333" t="s">
        <v>15</v>
      </c>
      <c r="E13" s="2458"/>
      <c r="F13" s="2467" t="n">
        <f aca="false">дома!AA51</f>
        <v>0</v>
      </c>
      <c r="G13" s="2459" t="s">
        <v>3670</v>
      </c>
      <c r="H13" s="1269"/>
      <c r="I13" s="1271"/>
      <c r="J13" s="1271"/>
      <c r="K13" s="1580"/>
      <c r="L13" s="1580"/>
      <c r="M13" s="1580"/>
      <c r="N13" s="1580"/>
    </row>
    <row r="14" customFormat="false" ht="15.75" hidden="false" customHeight="false" outlineLevel="0" collapsed="false">
      <c r="A14" s="1613" t="s">
        <v>2108</v>
      </c>
      <c r="B14" s="1613"/>
      <c r="C14" s="1613"/>
      <c r="D14" s="1297" t="s">
        <v>116</v>
      </c>
      <c r="E14" s="1297" t="s">
        <v>137</v>
      </c>
      <c r="F14" s="2465" t="s">
        <v>118</v>
      </c>
      <c r="G14" s="2468" t="s">
        <v>3014</v>
      </c>
      <c r="H14" s="2459"/>
      <c r="I14" s="1271"/>
      <c r="J14" s="1271"/>
      <c r="K14" s="1580"/>
      <c r="L14" s="1580"/>
      <c r="M14" s="1580"/>
      <c r="N14" s="1580"/>
    </row>
    <row r="15" customFormat="false" ht="15.75" hidden="false" customHeight="false" outlineLevel="0" collapsed="false">
      <c r="A15" s="1799" t="s">
        <v>3047</v>
      </c>
      <c r="B15" s="1799"/>
      <c r="C15" s="1799"/>
      <c r="D15" s="2469" t="n">
        <f aca="false">'Ввод данных'!C158</f>
        <v>1</v>
      </c>
      <c r="E15" s="2458" t="n">
        <f aca="false">'Ввод данных'!D158</f>
        <v>1.2</v>
      </c>
      <c r="F15" s="2467" t="n">
        <f aca="false">'Ввод данных'!E158</f>
        <v>1</v>
      </c>
      <c r="G15" s="1313" t="n">
        <f aca="false">D15*E15*F15</f>
        <v>1.2</v>
      </c>
      <c r="H15" s="2459"/>
      <c r="I15" s="1271"/>
      <c r="J15" s="1271"/>
      <c r="K15" s="1580"/>
      <c r="L15" s="1580"/>
      <c r="M15" s="1580"/>
      <c r="N15" s="1580"/>
    </row>
    <row r="16" customFormat="false" ht="15.75" hidden="false" customHeight="false" outlineLevel="0" collapsed="false">
      <c r="A16" s="1799" t="s">
        <v>3048</v>
      </c>
      <c r="B16" s="1799"/>
      <c r="C16" s="1799"/>
      <c r="D16" s="2469" t="n">
        <f aca="false">'Ввод данных'!C159</f>
        <v>0.6</v>
      </c>
      <c r="E16" s="2458" t="n">
        <f aca="false">'Ввод данных'!D159</f>
        <v>0.6</v>
      </c>
      <c r="F16" s="2467" t="n">
        <f aca="false">'Ввод данных'!E159</f>
        <v>0</v>
      </c>
      <c r="G16" s="1313" t="n">
        <f aca="false">D16*E16*F16</f>
        <v>0</v>
      </c>
      <c r="H16" s="2459"/>
      <c r="I16" s="1271"/>
      <c r="J16" s="1271"/>
      <c r="K16" s="1580"/>
      <c r="L16" s="1580"/>
      <c r="M16" s="1580"/>
      <c r="N16" s="1580"/>
    </row>
    <row r="17" customFormat="false" ht="15.75" hidden="false" customHeight="false" outlineLevel="0" collapsed="false">
      <c r="A17" s="1799" t="s">
        <v>3049</v>
      </c>
      <c r="B17" s="1799"/>
      <c r="C17" s="1799"/>
      <c r="D17" s="2469" t="n">
        <f aca="false">'Ввод данных'!C160</f>
        <v>1</v>
      </c>
      <c r="E17" s="2458" t="n">
        <f aca="false">'Ввод данных'!D160</f>
        <v>2</v>
      </c>
      <c r="F17" s="2467" t="n">
        <f aca="false">'Ввод данных'!E160</f>
        <v>0</v>
      </c>
      <c r="G17" s="1313" t="n">
        <f aca="false">D17*E17*F17</f>
        <v>0</v>
      </c>
      <c r="H17" s="2459"/>
      <c r="I17" s="1271"/>
      <c r="J17" s="1271"/>
      <c r="K17" s="1580"/>
      <c r="L17" s="1580"/>
      <c r="M17" s="1580"/>
      <c r="N17" s="1580"/>
    </row>
    <row r="18" customFormat="false" ht="15.75" hidden="false" customHeight="false" outlineLevel="0" collapsed="false">
      <c r="A18" s="1799" t="s">
        <v>3039</v>
      </c>
      <c r="B18" s="1799"/>
      <c r="C18" s="1799"/>
      <c r="D18" s="2469" t="n">
        <f aca="false">'Ввод данных'!C163</f>
        <v>0.8</v>
      </c>
      <c r="E18" s="2458" t="n">
        <f aca="false">'Ввод данных'!D163</f>
        <v>2.1</v>
      </c>
      <c r="F18" s="2467" t="n">
        <f aca="false">'Ввод данных'!E163</f>
        <v>0</v>
      </c>
      <c r="G18" s="1313" t="n">
        <f aca="false">D18*E18*F18</f>
        <v>0</v>
      </c>
      <c r="H18" s="2459"/>
      <c r="I18" s="1271"/>
      <c r="J18" s="1271"/>
      <c r="K18" s="1580"/>
      <c r="L18" s="1580"/>
      <c r="M18" s="1580"/>
      <c r="N18" s="1580"/>
    </row>
    <row r="19" customFormat="false" ht="15.75" hidden="false" customHeight="false" outlineLevel="0" collapsed="false">
      <c r="A19" s="2470" t="s">
        <v>3043</v>
      </c>
      <c r="B19" s="2470"/>
      <c r="C19" s="2470"/>
      <c r="D19" s="2470"/>
      <c r="E19" s="2470"/>
      <c r="F19" s="2470"/>
      <c r="G19" s="1313" t="n">
        <f aca="false">SUM(G15:G18)</f>
        <v>1.2</v>
      </c>
      <c r="H19" s="2459"/>
      <c r="I19" s="1271"/>
      <c r="J19" s="1271"/>
      <c r="K19" s="1580"/>
      <c r="L19" s="1580"/>
      <c r="M19" s="1580"/>
      <c r="N19" s="1580"/>
    </row>
    <row r="20" customFormat="false" ht="15.75" hidden="false" customHeight="true" outlineLevel="0" collapsed="false">
      <c r="A20" s="2471" t="s">
        <v>2791</v>
      </c>
      <c r="B20" s="2471"/>
      <c r="C20" s="2471"/>
      <c r="D20" s="1308" t="s">
        <v>116</v>
      </c>
      <c r="E20" s="1308" t="s">
        <v>137</v>
      </c>
      <c r="F20" s="1308" t="s">
        <v>118</v>
      </c>
      <c r="G20" s="1308" t="s">
        <v>3045</v>
      </c>
      <c r="H20" s="2459"/>
      <c r="I20" s="1271"/>
      <c r="J20" s="1271"/>
      <c r="K20" s="1580"/>
      <c r="L20" s="1580"/>
      <c r="M20" s="1580"/>
      <c r="N20" s="1580"/>
    </row>
    <row r="21" customFormat="false" ht="15.75" hidden="false" customHeight="true" outlineLevel="0" collapsed="false">
      <c r="A21" s="2472" t="s">
        <v>3047</v>
      </c>
      <c r="B21" s="2472"/>
      <c r="C21" s="2472"/>
      <c r="D21" s="2469" t="n">
        <f aca="false">'Ввод данных'!C181</f>
        <v>0.8</v>
      </c>
      <c r="E21" s="2458" t="n">
        <f aca="false">'Ввод данных'!D181</f>
        <v>2.1</v>
      </c>
      <c r="F21" s="2467" t="n">
        <f aca="false">'Ввод данных'!E181</f>
        <v>3</v>
      </c>
      <c r="G21" s="1176" t="n">
        <f aca="false">D21*E21*F21</f>
        <v>5.04</v>
      </c>
      <c r="H21" s="2459"/>
      <c r="I21" s="1271"/>
      <c r="J21" s="1271"/>
      <c r="K21" s="1580"/>
      <c r="L21" s="1580"/>
      <c r="M21" s="1580"/>
      <c r="N21" s="1580"/>
    </row>
    <row r="22" customFormat="false" ht="15.75" hidden="false" customHeight="true" outlineLevel="0" collapsed="false">
      <c r="A22" s="2472" t="s">
        <v>3048</v>
      </c>
      <c r="B22" s="2472"/>
      <c r="C22" s="2472"/>
      <c r="D22" s="2469" t="n">
        <f aca="false">'Ввод данных'!C182</f>
        <v>0.6</v>
      </c>
      <c r="E22" s="2458" t="n">
        <f aca="false">'Ввод данных'!D182</f>
        <v>2</v>
      </c>
      <c r="F22" s="2467" t="n">
        <f aca="false">'Ввод данных'!E182</f>
        <v>0</v>
      </c>
      <c r="G22" s="1176" t="n">
        <f aca="false">D22*E22*F22</f>
        <v>0</v>
      </c>
      <c r="H22" s="2459"/>
      <c r="I22" s="1271"/>
      <c r="J22" s="1271"/>
      <c r="K22" s="1580"/>
      <c r="L22" s="1580"/>
      <c r="M22" s="1580"/>
      <c r="N22" s="1580"/>
    </row>
    <row r="23" customFormat="false" ht="15.75" hidden="false" customHeight="true" outlineLevel="0" collapsed="false">
      <c r="A23" s="2472" t="s">
        <v>3049</v>
      </c>
      <c r="B23" s="2472"/>
      <c r="C23" s="2472"/>
      <c r="D23" s="2469" t="n">
        <f aca="false">'Ввод данных'!C185</f>
        <v>0.9</v>
      </c>
      <c r="E23" s="2458" t="n">
        <f aca="false">'Ввод данных'!D185</f>
        <v>2.1</v>
      </c>
      <c r="F23" s="2467" t="n">
        <f aca="false">'Ввод данных'!E185</f>
        <v>0</v>
      </c>
      <c r="G23" s="1176" t="n">
        <f aca="false">D23*E23*F23</f>
        <v>0</v>
      </c>
      <c r="H23" s="2459"/>
      <c r="I23" s="1271"/>
      <c r="J23" s="1271"/>
      <c r="K23" s="1580"/>
      <c r="L23" s="1580"/>
      <c r="M23" s="1580"/>
      <c r="N23" s="1580"/>
    </row>
    <row r="24" customFormat="false" ht="15.75" hidden="false" customHeight="true" outlineLevel="0" collapsed="false">
      <c r="A24" s="2472" t="s">
        <v>3050</v>
      </c>
      <c r="B24" s="2472"/>
      <c r="C24" s="2472"/>
      <c r="D24" s="2469" t="n">
        <f aca="false">'Ввод данных'!C189</f>
        <v>0.8</v>
      </c>
      <c r="E24" s="2458" t="n">
        <f aca="false">'Ввод данных'!D189</f>
        <v>2.1</v>
      </c>
      <c r="F24" s="2467" t="n">
        <f aca="false">'Ввод данных'!E189</f>
        <v>0</v>
      </c>
      <c r="G24" s="1176" t="n">
        <f aca="false">D24*E24*F24</f>
        <v>0</v>
      </c>
      <c r="H24" s="2459"/>
      <c r="I24" s="1271"/>
      <c r="J24" s="1271"/>
      <c r="K24" s="1580"/>
      <c r="L24" s="1580"/>
      <c r="M24" s="1580"/>
      <c r="N24" s="1580"/>
    </row>
    <row r="25" customFormat="false" ht="15.75" hidden="false" customHeight="false" outlineLevel="0" collapsed="false">
      <c r="A25" s="2470" t="s">
        <v>3986</v>
      </c>
      <c r="B25" s="2470"/>
      <c r="C25" s="2470"/>
      <c r="D25" s="2470"/>
      <c r="E25" s="2470"/>
      <c r="F25" s="2470"/>
      <c r="G25" s="1176" t="n">
        <f aca="false">SUM(G21:G24)</f>
        <v>5.04</v>
      </c>
      <c r="H25" s="2459"/>
      <c r="I25" s="1271"/>
      <c r="J25" s="1271"/>
      <c r="K25" s="1580"/>
      <c r="L25" s="1580"/>
      <c r="M25" s="1580"/>
      <c r="N25" s="1580"/>
    </row>
    <row r="26" customFormat="false" ht="15.75" hidden="false" customHeight="true" outlineLevel="0" collapsed="false">
      <c r="A26" s="2471" t="s">
        <v>1839</v>
      </c>
      <c r="B26" s="2471"/>
      <c r="C26" s="2471"/>
      <c r="D26" s="1308" t="s">
        <v>116</v>
      </c>
      <c r="E26" s="1308" t="s">
        <v>137</v>
      </c>
      <c r="F26" s="1308" t="s">
        <v>118</v>
      </c>
      <c r="G26" s="1308" t="s">
        <v>3045</v>
      </c>
      <c r="H26" s="2459"/>
      <c r="I26" s="1271"/>
      <c r="J26" s="1271"/>
      <c r="K26" s="1580"/>
      <c r="L26" s="1580"/>
      <c r="M26" s="1580"/>
      <c r="N26" s="1580"/>
    </row>
    <row r="27" customFormat="false" ht="15.75" hidden="false" customHeight="true" outlineLevel="0" collapsed="false">
      <c r="A27" s="2472" t="s">
        <v>3047</v>
      </c>
      <c r="B27" s="2472"/>
      <c r="C27" s="2472"/>
      <c r="D27" s="2469" t="n">
        <f aca="false">'Ввод данных'!C175</f>
        <v>0.8</v>
      </c>
      <c r="E27" s="2458" t="n">
        <f aca="false">'Ввод данных'!D175</f>
        <v>2</v>
      </c>
      <c r="F27" s="2467" t="n">
        <f aca="false">'Ввод данных'!E175</f>
        <v>0</v>
      </c>
      <c r="G27" s="1176" t="n">
        <f aca="false">D27*E27*F27</f>
        <v>0</v>
      </c>
      <c r="H27" s="2459"/>
      <c r="I27" s="1271"/>
      <c r="J27" s="1271"/>
      <c r="K27" s="1580"/>
      <c r="L27" s="1580"/>
      <c r="M27" s="1580"/>
      <c r="N27" s="1580"/>
    </row>
    <row r="28" customFormat="false" ht="15.75" hidden="false" customHeight="true" outlineLevel="0" collapsed="false">
      <c r="A28" s="2472" t="s">
        <v>3048</v>
      </c>
      <c r="B28" s="2472"/>
      <c r="C28" s="2472"/>
      <c r="D28" s="2469" t="n">
        <f aca="false">'Ввод данных'!C176</f>
        <v>0.9</v>
      </c>
      <c r="E28" s="2458" t="n">
        <f aca="false">'Ввод данных'!D176</f>
        <v>2.1</v>
      </c>
      <c r="F28" s="2467" t="n">
        <f aca="false">'Ввод данных'!E176</f>
        <v>1</v>
      </c>
      <c r="G28" s="1176" t="n">
        <f aca="false">D28*E28*F28</f>
        <v>1.89</v>
      </c>
      <c r="H28" s="2459"/>
      <c r="I28" s="1271"/>
      <c r="J28" s="1271"/>
      <c r="K28" s="1580"/>
      <c r="L28" s="1580"/>
      <c r="M28" s="1580"/>
      <c r="N28" s="1580"/>
    </row>
    <row r="29" customFormat="false" ht="15.75" hidden="false" customHeight="true" outlineLevel="0" collapsed="false">
      <c r="A29" s="2472" t="s">
        <v>3049</v>
      </c>
      <c r="B29" s="2472"/>
      <c r="C29" s="2472"/>
      <c r="D29" s="2469" t="n">
        <f aca="false">'Ввод данных'!C177</f>
        <v>1</v>
      </c>
      <c r="E29" s="2458" t="n">
        <f aca="false">'Ввод данных'!D177</f>
        <v>2</v>
      </c>
      <c r="F29" s="2467" t="n">
        <f aca="false">'Ввод данных'!E177</f>
        <v>0</v>
      </c>
      <c r="G29" s="1176" t="n">
        <f aca="false">D29*E29*F29</f>
        <v>0</v>
      </c>
      <c r="H29" s="2459"/>
      <c r="I29" s="1271"/>
      <c r="J29" s="1271"/>
      <c r="K29" s="1580"/>
      <c r="L29" s="1580"/>
      <c r="M29" s="1580"/>
      <c r="N29" s="1580"/>
    </row>
    <row r="30" customFormat="false" ht="15.75" hidden="false" customHeight="false" outlineLevel="0" collapsed="false">
      <c r="A30" s="2470" t="s">
        <v>3043</v>
      </c>
      <c r="B30" s="2470"/>
      <c r="C30" s="2470"/>
      <c r="D30" s="2470"/>
      <c r="E30" s="2470"/>
      <c r="F30" s="2470"/>
      <c r="G30" s="1176" t="n">
        <f aca="false">SUM(G27:G29)</f>
        <v>1.89</v>
      </c>
      <c r="H30" s="2459"/>
      <c r="I30" s="1271"/>
      <c r="J30" s="1271"/>
      <c r="K30" s="1580"/>
      <c r="L30" s="1580"/>
      <c r="M30" s="1580"/>
      <c r="N30" s="1580"/>
    </row>
    <row r="31" customFormat="false" ht="15.75" hidden="false" customHeight="false" outlineLevel="0" collapsed="false">
      <c r="A31" s="2473"/>
      <c r="B31" s="2473"/>
      <c r="C31" s="2473"/>
      <c r="D31" s="2473"/>
      <c r="E31" s="1269"/>
      <c r="F31" s="1269"/>
      <c r="G31" s="1269"/>
      <c r="H31" s="1271"/>
      <c r="I31" s="1271"/>
      <c r="J31" s="1271"/>
      <c r="K31" s="1580"/>
      <c r="L31" s="1580"/>
      <c r="M31" s="1580"/>
      <c r="N31" s="1580"/>
    </row>
    <row r="32" customFormat="false" ht="15.75" hidden="false" customHeight="false" outlineLevel="0" collapsed="false">
      <c r="A32" s="1297" t="s">
        <v>161</v>
      </c>
      <c r="B32" s="1297"/>
      <c r="C32" s="2465" t="s">
        <v>162</v>
      </c>
      <c r="D32" s="2465" t="s">
        <v>200</v>
      </c>
      <c r="E32" s="2474" t="s">
        <v>118</v>
      </c>
      <c r="F32" s="1297" t="s">
        <v>200</v>
      </c>
      <c r="G32" s="1269"/>
      <c r="H32" s="1271"/>
      <c r="I32" s="1271"/>
      <c r="J32" s="1271"/>
      <c r="K32" s="1580"/>
      <c r="L32" s="1580"/>
      <c r="M32" s="1580"/>
      <c r="N32" s="1580"/>
    </row>
    <row r="33" customFormat="false" ht="15.75" hidden="false" customHeight="true" outlineLevel="0" collapsed="false">
      <c r="A33" s="2475" t="s">
        <v>166</v>
      </c>
      <c r="B33" s="2475"/>
      <c r="C33" s="2476" t="s">
        <v>15</v>
      </c>
      <c r="D33" s="2469" t="n">
        <f aca="false">'Ввод данных'!C202</f>
        <v>6</v>
      </c>
      <c r="E33" s="2458" t="n">
        <f aca="false">'Ввод данных'!D202</f>
        <v>2</v>
      </c>
      <c r="F33" s="1176" t="n">
        <f aca="false">D33*E33</f>
        <v>12</v>
      </c>
      <c r="G33" s="1269"/>
      <c r="H33" s="1271"/>
      <c r="I33" s="1271"/>
      <c r="J33" s="1271"/>
      <c r="K33" s="1580"/>
      <c r="L33" s="1580"/>
      <c r="M33" s="1580"/>
      <c r="N33" s="1580"/>
    </row>
    <row r="34" customFormat="false" ht="15.75" hidden="false" customHeight="false" outlineLevel="0" collapsed="false">
      <c r="A34" s="2475"/>
      <c r="B34" s="2475"/>
      <c r="C34" s="2476" t="s">
        <v>15</v>
      </c>
      <c r="D34" s="2469" t="n">
        <f aca="false">'Ввод данных'!C203</f>
        <v>4</v>
      </c>
      <c r="E34" s="2458" t="n">
        <f aca="false">'Ввод данных'!D203</f>
        <v>1</v>
      </c>
      <c r="F34" s="1176" t="n">
        <f aca="false">D34*E34</f>
        <v>4</v>
      </c>
      <c r="G34" s="1269"/>
      <c r="H34" s="1271"/>
      <c r="I34" s="1271"/>
      <c r="J34" s="1271"/>
      <c r="K34" s="1580"/>
      <c r="L34" s="1580"/>
      <c r="M34" s="1580"/>
      <c r="N34" s="1580"/>
    </row>
    <row r="35" customFormat="false" ht="15.75" hidden="false" customHeight="false" outlineLevel="0" collapsed="false">
      <c r="A35" s="2475"/>
      <c r="B35" s="2475"/>
      <c r="C35" s="2476" t="s">
        <v>15</v>
      </c>
      <c r="D35" s="2469" t="n">
        <f aca="false">'Ввод данных'!C204</f>
        <v>0</v>
      </c>
      <c r="E35" s="2458" t="n">
        <f aca="false">'Ввод данных'!D204</f>
        <v>0</v>
      </c>
      <c r="F35" s="1176" t="n">
        <f aca="false">D35*E35</f>
        <v>0</v>
      </c>
      <c r="G35" s="1269"/>
      <c r="H35" s="1271"/>
      <c r="I35" s="1271"/>
      <c r="J35" s="1271"/>
      <c r="K35" s="1580"/>
      <c r="L35" s="1580"/>
      <c r="M35" s="1580"/>
      <c r="N35" s="1580"/>
    </row>
    <row r="36" customFormat="false" ht="15.75" hidden="false" customHeight="false" outlineLevel="0" collapsed="false">
      <c r="A36" s="2475"/>
      <c r="B36" s="2475"/>
      <c r="C36" s="2476" t="s">
        <v>15</v>
      </c>
      <c r="D36" s="2469" t="n">
        <f aca="false">'Ввод данных'!C205</f>
        <v>0</v>
      </c>
      <c r="E36" s="2458" t="n">
        <f aca="false">'Ввод данных'!D205</f>
        <v>0</v>
      </c>
      <c r="F36" s="1176" t="n">
        <f aca="false">D36*E36</f>
        <v>0</v>
      </c>
      <c r="G36" s="1269"/>
      <c r="H36" s="1271"/>
      <c r="I36" s="1271"/>
      <c r="J36" s="1271"/>
      <c r="K36" s="1580"/>
      <c r="L36" s="1580"/>
      <c r="M36" s="1580"/>
      <c r="N36" s="1580"/>
    </row>
    <row r="37" customFormat="false" ht="15.75" hidden="false" customHeight="true" outlineLevel="0" collapsed="false">
      <c r="A37" s="2475" t="s">
        <v>169</v>
      </c>
      <c r="B37" s="2475"/>
      <c r="C37" s="2476" t="s">
        <v>15</v>
      </c>
      <c r="D37" s="2469" t="n">
        <f aca="false">'Ввод данных'!C206</f>
        <v>1.8</v>
      </c>
      <c r="E37" s="2458" t="n">
        <f aca="false">'Ввод данных'!D206</f>
        <v>1</v>
      </c>
      <c r="F37" s="1176" t="n">
        <f aca="false">D37*E37</f>
        <v>1.8</v>
      </c>
      <c r="G37" s="1269"/>
      <c r="H37" s="1271"/>
      <c r="I37" s="1271"/>
      <c r="J37" s="1269"/>
      <c r="K37" s="1580"/>
      <c r="L37" s="1580"/>
      <c r="M37" s="1580"/>
      <c r="N37" s="1580"/>
    </row>
    <row r="38" customFormat="false" ht="15.75" hidden="false" customHeight="false" outlineLevel="0" collapsed="false">
      <c r="A38" s="2475"/>
      <c r="B38" s="2475"/>
      <c r="C38" s="2476" t="s">
        <v>15</v>
      </c>
      <c r="D38" s="2469" t="n">
        <f aca="false">'Ввод данных'!C207</f>
        <v>0</v>
      </c>
      <c r="E38" s="2458" t="n">
        <f aca="false">'Ввод данных'!D207</f>
        <v>0</v>
      </c>
      <c r="F38" s="1176" t="n">
        <f aca="false">D38*E38</f>
        <v>0</v>
      </c>
      <c r="G38" s="1269"/>
      <c r="H38" s="1271"/>
      <c r="I38" s="1269"/>
      <c r="J38" s="1269"/>
      <c r="K38" s="1580"/>
      <c r="L38" s="1580"/>
      <c r="M38" s="1580"/>
      <c r="N38" s="1580"/>
    </row>
    <row r="39" customFormat="false" ht="15.75" hidden="false" customHeight="false" outlineLevel="0" collapsed="false">
      <c r="A39" s="2475"/>
      <c r="B39" s="2475"/>
      <c r="C39" s="2476" t="s">
        <v>15</v>
      </c>
      <c r="D39" s="2469" t="n">
        <f aca="false">'Ввод данных'!C208</f>
        <v>0</v>
      </c>
      <c r="E39" s="2458" t="n">
        <f aca="false">'Ввод данных'!D208</f>
        <v>0</v>
      </c>
      <c r="F39" s="1176" t="n">
        <f aca="false">D39*E39</f>
        <v>0</v>
      </c>
      <c r="G39" s="1269"/>
      <c r="H39" s="1271"/>
      <c r="I39" s="1271"/>
      <c r="J39" s="1269"/>
      <c r="K39" s="1580"/>
      <c r="L39" s="1580"/>
      <c r="M39" s="1580"/>
      <c r="N39" s="1580"/>
    </row>
    <row r="40" customFormat="false" ht="15.75" hidden="false" customHeight="false" outlineLevel="0" collapsed="false">
      <c r="A40" s="2475"/>
      <c r="B40" s="2475"/>
      <c r="C40" s="2476" t="s">
        <v>15</v>
      </c>
      <c r="D40" s="2469" t="n">
        <f aca="false">'Ввод данных'!C209</f>
        <v>0</v>
      </c>
      <c r="E40" s="2458" t="n">
        <f aca="false">'Ввод данных'!D209</f>
        <v>0</v>
      </c>
      <c r="F40" s="1176" t="n">
        <f aca="false">D40*E40</f>
        <v>0</v>
      </c>
      <c r="G40" s="1269"/>
      <c r="H40" s="1271"/>
      <c r="I40" s="1269"/>
      <c r="J40" s="1269"/>
      <c r="K40" s="1580"/>
      <c r="L40" s="1580"/>
      <c r="M40" s="1580"/>
      <c r="N40" s="1580"/>
    </row>
    <row r="41" customFormat="false" ht="15.75" hidden="false" customHeight="true" outlineLevel="0" collapsed="false">
      <c r="A41" s="2475" t="s">
        <v>170</v>
      </c>
      <c r="B41" s="2475"/>
      <c r="C41" s="2476" t="s">
        <v>15</v>
      </c>
      <c r="D41" s="2469" t="n">
        <f aca="false">'Ввод данных'!C210</f>
        <v>0</v>
      </c>
      <c r="E41" s="2458" t="n">
        <f aca="false">'Ввод данных'!D210</f>
        <v>0</v>
      </c>
      <c r="F41" s="1176" t="n">
        <f aca="false">D41*E41</f>
        <v>0</v>
      </c>
      <c r="G41" s="1269"/>
      <c r="H41" s="1271"/>
      <c r="I41" s="1269"/>
      <c r="J41" s="1269"/>
      <c r="K41" s="1580"/>
      <c r="L41" s="1580"/>
      <c r="M41" s="1580"/>
      <c r="N41" s="1580"/>
    </row>
    <row r="42" customFormat="false" ht="15.75" hidden="false" customHeight="false" outlineLevel="0" collapsed="false">
      <c r="A42" s="2475"/>
      <c r="B42" s="2475"/>
      <c r="C42" s="2476" t="s">
        <v>15</v>
      </c>
      <c r="D42" s="2469" t="n">
        <f aca="false">'Ввод данных'!C211</f>
        <v>0</v>
      </c>
      <c r="E42" s="2458" t="n">
        <f aca="false">'Ввод данных'!D211</f>
        <v>0</v>
      </c>
      <c r="F42" s="1176" t="n">
        <f aca="false">D42*E42</f>
        <v>0</v>
      </c>
      <c r="G42" s="1269"/>
      <c r="H42" s="1271"/>
      <c r="I42" s="1269"/>
      <c r="J42" s="1269"/>
      <c r="K42" s="1580"/>
      <c r="L42" s="1580"/>
      <c r="M42" s="1580"/>
      <c r="N42" s="1580"/>
    </row>
    <row r="43" customFormat="false" ht="15.75" hidden="false" customHeight="false" outlineLevel="0" collapsed="false">
      <c r="A43" s="2475"/>
      <c r="B43" s="2475"/>
      <c r="C43" s="2476" t="s">
        <v>15</v>
      </c>
      <c r="D43" s="2469" t="n">
        <f aca="false">'Ввод данных'!C212</f>
        <v>0</v>
      </c>
      <c r="E43" s="2458" t="n">
        <f aca="false">'Ввод данных'!D212</f>
        <v>0</v>
      </c>
      <c r="F43" s="1176" t="n">
        <f aca="false">D43*E43</f>
        <v>0</v>
      </c>
      <c r="G43" s="1269"/>
      <c r="H43" s="1271"/>
      <c r="I43" s="2477"/>
      <c r="J43" s="1269"/>
      <c r="K43" s="1580"/>
      <c r="L43" s="1580"/>
      <c r="M43" s="1580"/>
      <c r="N43" s="1580"/>
    </row>
    <row r="44" customFormat="false" ht="15.75" hidden="false" customHeight="false" outlineLevel="0" collapsed="false">
      <c r="A44" s="2475"/>
      <c r="B44" s="2475"/>
      <c r="C44" s="2476" t="s">
        <v>15</v>
      </c>
      <c r="D44" s="2469" t="n">
        <f aca="false">'Ввод данных'!C213</f>
        <v>0</v>
      </c>
      <c r="E44" s="2458" t="n">
        <f aca="false">'Ввод данных'!D213</f>
        <v>0</v>
      </c>
      <c r="F44" s="1176" t="n">
        <f aca="false">D44*E44</f>
        <v>0</v>
      </c>
      <c r="G44" s="1269"/>
      <c r="H44" s="1271"/>
      <c r="I44" s="1269"/>
      <c r="J44" s="1269"/>
      <c r="K44" s="1580"/>
      <c r="L44" s="1580"/>
      <c r="M44" s="1580"/>
      <c r="N44" s="1580"/>
    </row>
    <row r="45" customFormat="false" ht="15.75" hidden="false" customHeight="true" outlineLevel="0" collapsed="false">
      <c r="A45" s="2475" t="s">
        <v>172</v>
      </c>
      <c r="B45" s="2475"/>
      <c r="C45" s="2476" t="s">
        <v>15</v>
      </c>
      <c r="D45" s="2469" t="n">
        <f aca="false">'Ввод данных'!C214</f>
        <v>3</v>
      </c>
      <c r="E45" s="2458" t="n">
        <f aca="false">'Ввод данных'!D214</f>
        <v>2</v>
      </c>
      <c r="F45" s="1176" t="n">
        <f aca="false">D45*E45</f>
        <v>6</v>
      </c>
      <c r="G45" s="1269"/>
      <c r="H45" s="1271"/>
      <c r="I45" s="1269"/>
      <c r="J45" s="1269"/>
      <c r="K45" s="1580"/>
      <c r="L45" s="1580"/>
      <c r="M45" s="1580"/>
      <c r="N45" s="1580"/>
    </row>
    <row r="46" customFormat="false" ht="15.75" hidden="false" customHeight="false" outlineLevel="0" collapsed="false">
      <c r="A46" s="2475"/>
      <c r="B46" s="2475"/>
      <c r="C46" s="2476" t="s">
        <v>15</v>
      </c>
      <c r="D46" s="2469" t="n">
        <f aca="false">'Ввод данных'!C215</f>
        <v>0</v>
      </c>
      <c r="E46" s="2458" t="n">
        <f aca="false">'Ввод данных'!D215</f>
        <v>0</v>
      </c>
      <c r="F46" s="1176" t="n">
        <f aca="false">D46*E46</f>
        <v>0</v>
      </c>
      <c r="G46" s="1269"/>
      <c r="H46" s="2478"/>
      <c r="I46" s="1269"/>
      <c r="J46" s="1269"/>
      <c r="K46" s="1580"/>
      <c r="L46" s="1580"/>
      <c r="M46" s="1580"/>
      <c r="N46" s="1580"/>
    </row>
    <row r="47" customFormat="false" ht="15.75" hidden="false" customHeight="false" outlineLevel="0" collapsed="false">
      <c r="A47" s="2475"/>
      <c r="B47" s="2475"/>
      <c r="C47" s="2476" t="s">
        <v>15</v>
      </c>
      <c r="D47" s="2469" t="n">
        <f aca="false">'Ввод данных'!C216</f>
        <v>0</v>
      </c>
      <c r="E47" s="2458" t="n">
        <f aca="false">'Ввод данных'!D216</f>
        <v>0</v>
      </c>
      <c r="F47" s="1176" t="n">
        <f aca="false">D47*E47</f>
        <v>0</v>
      </c>
      <c r="G47" s="1269"/>
      <c r="H47" s="2478"/>
      <c r="I47" s="1269"/>
      <c r="J47" s="1269"/>
      <c r="K47" s="1580"/>
      <c r="L47" s="1580"/>
      <c r="M47" s="1580"/>
      <c r="N47" s="1580"/>
    </row>
    <row r="48" customFormat="false" ht="15.75" hidden="false" customHeight="false" outlineLevel="0" collapsed="false">
      <c r="A48" s="2475"/>
      <c r="B48" s="2475"/>
      <c r="C48" s="2476" t="s">
        <v>15</v>
      </c>
      <c r="D48" s="2469" t="n">
        <f aca="false">'Ввод данных'!C217</f>
        <v>0</v>
      </c>
      <c r="E48" s="2458" t="n">
        <f aca="false">'Ввод данных'!D217</f>
        <v>0</v>
      </c>
      <c r="F48" s="1176" t="n">
        <f aca="false">D48*E48</f>
        <v>0</v>
      </c>
      <c r="G48" s="1269"/>
      <c r="H48" s="2478"/>
      <c r="I48" s="1269"/>
      <c r="J48" s="1269"/>
      <c r="K48" s="1580"/>
      <c r="L48" s="1580"/>
      <c r="M48" s="1580"/>
      <c r="N48" s="1580"/>
    </row>
    <row r="49" customFormat="false" ht="15.75" hidden="false" customHeight="true" outlineLevel="0" collapsed="false">
      <c r="A49" s="2475" t="s">
        <v>173</v>
      </c>
      <c r="B49" s="2475"/>
      <c r="C49" s="2476" t="s">
        <v>15</v>
      </c>
      <c r="D49" s="2469" t="n">
        <f aca="false">'Ввод данных'!C218</f>
        <v>3.5</v>
      </c>
      <c r="E49" s="2458" t="n">
        <f aca="false">'Ввод данных'!D218</f>
        <v>1</v>
      </c>
      <c r="F49" s="1176" t="n">
        <f aca="false">D49*E49</f>
        <v>3.5</v>
      </c>
      <c r="G49" s="2479"/>
      <c r="H49" s="2480"/>
      <c r="I49" s="2481" t="s">
        <v>208</v>
      </c>
      <c r="J49" s="1269"/>
      <c r="K49" s="1580"/>
      <c r="L49" s="1580"/>
      <c r="M49" s="1580"/>
      <c r="N49" s="1580"/>
    </row>
    <row r="50" customFormat="false" ht="15.75" hidden="false" customHeight="false" outlineLevel="0" collapsed="false">
      <c r="A50" s="2475"/>
      <c r="B50" s="2475"/>
      <c r="C50" s="2476" t="s">
        <v>15</v>
      </c>
      <c r="D50" s="2469" t="n">
        <f aca="false">'Ввод данных'!C219</f>
        <v>0</v>
      </c>
      <c r="E50" s="2458" t="n">
        <f aca="false">'Ввод данных'!D219</f>
        <v>0</v>
      </c>
      <c r="F50" s="1176" t="n">
        <f aca="false">D50*E50</f>
        <v>0</v>
      </c>
      <c r="G50" s="2479"/>
      <c r="H50" s="2480"/>
      <c r="I50" s="2481"/>
      <c r="J50" s="1269"/>
      <c r="K50" s="1580"/>
      <c r="L50" s="1580"/>
      <c r="M50" s="1580"/>
      <c r="N50" s="1580"/>
    </row>
    <row r="51" customFormat="false" ht="15.75" hidden="false" customHeight="false" outlineLevel="0" collapsed="false">
      <c r="A51" s="2475"/>
      <c r="B51" s="2475"/>
      <c r="C51" s="2476" t="s">
        <v>15</v>
      </c>
      <c r="D51" s="2469" t="n">
        <f aca="false">'Ввод данных'!C220</f>
        <v>0</v>
      </c>
      <c r="E51" s="2458" t="n">
        <f aca="false">'Ввод данных'!D220</f>
        <v>0</v>
      </c>
      <c r="F51" s="1176" t="n">
        <f aca="false">D51*E51</f>
        <v>0</v>
      </c>
      <c r="G51" s="2479"/>
      <c r="H51" s="2480"/>
      <c r="I51" s="2481"/>
      <c r="J51" s="1269"/>
      <c r="K51" s="1580"/>
      <c r="L51" s="1580"/>
      <c r="M51" s="1580"/>
      <c r="N51" s="1580"/>
    </row>
    <row r="52" customFormat="false" ht="15.75" hidden="false" customHeight="false" outlineLevel="0" collapsed="false">
      <c r="A52" s="2475"/>
      <c r="B52" s="2475"/>
      <c r="C52" s="2476" t="s">
        <v>15</v>
      </c>
      <c r="D52" s="2469" t="n">
        <f aca="false">'Ввод данных'!C221</f>
        <v>0</v>
      </c>
      <c r="E52" s="2458" t="n">
        <f aca="false">'Ввод данных'!D221</f>
        <v>0</v>
      </c>
      <c r="F52" s="1176" t="n">
        <f aca="false">D52*E52</f>
        <v>0</v>
      </c>
      <c r="G52" s="2482"/>
      <c r="H52" s="2482"/>
      <c r="I52" s="2481"/>
      <c r="J52" s="1269"/>
      <c r="K52" s="1580"/>
      <c r="L52" s="1580"/>
      <c r="M52" s="1580"/>
      <c r="N52" s="1580"/>
    </row>
    <row r="53" customFormat="false" ht="15.75" hidden="false" customHeight="true" outlineLevel="0" collapsed="false">
      <c r="A53" s="2475" t="s">
        <v>175</v>
      </c>
      <c r="B53" s="2475"/>
      <c r="C53" s="2476" t="s">
        <v>15</v>
      </c>
      <c r="D53" s="2469" t="n">
        <f aca="false">'Ввод данных'!C222</f>
        <v>0</v>
      </c>
      <c r="E53" s="2458" t="n">
        <f aca="false">'Ввод данных'!D222</f>
        <v>0</v>
      </c>
      <c r="F53" s="1176" t="n">
        <f aca="false">D53*E53</f>
        <v>0</v>
      </c>
      <c r="G53" s="1269"/>
      <c r="H53" s="2478"/>
      <c r="I53" s="2481"/>
      <c r="J53" s="1269"/>
      <c r="K53" s="1580"/>
      <c r="L53" s="1580"/>
      <c r="M53" s="1580"/>
      <c r="N53" s="1580"/>
    </row>
    <row r="54" customFormat="false" ht="15.75" hidden="false" customHeight="false" outlineLevel="0" collapsed="false">
      <c r="A54" s="2475"/>
      <c r="B54" s="2475"/>
      <c r="C54" s="2476" t="s">
        <v>15</v>
      </c>
      <c r="D54" s="2469" t="n">
        <f aca="false">'Ввод данных'!C223</f>
        <v>0</v>
      </c>
      <c r="E54" s="2458" t="n">
        <f aca="false">'Ввод данных'!D223</f>
        <v>0</v>
      </c>
      <c r="F54" s="1176" t="n">
        <f aca="false">D54*E54</f>
        <v>0</v>
      </c>
      <c r="G54" s="1269"/>
      <c r="H54" s="2478"/>
      <c r="I54" s="2481"/>
      <c r="J54" s="1269"/>
      <c r="K54" s="1580"/>
      <c r="L54" s="1580"/>
      <c r="M54" s="1580"/>
      <c r="N54" s="1580"/>
    </row>
    <row r="55" customFormat="false" ht="15.75" hidden="false" customHeight="false" outlineLevel="0" collapsed="false">
      <c r="A55" s="2475"/>
      <c r="B55" s="2475"/>
      <c r="C55" s="2476" t="s">
        <v>15</v>
      </c>
      <c r="D55" s="2469" t="n">
        <f aca="false">'Ввод данных'!C224</f>
        <v>0</v>
      </c>
      <c r="E55" s="2458" t="n">
        <f aca="false">'Ввод данных'!D224</f>
        <v>0</v>
      </c>
      <c r="F55" s="1176" t="n">
        <f aca="false">D55*E55</f>
        <v>0</v>
      </c>
      <c r="G55" s="1269"/>
      <c r="H55" s="2478"/>
      <c r="I55" s="2481"/>
      <c r="J55" s="1269"/>
      <c r="K55" s="1580"/>
      <c r="L55" s="1580"/>
      <c r="M55" s="1580"/>
      <c r="N55" s="1580"/>
    </row>
    <row r="56" customFormat="false" ht="15.75" hidden="false" customHeight="false" outlineLevel="0" collapsed="false">
      <c r="A56" s="2475"/>
      <c r="B56" s="2475"/>
      <c r="C56" s="2476" t="s">
        <v>15</v>
      </c>
      <c r="D56" s="2469" t="n">
        <f aca="false">'Ввод данных'!C225</f>
        <v>0</v>
      </c>
      <c r="E56" s="2458" t="n">
        <f aca="false">'Ввод данных'!D225</f>
        <v>0</v>
      </c>
      <c r="F56" s="1176" t="n">
        <f aca="false">D56*E56</f>
        <v>0</v>
      </c>
      <c r="G56" s="1269"/>
      <c r="H56" s="2483"/>
      <c r="I56" s="2481"/>
      <c r="J56" s="1269"/>
      <c r="K56" s="1580"/>
      <c r="L56" s="1580"/>
      <c r="M56" s="1580"/>
      <c r="N56" s="1580"/>
    </row>
    <row r="57" customFormat="false" ht="15.75" hidden="false" customHeight="true" outlineLevel="0" collapsed="false">
      <c r="A57" s="2475" t="s">
        <v>178</v>
      </c>
      <c r="B57" s="2475"/>
      <c r="C57" s="2476" t="s">
        <v>15</v>
      </c>
      <c r="D57" s="2469" t="n">
        <f aca="false">'Ввод данных'!C226</f>
        <v>4</v>
      </c>
      <c r="E57" s="2458" t="n">
        <f aca="false">'Ввод данных'!D226</f>
        <v>1</v>
      </c>
      <c r="F57" s="1176" t="n">
        <f aca="false">D57*E57</f>
        <v>4</v>
      </c>
      <c r="G57" s="1269"/>
      <c r="H57" s="2483"/>
      <c r="I57" s="1269"/>
      <c r="J57" s="1269"/>
      <c r="K57" s="1580"/>
      <c r="L57" s="1580"/>
      <c r="M57" s="1580"/>
      <c r="N57" s="1580"/>
    </row>
    <row r="58" customFormat="false" ht="15.75" hidden="false" customHeight="false" outlineLevel="0" collapsed="false">
      <c r="A58" s="2475"/>
      <c r="B58" s="2475"/>
      <c r="C58" s="2476" t="s">
        <v>15</v>
      </c>
      <c r="D58" s="2469" t="n">
        <f aca="false">'Ввод данных'!C227</f>
        <v>2</v>
      </c>
      <c r="E58" s="2458" t="n">
        <f aca="false">'Ввод данных'!D227</f>
        <v>1</v>
      </c>
      <c r="F58" s="1176" t="n">
        <f aca="false">D58*E58</f>
        <v>2</v>
      </c>
      <c r="G58" s="1269"/>
      <c r="H58" s="2483"/>
      <c r="I58" s="1269"/>
      <c r="J58" s="1269"/>
      <c r="K58" s="1580"/>
      <c r="L58" s="1580"/>
      <c r="M58" s="1580"/>
      <c r="N58" s="1580"/>
    </row>
    <row r="59" customFormat="false" ht="15.75" hidden="false" customHeight="false" outlineLevel="0" collapsed="false">
      <c r="A59" s="2475"/>
      <c r="B59" s="2475"/>
      <c r="C59" s="2476" t="s">
        <v>15</v>
      </c>
      <c r="D59" s="2469" t="n">
        <f aca="false">'Ввод данных'!C228</f>
        <v>3</v>
      </c>
      <c r="E59" s="2458" t="n">
        <f aca="false">'Ввод данных'!D228</f>
        <v>1</v>
      </c>
      <c r="F59" s="1176" t="n">
        <f aca="false">D59*E59</f>
        <v>3</v>
      </c>
      <c r="G59" s="1269"/>
      <c r="H59" s="2483"/>
      <c r="I59" s="1269"/>
      <c r="J59" s="1269"/>
      <c r="K59" s="1580"/>
      <c r="L59" s="1580"/>
      <c r="M59" s="1580"/>
      <c r="N59" s="1580"/>
    </row>
    <row r="60" customFormat="false" ht="15.75" hidden="false" customHeight="false" outlineLevel="0" collapsed="false">
      <c r="A60" s="2475"/>
      <c r="B60" s="2475"/>
      <c r="C60" s="2476" t="s">
        <v>15</v>
      </c>
      <c r="D60" s="2469" t="n">
        <f aca="false">'Ввод данных'!C229</f>
        <v>0</v>
      </c>
      <c r="E60" s="2458" t="n">
        <f aca="false">'Ввод данных'!D229</f>
        <v>0</v>
      </c>
      <c r="F60" s="1176" t="n">
        <f aca="false">D60*E60</f>
        <v>0</v>
      </c>
      <c r="G60" s="1269"/>
      <c r="H60" s="2483"/>
      <c r="I60" s="2477"/>
      <c r="J60" s="1269"/>
      <c r="K60" s="1580"/>
      <c r="L60" s="1580"/>
      <c r="M60" s="1580"/>
      <c r="N60" s="1580"/>
    </row>
    <row r="61" customFormat="false" ht="15.75" hidden="false" customHeight="true" outlineLevel="0" collapsed="false">
      <c r="A61" s="2475" t="s">
        <v>183</v>
      </c>
      <c r="B61" s="2475"/>
      <c r="C61" s="2476" t="s">
        <v>15</v>
      </c>
      <c r="D61" s="2469" t="n">
        <f aca="false">'Ввод данных'!C230</f>
        <v>0</v>
      </c>
      <c r="E61" s="2458" t="n">
        <f aca="false">'Ввод данных'!D230</f>
        <v>0</v>
      </c>
      <c r="F61" s="1176" t="n">
        <f aca="false">D61*E61</f>
        <v>0</v>
      </c>
      <c r="G61" s="1269"/>
      <c r="H61" s="2483"/>
      <c r="I61" s="1269"/>
      <c r="J61" s="2484"/>
      <c r="K61" s="1580"/>
      <c r="L61" s="1580"/>
      <c r="M61" s="1580"/>
      <c r="N61" s="1580"/>
    </row>
    <row r="62" customFormat="false" ht="15.75" hidden="false" customHeight="false" outlineLevel="0" collapsed="false">
      <c r="A62" s="2475"/>
      <c r="B62" s="2475"/>
      <c r="C62" s="2476" t="s">
        <v>15</v>
      </c>
      <c r="D62" s="2469" t="n">
        <f aca="false">'Ввод данных'!C231</f>
        <v>0</v>
      </c>
      <c r="E62" s="2458" t="n">
        <f aca="false">'Ввод данных'!D231</f>
        <v>0</v>
      </c>
      <c r="F62" s="1176" t="n">
        <f aca="false">D62*E62</f>
        <v>0</v>
      </c>
      <c r="G62" s="1269"/>
      <c r="H62" s="2483"/>
      <c r="I62" s="2477"/>
      <c r="J62" s="2484"/>
      <c r="K62" s="1580"/>
      <c r="L62" s="1580"/>
      <c r="M62" s="1580"/>
      <c r="N62" s="1580"/>
    </row>
    <row r="63" customFormat="false" ht="15.75" hidden="false" customHeight="false" outlineLevel="0" collapsed="false">
      <c r="A63" s="2475"/>
      <c r="B63" s="2475"/>
      <c r="C63" s="2476" t="s">
        <v>15</v>
      </c>
      <c r="D63" s="2469" t="n">
        <f aca="false">'Ввод данных'!C232</f>
        <v>0</v>
      </c>
      <c r="E63" s="2458" t="n">
        <f aca="false">'Ввод данных'!D232</f>
        <v>0</v>
      </c>
      <c r="F63" s="1176" t="n">
        <f aca="false">D63*E63</f>
        <v>0</v>
      </c>
      <c r="G63" s="1269"/>
      <c r="H63" s="2483"/>
      <c r="I63" s="1269"/>
      <c r="J63" s="1269"/>
      <c r="K63" s="1580"/>
      <c r="L63" s="1580"/>
      <c r="M63" s="1580"/>
      <c r="N63" s="1580"/>
    </row>
    <row r="64" customFormat="false" ht="15.75" hidden="false" customHeight="false" outlineLevel="0" collapsed="false">
      <c r="A64" s="2475"/>
      <c r="B64" s="2475"/>
      <c r="C64" s="2476" t="s">
        <v>15</v>
      </c>
      <c r="D64" s="2469" t="n">
        <f aca="false">'Ввод данных'!C233</f>
        <v>0</v>
      </c>
      <c r="E64" s="2458" t="n">
        <f aca="false">'Ввод данных'!D233</f>
        <v>0</v>
      </c>
      <c r="F64" s="1176" t="n">
        <f aca="false">D64*E64</f>
        <v>0</v>
      </c>
      <c r="G64" s="1269"/>
      <c r="H64" s="2483"/>
      <c r="I64" s="1269"/>
      <c r="J64" s="1269"/>
      <c r="K64" s="1580"/>
      <c r="L64" s="1580"/>
      <c r="M64" s="1580"/>
      <c r="N64" s="1580"/>
    </row>
    <row r="65" customFormat="false" ht="15.75" hidden="false" customHeight="true" outlineLevel="0" collapsed="false">
      <c r="A65" s="2485" t="s">
        <v>3987</v>
      </c>
      <c r="B65" s="2485"/>
      <c r="C65" s="1176" t="s">
        <v>820</v>
      </c>
      <c r="D65" s="1313" t="n">
        <f aca="false">(E3+E4+E3+E4)*E5+(E3+E4+E3+E4)*E6+(E3/2)*E8*2*E9+(E3+E4+E3+E4)*E11*F11+(E3+E4+E3+E4)*E12*F12+(E3+E4+E3+E4)*E13*F13</f>
        <v>140.8</v>
      </c>
      <c r="E65" s="1301"/>
      <c r="F65" s="2484"/>
      <c r="G65" s="1269"/>
      <c r="H65" s="2483"/>
      <c r="I65" s="1269"/>
      <c r="J65" s="1269"/>
      <c r="K65" s="1580"/>
      <c r="L65" s="1580"/>
      <c r="M65" s="1580"/>
      <c r="N65" s="1580"/>
    </row>
    <row r="66" customFormat="false" ht="15.75" hidden="false" customHeight="true" outlineLevel="0" collapsed="false">
      <c r="A66" s="2485" t="s">
        <v>3988</v>
      </c>
      <c r="B66" s="2485"/>
      <c r="C66" s="1176" t="s">
        <v>820</v>
      </c>
      <c r="D66" s="1313" t="n">
        <f aca="false">D65-G30-G19</f>
        <v>137.71</v>
      </c>
      <c r="E66" s="1301"/>
      <c r="F66" s="2484"/>
      <c r="G66" s="1269"/>
      <c r="H66" s="2483"/>
      <c r="I66" s="1269"/>
      <c r="J66" s="1269"/>
      <c r="K66" s="1580"/>
      <c r="L66" s="1580"/>
      <c r="M66" s="1580"/>
      <c r="N66" s="1580"/>
    </row>
    <row r="67" customFormat="false" ht="15.75" hidden="false" customHeight="true" outlineLevel="0" collapsed="false">
      <c r="A67" s="2485" t="s">
        <v>3053</v>
      </c>
      <c r="B67" s="2485"/>
      <c r="C67" s="1176" t="s">
        <v>820</v>
      </c>
      <c r="D67" s="1313" t="e">
        <f aca="false">(F33+F34+F35+F36+F41+F42+F43+F44)*E5+(F49+F50+F51+F52)*(E2-1)*E7+(F57+F58+F59+F60)*((E6+E7)/1.7)*(E2-1)</f>
        <v>#VALUE!</v>
      </c>
      <c r="E67" s="1301"/>
      <c r="F67" s="2484"/>
      <c r="G67" s="1269"/>
      <c r="H67" s="2483"/>
      <c r="I67" s="1269"/>
      <c r="J67" s="1269"/>
      <c r="K67" s="1580"/>
      <c r="L67" s="1580"/>
      <c r="M67" s="1580"/>
      <c r="N67" s="1580"/>
    </row>
    <row r="68" customFormat="false" ht="15.75" hidden="false" customHeight="true" outlineLevel="0" collapsed="false">
      <c r="A68" s="2485" t="s">
        <v>3054</v>
      </c>
      <c r="B68" s="2485"/>
      <c r="C68" s="1176" t="s">
        <v>820</v>
      </c>
      <c r="D68" s="1313" t="e">
        <f aca="false">(F37+F38+F39+F40+F45+F46+F47+F48)*E5+(F53+F54+F55+F56)*(E2-1)*E7+(F61+F62+F63+F64)*((E6+E7)/1.7)*(E2-1)</f>
        <v>#VALUE!</v>
      </c>
      <c r="E68" s="1301"/>
      <c r="F68" s="2484"/>
      <c r="G68" s="1269"/>
      <c r="H68" s="2483"/>
      <c r="I68" s="1269"/>
      <c r="J68" s="1269"/>
      <c r="K68" s="1580"/>
      <c r="L68" s="1580"/>
      <c r="M68" s="1580"/>
      <c r="N68" s="1580"/>
    </row>
    <row r="69" customFormat="false" ht="15.75" hidden="false" customHeight="false" outlineLevel="0" collapsed="false">
      <c r="A69" s="1176" t="s">
        <v>3055</v>
      </c>
      <c r="B69" s="1176"/>
      <c r="C69" s="1176" t="s">
        <v>820</v>
      </c>
      <c r="D69" s="1313" t="e">
        <f aca="false">(D68+D67)-G25</f>
        <v>#VALUE!</v>
      </c>
      <c r="E69" s="1301"/>
      <c r="F69" s="2484"/>
      <c r="G69" s="1269"/>
      <c r="H69" s="2483"/>
      <c r="I69" s="1269"/>
      <c r="J69" s="1269"/>
      <c r="K69" s="1580"/>
      <c r="L69" s="1580"/>
      <c r="M69" s="1580"/>
      <c r="N69" s="1580"/>
    </row>
    <row r="70" customFormat="false" ht="15.75" hidden="false" customHeight="true" outlineLevel="0" collapsed="false">
      <c r="A70" s="2485" t="s">
        <v>3989</v>
      </c>
      <c r="B70" s="2485"/>
      <c r="C70" s="2486" t="s">
        <v>820</v>
      </c>
      <c r="D70" s="1286" t="e">
        <f aca="false">D66+D69</f>
        <v>#VALUE!</v>
      </c>
      <c r="E70" s="53"/>
      <c r="F70" s="2487"/>
      <c r="G70" s="42"/>
      <c r="H70" s="2483"/>
      <c r="I70" s="42"/>
      <c r="J70" s="42"/>
      <c r="K70" s="1580"/>
      <c r="L70" s="1580"/>
      <c r="M70" s="1580"/>
      <c r="N70" s="1580"/>
    </row>
    <row r="71" customFormat="false" ht="15.75" hidden="false" customHeight="false" outlineLevel="0" collapsed="false">
      <c r="A71" s="2488" t="s">
        <v>2833</v>
      </c>
      <c r="B71" s="2488"/>
      <c r="C71" s="2488"/>
      <c r="D71" s="2488"/>
      <c r="E71" s="2488"/>
      <c r="F71" s="2467" t="n">
        <f aca="false">дома!J12</f>
        <v>1</v>
      </c>
      <c r="G71" s="2459" t="s">
        <v>3715</v>
      </c>
      <c r="H71" s="2483"/>
      <c r="I71" s="42"/>
      <c r="J71" s="42"/>
      <c r="K71" s="1580"/>
      <c r="L71" s="1580"/>
      <c r="M71" s="1580"/>
      <c r="N71" s="1580"/>
    </row>
    <row r="72" customFormat="false" ht="15.75" hidden="false" customHeight="false" outlineLevel="0" collapsed="false">
      <c r="A72" s="1191" t="s">
        <v>3570</v>
      </c>
      <c r="B72" s="1191"/>
      <c r="C72" s="2489" t="s">
        <v>15</v>
      </c>
      <c r="D72" s="2490" t="n">
        <f aca="false">E3+E3+E4+E4+F33+F34+F35+F36+F41+F42+F43+F44</f>
        <v>48</v>
      </c>
      <c r="E72" s="2459"/>
      <c r="F72" s="2459"/>
      <c r="G72" s="1631"/>
      <c r="H72" s="2483"/>
      <c r="I72" s="42"/>
      <c r="J72" s="42"/>
      <c r="K72" s="1580"/>
      <c r="L72" s="1580"/>
      <c r="M72" s="1580"/>
      <c r="N72" s="1580"/>
    </row>
    <row r="73" customFormat="false" ht="15.75" hidden="false" customHeight="false" outlineLevel="0" collapsed="false">
      <c r="A73" s="1191" t="s">
        <v>3571</v>
      </c>
      <c r="B73" s="1191"/>
      <c r="C73" s="1338" t="s">
        <v>820</v>
      </c>
      <c r="D73" s="2491" t="e">
        <f aca="false">E3*E4*E2</f>
        <v>#VALUE!</v>
      </c>
      <c r="E73" s="2459"/>
      <c r="F73" s="2459"/>
      <c r="G73" s="1631"/>
      <c r="H73" s="2483"/>
      <c r="I73" s="42"/>
      <c r="J73" s="42"/>
      <c r="K73" s="1580"/>
      <c r="L73" s="1580"/>
      <c r="M73" s="1580"/>
      <c r="N73" s="1580"/>
    </row>
    <row r="74" customFormat="false" ht="15.75" hidden="false" customHeight="false" outlineLevel="0" collapsed="false">
      <c r="A74" s="2492"/>
      <c r="B74" s="2492"/>
      <c r="C74" s="2493"/>
      <c r="D74" s="2459"/>
      <c r="E74" s="2459"/>
      <c r="F74" s="2459"/>
      <c r="G74" s="1631"/>
      <c r="H74" s="2483"/>
      <c r="I74" s="42"/>
      <c r="J74" s="42"/>
      <c r="K74" s="1580"/>
      <c r="L74" s="1580"/>
      <c r="M74" s="1580"/>
      <c r="N74" s="1580"/>
    </row>
    <row r="75" customFormat="false" ht="15.75" hidden="false" customHeight="false" outlineLevel="0" collapsed="false">
      <c r="A75" s="2494"/>
      <c r="B75" s="2494"/>
      <c r="C75" s="2487"/>
      <c r="D75" s="53"/>
      <c r="E75" s="53"/>
      <c r="F75" s="2487"/>
      <c r="G75" s="42"/>
      <c r="H75" s="2483"/>
      <c r="I75" s="42"/>
      <c r="J75" s="42"/>
      <c r="K75" s="1580"/>
      <c r="L75" s="1580"/>
      <c r="M75" s="1580"/>
      <c r="N75" s="1580"/>
    </row>
    <row r="76" customFormat="false" ht="15.75" hidden="false" customHeight="false" outlineLevel="0" collapsed="false">
      <c r="A76" s="2495" t="s">
        <v>229</v>
      </c>
      <c r="B76" s="2495"/>
      <c r="C76" s="2495"/>
      <c r="D76" s="2495"/>
      <c r="E76" s="2495"/>
      <c r="F76" s="2495"/>
      <c r="G76" s="1348" t="str">
        <f aca="false">связи1!H91</f>
        <v>Считать </v>
      </c>
      <c r="H76" s="42" t="s">
        <v>3930</v>
      </c>
      <c r="I76" s="42"/>
      <c r="J76" s="42"/>
      <c r="K76" s="1580"/>
      <c r="L76" s="1580"/>
      <c r="M76" s="1580"/>
      <c r="N76" s="1580"/>
    </row>
    <row r="77" customFormat="false" ht="15.75" hidden="false" customHeight="false" outlineLevel="0" collapsed="false">
      <c r="A77" s="2496" t="s">
        <v>2902</v>
      </c>
      <c r="B77" s="2496"/>
      <c r="C77" s="2496"/>
      <c r="D77" s="2497" t="s">
        <v>15</v>
      </c>
      <c r="E77" s="2497" t="n">
        <f aca="false">E80*4+E79*2</f>
        <v>41.6124969497314</v>
      </c>
      <c r="F77" s="2467"/>
      <c r="G77" s="42"/>
      <c r="H77" s="2478"/>
      <c r="I77" s="42"/>
      <c r="J77" s="42"/>
      <c r="K77" s="1580"/>
      <c r="L77" s="1580"/>
      <c r="M77" s="1580"/>
      <c r="N77" s="1580"/>
    </row>
    <row r="78" customFormat="false" ht="15.75" hidden="false" customHeight="false" outlineLevel="0" collapsed="false">
      <c r="A78" s="2498" t="s">
        <v>3586</v>
      </c>
      <c r="B78" s="2498"/>
      <c r="C78" s="2498"/>
      <c r="D78" s="2498"/>
      <c r="E78" s="1965" t="n">
        <f aca="false">E8</f>
        <v>5</v>
      </c>
      <c r="F78" s="42"/>
      <c r="G78" s="42"/>
      <c r="H78" s="2478"/>
      <c r="I78" s="42"/>
      <c r="J78" s="42"/>
      <c r="K78" s="1580"/>
      <c r="L78" s="1580"/>
      <c r="M78" s="1580"/>
      <c r="N78" s="1580"/>
    </row>
    <row r="79" customFormat="false" ht="15.75" hidden="false" customHeight="false" outlineLevel="0" collapsed="false">
      <c r="A79" s="861" t="s">
        <v>3585</v>
      </c>
      <c r="B79" s="861"/>
      <c r="C79" s="861"/>
      <c r="D79" s="864" t="s">
        <v>15</v>
      </c>
      <c r="E79" s="864" t="n">
        <f aca="false">E4</f>
        <v>8</v>
      </c>
      <c r="F79" s="2499"/>
      <c r="G79" s="42"/>
      <c r="H79" s="2478"/>
      <c r="I79" s="42"/>
      <c r="J79" s="42"/>
      <c r="K79" s="1580"/>
      <c r="L79" s="1580"/>
      <c r="M79" s="1580"/>
      <c r="N79" s="1580"/>
    </row>
    <row r="80" customFormat="false" ht="15.75" hidden="false" customHeight="false" outlineLevel="0" collapsed="false">
      <c r="A80" s="861" t="s">
        <v>2798</v>
      </c>
      <c r="B80" s="861"/>
      <c r="C80" s="861"/>
      <c r="D80" s="864" t="s">
        <v>15</v>
      </c>
      <c r="E80" s="864" t="n">
        <f aca="false">SQRT((E3/2)*(E3/2)+E8*E8)</f>
        <v>6.40312423743285</v>
      </c>
      <c r="F80" s="2499"/>
      <c r="G80" s="42"/>
      <c r="H80" s="2478"/>
      <c r="I80" s="42"/>
      <c r="J80" s="42"/>
      <c r="K80" s="1580"/>
      <c r="L80" s="1580"/>
      <c r="M80" s="1580"/>
      <c r="N80" s="1580"/>
    </row>
    <row r="81" customFormat="false" ht="15.75" hidden="false" customHeight="false" outlineLevel="0" collapsed="false">
      <c r="A81" s="861" t="s">
        <v>231</v>
      </c>
      <c r="B81" s="861"/>
      <c r="C81" s="861"/>
      <c r="D81" s="864" t="s">
        <v>15</v>
      </c>
      <c r="E81" s="2458" t="n">
        <f aca="false">'Ввод данных'!C296</f>
        <v>0.5</v>
      </c>
      <c r="F81" s="2500"/>
      <c r="G81" s="42"/>
      <c r="H81" s="2478"/>
      <c r="I81" s="42"/>
      <c r="J81" s="42"/>
      <c r="K81" s="1580"/>
      <c r="L81" s="1580"/>
      <c r="M81" s="1580"/>
      <c r="N81" s="1580"/>
    </row>
    <row r="82" customFormat="false" ht="15.75" hidden="false" customHeight="false" outlineLevel="0" collapsed="false">
      <c r="A82" s="861" t="s">
        <v>197</v>
      </c>
      <c r="B82" s="861"/>
      <c r="C82" s="861"/>
      <c r="D82" s="864" t="s">
        <v>15</v>
      </c>
      <c r="E82" s="2458" t="n">
        <f aca="false">'Ввод данных'!C298</f>
        <v>0.5</v>
      </c>
      <c r="F82" s="2500"/>
      <c r="G82" s="42"/>
      <c r="H82" s="2478"/>
      <c r="I82" s="42"/>
      <c r="J82" s="42"/>
      <c r="K82" s="1580"/>
      <c r="L82" s="1580"/>
      <c r="M82" s="1580"/>
      <c r="N82" s="1580"/>
    </row>
    <row r="83" customFormat="false" ht="15.75" hidden="false" customHeight="false" outlineLevel="0" collapsed="false">
      <c r="A83" s="1413" t="s">
        <v>3933</v>
      </c>
      <c r="B83" s="1413"/>
      <c r="C83" s="1413"/>
      <c r="D83" s="2486" t="s">
        <v>15</v>
      </c>
      <c r="E83" s="1965" t="n">
        <f aca="false">E80+E82</f>
        <v>6.90312423743285</v>
      </c>
      <c r="F83" s="42"/>
      <c r="G83" s="42"/>
      <c r="H83" s="2478"/>
      <c r="I83" s="42"/>
      <c r="J83" s="42"/>
      <c r="K83" s="1580"/>
      <c r="L83" s="1580"/>
      <c r="M83" s="1580"/>
      <c r="N83" s="1580"/>
    </row>
    <row r="84" customFormat="false" ht="15.75" hidden="false" customHeight="false" outlineLevel="0" collapsed="false">
      <c r="A84" s="1413" t="s">
        <v>3934</v>
      </c>
      <c r="B84" s="1413"/>
      <c r="C84" s="1413"/>
      <c r="D84" s="2486" t="s">
        <v>15</v>
      </c>
      <c r="E84" s="1965" t="n">
        <f aca="false">E79+E81+E81</f>
        <v>9</v>
      </c>
      <c r="F84" s="42"/>
      <c r="G84" s="42"/>
      <c r="H84" s="2478"/>
      <c r="I84" s="42"/>
      <c r="J84" s="42"/>
      <c r="K84" s="1580"/>
      <c r="L84" s="1580"/>
      <c r="M84" s="1580"/>
      <c r="N84" s="1580"/>
    </row>
    <row r="85" customFormat="false" ht="15.75" hidden="false" customHeight="false" outlineLevel="0" collapsed="false">
      <c r="A85" s="861" t="s">
        <v>3935</v>
      </c>
      <c r="B85" s="861"/>
      <c r="C85" s="861"/>
      <c r="D85" s="864" t="s">
        <v>820</v>
      </c>
      <c r="E85" s="864" t="n">
        <f aca="false">E80*E79*2</f>
        <v>102.449987798926</v>
      </c>
      <c r="F85" s="2500"/>
      <c r="G85" s="42"/>
      <c r="H85" s="2478"/>
      <c r="I85" s="42"/>
      <c r="J85" s="42"/>
      <c r="K85" s="1580"/>
      <c r="L85" s="1580"/>
      <c r="M85" s="1580"/>
      <c r="N85" s="1580"/>
    </row>
    <row r="86" customFormat="false" ht="15.75" hidden="false" customHeight="false" outlineLevel="0" collapsed="false">
      <c r="A86" s="861" t="s">
        <v>3662</v>
      </c>
      <c r="B86" s="861"/>
      <c r="C86" s="861"/>
      <c r="D86" s="864" t="s">
        <v>820</v>
      </c>
      <c r="E86" s="864" t="n">
        <f aca="false">(E80*E81)*4+(E79+E81+E81)*E82*2</f>
        <v>21.8062484748657</v>
      </c>
      <c r="F86" s="2501"/>
      <c r="G86" s="42"/>
      <c r="H86" s="2478"/>
      <c r="I86" s="42"/>
      <c r="J86" s="42"/>
      <c r="K86" s="1580"/>
      <c r="L86" s="1580"/>
      <c r="M86" s="1580"/>
      <c r="N86" s="1580"/>
    </row>
    <row r="87" customFormat="false" ht="15.75" hidden="false" customHeight="false" outlineLevel="0" collapsed="false">
      <c r="A87" s="861" t="s">
        <v>3936</v>
      </c>
      <c r="B87" s="861"/>
      <c r="C87" s="861"/>
      <c r="D87" s="864" t="s">
        <v>820</v>
      </c>
      <c r="E87" s="864" t="n">
        <f aca="false">E85+E86</f>
        <v>124.256236273791</v>
      </c>
      <c r="F87" s="2501"/>
      <c r="G87" s="42"/>
      <c r="H87" s="2478"/>
      <c r="I87" s="42"/>
      <c r="J87" s="42"/>
      <c r="K87" s="1580"/>
      <c r="L87" s="1580"/>
      <c r="M87" s="1580"/>
      <c r="N87" s="1580"/>
    </row>
    <row r="88" customFormat="false" ht="15.75" hidden="false" customHeight="false" outlineLevel="0" collapsed="false">
      <c r="A88" s="2486" t="s">
        <v>3937</v>
      </c>
      <c r="B88" s="2486"/>
      <c r="C88" s="2486"/>
      <c r="D88" s="2486" t="s">
        <v>820</v>
      </c>
      <c r="E88" s="2486" t="n">
        <f aca="false">E87*1.2</f>
        <v>149.10748352855</v>
      </c>
      <c r="F88" s="42"/>
      <c r="G88" s="42"/>
      <c r="H88" s="2478"/>
      <c r="I88" s="42"/>
      <c r="J88" s="42"/>
      <c r="K88" s="1580"/>
      <c r="L88" s="1580"/>
      <c r="M88" s="1580"/>
      <c r="N88" s="1580"/>
    </row>
    <row r="89" customFormat="false" ht="15.75" hidden="false" customHeight="false" outlineLevel="0" collapsed="false">
      <c r="A89" s="1184" t="s">
        <v>2826</v>
      </c>
      <c r="B89" s="2502"/>
      <c r="C89" s="2503"/>
      <c r="D89" s="2486" t="s">
        <v>486</v>
      </c>
      <c r="E89" s="2486"/>
      <c r="F89" s="2467"/>
      <c r="G89" s="42"/>
      <c r="H89" s="2478"/>
      <c r="I89" s="42"/>
      <c r="J89" s="42"/>
      <c r="K89" s="1580"/>
      <c r="L89" s="1580"/>
      <c r="M89" s="1580"/>
      <c r="N89" s="1580"/>
    </row>
    <row r="90" customFormat="false" ht="15.75" hidden="false" customHeight="false" outlineLevel="0" collapsed="false">
      <c r="A90" s="1442" t="s">
        <v>3665</v>
      </c>
      <c r="B90" s="2504"/>
      <c r="C90" s="2505"/>
      <c r="D90" s="864" t="s">
        <v>15</v>
      </c>
      <c r="E90" s="864" t="n">
        <v>0.15</v>
      </c>
      <c r="F90" s="2467"/>
      <c r="G90" s="42"/>
      <c r="H90" s="2478"/>
      <c r="I90" s="42"/>
      <c r="J90" s="42"/>
      <c r="K90" s="1580"/>
      <c r="L90" s="1580"/>
      <c r="M90" s="1580"/>
      <c r="N90" s="1580"/>
    </row>
    <row r="91" customFormat="false" ht="15.75" hidden="false" customHeight="false" outlineLevel="0" collapsed="false">
      <c r="A91" s="1437"/>
      <c r="B91" s="2506"/>
      <c r="C91" s="2507"/>
      <c r="D91" s="864" t="s">
        <v>15</v>
      </c>
      <c r="E91" s="864" t="n">
        <v>0.2</v>
      </c>
      <c r="F91" s="2467"/>
      <c r="G91" s="2508"/>
      <c r="H91" s="2478"/>
      <c r="I91" s="2508"/>
      <c r="J91" s="2508"/>
      <c r="K91" s="1580"/>
      <c r="L91" s="1580"/>
      <c r="M91" s="1580"/>
      <c r="N91" s="1580"/>
    </row>
    <row r="92" customFormat="false" ht="15.75" hidden="false" customHeight="false" outlineLevel="0" collapsed="false">
      <c r="A92" s="1442" t="s">
        <v>2830</v>
      </c>
      <c r="B92" s="2504"/>
      <c r="C92" s="2505"/>
      <c r="D92" s="864" t="s">
        <v>15</v>
      </c>
      <c r="E92" s="864" t="n">
        <v>0.15</v>
      </c>
      <c r="F92" s="2467"/>
      <c r="G92" s="2508"/>
      <c r="H92" s="2478"/>
      <c r="I92" s="2508"/>
      <c r="J92" s="2508"/>
      <c r="K92" s="1580"/>
      <c r="L92" s="1580"/>
      <c r="M92" s="1580"/>
      <c r="N92" s="1580"/>
    </row>
    <row r="93" customFormat="false" ht="15.75" hidden="false" customHeight="false" outlineLevel="0" collapsed="false">
      <c r="A93" s="1437"/>
      <c r="B93" s="2506"/>
      <c r="C93" s="2507"/>
      <c r="D93" s="864" t="s">
        <v>15</v>
      </c>
      <c r="E93" s="864" t="n">
        <v>0.2</v>
      </c>
      <c r="F93" s="2467"/>
      <c r="G93" s="2508"/>
      <c r="H93" s="2478"/>
      <c r="I93" s="2508"/>
      <c r="J93" s="2508"/>
      <c r="K93" s="1580"/>
      <c r="L93" s="1580"/>
      <c r="M93" s="1580"/>
      <c r="N93" s="1580"/>
    </row>
    <row r="94" customFormat="false" ht="15.75" hidden="false" customHeight="false" outlineLevel="0" collapsed="false">
      <c r="A94" s="2508"/>
      <c r="B94" s="2508"/>
      <c r="C94" s="2508"/>
      <c r="D94" s="2508"/>
      <c r="E94" s="2508"/>
      <c r="F94" s="2508"/>
      <c r="G94" s="2508"/>
      <c r="H94" s="2478"/>
      <c r="I94" s="2508"/>
      <c r="J94" s="2508"/>
      <c r="K94" s="1580"/>
      <c r="L94" s="1580"/>
      <c r="M94" s="1580"/>
      <c r="N94" s="1580"/>
    </row>
    <row r="95" customFormat="false" ht="15.75" hidden="false" customHeight="false" outlineLevel="0" collapsed="false">
      <c r="A95" s="2508"/>
      <c r="B95" s="2508"/>
      <c r="C95" s="2508"/>
      <c r="D95" s="2508"/>
      <c r="E95" s="2508"/>
      <c r="F95" s="2508"/>
      <c r="G95" s="2508"/>
      <c r="H95" s="2478"/>
      <c r="I95" s="2508"/>
      <c r="J95" s="2508"/>
      <c r="K95" s="1580"/>
      <c r="L95" s="1580"/>
      <c r="M95" s="1580"/>
      <c r="N95" s="1580"/>
    </row>
    <row r="96" customFormat="false" ht="15.75" hidden="false" customHeight="false" outlineLevel="0" collapsed="false">
      <c r="A96" s="2495" t="s">
        <v>244</v>
      </c>
      <c r="B96" s="2495"/>
      <c r="C96" s="2495"/>
      <c r="D96" s="2495"/>
      <c r="E96" s="2495"/>
      <c r="F96" s="2495"/>
      <c r="G96" s="1348" t="str">
        <f aca="false">связи1!H93</f>
        <v>Считать </v>
      </c>
      <c r="H96" s="42" t="s">
        <v>3990</v>
      </c>
      <c r="I96" s="2508"/>
      <c r="J96" s="2508"/>
      <c r="K96" s="1580"/>
      <c r="L96" s="1580"/>
      <c r="M96" s="1580"/>
      <c r="N96" s="1580"/>
    </row>
    <row r="97" customFormat="false" ht="23.25" hidden="false" customHeight="false" outlineLevel="0" collapsed="false">
      <c r="A97" s="2496" t="s">
        <v>2902</v>
      </c>
      <c r="B97" s="2496"/>
      <c r="C97" s="2496"/>
      <c r="D97" s="2509" t="s">
        <v>15</v>
      </c>
      <c r="E97" s="2510" t="n">
        <f aca="false">E3+E4+E3+E4</f>
        <v>32</v>
      </c>
      <c r="F97" s="2511"/>
      <c r="G97" s="2512"/>
      <c r="H97" s="2478"/>
      <c r="I97" s="2508"/>
      <c r="J97" s="2508"/>
      <c r="K97" s="1580"/>
      <c r="L97" s="1580"/>
      <c r="M97" s="1580"/>
      <c r="N97" s="1580"/>
    </row>
    <row r="98" customFormat="false" ht="15.75" hidden="false" customHeight="false" outlineLevel="0" collapsed="false">
      <c r="A98" s="2513" t="s">
        <v>3991</v>
      </c>
      <c r="B98" s="2513"/>
      <c r="C98" s="2513"/>
      <c r="D98" s="2514" t="s">
        <v>15</v>
      </c>
      <c r="E98" s="2515" t="n">
        <f aca="false">E4</f>
        <v>8</v>
      </c>
      <c r="F98" s="2508"/>
      <c r="G98" s="2508"/>
      <c r="H98" s="2516"/>
      <c r="I98" s="2508"/>
      <c r="J98" s="2508"/>
      <c r="K98" s="1580"/>
      <c r="L98" s="1580"/>
      <c r="M98" s="1580"/>
      <c r="N98" s="1580"/>
    </row>
    <row r="99" customFormat="false" ht="15.75" hidden="false" customHeight="false" outlineLevel="0" collapsed="false">
      <c r="A99" s="2513" t="s">
        <v>3992</v>
      </c>
      <c r="B99" s="2513"/>
      <c r="C99" s="2513"/>
      <c r="D99" s="2514" t="s">
        <v>15</v>
      </c>
      <c r="E99" s="2515" t="n">
        <f aca="false">E3</f>
        <v>8</v>
      </c>
      <c r="F99" s="2517"/>
      <c r="G99" s="2517"/>
      <c r="H99" s="2516"/>
      <c r="I99" s="2508"/>
      <c r="J99" s="2508"/>
      <c r="K99" s="1580"/>
      <c r="L99" s="1580"/>
      <c r="M99" s="1580"/>
      <c r="N99" s="1580"/>
    </row>
    <row r="100" customFormat="false" ht="15.75" hidden="false" customHeight="false" outlineLevel="0" collapsed="false">
      <c r="A100" s="2498" t="s">
        <v>3586</v>
      </c>
      <c r="B100" s="2498"/>
      <c r="C100" s="2498"/>
      <c r="D100" s="2498"/>
      <c r="E100" s="2518" t="n">
        <f aca="false">E8</f>
        <v>5</v>
      </c>
      <c r="F100" s="2517"/>
      <c r="G100" s="2517"/>
      <c r="H100" s="2516"/>
      <c r="I100" s="2508"/>
      <c r="J100" s="2508"/>
      <c r="K100" s="1580"/>
      <c r="L100" s="1580"/>
      <c r="M100" s="1580"/>
      <c r="N100" s="1580"/>
    </row>
    <row r="101" customFormat="false" ht="15.75" hidden="false" customHeight="false" outlineLevel="0" collapsed="false">
      <c r="A101" s="861" t="s">
        <v>245</v>
      </c>
      <c r="B101" s="861"/>
      <c r="C101" s="861"/>
      <c r="D101" s="862" t="s">
        <v>15</v>
      </c>
      <c r="E101" s="2458" t="n">
        <f aca="false">'Ввод данных'!C338</f>
        <v>5</v>
      </c>
      <c r="F101" s="2400"/>
      <c r="G101" s="2400"/>
      <c r="H101" s="2516"/>
      <c r="I101" s="2508"/>
      <c r="J101" s="2508"/>
      <c r="K101" s="1580"/>
      <c r="L101" s="1580"/>
      <c r="M101" s="1580"/>
      <c r="N101" s="1580"/>
    </row>
    <row r="102" customFormat="false" ht="15.75" hidden="false" customHeight="false" outlineLevel="0" collapsed="false">
      <c r="A102" s="861" t="s">
        <v>3993</v>
      </c>
      <c r="B102" s="861"/>
      <c r="C102" s="861"/>
      <c r="D102" s="862" t="s">
        <v>15</v>
      </c>
      <c r="E102" s="2519" t="n">
        <f aca="false">SQRT(E100*E100+((E99/2)+E104)*((E99/2)+E104))</f>
        <v>6.72681202353686</v>
      </c>
      <c r="F102" s="2400"/>
      <c r="G102" s="2400"/>
      <c r="H102" s="2516"/>
      <c r="I102" s="2508"/>
      <c r="J102" s="2508"/>
      <c r="K102" s="1580"/>
      <c r="L102" s="1580"/>
      <c r="M102" s="1580"/>
      <c r="N102" s="1580"/>
    </row>
    <row r="103" customFormat="false" ht="15.75" hidden="false" customHeight="false" outlineLevel="0" collapsed="false">
      <c r="A103" s="861" t="s">
        <v>3994</v>
      </c>
      <c r="B103" s="861"/>
      <c r="C103" s="861"/>
      <c r="D103" s="862" t="s">
        <v>15</v>
      </c>
      <c r="E103" s="2519" t="n">
        <f aca="false">SQRT(E100*E100+((E98-E101)/2)*((E98-E101)/2))</f>
        <v>5.22015325445528</v>
      </c>
      <c r="F103" s="2520"/>
      <c r="G103" s="2521"/>
      <c r="H103" s="2516"/>
      <c r="I103" s="2508"/>
      <c r="J103" s="2508"/>
      <c r="K103" s="1580"/>
      <c r="L103" s="1580"/>
      <c r="M103" s="1580"/>
      <c r="N103" s="1580"/>
    </row>
    <row r="104" customFormat="false" ht="15.75" hidden="false" customHeight="false" outlineLevel="0" collapsed="false">
      <c r="A104" s="861" t="s">
        <v>231</v>
      </c>
      <c r="B104" s="861"/>
      <c r="C104" s="861"/>
      <c r="D104" s="862" t="s">
        <v>15</v>
      </c>
      <c r="E104" s="2458" t="n">
        <f aca="false">'Ввод данных'!C339</f>
        <v>0.5</v>
      </c>
      <c r="F104" s="2520"/>
      <c r="G104" s="2521"/>
      <c r="H104" s="2516"/>
      <c r="I104" s="2508"/>
      <c r="J104" s="2508"/>
      <c r="K104" s="1580"/>
      <c r="L104" s="1580"/>
      <c r="M104" s="1580"/>
      <c r="N104" s="1580"/>
    </row>
    <row r="105" customFormat="false" ht="15.75" hidden="false" customHeight="false" outlineLevel="0" collapsed="false">
      <c r="A105" s="861" t="s">
        <v>197</v>
      </c>
      <c r="B105" s="861"/>
      <c r="C105" s="861"/>
      <c r="D105" s="862" t="s">
        <v>15</v>
      </c>
      <c r="E105" s="2458" t="n">
        <f aca="false">'Ввод данных'!C340</f>
        <v>0.5</v>
      </c>
      <c r="F105" s="2520"/>
      <c r="G105" s="2521"/>
      <c r="H105" s="2516"/>
      <c r="I105" s="2508"/>
      <c r="J105" s="2508"/>
      <c r="K105" s="1580"/>
      <c r="L105" s="1580"/>
      <c r="M105" s="1580"/>
      <c r="N105" s="1580"/>
    </row>
    <row r="106" customFormat="false" ht="15.75" hidden="false" customHeight="false" outlineLevel="0" collapsed="false">
      <c r="A106" s="2513" t="s">
        <v>3995</v>
      </c>
      <c r="B106" s="2513"/>
      <c r="C106" s="2513"/>
      <c r="D106" s="2514" t="s">
        <v>15</v>
      </c>
      <c r="E106" s="2515" t="n">
        <f aca="false">SQRT(G103*G103+((E99/2)+E104)*((E99/2)+E104))</f>
        <v>4.5</v>
      </c>
      <c r="F106" s="2517"/>
      <c r="G106" s="2517"/>
      <c r="H106" s="2516"/>
      <c r="I106" s="2508"/>
      <c r="J106" s="2508"/>
      <c r="K106" s="1580"/>
      <c r="L106" s="1580"/>
      <c r="M106" s="1580"/>
      <c r="N106" s="1580"/>
    </row>
    <row r="107" customFormat="false" ht="15.75" hidden="false" customHeight="false" outlineLevel="0" collapsed="false">
      <c r="A107" s="861" t="s">
        <v>3662</v>
      </c>
      <c r="B107" s="861"/>
      <c r="C107" s="861"/>
      <c r="D107" s="862" t="s">
        <v>820</v>
      </c>
      <c r="E107" s="2519" t="n">
        <f aca="false">(E99+E104+E104)*E105*2+E98*2*E104</f>
        <v>17</v>
      </c>
      <c r="F107" s="2522"/>
      <c r="G107" s="2521"/>
      <c r="H107" s="2516"/>
      <c r="I107" s="42"/>
      <c r="J107" s="42"/>
      <c r="K107" s="1580"/>
      <c r="L107" s="1580"/>
      <c r="M107" s="1580"/>
      <c r="N107" s="1580"/>
    </row>
    <row r="108" customFormat="false" ht="15.75" hidden="false" customHeight="false" outlineLevel="0" collapsed="false">
      <c r="A108" s="861" t="s">
        <v>3996</v>
      </c>
      <c r="B108" s="861"/>
      <c r="C108" s="861"/>
      <c r="D108" s="2514" t="s">
        <v>820</v>
      </c>
      <c r="E108" s="2515" t="n">
        <f aca="false">((E99/2)+E104)*E103*2+((E98+E105+E105-E101)/2)*((E98+E105+E105-E101)/2)*4+E101*E102*2</f>
        <v>130.249499525466</v>
      </c>
      <c r="F108" s="2508"/>
      <c r="G108" s="2508"/>
      <c r="H108" s="2516"/>
      <c r="I108" s="42"/>
      <c r="J108" s="42"/>
      <c r="K108" s="1580"/>
      <c r="L108" s="1580"/>
      <c r="M108" s="1580"/>
      <c r="N108" s="1580"/>
    </row>
    <row r="109" customFormat="false" ht="15.75" hidden="false" customHeight="false" outlineLevel="0" collapsed="false">
      <c r="A109" s="861" t="s">
        <v>3937</v>
      </c>
      <c r="B109" s="861"/>
      <c r="C109" s="861"/>
      <c r="D109" s="862" t="s">
        <v>820</v>
      </c>
      <c r="E109" s="2519" t="n">
        <f aca="false">E108*1.5</f>
        <v>195.374249288199</v>
      </c>
      <c r="F109" s="2467"/>
      <c r="G109" s="2521"/>
      <c r="H109" s="2516"/>
      <c r="I109" s="42"/>
      <c r="J109" s="42"/>
      <c r="K109" s="1580"/>
      <c r="L109" s="1580"/>
      <c r="M109" s="1580"/>
      <c r="N109" s="1580"/>
    </row>
    <row r="110" customFormat="false" ht="15.75" hidden="false" customHeight="false" outlineLevel="0" collapsed="false">
      <c r="A110" s="1413" t="s">
        <v>2826</v>
      </c>
      <c r="B110" s="1413"/>
      <c r="C110" s="1413"/>
      <c r="D110" s="1413" t="s">
        <v>486</v>
      </c>
      <c r="E110" s="2518"/>
      <c r="F110" s="2467"/>
      <c r="G110" s="2521"/>
      <c r="H110" s="2516"/>
      <c r="I110" s="42"/>
      <c r="J110" s="42"/>
      <c r="K110" s="1580"/>
      <c r="L110" s="1580"/>
      <c r="M110" s="1580"/>
      <c r="N110" s="1580"/>
    </row>
    <row r="111" customFormat="false" ht="15.75" hidden="false" customHeight="false" outlineLevel="0" collapsed="false">
      <c r="A111" s="862" t="s">
        <v>3665</v>
      </c>
      <c r="B111" s="862"/>
      <c r="C111" s="862"/>
      <c r="D111" s="864" t="s">
        <v>15</v>
      </c>
      <c r="E111" s="1438" t="n">
        <v>0.15</v>
      </c>
      <c r="F111" s="2467"/>
      <c r="G111" s="2521"/>
      <c r="H111" s="2516"/>
      <c r="I111" s="42"/>
      <c r="J111" s="42"/>
      <c r="K111" s="1580"/>
      <c r="L111" s="1580"/>
      <c r="M111" s="1580"/>
      <c r="N111" s="1580"/>
    </row>
    <row r="112" customFormat="false" ht="15.75" hidden="false" customHeight="false" outlineLevel="0" collapsed="false">
      <c r="A112" s="862"/>
      <c r="B112" s="862"/>
      <c r="C112" s="862"/>
      <c r="D112" s="864" t="s">
        <v>15</v>
      </c>
      <c r="E112" s="1438" t="n">
        <v>0.2</v>
      </c>
      <c r="F112" s="2467"/>
      <c r="G112" s="2521"/>
      <c r="H112" s="2516"/>
      <c r="I112" s="42"/>
      <c r="J112" s="42"/>
      <c r="K112" s="1580"/>
      <c r="L112" s="1580"/>
      <c r="M112" s="1580"/>
      <c r="N112" s="1580"/>
    </row>
    <row r="113" customFormat="false" ht="15.75" hidden="false" customHeight="false" outlineLevel="0" collapsed="false">
      <c r="A113" s="862" t="s">
        <v>2830</v>
      </c>
      <c r="B113" s="862"/>
      <c r="C113" s="862"/>
      <c r="D113" s="864" t="s">
        <v>15</v>
      </c>
      <c r="E113" s="1438" t="n">
        <v>0.15</v>
      </c>
      <c r="F113" s="2467"/>
      <c r="G113" s="2521"/>
      <c r="H113" s="2478"/>
      <c r="I113" s="42"/>
      <c r="J113" s="42"/>
      <c r="K113" s="1580"/>
      <c r="L113" s="1580"/>
      <c r="M113" s="1580"/>
      <c r="N113" s="1580"/>
    </row>
    <row r="114" customFormat="false" ht="15.75" hidden="false" customHeight="false" outlineLevel="0" collapsed="false">
      <c r="A114" s="862"/>
      <c r="B114" s="862"/>
      <c r="C114" s="862"/>
      <c r="D114" s="864" t="s">
        <v>15</v>
      </c>
      <c r="E114" s="1438" t="n">
        <v>0.2</v>
      </c>
      <c r="F114" s="2467"/>
      <c r="G114" s="2521"/>
      <c r="H114" s="2478"/>
      <c r="I114" s="42"/>
      <c r="J114" s="42"/>
      <c r="K114" s="1580"/>
      <c r="L114" s="1580"/>
      <c r="M114" s="1580"/>
      <c r="N114" s="1580"/>
    </row>
    <row r="115" customFormat="false" ht="15.75" hidden="false" customHeight="false" outlineLevel="0" collapsed="false">
      <c r="A115" s="2523"/>
      <c r="B115" s="2523"/>
      <c r="C115" s="2523"/>
      <c r="D115" s="2524"/>
      <c r="E115" s="2037"/>
      <c r="F115" s="2525"/>
      <c r="G115" s="2521"/>
      <c r="H115" s="2478"/>
      <c r="I115" s="42"/>
      <c r="J115" s="42"/>
      <c r="K115" s="1580"/>
      <c r="L115" s="1580"/>
      <c r="M115" s="1580"/>
      <c r="N115" s="1580"/>
    </row>
    <row r="116" customFormat="false" ht="15.75" hidden="false" customHeight="false" outlineLevel="0" collapsed="false">
      <c r="A116" s="2523"/>
      <c r="B116" s="2523"/>
      <c r="C116" s="2523"/>
      <c r="D116" s="2524"/>
      <c r="E116" s="2037"/>
      <c r="F116" s="2525"/>
      <c r="G116" s="2521"/>
      <c r="H116" s="2478"/>
      <c r="I116" s="42"/>
      <c r="J116" s="42"/>
      <c r="K116" s="1580"/>
      <c r="L116" s="1580"/>
      <c r="M116" s="1580"/>
      <c r="N116" s="1580"/>
    </row>
    <row r="117" customFormat="false" ht="15.75" hidden="false" customHeight="false" outlineLevel="0" collapsed="false">
      <c r="A117" s="42"/>
      <c r="B117" s="42"/>
      <c r="C117" s="42"/>
      <c r="D117" s="42"/>
      <c r="E117" s="42"/>
      <c r="F117" s="42"/>
      <c r="G117" s="2521"/>
      <c r="H117" s="2478"/>
      <c r="I117" s="42"/>
      <c r="J117" s="42"/>
      <c r="K117" s="1580"/>
      <c r="L117" s="1580"/>
      <c r="M117" s="1580"/>
      <c r="N117" s="1580"/>
    </row>
    <row r="118" customFormat="false" ht="15.75" hidden="false" customHeight="false" outlineLevel="0" collapsed="false">
      <c r="A118" s="2524"/>
      <c r="B118" s="2524"/>
      <c r="C118" s="918"/>
      <c r="D118" s="2526"/>
      <c r="E118" s="2526"/>
      <c r="F118" s="2487"/>
      <c r="G118" s="42"/>
      <c r="H118" s="2516"/>
      <c r="I118" s="42"/>
      <c r="J118" s="42"/>
      <c r="K118" s="1580"/>
      <c r="L118" s="1580"/>
      <c r="M118" s="1580"/>
      <c r="N118" s="1580"/>
    </row>
    <row r="119" customFormat="false" ht="15.75" hidden="false" customHeight="false" outlineLevel="0" collapsed="false">
      <c r="A119" s="2495" t="s">
        <v>266</v>
      </c>
      <c r="B119" s="2495"/>
      <c r="C119" s="2495"/>
      <c r="D119" s="2495"/>
      <c r="E119" s="2495"/>
      <c r="F119" s="2495"/>
      <c r="G119" s="1348" t="str">
        <f aca="false">'Ввод данных'!F443</f>
        <v>Не считать</v>
      </c>
      <c r="H119" s="42" t="s">
        <v>3997</v>
      </c>
      <c r="I119" s="42"/>
      <c r="J119" s="42"/>
      <c r="K119" s="1580"/>
      <c r="L119" s="1580"/>
      <c r="M119" s="1580"/>
      <c r="N119" s="1580"/>
    </row>
    <row r="120" customFormat="false" ht="15.75" hidden="false" customHeight="false" outlineLevel="0" collapsed="false">
      <c r="A120" s="2495" t="s">
        <v>161</v>
      </c>
      <c r="B120" s="2495"/>
      <c r="C120" s="2495"/>
      <c r="D120" s="2495" t="s">
        <v>12</v>
      </c>
      <c r="E120" s="2495" t="s">
        <v>118</v>
      </c>
      <c r="F120" s="2495"/>
      <c r="G120" s="53"/>
      <c r="H120" s="42"/>
      <c r="I120" s="42"/>
      <c r="J120" s="42"/>
      <c r="K120" s="1580"/>
      <c r="L120" s="1580"/>
      <c r="M120" s="1580"/>
      <c r="N120" s="1580"/>
    </row>
    <row r="121" customFormat="false" ht="15.75" hidden="false" customHeight="false" outlineLevel="0" collapsed="false">
      <c r="A121" s="1413" t="s">
        <v>3047</v>
      </c>
      <c r="B121" s="1413"/>
      <c r="C121" s="1413"/>
      <c r="D121" s="1304" t="s">
        <v>48</v>
      </c>
      <c r="E121" s="2486" t="n">
        <v>1</v>
      </c>
      <c r="F121" s="2467" t="e">
        <f aca="false">'ввод данных'!#ref!</f>
        <v>#VALUE!</v>
      </c>
      <c r="G121" s="42"/>
      <c r="H121" s="42"/>
      <c r="I121" s="42"/>
      <c r="J121" s="42"/>
      <c r="K121" s="1580"/>
      <c r="L121" s="1580"/>
      <c r="M121" s="1580"/>
      <c r="N121" s="1580"/>
    </row>
    <row r="122" customFormat="false" ht="23.25" hidden="false" customHeight="false" outlineLevel="0" collapsed="false">
      <c r="A122" s="2422" t="s">
        <v>3048</v>
      </c>
      <c r="B122" s="2422"/>
      <c r="C122" s="2422"/>
      <c r="D122" s="2509" t="s">
        <v>48</v>
      </c>
      <c r="E122" s="2527" t="n">
        <v>1</v>
      </c>
      <c r="F122" s="2467" t="e">
        <f aca="false">'ввод данных'!#ref!</f>
        <v>#VALUE!</v>
      </c>
      <c r="G122" s="2512"/>
      <c r="H122" s="2478"/>
      <c r="I122" s="42"/>
      <c r="J122" s="42"/>
      <c r="K122" s="1580"/>
      <c r="L122" s="1580"/>
      <c r="M122" s="1580"/>
      <c r="N122" s="1580"/>
    </row>
    <row r="123" customFormat="false" ht="15.75" hidden="false" customHeight="false" outlineLevel="0" collapsed="false">
      <c r="A123" s="2513" t="s">
        <v>279</v>
      </c>
      <c r="B123" s="2513"/>
      <c r="C123" s="2513"/>
      <c r="D123" s="2514" t="s">
        <v>15</v>
      </c>
      <c r="E123" s="2458" t="n">
        <f aca="false">'Ввод данных'!C421</f>
        <v>1</v>
      </c>
      <c r="F123" s="2508"/>
      <c r="G123" s="2508"/>
      <c r="H123" s="2516"/>
      <c r="I123" s="42"/>
      <c r="J123" s="42"/>
      <c r="K123" s="1580"/>
      <c r="L123" s="1580"/>
      <c r="M123" s="1580"/>
      <c r="N123" s="1580"/>
    </row>
    <row r="124" customFormat="false" ht="15.75" hidden="false" customHeight="false" outlineLevel="0" collapsed="false">
      <c r="A124" s="2513" t="s">
        <v>280</v>
      </c>
      <c r="B124" s="2513"/>
      <c r="C124" s="2513"/>
      <c r="D124" s="2514" t="s">
        <v>15</v>
      </c>
      <c r="E124" s="2458" t="n">
        <f aca="false">'Ввод данных'!C422</f>
        <v>2</v>
      </c>
      <c r="F124" s="2517"/>
      <c r="G124" s="2517"/>
      <c r="H124" s="2516"/>
      <c r="I124" s="42"/>
      <c r="J124" s="42"/>
      <c r="K124" s="2456"/>
      <c r="L124" s="1580"/>
      <c r="M124" s="1580"/>
      <c r="N124" s="1580"/>
    </row>
    <row r="125" customFormat="false" ht="15.75" hidden="false" customHeight="false" outlineLevel="0" collapsed="false">
      <c r="A125" s="2528" t="s">
        <v>3645</v>
      </c>
      <c r="B125" s="2528"/>
      <c r="C125" s="2528"/>
      <c r="D125" s="1401" t="s">
        <v>15</v>
      </c>
      <c r="E125" s="2458" t="n">
        <f aca="false">'Ввод данных'!C419</f>
        <v>2</v>
      </c>
      <c r="F125" s="2517"/>
      <c r="G125" s="2517"/>
      <c r="H125" s="2516"/>
      <c r="I125" s="42"/>
      <c r="J125" s="42"/>
      <c r="K125" s="2459"/>
      <c r="L125" s="1580"/>
      <c r="M125" s="1580"/>
      <c r="N125" s="1580"/>
    </row>
    <row r="126" customFormat="false" ht="15.75" hidden="false" customHeight="false" outlineLevel="0" collapsed="false">
      <c r="A126" s="861" t="s">
        <v>245</v>
      </c>
      <c r="B126" s="861"/>
      <c r="C126" s="861"/>
      <c r="D126" s="862" t="s">
        <v>15</v>
      </c>
      <c r="E126" s="2458" t="n">
        <f aca="false">'Ввод данных'!C423</f>
        <v>2</v>
      </c>
      <c r="F126" s="2400"/>
      <c r="G126" s="2400"/>
      <c r="H126" s="2516"/>
      <c r="I126" s="42"/>
      <c r="J126" s="42"/>
      <c r="K126" s="2459"/>
      <c r="L126" s="1580"/>
      <c r="M126" s="1580"/>
      <c r="N126" s="1580"/>
    </row>
    <row r="127" customFormat="false" ht="15.75" hidden="false" customHeight="false" outlineLevel="0" collapsed="false">
      <c r="A127" s="861" t="s">
        <v>3649</v>
      </c>
      <c r="B127" s="861"/>
      <c r="C127" s="861"/>
      <c r="D127" s="862" t="s">
        <v>15</v>
      </c>
      <c r="E127" s="2519" t="n">
        <f aca="false">SQRT((E124/2)*(E124/2)+E125*E125)</f>
        <v>2.23606797749979</v>
      </c>
      <c r="F127" s="2400"/>
      <c r="G127" s="2400"/>
      <c r="H127" s="2516"/>
      <c r="I127" s="42"/>
      <c r="J127" s="42"/>
      <c r="K127" s="2459"/>
      <c r="L127" s="1580"/>
      <c r="M127" s="1580"/>
      <c r="N127" s="1580"/>
    </row>
    <row r="128" customFormat="false" ht="15.75" hidden="false" customHeight="false" outlineLevel="0" collapsed="false">
      <c r="A128" s="2529" t="s">
        <v>3650</v>
      </c>
      <c r="B128" s="2530"/>
      <c r="C128" s="2531"/>
      <c r="D128" s="2514" t="s">
        <v>15</v>
      </c>
      <c r="E128" s="2515" t="n">
        <f aca="false">SQRT((E126-E123)*(E126-E123)+E127*E127)</f>
        <v>2.44948974278318</v>
      </c>
      <c r="F128" s="2520"/>
      <c r="G128" s="2521"/>
      <c r="H128" s="2516"/>
      <c r="I128" s="42"/>
      <c r="J128" s="42"/>
      <c r="K128" s="2459"/>
      <c r="L128" s="1580"/>
      <c r="M128" s="1580"/>
      <c r="N128" s="1580"/>
    </row>
    <row r="129" customFormat="false" ht="15.75" hidden="false" customHeight="false" outlineLevel="0" collapsed="false">
      <c r="A129" s="2529" t="s">
        <v>3652</v>
      </c>
      <c r="B129" s="2530"/>
      <c r="C129" s="2531"/>
      <c r="D129" s="862" t="s">
        <v>15</v>
      </c>
      <c r="E129" s="2519" t="n">
        <f aca="false">SQRT(E126*E126+E127*E127)</f>
        <v>3</v>
      </c>
      <c r="F129" s="2520"/>
      <c r="G129" s="2521"/>
      <c r="H129" s="2516"/>
      <c r="I129" s="42"/>
      <c r="J129" s="42"/>
      <c r="K129" s="2459"/>
      <c r="L129" s="1580"/>
      <c r="M129" s="1580"/>
      <c r="N129" s="1580"/>
    </row>
    <row r="130" customFormat="false" ht="15.75" hidden="false" customHeight="false" outlineLevel="0" collapsed="false">
      <c r="A130" s="861" t="s">
        <v>3654</v>
      </c>
      <c r="B130" s="861"/>
      <c r="C130" s="861"/>
      <c r="D130" s="862" t="s">
        <v>820</v>
      </c>
      <c r="E130" s="2519" t="n">
        <f aca="false">E127*(E126-E123)+E127*E123*2</f>
        <v>6.70820393249937</v>
      </c>
      <c r="F130" s="2520"/>
      <c r="G130" s="2521"/>
      <c r="H130" s="2516"/>
      <c r="I130" s="42"/>
      <c r="J130" s="42"/>
      <c r="K130" s="1301"/>
      <c r="L130" s="1580"/>
      <c r="M130" s="1580"/>
      <c r="N130" s="1580"/>
    </row>
    <row r="131" customFormat="false" ht="15.75" hidden="false" customHeight="false" outlineLevel="0" collapsed="false">
      <c r="A131" s="1413" t="s">
        <v>3998</v>
      </c>
      <c r="B131" s="1413"/>
      <c r="C131" s="1413"/>
      <c r="D131" s="1304" t="s">
        <v>820</v>
      </c>
      <c r="E131" s="1965" t="n">
        <f aca="false">E127*E126</f>
        <v>4.47213595499958</v>
      </c>
      <c r="F131" s="2517"/>
      <c r="G131" s="2517"/>
      <c r="H131" s="2516"/>
      <c r="I131" s="42"/>
      <c r="J131" s="42"/>
      <c r="K131" s="2459"/>
      <c r="L131" s="1580"/>
      <c r="M131" s="1580"/>
      <c r="N131" s="1580"/>
    </row>
    <row r="132" customFormat="false" ht="15.75" hidden="false" customHeight="false" outlineLevel="0" collapsed="false">
      <c r="A132" s="1413" t="s">
        <v>3656</v>
      </c>
      <c r="B132" s="1413"/>
      <c r="C132" s="1413"/>
      <c r="D132" s="1304" t="s">
        <v>820</v>
      </c>
      <c r="E132" s="2486" t="n">
        <f aca="false">SQRT(E129*E129-(E124/2)*(E124/2))</f>
        <v>2.82842712474619</v>
      </c>
      <c r="F132" s="42"/>
      <c r="G132" s="2521"/>
      <c r="H132" s="2516"/>
      <c r="I132" s="42"/>
      <c r="J132" s="42"/>
      <c r="K132" s="2532"/>
      <c r="L132" s="1580"/>
      <c r="M132" s="1580"/>
      <c r="N132" s="1580"/>
    </row>
    <row r="133" customFormat="false" ht="15.75" hidden="false" customHeight="false" outlineLevel="0" collapsed="false">
      <c r="A133" s="861" t="s">
        <v>3658</v>
      </c>
      <c r="B133" s="861"/>
      <c r="C133" s="861"/>
      <c r="D133" s="2486" t="s">
        <v>820</v>
      </c>
      <c r="E133" s="2486" t="n">
        <f aca="false">E130*1.35</f>
        <v>9.05607530887415</v>
      </c>
      <c r="F133" s="42"/>
      <c r="G133" s="2508"/>
      <c r="H133" s="2516"/>
      <c r="I133" s="42"/>
      <c r="J133" s="42"/>
      <c r="K133" s="2466"/>
      <c r="L133" s="1580"/>
      <c r="M133" s="1580"/>
      <c r="N133" s="1580"/>
    </row>
    <row r="134" customFormat="false" ht="15.75" hidden="false" customHeight="false" outlineLevel="0" collapsed="false">
      <c r="A134" s="861" t="s">
        <v>3999</v>
      </c>
      <c r="B134" s="861"/>
      <c r="C134" s="861"/>
      <c r="D134" s="1286" t="s">
        <v>820</v>
      </c>
      <c r="E134" s="1286" t="n">
        <f aca="false">E131*1.35</f>
        <v>6.03738353924943</v>
      </c>
      <c r="F134" s="42"/>
      <c r="G134" s="2521"/>
      <c r="H134" s="2516"/>
      <c r="I134" s="42"/>
      <c r="J134" s="42"/>
      <c r="K134" s="2466"/>
      <c r="L134" s="1580"/>
      <c r="M134" s="1580"/>
      <c r="N134" s="1580"/>
    </row>
    <row r="135" customFormat="false" ht="15.75" hidden="false" customHeight="false" outlineLevel="0" collapsed="false">
      <c r="A135" s="1413" t="s">
        <v>2826</v>
      </c>
      <c r="B135" s="1413"/>
      <c r="C135" s="1413"/>
      <c r="D135" s="1413" t="s">
        <v>486</v>
      </c>
      <c r="E135" s="2518"/>
      <c r="F135" s="2467"/>
      <c r="G135" s="2521"/>
      <c r="H135" s="2516"/>
      <c r="I135" s="42"/>
      <c r="J135" s="42"/>
      <c r="K135" s="2459"/>
      <c r="L135" s="1580"/>
      <c r="M135" s="1580"/>
      <c r="N135" s="1580"/>
    </row>
    <row r="136" customFormat="false" ht="15.75" hidden="false" customHeight="false" outlineLevel="0" collapsed="false">
      <c r="A136" s="862" t="s">
        <v>3665</v>
      </c>
      <c r="B136" s="862"/>
      <c r="C136" s="862"/>
      <c r="D136" s="862" t="s">
        <v>15</v>
      </c>
      <c r="E136" s="1438" t="n">
        <v>0.15</v>
      </c>
      <c r="F136" s="2467"/>
      <c r="G136" s="2521"/>
      <c r="H136" s="2516"/>
      <c r="I136" s="42"/>
      <c r="J136" s="42"/>
      <c r="K136" s="2459"/>
      <c r="L136" s="1580"/>
      <c r="M136" s="1580"/>
      <c r="N136" s="1580"/>
    </row>
    <row r="137" customFormat="false" ht="15.75" hidden="false" customHeight="false" outlineLevel="0" collapsed="false">
      <c r="A137" s="862"/>
      <c r="B137" s="862"/>
      <c r="C137" s="862"/>
      <c r="D137" s="862" t="s">
        <v>15</v>
      </c>
      <c r="E137" s="1438" t="n">
        <v>0.2</v>
      </c>
      <c r="F137" s="2467"/>
      <c r="G137" s="2521"/>
      <c r="H137" s="2516"/>
      <c r="I137" s="42"/>
      <c r="J137" s="42"/>
      <c r="K137" s="2459"/>
      <c r="L137" s="1580"/>
      <c r="M137" s="1580"/>
      <c r="N137" s="1580"/>
    </row>
    <row r="138" customFormat="false" ht="15.75" hidden="false" customHeight="false" outlineLevel="0" collapsed="false">
      <c r="A138" s="862" t="s">
        <v>2830</v>
      </c>
      <c r="B138" s="862"/>
      <c r="C138" s="862"/>
      <c r="D138" s="862" t="s">
        <v>15</v>
      </c>
      <c r="E138" s="1438" t="n">
        <v>0.15</v>
      </c>
      <c r="F138" s="2467"/>
      <c r="G138" s="42"/>
      <c r="H138" s="2483"/>
      <c r="I138" s="42"/>
      <c r="J138" s="42"/>
      <c r="K138" s="2459"/>
      <c r="L138" s="1580"/>
      <c r="M138" s="1580"/>
      <c r="N138" s="1580"/>
    </row>
    <row r="139" customFormat="false" ht="15.75" hidden="false" customHeight="false" outlineLevel="0" collapsed="false">
      <c r="A139" s="862"/>
      <c r="B139" s="862"/>
      <c r="C139" s="862"/>
      <c r="D139" s="862" t="s">
        <v>15</v>
      </c>
      <c r="E139" s="1438" t="n">
        <v>0.2</v>
      </c>
      <c r="F139" s="2467"/>
      <c r="G139" s="42"/>
      <c r="H139" s="2483"/>
      <c r="I139" s="42"/>
      <c r="J139" s="42"/>
      <c r="K139" s="2459"/>
      <c r="L139" s="1580"/>
      <c r="M139" s="1580"/>
      <c r="N139" s="1580"/>
    </row>
    <row r="140" customFormat="false" ht="15.75" hidden="false" customHeight="false" outlineLevel="0" collapsed="false">
      <c r="A140" s="42"/>
      <c r="B140" s="42"/>
      <c r="C140" s="42"/>
      <c r="D140" s="42"/>
      <c r="E140" s="42"/>
      <c r="F140" s="2487"/>
      <c r="G140" s="42"/>
      <c r="H140" s="2483"/>
      <c r="I140" s="42"/>
      <c r="J140" s="42"/>
      <c r="K140" s="1417"/>
      <c r="L140" s="1580"/>
      <c r="M140" s="1580"/>
      <c r="N140" s="1580"/>
    </row>
    <row r="141" customFormat="false" ht="15.75" hidden="false" customHeight="false" outlineLevel="0" collapsed="false">
      <c r="A141" s="1269"/>
      <c r="B141" s="1269"/>
      <c r="C141" s="1269"/>
      <c r="D141" s="1269"/>
      <c r="E141" s="2459"/>
      <c r="F141" s="2493"/>
      <c r="G141" s="1269"/>
      <c r="H141" s="2483"/>
      <c r="I141" s="2483"/>
      <c r="J141" s="2483"/>
      <c r="K141" s="1417"/>
      <c r="L141" s="1580"/>
      <c r="M141" s="1580"/>
      <c r="N141" s="1580"/>
    </row>
    <row r="142" customFormat="false" ht="15.75" hidden="false" customHeight="false" outlineLevel="0" collapsed="false">
      <c r="A142" s="1269"/>
      <c r="B142" s="1269"/>
      <c r="C142" s="1269"/>
      <c r="D142" s="1269"/>
      <c r="E142" s="1269"/>
      <c r="F142" s="1269"/>
      <c r="G142" s="1269"/>
      <c r="H142" s="2483"/>
      <c r="I142" s="2483"/>
      <c r="J142" s="2483"/>
      <c r="K142" s="1417"/>
      <c r="L142" s="1580"/>
      <c r="M142" s="1580"/>
      <c r="N142" s="1580"/>
    </row>
    <row r="143" customFormat="false" ht="15.75" hidden="false" customHeight="false" outlineLevel="0" collapsed="false">
      <c r="A143" s="1296" t="s">
        <v>2745</v>
      </c>
      <c r="B143" s="2533"/>
      <c r="C143" s="2465" t="s">
        <v>12</v>
      </c>
      <c r="D143" s="2465" t="s">
        <v>13</v>
      </c>
      <c r="E143" s="2458" t="str">
        <f aca="false">'Ввод данных'!C79</f>
        <v>Не считать</v>
      </c>
      <c r="F143" s="2534" t="s">
        <v>2746</v>
      </c>
      <c r="G143" s="1269"/>
      <c r="H143" s="2483"/>
      <c r="I143" s="2483"/>
      <c r="J143" s="2483"/>
      <c r="K143" s="1417"/>
      <c r="L143" s="1580"/>
      <c r="M143" s="1580"/>
      <c r="N143" s="1580"/>
    </row>
    <row r="144" customFormat="false" ht="15.75" hidden="false" customHeight="false" outlineLevel="0" collapsed="false">
      <c r="A144" s="1413" t="s">
        <v>2748</v>
      </c>
      <c r="B144" s="1413"/>
      <c r="C144" s="2503" t="s">
        <v>48</v>
      </c>
      <c r="D144" s="2469"/>
      <c r="E144" s="1269"/>
      <c r="F144" s="1269"/>
      <c r="G144" s="1269"/>
      <c r="H144" s="1269"/>
      <c r="I144" s="1269"/>
      <c r="J144" s="1269"/>
      <c r="K144" s="1301"/>
      <c r="L144" s="1580"/>
      <c r="M144" s="1580"/>
      <c r="N144" s="1580"/>
    </row>
    <row r="145" customFormat="false" ht="15.75" hidden="false" customHeight="false" outlineLevel="0" collapsed="false">
      <c r="A145" s="1413" t="s">
        <v>2753</v>
      </c>
      <c r="B145" s="1413"/>
      <c r="C145" s="2503" t="s">
        <v>48</v>
      </c>
      <c r="D145" s="2469"/>
      <c r="E145" s="1269"/>
      <c r="F145" s="1269"/>
      <c r="G145" s="1269"/>
      <c r="H145" s="1269"/>
      <c r="I145" s="1269"/>
      <c r="J145" s="1269"/>
      <c r="K145" s="1301"/>
      <c r="L145" s="1580"/>
      <c r="M145" s="1580"/>
      <c r="N145" s="1580"/>
    </row>
    <row r="146" customFormat="false" ht="15.75" hidden="false" customHeight="false" outlineLevel="0" collapsed="false">
      <c r="A146" s="1413" t="s">
        <v>161</v>
      </c>
      <c r="B146" s="1413"/>
      <c r="C146" s="42" t="s">
        <v>12</v>
      </c>
      <c r="D146" s="2486" t="s">
        <v>13</v>
      </c>
      <c r="E146" s="2486" t="s">
        <v>137</v>
      </c>
      <c r="F146" s="2486" t="s">
        <v>486</v>
      </c>
      <c r="G146" s="1269"/>
      <c r="H146" s="1269"/>
      <c r="I146" s="1269"/>
      <c r="J146" s="1269"/>
      <c r="K146" s="1301"/>
      <c r="L146" s="1580"/>
      <c r="M146" s="1580"/>
      <c r="N146" s="1580"/>
    </row>
    <row r="147" customFormat="false" ht="15.75" hidden="false" customHeight="false" outlineLevel="0" collapsed="false">
      <c r="A147" s="1413" t="s">
        <v>302</v>
      </c>
      <c r="B147" s="1413"/>
      <c r="C147" s="2502" t="s">
        <v>15</v>
      </c>
      <c r="D147" s="2514" t="e">
        <f aca="false">D150*D151*F147</f>
        <v>#VALUE!</v>
      </c>
      <c r="E147" s="2458" t="str">
        <f aca="false">связи1!E567</f>
        <v>№3</v>
      </c>
      <c r="F147" s="2467" t="e">
        <f aca="false">'ввод данных'!#ref!</f>
        <v>#VALUE!</v>
      </c>
      <c r="G147" s="53" t="s">
        <v>3668</v>
      </c>
      <c r="H147" s="42"/>
      <c r="I147" s="1269"/>
      <c r="J147" s="1269"/>
      <c r="K147" s="1301"/>
      <c r="L147" s="1580"/>
      <c r="M147" s="1580"/>
      <c r="N147" s="1580"/>
    </row>
    <row r="148" customFormat="false" ht="15.75" hidden="false" customHeight="false" outlineLevel="0" collapsed="false">
      <c r="A148" s="1413" t="s">
        <v>2758</v>
      </c>
      <c r="B148" s="1413"/>
      <c r="C148" s="2502" t="s">
        <v>15</v>
      </c>
      <c r="D148" s="2514" t="e">
        <f aca="false">D150*D151*F148</f>
        <v>#VALUE!</v>
      </c>
      <c r="E148" s="2458" t="n">
        <f aca="false">связи1!E568</f>
        <v>1</v>
      </c>
      <c r="F148" s="2467" t="e">
        <f aca="false">'ввод данных'!#ref!</f>
        <v>#VALUE!</v>
      </c>
      <c r="G148" s="53" t="s">
        <v>3669</v>
      </c>
      <c r="H148" s="42"/>
      <c r="I148" s="1269"/>
      <c r="J148" s="1269"/>
      <c r="K148" s="1301"/>
      <c r="L148" s="1580"/>
      <c r="M148" s="1580"/>
      <c r="N148" s="1580"/>
    </row>
    <row r="149" customFormat="false" ht="15.75" hidden="false" customHeight="false" outlineLevel="0" collapsed="false">
      <c r="A149" s="1310" t="s">
        <v>2759</v>
      </c>
      <c r="B149" s="1310"/>
      <c r="C149" s="1361" t="s">
        <v>15</v>
      </c>
      <c r="D149" s="1338" t="n">
        <f aca="false">D150*D151*F149</f>
        <v>0</v>
      </c>
      <c r="E149" s="2458" t="n">
        <f aca="false">'Ввод данных'!E452</f>
        <v>0</v>
      </c>
      <c r="F149" s="2467" t="n">
        <f aca="false">'Ввод данных'!G456</f>
        <v>0</v>
      </c>
      <c r="G149" s="53" t="s">
        <v>3670</v>
      </c>
      <c r="H149" s="2483"/>
      <c r="I149" s="2483"/>
      <c r="J149" s="2483"/>
      <c r="K149" s="1301"/>
      <c r="L149" s="1580"/>
      <c r="M149" s="1580"/>
      <c r="N149" s="1580"/>
    </row>
    <row r="150" customFormat="false" ht="15.75" hidden="false" customHeight="false" outlineLevel="0" collapsed="false">
      <c r="A150" s="1310" t="s">
        <v>366</v>
      </c>
      <c r="B150" s="1310"/>
      <c r="C150" s="2457" t="s">
        <v>15</v>
      </c>
      <c r="D150" s="2469"/>
      <c r="E150" s="1269"/>
      <c r="F150" s="1269"/>
      <c r="G150" s="1269"/>
      <c r="H150" s="2483"/>
      <c r="I150" s="2483"/>
      <c r="J150" s="2483"/>
      <c r="K150" s="1301"/>
      <c r="L150" s="1580"/>
      <c r="M150" s="1580"/>
      <c r="N150" s="1580"/>
    </row>
    <row r="151" customFormat="false" ht="15.75" hidden="false" customHeight="false" outlineLevel="0" collapsed="false">
      <c r="A151" s="1310" t="s">
        <v>2774</v>
      </c>
      <c r="B151" s="1310"/>
      <c r="C151" s="2476" t="s">
        <v>15</v>
      </c>
      <c r="D151" s="2469"/>
      <c r="E151" s="1269"/>
      <c r="F151" s="1269"/>
      <c r="G151" s="1269"/>
      <c r="H151" s="2459"/>
      <c r="I151" s="2483"/>
      <c r="J151" s="2483"/>
      <c r="K151" s="1301"/>
      <c r="L151" s="1580"/>
      <c r="M151" s="1580"/>
      <c r="N151" s="1580"/>
    </row>
    <row r="152" customFormat="false" ht="15.75" hidden="false" customHeight="false" outlineLevel="0" collapsed="false">
      <c r="A152" s="1310" t="s">
        <v>4000</v>
      </c>
      <c r="B152" s="1310"/>
      <c r="C152" s="2476" t="s">
        <v>15</v>
      </c>
      <c r="D152" s="2469"/>
      <c r="E152" s="1269"/>
      <c r="F152" s="1269"/>
      <c r="G152" s="1269"/>
      <c r="H152" s="2459"/>
      <c r="I152" s="2483"/>
      <c r="J152" s="2483"/>
      <c r="K152" s="1301"/>
      <c r="L152" s="1580"/>
      <c r="M152" s="1580"/>
      <c r="N152" s="1580"/>
    </row>
    <row r="153" customFormat="false" ht="15.75" hidden="false" customHeight="false" outlineLevel="0" collapsed="false">
      <c r="A153" s="1310" t="s">
        <v>4001</v>
      </c>
      <c r="B153" s="1310"/>
      <c r="C153" s="2476" t="s">
        <v>15</v>
      </c>
      <c r="D153" s="2469"/>
      <c r="E153" s="1269"/>
      <c r="F153" s="1269"/>
      <c r="G153" s="1269"/>
      <c r="H153" s="2459"/>
      <c r="I153" s="2483"/>
      <c r="J153" s="2483"/>
      <c r="K153" s="1301"/>
      <c r="L153" s="1580"/>
      <c r="M153" s="1580"/>
      <c r="N153" s="1580"/>
    </row>
    <row r="154" customFormat="false" ht="15.75" hidden="false" customHeight="false" outlineLevel="0" collapsed="false">
      <c r="A154" s="1310" t="s">
        <v>4002</v>
      </c>
      <c r="B154" s="1310"/>
      <c r="C154" s="2476" t="s">
        <v>15</v>
      </c>
      <c r="D154" s="2469"/>
      <c r="E154" s="1269"/>
      <c r="F154" s="1269"/>
      <c r="G154" s="1269"/>
      <c r="H154" s="1269"/>
      <c r="I154" s="2483"/>
      <c r="J154" s="2483"/>
      <c r="K154" s="1301"/>
      <c r="L154" s="1580"/>
      <c r="M154" s="1580"/>
      <c r="N154" s="1580"/>
    </row>
    <row r="155" customFormat="false" ht="15.75" hidden="false" customHeight="false" outlineLevel="0" collapsed="false">
      <c r="A155" s="1316" t="s">
        <v>4003</v>
      </c>
      <c r="B155" s="1316"/>
      <c r="C155" s="2476" t="s">
        <v>15</v>
      </c>
      <c r="D155" s="2491" t="n">
        <f aca="false">D154-D152</f>
        <v>0</v>
      </c>
      <c r="E155" s="1269"/>
      <c r="F155" s="1269"/>
      <c r="G155" s="1269"/>
      <c r="H155" s="1269"/>
      <c r="I155" s="2483"/>
      <c r="J155" s="2483"/>
      <c r="K155" s="1301"/>
      <c r="L155" s="1580"/>
      <c r="M155" s="1580"/>
      <c r="N155" s="1580"/>
    </row>
    <row r="156" customFormat="false" ht="15.75" hidden="false" customHeight="false" outlineLevel="0" collapsed="false">
      <c r="A156" s="1310" t="s">
        <v>4004</v>
      </c>
      <c r="B156" s="1310"/>
      <c r="C156" s="2476" t="s">
        <v>15</v>
      </c>
      <c r="D156" s="2476" t="e">
        <f aca="false">(D153+D152+D155+E147+E148+E149)*E143</f>
        <v>#VALUE!</v>
      </c>
      <c r="E156" s="1269"/>
      <c r="F156" s="1269"/>
      <c r="G156" s="1269"/>
      <c r="H156" s="1269"/>
      <c r="I156" s="2483"/>
      <c r="J156" s="2483"/>
      <c r="K156" s="1301"/>
      <c r="L156" s="1580"/>
      <c r="M156" s="1580"/>
      <c r="N156" s="1580"/>
    </row>
    <row r="157" customFormat="false" ht="15.75" hidden="false" customHeight="false" outlineLevel="0" collapsed="false">
      <c r="A157" s="1310" t="s">
        <v>46</v>
      </c>
      <c r="B157" s="1310"/>
      <c r="C157" s="1269" t="s">
        <v>12</v>
      </c>
      <c r="D157" s="2535" t="s">
        <v>200</v>
      </c>
      <c r="E157" s="2476" t="s">
        <v>118</v>
      </c>
      <c r="F157" s="2491" t="s">
        <v>200</v>
      </c>
      <c r="G157" s="2491" t="s">
        <v>2749</v>
      </c>
      <c r="H157" s="2459"/>
      <c r="I157" s="2483"/>
      <c r="J157" s="2483"/>
      <c r="K157" s="2536"/>
      <c r="L157" s="1580"/>
      <c r="M157" s="1580"/>
      <c r="N157" s="1580"/>
    </row>
    <row r="158" customFormat="false" ht="15.75" hidden="false" customHeight="false" outlineLevel="0" collapsed="false">
      <c r="A158" s="1304" t="s">
        <v>2754</v>
      </c>
      <c r="B158" s="1304"/>
      <c r="C158" s="2476" t="s">
        <v>15</v>
      </c>
      <c r="D158" s="2469" t="n">
        <f aca="false">связи1!D570</f>
        <v>3</v>
      </c>
      <c r="E158" s="2458" t="n">
        <f aca="false">связи1!E570</f>
        <v>3</v>
      </c>
      <c r="F158" s="2491" t="n">
        <f aca="false">D158*E158</f>
        <v>9</v>
      </c>
      <c r="G158" s="2491" t="n">
        <f aca="false">F158*D153</f>
        <v>0</v>
      </c>
      <c r="H158" s="2459"/>
      <c r="I158" s="2483"/>
      <c r="J158" s="2483"/>
      <c r="K158" s="2493"/>
      <c r="L158" s="1580"/>
      <c r="M158" s="1580"/>
      <c r="N158" s="1580"/>
    </row>
    <row r="159" customFormat="false" ht="15.75" hidden="false" customHeight="false" outlineLevel="0" collapsed="false">
      <c r="A159" s="1304"/>
      <c r="B159" s="1304"/>
      <c r="C159" s="2476" t="s">
        <v>488</v>
      </c>
      <c r="D159" s="2469" t="n">
        <f aca="false">связи1!D571</f>
        <v>2.9</v>
      </c>
      <c r="E159" s="2458" t="n">
        <f aca="false">связи1!E571</f>
        <v>2.9</v>
      </c>
      <c r="F159" s="2491" t="n">
        <f aca="false">D159*E159</f>
        <v>8.41</v>
      </c>
      <c r="G159" s="2491" t="n">
        <f aca="false">F159*D153</f>
        <v>0</v>
      </c>
      <c r="H159" s="2459"/>
      <c r="I159" s="2483"/>
      <c r="J159" s="2483"/>
      <c r="K159" s="1301"/>
      <c r="L159" s="1580"/>
      <c r="M159" s="1580"/>
      <c r="N159" s="1580"/>
    </row>
    <row r="160" customFormat="false" ht="15.75" hidden="false" customHeight="false" outlineLevel="0" collapsed="false">
      <c r="A160" s="1304" t="s">
        <v>2757</v>
      </c>
      <c r="B160" s="1304"/>
      <c r="C160" s="2476" t="s">
        <v>15</v>
      </c>
      <c r="D160" s="2469" t="n">
        <f aca="false">связи1!D574</f>
        <v>2.2</v>
      </c>
      <c r="E160" s="2458" t="n">
        <f aca="false">связи1!E574</f>
        <v>2.2</v>
      </c>
      <c r="F160" s="2491" t="n">
        <f aca="false">D160*E160</f>
        <v>4.84</v>
      </c>
      <c r="G160" s="2491" t="n">
        <f aca="false">F160*D153</f>
        <v>0</v>
      </c>
      <c r="H160" s="2459"/>
      <c r="I160" s="2483"/>
      <c r="J160" s="2483"/>
      <c r="K160" s="1301"/>
      <c r="L160" s="1580"/>
      <c r="M160" s="1580"/>
      <c r="N160" s="1580"/>
    </row>
    <row r="161" customFormat="false" ht="15.75" hidden="false" customHeight="false" outlineLevel="0" collapsed="false">
      <c r="A161" s="1304"/>
      <c r="B161" s="1304"/>
      <c r="C161" s="2476" t="s">
        <v>15</v>
      </c>
      <c r="D161" s="2469" t="n">
        <f aca="false">связи1!D575</f>
        <v>1</v>
      </c>
      <c r="E161" s="2458" t="n">
        <f aca="false">связи1!E575</f>
        <v>2.9</v>
      </c>
      <c r="F161" s="2491" t="n">
        <f aca="false">D161*E161</f>
        <v>2.9</v>
      </c>
      <c r="G161" s="2491" t="n">
        <f aca="false">F161*D153</f>
        <v>0</v>
      </c>
      <c r="H161" s="2459"/>
      <c r="I161" s="2483"/>
      <c r="J161" s="2483"/>
      <c r="K161" s="1301"/>
      <c r="L161" s="1580"/>
      <c r="M161" s="1580"/>
      <c r="N161" s="1580"/>
    </row>
    <row r="162" customFormat="false" ht="15.75" hidden="false" customHeight="false" outlineLevel="0" collapsed="false">
      <c r="A162" s="1304" t="s">
        <v>2760</v>
      </c>
      <c r="B162" s="1304"/>
      <c r="C162" s="2476" t="s">
        <v>488</v>
      </c>
      <c r="D162" s="2469" t="n">
        <f aca="false">связи1!D576</f>
        <v>2.1</v>
      </c>
      <c r="E162" s="2458"/>
      <c r="F162" s="2491" t="n">
        <f aca="false">D162*E162</f>
        <v>0</v>
      </c>
      <c r="G162" s="2491" t="n">
        <f aca="false">F162*D152*D145</f>
        <v>0</v>
      </c>
      <c r="H162" s="2483"/>
      <c r="I162" s="2483"/>
      <c r="J162" s="2483"/>
      <c r="K162" s="1301"/>
      <c r="L162" s="1580"/>
      <c r="M162" s="1580"/>
      <c r="N162" s="1580"/>
    </row>
    <row r="163" customFormat="false" ht="15.75" hidden="false" customHeight="false" outlineLevel="0" collapsed="false">
      <c r="A163" s="1304"/>
      <c r="B163" s="1304"/>
      <c r="C163" s="2476" t="s">
        <v>15</v>
      </c>
      <c r="D163" s="2469" t="e">
        <f aca="false">'ввод данных'!#ref!</f>
        <v>#VALUE!</v>
      </c>
      <c r="E163" s="2458" t="e">
        <f aca="false">'ввод данных'!#ref!</f>
        <v>#VALUE!</v>
      </c>
      <c r="F163" s="2491" t="e">
        <f aca="false">D163*E163</f>
        <v>#VALUE!</v>
      </c>
      <c r="G163" s="2491" t="e">
        <f aca="false">F163*D152*D145</f>
        <v>#VALUE!</v>
      </c>
      <c r="H163" s="2483"/>
      <c r="I163" s="2483"/>
      <c r="J163" s="2483"/>
      <c r="K163" s="1301"/>
      <c r="L163" s="1580"/>
      <c r="M163" s="1580"/>
      <c r="N163" s="1580"/>
    </row>
    <row r="164" customFormat="false" ht="15.75" hidden="false" customHeight="false" outlineLevel="0" collapsed="false">
      <c r="A164" s="1304" t="s">
        <v>2760</v>
      </c>
      <c r="B164" s="1304"/>
      <c r="C164" s="2476" t="s">
        <v>15</v>
      </c>
      <c r="D164" s="2469" t="e">
        <f aca="false">'ввод данных'!#ref!</f>
        <v>#VALUE!</v>
      </c>
      <c r="E164" s="2458" t="e">
        <f aca="false">'ввод данных'!#ref!</f>
        <v>#VALUE!</v>
      </c>
      <c r="F164" s="2491" t="e">
        <f aca="false">D164*E164</f>
        <v>#VALUE!</v>
      </c>
      <c r="G164" s="1176" t="e">
        <f aca="false">F164*D152*D145</f>
        <v>#VALUE!</v>
      </c>
      <c r="H164" s="1311"/>
      <c r="I164" s="1311"/>
      <c r="J164" s="2483"/>
      <c r="K164" s="1301"/>
      <c r="L164" s="1580"/>
      <c r="M164" s="1580"/>
      <c r="N164" s="1580"/>
    </row>
    <row r="165" customFormat="false" ht="15.75" hidden="false" customHeight="false" outlineLevel="0" collapsed="false">
      <c r="A165" s="1304"/>
      <c r="B165" s="1304"/>
      <c r="C165" s="2476" t="s">
        <v>15</v>
      </c>
      <c r="D165" s="2469" t="e">
        <f aca="false">'ввод данных'!#ref!</f>
        <v>#VALUE!</v>
      </c>
      <c r="E165" s="2458" t="e">
        <f aca="false">'ввод данных'!#ref!</f>
        <v>#VALUE!</v>
      </c>
      <c r="F165" s="2491" t="e">
        <f aca="false">D165*E165</f>
        <v>#VALUE!</v>
      </c>
      <c r="G165" s="1176" t="e">
        <f aca="false">F165*D152*D145</f>
        <v>#VALUE!</v>
      </c>
      <c r="H165" s="1311"/>
      <c r="I165" s="1311"/>
      <c r="J165" s="1619"/>
      <c r="K165" s="1301"/>
      <c r="L165" s="1580"/>
      <c r="M165" s="1580"/>
      <c r="N165" s="1580"/>
    </row>
    <row r="166" customFormat="false" ht="15.75" hidden="false" customHeight="false" outlineLevel="0" collapsed="false">
      <c r="A166" s="1359" t="s">
        <v>2778</v>
      </c>
      <c r="B166" s="1359"/>
      <c r="C166" s="1359"/>
      <c r="D166" s="1359"/>
      <c r="E166" s="1359"/>
      <c r="F166" s="2491" t="e">
        <f aca="false">SUM(F158:F165)</f>
        <v>#VALUE!</v>
      </c>
      <c r="G166" s="2491" t="e">
        <f aca="false">SUM(G158:G165)</f>
        <v>#VALUE!</v>
      </c>
      <c r="H166" s="2483"/>
      <c r="I166" s="2483"/>
      <c r="J166" s="1311"/>
      <c r="K166" s="1301"/>
      <c r="L166" s="1580"/>
      <c r="M166" s="1580"/>
      <c r="N166" s="1580"/>
    </row>
    <row r="167" customFormat="false" ht="15.75" hidden="false" customHeight="false" outlineLevel="0" collapsed="false">
      <c r="A167" s="1363" t="s">
        <v>548</v>
      </c>
      <c r="B167" s="1364"/>
      <c r="C167" s="1365" t="s">
        <v>12</v>
      </c>
      <c r="D167" s="1365" t="s">
        <v>2779</v>
      </c>
      <c r="E167" s="1365" t="s">
        <v>2780</v>
      </c>
      <c r="F167" s="1365" t="s">
        <v>118</v>
      </c>
      <c r="G167" s="2465" t="s">
        <v>2749</v>
      </c>
      <c r="H167" s="2483"/>
      <c r="I167" s="1429"/>
      <c r="J167" s="1619"/>
      <c r="K167" s="1301"/>
      <c r="L167" s="1580"/>
      <c r="M167" s="1580"/>
      <c r="N167" s="1580"/>
    </row>
    <row r="168" customFormat="false" ht="15.75" hidden="false" customHeight="false" outlineLevel="0" collapsed="false">
      <c r="A168" s="1304" t="s">
        <v>550</v>
      </c>
      <c r="B168" s="1304"/>
      <c r="C168" s="1304" t="s">
        <v>15</v>
      </c>
      <c r="D168" s="2469" t="e">
        <f aca="false">'ввод данных'!#ref!</f>
        <v>#VALUE!</v>
      </c>
      <c r="E168" s="2458" t="e">
        <f aca="false">'ввод данных'!#ref!</f>
        <v>#VALUE!</v>
      </c>
      <c r="F168" s="2467" t="n">
        <f aca="false">'Ввод данных'!G467</f>
        <v>0</v>
      </c>
      <c r="G168" s="1368" t="e">
        <f aca="false">D168*E168*F168</f>
        <v>#VALUE!</v>
      </c>
      <c r="H168" s="2483"/>
      <c r="I168" s="1271"/>
      <c r="J168" s="1619"/>
      <c r="K168" s="1301"/>
      <c r="L168" s="1580"/>
      <c r="M168" s="1580"/>
      <c r="N168" s="1580"/>
    </row>
    <row r="169" customFormat="false" ht="15.75" hidden="false" customHeight="false" outlineLevel="0" collapsed="false">
      <c r="A169" s="1304"/>
      <c r="B169" s="1304"/>
      <c r="C169" s="1304" t="s">
        <v>15</v>
      </c>
      <c r="D169" s="2469" t="e">
        <f aca="false">'ввод данных'!#ref!</f>
        <v>#VALUE!</v>
      </c>
      <c r="E169" s="2458" t="e">
        <f aca="false">'ввод данных'!#ref!</f>
        <v>#VALUE!</v>
      </c>
      <c r="F169" s="2467" t="n">
        <f aca="false">'Ввод данных'!G468</f>
        <v>0</v>
      </c>
      <c r="G169" s="1368" t="e">
        <f aca="false">D169*E169*F169</f>
        <v>#VALUE!</v>
      </c>
      <c r="H169" s="2483"/>
      <c r="I169" s="1429"/>
      <c r="J169" s="1619"/>
      <c r="K169" s="1301"/>
      <c r="L169" s="1580"/>
      <c r="M169" s="1580"/>
      <c r="N169" s="1580"/>
    </row>
    <row r="170" customFormat="false" ht="15.75" hidden="false" customHeight="false" outlineLevel="0" collapsed="false">
      <c r="A170" s="1304"/>
      <c r="B170" s="1304"/>
      <c r="C170" s="1304" t="s">
        <v>15</v>
      </c>
      <c r="D170" s="2469" t="e">
        <f aca="false">'ввод данных'!#ref!</f>
        <v>#VALUE!</v>
      </c>
      <c r="E170" s="2458" t="e">
        <f aca="false">'ввод данных'!#ref!</f>
        <v>#VALUE!</v>
      </c>
      <c r="F170" s="2467" t="n">
        <f aca="false">'Ввод данных'!G469</f>
        <v>0</v>
      </c>
      <c r="G170" s="1368" t="e">
        <f aca="false">D170*E170*F170</f>
        <v>#VALUE!</v>
      </c>
      <c r="H170" s="2537"/>
      <c r="I170" s="1429"/>
      <c r="J170" s="1619"/>
      <c r="K170" s="1301"/>
      <c r="L170" s="1580"/>
      <c r="M170" s="1580"/>
      <c r="N170" s="1580"/>
    </row>
    <row r="171" customFormat="false" ht="15.75" hidden="false" customHeight="false" outlineLevel="0" collapsed="false">
      <c r="A171" s="1401" t="s">
        <v>2791</v>
      </c>
      <c r="B171" s="1401"/>
      <c r="C171" s="1304" t="s">
        <v>15</v>
      </c>
      <c r="D171" s="2469" t="e">
        <f aca="false">'ввод данных'!#ref!</f>
        <v>#VALUE!</v>
      </c>
      <c r="E171" s="2458"/>
      <c r="F171" s="2467" t="e">
        <f aca="false">'ввод данных'!#ref!</f>
        <v>#VALUE!</v>
      </c>
      <c r="G171" s="1368" t="e">
        <f aca="false">D171*E171*F171</f>
        <v>#VALUE!</v>
      </c>
      <c r="H171" s="1311"/>
      <c r="I171" s="1429"/>
      <c r="J171" s="1619"/>
      <c r="K171" s="1301"/>
      <c r="L171" s="1580"/>
      <c r="M171" s="1580"/>
      <c r="N171" s="1580"/>
    </row>
    <row r="172" customFormat="false" ht="15.75" hidden="false" customHeight="false" outlineLevel="0" collapsed="false">
      <c r="A172" s="1401"/>
      <c r="B172" s="1401"/>
      <c r="C172" s="1304" t="s">
        <v>15</v>
      </c>
      <c r="D172" s="2469"/>
      <c r="E172" s="2458"/>
      <c r="F172" s="2467"/>
      <c r="G172" s="1368" t="n">
        <f aca="false">D172*E172*F172</f>
        <v>0</v>
      </c>
      <c r="H172" s="2537"/>
      <c r="I172" s="1429"/>
      <c r="J172" s="1619"/>
      <c r="K172" s="1301"/>
      <c r="L172" s="1580"/>
      <c r="M172" s="1580"/>
      <c r="N172" s="1580"/>
    </row>
    <row r="173" customFormat="false" ht="15.75" hidden="false" customHeight="false" outlineLevel="0" collapsed="false">
      <c r="A173" s="1310" t="s">
        <v>1839</v>
      </c>
      <c r="B173" s="1310"/>
      <c r="C173" s="1334" t="s">
        <v>15</v>
      </c>
      <c r="D173" s="2469" t="n">
        <f aca="false">связи1!D577</f>
        <v>0.6</v>
      </c>
      <c r="E173" s="2458" t="n">
        <f aca="false">связи1!E577</f>
        <v>0.6</v>
      </c>
      <c r="F173" s="2467" t="e">
        <f aca="false">'ввод данных'!#ref!</f>
        <v>#VALUE!</v>
      </c>
      <c r="G173" s="1176" t="e">
        <f aca="false">D173*E173*F173</f>
        <v>#VALUE!</v>
      </c>
      <c r="H173" s="1311"/>
      <c r="I173" s="1311"/>
      <c r="J173" s="1619"/>
      <c r="K173" s="1301"/>
      <c r="L173" s="1580"/>
      <c r="M173" s="1580"/>
      <c r="N173" s="1580"/>
    </row>
    <row r="174" customFormat="false" ht="15.75" hidden="false" customHeight="false" outlineLevel="0" collapsed="false">
      <c r="A174" s="1413" t="s">
        <v>553</v>
      </c>
      <c r="B174" s="1413"/>
      <c r="C174" s="1334" t="s">
        <v>15</v>
      </c>
      <c r="D174" s="2469" t="n">
        <f aca="false">связи1!D579</f>
        <v>0.5</v>
      </c>
      <c r="E174" s="2458" t="n">
        <f aca="false">связи1!E579</f>
        <v>0.8</v>
      </c>
      <c r="F174" s="2467" t="n">
        <f aca="false">связи1!F566</f>
        <v>0</v>
      </c>
      <c r="G174" s="1176" t="n">
        <f aca="false">D174*E174*F174</f>
        <v>0</v>
      </c>
      <c r="H174" s="2538"/>
      <c r="I174" s="1619" t="s">
        <v>4005</v>
      </c>
      <c r="J174" s="1619"/>
      <c r="K174" s="1301"/>
      <c r="L174" s="1580"/>
      <c r="M174" s="1580"/>
      <c r="N174" s="1580"/>
    </row>
    <row r="175" customFormat="false" ht="15.75" hidden="false" customHeight="false" outlineLevel="0" collapsed="false">
      <c r="A175" s="1343" t="s">
        <v>2797</v>
      </c>
      <c r="B175" s="1415"/>
      <c r="C175" s="1415"/>
      <c r="D175" s="1415"/>
      <c r="E175" s="1415"/>
      <c r="F175" s="1416"/>
      <c r="G175" s="1536" t="e">
        <f aca="false">SUM(G168:G174)*E143</f>
        <v>#VALUE!</v>
      </c>
      <c r="H175" s="2537"/>
      <c r="I175" s="1429"/>
      <c r="J175" s="1619"/>
      <c r="K175" s="1301"/>
      <c r="L175" s="1580"/>
      <c r="M175" s="1580"/>
      <c r="N175" s="1580"/>
    </row>
    <row r="176" customFormat="false" ht="15.75" hidden="false" customHeight="false" outlineLevel="0" collapsed="false">
      <c r="A176" s="1176" t="s">
        <v>4006</v>
      </c>
      <c r="B176" s="1176"/>
      <c r="C176" s="1176" t="s">
        <v>820</v>
      </c>
      <c r="D176" s="1176" t="e">
        <f aca="false">G166-G171-G172</f>
        <v>#VALUE!</v>
      </c>
      <c r="E176" s="1311"/>
      <c r="F176" s="1311"/>
      <c r="G176" s="1271"/>
      <c r="H176" s="2537"/>
      <c r="I176" s="1429"/>
      <c r="J176" s="1619"/>
      <c r="K176" s="1301"/>
      <c r="L176" s="1580"/>
      <c r="M176" s="1580"/>
      <c r="N176" s="1580"/>
    </row>
    <row r="177" customFormat="false" ht="15.75" hidden="false" customHeight="false" outlineLevel="0" collapsed="false">
      <c r="A177" s="1176" t="s">
        <v>2846</v>
      </c>
      <c r="B177" s="1176"/>
      <c r="C177" s="1176" t="s">
        <v>820</v>
      </c>
      <c r="D177" s="1176" t="e">
        <f aca="false">(D153*D144+D152*D145+E147*F147+E148*F148+E149*F149)*(D151+D151+D150)-G168-G169-G170-G173-G174*H174</f>
        <v>#VALUE!</v>
      </c>
      <c r="E177" s="1311"/>
      <c r="F177" s="1311"/>
      <c r="G177" s="1271"/>
      <c r="H177" s="2537"/>
      <c r="I177" s="1429"/>
      <c r="J177" s="1619"/>
      <c r="K177" s="1301"/>
      <c r="L177" s="1580"/>
      <c r="M177" s="1580"/>
      <c r="N177" s="1580"/>
    </row>
    <row r="178" customFormat="false" ht="15.75" hidden="false" customHeight="false" outlineLevel="0" collapsed="false">
      <c r="A178" s="1176" t="s">
        <v>4007</v>
      </c>
      <c r="B178" s="1176"/>
      <c r="C178" s="1176" t="s">
        <v>820</v>
      </c>
      <c r="D178" s="1176" t="e">
        <f aca="false">D176*2+D177</f>
        <v>#VALUE!</v>
      </c>
      <c r="E178" s="1311"/>
      <c r="F178" s="1311"/>
      <c r="G178" s="1271"/>
      <c r="H178" s="2537"/>
      <c r="I178" s="1429"/>
      <c r="J178" s="1619"/>
      <c r="K178" s="1301"/>
      <c r="L178" s="1580"/>
      <c r="M178" s="1580"/>
      <c r="N178" s="1580"/>
    </row>
    <row r="179" customFormat="false" ht="15.75" hidden="false" customHeight="false" outlineLevel="0" collapsed="false">
      <c r="A179" s="2539" t="s">
        <v>2790</v>
      </c>
      <c r="B179" s="2540"/>
      <c r="C179" s="2541" t="s">
        <v>12</v>
      </c>
      <c r="D179" s="2541" t="s">
        <v>200</v>
      </c>
      <c r="E179" s="2458" t="n">
        <f aca="false">связи1!E576</f>
        <v>1.5</v>
      </c>
      <c r="F179" s="1272" t="s">
        <v>4008</v>
      </c>
      <c r="G179" s="1271"/>
      <c r="H179" s="2537"/>
      <c r="I179" s="1429"/>
      <c r="J179" s="1619"/>
      <c r="K179" s="1301"/>
      <c r="L179" s="1580"/>
      <c r="M179" s="1580"/>
      <c r="N179" s="1580"/>
    </row>
    <row r="180" customFormat="false" ht="15.75" hidden="false" customHeight="false" outlineLevel="0" collapsed="false">
      <c r="A180" s="1402" t="s">
        <v>2980</v>
      </c>
      <c r="B180" s="2542"/>
      <c r="C180" s="1404" t="s">
        <v>15</v>
      </c>
      <c r="D180" s="1404" t="n">
        <f aca="false">SQRT(D151*D151+D155*D155)</f>
        <v>0</v>
      </c>
      <c r="E180" s="1421"/>
      <c r="F180" s="1421"/>
      <c r="G180" s="1271"/>
      <c r="H180" s="2537"/>
      <c r="I180" s="1429"/>
      <c r="J180" s="1619"/>
      <c r="K180" s="1301"/>
      <c r="L180" s="1580"/>
      <c r="M180" s="1580"/>
      <c r="N180" s="1580"/>
    </row>
    <row r="181" customFormat="false" ht="15.75" hidden="false" customHeight="false" outlineLevel="0" collapsed="false">
      <c r="A181" s="1402" t="s">
        <v>3692</v>
      </c>
      <c r="B181" s="2542"/>
      <c r="C181" s="1404" t="s">
        <v>15</v>
      </c>
      <c r="D181" s="2469" t="n">
        <f aca="false">связи1!C577</f>
        <v>0.5</v>
      </c>
      <c r="E181" s="1421"/>
      <c r="F181" s="1421"/>
      <c r="G181" s="1271"/>
      <c r="H181" s="2537"/>
      <c r="I181" s="1429"/>
      <c r="J181" s="1619"/>
      <c r="K181" s="1301"/>
      <c r="L181" s="1580"/>
      <c r="M181" s="1580"/>
      <c r="N181" s="1580"/>
    </row>
    <row r="182" customFormat="false" ht="15.75" hidden="false" customHeight="false" outlineLevel="0" collapsed="false">
      <c r="A182" s="1402" t="s">
        <v>4009</v>
      </c>
      <c r="B182" s="2542"/>
      <c r="C182" s="1404" t="s">
        <v>15</v>
      </c>
      <c r="D182" s="2469" t="n">
        <f aca="false">связи1!C579</f>
        <v>0.5</v>
      </c>
      <c r="E182" s="1421"/>
      <c r="F182" s="1421"/>
      <c r="G182" s="1271"/>
      <c r="H182" s="1413" t="s">
        <v>2748</v>
      </c>
      <c r="I182" s="1413"/>
      <c r="J182" s="2503" t="s">
        <v>48</v>
      </c>
      <c r="K182" s="2469" t="e">
        <f aca="false">'ввод данных'!#ref!</f>
        <v>#VALUE!</v>
      </c>
      <c r="L182" s="1580"/>
      <c r="M182" s="1580"/>
      <c r="N182" s="1580"/>
    </row>
    <row r="183" customFormat="false" ht="15.75" hidden="false" customHeight="false" outlineLevel="0" collapsed="false">
      <c r="A183" s="1402" t="s">
        <v>2807</v>
      </c>
      <c r="B183" s="2543"/>
      <c r="C183" s="1404" t="s">
        <v>820</v>
      </c>
      <c r="D183" s="1404" t="n">
        <f aca="false">D180*D150</f>
        <v>0</v>
      </c>
      <c r="E183" s="1421"/>
      <c r="F183" s="1421"/>
      <c r="G183" s="1271"/>
      <c r="H183" s="1413" t="s">
        <v>2753</v>
      </c>
      <c r="I183" s="1413"/>
      <c r="J183" s="2503" t="s">
        <v>48</v>
      </c>
      <c r="K183" s="2469" t="e">
        <f aca="false">'ввод данных'!#ref!</f>
        <v>#VALUE!</v>
      </c>
      <c r="L183" s="1580"/>
      <c r="M183" s="1580"/>
      <c r="N183" s="1580"/>
    </row>
    <row r="184" customFormat="false" ht="15.75" hidden="false" customHeight="false" outlineLevel="0" collapsed="false">
      <c r="A184" s="1402" t="s">
        <v>2808</v>
      </c>
      <c r="B184" s="2543"/>
      <c r="C184" s="1404" t="s">
        <v>820</v>
      </c>
      <c r="D184" s="1404" t="n">
        <f aca="false">(D180+D181)*(D150+D182+D182)</f>
        <v>0.5</v>
      </c>
      <c r="E184" s="1421"/>
      <c r="F184" s="1421"/>
      <c r="G184" s="1271"/>
      <c r="H184" s="1286" t="s">
        <v>2836</v>
      </c>
      <c r="I184" s="2514" t="s">
        <v>820</v>
      </c>
      <c r="J184" s="1286" t="n">
        <f aca="false">K142*K143*K136+K142*K143*K137</f>
        <v>0</v>
      </c>
      <c r="K184" s="1301"/>
      <c r="L184" s="1580"/>
      <c r="M184" s="1580"/>
      <c r="N184" s="1580"/>
    </row>
    <row r="185" customFormat="false" ht="15.75" hidden="false" customHeight="false" outlineLevel="0" collapsed="false">
      <c r="A185" s="1413" t="s">
        <v>2826</v>
      </c>
      <c r="B185" s="1413"/>
      <c r="C185" s="1413"/>
      <c r="D185" s="1413" t="s">
        <v>486</v>
      </c>
      <c r="E185" s="2518" t="s">
        <v>137</v>
      </c>
      <c r="F185" s="2467"/>
      <c r="G185" s="1311"/>
      <c r="H185" s="1176" t="s">
        <v>4006</v>
      </c>
      <c r="I185" s="1176"/>
      <c r="J185" s="1176" t="s">
        <v>820</v>
      </c>
      <c r="K185" s="1176" t="n">
        <f aca="false">N175-N180-N181</f>
        <v>0</v>
      </c>
      <c r="L185" s="1580"/>
      <c r="M185" s="1580"/>
      <c r="N185" s="1580"/>
    </row>
    <row r="186" customFormat="false" ht="15.75" hidden="false" customHeight="false" outlineLevel="0" collapsed="false">
      <c r="A186" s="862" t="s">
        <v>3665</v>
      </c>
      <c r="B186" s="862"/>
      <c r="C186" s="862"/>
      <c r="D186" s="862" t="s">
        <v>15</v>
      </c>
      <c r="E186" s="1438" t="n">
        <v>0.15</v>
      </c>
      <c r="F186" s="2467" t="n">
        <f aca="false">связи1!F569</f>
        <v>3</v>
      </c>
      <c r="G186" s="1311"/>
      <c r="H186" s="1176" t="s">
        <v>2846</v>
      </c>
      <c r="I186" s="1176"/>
      <c r="J186" s="1176" t="s">
        <v>820</v>
      </c>
      <c r="K186" s="1176" t="n">
        <f aca="false">(K162*K153+K161*K154+L156*M156+L157*M157+L158*M158)*(K160+K160+K159)-N177-N178-N179-N182-N183</f>
        <v>0</v>
      </c>
      <c r="L186" s="1580"/>
      <c r="M186" s="1580"/>
      <c r="N186" s="1580"/>
    </row>
    <row r="187" customFormat="false" ht="15.75" hidden="false" customHeight="false" outlineLevel="0" collapsed="false">
      <c r="A187" s="862"/>
      <c r="B187" s="862"/>
      <c r="C187" s="862"/>
      <c r="D187" s="862" t="s">
        <v>15</v>
      </c>
      <c r="E187" s="1438" t="n">
        <v>0.2</v>
      </c>
      <c r="F187" s="2467" t="n">
        <f aca="false">связи1!F570</f>
        <v>5</v>
      </c>
      <c r="G187" s="1311"/>
      <c r="H187" s="1176" t="s">
        <v>4007</v>
      </c>
      <c r="I187" s="1176"/>
      <c r="J187" s="1176" t="s">
        <v>820</v>
      </c>
      <c r="K187" s="1176" t="n">
        <f aca="false">K185*2+K186</f>
        <v>0</v>
      </c>
      <c r="L187" s="1580"/>
      <c r="M187" s="1580"/>
      <c r="N187" s="1580"/>
    </row>
    <row r="188" customFormat="false" ht="15.75" hidden="false" customHeight="false" outlineLevel="0" collapsed="false">
      <c r="A188" s="862" t="s">
        <v>2830</v>
      </c>
      <c r="B188" s="862"/>
      <c r="C188" s="862"/>
      <c r="D188" s="862" t="s">
        <v>15</v>
      </c>
      <c r="E188" s="1438" t="n">
        <v>0.15</v>
      </c>
      <c r="F188" s="2467" t="n">
        <f aca="false">связи1!F571</f>
        <v>3</v>
      </c>
      <c r="G188" s="1311"/>
      <c r="H188" s="1343" t="s">
        <v>2797</v>
      </c>
      <c r="I188" s="1415"/>
      <c r="J188" s="1415"/>
      <c r="K188" s="1415"/>
      <c r="L188" s="1580"/>
      <c r="M188" s="1580"/>
      <c r="N188" s="1580"/>
    </row>
    <row r="189" customFormat="false" ht="15.75" hidden="false" customHeight="false" outlineLevel="0" collapsed="false">
      <c r="A189" s="862"/>
      <c r="B189" s="862"/>
      <c r="C189" s="862"/>
      <c r="D189" s="862" t="s">
        <v>15</v>
      </c>
      <c r="E189" s="1438" t="n">
        <v>0.2</v>
      </c>
      <c r="F189" s="2467" t="n">
        <f aca="false">связи1!F572</f>
        <v>4</v>
      </c>
      <c r="G189" s="1311"/>
      <c r="H189" s="1310" t="s">
        <v>366</v>
      </c>
      <c r="I189" s="1310"/>
      <c r="J189" s="2457" t="s">
        <v>15</v>
      </c>
      <c r="K189" s="2469"/>
      <c r="L189" s="1580"/>
      <c r="M189" s="1580"/>
      <c r="N189" s="1580"/>
    </row>
    <row r="190" customFormat="false" ht="15.75" hidden="false" customHeight="false" outlineLevel="0" collapsed="false">
      <c r="A190" s="2544" t="s">
        <v>2833</v>
      </c>
      <c r="B190" s="2544"/>
      <c r="C190" s="2544"/>
      <c r="D190" s="2544"/>
      <c r="E190" s="2458" t="e">
        <f aca="false">'ввод данных'!#ref!</f>
        <v>#VALUE!</v>
      </c>
      <c r="F190" s="53" t="s">
        <v>3715</v>
      </c>
      <c r="G190" s="1302"/>
      <c r="H190" s="1310" t="s">
        <v>2774</v>
      </c>
      <c r="I190" s="1310"/>
      <c r="J190" s="2476" t="s">
        <v>15</v>
      </c>
      <c r="K190" s="2469"/>
      <c r="L190" s="1580"/>
      <c r="M190" s="1580"/>
      <c r="N190" s="1580"/>
    </row>
    <row r="191" customFormat="false" ht="15.75" hidden="false" customHeight="false" outlineLevel="0" collapsed="false">
      <c r="A191" s="1286" t="s">
        <v>2773</v>
      </c>
      <c r="B191" s="2514" t="s">
        <v>15</v>
      </c>
      <c r="C191" s="1286" t="n">
        <f aca="false">D150+D151*2</f>
        <v>0</v>
      </c>
      <c r="D191" s="53"/>
      <c r="E191" s="53"/>
      <c r="F191" s="1421"/>
      <c r="G191" s="1302"/>
      <c r="H191" s="1310" t="s">
        <v>4000</v>
      </c>
      <c r="I191" s="1310"/>
      <c r="J191" s="2476" t="s">
        <v>15</v>
      </c>
      <c r="K191" s="2469"/>
      <c r="L191" s="1580"/>
      <c r="M191" s="1580"/>
      <c r="N191" s="1580"/>
    </row>
    <row r="192" customFormat="false" ht="15.75" hidden="false" customHeight="false" outlineLevel="0" collapsed="false">
      <c r="A192" s="1286" t="s">
        <v>2836</v>
      </c>
      <c r="B192" s="2514" t="s">
        <v>820</v>
      </c>
      <c r="C192" s="1286" t="n">
        <f aca="false">D150*D151*D144+D150*D151*D145</f>
        <v>0</v>
      </c>
      <c r="D192" s="53"/>
      <c r="E192" s="53"/>
      <c r="F192" s="1421"/>
      <c r="G192" s="1302"/>
      <c r="H192" s="1310" t="s">
        <v>4001</v>
      </c>
      <c r="I192" s="1310"/>
      <c r="J192" s="2476" t="s">
        <v>15</v>
      </c>
      <c r="K192" s="2469"/>
      <c r="L192" s="1580"/>
      <c r="M192" s="1580"/>
      <c r="N192" s="1580"/>
    </row>
    <row r="193" customFormat="false" ht="15.75" hidden="false" customHeight="false" outlineLevel="0" collapsed="false">
      <c r="A193" s="53"/>
      <c r="B193" s="1179"/>
      <c r="C193" s="53"/>
      <c r="D193" s="53"/>
      <c r="E193" s="53"/>
      <c r="F193" s="1421"/>
      <c r="G193" s="1302"/>
      <c r="H193" s="1310" t="s">
        <v>4002</v>
      </c>
      <c r="I193" s="1310"/>
      <c r="J193" s="2476" t="s">
        <v>15</v>
      </c>
      <c r="K193" s="2469"/>
      <c r="L193" s="1580"/>
      <c r="M193" s="1580"/>
      <c r="N193" s="1580"/>
    </row>
    <row r="194" customFormat="false" ht="15.75" hidden="false" customHeight="false" outlineLevel="0" collapsed="false">
      <c r="A194" s="53"/>
      <c r="B194" s="1179"/>
      <c r="C194" s="53"/>
      <c r="D194" s="53"/>
      <c r="E194" s="53"/>
      <c r="F194" s="1421"/>
      <c r="G194" s="1302"/>
      <c r="H194" s="1316" t="s">
        <v>4003</v>
      </c>
      <c r="I194" s="1316"/>
      <c r="J194" s="2476" t="s">
        <v>15</v>
      </c>
      <c r="K194" s="2491" t="n">
        <f aca="false">K193-K191</f>
        <v>0</v>
      </c>
      <c r="L194" s="1580"/>
      <c r="M194" s="1580"/>
      <c r="N194" s="1580"/>
    </row>
    <row r="195" customFormat="false" ht="15.75" hidden="false" customHeight="false" outlineLevel="0" collapsed="false">
      <c r="A195" s="2544" t="s">
        <v>45</v>
      </c>
      <c r="B195" s="1365" t="s">
        <v>12</v>
      </c>
      <c r="C195" s="1365" t="s">
        <v>13</v>
      </c>
      <c r="D195" s="2469" t="str">
        <f aca="false">'Ввод данных'!C60</f>
        <v>Не считать</v>
      </c>
      <c r="E195" s="2545" t="s">
        <v>3667</v>
      </c>
      <c r="F195" s="2546"/>
      <c r="G195" s="2547"/>
      <c r="H195" s="1413" t="s">
        <v>302</v>
      </c>
      <c r="I195" s="1413"/>
      <c r="J195" s="2502" t="s">
        <v>15</v>
      </c>
      <c r="K195" s="2514" t="n">
        <f aca="false">K198*K199*M195</f>
        <v>0</v>
      </c>
      <c r="L195" s="1580"/>
      <c r="M195" s="1580"/>
      <c r="N195" s="1580"/>
    </row>
    <row r="196" customFormat="false" ht="15.75" hidden="false" customHeight="false" outlineLevel="0" collapsed="false">
      <c r="A196" s="2486" t="s">
        <v>2748</v>
      </c>
      <c r="B196" s="2486" t="s">
        <v>48</v>
      </c>
      <c r="C196" s="2548" t="e">
        <f aca="false">'ввод данных'!#ref!</f>
        <v>#VALUE!</v>
      </c>
      <c r="D196" s="42"/>
      <c r="E196" s="42"/>
      <c r="F196" s="42"/>
      <c r="G196" s="42"/>
      <c r="H196" s="1413" t="s">
        <v>2758</v>
      </c>
      <c r="I196" s="1413"/>
      <c r="J196" s="2502" t="s">
        <v>15</v>
      </c>
      <c r="K196" s="2514" t="n">
        <f aca="false">K198*K199*M196</f>
        <v>0</v>
      </c>
      <c r="L196" s="1580"/>
      <c r="M196" s="1580"/>
      <c r="N196" s="1580"/>
    </row>
    <row r="197" customFormat="false" ht="15.75" hidden="false" customHeight="false" outlineLevel="0" collapsed="false">
      <c r="A197" s="2486" t="s">
        <v>2753</v>
      </c>
      <c r="B197" s="2486" t="s">
        <v>48</v>
      </c>
      <c r="C197" s="2548" t="e">
        <f aca="false">'ввод данных'!#ref!</f>
        <v>#VALUE!</v>
      </c>
      <c r="D197" s="1311"/>
      <c r="E197" s="42"/>
      <c r="F197" s="42"/>
      <c r="G197" s="42"/>
      <c r="H197" s="1310" t="s">
        <v>2759</v>
      </c>
      <c r="I197" s="1310"/>
      <c r="J197" s="1361" t="s">
        <v>15</v>
      </c>
      <c r="K197" s="1338" t="n">
        <f aca="false">K198*K199*M197</f>
        <v>0</v>
      </c>
      <c r="L197" s="1580"/>
      <c r="M197" s="1580"/>
      <c r="N197" s="1580"/>
    </row>
    <row r="198" customFormat="false" ht="15.75" hidden="false" customHeight="false" outlineLevel="0" collapsed="false">
      <c r="A198" s="2546" t="s">
        <v>161</v>
      </c>
      <c r="B198" s="2546" t="s">
        <v>12</v>
      </c>
      <c r="C198" s="2546" t="s">
        <v>2749</v>
      </c>
      <c r="D198" s="2486" t="s">
        <v>2491</v>
      </c>
      <c r="E198" s="1311"/>
      <c r="F198" s="1311"/>
      <c r="G198" s="42"/>
      <c r="H198" s="2483"/>
      <c r="I198" s="1429"/>
      <c r="J198" s="1619"/>
      <c r="K198" s="2459"/>
      <c r="L198" s="1580"/>
      <c r="M198" s="1580"/>
      <c r="N198" s="1580"/>
    </row>
    <row r="199" customFormat="false" ht="15.75" hidden="false" customHeight="false" outlineLevel="0" collapsed="false">
      <c r="A199" s="2486" t="s">
        <v>302</v>
      </c>
      <c r="B199" s="2486" t="s">
        <v>48</v>
      </c>
      <c r="C199" s="1176" t="e">
        <f aca="false">(C204*C208+(C207-C204)*C202+(C207-C204)*((C208-C202)/2)*2)*E199</f>
        <v>#VALUE!</v>
      </c>
      <c r="D199" s="2469" t="n">
        <f aca="false">'Ввод данных'!D510</f>
        <v>0</v>
      </c>
      <c r="E199" s="2458" t="e">
        <f aca="false">'ввод данных'!#ref!</f>
        <v>#VALUE!</v>
      </c>
      <c r="F199" s="53" t="s">
        <v>3668</v>
      </c>
      <c r="G199" s="42"/>
      <c r="H199" s="2483"/>
      <c r="I199" s="1429"/>
      <c r="J199" s="1619"/>
      <c r="K199" s="2459"/>
      <c r="L199" s="1580"/>
      <c r="M199" s="1580"/>
      <c r="N199" s="1580"/>
    </row>
    <row r="200" customFormat="false" ht="15.75" hidden="false" customHeight="false" outlineLevel="0" collapsed="false">
      <c r="A200" s="2486" t="s">
        <v>2758</v>
      </c>
      <c r="B200" s="2486" t="s">
        <v>48</v>
      </c>
      <c r="C200" s="1176" t="e">
        <f aca="false">(C204*C208+(C207-C204)*C202+(C207-C204)*((C208-C202)/2)*2)*E200</f>
        <v>#VALUE!</v>
      </c>
      <c r="D200" s="2469" t="n">
        <f aca="false">'Ввод данных'!D511</f>
        <v>0</v>
      </c>
      <c r="E200" s="2458" t="e">
        <f aca="false">'ввод данных'!#ref!</f>
        <v>#VALUE!</v>
      </c>
      <c r="F200" s="53" t="s">
        <v>3669</v>
      </c>
      <c r="G200" s="2547"/>
      <c r="H200" s="2483"/>
      <c r="I200" s="1429"/>
      <c r="J200" s="1619"/>
      <c r="K200" s="2459"/>
      <c r="L200" s="1580"/>
      <c r="M200" s="1580"/>
      <c r="N200" s="1580"/>
    </row>
    <row r="201" customFormat="false" ht="15.75" hidden="false" customHeight="false" outlineLevel="0" collapsed="false">
      <c r="A201" s="2486" t="s">
        <v>2759</v>
      </c>
      <c r="B201" s="2486" t="s">
        <v>48</v>
      </c>
      <c r="C201" s="1176" t="e">
        <f aca="false">(C204*C208+(C207-C204)*C202+(C207-C204)*((C208-C202)/2)*2)*E201</f>
        <v>#VALUE!</v>
      </c>
      <c r="D201" s="2469" t="n">
        <f aca="false">'Ввод данных'!D512</f>
        <v>0</v>
      </c>
      <c r="E201" s="2458" t="e">
        <f aca="false">'ввод данных'!#ref!</f>
        <v>#VALUE!</v>
      </c>
      <c r="F201" s="53" t="s">
        <v>3670</v>
      </c>
      <c r="G201" s="1271"/>
      <c r="H201" s="2537"/>
      <c r="I201" s="1429"/>
      <c r="J201" s="1619"/>
      <c r="K201" s="2459"/>
      <c r="L201" s="1580"/>
      <c r="M201" s="1580"/>
      <c r="N201" s="1580"/>
    </row>
    <row r="202" customFormat="false" ht="15.75" hidden="false" customHeight="false" outlineLevel="0" collapsed="false">
      <c r="A202" s="1413" t="s">
        <v>3671</v>
      </c>
      <c r="B202" s="1304" t="s">
        <v>15</v>
      </c>
      <c r="C202" s="2548"/>
      <c r="D202" s="2546"/>
      <c r="E202" s="2546"/>
      <c r="F202" s="2546"/>
      <c r="G202" s="1271"/>
      <c r="H202" s="2537"/>
      <c r="I202" s="1429"/>
      <c r="J202" s="1619"/>
      <c r="K202" s="2459"/>
      <c r="L202" s="1580"/>
      <c r="M202" s="1580"/>
      <c r="N202" s="1580"/>
    </row>
    <row r="203" customFormat="false" ht="15.75" hidden="false" customHeight="false" outlineLevel="0" collapsed="false">
      <c r="A203" s="1413" t="s">
        <v>3672</v>
      </c>
      <c r="B203" s="1304" t="s">
        <v>15</v>
      </c>
      <c r="C203" s="2514" t="n">
        <f aca="false">SQRT((C208-C202)/2*(C208-C202)/2+(C207-C204)*(C207-C204))</f>
        <v>0</v>
      </c>
      <c r="D203" s="2546"/>
      <c r="E203" s="2546"/>
      <c r="F203" s="2546"/>
      <c r="G203" s="1271"/>
      <c r="H203" s="2537"/>
      <c r="I203" s="1429"/>
      <c r="J203" s="1619"/>
      <c r="K203" s="2459"/>
      <c r="L203" s="1580"/>
      <c r="M203" s="1580"/>
      <c r="N203" s="1580"/>
    </row>
    <row r="204" customFormat="false" ht="15.75" hidden="false" customHeight="false" outlineLevel="0" collapsed="false">
      <c r="A204" s="1413" t="s">
        <v>3673</v>
      </c>
      <c r="B204" s="1304" t="s">
        <v>15</v>
      </c>
      <c r="C204" s="2548"/>
      <c r="D204" s="2469"/>
      <c r="E204" s="2546"/>
      <c r="F204" s="2546"/>
      <c r="G204" s="1271"/>
      <c r="H204" s="2537"/>
      <c r="I204" s="1429"/>
      <c r="J204" s="1619"/>
      <c r="K204" s="2459"/>
      <c r="L204" s="1580"/>
      <c r="M204" s="1580"/>
      <c r="N204" s="1580"/>
    </row>
    <row r="205" customFormat="false" ht="15.75" hidden="false" customHeight="false" outlineLevel="0" collapsed="false">
      <c r="A205" s="1413" t="s">
        <v>4010</v>
      </c>
      <c r="B205" s="1304" t="s">
        <v>15</v>
      </c>
      <c r="C205" s="2548"/>
      <c r="D205" s="1179"/>
      <c r="E205" s="2546"/>
      <c r="F205" s="2546"/>
      <c r="G205" s="1271"/>
      <c r="H205" s="2537"/>
      <c r="I205" s="1429"/>
      <c r="J205" s="1619"/>
      <c r="K205" s="2459"/>
      <c r="L205" s="1580"/>
      <c r="M205" s="1580"/>
      <c r="N205" s="1580"/>
    </row>
    <row r="206" customFormat="false" ht="15.75" hidden="false" customHeight="false" outlineLevel="0" collapsed="false">
      <c r="A206" s="1413" t="s">
        <v>3676</v>
      </c>
      <c r="B206" s="1304" t="s">
        <v>15</v>
      </c>
      <c r="C206" s="2548"/>
      <c r="D206" s="1384"/>
      <c r="E206" s="2546"/>
      <c r="F206" s="2546"/>
      <c r="G206" s="1271"/>
      <c r="H206" s="2537"/>
      <c r="I206" s="1429"/>
      <c r="J206" s="1619"/>
      <c r="K206" s="2459"/>
      <c r="L206" s="1580"/>
      <c r="M206" s="1580"/>
      <c r="N206" s="1580"/>
    </row>
    <row r="207" customFormat="false" ht="15.75" hidden="false" customHeight="false" outlineLevel="0" collapsed="false">
      <c r="A207" s="2513" t="s">
        <v>3677</v>
      </c>
      <c r="B207" s="1304" t="s">
        <v>15</v>
      </c>
      <c r="C207" s="2548"/>
      <c r="D207" s="2546"/>
      <c r="E207" s="2546"/>
      <c r="F207" s="2546"/>
      <c r="G207" s="1271"/>
      <c r="H207" s="1311"/>
      <c r="I207" s="1429"/>
      <c r="J207" s="1619"/>
      <c r="K207" s="2459"/>
      <c r="L207" s="1580"/>
      <c r="M207" s="1580"/>
      <c r="N207" s="1580"/>
    </row>
    <row r="208" customFormat="false" ht="15.75" hidden="false" customHeight="false" outlineLevel="0" collapsed="false">
      <c r="A208" s="2513" t="s">
        <v>3678</v>
      </c>
      <c r="B208" s="1304" t="s">
        <v>15</v>
      </c>
      <c r="C208" s="2548"/>
      <c r="D208" s="2546"/>
      <c r="E208" s="2546"/>
      <c r="F208" s="2546"/>
      <c r="G208" s="1271"/>
      <c r="H208" s="2537"/>
      <c r="I208" s="1429"/>
      <c r="J208" s="1619"/>
      <c r="K208" s="2459"/>
      <c r="L208" s="1580"/>
      <c r="M208" s="1580"/>
      <c r="N208" s="1580"/>
    </row>
    <row r="209" customFormat="false" ht="15.75" hidden="false" customHeight="false" outlineLevel="0" collapsed="false">
      <c r="A209" s="2549" t="s">
        <v>4011</v>
      </c>
      <c r="B209" s="2550" t="s">
        <v>15</v>
      </c>
      <c r="C209" s="2548"/>
      <c r="D209" s="1269"/>
      <c r="E209" s="1269"/>
      <c r="F209" s="1269"/>
      <c r="G209" s="1311"/>
      <c r="H209" s="2537"/>
      <c r="I209" s="1429"/>
      <c r="J209" s="1619"/>
      <c r="K209" s="2459"/>
      <c r="L209" s="1580"/>
      <c r="M209" s="1580"/>
      <c r="N209" s="1580"/>
    </row>
    <row r="210" customFormat="false" ht="15.75" hidden="false" customHeight="false" outlineLevel="0" collapsed="false">
      <c r="A210" s="2551" t="s">
        <v>161</v>
      </c>
      <c r="B210" s="1365" t="s">
        <v>12</v>
      </c>
      <c r="C210" s="1365" t="s">
        <v>2779</v>
      </c>
      <c r="D210" s="1365" t="s">
        <v>2780</v>
      </c>
      <c r="E210" s="1365" t="s">
        <v>118</v>
      </c>
      <c r="F210" s="1297" t="s">
        <v>4012</v>
      </c>
      <c r="G210" s="1271"/>
      <c r="H210" s="2537"/>
      <c r="I210" s="1429"/>
      <c r="J210" s="1619"/>
      <c r="K210" s="2459"/>
      <c r="L210" s="1580"/>
      <c r="M210" s="1580"/>
      <c r="N210" s="1580"/>
    </row>
    <row r="211" customFormat="false" ht="15.75" hidden="false" customHeight="false" outlineLevel="0" collapsed="false">
      <c r="A211" s="2552" t="s">
        <v>550</v>
      </c>
      <c r="B211" s="1304" t="s">
        <v>15</v>
      </c>
      <c r="C211" s="2548" t="n">
        <f aca="false">связи1!K81</f>
        <v>2.7</v>
      </c>
      <c r="D211" s="2469" t="n">
        <f aca="false">'Ввод данных'!D514</f>
        <v>0</v>
      </c>
      <c r="E211" s="2458" t="e">
        <f aca="false">'ввод данных'!#ref!</f>
        <v>#VALUE!</v>
      </c>
      <c r="F211" s="2553" t="e">
        <f aca="false">C211*D211*E211</f>
        <v>#VALUE!</v>
      </c>
      <c r="G211" s="1271"/>
      <c r="H211" s="2537"/>
      <c r="I211" s="1429"/>
      <c r="J211" s="1619"/>
      <c r="K211" s="2459"/>
      <c r="L211" s="1580"/>
      <c r="M211" s="1580"/>
      <c r="N211" s="1580"/>
    </row>
    <row r="212" customFormat="false" ht="15.75" hidden="false" customHeight="false" outlineLevel="0" collapsed="false">
      <c r="A212" s="2554"/>
      <c r="B212" s="1304" t="s">
        <v>15</v>
      </c>
      <c r="C212" s="2548"/>
      <c r="D212" s="2469" t="n">
        <f aca="false">'Ввод данных'!D515</f>
        <v>0</v>
      </c>
      <c r="E212" s="2458" t="e">
        <f aca="false">'ввод данных'!#ref!</f>
        <v>#VALUE!</v>
      </c>
      <c r="F212" s="2553" t="e">
        <f aca="false">C212*D212*E212</f>
        <v>#VALUE!</v>
      </c>
      <c r="G212" s="1271"/>
      <c r="H212" s="2537"/>
      <c r="I212" s="1429"/>
      <c r="J212" s="1619"/>
      <c r="K212" s="2459"/>
      <c r="L212" s="1580"/>
      <c r="M212" s="1580"/>
      <c r="N212" s="1580"/>
    </row>
    <row r="213" customFormat="false" ht="15.75" hidden="false" customHeight="false" outlineLevel="0" collapsed="false">
      <c r="A213" s="2555"/>
      <c r="B213" s="1304" t="s">
        <v>15</v>
      </c>
      <c r="C213" s="2548"/>
      <c r="D213" s="2469" t="n">
        <f aca="false">'Ввод данных'!D516</f>
        <v>0</v>
      </c>
      <c r="E213" s="2458" t="e">
        <f aca="false">'ввод данных'!#ref!</f>
        <v>#VALUE!</v>
      </c>
      <c r="F213" s="2553" t="e">
        <f aca="false">C213*D213*E213</f>
        <v>#VALUE!</v>
      </c>
      <c r="G213" s="1271"/>
      <c r="H213" s="2537"/>
      <c r="I213" s="1429"/>
      <c r="J213" s="1619"/>
      <c r="K213" s="2459"/>
      <c r="L213" s="1580"/>
      <c r="M213" s="1580"/>
      <c r="N213" s="1580"/>
    </row>
    <row r="214" customFormat="false" ht="15.75" hidden="false" customHeight="false" outlineLevel="0" collapsed="false">
      <c r="A214" s="2552" t="s">
        <v>4013</v>
      </c>
      <c r="B214" s="1304" t="s">
        <v>15</v>
      </c>
      <c r="C214" s="2548" t="e">
        <f aca="false">'ввод данных'!#ref!</f>
        <v>#VALUE!</v>
      </c>
      <c r="D214" s="2469" t="n">
        <f aca="false">'Ввод данных'!D517</f>
        <v>0</v>
      </c>
      <c r="E214" s="2458" t="e">
        <f aca="false">'ввод данных'!#ref!</f>
        <v>#VALUE!</v>
      </c>
      <c r="F214" s="2553" t="e">
        <f aca="false">C214*D214*E214</f>
        <v>#VALUE!</v>
      </c>
      <c r="G214" s="1271"/>
      <c r="H214" s="2537"/>
      <c r="I214" s="1429"/>
      <c r="J214" s="1619"/>
      <c r="K214" s="2459"/>
      <c r="L214" s="1580"/>
      <c r="M214" s="1580"/>
      <c r="N214" s="1580"/>
    </row>
    <row r="215" customFormat="false" ht="15.75" hidden="false" customHeight="false" outlineLevel="0" collapsed="false">
      <c r="A215" s="2555"/>
      <c r="B215" s="1304" t="s">
        <v>15</v>
      </c>
      <c r="C215" s="2548" t="n">
        <f aca="false">'Ввод данных'!C512</f>
        <v>0</v>
      </c>
      <c r="D215" s="2469" t="n">
        <f aca="false">'Ввод данных'!D518</f>
        <v>0</v>
      </c>
      <c r="E215" s="2458" t="e">
        <f aca="false">'ввод данных'!#ref!</f>
        <v>#VALUE!</v>
      </c>
      <c r="F215" s="2553" t="e">
        <f aca="false">C215*D215*E215</f>
        <v>#VALUE!</v>
      </c>
      <c r="G215" s="1271"/>
      <c r="H215" s="2537"/>
      <c r="I215" s="1429"/>
      <c r="J215" s="1619"/>
      <c r="K215" s="2459"/>
      <c r="L215" s="1580"/>
      <c r="M215" s="1580"/>
      <c r="N215" s="1580"/>
    </row>
    <row r="216" customFormat="false" ht="15.75" hidden="false" customHeight="false" outlineLevel="0" collapsed="false">
      <c r="A216" s="1176" t="s">
        <v>4014</v>
      </c>
      <c r="B216" s="1176" t="s">
        <v>820</v>
      </c>
      <c r="C216" s="1176" t="e">
        <f aca="false">F211+F212+F215+F214+F213</f>
        <v>#VALUE!</v>
      </c>
      <c r="D216" s="1311"/>
      <c r="E216" s="1311"/>
      <c r="F216" s="1311"/>
      <c r="G216" s="1271"/>
      <c r="H216" s="2537"/>
      <c r="I216" s="1429"/>
      <c r="J216" s="1619"/>
      <c r="K216" s="2459"/>
      <c r="L216" s="1580"/>
      <c r="M216" s="1580"/>
      <c r="N216" s="1580"/>
    </row>
    <row r="217" customFormat="false" ht="15.75" hidden="false" customHeight="false" outlineLevel="0" collapsed="false">
      <c r="A217" s="1176" t="s">
        <v>3688</v>
      </c>
      <c r="B217" s="1176" t="s">
        <v>820</v>
      </c>
      <c r="C217" s="1176" t="e">
        <f aca="false">(C204*2+C203*2+C202)*(C205+C209*C197+D199*E199+D200*E200+D201*E201)</f>
        <v>#VALUE!</v>
      </c>
      <c r="D217" s="1311"/>
      <c r="E217" s="1311"/>
      <c r="F217" s="1311"/>
      <c r="G217" s="1271"/>
      <c r="H217" s="2537"/>
      <c r="I217" s="1429"/>
      <c r="J217" s="1619"/>
      <c r="K217" s="2459"/>
      <c r="L217" s="1580"/>
      <c r="M217" s="1580"/>
      <c r="N217" s="1580"/>
    </row>
    <row r="218" customFormat="false" ht="15.75" hidden="false" customHeight="false" outlineLevel="0" collapsed="false">
      <c r="A218" s="1176" t="s">
        <v>3689</v>
      </c>
      <c r="B218" s="1176" t="s">
        <v>820</v>
      </c>
      <c r="C218" s="1176" t="e">
        <f aca="false">C217-C216</f>
        <v>#VALUE!</v>
      </c>
      <c r="D218" s="1311"/>
      <c r="E218" s="1311"/>
      <c r="F218" s="1311"/>
      <c r="G218" s="1271"/>
      <c r="H218" s="2537"/>
      <c r="I218" s="1429"/>
      <c r="J218" s="1619"/>
      <c r="K218" s="2459"/>
      <c r="L218" s="1580"/>
      <c r="M218" s="1580"/>
      <c r="N218" s="1580"/>
    </row>
    <row r="219" customFormat="false" ht="15.75" hidden="false" customHeight="false" outlineLevel="0" collapsed="false">
      <c r="A219" s="2556" t="s">
        <v>3690</v>
      </c>
      <c r="B219" s="2556"/>
      <c r="C219" s="2541" t="s">
        <v>12</v>
      </c>
      <c r="D219" s="2541" t="s">
        <v>200</v>
      </c>
      <c r="E219" s="2458" t="e">
        <f aca="false">'ввод данных'!#ref!</f>
        <v>#VALUE!</v>
      </c>
      <c r="F219" s="1272" t="s">
        <v>3702</v>
      </c>
      <c r="G219" s="1271"/>
      <c r="H219" s="2537"/>
      <c r="I219" s="1429"/>
      <c r="J219" s="1619"/>
      <c r="K219" s="2459"/>
      <c r="L219" s="1580"/>
      <c r="M219" s="1580"/>
      <c r="N219" s="1580"/>
    </row>
    <row r="220" customFormat="false" ht="15.75" hidden="false" customHeight="false" outlineLevel="0" collapsed="false">
      <c r="A220" s="1315" t="s">
        <v>3691</v>
      </c>
      <c r="B220" s="1316"/>
      <c r="C220" s="1334" t="s">
        <v>15</v>
      </c>
      <c r="D220" s="1176" t="n">
        <f aca="false">SQRT((C208/2)*(C208/2)+C206*C206)</f>
        <v>0</v>
      </c>
      <c r="E220" s="1631"/>
      <c r="F220" s="1631"/>
      <c r="G220" s="1271"/>
      <c r="H220" s="2537"/>
      <c r="I220" s="1429"/>
      <c r="J220" s="1619"/>
      <c r="K220" s="2459"/>
      <c r="L220" s="1580"/>
      <c r="M220" s="1580"/>
      <c r="N220" s="1580"/>
    </row>
    <row r="221" customFormat="false" ht="15.75" hidden="false" customHeight="false" outlineLevel="0" collapsed="false">
      <c r="A221" s="1315" t="s">
        <v>3695</v>
      </c>
      <c r="B221" s="1316"/>
      <c r="C221" s="1334" t="s">
        <v>15</v>
      </c>
      <c r="D221" s="1176" t="n">
        <f aca="false">SQRT(D220*D220+C204*C204)</f>
        <v>0</v>
      </c>
      <c r="E221" s="1631"/>
      <c r="F221" s="1631"/>
      <c r="G221" s="1271"/>
      <c r="H221" s="2537"/>
      <c r="I221" s="1429"/>
      <c r="J221" s="1619"/>
      <c r="K221" s="2459"/>
      <c r="L221" s="1580"/>
      <c r="M221" s="1580"/>
      <c r="N221" s="1580"/>
    </row>
    <row r="222" customFormat="false" ht="15.75" hidden="false" customHeight="false" outlineLevel="0" collapsed="false">
      <c r="A222" s="1315" t="s">
        <v>3696</v>
      </c>
      <c r="B222" s="1316"/>
      <c r="C222" s="1334" t="s">
        <v>15</v>
      </c>
      <c r="D222" s="1176" t="n">
        <f aca="false">SQRT(D221*D221+C203*C203)</f>
        <v>0</v>
      </c>
      <c r="E222" s="1631"/>
      <c r="F222" s="1631"/>
      <c r="G222" s="1271"/>
      <c r="H222" s="2537"/>
      <c r="I222" s="1429"/>
      <c r="J222" s="1619"/>
      <c r="K222" s="2459"/>
      <c r="L222" s="1580"/>
      <c r="M222" s="1580"/>
      <c r="N222" s="1580"/>
    </row>
    <row r="223" customFormat="false" ht="15.75" hidden="false" customHeight="false" outlineLevel="0" collapsed="false">
      <c r="A223" s="2557" t="s">
        <v>2807</v>
      </c>
      <c r="B223" s="2558"/>
      <c r="C223" s="1294" t="s">
        <v>820</v>
      </c>
      <c r="D223" s="1672" t="n">
        <f aca="false">D220*C204+D221*C203*1.1+(C202/2)*SQRT(C207*C207+C206*C206)*2</f>
        <v>0</v>
      </c>
      <c r="E223" s="1631"/>
      <c r="F223" s="1631"/>
      <c r="G223" s="1271"/>
      <c r="H223" s="2537"/>
      <c r="I223" s="1429"/>
      <c r="J223" s="1619"/>
      <c r="K223" s="1179"/>
      <c r="L223" s="1580"/>
      <c r="M223" s="1580"/>
      <c r="N223" s="1580"/>
    </row>
    <row r="224" customFormat="false" ht="15.75" hidden="false" customHeight="false" outlineLevel="0" collapsed="false">
      <c r="A224" s="2557" t="s">
        <v>3692</v>
      </c>
      <c r="B224" s="2559"/>
      <c r="C224" s="1294" t="s">
        <v>15</v>
      </c>
      <c r="D224" s="2469" t="n">
        <f aca="false">'Ввод данных'!C511</f>
        <v>0.5</v>
      </c>
      <c r="E224" s="1631"/>
      <c r="F224" s="1631"/>
      <c r="G224" s="1271"/>
      <c r="H224" s="2537"/>
      <c r="I224" s="1429"/>
      <c r="J224" s="1619"/>
      <c r="K224" s="2560"/>
      <c r="L224" s="1580"/>
      <c r="M224" s="1580"/>
      <c r="N224" s="1580"/>
    </row>
    <row r="225" customFormat="false" ht="15.75" hidden="false" customHeight="false" outlineLevel="0" collapsed="false">
      <c r="A225" s="1315" t="s">
        <v>3697</v>
      </c>
      <c r="B225" s="1316"/>
      <c r="C225" s="1176" t="s">
        <v>15</v>
      </c>
      <c r="D225" s="1604" t="n">
        <f aca="false">D220+D224</f>
        <v>0.5</v>
      </c>
      <c r="E225" s="1631"/>
      <c r="F225" s="1631"/>
      <c r="G225" s="1271"/>
      <c r="H225" s="2537"/>
      <c r="I225" s="1429"/>
      <c r="J225" s="1619"/>
      <c r="K225" s="2560"/>
      <c r="L225" s="1580"/>
      <c r="M225" s="1580"/>
      <c r="N225" s="1580"/>
    </row>
    <row r="226" customFormat="false" ht="15.75" hidden="false" customHeight="false" outlineLevel="0" collapsed="false">
      <c r="A226" s="1315" t="s">
        <v>3699</v>
      </c>
      <c r="B226" s="1316"/>
      <c r="C226" s="1176" t="s">
        <v>15</v>
      </c>
      <c r="D226" s="1604" t="n">
        <f aca="false">D221+D224</f>
        <v>0.5</v>
      </c>
      <c r="E226" s="1631"/>
      <c r="F226" s="1631"/>
      <c r="G226" s="1271"/>
      <c r="H226" s="2537"/>
      <c r="I226" s="1429"/>
      <c r="J226" s="1619"/>
      <c r="K226" s="2560"/>
      <c r="L226" s="1580"/>
      <c r="M226" s="1580"/>
      <c r="N226" s="1580"/>
    </row>
    <row r="227" customFormat="false" ht="15.75" hidden="false" customHeight="false" outlineLevel="0" collapsed="false">
      <c r="A227" s="1315" t="s">
        <v>3701</v>
      </c>
      <c r="B227" s="1316"/>
      <c r="C227" s="1176" t="s">
        <v>15</v>
      </c>
      <c r="D227" s="1604" t="n">
        <f aca="false">D222+D224</f>
        <v>0.5</v>
      </c>
      <c r="E227" s="1631"/>
      <c r="F227" s="1631"/>
      <c r="G227" s="1271"/>
      <c r="H227" s="2537"/>
      <c r="I227" s="1429"/>
      <c r="J227" s="1619"/>
      <c r="K227" s="2560"/>
      <c r="L227" s="1580"/>
      <c r="M227" s="1580"/>
      <c r="N227" s="1580"/>
    </row>
    <row r="228" customFormat="false" ht="15.75" hidden="false" customHeight="false" outlineLevel="0" collapsed="false">
      <c r="A228" s="2557" t="s">
        <v>2808</v>
      </c>
      <c r="B228" s="2558"/>
      <c r="C228" s="1294" t="s">
        <v>820</v>
      </c>
      <c r="D228" s="1672" t="e">
        <f aca="false">((C204*D224*2+C203*D224*2+C202*D224)*1.1+D223)*E219</f>
        <v>#VALUE!</v>
      </c>
      <c r="E228" s="1631"/>
      <c r="F228" s="1631"/>
      <c r="G228" s="1271"/>
      <c r="H228" s="2537"/>
      <c r="I228" s="1429"/>
      <c r="J228" s="1619"/>
      <c r="K228" s="2560"/>
      <c r="L228" s="1580"/>
      <c r="M228" s="1580"/>
      <c r="N228" s="1580"/>
    </row>
    <row r="229" customFormat="false" ht="15.75" hidden="false" customHeight="false" outlineLevel="0" collapsed="false">
      <c r="A229" s="2561" t="s">
        <v>2833</v>
      </c>
      <c r="B229" s="2561"/>
      <c r="C229" s="2561"/>
      <c r="D229" s="2561"/>
      <c r="E229" s="2458" t="e">
        <f aca="false">'ввод данных'!#ref!</f>
        <v>#VALUE!</v>
      </c>
      <c r="F229" s="2459" t="s">
        <v>3715</v>
      </c>
      <c r="G229" s="1271"/>
      <c r="H229" s="2537"/>
      <c r="I229" s="1429"/>
      <c r="J229" s="1619"/>
      <c r="K229" s="1301"/>
      <c r="L229" s="1580"/>
      <c r="M229" s="1580"/>
      <c r="N229" s="1580"/>
    </row>
    <row r="230" customFormat="false" ht="15.75" hidden="false" customHeight="false" outlineLevel="0" collapsed="false">
      <c r="A230" s="2562" t="s">
        <v>2773</v>
      </c>
      <c r="B230" s="2489" t="s">
        <v>15</v>
      </c>
      <c r="C230" s="2562" t="n">
        <f aca="false">C204*2+C203*2+C202</f>
        <v>0</v>
      </c>
      <c r="D230" s="2459"/>
      <c r="E230" s="2459"/>
      <c r="F230" s="1631"/>
      <c r="G230" s="1271"/>
      <c r="H230" s="2537"/>
      <c r="I230" s="1429"/>
      <c r="J230" s="1619"/>
      <c r="K230" s="1417"/>
      <c r="L230" s="1580"/>
      <c r="M230" s="1580"/>
      <c r="N230" s="1580"/>
    </row>
    <row r="231" customFormat="false" ht="15.75" hidden="false" customHeight="false" outlineLevel="0" collapsed="false">
      <c r="A231" s="2491" t="s">
        <v>3571</v>
      </c>
      <c r="B231" s="1338" t="s">
        <v>820</v>
      </c>
      <c r="C231" s="2491" t="e">
        <f aca="false">C199+C200</f>
        <v>#VALUE!</v>
      </c>
      <c r="D231" s="2459"/>
      <c r="E231" s="2459"/>
      <c r="F231" s="1631"/>
      <c r="G231" s="1271"/>
      <c r="H231" s="2537"/>
      <c r="I231" s="1429"/>
      <c r="J231" s="1619"/>
      <c r="K231" s="1272"/>
      <c r="L231" s="1580"/>
      <c r="M231" s="1580"/>
      <c r="N231" s="1580"/>
    </row>
    <row r="232" customFormat="false" ht="15.75" hidden="false" customHeight="false" outlineLevel="0" collapsed="false">
      <c r="A232" s="1311"/>
      <c r="B232" s="1311"/>
      <c r="C232" s="1311"/>
      <c r="D232" s="1311"/>
      <c r="E232" s="1311"/>
      <c r="F232" s="1311"/>
      <c r="G232" s="1271"/>
      <c r="H232" s="2537"/>
      <c r="I232" s="1429"/>
      <c r="J232" s="1619"/>
      <c r="K232" s="1631"/>
      <c r="L232" s="1580"/>
      <c r="M232" s="1580"/>
      <c r="N232" s="1580"/>
    </row>
    <row r="233" customFormat="false" ht="15.75" hidden="false" customHeight="false" outlineLevel="0" collapsed="false">
      <c r="A233" s="1311"/>
      <c r="B233" s="1311"/>
      <c r="C233" s="1311"/>
      <c r="D233" s="1311"/>
      <c r="E233" s="1311"/>
      <c r="F233" s="1311"/>
      <c r="G233" s="1271"/>
      <c r="H233" s="2537"/>
      <c r="I233" s="1429"/>
      <c r="J233" s="1619"/>
      <c r="K233" s="1631"/>
      <c r="L233" s="1580"/>
      <c r="M233" s="1580"/>
      <c r="N233" s="1580"/>
    </row>
    <row r="234" customFormat="false" ht="15.75" hidden="false" customHeight="false" outlineLevel="0" collapsed="false">
      <c r="A234" s="1311"/>
      <c r="B234" s="1311"/>
      <c r="C234" s="1311"/>
      <c r="D234" s="1311"/>
      <c r="E234" s="1311"/>
      <c r="F234" s="1311"/>
      <c r="G234" s="1271"/>
      <c r="H234" s="2537"/>
      <c r="I234" s="1429"/>
      <c r="J234" s="1619"/>
      <c r="K234" s="1631"/>
      <c r="L234" s="1580"/>
      <c r="M234" s="1580"/>
      <c r="N234" s="1580"/>
    </row>
    <row r="235" customFormat="false" ht="15.75" hidden="false" customHeight="false" outlineLevel="0" collapsed="false">
      <c r="A235" s="1311"/>
      <c r="B235" s="1311"/>
      <c r="C235" s="1311"/>
      <c r="D235" s="1311"/>
      <c r="E235" s="1311"/>
      <c r="F235" s="1311"/>
      <c r="G235" s="1271"/>
      <c r="H235" s="2537"/>
      <c r="I235" s="1429"/>
      <c r="J235" s="1619"/>
      <c r="K235" s="1631"/>
      <c r="L235" s="1580"/>
      <c r="M235" s="1580"/>
      <c r="N235" s="1580"/>
    </row>
    <row r="236" customFormat="false" ht="15.75" hidden="false" customHeight="false" outlineLevel="0" collapsed="false">
      <c r="A236" s="1272"/>
      <c r="B236" s="1272"/>
      <c r="C236" s="2563"/>
      <c r="D236" s="1631"/>
      <c r="E236" s="1631"/>
      <c r="F236" s="1631"/>
      <c r="G236" s="1271"/>
      <c r="H236" s="2537"/>
      <c r="I236" s="1429"/>
      <c r="J236" s="1619"/>
      <c r="K236" s="1631"/>
      <c r="L236" s="1580"/>
      <c r="M236" s="1580"/>
      <c r="N236" s="1580"/>
    </row>
    <row r="237" customFormat="false" ht="15.75" hidden="false" customHeight="false" outlineLevel="0" collapsed="false">
      <c r="A237" s="1311"/>
      <c r="B237" s="1311"/>
      <c r="C237" s="1311"/>
      <c r="D237" s="1311"/>
      <c r="E237" s="53"/>
      <c r="F237" s="2459"/>
      <c r="G237" s="1311"/>
      <c r="H237" s="2537"/>
      <c r="I237" s="1429"/>
      <c r="J237" s="1619"/>
      <c r="K237" s="2459"/>
      <c r="L237" s="1580"/>
      <c r="M237" s="1580"/>
      <c r="N237" s="1580"/>
    </row>
    <row r="238" customFormat="false" ht="15.75" hidden="false" customHeight="false" outlineLevel="0" collapsed="false">
      <c r="A238" s="1311"/>
      <c r="B238" s="1311"/>
      <c r="C238" s="1311"/>
      <c r="D238" s="1311"/>
      <c r="E238" s="53"/>
      <c r="F238" s="53"/>
      <c r="G238" s="1269"/>
      <c r="H238" s="2537"/>
      <c r="I238" s="1429"/>
      <c r="J238" s="1619"/>
      <c r="K238" s="1631"/>
      <c r="L238" s="1580"/>
      <c r="M238" s="1580"/>
      <c r="N238" s="1580"/>
    </row>
    <row r="239" customFormat="false" ht="15.75" hidden="false" customHeight="false" outlineLevel="0" collapsed="false">
      <c r="A239" s="1311"/>
      <c r="B239" s="1311"/>
      <c r="C239" s="1311"/>
      <c r="D239" s="1311"/>
      <c r="E239" s="53"/>
      <c r="F239" s="53"/>
      <c r="G239" s="1269"/>
      <c r="H239" s="2537"/>
      <c r="I239" s="1429"/>
      <c r="J239" s="1619"/>
      <c r="K239" s="1631"/>
      <c r="L239" s="1580"/>
      <c r="M239" s="1580"/>
      <c r="N239" s="1580"/>
    </row>
    <row r="240" customFormat="false" ht="15.75" hidden="false" customHeight="false" outlineLevel="0" collapsed="false">
      <c r="A240" s="1311"/>
      <c r="B240" s="1311"/>
      <c r="C240" s="1311"/>
      <c r="D240" s="1311"/>
      <c r="E240" s="2459"/>
      <c r="F240" s="2459"/>
      <c r="G240" s="1269"/>
      <c r="H240" s="2537"/>
      <c r="I240" s="1429"/>
      <c r="J240" s="1619"/>
      <c r="K240" s="1301"/>
      <c r="L240" s="1580"/>
      <c r="M240" s="1580"/>
      <c r="N240" s="1580"/>
    </row>
    <row r="241" customFormat="false" ht="15.75" hidden="false" customHeight="false" outlineLevel="0" collapsed="false">
      <c r="A241" s="2564" t="s">
        <v>364</v>
      </c>
      <c r="B241" s="2565" t="s">
        <v>12</v>
      </c>
      <c r="C241" s="2566" t="s">
        <v>13</v>
      </c>
      <c r="D241" s="2469" t="str">
        <f aca="false">'Ввод данных'!F597</f>
        <v>Не считать</v>
      </c>
      <c r="E241" s="2459" t="s">
        <v>4015</v>
      </c>
      <c r="F241" s="2459"/>
      <c r="G241" s="1269"/>
      <c r="H241" s="2537"/>
      <c r="I241" s="1429"/>
      <c r="J241" s="1619"/>
      <c r="K241" s="1301"/>
      <c r="L241" s="1580"/>
      <c r="M241" s="1580"/>
      <c r="N241" s="1580"/>
    </row>
    <row r="242" customFormat="false" ht="15.75" hidden="false" customHeight="false" outlineLevel="0" collapsed="false">
      <c r="A242" s="2491" t="s">
        <v>352</v>
      </c>
      <c r="B242" s="1334" t="s">
        <v>15</v>
      </c>
      <c r="C242" s="2486" t="n">
        <v>3</v>
      </c>
      <c r="D242" s="53"/>
      <c r="E242" s="2459"/>
      <c r="F242" s="2459"/>
      <c r="G242" s="1269"/>
      <c r="H242" s="2537"/>
      <c r="I242" s="1429"/>
      <c r="J242" s="1619"/>
      <c r="K242" s="1179"/>
      <c r="L242" s="1580"/>
      <c r="M242" s="1580"/>
      <c r="N242" s="1580"/>
    </row>
    <row r="243" customFormat="false" ht="15.75" hidden="false" customHeight="false" outlineLevel="0" collapsed="false">
      <c r="A243" s="2491" t="s">
        <v>4016</v>
      </c>
      <c r="B243" s="1334" t="s">
        <v>15</v>
      </c>
      <c r="C243" s="2548" t="n">
        <f aca="false">'Ввод данных'!C552</f>
        <v>1</v>
      </c>
      <c r="D243" s="53"/>
      <c r="E243" s="2459"/>
      <c r="F243" s="2459"/>
      <c r="G243" s="1269"/>
      <c r="H243" s="2537"/>
      <c r="I243" s="1429"/>
      <c r="J243" s="1619"/>
      <c r="K243" s="53"/>
      <c r="L243" s="1580"/>
      <c r="M243" s="1580"/>
      <c r="N243" s="1580"/>
    </row>
    <row r="244" customFormat="false" ht="15.75" hidden="false" customHeight="false" outlineLevel="0" collapsed="false">
      <c r="A244" s="2476" t="s">
        <v>3950</v>
      </c>
      <c r="B244" s="1334" t="s">
        <v>15</v>
      </c>
      <c r="C244" s="2548" t="n">
        <f aca="false">'Ввод данных'!C553</f>
        <v>0.9</v>
      </c>
      <c r="D244" s="53"/>
      <c r="E244" s="2459"/>
      <c r="F244" s="2459"/>
      <c r="G244" s="2459"/>
      <c r="H244" s="2537"/>
      <c r="I244" s="1429"/>
      <c r="J244" s="1417"/>
      <c r="K244" s="53"/>
      <c r="L244" s="1580"/>
      <c r="M244" s="1580"/>
      <c r="N244" s="1580"/>
    </row>
    <row r="245" customFormat="false" ht="15.75" hidden="false" customHeight="false" outlineLevel="0" collapsed="false">
      <c r="A245" s="2491" t="s">
        <v>4017</v>
      </c>
      <c r="B245" s="1338" t="s">
        <v>820</v>
      </c>
      <c r="C245" s="2491" t="n">
        <f aca="false">C242*C243</f>
        <v>3</v>
      </c>
      <c r="D245" s="53"/>
      <c r="E245" s="2459"/>
      <c r="F245" s="2459"/>
      <c r="G245" s="2459"/>
      <c r="H245" s="2537"/>
      <c r="I245" s="1429"/>
      <c r="J245" s="1417"/>
      <c r="K245" s="53"/>
      <c r="L245" s="1580"/>
      <c r="M245" s="1580"/>
      <c r="N245" s="1580"/>
    </row>
    <row r="246" customFormat="false" ht="15.75" hidden="false" customHeight="false" outlineLevel="0" collapsed="false">
      <c r="A246" s="1313" t="s">
        <v>4018</v>
      </c>
      <c r="B246" s="1313" t="s">
        <v>820</v>
      </c>
      <c r="C246" s="2491" t="n">
        <f aca="false">(C242+C243+C243)*C244</f>
        <v>4.5</v>
      </c>
      <c r="D246" s="53"/>
      <c r="E246" s="2459"/>
      <c r="F246" s="2459"/>
      <c r="G246" s="2459"/>
      <c r="H246" s="2537"/>
      <c r="I246" s="1429"/>
      <c r="J246" s="1417"/>
      <c r="K246" s="53"/>
      <c r="L246" s="1580"/>
      <c r="M246" s="1580"/>
      <c r="N246" s="1580"/>
    </row>
    <row r="247" customFormat="false" ht="15.75" hidden="false" customHeight="false" outlineLevel="0" collapsed="false">
      <c r="A247" s="1311"/>
      <c r="B247" s="1311"/>
      <c r="C247" s="1311"/>
      <c r="D247" s="53"/>
      <c r="E247" s="2459"/>
      <c r="F247" s="2459"/>
      <c r="G247" s="2459"/>
      <c r="H247" s="2537"/>
      <c r="I247" s="1429"/>
      <c r="J247" s="1417"/>
      <c r="K247" s="53"/>
      <c r="L247" s="1580"/>
      <c r="M247" s="1580"/>
      <c r="N247" s="1580"/>
    </row>
    <row r="248" customFormat="false" ht="15.75" hidden="false" customHeight="false" outlineLevel="0" collapsed="false">
      <c r="A248" s="2459"/>
      <c r="B248" s="2493"/>
      <c r="C248" s="2459"/>
      <c r="D248" s="2459"/>
      <c r="E248" s="2459"/>
      <c r="F248" s="2459"/>
      <c r="G248" s="2459"/>
      <c r="H248" s="2537"/>
      <c r="I248" s="1429"/>
      <c r="J248" s="1417"/>
      <c r="K248" s="1179"/>
      <c r="L248" s="1580"/>
      <c r="M248" s="1580"/>
      <c r="N248" s="1580"/>
    </row>
    <row r="249" customFormat="false" ht="15.75" hidden="false" customHeight="false" outlineLevel="0" collapsed="false">
      <c r="A249" s="2459"/>
      <c r="B249" s="2493"/>
      <c r="C249" s="2459"/>
      <c r="D249" s="2459"/>
      <c r="E249" s="2459"/>
      <c r="F249" s="2459"/>
      <c r="G249" s="2459"/>
      <c r="H249" s="2537"/>
      <c r="I249" s="1429"/>
      <c r="J249" s="1417"/>
      <c r="K249" s="1179"/>
      <c r="L249" s="1580"/>
      <c r="M249" s="1580"/>
      <c r="N249" s="1580"/>
    </row>
    <row r="250" customFormat="false" ht="15.75" hidden="false" customHeight="false" outlineLevel="0" collapsed="false">
      <c r="A250" s="2459"/>
      <c r="B250" s="2493"/>
      <c r="C250" s="2459"/>
      <c r="D250" s="2459"/>
      <c r="E250" s="2459"/>
      <c r="F250" s="2459"/>
      <c r="G250" s="2459"/>
      <c r="H250" s="2537"/>
      <c r="I250" s="1429"/>
      <c r="J250" s="1417"/>
      <c r="K250" s="1179"/>
      <c r="L250" s="1580"/>
      <c r="M250" s="1580"/>
      <c r="N250" s="1580"/>
    </row>
    <row r="251" customFormat="false" ht="15.75" hidden="false" customHeight="false" outlineLevel="0" collapsed="false">
      <c r="A251" s="2459"/>
      <c r="B251" s="2493"/>
      <c r="C251" s="2459"/>
      <c r="D251" s="2459"/>
      <c r="E251" s="2459"/>
      <c r="F251" s="2459"/>
      <c r="G251" s="2459"/>
      <c r="H251" s="2537"/>
      <c r="I251" s="1429"/>
      <c r="J251" s="1417"/>
      <c r="K251" s="1179"/>
      <c r="L251" s="1580"/>
      <c r="M251" s="1580"/>
      <c r="N251" s="1580"/>
    </row>
    <row r="252" customFormat="false" ht="15.75" hidden="false" customHeight="false" outlineLevel="0" collapsed="false">
      <c r="A252" s="2459"/>
      <c r="B252" s="2493"/>
      <c r="C252" s="2459"/>
      <c r="D252" s="2459"/>
      <c r="E252" s="2459"/>
      <c r="F252" s="2459"/>
      <c r="G252" s="2459"/>
      <c r="H252" s="2537"/>
      <c r="I252" s="1429"/>
      <c r="J252" s="1417"/>
      <c r="K252" s="1179"/>
      <c r="L252" s="1580"/>
      <c r="M252" s="1580"/>
      <c r="N252" s="1580"/>
    </row>
    <row r="253" customFormat="false" ht="15.75" hidden="false" customHeight="false" outlineLevel="0" collapsed="false">
      <c r="A253" s="2459"/>
      <c r="B253" s="2493"/>
      <c r="C253" s="2459"/>
      <c r="D253" s="2459"/>
      <c r="E253" s="2459"/>
      <c r="F253" s="2459"/>
      <c r="G253" s="2459"/>
      <c r="H253" s="2537"/>
      <c r="I253" s="1429"/>
      <c r="J253" s="1417"/>
      <c r="K253" s="1179"/>
      <c r="L253" s="1580"/>
      <c r="M253" s="1580"/>
      <c r="N253" s="1580"/>
    </row>
    <row r="254" customFormat="false" ht="15.75" hidden="false" customHeight="false" outlineLevel="0" collapsed="false">
      <c r="A254" s="2459"/>
      <c r="B254" s="2493"/>
      <c r="C254" s="2459"/>
      <c r="D254" s="2459"/>
      <c r="E254" s="2459"/>
      <c r="F254" s="2459"/>
      <c r="G254" s="2459"/>
      <c r="H254" s="2537"/>
      <c r="I254" s="1429"/>
      <c r="J254" s="1417"/>
      <c r="K254" s="1179"/>
      <c r="L254" s="1580"/>
      <c r="M254" s="1580"/>
      <c r="N254" s="1580"/>
    </row>
    <row r="255" customFormat="false" ht="15.75" hidden="false" customHeight="false" outlineLevel="0" collapsed="false">
      <c r="A255" s="2459"/>
      <c r="B255" s="2493"/>
      <c r="C255" s="2459"/>
      <c r="D255" s="2459"/>
      <c r="E255" s="2459"/>
      <c r="F255" s="2459"/>
      <c r="G255" s="2459"/>
      <c r="H255" s="2537"/>
      <c r="I255" s="1429"/>
      <c r="J255" s="1417"/>
      <c r="K255" s="2459"/>
      <c r="L255" s="1580"/>
      <c r="M255" s="1580"/>
      <c r="N255" s="1580"/>
    </row>
    <row r="256" customFormat="false" ht="15.75" hidden="false" customHeight="false" outlineLevel="0" collapsed="false">
      <c r="A256" s="2459"/>
      <c r="B256" s="2493"/>
      <c r="C256" s="2459"/>
      <c r="D256" s="2459"/>
      <c r="E256" s="2459"/>
      <c r="F256" s="2459"/>
      <c r="G256" s="2459"/>
      <c r="H256" s="2537"/>
      <c r="I256" s="1429"/>
      <c r="J256" s="1417"/>
      <c r="K256" s="1301"/>
      <c r="L256" s="1580"/>
      <c r="M256" s="1580"/>
      <c r="N256" s="1580"/>
    </row>
    <row r="257" customFormat="false" ht="15.75" hidden="false" customHeight="false" outlineLevel="0" collapsed="false">
      <c r="A257" s="1311"/>
      <c r="B257" s="1311"/>
      <c r="C257" s="1311"/>
      <c r="D257" s="1311"/>
      <c r="E257" s="53"/>
      <c r="F257" s="2459"/>
      <c r="G257" s="53"/>
      <c r="H257" s="2537"/>
      <c r="I257" s="1429"/>
      <c r="J257" s="1311"/>
      <c r="K257" s="1301"/>
      <c r="L257" s="1580"/>
      <c r="M257" s="1580"/>
      <c r="N257" s="1580"/>
    </row>
    <row r="258" customFormat="false" ht="15.75" hidden="false" customHeight="false" outlineLevel="0" collapsed="false">
      <c r="A258" s="1311"/>
      <c r="B258" s="1311"/>
      <c r="C258" s="1311"/>
      <c r="D258" s="1311"/>
      <c r="E258" s="53"/>
      <c r="F258" s="53"/>
      <c r="G258" s="2459"/>
      <c r="H258" s="2537"/>
      <c r="I258" s="1429"/>
      <c r="J258" s="1311"/>
      <c r="K258" s="1301"/>
      <c r="L258" s="1580"/>
      <c r="M258" s="1580"/>
      <c r="N258" s="1580"/>
    </row>
    <row r="259" customFormat="false" ht="15.75" hidden="false" customHeight="false" outlineLevel="0" collapsed="false">
      <c r="A259" s="1311"/>
      <c r="B259" s="1311"/>
      <c r="C259" s="1311"/>
      <c r="D259" s="1311"/>
      <c r="E259" s="53"/>
      <c r="F259" s="53"/>
      <c r="G259" s="2459"/>
      <c r="H259" s="2537"/>
      <c r="I259" s="1429"/>
      <c r="J259" s="1311"/>
      <c r="K259" s="1301"/>
      <c r="L259" s="1580"/>
      <c r="M259" s="1580"/>
      <c r="N259" s="1580"/>
    </row>
    <row r="260" customFormat="false" ht="15.75" hidden="false" customHeight="false" outlineLevel="0" collapsed="false">
      <c r="A260" s="1311"/>
      <c r="B260" s="1311"/>
      <c r="C260" s="1311"/>
      <c r="D260" s="1311"/>
      <c r="E260" s="2459"/>
      <c r="F260" s="2459"/>
      <c r="G260" s="2459"/>
      <c r="H260" s="2537"/>
      <c r="I260" s="1429"/>
      <c r="J260" s="1311"/>
      <c r="K260" s="2493"/>
      <c r="L260" s="1580"/>
      <c r="M260" s="1580"/>
      <c r="N260" s="1580"/>
    </row>
    <row r="261" customFormat="false" ht="15.75" hidden="false" customHeight="false" outlineLevel="0" collapsed="false">
      <c r="A261" s="1311"/>
      <c r="B261" s="1311"/>
      <c r="C261" s="1311"/>
      <c r="D261" s="1311"/>
      <c r="E261" s="2459"/>
      <c r="F261" s="2459"/>
      <c r="G261" s="2459"/>
      <c r="H261" s="2537"/>
      <c r="I261" s="1429"/>
      <c r="J261" s="1311"/>
      <c r="K261" s="2560"/>
      <c r="L261" s="1580"/>
      <c r="M261" s="1580"/>
      <c r="N261" s="1580"/>
    </row>
    <row r="262" customFormat="false" ht="15.75" hidden="false" customHeight="false" outlineLevel="0" collapsed="false">
      <c r="A262" s="1311"/>
      <c r="B262" s="1311"/>
      <c r="C262" s="1311"/>
      <c r="D262" s="1311"/>
      <c r="E262" s="2459"/>
      <c r="F262" s="2459"/>
      <c r="G262" s="2459"/>
      <c r="H262" s="2537"/>
      <c r="I262" s="1429"/>
      <c r="J262" s="1311"/>
      <c r="K262" s="2560"/>
      <c r="L262" s="1580"/>
      <c r="M262" s="1580"/>
      <c r="N262" s="1580"/>
    </row>
    <row r="263" customFormat="false" ht="15.75" hidden="false" customHeight="false" outlineLevel="0" collapsed="false">
      <c r="A263" s="2567" t="s">
        <v>3919</v>
      </c>
      <c r="B263" s="2568" t="s">
        <v>12</v>
      </c>
      <c r="C263" s="2565" t="s">
        <v>13</v>
      </c>
      <c r="D263" s="2469" t="str">
        <f aca="false">'Ввод данных'!F702</f>
        <v>Не считать</v>
      </c>
      <c r="E263" s="2459" t="s">
        <v>3920</v>
      </c>
      <c r="F263" s="2459"/>
      <c r="G263" s="2459"/>
      <c r="H263" s="2537"/>
      <c r="I263" s="1429"/>
      <c r="J263" s="1311"/>
      <c r="K263" s="2560"/>
      <c r="L263" s="1580"/>
      <c r="M263" s="1580"/>
      <c r="N263" s="1580"/>
    </row>
    <row r="264" customFormat="false" ht="15.75" hidden="false" customHeight="false" outlineLevel="0" collapsed="false">
      <c r="A264" s="1176" t="s">
        <v>303</v>
      </c>
      <c r="B264" s="1176" t="s">
        <v>48</v>
      </c>
      <c r="C264" s="2548" t="n">
        <f aca="false">'Ввод данных'!E605</f>
        <v>0</v>
      </c>
      <c r="D264" s="2484"/>
      <c r="E264" s="2459"/>
      <c r="F264" s="2459"/>
      <c r="G264" s="2459"/>
      <c r="H264" s="2537"/>
      <c r="I264" s="1429"/>
      <c r="J264" s="1311"/>
      <c r="K264" s="2560"/>
      <c r="L264" s="1580"/>
      <c r="M264" s="1580"/>
      <c r="N264" s="1580"/>
    </row>
    <row r="265" customFormat="false" ht="15.75" hidden="false" customHeight="false" outlineLevel="0" collapsed="false">
      <c r="A265" s="1176" t="s">
        <v>3921</v>
      </c>
      <c r="B265" s="1176" t="s">
        <v>48</v>
      </c>
      <c r="C265" s="2548" t="n">
        <f aca="false">'Ввод данных'!E606</f>
        <v>0</v>
      </c>
      <c r="D265" s="1176" t="s">
        <v>2491</v>
      </c>
      <c r="E265" s="2459"/>
      <c r="F265" s="2459"/>
      <c r="G265" s="2459"/>
      <c r="H265" s="2537"/>
      <c r="I265" s="1429"/>
      <c r="J265" s="1311"/>
      <c r="K265" s="2560"/>
      <c r="L265" s="1580"/>
      <c r="M265" s="1580"/>
      <c r="N265" s="1580"/>
    </row>
    <row r="266" customFormat="false" ht="15.75" hidden="false" customHeight="false" outlineLevel="0" collapsed="false">
      <c r="A266" s="1176" t="s">
        <v>302</v>
      </c>
      <c r="B266" s="1176" t="s">
        <v>48</v>
      </c>
      <c r="C266" s="1176"/>
      <c r="D266" s="2469" t="e">
        <f aca="false">'ввод данных'!#ref!</f>
        <v>#VALUE!</v>
      </c>
      <c r="E266" s="2458" t="e">
        <f aca="false">'ввод данных'!#ref!</f>
        <v>#VALUE!</v>
      </c>
      <c r="F266" s="2459" t="s">
        <v>3668</v>
      </c>
      <c r="G266" s="2459"/>
      <c r="H266" s="2537"/>
      <c r="I266" s="1429"/>
      <c r="J266" s="1311"/>
      <c r="K266" s="1301"/>
      <c r="L266" s="1580"/>
      <c r="M266" s="1580"/>
      <c r="N266" s="1580"/>
    </row>
    <row r="267" customFormat="false" ht="15.75" hidden="false" customHeight="false" outlineLevel="0" collapsed="false">
      <c r="A267" s="1176" t="s">
        <v>2758</v>
      </c>
      <c r="B267" s="1176" t="s">
        <v>48</v>
      </c>
      <c r="C267" s="1176"/>
      <c r="D267" s="2469" t="e">
        <f aca="false">'ввод данных'!#ref!</f>
        <v>#VALUE!</v>
      </c>
      <c r="E267" s="2458" t="e">
        <f aca="false">'ввод данных'!#ref!</f>
        <v>#VALUE!</v>
      </c>
      <c r="F267" s="2459" t="s">
        <v>3669</v>
      </c>
      <c r="G267" s="2459"/>
      <c r="H267" s="2537"/>
      <c r="I267" s="1429"/>
      <c r="J267" s="1311"/>
      <c r="K267" s="1301"/>
      <c r="L267" s="1580"/>
      <c r="M267" s="1580"/>
      <c r="N267" s="1580"/>
    </row>
    <row r="268" customFormat="false" ht="15.75" hidden="false" customHeight="false" outlineLevel="0" collapsed="false">
      <c r="A268" s="1176" t="s">
        <v>2759</v>
      </c>
      <c r="B268" s="1176" t="s">
        <v>48</v>
      </c>
      <c r="C268" s="1176"/>
      <c r="D268" s="2469" t="e">
        <f aca="false">'ввод данных'!#ref!</f>
        <v>#VALUE!</v>
      </c>
      <c r="E268" s="2458" t="e">
        <f aca="false">'ввод данных'!#ref!</f>
        <v>#VALUE!</v>
      </c>
      <c r="F268" s="2459" t="s">
        <v>3670</v>
      </c>
      <c r="G268" s="2459"/>
      <c r="H268" s="2537"/>
      <c r="I268" s="1429"/>
      <c r="J268" s="1311"/>
      <c r="K268" s="1301"/>
      <c r="L268" s="1580"/>
      <c r="M268" s="1580"/>
      <c r="N268" s="1580"/>
    </row>
    <row r="269" customFormat="false" ht="15.75" hidden="false" customHeight="false" outlineLevel="0" collapsed="false">
      <c r="A269" s="1413" t="s">
        <v>392</v>
      </c>
      <c r="B269" s="1304" t="s">
        <v>15</v>
      </c>
      <c r="C269" s="2548" t="n">
        <f aca="false">'Ввод данных'!C607</f>
        <v>3</v>
      </c>
      <c r="D269" s="2546"/>
      <c r="E269" s="2459"/>
      <c r="F269" s="2459"/>
      <c r="G269" s="2459"/>
      <c r="H269" s="2537"/>
      <c r="I269" s="1429"/>
      <c r="J269" s="1311"/>
      <c r="K269" s="1272"/>
      <c r="L269" s="1580"/>
      <c r="M269" s="1580"/>
      <c r="N269" s="1580"/>
    </row>
    <row r="270" customFormat="false" ht="15.75" hidden="false" customHeight="false" outlineLevel="0" collapsed="false">
      <c r="A270" s="1413" t="s">
        <v>4019</v>
      </c>
      <c r="B270" s="1304" t="s">
        <v>15</v>
      </c>
      <c r="C270" s="2548" t="n">
        <f aca="false">'Ввод данных'!C608</f>
        <v>3</v>
      </c>
      <c r="D270" s="2546"/>
      <c r="E270" s="2459"/>
      <c r="F270" s="2459"/>
      <c r="G270" s="2459"/>
      <c r="H270" s="2537"/>
      <c r="I270" s="1429"/>
      <c r="J270" s="1311"/>
      <c r="K270" s="1631"/>
      <c r="L270" s="1580"/>
      <c r="M270" s="1580"/>
      <c r="N270" s="1580"/>
    </row>
    <row r="271" customFormat="false" ht="15.75" hidden="false" customHeight="false" outlineLevel="0" collapsed="false">
      <c r="A271" s="1413" t="s">
        <v>394</v>
      </c>
      <c r="B271" s="1304" t="s">
        <v>15</v>
      </c>
      <c r="C271" s="2548" t="n">
        <f aca="false">'Ввод данных'!C609</f>
        <v>2.7</v>
      </c>
      <c r="D271" s="1179"/>
      <c r="E271" s="2459"/>
      <c r="F271" s="2459"/>
      <c r="G271" s="2459"/>
      <c r="H271" s="2537"/>
      <c r="I271" s="1429"/>
      <c r="J271" s="1311"/>
      <c r="K271" s="1631"/>
      <c r="L271" s="1580"/>
      <c r="M271" s="1580"/>
      <c r="N271" s="1580"/>
    </row>
    <row r="272" customFormat="false" ht="15.75" hidden="false" customHeight="false" outlineLevel="0" collapsed="false">
      <c r="A272" s="1413" t="s">
        <v>395</v>
      </c>
      <c r="B272" s="1304" t="s">
        <v>15</v>
      </c>
      <c r="C272" s="2548" t="n">
        <f aca="false">'Ввод данных'!C610</f>
        <v>2.7</v>
      </c>
      <c r="D272" s="1179"/>
      <c r="E272" s="2459"/>
      <c r="F272" s="2459"/>
      <c r="G272" s="2459"/>
      <c r="H272" s="2537"/>
      <c r="I272" s="1429"/>
      <c r="J272" s="1311"/>
      <c r="K272" s="1631"/>
      <c r="L272" s="1580"/>
      <c r="M272" s="1580"/>
      <c r="N272" s="1580"/>
    </row>
    <row r="273" customFormat="false" ht="15.75" hidden="false" customHeight="false" outlineLevel="0" collapsed="false">
      <c r="A273" s="2569" t="s">
        <v>161</v>
      </c>
      <c r="B273" s="2569" t="s">
        <v>12</v>
      </c>
      <c r="C273" s="1308" t="s">
        <v>2749</v>
      </c>
      <c r="D273" s="1311"/>
      <c r="E273" s="2459"/>
      <c r="F273" s="2459"/>
      <c r="G273" s="2459"/>
      <c r="H273" s="2537"/>
      <c r="I273" s="1429"/>
      <c r="J273" s="1311"/>
      <c r="K273" s="1631"/>
      <c r="L273" s="1580"/>
      <c r="M273" s="1580"/>
      <c r="N273" s="1580"/>
    </row>
    <row r="274" customFormat="false" ht="15.75" hidden="false" customHeight="false" outlineLevel="0" collapsed="false">
      <c r="A274" s="1176" t="s">
        <v>4020</v>
      </c>
      <c r="B274" s="1333" t="s">
        <v>820</v>
      </c>
      <c r="C274" s="1176" t="e">
        <f aca="false">C269*C270*E266</f>
        <v>#VALUE!</v>
      </c>
      <c r="D274" s="1311"/>
      <c r="E274" s="2459"/>
      <c r="F274" s="2459"/>
      <c r="G274" s="2459"/>
      <c r="H274" s="2537"/>
      <c r="I274" s="1429"/>
      <c r="J274" s="1311"/>
      <c r="K274" s="1631"/>
      <c r="L274" s="1580"/>
      <c r="M274" s="1580"/>
      <c r="N274" s="1580"/>
    </row>
    <row r="275" customFormat="false" ht="15.75" hidden="false" customHeight="false" outlineLevel="0" collapsed="false">
      <c r="A275" s="1176" t="s">
        <v>4021</v>
      </c>
      <c r="B275" s="1333" t="s">
        <v>820</v>
      </c>
      <c r="C275" s="1176" t="e">
        <f aca="false">C269*C270*E267</f>
        <v>#VALUE!</v>
      </c>
      <c r="D275" s="1311"/>
      <c r="E275" s="2459"/>
      <c r="F275" s="2459"/>
      <c r="G275" s="2459"/>
      <c r="H275" s="2537"/>
      <c r="I275" s="1429"/>
      <c r="J275" s="1311"/>
      <c r="K275" s="1631"/>
      <c r="L275" s="1580"/>
      <c r="M275" s="1580"/>
      <c r="N275" s="1580"/>
    </row>
    <row r="276" customFormat="false" ht="15.75" hidden="false" customHeight="false" outlineLevel="0" collapsed="false">
      <c r="A276" s="1176" t="s">
        <v>4022</v>
      </c>
      <c r="B276" s="1333" t="s">
        <v>820</v>
      </c>
      <c r="C276" s="1176" t="e">
        <f aca="false">C269*C270*E268</f>
        <v>#VALUE!</v>
      </c>
      <c r="D276" s="1311"/>
      <c r="E276" s="2459"/>
      <c r="F276" s="2459"/>
      <c r="G276" s="2459"/>
      <c r="H276" s="2537"/>
      <c r="I276" s="1429"/>
      <c r="J276" s="1311"/>
      <c r="K276" s="1631"/>
      <c r="L276" s="1580"/>
      <c r="M276" s="1580"/>
      <c r="N276" s="1580"/>
    </row>
    <row r="277" customFormat="false" ht="15.75" hidden="false" customHeight="false" outlineLevel="0" collapsed="false">
      <c r="A277" s="2561" t="s">
        <v>2833</v>
      </c>
      <c r="B277" s="2561"/>
      <c r="C277" s="2561"/>
      <c r="D277" s="2561"/>
      <c r="E277" s="2458" t="n">
        <f aca="false">'Ввод данных'!D640</f>
        <v>2</v>
      </c>
      <c r="F277" s="2459" t="s">
        <v>3715</v>
      </c>
      <c r="G277" s="2459"/>
      <c r="H277" s="2537"/>
      <c r="I277" s="1429"/>
      <c r="J277" s="1311"/>
      <c r="K277" s="1631"/>
      <c r="L277" s="1580"/>
      <c r="M277" s="1580"/>
      <c r="N277" s="1580"/>
    </row>
    <row r="278" customFormat="false" ht="15.75" hidden="false" customHeight="false" outlineLevel="0" collapsed="false">
      <c r="A278" s="2562" t="s">
        <v>2773</v>
      </c>
      <c r="B278" s="2489" t="s">
        <v>15</v>
      </c>
      <c r="C278" s="2562" t="n">
        <f aca="false">(C270+C270+C269)*E277</f>
        <v>18</v>
      </c>
      <c r="D278" s="2459"/>
      <c r="E278" s="2459"/>
      <c r="F278" s="2459"/>
      <c r="G278" s="2459"/>
      <c r="H278" s="2537"/>
      <c r="I278" s="1429"/>
      <c r="J278" s="1311"/>
      <c r="K278" s="1631"/>
      <c r="L278" s="1580"/>
      <c r="M278" s="1580"/>
      <c r="N278" s="1580"/>
    </row>
    <row r="279" customFormat="false" ht="15.75" hidden="false" customHeight="false" outlineLevel="0" collapsed="false">
      <c r="A279" s="2491" t="s">
        <v>3571</v>
      </c>
      <c r="B279" s="1338" t="s">
        <v>820</v>
      </c>
      <c r="C279" s="2491" t="n">
        <f aca="false">C269*C270*E277</f>
        <v>18</v>
      </c>
      <c r="D279" s="2459"/>
      <c r="E279" s="2459"/>
      <c r="F279" s="2459"/>
      <c r="G279" s="2459"/>
      <c r="H279" s="2537"/>
      <c r="I279" s="1429"/>
      <c r="J279" s="1311"/>
      <c r="K279" s="1631"/>
      <c r="L279" s="1580"/>
      <c r="M279" s="1580"/>
      <c r="N279" s="1580"/>
    </row>
    <row r="280" customFormat="false" ht="15.75" hidden="false" customHeight="false" outlineLevel="0" collapsed="false">
      <c r="A280" s="2459"/>
      <c r="B280" s="2493"/>
      <c r="C280" s="2459"/>
      <c r="D280" s="2459"/>
      <c r="E280" s="2459"/>
      <c r="F280" s="2459"/>
      <c r="G280" s="2459"/>
      <c r="H280" s="2537"/>
      <c r="I280" s="1429"/>
      <c r="J280" s="1311"/>
      <c r="K280" s="1631"/>
      <c r="L280" s="1580"/>
      <c r="M280" s="1580"/>
      <c r="N280" s="1580"/>
    </row>
    <row r="281" customFormat="false" ht="15.75" hidden="false" customHeight="false" outlineLevel="0" collapsed="false">
      <c r="A281" s="2459"/>
      <c r="B281" s="2493"/>
      <c r="C281" s="2459"/>
      <c r="D281" s="2459"/>
      <c r="E281" s="2459"/>
      <c r="F281" s="2459"/>
      <c r="G281" s="2459"/>
      <c r="H281" s="2537"/>
      <c r="I281" s="1429"/>
      <c r="J281" s="1311"/>
      <c r="K281" s="1631"/>
      <c r="L281" s="1580"/>
      <c r="M281" s="1580"/>
      <c r="N281" s="1580"/>
    </row>
    <row r="282" customFormat="false" ht="15.75" hidden="false" customHeight="false" outlineLevel="0" collapsed="false">
      <c r="A282" s="2459"/>
      <c r="B282" s="2493"/>
      <c r="C282" s="2459"/>
      <c r="D282" s="2459"/>
      <c r="E282" s="2459"/>
      <c r="F282" s="2459"/>
      <c r="G282" s="2459"/>
      <c r="H282" s="2537"/>
      <c r="I282" s="1429"/>
      <c r="J282" s="1311"/>
      <c r="K282" s="1631"/>
      <c r="L282" s="1580"/>
      <c r="M282" s="1580"/>
      <c r="N282" s="1580"/>
    </row>
    <row r="283" customFormat="false" ht="15.75" hidden="false" customHeight="false" outlineLevel="0" collapsed="false">
      <c r="A283" s="2459"/>
      <c r="B283" s="2459"/>
      <c r="C283" s="2459"/>
      <c r="D283" s="2459"/>
      <c r="E283" s="2459"/>
      <c r="F283" s="2459"/>
      <c r="G283" s="2459"/>
      <c r="H283" s="2537"/>
      <c r="I283" s="1429"/>
      <c r="J283" s="1311"/>
      <c r="K283" s="1631"/>
      <c r="L283" s="1580"/>
      <c r="M283" s="1580"/>
      <c r="N283" s="1580"/>
    </row>
    <row r="284" customFormat="false" ht="15.75" hidden="false" customHeight="false" outlineLevel="0" collapsed="false">
      <c r="A284" s="2570"/>
      <c r="B284" s="53"/>
      <c r="C284" s="53"/>
      <c r="D284" s="53"/>
      <c r="E284" s="53"/>
      <c r="F284" s="2459"/>
      <c r="G284" s="53"/>
      <c r="H284" s="2537"/>
      <c r="I284" s="1429"/>
      <c r="J284" s="1311"/>
      <c r="K284" s="1631"/>
      <c r="L284" s="1580"/>
      <c r="M284" s="1580"/>
      <c r="N284" s="1580"/>
    </row>
    <row r="285" customFormat="false" ht="15.75" hidden="false" customHeight="false" outlineLevel="0" collapsed="false">
      <c r="A285" s="53"/>
      <c r="B285" s="1179"/>
      <c r="C285" s="53"/>
      <c r="D285" s="53"/>
      <c r="E285" s="53"/>
      <c r="F285" s="53"/>
      <c r="G285" s="2459"/>
      <c r="H285" s="2537"/>
      <c r="I285" s="1429"/>
      <c r="J285" s="1311"/>
      <c r="K285" s="1631"/>
      <c r="L285" s="1580"/>
      <c r="M285" s="1580"/>
      <c r="N285" s="1580"/>
    </row>
    <row r="286" customFormat="false" ht="15.75" hidden="false" customHeight="false" outlineLevel="0" collapsed="false">
      <c r="A286" s="53"/>
      <c r="B286" s="1179"/>
      <c r="C286" s="53"/>
      <c r="D286" s="53"/>
      <c r="E286" s="53"/>
      <c r="F286" s="53"/>
      <c r="G286" s="2459"/>
      <c r="H286" s="2537"/>
      <c r="I286" s="1429"/>
      <c r="J286" s="1417"/>
      <c r="K286" s="1631"/>
      <c r="L286" s="1580"/>
      <c r="M286" s="1580"/>
      <c r="N286" s="1580"/>
    </row>
    <row r="287" customFormat="false" ht="15.75" hidden="false" customHeight="false" outlineLevel="0" collapsed="false">
      <c r="A287" s="2459"/>
      <c r="B287" s="2493"/>
      <c r="C287" s="2459"/>
      <c r="D287" s="53"/>
      <c r="E287" s="2459"/>
      <c r="F287" s="2459"/>
      <c r="G287" s="2459"/>
      <c r="H287" s="2537"/>
      <c r="I287" s="1429"/>
      <c r="J287" s="1417"/>
      <c r="K287" s="1631"/>
      <c r="L287" s="1580"/>
      <c r="M287" s="1580"/>
      <c r="N287" s="1580"/>
    </row>
    <row r="288" customFormat="false" ht="15.75" hidden="false" customHeight="false" outlineLevel="0" collapsed="false">
      <c r="A288" s="2459"/>
      <c r="B288" s="2493"/>
      <c r="C288" s="2459"/>
      <c r="D288" s="2459"/>
      <c r="E288" s="2459"/>
      <c r="F288" s="2459"/>
      <c r="G288" s="2459"/>
      <c r="H288" s="2537"/>
      <c r="I288" s="1429"/>
      <c r="J288" s="1417"/>
      <c r="K288" s="1631"/>
      <c r="L288" s="1580"/>
      <c r="M288" s="1580"/>
      <c r="N288" s="1580"/>
    </row>
    <row r="289" customFormat="false" ht="15.75" hidden="false" customHeight="false" outlineLevel="0" collapsed="false">
      <c r="A289" s="2488" t="s">
        <v>2359</v>
      </c>
      <c r="B289" s="2488"/>
      <c r="C289" s="2488"/>
      <c r="D289" s="2488"/>
      <c r="E289" s="2488"/>
      <c r="F289" s="2467" t="e">
        <f aca="false">'ввод данных'!#ref!</f>
        <v>#VALUE!</v>
      </c>
      <c r="G289" s="2534" t="s">
        <v>4023</v>
      </c>
      <c r="H289" s="2483"/>
      <c r="I289" s="2483"/>
      <c r="J289" s="2483"/>
      <c r="K289" s="1631"/>
      <c r="L289" s="1580"/>
      <c r="M289" s="1580"/>
      <c r="N289" s="1580"/>
    </row>
    <row r="290" customFormat="false" ht="15.75" hidden="false" customHeight="false" outlineLevel="0" collapsed="false">
      <c r="A290" s="1297" t="s">
        <v>161</v>
      </c>
      <c r="B290" s="1297"/>
      <c r="C290" s="1308" t="s">
        <v>12</v>
      </c>
      <c r="D290" s="2465" t="s">
        <v>837</v>
      </c>
      <c r="E290" s="2465" t="s">
        <v>486</v>
      </c>
      <c r="F290" s="2459"/>
      <c r="G290" s="2459"/>
      <c r="H290" s="2459"/>
      <c r="I290" s="2459"/>
      <c r="J290" s="1269"/>
      <c r="K290" s="1631"/>
      <c r="L290" s="1580"/>
      <c r="M290" s="1580"/>
      <c r="N290" s="1580"/>
    </row>
    <row r="291" customFormat="false" ht="15.75" hidden="false" customHeight="false" outlineLevel="0" collapsed="false">
      <c r="A291" s="1310" t="s">
        <v>542</v>
      </c>
      <c r="B291" s="1310"/>
      <c r="C291" s="2491" t="s">
        <v>15</v>
      </c>
      <c r="D291" s="2469" t="n">
        <f aca="false">'Ввод данных'!C914</f>
        <v>0.6</v>
      </c>
      <c r="E291" s="2458" t="n">
        <f aca="false">'Ввод данных'!D913</f>
        <v>0</v>
      </c>
      <c r="F291" s="2459" t="s">
        <v>4024</v>
      </c>
      <c r="G291" s="2459"/>
      <c r="H291" s="2459"/>
      <c r="I291" s="2459"/>
      <c r="J291" s="1269"/>
      <c r="K291" s="1631"/>
      <c r="L291" s="1580"/>
      <c r="M291" s="1580"/>
      <c r="N291" s="1580"/>
    </row>
    <row r="292" customFormat="false" ht="15.75" hidden="false" customHeight="false" outlineLevel="0" collapsed="false">
      <c r="A292" s="1310" t="s">
        <v>4025</v>
      </c>
      <c r="B292" s="1310"/>
      <c r="C292" s="1313" t="s">
        <v>15</v>
      </c>
      <c r="D292" s="2469" t="e">
        <f aca="false">'ввод данных'!#ref!</f>
        <v>#VALUE!</v>
      </c>
      <c r="E292" s="2458" t="n">
        <f aca="false">'Ввод данных'!D914</f>
        <v>0</v>
      </c>
      <c r="F292" s="2459" t="s">
        <v>4026</v>
      </c>
      <c r="G292" s="2459"/>
      <c r="H292" s="2459"/>
      <c r="I292" s="2459"/>
      <c r="J292" s="1269"/>
      <c r="K292" s="1631"/>
      <c r="L292" s="1580"/>
      <c r="M292" s="1580"/>
      <c r="N292" s="1580"/>
    </row>
    <row r="293" customFormat="false" ht="15.75" hidden="false" customHeight="false" outlineLevel="0" collapsed="false">
      <c r="A293" s="1310" t="s">
        <v>554</v>
      </c>
      <c r="B293" s="1310"/>
      <c r="C293" s="1313" t="s">
        <v>15</v>
      </c>
      <c r="D293" s="1338"/>
      <c r="E293" s="2458" t="n">
        <f aca="false">'Ввод данных'!D916</f>
        <v>0</v>
      </c>
      <c r="F293" s="2459" t="s">
        <v>4027</v>
      </c>
      <c r="G293" s="2459"/>
      <c r="H293" s="2483"/>
      <c r="I293" s="2483"/>
      <c r="J293" s="2483"/>
      <c r="K293" s="1631"/>
      <c r="L293" s="1580"/>
      <c r="M293" s="1580"/>
      <c r="N293" s="1580"/>
    </row>
    <row r="294" customFormat="false" ht="15.75" hidden="false" customHeight="false" outlineLevel="0" collapsed="false">
      <c r="A294" s="1310" t="s">
        <v>543</v>
      </c>
      <c r="B294" s="1310"/>
      <c r="C294" s="2571" t="s">
        <v>15</v>
      </c>
      <c r="D294" s="2469" t="n">
        <f aca="false">'Ввод данных'!C916</f>
        <v>4</v>
      </c>
      <c r="E294" s="1269"/>
      <c r="F294" s="1269"/>
      <c r="G294" s="1269"/>
      <c r="H294" s="2483"/>
      <c r="I294" s="2483"/>
      <c r="J294" s="2483"/>
      <c r="K294" s="1631"/>
      <c r="L294" s="1580"/>
      <c r="M294" s="1580"/>
      <c r="N294" s="1580"/>
    </row>
    <row r="295" customFormat="false" ht="15.75" hidden="false" customHeight="false" outlineLevel="0" collapsed="false">
      <c r="A295" s="1310" t="s">
        <v>544</v>
      </c>
      <c r="B295" s="1310"/>
      <c r="C295" s="2476" t="s">
        <v>15</v>
      </c>
      <c r="D295" s="2469" t="n">
        <f aca="false">'Ввод данных'!C917</f>
        <v>5</v>
      </c>
      <c r="E295" s="1269"/>
      <c r="F295" s="1269"/>
      <c r="G295" s="1269"/>
      <c r="H295" s="2459"/>
      <c r="I295" s="2483"/>
      <c r="J295" s="2483"/>
      <c r="K295" s="1631"/>
      <c r="L295" s="1580"/>
      <c r="M295" s="1580"/>
      <c r="N295" s="1580"/>
    </row>
    <row r="296" customFormat="false" ht="15.75" hidden="false" customHeight="false" outlineLevel="0" collapsed="false">
      <c r="A296" s="1310" t="s">
        <v>545</v>
      </c>
      <c r="B296" s="1310"/>
      <c r="C296" s="2476" t="s">
        <v>15</v>
      </c>
      <c r="D296" s="2469" t="n">
        <f aca="false">'Ввод данных'!C918</f>
        <v>3</v>
      </c>
      <c r="E296" s="1269"/>
      <c r="F296" s="1269"/>
      <c r="G296" s="1269"/>
      <c r="H296" s="2459"/>
      <c r="I296" s="2483"/>
      <c r="J296" s="2483"/>
      <c r="K296" s="1631"/>
      <c r="L296" s="1580"/>
      <c r="M296" s="1580"/>
      <c r="N296" s="1580"/>
    </row>
    <row r="297" customFormat="false" ht="15.75" hidden="false" customHeight="false" outlineLevel="0" collapsed="false">
      <c r="A297" s="1191" t="s">
        <v>4028</v>
      </c>
      <c r="B297" s="1191"/>
      <c r="C297" s="2491" t="s">
        <v>820</v>
      </c>
      <c r="D297" s="2491" t="n">
        <f aca="false">D294*D295</f>
        <v>20</v>
      </c>
      <c r="E297" s="1269"/>
      <c r="F297" s="1269"/>
      <c r="G297" s="1269"/>
      <c r="H297" s="2459"/>
      <c r="I297" s="2483"/>
      <c r="J297" s="2483"/>
      <c r="K297" s="1631"/>
      <c r="L297" s="1580"/>
      <c r="M297" s="1580"/>
      <c r="N297" s="1580"/>
    </row>
    <row r="298" customFormat="false" ht="15.75" hidden="false" customHeight="false" outlineLevel="0" collapsed="false">
      <c r="A298" s="1191" t="s">
        <v>4029</v>
      </c>
      <c r="B298" s="1191"/>
      <c r="C298" s="2491" t="s">
        <v>1043</v>
      </c>
      <c r="D298" s="2491" t="n">
        <f aca="false">D294*D295*D296</f>
        <v>60</v>
      </c>
      <c r="E298" s="1269"/>
      <c r="F298" s="1269"/>
      <c r="G298" s="1269"/>
      <c r="H298" s="1269"/>
      <c r="I298" s="2483"/>
      <c r="J298" s="2483"/>
      <c r="K298" s="1631"/>
      <c r="L298" s="1580"/>
      <c r="M298" s="1580"/>
      <c r="N298" s="1580"/>
    </row>
    <row r="299" customFormat="false" ht="15.75" hidden="false" customHeight="false" outlineLevel="0" collapsed="false">
      <c r="A299" s="2572" t="s">
        <v>4030</v>
      </c>
      <c r="B299" s="2572"/>
      <c r="C299" s="2491" t="s">
        <v>1043</v>
      </c>
      <c r="D299" s="2491" t="e">
        <f aca="false">(D294+D294+D295+D295)*D296*(D291*E291+D292*E292)</f>
        <v>#VALUE!</v>
      </c>
      <c r="E299" s="1269"/>
      <c r="F299" s="1269"/>
      <c r="G299" s="1269"/>
      <c r="H299" s="1269"/>
      <c r="I299" s="2483"/>
      <c r="J299" s="2483"/>
      <c r="K299" s="1631"/>
      <c r="L299" s="1580"/>
      <c r="M299" s="1580"/>
      <c r="N299" s="1580"/>
    </row>
    <row r="300" customFormat="false" ht="15.75" hidden="false" customHeight="false" outlineLevel="0" collapsed="false">
      <c r="A300" s="1297" t="s">
        <v>46</v>
      </c>
      <c r="B300" s="1297"/>
      <c r="C300" s="2573" t="s">
        <v>12</v>
      </c>
      <c r="D300" s="2574" t="s">
        <v>200</v>
      </c>
      <c r="E300" s="2465" t="s">
        <v>118</v>
      </c>
      <c r="F300" s="2465" t="s">
        <v>200</v>
      </c>
      <c r="G300" s="1269"/>
      <c r="H300" s="1269"/>
      <c r="I300" s="2483"/>
      <c r="J300" s="2483"/>
      <c r="K300" s="1631"/>
      <c r="L300" s="1580"/>
      <c r="M300" s="1580"/>
      <c r="N300" s="1580"/>
    </row>
    <row r="301" customFormat="false" ht="15.75" hidden="false" customHeight="false" outlineLevel="0" collapsed="false">
      <c r="A301" s="1304" t="s">
        <v>546</v>
      </c>
      <c r="B301" s="1304"/>
      <c r="C301" s="2476" t="s">
        <v>15</v>
      </c>
      <c r="D301" s="2469" t="n">
        <f aca="false">'Ввод данных'!C920</f>
        <v>3</v>
      </c>
      <c r="E301" s="2458" t="n">
        <f aca="false">'Ввод данных'!D920</f>
        <v>0</v>
      </c>
      <c r="F301" s="2491" t="n">
        <f aca="false">D301*E301</f>
        <v>0</v>
      </c>
      <c r="G301" s="2459"/>
      <c r="H301" s="2459"/>
      <c r="I301" s="2483"/>
      <c r="J301" s="2483"/>
      <c r="K301" s="1631"/>
      <c r="L301" s="1580"/>
      <c r="M301" s="1580"/>
      <c r="N301" s="1580"/>
    </row>
    <row r="302" customFormat="false" ht="15.75" hidden="false" customHeight="false" outlineLevel="0" collapsed="false">
      <c r="A302" s="1304"/>
      <c r="B302" s="1304"/>
      <c r="C302" s="2476"/>
      <c r="D302" s="2469" t="n">
        <f aca="false">'Ввод данных'!C921</f>
        <v>1</v>
      </c>
      <c r="E302" s="2458" t="n">
        <f aca="false">'Ввод данных'!D921</f>
        <v>0</v>
      </c>
      <c r="F302" s="2491" t="n">
        <f aca="false">D302*E302</f>
        <v>0</v>
      </c>
      <c r="G302" s="2459"/>
      <c r="H302" s="2459"/>
      <c r="I302" s="2483"/>
      <c r="J302" s="2483"/>
      <c r="K302" s="1631"/>
      <c r="L302" s="1580"/>
      <c r="M302" s="1580"/>
      <c r="N302" s="1580"/>
    </row>
    <row r="303" customFormat="false" ht="15.75" hidden="false" customHeight="false" outlineLevel="0" collapsed="false">
      <c r="A303" s="1304" t="s">
        <v>547</v>
      </c>
      <c r="B303" s="1304"/>
      <c r="C303" s="2476" t="s">
        <v>15</v>
      </c>
      <c r="D303" s="2469" t="n">
        <f aca="false">'Ввод данных'!C922</f>
        <v>0</v>
      </c>
      <c r="E303" s="2458" t="n">
        <f aca="false">'Ввод данных'!D922</f>
        <v>0</v>
      </c>
      <c r="F303" s="2491" t="n">
        <f aca="false">D303*E303</f>
        <v>0</v>
      </c>
      <c r="G303" s="2459"/>
      <c r="H303" s="2459"/>
      <c r="I303" s="2483"/>
      <c r="J303" s="2483"/>
      <c r="K303" s="1631"/>
      <c r="L303" s="1580"/>
      <c r="M303" s="1580"/>
      <c r="N303" s="1580"/>
    </row>
    <row r="304" customFormat="false" ht="15.75" hidden="false" customHeight="false" outlineLevel="0" collapsed="false">
      <c r="A304" s="1304"/>
      <c r="B304" s="1304"/>
      <c r="C304" s="2476"/>
      <c r="D304" s="2469" t="n">
        <f aca="false">'Ввод данных'!C923</f>
        <v>0</v>
      </c>
      <c r="E304" s="2458" t="n">
        <f aca="false">'Ввод данных'!D923</f>
        <v>0</v>
      </c>
      <c r="F304" s="2491" t="n">
        <f aca="false">D304*E304</f>
        <v>0</v>
      </c>
      <c r="G304" s="2459"/>
      <c r="H304" s="2459"/>
      <c r="I304" s="2483"/>
      <c r="J304" s="2483"/>
      <c r="K304" s="1631"/>
      <c r="L304" s="1580"/>
      <c r="M304" s="1580"/>
      <c r="N304" s="1580"/>
    </row>
    <row r="305" customFormat="false" ht="15.75" hidden="false" customHeight="false" outlineLevel="0" collapsed="false">
      <c r="A305" s="1413" t="s">
        <v>4031</v>
      </c>
      <c r="B305" s="1413"/>
      <c r="C305" s="1413"/>
      <c r="D305" s="1413"/>
      <c r="E305" s="1413"/>
      <c r="F305" s="2491" t="n">
        <f aca="false">SUM(F301:F304)</f>
        <v>0</v>
      </c>
      <c r="G305" s="2459"/>
      <c r="H305" s="2459"/>
      <c r="I305" s="2483"/>
      <c r="J305" s="2483"/>
      <c r="K305" s="1631"/>
      <c r="L305" s="1580"/>
      <c r="M305" s="1580"/>
      <c r="N305" s="1580"/>
    </row>
    <row r="306" customFormat="false" ht="15.75" hidden="false" customHeight="false" outlineLevel="0" collapsed="false">
      <c r="A306" s="2495" t="s">
        <v>548</v>
      </c>
      <c r="B306" s="2495"/>
      <c r="C306" s="1365" t="s">
        <v>12</v>
      </c>
      <c r="D306" s="1365" t="s">
        <v>2779</v>
      </c>
      <c r="E306" s="1365" t="s">
        <v>2780</v>
      </c>
      <c r="F306" s="1365" t="s">
        <v>118</v>
      </c>
      <c r="G306" s="2465" t="s">
        <v>2749</v>
      </c>
      <c r="H306" s="2483"/>
      <c r="I306" s="1429"/>
      <c r="J306" s="2483"/>
      <c r="K306" s="1631"/>
      <c r="L306" s="1580"/>
      <c r="M306" s="1580"/>
      <c r="N306" s="1580"/>
    </row>
    <row r="307" customFormat="false" ht="15.75" hidden="false" customHeight="false" outlineLevel="0" collapsed="false">
      <c r="A307" s="1304" t="s">
        <v>550</v>
      </c>
      <c r="B307" s="1304"/>
      <c r="C307" s="1304" t="s">
        <v>15</v>
      </c>
      <c r="D307" s="2469" t="n">
        <f aca="false">'Ввод данных'!C925</f>
        <v>0</v>
      </c>
      <c r="E307" s="2458" t="n">
        <f aca="false">'Ввод данных'!D925</f>
        <v>0</v>
      </c>
      <c r="F307" s="2467" t="n">
        <f aca="false">'Ввод данных'!E925</f>
        <v>0</v>
      </c>
      <c r="G307" s="1368" t="n">
        <f aca="false">D307*E307*F307</f>
        <v>0</v>
      </c>
      <c r="H307" s="2483"/>
      <c r="I307" s="1271"/>
      <c r="J307" s="2483"/>
      <c r="K307" s="1631"/>
      <c r="L307" s="1580"/>
      <c r="M307" s="1580"/>
      <c r="N307" s="1580"/>
    </row>
    <row r="308" customFormat="false" ht="15.75" hidden="false" customHeight="false" outlineLevel="0" collapsed="false">
      <c r="A308" s="1304"/>
      <c r="B308" s="1304"/>
      <c r="C308" s="1304" t="s">
        <v>15</v>
      </c>
      <c r="D308" s="2469" t="n">
        <f aca="false">'Ввод данных'!C926</f>
        <v>0</v>
      </c>
      <c r="E308" s="2458" t="n">
        <f aca="false">'Ввод данных'!D926</f>
        <v>0</v>
      </c>
      <c r="F308" s="2467" t="n">
        <f aca="false">'Ввод данных'!E926</f>
        <v>0</v>
      </c>
      <c r="G308" s="1368" t="n">
        <f aca="false">D308*E308*F308</f>
        <v>0</v>
      </c>
      <c r="H308" s="2483"/>
      <c r="I308" s="1429"/>
      <c r="J308" s="2483"/>
      <c r="K308" s="1631"/>
      <c r="L308" s="1580"/>
      <c r="M308" s="1580"/>
      <c r="N308" s="1580"/>
    </row>
    <row r="309" customFormat="false" ht="15.75" hidden="false" customHeight="false" outlineLevel="0" collapsed="false">
      <c r="A309" s="1304"/>
      <c r="B309" s="1304"/>
      <c r="C309" s="1304" t="s">
        <v>15</v>
      </c>
      <c r="D309" s="2469" t="n">
        <f aca="false">'Ввод данных'!C927</f>
        <v>0</v>
      </c>
      <c r="E309" s="2458" t="n">
        <f aca="false">'Ввод данных'!D927</f>
        <v>0</v>
      </c>
      <c r="F309" s="2467" t="n">
        <f aca="false">'Ввод данных'!E927</f>
        <v>0</v>
      </c>
      <c r="G309" s="1368" t="n">
        <f aca="false">D309*E309*F309</f>
        <v>0</v>
      </c>
      <c r="H309" s="2537"/>
      <c r="I309" s="1429"/>
      <c r="J309" s="1619"/>
      <c r="K309" s="1631"/>
      <c r="L309" s="1580"/>
      <c r="M309" s="1580"/>
      <c r="N309" s="1580"/>
    </row>
    <row r="310" customFormat="false" ht="15.75" hidden="false" customHeight="false" outlineLevel="0" collapsed="false">
      <c r="A310" s="1401" t="s">
        <v>551</v>
      </c>
      <c r="B310" s="1401"/>
      <c r="C310" s="1304" t="s">
        <v>15</v>
      </c>
      <c r="D310" s="2469" t="n">
        <f aca="false">'Ввод данных'!C928</f>
        <v>1</v>
      </c>
      <c r="E310" s="2458" t="n">
        <f aca="false">'Ввод данных'!D928</f>
        <v>2</v>
      </c>
      <c r="F310" s="2467" t="n">
        <f aca="false">'Ввод данных'!E928</f>
        <v>0</v>
      </c>
      <c r="G310" s="1368" t="n">
        <f aca="false">D310*E310*F310</f>
        <v>0</v>
      </c>
      <c r="H310" s="1311"/>
      <c r="I310" s="1429"/>
      <c r="J310" s="1311"/>
      <c r="K310" s="1631"/>
      <c r="L310" s="1580"/>
      <c r="M310" s="1580"/>
      <c r="N310" s="1580"/>
    </row>
    <row r="311" customFormat="false" ht="15.75" hidden="false" customHeight="false" outlineLevel="0" collapsed="false">
      <c r="A311" s="1401"/>
      <c r="B311" s="1401"/>
      <c r="C311" s="1304" t="s">
        <v>15</v>
      </c>
      <c r="D311" s="2469" t="n">
        <f aca="false">'Ввод данных'!C929</f>
        <v>0</v>
      </c>
      <c r="E311" s="2458" t="n">
        <f aca="false">'Ввод данных'!D929</f>
        <v>2.7</v>
      </c>
      <c r="F311" s="2467" t="n">
        <f aca="false">'Ввод данных'!E929</f>
        <v>0</v>
      </c>
      <c r="G311" s="1368" t="n">
        <f aca="false">D311*E311*F311</f>
        <v>0</v>
      </c>
      <c r="H311" s="2537"/>
      <c r="I311" s="1429"/>
      <c r="J311" s="1619"/>
      <c r="K311" s="1631"/>
      <c r="L311" s="1580"/>
      <c r="M311" s="1580"/>
      <c r="N311" s="1580"/>
    </row>
    <row r="312" customFormat="false" ht="15.75" hidden="false" customHeight="false" outlineLevel="0" collapsed="false">
      <c r="A312" s="1413" t="s">
        <v>553</v>
      </c>
      <c r="B312" s="1413"/>
      <c r="C312" s="1334" t="s">
        <v>15</v>
      </c>
      <c r="D312" s="2469" t="n">
        <f aca="false">'Ввод данных'!C930</f>
        <v>2</v>
      </c>
      <c r="E312" s="2458" t="n">
        <f aca="false">'Ввод данных'!D930</f>
        <v>2</v>
      </c>
      <c r="F312" s="2467" t="n">
        <f aca="false">'Ввод данных'!E930</f>
        <v>0</v>
      </c>
      <c r="G312" s="1176" t="n">
        <f aca="false">D312*E312*F312</f>
        <v>0</v>
      </c>
      <c r="H312" s="2538" t="e">
        <f aca="false">'ввод данных'!#ref!</f>
        <v>#VALUE!</v>
      </c>
      <c r="I312" s="1619" t="s">
        <v>4005</v>
      </c>
      <c r="J312" s="1619"/>
      <c r="K312" s="1631"/>
      <c r="L312" s="1580"/>
      <c r="M312" s="1580"/>
      <c r="N312" s="1580"/>
    </row>
    <row r="313" customFormat="false" ht="15.75" hidden="false" customHeight="false" outlineLevel="0" collapsed="false">
      <c r="A313" s="1310" t="s">
        <v>4032</v>
      </c>
      <c r="B313" s="1310"/>
      <c r="C313" s="1176" t="s">
        <v>820</v>
      </c>
      <c r="D313" s="1176" t="n">
        <f aca="false">G307+G308+G309+G310+G311</f>
        <v>0</v>
      </c>
      <c r="E313" s="1311"/>
      <c r="F313" s="1311"/>
      <c r="G313" s="1311"/>
      <c r="H313" s="1311"/>
      <c r="I313" s="1311"/>
      <c r="J313" s="1619"/>
      <c r="K313" s="1631"/>
      <c r="L313" s="1580"/>
      <c r="M313" s="1580"/>
      <c r="N313" s="1580"/>
    </row>
    <row r="314" customFormat="false" ht="15.75" hidden="false" customHeight="false" outlineLevel="0" collapsed="false">
      <c r="A314" s="1799" t="s">
        <v>4033</v>
      </c>
      <c r="B314" s="1799"/>
      <c r="C314" s="1344" t="s">
        <v>1043</v>
      </c>
      <c r="D314" s="1344" t="e">
        <f aca="false">D313*(D291*E291+D292*E292)</f>
        <v>#VALUE!</v>
      </c>
      <c r="E314" s="1417"/>
      <c r="F314" s="1417"/>
      <c r="G314" s="1271"/>
      <c r="H314" s="2537"/>
      <c r="I314" s="1429"/>
      <c r="J314" s="1619"/>
      <c r="K314" s="1631"/>
      <c r="L314" s="1580"/>
      <c r="M314" s="1580"/>
      <c r="N314" s="1580"/>
    </row>
    <row r="315" customFormat="false" ht="15.75" hidden="false" customHeight="false" outlineLevel="0" collapsed="false">
      <c r="A315" s="1310" t="s">
        <v>4034</v>
      </c>
      <c r="B315" s="1310"/>
      <c r="C315" s="1176" t="s">
        <v>1043</v>
      </c>
      <c r="D315" s="1604" t="e">
        <f aca="false">D299-D314</f>
        <v>#VALUE!</v>
      </c>
      <c r="E315" s="1311"/>
      <c r="F315" s="1311"/>
      <c r="G315" s="1311"/>
      <c r="H315" s="1311"/>
      <c r="I315" s="1311"/>
      <c r="J315" s="1619"/>
      <c r="K315" s="1631"/>
      <c r="L315" s="1580"/>
      <c r="M315" s="1580"/>
      <c r="N315" s="1580"/>
    </row>
    <row r="316" customFormat="false" ht="15.75" hidden="false" customHeight="false" outlineLevel="0" collapsed="false">
      <c r="A316" s="2488" t="s">
        <v>2833</v>
      </c>
      <c r="B316" s="2488"/>
      <c r="C316" s="2488"/>
      <c r="D316" s="2488"/>
      <c r="E316" s="2458"/>
      <c r="F316" s="2459" t="s">
        <v>3715</v>
      </c>
      <c r="G316" s="1311"/>
      <c r="H316" s="1311"/>
      <c r="I316" s="1311"/>
      <c r="J316" s="1619"/>
      <c r="K316" s="1631"/>
      <c r="L316" s="1580"/>
      <c r="M316" s="1580"/>
      <c r="N316" s="1580"/>
    </row>
    <row r="317" customFormat="false" ht="15.75" hidden="false" customHeight="false" outlineLevel="0" collapsed="false">
      <c r="A317" s="1191" t="s">
        <v>2773</v>
      </c>
      <c r="B317" s="1191"/>
      <c r="C317" s="2489" t="s">
        <v>15</v>
      </c>
      <c r="D317" s="2562" t="n">
        <f aca="false">D294*2+D295*2+F305</f>
        <v>18</v>
      </c>
      <c r="E317" s="2459"/>
      <c r="F317" s="1631"/>
      <c r="G317" s="1271"/>
      <c r="H317" s="2537"/>
      <c r="I317" s="1429"/>
      <c r="J317" s="1619"/>
      <c r="K317" s="1631"/>
      <c r="L317" s="1580"/>
      <c r="M317" s="1580"/>
      <c r="N317" s="1580"/>
    </row>
    <row r="318" customFormat="false" ht="15.75" hidden="false" customHeight="false" outlineLevel="0" collapsed="false">
      <c r="A318" s="1191" t="s">
        <v>3571</v>
      </c>
      <c r="B318" s="1191"/>
      <c r="C318" s="2575" t="s">
        <v>820</v>
      </c>
      <c r="D318" s="2576" t="n">
        <f aca="false">D294*D295</f>
        <v>20</v>
      </c>
      <c r="E318" s="2459"/>
      <c r="F318" s="1631"/>
      <c r="G318" s="1271"/>
      <c r="H318" s="2537"/>
      <c r="I318" s="1429"/>
      <c r="J318" s="1619"/>
      <c r="K318" s="1631"/>
      <c r="L318" s="1580"/>
      <c r="M318" s="1580"/>
      <c r="N318" s="1580"/>
    </row>
    <row r="319" customFormat="false" ht="15.75" hidden="false" customHeight="false" outlineLevel="0" collapsed="false">
      <c r="A319" s="1310" t="s">
        <v>4035</v>
      </c>
      <c r="B319" s="1310"/>
      <c r="C319" s="1334" t="s">
        <v>820</v>
      </c>
      <c r="D319" s="1672" t="e">
        <f aca="false">D317*(D291*E291+D292*E292)</f>
        <v>#VALUE!</v>
      </c>
      <c r="E319" s="1631"/>
      <c r="F319" s="1631"/>
      <c r="G319" s="1271"/>
      <c r="H319" s="2537"/>
      <c r="I319" s="1429"/>
      <c r="J319" s="1619"/>
      <c r="K319" s="1631"/>
      <c r="L319" s="1580"/>
      <c r="M319" s="1580"/>
      <c r="N319" s="1580"/>
    </row>
    <row r="320" customFormat="false" ht="15.75" hidden="false" customHeight="false" outlineLevel="0" collapsed="false">
      <c r="A320" s="1799" t="s">
        <v>4036</v>
      </c>
      <c r="B320" s="1799"/>
      <c r="C320" s="1294" t="s">
        <v>820</v>
      </c>
      <c r="D320" s="1672" t="e">
        <f aca="false">D297-D319</f>
        <v>#VALUE!</v>
      </c>
      <c r="E320" s="1631"/>
      <c r="F320" s="1631"/>
      <c r="G320" s="1271"/>
      <c r="H320" s="2537"/>
      <c r="I320" s="1429"/>
      <c r="J320" s="1619"/>
      <c r="K320" s="1631"/>
      <c r="L320" s="1580"/>
      <c r="M320" s="1580"/>
      <c r="N320" s="1580"/>
    </row>
    <row r="321" customFormat="false" ht="15.75" hidden="false" customHeight="false" outlineLevel="0" collapsed="false">
      <c r="A321" s="2577" t="s">
        <v>4037</v>
      </c>
      <c r="B321" s="2577"/>
      <c r="C321" s="2577"/>
      <c r="D321" s="2577"/>
      <c r="E321" s="2577"/>
      <c r="F321" s="2577"/>
      <c r="G321" s="2577"/>
      <c r="H321" s="2577"/>
      <c r="I321" s="2577"/>
      <c r="J321" s="2577"/>
      <c r="K321" s="2577"/>
      <c r="L321" s="2578"/>
      <c r="M321" s="1580"/>
      <c r="N321" s="1580"/>
    </row>
    <row r="322" customFormat="false" ht="15.75" hidden="false" customHeight="false" outlineLevel="0" collapsed="false">
      <c r="A322" s="2577"/>
      <c r="B322" s="2577"/>
      <c r="C322" s="2577"/>
      <c r="D322" s="2577"/>
      <c r="E322" s="2577"/>
      <c r="F322" s="2577"/>
      <c r="G322" s="2577"/>
      <c r="H322" s="2577"/>
      <c r="I322" s="2577"/>
      <c r="J322" s="2577"/>
      <c r="K322" s="2577"/>
      <c r="L322" s="2578"/>
      <c r="M322" s="1580"/>
      <c r="N322" s="1580"/>
    </row>
    <row r="323" customFormat="false" ht="15.75" hidden="false" customHeight="true" outlineLevel="0" collapsed="false">
      <c r="A323" s="2579" t="s">
        <v>3717</v>
      </c>
      <c r="B323" s="2579"/>
      <c r="C323" s="2579"/>
      <c r="D323" s="2579"/>
      <c r="E323" s="2579"/>
      <c r="F323" s="2579"/>
      <c r="G323" s="2579" t="s">
        <v>3718</v>
      </c>
      <c r="H323" s="2579"/>
      <c r="I323" s="2579"/>
      <c r="J323" s="2579"/>
      <c r="K323" s="2579"/>
      <c r="L323" s="2579"/>
      <c r="M323" s="1580"/>
      <c r="N323" s="1580"/>
    </row>
    <row r="324" customFormat="false" ht="47.25" hidden="false" customHeight="false" outlineLevel="0" collapsed="false">
      <c r="A324" s="2580" t="s">
        <v>2108</v>
      </c>
      <c r="B324" s="2581" t="s">
        <v>116</v>
      </c>
      <c r="C324" s="2582" t="s">
        <v>137</v>
      </c>
      <c r="D324" s="2582" t="s">
        <v>118</v>
      </c>
      <c r="E324" s="2581"/>
      <c r="F324" s="2582" t="s">
        <v>3719</v>
      </c>
      <c r="G324" s="2582" t="s">
        <v>2791</v>
      </c>
      <c r="H324" s="2581" t="s">
        <v>116</v>
      </c>
      <c r="I324" s="2581" t="s">
        <v>137</v>
      </c>
      <c r="J324" s="2581" t="s">
        <v>118</v>
      </c>
      <c r="K324" s="2581"/>
      <c r="L324" s="2581" t="s">
        <v>3721</v>
      </c>
      <c r="M324" s="2583"/>
      <c r="N324" s="1580"/>
    </row>
    <row r="325" customFormat="false" ht="15.75" hidden="false" customHeight="false" outlineLevel="0" collapsed="false">
      <c r="A325" s="876" t="s">
        <v>3047</v>
      </c>
      <c r="B325" s="2584" t="n">
        <v>1.4</v>
      </c>
      <c r="C325" s="2585" t="n">
        <v>1.7</v>
      </c>
      <c r="D325" s="2585" t="n">
        <v>4</v>
      </c>
      <c r="E325" s="837"/>
      <c r="F325" s="2586" t="n">
        <f aca="false">B325*C325*D325</f>
        <v>9.52</v>
      </c>
      <c r="G325" s="2586" t="s">
        <v>3047</v>
      </c>
      <c r="H325" s="2584" t="n">
        <v>0.9</v>
      </c>
      <c r="I325" s="2584" t="n">
        <v>2</v>
      </c>
      <c r="J325" s="2584" t="n">
        <v>5</v>
      </c>
      <c r="K325" s="837"/>
      <c r="L325" s="837" t="n">
        <f aca="false">H325*I325*J325</f>
        <v>9</v>
      </c>
      <c r="M325" s="2583"/>
      <c r="N325" s="1580"/>
    </row>
    <row r="326" customFormat="false" ht="15.75" hidden="false" customHeight="false" outlineLevel="0" collapsed="false">
      <c r="A326" s="876" t="s">
        <v>3048</v>
      </c>
      <c r="B326" s="2584" t="n">
        <v>0.5</v>
      </c>
      <c r="C326" s="2585" t="n">
        <v>0.8</v>
      </c>
      <c r="D326" s="2585" t="n">
        <v>1</v>
      </c>
      <c r="E326" s="837"/>
      <c r="F326" s="2586" t="n">
        <f aca="false">B326*C326*D326</f>
        <v>0.4</v>
      </c>
      <c r="G326" s="2586" t="s">
        <v>3048</v>
      </c>
      <c r="H326" s="2584" t="n">
        <v>1</v>
      </c>
      <c r="I326" s="2584" t="n">
        <v>2</v>
      </c>
      <c r="J326" s="2584" t="n">
        <v>2</v>
      </c>
      <c r="K326" s="837"/>
      <c r="L326" s="837" t="n">
        <f aca="false">H326*I326*J326</f>
        <v>4</v>
      </c>
      <c r="M326" s="2583"/>
      <c r="N326" s="1580"/>
    </row>
    <row r="327" customFormat="false" ht="15.75" hidden="false" customHeight="false" outlineLevel="0" collapsed="false">
      <c r="A327" s="876" t="s">
        <v>3049</v>
      </c>
      <c r="B327" s="2584" t="n">
        <v>1.4</v>
      </c>
      <c r="C327" s="2585" t="n">
        <v>1.5</v>
      </c>
      <c r="D327" s="2585" t="n">
        <v>3</v>
      </c>
      <c r="E327" s="837"/>
      <c r="F327" s="2586" t="n">
        <f aca="false">B327*C327*D327</f>
        <v>6.3</v>
      </c>
      <c r="G327" s="2586" t="s">
        <v>3049</v>
      </c>
      <c r="H327" s="2584" t="n">
        <v>0.7</v>
      </c>
      <c r="I327" s="2584" t="n">
        <v>2</v>
      </c>
      <c r="J327" s="2584" t="n">
        <v>2</v>
      </c>
      <c r="K327" s="837"/>
      <c r="L327" s="837" t="n">
        <f aca="false">H327*I327*J327</f>
        <v>2.8</v>
      </c>
      <c r="M327" s="912"/>
      <c r="N327" s="1580"/>
    </row>
    <row r="328" customFormat="false" ht="15.75" hidden="false" customHeight="false" outlineLevel="0" collapsed="false">
      <c r="A328" s="876" t="s">
        <v>3050</v>
      </c>
      <c r="B328" s="2584" t="n">
        <v>1</v>
      </c>
      <c r="C328" s="2585" t="n">
        <v>1.7</v>
      </c>
      <c r="D328" s="2585" t="n">
        <v>2</v>
      </c>
      <c r="E328" s="837"/>
      <c r="F328" s="2586" t="n">
        <f aca="false">B328*C328*D328</f>
        <v>3.4</v>
      </c>
      <c r="G328" s="2586"/>
      <c r="H328" s="2584"/>
      <c r="I328" s="2584"/>
      <c r="J328" s="2584"/>
      <c r="K328" s="837"/>
      <c r="L328" s="837" t="n">
        <f aca="false">H328*I328*J328</f>
        <v>0</v>
      </c>
      <c r="M328" s="912"/>
      <c r="N328" s="1580"/>
    </row>
    <row r="329" customFormat="false" ht="15.75" hidden="false" customHeight="false" outlineLevel="0" collapsed="false">
      <c r="A329" s="740" t="s">
        <v>3722</v>
      </c>
      <c r="B329" s="740"/>
      <c r="C329" s="740"/>
      <c r="D329" s="740"/>
      <c r="E329" s="740"/>
      <c r="F329" s="2586" t="n">
        <f aca="false">SUM(F325:F328)</f>
        <v>19.62</v>
      </c>
      <c r="G329" s="740" t="s">
        <v>4039</v>
      </c>
      <c r="H329" s="740"/>
      <c r="I329" s="740"/>
      <c r="J329" s="740"/>
      <c r="K329" s="740"/>
      <c r="L329" s="837" t="n">
        <f aca="false">SUM(L325:L327)</f>
        <v>15.8</v>
      </c>
      <c r="M329" s="916"/>
      <c r="N329" s="1580"/>
    </row>
    <row r="330" customFormat="false" ht="31.5" hidden="false" customHeight="false" outlineLevel="0" collapsed="false">
      <c r="A330" s="2580" t="s">
        <v>364</v>
      </c>
      <c r="B330" s="2581" t="s">
        <v>1097</v>
      </c>
      <c r="C330" s="2582" t="s">
        <v>1149</v>
      </c>
      <c r="D330" s="2582" t="s">
        <v>118</v>
      </c>
      <c r="E330" s="2581"/>
      <c r="F330" s="2582" t="s">
        <v>3729</v>
      </c>
      <c r="G330" s="2582" t="s">
        <v>1839</v>
      </c>
      <c r="H330" s="2581" t="s">
        <v>116</v>
      </c>
      <c r="I330" s="2581" t="s">
        <v>137</v>
      </c>
      <c r="J330" s="2581" t="s">
        <v>118</v>
      </c>
      <c r="K330" s="2581"/>
      <c r="L330" s="2581" t="s">
        <v>3721</v>
      </c>
      <c r="M330" s="912"/>
      <c r="N330" s="1580"/>
    </row>
    <row r="331" customFormat="false" ht="15.75" hidden="false" customHeight="false" outlineLevel="0" collapsed="false">
      <c r="A331" s="767" t="s">
        <v>364</v>
      </c>
      <c r="B331" s="2584" t="n">
        <v>4</v>
      </c>
      <c r="C331" s="2585" t="n">
        <v>0.9</v>
      </c>
      <c r="D331" s="2585" t="n">
        <v>1</v>
      </c>
      <c r="E331" s="2584"/>
      <c r="F331" s="2586" t="n">
        <f aca="false">B331*C331*D331</f>
        <v>3.6</v>
      </c>
      <c r="G331" s="2586" t="s">
        <v>3730</v>
      </c>
      <c r="H331" s="2584" t="n">
        <v>1</v>
      </c>
      <c r="I331" s="2584" t="n">
        <v>2</v>
      </c>
      <c r="J331" s="2584" t="n">
        <v>2</v>
      </c>
      <c r="K331" s="837"/>
      <c r="L331" s="837" t="n">
        <f aca="false">H331*I331*J331</f>
        <v>4</v>
      </c>
      <c r="M331" s="916"/>
      <c r="N331" s="1580"/>
    </row>
    <row r="332" customFormat="false" ht="15.75" hidden="false" customHeight="false" outlineLevel="0" collapsed="false">
      <c r="A332" s="767"/>
      <c r="B332" s="2587"/>
      <c r="C332" s="2588"/>
      <c r="D332" s="2588"/>
      <c r="E332" s="2587"/>
      <c r="F332" s="2586"/>
      <c r="G332" s="2586" t="s">
        <v>918</v>
      </c>
      <c r="H332" s="2584" t="n">
        <v>0.9</v>
      </c>
      <c r="I332" s="2584" t="n">
        <v>2</v>
      </c>
      <c r="J332" s="2584" t="n">
        <v>1</v>
      </c>
      <c r="K332" s="837"/>
      <c r="L332" s="837" t="n">
        <f aca="false">H332*I332*J332</f>
        <v>1.8</v>
      </c>
      <c r="M332" s="916"/>
      <c r="N332" s="1580"/>
    </row>
    <row r="333" customFormat="false" ht="15.75" hidden="false" customHeight="false" outlineLevel="0" collapsed="false">
      <c r="A333" s="894" t="s">
        <v>3731</v>
      </c>
      <c r="B333" s="894"/>
      <c r="C333" s="894"/>
      <c r="D333" s="894"/>
      <c r="E333" s="894"/>
      <c r="F333" s="2588" t="n">
        <f aca="false">F331</f>
        <v>3.6</v>
      </c>
      <c r="G333" s="740" t="s">
        <v>3732</v>
      </c>
      <c r="H333" s="740"/>
      <c r="I333" s="740"/>
      <c r="J333" s="740"/>
      <c r="K333" s="740"/>
      <c r="L333" s="837" t="n">
        <f aca="false">SUM(L331:L332)</f>
        <v>5.8</v>
      </c>
      <c r="M333" s="916"/>
      <c r="N333" s="2589"/>
    </row>
    <row r="334" customFormat="false" ht="15.75" hidden="false" customHeight="false" outlineLevel="0" collapsed="false">
      <c r="A334" s="2590"/>
      <c r="B334" s="2590"/>
      <c r="C334" s="2591"/>
      <c r="D334" s="2591"/>
      <c r="E334" s="2590"/>
      <c r="F334" s="2592"/>
      <c r="G334" s="2593"/>
      <c r="H334" s="2594"/>
      <c r="I334" s="2594"/>
      <c r="J334" s="2594"/>
      <c r="K334" s="2594"/>
      <c r="L334" s="2595"/>
      <c r="M334" s="916"/>
      <c r="N334" s="2595"/>
    </row>
    <row r="335" customFormat="false" ht="15.75" hidden="false" customHeight="true" outlineLevel="0" collapsed="false">
      <c r="A335" s="2579" t="s">
        <v>3734</v>
      </c>
      <c r="B335" s="2579"/>
      <c r="C335" s="2579"/>
      <c r="D335" s="2579"/>
      <c r="E335" s="2579"/>
      <c r="F335" s="2579"/>
      <c r="G335" s="2579"/>
      <c r="H335" s="2579"/>
      <c r="I335" s="2579"/>
      <c r="J335" s="2594"/>
      <c r="K335" s="2594"/>
      <c r="L335" s="2595"/>
      <c r="M335" s="916"/>
      <c r="N335" s="2595"/>
    </row>
    <row r="336" customFormat="false" ht="47.25" hidden="false" customHeight="true" outlineLevel="0" collapsed="false">
      <c r="A336" s="2580" t="s">
        <v>46</v>
      </c>
      <c r="B336" s="2581" t="s">
        <v>2406</v>
      </c>
      <c r="C336" s="2582" t="s">
        <v>116</v>
      </c>
      <c r="D336" s="2582" t="s">
        <v>200</v>
      </c>
      <c r="E336" s="2581" t="s">
        <v>293</v>
      </c>
      <c r="F336" s="2582" t="s">
        <v>235</v>
      </c>
      <c r="G336" s="2596" t="s">
        <v>3735</v>
      </c>
      <c r="H336" s="2597" t="s">
        <v>4040</v>
      </c>
      <c r="I336" s="2597"/>
      <c r="J336" s="1580"/>
      <c r="K336" s="2589"/>
      <c r="L336" s="2589"/>
      <c r="M336" s="2583"/>
      <c r="N336" s="2589"/>
    </row>
    <row r="337" customFormat="false" ht="15.75" hidden="false" customHeight="false" outlineLevel="0" collapsed="false">
      <c r="A337" s="876" t="s">
        <v>3737</v>
      </c>
      <c r="B337" s="2598" t="n">
        <f aca="false">дома!B1319</f>
        <v>2</v>
      </c>
      <c r="C337" s="2599" t="n">
        <f aca="false">дома!C1319</f>
        <v>8</v>
      </c>
      <c r="D337" s="2599" t="n">
        <f aca="false">дома!D1319</f>
        <v>8</v>
      </c>
      <c r="E337" s="2598" t="n">
        <f aca="false">дома!E1319</f>
        <v>2.8</v>
      </c>
      <c r="F337" s="2599" t="n">
        <f aca="false">дома!F1319</f>
        <v>1.6</v>
      </c>
      <c r="G337" s="2599" t="n">
        <f aca="false">дома!G1319</f>
        <v>2.6</v>
      </c>
      <c r="H337" s="2598" t="n">
        <f aca="false">дома!I1319</f>
        <v>5</v>
      </c>
      <c r="I337" s="2600"/>
      <c r="J337" s="1580"/>
      <c r="K337" s="2589"/>
      <c r="L337" s="2589"/>
      <c r="M337" s="2583"/>
      <c r="N337" s="2589"/>
    </row>
    <row r="338" customFormat="false" ht="31.5" hidden="false" customHeight="true" outlineLevel="0" collapsed="false">
      <c r="A338" s="2601" t="s">
        <v>161</v>
      </c>
      <c r="B338" s="2602" t="s">
        <v>12</v>
      </c>
      <c r="C338" s="2603" t="s">
        <v>4041</v>
      </c>
      <c r="D338" s="2603"/>
      <c r="E338" s="2602" t="s">
        <v>118</v>
      </c>
      <c r="F338" s="2604" t="s">
        <v>3739</v>
      </c>
      <c r="G338" s="2605" t="s">
        <v>161</v>
      </c>
      <c r="H338" s="2605"/>
      <c r="I338" s="2602" t="s">
        <v>2240</v>
      </c>
      <c r="J338" s="2602" t="s">
        <v>3742</v>
      </c>
      <c r="K338" s="2602" t="s">
        <v>118</v>
      </c>
      <c r="L338" s="2602" t="s">
        <v>3721</v>
      </c>
      <c r="M338" s="2589"/>
      <c r="N338" s="2589"/>
    </row>
    <row r="339" customFormat="false" ht="15.75" hidden="false" customHeight="true" outlineLevel="0" collapsed="false">
      <c r="A339" s="2606" t="s">
        <v>3744</v>
      </c>
      <c r="B339" s="837" t="s">
        <v>15</v>
      </c>
      <c r="C339" s="2607" t="n">
        <f aca="false">дома!C1321</f>
        <v>6</v>
      </c>
      <c r="D339" s="2607"/>
      <c r="E339" s="2584" t="n">
        <f aca="false">дома!D1321</f>
        <v>2</v>
      </c>
      <c r="F339" s="2586" t="n">
        <f aca="false">C339*E339*E337</f>
        <v>33.6</v>
      </c>
      <c r="G339" s="2606" t="s">
        <v>3745</v>
      </c>
      <c r="H339" s="2606"/>
      <c r="I339" s="837" t="s">
        <v>15</v>
      </c>
      <c r="J339" s="2584" t="n">
        <f aca="false">дома!N1321</f>
        <v>3.5</v>
      </c>
      <c r="K339" s="2584" t="n">
        <f aca="false">дома!O1321</f>
        <v>1</v>
      </c>
      <c r="L339" s="837" t="n">
        <f aca="false">J339*K339*G337</f>
        <v>9.1</v>
      </c>
      <c r="M339" s="2589"/>
      <c r="N339" s="2589"/>
    </row>
    <row r="340" customFormat="false" ht="15.75" hidden="false" customHeight="false" outlineLevel="0" collapsed="false">
      <c r="A340" s="2606"/>
      <c r="B340" s="837" t="s">
        <v>15</v>
      </c>
      <c r="C340" s="2607" t="n">
        <f aca="false">дома!C1322</f>
        <v>4</v>
      </c>
      <c r="D340" s="2607"/>
      <c r="E340" s="2584" t="n">
        <f aca="false">дома!D1322</f>
        <v>1</v>
      </c>
      <c r="F340" s="2586" t="n">
        <f aca="false">C340*E340*E337</f>
        <v>11.2</v>
      </c>
      <c r="G340" s="2606"/>
      <c r="H340" s="2606"/>
      <c r="I340" s="837" t="s">
        <v>15</v>
      </c>
      <c r="J340" s="2584" t="n">
        <f aca="false">дома!N1322</f>
        <v>0</v>
      </c>
      <c r="K340" s="2584" t="n">
        <f aca="false">дома!O1322</f>
        <v>0</v>
      </c>
      <c r="L340" s="837" t="n">
        <f aca="false">J340*K340*G337</f>
        <v>0</v>
      </c>
      <c r="M340" s="2589"/>
      <c r="N340" s="2589"/>
    </row>
    <row r="341" customFormat="false" ht="15.75" hidden="false" customHeight="false" outlineLevel="0" collapsed="false">
      <c r="A341" s="2606"/>
      <c r="B341" s="837" t="s">
        <v>15</v>
      </c>
      <c r="C341" s="2607" t="n">
        <f aca="false">дома!C1323</f>
        <v>0</v>
      </c>
      <c r="D341" s="2607"/>
      <c r="E341" s="2584" t="n">
        <f aca="false">дома!D1323</f>
        <v>0</v>
      </c>
      <c r="F341" s="2586" t="n">
        <f aca="false">C341*E341*E337</f>
        <v>0</v>
      </c>
      <c r="G341" s="2606"/>
      <c r="H341" s="2606"/>
      <c r="I341" s="837" t="s">
        <v>15</v>
      </c>
      <c r="J341" s="2584" t="n">
        <f aca="false">дома!N1323</f>
        <v>0</v>
      </c>
      <c r="K341" s="2584" t="n">
        <f aca="false">дома!O1323</f>
        <v>0</v>
      </c>
      <c r="L341" s="837" t="n">
        <f aca="false">J341*K341*G337</f>
        <v>0</v>
      </c>
      <c r="M341" s="2589"/>
      <c r="N341" s="2589"/>
    </row>
    <row r="342" customFormat="false" ht="15.75" hidden="false" customHeight="false" outlineLevel="0" collapsed="false">
      <c r="A342" s="2606"/>
      <c r="B342" s="837"/>
      <c r="C342" s="2607" t="n">
        <f aca="false">дома!C1324</f>
        <v>0</v>
      </c>
      <c r="D342" s="2607"/>
      <c r="E342" s="2584" t="n">
        <f aca="false">дома!D1324</f>
        <v>0</v>
      </c>
      <c r="F342" s="2586" t="n">
        <f aca="false">C342*E342*E337</f>
        <v>0</v>
      </c>
      <c r="G342" s="2606"/>
      <c r="H342" s="2606"/>
      <c r="I342" s="837"/>
      <c r="J342" s="2584" t="n">
        <f aca="false">дома!N1324</f>
        <v>0</v>
      </c>
      <c r="K342" s="2584" t="n">
        <f aca="false">дома!O1324</f>
        <v>0</v>
      </c>
      <c r="L342" s="837" t="n">
        <f aca="false">J342*K342*G337</f>
        <v>0</v>
      </c>
      <c r="M342" s="2589"/>
      <c r="N342" s="2589"/>
    </row>
    <row r="343" customFormat="false" ht="15.75" hidden="false" customHeight="true" outlineLevel="0" collapsed="false">
      <c r="A343" s="2606" t="s">
        <v>3746</v>
      </c>
      <c r="B343" s="837"/>
      <c r="C343" s="2607" t="n">
        <f aca="false">дома!C1325</f>
        <v>1.8</v>
      </c>
      <c r="D343" s="2607"/>
      <c r="E343" s="2584" t="n">
        <f aca="false">дома!D1325</f>
        <v>1</v>
      </c>
      <c r="F343" s="2586" t="n">
        <f aca="false">C343*E343*E337</f>
        <v>5.04</v>
      </c>
      <c r="G343" s="2606" t="s">
        <v>3747</v>
      </c>
      <c r="H343" s="2606"/>
      <c r="I343" s="837"/>
      <c r="J343" s="2584" t="n">
        <f aca="false">дома!N1325</f>
        <v>0</v>
      </c>
      <c r="K343" s="2584" t="n">
        <f aca="false">дома!O1325</f>
        <v>0</v>
      </c>
      <c r="L343" s="837" t="n">
        <f aca="false">J343*K343*G337</f>
        <v>0</v>
      </c>
      <c r="M343" s="2589"/>
      <c r="N343" s="2589"/>
    </row>
    <row r="344" customFormat="false" ht="15.75" hidden="false" customHeight="false" outlineLevel="0" collapsed="false">
      <c r="A344" s="2606"/>
      <c r="B344" s="837"/>
      <c r="C344" s="2607" t="n">
        <f aca="false">дома!C1326</f>
        <v>0</v>
      </c>
      <c r="D344" s="2607"/>
      <c r="E344" s="2584" t="n">
        <f aca="false">дома!D1326</f>
        <v>0</v>
      </c>
      <c r="F344" s="2586" t="n">
        <f aca="false">C344*E344*E337</f>
        <v>0</v>
      </c>
      <c r="G344" s="2606"/>
      <c r="H344" s="2606"/>
      <c r="I344" s="837"/>
      <c r="J344" s="2584" t="n">
        <f aca="false">дома!N1326</f>
        <v>0</v>
      </c>
      <c r="K344" s="2584" t="n">
        <f aca="false">дома!O1326</f>
        <v>0</v>
      </c>
      <c r="L344" s="837" t="n">
        <f aca="false">J344*K344*G337</f>
        <v>0</v>
      </c>
      <c r="M344" s="2589"/>
      <c r="N344" s="2589"/>
    </row>
    <row r="345" customFormat="false" ht="15.75" hidden="false" customHeight="false" outlineLevel="0" collapsed="false">
      <c r="A345" s="2606"/>
      <c r="B345" s="837"/>
      <c r="C345" s="2607" t="n">
        <f aca="false">дома!C1327</f>
        <v>0</v>
      </c>
      <c r="D345" s="2607"/>
      <c r="E345" s="2584" t="n">
        <f aca="false">дома!D1327</f>
        <v>0</v>
      </c>
      <c r="F345" s="2586" t="n">
        <f aca="false">C345*E345*E337</f>
        <v>0</v>
      </c>
      <c r="G345" s="2606"/>
      <c r="H345" s="2606"/>
      <c r="I345" s="837"/>
      <c r="J345" s="2584" t="n">
        <f aca="false">дома!N1327</f>
        <v>0</v>
      </c>
      <c r="K345" s="2584" t="n">
        <f aca="false">дома!O1327</f>
        <v>0</v>
      </c>
      <c r="L345" s="837" t="n">
        <f aca="false">J345*K345*G337</f>
        <v>0</v>
      </c>
      <c r="M345" s="2589"/>
      <c r="N345" s="2589"/>
    </row>
    <row r="346" customFormat="false" ht="15.75" hidden="false" customHeight="false" outlineLevel="0" collapsed="false">
      <c r="A346" s="2606"/>
      <c r="B346" s="837"/>
      <c r="C346" s="2607" t="n">
        <f aca="false">дома!C1328</f>
        <v>0</v>
      </c>
      <c r="D346" s="2607"/>
      <c r="E346" s="2584" t="n">
        <f aca="false">дома!D1328</f>
        <v>0</v>
      </c>
      <c r="F346" s="2586" t="n">
        <f aca="false">C346*E346*E337</f>
        <v>0</v>
      </c>
      <c r="G346" s="2606"/>
      <c r="H346" s="2606"/>
      <c r="I346" s="837"/>
      <c r="J346" s="2584" t="n">
        <f aca="false">дома!N1328</f>
        <v>0</v>
      </c>
      <c r="K346" s="2584" t="n">
        <f aca="false">дома!O1328</f>
        <v>0</v>
      </c>
      <c r="L346" s="837" t="n">
        <f aca="false">J346*K346*G337</f>
        <v>0</v>
      </c>
      <c r="M346" s="2589"/>
      <c r="N346" s="2589"/>
    </row>
    <row r="347" customFormat="false" ht="15.75" hidden="false" customHeight="true" outlineLevel="0" collapsed="false">
      <c r="A347" s="2606" t="s">
        <v>3748</v>
      </c>
      <c r="B347" s="837" t="s">
        <v>15</v>
      </c>
      <c r="C347" s="2607" t="n">
        <f aca="false">дома!C1329</f>
        <v>0</v>
      </c>
      <c r="D347" s="2607"/>
      <c r="E347" s="2584" t="n">
        <f aca="false">дома!D1329</f>
        <v>0</v>
      </c>
      <c r="F347" s="2586" t="n">
        <f aca="false">C347*E347*E337</f>
        <v>0</v>
      </c>
      <c r="G347" s="2606" t="s">
        <v>3749</v>
      </c>
      <c r="H347" s="2606"/>
      <c r="I347" s="837" t="s">
        <v>15</v>
      </c>
      <c r="J347" s="2584" t="n">
        <f aca="false">дома!N1329</f>
        <v>4</v>
      </c>
      <c r="K347" s="2584" t="n">
        <f aca="false">дома!O1329</f>
        <v>1</v>
      </c>
      <c r="L347" s="837" t="n">
        <f aca="false">J347*K347*(G337+F337)/2</f>
        <v>8.4</v>
      </c>
      <c r="M347" s="2589"/>
      <c r="N347" s="2589"/>
    </row>
    <row r="348" customFormat="false" ht="15.75" hidden="false" customHeight="false" outlineLevel="0" collapsed="false">
      <c r="A348" s="2606"/>
      <c r="B348" s="837" t="s">
        <v>15</v>
      </c>
      <c r="C348" s="2607" t="n">
        <f aca="false">дома!C1330</f>
        <v>0</v>
      </c>
      <c r="D348" s="2607"/>
      <c r="E348" s="2584" t="n">
        <f aca="false">дома!D1330</f>
        <v>0</v>
      </c>
      <c r="F348" s="2586" t="n">
        <f aca="false">C348*E348*E337</f>
        <v>0</v>
      </c>
      <c r="G348" s="2606"/>
      <c r="H348" s="2606"/>
      <c r="I348" s="837" t="s">
        <v>15</v>
      </c>
      <c r="J348" s="2584" t="n">
        <f aca="false">дома!N1330</f>
        <v>2</v>
      </c>
      <c r="K348" s="2584" t="n">
        <f aca="false">дома!O1330</f>
        <v>1</v>
      </c>
      <c r="L348" s="837" t="n">
        <f aca="false">J348*K348*(G337+F337)/2</f>
        <v>4.2</v>
      </c>
      <c r="M348" s="2589"/>
      <c r="N348" s="2589"/>
    </row>
    <row r="349" customFormat="false" ht="15.75" hidden="false" customHeight="false" outlineLevel="0" collapsed="false">
      <c r="A349" s="2606"/>
      <c r="B349" s="837" t="s">
        <v>15</v>
      </c>
      <c r="C349" s="2607" t="n">
        <f aca="false">дома!C1331</f>
        <v>0</v>
      </c>
      <c r="D349" s="2607"/>
      <c r="E349" s="2584" t="n">
        <f aca="false">дома!D1331</f>
        <v>0</v>
      </c>
      <c r="F349" s="2586" t="n">
        <f aca="false">C349*E349*E337</f>
        <v>0</v>
      </c>
      <c r="G349" s="2606"/>
      <c r="H349" s="2606"/>
      <c r="I349" s="837" t="s">
        <v>15</v>
      </c>
      <c r="J349" s="2584" t="n">
        <f aca="false">дома!N1331</f>
        <v>3</v>
      </c>
      <c r="K349" s="2584" t="n">
        <f aca="false">дома!O1331</f>
        <v>1</v>
      </c>
      <c r="L349" s="837" t="n">
        <f aca="false">J349*K349*(G337+F337)/2</f>
        <v>6.3</v>
      </c>
      <c r="M349" s="2589"/>
      <c r="N349" s="2589"/>
    </row>
    <row r="350" customFormat="false" ht="15.75" hidden="false" customHeight="false" outlineLevel="0" collapsed="false">
      <c r="A350" s="2606"/>
      <c r="B350" s="837"/>
      <c r="C350" s="2607" t="n">
        <f aca="false">дома!C1332</f>
        <v>0</v>
      </c>
      <c r="D350" s="2607"/>
      <c r="E350" s="2584" t="n">
        <f aca="false">дома!D1332</f>
        <v>0</v>
      </c>
      <c r="F350" s="2586" t="n">
        <f aca="false">C350*E350*E337</f>
        <v>0</v>
      </c>
      <c r="G350" s="2606"/>
      <c r="H350" s="2606"/>
      <c r="I350" s="837"/>
      <c r="J350" s="2584" t="n">
        <f aca="false">дома!N1332</f>
        <v>0</v>
      </c>
      <c r="K350" s="2584" t="n">
        <f aca="false">дома!O1332</f>
        <v>0</v>
      </c>
      <c r="L350" s="837" t="n">
        <f aca="false">J350*K350*(G337+F337)/2</f>
        <v>0</v>
      </c>
      <c r="M350" s="2589"/>
      <c r="N350" s="2589"/>
    </row>
    <row r="351" customFormat="false" ht="15.75" hidden="false" customHeight="true" outlineLevel="0" collapsed="false">
      <c r="A351" s="2606" t="s">
        <v>3750</v>
      </c>
      <c r="B351" s="837"/>
      <c r="C351" s="2607" t="n">
        <f aca="false">дома!C1333</f>
        <v>3</v>
      </c>
      <c r="D351" s="2607"/>
      <c r="E351" s="2584" t="n">
        <f aca="false">дома!D1333</f>
        <v>2</v>
      </c>
      <c r="F351" s="2586" t="n">
        <f aca="false">C351*E351*E337</f>
        <v>16.8</v>
      </c>
      <c r="G351" s="2606" t="s">
        <v>3751</v>
      </c>
      <c r="H351" s="2606"/>
      <c r="I351" s="837"/>
      <c r="J351" s="2584" t="n">
        <f aca="false">дома!N1333</f>
        <v>0</v>
      </c>
      <c r="K351" s="2584" t="n">
        <f aca="false">дома!O1333</f>
        <v>0</v>
      </c>
      <c r="L351" s="837" t="n">
        <f aca="false">J351*K351*(G337+F337)/2</f>
        <v>0</v>
      </c>
      <c r="M351" s="2589"/>
      <c r="N351" s="2589"/>
    </row>
    <row r="352" customFormat="false" ht="15.75" hidden="false" customHeight="false" outlineLevel="0" collapsed="false">
      <c r="A352" s="2606"/>
      <c r="B352" s="837"/>
      <c r="C352" s="2607" t="n">
        <f aca="false">дома!C1334</f>
        <v>0</v>
      </c>
      <c r="D352" s="2607"/>
      <c r="E352" s="2584" t="n">
        <f aca="false">дома!D1334</f>
        <v>0</v>
      </c>
      <c r="F352" s="2586" t="n">
        <f aca="false">C352*E352*E337</f>
        <v>0</v>
      </c>
      <c r="G352" s="2606"/>
      <c r="H352" s="2606"/>
      <c r="I352" s="837"/>
      <c r="J352" s="2584" t="n">
        <f aca="false">дома!N1334</f>
        <v>0</v>
      </c>
      <c r="K352" s="2584" t="n">
        <f aca="false">дома!O1334</f>
        <v>0</v>
      </c>
      <c r="L352" s="837" t="n">
        <f aca="false">J352*K352*(G337+F337)/2</f>
        <v>0</v>
      </c>
      <c r="M352" s="2589"/>
      <c r="N352" s="2589"/>
    </row>
    <row r="353" customFormat="false" ht="15.75" hidden="false" customHeight="false" outlineLevel="0" collapsed="false">
      <c r="A353" s="2606"/>
      <c r="B353" s="837"/>
      <c r="C353" s="2607" t="n">
        <f aca="false">дома!C1335</f>
        <v>0</v>
      </c>
      <c r="D353" s="2607"/>
      <c r="E353" s="2584" t="n">
        <f aca="false">дома!D1335</f>
        <v>0</v>
      </c>
      <c r="F353" s="2586" t="n">
        <f aca="false">C353*E353*E337</f>
        <v>0</v>
      </c>
      <c r="G353" s="2606"/>
      <c r="H353" s="2606"/>
      <c r="I353" s="837"/>
      <c r="J353" s="2584" t="n">
        <f aca="false">дома!N1335</f>
        <v>0</v>
      </c>
      <c r="K353" s="2584" t="n">
        <f aca="false">дома!O1335</f>
        <v>0</v>
      </c>
      <c r="L353" s="837" t="n">
        <f aca="false">J353*K353*(G337+F337)/2</f>
        <v>0</v>
      </c>
      <c r="M353" s="2589"/>
      <c r="N353" s="2589"/>
    </row>
    <row r="354" customFormat="false" ht="15.75" hidden="false" customHeight="false" outlineLevel="0" collapsed="false">
      <c r="A354" s="2606"/>
      <c r="B354" s="837"/>
      <c r="C354" s="2607" t="n">
        <f aca="false">дома!C1336</f>
        <v>0</v>
      </c>
      <c r="D354" s="2607"/>
      <c r="E354" s="2584" t="n">
        <f aca="false">дома!D1336</f>
        <v>0</v>
      </c>
      <c r="F354" s="2586" t="n">
        <f aca="false">C354*E354*E337</f>
        <v>0</v>
      </c>
      <c r="G354" s="2606"/>
      <c r="H354" s="2606"/>
      <c r="I354" s="837"/>
      <c r="J354" s="2584" t="n">
        <f aca="false">дома!N1336</f>
        <v>0</v>
      </c>
      <c r="K354" s="2584" t="n">
        <f aca="false">дома!O1336</f>
        <v>0</v>
      </c>
      <c r="L354" s="837" t="n">
        <f aca="false">J354*K354*(G337+F337)/2</f>
        <v>0</v>
      </c>
      <c r="M354" s="2589"/>
      <c r="N354" s="2589"/>
    </row>
    <row r="355" customFormat="false" ht="15.75" hidden="false" customHeight="false" outlineLevel="0" collapsed="false">
      <c r="A355" s="2523"/>
      <c r="B355" s="2589"/>
      <c r="C355" s="2608"/>
      <c r="D355" s="2608"/>
      <c r="E355" s="1549" t="s">
        <v>4042</v>
      </c>
      <c r="F355" s="2609" t="n">
        <f aca="false">SUM(F339:F349)</f>
        <v>49.84</v>
      </c>
      <c r="G355" s="2610"/>
      <c r="H355" s="2610"/>
      <c r="I355" s="2595"/>
      <c r="J355" s="2583"/>
      <c r="K355" s="1549" t="s">
        <v>4042</v>
      </c>
      <c r="L355" s="1549" t="n">
        <f aca="false">SUM(L339:L349)</f>
        <v>28</v>
      </c>
      <c r="M355" s="2589"/>
      <c r="N355" s="2589"/>
    </row>
    <row r="356" customFormat="false" ht="15.75" hidden="false" customHeight="false" outlineLevel="0" collapsed="false">
      <c r="A356" s="2523"/>
      <c r="B356" s="2589"/>
      <c r="C356" s="2608"/>
      <c r="D356" s="2608"/>
      <c r="E356" s="2589"/>
      <c r="F356" s="2653"/>
      <c r="G356" s="2610"/>
      <c r="H356" s="2610"/>
      <c r="I356" s="2595"/>
      <c r="J356" s="2583"/>
      <c r="K356" s="2589"/>
      <c r="L356" s="2589"/>
      <c r="M356" s="2589"/>
      <c r="N356" s="2589"/>
    </row>
    <row r="357" customFormat="false" ht="15.75" hidden="false" customHeight="false" outlineLevel="0" collapsed="false">
      <c r="A357" s="2638" t="s">
        <v>866</v>
      </c>
      <c r="B357" s="2638"/>
      <c r="C357" s="2638"/>
      <c r="D357" s="2638"/>
      <c r="E357" s="2638"/>
      <c r="F357" s="2638"/>
      <c r="G357" s="2638"/>
      <c r="H357" s="2638"/>
      <c r="I357" s="2638"/>
      <c r="J357" s="2638"/>
      <c r="K357" s="2638"/>
      <c r="L357" s="1580"/>
      <c r="M357" s="1580"/>
      <c r="N357" s="1580"/>
    </row>
    <row r="358" customFormat="false" ht="15.75" hidden="false" customHeight="false" outlineLevel="0" collapsed="false">
      <c r="A358" s="2638"/>
      <c r="B358" s="2638"/>
      <c r="C358" s="2638"/>
      <c r="D358" s="2638"/>
      <c r="E358" s="2638"/>
      <c r="F358" s="2638"/>
      <c r="G358" s="2638"/>
      <c r="H358" s="2638"/>
      <c r="I358" s="2638"/>
      <c r="J358" s="2638"/>
      <c r="K358" s="2638"/>
      <c r="L358" s="1580"/>
      <c r="M358" s="1580"/>
      <c r="N358" s="1580"/>
    </row>
    <row r="359" customFormat="false" ht="23.25" hidden="false" customHeight="false" outlineLevel="0" collapsed="false">
      <c r="A359" s="2623" t="s">
        <v>461</v>
      </c>
      <c r="B359" s="2623"/>
      <c r="C359" s="2623"/>
      <c r="D359" s="2623"/>
      <c r="E359" s="2623"/>
      <c r="F359" s="2623"/>
      <c r="G359" s="2624" t="n">
        <f aca="false">'Ввод данных'!D1350</f>
        <v>1</v>
      </c>
      <c r="H359" s="2625" t="n">
        <f aca="false">'Ввод данных'!D1351</f>
        <v>1</v>
      </c>
      <c r="I359" s="2625"/>
      <c r="J359" s="2625"/>
      <c r="K359" s="2625"/>
      <c r="L359" s="1579"/>
      <c r="M359" s="1579"/>
      <c r="N359" s="1579"/>
    </row>
    <row r="360" customFormat="false" ht="23.25" hidden="false" customHeight="false" outlineLevel="0" collapsed="false">
      <c r="A360" s="2623"/>
      <c r="B360" s="2623"/>
      <c r="C360" s="2623"/>
      <c r="D360" s="2623"/>
      <c r="E360" s="2623"/>
      <c r="F360" s="2623"/>
      <c r="G360" s="2626"/>
      <c r="H360" s="2625"/>
      <c r="I360" s="2625"/>
      <c r="J360" s="2625"/>
      <c r="K360" s="2625"/>
      <c r="L360" s="1579"/>
      <c r="M360" s="1579"/>
      <c r="N360" s="1579"/>
    </row>
    <row r="361" customFormat="false" ht="15.75" hidden="false" customHeight="false" outlineLevel="0" collapsed="false">
      <c r="A361" s="876" t="s">
        <v>881</v>
      </c>
      <c r="B361" s="3155" t="n">
        <f aca="false">'Ввод данных'!C1367</f>
        <v>1</v>
      </c>
      <c r="C361" s="2612"/>
      <c r="D361" s="2612"/>
      <c r="E361" s="2612"/>
      <c r="F361" s="2612"/>
      <c r="G361" s="2630"/>
      <c r="H361" s="1580"/>
      <c r="I361" s="1580"/>
      <c r="J361" s="1580"/>
      <c r="K361" s="1580"/>
      <c r="L361" s="1580"/>
      <c r="M361" s="1580"/>
      <c r="N361" s="1580"/>
    </row>
    <row r="362" customFormat="false" ht="15.75" hidden="false" customHeight="false" outlineLevel="0" collapsed="false">
      <c r="A362" s="876" t="s">
        <v>4302</v>
      </c>
      <c r="B362" s="3155" t="n">
        <f aca="false">'Ввод данных'!C1369</f>
        <v>20</v>
      </c>
      <c r="C362" s="2612"/>
      <c r="D362" s="2612"/>
      <c r="E362" s="2612"/>
      <c r="F362" s="2612"/>
      <c r="G362" s="2630"/>
      <c r="H362" s="1580"/>
      <c r="I362" s="1580"/>
      <c r="J362" s="1580"/>
      <c r="K362" s="1580"/>
      <c r="L362" s="1580"/>
      <c r="M362" s="1580"/>
      <c r="N362" s="1580"/>
    </row>
    <row r="363" customFormat="false" ht="15.75" hidden="false" customHeight="false" outlineLevel="0" collapsed="false">
      <c r="A363" s="876" t="s">
        <v>4303</v>
      </c>
      <c r="B363" s="3155" t="n">
        <f aca="false">'Ввод данных'!C1371</f>
        <v>40</v>
      </c>
      <c r="C363" s="2612"/>
      <c r="D363" s="2612"/>
      <c r="E363" s="2612"/>
      <c r="F363" s="2612"/>
      <c r="G363" s="2630"/>
      <c r="H363" s="1580"/>
      <c r="I363" s="1580"/>
      <c r="J363" s="1580"/>
      <c r="K363" s="1580"/>
      <c r="L363" s="1580"/>
      <c r="M363" s="1580"/>
      <c r="N363" s="1580"/>
    </row>
    <row r="364" customFormat="false" ht="15.75" hidden="false" customHeight="false" outlineLevel="0" collapsed="false">
      <c r="A364" s="876" t="s">
        <v>4304</v>
      </c>
      <c r="B364" s="3155" t="n">
        <f aca="false">'Ввод данных'!C1374</f>
        <v>4</v>
      </c>
      <c r="C364" s="2612"/>
      <c r="D364" s="2612"/>
      <c r="E364" s="2612"/>
      <c r="F364" s="2612"/>
      <c r="G364" s="2630"/>
      <c r="H364" s="1580"/>
      <c r="I364" s="1580"/>
      <c r="J364" s="1580"/>
      <c r="K364" s="1580"/>
      <c r="L364" s="1580"/>
      <c r="M364" s="1580"/>
      <c r="N364" s="1580"/>
    </row>
    <row r="365" customFormat="false" ht="15.75" hidden="false" customHeight="false" outlineLevel="0" collapsed="false">
      <c r="A365" s="837" t="s">
        <v>2246</v>
      </c>
      <c r="B365" s="837" t="s">
        <v>12</v>
      </c>
      <c r="C365" s="837" t="s">
        <v>118</v>
      </c>
      <c r="D365" s="837" t="s">
        <v>2190</v>
      </c>
      <c r="E365" s="837" t="s">
        <v>2661</v>
      </c>
      <c r="F365" s="1579"/>
      <c r="G365" s="738" t="s">
        <v>2007</v>
      </c>
      <c r="H365" s="738"/>
      <c r="I365" s="837" t="s">
        <v>118</v>
      </c>
      <c r="J365" s="837" t="s">
        <v>2190</v>
      </c>
      <c r="K365" s="837" t="s">
        <v>2661</v>
      </c>
      <c r="L365" s="1580"/>
      <c r="M365" s="1580"/>
      <c r="N365" s="1580"/>
    </row>
    <row r="366" customFormat="false" ht="15.75" hidden="false" customHeight="false" outlineLevel="0" collapsed="false">
      <c r="A366" s="837" t="str">
        <f aca="false">'Ввод данных'!A1356</f>
        <v>Кабель ВВГнг(А)-LS 3х2,5 0,66</v>
      </c>
      <c r="B366" s="837" t="s">
        <v>15</v>
      </c>
      <c r="C366" s="837" t="n">
        <f aca="false">((C337+D337+C337+D337+C339*E339*E337+C340*E340*E337+C341*E341*E337+C342*E342*E337+C343*E343*E337+C344*E344*E337+C345*E345*E337+C346*E346*E337+C347*E347*E337+C348*E348*E337+C349*E349*E337+C350*E350*E337+C351*E351*E337+C352*E352*E337+C353*E353*E337)+(B337-1)*(C337+C337+D337+D337)+((B337-1)*(J339*K339+J340*K340+J341*K341+J342*K342+J343*K343+J344*K344+J345*K345+J346*K346+J347*K347+J348*K348+J349*K349+J350*K350+J351*K351+J352*K352+J353*K353))*2*B337*G359)</f>
        <v>180.64</v>
      </c>
      <c r="D366" s="837" t="n">
        <f aca="false">VLOOKUP(A366,'Прайс лист'!B1032:G1037,6,0)</f>
        <v>47.36</v>
      </c>
      <c r="E366" s="837" t="n">
        <f aca="false">C366*D366</f>
        <v>8555.1104</v>
      </c>
      <c r="F366" s="1579"/>
      <c r="G366" s="2663" t="s">
        <v>2191</v>
      </c>
      <c r="H366" s="2664"/>
      <c r="I366" s="837" t="n">
        <f aca="false">(C366+C368+C370)*H359</f>
        <v>568</v>
      </c>
      <c r="J366" s="837" t="n">
        <f aca="false">'Прайс лист'!G1664</f>
        <v>100</v>
      </c>
      <c r="K366" s="837" t="n">
        <f aca="false">I366*J366</f>
        <v>56800</v>
      </c>
      <c r="L366" s="1580"/>
      <c r="M366" s="1580"/>
      <c r="N366" s="1580"/>
    </row>
    <row r="367" customFormat="false" ht="15.75" hidden="false" customHeight="false" outlineLevel="0" collapsed="false">
      <c r="A367" s="837" t="str">
        <f aca="false">'Ввод данных'!A1358</f>
        <v>Труба ПВХ гофрировонная гибкая 20</v>
      </c>
      <c r="B367" s="837" t="s">
        <v>15</v>
      </c>
      <c r="C367" s="837" t="n">
        <f aca="false">C366*1.1</f>
        <v>198.704</v>
      </c>
      <c r="D367" s="837" t="n">
        <f aca="false">VLOOKUP(A367,'Прайс лист'!B1038:G1060,6,0)</f>
        <v>5.02</v>
      </c>
      <c r="E367" s="837" t="n">
        <f aca="false">C367*D367</f>
        <v>997.49408</v>
      </c>
      <c r="F367" s="1579"/>
      <c r="G367" s="2663" t="s">
        <v>2192</v>
      </c>
      <c r="H367" s="2664"/>
      <c r="I367" s="837" t="n">
        <f aca="false">I366*H359</f>
        <v>568</v>
      </c>
      <c r="J367" s="837" t="n">
        <f aca="false">'Прайс лист'!G1665</f>
        <v>50</v>
      </c>
      <c r="K367" s="837" t="n">
        <f aca="false">I367*J367</f>
        <v>28400</v>
      </c>
      <c r="L367" s="1580"/>
      <c r="M367" s="1580"/>
      <c r="N367" s="1580"/>
    </row>
    <row r="368" customFormat="false" ht="15.75" hidden="false" customHeight="false" outlineLevel="0" collapsed="false">
      <c r="A368" s="837" t="str">
        <f aca="false">'Ввод данных'!A1360</f>
        <v>Кабель ВВГнг(А)-LS 3х1,5 0,66</v>
      </c>
      <c r="B368" s="837" t="s">
        <v>15</v>
      </c>
      <c r="C368" s="837" t="n">
        <f aca="false">(C337+D337+C337+D337+C339*E339*E337+C340*E340*E337+C341*E341*E337+C342*E342*E337+C343*E343*E337+C344*E344*E337)*2*B337*G359</f>
        <v>327.36</v>
      </c>
      <c r="D368" s="837" t="n">
        <f aca="false">VLOOKUP(A368,'Прайс лист'!B1032:G1037,6,0)</f>
        <v>29.81</v>
      </c>
      <c r="E368" s="837" t="n">
        <f aca="false">C368*D368</f>
        <v>9758.6016</v>
      </c>
      <c r="F368" s="1579"/>
      <c r="G368" s="738" t="s">
        <v>4305</v>
      </c>
      <c r="H368" s="738"/>
      <c r="I368" s="837" t="n">
        <f aca="false">C374</f>
        <v>12</v>
      </c>
      <c r="J368" s="837" t="n">
        <f aca="false">'Прайс лист'!G1666</f>
        <v>500</v>
      </c>
      <c r="K368" s="837" t="n">
        <f aca="false">I368*J368</f>
        <v>6000</v>
      </c>
      <c r="L368" s="1580"/>
      <c r="M368" s="1580"/>
      <c r="N368" s="1580"/>
    </row>
    <row r="369" customFormat="false" ht="15.75" hidden="false" customHeight="false" outlineLevel="0" collapsed="false">
      <c r="A369" s="837" t="str">
        <f aca="false">'Ввод данных'!A1362</f>
        <v>Труба ПВХ гофрировонная гибкая 25</v>
      </c>
      <c r="B369" s="837" t="s">
        <v>15</v>
      </c>
      <c r="C369" s="837" t="n">
        <f aca="false">C368*1.1</f>
        <v>360.096</v>
      </c>
      <c r="D369" s="837" t="n">
        <f aca="false">VLOOKUP(A369,'Прайс лист'!B1038:G1060,6,0)</f>
        <v>6.38</v>
      </c>
      <c r="E369" s="837" t="n">
        <f aca="false">C369*D369</f>
        <v>2297.41248</v>
      </c>
      <c r="F369" s="1579"/>
      <c r="G369" s="2663" t="s">
        <v>4306</v>
      </c>
      <c r="H369" s="2664"/>
      <c r="I369" s="837" t="n">
        <f aca="false">C381</f>
        <v>40</v>
      </c>
      <c r="J369" s="837" t="n">
        <f aca="false">'Прайс лист'!G1667</f>
        <v>200</v>
      </c>
      <c r="K369" s="837" t="n">
        <f aca="false">I369*J369</f>
        <v>8000</v>
      </c>
      <c r="L369" s="1580"/>
      <c r="M369" s="1580"/>
      <c r="N369" s="1580"/>
    </row>
    <row r="370" customFormat="false" ht="15.75" hidden="false" customHeight="false" outlineLevel="0" collapsed="false">
      <c r="A370" s="837" t="str">
        <f aca="false">'Ввод данных'!A1364</f>
        <v>Кабель ВВГнг(А)-LS 3х4 0,66</v>
      </c>
      <c r="B370" s="837" t="s">
        <v>15</v>
      </c>
      <c r="C370" s="837" t="n">
        <f aca="false">(C337+D337+D337)*2.5*G359</f>
        <v>60</v>
      </c>
      <c r="D370" s="837" t="n">
        <f aca="false">VLOOKUP(A370,'Прайс лист'!B1032:G1037,6,0)</f>
        <v>68</v>
      </c>
      <c r="E370" s="837" t="n">
        <f aca="false">C370*D370</f>
        <v>4080</v>
      </c>
      <c r="F370" s="1579"/>
      <c r="G370" s="2663" t="s">
        <v>4307</v>
      </c>
      <c r="H370" s="2664"/>
      <c r="I370" s="837" t="n">
        <f aca="false">C382</f>
        <v>20</v>
      </c>
      <c r="J370" s="837" t="n">
        <f aca="false">'Прайс лист'!G1668</f>
        <v>200</v>
      </c>
      <c r="K370" s="837" t="n">
        <f aca="false">I370*J370</f>
        <v>4000</v>
      </c>
      <c r="L370" s="1580"/>
      <c r="M370" s="1580"/>
      <c r="N370" s="1580"/>
    </row>
    <row r="371" customFormat="false" ht="15.75" hidden="false" customHeight="false" outlineLevel="0" collapsed="false">
      <c r="A371" s="837" t="str">
        <f aca="false">'Ввод данных'!A1366</f>
        <v>Труба ПВХ гофрировонная гибкая 32</v>
      </c>
      <c r="B371" s="837" t="s">
        <v>15</v>
      </c>
      <c r="C371" s="837" t="n">
        <f aca="false">C370*1.1</f>
        <v>66</v>
      </c>
      <c r="D371" s="837" t="n">
        <f aca="false">VLOOKUP(A371,'Прайс лист'!B1038:G1060,6,0)</f>
        <v>6.38</v>
      </c>
      <c r="E371" s="837" t="n">
        <f aca="false">C371*D371</f>
        <v>421.08</v>
      </c>
      <c r="F371" s="1579"/>
      <c r="G371" s="2663" t="s">
        <v>4308</v>
      </c>
      <c r="H371" s="2664"/>
      <c r="I371" s="837" t="n">
        <f aca="false">C376</f>
        <v>1</v>
      </c>
      <c r="J371" s="837" t="n">
        <f aca="false">'Прайс лист'!G1669</f>
        <v>6000</v>
      </c>
      <c r="K371" s="837" t="n">
        <f aca="false">I371*J371</f>
        <v>6000</v>
      </c>
      <c r="L371" s="1580"/>
      <c r="M371" s="1580"/>
      <c r="N371" s="1580"/>
    </row>
    <row r="372" customFormat="false" ht="15.75" hidden="false" customHeight="false" outlineLevel="0" collapsed="false">
      <c r="A372" s="837" t="str">
        <f aca="false">'Прайс лист'!B1061</f>
        <v>крепления для гофры</v>
      </c>
      <c r="B372" s="837" t="s">
        <v>48</v>
      </c>
      <c r="C372" s="2636" t="n">
        <f aca="false">CEILING((C371+C369+C366)*G359*IF('Ввод данных'!A1354=связи1!A554,1,0.5),1)</f>
        <v>607</v>
      </c>
      <c r="D372" s="837" t="n">
        <f aca="false">'Прайс лист'!G1061</f>
        <v>1</v>
      </c>
      <c r="E372" s="837" t="n">
        <f aca="false">C372*D372</f>
        <v>607</v>
      </c>
      <c r="F372" s="1579"/>
      <c r="G372" s="2663" t="s">
        <v>2197</v>
      </c>
      <c r="H372" s="2664"/>
      <c r="I372" s="837" t="n">
        <f aca="false">I369</f>
        <v>40</v>
      </c>
      <c r="J372" s="837" t="n">
        <f aca="false">'Прайс лист'!G1670</f>
        <v>250</v>
      </c>
      <c r="K372" s="837" t="n">
        <f aca="false">I372*J372</f>
        <v>10000</v>
      </c>
      <c r="L372" s="1580"/>
      <c r="M372" s="1580"/>
      <c r="N372" s="1580"/>
    </row>
    <row r="373" customFormat="false" ht="15.75" hidden="false" customHeight="false" outlineLevel="0" collapsed="false">
      <c r="A373" s="837" t="str">
        <f aca="false">'Прайс лист'!B1062</f>
        <v>саморез для крепления гофры</v>
      </c>
      <c r="B373" s="837" t="s">
        <v>48</v>
      </c>
      <c r="C373" s="837" t="n">
        <f aca="false">C372*2*G359</f>
        <v>1214</v>
      </c>
      <c r="D373" s="837" t="n">
        <f aca="false">'Прайс лист'!G1062</f>
        <v>0.25</v>
      </c>
      <c r="E373" s="837" t="n">
        <f aca="false">C373*D373</f>
        <v>303.5</v>
      </c>
      <c r="F373" s="1579"/>
      <c r="G373" s="2663" t="s">
        <v>2198</v>
      </c>
      <c r="H373" s="2664"/>
      <c r="I373" s="837" t="n">
        <f aca="false">I370</f>
        <v>20</v>
      </c>
      <c r="J373" s="837" t="n">
        <f aca="false">'Прайс лист'!G1671</f>
        <v>250</v>
      </c>
      <c r="K373" s="837" t="n">
        <f aca="false">I373*J373</f>
        <v>5000</v>
      </c>
      <c r="L373" s="1580"/>
      <c r="M373" s="1580"/>
      <c r="N373" s="1580"/>
    </row>
    <row r="374" customFormat="false" ht="15.75" hidden="false" customHeight="false" outlineLevel="0" collapsed="false">
      <c r="A374" s="837" t="str">
        <f aca="false">'Прайс лист'!B1063</f>
        <v>Коробка распределения</v>
      </c>
      <c r="B374" s="837" t="s">
        <v>48</v>
      </c>
      <c r="C374" s="837" t="n">
        <f aca="false">6*B337*G359</f>
        <v>12</v>
      </c>
      <c r="D374" s="837" t="n">
        <f aca="false">'Прайс лист'!G1063</f>
        <v>20</v>
      </c>
      <c r="E374" s="837" t="n">
        <f aca="false">C374*D374</f>
        <v>240</v>
      </c>
      <c r="F374" s="1579"/>
      <c r="G374" s="1424"/>
      <c r="H374" s="1424"/>
      <c r="I374" s="1424"/>
      <c r="J374" s="1424"/>
      <c r="K374" s="1424"/>
      <c r="L374" s="1580"/>
      <c r="M374" s="1580"/>
      <c r="N374" s="1580"/>
    </row>
    <row r="375" customFormat="false" ht="15.75" hidden="false" customHeight="false" outlineLevel="0" collapsed="false">
      <c r="A375" s="837" t="str">
        <f aca="false">'Прайс лист'!B1064</f>
        <v>Вага</v>
      </c>
      <c r="B375" s="837" t="s">
        <v>48</v>
      </c>
      <c r="C375" s="837" t="n">
        <f aca="false">G359*(B362+B363)*8</f>
        <v>480</v>
      </c>
      <c r="D375" s="837" t="n">
        <f aca="false">'Прайс лист'!G1064</f>
        <v>10</v>
      </c>
      <c r="E375" s="837" t="n">
        <f aca="false">C375*D375</f>
        <v>4800</v>
      </c>
      <c r="F375" s="1579"/>
      <c r="G375" s="1424"/>
      <c r="H375" s="1424"/>
      <c r="I375" s="1424"/>
      <c r="J375" s="1424"/>
      <c r="K375" s="1424"/>
      <c r="L375" s="1580"/>
      <c r="M375" s="1580"/>
      <c r="N375" s="1580"/>
    </row>
    <row r="376" customFormat="false" ht="15.75" hidden="false" customHeight="false" outlineLevel="0" collapsed="false">
      <c r="A376" s="837" t="str">
        <f aca="false">'Прайс лист'!B1065</f>
        <v>Щиток электрический</v>
      </c>
      <c r="B376" s="837" t="s">
        <v>48</v>
      </c>
      <c r="C376" s="837" t="n">
        <f aca="false">B361</f>
        <v>1</v>
      </c>
      <c r="D376" s="837" t="n">
        <f aca="false">'Прайс лист'!G1065</f>
        <v>1200</v>
      </c>
      <c r="E376" s="837" t="n">
        <f aca="false">C376*D376</f>
        <v>1200</v>
      </c>
      <c r="F376" s="1579"/>
      <c r="G376" s="3156"/>
      <c r="H376" s="3156"/>
      <c r="I376" s="837"/>
      <c r="J376" s="837"/>
      <c r="K376" s="837"/>
      <c r="L376" s="1580"/>
      <c r="M376" s="1580"/>
      <c r="N376" s="1580"/>
    </row>
    <row r="377" customFormat="false" ht="15.75" hidden="false" customHeight="false" outlineLevel="0" collapsed="false">
      <c r="A377" s="837" t="str">
        <f aca="false">'Прайс лист'!B1066</f>
        <v>автомат, 3 полюса, 32амп</v>
      </c>
      <c r="B377" s="837" t="s">
        <v>48</v>
      </c>
      <c r="C377" s="837" t="n">
        <v>2</v>
      </c>
      <c r="D377" s="837" t="n">
        <f aca="false">'Прайс лист'!G1066</f>
        <v>180</v>
      </c>
      <c r="E377" s="837" t="n">
        <f aca="false">C377*D377</f>
        <v>360</v>
      </c>
      <c r="F377" s="1579"/>
      <c r="G377" s="3156"/>
      <c r="H377" s="3156"/>
      <c r="I377" s="837"/>
      <c r="J377" s="837"/>
      <c r="K377" s="837"/>
      <c r="L377" s="1580"/>
      <c r="M377" s="1580"/>
      <c r="N377" s="1580"/>
    </row>
    <row r="378" customFormat="false" ht="15.75" hidden="false" customHeight="false" outlineLevel="0" collapsed="false">
      <c r="A378" s="837" t="str">
        <f aca="false">'Прайс лист'!B1067</f>
        <v>автомат, 1 полюс, 16амп</v>
      </c>
      <c r="B378" s="837" t="s">
        <v>48</v>
      </c>
      <c r="C378" s="837" t="n">
        <v>20</v>
      </c>
      <c r="D378" s="837" t="n">
        <f aca="false">'Прайс лист'!G1067</f>
        <v>70</v>
      </c>
      <c r="E378" s="837" t="n">
        <f aca="false">C378*D378</f>
        <v>1400</v>
      </c>
      <c r="F378" s="1579"/>
      <c r="G378" s="3156"/>
      <c r="H378" s="3156"/>
      <c r="I378" s="837"/>
      <c r="J378" s="837"/>
      <c r="K378" s="837"/>
      <c r="L378" s="1580"/>
      <c r="M378" s="1580"/>
      <c r="N378" s="1580"/>
    </row>
    <row r="379" customFormat="false" ht="15.75" hidden="false" customHeight="false" outlineLevel="0" collapsed="false">
      <c r="A379" s="837" t="str">
        <f aca="false">'Прайс лист'!B1068</f>
        <v>автомат, 1 полюс, 25 амп</v>
      </c>
      <c r="B379" s="837" t="s">
        <v>48</v>
      </c>
      <c r="C379" s="837" t="n">
        <v>2</v>
      </c>
      <c r="D379" s="837" t="n">
        <f aca="false">'Прайс лист'!G1068</f>
        <v>167</v>
      </c>
      <c r="E379" s="837" t="n">
        <f aca="false">C379*D379</f>
        <v>334</v>
      </c>
      <c r="F379" s="1579"/>
      <c r="G379" s="3156"/>
      <c r="H379" s="3156"/>
      <c r="I379" s="837"/>
      <c r="J379" s="837"/>
      <c r="K379" s="837"/>
      <c r="L379" s="1580"/>
      <c r="M379" s="1580"/>
      <c r="N379" s="1580"/>
    </row>
    <row r="380" customFormat="false" ht="15.75" hidden="false" customHeight="false" outlineLevel="0" collapsed="false">
      <c r="A380" s="837" t="str">
        <f aca="false">'Прайс лист'!B1069</f>
        <v>Коробка электрическая</v>
      </c>
      <c r="B380" s="837" t="s">
        <v>48</v>
      </c>
      <c r="C380" s="837" t="n">
        <f aca="false">C381*G359+C382*G359</f>
        <v>60</v>
      </c>
      <c r="D380" s="837" t="n">
        <f aca="false">'Прайс лист'!G1069</f>
        <v>6</v>
      </c>
      <c r="E380" s="837" t="n">
        <f aca="false">C380*D380</f>
        <v>360</v>
      </c>
      <c r="F380" s="1579"/>
      <c r="G380" s="3156"/>
      <c r="H380" s="3156"/>
      <c r="I380" s="837"/>
      <c r="J380" s="837"/>
      <c r="K380" s="837"/>
      <c r="L380" s="1580"/>
      <c r="M380" s="1580"/>
      <c r="N380" s="1580"/>
    </row>
    <row r="381" customFormat="false" ht="15.75" hidden="false" customHeight="false" outlineLevel="0" collapsed="false">
      <c r="A381" s="837" t="str">
        <f aca="false">'Ввод данных'!A1369</f>
        <v>Розетка 2</v>
      </c>
      <c r="B381" s="837" t="s">
        <v>48</v>
      </c>
      <c r="C381" s="837" t="n">
        <f aca="false">B363</f>
        <v>40</v>
      </c>
      <c r="D381" s="837" t="n">
        <f aca="false">'Прайс лист'!G1070</f>
        <v>100</v>
      </c>
      <c r="E381" s="837" t="n">
        <f aca="false">C381*D381</f>
        <v>4000</v>
      </c>
      <c r="F381" s="1579"/>
      <c r="G381" s="3156"/>
      <c r="H381" s="3156"/>
      <c r="I381" s="837"/>
      <c r="J381" s="837"/>
      <c r="K381" s="837"/>
      <c r="L381" s="1580"/>
      <c r="M381" s="1580"/>
      <c r="N381" s="1580"/>
    </row>
    <row r="382" customFormat="false" ht="15.75" hidden="false" customHeight="false" outlineLevel="0" collapsed="false">
      <c r="A382" s="837" t="str">
        <f aca="false">'Ввод данных'!A1371</f>
        <v>Выключатель 3</v>
      </c>
      <c r="B382" s="837" t="s">
        <v>48</v>
      </c>
      <c r="C382" s="837" t="n">
        <f aca="false">B362</f>
        <v>20</v>
      </c>
      <c r="D382" s="837" t="n">
        <f aca="false">'Прайс лист'!G1075</f>
        <v>100</v>
      </c>
      <c r="E382" s="837" t="n">
        <f aca="false">C382*D382</f>
        <v>2000</v>
      </c>
      <c r="F382" s="1579"/>
      <c r="G382" s="3156"/>
      <c r="H382" s="3156"/>
      <c r="I382" s="837"/>
      <c r="J382" s="837"/>
      <c r="K382" s="837"/>
      <c r="L382" s="1580"/>
      <c r="M382" s="1580"/>
      <c r="N382" s="1580"/>
    </row>
    <row r="383" customFormat="false" ht="15.75" hidden="false" customHeight="false" outlineLevel="0" collapsed="false">
      <c r="A383" s="837" t="str">
        <f aca="false">'Ввод данных'!A1374</f>
        <v>Нет техники</v>
      </c>
      <c r="B383" s="837" t="str">
        <f aca="false">'Ввод данных'!B1374</f>
        <v>час</v>
      </c>
      <c r="C383" s="837" t="n">
        <f aca="false">'Ввод данных'!C1374</f>
        <v>4</v>
      </c>
      <c r="D383" s="837" t="n">
        <f aca="false">VLOOKUP(A383,'Прайс лист'!B192:G206,6,0)</f>
        <v>0</v>
      </c>
      <c r="E383" s="837" t="n">
        <f aca="false">C383*D383</f>
        <v>0</v>
      </c>
      <c r="F383" s="1579"/>
      <c r="G383" s="3157"/>
      <c r="H383" s="3158"/>
      <c r="I383" s="837"/>
      <c r="J383" s="837"/>
      <c r="K383" s="837"/>
      <c r="L383" s="1580"/>
      <c r="M383" s="1580"/>
      <c r="N383" s="1580"/>
    </row>
    <row r="384" customFormat="false" ht="15.75" hidden="false" customHeight="false" outlineLevel="0" collapsed="false">
      <c r="A384" s="837" t="str">
        <f aca="false">'Ввод данных'!A1375</f>
        <v>Нет техники</v>
      </c>
      <c r="B384" s="837" t="str">
        <f aca="false">'Ввод данных'!B1375</f>
        <v>час</v>
      </c>
      <c r="C384" s="837" t="n">
        <f aca="false">'Ввод данных'!C1375</f>
        <v>0</v>
      </c>
      <c r="D384" s="837" t="n">
        <f aca="false">VLOOKUP(A384,'Прайс лист'!B192:G206,6,0)</f>
        <v>0</v>
      </c>
      <c r="E384" s="837" t="n">
        <f aca="false">C384*D384</f>
        <v>0</v>
      </c>
      <c r="F384" s="1579"/>
      <c r="G384" s="3157"/>
      <c r="H384" s="3158"/>
      <c r="I384" s="837"/>
      <c r="J384" s="837"/>
      <c r="K384" s="837"/>
      <c r="L384" s="1580"/>
      <c r="M384" s="1580"/>
      <c r="N384" s="1580"/>
    </row>
    <row r="385" customFormat="false" ht="15.75" hidden="false" customHeight="false" outlineLevel="0" collapsed="false">
      <c r="A385" s="837" t="str">
        <f aca="false">'Ввод данных'!A1376</f>
        <v>расходные материалы для электрики</v>
      </c>
      <c r="B385" s="837" t="str">
        <f aca="false">'Ввод данных'!B1376</f>
        <v>рублей</v>
      </c>
      <c r="C385" s="837" t="n">
        <f aca="false">1</f>
        <v>1</v>
      </c>
      <c r="D385" s="837" t="n">
        <f aca="false">'Ввод данных'!C1376</f>
        <v>5000</v>
      </c>
      <c r="E385" s="837" t="n">
        <f aca="false">C385*D385</f>
        <v>5000</v>
      </c>
      <c r="F385" s="1579"/>
      <c r="G385" s="3157"/>
      <c r="H385" s="3158"/>
      <c r="I385" s="837"/>
      <c r="J385" s="837"/>
      <c r="K385" s="837"/>
      <c r="L385" s="1580"/>
      <c r="M385" s="1580"/>
      <c r="N385" s="1580"/>
    </row>
    <row r="386" customFormat="false" ht="15.75" hidden="false" customHeight="false" outlineLevel="0" collapsed="false">
      <c r="A386" s="2589"/>
      <c r="B386" s="2589"/>
      <c r="C386" s="2589"/>
      <c r="D386" s="2589"/>
      <c r="E386" s="837" t="n">
        <f aca="false">SUM(E366:E385)</f>
        <v>46714.19856</v>
      </c>
      <c r="F386" s="1579"/>
      <c r="G386" s="1579"/>
      <c r="H386" s="1579"/>
      <c r="I386" s="1579"/>
      <c r="J386" s="1579"/>
      <c r="K386" s="837" t="n">
        <f aca="false">SUM(K366:K385)</f>
        <v>124200</v>
      </c>
      <c r="L386" s="1580"/>
      <c r="M386" s="1580"/>
      <c r="N386" s="1580"/>
    </row>
    <row r="387" customFormat="false" ht="15.75" hidden="false" customHeight="false" outlineLevel="0" collapsed="false">
      <c r="A387" s="837" t="s">
        <v>4309</v>
      </c>
      <c r="B387" s="837" t="n">
        <f aca="false">E386</f>
        <v>46714.19856</v>
      </c>
      <c r="C387" s="2589"/>
      <c r="D387" s="2589"/>
      <c r="E387" s="2589"/>
      <c r="F387" s="1579"/>
      <c r="G387" s="1579"/>
      <c r="H387" s="1579"/>
      <c r="I387" s="1579"/>
      <c r="J387" s="1579"/>
      <c r="K387" s="2589"/>
      <c r="L387" s="1580"/>
      <c r="M387" s="1580"/>
      <c r="N387" s="1580"/>
    </row>
    <row r="388" customFormat="false" ht="15.75" hidden="false" customHeight="false" outlineLevel="0" collapsed="false">
      <c r="A388" s="837" t="s">
        <v>4310</v>
      </c>
      <c r="B388" s="837" t="n">
        <f aca="false">K386</f>
        <v>124200</v>
      </c>
      <c r="C388" s="2589"/>
      <c r="D388" s="2589"/>
      <c r="E388" s="2589"/>
      <c r="F388" s="1579"/>
      <c r="G388" s="1579"/>
      <c r="H388" s="1579"/>
      <c r="I388" s="1579"/>
      <c r="J388" s="1579"/>
      <c r="K388" s="2589"/>
      <c r="L388" s="1580"/>
      <c r="M388" s="1580"/>
      <c r="N388" s="1580"/>
    </row>
    <row r="389" customFormat="false" ht="15.75" hidden="false" customHeight="false" outlineLevel="0" collapsed="false">
      <c r="A389" s="837" t="s">
        <v>2294</v>
      </c>
      <c r="B389" s="837" t="n">
        <f aca="false">(B387+B388)*B390</f>
        <v>0</v>
      </c>
      <c r="C389" s="2589"/>
      <c r="D389" s="2589"/>
      <c r="E389" s="2589"/>
      <c r="F389" s="1579"/>
      <c r="G389" s="1579"/>
      <c r="H389" s="1579"/>
      <c r="I389" s="1579"/>
      <c r="J389" s="1579"/>
      <c r="K389" s="2589"/>
      <c r="L389" s="1580"/>
      <c r="M389" s="1580"/>
      <c r="N389" s="1580"/>
    </row>
    <row r="390" customFormat="false" ht="15.75" hidden="false" customHeight="false" outlineLevel="0" collapsed="false">
      <c r="A390" s="2645" t="s">
        <v>887</v>
      </c>
      <c r="B390" s="2618"/>
      <c r="C390" s="2619" t="s">
        <v>3811</v>
      </c>
      <c r="D390" s="2619"/>
      <c r="E390" s="2619"/>
      <c r="F390" s="2619"/>
      <c r="G390" s="1579"/>
      <c r="H390" s="1579"/>
      <c r="I390" s="1579"/>
      <c r="J390" s="1579"/>
      <c r="K390" s="2589"/>
      <c r="L390" s="1580"/>
      <c r="M390" s="1580"/>
      <c r="N390" s="1580"/>
    </row>
    <row r="391" customFormat="false" ht="15.75" hidden="false" customHeight="false" outlineLevel="0" collapsed="false">
      <c r="A391" s="1579"/>
      <c r="B391" s="1579"/>
      <c r="C391" s="1579"/>
      <c r="D391" s="1579"/>
      <c r="E391" s="1579"/>
      <c r="F391" s="1579"/>
      <c r="G391" s="1579"/>
      <c r="H391" s="1579"/>
      <c r="I391" s="1579"/>
      <c r="J391" s="1579"/>
      <c r="K391" s="1579"/>
      <c r="L391" s="1580"/>
      <c r="M391" s="1580"/>
      <c r="N391" s="1580"/>
    </row>
    <row r="392" customFormat="false" ht="15.75" hidden="false" customHeight="false" outlineLevel="0" collapsed="false">
      <c r="A392" s="2638" t="s">
        <v>1790</v>
      </c>
      <c r="B392" s="2638"/>
      <c r="C392" s="2638"/>
      <c r="D392" s="2638"/>
      <c r="E392" s="2638"/>
      <c r="F392" s="2638"/>
      <c r="G392" s="2638"/>
      <c r="H392" s="2638"/>
      <c r="I392" s="2638"/>
      <c r="J392" s="2638"/>
      <c r="K392" s="2638"/>
      <c r="L392" s="1580"/>
      <c r="M392" s="1580"/>
      <c r="N392" s="1580"/>
    </row>
    <row r="393" customFormat="false" ht="15.75" hidden="false" customHeight="false" outlineLevel="0" collapsed="false">
      <c r="A393" s="2638"/>
      <c r="B393" s="2638"/>
      <c r="C393" s="2638"/>
      <c r="D393" s="2638"/>
      <c r="E393" s="2638"/>
      <c r="F393" s="2638"/>
      <c r="G393" s="2638"/>
      <c r="H393" s="2638"/>
      <c r="I393" s="2638"/>
      <c r="J393" s="2638"/>
      <c r="K393" s="2638"/>
      <c r="L393" s="1580"/>
      <c r="M393" s="1580"/>
      <c r="N393" s="1580"/>
    </row>
    <row r="394" customFormat="false" ht="23.25" hidden="false" customHeight="false" outlineLevel="0" collapsed="false">
      <c r="A394" s="2623" t="s">
        <v>461</v>
      </c>
      <c r="B394" s="2623"/>
      <c r="C394" s="2623"/>
      <c r="D394" s="2623"/>
      <c r="E394" s="2623"/>
      <c r="F394" s="2623"/>
      <c r="G394" s="2624" t="n">
        <f aca="false">'Ввод данных'!D1382</f>
        <v>1</v>
      </c>
      <c r="H394" s="2625" t="n">
        <f aca="false">'Ввод данных'!D1383</f>
        <v>1</v>
      </c>
      <c r="I394" s="2625"/>
      <c r="J394" s="2625"/>
      <c r="K394" s="2625"/>
      <c r="L394" s="1579"/>
      <c r="M394" s="1579"/>
      <c r="N394" s="1579"/>
    </row>
    <row r="395" customFormat="false" ht="23.25" hidden="false" customHeight="false" outlineLevel="0" collapsed="false">
      <c r="A395" s="2623"/>
      <c r="B395" s="2623"/>
      <c r="C395" s="2623"/>
      <c r="D395" s="2623"/>
      <c r="E395" s="2623"/>
      <c r="F395" s="2623"/>
      <c r="G395" s="2626"/>
      <c r="H395" s="2625"/>
      <c r="I395" s="2625"/>
      <c r="J395" s="2625"/>
      <c r="K395" s="2625"/>
      <c r="L395" s="1579"/>
      <c r="M395" s="1579"/>
      <c r="N395" s="1579"/>
    </row>
    <row r="396" customFormat="false" ht="23.25" hidden="false" customHeight="false" outlineLevel="0" collapsed="false">
      <c r="A396" s="861" t="s">
        <v>4311</v>
      </c>
      <c r="B396" s="3159" t="n">
        <f aca="false">IF('Ввод данных'!A1386=связи1!A69,1,0)</f>
        <v>0</v>
      </c>
      <c r="C396" s="2625"/>
      <c r="D396" s="2625"/>
      <c r="E396" s="2625"/>
      <c r="F396" s="2625"/>
      <c r="G396" s="2625"/>
      <c r="H396" s="2625"/>
      <c r="I396" s="2625"/>
      <c r="J396" s="2625"/>
      <c r="K396" s="2625"/>
      <c r="L396" s="1580"/>
      <c r="M396" s="1580"/>
      <c r="N396" s="1580"/>
    </row>
    <row r="397" customFormat="false" ht="23.25" hidden="false" customHeight="false" outlineLevel="0" collapsed="false">
      <c r="A397" s="861" t="s">
        <v>4312</v>
      </c>
      <c r="B397" s="3159" t="n">
        <f aca="false">IF('Ввод данных'!A1386=связи1!A70,1,0)</f>
        <v>1</v>
      </c>
      <c r="C397" s="2625"/>
      <c r="D397" s="2625"/>
      <c r="E397" s="2625"/>
      <c r="F397" s="2625"/>
      <c r="G397" s="2625"/>
      <c r="H397" s="2625"/>
      <c r="I397" s="2625"/>
      <c r="J397" s="2625"/>
      <c r="K397" s="2625"/>
      <c r="L397" s="1580"/>
      <c r="M397" s="1580"/>
      <c r="N397" s="1580"/>
    </row>
    <row r="398" customFormat="false" ht="15.75" hidden="false" customHeight="false" outlineLevel="0" collapsed="false">
      <c r="A398" s="837" t="s">
        <v>161</v>
      </c>
      <c r="B398" s="837" t="s">
        <v>1738</v>
      </c>
      <c r="C398" s="837" t="s">
        <v>118</v>
      </c>
      <c r="D398" s="837" t="s">
        <v>2915</v>
      </c>
      <c r="E398" s="837" t="s">
        <v>2661</v>
      </c>
      <c r="F398" s="1579"/>
      <c r="G398" s="738" t="s">
        <v>2007</v>
      </c>
      <c r="H398" s="738"/>
      <c r="I398" s="837" t="s">
        <v>118</v>
      </c>
      <c r="J398" s="837" t="s">
        <v>2190</v>
      </c>
      <c r="K398" s="837" t="s">
        <v>2661</v>
      </c>
      <c r="L398" s="1580"/>
      <c r="M398" s="1580"/>
      <c r="N398" s="1580"/>
    </row>
    <row r="399" customFormat="false" ht="15.75" hidden="false" customHeight="false" outlineLevel="0" collapsed="false">
      <c r="A399" s="738" t="s">
        <v>1791</v>
      </c>
      <c r="B399" s="738" t="s">
        <v>15</v>
      </c>
      <c r="C399" s="740" t="n">
        <f aca="false">((((C337+D337+C337+D337)*B337+(6*E337))*B396)*1.3+((C337+D337+C337+D337)*B337+(6*E337))*B397*2*G394)*1.3</f>
        <v>210.08</v>
      </c>
      <c r="D399" s="739" t="n">
        <f aca="false">'Прайс лист'!G1086</f>
        <v>40</v>
      </c>
      <c r="E399" s="740" t="n">
        <f aca="false">C399*D399</f>
        <v>8403.2</v>
      </c>
      <c r="F399" s="919"/>
      <c r="G399" s="738" t="s">
        <v>2201</v>
      </c>
      <c r="H399" s="738"/>
      <c r="I399" s="739" t="n">
        <f aca="false">C399*H394+C406*H394</f>
        <v>240.08</v>
      </c>
      <c r="J399" s="739" t="n">
        <f aca="false">'Прайс лист'!G1674</f>
        <v>200</v>
      </c>
      <c r="K399" s="740" t="n">
        <f aca="false">I399*J399</f>
        <v>48016</v>
      </c>
      <c r="L399" s="1580"/>
      <c r="M399" s="1580"/>
      <c r="N399" s="1580"/>
    </row>
    <row r="400" customFormat="false" ht="15.75" hidden="false" customHeight="false" outlineLevel="0" collapsed="false">
      <c r="A400" s="738" t="s">
        <v>1792</v>
      </c>
      <c r="B400" s="738" t="s">
        <v>48</v>
      </c>
      <c r="C400" s="740" t="n">
        <f aca="false">C399/3*G394</f>
        <v>70.0266666666667</v>
      </c>
      <c r="D400" s="739" t="n">
        <f aca="false">'Прайс лист'!G1087</f>
        <v>10</v>
      </c>
      <c r="E400" s="740" t="n">
        <f aca="false">C400*D400</f>
        <v>700.266666666667</v>
      </c>
      <c r="F400" s="919"/>
      <c r="G400" s="738" t="s">
        <v>2202</v>
      </c>
      <c r="H400" s="738"/>
      <c r="I400" s="739" t="n">
        <f aca="false">'Ввод данных'!C1387</f>
        <v>5</v>
      </c>
      <c r="J400" s="739" t="n">
        <f aca="false">'Прайс лист'!G1675</f>
        <v>1000</v>
      </c>
      <c r="K400" s="740" t="n">
        <f aca="false">I400*J400</f>
        <v>5000</v>
      </c>
      <c r="L400" s="1580"/>
      <c r="M400" s="1580"/>
      <c r="N400" s="1580"/>
    </row>
    <row r="401" customFormat="false" ht="15.75" hidden="false" customHeight="false" outlineLevel="0" collapsed="false">
      <c r="A401" s="738" t="s">
        <v>1793</v>
      </c>
      <c r="B401" s="738" t="s">
        <v>48</v>
      </c>
      <c r="C401" s="740" t="n">
        <f aca="false">C399/2.5*G394</f>
        <v>84.032</v>
      </c>
      <c r="D401" s="739" t="n">
        <f aca="false">'Прайс лист'!G1088</f>
        <v>10</v>
      </c>
      <c r="E401" s="740" t="n">
        <f aca="false">C401*D401</f>
        <v>840.32</v>
      </c>
      <c r="F401" s="919"/>
      <c r="G401" s="738" t="s">
        <v>2201</v>
      </c>
      <c r="H401" s="738"/>
      <c r="I401" s="739" t="n">
        <f aca="false">C406*H394</f>
        <v>30</v>
      </c>
      <c r="J401" s="739" t="n">
        <f aca="false">'Прайс лист'!G1676</f>
        <v>200</v>
      </c>
      <c r="K401" s="740" t="n">
        <f aca="false">I401*J401</f>
        <v>6000</v>
      </c>
      <c r="L401" s="1580"/>
      <c r="M401" s="1580"/>
      <c r="N401" s="1580"/>
    </row>
    <row r="402" customFormat="false" ht="15.75" hidden="false" customHeight="false" outlineLevel="0" collapsed="false">
      <c r="A402" s="738" t="s">
        <v>1794</v>
      </c>
      <c r="B402" s="738" t="s">
        <v>48</v>
      </c>
      <c r="C402" s="740" t="n">
        <f aca="false">(C337*D337*B337)/2</f>
        <v>64</v>
      </c>
      <c r="D402" s="739" t="n">
        <f aca="false">'Прайс лист'!G1089</f>
        <v>300</v>
      </c>
      <c r="E402" s="740" t="n">
        <f aca="false">C402*D402</f>
        <v>19200</v>
      </c>
      <c r="F402" s="919"/>
      <c r="G402" s="738"/>
      <c r="H402" s="738"/>
      <c r="I402" s="739"/>
      <c r="J402" s="739"/>
      <c r="K402" s="740" t="n">
        <f aca="false">I402*J402</f>
        <v>0</v>
      </c>
      <c r="L402" s="1580"/>
      <c r="M402" s="1580"/>
      <c r="N402" s="1580"/>
    </row>
    <row r="403" customFormat="false" ht="15.75" hidden="false" customHeight="false" outlineLevel="0" collapsed="false">
      <c r="A403" s="738" t="s">
        <v>1795</v>
      </c>
      <c r="B403" s="738" t="s">
        <v>48</v>
      </c>
      <c r="C403" s="740" t="n">
        <f aca="false">C402</f>
        <v>64</v>
      </c>
      <c r="D403" s="739" t="n">
        <f aca="false">'Прайс лист'!G1090</f>
        <v>250</v>
      </c>
      <c r="E403" s="740" t="n">
        <f aca="false">C403*D403</f>
        <v>16000</v>
      </c>
      <c r="F403" s="1579"/>
      <c r="G403" s="738"/>
      <c r="H403" s="738"/>
      <c r="I403" s="837"/>
      <c r="J403" s="739"/>
      <c r="K403" s="740" t="n">
        <f aca="false">I403*J403</f>
        <v>0</v>
      </c>
      <c r="L403" s="1580"/>
      <c r="M403" s="1580"/>
      <c r="N403" s="1580"/>
    </row>
    <row r="404" customFormat="false" ht="15.75" hidden="false" customHeight="false" outlineLevel="0" collapsed="false">
      <c r="A404" s="738" t="s">
        <v>1796</v>
      </c>
      <c r="B404" s="738" t="s">
        <v>48</v>
      </c>
      <c r="C404" s="740" t="n">
        <f aca="false">C402*2*G394</f>
        <v>128</v>
      </c>
      <c r="D404" s="739" t="n">
        <f aca="false">'Прайс лист'!G1091</f>
        <v>300</v>
      </c>
      <c r="E404" s="740" t="n">
        <f aca="false">C404*D404</f>
        <v>38400</v>
      </c>
      <c r="F404" s="1579"/>
      <c r="G404" s="738"/>
      <c r="H404" s="738"/>
      <c r="I404" s="837"/>
      <c r="J404" s="739"/>
      <c r="K404" s="740" t="n">
        <f aca="false">I404*J404</f>
        <v>0</v>
      </c>
      <c r="L404" s="1580"/>
      <c r="M404" s="1580"/>
      <c r="N404" s="1580"/>
    </row>
    <row r="405" customFormat="false" ht="15.75" hidden="false" customHeight="false" outlineLevel="0" collapsed="false">
      <c r="A405" s="738" t="s">
        <v>1797</v>
      </c>
      <c r="B405" s="738" t="s">
        <v>48</v>
      </c>
      <c r="C405" s="740" t="n">
        <f aca="false">C404</f>
        <v>128</v>
      </c>
      <c r="D405" s="739" t="n">
        <f aca="false">'Прайс лист'!G1092</f>
        <v>200</v>
      </c>
      <c r="E405" s="740" t="n">
        <f aca="false">C405*D405</f>
        <v>25600</v>
      </c>
      <c r="F405" s="1579"/>
      <c r="G405" s="738"/>
      <c r="H405" s="738"/>
      <c r="I405" s="837"/>
      <c r="J405" s="739"/>
      <c r="K405" s="740" t="n">
        <f aca="false">I405*J405</f>
        <v>0</v>
      </c>
      <c r="L405" s="1580"/>
      <c r="M405" s="1580"/>
      <c r="N405" s="1580"/>
    </row>
    <row r="406" customFormat="false" ht="15.75" hidden="false" customHeight="false" outlineLevel="0" collapsed="false">
      <c r="A406" s="738" t="s">
        <v>1798</v>
      </c>
      <c r="B406" s="738" t="s">
        <v>15</v>
      </c>
      <c r="C406" s="740" t="n">
        <f aca="false">30*G394</f>
        <v>30</v>
      </c>
      <c r="D406" s="739" t="n">
        <f aca="false">'Прайс лист'!G1093</f>
        <v>36</v>
      </c>
      <c r="E406" s="740" t="n">
        <f aca="false">C406*D406</f>
        <v>1080</v>
      </c>
      <c r="F406" s="1579"/>
      <c r="G406" s="738"/>
      <c r="H406" s="738"/>
      <c r="I406" s="837"/>
      <c r="J406" s="739"/>
      <c r="K406" s="740" t="n">
        <f aca="false">I406*J406</f>
        <v>0</v>
      </c>
      <c r="L406" s="1580"/>
      <c r="M406" s="1580"/>
      <c r="N406" s="1580"/>
    </row>
    <row r="407" customFormat="false" ht="15.75" hidden="false" customHeight="false" outlineLevel="0" collapsed="false">
      <c r="A407" s="738" t="s">
        <v>1799</v>
      </c>
      <c r="B407" s="738" t="s">
        <v>48</v>
      </c>
      <c r="C407" s="740" t="n">
        <v>1</v>
      </c>
      <c r="D407" s="739" t="n">
        <f aca="false">'Прайс лист'!G1094</f>
        <v>100</v>
      </c>
      <c r="E407" s="740" t="n">
        <f aca="false">C407*D407</f>
        <v>100</v>
      </c>
      <c r="F407" s="1579"/>
      <c r="G407" s="738"/>
      <c r="H407" s="738"/>
      <c r="I407" s="837"/>
      <c r="J407" s="739"/>
      <c r="K407" s="740" t="n">
        <f aca="false">I407*J407</f>
        <v>0</v>
      </c>
      <c r="L407" s="1580"/>
      <c r="M407" s="1580"/>
      <c r="N407" s="1580"/>
    </row>
    <row r="408" customFormat="false" ht="15.75" hidden="false" customHeight="false" outlineLevel="0" collapsed="false">
      <c r="A408" s="738" t="s">
        <v>1792</v>
      </c>
      <c r="B408" s="738" t="s">
        <v>48</v>
      </c>
      <c r="C408" s="740" t="n">
        <f aca="false">C406/3*G394</f>
        <v>10</v>
      </c>
      <c r="D408" s="739" t="n">
        <f aca="false">'Прайс лист'!G1095</f>
        <v>10</v>
      </c>
      <c r="E408" s="740" t="n">
        <f aca="false">C408*D408</f>
        <v>100</v>
      </c>
      <c r="F408" s="1579"/>
      <c r="G408" s="738"/>
      <c r="H408" s="738"/>
      <c r="I408" s="837"/>
      <c r="J408" s="739"/>
      <c r="K408" s="740" t="n">
        <f aca="false">I408*J408</f>
        <v>0</v>
      </c>
      <c r="L408" s="1580"/>
      <c r="M408" s="1580"/>
      <c r="N408" s="1580"/>
    </row>
    <row r="409" customFormat="false" ht="15.75" hidden="false" customHeight="false" outlineLevel="0" collapsed="false">
      <c r="A409" s="738" t="s">
        <v>1793</v>
      </c>
      <c r="B409" s="738" t="s">
        <v>48</v>
      </c>
      <c r="C409" s="740" t="n">
        <f aca="false">C406/2*G394</f>
        <v>15</v>
      </c>
      <c r="D409" s="739" t="n">
        <f aca="false">'Прайс лист'!G1096</f>
        <v>10</v>
      </c>
      <c r="E409" s="740" t="n">
        <f aca="false">C409*D409</f>
        <v>150</v>
      </c>
      <c r="F409" s="1579"/>
      <c r="G409" s="738"/>
      <c r="H409" s="738"/>
      <c r="I409" s="837"/>
      <c r="J409" s="739"/>
      <c r="K409" s="740" t="n">
        <f aca="false">I409*J409</f>
        <v>0</v>
      </c>
      <c r="L409" s="1580"/>
      <c r="M409" s="1580"/>
      <c r="N409" s="1580"/>
    </row>
    <row r="410" customFormat="false" ht="15.75" hidden="false" customHeight="false" outlineLevel="0" collapsed="false">
      <c r="A410" s="738" t="str">
        <f aca="false">'Ввод данных'!A1390</f>
        <v>Нет техники</v>
      </c>
      <c r="B410" s="738" t="str">
        <f aca="false">'Ввод данных'!B1390</f>
        <v>час</v>
      </c>
      <c r="C410" s="738" t="n">
        <f aca="false">'Ввод данных'!C1390</f>
        <v>0</v>
      </c>
      <c r="D410" s="739" t="n">
        <f aca="false">VLOOKUP(A410,'Прайс лист'!B192:G206,6,0)</f>
        <v>0</v>
      </c>
      <c r="E410" s="740" t="n">
        <f aca="false">C410*D410</f>
        <v>0</v>
      </c>
      <c r="F410" s="1579"/>
      <c r="G410" s="738"/>
      <c r="H410" s="738"/>
      <c r="I410" s="837"/>
      <c r="J410" s="739"/>
      <c r="K410" s="740" t="n">
        <f aca="false">I410*J410</f>
        <v>0</v>
      </c>
      <c r="L410" s="1580"/>
      <c r="M410" s="1580"/>
      <c r="N410" s="1580"/>
    </row>
    <row r="411" customFormat="false" ht="15.75" hidden="false" customHeight="false" outlineLevel="0" collapsed="false">
      <c r="A411" s="738" t="str">
        <f aca="false">'Ввод данных'!A1391</f>
        <v>Нет техники</v>
      </c>
      <c r="B411" s="738" t="str">
        <f aca="false">'Ввод данных'!B1391</f>
        <v>час</v>
      </c>
      <c r="C411" s="738" t="n">
        <f aca="false">'Ввод данных'!C1391</f>
        <v>0</v>
      </c>
      <c r="D411" s="739" t="n">
        <f aca="false">VLOOKUP(A411,'Прайс лист'!B192:G206,6,0)</f>
        <v>0</v>
      </c>
      <c r="E411" s="740" t="n">
        <f aca="false">C411*D411</f>
        <v>0</v>
      </c>
      <c r="F411" s="1579"/>
      <c r="G411" s="739"/>
      <c r="H411" s="739"/>
      <c r="I411" s="837"/>
      <c r="J411" s="739"/>
      <c r="K411" s="740" t="n">
        <f aca="false">I411*J411</f>
        <v>0</v>
      </c>
      <c r="L411" s="1580"/>
      <c r="M411" s="1580"/>
      <c r="N411" s="1580"/>
    </row>
    <row r="412" customFormat="false" ht="15.75" hidden="false" customHeight="false" outlineLevel="0" collapsed="false">
      <c r="A412" s="738" t="str">
        <f aca="false">'Ввод данных'!A1392</f>
        <v>расходные материалы для отопления</v>
      </c>
      <c r="B412" s="738" t="str">
        <f aca="false">'Ввод данных'!B1392</f>
        <v>рублей</v>
      </c>
      <c r="C412" s="738" t="n">
        <f aca="false">1</f>
        <v>1</v>
      </c>
      <c r="D412" s="919" t="n">
        <f aca="false">'Ввод данных'!C1392</f>
        <v>5000</v>
      </c>
      <c r="E412" s="740" t="n">
        <f aca="false">C412*D412</f>
        <v>5000</v>
      </c>
      <c r="F412" s="1579"/>
      <c r="G412" s="919"/>
      <c r="H412" s="919"/>
      <c r="I412" s="2589"/>
      <c r="J412" s="919"/>
      <c r="K412" s="2721"/>
      <c r="L412" s="1580"/>
      <c r="M412" s="1580"/>
      <c r="N412" s="1580"/>
    </row>
    <row r="413" customFormat="false" ht="15.75" hidden="false" customHeight="false" outlineLevel="0" collapsed="false">
      <c r="A413" s="1225"/>
      <c r="B413" s="1225"/>
      <c r="C413" s="3160"/>
      <c r="D413" s="2589"/>
      <c r="E413" s="837" t="n">
        <f aca="false">SUM(E399:E409)</f>
        <v>110573.786666667</v>
      </c>
      <c r="F413" s="1579"/>
      <c r="G413" s="2589"/>
      <c r="H413" s="2589"/>
      <c r="I413" s="2589"/>
      <c r="J413" s="2589"/>
      <c r="K413" s="1549" t="n">
        <f aca="false">SUM(K399:K409)</f>
        <v>59016</v>
      </c>
      <c r="L413" s="1580"/>
      <c r="M413" s="1580"/>
      <c r="N413" s="1580"/>
    </row>
    <row r="414" customFormat="false" ht="15.75" hidden="false" customHeight="false" outlineLevel="0" collapsed="false">
      <c r="A414" s="837" t="s">
        <v>4047</v>
      </c>
      <c r="B414" s="837" t="n">
        <f aca="false">E413</f>
        <v>110573.786666667</v>
      </c>
      <c r="C414" s="2589"/>
      <c r="D414" s="2589"/>
      <c r="E414" s="2589"/>
      <c r="F414" s="1579"/>
      <c r="G414" s="1579"/>
      <c r="H414" s="1579"/>
      <c r="I414" s="1579"/>
      <c r="J414" s="1579"/>
      <c r="K414" s="2589"/>
      <c r="L414" s="1580"/>
      <c r="M414" s="1580"/>
      <c r="N414" s="1580"/>
    </row>
    <row r="415" customFormat="false" ht="15.75" hidden="false" customHeight="false" outlineLevel="0" collapsed="false">
      <c r="A415" s="837" t="s">
        <v>4048</v>
      </c>
      <c r="B415" s="837" t="n">
        <f aca="false">K413</f>
        <v>59016</v>
      </c>
      <c r="C415" s="2589"/>
      <c r="D415" s="2589"/>
      <c r="E415" s="2589"/>
      <c r="F415" s="1579"/>
      <c r="G415" s="1579"/>
      <c r="H415" s="1579"/>
      <c r="I415" s="1579"/>
      <c r="J415" s="1579"/>
      <c r="K415" s="2589"/>
      <c r="L415" s="1580"/>
      <c r="M415" s="1580"/>
      <c r="N415" s="1580"/>
    </row>
    <row r="416" customFormat="false" ht="15.75" hidden="false" customHeight="false" outlineLevel="0" collapsed="false">
      <c r="A416" s="837" t="s">
        <v>2922</v>
      </c>
      <c r="B416" s="837" t="n">
        <f aca="false">(B414+B415)*B417</f>
        <v>0</v>
      </c>
      <c r="C416" s="2589"/>
      <c r="D416" s="2589"/>
      <c r="E416" s="2589"/>
      <c r="F416" s="1579"/>
      <c r="G416" s="1579"/>
      <c r="H416" s="1579"/>
      <c r="I416" s="1579"/>
      <c r="J416" s="1579"/>
      <c r="K416" s="2589"/>
      <c r="L416" s="1580"/>
      <c r="M416" s="1580"/>
      <c r="N416" s="1580"/>
    </row>
    <row r="417" customFormat="false" ht="15.75" hidden="false" customHeight="false" outlineLevel="0" collapsed="false">
      <c r="A417" s="2645" t="s">
        <v>893</v>
      </c>
      <c r="B417" s="2618"/>
      <c r="C417" s="2619" t="s">
        <v>3811</v>
      </c>
      <c r="D417" s="2619"/>
      <c r="E417" s="2619"/>
      <c r="F417" s="2619"/>
      <c r="G417" s="1579"/>
      <c r="H417" s="1579"/>
      <c r="I417" s="1579"/>
      <c r="J417" s="1579"/>
      <c r="K417" s="2589"/>
      <c r="L417" s="1580"/>
      <c r="M417" s="1580"/>
      <c r="N417" s="1580"/>
    </row>
    <row r="418" customFormat="false" ht="15.75" hidden="false" customHeight="false" outlineLevel="0" collapsed="false">
      <c r="A418" s="1579"/>
      <c r="B418" s="1579"/>
      <c r="C418" s="1579"/>
      <c r="D418" s="1579"/>
      <c r="E418" s="1579"/>
      <c r="F418" s="1579"/>
      <c r="G418" s="1579"/>
      <c r="H418" s="1579"/>
      <c r="I418" s="1579"/>
      <c r="J418" s="1579"/>
      <c r="K418" s="1579"/>
      <c r="L418" s="1580"/>
      <c r="M418" s="1580"/>
      <c r="N418" s="1580"/>
    </row>
    <row r="419" customFormat="false" ht="15.75" hidden="false" customHeight="false" outlineLevel="0" collapsed="false">
      <c r="A419" s="2638" t="s">
        <v>894</v>
      </c>
      <c r="B419" s="2638"/>
      <c r="C419" s="2638"/>
      <c r="D419" s="2638"/>
      <c r="E419" s="2638"/>
      <c r="F419" s="2638"/>
      <c r="G419" s="2638"/>
      <c r="H419" s="2638"/>
      <c r="I419" s="2638"/>
      <c r="J419" s="2638"/>
      <c r="K419" s="2638"/>
      <c r="L419" s="1580"/>
      <c r="M419" s="1580"/>
      <c r="N419" s="1580"/>
    </row>
    <row r="420" customFormat="false" ht="15.75" hidden="false" customHeight="false" outlineLevel="0" collapsed="false">
      <c r="A420" s="2638"/>
      <c r="B420" s="2638"/>
      <c r="C420" s="2638"/>
      <c r="D420" s="2638"/>
      <c r="E420" s="2638"/>
      <c r="F420" s="2638"/>
      <c r="G420" s="2638"/>
      <c r="H420" s="2638"/>
      <c r="I420" s="2638"/>
      <c r="J420" s="2638"/>
      <c r="K420" s="2638"/>
      <c r="L420" s="1580"/>
      <c r="M420" s="1580"/>
      <c r="N420" s="1580"/>
    </row>
    <row r="421" customFormat="false" ht="15.75" hidden="false" customHeight="false" outlineLevel="0" collapsed="false">
      <c r="A421" s="876" t="s">
        <v>566</v>
      </c>
      <c r="B421" s="876" t="s">
        <v>502</v>
      </c>
      <c r="C421" s="2584" t="n">
        <f aca="false">'Ввод данных'!C1400</f>
        <v>5</v>
      </c>
      <c r="D421" s="2584" t="n">
        <v>1</v>
      </c>
      <c r="E421" s="1579"/>
      <c r="F421" s="1579"/>
      <c r="G421" s="1579"/>
      <c r="H421" s="1579"/>
      <c r="I421" s="1579"/>
      <c r="J421" s="1579"/>
      <c r="K421" s="1579"/>
      <c r="L421" s="1580"/>
      <c r="M421" s="1580"/>
      <c r="N421" s="1580"/>
    </row>
    <row r="422" customFormat="false" ht="15.75" hidden="false" customHeight="false" outlineLevel="0" collapsed="false">
      <c r="A422" s="837" t="s">
        <v>895</v>
      </c>
      <c r="B422" s="837" t="s">
        <v>48</v>
      </c>
      <c r="C422" s="2584" t="n">
        <f aca="false">VLOOKUP('Ввод данных'!C1401,связи1!A2:B3,2,0)</f>
        <v>1</v>
      </c>
      <c r="D422" s="1579"/>
      <c r="E422" s="1579"/>
      <c r="F422" s="1579"/>
      <c r="G422" s="1579"/>
      <c r="H422" s="1579"/>
      <c r="I422" s="1579"/>
      <c r="J422" s="1579"/>
      <c r="K422" s="1579"/>
      <c r="L422" s="1580"/>
      <c r="M422" s="1580"/>
      <c r="N422" s="1580"/>
    </row>
    <row r="423" customFormat="false" ht="15.75" hidden="false" customHeight="false" outlineLevel="0" collapsed="false">
      <c r="A423" s="837" t="s">
        <v>896</v>
      </c>
      <c r="B423" s="837" t="s">
        <v>48</v>
      </c>
      <c r="C423" s="2584" t="n">
        <f aca="false">VLOOKUP('Ввод данных'!C1402,связи1!A2:B3,2,0)</f>
        <v>1</v>
      </c>
      <c r="D423" s="1579"/>
      <c r="E423" s="1579"/>
      <c r="F423" s="1579"/>
      <c r="G423" s="1579"/>
      <c r="H423" s="1579"/>
      <c r="I423" s="1579"/>
      <c r="J423" s="1579"/>
      <c r="K423" s="1579"/>
      <c r="L423" s="1580"/>
      <c r="M423" s="1580"/>
      <c r="N423" s="1580"/>
    </row>
    <row r="424" customFormat="false" ht="15.75" hidden="false" customHeight="false" outlineLevel="0" collapsed="false">
      <c r="A424" s="837" t="s">
        <v>897</v>
      </c>
      <c r="B424" s="837" t="s">
        <v>15</v>
      </c>
      <c r="C424" s="2584" t="n">
        <f aca="false">'Ввод данных'!C1403</f>
        <v>42</v>
      </c>
      <c r="D424" s="1579"/>
      <c r="E424" s="1579"/>
      <c r="F424" s="1579"/>
      <c r="G424" s="1579"/>
      <c r="H424" s="1579"/>
      <c r="I424" s="1579"/>
      <c r="J424" s="1579"/>
      <c r="K424" s="1579"/>
      <c r="L424" s="1580"/>
      <c r="M424" s="1580"/>
      <c r="N424" s="1580"/>
    </row>
    <row r="425" customFormat="false" ht="15.75" hidden="false" customHeight="false" outlineLevel="0" collapsed="false">
      <c r="A425" s="837" t="s">
        <v>4304</v>
      </c>
      <c r="B425" s="837" t="s">
        <v>48</v>
      </c>
      <c r="C425" s="2584" t="n">
        <f aca="false">'Ввод данных'!C1387</f>
        <v>5</v>
      </c>
      <c r="D425" s="1579"/>
      <c r="E425" s="1579"/>
      <c r="F425" s="1579"/>
      <c r="G425" s="1579"/>
      <c r="H425" s="1579"/>
      <c r="I425" s="1579"/>
      <c r="J425" s="1579"/>
      <c r="K425" s="1579"/>
      <c r="L425" s="1580"/>
      <c r="M425" s="1580"/>
      <c r="N425" s="1580"/>
    </row>
    <row r="426" customFormat="false" ht="15.75" hidden="false" customHeight="false" outlineLevel="0" collapsed="false">
      <c r="A426" s="3161" t="s">
        <v>4313</v>
      </c>
      <c r="B426" s="3161" t="s">
        <v>1738</v>
      </c>
      <c r="C426" s="3161" t="s">
        <v>118</v>
      </c>
      <c r="D426" s="3161" t="s">
        <v>2190</v>
      </c>
      <c r="E426" s="3161" t="s">
        <v>2916</v>
      </c>
      <c r="F426" s="1579"/>
      <c r="G426" s="3162" t="s">
        <v>2203</v>
      </c>
      <c r="H426" s="3162"/>
      <c r="I426" s="3161" t="s">
        <v>118</v>
      </c>
      <c r="J426" s="3161" t="s">
        <v>2190</v>
      </c>
      <c r="K426" s="3161" t="s">
        <v>2916</v>
      </c>
      <c r="L426" s="1580"/>
      <c r="M426" s="1580"/>
      <c r="N426" s="1580"/>
    </row>
    <row r="427" customFormat="false" ht="15.75" hidden="false" customHeight="false" outlineLevel="0" collapsed="false">
      <c r="A427" s="837" t="s">
        <v>1801</v>
      </c>
      <c r="B427" s="837" t="s">
        <v>48</v>
      </c>
      <c r="C427" s="837" t="n">
        <v>1</v>
      </c>
      <c r="D427" s="837" t="n">
        <f aca="false">'Прайс лист'!G1103</f>
        <v>2500</v>
      </c>
      <c r="E427" s="837" t="n">
        <f aca="false">C427*D427</f>
        <v>2500</v>
      </c>
      <c r="F427" s="1579"/>
      <c r="G427" s="3103" t="s">
        <v>2204</v>
      </c>
      <c r="H427" s="3163"/>
      <c r="I427" s="837" t="n">
        <f aca="false">D421</f>
        <v>1</v>
      </c>
      <c r="J427" s="837" t="n">
        <f aca="false">'Прайс лист'!G1679</f>
        <v>1500</v>
      </c>
      <c r="K427" s="837" t="n">
        <f aca="false">I427*J427</f>
        <v>1500</v>
      </c>
      <c r="L427" s="1580"/>
      <c r="M427" s="1580"/>
      <c r="N427" s="1580"/>
    </row>
    <row r="428" customFormat="false" ht="15.75" hidden="false" customHeight="false" outlineLevel="0" collapsed="false">
      <c r="A428" s="837" t="s">
        <v>1802</v>
      </c>
      <c r="B428" s="837" t="s">
        <v>15</v>
      </c>
      <c r="C428" s="837" t="n">
        <f aca="false">C424*1.2</f>
        <v>50.4</v>
      </c>
      <c r="D428" s="837" t="n">
        <f aca="false">'Прайс лист'!G1104</f>
        <v>19</v>
      </c>
      <c r="E428" s="837" t="n">
        <f aca="false">C428*D428</f>
        <v>957.6</v>
      </c>
      <c r="F428" s="1579"/>
      <c r="G428" s="738" t="s">
        <v>2205</v>
      </c>
      <c r="H428" s="738"/>
      <c r="I428" s="837" t="n">
        <f aca="false">C422</f>
        <v>1</v>
      </c>
      <c r="J428" s="837" t="n">
        <f aca="false">'Прайс лист'!G1680</f>
        <v>1500</v>
      </c>
      <c r="K428" s="837" t="n">
        <f aca="false">I428*J428</f>
        <v>1500</v>
      </c>
      <c r="L428" s="1580"/>
      <c r="M428" s="1580"/>
      <c r="N428" s="1580"/>
    </row>
    <row r="429" customFormat="false" ht="15.75" hidden="false" customHeight="false" outlineLevel="0" collapsed="false">
      <c r="A429" s="837" t="s">
        <v>1803</v>
      </c>
      <c r="B429" s="837" t="s">
        <v>15</v>
      </c>
      <c r="C429" s="837" t="n">
        <f aca="false">C428</f>
        <v>50.4</v>
      </c>
      <c r="D429" s="837" t="n">
        <f aca="false">'Прайс лист'!G1105</f>
        <v>5</v>
      </c>
      <c r="E429" s="837" t="n">
        <f aca="false">C429*D429</f>
        <v>252</v>
      </c>
      <c r="F429" s="1579"/>
      <c r="G429" s="738" t="s">
        <v>2291</v>
      </c>
      <c r="H429" s="738"/>
      <c r="I429" s="837" t="n">
        <f aca="false">C423</f>
        <v>1</v>
      </c>
      <c r="J429" s="837" t="n">
        <f aca="false">'Прайс лист'!G1681</f>
        <v>3000</v>
      </c>
      <c r="K429" s="837" t="n">
        <f aca="false">I429*J429</f>
        <v>3000</v>
      </c>
      <c r="L429" s="1580"/>
      <c r="M429" s="1580"/>
      <c r="N429" s="1580"/>
    </row>
    <row r="430" customFormat="false" ht="15.75" hidden="false" customHeight="false" outlineLevel="0" collapsed="false">
      <c r="A430" s="837" t="s">
        <v>1804</v>
      </c>
      <c r="B430" s="837" t="s">
        <v>1805</v>
      </c>
      <c r="C430" s="837" t="n">
        <v>1</v>
      </c>
      <c r="D430" s="837" t="n">
        <f aca="false">'Прайс лист'!G1106</f>
        <v>100</v>
      </c>
      <c r="E430" s="837" t="n">
        <f aca="false">C430*D430</f>
        <v>100</v>
      </c>
      <c r="F430" s="1579"/>
      <c r="G430" s="738" t="s">
        <v>2292</v>
      </c>
      <c r="H430" s="738"/>
      <c r="I430" s="837" t="n">
        <f aca="false">C431</f>
        <v>1</v>
      </c>
      <c r="J430" s="837" t="n">
        <f aca="false">'Прайс лист'!G1682</f>
        <v>2500</v>
      </c>
      <c r="K430" s="837" t="n">
        <f aca="false">I430*J430</f>
        <v>2500</v>
      </c>
      <c r="L430" s="1580"/>
      <c r="M430" s="1580"/>
      <c r="N430" s="1580"/>
    </row>
    <row r="431" customFormat="false" ht="15.75" hidden="false" customHeight="false" outlineLevel="0" collapsed="false">
      <c r="A431" s="837" t="s">
        <v>1806</v>
      </c>
      <c r="B431" s="837" t="s">
        <v>48</v>
      </c>
      <c r="C431" s="837" t="n">
        <f aca="false">C423</f>
        <v>1</v>
      </c>
      <c r="D431" s="837" t="n">
        <f aca="false">'Прайс лист'!G1107</f>
        <v>8000</v>
      </c>
      <c r="E431" s="837" t="n">
        <f aca="false">C431*D431</f>
        <v>8000</v>
      </c>
      <c r="F431" s="1579"/>
      <c r="G431" s="738" t="s">
        <v>2208</v>
      </c>
      <c r="H431" s="738"/>
      <c r="I431" s="837" t="n">
        <f aca="false">C432</f>
        <v>1</v>
      </c>
      <c r="J431" s="837" t="n">
        <f aca="false">'Прайс лист'!G1683</f>
        <v>4000</v>
      </c>
      <c r="K431" s="837" t="n">
        <f aca="false">I431*J431</f>
        <v>4000</v>
      </c>
      <c r="L431" s="1580"/>
      <c r="M431" s="1580"/>
      <c r="N431" s="1580"/>
    </row>
    <row r="432" customFormat="false" ht="15.75" hidden="false" customHeight="false" outlineLevel="0" collapsed="false">
      <c r="A432" s="837" t="s">
        <v>1807</v>
      </c>
      <c r="B432" s="837" t="s">
        <v>48</v>
      </c>
      <c r="C432" s="837" t="n">
        <f aca="false">C423</f>
        <v>1</v>
      </c>
      <c r="D432" s="837" t="n">
        <f aca="false">'Прайс лист'!G1108</f>
        <v>10000</v>
      </c>
      <c r="E432" s="837" t="n">
        <f aca="false">C432*D432</f>
        <v>10000</v>
      </c>
      <c r="F432" s="1579"/>
      <c r="G432" s="738" t="s">
        <v>2293</v>
      </c>
      <c r="H432" s="738"/>
      <c r="I432" s="837" t="n">
        <f aca="false">C434</f>
        <v>10</v>
      </c>
      <c r="J432" s="837" t="n">
        <f aca="false">'Прайс лист'!G1684</f>
        <v>500</v>
      </c>
      <c r="K432" s="837" t="n">
        <f aca="false">I432*J432</f>
        <v>5000</v>
      </c>
      <c r="L432" s="1580"/>
      <c r="M432" s="1580"/>
      <c r="N432" s="1580"/>
    </row>
    <row r="433" customFormat="false" ht="15.75" hidden="false" customHeight="false" outlineLevel="0" collapsed="false">
      <c r="A433" s="837" t="s">
        <v>1808</v>
      </c>
      <c r="B433" s="837" t="s">
        <v>15</v>
      </c>
      <c r="C433" s="837" t="n">
        <f aca="false">C428</f>
        <v>50.4</v>
      </c>
      <c r="D433" s="837" t="n">
        <f aca="false">'Прайс лист'!G1109</f>
        <v>35</v>
      </c>
      <c r="E433" s="837" t="n">
        <f aca="false">C433*D433</f>
        <v>1764</v>
      </c>
      <c r="F433" s="1579"/>
      <c r="G433" s="893"/>
      <c r="H433" s="893"/>
      <c r="I433" s="837"/>
      <c r="J433" s="837" t="n">
        <f aca="false">'Прайс лист'!G1685</f>
        <v>7000</v>
      </c>
      <c r="K433" s="837" t="n">
        <f aca="false">I433*J433</f>
        <v>0</v>
      </c>
      <c r="L433" s="1580"/>
      <c r="M433" s="1580"/>
      <c r="N433" s="1580"/>
    </row>
    <row r="434" customFormat="false" ht="15.75" hidden="false" customHeight="false" outlineLevel="0" collapsed="false">
      <c r="A434" s="837" t="s">
        <v>1809</v>
      </c>
      <c r="B434" s="837" t="s">
        <v>15</v>
      </c>
      <c r="C434" s="837" t="n">
        <v>10</v>
      </c>
      <c r="D434" s="837" t="n">
        <f aca="false">'Прайс лист'!G1110</f>
        <v>500</v>
      </c>
      <c r="E434" s="837" t="n">
        <f aca="false">C434*D434</f>
        <v>5000</v>
      </c>
      <c r="F434" s="1579"/>
      <c r="G434" s="738"/>
      <c r="H434" s="738"/>
      <c r="I434" s="837"/>
      <c r="J434" s="837"/>
      <c r="K434" s="837"/>
      <c r="L434" s="1580"/>
      <c r="M434" s="1580"/>
      <c r="N434" s="1580"/>
    </row>
    <row r="435" customFormat="false" ht="15.75" hidden="false" customHeight="false" outlineLevel="0" collapsed="false">
      <c r="A435" s="837" t="s">
        <v>1810</v>
      </c>
      <c r="B435" s="837" t="s">
        <v>48</v>
      </c>
      <c r="C435" s="837" t="n">
        <f aca="false">C423</f>
        <v>1</v>
      </c>
      <c r="D435" s="837" t="n">
        <f aca="false">'Прайс лист'!G1111</f>
        <v>3000</v>
      </c>
      <c r="E435" s="837" t="n">
        <f aca="false">C435*D435</f>
        <v>3000</v>
      </c>
      <c r="F435" s="1579"/>
      <c r="G435" s="738"/>
      <c r="H435" s="738"/>
      <c r="I435" s="837"/>
      <c r="J435" s="837"/>
      <c r="K435" s="837"/>
      <c r="L435" s="1580"/>
      <c r="M435" s="1580"/>
      <c r="N435" s="1580"/>
    </row>
    <row r="436" customFormat="false" ht="15.75" hidden="false" customHeight="false" outlineLevel="0" collapsed="false">
      <c r="A436" s="837" t="str">
        <f aca="false">'Ввод данных'!A1405</f>
        <v>Нет техники</v>
      </c>
      <c r="B436" s="837" t="str">
        <f aca="false">'Ввод данных'!B1405</f>
        <v>час</v>
      </c>
      <c r="C436" s="837" t="n">
        <f aca="false">'Ввод данных'!C1405</f>
        <v>4</v>
      </c>
      <c r="D436" s="837" t="n">
        <f aca="false">VLOOKUP(A436,'Прайс лист'!B192:G206,6,0)</f>
        <v>0</v>
      </c>
      <c r="E436" s="837" t="n">
        <f aca="false">C436*D436</f>
        <v>0</v>
      </c>
      <c r="F436" s="1579"/>
      <c r="G436" s="738"/>
      <c r="H436" s="738"/>
      <c r="I436" s="837"/>
      <c r="J436" s="837"/>
      <c r="K436" s="837"/>
      <c r="L436" s="1580"/>
      <c r="M436" s="1580"/>
      <c r="N436" s="1580"/>
    </row>
    <row r="437" customFormat="false" ht="15.75" hidden="false" customHeight="false" outlineLevel="0" collapsed="false">
      <c r="A437" s="837" t="str">
        <f aca="false">'Ввод данных'!A1406</f>
        <v>Нет техники</v>
      </c>
      <c r="B437" s="837" t="str">
        <f aca="false">'Ввод данных'!B1406</f>
        <v>час</v>
      </c>
      <c r="C437" s="837" t="n">
        <f aca="false">'Ввод данных'!C1406</f>
        <v>0</v>
      </c>
      <c r="D437" s="837" t="n">
        <f aca="false">VLOOKUP(A437,'Прайс лист'!B192:G206,6,0)</f>
        <v>0</v>
      </c>
      <c r="E437" s="837" t="n">
        <f aca="false">C437*D437</f>
        <v>0</v>
      </c>
      <c r="F437" s="1579"/>
      <c r="G437" s="738"/>
      <c r="H437" s="738"/>
      <c r="I437" s="837"/>
      <c r="J437" s="837"/>
      <c r="K437" s="837"/>
      <c r="L437" s="1580"/>
      <c r="M437" s="1580"/>
      <c r="N437" s="1580"/>
    </row>
    <row r="438" customFormat="false" ht="15.75" hidden="false" customHeight="false" outlineLevel="0" collapsed="false">
      <c r="A438" s="837" t="str">
        <f aca="false">'Ввод данных'!A1407</f>
        <v>расходные материалы скважина</v>
      </c>
      <c r="B438" s="837" t="str">
        <f aca="false">'Ввод данных'!B1407</f>
        <v>рублей</v>
      </c>
      <c r="C438" s="837" t="n">
        <f aca="false">1</f>
        <v>1</v>
      </c>
      <c r="D438" s="1439" t="n">
        <f aca="false">'Ввод данных'!C1407</f>
        <v>5000</v>
      </c>
      <c r="E438" s="837" t="n">
        <f aca="false">C438*D438</f>
        <v>5000</v>
      </c>
      <c r="F438" s="1579"/>
      <c r="G438" s="738"/>
      <c r="H438" s="738"/>
      <c r="I438" s="837"/>
      <c r="J438" s="837"/>
      <c r="K438" s="837"/>
      <c r="L438" s="1580"/>
      <c r="M438" s="1580"/>
      <c r="N438" s="1580"/>
    </row>
    <row r="439" customFormat="false" ht="15.75" hidden="false" customHeight="false" outlineLevel="0" collapsed="false">
      <c r="F439" s="1579"/>
      <c r="G439" s="739"/>
      <c r="H439" s="739"/>
      <c r="I439" s="837"/>
      <c r="J439" s="837"/>
      <c r="K439" s="837"/>
      <c r="L439" s="1580"/>
      <c r="M439" s="1580"/>
      <c r="N439" s="1580"/>
    </row>
    <row r="440" customFormat="false" ht="15.75" hidden="false" customHeight="false" outlineLevel="0" collapsed="false">
      <c r="A440" s="2589"/>
      <c r="B440" s="2589"/>
      <c r="C440" s="2589"/>
      <c r="D440" s="2589"/>
      <c r="E440" s="837"/>
      <c r="F440" s="1579"/>
      <c r="G440" s="919"/>
      <c r="H440" s="919"/>
      <c r="I440" s="2589"/>
      <c r="J440" s="2589"/>
      <c r="K440" s="837"/>
      <c r="L440" s="1580"/>
      <c r="M440" s="1580"/>
      <c r="N440" s="1580"/>
    </row>
    <row r="441" customFormat="false" ht="15.75" hidden="false" customHeight="false" outlineLevel="0" collapsed="false">
      <c r="A441" s="2589"/>
      <c r="B441" s="2589"/>
      <c r="C441" s="2589"/>
      <c r="D441" s="2589"/>
      <c r="E441" s="837" t="n">
        <f aca="false">SUM(E427:E437)</f>
        <v>31573.6</v>
      </c>
      <c r="F441" s="1579"/>
      <c r="G441" s="2589"/>
      <c r="H441" s="2589"/>
      <c r="I441" s="2589"/>
      <c r="J441" s="2589"/>
      <c r="K441" s="837" t="n">
        <f aca="false">SUM(K427:K439)</f>
        <v>17500</v>
      </c>
      <c r="L441" s="1580"/>
      <c r="M441" s="1580"/>
      <c r="N441" s="1580"/>
    </row>
    <row r="442" customFormat="false" ht="15.75" hidden="false" customHeight="false" outlineLevel="0" collapsed="false">
      <c r="A442" s="837" t="s">
        <v>4047</v>
      </c>
      <c r="B442" s="837" t="n">
        <f aca="false">E441</f>
        <v>31573.6</v>
      </c>
      <c r="C442" s="2589"/>
      <c r="D442" s="2589"/>
      <c r="E442" s="2589"/>
      <c r="F442" s="1579"/>
      <c r="G442" s="2589"/>
      <c r="H442" s="2589"/>
      <c r="I442" s="2589"/>
      <c r="J442" s="2589"/>
      <c r="K442" s="2589"/>
      <c r="L442" s="1580"/>
      <c r="M442" s="1580"/>
      <c r="N442" s="1580"/>
    </row>
    <row r="443" customFormat="false" ht="15.75" hidden="false" customHeight="false" outlineLevel="0" collapsed="false">
      <c r="A443" s="837" t="s">
        <v>4048</v>
      </c>
      <c r="B443" s="837" t="n">
        <f aca="false">K441</f>
        <v>17500</v>
      </c>
      <c r="C443" s="2589"/>
      <c r="D443" s="2589"/>
      <c r="E443" s="2589"/>
      <c r="F443" s="1579"/>
      <c r="G443" s="2589"/>
      <c r="H443" s="2589"/>
      <c r="I443" s="2589"/>
      <c r="J443" s="2589"/>
      <c r="K443" s="2589"/>
      <c r="L443" s="1580"/>
      <c r="M443" s="1580"/>
      <c r="N443" s="1580"/>
    </row>
    <row r="444" customFormat="false" ht="15.75" hidden="false" customHeight="false" outlineLevel="0" collapsed="false">
      <c r="A444" s="837" t="s">
        <v>2922</v>
      </c>
      <c r="B444" s="837" t="n">
        <f aca="false">(B442+B443)*B445</f>
        <v>0</v>
      </c>
      <c r="C444" s="2589"/>
      <c r="D444" s="2589"/>
      <c r="E444" s="2589"/>
      <c r="F444" s="1579"/>
      <c r="G444" s="2589"/>
      <c r="H444" s="2589"/>
      <c r="I444" s="2589"/>
      <c r="J444" s="2589"/>
      <c r="K444" s="2589"/>
      <c r="L444" s="1580"/>
      <c r="M444" s="1580"/>
      <c r="N444" s="1580"/>
    </row>
    <row r="445" customFormat="false" ht="15.75" hidden="false" customHeight="false" outlineLevel="0" collapsed="false">
      <c r="A445" s="2645" t="s">
        <v>899</v>
      </c>
      <c r="B445" s="2618"/>
      <c r="C445" s="2619" t="s">
        <v>3811</v>
      </c>
      <c r="D445" s="2619"/>
      <c r="E445" s="2619"/>
      <c r="F445" s="2619"/>
      <c r="G445" s="2589"/>
      <c r="H445" s="2589"/>
      <c r="I445" s="2589"/>
      <c r="J445" s="2589"/>
      <c r="K445" s="2589"/>
      <c r="L445" s="1580"/>
      <c r="M445" s="1580"/>
      <c r="N445" s="1580"/>
    </row>
    <row r="446" customFormat="false" ht="15.75" hidden="false" customHeight="false" outlineLevel="0" collapsed="false">
      <c r="A446" s="1579"/>
      <c r="B446" s="1579"/>
      <c r="C446" s="1579"/>
      <c r="D446" s="1579"/>
      <c r="E446" s="1579"/>
      <c r="F446" s="1579"/>
      <c r="G446" s="1579"/>
      <c r="H446" s="1579"/>
      <c r="I446" s="1579"/>
      <c r="J446" s="1579"/>
      <c r="K446" s="1579"/>
      <c r="L446" s="1580"/>
      <c r="M446" s="1580"/>
      <c r="N446" s="1580"/>
    </row>
    <row r="447" customFormat="false" ht="15.75" hidden="false" customHeight="false" outlineLevel="0" collapsed="false">
      <c r="A447" s="2638" t="s">
        <v>900</v>
      </c>
      <c r="B447" s="2638"/>
      <c r="C447" s="2638"/>
      <c r="D447" s="2638"/>
      <c r="E447" s="2638"/>
      <c r="F447" s="2638"/>
      <c r="G447" s="2638"/>
      <c r="H447" s="2638"/>
      <c r="I447" s="2638"/>
      <c r="J447" s="2638"/>
      <c r="K447" s="2638"/>
      <c r="L447" s="1580"/>
      <c r="M447" s="1580"/>
      <c r="N447" s="1580"/>
    </row>
    <row r="448" customFormat="false" ht="15.75" hidden="false" customHeight="false" outlineLevel="0" collapsed="false">
      <c r="A448" s="2638"/>
      <c r="B448" s="2638"/>
      <c r="C448" s="2638"/>
      <c r="D448" s="2638"/>
      <c r="E448" s="2638"/>
      <c r="F448" s="2638"/>
      <c r="G448" s="2638"/>
      <c r="H448" s="2638"/>
      <c r="I448" s="2638"/>
      <c r="J448" s="2638"/>
      <c r="K448" s="2638"/>
      <c r="L448" s="1580"/>
      <c r="M448" s="1580"/>
      <c r="N448" s="1580"/>
    </row>
    <row r="449" customFormat="false" ht="15.75" hidden="false" customHeight="false" outlineLevel="0" collapsed="false">
      <c r="A449" s="2639" t="s">
        <v>4314</v>
      </c>
      <c r="B449" s="3164" t="s">
        <v>48</v>
      </c>
      <c r="C449" s="2584" t="n">
        <f aca="false">'Ввод данных'!C1415</f>
        <v>1</v>
      </c>
      <c r="D449" s="2589"/>
      <c r="E449" s="2589"/>
      <c r="F449" s="2589"/>
      <c r="G449" s="2589"/>
      <c r="H449" s="2589"/>
      <c r="I449" s="2589"/>
      <c r="J449" s="2589"/>
      <c r="K449" s="1579"/>
      <c r="L449" s="1580"/>
      <c r="M449" s="1580"/>
      <c r="N449" s="1580"/>
    </row>
    <row r="450" customFormat="false" ht="15.75" hidden="false" customHeight="false" outlineLevel="0" collapsed="false">
      <c r="A450" s="2639" t="s">
        <v>4315</v>
      </c>
      <c r="B450" s="3164" t="s">
        <v>48</v>
      </c>
      <c r="C450" s="2584" t="n">
        <f aca="false">'Ввод данных'!C1416</f>
        <v>3</v>
      </c>
      <c r="D450" s="2589"/>
      <c r="E450" s="2589"/>
      <c r="F450" s="2589"/>
      <c r="G450" s="2589"/>
      <c r="H450" s="2589"/>
      <c r="I450" s="2589"/>
      <c r="J450" s="2589"/>
      <c r="K450" s="1579"/>
      <c r="L450" s="1580"/>
      <c r="M450" s="1580"/>
      <c r="N450" s="1580"/>
    </row>
    <row r="451" customFormat="false" ht="15.75" hidden="false" customHeight="false" outlineLevel="0" collapsed="false">
      <c r="A451" s="2639" t="s">
        <v>4316</v>
      </c>
      <c r="B451" s="3164" t="s">
        <v>48</v>
      </c>
      <c r="C451" s="2584" t="n">
        <f aca="false">'Ввод данных'!C1417</f>
        <v>1</v>
      </c>
      <c r="D451" s="2589"/>
      <c r="E451" s="2589"/>
      <c r="F451" s="2589"/>
      <c r="G451" s="2589"/>
      <c r="H451" s="2589"/>
      <c r="I451" s="2589"/>
      <c r="J451" s="2589"/>
      <c r="K451" s="1579"/>
      <c r="L451" s="1580"/>
      <c r="M451" s="1580"/>
      <c r="N451" s="1580"/>
    </row>
    <row r="452" customFormat="false" ht="15.75" hidden="false" customHeight="false" outlineLevel="0" collapsed="false">
      <c r="A452" s="837" t="s">
        <v>4317</v>
      </c>
      <c r="B452" s="2587" t="s">
        <v>48</v>
      </c>
      <c r="C452" s="2584" t="n">
        <f aca="false">'Ввод данных'!C1418</f>
        <v>0</v>
      </c>
      <c r="D452" s="2589"/>
      <c r="E452" s="2589"/>
      <c r="F452" s="2589"/>
      <c r="G452" s="2589"/>
      <c r="H452" s="2589"/>
      <c r="I452" s="2589"/>
      <c r="J452" s="2589"/>
      <c r="K452" s="1579"/>
      <c r="L452" s="1580"/>
      <c r="M452" s="1580"/>
      <c r="N452" s="1580"/>
    </row>
    <row r="453" customFormat="false" ht="15.75" hidden="false" customHeight="false" outlineLevel="0" collapsed="false">
      <c r="A453" s="837" t="s">
        <v>911</v>
      </c>
      <c r="B453" s="837" t="s">
        <v>48</v>
      </c>
      <c r="C453" s="2584" t="n">
        <f aca="false">VLOOKUP('Ввод данных'!C1427,связи1!A2:B3,2,0)</f>
        <v>1</v>
      </c>
      <c r="D453" s="2589"/>
      <c r="E453" s="2589"/>
      <c r="F453" s="2589"/>
      <c r="G453" s="2589"/>
      <c r="H453" s="2589"/>
      <c r="I453" s="2589"/>
      <c r="J453" s="2589"/>
      <c r="K453" s="1579"/>
      <c r="L453" s="1580"/>
      <c r="M453" s="1580"/>
      <c r="N453" s="1580"/>
    </row>
    <row r="454" customFormat="false" ht="15.75" hidden="false" customHeight="false" outlineLevel="0" collapsed="false">
      <c r="A454" s="837" t="s">
        <v>912</v>
      </c>
      <c r="B454" s="837" t="s">
        <v>15</v>
      </c>
      <c r="C454" s="2584" t="n">
        <f aca="false">'Ввод данных'!C1428</f>
        <v>10</v>
      </c>
      <c r="D454" s="2589"/>
      <c r="E454" s="2589"/>
      <c r="F454" s="2589"/>
      <c r="G454" s="2589"/>
      <c r="H454" s="2589"/>
      <c r="I454" s="2589"/>
      <c r="J454" s="2589"/>
      <c r="K454" s="1579"/>
      <c r="L454" s="1580"/>
      <c r="M454" s="1580"/>
      <c r="N454" s="1580"/>
    </row>
    <row r="455" customFormat="false" ht="15.75" hidden="false" customHeight="false" outlineLevel="0" collapsed="false">
      <c r="A455" s="2587" t="s">
        <v>913</v>
      </c>
      <c r="B455" s="837" t="s">
        <v>15</v>
      </c>
      <c r="C455" s="2584" t="n">
        <f aca="false">'Ввод данных'!C1429</f>
        <v>8</v>
      </c>
      <c r="D455" s="2589"/>
      <c r="E455" s="2589"/>
      <c r="F455" s="2589"/>
      <c r="G455" s="2589"/>
      <c r="H455" s="2589"/>
      <c r="I455" s="2589"/>
      <c r="J455" s="2589"/>
      <c r="K455" s="1579"/>
      <c r="L455" s="1580"/>
      <c r="M455" s="1580"/>
      <c r="N455" s="1580"/>
    </row>
    <row r="456" customFormat="false" ht="15.75" hidden="false" customHeight="false" outlineLevel="0" collapsed="false">
      <c r="A456" s="1555" t="s">
        <v>4318</v>
      </c>
      <c r="B456" s="1555" t="s">
        <v>4318</v>
      </c>
      <c r="C456" s="1555" t="n">
        <f aca="false">VLOOKUP('Ввод данных'!C1421,связи1!A2:B3,2,0)</f>
        <v>1</v>
      </c>
      <c r="D456" s="2589"/>
      <c r="E456" s="2589"/>
      <c r="F456" s="2589"/>
      <c r="G456" s="2589"/>
      <c r="H456" s="2589"/>
      <c r="I456" s="2589"/>
      <c r="J456" s="2589"/>
      <c r="K456" s="1579"/>
      <c r="L456" s="1580"/>
      <c r="M456" s="1580"/>
      <c r="N456" s="1580"/>
    </row>
    <row r="457" customFormat="false" ht="15.75" hidden="false" customHeight="false" outlineLevel="0" collapsed="false">
      <c r="A457" s="1555" t="str">
        <f aca="false">'Ввод данных'!A1422</f>
        <v>дно бетонное, диаметр 2м.п.</v>
      </c>
      <c r="B457" s="1555" t="str">
        <f aca="false">'Ввод данных'!B1422</f>
        <v>шт</v>
      </c>
      <c r="C457" s="1555" t="n">
        <f aca="false">'Ввод данных'!C1422*C456</f>
        <v>1</v>
      </c>
      <c r="D457" s="2589"/>
      <c r="E457" s="2589"/>
      <c r="F457" s="2589"/>
      <c r="G457" s="2589"/>
      <c r="H457" s="2589"/>
      <c r="I457" s="2589"/>
      <c r="J457" s="2589"/>
      <c r="K457" s="1579"/>
      <c r="L457" s="1580"/>
      <c r="M457" s="1580"/>
      <c r="N457" s="1580"/>
    </row>
    <row r="458" customFormat="false" ht="15.75" hidden="false" customHeight="false" outlineLevel="0" collapsed="false">
      <c r="A458" s="1555" t="str">
        <f aca="false">'Ввод данных'!A1423</f>
        <v>кольцо бетонное, диаметр 2м.п.</v>
      </c>
      <c r="B458" s="1555" t="str">
        <f aca="false">'Ввод данных'!B1423</f>
        <v>шт</v>
      </c>
      <c r="C458" s="1555" t="n">
        <f aca="false">'Ввод данных'!C1423*C456</f>
        <v>3</v>
      </c>
      <c r="D458" s="2589"/>
      <c r="E458" s="2589"/>
      <c r="F458" s="2589"/>
      <c r="G458" s="2589"/>
      <c r="H458" s="2589"/>
      <c r="I458" s="2589"/>
      <c r="J458" s="2589"/>
      <c r="K458" s="1579"/>
      <c r="L458" s="1580"/>
      <c r="M458" s="1580"/>
      <c r="N458" s="1580"/>
    </row>
    <row r="459" customFormat="false" ht="15.75" hidden="false" customHeight="false" outlineLevel="0" collapsed="false">
      <c r="A459" s="1555" t="str">
        <f aca="false">'Ввод данных'!A1424</f>
        <v>крышка бетонная, диаметр 2м.п.</v>
      </c>
      <c r="B459" s="1555" t="str">
        <f aca="false">'Ввод данных'!B1424</f>
        <v>шт</v>
      </c>
      <c r="C459" s="1555" t="n">
        <f aca="false">'Ввод данных'!C1424*C456</f>
        <v>1</v>
      </c>
      <c r="D459" s="2589"/>
      <c r="E459" s="2589"/>
      <c r="F459" s="2589"/>
      <c r="G459" s="2589"/>
      <c r="H459" s="2589"/>
      <c r="I459" s="2589"/>
      <c r="J459" s="2589"/>
      <c r="K459" s="1579"/>
      <c r="L459" s="1580"/>
      <c r="M459" s="1580"/>
      <c r="N459" s="1580"/>
    </row>
    <row r="460" customFormat="false" ht="15.75" hidden="false" customHeight="false" outlineLevel="0" collapsed="false">
      <c r="A460" s="1555" t="str">
        <f aca="false">'Ввод данных'!A1425</f>
        <v>Нет люка для крышки</v>
      </c>
      <c r="B460" s="1555" t="str">
        <f aca="false">'Ввод данных'!B1425</f>
        <v>шт</v>
      </c>
      <c r="C460" s="1555" t="n">
        <f aca="false">'Ввод данных'!C1425*C456</f>
        <v>0</v>
      </c>
      <c r="D460" s="2589"/>
      <c r="E460" s="2589"/>
      <c r="F460" s="2589"/>
      <c r="G460" s="2589"/>
      <c r="H460" s="2589"/>
      <c r="I460" s="2589"/>
      <c r="J460" s="2589"/>
      <c r="K460" s="1579"/>
      <c r="L460" s="1580"/>
      <c r="M460" s="1580"/>
      <c r="N460" s="1580"/>
    </row>
    <row r="461" customFormat="false" ht="15.75" hidden="false" customHeight="false" outlineLevel="0" collapsed="false">
      <c r="A461" s="1555"/>
      <c r="B461" s="1555"/>
      <c r="C461" s="2584"/>
      <c r="D461" s="2589"/>
      <c r="E461" s="2589"/>
      <c r="F461" s="2589"/>
      <c r="G461" s="2589"/>
      <c r="H461" s="2589"/>
      <c r="I461" s="2589"/>
      <c r="J461" s="2589"/>
      <c r="K461" s="1579"/>
      <c r="L461" s="1580"/>
      <c r="M461" s="1580"/>
      <c r="N461" s="1580"/>
    </row>
    <row r="462" customFormat="false" ht="15.75" hidden="false" customHeight="false" outlineLevel="0" collapsed="false">
      <c r="A462" s="1555"/>
      <c r="B462" s="1555"/>
      <c r="C462" s="2584"/>
      <c r="D462" s="2589"/>
      <c r="E462" s="2589"/>
      <c r="F462" s="2589"/>
      <c r="G462" s="2589"/>
      <c r="H462" s="2589"/>
      <c r="I462" s="2589"/>
      <c r="J462" s="2589"/>
      <c r="K462" s="1579"/>
      <c r="L462" s="1580"/>
      <c r="M462" s="1580"/>
      <c r="N462" s="1580"/>
    </row>
    <row r="463" customFormat="false" ht="15.75" hidden="false" customHeight="false" outlineLevel="0" collapsed="false">
      <c r="A463" s="837" t="s">
        <v>161</v>
      </c>
      <c r="B463" s="837" t="s">
        <v>1738</v>
      </c>
      <c r="C463" s="837" t="s">
        <v>118</v>
      </c>
      <c r="D463" s="837" t="s">
        <v>2915</v>
      </c>
      <c r="E463" s="837" t="s">
        <v>2916</v>
      </c>
      <c r="F463" s="1579"/>
      <c r="G463" s="837" t="s">
        <v>4319</v>
      </c>
      <c r="H463" s="837" t="s">
        <v>1738</v>
      </c>
      <c r="I463" s="837" t="s">
        <v>118</v>
      </c>
      <c r="J463" s="837" t="s">
        <v>2915</v>
      </c>
      <c r="K463" s="837" t="s">
        <v>2916</v>
      </c>
      <c r="L463" s="1580"/>
      <c r="M463" s="1580"/>
      <c r="N463" s="1580"/>
    </row>
    <row r="464" customFormat="false" ht="15.75" hidden="false" customHeight="false" outlineLevel="0" collapsed="false">
      <c r="A464" s="837" t="str">
        <f aca="false">'Ввод данных'!A1415</f>
        <v>дно бетонное, диаметр 1,5м.п.</v>
      </c>
      <c r="B464" s="837" t="s">
        <v>48</v>
      </c>
      <c r="C464" s="837" t="n">
        <f aca="false">C449</f>
        <v>1</v>
      </c>
      <c r="D464" s="837" t="n">
        <f aca="false">VLOOKUP('Ввод данных'!A1415,связи1!A74:B78,2,0)</f>
        <v>2000</v>
      </c>
      <c r="E464" s="837" t="n">
        <f aca="false">C464*D464</f>
        <v>2000</v>
      </c>
      <c r="F464" s="1579"/>
      <c r="G464" s="837" t="s">
        <v>2212</v>
      </c>
      <c r="H464" s="837" t="s">
        <v>48</v>
      </c>
      <c r="I464" s="837" t="n">
        <f aca="false">C464+C473</f>
        <v>2</v>
      </c>
      <c r="J464" s="837" t="n">
        <f aca="false">'Прайс лист'!G1687</f>
        <v>1000</v>
      </c>
      <c r="K464" s="837" t="n">
        <f aca="false">I464*J464</f>
        <v>2000</v>
      </c>
      <c r="L464" s="1580"/>
      <c r="M464" s="1580"/>
      <c r="N464" s="1580"/>
    </row>
    <row r="465" customFormat="false" ht="15.75" hidden="false" customHeight="false" outlineLevel="0" collapsed="false">
      <c r="A465" s="837" t="str">
        <f aca="false">'Ввод данных'!A1416</f>
        <v>кольцо бетонное, диаметр 1,5м.п.</v>
      </c>
      <c r="B465" s="837" t="s">
        <v>48</v>
      </c>
      <c r="C465" s="837" t="n">
        <f aca="false">C450</f>
        <v>3</v>
      </c>
      <c r="D465" s="837" t="n">
        <f aca="false">VLOOKUP('Ввод данных'!A1416,связи1!A79:B83,2,0)</f>
        <v>2800</v>
      </c>
      <c r="E465" s="837" t="n">
        <f aca="false">C465*D465</f>
        <v>8400</v>
      </c>
      <c r="F465" s="1579"/>
      <c r="G465" s="837" t="s">
        <v>2213</v>
      </c>
      <c r="H465" s="837" t="s">
        <v>48</v>
      </c>
      <c r="I465" s="837" t="n">
        <f aca="false">C465+C474</f>
        <v>6</v>
      </c>
      <c r="J465" s="837" t="n">
        <f aca="false">'Прайс лист'!G1688</f>
        <v>1000</v>
      </c>
      <c r="K465" s="837" t="n">
        <f aca="false">I465*J465</f>
        <v>6000</v>
      </c>
      <c r="L465" s="1580"/>
      <c r="M465" s="1580"/>
      <c r="N465" s="1580"/>
    </row>
    <row r="466" customFormat="false" ht="15.75" hidden="false" customHeight="false" outlineLevel="0" collapsed="false">
      <c r="A466" s="837" t="str">
        <f aca="false">'Ввод данных'!A1417</f>
        <v>крышка бетонная, диаметр 1,5м.п.</v>
      </c>
      <c r="B466" s="837" t="s">
        <v>48</v>
      </c>
      <c r="C466" s="837" t="n">
        <f aca="false">C451</f>
        <v>1</v>
      </c>
      <c r="D466" s="837" t="n">
        <f aca="false">VLOOKUP('Ввод данных'!A1417,связи1!A84:B88,2,0)</f>
        <v>4000</v>
      </c>
      <c r="E466" s="837" t="n">
        <f aca="false">C466*D466</f>
        <v>4000</v>
      </c>
      <c r="F466" s="1579"/>
      <c r="G466" s="837" t="s">
        <v>2214</v>
      </c>
      <c r="H466" s="837" t="s">
        <v>48</v>
      </c>
      <c r="I466" s="837" t="n">
        <f aca="false">C466+C475</f>
        <v>2</v>
      </c>
      <c r="J466" s="837" t="n">
        <f aca="false">'Прайс лист'!G1689</f>
        <v>1000</v>
      </c>
      <c r="K466" s="837" t="n">
        <f aca="false">I466*J466</f>
        <v>2000</v>
      </c>
      <c r="L466" s="1580"/>
      <c r="M466" s="1580"/>
      <c r="N466" s="1580"/>
    </row>
    <row r="467" customFormat="false" ht="15.75" hidden="false" customHeight="false" outlineLevel="0" collapsed="false">
      <c r="A467" s="837" t="str">
        <f aca="false">'Ввод данных'!A1418</f>
        <v>Нет люка для крышки</v>
      </c>
      <c r="B467" s="837" t="s">
        <v>48</v>
      </c>
      <c r="C467" s="837" t="n">
        <f aca="false">C452</f>
        <v>0</v>
      </c>
      <c r="D467" s="837" t="n">
        <f aca="false">VLOOKUP('Ввод данных'!A1418,связи1!A89:B91,2,0)</f>
        <v>0</v>
      </c>
      <c r="E467" s="837" t="n">
        <f aca="false">C467*D467</f>
        <v>0</v>
      </c>
      <c r="F467" s="1579"/>
      <c r="G467" s="837" t="s">
        <v>2215</v>
      </c>
      <c r="H467" s="837" t="s">
        <v>48</v>
      </c>
      <c r="I467" s="837" t="n">
        <f aca="false">C467+C476</f>
        <v>0</v>
      </c>
      <c r="J467" s="837" t="n">
        <f aca="false">'Прайс лист'!G1690</f>
        <v>1000</v>
      </c>
      <c r="K467" s="837" t="n">
        <f aca="false">I467*J467</f>
        <v>0</v>
      </c>
      <c r="L467" s="1580"/>
      <c r="M467" s="1580"/>
      <c r="N467" s="1580"/>
    </row>
    <row r="468" customFormat="false" ht="15.75" hidden="false" customHeight="false" outlineLevel="0" collapsed="false">
      <c r="A468" s="1439" t="str">
        <f aca="false">'Прайс лист'!B1026</f>
        <v>Горловина для септика бетонная</v>
      </c>
      <c r="B468" s="1439" t="str">
        <f aca="false">'Ввод данных'!B1419</f>
        <v>шт</v>
      </c>
      <c r="C468" s="1439" t="n">
        <f aca="false">'Ввод данных'!C1419</f>
        <v>1</v>
      </c>
      <c r="D468" s="1439" t="n">
        <f aca="false">'Прайс лист'!G1026</f>
        <v>1000</v>
      </c>
      <c r="E468" s="837" t="n">
        <f aca="false">C468*D468</f>
        <v>1000</v>
      </c>
      <c r="F468" s="1579"/>
      <c r="G468" s="3165" t="s">
        <v>4320</v>
      </c>
      <c r="H468" s="3165" t="s">
        <v>48</v>
      </c>
      <c r="I468" s="1551" t="n">
        <f aca="false">C468</f>
        <v>1</v>
      </c>
      <c r="J468" s="1551" t="n">
        <f aca="false">'Прайс лист'!G1693</f>
        <v>800</v>
      </c>
      <c r="K468" s="837" t="n">
        <f aca="false">I468*J468</f>
        <v>800</v>
      </c>
      <c r="L468" s="1580"/>
      <c r="M468" s="1580"/>
      <c r="N468" s="1580"/>
    </row>
    <row r="469" customFormat="false" ht="15.75" hidden="false" customHeight="false" outlineLevel="0" collapsed="false">
      <c r="A469" s="837" t="str">
        <f aca="false">'Прайс лист'!B945</f>
        <v>Труба канализационная D110</v>
      </c>
      <c r="B469" s="837" t="s">
        <v>15</v>
      </c>
      <c r="C469" s="837" t="n">
        <f aca="false">C454</f>
        <v>10</v>
      </c>
      <c r="D469" s="837" t="n">
        <f aca="false">'Прайс лист'!G945</f>
        <v>70</v>
      </c>
      <c r="E469" s="837" t="n">
        <f aca="false">C469*D469</f>
        <v>700</v>
      </c>
      <c r="F469" s="1579"/>
      <c r="G469" s="837" t="s">
        <v>4321</v>
      </c>
      <c r="H469" s="837" t="s">
        <v>15</v>
      </c>
      <c r="I469" s="837" t="n">
        <f aca="false">C469</f>
        <v>10</v>
      </c>
      <c r="J469" s="837" t="n">
        <f aca="false">'Прайс лист'!G1691</f>
        <v>500</v>
      </c>
      <c r="K469" s="837" t="n">
        <f aca="false">I469*J469</f>
        <v>5000</v>
      </c>
      <c r="L469" s="1580"/>
      <c r="M469" s="1580"/>
      <c r="N469" s="1580"/>
    </row>
    <row r="470" customFormat="false" ht="15.75" hidden="false" customHeight="false" outlineLevel="0" collapsed="false">
      <c r="A470" s="837" t="s">
        <v>4322</v>
      </c>
      <c r="B470" s="837" t="s">
        <v>15</v>
      </c>
      <c r="C470" s="837" t="n">
        <f aca="false">C455</f>
        <v>8</v>
      </c>
      <c r="D470" s="837" t="n">
        <f aca="false">'Прайс лист'!G1025</f>
        <v>300</v>
      </c>
      <c r="E470" s="837" t="n">
        <f aca="false">C470*D470</f>
        <v>2400</v>
      </c>
      <c r="F470" s="1579"/>
      <c r="G470" s="837" t="s">
        <v>911</v>
      </c>
      <c r="H470" s="837" t="s">
        <v>48</v>
      </c>
      <c r="I470" s="837" t="n">
        <f aca="false">C453</f>
        <v>1</v>
      </c>
      <c r="J470" s="837" t="n">
        <f aca="false">'Прайс лист'!G1692</f>
        <v>2500</v>
      </c>
      <c r="K470" s="837" t="n">
        <f aca="false">I470*J470</f>
        <v>2500</v>
      </c>
      <c r="L470" s="1580"/>
      <c r="M470" s="1580"/>
      <c r="N470" s="1580"/>
    </row>
    <row r="471" customFormat="false" ht="15.75" hidden="false" customHeight="false" outlineLevel="0" collapsed="false">
      <c r="A471" s="837" t="s">
        <v>4323</v>
      </c>
      <c r="B471" s="837" t="s">
        <v>48</v>
      </c>
      <c r="C471" s="837" t="n">
        <v>3</v>
      </c>
      <c r="D471" s="837" t="n">
        <f aca="false">'Прайс лист'!G1027*C453</f>
        <v>100</v>
      </c>
      <c r="E471" s="837" t="n">
        <f aca="false">C471*D471</f>
        <v>300</v>
      </c>
      <c r="F471" s="1579"/>
      <c r="G471" s="837"/>
      <c r="H471" s="837"/>
      <c r="I471" s="837"/>
      <c r="J471" s="837"/>
      <c r="K471" s="837"/>
      <c r="L471" s="1580"/>
      <c r="M471" s="1580"/>
      <c r="N471" s="1580"/>
    </row>
    <row r="472" customFormat="false" ht="15.75" hidden="false" customHeight="false" outlineLevel="0" collapsed="false">
      <c r="A472" s="837" t="s">
        <v>4324</v>
      </c>
      <c r="B472" s="837" t="s">
        <v>48</v>
      </c>
      <c r="C472" s="837" t="n">
        <v>3</v>
      </c>
      <c r="D472" s="837" t="n">
        <f aca="false">'Прайс лист'!G1027</f>
        <v>100</v>
      </c>
      <c r="E472" s="837" t="n">
        <f aca="false">C472*D472</f>
        <v>300</v>
      </c>
      <c r="F472" s="1579"/>
      <c r="G472" s="837"/>
      <c r="H472" s="837"/>
      <c r="I472" s="837"/>
      <c r="J472" s="837"/>
      <c r="K472" s="837"/>
      <c r="L472" s="1580"/>
      <c r="M472" s="1580"/>
      <c r="N472" s="1580"/>
    </row>
    <row r="473" customFormat="false" ht="15.75" hidden="false" customHeight="false" outlineLevel="0" collapsed="false">
      <c r="A473" s="1439" t="str">
        <f aca="false">'Ввод данных'!A1422</f>
        <v>дно бетонное, диаметр 2м.п.</v>
      </c>
      <c r="B473" s="1439" t="str">
        <f aca="false">'Ввод данных'!B1422</f>
        <v>шт</v>
      </c>
      <c r="C473" s="1439" t="n">
        <f aca="false">C457</f>
        <v>1</v>
      </c>
      <c r="D473" s="1424" t="n">
        <f aca="false">VLOOKUP(A473,связи1!A74:B78,2,0)</f>
        <v>2000</v>
      </c>
      <c r="E473" s="837" t="n">
        <f aca="false">C473*D473</f>
        <v>2000</v>
      </c>
      <c r="F473" s="1579"/>
      <c r="G473" s="837"/>
      <c r="H473" s="837"/>
      <c r="I473" s="837"/>
      <c r="J473" s="837"/>
      <c r="K473" s="837"/>
      <c r="L473" s="1580"/>
      <c r="M473" s="1580"/>
      <c r="N473" s="1580"/>
    </row>
    <row r="474" customFormat="false" ht="15.75" hidden="false" customHeight="false" outlineLevel="0" collapsed="false">
      <c r="A474" s="1439" t="str">
        <f aca="false">'Ввод данных'!A1423</f>
        <v>кольцо бетонное, диаметр 2м.п.</v>
      </c>
      <c r="B474" s="1439" t="str">
        <f aca="false">'Ввод данных'!B1423</f>
        <v>шт</v>
      </c>
      <c r="C474" s="1439" t="n">
        <f aca="false">C458</f>
        <v>3</v>
      </c>
      <c r="D474" s="1424" t="n">
        <f aca="false">VLOOKUP(A474,связи1!A79:B83,2,0)</f>
        <v>3300</v>
      </c>
      <c r="E474" s="837" t="n">
        <f aca="false">C474*D474</f>
        <v>9900</v>
      </c>
      <c r="F474" s="1579"/>
      <c r="G474" s="2589"/>
      <c r="H474" s="2589"/>
      <c r="I474" s="2589"/>
      <c r="J474" s="2589"/>
      <c r="K474" s="837"/>
      <c r="L474" s="1580"/>
      <c r="M474" s="1580"/>
      <c r="N474" s="1580"/>
    </row>
    <row r="475" customFormat="false" ht="15.75" hidden="false" customHeight="false" outlineLevel="0" collapsed="false">
      <c r="A475" s="1439" t="str">
        <f aca="false">'Ввод данных'!A1424</f>
        <v>крышка бетонная, диаметр 2м.п.</v>
      </c>
      <c r="B475" s="1439" t="str">
        <f aca="false">'Ввод данных'!B1424</f>
        <v>шт</v>
      </c>
      <c r="C475" s="1439" t="n">
        <f aca="false">C459</f>
        <v>1</v>
      </c>
      <c r="D475" s="1424" t="n">
        <f aca="false">VLOOKUP(A475,связи1!A84:B88,2,0)</f>
        <v>4000</v>
      </c>
      <c r="E475" s="837" t="n">
        <f aca="false">C475*D475</f>
        <v>4000</v>
      </c>
      <c r="F475" s="1579"/>
      <c r="G475" s="2589"/>
      <c r="H475" s="2589"/>
      <c r="I475" s="2589"/>
      <c r="J475" s="2589"/>
      <c r="K475" s="837"/>
      <c r="L475" s="1580"/>
      <c r="M475" s="1580"/>
      <c r="N475" s="1580"/>
    </row>
    <row r="476" customFormat="false" ht="15.75" hidden="false" customHeight="false" outlineLevel="0" collapsed="false">
      <c r="A476" s="1439" t="str">
        <f aca="false">'Ввод данных'!A1425</f>
        <v>Нет люка для крышки</v>
      </c>
      <c r="B476" s="1439" t="str">
        <f aca="false">'Ввод данных'!B1425</f>
        <v>шт</v>
      </c>
      <c r="C476" s="1439" t="n">
        <f aca="false">C460</f>
        <v>0</v>
      </c>
      <c r="D476" s="1424" t="n">
        <f aca="false">VLOOKUP(A476,связи1!A89:B91,2,0)</f>
        <v>0</v>
      </c>
      <c r="E476" s="837" t="n">
        <f aca="false">C476*D476</f>
        <v>0</v>
      </c>
      <c r="F476" s="1579"/>
      <c r="G476" s="2589"/>
      <c r="H476" s="2589"/>
      <c r="I476" s="2589"/>
      <c r="J476" s="2589"/>
      <c r="K476" s="837"/>
      <c r="L476" s="1580"/>
      <c r="M476" s="1580"/>
      <c r="N476" s="1580"/>
    </row>
    <row r="477" customFormat="false" ht="15.75" hidden="false" customHeight="false" outlineLevel="0" collapsed="false">
      <c r="A477" s="1439" t="str">
        <f aca="false">'Ввод данных'!A1431</f>
        <v>Экскаватор погрузчик</v>
      </c>
      <c r="B477" s="1439" t="str">
        <f aca="false">'Ввод данных'!B1431</f>
        <v>час</v>
      </c>
      <c r="C477" s="1439" t="n">
        <f aca="false">'Ввод данных'!C1431</f>
        <v>5</v>
      </c>
      <c r="D477" s="1424" t="n">
        <f aca="false">VLOOKUP(A477,'Прайс лист'!B192:G206,6,0)</f>
        <v>2200</v>
      </c>
      <c r="E477" s="837" t="n">
        <f aca="false">C477*D477</f>
        <v>11000</v>
      </c>
      <c r="F477" s="1579"/>
      <c r="G477" s="2589"/>
      <c r="H477" s="2589"/>
      <c r="I477" s="2589"/>
      <c r="J477" s="2589"/>
      <c r="K477" s="837"/>
      <c r="L477" s="1580"/>
      <c r="M477" s="1580"/>
      <c r="N477" s="1580"/>
    </row>
    <row r="478" customFormat="false" ht="15.75" hidden="false" customHeight="false" outlineLevel="0" collapsed="false">
      <c r="A478" s="1439" t="str">
        <f aca="false">'Ввод данных'!A1432</f>
        <v>Манипулятор 5т</v>
      </c>
      <c r="B478" s="1439" t="str">
        <f aca="false">'Ввод данных'!B1432</f>
        <v>час</v>
      </c>
      <c r="C478" s="1439" t="n">
        <f aca="false">'Ввод данных'!C1432</f>
        <v>3</v>
      </c>
      <c r="D478" s="1424" t="n">
        <f aca="false">VLOOKUP(A478,'Прайс лист'!B192:G206,6,0)</f>
        <v>2500</v>
      </c>
      <c r="E478" s="837" t="n">
        <f aca="false">C478*D478</f>
        <v>7500</v>
      </c>
      <c r="F478" s="1579"/>
      <c r="G478" s="2589"/>
      <c r="H478" s="2589"/>
      <c r="I478" s="2589"/>
      <c r="J478" s="2589"/>
      <c r="K478" s="837"/>
      <c r="L478" s="1580"/>
      <c r="M478" s="1580"/>
      <c r="N478" s="1580"/>
    </row>
    <row r="479" customFormat="false" ht="15.75" hidden="false" customHeight="false" outlineLevel="0" collapsed="false">
      <c r="A479" s="1439" t="str">
        <f aca="false">'Ввод данных'!A1434</f>
        <v>расходные материалы для септика</v>
      </c>
      <c r="B479" s="1439" t="str">
        <f aca="false">'Ввод данных'!B1434</f>
        <v>рублей</v>
      </c>
      <c r="C479" s="1439" t="n">
        <f aca="false">1</f>
        <v>1</v>
      </c>
      <c r="D479" s="1439" t="n">
        <f aca="false">'Ввод данных'!C1434</f>
        <v>5000</v>
      </c>
      <c r="E479" s="837" t="n">
        <f aca="false">C479*D479</f>
        <v>5000</v>
      </c>
      <c r="F479" s="1579"/>
      <c r="G479" s="2589"/>
      <c r="H479" s="2589"/>
      <c r="I479" s="2589"/>
      <c r="J479" s="2589"/>
      <c r="K479" s="837"/>
      <c r="L479" s="1580"/>
      <c r="M479" s="1580"/>
      <c r="N479" s="1580"/>
    </row>
    <row r="480" customFormat="false" ht="15.75" hidden="false" customHeight="false" outlineLevel="0" collapsed="false">
      <c r="A480" s="1579"/>
      <c r="B480" s="1579"/>
      <c r="C480" s="1579"/>
      <c r="D480" s="1579"/>
      <c r="E480" s="837" t="n">
        <f aca="false">SUM(E464:E472)</f>
        <v>19100</v>
      </c>
      <c r="F480" s="1579"/>
      <c r="G480" s="1579"/>
      <c r="H480" s="1579"/>
      <c r="I480" s="1579"/>
      <c r="J480" s="1579"/>
      <c r="K480" s="837" t="n">
        <f aca="false">SUM(K464:K473)</f>
        <v>18300</v>
      </c>
      <c r="L480" s="1580"/>
      <c r="M480" s="1580"/>
      <c r="N480" s="1580"/>
    </row>
    <row r="481" customFormat="false" ht="15.75" hidden="false" customHeight="false" outlineLevel="0" collapsed="false">
      <c r="A481" s="837" t="s">
        <v>4047</v>
      </c>
      <c r="B481" s="837" t="n">
        <f aca="false">E480</f>
        <v>19100</v>
      </c>
      <c r="C481" s="1579"/>
      <c r="D481" s="1579"/>
      <c r="E481" s="1579"/>
      <c r="F481" s="1579"/>
      <c r="G481" s="1579"/>
      <c r="H481" s="1579"/>
      <c r="I481" s="1579"/>
      <c r="J481" s="1579"/>
      <c r="K481" s="1579"/>
      <c r="L481" s="1580"/>
      <c r="M481" s="1580"/>
      <c r="N481" s="1580"/>
    </row>
    <row r="482" customFormat="false" ht="15.75" hidden="false" customHeight="false" outlineLevel="0" collapsed="false">
      <c r="A482" s="837" t="s">
        <v>4048</v>
      </c>
      <c r="B482" s="837" t="n">
        <f aca="false">K480</f>
        <v>18300</v>
      </c>
      <c r="C482" s="1579"/>
      <c r="D482" s="1579"/>
      <c r="E482" s="1579"/>
      <c r="F482" s="1579"/>
      <c r="G482" s="1579"/>
      <c r="H482" s="1579"/>
      <c r="I482" s="1579"/>
      <c r="J482" s="1579"/>
      <c r="K482" s="1579"/>
      <c r="L482" s="1580"/>
      <c r="M482" s="1580"/>
      <c r="N482" s="1580"/>
    </row>
    <row r="483" customFormat="false" ht="15.75" hidden="false" customHeight="false" outlineLevel="0" collapsed="false">
      <c r="A483" s="837" t="s">
        <v>2922</v>
      </c>
      <c r="B483" s="837" t="n">
        <f aca="false">(B481+B482)*B484</f>
        <v>0</v>
      </c>
      <c r="C483" s="1579"/>
      <c r="D483" s="1579"/>
      <c r="E483" s="1579"/>
      <c r="F483" s="1579"/>
      <c r="G483" s="1579"/>
      <c r="H483" s="1579"/>
      <c r="I483" s="1579"/>
      <c r="J483" s="1579"/>
      <c r="K483" s="1579"/>
      <c r="L483" s="1580"/>
      <c r="M483" s="1580"/>
      <c r="N483" s="1580"/>
    </row>
    <row r="484" customFormat="false" ht="15.75" hidden="false" customHeight="false" outlineLevel="0" collapsed="false">
      <c r="A484" s="2645" t="s">
        <v>917</v>
      </c>
      <c r="B484" s="2618"/>
      <c r="C484" s="2619" t="s">
        <v>3811</v>
      </c>
      <c r="D484" s="2619"/>
      <c r="E484" s="2619"/>
      <c r="F484" s="2619"/>
      <c r="G484" s="1579"/>
      <c r="H484" s="1579"/>
      <c r="I484" s="1579"/>
      <c r="J484" s="1579"/>
      <c r="K484" s="1579"/>
      <c r="L484" s="1580"/>
      <c r="M484" s="1580"/>
      <c r="N484" s="1580"/>
    </row>
    <row r="485" customFormat="false" ht="15.75" hidden="false" customHeight="false" outlineLevel="0" collapsed="false">
      <c r="A485" s="1579"/>
      <c r="B485" s="1579"/>
      <c r="C485" s="1579"/>
      <c r="D485" s="1579"/>
      <c r="E485" s="1579"/>
      <c r="F485" s="1579"/>
      <c r="G485" s="1579"/>
      <c r="H485" s="1579"/>
      <c r="I485" s="1579"/>
      <c r="J485" s="1579"/>
      <c r="K485" s="1579"/>
      <c r="L485" s="1580"/>
      <c r="M485" s="1580"/>
      <c r="N485" s="1580"/>
    </row>
    <row r="486" customFormat="false" ht="15.75" hidden="false" customHeight="false" outlineLevel="0" collapsed="false">
      <c r="A486" s="2638" t="s">
        <v>918</v>
      </c>
      <c r="B486" s="2638"/>
      <c r="C486" s="2638"/>
      <c r="D486" s="2638"/>
      <c r="E486" s="2638"/>
      <c r="F486" s="2638"/>
      <c r="G486" s="2638"/>
      <c r="H486" s="2638"/>
      <c r="I486" s="2638"/>
      <c r="J486" s="2638"/>
      <c r="K486" s="2638"/>
      <c r="L486" s="1580"/>
      <c r="M486" s="1580"/>
      <c r="N486" s="1580"/>
    </row>
    <row r="487" customFormat="false" ht="15.75" hidden="false" customHeight="false" outlineLevel="0" collapsed="false">
      <c r="A487" s="2638"/>
      <c r="B487" s="2638"/>
      <c r="C487" s="2638"/>
      <c r="D487" s="2638"/>
      <c r="E487" s="2638"/>
      <c r="F487" s="2638"/>
      <c r="G487" s="2638"/>
      <c r="H487" s="2638"/>
      <c r="I487" s="2638"/>
      <c r="J487" s="2638"/>
      <c r="K487" s="2638"/>
      <c r="L487" s="1580"/>
      <c r="M487" s="1580"/>
      <c r="N487" s="1580"/>
    </row>
    <row r="488" customFormat="false" ht="23.25" hidden="false" customHeight="false" outlineLevel="0" collapsed="false">
      <c r="A488" s="2638"/>
      <c r="B488" s="3166"/>
      <c r="C488" s="3166"/>
      <c r="D488" s="3167"/>
      <c r="E488" s="3167" t="n">
        <f aca="false">'Ввод данных'!D1440</f>
        <v>1</v>
      </c>
      <c r="F488" s="3167"/>
      <c r="G488" s="3167" t="n">
        <f aca="false">'Ввод данных'!D1441</f>
        <v>1</v>
      </c>
      <c r="H488" s="3167"/>
      <c r="I488" s="3167"/>
      <c r="J488" s="3167"/>
      <c r="K488" s="3167"/>
      <c r="L488" s="1580"/>
      <c r="M488" s="1580"/>
      <c r="N488" s="1580"/>
    </row>
    <row r="489" customFormat="false" ht="23.25" hidden="false" customHeight="false" outlineLevel="0" collapsed="false">
      <c r="A489" s="2638"/>
      <c r="B489" s="3166"/>
      <c r="C489" s="3166"/>
      <c r="D489" s="3167"/>
      <c r="E489" s="3167"/>
      <c r="F489" s="3167"/>
      <c r="G489" s="3167"/>
      <c r="H489" s="3167"/>
      <c r="I489" s="3167"/>
      <c r="J489" s="3167"/>
      <c r="K489" s="3167"/>
      <c r="L489" s="1580"/>
      <c r="M489" s="1580"/>
      <c r="N489" s="1580"/>
    </row>
    <row r="490" customFormat="false" ht="23.25" hidden="false" customHeight="false" outlineLevel="0" collapsed="false">
      <c r="A490" s="837" t="s">
        <v>919</v>
      </c>
      <c r="B490" s="2639" t="s">
        <v>48</v>
      </c>
      <c r="C490" s="3168" t="n">
        <f aca="false">VLOOKUP('Ввод данных'!C1444,связи1!A2:B3,2,0)</f>
        <v>1</v>
      </c>
      <c r="D490" s="2625"/>
      <c r="E490" s="2625"/>
      <c r="F490" s="2625"/>
      <c r="G490" s="2625"/>
      <c r="H490" s="2625"/>
      <c r="I490" s="2625"/>
      <c r="J490" s="2625"/>
      <c r="K490" s="2625"/>
      <c r="L490" s="1579"/>
      <c r="M490" s="1579"/>
      <c r="N490" s="1579"/>
    </row>
    <row r="491" customFormat="false" ht="23.25" hidden="false" customHeight="false" outlineLevel="0" collapsed="false">
      <c r="A491" s="837" t="s">
        <v>920</v>
      </c>
      <c r="B491" s="2639" t="s">
        <v>48</v>
      </c>
      <c r="C491" s="3168" t="n">
        <f aca="false">VLOOKUP('Ввод данных'!C1445,связи1!A2:B3,2,0)</f>
        <v>1</v>
      </c>
      <c r="D491" s="2625"/>
      <c r="E491" s="2625"/>
      <c r="F491" s="2625"/>
      <c r="G491" s="2625"/>
      <c r="H491" s="2625"/>
      <c r="I491" s="2625"/>
      <c r="J491" s="2625"/>
      <c r="K491" s="2625"/>
      <c r="L491" s="1579"/>
      <c r="M491" s="1579"/>
      <c r="N491" s="1579"/>
    </row>
    <row r="492" customFormat="false" ht="23.25" hidden="false" customHeight="false" outlineLevel="0" collapsed="false">
      <c r="A492" s="837" t="s">
        <v>921</v>
      </c>
      <c r="B492" s="2639" t="s">
        <v>48</v>
      </c>
      <c r="C492" s="3168" t="n">
        <f aca="false">VLOOKUP('Ввод данных'!C1446,связи1!A2:B3,2,0)</f>
        <v>1</v>
      </c>
      <c r="D492" s="2625"/>
      <c r="E492" s="2625"/>
      <c r="F492" s="2625"/>
      <c r="G492" s="2625"/>
      <c r="H492" s="2625"/>
      <c r="I492" s="2625"/>
      <c r="J492" s="2625"/>
      <c r="K492" s="2625"/>
      <c r="L492" s="1579"/>
      <c r="M492" s="1579"/>
      <c r="N492" s="1579"/>
    </row>
    <row r="493" customFormat="false" ht="23.25" hidden="false" customHeight="false" outlineLevel="0" collapsed="false">
      <c r="A493" s="837" t="s">
        <v>922</v>
      </c>
      <c r="B493" s="2639" t="s">
        <v>48</v>
      </c>
      <c r="C493" s="3168" t="n">
        <f aca="false">VLOOKUP('Ввод данных'!C1447,связи1!A2:B3,2,0)</f>
        <v>1</v>
      </c>
      <c r="D493" s="2625"/>
      <c r="E493" s="2625"/>
      <c r="F493" s="2625"/>
      <c r="G493" s="2625"/>
      <c r="H493" s="2625"/>
      <c r="I493" s="2625"/>
      <c r="J493" s="2625"/>
      <c r="K493" s="2625"/>
      <c r="L493" s="1579"/>
      <c r="M493" s="1579"/>
      <c r="N493" s="1579"/>
    </row>
    <row r="494" customFormat="false" ht="23.25" hidden="false" customHeight="false" outlineLevel="0" collapsed="false">
      <c r="A494" s="837" t="s">
        <v>923</v>
      </c>
      <c r="B494" s="2639" t="s">
        <v>48</v>
      </c>
      <c r="C494" s="3168" t="n">
        <f aca="false">VLOOKUP('Ввод данных'!C1448,связи1!A2:B3,2,0)</f>
        <v>1</v>
      </c>
      <c r="D494" s="2625"/>
      <c r="E494" s="2625"/>
      <c r="F494" s="2625"/>
      <c r="G494" s="2625"/>
      <c r="H494" s="2625"/>
      <c r="I494" s="2625"/>
      <c r="J494" s="2625"/>
      <c r="K494" s="2625"/>
      <c r="L494" s="1579"/>
      <c r="M494" s="1579"/>
      <c r="N494" s="1579"/>
    </row>
    <row r="495" customFormat="false" ht="15.75" hidden="false" customHeight="false" outlineLevel="0" collapsed="false">
      <c r="A495" s="2641" t="s">
        <v>161</v>
      </c>
      <c r="B495" s="2641" t="s">
        <v>1738</v>
      </c>
      <c r="C495" s="2641" t="s">
        <v>118</v>
      </c>
      <c r="D495" s="2641" t="s">
        <v>2190</v>
      </c>
      <c r="E495" s="2641" t="s">
        <v>2916</v>
      </c>
      <c r="F495" s="1579"/>
      <c r="G495" s="2641" t="s">
        <v>161</v>
      </c>
      <c r="H495" s="2641" t="s">
        <v>1738</v>
      </c>
      <c r="I495" s="2641" t="s">
        <v>118</v>
      </c>
      <c r="J495" s="2641" t="s">
        <v>2190</v>
      </c>
      <c r="K495" s="2641" t="s">
        <v>2916</v>
      </c>
      <c r="L495" s="1580"/>
      <c r="M495" s="1580"/>
      <c r="N495" s="1580"/>
    </row>
    <row r="496" customFormat="false" ht="15.75" hidden="false" customHeight="false" outlineLevel="0" collapsed="false">
      <c r="A496" s="837" t="s">
        <v>1811</v>
      </c>
      <c r="B496" s="837" t="s">
        <v>48</v>
      </c>
      <c r="C496" s="837" t="n">
        <f aca="false">C492</f>
        <v>1</v>
      </c>
      <c r="D496" s="837" t="n">
        <f aca="false">'Прайс лист'!G1115</f>
        <v>30000</v>
      </c>
      <c r="E496" s="837" t="n">
        <f aca="false">C496*D496</f>
        <v>30000</v>
      </c>
      <c r="F496" s="1579"/>
      <c r="G496" s="738" t="s">
        <v>2219</v>
      </c>
      <c r="H496" s="738"/>
      <c r="I496" s="837" t="n">
        <f aca="false">C496</f>
        <v>1</v>
      </c>
      <c r="J496" s="837" t="n">
        <f aca="false">'Прайс лист'!G1695</f>
        <v>3500</v>
      </c>
      <c r="K496" s="837" t="n">
        <f aca="false">I496*J496</f>
        <v>3500</v>
      </c>
      <c r="L496" s="1580"/>
      <c r="M496" s="1580"/>
      <c r="N496" s="1580"/>
    </row>
    <row r="497" customFormat="false" ht="15.75" hidden="false" customHeight="false" outlineLevel="0" collapsed="false">
      <c r="A497" s="837" t="s">
        <v>922</v>
      </c>
      <c r="B497" s="837" t="s">
        <v>48</v>
      </c>
      <c r="C497" s="837" t="n">
        <f aca="false">C493</f>
        <v>1</v>
      </c>
      <c r="D497" s="837" t="n">
        <f aca="false">'Прайс лист'!G1116</f>
        <v>10000</v>
      </c>
      <c r="E497" s="837" t="n">
        <f aca="false">C497*D497</f>
        <v>10000</v>
      </c>
      <c r="F497" s="1579"/>
      <c r="G497" s="738" t="s">
        <v>2220</v>
      </c>
      <c r="H497" s="738"/>
      <c r="I497" s="837" t="n">
        <f aca="false">C497</f>
        <v>1</v>
      </c>
      <c r="J497" s="837" t="n">
        <f aca="false">'Прайс лист'!G1696</f>
        <v>2500</v>
      </c>
      <c r="K497" s="837" t="n">
        <f aca="false">I497*J497</f>
        <v>2500</v>
      </c>
      <c r="L497" s="1580"/>
      <c r="M497" s="1580"/>
      <c r="N497" s="1580"/>
    </row>
    <row r="498" customFormat="false" ht="15.75" hidden="false" customHeight="false" outlineLevel="0" collapsed="false">
      <c r="A498" s="837" t="s">
        <v>923</v>
      </c>
      <c r="B498" s="837" t="s">
        <v>48</v>
      </c>
      <c r="C498" s="837" t="n">
        <f aca="false">C494</f>
        <v>1</v>
      </c>
      <c r="D498" s="837" t="n">
        <f aca="false">'Прайс лист'!G1117</f>
        <v>5000</v>
      </c>
      <c r="E498" s="837" t="n">
        <f aca="false">C498*D498</f>
        <v>5000</v>
      </c>
      <c r="F498" s="1579"/>
      <c r="G498" s="738" t="s">
        <v>2221</v>
      </c>
      <c r="H498" s="738"/>
      <c r="I498" s="837" t="n">
        <f aca="false">C498</f>
        <v>1</v>
      </c>
      <c r="J498" s="837" t="n">
        <f aca="false">'Прайс лист'!G1697</f>
        <v>2000</v>
      </c>
      <c r="K498" s="837" t="n">
        <f aca="false">I498*J498</f>
        <v>2000</v>
      </c>
      <c r="L498" s="1580"/>
      <c r="M498" s="1580"/>
      <c r="N498" s="1580"/>
    </row>
    <row r="499" customFormat="false" ht="15.75" hidden="false" customHeight="false" outlineLevel="0" collapsed="false">
      <c r="A499" s="837" t="s">
        <v>919</v>
      </c>
      <c r="B499" s="837" t="s">
        <v>48</v>
      </c>
      <c r="C499" s="837" t="n">
        <f aca="false">C490</f>
        <v>1</v>
      </c>
      <c r="D499" s="837" t="n">
        <f aca="false">'Прайс лист'!G1118</f>
        <v>3500</v>
      </c>
      <c r="E499" s="837" t="n">
        <f aca="false">C499*D499</f>
        <v>3500</v>
      </c>
      <c r="F499" s="1579"/>
      <c r="G499" s="738" t="s">
        <v>2222</v>
      </c>
      <c r="H499" s="738"/>
      <c r="I499" s="837" t="n">
        <f aca="false">C499</f>
        <v>1</v>
      </c>
      <c r="J499" s="837" t="n">
        <f aca="false">'Прайс лист'!G1698</f>
        <v>1000</v>
      </c>
      <c r="K499" s="837" t="n">
        <f aca="false">I499*J499</f>
        <v>1000</v>
      </c>
      <c r="L499" s="1580"/>
      <c r="M499" s="1580"/>
      <c r="N499" s="1580"/>
    </row>
    <row r="500" customFormat="false" ht="15.75" hidden="false" customHeight="false" outlineLevel="0" collapsed="false">
      <c r="A500" s="837" t="s">
        <v>920</v>
      </c>
      <c r="B500" s="837" t="s">
        <v>48</v>
      </c>
      <c r="C500" s="837" t="n">
        <f aca="false">C491</f>
        <v>1</v>
      </c>
      <c r="D500" s="837" t="n">
        <f aca="false">'Прайс лист'!G1119</f>
        <v>2500</v>
      </c>
      <c r="E500" s="837" t="n">
        <f aca="false">C500*D500</f>
        <v>2500</v>
      </c>
      <c r="F500" s="1579"/>
      <c r="G500" s="738" t="s">
        <v>2223</v>
      </c>
      <c r="H500" s="738"/>
      <c r="I500" s="837" t="n">
        <f aca="false">C500</f>
        <v>1</v>
      </c>
      <c r="J500" s="837" t="n">
        <f aca="false">'Прайс лист'!G1699</f>
        <v>1000</v>
      </c>
      <c r="K500" s="837" t="n">
        <f aca="false">I500*J500</f>
        <v>1000</v>
      </c>
      <c r="L500" s="1580"/>
      <c r="M500" s="1580"/>
      <c r="N500" s="1580"/>
    </row>
    <row r="501" customFormat="false" ht="15.75" hidden="false" customHeight="false" outlineLevel="0" collapsed="false">
      <c r="A501" s="837" t="s">
        <v>1812</v>
      </c>
      <c r="B501" s="837" t="s">
        <v>48</v>
      </c>
      <c r="C501" s="837" t="n">
        <v>2</v>
      </c>
      <c r="D501" s="837" t="n">
        <f aca="false">'Прайс лист'!G1120</f>
        <v>700</v>
      </c>
      <c r="E501" s="837" t="n">
        <f aca="false">C501*D501</f>
        <v>1400</v>
      </c>
      <c r="F501" s="1579"/>
      <c r="G501" s="738" t="s">
        <v>2224</v>
      </c>
      <c r="H501" s="738"/>
      <c r="I501" s="837" t="n">
        <f aca="false">C502</f>
        <v>1</v>
      </c>
      <c r="J501" s="837" t="n">
        <f aca="false">'Прайс лист'!G1700</f>
        <v>900</v>
      </c>
      <c r="K501" s="837" t="n">
        <f aca="false">I501*J501</f>
        <v>900</v>
      </c>
      <c r="L501" s="1580"/>
      <c r="M501" s="1580"/>
      <c r="N501" s="1580"/>
    </row>
    <row r="502" customFormat="false" ht="15.75" hidden="false" customHeight="false" outlineLevel="0" collapsed="false">
      <c r="A502" s="837" t="s">
        <v>1813</v>
      </c>
      <c r="B502" s="837" t="s">
        <v>48</v>
      </c>
      <c r="C502" s="837" t="n">
        <v>1</v>
      </c>
      <c r="D502" s="837" t="n">
        <f aca="false">'Прайс лист'!G1121</f>
        <v>1500</v>
      </c>
      <c r="E502" s="837" t="n">
        <f aca="false">C502*D502</f>
        <v>1500</v>
      </c>
      <c r="F502" s="1579"/>
      <c r="G502" s="738" t="s">
        <v>2225</v>
      </c>
      <c r="H502" s="738"/>
      <c r="I502" s="837" t="n">
        <f aca="false">C501</f>
        <v>2</v>
      </c>
      <c r="J502" s="837" t="n">
        <f aca="false">'Прайс лист'!G1701</f>
        <v>700</v>
      </c>
      <c r="K502" s="837" t="n">
        <f aca="false">I502*J502</f>
        <v>1400</v>
      </c>
      <c r="L502" s="1580"/>
      <c r="M502" s="1580"/>
      <c r="N502" s="1580"/>
    </row>
    <row r="503" customFormat="false" ht="15.75" hidden="false" customHeight="false" outlineLevel="0" collapsed="false">
      <c r="A503" s="837" t="s">
        <v>1814</v>
      </c>
      <c r="B503" s="837" t="s">
        <v>15</v>
      </c>
      <c r="C503" s="837" t="n">
        <f aca="false">20*E488</f>
        <v>20</v>
      </c>
      <c r="D503" s="837" t="n">
        <f aca="false">'Прайс лист'!G1122</f>
        <v>100</v>
      </c>
      <c r="E503" s="837" t="n">
        <f aca="false">C503*D503</f>
        <v>2000</v>
      </c>
      <c r="F503" s="1579"/>
      <c r="G503" s="738" t="s">
        <v>2226</v>
      </c>
      <c r="H503" s="738"/>
      <c r="I503" s="837" t="n">
        <f aca="false">C503*G488</f>
        <v>20</v>
      </c>
      <c r="J503" s="837" t="n">
        <f aca="false">'Прайс лист'!G1702</f>
        <v>500</v>
      </c>
      <c r="K503" s="837" t="n">
        <f aca="false">I503*J503</f>
        <v>10000</v>
      </c>
      <c r="L503" s="1580"/>
      <c r="M503" s="1580"/>
      <c r="N503" s="1580"/>
    </row>
    <row r="504" customFormat="false" ht="15.75" hidden="false" customHeight="false" outlineLevel="0" collapsed="false">
      <c r="A504" s="837" t="s">
        <v>1815</v>
      </c>
      <c r="B504" s="837" t="s">
        <v>48</v>
      </c>
      <c r="C504" s="837" t="n">
        <f aca="false">10*E488</f>
        <v>10</v>
      </c>
      <c r="D504" s="837" t="n">
        <f aca="false">'Прайс лист'!G1123</f>
        <v>12</v>
      </c>
      <c r="E504" s="837" t="n">
        <f aca="false">C504*D504</f>
        <v>120</v>
      </c>
      <c r="F504" s="1579"/>
      <c r="G504" s="739"/>
      <c r="H504" s="739"/>
      <c r="I504" s="837"/>
      <c r="J504" s="837"/>
      <c r="K504" s="837" t="n">
        <f aca="false">I504*J504</f>
        <v>0</v>
      </c>
      <c r="L504" s="1580"/>
      <c r="M504" s="1580"/>
      <c r="N504" s="1580"/>
    </row>
    <row r="505" customFormat="false" ht="15.75" hidden="false" customHeight="false" outlineLevel="0" collapsed="false">
      <c r="A505" s="837" t="s">
        <v>1816</v>
      </c>
      <c r="B505" s="837" t="s">
        <v>48</v>
      </c>
      <c r="C505" s="837" t="n">
        <f aca="false">10*E488</f>
        <v>10</v>
      </c>
      <c r="D505" s="837" t="n">
        <f aca="false">'Прайс лист'!G1124</f>
        <v>16</v>
      </c>
      <c r="E505" s="837" t="n">
        <f aca="false">C505*D505</f>
        <v>160</v>
      </c>
      <c r="F505" s="1579"/>
      <c r="G505" s="739"/>
      <c r="H505" s="739"/>
      <c r="I505" s="837"/>
      <c r="J505" s="837"/>
      <c r="K505" s="837" t="n">
        <f aca="false">I505*J505</f>
        <v>0</v>
      </c>
      <c r="L505" s="1580"/>
      <c r="M505" s="1580"/>
      <c r="N505" s="1580"/>
    </row>
    <row r="506" customFormat="false" ht="15.75" hidden="false" customHeight="false" outlineLevel="0" collapsed="false">
      <c r="A506" s="837" t="s">
        <v>1817</v>
      </c>
      <c r="B506" s="837" t="s">
        <v>48</v>
      </c>
      <c r="C506" s="837" t="n">
        <f aca="false">10*E488</f>
        <v>10</v>
      </c>
      <c r="D506" s="837" t="n">
        <f aca="false">'Прайс лист'!G1125</f>
        <v>12</v>
      </c>
      <c r="E506" s="837" t="n">
        <f aca="false">C506*D506</f>
        <v>120</v>
      </c>
      <c r="F506" s="1579"/>
      <c r="G506" s="739"/>
      <c r="H506" s="739"/>
      <c r="I506" s="837"/>
      <c r="J506" s="837"/>
      <c r="K506" s="837" t="n">
        <f aca="false">I506*J506</f>
        <v>0</v>
      </c>
      <c r="L506" s="1580"/>
      <c r="M506" s="1580"/>
      <c r="N506" s="1580"/>
    </row>
    <row r="507" customFormat="false" ht="15.75" hidden="false" customHeight="false" outlineLevel="0" collapsed="false">
      <c r="A507" s="837" t="s">
        <v>1818</v>
      </c>
      <c r="B507" s="837" t="s">
        <v>48</v>
      </c>
      <c r="C507" s="837" t="n">
        <f aca="false">5*E488</f>
        <v>5</v>
      </c>
      <c r="D507" s="837" t="n">
        <f aca="false">'Прайс лист'!G1126</f>
        <v>16</v>
      </c>
      <c r="E507" s="837" t="n">
        <f aca="false">C507*D507</f>
        <v>80</v>
      </c>
      <c r="F507" s="1579"/>
      <c r="G507" s="739"/>
      <c r="H507" s="739"/>
      <c r="I507" s="837"/>
      <c r="J507" s="837"/>
      <c r="K507" s="837" t="n">
        <f aca="false">I507*J507</f>
        <v>0</v>
      </c>
      <c r="L507" s="1580"/>
      <c r="M507" s="1580"/>
      <c r="N507" s="1580"/>
    </row>
    <row r="508" customFormat="false" ht="15.75" hidden="false" customHeight="false" outlineLevel="0" collapsed="false">
      <c r="A508" s="837" t="s">
        <v>1819</v>
      </c>
      <c r="B508" s="837" t="s">
        <v>48</v>
      </c>
      <c r="C508" s="837" t="n">
        <v>1</v>
      </c>
      <c r="D508" s="837" t="n">
        <f aca="false">'Прайс лист'!G1127</f>
        <v>800</v>
      </c>
      <c r="E508" s="837" t="n">
        <f aca="false">C508*D508</f>
        <v>800</v>
      </c>
      <c r="F508" s="1579"/>
      <c r="G508" s="739"/>
      <c r="H508" s="739"/>
      <c r="I508" s="837"/>
      <c r="J508" s="837"/>
      <c r="K508" s="837" t="n">
        <f aca="false">I508*J508</f>
        <v>0</v>
      </c>
      <c r="L508" s="1580"/>
      <c r="M508" s="1580"/>
      <c r="N508" s="1580"/>
    </row>
    <row r="509" customFormat="false" ht="15.75" hidden="false" customHeight="false" outlineLevel="0" collapsed="false">
      <c r="A509" s="837" t="s">
        <v>1820</v>
      </c>
      <c r="B509" s="837" t="s">
        <v>1821</v>
      </c>
      <c r="C509" s="837" t="n">
        <v>1</v>
      </c>
      <c r="D509" s="837" t="n">
        <f aca="false">'Прайс лист'!G1128</f>
        <v>200</v>
      </c>
      <c r="E509" s="837" t="n">
        <f aca="false">C509*D509</f>
        <v>200</v>
      </c>
      <c r="F509" s="1579"/>
      <c r="G509" s="739"/>
      <c r="H509" s="739"/>
      <c r="I509" s="837"/>
      <c r="J509" s="837"/>
      <c r="K509" s="837" t="n">
        <f aca="false">I509*J509</f>
        <v>0</v>
      </c>
      <c r="L509" s="1580"/>
      <c r="M509" s="1580"/>
      <c r="N509" s="1580"/>
    </row>
    <row r="510" customFormat="false" ht="15.75" hidden="false" customHeight="false" outlineLevel="0" collapsed="false">
      <c r="A510" s="837" t="str">
        <f aca="false">'Ввод данных'!A1451</f>
        <v>Нет техники</v>
      </c>
      <c r="B510" s="837" t="str">
        <f aca="false">'Ввод данных'!B1451</f>
        <v>час</v>
      </c>
      <c r="C510" s="837" t="n">
        <f aca="false">'Ввод данных'!C1451</f>
        <v>4</v>
      </c>
      <c r="D510" s="837" t="n">
        <f aca="false">VLOOKUP(A510,'Прайс лист'!B192:G206,6,0)</f>
        <v>0</v>
      </c>
      <c r="E510" s="837" t="n">
        <f aca="false">C510*D510</f>
        <v>0</v>
      </c>
      <c r="F510" s="1579"/>
      <c r="G510" s="739"/>
      <c r="H510" s="739"/>
      <c r="I510" s="837"/>
      <c r="J510" s="837"/>
      <c r="K510" s="837" t="n">
        <f aca="false">I510*J510</f>
        <v>0</v>
      </c>
      <c r="L510" s="1580"/>
      <c r="M510" s="1580"/>
      <c r="N510" s="1580"/>
    </row>
    <row r="511" customFormat="false" ht="15.75" hidden="false" customHeight="false" outlineLevel="0" collapsed="false">
      <c r="A511" s="837" t="str">
        <f aca="false">'Ввод данных'!A1452</f>
        <v>Нет техники</v>
      </c>
      <c r="B511" s="837" t="str">
        <f aca="false">'Ввод данных'!B1452</f>
        <v>час</v>
      </c>
      <c r="C511" s="837" t="n">
        <f aca="false">'Ввод данных'!C1452</f>
        <v>0</v>
      </c>
      <c r="D511" s="837" t="n">
        <f aca="false">VLOOKUP(A511,'Прайс лист'!B192:G206,6,0)</f>
        <v>0</v>
      </c>
      <c r="E511" s="837" t="n">
        <f aca="false">C511*D511</f>
        <v>0</v>
      </c>
      <c r="F511" s="1579"/>
      <c r="G511" s="739"/>
      <c r="H511" s="739"/>
      <c r="I511" s="837"/>
      <c r="J511" s="837"/>
      <c r="K511" s="837" t="n">
        <f aca="false">I511*J511</f>
        <v>0</v>
      </c>
      <c r="L511" s="1580"/>
      <c r="M511" s="1580"/>
      <c r="N511" s="1580"/>
    </row>
    <row r="512" customFormat="false" ht="15.75" hidden="false" customHeight="false" outlineLevel="0" collapsed="false">
      <c r="A512" s="837" t="str">
        <f aca="false">'Ввод данных'!A1454</f>
        <v>расходные материалы котельная</v>
      </c>
      <c r="B512" s="837" t="str">
        <f aca="false">'Ввод данных'!B1454</f>
        <v>рублей</v>
      </c>
      <c r="C512" s="837" t="n">
        <f aca="false">1</f>
        <v>1</v>
      </c>
      <c r="D512" s="837" t="n">
        <f aca="false">'Ввод данных'!C1454</f>
        <v>5000</v>
      </c>
      <c r="E512" s="837" t="n">
        <f aca="false">C512*D512</f>
        <v>5000</v>
      </c>
      <c r="F512" s="1579"/>
      <c r="G512" s="919"/>
      <c r="H512" s="919"/>
      <c r="I512" s="2589"/>
      <c r="J512" s="2589"/>
      <c r="K512" s="837"/>
      <c r="L512" s="1580"/>
      <c r="M512" s="1580"/>
      <c r="N512" s="1580"/>
    </row>
    <row r="513" customFormat="false" ht="15.75" hidden="false" customHeight="false" outlineLevel="0" collapsed="false">
      <c r="A513" s="2589"/>
      <c r="B513" s="2589"/>
      <c r="C513" s="2589"/>
      <c r="D513" s="2589"/>
      <c r="E513" s="1549" t="n">
        <f aca="false">SUM(E496:E511)</f>
        <v>57380</v>
      </c>
      <c r="F513" s="1579"/>
      <c r="G513" s="2589"/>
      <c r="H513" s="2589"/>
      <c r="I513" s="2589"/>
      <c r="J513" s="2589"/>
      <c r="K513" s="837" t="n">
        <f aca="false">SUM(K496:K511)</f>
        <v>22300</v>
      </c>
      <c r="L513" s="1580"/>
      <c r="M513" s="1580"/>
      <c r="N513" s="1580"/>
    </row>
    <row r="514" customFormat="false" ht="15.75" hidden="false" customHeight="false" outlineLevel="0" collapsed="false">
      <c r="A514" s="837" t="s">
        <v>4047</v>
      </c>
      <c r="B514" s="837" t="n">
        <f aca="false">E513</f>
        <v>57380</v>
      </c>
      <c r="C514" s="2589"/>
      <c r="D514" s="2589"/>
      <c r="E514" s="2589"/>
      <c r="F514" s="1579"/>
      <c r="G514" s="2589"/>
      <c r="H514" s="2589"/>
      <c r="I514" s="2589"/>
      <c r="J514" s="2589"/>
      <c r="K514" s="2589"/>
      <c r="L514" s="1580"/>
      <c r="M514" s="1580"/>
      <c r="N514" s="1580"/>
    </row>
    <row r="515" customFormat="false" ht="15.75" hidden="false" customHeight="false" outlineLevel="0" collapsed="false">
      <c r="A515" s="837" t="s">
        <v>4048</v>
      </c>
      <c r="B515" s="837" t="n">
        <f aca="false">K513</f>
        <v>22300</v>
      </c>
      <c r="C515" s="2589"/>
      <c r="D515" s="2589"/>
      <c r="E515" s="2589"/>
      <c r="F515" s="1579"/>
      <c r="G515" s="2589"/>
      <c r="H515" s="2589"/>
      <c r="I515" s="2589"/>
      <c r="J515" s="2589"/>
      <c r="K515" s="2589"/>
      <c r="L515" s="1580"/>
      <c r="M515" s="1580"/>
      <c r="N515" s="1580"/>
    </row>
    <row r="516" customFormat="false" ht="15.75" hidden="false" customHeight="false" outlineLevel="0" collapsed="false">
      <c r="A516" s="837" t="s">
        <v>2922</v>
      </c>
      <c r="B516" s="837" t="n">
        <f aca="false">(B514+B515)</f>
        <v>79680</v>
      </c>
      <c r="C516" s="2589"/>
      <c r="D516" s="2589"/>
      <c r="E516" s="2589"/>
      <c r="F516" s="1579"/>
      <c r="G516" s="2589"/>
      <c r="H516" s="2589"/>
      <c r="I516" s="2589"/>
      <c r="J516" s="2589"/>
      <c r="K516" s="2589"/>
      <c r="L516" s="1580"/>
      <c r="M516" s="1580"/>
      <c r="N516" s="1580"/>
    </row>
    <row r="517" customFormat="false" ht="15.75" hidden="false" customHeight="false" outlineLevel="0" collapsed="false">
      <c r="A517" s="2645" t="s">
        <v>925</v>
      </c>
      <c r="B517" s="2618"/>
      <c r="C517" s="2619" t="s">
        <v>3811</v>
      </c>
      <c r="D517" s="2619"/>
      <c r="E517" s="2619"/>
      <c r="F517" s="2619"/>
      <c r="G517" s="1579"/>
      <c r="H517" s="1579"/>
      <c r="I517" s="1579"/>
      <c r="J517" s="1579"/>
      <c r="K517" s="1579"/>
      <c r="L517" s="1580"/>
      <c r="M517" s="1580"/>
      <c r="N517" s="1580"/>
    </row>
    <row r="518" customFormat="false" ht="15.75" hidden="false" customHeight="false" outlineLevel="0" collapsed="false">
      <c r="A518" s="2685"/>
      <c r="B518" s="2685"/>
      <c r="C518" s="2685"/>
      <c r="D518" s="2685"/>
      <c r="E518" s="2685"/>
      <c r="F518" s="2685"/>
      <c r="G518" s="2685"/>
      <c r="H518" s="2685"/>
      <c r="I518" s="2685"/>
      <c r="J518" s="2685"/>
      <c r="K518" s="2685"/>
      <c r="L518" s="2685"/>
      <c r="M518" s="2685"/>
      <c r="N518" s="2685"/>
    </row>
    <row r="519" customFormat="false" ht="15.75" hidden="false" customHeight="false" outlineLevel="0" collapsed="false">
      <c r="A519" s="1580"/>
      <c r="B519" s="1580"/>
      <c r="C519" s="1580"/>
      <c r="D519" s="1580"/>
      <c r="E519" s="1580"/>
      <c r="F519" s="1580"/>
      <c r="G519" s="1580"/>
      <c r="H519" s="1580"/>
      <c r="I519" s="1580"/>
      <c r="J519" s="1580"/>
      <c r="K519" s="1580"/>
      <c r="L519" s="1580"/>
      <c r="M519" s="1580"/>
      <c r="N519" s="1580"/>
    </row>
    <row r="520" customFormat="false" ht="15.75" hidden="false" customHeight="false" outlineLevel="0" collapsed="false">
      <c r="A520" s="1580"/>
      <c r="B520" s="1580"/>
      <c r="C520" s="1580"/>
      <c r="D520" s="1580"/>
      <c r="E520" s="1580"/>
      <c r="F520" s="1580"/>
      <c r="G520" s="1580"/>
      <c r="H520" s="1580"/>
      <c r="I520" s="1580"/>
      <c r="J520" s="1580"/>
      <c r="K520" s="1580"/>
      <c r="L520" s="1580"/>
      <c r="M520" s="1580"/>
      <c r="N520" s="1580"/>
    </row>
    <row r="521" customFormat="false" ht="15.75" hidden="false" customHeight="false" outlineLevel="0" collapsed="false">
      <c r="A521" s="1580"/>
      <c r="B521" s="1580"/>
      <c r="C521" s="1580"/>
      <c r="D521" s="1580"/>
      <c r="E521" s="1580"/>
      <c r="F521" s="1580"/>
      <c r="G521" s="1580"/>
      <c r="H521" s="1580"/>
      <c r="I521" s="1580"/>
      <c r="J521" s="1580"/>
      <c r="K521" s="1580"/>
      <c r="L521" s="1580"/>
      <c r="M521" s="1580"/>
      <c r="N521" s="1580"/>
    </row>
    <row r="522" customFormat="false" ht="15.75" hidden="false" customHeight="false" outlineLevel="0" collapsed="false">
      <c r="A522" s="1580"/>
      <c r="B522" s="1580"/>
      <c r="C522" s="1580"/>
      <c r="D522" s="1580"/>
      <c r="E522" s="1580"/>
      <c r="F522" s="1580"/>
      <c r="G522" s="1580"/>
      <c r="H522" s="1580"/>
      <c r="I522" s="1580"/>
      <c r="J522" s="1580"/>
      <c r="K522" s="1580"/>
      <c r="L522" s="1580"/>
      <c r="M522" s="1580"/>
      <c r="N522" s="1580"/>
    </row>
    <row r="523" customFormat="false" ht="15.75" hidden="false" customHeight="false" outlineLevel="0" collapsed="false">
      <c r="A523" s="1580"/>
      <c r="B523" s="1580"/>
      <c r="C523" s="1580"/>
      <c r="D523" s="1580"/>
      <c r="E523" s="1580"/>
      <c r="F523" s="1580"/>
      <c r="G523" s="1580"/>
      <c r="H523" s="1580"/>
      <c r="I523" s="1580"/>
      <c r="J523" s="1580"/>
      <c r="K523" s="1580"/>
      <c r="L523" s="1580"/>
      <c r="M523" s="1580"/>
      <c r="N523" s="1580"/>
    </row>
    <row r="524" customFormat="false" ht="15.75" hidden="false" customHeight="false" outlineLevel="0" collapsed="false">
      <c r="A524" s="1580"/>
      <c r="B524" s="1580"/>
      <c r="C524" s="1580"/>
      <c r="D524" s="1580"/>
      <c r="E524" s="1580"/>
      <c r="F524" s="1580"/>
      <c r="G524" s="1580"/>
      <c r="H524" s="1580"/>
      <c r="I524" s="1580"/>
      <c r="J524" s="1580"/>
      <c r="K524" s="1580"/>
      <c r="L524" s="1580"/>
      <c r="M524" s="1580"/>
      <c r="N524" s="1580"/>
    </row>
    <row r="525" customFormat="false" ht="15.75" hidden="false" customHeight="false" outlineLevel="0" collapsed="false">
      <c r="A525" s="1580"/>
      <c r="B525" s="1580"/>
      <c r="C525" s="1580"/>
      <c r="D525" s="1580"/>
      <c r="E525" s="1580"/>
      <c r="F525" s="1580"/>
      <c r="G525" s="1580"/>
      <c r="H525" s="1580"/>
      <c r="I525" s="1580"/>
      <c r="J525" s="1580"/>
      <c r="K525" s="1580"/>
      <c r="L525" s="1580"/>
      <c r="M525" s="1580"/>
      <c r="N525" s="1580"/>
    </row>
    <row r="526" customFormat="false" ht="15.75" hidden="false" customHeight="false" outlineLevel="0" collapsed="false">
      <c r="A526" s="1580"/>
      <c r="B526" s="1580"/>
      <c r="C526" s="1580"/>
      <c r="D526" s="1580"/>
      <c r="E526" s="1580"/>
      <c r="F526" s="1580"/>
      <c r="G526" s="1580"/>
      <c r="H526" s="1580"/>
      <c r="I526" s="1580"/>
      <c r="J526" s="1580"/>
      <c r="K526" s="1580"/>
      <c r="L526" s="1580"/>
      <c r="M526" s="1580"/>
      <c r="N526" s="1580"/>
    </row>
    <row r="527" customFormat="false" ht="15.75" hidden="false" customHeight="false" outlineLevel="0" collapsed="false">
      <c r="A527" s="1580"/>
      <c r="B527" s="1580"/>
      <c r="C527" s="1580"/>
      <c r="D527" s="1580"/>
      <c r="E527" s="1580"/>
      <c r="F527" s="1580"/>
      <c r="G527" s="1580"/>
      <c r="H527" s="1580"/>
      <c r="I527" s="1580"/>
      <c r="J527" s="1580"/>
      <c r="K527" s="1580"/>
      <c r="L527" s="1580"/>
      <c r="M527" s="1580"/>
      <c r="N527" s="1580"/>
    </row>
    <row r="528" customFormat="false" ht="15.75" hidden="false" customHeight="false" outlineLevel="0" collapsed="false">
      <c r="A528" s="1580"/>
      <c r="B528" s="1580"/>
      <c r="C528" s="1580"/>
      <c r="D528" s="1580"/>
      <c r="E528" s="1580"/>
      <c r="F528" s="1580"/>
      <c r="G528" s="1580"/>
      <c r="H528" s="1580"/>
      <c r="I528" s="1580"/>
      <c r="J528" s="1580"/>
      <c r="K528" s="1580"/>
      <c r="L528" s="1580"/>
      <c r="M528" s="1580"/>
      <c r="N528" s="1580"/>
    </row>
    <row r="529" customFormat="false" ht="15.75" hidden="false" customHeight="false" outlineLevel="0" collapsed="false">
      <c r="A529" s="1580"/>
      <c r="B529" s="1580"/>
      <c r="C529" s="1580"/>
      <c r="D529" s="1580"/>
      <c r="E529" s="1580"/>
      <c r="F529" s="1580"/>
      <c r="G529" s="1580"/>
      <c r="H529" s="1580"/>
      <c r="I529" s="1580"/>
      <c r="J529" s="1580"/>
      <c r="K529" s="1580"/>
      <c r="L529" s="1580"/>
      <c r="M529" s="1580"/>
      <c r="N529" s="1580"/>
    </row>
    <row r="530" customFormat="false" ht="15.75" hidden="false" customHeight="false" outlineLevel="0" collapsed="false">
      <c r="A530" s="1580"/>
      <c r="B530" s="1580"/>
      <c r="C530" s="1580"/>
      <c r="D530" s="1580"/>
      <c r="E530" s="1580"/>
      <c r="F530" s="1580"/>
      <c r="G530" s="1580"/>
      <c r="H530" s="1580"/>
      <c r="I530" s="1580"/>
      <c r="J530" s="1580"/>
      <c r="K530" s="1580"/>
      <c r="L530" s="1580"/>
      <c r="M530" s="1580"/>
      <c r="N530" s="1580"/>
    </row>
    <row r="531" customFormat="false" ht="15.75" hidden="false" customHeight="false" outlineLevel="0" collapsed="false">
      <c r="A531" s="1580"/>
      <c r="B531" s="1580"/>
      <c r="C531" s="1580"/>
      <c r="D531" s="1580"/>
      <c r="E531" s="1580"/>
      <c r="F531" s="1580"/>
      <c r="G531" s="1580"/>
      <c r="H531" s="1580"/>
      <c r="I531" s="1580"/>
      <c r="J531" s="1580"/>
      <c r="K531" s="1580"/>
      <c r="L531" s="1580"/>
      <c r="M531" s="1580"/>
      <c r="N531" s="1580"/>
    </row>
    <row r="532" customFormat="false" ht="15.75" hidden="false" customHeight="false" outlineLevel="0" collapsed="false">
      <c r="A532" s="1580"/>
      <c r="B532" s="1580"/>
      <c r="C532" s="1580"/>
      <c r="D532" s="1580"/>
      <c r="E532" s="1580"/>
      <c r="F532" s="1580"/>
      <c r="G532" s="1580"/>
      <c r="H532" s="1580"/>
      <c r="I532" s="1580"/>
      <c r="J532" s="1580"/>
      <c r="K532" s="1580"/>
      <c r="L532" s="1580"/>
      <c r="M532" s="1580"/>
      <c r="N532" s="1580"/>
    </row>
    <row r="533" customFormat="false" ht="15.75" hidden="false" customHeight="false" outlineLevel="0" collapsed="false">
      <c r="A533" s="1580"/>
      <c r="B533" s="1580"/>
      <c r="C533" s="1580"/>
      <c r="D533" s="1580"/>
      <c r="E533" s="1580"/>
      <c r="F533" s="1580"/>
      <c r="G533" s="1580"/>
      <c r="H533" s="1580"/>
      <c r="I533" s="1580"/>
      <c r="J533" s="1580"/>
      <c r="K533" s="1580"/>
      <c r="L533" s="1580"/>
      <c r="M533" s="1580"/>
      <c r="N533" s="1580"/>
    </row>
    <row r="534" customFormat="false" ht="15.75" hidden="false" customHeight="false" outlineLevel="0" collapsed="false">
      <c r="A534" s="1580"/>
      <c r="B534" s="1580"/>
      <c r="C534" s="1580"/>
      <c r="D534" s="1580"/>
      <c r="E534" s="1580"/>
      <c r="F534" s="1580"/>
      <c r="G534" s="1580"/>
      <c r="H534" s="1580"/>
      <c r="I534" s="1580"/>
      <c r="J534" s="1580"/>
      <c r="K534" s="1580"/>
      <c r="L534" s="1580"/>
      <c r="M534" s="1580"/>
      <c r="N534" s="1580"/>
    </row>
    <row r="535" customFormat="false" ht="15.75" hidden="false" customHeight="false" outlineLevel="0" collapsed="false">
      <c r="A535" s="1580"/>
      <c r="B535" s="1580"/>
      <c r="C535" s="1580"/>
      <c r="D535" s="1580"/>
      <c r="E535" s="1580"/>
      <c r="F535" s="1580"/>
      <c r="G535" s="1580"/>
      <c r="H535" s="1580"/>
      <c r="I535" s="1580"/>
      <c r="J535" s="1580"/>
      <c r="K535" s="1580"/>
      <c r="L535" s="1580"/>
      <c r="M535" s="1580"/>
      <c r="N535" s="1580"/>
    </row>
    <row r="536" customFormat="false" ht="15.75" hidden="false" customHeight="false" outlineLevel="0" collapsed="false">
      <c r="A536" s="1579"/>
      <c r="B536" s="1579"/>
      <c r="C536" s="1579"/>
      <c r="D536" s="1579"/>
      <c r="E536" s="1579"/>
      <c r="F536" s="1579"/>
      <c r="G536" s="1579"/>
      <c r="H536" s="1579"/>
      <c r="I536" s="1579"/>
      <c r="J536" s="1579"/>
      <c r="K536" s="1579"/>
      <c r="L536" s="1580"/>
      <c r="M536" s="1580"/>
      <c r="N536" s="1580"/>
    </row>
    <row r="537" customFormat="false" ht="15.75" hidden="false" customHeight="false" outlineLevel="0" collapsed="false">
      <c r="A537" s="2637"/>
      <c r="B537" s="1580"/>
      <c r="C537" s="2630"/>
      <c r="D537" s="2630"/>
      <c r="E537" s="1580"/>
      <c r="F537" s="2630"/>
      <c r="G537" s="2630"/>
      <c r="H537" s="1580"/>
      <c r="I537" s="1580"/>
      <c r="J537" s="1580"/>
      <c r="K537" s="1580"/>
      <c r="L537" s="1580"/>
      <c r="M537" s="1580"/>
      <c r="N537" s="1580"/>
    </row>
    <row r="538" customFormat="false" ht="15.75" hidden="false" customHeight="false" outlineLevel="0" collapsed="false">
      <c r="A538" s="2637"/>
      <c r="B538" s="1580"/>
      <c r="C538" s="2630"/>
      <c r="D538" s="2630"/>
      <c r="E538" s="1580"/>
      <c r="F538" s="2630"/>
      <c r="G538" s="2630"/>
      <c r="H538" s="1580"/>
      <c r="I538" s="1580"/>
      <c r="J538" s="1580"/>
      <c r="K538" s="1580"/>
      <c r="L538" s="1580"/>
      <c r="M538" s="1580"/>
      <c r="N538" s="1580"/>
    </row>
    <row r="539" customFormat="false" ht="15.75" hidden="false" customHeight="false" outlineLevel="0" collapsed="false">
      <c r="A539" s="2637"/>
      <c r="B539" s="1580"/>
      <c r="C539" s="2630"/>
      <c r="D539" s="2630"/>
      <c r="E539" s="1580"/>
      <c r="F539" s="2630"/>
      <c r="G539" s="2630"/>
      <c r="H539" s="1580"/>
      <c r="I539" s="1580"/>
      <c r="J539" s="1580"/>
      <c r="K539" s="1580"/>
      <c r="L539" s="1580"/>
      <c r="M539" s="1580"/>
      <c r="N539" s="1580"/>
    </row>
    <row r="540" customFormat="false" ht="15.75" hidden="false" customHeight="false" outlineLevel="0" collapsed="false">
      <c r="A540" s="2637"/>
      <c r="B540" s="1580"/>
      <c r="C540" s="2630"/>
      <c r="D540" s="2630"/>
      <c r="E540" s="1580"/>
      <c r="F540" s="2630"/>
      <c r="G540" s="2630"/>
      <c r="H540" s="1580"/>
      <c r="I540" s="1580"/>
      <c r="J540" s="1580"/>
      <c r="K540" s="1580"/>
      <c r="L540" s="1580"/>
      <c r="M540" s="1580"/>
      <c r="N540" s="1580"/>
    </row>
    <row r="541" customFormat="false" ht="15.75" hidden="false" customHeight="false" outlineLevel="0" collapsed="false">
      <c r="A541" s="2637"/>
      <c r="B541" s="1580"/>
      <c r="C541" s="2630"/>
      <c r="D541" s="2630"/>
      <c r="E541" s="1580"/>
      <c r="F541" s="2630"/>
      <c r="G541" s="2630"/>
      <c r="H541" s="1580"/>
      <c r="I541" s="1580"/>
      <c r="J541" s="1580"/>
      <c r="K541" s="1580"/>
      <c r="L541" s="1580"/>
      <c r="M541" s="1580"/>
      <c r="N541" s="1580"/>
    </row>
    <row r="542" customFormat="false" ht="15.75" hidden="false" customHeight="false" outlineLevel="0" collapsed="false">
      <c r="A542" s="2637"/>
      <c r="B542" s="1580"/>
      <c r="C542" s="2630"/>
      <c r="D542" s="2630"/>
      <c r="E542" s="1580"/>
      <c r="F542" s="2630"/>
      <c r="G542" s="2630"/>
      <c r="H542" s="1580"/>
      <c r="I542" s="1580"/>
      <c r="J542" s="1580"/>
      <c r="K542" s="1580"/>
      <c r="L542" s="1580"/>
      <c r="M542" s="1580"/>
      <c r="N542" s="1580"/>
    </row>
    <row r="543" customFormat="false" ht="15.75" hidden="false" customHeight="false" outlineLevel="0" collapsed="false">
      <c r="A543" s="2637"/>
      <c r="B543" s="1580"/>
      <c r="C543" s="2630"/>
      <c r="D543" s="2630"/>
      <c r="E543" s="1580"/>
      <c r="F543" s="2630"/>
      <c r="G543" s="2630"/>
      <c r="H543" s="1580"/>
      <c r="I543" s="1580"/>
      <c r="J543" s="1580"/>
      <c r="K543" s="1580"/>
      <c r="L543" s="1580"/>
      <c r="M543" s="1580"/>
      <c r="N543" s="1580"/>
    </row>
    <row r="544" customFormat="false" ht="15.75" hidden="false" customHeight="false" outlineLevel="0" collapsed="false">
      <c r="A544" s="2637"/>
      <c r="B544" s="1580"/>
      <c r="C544" s="2630"/>
      <c r="D544" s="2630"/>
      <c r="E544" s="1580"/>
      <c r="F544" s="2630"/>
      <c r="G544" s="2630"/>
      <c r="H544" s="1580"/>
      <c r="I544" s="1580"/>
      <c r="J544" s="1580"/>
      <c r="K544" s="1580"/>
      <c r="L544" s="1580"/>
      <c r="M544" s="1580"/>
      <c r="N544" s="1580"/>
    </row>
    <row r="545" customFormat="false" ht="15.75" hidden="false" customHeight="false" outlineLevel="0" collapsed="false">
      <c r="A545" s="2637"/>
      <c r="B545" s="1580"/>
      <c r="C545" s="2630"/>
      <c r="D545" s="2630"/>
      <c r="E545" s="1580"/>
      <c r="F545" s="2630"/>
      <c r="G545" s="2630"/>
      <c r="H545" s="1580"/>
      <c r="I545" s="1580"/>
      <c r="J545" s="1580"/>
      <c r="K545" s="1580"/>
      <c r="L545" s="1580"/>
      <c r="M545" s="1580"/>
      <c r="N545" s="1580"/>
    </row>
    <row r="546" customFormat="false" ht="15.75" hidden="false" customHeight="false" outlineLevel="0" collapsed="false">
      <c r="A546" s="2637"/>
      <c r="B546" s="1580"/>
      <c r="C546" s="2630"/>
      <c r="D546" s="2630"/>
      <c r="E546" s="1580"/>
      <c r="F546" s="2630"/>
      <c r="G546" s="2630"/>
      <c r="H546" s="1580"/>
      <c r="I546" s="1580"/>
      <c r="J546" s="1580"/>
      <c r="K546" s="1580"/>
      <c r="L546" s="1580"/>
      <c r="M546" s="1580"/>
      <c r="N546" s="1580"/>
    </row>
    <row r="547" customFormat="false" ht="15.75" hidden="false" customHeight="false" outlineLevel="0" collapsed="false">
      <c r="A547" s="2637"/>
      <c r="B547" s="1580"/>
      <c r="C547" s="2630"/>
      <c r="D547" s="2630"/>
      <c r="E547" s="1580"/>
      <c r="F547" s="2630"/>
      <c r="G547" s="2630"/>
      <c r="H547" s="1580"/>
      <c r="I547" s="1580"/>
      <c r="J547" s="1580"/>
      <c r="K547" s="1580"/>
      <c r="L547" s="1580"/>
      <c r="M547" s="1580"/>
      <c r="N547" s="1580"/>
    </row>
    <row r="548" customFormat="false" ht="15.75" hidden="false" customHeight="false" outlineLevel="0" collapsed="false">
      <c r="A548" s="2637"/>
      <c r="B548" s="1580"/>
      <c r="C548" s="2630"/>
      <c r="D548" s="2630"/>
      <c r="E548" s="1580"/>
      <c r="F548" s="2630"/>
      <c r="G548" s="2630"/>
      <c r="H548" s="1580"/>
      <c r="I548" s="1580"/>
      <c r="J548" s="1580"/>
      <c r="K548" s="1580"/>
      <c r="L548" s="1580"/>
      <c r="M548" s="1580"/>
      <c r="N548" s="1580"/>
    </row>
    <row r="549" customFormat="false" ht="15.75" hidden="false" customHeight="false" outlineLevel="0" collapsed="false">
      <c r="A549" s="2637"/>
      <c r="B549" s="1580"/>
      <c r="C549" s="2630"/>
      <c r="D549" s="2630"/>
      <c r="E549" s="1580"/>
      <c r="F549" s="2630"/>
      <c r="G549" s="2630"/>
      <c r="H549" s="1580"/>
      <c r="I549" s="1580"/>
      <c r="J549" s="1580"/>
      <c r="K549" s="1580"/>
      <c r="L549" s="1580"/>
      <c r="M549" s="1580"/>
      <c r="N549" s="1580"/>
    </row>
    <row r="550" customFormat="false" ht="15.75" hidden="false" customHeight="false" outlineLevel="0" collapsed="false">
      <c r="A550" s="2637"/>
      <c r="B550" s="1580"/>
      <c r="C550" s="2630"/>
      <c r="D550" s="2630"/>
      <c r="E550" s="1580"/>
      <c r="F550" s="2630"/>
      <c r="G550" s="2630"/>
      <c r="H550" s="1580"/>
      <c r="I550" s="1580"/>
      <c r="J550" s="1580"/>
      <c r="K550" s="1580"/>
      <c r="L550" s="1580"/>
      <c r="M550" s="1580"/>
      <c r="N550" s="1580"/>
    </row>
    <row r="551" customFormat="false" ht="15.75" hidden="false" customHeight="false" outlineLevel="0" collapsed="false">
      <c r="A551" s="2637"/>
      <c r="B551" s="1580"/>
      <c r="C551" s="2630"/>
      <c r="D551" s="2630"/>
      <c r="E551" s="1580"/>
      <c r="F551" s="2630"/>
      <c r="G551" s="2630"/>
      <c r="H551" s="1580"/>
      <c r="I551" s="1580"/>
      <c r="J551" s="1580"/>
      <c r="K551" s="1580"/>
      <c r="L551" s="1580"/>
      <c r="M551" s="1580"/>
      <c r="N551" s="1580"/>
    </row>
    <row r="552" customFormat="false" ht="15.75" hidden="false" customHeight="false" outlineLevel="0" collapsed="false">
      <c r="A552" s="2637"/>
      <c r="B552" s="1580"/>
      <c r="C552" s="2630"/>
      <c r="D552" s="2630"/>
      <c r="E552" s="1580"/>
      <c r="F552" s="2630"/>
      <c r="G552" s="2630"/>
      <c r="H552" s="1580"/>
      <c r="I552" s="1580"/>
      <c r="J552" s="1580"/>
      <c r="K552" s="1580"/>
      <c r="L552" s="1580"/>
      <c r="M552" s="1580"/>
      <c r="N552" s="1580"/>
    </row>
    <row r="553" customFormat="false" ht="15.75" hidden="false" customHeight="false" outlineLevel="0" collapsed="false">
      <c r="A553" s="2637"/>
      <c r="B553" s="1580"/>
      <c r="C553" s="2630"/>
      <c r="D553" s="2630"/>
      <c r="E553" s="1580"/>
      <c r="F553" s="2630"/>
      <c r="G553" s="2630"/>
      <c r="H553" s="1580"/>
      <c r="I553" s="1580"/>
      <c r="J553" s="1580"/>
      <c r="K553" s="1580"/>
      <c r="L553" s="1580"/>
      <c r="M553" s="1580"/>
      <c r="N553" s="1580"/>
    </row>
    <row r="554" customFormat="false" ht="15.75" hidden="false" customHeight="false" outlineLevel="0" collapsed="false">
      <c r="A554" s="2637"/>
      <c r="B554" s="1580"/>
      <c r="C554" s="2630"/>
      <c r="D554" s="2630"/>
      <c r="E554" s="1580"/>
      <c r="F554" s="2630"/>
      <c r="G554" s="2630"/>
      <c r="H554" s="1580"/>
      <c r="I554" s="1580"/>
      <c r="J554" s="1580"/>
      <c r="K554" s="1580"/>
      <c r="L554" s="1580"/>
      <c r="M554" s="1580"/>
      <c r="N554" s="1580"/>
    </row>
    <row r="555" customFormat="false" ht="15.75" hidden="false" customHeight="false" outlineLevel="0" collapsed="false">
      <c r="A555" s="2637"/>
      <c r="B555" s="1580"/>
      <c r="C555" s="2630"/>
      <c r="D555" s="2630"/>
      <c r="E555" s="1580"/>
      <c r="F555" s="2630"/>
      <c r="G555" s="2630"/>
      <c r="H555" s="1580"/>
      <c r="I555" s="1580"/>
      <c r="J555" s="1580"/>
      <c r="K555" s="1580"/>
      <c r="L555" s="1580"/>
      <c r="M555" s="1580"/>
      <c r="N555" s="1580"/>
    </row>
    <row r="556" customFormat="false" ht="15.75" hidden="false" customHeight="false" outlineLevel="0" collapsed="false">
      <c r="A556" s="2637"/>
      <c r="B556" s="1580"/>
      <c r="C556" s="2630"/>
      <c r="D556" s="2630"/>
      <c r="E556" s="1580"/>
      <c r="F556" s="2630"/>
      <c r="G556" s="2630"/>
      <c r="H556" s="1580"/>
      <c r="I556" s="1580"/>
      <c r="J556" s="1580"/>
      <c r="K556" s="1580"/>
      <c r="L556" s="1580"/>
      <c r="M556" s="1580"/>
      <c r="N556" s="1580"/>
    </row>
    <row r="557" customFormat="false" ht="15.75" hidden="false" customHeight="false" outlineLevel="0" collapsed="false">
      <c r="A557" s="2637"/>
      <c r="B557" s="1580"/>
      <c r="C557" s="2630"/>
      <c r="D557" s="2630"/>
      <c r="E557" s="1580"/>
      <c r="F557" s="2630"/>
      <c r="G557" s="2630"/>
      <c r="H557" s="1580"/>
      <c r="I557" s="1580"/>
      <c r="J557" s="1580"/>
      <c r="K557" s="1580"/>
      <c r="L557" s="1580"/>
      <c r="M557" s="1580"/>
      <c r="N557" s="1580"/>
    </row>
    <row r="558" customFormat="false" ht="15.75" hidden="false" customHeight="false" outlineLevel="0" collapsed="false">
      <c r="A558" s="2637"/>
      <c r="B558" s="1580"/>
      <c r="C558" s="2630"/>
      <c r="D558" s="2630"/>
      <c r="E558" s="1580"/>
      <c r="F558" s="2630"/>
      <c r="G558" s="2630"/>
      <c r="H558" s="1580"/>
      <c r="I558" s="1580"/>
      <c r="J558" s="1580"/>
      <c r="K558" s="1580"/>
      <c r="L558" s="1580"/>
      <c r="M558" s="1580"/>
      <c r="N558" s="1580"/>
    </row>
    <row r="559" customFormat="false" ht="15.75" hidden="false" customHeight="false" outlineLevel="0" collapsed="false">
      <c r="A559" s="2637"/>
      <c r="B559" s="1580"/>
      <c r="C559" s="2630"/>
      <c r="D559" s="2630"/>
      <c r="E559" s="1580"/>
      <c r="F559" s="2630"/>
      <c r="G559" s="2630"/>
      <c r="H559" s="1580"/>
      <c r="I559" s="1580"/>
      <c r="J559" s="1580"/>
      <c r="K559" s="1580"/>
      <c r="L559" s="1580"/>
      <c r="M559" s="1580"/>
      <c r="N559" s="1580"/>
    </row>
    <row r="560" customFormat="false" ht="15.75" hidden="false" customHeight="false" outlineLevel="0" collapsed="false">
      <c r="A560" s="2637"/>
      <c r="B560" s="1580"/>
      <c r="C560" s="2630"/>
      <c r="D560" s="2630"/>
      <c r="E560" s="1580"/>
      <c r="F560" s="2630"/>
      <c r="G560" s="2630"/>
      <c r="H560" s="1580"/>
      <c r="I560" s="1580"/>
      <c r="J560" s="1580"/>
      <c r="K560" s="1580"/>
      <c r="L560" s="1580"/>
      <c r="M560" s="1580"/>
      <c r="N560" s="1580"/>
    </row>
    <row r="561" customFormat="false" ht="15.75" hidden="false" customHeight="false" outlineLevel="0" collapsed="false">
      <c r="A561" s="2637"/>
      <c r="B561" s="1580"/>
      <c r="C561" s="2630"/>
      <c r="D561" s="2630"/>
      <c r="E561" s="1580"/>
      <c r="F561" s="2630"/>
      <c r="G561" s="2630"/>
      <c r="H561" s="1580"/>
      <c r="I561" s="1580"/>
      <c r="J561" s="1580"/>
      <c r="K561" s="1580"/>
      <c r="L561" s="1580"/>
      <c r="M561" s="1580"/>
      <c r="N561" s="1580"/>
    </row>
    <row r="562" customFormat="false" ht="15.75" hidden="false" customHeight="false" outlineLevel="0" collapsed="false">
      <c r="A562" s="2637"/>
      <c r="B562" s="1580"/>
      <c r="C562" s="2630"/>
      <c r="D562" s="2630"/>
      <c r="E562" s="1580"/>
      <c r="F562" s="2630"/>
      <c r="G562" s="2630"/>
      <c r="H562" s="1580"/>
      <c r="I562" s="1580"/>
      <c r="J562" s="1580"/>
      <c r="K562" s="1580"/>
      <c r="L562" s="1580"/>
      <c r="M562" s="1580"/>
      <c r="N562" s="1580"/>
    </row>
    <row r="563" customFormat="false" ht="15.75" hidden="false" customHeight="false" outlineLevel="0" collapsed="false">
      <c r="A563" s="2637"/>
      <c r="B563" s="1580"/>
      <c r="C563" s="2630"/>
      <c r="D563" s="2630"/>
      <c r="E563" s="1580"/>
      <c r="F563" s="2630"/>
      <c r="G563" s="2630"/>
      <c r="H563" s="1580"/>
      <c r="I563" s="1580"/>
      <c r="J563" s="1580"/>
      <c r="K563" s="1580"/>
      <c r="L563" s="1580"/>
      <c r="M563" s="1580"/>
      <c r="N563" s="1580"/>
    </row>
    <row r="564" customFormat="false" ht="15.75" hidden="false" customHeight="false" outlineLevel="0" collapsed="false">
      <c r="A564" s="2637"/>
      <c r="B564" s="1580"/>
      <c r="C564" s="2630"/>
      <c r="D564" s="2630"/>
      <c r="E564" s="1580"/>
      <c r="F564" s="2630"/>
      <c r="G564" s="2630"/>
      <c r="H564" s="1580"/>
      <c r="I564" s="1580"/>
      <c r="J564" s="1580"/>
      <c r="K564" s="1580"/>
      <c r="L564" s="1580"/>
      <c r="M564" s="1580"/>
      <c r="N564" s="1580"/>
    </row>
    <row r="565" customFormat="false" ht="15.75" hidden="false" customHeight="false" outlineLevel="0" collapsed="false">
      <c r="A565" s="2637"/>
      <c r="B565" s="1580"/>
      <c r="C565" s="2630"/>
      <c r="D565" s="2630"/>
      <c r="E565" s="1580"/>
      <c r="F565" s="2630"/>
      <c r="G565" s="2630"/>
      <c r="H565" s="1580"/>
      <c r="I565" s="1580"/>
      <c r="J565" s="1580"/>
      <c r="K565" s="1580"/>
      <c r="L565" s="1580"/>
      <c r="M565" s="1580"/>
      <c r="N565" s="1580"/>
    </row>
    <row r="566" customFormat="false" ht="15.75" hidden="false" customHeight="false" outlineLevel="0" collapsed="false">
      <c r="A566" s="2637"/>
      <c r="B566" s="1580"/>
      <c r="C566" s="2630"/>
      <c r="D566" s="2630"/>
      <c r="E566" s="1580"/>
      <c r="F566" s="2630"/>
      <c r="G566" s="2630"/>
      <c r="H566" s="1580"/>
      <c r="I566" s="1580"/>
      <c r="J566" s="1580"/>
      <c r="K566" s="1580"/>
      <c r="L566" s="1580"/>
      <c r="M566" s="1580"/>
      <c r="N566" s="1580"/>
    </row>
    <row r="567" customFormat="false" ht="15.75" hidden="false" customHeight="false" outlineLevel="0" collapsed="false">
      <c r="A567" s="2637"/>
      <c r="B567" s="1580"/>
      <c r="C567" s="2630"/>
      <c r="D567" s="2630"/>
      <c r="E567" s="1580"/>
      <c r="F567" s="2630"/>
      <c r="G567" s="2630"/>
      <c r="H567" s="1580"/>
      <c r="I567" s="1580"/>
      <c r="J567" s="1580"/>
      <c r="K567" s="1580"/>
      <c r="L567" s="1580"/>
      <c r="M567" s="1580"/>
      <c r="N567" s="1580"/>
    </row>
    <row r="568" customFormat="false" ht="15.75" hidden="false" customHeight="false" outlineLevel="0" collapsed="false">
      <c r="A568" s="2637"/>
      <c r="B568" s="1580"/>
      <c r="C568" s="2630"/>
      <c r="D568" s="2630"/>
      <c r="E568" s="1580"/>
      <c r="F568" s="2630"/>
      <c r="G568" s="2630"/>
      <c r="H568" s="1580"/>
      <c r="I568" s="1580"/>
      <c r="J568" s="1580"/>
      <c r="K568" s="1580"/>
      <c r="L568" s="1580"/>
      <c r="M568" s="1580"/>
      <c r="N568" s="1580"/>
    </row>
    <row r="569" customFormat="false" ht="15.75" hidden="false" customHeight="false" outlineLevel="0" collapsed="false">
      <c r="A569" s="2637"/>
      <c r="B569" s="1580"/>
      <c r="C569" s="2630"/>
      <c r="D569" s="2630"/>
      <c r="E569" s="1580"/>
      <c r="F569" s="2630"/>
      <c r="G569" s="2630"/>
      <c r="H569" s="1580"/>
      <c r="I569" s="1580"/>
      <c r="J569" s="1580"/>
      <c r="K569" s="1580"/>
      <c r="L569" s="1580"/>
      <c r="M569" s="1580"/>
      <c r="N569" s="1580"/>
    </row>
    <row r="570" customFormat="false" ht="15.75" hidden="false" customHeight="false" outlineLevel="0" collapsed="false">
      <c r="A570" s="2637"/>
      <c r="B570" s="1580"/>
      <c r="C570" s="2630"/>
      <c r="D570" s="2630"/>
      <c r="E570" s="1580"/>
      <c r="F570" s="2630"/>
      <c r="G570" s="2630"/>
      <c r="H570" s="1580"/>
      <c r="I570" s="1580"/>
      <c r="J570" s="1580"/>
      <c r="K570" s="1580"/>
      <c r="L570" s="1580"/>
      <c r="M570" s="1580"/>
      <c r="N570" s="1580"/>
    </row>
    <row r="571" customFormat="false" ht="15.75" hidden="false" customHeight="false" outlineLevel="0" collapsed="false">
      <c r="A571" s="2637"/>
      <c r="B571" s="1580"/>
      <c r="C571" s="2630"/>
      <c r="D571" s="2630"/>
      <c r="E571" s="1580"/>
      <c r="F571" s="2630"/>
      <c r="G571" s="2630"/>
      <c r="H571" s="1580"/>
      <c r="I571" s="1580"/>
      <c r="J571" s="1580"/>
      <c r="K571" s="1580"/>
      <c r="L571" s="1580"/>
      <c r="M571" s="1580"/>
      <c r="N571" s="1580"/>
    </row>
    <row r="572" customFormat="false" ht="15.75" hidden="false" customHeight="false" outlineLevel="0" collapsed="false">
      <c r="A572" s="2637"/>
      <c r="B572" s="1580"/>
      <c r="C572" s="2630"/>
      <c r="D572" s="2630"/>
      <c r="E572" s="1580"/>
      <c r="F572" s="2630"/>
      <c r="G572" s="2630"/>
      <c r="H572" s="1580"/>
      <c r="I572" s="1580"/>
      <c r="J572" s="1580"/>
      <c r="K572" s="1580"/>
      <c r="L572" s="1580"/>
      <c r="M572" s="1580"/>
      <c r="N572" s="1580"/>
    </row>
    <row r="573" customFormat="false" ht="15.75" hidden="false" customHeight="false" outlineLevel="0" collapsed="false">
      <c r="A573" s="2637"/>
      <c r="B573" s="1580"/>
      <c r="C573" s="2630"/>
      <c r="D573" s="2630"/>
      <c r="E573" s="1580"/>
      <c r="F573" s="2630"/>
      <c r="G573" s="2630"/>
      <c r="H573" s="1580"/>
      <c r="I573" s="1580"/>
      <c r="J573" s="1580"/>
      <c r="K573" s="1580"/>
      <c r="L573" s="1580"/>
      <c r="M573" s="1580"/>
      <c r="N573" s="1580"/>
    </row>
    <row r="574" customFormat="false" ht="15.75" hidden="false" customHeight="false" outlineLevel="0" collapsed="false">
      <c r="A574" s="2637"/>
      <c r="B574" s="1580"/>
      <c r="C574" s="2630"/>
      <c r="D574" s="2630"/>
      <c r="E574" s="1580"/>
      <c r="F574" s="2630"/>
      <c r="G574" s="2630"/>
      <c r="H574" s="1580"/>
      <c r="I574" s="1580"/>
      <c r="J574" s="1580"/>
      <c r="K574" s="1580"/>
      <c r="L574" s="1580"/>
      <c r="M574" s="1580"/>
      <c r="N574" s="1580"/>
    </row>
    <row r="575" customFormat="false" ht="15.75" hidden="false" customHeight="false" outlineLevel="0" collapsed="false">
      <c r="A575" s="2637"/>
      <c r="B575" s="1580"/>
      <c r="C575" s="2630"/>
      <c r="D575" s="2630"/>
      <c r="E575" s="1580"/>
      <c r="F575" s="2630"/>
      <c r="G575" s="2630"/>
      <c r="H575" s="1580"/>
      <c r="I575" s="1580"/>
      <c r="J575" s="1580"/>
      <c r="K575" s="1580"/>
      <c r="L575" s="1580"/>
      <c r="M575" s="1580"/>
      <c r="N575" s="1580"/>
    </row>
    <row r="576" customFormat="false" ht="15.75" hidden="false" customHeight="false" outlineLevel="0" collapsed="false">
      <c r="A576" s="2637"/>
      <c r="B576" s="1580"/>
      <c r="C576" s="2630"/>
      <c r="D576" s="2630"/>
      <c r="E576" s="1580"/>
      <c r="F576" s="2630"/>
      <c r="G576" s="2630"/>
      <c r="H576" s="1580"/>
      <c r="I576" s="1580"/>
      <c r="J576" s="1580"/>
      <c r="K576" s="1580"/>
      <c r="L576" s="1580"/>
      <c r="M576" s="1580"/>
      <c r="N576" s="1580"/>
    </row>
    <row r="577" customFormat="false" ht="15.75" hidden="false" customHeight="false" outlineLevel="0" collapsed="false">
      <c r="A577" s="2637"/>
      <c r="B577" s="1580"/>
      <c r="C577" s="2630"/>
      <c r="D577" s="2630"/>
      <c r="E577" s="1580"/>
      <c r="F577" s="2630"/>
      <c r="G577" s="2630"/>
      <c r="H577" s="1580"/>
      <c r="I577" s="1580"/>
      <c r="J577" s="1580"/>
      <c r="K577" s="1580"/>
      <c r="L577" s="1580"/>
      <c r="M577" s="1580"/>
      <c r="N577" s="1580"/>
    </row>
    <row r="578" customFormat="false" ht="15.75" hidden="false" customHeight="false" outlineLevel="0" collapsed="false">
      <c r="A578" s="2637"/>
      <c r="B578" s="1580"/>
      <c r="C578" s="2630"/>
      <c r="D578" s="2630"/>
      <c r="E578" s="1580"/>
      <c r="F578" s="2630"/>
      <c r="G578" s="2630"/>
      <c r="H578" s="1580"/>
      <c r="I578" s="1580"/>
      <c r="J578" s="1580"/>
      <c r="K578" s="1580"/>
      <c r="L578" s="1580"/>
      <c r="M578" s="1580"/>
      <c r="N578" s="1580"/>
    </row>
  </sheetData>
  <mergeCells count="257">
    <mergeCell ref="A2:C2"/>
    <mergeCell ref="A3:C3"/>
    <mergeCell ref="A4:C4"/>
    <mergeCell ref="A5:C5"/>
    <mergeCell ref="A6:C6"/>
    <mergeCell ref="A7:C7"/>
    <mergeCell ref="A8:C8"/>
    <mergeCell ref="A9:C9"/>
    <mergeCell ref="A10:C10"/>
    <mergeCell ref="A11:C11"/>
    <mergeCell ref="A12:C12"/>
    <mergeCell ref="A13:C13"/>
    <mergeCell ref="A14:C14"/>
    <mergeCell ref="A15:C15"/>
    <mergeCell ref="A16:C16"/>
    <mergeCell ref="A17:C17"/>
    <mergeCell ref="A18:C18"/>
    <mergeCell ref="A19:F19"/>
    <mergeCell ref="A20:C20"/>
    <mergeCell ref="A21:C21"/>
    <mergeCell ref="A22:C22"/>
    <mergeCell ref="A23:C23"/>
    <mergeCell ref="A24:C24"/>
    <mergeCell ref="A25:F25"/>
    <mergeCell ref="A26:C26"/>
    <mergeCell ref="A27:C27"/>
    <mergeCell ref="A28:C28"/>
    <mergeCell ref="A29:C29"/>
    <mergeCell ref="A30:F30"/>
    <mergeCell ref="A32:B32"/>
    <mergeCell ref="A33:B36"/>
    <mergeCell ref="A37:B40"/>
    <mergeCell ref="A41:B44"/>
    <mergeCell ref="A45:B48"/>
    <mergeCell ref="A49:B52"/>
    <mergeCell ref="I49:I56"/>
    <mergeCell ref="A53:B56"/>
    <mergeCell ref="A57:B60"/>
    <mergeCell ref="A61:B64"/>
    <mergeCell ref="A65:B65"/>
    <mergeCell ref="A66:B66"/>
    <mergeCell ref="A67:B67"/>
    <mergeCell ref="A68:B68"/>
    <mergeCell ref="A69:B69"/>
    <mergeCell ref="A70:B70"/>
    <mergeCell ref="A71:E71"/>
    <mergeCell ref="A72:B72"/>
    <mergeCell ref="A73:B73"/>
    <mergeCell ref="A76:F76"/>
    <mergeCell ref="A77:C77"/>
    <mergeCell ref="A78:D78"/>
    <mergeCell ref="A79:C79"/>
    <mergeCell ref="A80:C80"/>
    <mergeCell ref="A81:C81"/>
    <mergeCell ref="A82:C82"/>
    <mergeCell ref="A83:C83"/>
    <mergeCell ref="A84:C84"/>
    <mergeCell ref="A85:C85"/>
    <mergeCell ref="A86:C86"/>
    <mergeCell ref="A87:C87"/>
    <mergeCell ref="A96:F96"/>
    <mergeCell ref="A97:C97"/>
    <mergeCell ref="A98:C98"/>
    <mergeCell ref="A99:C99"/>
    <mergeCell ref="A100:D100"/>
    <mergeCell ref="A101:C101"/>
    <mergeCell ref="A102:C102"/>
    <mergeCell ref="A103:C103"/>
    <mergeCell ref="A104:C104"/>
    <mergeCell ref="A105:C105"/>
    <mergeCell ref="A106:C106"/>
    <mergeCell ref="A107:C107"/>
    <mergeCell ref="A108:C108"/>
    <mergeCell ref="A109:C109"/>
    <mergeCell ref="A110:C110"/>
    <mergeCell ref="A111:C112"/>
    <mergeCell ref="A113:C114"/>
    <mergeCell ref="A119:F119"/>
    <mergeCell ref="A120:C120"/>
    <mergeCell ref="A121:C121"/>
    <mergeCell ref="A122:C122"/>
    <mergeCell ref="A123:C123"/>
    <mergeCell ref="A124:C124"/>
    <mergeCell ref="A125:C125"/>
    <mergeCell ref="A126:C126"/>
    <mergeCell ref="A127:C127"/>
    <mergeCell ref="A130:C130"/>
    <mergeCell ref="A131:C131"/>
    <mergeCell ref="A132:C132"/>
    <mergeCell ref="A133:C133"/>
    <mergeCell ref="A134:C134"/>
    <mergeCell ref="A135:C135"/>
    <mergeCell ref="A136:C137"/>
    <mergeCell ref="A138:C139"/>
    <mergeCell ref="A144:B144"/>
    <mergeCell ref="A145:B145"/>
    <mergeCell ref="A146:B146"/>
    <mergeCell ref="A147:B147"/>
    <mergeCell ref="A148:B148"/>
    <mergeCell ref="A149:B149"/>
    <mergeCell ref="A150:B150"/>
    <mergeCell ref="A151:B151"/>
    <mergeCell ref="A152:B152"/>
    <mergeCell ref="A153:B153"/>
    <mergeCell ref="A154:B154"/>
    <mergeCell ref="A155:B155"/>
    <mergeCell ref="A156:B156"/>
    <mergeCell ref="A157:B157"/>
    <mergeCell ref="A158:B159"/>
    <mergeCell ref="A160:B161"/>
    <mergeCell ref="A162:B163"/>
    <mergeCell ref="A164:B165"/>
    <mergeCell ref="A166:E166"/>
    <mergeCell ref="A168:B170"/>
    <mergeCell ref="A171:B172"/>
    <mergeCell ref="A173:B173"/>
    <mergeCell ref="A174:B174"/>
    <mergeCell ref="H182:I182"/>
    <mergeCell ref="H183:I183"/>
    <mergeCell ref="A185:C185"/>
    <mergeCell ref="A186:C187"/>
    <mergeCell ref="A188:C189"/>
    <mergeCell ref="H189:I189"/>
    <mergeCell ref="H190:I190"/>
    <mergeCell ref="H191:I191"/>
    <mergeCell ref="H192:I192"/>
    <mergeCell ref="H193:I193"/>
    <mergeCell ref="H194:I194"/>
    <mergeCell ref="H195:I195"/>
    <mergeCell ref="H196:I196"/>
    <mergeCell ref="H197:I197"/>
    <mergeCell ref="A277:D277"/>
    <mergeCell ref="A289:E289"/>
    <mergeCell ref="A290:B290"/>
    <mergeCell ref="A291:B291"/>
    <mergeCell ref="A292:B292"/>
    <mergeCell ref="A293:B293"/>
    <mergeCell ref="A294:B294"/>
    <mergeCell ref="A295:B295"/>
    <mergeCell ref="A296:B296"/>
    <mergeCell ref="A297:B297"/>
    <mergeCell ref="A298:B298"/>
    <mergeCell ref="A299:B299"/>
    <mergeCell ref="A300:B300"/>
    <mergeCell ref="A301:B302"/>
    <mergeCell ref="A303:B304"/>
    <mergeCell ref="A305:E305"/>
    <mergeCell ref="A306:B306"/>
    <mergeCell ref="A307:B309"/>
    <mergeCell ref="A310:B311"/>
    <mergeCell ref="A312:B312"/>
    <mergeCell ref="A313:B313"/>
    <mergeCell ref="A314:B314"/>
    <mergeCell ref="A316:D316"/>
    <mergeCell ref="A317:B317"/>
    <mergeCell ref="A318:B318"/>
    <mergeCell ref="A319:B319"/>
    <mergeCell ref="A320:B320"/>
    <mergeCell ref="A321:K322"/>
    <mergeCell ref="L321:L322"/>
    <mergeCell ref="A323:F323"/>
    <mergeCell ref="G323:L323"/>
    <mergeCell ref="A329:E329"/>
    <mergeCell ref="G329:K329"/>
    <mergeCell ref="A333:E333"/>
    <mergeCell ref="G333:K333"/>
    <mergeCell ref="A335:I335"/>
    <mergeCell ref="H336:I336"/>
    <mergeCell ref="C338:D338"/>
    <mergeCell ref="G338:H338"/>
    <mergeCell ref="A339:A342"/>
    <mergeCell ref="C339:D339"/>
    <mergeCell ref="G339:H342"/>
    <mergeCell ref="C340:D340"/>
    <mergeCell ref="C341:D341"/>
    <mergeCell ref="C342:D342"/>
    <mergeCell ref="A343:A346"/>
    <mergeCell ref="C343:D343"/>
    <mergeCell ref="G343:H346"/>
    <mergeCell ref="C344:D344"/>
    <mergeCell ref="C345:D345"/>
    <mergeCell ref="C346:D346"/>
    <mergeCell ref="A347:A350"/>
    <mergeCell ref="C347:D347"/>
    <mergeCell ref="G347:H350"/>
    <mergeCell ref="C348:D348"/>
    <mergeCell ref="C349:D349"/>
    <mergeCell ref="C350:D350"/>
    <mergeCell ref="A351:A354"/>
    <mergeCell ref="C351:D351"/>
    <mergeCell ref="G351:H354"/>
    <mergeCell ref="C352:D352"/>
    <mergeCell ref="C353:D353"/>
    <mergeCell ref="C354:D354"/>
    <mergeCell ref="A357:K358"/>
    <mergeCell ref="A359:F360"/>
    <mergeCell ref="G365:H365"/>
    <mergeCell ref="G376:H376"/>
    <mergeCell ref="G377:H377"/>
    <mergeCell ref="G378:H378"/>
    <mergeCell ref="G379:H379"/>
    <mergeCell ref="G380:H380"/>
    <mergeCell ref="G381:H381"/>
    <mergeCell ref="G382:H382"/>
    <mergeCell ref="C390:F390"/>
    <mergeCell ref="A392:K393"/>
    <mergeCell ref="A394:F395"/>
    <mergeCell ref="G398:H398"/>
    <mergeCell ref="G399:H399"/>
    <mergeCell ref="G400:H400"/>
    <mergeCell ref="G401:H401"/>
    <mergeCell ref="G402:H402"/>
    <mergeCell ref="G403:H403"/>
    <mergeCell ref="G404:H404"/>
    <mergeCell ref="G405:H405"/>
    <mergeCell ref="G406:H406"/>
    <mergeCell ref="G407:H407"/>
    <mergeCell ref="G408:H408"/>
    <mergeCell ref="G409:H409"/>
    <mergeCell ref="G410:H410"/>
    <mergeCell ref="G411:H411"/>
    <mergeCell ref="C417:F417"/>
    <mergeCell ref="A419:K420"/>
    <mergeCell ref="G426:H426"/>
    <mergeCell ref="G428:H428"/>
    <mergeCell ref="G429:H429"/>
    <mergeCell ref="G430:H430"/>
    <mergeCell ref="G431:H431"/>
    <mergeCell ref="G432:H432"/>
    <mergeCell ref="G433:H433"/>
    <mergeCell ref="G434:H434"/>
    <mergeCell ref="G435:H435"/>
    <mergeCell ref="G436:H436"/>
    <mergeCell ref="G437:H437"/>
    <mergeCell ref="G438:H438"/>
    <mergeCell ref="G439:H439"/>
    <mergeCell ref="C445:F445"/>
    <mergeCell ref="A447:K448"/>
    <mergeCell ref="C484:F484"/>
    <mergeCell ref="A486:K487"/>
    <mergeCell ref="G496:H496"/>
    <mergeCell ref="G497:H497"/>
    <mergeCell ref="G498:H498"/>
    <mergeCell ref="G499:H499"/>
    <mergeCell ref="G500:H500"/>
    <mergeCell ref="G501:H501"/>
    <mergeCell ref="G502:H502"/>
    <mergeCell ref="G503:H503"/>
    <mergeCell ref="G504:H504"/>
    <mergeCell ref="G505:H505"/>
    <mergeCell ref="G506:H506"/>
    <mergeCell ref="G507:H507"/>
    <mergeCell ref="G508:H508"/>
    <mergeCell ref="G509:H509"/>
    <mergeCell ref="G510:H510"/>
    <mergeCell ref="G511:H511"/>
    <mergeCell ref="C517:F517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2:J2170"/>
  <sheetViews>
    <sheetView showFormulas="false" showGridLines="true" showRowColHeaders="true" showZeros="true" rightToLeft="false" tabSelected="false" showOutlineSymbols="true" defaultGridColor="true" view="normal" topLeftCell="A706" colorId="64" zoomScale="100" zoomScaleNormal="100" zoomScalePageLayoutView="100" workbookViewId="0">
      <selection pane="topLeft" activeCell="B697" activeCellId="0" sqref="B697"/>
    </sheetView>
  </sheetViews>
  <sheetFormatPr defaultColWidth="9.15625" defaultRowHeight="15" zeroHeight="false" outlineLevelRow="0" outlineLevelCol="0"/>
  <cols>
    <col collapsed="false" customWidth="true" hidden="false" outlineLevel="0" max="1" min="1" style="1551" width="1.14"/>
    <col collapsed="false" customWidth="true" hidden="false" outlineLevel="0" max="2" min="2" style="1551" width="44.58"/>
    <col collapsed="false" customWidth="true" hidden="false" outlineLevel="0" max="3" min="3" style="1551" width="8"/>
    <col collapsed="false" customWidth="true" hidden="false" outlineLevel="0" max="4" min="4" style="1551" width="12.29"/>
    <col collapsed="false" customWidth="true" hidden="false" outlineLevel="0" max="5" min="5" style="1551" width="11.86"/>
    <col collapsed="false" customWidth="true" hidden="false" outlineLevel="0" max="6" min="6" style="1551" width="9.58"/>
    <col collapsed="false" customWidth="true" hidden="false" outlineLevel="0" max="7" min="7" style="1551" width="9.71"/>
    <col collapsed="false" customWidth="true" hidden="false" outlineLevel="0" max="8" min="8" style="1551" width="10.14"/>
    <col collapsed="false" customWidth="true" hidden="false" outlineLevel="0" max="9" min="9" style="1551" width="11.14"/>
    <col collapsed="false" customWidth="true" hidden="false" outlineLevel="0" max="10" min="10" style="1551" width="11.29"/>
    <col collapsed="false" customWidth="false" hidden="false" outlineLevel="0" max="1024" min="11" style="1551" width="9.14"/>
  </cols>
  <sheetData>
    <row r="2" customFormat="false" ht="15" hidden="false" customHeight="false" outlineLevel="0" collapsed="false">
      <c r="B2" s="1551" t="str">
        <f aca="false">'Смета Внутр'!B3</f>
        <v>ООО "DitsarHome"</v>
      </c>
    </row>
    <row r="3" customFormat="false" ht="15" hidden="false" customHeight="false" outlineLevel="0" collapsed="false">
      <c r="B3" s="1551" t="str">
        <f aca="false">'Смета Внутр'!B4</f>
        <v>г. Москва</v>
      </c>
      <c r="C3" s="1584" t="str">
        <f aca="false">'Смета Внутр'!D3</f>
        <v>Длина дома, м.п.</v>
      </c>
      <c r="D3" s="1584"/>
      <c r="E3" s="1584"/>
      <c r="F3" s="1584"/>
      <c r="H3" s="1584"/>
      <c r="I3" s="1584"/>
      <c r="J3" s="1551" t="n">
        <f aca="false">'Смета Внутр'!H3</f>
        <v>8</v>
      </c>
    </row>
    <row r="4" customFormat="false" ht="15" hidden="false" customHeight="false" outlineLevel="0" collapsed="false">
      <c r="C4" s="1584" t="str">
        <f aca="false">'Смета Внутр'!D4</f>
        <v>Ширина дома, м.п.</v>
      </c>
      <c r="D4" s="1584"/>
      <c r="E4" s="1584"/>
      <c r="F4" s="1584"/>
      <c r="H4" s="1584"/>
      <c r="I4" s="1584"/>
      <c r="J4" s="1551" t="n">
        <f aca="false">'Смета Внутр'!H4</f>
        <v>8</v>
      </c>
    </row>
    <row r="5" customFormat="false" ht="15" hidden="false" customHeight="false" outlineLevel="0" collapsed="false">
      <c r="C5" s="1584" t="str">
        <f aca="false">'Смета Внутр'!D5</f>
        <v>Этажность дома</v>
      </c>
      <c r="D5" s="1584"/>
      <c r="E5" s="1584"/>
      <c r="F5" s="1584"/>
      <c r="H5" s="1584"/>
      <c r="I5" s="1584"/>
      <c r="J5" s="1551" t="n">
        <f aca="false">'Смета Внутр'!H5</f>
        <v>2</v>
      </c>
    </row>
    <row r="6" customFormat="false" ht="15" hidden="false" customHeight="false" outlineLevel="0" collapsed="false">
      <c r="C6" s="1584" t="str">
        <f aca="false">'Смета Внутр'!D6</f>
        <v>S строения общая, м2</v>
      </c>
      <c r="D6" s="1584"/>
      <c r="E6" s="1584"/>
      <c r="F6" s="1584"/>
      <c r="H6" s="1584"/>
      <c r="I6" s="1584"/>
      <c r="J6" s="1551" t="n">
        <f aca="false">'Смета Внутр'!H6</f>
        <v>128</v>
      </c>
    </row>
    <row r="7" customFormat="false" ht="15" hidden="false" customHeight="false" outlineLevel="0" collapsed="false">
      <c r="C7" s="1584" t="str">
        <f aca="false">'Смета Внутр'!D7</f>
        <v>S строения чистая, м2</v>
      </c>
      <c r="D7" s="1584"/>
      <c r="E7" s="1584"/>
      <c r="F7" s="1584"/>
      <c r="H7" s="1584"/>
      <c r="I7" s="1584"/>
      <c r="J7" s="1551" t="n">
        <f aca="false">'Смета Внутр'!H7</f>
        <v>94.7321893085902</v>
      </c>
    </row>
    <row r="9" customFormat="false" ht="15" hidden="false" customHeight="false" outlineLevel="0" collapsed="false">
      <c r="B9" s="1268" t="str">
        <f aca="false">'Смета Внутр'!B9</f>
        <v>СМЕТНЫЙ РАСЧЕТ №4</v>
      </c>
      <c r="C9" s="1268"/>
      <c r="D9" s="1268"/>
      <c r="E9" s="1268"/>
      <c r="F9" s="1268"/>
      <c r="G9" s="1268"/>
      <c r="H9" s="1268"/>
      <c r="I9" s="1268"/>
      <c r="J9" s="1268"/>
    </row>
    <row r="10" customFormat="false" ht="15" hidden="false" customHeight="false" outlineLevel="0" collapsed="false">
      <c r="B10" s="1268" t="str">
        <f aca="false">'Смета Внутр'!B10</f>
        <v>Приложение №3 К договору №12 от "22"07. 2017г.</v>
      </c>
      <c r="C10" s="1268"/>
      <c r="D10" s="1268"/>
      <c r="E10" s="1268"/>
      <c r="F10" s="1268"/>
      <c r="G10" s="1268"/>
      <c r="H10" s="1268"/>
      <c r="I10" s="1268"/>
      <c r="J10" s="1268"/>
    </row>
    <row r="12" customFormat="false" ht="48" hidden="false" customHeight="true" outlineLevel="0" collapsed="false">
      <c r="B12" s="3169" t="str">
        <f aca="false">'Смета Внутр'!B12</f>
        <v>Наименование работ и затрат</v>
      </c>
      <c r="C12" s="3169" t="str">
        <f aca="false">'Смета Внутр'!C12</f>
        <v>ед. изм.</v>
      </c>
      <c r="D12" s="3170" t="s">
        <v>4325</v>
      </c>
      <c r="E12" s="3170" t="s">
        <v>4326</v>
      </c>
      <c r="F12" s="3171" t="s">
        <v>4327</v>
      </c>
      <c r="G12" s="3170" t="s">
        <v>4328</v>
      </c>
      <c r="H12" s="3170" t="s">
        <v>4329</v>
      </c>
      <c r="I12" s="3170" t="s">
        <v>4330</v>
      </c>
      <c r="J12" s="3171" t="s">
        <v>4331</v>
      </c>
    </row>
    <row r="13" customFormat="false" ht="18.75" hidden="false" customHeight="false" outlineLevel="0" collapsed="false">
      <c r="B13" s="3172" t="str">
        <f aca="false">'Смета Внутр'!B13</f>
        <v>Фундамент ленточный, под стены цоколя</v>
      </c>
      <c r="C13" s="3172"/>
      <c r="D13" s="3172"/>
      <c r="E13" s="3172"/>
      <c r="F13" s="3172"/>
      <c r="G13" s="3173" t="n">
        <f aca="false">'Смета Внутр'!H13</f>
        <v>0</v>
      </c>
      <c r="H13" s="3174"/>
      <c r="I13" s="3174"/>
      <c r="J13" s="3174"/>
    </row>
    <row r="14" customFormat="false" ht="15" hidden="false" customHeight="false" outlineLevel="0" collapsed="false">
      <c r="B14" s="3175" t="str">
        <f aca="false">'Смета Внутр'!B14</f>
        <v>Материалы</v>
      </c>
      <c r="C14" s="3175"/>
      <c r="D14" s="3175"/>
      <c r="E14" s="3175"/>
      <c r="F14" s="3175"/>
      <c r="G14" s="3173" t="n">
        <f aca="false">'Смета Внутр'!H14</f>
        <v>0</v>
      </c>
      <c r="H14" s="3175"/>
      <c r="I14" s="3175"/>
      <c r="J14" s="3175"/>
    </row>
    <row r="15" customFormat="false" ht="15" hidden="false" customHeight="false" outlineLevel="0" collapsed="false">
      <c r="B15" s="1439" t="str">
        <f aca="false">'Смета Внутр'!B15</f>
        <v>Сосна влаж,150*40мм</v>
      </c>
      <c r="C15" s="1439" t="str">
        <f aca="false">'Смета Внутр'!C15</f>
        <v>м3</v>
      </c>
      <c r="D15" s="1439" t="n">
        <f aca="false">'Смета Внутр'!D15</f>
        <v>0</v>
      </c>
      <c r="E15" s="1491"/>
      <c r="F15" s="1439" t="n">
        <f aca="false">'Смета Внутр'!E15</f>
        <v>6500</v>
      </c>
      <c r="G15" s="1439" t="n">
        <f aca="false">'Смета Внутр'!H15</f>
        <v>0</v>
      </c>
      <c r="H15" s="3176" t="n">
        <v>6000</v>
      </c>
      <c r="I15" s="1439" t="n">
        <f aca="false">IF(F15&lt;H15,F15*(D15-E15),0)+IF(H15=0,(D15-E15)*F15,0)+IF(H15&lt;F15,H15*(D15-E15),0)</f>
        <v>0</v>
      </c>
      <c r="J15" s="3177" t="n">
        <f aca="false">G15-I15</f>
        <v>0</v>
      </c>
    </row>
    <row r="16" customFormat="false" ht="15" hidden="false" customHeight="false" outlineLevel="0" collapsed="false">
      <c r="B16" s="1439" t="str">
        <f aca="false">'Смета Внутр'!B16</f>
        <v>Пленка гидроизоляционная </v>
      </c>
      <c r="C16" s="1439" t="str">
        <f aca="false">'Смета Внутр'!C16</f>
        <v>м2</v>
      </c>
      <c r="D16" s="1439" t="n">
        <f aca="false">'Смета Внутр'!D16</f>
        <v>0</v>
      </c>
      <c r="E16" s="1491"/>
      <c r="F16" s="1439" t="n">
        <f aca="false">'Смета Внутр'!E16</f>
        <v>15</v>
      </c>
      <c r="G16" s="1439" t="n">
        <f aca="false">'Смета Внутр'!H16</f>
        <v>0</v>
      </c>
      <c r="H16" s="3176"/>
      <c r="I16" s="1439" t="n">
        <f aca="false">IF(F16&lt;H16,F16*(D16-E16),0)+IF(H16=0,(D16-E16)*F16,0)+IF(H16&lt;F16,H16*(D16-E16),0)</f>
        <v>0</v>
      </c>
      <c r="J16" s="3177" t="n">
        <f aca="false">G16-I16</f>
        <v>0</v>
      </c>
    </row>
    <row r="17" customFormat="false" ht="15" hidden="false" customHeight="false" outlineLevel="0" collapsed="false">
      <c r="B17" s="1439" t="str">
        <f aca="false">'Смета Внутр'!B17</f>
        <v>Гидроизол</v>
      </c>
      <c r="C17" s="1439" t="str">
        <f aca="false">'Смета Внутр'!C17</f>
        <v>м2</v>
      </c>
      <c r="D17" s="1439" t="n">
        <f aca="false">'Смета Внутр'!D17</f>
        <v>0</v>
      </c>
      <c r="E17" s="1491"/>
      <c r="F17" s="1439" t="n">
        <f aca="false">'Смета Внутр'!E17</f>
        <v>70</v>
      </c>
      <c r="G17" s="1439" t="n">
        <f aca="false">'Смета Внутр'!H17</f>
        <v>0</v>
      </c>
      <c r="H17" s="3176"/>
      <c r="I17" s="1439" t="n">
        <f aca="false">IF(F17&lt;H17,F17*(D17-E17),0)+IF(H17=0,(D17-E17)*F17,0)+IF(H17&lt;F17,H17*(D17-E17),0)</f>
        <v>0</v>
      </c>
      <c r="J17" s="3177" t="n">
        <f aca="false">G17-I17</f>
        <v>0</v>
      </c>
    </row>
    <row r="18" customFormat="false" ht="15" hidden="false" customHeight="false" outlineLevel="0" collapsed="false">
      <c r="B18" s="1439" t="str">
        <f aca="false">'Смета Внутр'!B18</f>
        <v>Арматура стальная Ø 12</v>
      </c>
      <c r="C18" s="1439" t="str">
        <f aca="false">'Смета Внутр'!C18</f>
        <v>м.п</v>
      </c>
      <c r="D18" s="1439" t="n">
        <f aca="false">'Смета Внутр'!D18</f>
        <v>0</v>
      </c>
      <c r="E18" s="1491"/>
      <c r="F18" s="1439" t="n">
        <f aca="false">'Смета Внутр'!E18</f>
        <v>29.2152</v>
      </c>
      <c r="G18" s="1439" t="n">
        <f aca="false">'Смета Внутр'!H18</f>
        <v>0</v>
      </c>
      <c r="H18" s="3176"/>
      <c r="I18" s="1439" t="n">
        <f aca="false">IF(F18&lt;H18,F18*(D18-E18),0)+IF(H18=0,(D18-E18)*F18,0)+IF(H18&lt;F18,H18*(D18-E18),0)</f>
        <v>0</v>
      </c>
      <c r="J18" s="3177" t="n">
        <f aca="false">G18-I18</f>
        <v>0</v>
      </c>
    </row>
    <row r="19" customFormat="false" ht="15" hidden="false" customHeight="false" outlineLevel="0" collapsed="false">
      <c r="B19" s="1439" t="str">
        <f aca="false">'Смета Внутр'!B19</f>
        <v>Нет арматуры</v>
      </c>
      <c r="C19" s="1439" t="str">
        <f aca="false">'Смета Внутр'!C19</f>
        <v>м.п</v>
      </c>
      <c r="D19" s="1439" t="n">
        <f aca="false">'Смета Внутр'!D19</f>
        <v>0</v>
      </c>
      <c r="E19" s="1491"/>
      <c r="F19" s="1439" t="n">
        <f aca="false">'Смета Внутр'!E19</f>
        <v>0</v>
      </c>
      <c r="G19" s="1439" t="n">
        <f aca="false">'Смета Внутр'!H19</f>
        <v>0</v>
      </c>
      <c r="H19" s="3176"/>
      <c r="I19" s="1439" t="n">
        <f aca="false">IF(F19&lt;H19,F19*(D19-E19),0)+IF(H19=0,(D19-E19)*F19,0)+IF(H19&lt;F19,H19*(D19-E19),0)</f>
        <v>0</v>
      </c>
      <c r="J19" s="3177" t="n">
        <f aca="false">G19-I19</f>
        <v>0</v>
      </c>
    </row>
    <row r="20" customFormat="false" ht="15" hidden="false" customHeight="false" outlineLevel="0" collapsed="false">
      <c r="B20" s="1439" t="str">
        <f aca="false">'Смета Внутр'!B20</f>
        <v>Вязальная проволока</v>
      </c>
      <c r="C20" s="1439" t="str">
        <f aca="false">'Смета Внутр'!C20</f>
        <v>кг</v>
      </c>
      <c r="D20" s="1439" t="n">
        <f aca="false">'Смета Внутр'!D20</f>
        <v>0</v>
      </c>
      <c r="E20" s="1491"/>
      <c r="F20" s="1439" t="n">
        <f aca="false">'Смета Внутр'!E20</f>
        <v>80</v>
      </c>
      <c r="G20" s="1439" t="n">
        <f aca="false">'Смета Внутр'!H20</f>
        <v>0</v>
      </c>
      <c r="H20" s="3176"/>
      <c r="I20" s="1439" t="n">
        <f aca="false">IF(F20&lt;H20,F20*(D20-E20),0)+IF(H20=0,(D20-E20)*F20,0)+IF(H20&lt;F20,H20*(D20-E20),0)</f>
        <v>0</v>
      </c>
      <c r="J20" s="3177" t="n">
        <f aca="false">G20-I20</f>
        <v>0</v>
      </c>
    </row>
    <row r="21" customFormat="false" ht="15" hidden="false" customHeight="false" outlineLevel="0" collapsed="false">
      <c r="B21" s="1439" t="str">
        <f aca="false">'Смета Внутр'!B21</f>
        <v>Гвозди строительные 3,5 x 90            </v>
      </c>
      <c r="C21" s="1439" t="str">
        <f aca="false">'Смета Внутр'!C21</f>
        <v>кг</v>
      </c>
      <c r="D21" s="1439" t="n">
        <f aca="false">'Смета Внутр'!D21</f>
        <v>0</v>
      </c>
      <c r="E21" s="1491"/>
      <c r="F21" s="1439" t="n">
        <f aca="false">'Смета Внутр'!E21</f>
        <v>70</v>
      </c>
      <c r="G21" s="1439" t="n">
        <f aca="false">'Смета Внутр'!H21</f>
        <v>0</v>
      </c>
      <c r="H21" s="3176"/>
      <c r="I21" s="1439" t="n">
        <f aca="false">IF(F21&lt;H21,F21*(D21-E21),0)+IF(H21=0,(D21-E21)*F21,0)+IF(H21&lt;F21,H21*(D21-E21),0)</f>
        <v>0</v>
      </c>
      <c r="J21" s="3177" t="n">
        <f aca="false">G21-I21</f>
        <v>0</v>
      </c>
    </row>
    <row r="22" customFormat="false" ht="15" hidden="false" customHeight="false" outlineLevel="0" collapsed="false">
      <c r="B22" s="1439" t="str">
        <f aca="false">'Смета Внутр'!B22</f>
        <v>ПГС, машина 13м3</v>
      </c>
      <c r="C22" s="1439" t="str">
        <f aca="false">'Смета Внутр'!C22</f>
        <v>маш</v>
      </c>
      <c r="D22" s="1439" t="n">
        <f aca="false">'Смета Внутр'!D22</f>
        <v>0</v>
      </c>
      <c r="E22" s="1491"/>
      <c r="F22" s="1439" t="n">
        <f aca="false">'Смета Внутр'!E22</f>
        <v>10000</v>
      </c>
      <c r="G22" s="1439" t="n">
        <f aca="false">'Смета Внутр'!H22</f>
        <v>0</v>
      </c>
      <c r="H22" s="3176"/>
      <c r="I22" s="1439" t="n">
        <f aca="false">IF(F22&lt;H22,F22*(D22-E22),0)+IF(H22=0,(D22-E22)*F22,0)+IF(H22&lt;F22,H22*(D22-E22),0)</f>
        <v>0</v>
      </c>
      <c r="J22" s="3177" t="n">
        <f aca="false">G22-I22</f>
        <v>0</v>
      </c>
    </row>
    <row r="23" customFormat="false" ht="15" hidden="false" customHeight="false" outlineLevel="0" collapsed="false">
      <c r="B23" s="1439" t="str">
        <f aca="false">'Смета Внутр'!B23</f>
        <v>Бетон, м200</v>
      </c>
      <c r="C23" s="1439" t="str">
        <f aca="false">'Смета Внутр'!C23</f>
        <v>м3</v>
      </c>
      <c r="D23" s="1439" t="n">
        <f aca="false">'Смета Внутр'!D23</f>
        <v>0</v>
      </c>
      <c r="E23" s="1491"/>
      <c r="F23" s="1439" t="n">
        <f aca="false">'Смета Внутр'!E23</f>
        <v>2500</v>
      </c>
      <c r="G23" s="1439" t="n">
        <f aca="false">'Смета Внутр'!H23</f>
        <v>0</v>
      </c>
      <c r="H23" s="3176"/>
      <c r="I23" s="1439" t="n">
        <f aca="false">IF(F23&lt;H23,F23*(D23-E23),0)+IF(H23=0,(D23-E23)*F23,0)+IF(H23&lt;F23,H23*(D23-E23),0)</f>
        <v>0</v>
      </c>
      <c r="J23" s="3177" t="n">
        <f aca="false">G23-I23</f>
        <v>0</v>
      </c>
    </row>
    <row r="24" customFormat="false" ht="15" hidden="false" customHeight="false" outlineLevel="0" collapsed="false">
      <c r="B24" s="1692" t="s">
        <v>4332</v>
      </c>
      <c r="C24" s="1692"/>
      <c r="D24" s="1692"/>
      <c r="E24" s="1692"/>
      <c r="F24" s="1692"/>
      <c r="G24" s="1439" t="n">
        <f aca="false">'Смета Внутр'!H24</f>
        <v>0</v>
      </c>
      <c r="H24" s="3178"/>
      <c r="I24" s="1439" t="n">
        <f aca="false">SUM(I15:I23)</f>
        <v>0</v>
      </c>
      <c r="J24" s="3177" t="n">
        <f aca="false">SUM(J15:J23)</f>
        <v>0</v>
      </c>
    </row>
    <row r="25" customFormat="false" ht="15" hidden="false" customHeight="false" outlineLevel="0" collapsed="false">
      <c r="B25" s="3175" t="str">
        <f aca="false">'Смета Внутр'!B25</f>
        <v>Работы</v>
      </c>
      <c r="C25" s="3175"/>
      <c r="D25" s="3175"/>
      <c r="E25" s="3175"/>
      <c r="F25" s="3175"/>
      <c r="G25" s="3173" t="n">
        <f aca="false">'Смета Внутр'!H25</f>
        <v>0</v>
      </c>
      <c r="H25" s="3175"/>
      <c r="I25" s="3179"/>
      <c r="J25" s="3180" t="n">
        <f aca="false">G25-I25</f>
        <v>0</v>
      </c>
    </row>
    <row r="26" customFormat="false" ht="15" hidden="false" customHeight="false" outlineLevel="0" collapsed="false">
      <c r="B26" s="1439" t="str">
        <f aca="false">'Смета Внутр'!B26</f>
        <v>сборка опалубки</v>
      </c>
      <c r="C26" s="1439" t="str">
        <f aca="false">'Смета Внутр'!C26</f>
        <v>м2</v>
      </c>
      <c r="D26" s="1439" t="n">
        <f aca="false">'Смета Внутр'!D26</f>
        <v>0</v>
      </c>
      <c r="E26" s="1491"/>
      <c r="F26" s="1439" t="n">
        <f aca="false">'Смета Внутр'!E26</f>
        <v>300</v>
      </c>
      <c r="G26" s="1439" t="n">
        <f aca="false">'Смета Внутр'!H26</f>
        <v>0</v>
      </c>
      <c r="H26" s="1491"/>
      <c r="I26" s="1439" t="n">
        <f aca="false">IF(F26&lt;H26,F26*(D26-E26),0)+IF(H26=0,(D26-E26)*F26,0)+IF(H26&lt;F26,H26*(D26-E26),0)</f>
        <v>0</v>
      </c>
      <c r="J26" s="1439" t="n">
        <f aca="false">G26-I26</f>
        <v>0</v>
      </c>
    </row>
    <row r="27" customFormat="false" ht="15" hidden="false" customHeight="false" outlineLevel="0" collapsed="false">
      <c r="B27" s="1439" t="str">
        <f aca="false">'Смета Внутр'!B27</f>
        <v>разборка опалубки</v>
      </c>
      <c r="C27" s="1439" t="str">
        <f aca="false">'Смета Внутр'!C27</f>
        <v>м2</v>
      </c>
      <c r="D27" s="1439" t="n">
        <f aca="false">'Смета Внутр'!D27</f>
        <v>0</v>
      </c>
      <c r="E27" s="1491"/>
      <c r="F27" s="1439" t="n">
        <f aca="false">'Смета Внутр'!E27</f>
        <v>100</v>
      </c>
      <c r="G27" s="1439" t="n">
        <f aca="false">'Смета Внутр'!H27</f>
        <v>0</v>
      </c>
      <c r="H27" s="1491"/>
      <c r="I27" s="1439" t="n">
        <f aca="false">IF(F27&lt;H27,F27*(D27-E27),0)+IF(H27=0,(D27-E27)*F27,0)+IF(H27&lt;F27,H27*(D27-E27),0)</f>
        <v>0</v>
      </c>
      <c r="J27" s="1439" t="n">
        <f aca="false">G27-I27</f>
        <v>0</v>
      </c>
    </row>
    <row r="28" customFormat="false" ht="15" hidden="false" customHeight="false" outlineLevel="0" collapsed="false">
      <c r="B28" s="1439" t="str">
        <f aca="false">'Смета Внутр'!B28</f>
        <v>трамбовка</v>
      </c>
      <c r="C28" s="1439" t="str">
        <f aca="false">'Смета Внутр'!C28</f>
        <v>м2</v>
      </c>
      <c r="D28" s="1439" t="n">
        <f aca="false">'Смета Внутр'!D28</f>
        <v>0</v>
      </c>
      <c r="E28" s="1491"/>
      <c r="F28" s="1439" t="n">
        <f aca="false">'Смета Внутр'!E28</f>
        <v>600</v>
      </c>
      <c r="G28" s="1439" t="n">
        <f aca="false">'Смета Внутр'!H28</f>
        <v>0</v>
      </c>
      <c r="H28" s="1491"/>
      <c r="I28" s="1439" t="n">
        <f aca="false">IF(F28&lt;H28,F28*(D28-E28),0)+IF(H28=0,(D28-E28)*F28,0)+IF(H28&lt;F28,H28*(D28-E28),0)</f>
        <v>0</v>
      </c>
      <c r="J28" s="1439" t="n">
        <f aca="false">G28-I28</f>
        <v>0</v>
      </c>
    </row>
    <row r="29" customFormat="false" ht="15" hidden="false" customHeight="false" outlineLevel="0" collapsed="false">
      <c r="B29" s="1439" t="str">
        <f aca="false">'Смета Внутр'!B29</f>
        <v>настил пленки</v>
      </c>
      <c r="C29" s="1439" t="str">
        <f aca="false">'Смета Внутр'!C29</f>
        <v>м2</v>
      </c>
      <c r="D29" s="1439" t="n">
        <f aca="false">'Смета Внутр'!D29</f>
        <v>0</v>
      </c>
      <c r="E29" s="1491"/>
      <c r="F29" s="1439" t="n">
        <f aca="false">'Смета Внутр'!E29</f>
        <v>10</v>
      </c>
      <c r="G29" s="1439" t="n">
        <f aca="false">'Смета Внутр'!H29</f>
        <v>0</v>
      </c>
      <c r="H29" s="1491"/>
      <c r="I29" s="1439" t="n">
        <f aca="false">IF(F29&lt;H29,F29*(D29-E29),0)+IF(H29=0,(D29-E29)*F29,0)+IF(H29&lt;F29,H29*(D29-E29),0)</f>
        <v>0</v>
      </c>
      <c r="J29" s="1439" t="n">
        <f aca="false">G29-I29</f>
        <v>0</v>
      </c>
    </row>
    <row r="30" customFormat="false" ht="15" hidden="false" customHeight="false" outlineLevel="0" collapsed="false">
      <c r="B30" s="1439" t="str">
        <f aca="false">'Смета Внутр'!B30</f>
        <v>армирование</v>
      </c>
      <c r="C30" s="1439" t="str">
        <f aca="false">'Смета Внутр'!C30</f>
        <v>м.п</v>
      </c>
      <c r="D30" s="1439" t="n">
        <f aca="false">'Смета Внутр'!D30</f>
        <v>0</v>
      </c>
      <c r="E30" s="1491"/>
      <c r="F30" s="1439" t="n">
        <f aca="false">'Смета Внутр'!E30</f>
        <v>30</v>
      </c>
      <c r="G30" s="1439" t="n">
        <f aca="false">'Смета Внутр'!H30</f>
        <v>0</v>
      </c>
      <c r="H30" s="1491"/>
      <c r="I30" s="1439" t="n">
        <f aca="false">IF(F30&lt;H30,F30*(D30-E30),0)+IF(H30=0,(D30-E30)*F30,0)+IF(H30&lt;F30,H30*(D30-E30),0)</f>
        <v>0</v>
      </c>
      <c r="J30" s="1439" t="n">
        <f aca="false">G30-I30</f>
        <v>0</v>
      </c>
    </row>
    <row r="31" customFormat="false" ht="15" hidden="false" customHeight="false" outlineLevel="0" collapsed="false">
      <c r="B31" s="1439" t="str">
        <f aca="false">'Смета Внутр'!B31</f>
        <v>армирование</v>
      </c>
      <c r="C31" s="1439" t="str">
        <f aca="false">'Смета Внутр'!C31</f>
        <v>м.п.</v>
      </c>
      <c r="D31" s="1439" t="n">
        <f aca="false">'Смета Внутр'!D31</f>
        <v>0</v>
      </c>
      <c r="E31" s="1491"/>
      <c r="F31" s="1439" t="n">
        <f aca="false">'Смета Внутр'!E31</f>
        <v>30</v>
      </c>
      <c r="G31" s="1439" t="n">
        <f aca="false">'Смета Внутр'!H31</f>
        <v>0</v>
      </c>
      <c r="H31" s="1491"/>
      <c r="I31" s="1439" t="n">
        <f aca="false">IF(F31&lt;H31,F31*(D31-E31),0)+IF(H31=0,(D31-E31)*F31,0)+IF(H31&lt;F31,H31*(D31-E31),0)</f>
        <v>0</v>
      </c>
      <c r="J31" s="1439" t="n">
        <f aca="false">G31-I31</f>
        <v>0</v>
      </c>
    </row>
    <row r="32" customFormat="false" ht="15" hidden="false" customHeight="false" outlineLevel="0" collapsed="false">
      <c r="B32" s="1439" t="str">
        <f aca="false">'Смета Внутр'!B32</f>
        <v>настил гидроизола</v>
      </c>
      <c r="C32" s="1439" t="str">
        <f aca="false">'Смета Внутр'!C32</f>
        <v>м2</v>
      </c>
      <c r="D32" s="1439" t="n">
        <f aca="false">'Смета Внутр'!D32</f>
        <v>0</v>
      </c>
      <c r="E32" s="1491"/>
      <c r="F32" s="1439" t="n">
        <f aca="false">'Смета Внутр'!E32</f>
        <v>100</v>
      </c>
      <c r="G32" s="1439" t="n">
        <f aca="false">'Смета Внутр'!H32</f>
        <v>0</v>
      </c>
      <c r="H32" s="1491"/>
      <c r="I32" s="1439" t="n">
        <f aca="false">IF(F32&lt;H32,F32*(D32-E32),0)+IF(H32=0,(D32-E32)*F32,0)+IF(H32&lt;F32,H32*(D32-E32),0)</f>
        <v>0</v>
      </c>
      <c r="J32" s="1439" t="n">
        <f aca="false">G32-I32</f>
        <v>0</v>
      </c>
    </row>
    <row r="33" customFormat="false" ht="15" hidden="false" customHeight="false" outlineLevel="0" collapsed="false">
      <c r="B33" s="1439" t="str">
        <f aca="false">'Смета Внутр'!B33</f>
        <v>приемка бетона</v>
      </c>
      <c r="C33" s="1439" t="str">
        <f aca="false">'Смета Внутр'!C33</f>
        <v>м3</v>
      </c>
      <c r="D33" s="1439" t="n">
        <f aca="false">'Смета Внутр'!D33</f>
        <v>0</v>
      </c>
      <c r="E33" s="1491"/>
      <c r="F33" s="1439" t="n">
        <f aca="false">'Смета Внутр'!E33</f>
        <v>1200</v>
      </c>
      <c r="G33" s="1439" t="n">
        <f aca="false">'Смета Внутр'!H33</f>
        <v>0</v>
      </c>
      <c r="H33" s="1491"/>
      <c r="I33" s="1439" t="n">
        <f aca="false">IF(F33&lt;H33,F33*(D33-E33),0)+IF(H33=0,(D33-E33)*F33,0)+IF(H33&lt;F33,H33*(D33-E33),0)</f>
        <v>0</v>
      </c>
      <c r="J33" s="1439" t="n">
        <f aca="false">G33-I33</f>
        <v>0</v>
      </c>
    </row>
    <row r="34" customFormat="false" ht="15" hidden="false" customHeight="false" outlineLevel="0" collapsed="false">
      <c r="B34" s="1692" t="s">
        <v>4333</v>
      </c>
      <c r="C34" s="1692"/>
      <c r="D34" s="1692"/>
      <c r="E34" s="1692"/>
      <c r="F34" s="1692"/>
      <c r="G34" s="1439" t="n">
        <f aca="false">'Смета Внутр'!H34</f>
        <v>0</v>
      </c>
      <c r="H34" s="3181"/>
      <c r="I34" s="1439" t="n">
        <f aca="false">SUM(I26:I33)</f>
        <v>0</v>
      </c>
      <c r="J34" s="1439" t="n">
        <f aca="false">SUM(J26:J33)</f>
        <v>0</v>
      </c>
    </row>
    <row r="35" customFormat="false" ht="18.75" hidden="false" customHeight="false" outlineLevel="0" collapsed="false">
      <c r="B35" s="3172" t="str">
        <f aca="false">'Смета Внутр'!B35</f>
        <v>Стяжка в цокольном этаже</v>
      </c>
      <c r="C35" s="3172"/>
      <c r="D35" s="3172"/>
      <c r="E35" s="3172"/>
      <c r="F35" s="3172"/>
      <c r="G35" s="3173" t="n">
        <f aca="false">'Смета Внутр'!H35</f>
        <v>0</v>
      </c>
      <c r="I35" s="3179"/>
      <c r="J35" s="3179"/>
    </row>
    <row r="36" customFormat="false" ht="15" hidden="false" customHeight="false" outlineLevel="0" collapsed="false">
      <c r="B36" s="3175" t="str">
        <f aca="false">'Смета Внутр'!B36</f>
        <v>Материалы</v>
      </c>
      <c r="C36" s="3175"/>
      <c r="D36" s="3175"/>
      <c r="E36" s="3175"/>
      <c r="F36" s="3175"/>
      <c r="G36" s="3173" t="n">
        <f aca="false">'Смета Внутр'!H36</f>
        <v>0</v>
      </c>
      <c r="H36" s="3175"/>
      <c r="I36" s="3179"/>
      <c r="J36" s="3179"/>
    </row>
    <row r="37" customFormat="false" ht="15" hidden="false" customHeight="false" outlineLevel="0" collapsed="false">
      <c r="B37" s="1439" t="str">
        <f aca="false">'Смета Внутр'!B37</f>
        <v>Скальник, 1 маш 13м3</v>
      </c>
      <c r="C37" s="1439" t="str">
        <f aca="false">'Смета Внутр'!C37</f>
        <v>маш</v>
      </c>
      <c r="D37" s="1439" t="n">
        <f aca="false">'Смета Внутр'!D37</f>
        <v>0</v>
      </c>
      <c r="E37" s="1439"/>
      <c r="F37" s="1439" t="n">
        <f aca="false">'Смета Внутр'!E37</f>
        <v>15000</v>
      </c>
      <c r="G37" s="1439" t="n">
        <f aca="false">'Смета Внутр'!H37</f>
        <v>0</v>
      </c>
      <c r="H37" s="1439"/>
      <c r="I37" s="1439" t="n">
        <f aca="false">IF(F37&lt;H37,F37*(D37-E37),0)+IF(H37=0,(D37-E37)*F37,0)+IF(H37&lt;F37,H37*(D37-E37),0)</f>
        <v>0</v>
      </c>
      <c r="J37" s="1439" t="n">
        <f aca="false">G37-I37</f>
        <v>0</v>
      </c>
    </row>
    <row r="38" customFormat="false" ht="15" hidden="false" customHeight="false" outlineLevel="0" collapsed="false">
      <c r="B38" s="1439" t="str">
        <f aca="false">'Смета Внутр'!B38</f>
        <v>ПГС, машина 13м3</v>
      </c>
      <c r="C38" s="1439" t="str">
        <f aca="false">'Смета Внутр'!C38</f>
        <v>маш</v>
      </c>
      <c r="D38" s="1439" t="n">
        <f aca="false">'Смета Внутр'!D38</f>
        <v>0</v>
      </c>
      <c r="E38" s="1439"/>
      <c r="F38" s="1439" t="n">
        <f aca="false">'Смета Внутр'!E38</f>
        <v>10000</v>
      </c>
      <c r="G38" s="1439" t="n">
        <f aca="false">'Смета Внутр'!H38</f>
        <v>0</v>
      </c>
      <c r="H38" s="1439"/>
      <c r="I38" s="1439" t="n">
        <f aca="false">IF(F38&lt;H38,F38*(D38-E38),0)+IF(H38=0,(D38-E38)*F38,0)+IF(H38&lt;F38,H38*(D38-E38),0)</f>
        <v>0</v>
      </c>
      <c r="J38" s="1439" t="n">
        <f aca="false">G38-I38</f>
        <v>0</v>
      </c>
    </row>
    <row r="39" customFormat="false" ht="15" hidden="false" customHeight="false" outlineLevel="0" collapsed="false">
      <c r="B39" s="1439" t="str">
        <f aca="false">'Смета Внутр'!B39</f>
        <v>Песок, машина 13м3</v>
      </c>
      <c r="C39" s="1439" t="str">
        <f aca="false">'Смета Внутр'!C39</f>
        <v>маш</v>
      </c>
      <c r="D39" s="1439" t="n">
        <f aca="false">'Смета Внутр'!D39</f>
        <v>0</v>
      </c>
      <c r="E39" s="1439"/>
      <c r="F39" s="1439" t="n">
        <f aca="false">'Смета Внутр'!E39</f>
        <v>12000</v>
      </c>
      <c r="G39" s="1439" t="n">
        <f aca="false">'Смета Внутр'!H39</f>
        <v>0</v>
      </c>
      <c r="H39" s="1439"/>
      <c r="I39" s="1439" t="n">
        <f aca="false">IF(F39&lt;H39,F39*(D39-E39),0)+IF(H39=0,(D39-E39)*F39,0)+IF(H39&lt;F39,H39*(D39-E39),0)</f>
        <v>0</v>
      </c>
      <c r="J39" s="1439" t="n">
        <f aca="false">G39-I39</f>
        <v>0</v>
      </c>
    </row>
    <row r="40" customFormat="false" ht="15" hidden="false" customHeight="false" outlineLevel="0" collapsed="false">
      <c r="B40" s="1439" t="str">
        <f aca="false">'Смета Внутр'!B40</f>
        <v>Геотекстиль</v>
      </c>
      <c r="C40" s="1439" t="str">
        <f aca="false">'Смета Внутр'!C40</f>
        <v>м2</v>
      </c>
      <c r="D40" s="1439" t="n">
        <f aca="false">'Смета Внутр'!D40</f>
        <v>0</v>
      </c>
      <c r="E40" s="1439"/>
      <c r="F40" s="1439" t="n">
        <f aca="false">'Смета Внутр'!E40</f>
        <v>100</v>
      </c>
      <c r="G40" s="1439" t="n">
        <f aca="false">'Смета Внутр'!H40</f>
        <v>0</v>
      </c>
      <c r="H40" s="1439"/>
      <c r="I40" s="1439" t="n">
        <f aca="false">IF(F40&lt;H40,F40*(D40-E40),0)+IF(H40=0,(D40-E40)*F40,0)+IF(H40&lt;F40,H40*(D40-E40),0)</f>
        <v>0</v>
      </c>
      <c r="J40" s="1439" t="n">
        <f aca="false">G40-I40</f>
        <v>0</v>
      </c>
    </row>
    <row r="41" customFormat="false" ht="15" hidden="false" customHeight="false" outlineLevel="0" collapsed="false">
      <c r="B41" s="1439" t="str">
        <f aca="false">'Смета Внутр'!B41</f>
        <v>Плитный,28кг/м3, технониколь, 100мм</v>
      </c>
      <c r="C41" s="1439" t="str">
        <f aca="false">'Смета Внутр'!C41</f>
        <v>м3</v>
      </c>
      <c r="D41" s="1439" t="n">
        <f aca="false">'Смета Внутр'!D41</f>
        <v>0</v>
      </c>
      <c r="E41" s="1439"/>
      <c r="F41" s="1439" t="n">
        <f aca="false">'Смета Внутр'!E41</f>
        <v>1700</v>
      </c>
      <c r="G41" s="1439" t="n">
        <f aca="false">'Смета Внутр'!H41</f>
        <v>0</v>
      </c>
      <c r="H41" s="1439"/>
      <c r="I41" s="1439" t="n">
        <f aca="false">IF(F41&lt;H41,F41*(D41-E41),0)+IF(H41=0,(D41-E41)*F41,0)+IF(H41&lt;F41,H41*(D41-E41),0)</f>
        <v>0</v>
      </c>
      <c r="J41" s="1439" t="n">
        <f aca="false">G41-I41</f>
        <v>0</v>
      </c>
    </row>
    <row r="42" customFormat="false" ht="15" hidden="false" customHeight="false" outlineLevel="0" collapsed="false">
      <c r="B42" s="1439" t="str">
        <f aca="false">'Смета Внутр'!B42</f>
        <v>Пленка гидроизоляционная </v>
      </c>
      <c r="C42" s="1439" t="str">
        <f aca="false">'Смета Внутр'!C42</f>
        <v>м2</v>
      </c>
      <c r="D42" s="1439" t="n">
        <f aca="false">'Смета Внутр'!D42</f>
        <v>0</v>
      </c>
      <c r="E42" s="1439"/>
      <c r="F42" s="1439" t="n">
        <f aca="false">'Смета Внутр'!E42</f>
        <v>15</v>
      </c>
      <c r="G42" s="1439" t="n">
        <f aca="false">'Смета Внутр'!H42</f>
        <v>0</v>
      </c>
      <c r="H42" s="1439"/>
      <c r="I42" s="1439" t="n">
        <f aca="false">IF(F42&lt;H42,F42*(D42-E42),0)+IF(H42=0,(D42-E42)*F42,0)+IF(H42&lt;F42,H42*(D42-E42),0)</f>
        <v>0</v>
      </c>
      <c r="J42" s="1439" t="n">
        <f aca="false">G42-I42</f>
        <v>0</v>
      </c>
    </row>
    <row r="43" customFormat="false" ht="15" hidden="false" customHeight="false" outlineLevel="0" collapsed="false">
      <c r="B43" s="1439" t="str">
        <f aca="false">'Смета Внутр'!B43</f>
        <v>Кладочная сетка, 100*100/150*150/200*200мм</v>
      </c>
      <c r="C43" s="1439" t="str">
        <f aca="false">'Смета Внутр'!C43</f>
        <v>м2</v>
      </c>
      <c r="D43" s="1439" t="n">
        <f aca="false">'Смета Внутр'!D43</f>
        <v>0</v>
      </c>
      <c r="E43" s="1439"/>
      <c r="F43" s="1439" t="n">
        <f aca="false">'Смета Внутр'!E43</f>
        <v>70</v>
      </c>
      <c r="G43" s="1439" t="n">
        <f aca="false">'Смета Внутр'!H43</f>
        <v>0</v>
      </c>
      <c r="H43" s="1439"/>
      <c r="I43" s="1439" t="n">
        <f aca="false">IF(F43&lt;H43,F43*(D43-E43),0)+IF(H43=0,(D43-E43)*F43,0)+IF(H43&lt;F43,H43*(D43-E43),0)</f>
        <v>0</v>
      </c>
      <c r="J43" s="1439" t="n">
        <f aca="false">G43-I43</f>
        <v>0</v>
      </c>
    </row>
    <row r="44" customFormat="false" ht="15" hidden="false" customHeight="false" outlineLevel="0" collapsed="false">
      <c r="B44" s="1439" t="str">
        <f aca="false">'Смета Внутр'!B44</f>
        <v>Стяжки пластиковые</v>
      </c>
      <c r="C44" s="1439" t="str">
        <f aca="false">'Смета Внутр'!C44</f>
        <v>шт</v>
      </c>
      <c r="D44" s="1439" t="n">
        <f aca="false">'Смета Внутр'!D44</f>
        <v>0</v>
      </c>
      <c r="E44" s="1439"/>
      <c r="F44" s="1439" t="n">
        <f aca="false">'Смета Внутр'!E44</f>
        <v>2</v>
      </c>
      <c r="G44" s="1439" t="n">
        <f aca="false">'Смета Внутр'!H44</f>
        <v>0</v>
      </c>
      <c r="H44" s="1439"/>
      <c r="I44" s="1439" t="n">
        <f aca="false">IF(F44&lt;H44,F44*(D44-E44),0)+IF(H44=0,(D44-E44)*F44,0)+IF(H44&lt;F44,H44*(D44-E44),0)</f>
        <v>0</v>
      </c>
      <c r="J44" s="1439" t="n">
        <f aca="false">G44-I44</f>
        <v>0</v>
      </c>
    </row>
    <row r="45" customFormat="false" ht="15" hidden="false" customHeight="false" outlineLevel="0" collapsed="false">
      <c r="B45" s="1439" t="str">
        <f aca="false">'Смета Внутр'!B45</f>
        <v>Стяжки пластиковые</v>
      </c>
      <c r="C45" s="1439" t="str">
        <f aca="false">'Смета Внутр'!C45</f>
        <v>шт</v>
      </c>
      <c r="D45" s="1439" t="n">
        <f aca="false">'Смета Внутр'!D45</f>
        <v>0</v>
      </c>
      <c r="E45" s="1439"/>
      <c r="F45" s="1439" t="n">
        <f aca="false">'Смета Внутр'!E45</f>
        <v>2</v>
      </c>
      <c r="G45" s="1439" t="n">
        <f aca="false">'Смета Внутр'!H45</f>
        <v>0</v>
      </c>
      <c r="H45" s="1439"/>
      <c r="I45" s="1439" t="n">
        <f aca="false">IF(F45&lt;H45,F45*(D45-E45),0)+IF(H45=0,(D45-E45)*F45,0)+IF(H45&lt;F45,H45*(D45-E45),0)</f>
        <v>0</v>
      </c>
      <c r="J45" s="1439" t="n">
        <f aca="false">G45-I45</f>
        <v>0</v>
      </c>
    </row>
    <row r="46" customFormat="false" ht="15" hidden="false" customHeight="false" outlineLevel="0" collapsed="false">
      <c r="B46" s="1439" t="str">
        <f aca="false">'Смета Внутр'!B46</f>
        <v>Труба теплого пола 3</v>
      </c>
      <c r="C46" s="1439" t="str">
        <f aca="false">'Смета Внутр'!C46</f>
        <v>м.п</v>
      </c>
      <c r="D46" s="1439" t="n">
        <f aca="false">'Смета Внутр'!D46</f>
        <v>0</v>
      </c>
      <c r="E46" s="1439"/>
      <c r="F46" s="1439" t="n">
        <f aca="false">'Смета Внутр'!E46</f>
        <v>60</v>
      </c>
      <c r="G46" s="1439" t="n">
        <f aca="false">'Смета Внутр'!H46</f>
        <v>0</v>
      </c>
      <c r="H46" s="1439"/>
      <c r="I46" s="1439" t="n">
        <f aca="false">IF(F46&lt;H46,F46*(D46-E46),0)+IF(H46=0,(D46-E46)*F46,0)+IF(H46&lt;F46,H46*(D46-E46),0)</f>
        <v>0</v>
      </c>
      <c r="J46" s="1439" t="n">
        <f aca="false">G46-I46</f>
        <v>0</v>
      </c>
    </row>
    <row r="47" customFormat="false" ht="15" hidden="false" customHeight="false" outlineLevel="0" collapsed="false">
      <c r="B47" s="1439" t="str">
        <f aca="false">'Смета Внутр'!B47</f>
        <v>Коллектор 6</v>
      </c>
      <c r="C47" s="1439" t="str">
        <f aca="false">'Смета Внутр'!C47</f>
        <v>шт</v>
      </c>
      <c r="D47" s="1439" t="n">
        <f aca="false">'Смета Внутр'!D47</f>
        <v>0</v>
      </c>
      <c r="E47" s="1439"/>
      <c r="F47" s="1439" t="n">
        <f aca="false">'Смета Внутр'!E47</f>
        <v>15000</v>
      </c>
      <c r="G47" s="1439" t="n">
        <f aca="false">'Смета Внутр'!H47</f>
        <v>0</v>
      </c>
      <c r="H47" s="1439"/>
      <c r="I47" s="1439" t="n">
        <f aca="false">IF(F47&lt;H47,F47*(D47-E47),0)+IF(H47=0,(D47-E47)*F47,0)+IF(H47&lt;F47,H47*(D47-E47),0)</f>
        <v>0</v>
      </c>
      <c r="J47" s="1439" t="n">
        <f aca="false">G47-I47</f>
        <v>0</v>
      </c>
    </row>
    <row r="48" customFormat="false" ht="15" hidden="false" customHeight="false" outlineLevel="0" collapsed="false">
      <c r="B48" s="1439" t="str">
        <f aca="false">'Смета Внутр'!B48</f>
        <v>Арматура стальная Ø 10 </v>
      </c>
      <c r="C48" s="1439" t="str">
        <f aca="false">'Смета Внутр'!C48</f>
        <v>м.п.</v>
      </c>
      <c r="D48" s="1439" t="n">
        <f aca="false">'Смета Внутр'!D48</f>
        <v>0</v>
      </c>
      <c r="E48" s="1439"/>
      <c r="F48" s="1439" t="n">
        <f aca="false">'Смета Внутр'!E48</f>
        <v>21.0397</v>
      </c>
      <c r="G48" s="1439" t="n">
        <f aca="false">'Смета Внутр'!H48</f>
        <v>0</v>
      </c>
      <c r="H48" s="1439"/>
      <c r="I48" s="1439" t="n">
        <f aca="false">IF(F48&lt;H48,F48*(D48-E48),0)+IF(H48=0,(D48-E48)*F48,0)+IF(H48&lt;F48,H48*(D48-E48),0)</f>
        <v>0</v>
      </c>
      <c r="J48" s="1439" t="n">
        <f aca="false">G48-I48</f>
        <v>0</v>
      </c>
    </row>
    <row r="49" customFormat="false" ht="15" hidden="false" customHeight="false" outlineLevel="0" collapsed="false">
      <c r="B49" s="1439" t="str">
        <f aca="false">'Смета Внутр'!B49</f>
        <v>Вязальная проволока</v>
      </c>
      <c r="C49" s="1439" t="str">
        <f aca="false">'Смета Внутр'!C49</f>
        <v>кг</v>
      </c>
      <c r="D49" s="1439" t="n">
        <f aca="false">'Смета Внутр'!D49</f>
        <v>0</v>
      </c>
      <c r="E49" s="1439"/>
      <c r="F49" s="1439" t="n">
        <f aca="false">'Смета Внутр'!E49</f>
        <v>80</v>
      </c>
      <c r="G49" s="1439" t="n">
        <f aca="false">'Смета Внутр'!H49</f>
        <v>0</v>
      </c>
      <c r="H49" s="1439"/>
      <c r="I49" s="1439" t="n">
        <f aca="false">IF(F49&lt;H49,F49*(D49-E49),0)+IF(H49=0,(D49-E49)*F49,0)+IF(H49&lt;F49,H49*(D49-E49),0)</f>
        <v>0</v>
      </c>
      <c r="J49" s="1439" t="n">
        <f aca="false">G49-I49</f>
        <v>0</v>
      </c>
    </row>
    <row r="50" customFormat="false" ht="15" hidden="false" customHeight="false" outlineLevel="0" collapsed="false">
      <c r="B50" s="1439" t="str">
        <f aca="false">'Смета Внутр'!B50</f>
        <v>Подставка под арматурный каркас</v>
      </c>
      <c r="C50" s="1439" t="str">
        <f aca="false">'Смета Внутр'!C50</f>
        <v>шт</v>
      </c>
      <c r="D50" s="1439" t="n">
        <f aca="false">'Смета Внутр'!D50</f>
        <v>0</v>
      </c>
      <c r="E50" s="1439"/>
      <c r="F50" s="1439" t="n">
        <f aca="false">'Смета Внутр'!E50</f>
        <v>5</v>
      </c>
      <c r="G50" s="1439" t="n">
        <f aca="false">'Смета Внутр'!H50</f>
        <v>0</v>
      </c>
      <c r="H50" s="1439"/>
      <c r="I50" s="1439" t="n">
        <f aca="false">IF(F50&lt;H50,F50*(D50-E50),0)+IF(H50=0,(D50-E50)*F50,0)+IF(H50&lt;F50,H50*(D50-E50),0)</f>
        <v>0</v>
      </c>
      <c r="J50" s="1439" t="n">
        <f aca="false">G50-I50</f>
        <v>0</v>
      </c>
    </row>
    <row r="51" customFormat="false" ht="15" hidden="false" customHeight="false" outlineLevel="0" collapsed="false">
      <c r="B51" s="1439" t="str">
        <f aca="false">'Смета Внутр'!B51</f>
        <v>труба дренажная d90 с перфорацией, в фильтре</v>
      </c>
      <c r="C51" s="1439" t="str">
        <f aca="false">'Смета Внутр'!C51</f>
        <v>шт</v>
      </c>
      <c r="D51" s="1439" t="n">
        <f aca="false">'Смета Внутр'!D51</f>
        <v>0</v>
      </c>
      <c r="E51" s="1439"/>
      <c r="F51" s="1439" t="n">
        <f aca="false">'Смета Внутр'!E51</f>
        <v>95</v>
      </c>
      <c r="G51" s="1439" t="n">
        <f aca="false">'Смета Внутр'!H51</f>
        <v>0</v>
      </c>
      <c r="H51" s="1439"/>
      <c r="I51" s="1439" t="n">
        <f aca="false">IF(F51&lt;H51,F51*(D51-E51),0)+IF(H51=0,(D51-E51)*F51,0)+IF(H51&lt;F51,H51*(D51-E51),0)</f>
        <v>0</v>
      </c>
      <c r="J51" s="1439" t="n">
        <f aca="false">G51-I51</f>
        <v>0</v>
      </c>
    </row>
    <row r="52" customFormat="false" ht="15" hidden="false" customHeight="false" outlineLevel="0" collapsed="false">
      <c r="B52" s="1439" t="str">
        <f aca="false">'Смета Внутр'!B52</f>
        <v>Дренажный колодец D400</v>
      </c>
      <c r="C52" s="1439" t="str">
        <f aca="false">'Смета Внутр'!C52</f>
        <v>шт</v>
      </c>
      <c r="D52" s="1439" t="n">
        <f aca="false">'Смета Внутр'!D52</f>
        <v>0</v>
      </c>
      <c r="E52" s="1439"/>
      <c r="F52" s="1439" t="n">
        <f aca="false">'Смета Внутр'!E52</f>
        <v>2500</v>
      </c>
      <c r="G52" s="1439" t="n">
        <f aca="false">'Смета Внутр'!H52</f>
        <v>0</v>
      </c>
      <c r="H52" s="1439"/>
      <c r="I52" s="1439" t="n">
        <f aca="false">IF(F52&lt;H52,F52*(D52-E52),0)+IF(H52=0,(D52-E52)*F52,0)+IF(H52&lt;F52,H52*(D52-E52),0)</f>
        <v>0</v>
      </c>
      <c r="J52" s="1439" t="n">
        <f aca="false">G52-I52</f>
        <v>0</v>
      </c>
    </row>
    <row r="53" customFormat="false" ht="15" hidden="false" customHeight="false" outlineLevel="0" collapsed="false">
      <c r="B53" s="1439" t="str">
        <f aca="false">'Смета Внутр'!B53</f>
        <v>Демпферная лента</v>
      </c>
      <c r="C53" s="1439" t="str">
        <f aca="false">'Смета Внутр'!C53</f>
        <v>м.п.</v>
      </c>
      <c r="D53" s="1439" t="n">
        <f aca="false">'Смета Внутр'!D53</f>
        <v>0</v>
      </c>
      <c r="E53" s="1439"/>
      <c r="F53" s="1439" t="n">
        <f aca="false">'Смета Внутр'!E53</f>
        <v>50</v>
      </c>
      <c r="G53" s="1439" t="n">
        <f aca="false">'Смета Внутр'!H53</f>
        <v>0</v>
      </c>
      <c r="H53" s="1439"/>
      <c r="I53" s="1439" t="n">
        <f aca="false">IF(F53&lt;H53,F53*(D53-E53),0)+IF(H53=0,(D53-E53)*F53,0)+IF(H53&lt;F53,H53*(D53-E53),0)</f>
        <v>0</v>
      </c>
      <c r="J53" s="1439" t="n">
        <f aca="false">G53-I53</f>
        <v>0</v>
      </c>
    </row>
    <row r="54" customFormat="false" ht="15" hidden="false" customHeight="false" outlineLevel="0" collapsed="false">
      <c r="B54" s="1439" t="str">
        <f aca="false">'Смета Внутр'!B54</f>
        <v>Бетон, м350</v>
      </c>
      <c r="C54" s="1439" t="str">
        <f aca="false">'Смета Внутр'!C54</f>
        <v>м3</v>
      </c>
      <c r="D54" s="1439" t="n">
        <f aca="false">'Смета Внутр'!D54</f>
        <v>0</v>
      </c>
      <c r="E54" s="1439"/>
      <c r="F54" s="1439" t="n">
        <f aca="false">'Смета Внутр'!E54</f>
        <v>3500</v>
      </c>
      <c r="G54" s="1439" t="n">
        <f aca="false">'Смета Внутр'!H54</f>
        <v>0</v>
      </c>
      <c r="H54" s="1439"/>
      <c r="I54" s="1439" t="n">
        <f aca="false">IF(F54&lt;H54,F54*(D54-E54),0)+IF(H54=0,(D54-E54)*F54,0)+IF(H54&lt;F54,H54*(D54-E54),0)</f>
        <v>0</v>
      </c>
      <c r="J54" s="1439" t="n">
        <f aca="false">G54-I54</f>
        <v>0</v>
      </c>
    </row>
    <row r="55" customFormat="false" ht="15" hidden="false" customHeight="false" outlineLevel="0" collapsed="false">
      <c r="B55" s="1692" t="s">
        <v>4332</v>
      </c>
      <c r="C55" s="1692"/>
      <c r="D55" s="1692"/>
      <c r="E55" s="1692"/>
      <c r="F55" s="1692"/>
      <c r="G55" s="1439" t="n">
        <f aca="false">'Смета Внутр'!H55</f>
        <v>0</v>
      </c>
      <c r="H55" s="3181"/>
      <c r="I55" s="1439" t="n">
        <f aca="false">SUM(I37:I54)</f>
        <v>0</v>
      </c>
      <c r="J55" s="1439" t="n">
        <f aca="false">SUM(J37:J54)</f>
        <v>0</v>
      </c>
    </row>
    <row r="56" customFormat="false" ht="15" hidden="false" customHeight="false" outlineLevel="0" collapsed="false">
      <c r="B56" s="3175" t="str">
        <f aca="false">'Смета Внутр'!B56</f>
        <v>Работы</v>
      </c>
      <c r="C56" s="3175"/>
      <c r="D56" s="3175"/>
      <c r="E56" s="3175"/>
      <c r="F56" s="3175"/>
      <c r="G56" s="3173" t="n">
        <f aca="false">'Смета Внутр'!H56</f>
        <v>0</v>
      </c>
      <c r="H56" s="3182"/>
      <c r="I56" s="3180" t="n">
        <f aca="false">IF(F56&lt;H56,F56*(D56-E56),0)+IF(H56=0,(D56-E56)*F56,0)+IF(H56&lt;F56,H56*(D56-E56),0)</f>
        <v>0</v>
      </c>
      <c r="J56" s="3180" t="n">
        <f aca="false">G56-I56</f>
        <v>0</v>
      </c>
    </row>
    <row r="57" customFormat="false" ht="15" hidden="false" customHeight="false" outlineLevel="0" collapsed="false">
      <c r="B57" s="1439" t="str">
        <f aca="false">'Смета Внутр'!B57</f>
        <v>трамбовка скальник</v>
      </c>
      <c r="C57" s="1439" t="str">
        <f aca="false">'Смета Внутр'!C57</f>
        <v>м2</v>
      </c>
      <c r="D57" s="1439" t="n">
        <f aca="false">'Смета Внутр'!D57</f>
        <v>0</v>
      </c>
      <c r="E57" s="1439"/>
      <c r="F57" s="1439" t="n">
        <f aca="false">'Смета Внутр'!E57</f>
        <v>400</v>
      </c>
      <c r="G57" s="1439" t="n">
        <f aca="false">'Смета Внутр'!H57</f>
        <v>0</v>
      </c>
      <c r="H57" s="1439"/>
      <c r="I57" s="1439" t="n">
        <f aca="false">IF(F57&lt;H57,F57*(D57-E57),0)+IF(H57=0,(D57-E57)*F57,0)+IF(H57&lt;F57,H57*(D57-E57),0)</f>
        <v>0</v>
      </c>
      <c r="J57" s="1439" t="n">
        <f aca="false">G57-I57</f>
        <v>0</v>
      </c>
    </row>
    <row r="58" customFormat="false" ht="15" hidden="false" customHeight="false" outlineLevel="0" collapsed="false">
      <c r="B58" s="1439" t="str">
        <f aca="false">'Смета Внутр'!B58</f>
        <v>трамбовка пгс</v>
      </c>
      <c r="C58" s="1439" t="str">
        <f aca="false">'Смета Внутр'!C58</f>
        <v>м2</v>
      </c>
      <c r="D58" s="1439" t="n">
        <f aca="false">'Смета Внутр'!D58</f>
        <v>0</v>
      </c>
      <c r="E58" s="1439"/>
      <c r="F58" s="1439" t="n">
        <f aca="false">'Смета Внутр'!E58</f>
        <v>600</v>
      </c>
      <c r="G58" s="1439" t="n">
        <f aca="false">'Смета Внутр'!H58</f>
        <v>0</v>
      </c>
      <c r="H58" s="1439"/>
      <c r="I58" s="1439" t="n">
        <f aca="false">IF(F58&lt;H58,F58*(D58-E58),0)+IF(H58=0,(D58-E58)*F58,0)+IF(H58&lt;F58,H58*(D58-E58),0)</f>
        <v>0</v>
      </c>
      <c r="J58" s="1439" t="n">
        <f aca="false">G58-I58</f>
        <v>0</v>
      </c>
    </row>
    <row r="59" customFormat="false" ht="15" hidden="false" customHeight="false" outlineLevel="0" collapsed="false">
      <c r="B59" s="1439" t="str">
        <f aca="false">'Смета Внутр'!B59</f>
        <v>трамбовка песок</v>
      </c>
      <c r="C59" s="1439" t="str">
        <f aca="false">'Смета Внутр'!C59</f>
        <v>м2</v>
      </c>
      <c r="D59" s="1439" t="n">
        <f aca="false">'Смета Внутр'!D59</f>
        <v>0</v>
      </c>
      <c r="E59" s="1439"/>
      <c r="F59" s="1439" t="n">
        <f aca="false">'Смета Внутр'!E59</f>
        <v>350</v>
      </c>
      <c r="G59" s="1439" t="n">
        <f aca="false">'Смета Внутр'!H59</f>
        <v>0</v>
      </c>
      <c r="H59" s="1439"/>
      <c r="I59" s="1439" t="n">
        <f aca="false">IF(F59&lt;H59,F59*(D59-E59),0)+IF(H59=0,(D59-E59)*F59,0)+IF(H59&lt;F59,H59*(D59-E59),0)</f>
        <v>0</v>
      </c>
      <c r="J59" s="1439" t="n">
        <f aca="false">G59-I59</f>
        <v>0</v>
      </c>
    </row>
    <row r="60" customFormat="false" ht="15" hidden="false" customHeight="false" outlineLevel="0" collapsed="false">
      <c r="B60" s="1439" t="str">
        <f aca="false">'Смета Внутр'!B60</f>
        <v>укладка геотекстиля</v>
      </c>
      <c r="C60" s="1439" t="str">
        <f aca="false">'Смета Внутр'!C60</f>
        <v>м2</v>
      </c>
      <c r="D60" s="1439" t="n">
        <f aca="false">'Смета Внутр'!D60</f>
        <v>0</v>
      </c>
      <c r="E60" s="1439"/>
      <c r="F60" s="1439" t="n">
        <f aca="false">'Смета Внутр'!E60</f>
        <v>200</v>
      </c>
      <c r="G60" s="1439" t="n">
        <f aca="false">'Смета Внутр'!H60</f>
        <v>0</v>
      </c>
      <c r="H60" s="1439"/>
      <c r="I60" s="1439" t="n">
        <f aca="false">IF(F60&lt;H60,F60*(D60-E60),0)+IF(H60=0,(D60-E60)*F60,0)+IF(H60&lt;F60,H60*(D60-E60),0)</f>
        <v>0</v>
      </c>
      <c r="J60" s="1439" t="n">
        <f aca="false">G60-I60</f>
        <v>0</v>
      </c>
    </row>
    <row r="61" customFormat="false" ht="15" hidden="false" customHeight="false" outlineLevel="0" collapsed="false">
      <c r="B61" s="1439" t="str">
        <f aca="false">'Смета Внутр'!B61</f>
        <v>укладка карбона</v>
      </c>
      <c r="C61" s="1439" t="str">
        <f aca="false">'Смета Внутр'!C61</f>
        <v>м2</v>
      </c>
      <c r="D61" s="1439" t="n">
        <f aca="false">'Смета Внутр'!D61</f>
        <v>0</v>
      </c>
      <c r="E61" s="1439"/>
      <c r="F61" s="1439" t="n">
        <f aca="false">'Смета Внутр'!E61</f>
        <v>200</v>
      </c>
      <c r="G61" s="1439" t="n">
        <f aca="false">'Смета Внутр'!H61</f>
        <v>0</v>
      </c>
      <c r="H61" s="1439"/>
      <c r="I61" s="1439" t="n">
        <f aca="false">IF(F61&lt;H61,F61*(D61-E61),0)+IF(H61=0,(D61-E61)*F61,0)+IF(H61&lt;F61,H61*(D61-E61),0)</f>
        <v>0</v>
      </c>
      <c r="J61" s="1439" t="n">
        <f aca="false">G61-I61</f>
        <v>0</v>
      </c>
    </row>
    <row r="62" customFormat="false" ht="15" hidden="false" customHeight="false" outlineLevel="0" collapsed="false">
      <c r="B62" s="1439" t="str">
        <f aca="false">'Смета Внутр'!B62</f>
        <v>укладка пленки</v>
      </c>
      <c r="C62" s="1439" t="str">
        <f aca="false">'Смета Внутр'!C62</f>
        <v>м2</v>
      </c>
      <c r="D62" s="1439" t="n">
        <f aca="false">'Смета Внутр'!D62</f>
        <v>0</v>
      </c>
      <c r="E62" s="1439"/>
      <c r="F62" s="1439" t="n">
        <f aca="false">'Смета Внутр'!E62</f>
        <v>10</v>
      </c>
      <c r="G62" s="1439" t="n">
        <f aca="false">'Смета Внутр'!H62</f>
        <v>0</v>
      </c>
      <c r="H62" s="1439"/>
      <c r="I62" s="1439" t="n">
        <f aca="false">IF(F62&lt;H62,F62*(D62-E62),0)+IF(H62=0,(D62-E62)*F62,0)+IF(H62&lt;F62,H62*(D62-E62),0)</f>
        <v>0</v>
      </c>
      <c r="J62" s="1439" t="n">
        <f aca="false">G62-I62</f>
        <v>0</v>
      </c>
    </row>
    <row r="63" customFormat="false" ht="15" hidden="false" customHeight="false" outlineLevel="0" collapsed="false">
      <c r="B63" s="1439" t="str">
        <f aca="false">'Смета Внутр'!B63</f>
        <v>укладка сетки</v>
      </c>
      <c r="C63" s="1439" t="str">
        <f aca="false">'Смета Внутр'!C63</f>
        <v>м2</v>
      </c>
      <c r="D63" s="1439" t="n">
        <f aca="false">'Смета Внутр'!D63</f>
        <v>0</v>
      </c>
      <c r="E63" s="1439"/>
      <c r="F63" s="1439" t="n">
        <f aca="false">'Смета Внутр'!E63</f>
        <v>100</v>
      </c>
      <c r="G63" s="1439" t="n">
        <f aca="false">'Смета Внутр'!H63</f>
        <v>0</v>
      </c>
      <c r="H63" s="1439"/>
      <c r="I63" s="1439" t="n">
        <f aca="false">IF(F63&lt;H63,F63*(D63-E63),0)+IF(H63=0,(D63-E63)*F63,0)+IF(H63&lt;F63,H63*(D63-E63),0)</f>
        <v>0</v>
      </c>
      <c r="J63" s="1439" t="n">
        <f aca="false">G63-I63</f>
        <v>0</v>
      </c>
    </row>
    <row r="64" customFormat="false" ht="15" hidden="false" customHeight="false" outlineLevel="0" collapsed="false">
      <c r="B64" s="1439" t="str">
        <f aca="false">'Смета Внутр'!B64</f>
        <v>укладка теп. Пола</v>
      </c>
      <c r="C64" s="1439" t="str">
        <f aca="false">'Смета Внутр'!C64</f>
        <v>м2</v>
      </c>
      <c r="D64" s="1439" t="n">
        <f aca="false">'Смета Внутр'!D64</f>
        <v>0</v>
      </c>
      <c r="E64" s="1439"/>
      <c r="F64" s="1439" t="n">
        <f aca="false">'Смета Внутр'!E64</f>
        <v>600</v>
      </c>
      <c r="G64" s="1439" t="n">
        <f aca="false">'Смета Внутр'!H64</f>
        <v>0</v>
      </c>
      <c r="H64" s="1439"/>
      <c r="I64" s="1439" t="n">
        <f aca="false">IF(F64&lt;H64,F64*(D64-E64),0)+IF(H64=0,(D64-E64)*F64,0)+IF(H64&lt;F64,H64*(D64-E64),0)</f>
        <v>0</v>
      </c>
      <c r="J64" s="1439" t="n">
        <f aca="false">G64-I64</f>
        <v>0</v>
      </c>
    </row>
    <row r="65" customFormat="false" ht="15" hidden="false" customHeight="false" outlineLevel="0" collapsed="false">
      <c r="B65" s="1439" t="str">
        <f aca="false">'Смета Внутр'!B65</f>
        <v>монтаж коллектора</v>
      </c>
      <c r="C65" s="1439" t="str">
        <f aca="false">'Смета Внутр'!C65</f>
        <v>шт</v>
      </c>
      <c r="D65" s="1439" t="n">
        <f aca="false">'Смета Внутр'!D65</f>
        <v>0</v>
      </c>
      <c r="E65" s="1439"/>
      <c r="F65" s="1439" t="n">
        <f aca="false">'Смета Внутр'!E65</f>
        <v>1000</v>
      </c>
      <c r="G65" s="1439" t="n">
        <f aca="false">'Смета Внутр'!H65</f>
        <v>0</v>
      </c>
      <c r="H65" s="1439"/>
      <c r="I65" s="1439" t="n">
        <f aca="false">IF(F65&lt;H65,F65*(D65-E65),0)+IF(H65=0,(D65-E65)*F65,0)+IF(H65&lt;F65,H65*(D65-E65),0)</f>
        <v>0</v>
      </c>
      <c r="J65" s="1439" t="n">
        <f aca="false">G65-I65</f>
        <v>0</v>
      </c>
    </row>
    <row r="66" customFormat="false" ht="15" hidden="false" customHeight="false" outlineLevel="0" collapsed="false">
      <c r="B66" s="1439" t="str">
        <f aca="false">'Смета Внутр'!B66</f>
        <v>армирование </v>
      </c>
      <c r="C66" s="1439" t="str">
        <f aca="false">'Смета Внутр'!C66</f>
        <v>м2</v>
      </c>
      <c r="D66" s="1439" t="n">
        <f aca="false">'Смета Внутр'!D66</f>
        <v>0</v>
      </c>
      <c r="E66" s="1439"/>
      <c r="F66" s="1439" t="n">
        <f aca="false">'Смета Внутр'!E66</f>
        <v>300</v>
      </c>
      <c r="G66" s="1439" t="n">
        <f aca="false">'Смета Внутр'!H66</f>
        <v>0</v>
      </c>
      <c r="H66" s="1439"/>
      <c r="I66" s="1439" t="n">
        <f aca="false">IF(F66&lt;H66,F66*(D66-E66),0)+IF(H66=0,(D66-E66)*F66,0)+IF(H66&lt;F66,H66*(D66-E66),0)</f>
        <v>0</v>
      </c>
      <c r="J66" s="1439" t="n">
        <f aca="false">G66-I66</f>
        <v>0</v>
      </c>
    </row>
    <row r="67" customFormat="false" ht="15" hidden="false" customHeight="false" outlineLevel="0" collapsed="false">
      <c r="B67" s="1439" t="str">
        <f aca="false">'Смета Внутр'!B67</f>
        <v>монтаж дренажн труб</v>
      </c>
      <c r="C67" s="1439" t="str">
        <f aca="false">'Смета Внутр'!C67</f>
        <v>м.п.</v>
      </c>
      <c r="D67" s="1439" t="n">
        <f aca="false">'Смета Внутр'!D67</f>
        <v>0</v>
      </c>
      <c r="E67" s="1439"/>
      <c r="F67" s="1439" t="n">
        <f aca="false">'Смета Внутр'!E67</f>
        <v>200</v>
      </c>
      <c r="G67" s="1439" t="n">
        <f aca="false">'Смета Внутр'!H67</f>
        <v>0</v>
      </c>
      <c r="H67" s="1439"/>
      <c r="I67" s="1439" t="n">
        <f aca="false">IF(F67&lt;H67,F67*(D67-E67),0)+IF(H67=0,(D67-E67)*F67,0)+IF(H67&lt;F67,H67*(D67-E67),0)</f>
        <v>0</v>
      </c>
      <c r="J67" s="1439" t="n">
        <f aca="false">G67-I67</f>
        <v>0</v>
      </c>
    </row>
    <row r="68" customFormat="false" ht="15" hidden="false" customHeight="false" outlineLevel="0" collapsed="false">
      <c r="B68" s="1439" t="str">
        <f aca="false">'Смета Внутр'!B68</f>
        <v>монтаж дренаж колодец</v>
      </c>
      <c r="C68" s="1439" t="str">
        <f aca="false">'Смета Внутр'!C68</f>
        <v>шт</v>
      </c>
      <c r="D68" s="1439" t="n">
        <f aca="false">'Смета Внутр'!D68</f>
        <v>0</v>
      </c>
      <c r="E68" s="1439"/>
      <c r="F68" s="1439" t="n">
        <f aca="false">'Смета Внутр'!E68</f>
        <v>300</v>
      </c>
      <c r="G68" s="1439" t="n">
        <f aca="false">'Смета Внутр'!H68</f>
        <v>0</v>
      </c>
      <c r="H68" s="1439"/>
      <c r="I68" s="1439" t="n">
        <f aca="false">IF(F68&lt;H68,F68*(D68-E68),0)+IF(H68=0,(D68-E68)*F68,0)+IF(H68&lt;F68,H68*(D68-E68),0)</f>
        <v>0</v>
      </c>
      <c r="J68" s="1439" t="n">
        <f aca="false">G68-I68</f>
        <v>0</v>
      </c>
    </row>
    <row r="69" customFormat="false" ht="15" hidden="false" customHeight="false" outlineLevel="0" collapsed="false">
      <c r="B69" s="1439" t="str">
        <f aca="false">'Смета Внутр'!B69</f>
        <v>приемка бетона на пол</v>
      </c>
      <c r="C69" s="1439" t="str">
        <f aca="false">'Смета Внутр'!C69</f>
        <v>м2</v>
      </c>
      <c r="D69" s="1439" t="n">
        <f aca="false">'Смета Внутр'!D69</f>
        <v>0</v>
      </c>
      <c r="E69" s="1439"/>
      <c r="F69" s="1439" t="n">
        <f aca="false">'Смета Внутр'!E69</f>
        <v>350</v>
      </c>
      <c r="G69" s="1439" t="n">
        <f aca="false">'Смета Внутр'!H69</f>
        <v>0</v>
      </c>
      <c r="H69" s="1439"/>
      <c r="I69" s="1439" t="n">
        <f aca="false">IF(F69&lt;H69,F69*(D69-E69),0)+IF(H69=0,(D69-E69)*F69,0)+IF(H69&lt;F69,H69*(D69-E69),0)</f>
        <v>0</v>
      </c>
      <c r="J69" s="1439" t="n">
        <f aca="false">G69-I69</f>
        <v>0</v>
      </c>
    </row>
    <row r="70" customFormat="false" ht="15" hidden="false" customHeight="false" outlineLevel="0" collapsed="false">
      <c r="B70" s="1439" t="str">
        <f aca="false">'Смета Внутр'!B70</f>
        <v>демпферная лента</v>
      </c>
      <c r="C70" s="1439" t="str">
        <f aca="false">'Смета Внутр'!C70</f>
        <v>м.п.</v>
      </c>
      <c r="D70" s="1439" t="n">
        <f aca="false">'Смета Внутр'!D70</f>
        <v>0</v>
      </c>
      <c r="E70" s="1439"/>
      <c r="F70" s="1439" t="n">
        <f aca="false">'Смета Внутр'!E70</f>
        <v>100</v>
      </c>
      <c r="G70" s="1439" t="n">
        <f aca="false">'Смета Внутр'!H70</f>
        <v>0</v>
      </c>
      <c r="H70" s="1439"/>
      <c r="I70" s="1439" t="n">
        <f aca="false">IF(F70&lt;H70,F70*(D70-E70),0)+IF(H70=0,(D70-E70)*F70,0)+IF(H70&lt;F70,H70*(D70-E70),0)</f>
        <v>0</v>
      </c>
      <c r="J70" s="1439" t="n">
        <f aca="false">G70-I70</f>
        <v>0</v>
      </c>
    </row>
    <row r="71" customFormat="false" ht="15" hidden="false" customHeight="false" outlineLevel="0" collapsed="false">
      <c r="B71" s="1692" t="s">
        <v>4333</v>
      </c>
      <c r="C71" s="1692"/>
      <c r="D71" s="1692"/>
      <c r="E71" s="1692"/>
      <c r="F71" s="1692"/>
      <c r="G71" s="1439" t="n">
        <f aca="false">'Смета Внутр'!H71</f>
        <v>0</v>
      </c>
      <c r="H71" s="3181"/>
      <c r="I71" s="1439" t="n">
        <f aca="false">SUM(I57:I70)</f>
        <v>0</v>
      </c>
      <c r="J71" s="1439" t="n">
        <f aca="false">SUM(J57:J70)</f>
        <v>0</v>
      </c>
    </row>
    <row r="72" customFormat="false" ht="15" hidden="false" customHeight="true" outlineLevel="0" collapsed="false">
      <c r="B72" s="3172" t="str">
        <f aca="false">'Смета Внутр'!B72</f>
        <v>Цокольный этаж из блоков ФБС</v>
      </c>
      <c r="C72" s="3172"/>
      <c r="D72" s="3172"/>
      <c r="E72" s="3172"/>
      <c r="F72" s="3172"/>
      <c r="G72" s="3173" t="n">
        <f aca="false">'Смета Внутр'!H72</f>
        <v>0</v>
      </c>
      <c r="H72" s="3173"/>
      <c r="I72" s="3180" t="n">
        <f aca="false">IF(F72&lt;H72,F72*(D72-E72),0)+IF(H72=0,(D72-E72)*F72,0)+IF(H72&lt;F72,H72*(D72-E72),0)</f>
        <v>0</v>
      </c>
      <c r="J72" s="3180" t="n">
        <f aca="false">G72-I72</f>
        <v>0</v>
      </c>
    </row>
    <row r="73" customFormat="false" ht="15" hidden="false" customHeight="true" outlineLevel="0" collapsed="false">
      <c r="B73" s="1268" t="str">
        <f aca="false">'Смета Внутр'!B73</f>
        <v>Материалы</v>
      </c>
      <c r="C73" s="1268"/>
      <c r="D73" s="1268"/>
      <c r="E73" s="1268"/>
      <c r="F73" s="1268"/>
      <c r="G73" s="3173" t="n">
        <f aca="false">'Смета Внутр'!H73</f>
        <v>0</v>
      </c>
      <c r="H73" s="3182"/>
      <c r="I73" s="3180" t="n">
        <f aca="false">IF(F73&lt;H73,F73*(D73-E73),0)+IF(H73=0,(D73-E73)*F73,0)+IF(H73&lt;F73,H73*(D73-E73),0)</f>
        <v>0</v>
      </c>
      <c r="J73" s="3180" t="n">
        <f aca="false">G73-I73</f>
        <v>0</v>
      </c>
    </row>
    <row r="74" customFormat="false" ht="15" hidden="false" customHeight="true" outlineLevel="0" collapsed="false">
      <c r="B74" s="1439" t="str">
        <f aca="false">'Смета Внутр'!B74</f>
        <v>Праймер для обработки </v>
      </c>
      <c r="C74" s="1439" t="str">
        <f aca="false">'Смета Внутр'!C74</f>
        <v>л</v>
      </c>
      <c r="D74" s="1439" t="n">
        <f aca="false">'Смета Внутр'!D74</f>
        <v>0</v>
      </c>
      <c r="E74" s="1439"/>
      <c r="F74" s="1439" t="n">
        <f aca="false">'Смета Внутр'!E74</f>
        <v>100</v>
      </c>
      <c r="G74" s="1439" t="n">
        <f aca="false">'Смета Внутр'!H74</f>
        <v>0</v>
      </c>
      <c r="H74" s="1439"/>
      <c r="I74" s="1439" t="n">
        <f aca="false">IF(F74&lt;H74,F74*(D74-E74),0)+IF(H74=0,(D74-E74)*F74,0)+IF(H74&lt;F74,H74*(D74-E74),0)</f>
        <v>0</v>
      </c>
      <c r="J74" s="1439" t="n">
        <f aca="false">G74-I74</f>
        <v>0</v>
      </c>
    </row>
    <row r="75" customFormat="false" ht="15" hidden="false" customHeight="true" outlineLevel="0" collapsed="false">
      <c r="B75" s="1439" t="str">
        <f aca="false">'Смета Внутр'!B75</f>
        <v>Гидроизол</v>
      </c>
      <c r="C75" s="1439" t="str">
        <f aca="false">'Смета Внутр'!C75</f>
        <v>м2</v>
      </c>
      <c r="D75" s="1439" t="n">
        <f aca="false">'Смета Внутр'!D75</f>
        <v>0</v>
      </c>
      <c r="E75" s="1439"/>
      <c r="F75" s="1439" t="n">
        <f aca="false">'Смета Внутр'!E75</f>
        <v>70</v>
      </c>
      <c r="G75" s="1439" t="n">
        <f aca="false">'Смета Внутр'!H75</f>
        <v>0</v>
      </c>
      <c r="H75" s="1439"/>
      <c r="I75" s="1439" t="n">
        <f aca="false">IF(F75&lt;H75,F75*(D75-E75),0)+IF(H75=0,(D75-E75)*F75,0)+IF(H75&lt;F75,H75*(D75-E75),0)</f>
        <v>0</v>
      </c>
      <c r="J75" s="1439" t="n">
        <f aca="false">G75-I75</f>
        <v>0</v>
      </c>
    </row>
    <row r="76" customFormat="false" ht="15" hidden="false" customHeight="true" outlineLevel="0" collapsed="false">
      <c r="B76" s="1439" t="str">
        <f aca="false">'Смета Внутр'!B76</f>
        <v>Мастика битумная</v>
      </c>
      <c r="C76" s="1439" t="str">
        <f aca="false">'Смета Внутр'!C76</f>
        <v>кг</v>
      </c>
      <c r="D76" s="1439" t="n">
        <f aca="false">'Смета Внутр'!D76</f>
        <v>0</v>
      </c>
      <c r="E76" s="1439"/>
      <c r="F76" s="1439" t="n">
        <f aca="false">'Смета Внутр'!E76</f>
        <v>100</v>
      </c>
      <c r="G76" s="1439" t="n">
        <f aca="false">'Смета Внутр'!H76</f>
        <v>0</v>
      </c>
      <c r="H76" s="1439"/>
      <c r="I76" s="1439" t="n">
        <f aca="false">IF(F76&lt;H76,F76*(D76-E76),0)+IF(H76=0,(D76-E76)*F76,0)+IF(H76&lt;F76,H76*(D76-E76),0)</f>
        <v>0</v>
      </c>
      <c r="J76" s="1439" t="n">
        <f aca="false">G76-I76</f>
        <v>0</v>
      </c>
    </row>
    <row r="77" customFormat="false" ht="15" hidden="false" customHeight="true" outlineLevel="0" collapsed="false">
      <c r="B77" s="1439" t="str">
        <f aca="false">'Смета Внутр'!B77</f>
        <v>Блоки ФБС</v>
      </c>
      <c r="C77" s="1439" t="str">
        <f aca="false">'Смета Внутр'!C77</f>
        <v>м3</v>
      </c>
      <c r="D77" s="1439" t="n">
        <f aca="false">'Смета Внутр'!D77</f>
        <v>0</v>
      </c>
      <c r="E77" s="1439"/>
      <c r="F77" s="1439" t="n">
        <f aca="false">'Смета Внутр'!E77</f>
        <v>1200</v>
      </c>
      <c r="G77" s="1439" t="n">
        <f aca="false">'Смета Внутр'!H77</f>
        <v>0</v>
      </c>
      <c r="H77" s="1439"/>
      <c r="I77" s="1439" t="n">
        <f aca="false">IF(F77&lt;H77,F77*(D77-E77),0)+IF(H77=0,(D77-E77)*F77,0)+IF(H77&lt;F77,H77*(D77-E77),0)</f>
        <v>0</v>
      </c>
      <c r="J77" s="1439" t="n">
        <f aca="false">G77-I77</f>
        <v>0</v>
      </c>
    </row>
    <row r="78" customFormat="false" ht="15" hidden="false" customHeight="true" outlineLevel="0" collapsed="false">
      <c r="B78" s="1439" t="str">
        <f aca="false">'Смета Внутр'!B78</f>
        <v>Кладочная сетка, 100*100/150*150/200*200мм</v>
      </c>
      <c r="C78" s="1439" t="str">
        <f aca="false">'Смета Внутр'!C78</f>
        <v>м2</v>
      </c>
      <c r="D78" s="1439" t="n">
        <f aca="false">'Смета Внутр'!D78</f>
        <v>0</v>
      </c>
      <c r="E78" s="1439"/>
      <c r="F78" s="1439" t="n">
        <f aca="false">'Смета Внутр'!E78</f>
        <v>70</v>
      </c>
      <c r="G78" s="1439" t="n">
        <f aca="false">'Смета Внутр'!H78</f>
        <v>0</v>
      </c>
      <c r="H78" s="1439"/>
      <c r="I78" s="1439" t="n">
        <f aca="false">IF(F78&lt;H78,F78*(D78-E78),0)+IF(H78=0,(D78-E78)*F78,0)+IF(H78&lt;F78,H78*(D78-E78),0)</f>
        <v>0</v>
      </c>
      <c r="J78" s="1439" t="n">
        <f aca="false">G78-I78</f>
        <v>0</v>
      </c>
    </row>
    <row r="79" customFormat="false" ht="15" hidden="false" customHeight="true" outlineLevel="0" collapsed="false">
      <c r="B79" s="1439" t="str">
        <f aca="false">'Смета Внутр'!B79</f>
        <v>Вязальная проволока</v>
      </c>
      <c r="C79" s="1439" t="str">
        <f aca="false">'Смета Внутр'!C79</f>
        <v>кг</v>
      </c>
      <c r="D79" s="1439" t="n">
        <f aca="false">'Смета Внутр'!D79</f>
        <v>0</v>
      </c>
      <c r="E79" s="1439"/>
      <c r="F79" s="1439" t="n">
        <f aca="false">'Смета Внутр'!E79</f>
        <v>80</v>
      </c>
      <c r="G79" s="1439" t="n">
        <f aca="false">'Смета Внутр'!H79</f>
        <v>0</v>
      </c>
      <c r="H79" s="1439"/>
      <c r="I79" s="1439" t="n">
        <f aca="false">IF(F79&lt;H79,F79*(D79-E79),0)+IF(H79=0,(D79-E79)*F79,0)+IF(H79&lt;F79,H79*(D79-E79),0)</f>
        <v>0</v>
      </c>
      <c r="J79" s="1439" t="n">
        <f aca="false">G79-I79</f>
        <v>0</v>
      </c>
    </row>
    <row r="80" customFormat="false" ht="15" hidden="false" customHeight="true" outlineLevel="0" collapsed="false">
      <c r="B80" s="1439" t="str">
        <f aca="false">'Смета Внутр'!B80</f>
        <v>Раствор, м250</v>
      </c>
      <c r="C80" s="1439" t="str">
        <f aca="false">'Смета Внутр'!C80</f>
        <v>м3</v>
      </c>
      <c r="D80" s="1439" t="n">
        <f aca="false">'Смета Внутр'!D80</f>
        <v>0</v>
      </c>
      <c r="E80" s="1439"/>
      <c r="F80" s="1439" t="n">
        <f aca="false">'Смета Внутр'!E80</f>
        <v>2500</v>
      </c>
      <c r="G80" s="1439" t="n">
        <f aca="false">'Смета Внутр'!H80</f>
        <v>0</v>
      </c>
      <c r="H80" s="1439"/>
      <c r="I80" s="1439" t="n">
        <f aca="false">IF(F80&lt;H80,F80*(D80-E80),0)+IF(H80=0,(D80-E80)*F80,0)+IF(H80&lt;F80,H80*(D80-E80),0)</f>
        <v>0</v>
      </c>
      <c r="J80" s="1439" t="n">
        <f aca="false">G80-I80</f>
        <v>0</v>
      </c>
    </row>
    <row r="81" customFormat="false" ht="15" hidden="false" customHeight="true" outlineLevel="0" collapsed="false">
      <c r="B81" s="1439" t="str">
        <f aca="false">'Смета Внутр'!B81</f>
        <v>Сосна влаж,150*40мм</v>
      </c>
      <c r="C81" s="1439" t="str">
        <f aca="false">'Смета Внутр'!C81</f>
        <v>м3</v>
      </c>
      <c r="D81" s="1439" t="n">
        <f aca="false">'Смета Внутр'!D81</f>
        <v>0</v>
      </c>
      <c r="E81" s="1439"/>
      <c r="F81" s="1439" t="n">
        <f aca="false">'Смета Внутр'!E81</f>
        <v>6500</v>
      </c>
      <c r="G81" s="1439" t="n">
        <f aca="false">'Смета Внутр'!H81</f>
        <v>0</v>
      </c>
      <c r="H81" s="1439"/>
      <c r="I81" s="1439" t="n">
        <f aca="false">IF(F81&lt;H81,F81*(D81-E81),0)+IF(H81=0,(D81-E81)*F81,0)+IF(H81&lt;F81,H81*(D81-E81),0)</f>
        <v>0</v>
      </c>
      <c r="J81" s="1439" t="n">
        <f aca="false">G81-I81</f>
        <v>0</v>
      </c>
    </row>
    <row r="82" customFormat="false" ht="15" hidden="false" customHeight="true" outlineLevel="0" collapsed="false">
      <c r="B82" s="1439" t="str">
        <f aca="false">'Смета Внутр'!B82</f>
        <v>Арматура стальная Ø 10 </v>
      </c>
      <c r="C82" s="1439" t="str">
        <f aca="false">'Смета Внутр'!C82</f>
        <v>м.п.</v>
      </c>
      <c r="D82" s="1439" t="n">
        <f aca="false">'Смета Внутр'!D82</f>
        <v>0</v>
      </c>
      <c r="E82" s="1439"/>
      <c r="F82" s="1439" t="n">
        <f aca="false">'Смета Внутр'!E82</f>
        <v>21.0397</v>
      </c>
      <c r="G82" s="1439" t="n">
        <f aca="false">'Смета Внутр'!H82</f>
        <v>0</v>
      </c>
      <c r="H82" s="1439"/>
      <c r="I82" s="1439" t="n">
        <f aca="false">IF(F82&lt;H82,F82*(D82-E82),0)+IF(H82=0,(D82-E82)*F82,0)+IF(H82&lt;F82,H82*(D82-E82),0)</f>
        <v>0</v>
      </c>
      <c r="J82" s="1439" t="n">
        <f aca="false">G82-I82</f>
        <v>0</v>
      </c>
    </row>
    <row r="83" customFormat="false" ht="15" hidden="false" customHeight="true" outlineLevel="0" collapsed="false">
      <c r="B83" s="1439" t="str">
        <f aca="false">'Смета Внутр'!B83</f>
        <v>Нет арматуры</v>
      </c>
      <c r="C83" s="1439" t="str">
        <f aca="false">'Смета Внутр'!C83</f>
        <v>м.п.</v>
      </c>
      <c r="D83" s="1439" t="n">
        <f aca="false">'Смета Внутр'!D83</f>
        <v>0</v>
      </c>
      <c r="E83" s="1439"/>
      <c r="F83" s="1439" t="n">
        <f aca="false">'Смета Внутр'!E83</f>
        <v>0</v>
      </c>
      <c r="G83" s="1439" t="n">
        <f aca="false">'Смета Внутр'!H83</f>
        <v>0</v>
      </c>
      <c r="H83" s="1439"/>
      <c r="I83" s="1439" t="n">
        <f aca="false">IF(F83&lt;H83,F83*(D83-E83),0)+IF(H83=0,(D83-E83)*F83,0)+IF(H83&lt;F83,H83*(D83-E83),0)</f>
        <v>0</v>
      </c>
      <c r="J83" s="1439" t="n">
        <f aca="false">G83-I83</f>
        <v>0</v>
      </c>
    </row>
    <row r="84" customFormat="false" ht="15" hidden="false" customHeight="true" outlineLevel="0" collapsed="false">
      <c r="B84" s="1439" t="str">
        <f aca="false">'Смета Внутр'!B84</f>
        <v>Бетон, м300</v>
      </c>
      <c r="C84" s="1439" t="str">
        <f aca="false">'Смета Внутр'!C84</f>
        <v>м3</v>
      </c>
      <c r="D84" s="1439" t="n">
        <f aca="false">'Смета Внутр'!D84</f>
        <v>0</v>
      </c>
      <c r="E84" s="1439"/>
      <c r="F84" s="1439" t="n">
        <f aca="false">'Смета Внутр'!E84</f>
        <v>3000</v>
      </c>
      <c r="G84" s="1439" t="n">
        <f aca="false">'Смета Внутр'!H84</f>
        <v>0</v>
      </c>
      <c r="H84" s="1439"/>
      <c r="I84" s="1439" t="n">
        <f aca="false">IF(F84&lt;H84,F84*(D84-E84),0)+IF(H84=0,(D84-E84)*F84,0)+IF(H84&lt;F84,H84*(D84-E84),0)</f>
        <v>0</v>
      </c>
      <c r="J84" s="1439" t="n">
        <f aca="false">G84-I84</f>
        <v>0</v>
      </c>
    </row>
    <row r="85" customFormat="false" ht="15" hidden="false" customHeight="true" outlineLevel="0" collapsed="false">
      <c r="B85" s="1439" t="str">
        <f aca="false">'Смета Внутр'!B85</f>
        <v>Праймер для обработки </v>
      </c>
      <c r="C85" s="1439" t="str">
        <f aca="false">'Смета Внутр'!C85</f>
        <v>л</v>
      </c>
      <c r="D85" s="1439" t="n">
        <f aca="false">'Смета Внутр'!D85</f>
        <v>0</v>
      </c>
      <c r="E85" s="1439"/>
      <c r="F85" s="1439" t="n">
        <f aca="false">'Смета Внутр'!E85</f>
        <v>100</v>
      </c>
      <c r="G85" s="1439" t="n">
        <f aca="false">'Смета Внутр'!H85</f>
        <v>0</v>
      </c>
      <c r="H85" s="1439"/>
      <c r="I85" s="1439" t="n">
        <f aca="false">IF(F85&lt;H85,F85*(D85-E85),0)+IF(H85=0,(D85-E85)*F85,0)+IF(H85&lt;F85,H85*(D85-E85),0)</f>
        <v>0</v>
      </c>
      <c r="J85" s="1439" t="n">
        <f aca="false">G85-I85</f>
        <v>0</v>
      </c>
    </row>
    <row r="86" customFormat="false" ht="15" hidden="false" customHeight="true" outlineLevel="0" collapsed="false">
      <c r="B86" s="1439" t="str">
        <f aca="false">'Смета Внутр'!B86</f>
        <v>Плитный,28кг/м3, технониколь, 100мм</v>
      </c>
      <c r="C86" s="1439" t="str">
        <f aca="false">'Смета Внутр'!C86</f>
        <v>м3</v>
      </c>
      <c r="D86" s="1439" t="n">
        <f aca="false">'Смета Внутр'!D86</f>
        <v>0</v>
      </c>
      <c r="E86" s="1439"/>
      <c r="F86" s="1439" t="n">
        <f aca="false">'Смета Внутр'!E86</f>
        <v>1700</v>
      </c>
      <c r="G86" s="1439" t="n">
        <f aca="false">'Смета Внутр'!H86</f>
        <v>0</v>
      </c>
      <c r="H86" s="1439"/>
      <c r="I86" s="1439" t="n">
        <f aca="false">IF(F86&lt;H86,F86*(D86-E86),0)+IF(H86=0,(D86-E86)*F86,0)+IF(H86&lt;F86,H86*(D86-E86),0)</f>
        <v>0</v>
      </c>
      <c r="J86" s="1439" t="n">
        <f aca="false">G86-I86</f>
        <v>0</v>
      </c>
    </row>
    <row r="87" customFormat="false" ht="15" hidden="false" customHeight="true" outlineLevel="0" collapsed="false">
      <c r="B87" s="1439" t="str">
        <f aca="false">'Смета Внутр'!B87</f>
        <v>Грибок для крепления утеплителя</v>
      </c>
      <c r="C87" s="1439" t="str">
        <f aca="false">'Смета Внутр'!C87</f>
        <v>шт</v>
      </c>
      <c r="D87" s="1439" t="n">
        <f aca="false">'Смета Внутр'!D87</f>
        <v>0</v>
      </c>
      <c r="E87" s="1439"/>
      <c r="F87" s="1439" t="n">
        <f aca="false">'Смета Внутр'!E87</f>
        <v>15</v>
      </c>
      <c r="G87" s="1439" t="n">
        <f aca="false">'Смета Внутр'!H87</f>
        <v>0</v>
      </c>
      <c r="H87" s="1439"/>
      <c r="I87" s="1439" t="n">
        <f aca="false">IF(F87&lt;H87,F87*(D87-E87),0)+IF(H87=0,(D87-E87)*F87,0)+IF(H87&lt;F87,H87*(D87-E87),0)</f>
        <v>0</v>
      </c>
      <c r="J87" s="1439" t="n">
        <f aca="false">G87-I87</f>
        <v>0</v>
      </c>
    </row>
    <row r="88" customFormat="false" ht="15" hidden="false" customHeight="true" outlineLevel="0" collapsed="false">
      <c r="B88" s="1692" t="s">
        <v>4332</v>
      </c>
      <c r="C88" s="1692"/>
      <c r="D88" s="1692"/>
      <c r="E88" s="1692"/>
      <c r="F88" s="1692"/>
      <c r="G88" s="1439" t="n">
        <f aca="false">'Смета Внутр'!H88</f>
        <v>0</v>
      </c>
      <c r="H88" s="3181"/>
      <c r="I88" s="1439"/>
      <c r="J88" s="1439"/>
    </row>
    <row r="89" customFormat="false" ht="15" hidden="false" customHeight="true" outlineLevel="0" collapsed="false">
      <c r="B89" s="1268" t="str">
        <f aca="false">'Смета Внутр'!B89</f>
        <v>Работы</v>
      </c>
      <c r="C89" s="1268"/>
      <c r="D89" s="1268"/>
      <c r="E89" s="1268"/>
      <c r="F89" s="1268"/>
      <c r="G89" s="3173" t="n">
        <f aca="false">'Смета Внутр'!H89</f>
        <v>0</v>
      </c>
      <c r="H89" s="3182"/>
      <c r="I89" s="3180" t="n">
        <f aca="false">IF(F89&lt;H89,F89*(D89-E89),0)+IF(H89=0,(D89-E89)*F89,0)+IF(H89&lt;F89,H89*(D89-E89),0)</f>
        <v>0</v>
      </c>
      <c r="J89" s="3180" t="n">
        <f aca="false">G89-I89</f>
        <v>0</v>
      </c>
    </row>
    <row r="90" customFormat="false" ht="15" hidden="false" customHeight="true" outlineLevel="0" collapsed="false">
      <c r="B90" s="1439" t="str">
        <f aca="false">'Смета Внутр'!B90</f>
        <v>обработка праймер</v>
      </c>
      <c r="C90" s="1439" t="str">
        <f aca="false">'Смета Внутр'!C90</f>
        <v>м2</v>
      </c>
      <c r="D90" s="1439" t="n">
        <f aca="false">'Смета Внутр'!D90</f>
        <v>0</v>
      </c>
      <c r="E90" s="1439"/>
      <c r="F90" s="1439" t="n">
        <f aca="false">'Смета Внутр'!E90</f>
        <v>200</v>
      </c>
      <c r="G90" s="1439" t="n">
        <f aca="false">'Смета Внутр'!H90</f>
        <v>0</v>
      </c>
      <c r="H90" s="1439"/>
      <c r="I90" s="1439" t="n">
        <f aca="false">IF(F90&lt;H90,F90*(D90-E90),0)+IF(H90=0,(D90-E90)*F90,0)+IF(H90&lt;F90,H90*(D90-E90),0)</f>
        <v>0</v>
      </c>
      <c r="J90" s="1439" t="n">
        <f aca="false">G90-I90</f>
        <v>0</v>
      </c>
    </row>
    <row r="91" customFormat="false" ht="15" hidden="false" customHeight="true" outlineLevel="0" collapsed="false">
      <c r="B91" s="1439" t="str">
        <f aca="false">'Смета Внутр'!B91</f>
        <v>настил гидроизола</v>
      </c>
      <c r="C91" s="1439" t="str">
        <f aca="false">'Смета Внутр'!C91</f>
        <v>м2</v>
      </c>
      <c r="D91" s="1439" t="n">
        <f aca="false">'Смета Внутр'!D91</f>
        <v>0</v>
      </c>
      <c r="E91" s="1439"/>
      <c r="F91" s="1439" t="n">
        <f aca="false">'Смета Внутр'!E91</f>
        <v>100</v>
      </c>
      <c r="G91" s="1439" t="n">
        <f aca="false">'Смета Внутр'!H91</f>
        <v>0</v>
      </c>
      <c r="H91" s="1439"/>
      <c r="I91" s="1439" t="n">
        <f aca="false">IF(F91&lt;H91,F91*(D91-E91),0)+IF(H91=0,(D91-E91)*F91,0)+IF(H91&lt;F91,H91*(D91-E91),0)</f>
        <v>0</v>
      </c>
      <c r="J91" s="1439" t="n">
        <f aca="false">G91-I91</f>
        <v>0</v>
      </c>
    </row>
    <row r="92" customFormat="false" ht="15" hidden="false" customHeight="true" outlineLevel="0" collapsed="false">
      <c r="B92" s="1439" t="str">
        <f aca="false">'Смета Внутр'!B92</f>
        <v>Кладка блоков ФБС</v>
      </c>
      <c r="C92" s="1439" t="str">
        <f aca="false">'Смета Внутр'!C92</f>
        <v>м3</v>
      </c>
      <c r="D92" s="1439" t="n">
        <f aca="false">'Смета Внутр'!D92</f>
        <v>0</v>
      </c>
      <c r="E92" s="1439"/>
      <c r="F92" s="1439" t="n">
        <f aca="false">'Смета Внутр'!E92</f>
        <v>1000</v>
      </c>
      <c r="G92" s="1439" t="n">
        <f aca="false">'Смета Внутр'!H92</f>
        <v>0</v>
      </c>
      <c r="H92" s="1439"/>
      <c r="I92" s="1439" t="n">
        <f aca="false">IF(F92&lt;H92,F92*(D92-E92),0)+IF(H92=0,(D92-E92)*F92,0)+IF(H92&lt;F92,H92*(D92-E92),0)</f>
        <v>0</v>
      </c>
      <c r="J92" s="1439" t="n">
        <f aca="false">G92-I92</f>
        <v>0</v>
      </c>
    </row>
    <row r="93" customFormat="false" ht="15" hidden="false" customHeight="true" outlineLevel="0" collapsed="false">
      <c r="B93" s="1439" t="str">
        <f aca="false">'Смета Внутр'!B93</f>
        <v>укладка сетки</v>
      </c>
      <c r="C93" s="1439" t="str">
        <f aca="false">'Смета Внутр'!C93</f>
        <v>м2</v>
      </c>
      <c r="D93" s="1439" t="n">
        <f aca="false">'Смета Внутр'!D93</f>
        <v>0</v>
      </c>
      <c r="E93" s="1439"/>
      <c r="F93" s="1439" t="n">
        <f aca="false">'Смета Внутр'!E93</f>
        <v>100</v>
      </c>
      <c r="G93" s="1439" t="n">
        <f aca="false">'Смета Внутр'!H93</f>
        <v>0</v>
      </c>
      <c r="H93" s="1439"/>
      <c r="I93" s="1439" t="n">
        <f aca="false">IF(F93&lt;H93,F93*(D93-E93),0)+IF(H93=0,(D93-E93)*F93,0)+IF(H93&lt;F93,H93*(D93-E93),0)</f>
        <v>0</v>
      </c>
      <c r="J93" s="1439" t="n">
        <f aca="false">G93-I93</f>
        <v>0</v>
      </c>
    </row>
    <row r="94" customFormat="false" ht="15" hidden="false" customHeight="true" outlineLevel="0" collapsed="false">
      <c r="B94" s="1439" t="str">
        <f aca="false">'Смета Внутр'!B94</f>
        <v>гидроизоляция стен</v>
      </c>
      <c r="C94" s="1439" t="str">
        <f aca="false">'Смета Внутр'!C94</f>
        <v>м2</v>
      </c>
      <c r="D94" s="1439" t="n">
        <f aca="false">'Смета Внутр'!D94</f>
        <v>0</v>
      </c>
      <c r="E94" s="1439"/>
      <c r="F94" s="1439" t="n">
        <f aca="false">'Смета Внутр'!E94</f>
        <v>200</v>
      </c>
      <c r="G94" s="1439" t="n">
        <f aca="false">'Смета Внутр'!H94</f>
        <v>0</v>
      </c>
      <c r="H94" s="1439"/>
      <c r="I94" s="1439" t="n">
        <f aca="false">IF(F94&lt;H94,F94*(D94-E94),0)+IF(H94=0,(D94-E94)*F94,0)+IF(H94&lt;F94,H94*(D94-E94),0)</f>
        <v>0</v>
      </c>
      <c r="J94" s="1439" t="n">
        <f aca="false">G94-I94</f>
        <v>0</v>
      </c>
    </row>
    <row r="95" customFormat="false" ht="15" hidden="false" customHeight="true" outlineLevel="0" collapsed="false">
      <c r="B95" s="1439" t="str">
        <f aca="false">'Смета Внутр'!B95</f>
        <v>Монтаж утеплителя стен наружних</v>
      </c>
      <c r="C95" s="1439" t="str">
        <f aca="false">'Смета Внутр'!C95</f>
        <v>м2</v>
      </c>
      <c r="D95" s="1439" t="n">
        <f aca="false">'Смета Внутр'!D95</f>
        <v>0</v>
      </c>
      <c r="E95" s="1439"/>
      <c r="F95" s="1439" t="n">
        <f aca="false">'Смета Внутр'!E95</f>
        <v>200</v>
      </c>
      <c r="G95" s="1439" t="n">
        <f aca="false">'Смета Внутр'!H95</f>
        <v>0</v>
      </c>
      <c r="H95" s="1439"/>
      <c r="I95" s="1439" t="n">
        <f aca="false">IF(F95&lt;H95,F95*(D95-E95),0)+IF(H95=0,(D95-E95)*F95,0)+IF(H95&lt;F95,H95*(D95-E95),0)</f>
        <v>0</v>
      </c>
      <c r="J95" s="1439" t="n">
        <f aca="false">G95-I95</f>
        <v>0</v>
      </c>
    </row>
    <row r="96" customFormat="false" ht="15" hidden="false" customHeight="true" outlineLevel="0" collapsed="false">
      <c r="B96" s="1439" t="str">
        <f aca="false">'Смета Внутр'!B96</f>
        <v>сборка опалубки</v>
      </c>
      <c r="C96" s="1439" t="str">
        <f aca="false">'Смета Внутр'!C96</f>
        <v>м2</v>
      </c>
      <c r="D96" s="1439" t="n">
        <f aca="false">'Смета Внутр'!D96</f>
        <v>0</v>
      </c>
      <c r="E96" s="1439"/>
      <c r="F96" s="1439" t="n">
        <f aca="false">'Смета Внутр'!E96</f>
        <v>300</v>
      </c>
      <c r="G96" s="1439" t="n">
        <f aca="false">'Смета Внутр'!H96</f>
        <v>0</v>
      </c>
      <c r="H96" s="1439"/>
      <c r="I96" s="1439" t="n">
        <f aca="false">IF(F96&lt;H96,F96*(D96-E96),0)+IF(H96=0,(D96-E96)*F96,0)+IF(H96&lt;F96,H96*(D96-E96),0)</f>
        <v>0</v>
      </c>
      <c r="J96" s="1439" t="n">
        <f aca="false">G96-I96</f>
        <v>0</v>
      </c>
    </row>
    <row r="97" customFormat="false" ht="15" hidden="false" customHeight="true" outlineLevel="0" collapsed="false">
      <c r="B97" s="1439" t="str">
        <f aca="false">'Смета Внутр'!B97</f>
        <v>разборка опалубки</v>
      </c>
      <c r="C97" s="1439" t="str">
        <f aca="false">'Смета Внутр'!C97</f>
        <v>м2</v>
      </c>
      <c r="D97" s="1439" t="n">
        <f aca="false">'Смета Внутр'!D97</f>
        <v>0</v>
      </c>
      <c r="E97" s="1439"/>
      <c r="F97" s="1439" t="n">
        <f aca="false">'Смета Внутр'!E97</f>
        <v>100</v>
      </c>
      <c r="G97" s="1439" t="n">
        <f aca="false">'Смета Внутр'!H97</f>
        <v>0</v>
      </c>
      <c r="H97" s="1439"/>
      <c r="I97" s="1439" t="n">
        <f aca="false">IF(F97&lt;H97,F97*(D97-E97),0)+IF(H97=0,(D97-E97)*F97,0)+IF(H97&lt;F97,H97*(D97-E97),0)</f>
        <v>0</v>
      </c>
      <c r="J97" s="1439" t="n">
        <f aca="false">G97-I97</f>
        <v>0</v>
      </c>
    </row>
    <row r="98" customFormat="false" ht="15" hidden="false" customHeight="true" outlineLevel="0" collapsed="false">
      <c r="B98" s="1439" t="str">
        <f aca="false">'Смета Внутр'!B98</f>
        <v>приемка бетона</v>
      </c>
      <c r="C98" s="1439" t="str">
        <f aca="false">'Смета Внутр'!C98</f>
        <v>м3</v>
      </c>
      <c r="D98" s="1439" t="n">
        <f aca="false">'Смета Внутр'!D98</f>
        <v>0</v>
      </c>
      <c r="E98" s="1439"/>
      <c r="F98" s="1439" t="n">
        <f aca="false">'Смета Внутр'!E98</f>
        <v>350</v>
      </c>
      <c r="G98" s="1439" t="n">
        <f aca="false">'Смета Внутр'!H98</f>
        <v>0</v>
      </c>
      <c r="H98" s="1439"/>
      <c r="I98" s="1439" t="n">
        <f aca="false">IF(F98&lt;H98,F98*(D98-E98),0)+IF(H98=0,(D98-E98)*F98,0)+IF(H98&lt;F98,H98*(D98-E98),0)</f>
        <v>0</v>
      </c>
      <c r="J98" s="1439" t="n">
        <f aca="false">G98-I98</f>
        <v>0</v>
      </c>
    </row>
    <row r="99" customFormat="false" ht="15" hidden="false" customHeight="false" outlineLevel="0" collapsed="false">
      <c r="B99" s="1692" t="s">
        <v>4333</v>
      </c>
      <c r="C99" s="1692"/>
      <c r="D99" s="1692"/>
      <c r="E99" s="1692"/>
      <c r="F99" s="1692"/>
      <c r="G99" s="1439" t="n">
        <f aca="false">'Смета Внутр'!H99</f>
        <v>0</v>
      </c>
      <c r="H99" s="3181"/>
      <c r="I99" s="1439"/>
      <c r="J99" s="1439"/>
    </row>
    <row r="100" customFormat="false" ht="15" hidden="false" customHeight="true" outlineLevel="0" collapsed="false">
      <c r="B100" s="3172" t="str">
        <f aca="false">'Смета Внутр'!B100</f>
        <v>Цокольный этаж из Монолит (бетон)</v>
      </c>
      <c r="C100" s="3172"/>
      <c r="D100" s="3172"/>
      <c r="E100" s="3172"/>
      <c r="F100" s="3172"/>
      <c r="G100" s="3173" t="n">
        <f aca="false">'Смета Внутр'!H100</f>
        <v>0</v>
      </c>
      <c r="H100" s="3173"/>
      <c r="I100" s="3180" t="n">
        <f aca="false">IF(F100&lt;H100,F100*(D100-E100),0)+IF(H100=0,(D100-E100)*F100,0)+IF(H100&lt;F100,H100*(D100-E100),0)</f>
        <v>0</v>
      </c>
      <c r="J100" s="3180" t="n">
        <f aca="false">G100-I100</f>
        <v>0</v>
      </c>
    </row>
    <row r="101" customFormat="false" ht="15" hidden="false" customHeight="true" outlineLevel="0" collapsed="false">
      <c r="B101" s="1268" t="str">
        <f aca="false">'Смета Внутр'!B101</f>
        <v>Материалы</v>
      </c>
      <c r="C101" s="1268"/>
      <c r="D101" s="1268"/>
      <c r="E101" s="1268"/>
      <c r="F101" s="1268"/>
      <c r="G101" s="3173" t="n">
        <f aca="false">'Смета Внутр'!H101</f>
        <v>0</v>
      </c>
      <c r="H101" s="3182"/>
      <c r="I101" s="3180" t="n">
        <f aca="false">IF(F101&lt;H101,F101*(D101-E101),0)+IF(H101=0,(D101-E101)*F101,0)+IF(H101&lt;F101,H101*(D101-E101),0)</f>
        <v>0</v>
      </c>
      <c r="J101" s="3180" t="n">
        <f aca="false">G101-I101</f>
        <v>0</v>
      </c>
    </row>
    <row r="102" customFormat="false" ht="15" hidden="false" customHeight="true" outlineLevel="0" collapsed="false">
      <c r="B102" s="1439" t="str">
        <f aca="false">'Смета Внутр'!B102</f>
        <v>Праймер для обработки </v>
      </c>
      <c r="C102" s="1439" t="str">
        <f aca="false">'Смета Внутр'!C102</f>
        <v>л</v>
      </c>
      <c r="D102" s="1439" t="n">
        <f aca="false">'Смета Внутр'!D102</f>
        <v>0</v>
      </c>
      <c r="E102" s="1439"/>
      <c r="F102" s="1439" t="n">
        <f aca="false">'Смета Внутр'!E102</f>
        <v>100</v>
      </c>
      <c r="G102" s="1439" t="n">
        <f aca="false">'Смета Внутр'!H102</f>
        <v>0</v>
      </c>
      <c r="H102" s="1439"/>
      <c r="I102" s="1439" t="n">
        <f aca="false">IF(F102&lt;H102,F102*(D102-E102),0)+IF(H102=0,(D102-E102)*F102,0)+IF(H102&lt;F102,H102*(D102-E102),0)</f>
        <v>0</v>
      </c>
      <c r="J102" s="1439" t="n">
        <f aca="false">G102-I102</f>
        <v>0</v>
      </c>
    </row>
    <row r="103" customFormat="false" ht="15" hidden="false" customHeight="true" outlineLevel="0" collapsed="false">
      <c r="B103" s="1439" t="str">
        <f aca="false">'Смета Внутр'!B103</f>
        <v>Гидроизол</v>
      </c>
      <c r="C103" s="1439" t="str">
        <f aca="false">'Смета Внутр'!C103</f>
        <v>м2</v>
      </c>
      <c r="D103" s="1439" t="n">
        <f aca="false">'Смета Внутр'!D103</f>
        <v>0</v>
      </c>
      <c r="E103" s="1439"/>
      <c r="F103" s="1439" t="n">
        <f aca="false">'Смета Внутр'!E103</f>
        <v>70</v>
      </c>
      <c r="G103" s="1439" t="n">
        <f aca="false">'Смета Внутр'!H103</f>
        <v>0</v>
      </c>
      <c r="H103" s="1439"/>
      <c r="I103" s="1439" t="n">
        <f aca="false">IF(F103&lt;H103,F103*(D103-E103),0)+IF(H103=0,(D103-E103)*F103,0)+IF(H103&lt;F103,H103*(D103-E103),0)</f>
        <v>0</v>
      </c>
      <c r="J103" s="1439" t="n">
        <f aca="false">G103-I103</f>
        <v>0</v>
      </c>
    </row>
    <row r="104" customFormat="false" ht="15" hidden="false" customHeight="true" outlineLevel="0" collapsed="false">
      <c r="B104" s="1439" t="str">
        <f aca="false">'Смета Внутр'!B104</f>
        <v>Мастика битумная</v>
      </c>
      <c r="C104" s="1439" t="str">
        <f aca="false">'Смета Внутр'!C104</f>
        <v>кг</v>
      </c>
      <c r="D104" s="1439" t="n">
        <f aca="false">'Смета Внутр'!D104</f>
        <v>0</v>
      </c>
      <c r="E104" s="1439"/>
      <c r="F104" s="1439" t="n">
        <f aca="false">'Смета Внутр'!E104</f>
        <v>100</v>
      </c>
      <c r="G104" s="1439" t="n">
        <f aca="false">'Смета Внутр'!H104</f>
        <v>0</v>
      </c>
      <c r="H104" s="1439"/>
      <c r="I104" s="1439" t="n">
        <f aca="false">IF(F104&lt;H104,F104*(D104-E104),0)+IF(H104=0,(D104-E104)*F104,0)+IF(H104&lt;F104,H104*(D104-E104),0)</f>
        <v>0</v>
      </c>
      <c r="J104" s="1439" t="n">
        <f aca="false">G104-I104</f>
        <v>0</v>
      </c>
    </row>
    <row r="105" customFormat="false" ht="15" hidden="false" customHeight="true" outlineLevel="0" collapsed="false">
      <c r="B105" s="1439" t="str">
        <f aca="false">'Смета Внутр'!B105</f>
        <v>Сосна влаж,150*40мм</v>
      </c>
      <c r="C105" s="1439" t="str">
        <f aca="false">'Смета Внутр'!C105</f>
        <v>м3</v>
      </c>
      <c r="D105" s="1439" t="n">
        <f aca="false">'Смета Внутр'!D105</f>
        <v>0</v>
      </c>
      <c r="E105" s="1439"/>
      <c r="F105" s="1439" t="n">
        <f aca="false">'Смета Внутр'!E105</f>
        <v>6500</v>
      </c>
      <c r="G105" s="1439" t="n">
        <f aca="false">'Смета Внутр'!H105</f>
        <v>0</v>
      </c>
      <c r="H105" s="1439"/>
      <c r="I105" s="1439" t="n">
        <f aca="false">IF(F105&lt;H105,F105*(D105-E105),0)+IF(H105=0,(D105-E105)*F105,0)+IF(H105&lt;F105,H105*(D105-E105),0)</f>
        <v>0</v>
      </c>
      <c r="J105" s="1439" t="n">
        <f aca="false">G105-I105</f>
        <v>0</v>
      </c>
    </row>
    <row r="106" customFormat="false" ht="15" hidden="false" customHeight="true" outlineLevel="0" collapsed="false">
      <c r="B106" s="1439" t="str">
        <f aca="false">'Смета Внутр'!B106</f>
        <v>Крепления для опалубки</v>
      </c>
      <c r="C106" s="1439" t="str">
        <f aca="false">'Смета Внутр'!C106</f>
        <v>шт</v>
      </c>
      <c r="D106" s="1439" t="n">
        <f aca="false">'Смета Внутр'!D106</f>
        <v>0</v>
      </c>
      <c r="E106" s="1439"/>
      <c r="F106" s="1439" t="n">
        <f aca="false">'Смета Внутр'!E106</f>
        <v>20</v>
      </c>
      <c r="G106" s="1439" t="n">
        <f aca="false">'Смета Внутр'!H106</f>
        <v>0</v>
      </c>
      <c r="H106" s="1439"/>
      <c r="I106" s="1439" t="n">
        <f aca="false">IF(F106&lt;H106,F106*(D106-E106),0)+IF(H106=0,(D106-E106)*F106,0)+IF(H106&lt;F106,H106*(D106-E106),0)</f>
        <v>0</v>
      </c>
      <c r="J106" s="1439" t="n">
        <f aca="false">G106-I106</f>
        <v>0</v>
      </c>
    </row>
    <row r="107" customFormat="false" ht="15" hidden="false" customHeight="true" outlineLevel="0" collapsed="false">
      <c r="B107" s="1439" t="str">
        <f aca="false">'Смета Внутр'!B107</f>
        <v>Арматура стальная Ø 12</v>
      </c>
      <c r="C107" s="1439" t="str">
        <f aca="false">'Смета Внутр'!C107</f>
        <v>м.п.</v>
      </c>
      <c r="D107" s="1439" t="n">
        <f aca="false">'Смета Внутр'!D107</f>
        <v>0</v>
      </c>
      <c r="E107" s="1439"/>
      <c r="F107" s="1439" t="n">
        <f aca="false">'Смета Внутр'!E107</f>
        <v>29.2152</v>
      </c>
      <c r="G107" s="1439" t="n">
        <f aca="false">'Смета Внутр'!H107</f>
        <v>0</v>
      </c>
      <c r="H107" s="1439"/>
      <c r="I107" s="1439" t="n">
        <f aca="false">IF(F107&lt;H107,F107*(D107-E107),0)+IF(H107=0,(D107-E107)*F107,0)+IF(H107&lt;F107,H107*(D107-E107),0)</f>
        <v>0</v>
      </c>
      <c r="J107" s="1439" t="n">
        <f aca="false">G107-I107</f>
        <v>0</v>
      </c>
    </row>
    <row r="108" customFormat="false" ht="15" hidden="false" customHeight="true" outlineLevel="0" collapsed="false">
      <c r="B108" s="1439" t="str">
        <f aca="false">'Смета Внутр'!B108</f>
        <v>Вязальная проволока</v>
      </c>
      <c r="C108" s="1439" t="str">
        <f aca="false">'Смета Внутр'!C108</f>
        <v>кг</v>
      </c>
      <c r="D108" s="1439" t="n">
        <f aca="false">'Смета Внутр'!D108</f>
        <v>0</v>
      </c>
      <c r="E108" s="1439"/>
      <c r="F108" s="1439" t="n">
        <f aca="false">'Смета Внутр'!E108</f>
        <v>80</v>
      </c>
      <c r="G108" s="1439" t="n">
        <f aca="false">'Смета Внутр'!H108</f>
        <v>0</v>
      </c>
      <c r="H108" s="1439"/>
      <c r="I108" s="1439" t="n">
        <f aca="false">IF(F108&lt;H108,F108*(D108-E108),0)+IF(H108=0,(D108-E108)*F108,0)+IF(H108&lt;F108,H108*(D108-E108),0)</f>
        <v>0</v>
      </c>
      <c r="J108" s="1439" t="n">
        <f aca="false">G108-I108</f>
        <v>0</v>
      </c>
    </row>
    <row r="109" customFormat="false" ht="15" hidden="false" customHeight="true" outlineLevel="0" collapsed="false">
      <c r="B109" s="1439" t="str">
        <f aca="false">'Смета Внутр'!B109</f>
        <v>Бетон, м300</v>
      </c>
      <c r="C109" s="1439" t="str">
        <f aca="false">'Смета Внутр'!C109</f>
        <v>м3</v>
      </c>
      <c r="D109" s="1439" t="n">
        <f aca="false">'Смета Внутр'!D109</f>
        <v>0</v>
      </c>
      <c r="E109" s="1439"/>
      <c r="F109" s="1439" t="n">
        <f aca="false">'Смета Внутр'!E109</f>
        <v>3000</v>
      </c>
      <c r="G109" s="1439" t="n">
        <f aca="false">'Смета Внутр'!H109</f>
        <v>0</v>
      </c>
      <c r="H109" s="1439"/>
      <c r="I109" s="1439" t="n">
        <f aca="false">IF(F109&lt;H109,F109*(D109-E109),0)+IF(H109=0,(D109-E109)*F109,0)+IF(H109&lt;F109,H109*(D109-E109),0)</f>
        <v>0</v>
      </c>
      <c r="J109" s="1439" t="n">
        <f aca="false">G109-I109</f>
        <v>0</v>
      </c>
    </row>
    <row r="110" customFormat="false" ht="15" hidden="false" customHeight="true" outlineLevel="0" collapsed="false">
      <c r="B110" s="1439" t="str">
        <f aca="false">'Смета Внутр'!B110</f>
        <v>Праймер для обработки </v>
      </c>
      <c r="C110" s="1439" t="str">
        <f aca="false">'Смета Внутр'!C110</f>
        <v>кг</v>
      </c>
      <c r="D110" s="1439" t="n">
        <f aca="false">'Смета Внутр'!D110</f>
        <v>0</v>
      </c>
      <c r="E110" s="1439"/>
      <c r="F110" s="1439" t="n">
        <f aca="false">'Смета Внутр'!E110</f>
        <v>100</v>
      </c>
      <c r="G110" s="1439" t="n">
        <f aca="false">'Смета Внутр'!H110</f>
        <v>0</v>
      </c>
      <c r="H110" s="1439"/>
      <c r="I110" s="1439" t="n">
        <f aca="false">IF(F110&lt;H110,F110*(D110-E110),0)+IF(H110=0,(D110-E110)*F110,0)+IF(H110&lt;F110,H110*(D110-E110),0)</f>
        <v>0</v>
      </c>
      <c r="J110" s="1439" t="n">
        <f aca="false">G110-I110</f>
        <v>0</v>
      </c>
    </row>
    <row r="111" customFormat="false" ht="15" hidden="false" customHeight="true" outlineLevel="0" collapsed="false">
      <c r="B111" s="1439" t="str">
        <f aca="false">'Смета Внутр'!B111</f>
        <v>Плитный,28кг/м3, технониколь, 100мм</v>
      </c>
      <c r="C111" s="1439" t="str">
        <f aca="false">'Смета Внутр'!C111</f>
        <v>м3</v>
      </c>
      <c r="D111" s="1439" t="n">
        <f aca="false">'Смета Внутр'!D111</f>
        <v>0</v>
      </c>
      <c r="E111" s="1439"/>
      <c r="F111" s="1439" t="n">
        <f aca="false">'Смета Внутр'!E111</f>
        <v>1700</v>
      </c>
      <c r="G111" s="1439" t="n">
        <f aca="false">'Смета Внутр'!H111</f>
        <v>0</v>
      </c>
      <c r="H111" s="1439"/>
      <c r="I111" s="1439" t="n">
        <f aca="false">IF(F111&lt;H111,F111*(D111-E111),0)+IF(H111=0,(D111-E111)*F111,0)+IF(H111&lt;F111,H111*(D111-E111),0)</f>
        <v>0</v>
      </c>
      <c r="J111" s="1439" t="n">
        <f aca="false">G111-I111</f>
        <v>0</v>
      </c>
    </row>
    <row r="112" customFormat="false" ht="15" hidden="false" customHeight="true" outlineLevel="0" collapsed="false">
      <c r="B112" s="1439" t="str">
        <f aca="false">'Смета Внутр'!B112</f>
        <v>Грибок для крепления утеплителя</v>
      </c>
      <c r="C112" s="1439" t="str">
        <f aca="false">'Смета Внутр'!C112</f>
        <v>шт</v>
      </c>
      <c r="D112" s="1439" t="n">
        <f aca="false">'Смета Внутр'!D112</f>
        <v>0</v>
      </c>
      <c r="E112" s="1439"/>
      <c r="F112" s="1439" t="n">
        <f aca="false">'Смета Внутр'!E112</f>
        <v>15</v>
      </c>
      <c r="G112" s="1439" t="n">
        <f aca="false">'Смета Внутр'!H112</f>
        <v>0</v>
      </c>
      <c r="H112" s="1439"/>
      <c r="I112" s="1439" t="n">
        <f aca="false">IF(F112&lt;H112,F112*(D112-E112),0)+IF(H112=0,(D112-E112)*F112,0)+IF(H112&lt;F112,H112*(D112-E112),0)</f>
        <v>0</v>
      </c>
      <c r="J112" s="1439" t="n">
        <f aca="false">G112-I112</f>
        <v>0</v>
      </c>
    </row>
    <row r="113" customFormat="false" ht="15" hidden="false" customHeight="true" outlineLevel="0" collapsed="false">
      <c r="B113" s="1692" t="s">
        <v>4332</v>
      </c>
      <c r="C113" s="1692"/>
      <c r="D113" s="1692"/>
      <c r="E113" s="1692"/>
      <c r="F113" s="1692"/>
      <c r="G113" s="1439" t="n">
        <f aca="false">'Смета Внутр'!H113</f>
        <v>0</v>
      </c>
      <c r="H113" s="3181"/>
      <c r="I113" s="1439"/>
      <c r="J113" s="1439"/>
    </row>
    <row r="114" customFormat="false" ht="15" hidden="false" customHeight="true" outlineLevel="0" collapsed="false">
      <c r="B114" s="1268" t="str">
        <f aca="false">'Смета Внутр'!B114</f>
        <v>Работы</v>
      </c>
      <c r="C114" s="1268"/>
      <c r="D114" s="1268"/>
      <c r="E114" s="1268"/>
      <c r="F114" s="1268"/>
      <c r="G114" s="3173" t="n">
        <f aca="false">'Смета Внутр'!H114</f>
        <v>0</v>
      </c>
      <c r="H114" s="3182"/>
      <c r="I114" s="3180" t="n">
        <f aca="false">IF(F114&lt;H114,F114*(D114-E114),0)+IF(H114=0,(D114-E114)*F114,0)+IF(H114&lt;F114,H114*(D114-E114),0)</f>
        <v>0</v>
      </c>
      <c r="J114" s="3180" t="n">
        <f aca="false">G114-I114</f>
        <v>0</v>
      </c>
    </row>
    <row r="115" customFormat="false" ht="15" hidden="false" customHeight="true" outlineLevel="0" collapsed="false">
      <c r="B115" s="1439" t="str">
        <f aca="false">'Смета Внутр'!B115</f>
        <v>обработка праймер</v>
      </c>
      <c r="C115" s="1439" t="str">
        <f aca="false">'Смета Внутр'!C115</f>
        <v>м2</v>
      </c>
      <c r="D115" s="1439" t="n">
        <f aca="false">'Смета Внутр'!D115</f>
        <v>0</v>
      </c>
      <c r="E115" s="1439"/>
      <c r="F115" s="1439" t="n">
        <f aca="false">'Смета Внутр'!E115</f>
        <v>200</v>
      </c>
      <c r="G115" s="1439" t="n">
        <f aca="false">'Смета Внутр'!H115</f>
        <v>0</v>
      </c>
      <c r="H115" s="1439"/>
      <c r="I115" s="1439" t="n">
        <f aca="false">IF(F115&lt;H115,F115*(D115-E115),0)+IF(H115=0,(D115-E115)*F115,0)+IF(H115&lt;F115,H115*(D115-E115),0)</f>
        <v>0</v>
      </c>
      <c r="J115" s="1439" t="n">
        <f aca="false">G115-I115</f>
        <v>0</v>
      </c>
    </row>
    <row r="116" customFormat="false" ht="15" hidden="false" customHeight="true" outlineLevel="0" collapsed="false">
      <c r="B116" s="1439" t="str">
        <f aca="false">'Смета Внутр'!B116</f>
        <v>настил гидроизола</v>
      </c>
      <c r="C116" s="1439" t="str">
        <f aca="false">'Смета Внутр'!C116</f>
        <v>м2</v>
      </c>
      <c r="D116" s="1439" t="n">
        <f aca="false">'Смета Внутр'!D116</f>
        <v>0</v>
      </c>
      <c r="E116" s="1439"/>
      <c r="F116" s="1439" t="n">
        <f aca="false">'Смета Внутр'!E116</f>
        <v>100</v>
      </c>
      <c r="G116" s="1439" t="n">
        <f aca="false">'Смета Внутр'!H116</f>
        <v>0</v>
      </c>
      <c r="H116" s="1439"/>
      <c r="I116" s="1439" t="n">
        <f aca="false">IF(F116&lt;H116,F116*(D116-E116),0)+IF(H116=0,(D116-E116)*F116,0)+IF(H116&lt;F116,H116*(D116-E116),0)</f>
        <v>0</v>
      </c>
      <c r="J116" s="1439" t="n">
        <f aca="false">G116-I116</f>
        <v>0</v>
      </c>
    </row>
    <row r="117" customFormat="false" ht="15" hidden="false" customHeight="true" outlineLevel="0" collapsed="false">
      <c r="B117" s="1439" t="str">
        <f aca="false">'Смета Внутр'!B117</f>
        <v>вязка арматуры</v>
      </c>
      <c r="C117" s="1439" t="str">
        <f aca="false">'Смета Внутр'!C117</f>
        <v>м.п.</v>
      </c>
      <c r="D117" s="1439" t="n">
        <f aca="false">'Смета Внутр'!D117</f>
        <v>0</v>
      </c>
      <c r="E117" s="1439"/>
      <c r="F117" s="1439" t="n">
        <f aca="false">'Смета Внутр'!E117</f>
        <v>300</v>
      </c>
      <c r="G117" s="1439" t="n">
        <f aca="false">'Смета Внутр'!H117</f>
        <v>0</v>
      </c>
      <c r="H117" s="1439"/>
      <c r="I117" s="1439" t="n">
        <f aca="false">IF(F117&lt;H117,F117*(D117-E117),0)+IF(H117=0,(D117-E117)*F117,0)+IF(H117&lt;F117,H117*(D117-E117),0)</f>
        <v>0</v>
      </c>
      <c r="J117" s="1439" t="n">
        <f aca="false">G117-I117</f>
        <v>0</v>
      </c>
    </row>
    <row r="118" customFormat="false" ht="15" hidden="false" customHeight="true" outlineLevel="0" collapsed="false">
      <c r="B118" s="1439" t="str">
        <f aca="false">'Смета Внутр'!B118</f>
        <v>сборка опалубки</v>
      </c>
      <c r="C118" s="1439" t="str">
        <f aca="false">'Смета Внутр'!C118</f>
        <v>м2</v>
      </c>
      <c r="D118" s="1439" t="n">
        <f aca="false">'Смета Внутр'!D118</f>
        <v>0</v>
      </c>
      <c r="E118" s="1439"/>
      <c r="F118" s="1439" t="n">
        <f aca="false">'Смета Внутр'!E118</f>
        <v>300</v>
      </c>
      <c r="G118" s="1439" t="n">
        <f aca="false">'Смета Внутр'!H118</f>
        <v>0</v>
      </c>
      <c r="H118" s="1439"/>
      <c r="I118" s="1439" t="n">
        <f aca="false">IF(F118&lt;H118,F118*(D118-E118),0)+IF(H118=0,(D118-E118)*F118,0)+IF(H118&lt;F118,H118*(D118-E118),0)</f>
        <v>0</v>
      </c>
      <c r="J118" s="1439" t="n">
        <f aca="false">G118-I118</f>
        <v>0</v>
      </c>
    </row>
    <row r="119" customFormat="false" ht="15" hidden="false" customHeight="true" outlineLevel="0" collapsed="false">
      <c r="B119" s="1439" t="str">
        <f aca="false">'Смета Внутр'!B119</f>
        <v>разборка опалубки</v>
      </c>
      <c r="C119" s="1439" t="str">
        <f aca="false">'Смета Внутр'!C119</f>
        <v>м2</v>
      </c>
      <c r="D119" s="1439" t="n">
        <f aca="false">'Смета Внутр'!D119</f>
        <v>0</v>
      </c>
      <c r="E119" s="1439"/>
      <c r="F119" s="1439" t="n">
        <f aca="false">'Смета Внутр'!E119</f>
        <v>100</v>
      </c>
      <c r="G119" s="1439" t="n">
        <f aca="false">'Смета Внутр'!H119</f>
        <v>0</v>
      </c>
      <c r="H119" s="1439"/>
      <c r="I119" s="1439" t="n">
        <f aca="false">IF(F119&lt;H119,F119*(D119-E119),0)+IF(H119=0,(D119-E119)*F119,0)+IF(H119&lt;F119,H119*(D119-E119),0)</f>
        <v>0</v>
      </c>
      <c r="J119" s="1439" t="n">
        <f aca="false">G119-I119</f>
        <v>0</v>
      </c>
    </row>
    <row r="120" customFormat="false" ht="15" hidden="false" customHeight="true" outlineLevel="0" collapsed="false">
      <c r="B120" s="1439" t="str">
        <f aca="false">'Смета Внутр'!B120</f>
        <v>приемка бетона</v>
      </c>
      <c r="C120" s="1439" t="str">
        <f aca="false">'Смета Внутр'!C120</f>
        <v>м3</v>
      </c>
      <c r="D120" s="1439" t="n">
        <f aca="false">'Смета Внутр'!D120</f>
        <v>0</v>
      </c>
      <c r="E120" s="1439"/>
      <c r="F120" s="1439" t="n">
        <f aca="false">'Смета Внутр'!E120</f>
        <v>1200</v>
      </c>
      <c r="G120" s="1439" t="n">
        <f aca="false">'Смета Внутр'!H120</f>
        <v>0</v>
      </c>
      <c r="H120" s="1439"/>
      <c r="I120" s="1439" t="n">
        <f aca="false">IF(F120&lt;H120,F120*(D120-E120),0)+IF(H120=0,(D120-E120)*F120,0)+IF(H120&lt;F120,H120*(D120-E120),0)</f>
        <v>0</v>
      </c>
      <c r="J120" s="1439" t="n">
        <f aca="false">G120-I120</f>
        <v>0</v>
      </c>
    </row>
    <row r="121" customFormat="false" ht="15" hidden="false" customHeight="true" outlineLevel="0" collapsed="false">
      <c r="B121" s="1439" t="str">
        <f aca="false">'Смета Внутр'!B121</f>
        <v>гидроизоляция стен</v>
      </c>
      <c r="C121" s="1439" t="str">
        <f aca="false">'Смета Внутр'!C121</f>
        <v>м2</v>
      </c>
      <c r="D121" s="1439" t="n">
        <f aca="false">'Смета Внутр'!D121</f>
        <v>0</v>
      </c>
      <c r="E121" s="1439"/>
      <c r="F121" s="1439" t="n">
        <f aca="false">'Смета Внутр'!E121</f>
        <v>200</v>
      </c>
      <c r="G121" s="1439" t="n">
        <f aca="false">'Смета Внутр'!H121</f>
        <v>0</v>
      </c>
      <c r="H121" s="1439"/>
      <c r="I121" s="1439" t="n">
        <f aca="false">IF(F121&lt;H121,F121*(D121-E121),0)+IF(H121=0,(D121-E121)*F121,0)+IF(H121&lt;F121,H121*(D121-E121),0)</f>
        <v>0</v>
      </c>
      <c r="J121" s="1439" t="n">
        <f aca="false">G121-I121</f>
        <v>0</v>
      </c>
    </row>
    <row r="122" customFormat="false" ht="15" hidden="false" customHeight="true" outlineLevel="0" collapsed="false">
      <c r="B122" s="1439" t="str">
        <f aca="false">'Смета Внутр'!B122</f>
        <v>утепление фундамента</v>
      </c>
      <c r="C122" s="1439" t="str">
        <f aca="false">'Смета Внутр'!C122</f>
        <v>м2</v>
      </c>
      <c r="D122" s="1439" t="n">
        <f aca="false">'Смета Внутр'!D122</f>
        <v>0</v>
      </c>
      <c r="E122" s="1439"/>
      <c r="F122" s="1439" t="n">
        <f aca="false">'Смета Внутр'!E122</f>
        <v>200</v>
      </c>
      <c r="G122" s="1439" t="n">
        <f aca="false">'Смета Внутр'!H122</f>
        <v>0</v>
      </c>
      <c r="H122" s="1439"/>
      <c r="I122" s="1439" t="n">
        <f aca="false">IF(F122&lt;H122,F122*(D122-E122),0)+IF(H122=0,(D122-E122)*F122,0)+IF(H122&lt;F122,H122*(D122-E122),0)</f>
        <v>0</v>
      </c>
      <c r="J122" s="1439" t="n">
        <f aca="false">G122-I122</f>
        <v>0</v>
      </c>
    </row>
    <row r="123" customFormat="false" ht="15" hidden="false" customHeight="false" outlineLevel="0" collapsed="false">
      <c r="B123" s="1692" t="s">
        <v>4333</v>
      </c>
      <c r="C123" s="1692"/>
      <c r="D123" s="1692"/>
      <c r="E123" s="1692"/>
      <c r="F123" s="1692"/>
      <c r="G123" s="1439" t="n">
        <f aca="false">'Смета Внутр'!H123</f>
        <v>0</v>
      </c>
      <c r="H123" s="3181"/>
      <c r="I123" s="1439"/>
      <c r="J123" s="1439"/>
    </row>
    <row r="124" customFormat="false" ht="15" hidden="false" customHeight="true" outlineLevel="0" collapsed="false">
      <c r="B124" s="3172" t="str">
        <f aca="false">'Смета Внутр'!B124</f>
        <v>Винтовые сваи для дома</v>
      </c>
      <c r="C124" s="3172"/>
      <c r="D124" s="3172"/>
      <c r="E124" s="3172"/>
      <c r="F124" s="3172"/>
      <c r="G124" s="3173" t="n">
        <f aca="false">'Смета Внутр'!H124</f>
        <v>0</v>
      </c>
      <c r="H124" s="3173"/>
      <c r="I124" s="3180" t="n">
        <f aca="false">IF(F124&lt;H124,F124*(D124-E124),0)+IF(H124=0,(D124-E124)*F124,0)+IF(H124&lt;F124,H124*(D124-E124),0)</f>
        <v>0</v>
      </c>
      <c r="J124" s="3180" t="n">
        <f aca="false">G124-I124</f>
        <v>0</v>
      </c>
    </row>
    <row r="125" customFormat="false" ht="15" hidden="false" customHeight="true" outlineLevel="0" collapsed="false">
      <c r="B125" s="1268" t="str">
        <f aca="false">'Смета Внутр'!B125</f>
        <v>Материалы</v>
      </c>
      <c r="C125" s="1268"/>
      <c r="D125" s="1268"/>
      <c r="E125" s="1268"/>
      <c r="F125" s="1268"/>
      <c r="G125" s="3173" t="n">
        <f aca="false">'Смета Внутр'!H125</f>
        <v>0</v>
      </c>
      <c r="H125" s="3182"/>
      <c r="I125" s="3180" t="n">
        <f aca="false">IF(F125&lt;H125,F125*(D125-E125),0)+IF(H125=0,(D125-E125)*F125,0)+IF(H125&lt;F125,H125*(D125-E125),0)</f>
        <v>0</v>
      </c>
      <c r="J125" s="3180" t="n">
        <f aca="false">G125-I125</f>
        <v>0</v>
      </c>
    </row>
    <row r="126" customFormat="false" ht="15" hidden="false" customHeight="true" outlineLevel="0" collapsed="false">
      <c r="B126" s="1439" t="str">
        <f aca="false">'Смета Внутр'!B126</f>
        <v>пробное забуривание</v>
      </c>
      <c r="C126" s="1439" t="str">
        <f aca="false">'Смета Внутр'!C126</f>
        <v>шт</v>
      </c>
      <c r="D126" s="1439" t="n">
        <f aca="false">'Смета Внутр'!D126</f>
        <v>1</v>
      </c>
      <c r="E126" s="1439"/>
      <c r="F126" s="1439" t="n">
        <f aca="false">'Смета Внутр'!E126</f>
        <v>5000</v>
      </c>
      <c r="G126" s="1439" t="n">
        <f aca="false">'Смета Внутр'!H126</f>
        <v>0</v>
      </c>
      <c r="H126" s="1439"/>
      <c r="I126" s="1439" t="n">
        <f aca="false">IF(F126&lt;H126,F126*(D126-E126),0)+IF(H126=0,(D126-E126)*F126,0)+IF(H126&lt;F126,H126*(D126-E126),0)</f>
        <v>5000</v>
      </c>
      <c r="J126" s="1439" t="n">
        <f aca="false">G126-I126</f>
        <v>-5000</v>
      </c>
    </row>
    <row r="127" customFormat="false" ht="15" hidden="false" customHeight="true" outlineLevel="0" collapsed="false">
      <c r="B127" s="1439" t="str">
        <f aca="false">'Смета Внутр'!B127</f>
        <v>108мм, 2,5м длина, 1 лопасть</v>
      </c>
      <c r="C127" s="1439" t="str">
        <f aca="false">'Смета Внутр'!C127</f>
        <v>шт</v>
      </c>
      <c r="D127" s="1439" t="n">
        <f aca="false">'Смета Внутр'!D127</f>
        <v>21</v>
      </c>
      <c r="E127" s="1439"/>
      <c r="F127" s="1439" t="n">
        <f aca="false">'Смета Внутр'!E127</f>
        <v>1950</v>
      </c>
      <c r="G127" s="1439" t="n">
        <f aca="false">'Смета Внутр'!H127</f>
        <v>0</v>
      </c>
      <c r="H127" s="1439"/>
      <c r="I127" s="1439" t="n">
        <f aca="false">IF(F127&lt;H127,F127*(D127-E127),0)+IF(H127=0,(D127-E127)*F127,0)+IF(H127&lt;F127,H127*(D127-E127),0)</f>
        <v>40950</v>
      </c>
      <c r="J127" s="1439" t="n">
        <f aca="false">G127-I127</f>
        <v>-40950</v>
      </c>
    </row>
    <row r="128" customFormat="false" ht="15" hidden="false" customHeight="true" outlineLevel="0" collapsed="false">
      <c r="B128" s="1439" t="str">
        <f aca="false">'Смета Внутр'!B128</f>
        <v>Оголовкок для свай 200*200</v>
      </c>
      <c r="C128" s="1439" t="str">
        <f aca="false">'Смета Внутр'!C128</f>
        <v>шт</v>
      </c>
      <c r="D128" s="1439" t="n">
        <f aca="false">'Смета Внутр'!D128</f>
        <v>21</v>
      </c>
      <c r="E128" s="1439"/>
      <c r="F128" s="1439" t="n">
        <f aca="false">'Смета Внутр'!E128</f>
        <v>250</v>
      </c>
      <c r="G128" s="1439" t="n">
        <f aca="false">'Смета Внутр'!H128</f>
        <v>0</v>
      </c>
      <c r="H128" s="1439"/>
      <c r="I128" s="1439" t="n">
        <f aca="false">IF(F128&lt;H128,F128*(D128-E128),0)+IF(H128=0,(D128-E128)*F128,0)+IF(H128&lt;F128,H128*(D128-E128),0)</f>
        <v>5250</v>
      </c>
      <c r="J128" s="1439" t="n">
        <f aca="false">G128-I128</f>
        <v>-5250</v>
      </c>
    </row>
    <row r="129" customFormat="false" ht="15" hidden="false" customHeight="true" outlineLevel="0" collapsed="false">
      <c r="B129" s="1439" t="str">
        <f aca="false">'Смета Внутр'!B129</f>
        <v>обвязка металлом</v>
      </c>
      <c r="C129" s="1439" t="str">
        <f aca="false">'Смета Внутр'!C129</f>
        <v>м.п.</v>
      </c>
      <c r="D129" s="1439" t="n">
        <f aca="false">'Смета Внутр'!D129</f>
        <v>48</v>
      </c>
      <c r="E129" s="1439"/>
      <c r="F129" s="1439" t="n">
        <f aca="false">'Смета Внутр'!E129</f>
        <v>100</v>
      </c>
      <c r="G129" s="1439" t="n">
        <f aca="false">'Смета Внутр'!H129</f>
        <v>0</v>
      </c>
      <c r="H129" s="1439"/>
      <c r="I129" s="1439" t="n">
        <f aca="false">IF(F129&lt;H129,F129*(D129-E129),0)+IF(H129=0,(D129-E129)*F129,0)+IF(H129&lt;F129,H129*(D129-E129),0)</f>
        <v>4800</v>
      </c>
      <c r="J129" s="1439" t="n">
        <f aca="false">G129-I129</f>
        <v>-4800</v>
      </c>
    </row>
    <row r="130" customFormat="false" ht="15" hidden="false" customHeight="true" outlineLevel="0" collapsed="false">
      <c r="B130" s="1439" t="str">
        <f aca="false">'Смета Внутр'!B130</f>
        <v>Раствор, м200</v>
      </c>
      <c r="C130" s="1439" t="str">
        <f aca="false">'Смета Внутр'!C130</f>
        <v>м3</v>
      </c>
      <c r="D130" s="1439" t="n">
        <f aca="false">'Смета Внутр'!D130</f>
        <v>0.949536</v>
      </c>
      <c r="E130" s="1439"/>
      <c r="F130" s="1439" t="n">
        <f aca="false">'Смета Внутр'!E130</f>
        <v>2100</v>
      </c>
      <c r="G130" s="1439" t="n">
        <f aca="false">'Смета Внутр'!H130</f>
        <v>0</v>
      </c>
      <c r="H130" s="1439"/>
      <c r="I130" s="1439" t="n">
        <f aca="false">IF(F130&lt;H130,F130*(D130-E130),0)+IF(H130=0,(D130-E130)*F130,0)+IF(H130&lt;F130,H130*(D130-E130),0)</f>
        <v>1994.0256</v>
      </c>
      <c r="J130" s="1439" t="n">
        <f aca="false">G130-I130</f>
        <v>-1994.0256</v>
      </c>
    </row>
    <row r="131" customFormat="false" ht="15" hidden="false" customHeight="true" outlineLevel="0" collapsed="false">
      <c r="B131" s="1439" t="str">
        <f aca="false">'Смета Внутр'!B131</f>
        <v>Электроды ок 47</v>
      </c>
      <c r="C131" s="1439" t="str">
        <f aca="false">'Смета Внутр'!C131</f>
        <v>шт</v>
      </c>
      <c r="D131" s="1439" t="n">
        <f aca="false">'Смета Внутр'!D131</f>
        <v>21</v>
      </c>
      <c r="E131" s="1439"/>
      <c r="F131" s="1439" t="n">
        <f aca="false">'Смета Внутр'!E131</f>
        <v>10</v>
      </c>
      <c r="G131" s="1439" t="n">
        <f aca="false">'Смета Внутр'!H131</f>
        <v>0</v>
      </c>
      <c r="H131" s="1439"/>
      <c r="I131" s="1439" t="n">
        <f aca="false">IF(F131&lt;H131,F131*(D131-E131),0)+IF(H131=0,(D131-E131)*F131,0)+IF(H131&lt;F131,H131*(D131-E131),0)</f>
        <v>210</v>
      </c>
      <c r="J131" s="1439" t="n">
        <f aca="false">G131-I131</f>
        <v>-210</v>
      </c>
    </row>
    <row r="132" customFormat="false" ht="15" hidden="false" customHeight="true" outlineLevel="0" collapsed="false">
      <c r="B132" s="1692" t="s">
        <v>4332</v>
      </c>
      <c r="C132" s="1692"/>
      <c r="D132" s="1692"/>
      <c r="E132" s="1692"/>
      <c r="F132" s="1692"/>
      <c r="G132" s="1439" t="n">
        <f aca="false">'Смета Внутр'!H132</f>
        <v>0</v>
      </c>
      <c r="H132" s="3181"/>
      <c r="I132" s="1439"/>
      <c r="J132" s="1439"/>
    </row>
    <row r="133" customFormat="false" ht="15" hidden="false" customHeight="true" outlineLevel="0" collapsed="false">
      <c r="B133" s="1268" t="str">
        <f aca="false">'Смета Внутр'!B133</f>
        <v>Работы</v>
      </c>
      <c r="C133" s="1268"/>
      <c r="D133" s="1268"/>
      <c r="E133" s="1268"/>
      <c r="F133" s="1268"/>
      <c r="G133" s="3173" t="n">
        <f aca="false">'Смета Внутр'!H133</f>
        <v>0</v>
      </c>
      <c r="H133" s="3182"/>
      <c r="I133" s="3180" t="n">
        <f aca="false">IF(F133&lt;H133,F133*(D133-E133),0)+IF(H133=0,(D133-E133)*F133,0)+IF(H133&lt;F133,H133*(D133-E133),0)</f>
        <v>0</v>
      </c>
      <c r="J133" s="3180" t="n">
        <f aca="false">G133-I133</f>
        <v>0</v>
      </c>
    </row>
    <row r="134" customFormat="false" ht="15" hidden="false" customHeight="true" outlineLevel="0" collapsed="false">
      <c r="B134" s="1439" t="str">
        <f aca="false">'Смета Внутр'!B134</f>
        <v>разбивка осей</v>
      </c>
      <c r="C134" s="1439" t="str">
        <f aca="false">'Смета Внутр'!C134</f>
        <v>шт</v>
      </c>
      <c r="D134" s="1439" t="n">
        <f aca="false">'Смета Внутр'!D134</f>
        <v>1</v>
      </c>
      <c r="E134" s="1439"/>
      <c r="F134" s="1439" t="n">
        <f aca="false">'Смета Внутр'!E134</f>
        <v>7000</v>
      </c>
      <c r="G134" s="1439" t="n">
        <f aca="false">'Смета Внутр'!H134</f>
        <v>0</v>
      </c>
      <c r="H134" s="1439"/>
      <c r="I134" s="1439" t="n">
        <f aca="false">IF(F134&lt;H134,F134*(D134-E134),0)+IF(H134=0,(D134-E134)*F134,0)+IF(H134&lt;F134,H134*(D134-E134),0)</f>
        <v>7000</v>
      </c>
      <c r="J134" s="1439" t="n">
        <f aca="false">G134-I134</f>
        <v>-7000</v>
      </c>
    </row>
    <row r="135" customFormat="false" ht="15" hidden="false" customHeight="true" outlineLevel="0" collapsed="false">
      <c r="B135" s="1439" t="str">
        <f aca="false">'Смета Внутр'!B135</f>
        <v>монтаж свай</v>
      </c>
      <c r="C135" s="1439" t="str">
        <f aca="false">'Смета Внутр'!C135</f>
        <v>шт</v>
      </c>
      <c r="D135" s="1439" t="n">
        <f aca="false">'Смета Внутр'!D135</f>
        <v>21</v>
      </c>
      <c r="E135" s="1439"/>
      <c r="F135" s="1439" t="n">
        <f aca="false">'Смета Внутр'!E135</f>
        <v>1000</v>
      </c>
      <c r="G135" s="1439" t="n">
        <f aca="false">'Смета Внутр'!H135</f>
        <v>0</v>
      </c>
      <c r="H135" s="1439"/>
      <c r="I135" s="1439" t="n">
        <f aca="false">IF(F135&lt;H135,F135*(D135-E135),0)+IF(H135=0,(D135-E135)*F135,0)+IF(H135&lt;F135,H135*(D135-E135),0)</f>
        <v>21000</v>
      </c>
      <c r="J135" s="1439" t="n">
        <f aca="false">G135-I135</f>
        <v>-21000</v>
      </c>
    </row>
    <row r="136" customFormat="false" ht="15" hidden="false" customHeight="true" outlineLevel="0" collapsed="false">
      <c r="B136" s="1439" t="str">
        <f aca="false">'Смета Внутр'!B136</f>
        <v>монтаж оголовков</v>
      </c>
      <c r="C136" s="1439" t="str">
        <f aca="false">'Смета Внутр'!C136</f>
        <v>шт</v>
      </c>
      <c r="D136" s="1439" t="n">
        <f aca="false">'Смета Внутр'!D136</f>
        <v>21</v>
      </c>
      <c r="E136" s="1439"/>
      <c r="F136" s="1439" t="n">
        <f aca="false">'Смета Внутр'!E136</f>
        <v>100</v>
      </c>
      <c r="G136" s="1439" t="n">
        <f aca="false">'Смета Внутр'!H136</f>
        <v>0</v>
      </c>
      <c r="H136" s="1439"/>
      <c r="I136" s="1439" t="n">
        <f aca="false">IF(F136&lt;H136,F136*(D136-E136),0)+IF(H136=0,(D136-E136)*F136,0)+IF(H136&lt;F136,H136*(D136-E136),0)</f>
        <v>2100</v>
      </c>
      <c r="J136" s="1439" t="n">
        <f aca="false">G136-I136</f>
        <v>-2100</v>
      </c>
    </row>
    <row r="137" customFormat="false" ht="15" hidden="false" customHeight="true" outlineLevel="0" collapsed="false">
      <c r="B137" s="1439" t="str">
        <f aca="false">'Смета Внутр'!B137</f>
        <v>обвязка металлом</v>
      </c>
      <c r="C137" s="1439" t="str">
        <f aca="false">'Смета Внутр'!C137</f>
        <v>м.п.</v>
      </c>
      <c r="D137" s="1439" t="n">
        <f aca="false">'Смета Внутр'!D137</f>
        <v>48</v>
      </c>
      <c r="E137" s="1439"/>
      <c r="F137" s="1439" t="n">
        <f aca="false">'Смета Внутр'!E137</f>
        <v>100</v>
      </c>
      <c r="G137" s="1439" t="n">
        <f aca="false">'Смета Внутр'!H137</f>
        <v>0</v>
      </c>
      <c r="H137" s="1439"/>
      <c r="I137" s="1439" t="n">
        <f aca="false">IF(F137&lt;H137,F137*(D137-E137),0)+IF(H137=0,(D137-E137)*F137,0)+IF(H137&lt;F137,H137*(D137-E137),0)</f>
        <v>4800</v>
      </c>
      <c r="J137" s="1439" t="n">
        <f aca="false">G137-I137</f>
        <v>-4800</v>
      </c>
    </row>
    <row r="138" customFormat="false" ht="15" hidden="false" customHeight="true" outlineLevel="0" collapsed="false">
      <c r="B138" s="1439" t="str">
        <f aca="false">'Смета Внутр'!B138</f>
        <v>заливка бетоном</v>
      </c>
      <c r="C138" s="1439" t="str">
        <f aca="false">'Смета Внутр'!C138</f>
        <v>шт</v>
      </c>
      <c r="D138" s="1439" t="n">
        <f aca="false">'Смета Внутр'!D138</f>
        <v>21</v>
      </c>
      <c r="E138" s="1439"/>
      <c r="F138" s="1439" t="n">
        <f aca="false">'Смета Внутр'!E138</f>
        <v>200</v>
      </c>
      <c r="G138" s="1439" t="n">
        <f aca="false">'Смета Внутр'!H138</f>
        <v>0</v>
      </c>
      <c r="H138" s="1439"/>
      <c r="I138" s="1439" t="n">
        <f aca="false">IF(F138&lt;H138,F138*(D138-E138),0)+IF(H138=0,(D138-E138)*F138,0)+IF(H138&lt;F138,H138*(D138-E138),0)</f>
        <v>4200</v>
      </c>
      <c r="J138" s="1439" t="n">
        <f aca="false">G138-I138</f>
        <v>-4200</v>
      </c>
    </row>
    <row r="139" customFormat="false" ht="15" hidden="false" customHeight="true" outlineLevel="0" collapsed="false">
      <c r="B139" s="1439" t="str">
        <f aca="false">'Смета Внутр'!B139</f>
        <v>Обрезка винтовых свай по невелиру</v>
      </c>
      <c r="C139" s="1439" t="str">
        <f aca="false">'Смета Внутр'!C139</f>
        <v>шт</v>
      </c>
      <c r="D139" s="1439" t="n">
        <f aca="false">'Смета Внутр'!D139</f>
        <v>21</v>
      </c>
      <c r="E139" s="1439"/>
      <c r="F139" s="1439" t="n">
        <f aca="false">'Смета Внутр'!E139</f>
        <v>200</v>
      </c>
      <c r="G139" s="1439" t="n">
        <f aca="false">'Смета Внутр'!H139</f>
        <v>0</v>
      </c>
      <c r="H139" s="1439"/>
      <c r="I139" s="1439" t="n">
        <f aca="false">IF(F139&lt;H139,F139*(D139-E139),0)+IF(H139=0,(D139-E139)*F139,0)+IF(H139&lt;F139,H139*(D139-E139),0)</f>
        <v>4200</v>
      </c>
      <c r="J139" s="1439" t="n">
        <f aca="false">G139-I139</f>
        <v>-4200</v>
      </c>
    </row>
    <row r="140" customFormat="false" ht="15" hidden="false" customHeight="true" outlineLevel="0" collapsed="false">
      <c r="B140" s="1439" t="str">
        <f aca="false">'Смета Внутр'!B140</f>
        <v>Наварка оголовка</v>
      </c>
      <c r="C140" s="1439" t="str">
        <f aca="false">'Смета Внутр'!C140</f>
        <v>шт</v>
      </c>
      <c r="D140" s="1439" t="n">
        <f aca="false">'Смета Внутр'!D140</f>
        <v>21</v>
      </c>
      <c r="E140" s="1439"/>
      <c r="F140" s="1439" t="n">
        <f aca="false">'Смета Внутр'!E140</f>
        <v>250</v>
      </c>
      <c r="G140" s="1439" t="n">
        <f aca="false">'Смета Внутр'!H140</f>
        <v>0</v>
      </c>
      <c r="H140" s="1439"/>
      <c r="I140" s="1439" t="n">
        <f aca="false">IF(F140&lt;H140,F140*(D140-E140),0)+IF(H140=0,(D140-E140)*F140,0)+IF(H140&lt;F140,H140*(D140-E140),0)</f>
        <v>5250</v>
      </c>
      <c r="J140" s="1439" t="n">
        <f aca="false">G140-I140</f>
        <v>-5250</v>
      </c>
    </row>
    <row r="141" customFormat="false" ht="15" hidden="false" customHeight="false" outlineLevel="0" collapsed="false">
      <c r="B141" s="1692" t="s">
        <v>4333</v>
      </c>
      <c r="C141" s="1692"/>
      <c r="D141" s="1692"/>
      <c r="E141" s="1692"/>
      <c r="F141" s="1692"/>
      <c r="G141" s="1439" t="n">
        <f aca="false">'Смета Внутр'!H141</f>
        <v>0</v>
      </c>
      <c r="H141" s="3181"/>
      <c r="I141" s="1439"/>
      <c r="J141" s="1439"/>
    </row>
    <row r="142" customFormat="false" ht="15" hidden="false" customHeight="true" outlineLevel="0" collapsed="false">
      <c r="B142" s="3172" t="str">
        <f aca="false">'Смета Внутр'!B142</f>
        <v>Винтовые сваи для террасы</v>
      </c>
      <c r="C142" s="3172"/>
      <c r="D142" s="3172"/>
      <c r="E142" s="3172"/>
      <c r="F142" s="3172"/>
      <c r="G142" s="3173" t="n">
        <f aca="false">'Смета Внутр'!H142</f>
        <v>0</v>
      </c>
      <c r="H142" s="3173"/>
      <c r="I142" s="3180" t="n">
        <f aca="false">IF(F142&lt;H142,F142*(D142-E142),0)+IF(H142=0,(D142-E142)*F142,0)+IF(H142&lt;F142,H142*(D142-E142),0)</f>
        <v>0</v>
      </c>
      <c r="J142" s="3180" t="n">
        <f aca="false">G142-I142</f>
        <v>0</v>
      </c>
    </row>
    <row r="143" customFormat="false" ht="15" hidden="false" customHeight="true" outlineLevel="0" collapsed="false">
      <c r="B143" s="1268" t="str">
        <f aca="false">'Смета Внутр'!B143</f>
        <v>Материалы</v>
      </c>
      <c r="C143" s="1268"/>
      <c r="D143" s="1268"/>
      <c r="E143" s="1268"/>
      <c r="F143" s="1268"/>
      <c r="G143" s="3173" t="n">
        <f aca="false">'Смета Внутр'!H143</f>
        <v>0</v>
      </c>
      <c r="H143" s="3182"/>
      <c r="I143" s="3180" t="n">
        <f aca="false">IF(F143&lt;H143,F143*(D143-E143),0)+IF(H143=0,(D143-E143)*F143,0)+IF(H143&lt;F143,H143*(D143-E143),0)</f>
        <v>0</v>
      </c>
      <c r="J143" s="3180" t="n">
        <f aca="false">G143-I143</f>
        <v>0</v>
      </c>
    </row>
    <row r="144" customFormat="false" ht="15" hidden="false" customHeight="true" outlineLevel="0" collapsed="false">
      <c r="B144" s="1439" t="str">
        <f aca="false">'Смета Внутр'!B144</f>
        <v>пробное забуривание</v>
      </c>
      <c r="C144" s="1439" t="str">
        <f aca="false">'Смета Внутр'!C144</f>
        <v>шт</v>
      </c>
      <c r="D144" s="1439" t="n">
        <f aca="false">'Смета Внутр'!D144</f>
        <v>1</v>
      </c>
      <c r="E144" s="1439"/>
      <c r="F144" s="1439" t="n">
        <f aca="false">'Смета Внутр'!E144</f>
        <v>5000</v>
      </c>
      <c r="G144" s="1439" t="n">
        <f aca="false">'Смета Внутр'!H144</f>
        <v>0</v>
      </c>
      <c r="H144" s="1439"/>
      <c r="I144" s="1439" t="n">
        <f aca="false">IF(F144&lt;H144,F144*(D144-E144),0)+IF(H144=0,(D144-E144)*F144,0)+IF(H144&lt;F144,H144*(D144-E144),0)</f>
        <v>5000</v>
      </c>
      <c r="J144" s="1439" t="n">
        <f aca="false">G144-I144</f>
        <v>-5000</v>
      </c>
    </row>
    <row r="145" customFormat="false" ht="15" hidden="false" customHeight="true" outlineLevel="0" collapsed="false">
      <c r="B145" s="1439" t="str">
        <f aca="false">'Смета Внутр'!B145</f>
        <v>76мм, 3,5м длина, 2 лопасть</v>
      </c>
      <c r="C145" s="1439" t="str">
        <f aca="false">'Смета Внутр'!C145</f>
        <v>шт</v>
      </c>
      <c r="D145" s="1439" t="n">
        <f aca="false">'Смета Внутр'!D145</f>
        <v>8</v>
      </c>
      <c r="E145" s="1439"/>
      <c r="F145" s="1439" t="n">
        <f aca="false">'Смета Внутр'!E145</f>
        <v>2130</v>
      </c>
      <c r="G145" s="1439" t="n">
        <f aca="false">'Смета Внутр'!H145</f>
        <v>0</v>
      </c>
      <c r="H145" s="1439"/>
      <c r="I145" s="1439" t="n">
        <f aca="false">IF(F145&lt;H145,F145*(D145-E145),0)+IF(H145=0,(D145-E145)*F145,0)+IF(H145&lt;F145,H145*(D145-E145),0)</f>
        <v>17040</v>
      </c>
      <c r="J145" s="1439" t="n">
        <f aca="false">G145-I145</f>
        <v>-17040</v>
      </c>
    </row>
    <row r="146" customFormat="false" ht="15" hidden="false" customHeight="true" outlineLevel="0" collapsed="false">
      <c r="B146" s="1439" t="str">
        <f aca="false">'Смета Внутр'!B146</f>
        <v>Оголовкок для свай 200*200</v>
      </c>
      <c r="C146" s="1439" t="str">
        <f aca="false">'Смета Внутр'!C146</f>
        <v>шт</v>
      </c>
      <c r="D146" s="1439" t="n">
        <f aca="false">'Смета Внутр'!D146</f>
        <v>8</v>
      </c>
      <c r="E146" s="1439"/>
      <c r="F146" s="1439" t="n">
        <f aca="false">'Смета Внутр'!E146</f>
        <v>250</v>
      </c>
      <c r="G146" s="1439" t="n">
        <f aca="false">'Смета Внутр'!H146</f>
        <v>0</v>
      </c>
      <c r="H146" s="1439"/>
      <c r="I146" s="1439" t="n">
        <f aca="false">IF(F146&lt;H146,F146*(D146-E146),0)+IF(H146=0,(D146-E146)*F146,0)+IF(H146&lt;F146,H146*(D146-E146),0)</f>
        <v>2000</v>
      </c>
      <c r="J146" s="1439" t="n">
        <f aca="false">G146-I146</f>
        <v>-2000</v>
      </c>
    </row>
    <row r="147" customFormat="false" ht="15" hidden="false" customHeight="true" outlineLevel="0" collapsed="false">
      <c r="B147" s="1439" t="str">
        <f aca="false">'Смета Внутр'!B147</f>
        <v>обвязка металлом, 20/40/3000</v>
      </c>
      <c r="C147" s="1439" t="str">
        <f aca="false">'Смета Внутр'!C147</f>
        <v>м.п.</v>
      </c>
      <c r="D147" s="1439" t="n">
        <f aca="false">'Смета Внутр'!D147</f>
        <v>8</v>
      </c>
      <c r="E147" s="1439"/>
      <c r="F147" s="1439" t="n">
        <f aca="false">'Смета Внутр'!E147</f>
        <v>100</v>
      </c>
      <c r="G147" s="1439" t="n">
        <f aca="false">'Смета Внутр'!H147</f>
        <v>0</v>
      </c>
      <c r="H147" s="1439"/>
      <c r="I147" s="1439" t="n">
        <f aca="false">IF(F147&lt;H147,F147*(D147-E147),0)+IF(H147=0,(D147-E147)*F147,0)+IF(H147&lt;F147,H147*(D147-E147),0)</f>
        <v>800</v>
      </c>
      <c r="J147" s="1439" t="n">
        <f aca="false">G147-I147</f>
        <v>-800</v>
      </c>
    </row>
    <row r="148" customFormat="false" ht="15" hidden="false" customHeight="true" outlineLevel="0" collapsed="false">
      <c r="B148" s="1439" t="str">
        <f aca="false">'Смета Внутр'!B148</f>
        <v>Раствор, м200</v>
      </c>
      <c r="C148" s="1439" t="str">
        <f aca="false">'Смета Внутр'!C148</f>
        <v>м3</v>
      </c>
      <c r="D148" s="1439" t="n">
        <f aca="false">'Смета Внутр'!D148</f>
        <v>0.361728</v>
      </c>
      <c r="E148" s="1439"/>
      <c r="F148" s="1439" t="n">
        <f aca="false">'Смета Внутр'!E148</f>
        <v>2100</v>
      </c>
      <c r="G148" s="1439" t="n">
        <f aca="false">'Смета Внутр'!H148</f>
        <v>0</v>
      </c>
      <c r="H148" s="1439"/>
      <c r="I148" s="1439" t="n">
        <f aca="false">IF(F148&lt;H148,F148*(D148-E148),0)+IF(H148=0,(D148-E148)*F148,0)+IF(H148&lt;F148,H148*(D148-E148),0)</f>
        <v>759.6288</v>
      </c>
      <c r="J148" s="1439" t="n">
        <f aca="false">G148-I148</f>
        <v>-759.6288</v>
      </c>
    </row>
    <row r="149" customFormat="false" ht="15" hidden="false" customHeight="true" outlineLevel="0" collapsed="false">
      <c r="B149" s="1439" t="str">
        <f aca="false">'Смета Внутр'!B149</f>
        <v>Электроды ок 47</v>
      </c>
      <c r="C149" s="1439" t="str">
        <f aca="false">'Смета Внутр'!C149</f>
        <v>шт</v>
      </c>
      <c r="D149" s="1439" t="n">
        <f aca="false">'Смета Внутр'!D149</f>
        <v>8</v>
      </c>
      <c r="E149" s="1439"/>
      <c r="F149" s="1439" t="n">
        <f aca="false">'Смета Внутр'!E149</f>
        <v>10</v>
      </c>
      <c r="G149" s="1439" t="n">
        <f aca="false">'Смета Внутр'!H149</f>
        <v>0</v>
      </c>
      <c r="H149" s="1439"/>
      <c r="I149" s="1439" t="n">
        <f aca="false">IF(F149&lt;H149,F149*(D149-E149),0)+IF(H149=0,(D149-E149)*F149,0)+IF(H149&lt;F149,H149*(D149-E149),0)</f>
        <v>80</v>
      </c>
      <c r="J149" s="1439" t="n">
        <f aca="false">G149-I149</f>
        <v>-80</v>
      </c>
    </row>
    <row r="150" customFormat="false" ht="15" hidden="false" customHeight="true" outlineLevel="0" collapsed="false">
      <c r="B150" s="1692" t="s">
        <v>4332</v>
      </c>
      <c r="C150" s="1692"/>
      <c r="D150" s="1692"/>
      <c r="E150" s="1692"/>
      <c r="F150" s="1692"/>
      <c r="G150" s="1439" t="n">
        <f aca="false">'Смета Внутр'!H150</f>
        <v>0</v>
      </c>
      <c r="H150" s="3181"/>
      <c r="I150" s="1439" t="n">
        <f aca="false">IF(F150&lt;H150,F150*(D150-E150),0)+IF(H150=0,(D150-E150)*F150,0)+IF(H150&lt;F150,H150*(D150-E150),0)</f>
        <v>0</v>
      </c>
      <c r="J150" s="1439" t="n">
        <f aca="false">G150-I150</f>
        <v>0</v>
      </c>
    </row>
    <row r="151" customFormat="false" ht="15" hidden="false" customHeight="true" outlineLevel="0" collapsed="false">
      <c r="B151" s="1268" t="str">
        <f aca="false">'Смета Внутр'!B151</f>
        <v>Работы</v>
      </c>
      <c r="C151" s="1268"/>
      <c r="D151" s="1268"/>
      <c r="E151" s="1268"/>
      <c r="F151" s="1268"/>
      <c r="G151" s="3173" t="n">
        <f aca="false">'Смета Внутр'!H151</f>
        <v>0</v>
      </c>
      <c r="H151" s="3182"/>
      <c r="I151" s="3180" t="n">
        <f aca="false">IF(F151&lt;H151,F151*(D151-E151),0)+IF(H151=0,(D151-E151)*F151,0)+IF(H151&lt;F151,H151*(D151-E151),0)</f>
        <v>0</v>
      </c>
      <c r="J151" s="3180" t="n">
        <f aca="false">G151-I151</f>
        <v>0</v>
      </c>
    </row>
    <row r="152" customFormat="false" ht="15" hidden="false" customHeight="true" outlineLevel="0" collapsed="false">
      <c r="B152" s="1439" t="str">
        <f aca="false">'Смета Внутр'!B152</f>
        <v>разбивка осей</v>
      </c>
      <c r="C152" s="1439" t="str">
        <f aca="false">'Смета Внутр'!C152</f>
        <v>шт</v>
      </c>
      <c r="D152" s="1439" t="n">
        <f aca="false">'Смета Внутр'!D152</f>
        <v>1</v>
      </c>
      <c r="E152" s="1439"/>
      <c r="F152" s="1439" t="n">
        <f aca="false">'Смета Внутр'!E152</f>
        <v>7000</v>
      </c>
      <c r="G152" s="1439" t="n">
        <f aca="false">'Смета Внутр'!H152</f>
        <v>0</v>
      </c>
      <c r="H152" s="1439"/>
      <c r="I152" s="1439" t="n">
        <f aca="false">IF(F152&lt;H152,F152*(D152-E152),0)+IF(H152=0,(D152-E152)*F152,0)+IF(H152&lt;F152,H152*(D152-E152),0)</f>
        <v>7000</v>
      </c>
      <c r="J152" s="1439" t="n">
        <f aca="false">G152-I152</f>
        <v>-7000</v>
      </c>
    </row>
    <row r="153" customFormat="false" ht="15" hidden="false" customHeight="true" outlineLevel="0" collapsed="false">
      <c r="B153" s="1439" t="str">
        <f aca="false">'Смета Внутр'!B153</f>
        <v>монтаж свай гидравликой</v>
      </c>
      <c r="C153" s="1439" t="str">
        <f aca="false">'Смета Внутр'!C153</f>
        <v>шт</v>
      </c>
      <c r="D153" s="1439" t="n">
        <f aca="false">'Смета Внутр'!D153</f>
        <v>1</v>
      </c>
      <c r="E153" s="1439"/>
      <c r="F153" s="1439" t="n">
        <f aca="false">'Смета Внутр'!E153</f>
        <v>1000</v>
      </c>
      <c r="G153" s="1439" t="n">
        <f aca="false">'Смета Внутр'!H153</f>
        <v>0</v>
      </c>
      <c r="H153" s="1439"/>
      <c r="I153" s="1439" t="n">
        <f aca="false">IF(F153&lt;H153,F153*(D153-E153),0)+IF(H153=0,(D153-E153)*F153,0)+IF(H153&lt;F153,H153*(D153-E153),0)</f>
        <v>1000</v>
      </c>
      <c r="J153" s="1439" t="n">
        <f aca="false">G153-I153</f>
        <v>-1000</v>
      </c>
    </row>
    <row r="154" customFormat="false" ht="15" hidden="false" customHeight="true" outlineLevel="0" collapsed="false">
      <c r="B154" s="1439" t="str">
        <f aca="false">'Смета Внутр'!B154</f>
        <v>монтаж оголовков</v>
      </c>
      <c r="C154" s="1439" t="str">
        <f aca="false">'Смета Внутр'!C154</f>
        <v>шт</v>
      </c>
      <c r="D154" s="1439" t="n">
        <f aca="false">'Смета Внутр'!D154</f>
        <v>8</v>
      </c>
      <c r="E154" s="1439"/>
      <c r="F154" s="1439" t="n">
        <f aca="false">'Смета Внутр'!E154</f>
        <v>100</v>
      </c>
      <c r="G154" s="1439" t="n">
        <f aca="false">'Смета Внутр'!H154</f>
        <v>0</v>
      </c>
      <c r="H154" s="1439"/>
      <c r="I154" s="1439" t="n">
        <f aca="false">IF(F154&lt;H154,F154*(D154-E154),0)+IF(H154=0,(D154-E154)*F154,0)+IF(H154&lt;F154,H154*(D154-E154),0)</f>
        <v>800</v>
      </c>
      <c r="J154" s="1439" t="n">
        <f aca="false">G154-I154</f>
        <v>-800</v>
      </c>
    </row>
    <row r="155" customFormat="false" ht="15" hidden="false" customHeight="true" outlineLevel="0" collapsed="false">
      <c r="B155" s="1439" t="str">
        <f aca="false">'Смета Внутр'!B155</f>
        <v>обвязка металлом</v>
      </c>
      <c r="C155" s="1439" t="str">
        <f aca="false">'Смета Внутр'!C155</f>
        <v>м.п.</v>
      </c>
      <c r="D155" s="1439" t="n">
        <f aca="false">'Смета Внутр'!D155</f>
        <v>8</v>
      </c>
      <c r="E155" s="1439"/>
      <c r="F155" s="1439" t="n">
        <f aca="false">'Смета Внутр'!E155</f>
        <v>100</v>
      </c>
      <c r="G155" s="1439" t="n">
        <f aca="false">'Смета Внутр'!H155</f>
        <v>0</v>
      </c>
      <c r="H155" s="1439"/>
      <c r="I155" s="1439" t="n">
        <f aca="false">IF(F155&lt;H155,F155*(D155-E155),0)+IF(H155=0,(D155-E155)*F155,0)+IF(H155&lt;F155,H155*(D155-E155),0)</f>
        <v>800</v>
      </c>
      <c r="J155" s="1439" t="n">
        <f aca="false">G155-I155</f>
        <v>-800</v>
      </c>
    </row>
    <row r="156" customFormat="false" ht="15" hidden="false" customHeight="true" outlineLevel="0" collapsed="false">
      <c r="B156" s="1439" t="str">
        <f aca="false">'Смета Внутр'!B156</f>
        <v>заливка бетоном</v>
      </c>
      <c r="C156" s="1439" t="str">
        <f aca="false">'Смета Внутр'!C156</f>
        <v>шт</v>
      </c>
      <c r="D156" s="1439" t="n">
        <f aca="false">'Смета Внутр'!D156</f>
        <v>8</v>
      </c>
      <c r="E156" s="1439"/>
      <c r="F156" s="1439" t="n">
        <f aca="false">'Смета Внутр'!E156</f>
        <v>200</v>
      </c>
      <c r="G156" s="1439" t="n">
        <f aca="false">'Смета Внутр'!H156</f>
        <v>0</v>
      </c>
      <c r="H156" s="1439"/>
      <c r="I156" s="1439" t="n">
        <f aca="false">IF(F156&lt;H156,F156*(D156-E156),0)+IF(H156=0,(D156-E156)*F156,0)+IF(H156&lt;F156,H156*(D156-E156),0)</f>
        <v>1600</v>
      </c>
      <c r="J156" s="1439" t="n">
        <f aca="false">G156-I156</f>
        <v>-1600</v>
      </c>
    </row>
    <row r="157" customFormat="false" ht="15" hidden="false" customHeight="true" outlineLevel="0" collapsed="false">
      <c r="B157" s="1439" t="str">
        <f aca="false">'Смета Внутр'!B157</f>
        <v>Обрезка винтовых свай по невелиру</v>
      </c>
      <c r="C157" s="1439" t="str">
        <f aca="false">'Смета Внутр'!C157</f>
        <v>шт</v>
      </c>
      <c r="D157" s="1439" t="n">
        <f aca="false">'Смета Внутр'!D157</f>
        <v>8</v>
      </c>
      <c r="E157" s="1439"/>
      <c r="F157" s="1439" t="n">
        <f aca="false">'Смета Внутр'!E157</f>
        <v>200</v>
      </c>
      <c r="G157" s="1439" t="n">
        <f aca="false">'Смета Внутр'!H157</f>
        <v>0</v>
      </c>
      <c r="H157" s="1439"/>
      <c r="I157" s="1439" t="n">
        <f aca="false">IF(F157&lt;H157,F157*(D157-E157),0)+IF(H157=0,(D157-E157)*F157,0)+IF(H157&lt;F157,H157*(D157-E157),0)</f>
        <v>1600</v>
      </c>
      <c r="J157" s="1439" t="n">
        <f aca="false">G157-I157</f>
        <v>-1600</v>
      </c>
    </row>
    <row r="158" customFormat="false" ht="15" hidden="false" customHeight="true" outlineLevel="0" collapsed="false">
      <c r="B158" s="1439" t="str">
        <f aca="false">'Смета Внутр'!B158</f>
        <v>Наварка оголовка</v>
      </c>
      <c r="C158" s="1439" t="str">
        <f aca="false">'Смета Внутр'!C158</f>
        <v>шт</v>
      </c>
      <c r="D158" s="1439" t="n">
        <f aca="false">'Смета Внутр'!D158</f>
        <v>8</v>
      </c>
      <c r="E158" s="1439"/>
      <c r="F158" s="1439" t="n">
        <f aca="false">'Смета Внутр'!E158</f>
        <v>250</v>
      </c>
      <c r="G158" s="1439" t="n">
        <f aca="false">'Смета Внутр'!H158</f>
        <v>0</v>
      </c>
      <c r="H158" s="1439"/>
      <c r="I158" s="1439" t="n">
        <f aca="false">IF(F158&lt;H158,F158*(D158-E158),0)+IF(H158=0,(D158-E158)*F158,0)+IF(H158&lt;F158,H158*(D158-E158),0)</f>
        <v>2000</v>
      </c>
      <c r="J158" s="1439" t="n">
        <f aca="false">G158-I158</f>
        <v>-2000</v>
      </c>
    </row>
    <row r="159" customFormat="false" ht="15" hidden="false" customHeight="false" outlineLevel="0" collapsed="false">
      <c r="B159" s="1692" t="s">
        <v>4333</v>
      </c>
      <c r="C159" s="1692"/>
      <c r="D159" s="1692"/>
      <c r="E159" s="1692"/>
      <c r="F159" s="1692"/>
      <c r="G159" s="1439" t="n">
        <f aca="false">'Смета Внутр'!H159</f>
        <v>0</v>
      </c>
      <c r="H159" s="3181"/>
      <c r="I159" s="1439"/>
      <c r="J159" s="1439"/>
    </row>
    <row r="160" customFormat="false" ht="15" hidden="false" customHeight="true" outlineLevel="0" collapsed="false">
      <c r="B160" s="3172" t="str">
        <f aca="false">'Смета Внутр'!B160</f>
        <v>Винтовые сваи для крыльца</v>
      </c>
      <c r="C160" s="3172"/>
      <c r="D160" s="3172"/>
      <c r="E160" s="3172"/>
      <c r="F160" s="3172"/>
      <c r="G160" s="3173" t="n">
        <f aca="false">'Смета Внутр'!H160</f>
        <v>0</v>
      </c>
      <c r="H160" s="3173"/>
      <c r="I160" s="3180" t="n">
        <f aca="false">IF(F160&lt;H160,F160*(D160-E160),0)+IF(H160=0,(D160-E160)*F160,0)+IF(H160&lt;F160,H160*(D160-E160),0)</f>
        <v>0</v>
      </c>
      <c r="J160" s="3180" t="n">
        <f aca="false">G160-I160</f>
        <v>0</v>
      </c>
    </row>
    <row r="161" customFormat="false" ht="15" hidden="false" customHeight="true" outlineLevel="0" collapsed="false">
      <c r="B161" s="1268" t="str">
        <f aca="false">'Смета Внутр'!B161</f>
        <v>Материалы</v>
      </c>
      <c r="C161" s="1268"/>
      <c r="D161" s="1268"/>
      <c r="E161" s="1268"/>
      <c r="F161" s="1268"/>
      <c r="G161" s="3173" t="n">
        <f aca="false">'Смета Внутр'!H161</f>
        <v>0</v>
      </c>
      <c r="H161" s="3182"/>
      <c r="I161" s="3180" t="n">
        <f aca="false">IF(F161&lt;H161,F161*(D161-E161),0)+IF(H161=0,(D161-E161)*F161,0)+IF(H161&lt;F161,H161*(D161-E161),0)</f>
        <v>0</v>
      </c>
      <c r="J161" s="3180" t="n">
        <f aca="false">G161-I161</f>
        <v>0</v>
      </c>
    </row>
    <row r="162" customFormat="false" ht="15" hidden="false" customHeight="true" outlineLevel="0" collapsed="false">
      <c r="B162" s="1439" t="str">
        <f aca="false">'Смета Внутр'!B162</f>
        <v>пробное забуривание</v>
      </c>
      <c r="C162" s="1439" t="str">
        <f aca="false">'Смета Внутр'!C162</f>
        <v>шт</v>
      </c>
      <c r="D162" s="1439" t="n">
        <f aca="false">'Смета Внутр'!D162</f>
        <v>1</v>
      </c>
      <c r="E162" s="1439"/>
      <c r="F162" s="1439" t="n">
        <f aca="false">'Смета Внутр'!E162</f>
        <v>5000</v>
      </c>
      <c r="G162" s="1439" t="n">
        <f aca="false">'Смета Внутр'!H162</f>
        <v>0</v>
      </c>
      <c r="H162" s="1439"/>
      <c r="I162" s="1439" t="n">
        <f aca="false">IF(F162&lt;H162,F162*(D162-E162),0)+IF(H162=0,(D162-E162)*F162,0)+IF(H162&lt;F162,H162*(D162-E162),0)</f>
        <v>5000</v>
      </c>
      <c r="J162" s="1439" t="n">
        <f aca="false">G162-I162</f>
        <v>-5000</v>
      </c>
    </row>
    <row r="163" customFormat="false" ht="15" hidden="false" customHeight="true" outlineLevel="0" collapsed="false">
      <c r="B163" s="1439" t="str">
        <f aca="false">'Смета Внутр'!B163</f>
        <v>89мм, 3м длина, 1 лопасть</v>
      </c>
      <c r="C163" s="1439" t="str">
        <f aca="false">'Смета Внутр'!C163</f>
        <v>шт</v>
      </c>
      <c r="D163" s="1439" t="n">
        <f aca="false">'Смета Внутр'!D163</f>
        <v>5</v>
      </c>
      <c r="E163" s="1439"/>
      <c r="F163" s="1439" t="n">
        <f aca="false">'Смета Внутр'!E163</f>
        <v>1890</v>
      </c>
      <c r="G163" s="1439" t="n">
        <f aca="false">'Смета Внутр'!H163</f>
        <v>0</v>
      </c>
      <c r="H163" s="1439"/>
      <c r="I163" s="1439" t="n">
        <f aca="false">IF(F163&lt;H163,F163*(D163-E163),0)+IF(H163=0,(D163-E163)*F163,0)+IF(H163&lt;F163,H163*(D163-E163),0)</f>
        <v>9450</v>
      </c>
      <c r="J163" s="1439" t="n">
        <f aca="false">G163-I163</f>
        <v>-9450</v>
      </c>
    </row>
    <row r="164" customFormat="false" ht="15" hidden="false" customHeight="true" outlineLevel="0" collapsed="false">
      <c r="B164" s="1439" t="str">
        <f aca="false">'Смета Внутр'!B164</f>
        <v>Оголовкок для свай 200*200</v>
      </c>
      <c r="C164" s="1439" t="str">
        <f aca="false">'Смета Внутр'!C164</f>
        <v>шт</v>
      </c>
      <c r="D164" s="1439" t="n">
        <f aca="false">'Смета Внутр'!D164</f>
        <v>5</v>
      </c>
      <c r="E164" s="1439"/>
      <c r="F164" s="1439" t="n">
        <f aca="false">'Смета Внутр'!E164</f>
        <v>250</v>
      </c>
      <c r="G164" s="1439" t="n">
        <f aca="false">'Смета Внутр'!H164</f>
        <v>0</v>
      </c>
      <c r="H164" s="1439"/>
      <c r="I164" s="1439" t="n">
        <f aca="false">IF(F164&lt;H164,F164*(D164-E164),0)+IF(H164=0,(D164-E164)*F164,0)+IF(H164&lt;F164,H164*(D164-E164),0)</f>
        <v>1250</v>
      </c>
      <c r="J164" s="1439" t="n">
        <f aca="false">G164-I164</f>
        <v>-1250</v>
      </c>
    </row>
    <row r="165" customFormat="false" ht="15" hidden="false" customHeight="true" outlineLevel="0" collapsed="false">
      <c r="B165" s="1439" t="str">
        <f aca="false">'Смета Внутр'!B165</f>
        <v>обвязка металлом, 20/40/3000</v>
      </c>
      <c r="C165" s="1439" t="str">
        <f aca="false">'Смета Внутр'!C165</f>
        <v>м.п.</v>
      </c>
      <c r="D165" s="1439" t="n">
        <f aca="false">'Смета Внутр'!D165</f>
        <v>5</v>
      </c>
      <c r="E165" s="1439"/>
      <c r="F165" s="1439" t="n">
        <f aca="false">'Смета Внутр'!E165</f>
        <v>100</v>
      </c>
      <c r="G165" s="1439" t="n">
        <f aca="false">'Смета Внутр'!H165</f>
        <v>0</v>
      </c>
      <c r="H165" s="1439"/>
      <c r="I165" s="1439" t="n">
        <f aca="false">IF(F165&lt;H165,F165*(D165-E165),0)+IF(H165=0,(D165-E165)*F165,0)+IF(H165&lt;F165,H165*(D165-E165),0)</f>
        <v>500</v>
      </c>
      <c r="J165" s="1439" t="n">
        <f aca="false">G165-I165</f>
        <v>-500</v>
      </c>
    </row>
    <row r="166" customFormat="false" ht="15" hidden="false" customHeight="true" outlineLevel="0" collapsed="false">
      <c r="B166" s="1439" t="str">
        <f aca="false">'Смета Внутр'!B166</f>
        <v>Раствор, м200</v>
      </c>
      <c r="C166" s="1439" t="str">
        <f aca="false">'Смета Внутр'!C166</f>
        <v>м3</v>
      </c>
      <c r="D166" s="1439" t="n">
        <f aca="false">'Смета Внутр'!D166</f>
        <v>0.22608</v>
      </c>
      <c r="E166" s="1439"/>
      <c r="F166" s="1439" t="n">
        <f aca="false">'Смета Внутр'!E166</f>
        <v>2100</v>
      </c>
      <c r="G166" s="1439" t="n">
        <f aca="false">'Смета Внутр'!H166</f>
        <v>0</v>
      </c>
      <c r="H166" s="1439"/>
      <c r="I166" s="1439" t="n">
        <f aca="false">IF(F166&lt;H166,F166*(D166-E166),0)+IF(H166=0,(D166-E166)*F166,0)+IF(H166&lt;F166,H166*(D166-E166),0)</f>
        <v>474.768</v>
      </c>
      <c r="J166" s="1439" t="n">
        <f aca="false">G166-I166</f>
        <v>-474.768</v>
      </c>
    </row>
    <row r="167" customFormat="false" ht="15" hidden="false" customHeight="true" outlineLevel="0" collapsed="false">
      <c r="B167" s="1439" t="str">
        <f aca="false">'Смета Внутр'!B167</f>
        <v>Электроды ок 47</v>
      </c>
      <c r="C167" s="1439" t="str">
        <f aca="false">'Смета Внутр'!C167</f>
        <v>шт</v>
      </c>
      <c r="D167" s="1439" t="n">
        <f aca="false">'Смета Внутр'!D167</f>
        <v>5</v>
      </c>
      <c r="E167" s="1439"/>
      <c r="F167" s="1439" t="n">
        <f aca="false">'Смета Внутр'!E167</f>
        <v>10</v>
      </c>
      <c r="G167" s="1439" t="n">
        <f aca="false">'Смета Внутр'!H167</f>
        <v>0</v>
      </c>
      <c r="H167" s="1439"/>
      <c r="I167" s="1439" t="n">
        <f aca="false">IF(F167&lt;H167,F167*(D167-E167),0)+IF(H167=0,(D167-E167)*F167,0)+IF(H167&lt;F167,H167*(D167-E167),0)</f>
        <v>50</v>
      </c>
      <c r="J167" s="1439" t="n">
        <f aca="false">G167-I167</f>
        <v>-50</v>
      </c>
    </row>
    <row r="168" customFormat="false" ht="15" hidden="false" customHeight="true" outlineLevel="0" collapsed="false">
      <c r="B168" s="1692" t="s">
        <v>4332</v>
      </c>
      <c r="C168" s="1692"/>
      <c r="D168" s="1692"/>
      <c r="E168" s="1692"/>
      <c r="F168" s="1692"/>
      <c r="G168" s="1439" t="n">
        <f aca="false">'Смета Внутр'!H168</f>
        <v>0</v>
      </c>
      <c r="H168" s="3181"/>
      <c r="I168" s="1439"/>
      <c r="J168" s="1439"/>
    </row>
    <row r="169" customFormat="false" ht="15" hidden="false" customHeight="true" outlineLevel="0" collapsed="false">
      <c r="B169" s="1268" t="str">
        <f aca="false">'Смета Внутр'!B169</f>
        <v>Работы</v>
      </c>
      <c r="C169" s="1268"/>
      <c r="D169" s="1268"/>
      <c r="E169" s="1268"/>
      <c r="F169" s="1268"/>
      <c r="G169" s="3173" t="n">
        <f aca="false">'Смета Внутр'!H169</f>
        <v>0</v>
      </c>
      <c r="H169" s="3182"/>
      <c r="I169" s="3180" t="n">
        <f aca="false">IF(F169&lt;H169,F169*(D169-E169),0)+IF(H169=0,(D169-E169)*F169,0)+IF(H169&lt;F169,H169*(D169-E169),0)</f>
        <v>0</v>
      </c>
      <c r="J169" s="3180" t="n">
        <f aca="false">G169-I169</f>
        <v>0</v>
      </c>
    </row>
    <row r="170" customFormat="false" ht="15" hidden="false" customHeight="true" outlineLevel="0" collapsed="false">
      <c r="B170" s="1439" t="str">
        <f aca="false">'Смета Внутр'!B170</f>
        <v>разбивка осей</v>
      </c>
      <c r="C170" s="1439" t="str">
        <f aca="false">'Смета Внутр'!C170</f>
        <v>шт</v>
      </c>
      <c r="D170" s="1439" t="n">
        <f aca="false">'Смета Внутр'!D170</f>
        <v>1</v>
      </c>
      <c r="E170" s="1439"/>
      <c r="F170" s="1439" t="n">
        <f aca="false">'Смета Внутр'!E170</f>
        <v>7000</v>
      </c>
      <c r="G170" s="1439" t="n">
        <f aca="false">'Смета Внутр'!H170</f>
        <v>0</v>
      </c>
      <c r="H170" s="1439"/>
      <c r="I170" s="1439" t="n">
        <f aca="false">IF(F170&lt;H170,F170*(D170-E170),0)+IF(H170=0,(D170-E170)*F170,0)+IF(H170&lt;F170,H170*(D170-E170),0)</f>
        <v>7000</v>
      </c>
      <c r="J170" s="1439" t="n">
        <f aca="false">G170-I170</f>
        <v>-7000</v>
      </c>
    </row>
    <row r="171" customFormat="false" ht="15" hidden="false" customHeight="true" outlineLevel="0" collapsed="false">
      <c r="B171" s="1439" t="str">
        <f aca="false">'Смета Внутр'!B171</f>
        <v>монтаж свай гидравликой</v>
      </c>
      <c r="C171" s="1439" t="str">
        <f aca="false">'Смета Внутр'!C171</f>
        <v>шт</v>
      </c>
      <c r="D171" s="1439" t="n">
        <f aca="false">'Смета Внутр'!D171</f>
        <v>5</v>
      </c>
      <c r="E171" s="1439"/>
      <c r="F171" s="1439" t="n">
        <f aca="false">'Смета Внутр'!E171</f>
        <v>1000</v>
      </c>
      <c r="G171" s="1439" t="n">
        <f aca="false">'Смета Внутр'!H171</f>
        <v>0</v>
      </c>
      <c r="H171" s="1439"/>
      <c r="I171" s="1439" t="n">
        <f aca="false">IF(F171&lt;H171,F171*(D171-E171),0)+IF(H171=0,(D171-E171)*F171,0)+IF(H171&lt;F171,H171*(D171-E171),0)</f>
        <v>5000</v>
      </c>
      <c r="J171" s="1439" t="n">
        <f aca="false">G171-I171</f>
        <v>-5000</v>
      </c>
    </row>
    <row r="172" customFormat="false" ht="15" hidden="false" customHeight="true" outlineLevel="0" collapsed="false">
      <c r="B172" s="1439" t="str">
        <f aca="false">'Смета Внутр'!B172</f>
        <v>монтаж оголовков</v>
      </c>
      <c r="C172" s="1439" t="str">
        <f aca="false">'Смета Внутр'!C172</f>
        <v>шт</v>
      </c>
      <c r="D172" s="1439" t="n">
        <f aca="false">'Смета Внутр'!D172</f>
        <v>5</v>
      </c>
      <c r="E172" s="1439"/>
      <c r="F172" s="1439" t="n">
        <f aca="false">'Смета Внутр'!E172</f>
        <v>100</v>
      </c>
      <c r="G172" s="1439" t="n">
        <f aca="false">'Смета Внутр'!H172</f>
        <v>0</v>
      </c>
      <c r="H172" s="1439"/>
      <c r="I172" s="1439" t="n">
        <f aca="false">IF(F172&lt;H172,F172*(D172-E172),0)+IF(H172=0,(D172-E172)*F172,0)+IF(H172&lt;F172,H172*(D172-E172),0)</f>
        <v>500</v>
      </c>
      <c r="J172" s="1439" t="n">
        <f aca="false">G172-I172</f>
        <v>-500</v>
      </c>
    </row>
    <row r="173" customFormat="false" ht="15" hidden="false" customHeight="true" outlineLevel="0" collapsed="false">
      <c r="B173" s="1439" t="str">
        <f aca="false">'Смета Внутр'!B173</f>
        <v>обвязка металлом</v>
      </c>
      <c r="C173" s="1439" t="str">
        <f aca="false">'Смета Внутр'!C173</f>
        <v>м.п.</v>
      </c>
      <c r="D173" s="1439" t="n">
        <f aca="false">'Смета Внутр'!D173</f>
        <v>5</v>
      </c>
      <c r="E173" s="1439"/>
      <c r="F173" s="1439" t="n">
        <f aca="false">'Смета Внутр'!E173</f>
        <v>100</v>
      </c>
      <c r="G173" s="1439" t="n">
        <f aca="false">'Смета Внутр'!H173</f>
        <v>0</v>
      </c>
      <c r="H173" s="1439"/>
      <c r="I173" s="1439" t="n">
        <f aca="false">IF(F173&lt;H173,F173*(D173-E173),0)+IF(H173=0,(D173-E173)*F173,0)+IF(H173&lt;F173,H173*(D173-E173),0)</f>
        <v>500</v>
      </c>
      <c r="J173" s="1439" t="n">
        <f aca="false">G173-I173</f>
        <v>-500</v>
      </c>
    </row>
    <row r="174" customFormat="false" ht="15" hidden="false" customHeight="true" outlineLevel="0" collapsed="false">
      <c r="B174" s="1439" t="str">
        <f aca="false">'Смета Внутр'!B174</f>
        <v>заливка бетоном</v>
      </c>
      <c r="C174" s="1439" t="str">
        <f aca="false">'Смета Внутр'!C174</f>
        <v>шт</v>
      </c>
      <c r="D174" s="1439" t="n">
        <f aca="false">'Смета Внутр'!D174</f>
        <v>5</v>
      </c>
      <c r="E174" s="1439"/>
      <c r="F174" s="1439" t="n">
        <f aca="false">'Смета Внутр'!E174</f>
        <v>200</v>
      </c>
      <c r="G174" s="1439" t="n">
        <f aca="false">'Смета Внутр'!H174</f>
        <v>0</v>
      </c>
      <c r="H174" s="1439"/>
      <c r="I174" s="1439" t="n">
        <f aca="false">IF(F174&lt;H174,F174*(D174-E174),0)+IF(H174=0,(D174-E174)*F174,0)+IF(H174&lt;F174,H174*(D174-E174),0)</f>
        <v>1000</v>
      </c>
      <c r="J174" s="1439" t="n">
        <f aca="false">G174-I174</f>
        <v>-1000</v>
      </c>
    </row>
    <row r="175" customFormat="false" ht="15" hidden="false" customHeight="true" outlineLevel="0" collapsed="false">
      <c r="B175" s="1439" t="str">
        <f aca="false">'Смета Внутр'!B175</f>
        <v>Обрезка винтовых свай по невелиру</v>
      </c>
      <c r="C175" s="1439" t="str">
        <f aca="false">'Смета Внутр'!C175</f>
        <v>шт</v>
      </c>
      <c r="D175" s="1439" t="n">
        <f aca="false">'Смета Внутр'!D175</f>
        <v>5</v>
      </c>
      <c r="E175" s="1439"/>
      <c r="F175" s="1439" t="n">
        <f aca="false">'Смета Внутр'!E175</f>
        <v>200</v>
      </c>
      <c r="G175" s="1439" t="n">
        <f aca="false">'Смета Внутр'!H175</f>
        <v>0</v>
      </c>
      <c r="H175" s="1439"/>
      <c r="I175" s="1439" t="n">
        <f aca="false">IF(F175&lt;H175,F175*(D175-E175),0)+IF(H175=0,(D175-E175)*F175,0)+IF(H175&lt;F175,H175*(D175-E175),0)</f>
        <v>1000</v>
      </c>
      <c r="J175" s="1439" t="n">
        <f aca="false">G175-I175</f>
        <v>-1000</v>
      </c>
    </row>
    <row r="176" customFormat="false" ht="15" hidden="false" customHeight="true" outlineLevel="0" collapsed="false">
      <c r="B176" s="1439" t="str">
        <f aca="false">'Смета Внутр'!B176</f>
        <v>Наварка оголовка</v>
      </c>
      <c r="C176" s="1439" t="str">
        <f aca="false">'Смета Внутр'!C176</f>
        <v>шт</v>
      </c>
      <c r="D176" s="1439" t="n">
        <f aca="false">'Смета Внутр'!D176</f>
        <v>5</v>
      </c>
      <c r="E176" s="1439"/>
      <c r="F176" s="1439" t="n">
        <f aca="false">'Смета Внутр'!E176</f>
        <v>250</v>
      </c>
      <c r="G176" s="1439" t="n">
        <f aca="false">'Смета Внутр'!H176</f>
        <v>0</v>
      </c>
      <c r="H176" s="1439"/>
      <c r="I176" s="1439" t="n">
        <f aca="false">IF(F176&lt;H176,F176*(D176-E176),0)+IF(H176=0,(D176-E176)*F176,0)+IF(H176&lt;F176,H176*(D176-E176),0)</f>
        <v>1250</v>
      </c>
      <c r="J176" s="1439" t="n">
        <f aca="false">G176-I176</f>
        <v>-1250</v>
      </c>
    </row>
    <row r="177" customFormat="false" ht="15" hidden="false" customHeight="false" outlineLevel="0" collapsed="false">
      <c r="B177" s="1692" t="s">
        <v>4333</v>
      </c>
      <c r="C177" s="1692"/>
      <c r="D177" s="1692"/>
      <c r="E177" s="1692"/>
      <c r="F177" s="1692"/>
      <c r="G177" s="1439" t="n">
        <f aca="false">'Смета Внутр'!H177</f>
        <v>0</v>
      </c>
      <c r="H177" s="3181"/>
      <c r="I177" s="1439"/>
      <c r="J177" s="1439"/>
    </row>
    <row r="178" customFormat="false" ht="15" hidden="false" customHeight="true" outlineLevel="0" collapsed="false">
      <c r="B178" s="3172" t="str">
        <f aca="false">'Смета Внутр'!B178</f>
        <v>Ленточный фундамент</v>
      </c>
      <c r="C178" s="3172"/>
      <c r="D178" s="3172"/>
      <c r="E178" s="3172"/>
      <c r="F178" s="3172"/>
      <c r="G178" s="3173" t="n">
        <f aca="false">'Смета Внутр'!H178</f>
        <v>0</v>
      </c>
      <c r="H178" s="3173"/>
      <c r="I178" s="3180" t="n">
        <f aca="false">IF(F178&lt;H178,F178*(D178-E178),0)+IF(H178=0,(D178-E178)*F178,0)+IF(H178&lt;F178,H178*(D178-E178),0)</f>
        <v>0</v>
      </c>
      <c r="J178" s="3180" t="n">
        <f aca="false">G178-I178</f>
        <v>0</v>
      </c>
    </row>
    <row r="179" customFormat="false" ht="15" hidden="false" customHeight="true" outlineLevel="0" collapsed="false">
      <c r="B179" s="1268" t="str">
        <f aca="false">'Смета Внутр'!B179</f>
        <v>Материалы</v>
      </c>
      <c r="C179" s="1268"/>
      <c r="D179" s="1268"/>
      <c r="E179" s="1268"/>
      <c r="F179" s="1268"/>
      <c r="G179" s="3173" t="n">
        <f aca="false">'Смета Внутр'!H179</f>
        <v>0</v>
      </c>
      <c r="H179" s="3182"/>
      <c r="I179" s="3180" t="n">
        <f aca="false">IF(F179&lt;H179,F179*(D179-E179),0)+IF(H179=0,(D179-E179)*F179,0)+IF(H179&lt;F179,H179*(D179-E179),0)</f>
        <v>0</v>
      </c>
      <c r="J179" s="3180" t="n">
        <f aca="false">G179-I179</f>
        <v>0</v>
      </c>
    </row>
    <row r="180" customFormat="false" ht="15" hidden="false" customHeight="true" outlineLevel="0" collapsed="false">
      <c r="B180" s="1439" t="str">
        <f aca="false">'Смета Внутр'!B180</f>
        <v>Сосна влаж,150*40мм</v>
      </c>
      <c r="C180" s="1439" t="str">
        <f aca="false">'Смета Внутр'!C180</f>
        <v>м3</v>
      </c>
      <c r="D180" s="1439" t="n">
        <f aca="false">'Смета Внутр'!D180</f>
        <v>3.29472</v>
      </c>
      <c r="E180" s="1439"/>
      <c r="F180" s="1439" t="n">
        <f aca="false">'Смета Внутр'!E180</f>
        <v>6500</v>
      </c>
      <c r="G180" s="1439" t="n">
        <f aca="false">'Смета Внутр'!H180</f>
        <v>0</v>
      </c>
      <c r="H180" s="1439"/>
      <c r="I180" s="1439" t="n">
        <f aca="false">IF(F180&lt;H180,F180*(D180-E180),0)+IF(H180=0,(D180-E180)*F180,0)+IF(H180&lt;F180,H180*(D180-E180),0)</f>
        <v>21415.68</v>
      </c>
      <c r="J180" s="1439" t="n">
        <f aca="false">G180-I180</f>
        <v>-21415.68</v>
      </c>
    </row>
    <row r="181" customFormat="false" ht="15" hidden="false" customHeight="true" outlineLevel="0" collapsed="false">
      <c r="B181" s="1439" t="str">
        <f aca="false">'Смета Внутр'!B181</f>
        <v>Пленка гидроизоляционная </v>
      </c>
      <c r="C181" s="1439" t="str">
        <f aca="false">'Смета Внутр'!C181</f>
        <v>м2</v>
      </c>
      <c r="D181" s="1439" t="n">
        <f aca="false">'Смета Внутр'!D181</f>
        <v>82.368</v>
      </c>
      <c r="E181" s="1439"/>
      <c r="F181" s="1439" t="n">
        <f aca="false">'Смета Внутр'!E181</f>
        <v>15</v>
      </c>
      <c r="G181" s="1439" t="n">
        <f aca="false">'Смета Внутр'!H181</f>
        <v>0</v>
      </c>
      <c r="H181" s="1439"/>
      <c r="I181" s="1439" t="n">
        <f aca="false">IF(F181&lt;H181,F181*(D181-E181),0)+IF(H181=0,(D181-E181)*F181,0)+IF(H181&lt;F181,H181*(D181-E181),0)</f>
        <v>1235.52</v>
      </c>
      <c r="J181" s="1439" t="n">
        <f aca="false">G181-I181</f>
        <v>-1235.52</v>
      </c>
    </row>
    <row r="182" customFormat="false" ht="15" hidden="false" customHeight="true" outlineLevel="0" collapsed="false">
      <c r="B182" s="1439" t="str">
        <f aca="false">'Смета Внутр'!B182</f>
        <v>Арматура стальная Ø 8</v>
      </c>
      <c r="C182" s="1439" t="str">
        <f aca="false">'Смета Внутр'!C182</f>
        <v>м.п</v>
      </c>
      <c r="D182" s="1439" t="n">
        <f aca="false">'Смета Внутр'!D182</f>
        <v>380.16</v>
      </c>
      <c r="E182" s="1439"/>
      <c r="F182" s="1439" t="n">
        <f aca="false">'Смета Внутр'!E182</f>
        <v>16.037</v>
      </c>
      <c r="G182" s="1439" t="n">
        <f aca="false">'Смета Внутр'!H182</f>
        <v>0</v>
      </c>
      <c r="H182" s="1439"/>
      <c r="I182" s="1439" t="n">
        <f aca="false">IF(F182&lt;H182,F182*(D182-E182),0)+IF(H182=0,(D182-E182)*F182,0)+IF(H182&lt;F182,H182*(D182-E182),0)</f>
        <v>6096.62592</v>
      </c>
      <c r="J182" s="1439" t="n">
        <f aca="false">G182-I182</f>
        <v>-6096.62592</v>
      </c>
    </row>
    <row r="183" customFormat="false" ht="15" hidden="false" customHeight="true" outlineLevel="0" collapsed="false">
      <c r="B183" s="1439" t="str">
        <f aca="false">'Смета Внутр'!B183</f>
        <v>Арматура стальная Ø 6</v>
      </c>
      <c r="C183" s="1439" t="str">
        <f aca="false">'Смета Внутр'!C183</f>
        <v>м.п</v>
      </c>
      <c r="D183" s="1439" t="n">
        <f aca="false">'Смета Внутр'!D183</f>
        <v>261.36</v>
      </c>
      <c r="E183" s="1439"/>
      <c r="F183" s="1439" t="n">
        <f aca="false">'Смета Внутр'!E183</f>
        <v>9.0132</v>
      </c>
      <c r="G183" s="1439" t="n">
        <f aca="false">'Смета Внутр'!H183</f>
        <v>0</v>
      </c>
      <c r="H183" s="1439"/>
      <c r="I183" s="1439" t="n">
        <f aca="false">IF(F183&lt;H183,F183*(D183-E183),0)+IF(H183=0,(D183-E183)*F183,0)+IF(H183&lt;F183,H183*(D183-E183),0)</f>
        <v>2355.689952</v>
      </c>
      <c r="J183" s="1439" t="n">
        <f aca="false">G183-I183</f>
        <v>-2355.689952</v>
      </c>
    </row>
    <row r="184" customFormat="false" ht="15" hidden="false" customHeight="true" outlineLevel="0" collapsed="false">
      <c r="B184" s="1439" t="str">
        <f aca="false">'Смета Внутр'!B184</f>
        <v>Вязальная проволока</v>
      </c>
      <c r="C184" s="1439" t="str">
        <f aca="false">'Смета Внутр'!C184</f>
        <v>кг</v>
      </c>
      <c r="D184" s="1439" t="n">
        <f aca="false">'Смета Внутр'!D184</f>
        <v>14.11344</v>
      </c>
      <c r="E184" s="1439"/>
      <c r="F184" s="1439" t="n">
        <f aca="false">'Смета Внутр'!E184</f>
        <v>80</v>
      </c>
      <c r="G184" s="1439" t="n">
        <f aca="false">'Смета Внутр'!H184</f>
        <v>0</v>
      </c>
      <c r="H184" s="1439"/>
      <c r="I184" s="1439" t="n">
        <f aca="false">IF(F184&lt;H184,F184*(D184-E184),0)+IF(H184=0,(D184-E184)*F184,0)+IF(H184&lt;F184,H184*(D184-E184),0)</f>
        <v>1129.0752</v>
      </c>
      <c r="J184" s="1439" t="n">
        <f aca="false">G184-I184</f>
        <v>-1129.0752</v>
      </c>
    </row>
    <row r="185" customFormat="false" ht="15" hidden="false" customHeight="true" outlineLevel="0" collapsed="false">
      <c r="B185" s="1439" t="str">
        <f aca="false">'Смета Внутр'!B185</f>
        <v>Гвозди строительные 3,5 x 90            </v>
      </c>
      <c r="C185" s="1439" t="str">
        <f aca="false">'Смета Внутр'!C185</f>
        <v>кг</v>
      </c>
      <c r="D185" s="1439" t="n">
        <f aca="false">'Смета Внутр'!D185</f>
        <v>18.12096</v>
      </c>
      <c r="E185" s="1439"/>
      <c r="F185" s="1439" t="n">
        <f aca="false">'Смета Внутр'!E185</f>
        <v>70</v>
      </c>
      <c r="G185" s="1439" t="n">
        <f aca="false">'Смета Внутр'!H185</f>
        <v>0</v>
      </c>
      <c r="H185" s="1439"/>
      <c r="I185" s="1439" t="n">
        <f aca="false">IF(F185&lt;H185,F185*(D185-E185),0)+IF(H185=0,(D185-E185)*F185,0)+IF(H185&lt;F185,H185*(D185-E185),0)</f>
        <v>1268.4672</v>
      </c>
      <c r="J185" s="1439" t="n">
        <f aca="false">G185-I185</f>
        <v>-1268.4672</v>
      </c>
    </row>
    <row r="186" customFormat="false" ht="15" hidden="false" customHeight="true" outlineLevel="0" collapsed="false">
      <c r="B186" s="1439" t="str">
        <f aca="false">'Смета Внутр'!B186</f>
        <v>Гидроизол</v>
      </c>
      <c r="C186" s="1439" t="str">
        <f aca="false">'Смета Внутр'!C186</f>
        <v>м2</v>
      </c>
      <c r="D186" s="1439" t="n">
        <f aca="false">'Смета Внутр'!D186</f>
        <v>15.84</v>
      </c>
      <c r="E186" s="1439"/>
      <c r="F186" s="1439" t="n">
        <f aca="false">'Смета Внутр'!E186</f>
        <v>70</v>
      </c>
      <c r="G186" s="1439" t="n">
        <f aca="false">'Смета Внутр'!H186</f>
        <v>0</v>
      </c>
      <c r="H186" s="1439"/>
      <c r="I186" s="1439" t="n">
        <f aca="false">IF(F186&lt;H186,F186*(D186-E186),0)+IF(H186=0,(D186-E186)*F186,0)+IF(H186&lt;F186,H186*(D186-E186),0)</f>
        <v>1108.8</v>
      </c>
      <c r="J186" s="1439" t="n">
        <f aca="false">G186-I186</f>
        <v>-1108.8</v>
      </c>
    </row>
    <row r="187" customFormat="false" ht="15" hidden="false" customHeight="true" outlineLevel="0" collapsed="false">
      <c r="B187" s="1439" t="str">
        <f aca="false">'Смета Внутр'!B187</f>
        <v>ПГС, машина 13м3</v>
      </c>
      <c r="C187" s="1439" t="str">
        <f aca="false">'Смета Внутр'!C187</f>
        <v>маш</v>
      </c>
      <c r="D187" s="1439" t="n">
        <f aca="false">'Смета Внутр'!D187</f>
        <v>0.528</v>
      </c>
      <c r="E187" s="1439"/>
      <c r="F187" s="1439" t="n">
        <f aca="false">'Смета Внутр'!E187</f>
        <v>10000</v>
      </c>
      <c r="G187" s="1439" t="n">
        <f aca="false">'Смета Внутр'!H187</f>
        <v>0</v>
      </c>
      <c r="H187" s="1439"/>
      <c r="I187" s="1439" t="n">
        <f aca="false">IF(F187&lt;H187,F187*(D187-E187),0)+IF(H187=0,(D187-E187)*F187,0)+IF(H187&lt;F187,H187*(D187-E187),0)</f>
        <v>5280</v>
      </c>
      <c r="J187" s="1439" t="n">
        <f aca="false">G187-I187</f>
        <v>-5280</v>
      </c>
    </row>
    <row r="188" customFormat="false" ht="15" hidden="false" customHeight="true" outlineLevel="0" collapsed="false">
      <c r="B188" s="1439" t="str">
        <f aca="false">'Смета Внутр'!B188</f>
        <v>Бетон, м250</v>
      </c>
      <c r="C188" s="1439" t="str">
        <f aca="false">'Смета Внутр'!C188</f>
        <v>м3</v>
      </c>
      <c r="D188" s="1439" t="n">
        <f aca="false">'Смета Внутр'!D188</f>
        <v>9.504</v>
      </c>
      <c r="E188" s="1439"/>
      <c r="F188" s="1439" t="n">
        <f aca="false">'Смета Внутр'!E188</f>
        <v>2750</v>
      </c>
      <c r="G188" s="1439" t="n">
        <f aca="false">'Смета Внутр'!H188</f>
        <v>0</v>
      </c>
      <c r="H188" s="1439"/>
      <c r="I188" s="1439" t="n">
        <f aca="false">IF(F188&lt;H188,F188*(D188-E188),0)+IF(H188=0,(D188-E188)*F188,0)+IF(H188&lt;F188,H188*(D188-E188),0)</f>
        <v>26136</v>
      </c>
      <c r="J188" s="1439" t="n">
        <f aca="false">G188-I188</f>
        <v>-26136</v>
      </c>
    </row>
    <row r="189" customFormat="false" ht="15" hidden="false" customHeight="true" outlineLevel="0" collapsed="false">
      <c r="B189" s="1439" t="str">
        <f aca="false">'Смета Внутр'!B189</f>
        <v>Нет</v>
      </c>
      <c r="C189" s="1439" t="str">
        <f aca="false">'Смета Внутр'!C189</f>
        <v>м3</v>
      </c>
      <c r="D189" s="1439" t="n">
        <f aca="false">'Смета Внутр'!D189</f>
        <v>0</v>
      </c>
      <c r="E189" s="1439"/>
      <c r="F189" s="1439" t="n">
        <f aca="false">'Смета Внутр'!E189</f>
        <v>0</v>
      </c>
      <c r="G189" s="1439" t="n">
        <f aca="false">'Смета Внутр'!H189</f>
        <v>0</v>
      </c>
      <c r="H189" s="1439"/>
      <c r="I189" s="1439" t="n">
        <f aca="false">IF(F189&lt;H189,F189*(D189-E189),0)+IF(H189=0,(D189-E189)*F189,0)+IF(H189&lt;F189,H189*(D189-E189),0)</f>
        <v>0</v>
      </c>
      <c r="J189" s="1439" t="n">
        <f aca="false">G189-I189</f>
        <v>0</v>
      </c>
    </row>
    <row r="190" customFormat="false" ht="15" hidden="false" customHeight="true" outlineLevel="0" collapsed="false">
      <c r="B190" s="1439" t="str">
        <f aca="false">'Смета Внутр'!B190</f>
        <v>Грибок для крепления утеплителя</v>
      </c>
      <c r="C190" s="1439" t="str">
        <f aca="false">'Смета Внутр'!C190</f>
        <v>шт</v>
      </c>
      <c r="D190" s="1439" t="n">
        <f aca="false">'Смета Внутр'!D190</f>
        <v>0</v>
      </c>
      <c r="E190" s="1439"/>
      <c r="F190" s="1439" t="n">
        <f aca="false">'Смета Внутр'!E190</f>
        <v>15</v>
      </c>
      <c r="G190" s="1439" t="n">
        <f aca="false">'Смета Внутр'!H190</f>
        <v>0</v>
      </c>
      <c r="H190" s="1439"/>
      <c r="I190" s="1439" t="n">
        <f aca="false">IF(F190&lt;H190,F190*(D190-E190),0)+IF(H190=0,(D190-E190)*F190,0)+IF(H190&lt;F190,H190*(D190-E190),0)</f>
        <v>0</v>
      </c>
      <c r="J190" s="1439" t="n">
        <f aca="false">G190-I190</f>
        <v>0</v>
      </c>
    </row>
    <row r="191" customFormat="false" ht="15" hidden="false" customHeight="true" outlineLevel="0" collapsed="false">
      <c r="B191" s="1439" t="str">
        <f aca="false">'Смета Внутр'!B191</f>
        <v>Нет</v>
      </c>
      <c r="C191" s="1439" t="str">
        <f aca="false">'Смета Внутр'!C191</f>
        <v>м3</v>
      </c>
      <c r="D191" s="1439" t="n">
        <f aca="false">'Смета Внутр'!D191</f>
        <v>0</v>
      </c>
      <c r="E191" s="1439"/>
      <c r="F191" s="1439" t="n">
        <f aca="false">'Смета Внутр'!E191</f>
        <v>0</v>
      </c>
      <c r="G191" s="1439" t="n">
        <f aca="false">'Смета Внутр'!H191</f>
        <v>0</v>
      </c>
      <c r="H191" s="1439"/>
      <c r="I191" s="1439" t="n">
        <f aca="false">IF(F191&lt;H191,F191*(D191-E191),0)+IF(H191=0,(D191-E191)*F191,0)+IF(H191&lt;F191,H191*(D191-E191),0)</f>
        <v>0</v>
      </c>
      <c r="J191" s="1439" t="n">
        <f aca="false">G191-I191</f>
        <v>0</v>
      </c>
    </row>
    <row r="192" customFormat="false" ht="15" hidden="false" customHeight="true" outlineLevel="0" collapsed="false">
      <c r="B192" s="1439" t="str">
        <f aca="false">'Смета Внутр'!B192</f>
        <v>ПГС, машина 5м3</v>
      </c>
      <c r="C192" s="1439" t="str">
        <f aca="false">'Смета Внутр'!C192</f>
        <v>маш</v>
      </c>
      <c r="D192" s="1439" t="n">
        <f aca="false">'Смета Внутр'!D192</f>
        <v>0</v>
      </c>
      <c r="E192" s="1439"/>
      <c r="F192" s="1439" t="n">
        <f aca="false">'Смета Внутр'!E192</f>
        <v>6000</v>
      </c>
      <c r="G192" s="1439" t="n">
        <f aca="false">'Смета Внутр'!H192</f>
        <v>0</v>
      </c>
      <c r="H192" s="1439"/>
      <c r="I192" s="1439" t="n">
        <f aca="false">IF(F192&lt;H192,F192*(D192-E192),0)+IF(H192=0,(D192-E192)*F192,0)+IF(H192&lt;F192,H192*(D192-E192),0)</f>
        <v>0</v>
      </c>
      <c r="J192" s="1439" t="n">
        <f aca="false">G192-I192</f>
        <v>0</v>
      </c>
    </row>
    <row r="193" customFormat="false" ht="15" hidden="false" customHeight="true" outlineLevel="0" collapsed="false">
      <c r="B193" s="1439" t="str">
        <f aca="false">'Смета Внутр'!B193</f>
        <v>Кладочная сетка, 100*100/150*150/200*200мм</v>
      </c>
      <c r="C193" s="1439" t="str">
        <f aca="false">'Смета Внутр'!C193</f>
        <v>м2</v>
      </c>
      <c r="D193" s="1439" t="n">
        <f aca="false">'Смета Внутр'!D193</f>
        <v>0</v>
      </c>
      <c r="E193" s="1439"/>
      <c r="F193" s="1439" t="n">
        <f aca="false">'Смета Внутр'!E193</f>
        <v>70</v>
      </c>
      <c r="G193" s="1439" t="n">
        <f aca="false">'Смета Внутр'!H193</f>
        <v>0</v>
      </c>
      <c r="H193" s="1439"/>
      <c r="I193" s="1439" t="n">
        <f aca="false">IF(F193&lt;H193,F193*(D193-E193),0)+IF(H193=0,(D193-E193)*F193,0)+IF(H193&lt;F193,H193*(D193-E193),0)</f>
        <v>0</v>
      </c>
      <c r="J193" s="1439" t="n">
        <f aca="false">G193-I193</f>
        <v>0</v>
      </c>
    </row>
    <row r="194" customFormat="false" ht="15" hidden="false" customHeight="true" outlineLevel="0" collapsed="false">
      <c r="B194" s="1439" t="str">
        <f aca="false">'Смета Внутр'!B194</f>
        <v>Бетон, м200</v>
      </c>
      <c r="C194" s="1439" t="str">
        <f aca="false">'Смета Внутр'!C194</f>
        <v>м3</v>
      </c>
      <c r="D194" s="1439" t="n">
        <f aca="false">'Смета Внутр'!D194</f>
        <v>0</v>
      </c>
      <c r="E194" s="1439"/>
      <c r="F194" s="1439" t="n">
        <f aca="false">'Смета Внутр'!E194</f>
        <v>2500</v>
      </c>
      <c r="G194" s="1439" t="n">
        <f aca="false">'Смета Внутр'!H194</f>
        <v>0</v>
      </c>
      <c r="H194" s="1439"/>
      <c r="I194" s="1439" t="n">
        <f aca="false">IF(F194&lt;H194,F194*(D194-E194),0)+IF(H194=0,(D194-E194)*F194,0)+IF(H194&lt;F194,H194*(D194-E194),0)</f>
        <v>0</v>
      </c>
      <c r="J194" s="1439" t="n">
        <f aca="false">G194-I194</f>
        <v>0</v>
      </c>
    </row>
    <row r="195" customFormat="false" ht="15" hidden="false" customHeight="true" outlineLevel="0" collapsed="false">
      <c r="B195" s="1692" t="s">
        <v>4332</v>
      </c>
      <c r="C195" s="1692"/>
      <c r="D195" s="1692"/>
      <c r="E195" s="1692"/>
      <c r="F195" s="1692"/>
      <c r="G195" s="1439" t="n">
        <f aca="false">'Смета Внутр'!H195</f>
        <v>0</v>
      </c>
      <c r="H195" s="3181"/>
      <c r="I195" s="1439"/>
      <c r="J195" s="1439"/>
    </row>
    <row r="196" customFormat="false" ht="15" hidden="false" customHeight="true" outlineLevel="0" collapsed="false">
      <c r="B196" s="1268" t="str">
        <f aca="false">'Смета Внутр'!B196</f>
        <v>Работы</v>
      </c>
      <c r="C196" s="1268"/>
      <c r="D196" s="1268"/>
      <c r="E196" s="1268"/>
      <c r="F196" s="1268"/>
      <c r="G196" s="3173" t="n">
        <f aca="false">'Смета Внутр'!H196</f>
        <v>0</v>
      </c>
      <c r="H196" s="3182"/>
      <c r="I196" s="3180" t="n">
        <f aca="false">IF(F196&lt;H196,F196*(D196-E196),0)+IF(H196=0,(D196-E196)*F196,0)+IF(H196&lt;F196,H196*(D196-E196),0)</f>
        <v>0</v>
      </c>
      <c r="J196" s="3180" t="n">
        <f aca="false">G196-I196</f>
        <v>0</v>
      </c>
    </row>
    <row r="197" customFormat="false" ht="15" hidden="false" customHeight="true" outlineLevel="0" collapsed="false">
      <c r="B197" s="1439" t="str">
        <f aca="false">'Смета Внутр'!B197</f>
        <v>разбивка осей</v>
      </c>
      <c r="C197" s="1439" t="str">
        <f aca="false">'Смета Внутр'!C197</f>
        <v>шт</v>
      </c>
      <c r="D197" s="1439" t="n">
        <f aca="false">'Смета Внутр'!D197</f>
        <v>1.05</v>
      </c>
      <c r="E197" s="1439"/>
      <c r="F197" s="1439" t="n">
        <f aca="false">'Смета Внутр'!E197</f>
        <v>7000</v>
      </c>
      <c r="G197" s="1439" t="n">
        <f aca="false">'Смета Внутр'!H197</f>
        <v>0</v>
      </c>
      <c r="H197" s="1439"/>
      <c r="I197" s="1439" t="n">
        <f aca="false">IF(F197&lt;H197,F197*(D197-E197),0)+IF(H197=0,(D197-E197)*F197,0)+IF(H197&lt;F197,H197*(D197-E197),0)</f>
        <v>7350</v>
      </c>
      <c r="J197" s="1439" t="n">
        <f aca="false">G197-I197</f>
        <v>-7350</v>
      </c>
    </row>
    <row r="198" customFormat="false" ht="15" hidden="false" customHeight="true" outlineLevel="0" collapsed="false">
      <c r="B198" s="1439" t="str">
        <f aca="false">'Смета Внутр'!B198</f>
        <v>сборка опалубки</v>
      </c>
      <c r="C198" s="1439" t="str">
        <f aca="false">'Смета Внутр'!C198</f>
        <v>м2</v>
      </c>
      <c r="D198" s="1439" t="n">
        <f aca="false">'Смета Внутр'!D198</f>
        <v>60.48</v>
      </c>
      <c r="E198" s="1439"/>
      <c r="F198" s="1439" t="n">
        <f aca="false">'Смета Внутр'!E198</f>
        <v>300</v>
      </c>
      <c r="G198" s="1439" t="n">
        <f aca="false">'Смета Внутр'!H198</f>
        <v>0</v>
      </c>
      <c r="H198" s="1439"/>
      <c r="I198" s="1439" t="n">
        <f aca="false">IF(F198&lt;H198,F198*(D198-E198),0)+IF(H198=0,(D198-E198)*F198,0)+IF(H198&lt;F198,H198*(D198-E198),0)</f>
        <v>18144</v>
      </c>
      <c r="J198" s="1439" t="n">
        <f aca="false">G198-I198</f>
        <v>-18144</v>
      </c>
    </row>
    <row r="199" customFormat="false" ht="15" hidden="false" customHeight="true" outlineLevel="0" collapsed="false">
      <c r="B199" s="1439" t="str">
        <f aca="false">'Смета Внутр'!B199</f>
        <v>разборка опалубки</v>
      </c>
      <c r="C199" s="1439" t="str">
        <f aca="false">'Смета Внутр'!C199</f>
        <v>м2</v>
      </c>
      <c r="D199" s="1439" t="n">
        <f aca="false">'Смета Внутр'!D199</f>
        <v>63.504</v>
      </c>
      <c r="E199" s="1439"/>
      <c r="F199" s="1439" t="n">
        <f aca="false">'Смета Внутр'!E199</f>
        <v>100</v>
      </c>
      <c r="G199" s="1439" t="n">
        <f aca="false">'Смета Внутр'!H199</f>
        <v>0</v>
      </c>
      <c r="H199" s="1439"/>
      <c r="I199" s="1439" t="n">
        <f aca="false">IF(F199&lt;H199,F199*(D199-E199),0)+IF(H199=0,(D199-E199)*F199,0)+IF(H199&lt;F199,H199*(D199-E199),0)</f>
        <v>6350.4</v>
      </c>
      <c r="J199" s="1439" t="n">
        <f aca="false">G199-I199</f>
        <v>-6350.4</v>
      </c>
    </row>
    <row r="200" customFormat="false" ht="15" hidden="false" customHeight="true" outlineLevel="0" collapsed="false">
      <c r="B200" s="1439" t="str">
        <f aca="false">'Смета Внутр'!B200</f>
        <v>настил пленки</v>
      </c>
      <c r="C200" s="1439" t="str">
        <f aca="false">'Смета Внутр'!C200</f>
        <v>м2</v>
      </c>
      <c r="D200" s="1439" t="n">
        <f aca="false">'Смета Внутр'!D200</f>
        <v>66.6792</v>
      </c>
      <c r="E200" s="1439"/>
      <c r="F200" s="1439" t="n">
        <f aca="false">'Смета Внутр'!E200</f>
        <v>10</v>
      </c>
      <c r="G200" s="1439" t="n">
        <f aca="false">'Смета Внутр'!H200</f>
        <v>0</v>
      </c>
      <c r="H200" s="1439"/>
      <c r="I200" s="1439" t="n">
        <f aca="false">IF(F200&lt;H200,F200*(D200-E200),0)+IF(H200=0,(D200-E200)*F200,0)+IF(H200&lt;F200,H200*(D200-E200),0)</f>
        <v>666.792</v>
      </c>
      <c r="J200" s="1439" t="n">
        <f aca="false">G200-I200</f>
        <v>-666.792</v>
      </c>
    </row>
    <row r="201" customFormat="false" ht="15" hidden="false" customHeight="true" outlineLevel="0" collapsed="false">
      <c r="B201" s="1439" t="str">
        <f aca="false">'Смета Внутр'!B201</f>
        <v>армирование</v>
      </c>
      <c r="C201" s="1439" t="str">
        <f aca="false">'Смета Внутр'!C201</f>
        <v>м.п</v>
      </c>
      <c r="D201" s="1439" t="n">
        <f aca="false">'Смета Внутр'!D201</f>
        <v>362.88</v>
      </c>
      <c r="E201" s="1439"/>
      <c r="F201" s="1439" t="n">
        <f aca="false">'Смета Внутр'!E201</f>
        <v>30</v>
      </c>
      <c r="G201" s="1439" t="n">
        <f aca="false">'Смета Внутр'!H201</f>
        <v>0</v>
      </c>
      <c r="H201" s="1439"/>
      <c r="I201" s="1439" t="n">
        <f aca="false">IF(F201&lt;H201,F201*(D201-E201),0)+IF(H201=0,(D201-E201)*F201,0)+IF(H201&lt;F201,H201*(D201-E201),0)</f>
        <v>10886.4</v>
      </c>
      <c r="J201" s="1439" t="n">
        <f aca="false">G201-I201</f>
        <v>-10886.4</v>
      </c>
    </row>
    <row r="202" customFormat="false" ht="15" hidden="false" customHeight="true" outlineLevel="0" collapsed="false">
      <c r="B202" s="1439" t="str">
        <f aca="false">'Смета Внутр'!B202</f>
        <v>армирование</v>
      </c>
      <c r="C202" s="1439" t="str">
        <f aca="false">'Смета Внутр'!C202</f>
        <v>м.п.</v>
      </c>
      <c r="D202" s="1439" t="n">
        <f aca="false">'Смета Внутр'!D202</f>
        <v>166.32</v>
      </c>
      <c r="E202" s="1439"/>
      <c r="F202" s="1439" t="n">
        <f aca="false">'Смета Внутр'!E202</f>
        <v>500</v>
      </c>
      <c r="G202" s="1439" t="n">
        <f aca="false">'Смета Внутр'!H202</f>
        <v>0</v>
      </c>
      <c r="H202" s="1439"/>
      <c r="I202" s="1439" t="n">
        <f aca="false">IF(F202&lt;H202,F202*(D202-E202),0)+IF(H202=0,(D202-E202)*F202,0)+IF(H202&lt;F202,H202*(D202-E202),0)</f>
        <v>83160</v>
      </c>
      <c r="J202" s="1439" t="n">
        <f aca="false">G202-I202</f>
        <v>-83160</v>
      </c>
    </row>
    <row r="203" customFormat="false" ht="15" hidden="false" customHeight="true" outlineLevel="0" collapsed="false">
      <c r="B203" s="1439" t="str">
        <f aca="false">'Смета Внутр'!B203</f>
        <v>настил гидроизола</v>
      </c>
      <c r="C203" s="1439" t="str">
        <f aca="false">'Смета Внутр'!C203</f>
        <v>м2</v>
      </c>
      <c r="D203" s="1439" t="n">
        <f aca="false">'Смета Внутр'!D203</f>
        <v>15.12</v>
      </c>
      <c r="E203" s="1439"/>
      <c r="F203" s="1439" t="n">
        <f aca="false">'Смета Внутр'!E203</f>
        <v>100</v>
      </c>
      <c r="G203" s="1439" t="n">
        <f aca="false">'Смета Внутр'!H203</f>
        <v>0</v>
      </c>
      <c r="H203" s="1439"/>
      <c r="I203" s="1439" t="n">
        <f aca="false">IF(F203&lt;H203,F203*(D203-E203),0)+IF(H203=0,(D203-E203)*F203,0)+IF(H203&lt;F203,H203*(D203-E203),0)</f>
        <v>1512</v>
      </c>
      <c r="J203" s="1439" t="n">
        <f aca="false">G203-I203</f>
        <v>-1512</v>
      </c>
    </row>
    <row r="204" customFormat="false" ht="15" hidden="false" customHeight="true" outlineLevel="0" collapsed="false">
      <c r="B204" s="1439" t="str">
        <f aca="false">'Смета Внутр'!B204</f>
        <v>трамбовка</v>
      </c>
      <c r="C204" s="1439" t="str">
        <f aca="false">'Смета Внутр'!C204</f>
        <v>м2</v>
      </c>
      <c r="D204" s="1439" t="n">
        <f aca="false">'Смета Внутр'!D204</f>
        <v>15.876</v>
      </c>
      <c r="E204" s="1439"/>
      <c r="F204" s="1439" t="n">
        <f aca="false">'Смета Внутр'!E204</f>
        <v>350</v>
      </c>
      <c r="G204" s="1439" t="n">
        <f aca="false">'Смета Внутр'!H204</f>
        <v>0</v>
      </c>
      <c r="H204" s="1439"/>
      <c r="I204" s="1439" t="n">
        <f aca="false">IF(F204&lt;H204,F204*(D204-E204),0)+IF(H204=0,(D204-E204)*F204,0)+IF(H204&lt;F204,H204*(D204-E204),0)</f>
        <v>5556.6</v>
      </c>
      <c r="J204" s="1439" t="n">
        <f aca="false">G204-I204</f>
        <v>-5556.6</v>
      </c>
    </row>
    <row r="205" customFormat="false" ht="15" hidden="false" customHeight="true" outlineLevel="0" collapsed="false">
      <c r="B205" s="1439" t="str">
        <f aca="false">'Смета Внутр'!B205</f>
        <v>приемка бетона</v>
      </c>
      <c r="C205" s="1439" t="str">
        <f aca="false">'Смета Внутр'!C205</f>
        <v>м3</v>
      </c>
      <c r="D205" s="1439" t="n">
        <f aca="false">'Смета Внутр'!D205</f>
        <v>9.072</v>
      </c>
      <c r="E205" s="1439"/>
      <c r="F205" s="1439" t="n">
        <f aca="false">'Смета Внутр'!E205</f>
        <v>1200</v>
      </c>
      <c r="G205" s="1439" t="n">
        <f aca="false">'Смета Внутр'!H205</f>
        <v>0</v>
      </c>
      <c r="H205" s="1439"/>
      <c r="I205" s="1439" t="n">
        <f aca="false">IF(F205&lt;H205,F205*(D205-E205),0)+IF(H205=0,(D205-E205)*F205,0)+IF(H205&lt;F205,H205*(D205-E205),0)</f>
        <v>10886.4</v>
      </c>
      <c r="J205" s="1439" t="n">
        <f aca="false">G205-I205</f>
        <v>-10886.4</v>
      </c>
    </row>
    <row r="206" customFormat="false" ht="15" hidden="false" customHeight="true" outlineLevel="0" collapsed="false">
      <c r="B206" s="1439" t="str">
        <f aca="false">'Смета Внутр'!B206</f>
        <v>утепление фундамента</v>
      </c>
      <c r="C206" s="1439" t="str">
        <f aca="false">'Смета Внутр'!C206</f>
        <v>м2</v>
      </c>
      <c r="D206" s="1439" t="n">
        <f aca="false">'Смета Внутр'!D206</f>
        <v>0</v>
      </c>
      <c r="E206" s="1439"/>
      <c r="F206" s="1439" t="n">
        <f aca="false">'Смета Внутр'!E206</f>
        <v>200</v>
      </c>
      <c r="G206" s="1439" t="n">
        <f aca="false">'Смета Внутр'!H206</f>
        <v>0</v>
      </c>
      <c r="H206" s="1439"/>
      <c r="I206" s="1439" t="n">
        <f aca="false">IF(F206&lt;H206,F206*(D206-E206),0)+IF(H206=0,(D206-E206)*F206,0)+IF(H206&lt;F206,H206*(D206-E206),0)</f>
        <v>0</v>
      </c>
      <c r="J206" s="1439" t="n">
        <f aca="false">G206-I206</f>
        <v>0</v>
      </c>
    </row>
    <row r="207" customFormat="false" ht="15" hidden="false" customHeight="true" outlineLevel="0" collapsed="false">
      <c r="B207" s="1439" t="str">
        <f aca="false">'Смета Внутр'!B207</f>
        <v>утепление отмостки</v>
      </c>
      <c r="C207" s="1439" t="str">
        <f aca="false">'Смета Внутр'!C207</f>
        <v>м2</v>
      </c>
      <c r="D207" s="1439" t="n">
        <f aca="false">'Смета Внутр'!D207</f>
        <v>0</v>
      </c>
      <c r="E207" s="1439"/>
      <c r="F207" s="1439" t="n">
        <f aca="false">'Смета Внутр'!E207</f>
        <v>200</v>
      </c>
      <c r="G207" s="1439" t="n">
        <f aca="false">'Смета Внутр'!H207</f>
        <v>0</v>
      </c>
      <c r="H207" s="1439"/>
      <c r="I207" s="1439" t="n">
        <f aca="false">IF(F207&lt;H207,F207*(D207-E207),0)+IF(H207=0,(D207-E207)*F207,0)+IF(H207&lt;F207,H207*(D207-E207),0)</f>
        <v>0</v>
      </c>
      <c r="J207" s="1439" t="n">
        <f aca="false">G207-I207</f>
        <v>0</v>
      </c>
    </row>
    <row r="208" customFormat="false" ht="15" hidden="false" customHeight="true" outlineLevel="0" collapsed="false">
      <c r="B208" s="1439" t="str">
        <f aca="false">'Смета Внутр'!B208</f>
        <v>трамбовка пгс</v>
      </c>
      <c r="C208" s="1439" t="str">
        <f aca="false">'Смета Внутр'!C208</f>
        <v>м2</v>
      </c>
      <c r="D208" s="1439" t="n">
        <f aca="false">'Смета Внутр'!D208</f>
        <v>0</v>
      </c>
      <c r="E208" s="1439"/>
      <c r="F208" s="1439" t="n">
        <f aca="false">'Смета Внутр'!E208</f>
        <v>600</v>
      </c>
      <c r="G208" s="1439" t="n">
        <f aca="false">'Смета Внутр'!H208</f>
        <v>0</v>
      </c>
      <c r="H208" s="1439"/>
      <c r="I208" s="1439" t="n">
        <f aca="false">IF(F208&lt;H208,F208*(D208-E208),0)+IF(H208=0,(D208-E208)*F208,0)+IF(H208&lt;F208,H208*(D208-E208),0)</f>
        <v>0</v>
      </c>
      <c r="J208" s="1439" t="n">
        <f aca="false">G208-I208</f>
        <v>0</v>
      </c>
    </row>
    <row r="209" customFormat="false" ht="15" hidden="false" customHeight="true" outlineLevel="0" collapsed="false">
      <c r="B209" s="1439" t="str">
        <f aca="false">'Смета Внутр'!B209</f>
        <v>кладка сетки</v>
      </c>
      <c r="C209" s="1439" t="str">
        <f aca="false">'Смета Внутр'!C209</f>
        <v>м2</v>
      </c>
      <c r="D209" s="1439" t="n">
        <f aca="false">'Смета Внутр'!D209</f>
        <v>0</v>
      </c>
      <c r="E209" s="1439"/>
      <c r="F209" s="1439" t="n">
        <f aca="false">'Смета Внутр'!E209</f>
        <v>100</v>
      </c>
      <c r="G209" s="1439" t="n">
        <f aca="false">'Смета Внутр'!H209</f>
        <v>0</v>
      </c>
      <c r="H209" s="1439"/>
      <c r="I209" s="1439" t="n">
        <f aca="false">IF(F209&lt;H209,F209*(D209-E209),0)+IF(H209=0,(D209-E209)*F209,0)+IF(H209&lt;F209,H209*(D209-E209),0)</f>
        <v>0</v>
      </c>
      <c r="J209" s="1439" t="n">
        <f aca="false">G209-I209</f>
        <v>0</v>
      </c>
    </row>
    <row r="210" customFormat="false" ht="15" hidden="false" customHeight="true" outlineLevel="0" collapsed="false">
      <c r="B210" s="1439" t="str">
        <f aca="false">'Смета Внутр'!B210</f>
        <v>приемка бетона</v>
      </c>
      <c r="C210" s="1439" t="str">
        <f aca="false">'Смета Внутр'!C210</f>
        <v>м3</v>
      </c>
      <c r="D210" s="1439" t="n">
        <f aca="false">'Смета Внутр'!D210</f>
        <v>0</v>
      </c>
      <c r="E210" s="1439"/>
      <c r="F210" s="1439" t="n">
        <f aca="false">'Смета Внутр'!E210</f>
        <v>1200</v>
      </c>
      <c r="G210" s="1439" t="n">
        <f aca="false">'Смета Внутр'!H210</f>
        <v>0</v>
      </c>
      <c r="H210" s="1439"/>
      <c r="I210" s="1439" t="n">
        <f aca="false">IF(F210&lt;H210,F210*(D210-E210),0)+IF(H210=0,(D210-E210)*F210,0)+IF(H210&lt;F210,H210*(D210-E210),0)</f>
        <v>0</v>
      </c>
      <c r="J210" s="1439" t="n">
        <f aca="false">G210-I210</f>
        <v>0</v>
      </c>
    </row>
    <row r="211" customFormat="false" ht="15" hidden="false" customHeight="false" outlineLevel="0" collapsed="false">
      <c r="B211" s="1692" t="s">
        <v>4333</v>
      </c>
      <c r="C211" s="1692"/>
      <c r="D211" s="1692"/>
      <c r="E211" s="1692"/>
      <c r="F211" s="1692"/>
      <c r="G211" s="1439" t="n">
        <f aca="false">'Смета Внутр'!H211</f>
        <v>0</v>
      </c>
      <c r="H211" s="3181"/>
      <c r="I211" s="1439" t="n">
        <f aca="false">IF(F211&lt;H211,F211*(D211-E211),0)+IF(H211=0,(D211-E211)*F211,0)+IF(H211&lt;F211,H211*(D211-E211),0)</f>
        <v>0</v>
      </c>
      <c r="J211" s="1439" t="n">
        <f aca="false">G211-I211</f>
        <v>0</v>
      </c>
    </row>
    <row r="212" customFormat="false" ht="15" hidden="false" customHeight="true" outlineLevel="0" collapsed="false">
      <c r="B212" s="3183" t="str">
        <f aca="false">'Смета Внутр'!B212</f>
        <v>Свайноростверковый фундамент</v>
      </c>
      <c r="C212" s="3183"/>
      <c r="D212" s="3183"/>
      <c r="E212" s="3183"/>
      <c r="F212" s="3183"/>
      <c r="G212" s="3173" t="n">
        <f aca="false">'Смета Внутр'!H212</f>
        <v>1</v>
      </c>
      <c r="H212" s="3173"/>
      <c r="I212" s="3180" t="n">
        <f aca="false">IF(F212&lt;H212,F212*(D212-E212),0)+IF(H212=0,(D212-E212)*F212,0)+IF(H212&lt;F212,H212*(D212-E212),0)</f>
        <v>0</v>
      </c>
      <c r="J212" s="3180" t="n">
        <f aca="false">G212-I212</f>
        <v>1</v>
      </c>
    </row>
    <row r="213" customFormat="false" ht="15" hidden="false" customHeight="true" outlineLevel="0" collapsed="false">
      <c r="B213" s="1268" t="str">
        <f aca="false">'Смета Внутр'!B213</f>
        <v>Материалы</v>
      </c>
      <c r="C213" s="1268"/>
      <c r="D213" s="1268"/>
      <c r="E213" s="1268"/>
      <c r="F213" s="1268"/>
      <c r="G213" s="3173" t="n">
        <f aca="false">'Смета Внутр'!H213</f>
        <v>1</v>
      </c>
      <c r="H213" s="3182"/>
      <c r="I213" s="3180" t="n">
        <f aca="false">IF(F213&lt;H213,F213*(D213-E213),0)+IF(H213=0,(D213-E213)*F213,0)+IF(H213&lt;F213,H213*(D213-E213),0)</f>
        <v>0</v>
      </c>
      <c r="J213" s="3180" t="n">
        <f aca="false">G213-I213</f>
        <v>1</v>
      </c>
    </row>
    <row r="214" customFormat="false" ht="15" hidden="false" customHeight="true" outlineLevel="0" collapsed="false">
      <c r="B214" s="1439" t="str">
        <f aca="false">'Смета Внутр'!B214</f>
        <v>Экскаватор погрузчик, бурение</v>
      </c>
      <c r="C214" s="1439" t="str">
        <f aca="false">'Смета Внутр'!C214</f>
        <v>шт</v>
      </c>
      <c r="D214" s="1439" t="n">
        <f aca="false">'Смета Внутр'!D214</f>
        <v>69.3</v>
      </c>
      <c r="E214" s="1439"/>
      <c r="F214" s="1439" t="n">
        <f aca="false">'Смета Внутр'!E214</f>
        <v>300</v>
      </c>
      <c r="G214" s="1439" t="n">
        <f aca="false">'Смета Внутр'!H214</f>
        <v>20790</v>
      </c>
      <c r="H214" s="1439"/>
      <c r="I214" s="1439" t="n">
        <f aca="false">IF(F214&lt;H214,F214*(D214-E214),0)+IF(H214=0,(D214-E214)*F214,0)+IF(H214&lt;F214,H214*(D214-E214),0)</f>
        <v>20790</v>
      </c>
      <c r="J214" s="1439" t="n">
        <f aca="false">G214-I214</f>
        <v>0</v>
      </c>
    </row>
    <row r="215" customFormat="false" ht="15" hidden="false" customHeight="true" outlineLevel="0" collapsed="false">
      <c r="B215" s="1439" t="str">
        <f aca="false">'Смета Внутр'!B215</f>
        <v>Бетон, м300</v>
      </c>
      <c r="C215" s="1439" t="str">
        <f aca="false">'Смета Внутр'!C215</f>
        <v>м3</v>
      </c>
      <c r="D215" s="1439" t="n">
        <f aca="false">'Смета Внутр'!D215</f>
        <v>4.896045</v>
      </c>
      <c r="E215" s="1439"/>
      <c r="F215" s="1439" t="n">
        <f aca="false">'Смета Внутр'!E215</f>
        <v>3000</v>
      </c>
      <c r="G215" s="1439" t="n">
        <f aca="false">'Смета Внутр'!H215</f>
        <v>14688.135</v>
      </c>
      <c r="H215" s="1439"/>
      <c r="I215" s="1439" t="n">
        <f aca="false">IF(F215&lt;H215,F215*(D215-E215),0)+IF(H215=0,(D215-E215)*F215,0)+IF(H215&lt;F215,H215*(D215-E215),0)</f>
        <v>14688.135</v>
      </c>
      <c r="J215" s="1439" t="n">
        <f aca="false">G215-I215</f>
        <v>0</v>
      </c>
    </row>
    <row r="216" customFormat="false" ht="15" hidden="false" customHeight="true" outlineLevel="0" collapsed="false">
      <c r="B216" s="1439" t="str">
        <f aca="false">'Смета Внутр'!B216</f>
        <v>Арматурный скелет для свай</v>
      </c>
      <c r="C216" s="1439" t="str">
        <f aca="false">'Смета Внутр'!C216</f>
        <v>м.п.</v>
      </c>
      <c r="D216" s="1439" t="n">
        <f aca="false">'Смета Внутр'!D216</f>
        <v>228.69</v>
      </c>
      <c r="E216" s="1439"/>
      <c r="F216" s="1439" t="n">
        <f aca="false">'Смета Внутр'!E216</f>
        <v>500</v>
      </c>
      <c r="G216" s="1439" t="n">
        <f aca="false">'Смета Внутр'!H216</f>
        <v>114345</v>
      </c>
      <c r="H216" s="1439"/>
      <c r="I216" s="1439" t="n">
        <f aca="false">IF(F216&lt;H216,F216*(D216-E216),0)+IF(H216=0,(D216-E216)*F216,0)+IF(H216&lt;F216,H216*(D216-E216),0)</f>
        <v>114345</v>
      </c>
      <c r="J216" s="1439" t="n">
        <f aca="false">G216-I216</f>
        <v>0</v>
      </c>
    </row>
    <row r="217" customFormat="false" ht="15" hidden="false" customHeight="true" outlineLevel="0" collapsed="false">
      <c r="B217" s="1439" t="str">
        <f aca="false">'Смета Внутр'!B217</f>
        <v>Сосна влаж,150*40мм</v>
      </c>
      <c r="C217" s="1439" t="str">
        <f aca="false">'Смета Внутр'!C217</f>
        <v>м3</v>
      </c>
      <c r="D217" s="1439" t="n">
        <f aca="false">'Смета Внутр'!D217</f>
        <v>3.29472</v>
      </c>
      <c r="E217" s="1439"/>
      <c r="F217" s="1439" t="n">
        <f aca="false">'Смета Внутр'!E217</f>
        <v>6500</v>
      </c>
      <c r="G217" s="1439" t="n">
        <f aca="false">'Смета Внутр'!H217</f>
        <v>21415.68</v>
      </c>
      <c r="H217" s="1439"/>
      <c r="I217" s="1439" t="n">
        <f aca="false">IF(F217&lt;H217,F217*(D217-E217),0)+IF(H217=0,(D217-E217)*F217,0)+IF(H217&lt;F217,H217*(D217-E217),0)</f>
        <v>21415.68</v>
      </c>
      <c r="J217" s="1439" t="n">
        <f aca="false">G217-I217</f>
        <v>0</v>
      </c>
    </row>
    <row r="218" customFormat="false" ht="15" hidden="false" customHeight="true" outlineLevel="0" collapsed="false">
      <c r="B218" s="1439" t="str">
        <f aca="false">'Смета Внутр'!B218</f>
        <v>Пленка гидроизоляционная </v>
      </c>
      <c r="C218" s="1439" t="str">
        <f aca="false">'Смета Внутр'!C218</f>
        <v>м2</v>
      </c>
      <c r="D218" s="1439" t="n">
        <f aca="false">'Смета Внутр'!D218</f>
        <v>82.368</v>
      </c>
      <c r="E218" s="1439"/>
      <c r="F218" s="1439" t="n">
        <f aca="false">'Смета Внутр'!E218</f>
        <v>15</v>
      </c>
      <c r="G218" s="1439" t="n">
        <f aca="false">'Смета Внутр'!H218</f>
        <v>1235.52</v>
      </c>
      <c r="H218" s="1439"/>
      <c r="I218" s="1439" t="n">
        <f aca="false">IF(F218&lt;H218,F218*(D218-E218),0)+IF(H218=0,(D218-E218)*F218,0)+IF(H218&lt;F218,H218*(D218-E218),0)</f>
        <v>1235.52</v>
      </c>
      <c r="J218" s="1439" t="n">
        <f aca="false">G218-I218</f>
        <v>0</v>
      </c>
    </row>
    <row r="219" customFormat="false" ht="15" hidden="false" customHeight="true" outlineLevel="0" collapsed="false">
      <c r="B219" s="1439" t="str">
        <f aca="false">'Смета Внутр'!B219</f>
        <v>Арматура стальная Ø 8</v>
      </c>
      <c r="C219" s="1439" t="str">
        <f aca="false">'Смета Внутр'!C219</f>
        <v>м.п</v>
      </c>
      <c r="D219" s="1439" t="n">
        <f aca="false">'Смета Внутр'!D219</f>
        <v>380.16</v>
      </c>
      <c r="E219" s="1439"/>
      <c r="F219" s="1439" t="n">
        <f aca="false">'Смета Внутр'!E219</f>
        <v>16.037</v>
      </c>
      <c r="G219" s="1439" t="n">
        <f aca="false">'Смета Внутр'!H219</f>
        <v>6096.62592</v>
      </c>
      <c r="H219" s="1439"/>
      <c r="I219" s="1439" t="n">
        <f aca="false">IF(F219&lt;H219,F219*(D219-E219),0)+IF(H219=0,(D219-E219)*F219,0)+IF(H219&lt;F219,H219*(D219-E219),0)</f>
        <v>6096.62592</v>
      </c>
      <c r="J219" s="1439" t="n">
        <f aca="false">G219-I219</f>
        <v>0</v>
      </c>
    </row>
    <row r="220" customFormat="false" ht="15" hidden="false" customHeight="true" outlineLevel="0" collapsed="false">
      <c r="B220" s="1439" t="str">
        <f aca="false">'Смета Внутр'!B220</f>
        <v>Арматура стальная Ø 6</v>
      </c>
      <c r="C220" s="1439" t="str">
        <f aca="false">'Смета Внутр'!C220</f>
        <v>м.п</v>
      </c>
      <c r="D220" s="1439" t="n">
        <f aca="false">'Смета Внутр'!D220</f>
        <v>261.36</v>
      </c>
      <c r="E220" s="1439"/>
      <c r="F220" s="1439" t="n">
        <f aca="false">'Смета Внутр'!E220</f>
        <v>9.0132</v>
      </c>
      <c r="G220" s="1439" t="n">
        <f aca="false">'Смета Внутр'!H220</f>
        <v>2355.689952</v>
      </c>
      <c r="H220" s="1439"/>
      <c r="I220" s="1439" t="n">
        <f aca="false">IF(F220&lt;H220,F220*(D220-E220),0)+IF(H220=0,(D220-E220)*F220,0)+IF(H220&lt;F220,H220*(D220-E220),0)</f>
        <v>2355.689952</v>
      </c>
      <c r="J220" s="1439" t="n">
        <f aca="false">G220-I220</f>
        <v>0</v>
      </c>
    </row>
    <row r="221" customFormat="false" ht="15" hidden="false" customHeight="true" outlineLevel="0" collapsed="false">
      <c r="B221" s="1439" t="str">
        <f aca="false">'Смета Внутр'!B221</f>
        <v>Вязальная проволока</v>
      </c>
      <c r="C221" s="1439" t="str">
        <f aca="false">'Смета Внутр'!C221</f>
        <v>кг</v>
      </c>
      <c r="D221" s="1439" t="n">
        <f aca="false">'Смета Внутр'!D221</f>
        <v>14.11344</v>
      </c>
      <c r="E221" s="1439"/>
      <c r="F221" s="1439" t="n">
        <f aca="false">'Смета Внутр'!E221</f>
        <v>80</v>
      </c>
      <c r="G221" s="1439" t="n">
        <f aca="false">'Смета Внутр'!H221</f>
        <v>1129.0752</v>
      </c>
      <c r="H221" s="1439"/>
      <c r="I221" s="1439" t="n">
        <f aca="false">IF(F221&lt;H221,F221*(D221-E221),0)+IF(H221=0,(D221-E221)*F221,0)+IF(H221&lt;F221,H221*(D221-E221),0)</f>
        <v>1129.0752</v>
      </c>
      <c r="J221" s="1439" t="n">
        <f aca="false">G221-I221</f>
        <v>0</v>
      </c>
    </row>
    <row r="222" customFormat="false" ht="15" hidden="false" customHeight="true" outlineLevel="0" collapsed="false">
      <c r="B222" s="1439" t="str">
        <f aca="false">'Смета Внутр'!B222</f>
        <v>Гвозди строительные 3,5 x 90            </v>
      </c>
      <c r="C222" s="1439" t="str">
        <f aca="false">'Смета Внутр'!C222</f>
        <v>кг</v>
      </c>
      <c r="D222" s="1439" t="n">
        <f aca="false">'Смета Внутр'!D222</f>
        <v>18.12096</v>
      </c>
      <c r="E222" s="1439"/>
      <c r="F222" s="1439" t="n">
        <f aca="false">'Смета Внутр'!E222</f>
        <v>70</v>
      </c>
      <c r="G222" s="1439" t="n">
        <f aca="false">'Смета Внутр'!H222</f>
        <v>1268.4672</v>
      </c>
      <c r="H222" s="1439"/>
      <c r="I222" s="1439" t="n">
        <f aca="false">IF(F222&lt;H222,F222*(D222-E222),0)+IF(H222=0,(D222-E222)*F222,0)+IF(H222&lt;F222,H222*(D222-E222),0)</f>
        <v>1268.4672</v>
      </c>
      <c r="J222" s="1439" t="n">
        <f aca="false">G222-I222</f>
        <v>0</v>
      </c>
    </row>
    <row r="223" customFormat="false" ht="15" hidden="false" customHeight="true" outlineLevel="0" collapsed="false">
      <c r="B223" s="1439" t="str">
        <f aca="false">'Смета Внутр'!B223</f>
        <v>Гидроизол</v>
      </c>
      <c r="C223" s="1439" t="str">
        <f aca="false">'Смета Внутр'!C223</f>
        <v>м2</v>
      </c>
      <c r="D223" s="1439" t="n">
        <f aca="false">'Смета Внутр'!D223</f>
        <v>15.84</v>
      </c>
      <c r="E223" s="1439"/>
      <c r="F223" s="1439" t="n">
        <f aca="false">'Смета Внутр'!E223</f>
        <v>70</v>
      </c>
      <c r="G223" s="1439" t="n">
        <f aca="false">'Смета Внутр'!H223</f>
        <v>1108.8</v>
      </c>
      <c r="H223" s="1439"/>
      <c r="I223" s="1439" t="n">
        <f aca="false">IF(F223&lt;H223,F223*(D223-E223),0)+IF(H223=0,(D223-E223)*F223,0)+IF(H223&lt;F223,H223*(D223-E223),0)</f>
        <v>1108.8</v>
      </c>
      <c r="J223" s="1439" t="n">
        <f aca="false">G223-I223</f>
        <v>0</v>
      </c>
    </row>
    <row r="224" customFormat="false" ht="15" hidden="false" customHeight="true" outlineLevel="0" collapsed="false">
      <c r="B224" s="1439" t="str">
        <f aca="false">'Смета Внутр'!B224</f>
        <v>ПГС, машина 13м3</v>
      </c>
      <c r="C224" s="1439" t="str">
        <f aca="false">'Смета Внутр'!C224</f>
        <v>маш</v>
      </c>
      <c r="D224" s="1439" t="n">
        <f aca="false">'Смета Внутр'!D224</f>
        <v>0.528</v>
      </c>
      <c r="E224" s="1439"/>
      <c r="F224" s="1439" t="n">
        <f aca="false">'Смета Внутр'!E224</f>
        <v>10000</v>
      </c>
      <c r="G224" s="1439" t="n">
        <f aca="false">'Смета Внутр'!H224</f>
        <v>5280</v>
      </c>
      <c r="H224" s="1439"/>
      <c r="I224" s="1439" t="n">
        <f aca="false">IF(F224&lt;H224,F224*(D224-E224),0)+IF(H224=0,(D224-E224)*F224,0)+IF(H224&lt;F224,H224*(D224-E224),0)</f>
        <v>5280</v>
      </c>
      <c r="J224" s="1439" t="n">
        <f aca="false">G224-I224</f>
        <v>0</v>
      </c>
    </row>
    <row r="225" customFormat="false" ht="15" hidden="false" customHeight="true" outlineLevel="0" collapsed="false">
      <c r="B225" s="1439" t="str">
        <f aca="false">'Смета Внутр'!B225</f>
        <v>Бетон, м250</v>
      </c>
      <c r="C225" s="1439" t="str">
        <f aca="false">'Смета Внутр'!C225</f>
        <v>м3</v>
      </c>
      <c r="D225" s="1439" t="n">
        <f aca="false">'Смета Внутр'!D225</f>
        <v>9.504</v>
      </c>
      <c r="E225" s="1439"/>
      <c r="F225" s="1439" t="n">
        <f aca="false">'Смета Внутр'!E225</f>
        <v>2750</v>
      </c>
      <c r="G225" s="1439" t="n">
        <f aca="false">'Смета Внутр'!H225</f>
        <v>26136</v>
      </c>
      <c r="H225" s="1439"/>
      <c r="I225" s="1439" t="n">
        <f aca="false">IF(F225&lt;H225,F225*(D225-E225),0)+IF(H225=0,(D225-E225)*F225,0)+IF(H225&lt;F225,H225*(D225-E225),0)</f>
        <v>26136</v>
      </c>
      <c r="J225" s="1439" t="n">
        <f aca="false">G225-I225</f>
        <v>0</v>
      </c>
    </row>
    <row r="226" customFormat="false" ht="15" hidden="false" customHeight="true" outlineLevel="0" collapsed="false">
      <c r="B226" s="1439" t="str">
        <f aca="false">'Смета Внутр'!B226</f>
        <v>Нет</v>
      </c>
      <c r="C226" s="1439" t="str">
        <f aca="false">'Смета Внутр'!C226</f>
        <v>м3</v>
      </c>
      <c r="D226" s="1439" t="n">
        <f aca="false">'Смета Внутр'!D226</f>
        <v>0</v>
      </c>
      <c r="E226" s="1439"/>
      <c r="F226" s="1439" t="n">
        <f aca="false">'Смета Внутр'!E226</f>
        <v>0</v>
      </c>
      <c r="G226" s="1439" t="n">
        <f aca="false">'Смета Внутр'!H226</f>
        <v>0</v>
      </c>
      <c r="H226" s="1439"/>
      <c r="I226" s="1439" t="n">
        <f aca="false">IF(F226&lt;H226,F226*(D226-E226),0)+IF(H226=0,(D226-E226)*F226,0)+IF(H226&lt;F226,H226*(D226-E226),0)</f>
        <v>0</v>
      </c>
      <c r="J226" s="1439" t="n">
        <f aca="false">G226-I226</f>
        <v>0</v>
      </c>
    </row>
    <row r="227" customFormat="false" ht="15" hidden="false" customHeight="true" outlineLevel="0" collapsed="false">
      <c r="B227" s="1439" t="str">
        <f aca="false">'Смета Внутр'!B227</f>
        <v>Грибок для крепления утеплителя</v>
      </c>
      <c r="C227" s="1439" t="str">
        <f aca="false">'Смета Внутр'!C227</f>
        <v>шт</v>
      </c>
      <c r="D227" s="1439" t="n">
        <f aca="false">'Смета Внутр'!D227</f>
        <v>0</v>
      </c>
      <c r="E227" s="1439"/>
      <c r="F227" s="1439" t="n">
        <f aca="false">'Смета Внутр'!E227</f>
        <v>15</v>
      </c>
      <c r="G227" s="1439" t="n">
        <f aca="false">'Смета Внутр'!H227</f>
        <v>0</v>
      </c>
      <c r="H227" s="1439"/>
      <c r="I227" s="1439" t="n">
        <f aca="false">IF(F227&lt;H227,F227*(D227-E227),0)+IF(H227=0,(D227-E227)*F227,0)+IF(H227&lt;F227,H227*(D227-E227),0)</f>
        <v>0</v>
      </c>
      <c r="J227" s="1439" t="n">
        <f aca="false">G227-I227</f>
        <v>0</v>
      </c>
    </row>
    <row r="228" customFormat="false" ht="15" hidden="false" customHeight="true" outlineLevel="0" collapsed="false">
      <c r="B228" s="1439" t="str">
        <f aca="false">'Смета Внутр'!B228</f>
        <v>Нет</v>
      </c>
      <c r="C228" s="1439" t="str">
        <f aca="false">'Смета Внутр'!C228</f>
        <v>м3</v>
      </c>
      <c r="D228" s="1439" t="n">
        <f aca="false">'Смета Внутр'!D228</f>
        <v>0</v>
      </c>
      <c r="E228" s="1439"/>
      <c r="F228" s="1439" t="n">
        <f aca="false">'Смета Внутр'!E228</f>
        <v>0</v>
      </c>
      <c r="G228" s="1439" t="n">
        <f aca="false">'Смета Внутр'!H228</f>
        <v>0</v>
      </c>
      <c r="H228" s="1439"/>
      <c r="I228" s="1439" t="n">
        <f aca="false">IF(F228&lt;H228,F228*(D228-E228),0)+IF(H228=0,(D228-E228)*F228,0)+IF(H228&lt;F228,H228*(D228-E228),0)</f>
        <v>0</v>
      </c>
      <c r="J228" s="1439" t="n">
        <f aca="false">G228-I228</f>
        <v>0</v>
      </c>
    </row>
    <row r="229" customFormat="false" ht="15" hidden="false" customHeight="true" outlineLevel="0" collapsed="false">
      <c r="B229" s="1439" t="str">
        <f aca="false">'Смета Внутр'!B229</f>
        <v>ПГС, машина 5м3</v>
      </c>
      <c r="C229" s="1439" t="str">
        <f aca="false">'Смета Внутр'!C229</f>
        <v>маш</v>
      </c>
      <c r="D229" s="1439" t="n">
        <f aca="false">'Смета Внутр'!D229</f>
        <v>0</v>
      </c>
      <c r="E229" s="1439"/>
      <c r="F229" s="1439" t="n">
        <f aca="false">'Смета Внутр'!E229</f>
        <v>6000</v>
      </c>
      <c r="G229" s="1439" t="n">
        <f aca="false">'Смета Внутр'!H229</f>
        <v>0</v>
      </c>
      <c r="H229" s="1439"/>
      <c r="I229" s="1439" t="n">
        <f aca="false">IF(F229&lt;H229,F229*(D229-E229),0)+IF(H229=0,(D229-E229)*F229,0)+IF(H229&lt;F229,H229*(D229-E229),0)</f>
        <v>0</v>
      </c>
      <c r="J229" s="1439" t="n">
        <f aca="false">G229-I229</f>
        <v>0</v>
      </c>
    </row>
    <row r="230" customFormat="false" ht="15" hidden="false" customHeight="true" outlineLevel="0" collapsed="false">
      <c r="B230" s="1439" t="str">
        <f aca="false">'Смета Внутр'!B230</f>
        <v>Кладочная сетка, 100*100/150*150/200*200мм</v>
      </c>
      <c r="C230" s="1439" t="str">
        <f aca="false">'Смета Внутр'!C230</f>
        <v>м2</v>
      </c>
      <c r="D230" s="1439" t="n">
        <f aca="false">'Смета Внутр'!D230</f>
        <v>0</v>
      </c>
      <c r="E230" s="1439"/>
      <c r="F230" s="1439" t="n">
        <f aca="false">'Смета Внутр'!E230</f>
        <v>70</v>
      </c>
      <c r="G230" s="1439" t="n">
        <f aca="false">'Смета Внутр'!H230</f>
        <v>0</v>
      </c>
      <c r="H230" s="1439"/>
      <c r="I230" s="1439" t="n">
        <f aca="false">IF(F230&lt;H230,F230*(D230-E230),0)+IF(H230=0,(D230-E230)*F230,0)+IF(H230&lt;F230,H230*(D230-E230),0)</f>
        <v>0</v>
      </c>
      <c r="J230" s="1439" t="n">
        <f aca="false">G230-I230</f>
        <v>0</v>
      </c>
    </row>
    <row r="231" customFormat="false" ht="15" hidden="false" customHeight="true" outlineLevel="0" collapsed="false">
      <c r="B231" s="1439" t="str">
        <f aca="false">'Смета Внутр'!B231</f>
        <v>Бетон, м200</v>
      </c>
      <c r="C231" s="1439" t="str">
        <f aca="false">'Смета Внутр'!C231</f>
        <v>м3</v>
      </c>
      <c r="D231" s="1439" t="n">
        <f aca="false">'Смета Внутр'!D231</f>
        <v>0</v>
      </c>
      <c r="E231" s="1439"/>
      <c r="F231" s="1439" t="n">
        <f aca="false">'Смета Внутр'!E231</f>
        <v>2500</v>
      </c>
      <c r="G231" s="1439" t="n">
        <f aca="false">'Смета Внутр'!H231</f>
        <v>0</v>
      </c>
      <c r="H231" s="1439"/>
      <c r="I231" s="1439" t="n">
        <f aca="false">IF(F231&lt;H231,F231*(D231-E231),0)+IF(H231=0,(D231-E231)*F231,0)+IF(H231&lt;F231,H231*(D231-E231),0)</f>
        <v>0</v>
      </c>
      <c r="J231" s="1439" t="n">
        <f aca="false">G231-I231</f>
        <v>0</v>
      </c>
    </row>
    <row r="232" customFormat="false" ht="15" hidden="false" customHeight="true" outlineLevel="0" collapsed="false">
      <c r="B232" s="1692" t="s">
        <v>4332</v>
      </c>
      <c r="C232" s="1692"/>
      <c r="D232" s="1692"/>
      <c r="E232" s="1692"/>
      <c r="F232" s="1692"/>
      <c r="G232" s="1439" t="n">
        <f aca="false">'Смета Внутр'!H232</f>
        <v>215848.993272</v>
      </c>
      <c r="H232" s="3181"/>
      <c r="I232" s="1439"/>
      <c r="J232" s="1439"/>
    </row>
    <row r="233" customFormat="false" ht="15" hidden="false" customHeight="true" outlineLevel="0" collapsed="false">
      <c r="B233" s="1268" t="str">
        <f aca="false">'Смета Внутр'!B233</f>
        <v>Работы</v>
      </c>
      <c r="C233" s="1268"/>
      <c r="D233" s="1268"/>
      <c r="E233" s="1268"/>
      <c r="F233" s="1268"/>
      <c r="G233" s="3173" t="n">
        <f aca="false">'Смета Внутр'!H233</f>
        <v>1</v>
      </c>
      <c r="H233" s="3182"/>
      <c r="I233" s="3180" t="n">
        <f aca="false">IF(F233&lt;H233,F233*(D233-E233),0)+IF(H233=0,(D233-E233)*F233,0)+IF(H233&lt;F233,H233*(D233-E233),0)</f>
        <v>0</v>
      </c>
      <c r="J233" s="3180" t="n">
        <f aca="false">G233-I233</f>
        <v>1</v>
      </c>
    </row>
    <row r="234" customFormat="false" ht="15" hidden="false" customHeight="true" outlineLevel="0" collapsed="false">
      <c r="B234" s="1439" t="str">
        <f aca="false">'Смета Внутр'!B234</f>
        <v>приемка бетона</v>
      </c>
      <c r="C234" s="1439" t="str">
        <f aca="false">'Смета Внутр'!C234</f>
        <v>м3</v>
      </c>
      <c r="D234" s="1439" t="n">
        <f aca="false">'Смета Внутр'!D234</f>
        <v>4.6734975</v>
      </c>
      <c r="E234" s="1439"/>
      <c r="F234" s="1439" t="n">
        <f aca="false">'Смета Внутр'!E234</f>
        <v>1200</v>
      </c>
      <c r="G234" s="1439" t="n">
        <f aca="false">'Смета Внутр'!H234</f>
        <v>5608.197</v>
      </c>
      <c r="H234" s="1439"/>
      <c r="I234" s="1439" t="n">
        <f aca="false">IF(F234&lt;H234,F234*(D234-E234),0)+IF(H234=0,(D234-E234)*F234,0)+IF(H234&lt;F234,H234*(D234-E234),0)</f>
        <v>5608.197</v>
      </c>
      <c r="J234" s="1439" t="n">
        <f aca="false">G234-I234</f>
        <v>0</v>
      </c>
    </row>
    <row r="235" customFormat="false" ht="15" hidden="false" customHeight="true" outlineLevel="0" collapsed="false">
      <c r="B235" s="1439" t="str">
        <f aca="false">'Смета Внутр'!B235</f>
        <v>армирование свай скелет из арматуры</v>
      </c>
      <c r="C235" s="1439" t="str">
        <f aca="false">'Смета Внутр'!C235</f>
        <v>м.п.</v>
      </c>
      <c r="D235" s="1439" t="n">
        <f aca="false">'Смета Внутр'!D235</f>
        <v>66.15</v>
      </c>
      <c r="E235" s="1439"/>
      <c r="F235" s="1439" t="n">
        <f aca="false">'Смета Внутр'!E235</f>
        <v>500</v>
      </c>
      <c r="G235" s="1439" t="n">
        <f aca="false">'Смета Внутр'!H235</f>
        <v>33075</v>
      </c>
      <c r="H235" s="1439"/>
      <c r="I235" s="1439" t="n">
        <f aca="false">IF(F235&lt;H235,F235*(D235-E235),0)+IF(H235=0,(D235-E235)*F235,0)+IF(H235&lt;F235,H235*(D235-E235),0)</f>
        <v>33075</v>
      </c>
      <c r="J235" s="1439" t="n">
        <f aca="false">G235-I235</f>
        <v>0</v>
      </c>
    </row>
    <row r="236" customFormat="false" ht="15" hidden="false" customHeight="true" outlineLevel="0" collapsed="false">
      <c r="B236" s="1439" t="str">
        <f aca="false">'Смета Внутр'!B236</f>
        <v>разбивка осей</v>
      </c>
      <c r="C236" s="1439" t="str">
        <f aca="false">'Смета Внутр'!C236</f>
        <v>шт</v>
      </c>
      <c r="D236" s="1439" t="n">
        <f aca="false">'Смета Внутр'!D236</f>
        <v>1.05</v>
      </c>
      <c r="E236" s="1439"/>
      <c r="F236" s="1439" t="n">
        <f aca="false">'Смета Внутр'!E236</f>
        <v>7000</v>
      </c>
      <c r="G236" s="1439" t="n">
        <f aca="false">'Смета Внутр'!H236</f>
        <v>7350</v>
      </c>
      <c r="H236" s="1439"/>
      <c r="I236" s="1439" t="n">
        <f aca="false">IF(F236&lt;H236,F236*(D236-E236),0)+IF(H236=0,(D236-E236)*F236,0)+IF(H236&lt;F236,H236*(D236-E236),0)</f>
        <v>7350</v>
      </c>
      <c r="J236" s="1439" t="n">
        <f aca="false">G236-I236</f>
        <v>0</v>
      </c>
    </row>
    <row r="237" customFormat="false" ht="15" hidden="false" customHeight="true" outlineLevel="0" collapsed="false">
      <c r="B237" s="1439" t="str">
        <f aca="false">'Смета Внутр'!B237</f>
        <v>сборка опалубки</v>
      </c>
      <c r="C237" s="1439" t="str">
        <f aca="false">'Смета Внутр'!C237</f>
        <v>м2</v>
      </c>
      <c r="D237" s="1439" t="n">
        <f aca="false">'Смета Внутр'!D237</f>
        <v>60.48</v>
      </c>
      <c r="E237" s="1439"/>
      <c r="F237" s="1439" t="n">
        <f aca="false">'Смета Внутр'!E237</f>
        <v>300</v>
      </c>
      <c r="G237" s="1439" t="n">
        <f aca="false">'Смета Внутр'!H237</f>
        <v>18144</v>
      </c>
      <c r="H237" s="1439"/>
      <c r="I237" s="1439" t="n">
        <f aca="false">IF(F237&lt;H237,F237*(D237-E237),0)+IF(H237=0,(D237-E237)*F237,0)+IF(H237&lt;F237,H237*(D237-E237),0)</f>
        <v>18144</v>
      </c>
      <c r="J237" s="1439" t="n">
        <f aca="false">G237-I237</f>
        <v>0</v>
      </c>
    </row>
    <row r="238" customFormat="false" ht="15" hidden="false" customHeight="true" outlineLevel="0" collapsed="false">
      <c r="B238" s="1439" t="str">
        <f aca="false">'Смета Внутр'!B238</f>
        <v>разборка опалубки</v>
      </c>
      <c r="C238" s="1439" t="str">
        <f aca="false">'Смета Внутр'!C238</f>
        <v>м2</v>
      </c>
      <c r="D238" s="1439" t="n">
        <f aca="false">'Смета Внутр'!D238</f>
        <v>63.504</v>
      </c>
      <c r="E238" s="1439"/>
      <c r="F238" s="1439" t="n">
        <f aca="false">'Смета Внутр'!E238</f>
        <v>100</v>
      </c>
      <c r="G238" s="1439" t="n">
        <f aca="false">'Смета Внутр'!H238</f>
        <v>6350.4</v>
      </c>
      <c r="H238" s="1439"/>
      <c r="I238" s="1439" t="n">
        <f aca="false">IF(F238&lt;H238,F238*(D238-E238),0)+IF(H238=0,(D238-E238)*F238,0)+IF(H238&lt;F238,H238*(D238-E238),0)</f>
        <v>6350.4</v>
      </c>
      <c r="J238" s="1439" t="n">
        <f aca="false">G238-I238</f>
        <v>0</v>
      </c>
    </row>
    <row r="239" customFormat="false" ht="15" hidden="false" customHeight="true" outlineLevel="0" collapsed="false">
      <c r="B239" s="1439" t="str">
        <f aca="false">'Смета Внутр'!B239</f>
        <v>настил пленки</v>
      </c>
      <c r="C239" s="1439" t="str">
        <f aca="false">'Смета Внутр'!C239</f>
        <v>м2</v>
      </c>
      <c r="D239" s="1439" t="n">
        <f aca="false">'Смета Внутр'!D239</f>
        <v>66.6792</v>
      </c>
      <c r="E239" s="1439"/>
      <c r="F239" s="1439" t="n">
        <f aca="false">'Смета Внутр'!E239</f>
        <v>10</v>
      </c>
      <c r="G239" s="1439" t="n">
        <f aca="false">'Смета Внутр'!H239</f>
        <v>666.792</v>
      </c>
      <c r="H239" s="1439"/>
      <c r="I239" s="1439" t="n">
        <f aca="false">IF(F239&lt;H239,F239*(D239-E239),0)+IF(H239=0,(D239-E239)*F239,0)+IF(H239&lt;F239,H239*(D239-E239),0)</f>
        <v>666.792</v>
      </c>
      <c r="J239" s="1439" t="n">
        <f aca="false">G239-I239</f>
        <v>0</v>
      </c>
    </row>
    <row r="240" customFormat="false" ht="15" hidden="false" customHeight="true" outlineLevel="0" collapsed="false">
      <c r="B240" s="1439" t="str">
        <f aca="false">'Смета Внутр'!B240</f>
        <v>армирование</v>
      </c>
      <c r="C240" s="1439" t="str">
        <f aca="false">'Смета Внутр'!C240</f>
        <v>м.п</v>
      </c>
      <c r="D240" s="1439" t="n">
        <f aca="false">'Смета Внутр'!D240</f>
        <v>362.88</v>
      </c>
      <c r="E240" s="1439"/>
      <c r="F240" s="1439" t="n">
        <f aca="false">'Смета Внутр'!E240</f>
        <v>30</v>
      </c>
      <c r="G240" s="1439" t="n">
        <f aca="false">'Смета Внутр'!H240</f>
        <v>10886.4</v>
      </c>
      <c r="H240" s="1439"/>
      <c r="I240" s="1439" t="n">
        <f aca="false">IF(F240&lt;H240,F240*(D240-E240),0)+IF(H240=0,(D240-E240)*F240,0)+IF(H240&lt;F240,H240*(D240-E240),0)</f>
        <v>10886.4</v>
      </c>
      <c r="J240" s="1439" t="n">
        <f aca="false">G240-I240</f>
        <v>0</v>
      </c>
    </row>
    <row r="241" customFormat="false" ht="15" hidden="false" customHeight="true" outlineLevel="0" collapsed="false">
      <c r="B241" s="1439" t="str">
        <f aca="false">'Смета Внутр'!B241</f>
        <v>армирование</v>
      </c>
      <c r="C241" s="1439" t="str">
        <f aca="false">'Смета Внутр'!C241</f>
        <v>м.п.</v>
      </c>
      <c r="D241" s="1439" t="n">
        <f aca="false">'Смета Внутр'!D241</f>
        <v>166.32</v>
      </c>
      <c r="E241" s="1439"/>
      <c r="F241" s="1439" t="n">
        <f aca="false">'Смета Внутр'!E241</f>
        <v>30</v>
      </c>
      <c r="G241" s="1439" t="n">
        <f aca="false">'Смета Внутр'!H241</f>
        <v>4989.6</v>
      </c>
      <c r="H241" s="1439"/>
      <c r="I241" s="1439" t="n">
        <f aca="false">IF(F241&lt;H241,F241*(D241-E241),0)+IF(H241=0,(D241-E241)*F241,0)+IF(H241&lt;F241,H241*(D241-E241),0)</f>
        <v>4989.6</v>
      </c>
      <c r="J241" s="1439" t="n">
        <f aca="false">G241-I241</f>
        <v>0</v>
      </c>
    </row>
    <row r="242" customFormat="false" ht="15" hidden="false" customHeight="true" outlineLevel="0" collapsed="false">
      <c r="B242" s="1439" t="str">
        <f aca="false">'Смета Внутр'!B242</f>
        <v>настил гидроизола</v>
      </c>
      <c r="C242" s="1439" t="str">
        <f aca="false">'Смета Внутр'!C242</f>
        <v>м2</v>
      </c>
      <c r="D242" s="1439" t="n">
        <f aca="false">'Смета Внутр'!D242</f>
        <v>15.12</v>
      </c>
      <c r="E242" s="1439"/>
      <c r="F242" s="1439" t="n">
        <f aca="false">'Смета Внутр'!E242</f>
        <v>100</v>
      </c>
      <c r="G242" s="1439" t="n">
        <f aca="false">'Смета Внутр'!H242</f>
        <v>1512</v>
      </c>
      <c r="H242" s="1439"/>
      <c r="I242" s="1439" t="n">
        <f aca="false">IF(F242&lt;H242,F242*(D242-E242),0)+IF(H242=0,(D242-E242)*F242,0)+IF(H242&lt;F242,H242*(D242-E242),0)</f>
        <v>1512</v>
      </c>
      <c r="J242" s="1439" t="n">
        <f aca="false">G242-I242</f>
        <v>0</v>
      </c>
    </row>
    <row r="243" customFormat="false" ht="15" hidden="false" customHeight="true" outlineLevel="0" collapsed="false">
      <c r="B243" s="1439" t="str">
        <f aca="false">'Смета Внутр'!B243</f>
        <v>трамбовка</v>
      </c>
      <c r="C243" s="1439" t="str">
        <f aca="false">'Смета Внутр'!C243</f>
        <v>м2</v>
      </c>
      <c r="D243" s="1439" t="n">
        <f aca="false">'Смета Внутр'!D243</f>
        <v>15.876</v>
      </c>
      <c r="E243" s="1439"/>
      <c r="F243" s="1439" t="n">
        <f aca="false">'Смета Внутр'!E243</f>
        <v>600</v>
      </c>
      <c r="G243" s="1439" t="n">
        <f aca="false">'Смета Внутр'!H243</f>
        <v>9525.6</v>
      </c>
      <c r="H243" s="1439"/>
      <c r="I243" s="1439" t="n">
        <f aca="false">IF(F243&lt;H243,F243*(D243-E243),0)+IF(H243=0,(D243-E243)*F243,0)+IF(H243&lt;F243,H243*(D243-E243),0)</f>
        <v>9525.6</v>
      </c>
      <c r="J243" s="1439" t="n">
        <f aca="false">G243-I243</f>
        <v>0</v>
      </c>
    </row>
    <row r="244" customFormat="false" ht="15" hidden="false" customHeight="true" outlineLevel="0" collapsed="false">
      <c r="B244" s="1439" t="str">
        <f aca="false">'Смета Внутр'!B244</f>
        <v>приемка бетона</v>
      </c>
      <c r="C244" s="1439" t="str">
        <f aca="false">'Смета Внутр'!C244</f>
        <v>м3</v>
      </c>
      <c r="D244" s="1439" t="n">
        <f aca="false">'Смета Внутр'!D244</f>
        <v>9.072</v>
      </c>
      <c r="E244" s="1439"/>
      <c r="F244" s="1439" t="n">
        <f aca="false">'Смета Внутр'!E244</f>
        <v>1200</v>
      </c>
      <c r="G244" s="1439" t="n">
        <f aca="false">'Смета Внутр'!H244</f>
        <v>10886.4</v>
      </c>
      <c r="H244" s="1439"/>
      <c r="I244" s="1439" t="n">
        <f aca="false">IF(F244&lt;H244,F244*(D244-E244),0)+IF(H244=0,(D244-E244)*F244,0)+IF(H244&lt;F244,H244*(D244-E244),0)</f>
        <v>10886.4</v>
      </c>
      <c r="J244" s="1439" t="n">
        <f aca="false">G244-I244</f>
        <v>0</v>
      </c>
    </row>
    <row r="245" customFormat="false" ht="15" hidden="false" customHeight="true" outlineLevel="0" collapsed="false">
      <c r="B245" s="1439" t="str">
        <f aca="false">'Смета Внутр'!B245</f>
        <v>утепление фундамента</v>
      </c>
      <c r="C245" s="1439" t="str">
        <f aca="false">'Смета Внутр'!C245</f>
        <v>м2</v>
      </c>
      <c r="D245" s="1439" t="n">
        <f aca="false">'Смета Внутр'!D245</f>
        <v>0</v>
      </c>
      <c r="E245" s="1439"/>
      <c r="F245" s="1439" t="n">
        <f aca="false">'Смета Внутр'!E245</f>
        <v>200</v>
      </c>
      <c r="G245" s="1439" t="n">
        <f aca="false">'Смета Внутр'!H245</f>
        <v>0</v>
      </c>
      <c r="H245" s="1439"/>
      <c r="I245" s="1439" t="n">
        <f aca="false">IF(F245&lt;H245,F245*(D245-E245),0)+IF(H245=0,(D245-E245)*F245,0)+IF(H245&lt;F245,H245*(D245-E245),0)</f>
        <v>0</v>
      </c>
      <c r="J245" s="1439" t="n">
        <f aca="false">G245-I245</f>
        <v>0</v>
      </c>
    </row>
    <row r="246" customFormat="false" ht="15" hidden="false" customHeight="true" outlineLevel="0" collapsed="false">
      <c r="B246" s="1439" t="str">
        <f aca="false">'Смета Внутр'!B246</f>
        <v>утепление отмостки</v>
      </c>
      <c r="C246" s="1439" t="str">
        <f aca="false">'Смета Внутр'!C246</f>
        <v>м2</v>
      </c>
      <c r="D246" s="1439" t="n">
        <f aca="false">'Смета Внутр'!D246</f>
        <v>0</v>
      </c>
      <c r="E246" s="1439"/>
      <c r="F246" s="1439" t="n">
        <f aca="false">'Смета Внутр'!E246</f>
        <v>200</v>
      </c>
      <c r="G246" s="1439" t="n">
        <f aca="false">'Смета Внутр'!H246</f>
        <v>0</v>
      </c>
      <c r="H246" s="1439"/>
      <c r="I246" s="1439" t="n">
        <f aca="false">IF(F246&lt;H246,F246*(D246-E246),0)+IF(H246=0,(D246-E246)*F246,0)+IF(H246&lt;F246,H246*(D246-E246),0)</f>
        <v>0</v>
      </c>
      <c r="J246" s="1439" t="n">
        <f aca="false">G246-I246</f>
        <v>0</v>
      </c>
    </row>
    <row r="247" customFormat="false" ht="15" hidden="false" customHeight="true" outlineLevel="0" collapsed="false">
      <c r="B247" s="1439" t="str">
        <f aca="false">'Смета Внутр'!B247</f>
        <v>трамбовка пгс</v>
      </c>
      <c r="C247" s="1439" t="str">
        <f aca="false">'Смета Внутр'!C247</f>
        <v>м2</v>
      </c>
      <c r="D247" s="1439" t="n">
        <f aca="false">'Смета Внутр'!D247</f>
        <v>0</v>
      </c>
      <c r="E247" s="1439"/>
      <c r="F247" s="1439" t="n">
        <f aca="false">'Смета Внутр'!E247</f>
        <v>600</v>
      </c>
      <c r="G247" s="1439" t="n">
        <f aca="false">'Смета Внутр'!H247</f>
        <v>0</v>
      </c>
      <c r="H247" s="1439"/>
      <c r="I247" s="1439" t="n">
        <f aca="false">IF(F247&lt;H247,F247*(D247-E247),0)+IF(H247=0,(D247-E247)*F247,0)+IF(H247&lt;F247,H247*(D247-E247),0)</f>
        <v>0</v>
      </c>
      <c r="J247" s="1439" t="n">
        <f aca="false">G247-I247</f>
        <v>0</v>
      </c>
    </row>
    <row r="248" customFormat="false" ht="15" hidden="false" customHeight="true" outlineLevel="0" collapsed="false">
      <c r="B248" s="1439" t="str">
        <f aca="false">'Смета Внутр'!B248</f>
        <v>кладка сетки</v>
      </c>
      <c r="C248" s="1439" t="str">
        <f aca="false">'Смета Внутр'!C248</f>
        <v>м2</v>
      </c>
      <c r="D248" s="1439" t="n">
        <f aca="false">'Смета Внутр'!D248</f>
        <v>0</v>
      </c>
      <c r="E248" s="1439"/>
      <c r="F248" s="1439" t="n">
        <f aca="false">'Смета Внутр'!E248</f>
        <v>100</v>
      </c>
      <c r="G248" s="1439" t="n">
        <f aca="false">'Смета Внутр'!H248</f>
        <v>0</v>
      </c>
      <c r="H248" s="1439"/>
      <c r="I248" s="1439" t="n">
        <f aca="false">IF(F248&lt;H248,F248*(D248-E248),0)+IF(H248=0,(D248-E248)*F248,0)+IF(H248&lt;F248,H248*(D248-E248),0)</f>
        <v>0</v>
      </c>
      <c r="J248" s="1439" t="n">
        <f aca="false">G248-I248</f>
        <v>0</v>
      </c>
    </row>
    <row r="249" customFormat="false" ht="15" hidden="false" customHeight="true" outlineLevel="0" collapsed="false">
      <c r="B249" s="1439" t="str">
        <f aca="false">'Смета Внутр'!B249</f>
        <v>приемка бетона</v>
      </c>
      <c r="C249" s="1439" t="str">
        <f aca="false">'Смета Внутр'!C249</f>
        <v>м2</v>
      </c>
      <c r="D249" s="1439" t="n">
        <f aca="false">'Смета Внутр'!D249</f>
        <v>0</v>
      </c>
      <c r="E249" s="1439"/>
      <c r="F249" s="1439" t="n">
        <f aca="false">'Смета Внутр'!E249</f>
        <v>1200</v>
      </c>
      <c r="G249" s="1439" t="n">
        <f aca="false">'Смета Внутр'!H249</f>
        <v>0</v>
      </c>
      <c r="H249" s="1439"/>
      <c r="I249" s="1439" t="n">
        <f aca="false">IF(F249&lt;H249,F249*(D249-E249),0)+IF(H249=0,(D249-E249)*F249,0)+IF(H249&lt;F249,H249*(D249-E249),0)</f>
        <v>0</v>
      </c>
      <c r="J249" s="1439" t="n">
        <f aca="false">G249-I249</f>
        <v>0</v>
      </c>
    </row>
    <row r="250" customFormat="false" ht="15" hidden="false" customHeight="false" outlineLevel="0" collapsed="false">
      <c r="B250" s="1692" t="s">
        <v>4333</v>
      </c>
      <c r="C250" s="1692"/>
      <c r="D250" s="1692"/>
      <c r="E250" s="1692"/>
      <c r="F250" s="1692"/>
      <c r="G250" s="1439" t="n">
        <f aca="false">'Смета Внутр'!H250</f>
        <v>108994.389</v>
      </c>
      <c r="H250" s="3181"/>
      <c r="I250" s="1439"/>
      <c r="J250" s="1439"/>
    </row>
    <row r="251" customFormat="false" ht="15" hidden="false" customHeight="true" outlineLevel="0" collapsed="false">
      <c r="B251" s="3172" t="str">
        <f aca="false">'Смета Внутр'!B251</f>
        <v>Плита УШП, технология Дороселл</v>
      </c>
      <c r="C251" s="3172"/>
      <c r="D251" s="3172"/>
      <c r="E251" s="3172"/>
      <c r="F251" s="3172"/>
      <c r="G251" s="3173" t="n">
        <f aca="false">'Смета Внутр'!H251</f>
        <v>0</v>
      </c>
      <c r="H251" s="3173"/>
      <c r="I251" s="3180" t="n">
        <f aca="false">IF(F251&lt;H251,F251*(D251-E251),0)+IF(H251=0,(D251-E251)*F251,0)+IF(H251&lt;F251,H251*(D251-E251),0)</f>
        <v>0</v>
      </c>
      <c r="J251" s="3180" t="n">
        <f aca="false">G251-I251</f>
        <v>0</v>
      </c>
    </row>
    <row r="252" customFormat="false" ht="15" hidden="false" customHeight="true" outlineLevel="0" collapsed="false">
      <c r="B252" s="1268" t="str">
        <f aca="false">'Смета Внутр'!B252</f>
        <v>Материалы</v>
      </c>
      <c r="C252" s="1268"/>
      <c r="D252" s="1268"/>
      <c r="E252" s="1268"/>
      <c r="F252" s="1268"/>
      <c r="G252" s="3173" t="n">
        <f aca="false">'Смета Внутр'!H252</f>
        <v>0</v>
      </c>
      <c r="H252" s="3182"/>
      <c r="I252" s="3180" t="n">
        <f aca="false">IF(F252&lt;H252,F252*(D252-E252),0)+IF(H252=0,(D252-E252)*F252,0)+IF(H252&lt;F252,H252*(D252-E252),0)</f>
        <v>0</v>
      </c>
      <c r="J252" s="3180" t="n">
        <f aca="false">G252-I252</f>
        <v>0</v>
      </c>
    </row>
    <row r="253" customFormat="false" ht="15" hidden="false" customHeight="true" outlineLevel="0" collapsed="false">
      <c r="B253" s="1439" t="str">
        <f aca="false">'Смета Внутр'!B253</f>
        <v>Скальник, 1 маш 13м3</v>
      </c>
      <c r="C253" s="1439" t="str">
        <f aca="false">'Смета Внутр'!C253</f>
        <v>маш</v>
      </c>
      <c r="D253" s="1439" t="n">
        <f aca="false">'Смета Внутр'!D253</f>
        <v>0.984615384615385</v>
      </c>
      <c r="E253" s="1439"/>
      <c r="F253" s="1439" t="n">
        <f aca="false">'Смета Внутр'!E253</f>
        <v>15000</v>
      </c>
      <c r="G253" s="1439" t="n">
        <f aca="false">'Смета Внутр'!H253</f>
        <v>0</v>
      </c>
      <c r="H253" s="1439"/>
      <c r="I253" s="1439" t="n">
        <f aca="false">IF(F253&lt;H253,F253*(D253-E253),0)+IF(H253=0,(D253-E253)*F253,0)+IF(H253&lt;F253,H253*(D253-E253),0)</f>
        <v>14769.2307692308</v>
      </c>
      <c r="J253" s="1439" t="n">
        <f aca="false">G253-I253</f>
        <v>-14769.2307692308</v>
      </c>
    </row>
    <row r="254" customFormat="false" ht="15" hidden="false" customHeight="true" outlineLevel="0" collapsed="false">
      <c r="B254" s="1439" t="str">
        <f aca="false">'Смета Внутр'!B254</f>
        <v>ПГС, машина 13м3</v>
      </c>
      <c r="C254" s="1439" t="str">
        <f aca="false">'Смета Внутр'!C254</f>
        <v>маш</v>
      </c>
      <c r="D254" s="1439" t="n">
        <f aca="false">'Смета Внутр'!D254</f>
        <v>0.984615384615385</v>
      </c>
      <c r="E254" s="1439"/>
      <c r="F254" s="1439" t="n">
        <f aca="false">'Смета Внутр'!E254</f>
        <v>10000</v>
      </c>
      <c r="G254" s="1439" t="n">
        <f aca="false">'Смета Внутр'!H254</f>
        <v>0</v>
      </c>
      <c r="H254" s="1439"/>
      <c r="I254" s="1439" t="n">
        <f aca="false">IF(F254&lt;H254,F254*(D254-E254),0)+IF(H254=0,(D254-E254)*F254,0)+IF(H254&lt;F254,H254*(D254-E254),0)</f>
        <v>9846.15384615385</v>
      </c>
      <c r="J254" s="1439" t="n">
        <f aca="false">G254-I254</f>
        <v>-9846.15384615385</v>
      </c>
    </row>
    <row r="255" customFormat="false" ht="15" hidden="false" customHeight="true" outlineLevel="0" collapsed="false">
      <c r="B255" s="1439" t="str">
        <f aca="false">'Смета Внутр'!B255</f>
        <v>Песок, машина 13м3</v>
      </c>
      <c r="C255" s="1439" t="str">
        <f aca="false">'Смета Внутр'!C255</f>
        <v>маш</v>
      </c>
      <c r="D255" s="1439" t="n">
        <f aca="false">'Смета Внутр'!D255</f>
        <v>0.492307692307692</v>
      </c>
      <c r="E255" s="1439"/>
      <c r="F255" s="1439" t="n">
        <f aca="false">'Смета Внутр'!E255</f>
        <v>12000</v>
      </c>
      <c r="G255" s="1439" t="n">
        <f aca="false">'Смета Внутр'!H255</f>
        <v>0</v>
      </c>
      <c r="H255" s="1439"/>
      <c r="I255" s="1439" t="n">
        <f aca="false">IF(F255&lt;H255,F255*(D255-E255),0)+IF(H255=0,(D255-E255)*F255,0)+IF(H255&lt;F255,H255*(D255-E255),0)</f>
        <v>5907.69230769231</v>
      </c>
      <c r="J255" s="1439" t="n">
        <f aca="false">G255-I255</f>
        <v>-5907.69230769231</v>
      </c>
    </row>
    <row r="256" customFormat="false" ht="15" hidden="false" customHeight="true" outlineLevel="0" collapsed="false">
      <c r="B256" s="1439" t="str">
        <f aca="false">'Смета Внутр'!B256</f>
        <v>Сосна влаж,180*40мм</v>
      </c>
      <c r="C256" s="1439" t="str">
        <f aca="false">'Смета Внутр'!C256</f>
        <v>м3</v>
      </c>
      <c r="D256" s="1439" t="n">
        <f aca="false">'Смета Внутр'!D256</f>
        <v>0.416</v>
      </c>
      <c r="E256" s="1439"/>
      <c r="F256" s="1439" t="n">
        <f aca="false">'Смета Внутр'!E256</f>
        <v>6500</v>
      </c>
      <c r="G256" s="1439" t="n">
        <f aca="false">'Смета Внутр'!H256</f>
        <v>0</v>
      </c>
      <c r="H256" s="1439"/>
      <c r="I256" s="1439" t="n">
        <f aca="false">IF(F256&lt;H256,F256*(D256-E256),0)+IF(H256=0,(D256-E256)*F256,0)+IF(H256&lt;F256,H256*(D256-E256),0)</f>
        <v>2704</v>
      </c>
      <c r="J256" s="1439" t="n">
        <f aca="false">G256-I256</f>
        <v>-2704</v>
      </c>
    </row>
    <row r="257" customFormat="false" ht="15" hidden="false" customHeight="true" outlineLevel="0" collapsed="false">
      <c r="B257" s="1439" t="str">
        <f aca="false">'Смета Внутр'!B257</f>
        <v>Пенопласт ПСБ-С-35</v>
      </c>
      <c r="C257" s="1439" t="str">
        <f aca="false">'Смета Внутр'!C257</f>
        <v>м3</v>
      </c>
      <c r="D257" s="1439" t="n">
        <f aca="false">'Смета Внутр'!D257</f>
        <v>0</v>
      </c>
      <c r="E257" s="1439"/>
      <c r="F257" s="1439" t="n">
        <f aca="false">'Смета Внутр'!E257</f>
        <v>3400</v>
      </c>
      <c r="G257" s="1439" t="n">
        <f aca="false">'Смета Внутр'!H257</f>
        <v>0</v>
      </c>
      <c r="H257" s="1439"/>
      <c r="I257" s="1439" t="n">
        <f aca="false">IF(F257&lt;H257,F257*(D257-E257),0)+IF(H257=0,(D257-E257)*F257,0)+IF(H257&lt;F257,H257*(D257-E257),0)</f>
        <v>0</v>
      </c>
      <c r="J257" s="1439" t="n">
        <f aca="false">G257-I257</f>
        <v>0</v>
      </c>
    </row>
    <row r="258" customFormat="false" ht="15" hidden="false" customHeight="true" outlineLevel="0" collapsed="false">
      <c r="B258" s="1439" t="str">
        <f aca="false">'Смета Внутр'!B258</f>
        <v>Пенопласт ПСБ-С-35</v>
      </c>
      <c r="C258" s="1439" t="str">
        <f aca="false">'Смета Внутр'!C258</f>
        <v>м3</v>
      </c>
      <c r="D258" s="1439" t="n">
        <f aca="false">'Смета Внутр'!D258</f>
        <v>0</v>
      </c>
      <c r="E258" s="1439"/>
      <c r="F258" s="1439" t="n">
        <f aca="false">'Смета Внутр'!E258</f>
        <v>3400</v>
      </c>
      <c r="G258" s="1439" t="n">
        <f aca="false">'Смета Внутр'!H258</f>
        <v>0</v>
      </c>
      <c r="H258" s="1439"/>
      <c r="I258" s="1439" t="n">
        <f aca="false">IF(F258&lt;H258,F258*(D258-E258),0)+IF(H258=0,(D258-E258)*F258,0)+IF(H258&lt;F258,H258*(D258-E258),0)</f>
        <v>0</v>
      </c>
      <c r="J258" s="1439" t="n">
        <f aca="false">G258-I258</f>
        <v>0</v>
      </c>
    </row>
    <row r="259" customFormat="false" ht="15" hidden="false" customHeight="true" outlineLevel="0" collapsed="false">
      <c r="B259" s="1439" t="str">
        <f aca="false">'Смета Внутр'!B259</f>
        <v>Пленка гидроизоляционная </v>
      </c>
      <c r="C259" s="1439" t="str">
        <f aca="false">'Смета Внутр'!C259</f>
        <v>м2</v>
      </c>
      <c r="D259" s="1439" t="n">
        <f aca="false">'Смета Внутр'!D259</f>
        <v>83.2</v>
      </c>
      <c r="E259" s="1439"/>
      <c r="F259" s="1439" t="n">
        <f aca="false">'Смета Внутр'!E259</f>
        <v>15</v>
      </c>
      <c r="G259" s="1439" t="n">
        <f aca="false">'Смета Внутр'!H259</f>
        <v>0</v>
      </c>
      <c r="H259" s="1439"/>
      <c r="I259" s="1439" t="n">
        <f aca="false">IF(F259&lt;H259,F259*(D259-E259),0)+IF(H259=0,(D259-E259)*F259,0)+IF(H259&lt;F259,H259*(D259-E259),0)</f>
        <v>1248</v>
      </c>
      <c r="J259" s="1439" t="n">
        <f aca="false">G259-I259</f>
        <v>-1248</v>
      </c>
    </row>
    <row r="260" customFormat="false" ht="15" hidden="false" customHeight="true" outlineLevel="0" collapsed="false">
      <c r="B260" s="1439" t="str">
        <f aca="false">'Смета Внутр'!B260</f>
        <v>Кладочная сетка, 100*100/150*150/200*200мм</v>
      </c>
      <c r="C260" s="1439" t="str">
        <f aca="false">'Смета Внутр'!C260</f>
        <v>м2</v>
      </c>
      <c r="D260" s="1439" t="n">
        <f aca="false">'Смета Внутр'!D260</f>
        <v>64</v>
      </c>
      <c r="E260" s="1439"/>
      <c r="F260" s="1439" t="n">
        <f aca="false">'Смета Внутр'!E260</f>
        <v>70</v>
      </c>
      <c r="G260" s="1439" t="n">
        <f aca="false">'Смета Внутр'!H260</f>
        <v>0</v>
      </c>
      <c r="H260" s="1439"/>
      <c r="I260" s="1439" t="n">
        <f aca="false">IF(F260&lt;H260,F260*(D260-E260),0)+IF(H260=0,(D260-E260)*F260,0)+IF(H260&lt;F260,H260*(D260-E260),0)</f>
        <v>4480</v>
      </c>
      <c r="J260" s="1439" t="n">
        <f aca="false">G260-I260</f>
        <v>-4480</v>
      </c>
    </row>
    <row r="261" customFormat="false" ht="15" hidden="false" customHeight="true" outlineLevel="0" collapsed="false">
      <c r="B261" s="1439" t="str">
        <f aca="false">'Смета Внутр'!B261</f>
        <v>Стяжки пластиковые</v>
      </c>
      <c r="C261" s="1439" t="str">
        <f aca="false">'Смета Внутр'!C261</f>
        <v>шт</v>
      </c>
      <c r="D261" s="1439" t="n">
        <f aca="false">'Смета Внутр'!D261</f>
        <v>192</v>
      </c>
      <c r="E261" s="1439"/>
      <c r="F261" s="1439" t="n">
        <f aca="false">'Смета Внутр'!E261</f>
        <v>2</v>
      </c>
      <c r="G261" s="1439" t="n">
        <f aca="false">'Смета Внутр'!H261</f>
        <v>0</v>
      </c>
      <c r="H261" s="1439"/>
      <c r="I261" s="1439" t="n">
        <f aca="false">IF(F261&lt;H261,F261*(D261-E261),0)+IF(H261=0,(D261-E261)*F261,0)+IF(H261&lt;F261,H261*(D261-E261),0)</f>
        <v>384</v>
      </c>
      <c r="J261" s="1439" t="n">
        <f aca="false">G261-I261</f>
        <v>-384</v>
      </c>
    </row>
    <row r="262" customFormat="false" ht="15" hidden="false" customHeight="true" outlineLevel="0" collapsed="false">
      <c r="B262" s="1439" t="str">
        <f aca="false">'Смета Внутр'!B262</f>
        <v>Бетон, м350</v>
      </c>
      <c r="C262" s="1439" t="str">
        <f aca="false">'Смета Внутр'!C262</f>
        <v>м3</v>
      </c>
      <c r="D262" s="1439" t="n">
        <f aca="false">'Смета Внутр'!D262</f>
        <v>16</v>
      </c>
      <c r="E262" s="1439"/>
      <c r="F262" s="1439" t="n">
        <f aca="false">'Смета Внутр'!E262</f>
        <v>3500</v>
      </c>
      <c r="G262" s="1439" t="n">
        <f aca="false">'Смета Внутр'!H262</f>
        <v>0</v>
      </c>
      <c r="H262" s="1439"/>
      <c r="I262" s="1439" t="n">
        <f aca="false">IF(F262&lt;H262,F262*(D262-E262),0)+IF(H262=0,(D262-E262)*F262,0)+IF(H262&lt;F262,H262*(D262-E262),0)</f>
        <v>56000</v>
      </c>
      <c r="J262" s="1439" t="n">
        <f aca="false">G262-I262</f>
        <v>-56000</v>
      </c>
    </row>
    <row r="263" customFormat="false" ht="15" hidden="false" customHeight="true" outlineLevel="0" collapsed="false">
      <c r="B263" s="1439" t="str">
        <f aca="false">'Смета Внутр'!B263</f>
        <v>Бетон, м250</v>
      </c>
      <c r="C263" s="1439" t="str">
        <f aca="false">'Смета Внутр'!C263</f>
        <v>м3</v>
      </c>
      <c r="D263" s="1439" t="n">
        <f aca="false">'Смета Внутр'!D263</f>
        <v>0</v>
      </c>
      <c r="E263" s="1439"/>
      <c r="F263" s="1439" t="n">
        <f aca="false">'Смета Внутр'!E263</f>
        <v>2750</v>
      </c>
      <c r="G263" s="1439" t="n">
        <f aca="false">'Смета Внутр'!H263</f>
        <v>0</v>
      </c>
      <c r="H263" s="1439"/>
      <c r="I263" s="1439" t="n">
        <f aca="false">IF(F263&lt;H263,F263*(D263-E263),0)+IF(H263=0,(D263-E263)*F263,0)+IF(H263&lt;F263,H263*(D263-E263),0)</f>
        <v>0</v>
      </c>
      <c r="J263" s="1439" t="n">
        <f aca="false">G263-I263</f>
        <v>0</v>
      </c>
    </row>
    <row r="264" customFormat="false" ht="15" hidden="false" customHeight="true" outlineLevel="0" collapsed="false">
      <c r="B264" s="1439" t="str">
        <f aca="false">'Смета Внутр'!B264</f>
        <v>Труба теплого пола 3</v>
      </c>
      <c r="C264" s="1439" t="str">
        <f aca="false">'Смета Внутр'!C264</f>
        <v>м.п</v>
      </c>
      <c r="D264" s="1439" t="n">
        <f aca="false">'Смета Внутр'!D264</f>
        <v>0</v>
      </c>
      <c r="E264" s="1439"/>
      <c r="F264" s="1439" t="n">
        <f aca="false">'Смета Внутр'!E264</f>
        <v>60</v>
      </c>
      <c r="G264" s="1439" t="n">
        <f aca="false">'Смета Внутр'!H264</f>
        <v>0</v>
      </c>
      <c r="H264" s="1439"/>
      <c r="I264" s="1439" t="n">
        <f aca="false">IF(F264&lt;H264,F264*(D264-E264),0)+IF(H264=0,(D264-E264)*F264,0)+IF(H264&lt;F264,H264*(D264-E264),0)</f>
        <v>0</v>
      </c>
      <c r="J264" s="1439" t="n">
        <f aca="false">G264-I264</f>
        <v>0</v>
      </c>
    </row>
    <row r="265" customFormat="false" ht="15" hidden="false" customHeight="true" outlineLevel="0" collapsed="false">
      <c r="B265" s="1439" t="str">
        <f aca="false">'Смета Внутр'!B265</f>
        <v>Коллектор 1</v>
      </c>
      <c r="C265" s="1439" t="str">
        <f aca="false">'Смета Внутр'!C265</f>
        <v>шт</v>
      </c>
      <c r="D265" s="1439" t="n">
        <f aca="false">'Смета Внутр'!D265</f>
        <v>0</v>
      </c>
      <c r="E265" s="1439"/>
      <c r="F265" s="1439" t="n">
        <f aca="false">'Смета Внутр'!E265</f>
        <v>5000</v>
      </c>
      <c r="G265" s="1439" t="n">
        <f aca="false">'Смета Внутр'!H265</f>
        <v>0</v>
      </c>
      <c r="H265" s="1439"/>
      <c r="I265" s="1439" t="n">
        <f aca="false">IF(F265&lt;H265,F265*(D265-E265),0)+IF(H265=0,(D265-E265)*F265,0)+IF(H265&lt;F265,H265*(D265-E265),0)</f>
        <v>0</v>
      </c>
      <c r="J265" s="1439" t="n">
        <f aca="false">G265-I265</f>
        <v>0</v>
      </c>
    </row>
    <row r="266" customFormat="false" ht="15" hidden="false" customHeight="true" outlineLevel="0" collapsed="false">
      <c r="B266" s="1439" t="str">
        <f aca="false">'Смета Внутр'!B266</f>
        <v>Арматура стальная Ø 12</v>
      </c>
      <c r="C266" s="1439" t="str">
        <f aca="false">'Смета Внутр'!C266</f>
        <v>м.п.</v>
      </c>
      <c r="D266" s="1439" t="n">
        <f aca="false">'Смета Внутр'!D266</f>
        <v>211.2</v>
      </c>
      <c r="E266" s="1439"/>
      <c r="F266" s="1439" t="n">
        <f aca="false">'Смета Внутр'!E266</f>
        <v>29.2152</v>
      </c>
      <c r="G266" s="1439" t="n">
        <f aca="false">'Смета Внутр'!H266</f>
        <v>0</v>
      </c>
      <c r="H266" s="1439"/>
      <c r="I266" s="1439" t="n">
        <f aca="false">IF(F266&lt;H266,F266*(D266-E266),0)+IF(H266=0,(D266-E266)*F266,0)+IF(H266&lt;F266,H266*(D266-E266),0)</f>
        <v>6170.25024</v>
      </c>
      <c r="J266" s="1439" t="n">
        <f aca="false">G266-I266</f>
        <v>-6170.25024</v>
      </c>
    </row>
    <row r="267" customFormat="false" ht="15" hidden="false" customHeight="true" outlineLevel="0" collapsed="false">
      <c r="B267" s="1439" t="str">
        <f aca="false">'Смета Внутр'!B267</f>
        <v>Арматура стальная Ø 10 </v>
      </c>
      <c r="C267" s="1439" t="str">
        <f aca="false">'Смета Внутр'!C267</f>
        <v>м.п.</v>
      </c>
      <c r="D267" s="1439" t="n">
        <f aca="false">'Смета Внутр'!D267</f>
        <v>640</v>
      </c>
      <c r="E267" s="1439"/>
      <c r="F267" s="1439" t="n">
        <f aca="false">'Смета Внутр'!E267</f>
        <v>21.0397</v>
      </c>
      <c r="G267" s="1439" t="n">
        <f aca="false">'Смета Внутр'!H267</f>
        <v>0</v>
      </c>
      <c r="H267" s="1439"/>
      <c r="I267" s="1439" t="n">
        <f aca="false">IF(F267&lt;H267,F267*(D267-E267),0)+IF(H267=0,(D267-E267)*F267,0)+IF(H267&lt;F267,H267*(D267-E267),0)</f>
        <v>13465.408</v>
      </c>
      <c r="J267" s="1439" t="n">
        <f aca="false">G267-I267</f>
        <v>-13465.408</v>
      </c>
    </row>
    <row r="268" customFormat="false" ht="15" hidden="false" customHeight="true" outlineLevel="0" collapsed="false">
      <c r="B268" s="1439" t="str">
        <f aca="false">'Смета Внутр'!B268</f>
        <v>Арматура стальная Ø 6</v>
      </c>
      <c r="C268" s="1439" t="str">
        <f aca="false">'Смета Внутр'!C268</f>
        <v>м.п.</v>
      </c>
      <c r="D268" s="1439" t="n">
        <f aca="false">'Смета Внутр'!D268</f>
        <v>0</v>
      </c>
      <c r="E268" s="1439"/>
      <c r="F268" s="1439" t="n">
        <f aca="false">'Смета Внутр'!E268</f>
        <v>9.0132</v>
      </c>
      <c r="G268" s="1439" t="n">
        <f aca="false">'Смета Внутр'!H268</f>
        <v>0</v>
      </c>
      <c r="H268" s="1439"/>
      <c r="I268" s="1439" t="n">
        <f aca="false">IF(F268&lt;H268,F268*(D268-E268),0)+IF(H268=0,(D268-E268)*F268,0)+IF(H268&lt;F268,H268*(D268-E268),0)</f>
        <v>0</v>
      </c>
      <c r="J268" s="1439" t="n">
        <f aca="false">G268-I268</f>
        <v>0</v>
      </c>
    </row>
    <row r="269" customFormat="false" ht="15" hidden="false" customHeight="true" outlineLevel="0" collapsed="false">
      <c r="B269" s="1439" t="str">
        <f aca="false">'Смета Внутр'!B269</f>
        <v>Вязальная проволока</v>
      </c>
      <c r="C269" s="1439" t="str">
        <f aca="false">'Смета Внутр'!C269</f>
        <v>кг</v>
      </c>
      <c r="D269" s="1439" t="n">
        <f aca="false">'Смета Внутр'!D269</f>
        <v>17.024</v>
      </c>
      <c r="E269" s="1439"/>
      <c r="F269" s="1439" t="n">
        <f aca="false">'Смета Внутр'!E269</f>
        <v>80</v>
      </c>
      <c r="G269" s="1439" t="n">
        <f aca="false">'Смета Внутр'!H269</f>
        <v>0</v>
      </c>
      <c r="H269" s="1439"/>
      <c r="I269" s="1439" t="n">
        <f aca="false">IF(F269&lt;H269,F269*(D269-E269),0)+IF(H269=0,(D269-E269)*F269,0)+IF(H269&lt;F269,H269*(D269-E269),0)</f>
        <v>1361.92</v>
      </c>
      <c r="J269" s="1439" t="n">
        <f aca="false">G269-I269</f>
        <v>-1361.92</v>
      </c>
    </row>
    <row r="270" customFormat="false" ht="15" hidden="false" customHeight="true" outlineLevel="0" collapsed="false">
      <c r="B270" s="1439" t="str">
        <f aca="false">'Смета Внутр'!B270</f>
        <v>Подставка под арматурный каркас</v>
      </c>
      <c r="C270" s="1439" t="str">
        <f aca="false">'Смета Внутр'!C270</f>
        <v>шт</v>
      </c>
      <c r="D270" s="1439" t="n">
        <f aca="false">'Смета Внутр'!D270</f>
        <v>192</v>
      </c>
      <c r="E270" s="1439"/>
      <c r="F270" s="1439" t="n">
        <f aca="false">'Смета Внутр'!E270</f>
        <v>5</v>
      </c>
      <c r="G270" s="1439" t="n">
        <f aca="false">'Смета Внутр'!H270</f>
        <v>0</v>
      </c>
      <c r="H270" s="1439"/>
      <c r="I270" s="1439" t="n">
        <f aca="false">IF(F270&lt;H270,F270*(D270-E270),0)+IF(H270=0,(D270-E270)*F270,0)+IF(H270&lt;F270,H270*(D270-E270),0)</f>
        <v>960</v>
      </c>
      <c r="J270" s="1439" t="n">
        <f aca="false">G270-I270</f>
        <v>-960</v>
      </c>
    </row>
    <row r="271" customFormat="false" ht="15" hidden="false" customHeight="true" outlineLevel="0" collapsed="false">
      <c r="B271" s="1439" t="str">
        <f aca="false">'Смета Внутр'!B271</f>
        <v>Гвозди строительные 3,5 x 90            </v>
      </c>
      <c r="C271" s="1439" t="str">
        <f aca="false">'Смета Внутр'!C271</f>
        <v>кг</v>
      </c>
      <c r="D271" s="1439" t="n">
        <f aca="false">'Смета Внутр'!D271</f>
        <v>2.08</v>
      </c>
      <c r="E271" s="1439"/>
      <c r="F271" s="1439" t="n">
        <f aca="false">'Смета Внутр'!E271</f>
        <v>70</v>
      </c>
      <c r="G271" s="1439" t="n">
        <f aca="false">'Смета Внутр'!H271</f>
        <v>0</v>
      </c>
      <c r="H271" s="1439"/>
      <c r="I271" s="1439" t="n">
        <f aca="false">IF(F271&lt;H271,F271*(D271-E271),0)+IF(H271=0,(D271-E271)*F271,0)+IF(H271&lt;F271,H271*(D271-E271),0)</f>
        <v>145.6</v>
      </c>
      <c r="J271" s="1439" t="n">
        <f aca="false">G271-I271</f>
        <v>-145.6</v>
      </c>
    </row>
    <row r="272" customFormat="false" ht="15" hidden="false" customHeight="true" outlineLevel="0" collapsed="false">
      <c r="B272" s="1439" t="str">
        <f aca="false">'Смета Внутр'!B272</f>
        <v>Геотекстиль</v>
      </c>
      <c r="C272" s="1439" t="str">
        <f aca="false">'Смета Внутр'!C272</f>
        <v>м2</v>
      </c>
      <c r="D272" s="1439" t="n">
        <f aca="false">'Смета Внутр'!D272</f>
        <v>73.6</v>
      </c>
      <c r="E272" s="1439"/>
      <c r="F272" s="1439" t="n">
        <f aca="false">'Смета Внутр'!E272</f>
        <v>100</v>
      </c>
      <c r="G272" s="1439" t="n">
        <f aca="false">'Смета Внутр'!H272</f>
        <v>0</v>
      </c>
      <c r="H272" s="1439"/>
      <c r="I272" s="1439" t="n">
        <f aca="false">IF(F272&lt;H272,F272*(D272-E272),0)+IF(H272=0,(D272-E272)*F272,0)+IF(H272&lt;F272,H272*(D272-E272),0)</f>
        <v>7360</v>
      </c>
      <c r="J272" s="1439" t="n">
        <f aca="false">G272-I272</f>
        <v>-7360</v>
      </c>
    </row>
    <row r="273" customFormat="false" ht="15" hidden="false" customHeight="true" outlineLevel="0" collapsed="false">
      <c r="B273" s="1439" t="str">
        <f aca="false">'Смета Внутр'!B273</f>
        <v>Труба гофрированная одностенная d110</v>
      </c>
      <c r="C273" s="1439" t="str">
        <f aca="false">'Смета Внутр'!C273</f>
        <v>м.п.</v>
      </c>
      <c r="D273" s="1439" t="n">
        <f aca="false">'Смета Внутр'!D273</f>
        <v>53</v>
      </c>
      <c r="E273" s="1439"/>
      <c r="F273" s="1439" t="n">
        <f aca="false">'Смета Внутр'!E273</f>
        <v>77</v>
      </c>
      <c r="G273" s="1439" t="n">
        <f aca="false">'Смета Внутр'!H273</f>
        <v>0</v>
      </c>
      <c r="H273" s="1439"/>
      <c r="I273" s="1439" t="n">
        <f aca="false">IF(F273&lt;H273,F273*(D273-E273),0)+IF(H273=0,(D273-E273)*F273,0)+IF(H273&lt;F273,H273*(D273-E273),0)</f>
        <v>4081</v>
      </c>
      <c r="J273" s="1439" t="n">
        <f aca="false">G273-I273</f>
        <v>-4081</v>
      </c>
    </row>
    <row r="274" customFormat="false" ht="15" hidden="false" customHeight="true" outlineLevel="0" collapsed="false">
      <c r="B274" s="1439" t="str">
        <f aca="false">'Смета Внутр'!B274</f>
        <v>Дренажный колодец D300</v>
      </c>
      <c r="C274" s="1439" t="str">
        <f aca="false">'Смета Внутр'!C274</f>
        <v>шт</v>
      </c>
      <c r="D274" s="1439" t="n">
        <f aca="false">'Смета Внутр'!D274</f>
        <v>6</v>
      </c>
      <c r="E274" s="1439"/>
      <c r="F274" s="1439" t="n">
        <f aca="false">'Смета Внутр'!E274</f>
        <v>1500</v>
      </c>
      <c r="G274" s="1439" t="n">
        <f aca="false">'Смета Внутр'!H274</f>
        <v>0</v>
      </c>
      <c r="H274" s="1439"/>
      <c r="I274" s="1439" t="n">
        <f aca="false">IF(F274&lt;H274,F274*(D274-E274),0)+IF(H274=0,(D274-E274)*F274,0)+IF(H274&lt;F274,H274*(D274-E274),0)</f>
        <v>9000</v>
      </c>
      <c r="J274" s="1439" t="n">
        <f aca="false">G274-I274</f>
        <v>-9000</v>
      </c>
    </row>
    <row r="275" customFormat="false" ht="15" hidden="false" customHeight="true" outlineLevel="0" collapsed="false">
      <c r="B275" s="1439" t="str">
        <f aca="false">'Смета Внутр'!B275</f>
        <v>Труба канализационная D110</v>
      </c>
      <c r="C275" s="1439" t="str">
        <f aca="false">'Смета Внутр'!C275</f>
        <v>шт</v>
      </c>
      <c r="D275" s="1439" t="n">
        <f aca="false">'Смета Внутр'!D275</f>
        <v>10</v>
      </c>
      <c r="E275" s="1439"/>
      <c r="F275" s="1439" t="n">
        <f aca="false">'Смета Внутр'!E275</f>
        <v>70</v>
      </c>
      <c r="G275" s="1439" t="n">
        <f aca="false">'Смета Внутр'!H275</f>
        <v>0</v>
      </c>
      <c r="H275" s="1439"/>
      <c r="I275" s="1439" t="n">
        <f aca="false">IF(F275&lt;H275,F275*(D275-E275),0)+IF(H275=0,(D275-E275)*F275,0)+IF(H275&lt;F275,H275*(D275-E275),0)</f>
        <v>700</v>
      </c>
      <c r="J275" s="1439" t="n">
        <f aca="false">G275-I275</f>
        <v>-700</v>
      </c>
    </row>
    <row r="276" customFormat="false" ht="15" hidden="false" customHeight="true" outlineLevel="0" collapsed="false">
      <c r="B276" s="1692" t="s">
        <v>4332</v>
      </c>
      <c r="C276" s="1692"/>
      <c r="D276" s="1692"/>
      <c r="E276" s="1692"/>
      <c r="F276" s="1692"/>
      <c r="G276" s="1439" t="n">
        <f aca="false">'Смета Внутр'!H276</f>
        <v>0</v>
      </c>
      <c r="H276" s="3181"/>
      <c r="I276" s="1439"/>
      <c r="J276" s="1439"/>
    </row>
    <row r="277" customFormat="false" ht="15" hidden="false" customHeight="true" outlineLevel="0" collapsed="false">
      <c r="B277" s="1268" t="str">
        <f aca="false">'Смета Внутр'!B277</f>
        <v>Работы</v>
      </c>
      <c r="C277" s="1268"/>
      <c r="D277" s="1268"/>
      <c r="E277" s="1268"/>
      <c r="F277" s="1268"/>
      <c r="G277" s="3173" t="n">
        <f aca="false">'Смета Внутр'!H277</f>
        <v>0</v>
      </c>
      <c r="H277" s="3182"/>
      <c r="I277" s="3180" t="n">
        <f aca="false">IF(F277&lt;H277,F277*(D277-E277),0)+IF(H277=0,(D277-E277)*F277,0)+IF(H277&lt;F277,H277*(D277-E277),0)</f>
        <v>0</v>
      </c>
      <c r="J277" s="3180" t="n">
        <f aca="false">G277-I277</f>
        <v>0</v>
      </c>
    </row>
    <row r="278" customFormat="false" ht="15" hidden="false" customHeight="true" outlineLevel="0" collapsed="false">
      <c r="B278" s="1439" t="str">
        <f aca="false">'Смета Внутр'!B278</f>
        <v>разбивка осей фундамента</v>
      </c>
      <c r="C278" s="1439" t="str">
        <f aca="false">'Смета Внутр'!C278</f>
        <v>шт</v>
      </c>
      <c r="D278" s="1439" t="n">
        <f aca="false">'Смета Внутр'!D278</f>
        <v>1</v>
      </c>
      <c r="E278" s="1439"/>
      <c r="F278" s="1439" t="n">
        <f aca="false">'Смета Внутр'!E278</f>
        <v>7000</v>
      </c>
      <c r="G278" s="1439" t="n">
        <f aca="false">'Смета Внутр'!H278</f>
        <v>0</v>
      </c>
      <c r="H278" s="1439"/>
      <c r="I278" s="1439" t="n">
        <f aca="false">IF(F278&lt;H278,F278*(D278-E278),0)+IF(H278=0,(D278-E278)*F278,0)+IF(H278&lt;F278,H278*(D278-E278),0)</f>
        <v>7000</v>
      </c>
      <c r="J278" s="1439" t="n">
        <f aca="false">G278-I278</f>
        <v>-7000</v>
      </c>
    </row>
    <row r="279" customFormat="false" ht="15" hidden="false" customHeight="true" outlineLevel="0" collapsed="false">
      <c r="B279" s="1439" t="str">
        <f aca="false">'Смета Внутр'!B279</f>
        <v>трамбовка пгс</v>
      </c>
      <c r="C279" s="1439" t="str">
        <f aca="false">'Смета Внутр'!C279</f>
        <v>м2</v>
      </c>
      <c r="D279" s="1439" t="n">
        <f aca="false">'Смета Внутр'!D279</f>
        <v>64</v>
      </c>
      <c r="E279" s="1439"/>
      <c r="F279" s="1439" t="n">
        <f aca="false">'Смета Внутр'!E279</f>
        <v>600</v>
      </c>
      <c r="G279" s="1439" t="n">
        <f aca="false">'Смета Внутр'!H279</f>
        <v>0</v>
      </c>
      <c r="H279" s="1439"/>
      <c r="I279" s="1439" t="n">
        <f aca="false">IF(F279&lt;H279,F279*(D279-E279),0)+IF(H279=0,(D279-E279)*F279,0)+IF(H279&lt;F279,H279*(D279-E279),0)</f>
        <v>38400</v>
      </c>
      <c r="J279" s="1439" t="n">
        <f aca="false">G279-I279</f>
        <v>-38400</v>
      </c>
    </row>
    <row r="280" customFormat="false" ht="15" hidden="false" customHeight="true" outlineLevel="0" collapsed="false">
      <c r="B280" s="1439" t="str">
        <f aca="false">'Смета Внутр'!B280</f>
        <v>трамбовка скальник</v>
      </c>
      <c r="C280" s="1439" t="str">
        <f aca="false">'Смета Внутр'!C280</f>
        <v>м2</v>
      </c>
      <c r="D280" s="1439" t="n">
        <f aca="false">'Смета Внутр'!D280</f>
        <v>64</v>
      </c>
      <c r="E280" s="1439"/>
      <c r="F280" s="1439" t="n">
        <f aca="false">'Смета Внутр'!E280</f>
        <v>400</v>
      </c>
      <c r="G280" s="1439" t="n">
        <f aca="false">'Смета Внутр'!H280</f>
        <v>0</v>
      </c>
      <c r="H280" s="1439"/>
      <c r="I280" s="1439" t="n">
        <f aca="false">IF(F280&lt;H280,F280*(D280-E280),0)+IF(H280=0,(D280-E280)*F280,0)+IF(H280&lt;F280,H280*(D280-E280),0)</f>
        <v>25600</v>
      </c>
      <c r="J280" s="1439" t="n">
        <f aca="false">G280-I280</f>
        <v>-25600</v>
      </c>
    </row>
    <row r="281" customFormat="false" ht="15" hidden="false" customHeight="true" outlineLevel="0" collapsed="false">
      <c r="B281" s="1439" t="str">
        <f aca="false">'Смета Внутр'!B281</f>
        <v>трамбовка песок</v>
      </c>
      <c r="C281" s="1439" t="str">
        <f aca="false">'Смета Внутр'!C281</f>
        <v>м2</v>
      </c>
      <c r="D281" s="1439" t="n">
        <f aca="false">'Смета Внутр'!D281</f>
        <v>64</v>
      </c>
      <c r="E281" s="1439"/>
      <c r="F281" s="1439" t="n">
        <f aca="false">'Смета Внутр'!E281</f>
        <v>350</v>
      </c>
      <c r="G281" s="1439" t="n">
        <f aca="false">'Смета Внутр'!H281</f>
        <v>0</v>
      </c>
      <c r="H281" s="1439"/>
      <c r="I281" s="1439" t="n">
        <f aca="false">IF(F281&lt;H281,F281*(D281-E281),0)+IF(H281=0,(D281-E281)*F281,0)+IF(H281&lt;F281,H281*(D281-E281),0)</f>
        <v>22400</v>
      </c>
      <c r="J281" s="1439" t="n">
        <f aca="false">G281-I281</f>
        <v>-22400</v>
      </c>
    </row>
    <row r="282" customFormat="false" ht="15" hidden="false" customHeight="true" outlineLevel="0" collapsed="false">
      <c r="B282" s="1439" t="str">
        <f aca="false">'Смета Внутр'!B282</f>
        <v>сборка/разборка опалубки</v>
      </c>
      <c r="C282" s="1439" t="str">
        <f aca="false">'Смета Внутр'!C282</f>
        <v>м2</v>
      </c>
      <c r="D282" s="1439" t="n">
        <f aca="false">'Смета Внутр'!D282</f>
        <v>0</v>
      </c>
      <c r="E282" s="1439"/>
      <c r="F282" s="1439" t="n">
        <f aca="false">'Смета Внутр'!E282</f>
        <v>400</v>
      </c>
      <c r="G282" s="1439" t="n">
        <f aca="false">'Смета Внутр'!H282</f>
        <v>0</v>
      </c>
      <c r="H282" s="1439"/>
      <c r="I282" s="1439" t="n">
        <f aca="false">IF(F282&lt;H282,F282*(D282-E282),0)+IF(H282=0,(D282-E282)*F282,0)+IF(H282&lt;F282,H282*(D282-E282),0)</f>
        <v>0</v>
      </c>
      <c r="J282" s="1439" t="n">
        <f aca="false">G282-I282</f>
        <v>0</v>
      </c>
    </row>
    <row r="283" customFormat="false" ht="15" hidden="false" customHeight="true" outlineLevel="0" collapsed="false">
      <c r="B283" s="1439" t="str">
        <f aca="false">'Смета Внутр'!B283</f>
        <v>укладка утеплителя под плиту</v>
      </c>
      <c r="C283" s="1439" t="str">
        <f aca="false">'Смета Внутр'!C283</f>
        <v>м2</v>
      </c>
      <c r="D283" s="1439" t="n">
        <f aca="false">'Смета Внутр'!D283</f>
        <v>64</v>
      </c>
      <c r="E283" s="1439"/>
      <c r="F283" s="1439" t="n">
        <f aca="false">'Смета Внутр'!E283</f>
        <v>200</v>
      </c>
      <c r="G283" s="1439" t="n">
        <f aca="false">'Смета Внутр'!H283</f>
        <v>0</v>
      </c>
      <c r="H283" s="1439"/>
      <c r="I283" s="1439" t="n">
        <f aca="false">IF(F283&lt;H283,F283*(D283-E283),0)+IF(H283=0,(D283-E283)*F283,0)+IF(H283&lt;F283,H283*(D283-E283),0)</f>
        <v>12800</v>
      </c>
      <c r="J283" s="1439" t="n">
        <f aca="false">G283-I283</f>
        <v>-12800</v>
      </c>
    </row>
    <row r="284" customFormat="false" ht="15" hidden="false" customHeight="true" outlineLevel="0" collapsed="false">
      <c r="B284" s="1439" t="str">
        <f aca="false">'Смета Внутр'!B284</f>
        <v>укладка утеплителя под отмостка</v>
      </c>
      <c r="C284" s="1439" t="str">
        <f aca="false">'Смета Внутр'!C284</f>
        <v>м2</v>
      </c>
      <c r="D284" s="1439" t="n">
        <f aca="false">'Смета Внутр'!D284</f>
        <v>0</v>
      </c>
      <c r="E284" s="1439"/>
      <c r="F284" s="1439" t="n">
        <f aca="false">'Смета Внутр'!E284</f>
        <v>200</v>
      </c>
      <c r="G284" s="1439" t="n">
        <f aca="false">'Смета Внутр'!H284</f>
        <v>0</v>
      </c>
      <c r="H284" s="1439"/>
      <c r="I284" s="1439" t="n">
        <f aca="false">IF(F284&lt;H284,F284*(D284-E284),0)+IF(H284=0,(D284-E284)*F284,0)+IF(H284&lt;F284,H284*(D284-E284),0)</f>
        <v>0</v>
      </c>
      <c r="J284" s="1439" t="n">
        <f aca="false">G284-I284</f>
        <v>0</v>
      </c>
    </row>
    <row r="285" customFormat="false" ht="15" hidden="false" customHeight="true" outlineLevel="0" collapsed="false">
      <c r="B285" s="1439" t="str">
        <f aca="false">'Смета Внутр'!B285</f>
        <v>укладка пленки</v>
      </c>
      <c r="C285" s="1439" t="str">
        <f aca="false">'Смета Внутр'!C285</f>
        <v>м2</v>
      </c>
      <c r="D285" s="1439" t="n">
        <f aca="false">'Смета Внутр'!D285</f>
        <v>64</v>
      </c>
      <c r="E285" s="1439"/>
      <c r="F285" s="1439" t="n">
        <f aca="false">'Смета Внутр'!E285</f>
        <v>10</v>
      </c>
      <c r="G285" s="1439" t="n">
        <f aca="false">'Смета Внутр'!H285</f>
        <v>0</v>
      </c>
      <c r="H285" s="1439"/>
      <c r="I285" s="1439" t="n">
        <f aca="false">IF(F285&lt;H285,F285*(D285-E285),0)+IF(H285=0,(D285-E285)*F285,0)+IF(H285&lt;F285,H285*(D285-E285),0)</f>
        <v>640</v>
      </c>
      <c r="J285" s="1439" t="n">
        <f aca="false">G285-I285</f>
        <v>-640</v>
      </c>
    </row>
    <row r="286" customFormat="false" ht="15" hidden="false" customHeight="true" outlineLevel="0" collapsed="false">
      <c r="B286" s="1439" t="str">
        <f aca="false">'Смета Внутр'!B286</f>
        <v>кладка сетки</v>
      </c>
      <c r="C286" s="1439" t="str">
        <f aca="false">'Смета Внутр'!C286</f>
        <v>м2</v>
      </c>
      <c r="D286" s="1439" t="n">
        <f aca="false">'Смета Внутр'!D286</f>
        <v>64</v>
      </c>
      <c r="E286" s="1439"/>
      <c r="F286" s="1439" t="n">
        <f aca="false">'Смета Внутр'!E286</f>
        <v>100</v>
      </c>
      <c r="G286" s="1439" t="n">
        <f aca="false">'Смета Внутр'!H286</f>
        <v>0</v>
      </c>
      <c r="H286" s="1439"/>
      <c r="I286" s="1439" t="n">
        <f aca="false">IF(F286&lt;H286,F286*(D286-E286),0)+IF(H286=0,(D286-E286)*F286,0)+IF(H286&lt;F286,H286*(D286-E286),0)</f>
        <v>6400</v>
      </c>
      <c r="J286" s="1439" t="n">
        <f aca="false">G286-I286</f>
        <v>-6400</v>
      </c>
    </row>
    <row r="287" customFormat="false" ht="15" hidden="false" customHeight="true" outlineLevel="0" collapsed="false">
      <c r="B287" s="1439" t="str">
        <f aca="false">'Смета Внутр'!B287</f>
        <v>укладка теп. Пола</v>
      </c>
      <c r="C287" s="1439" t="str">
        <f aca="false">'Смета Внутр'!C287</f>
        <v>м2</v>
      </c>
      <c r="D287" s="1439" t="n">
        <f aca="false">'Смета Внутр'!D287</f>
        <v>0</v>
      </c>
      <c r="E287" s="1439"/>
      <c r="F287" s="1439" t="n">
        <f aca="false">'Смета Внутр'!E287</f>
        <v>600</v>
      </c>
      <c r="G287" s="1439" t="n">
        <f aca="false">'Смета Внутр'!H287</f>
        <v>0</v>
      </c>
      <c r="H287" s="1439"/>
      <c r="I287" s="1439" t="n">
        <f aca="false">IF(F287&lt;H287,F287*(D287-E287),0)+IF(H287=0,(D287-E287)*F287,0)+IF(H287&lt;F287,H287*(D287-E287),0)</f>
        <v>0</v>
      </c>
      <c r="J287" s="1439" t="n">
        <f aca="false">G287-I287</f>
        <v>0</v>
      </c>
    </row>
    <row r="288" customFormat="false" ht="15" hidden="false" customHeight="true" outlineLevel="0" collapsed="false">
      <c r="B288" s="1439" t="str">
        <f aca="false">'Смета Внутр'!B288</f>
        <v>Заливка бетоном перекрытия/плиты</v>
      </c>
      <c r="C288" s="1439" t="str">
        <f aca="false">'Смета Внутр'!C288</f>
        <v>м2</v>
      </c>
      <c r="D288" s="1439" t="n">
        <f aca="false">'Смета Внутр'!D288</f>
        <v>64</v>
      </c>
      <c r="E288" s="1439"/>
      <c r="F288" s="1439" t="n">
        <f aca="false">'Смета Внутр'!E288</f>
        <v>350</v>
      </c>
      <c r="G288" s="1439" t="n">
        <f aca="false">'Смета Внутр'!H288</f>
        <v>0</v>
      </c>
      <c r="H288" s="1439"/>
      <c r="I288" s="1439" t="n">
        <f aca="false">IF(F288&lt;H288,F288*(D288-E288),0)+IF(H288=0,(D288-E288)*F288,0)+IF(H288&lt;F288,H288*(D288-E288),0)</f>
        <v>22400</v>
      </c>
      <c r="J288" s="1439" t="n">
        <f aca="false">G288-I288</f>
        <v>-22400</v>
      </c>
    </row>
    <row r="289" customFormat="false" ht="15" hidden="false" customHeight="true" outlineLevel="0" collapsed="false">
      <c r="B289" s="1439" t="str">
        <f aca="false">'Смета Внутр'!B289</f>
        <v>заливка бетоном отмостки</v>
      </c>
      <c r="C289" s="1439" t="str">
        <f aca="false">'Смета Внутр'!C289</f>
        <v>м2</v>
      </c>
      <c r="D289" s="1439" t="n">
        <f aca="false">'Смета Внутр'!D289</f>
        <v>0</v>
      </c>
      <c r="E289" s="1439"/>
      <c r="F289" s="1439" t="n">
        <f aca="false">'Смета Внутр'!E289</f>
        <v>500</v>
      </c>
      <c r="G289" s="1439" t="n">
        <f aca="false">'Смета Внутр'!H289</f>
        <v>0</v>
      </c>
      <c r="H289" s="1439"/>
      <c r="I289" s="1439" t="n">
        <f aca="false">IF(F289&lt;H289,F289*(D289-E289),0)+IF(H289=0,(D289-E289)*F289,0)+IF(H289&lt;F289,H289*(D289-E289),0)</f>
        <v>0</v>
      </c>
      <c r="J289" s="1439" t="n">
        <f aca="false">G289-I289</f>
        <v>0</v>
      </c>
    </row>
    <row r="290" customFormat="false" ht="15" hidden="false" customHeight="true" outlineLevel="0" collapsed="false">
      <c r="B290" s="1439" t="str">
        <f aca="false">'Смета Внутр'!B290</f>
        <v>армирование пол</v>
      </c>
      <c r="C290" s="1439" t="str">
        <f aca="false">'Смета Внутр'!C290</f>
        <v>м2</v>
      </c>
      <c r="D290" s="1439" t="n">
        <f aca="false">'Смета Внутр'!D290</f>
        <v>64</v>
      </c>
      <c r="E290" s="1439"/>
      <c r="F290" s="1439" t="n">
        <f aca="false">'Смета Внутр'!E290</f>
        <v>300</v>
      </c>
      <c r="G290" s="1439" t="n">
        <f aca="false">'Смета Внутр'!H290</f>
        <v>0</v>
      </c>
      <c r="H290" s="1439"/>
      <c r="I290" s="1439" t="n">
        <f aca="false">IF(F290&lt;H290,F290*(D290-E290),0)+IF(H290=0,(D290-E290)*F290,0)+IF(H290&lt;F290,H290*(D290-E290),0)</f>
        <v>19200</v>
      </c>
      <c r="J290" s="1439" t="n">
        <f aca="false">G290-I290</f>
        <v>-19200</v>
      </c>
    </row>
    <row r="291" customFormat="false" ht="15" hidden="false" customHeight="true" outlineLevel="0" collapsed="false">
      <c r="B291" s="1439" t="str">
        <f aca="false">'Смета Внутр'!B291</f>
        <v>армирование отмостки</v>
      </c>
      <c r="C291" s="1439" t="str">
        <f aca="false">'Смета Внутр'!C291</f>
        <v>м2</v>
      </c>
      <c r="D291" s="1439" t="n">
        <f aca="false">'Смета Внутр'!D291</f>
        <v>0</v>
      </c>
      <c r="E291" s="1439"/>
      <c r="F291" s="1439" t="n">
        <f aca="false">'Смета Внутр'!E291</f>
        <v>350</v>
      </c>
      <c r="G291" s="1439" t="n">
        <f aca="false">'Смета Внутр'!H291</f>
        <v>0</v>
      </c>
      <c r="H291" s="1439"/>
      <c r="I291" s="1439" t="n">
        <f aca="false">IF(F291&lt;H291,F291*(D291-E291),0)+IF(H291=0,(D291-E291)*F291,0)+IF(H291&lt;F291,H291*(D291-E291),0)</f>
        <v>0</v>
      </c>
      <c r="J291" s="1439" t="n">
        <f aca="false">G291-I291</f>
        <v>0</v>
      </c>
    </row>
    <row r="292" customFormat="false" ht="15" hidden="false" customHeight="true" outlineLevel="0" collapsed="false">
      <c r="B292" s="1439" t="str">
        <f aca="false">'Смета Внутр'!B292</f>
        <v>монтаж канализации</v>
      </c>
      <c r="C292" s="1439" t="str">
        <f aca="false">'Смета Внутр'!C292</f>
        <v>м.п.</v>
      </c>
      <c r="D292" s="1439" t="n">
        <f aca="false">'Смета Внутр'!D292</f>
        <v>10</v>
      </c>
      <c r="E292" s="1439"/>
      <c r="F292" s="1439" t="n">
        <f aca="false">'Смета Внутр'!E292</f>
        <v>200</v>
      </c>
      <c r="G292" s="1439" t="n">
        <f aca="false">'Смета Внутр'!H292</f>
        <v>0</v>
      </c>
      <c r="H292" s="1439"/>
      <c r="I292" s="1439" t="n">
        <f aca="false">IF(F292&lt;H292,F292*(D292-E292),0)+IF(H292=0,(D292-E292)*F292,0)+IF(H292&lt;F292,H292*(D292-E292),0)</f>
        <v>2000</v>
      </c>
      <c r="J292" s="1439" t="n">
        <f aca="false">G292-I292</f>
        <v>-2000</v>
      </c>
    </row>
    <row r="293" customFormat="false" ht="15" hidden="false" customHeight="true" outlineLevel="0" collapsed="false">
      <c r="B293" s="1439" t="str">
        <f aca="false">'Смета Внутр'!B293</f>
        <v>укладка геотекстиля</v>
      </c>
      <c r="C293" s="1439" t="str">
        <f aca="false">'Смета Внутр'!C293</f>
        <v>м2</v>
      </c>
      <c r="D293" s="1439" t="n">
        <f aca="false">'Смета Внутр'!D293</f>
        <v>64</v>
      </c>
      <c r="E293" s="1439"/>
      <c r="F293" s="1439" t="n">
        <f aca="false">'Смета Внутр'!E293</f>
        <v>200</v>
      </c>
      <c r="G293" s="1439" t="n">
        <f aca="false">'Смета Внутр'!H293</f>
        <v>0</v>
      </c>
      <c r="H293" s="1439"/>
      <c r="I293" s="1439" t="n">
        <f aca="false">IF(F293&lt;H293,F293*(D293-E293),0)+IF(H293=0,(D293-E293)*F293,0)+IF(H293&lt;F293,H293*(D293-E293),0)</f>
        <v>12800</v>
      </c>
      <c r="J293" s="1439" t="n">
        <f aca="false">G293-I293</f>
        <v>-12800</v>
      </c>
    </row>
    <row r="294" customFormat="false" ht="15" hidden="false" customHeight="true" outlineLevel="0" collapsed="false">
      <c r="B294" s="1439" t="str">
        <f aca="false">'Смета Внутр'!B294</f>
        <v>укладка дренажа</v>
      </c>
      <c r="C294" s="1439" t="str">
        <f aca="false">'Смета Внутр'!C294</f>
        <v>м2</v>
      </c>
      <c r="D294" s="1439" t="n">
        <f aca="false">'Смета Внутр'!D294</f>
        <v>53</v>
      </c>
      <c r="E294" s="1439"/>
      <c r="F294" s="1439" t="n">
        <f aca="false">'Смета Внутр'!E294</f>
        <v>200</v>
      </c>
      <c r="G294" s="1439" t="n">
        <f aca="false">'Смета Внутр'!H294</f>
        <v>0</v>
      </c>
      <c r="H294" s="1439"/>
      <c r="I294" s="1439" t="n">
        <f aca="false">IF(F294&lt;H294,F294*(D294-E294),0)+IF(H294=0,(D294-E294)*F294,0)+IF(H294&lt;F294,H294*(D294-E294),0)</f>
        <v>10600</v>
      </c>
      <c r="J294" s="1439" t="n">
        <f aca="false">G294-I294</f>
        <v>-10600</v>
      </c>
    </row>
    <row r="295" customFormat="false" ht="15" hidden="false" customHeight="true" outlineLevel="0" collapsed="false">
      <c r="B295" s="1439" t="str">
        <f aca="false">'Смета Внутр'!B295</f>
        <v>монтаж дренажного колодца</v>
      </c>
      <c r="C295" s="1439" t="str">
        <f aca="false">'Смета Внутр'!C295</f>
        <v>шт</v>
      </c>
      <c r="D295" s="1439" t="n">
        <f aca="false">'Смета Внутр'!D295</f>
        <v>6</v>
      </c>
      <c r="E295" s="1439"/>
      <c r="F295" s="1439" t="n">
        <f aca="false">'Смета Внутр'!E295</f>
        <v>300</v>
      </c>
      <c r="G295" s="1439" t="n">
        <f aca="false">'Смета Внутр'!H295</f>
        <v>0</v>
      </c>
      <c r="H295" s="1439"/>
      <c r="I295" s="1439" t="n">
        <f aca="false">IF(F295&lt;H295,F295*(D295-E295),0)+IF(H295=0,(D295-E295)*F295,0)+IF(H295&lt;F295,H295*(D295-E295),0)</f>
        <v>1800</v>
      </c>
      <c r="J295" s="1439" t="n">
        <f aca="false">G295-I295</f>
        <v>-1800</v>
      </c>
    </row>
    <row r="296" customFormat="false" ht="15" hidden="false" customHeight="false" outlineLevel="0" collapsed="false">
      <c r="B296" s="1692" t="s">
        <v>4333</v>
      </c>
      <c r="C296" s="1692"/>
      <c r="D296" s="1692"/>
      <c r="E296" s="1692"/>
      <c r="F296" s="1692"/>
      <c r="G296" s="1439" t="n">
        <f aca="false">'Смета Внутр'!H296</f>
        <v>0</v>
      </c>
      <c r="H296" s="3181"/>
      <c r="I296" s="1439"/>
      <c r="J296" s="1439"/>
    </row>
    <row r="297" customFormat="false" ht="15" hidden="false" customHeight="true" outlineLevel="0" collapsed="false">
      <c r="B297" s="3172" t="str">
        <f aca="false">'Смета Внутр'!B297</f>
        <v>Сип-Панели</v>
      </c>
      <c r="C297" s="3172"/>
      <c r="D297" s="3172"/>
      <c r="E297" s="3172"/>
      <c r="F297" s="3172"/>
      <c r="G297" s="3173" t="n">
        <f aca="false">'Смета Внутр'!H297</f>
        <v>0</v>
      </c>
      <c r="H297" s="3173"/>
      <c r="I297" s="3180" t="n">
        <f aca="false">IF(F297&lt;H297,F297*(D297-E297),0)+IF(H297=0,(D297-E297)*F297,0)+IF(H297&lt;F297,H297*(D297-E297),0)</f>
        <v>0</v>
      </c>
      <c r="J297" s="3180" t="n">
        <f aca="false">G297-I297</f>
        <v>0</v>
      </c>
    </row>
    <row r="298" customFormat="false" ht="15" hidden="false" customHeight="true" outlineLevel="0" collapsed="false">
      <c r="B298" s="1268" t="str">
        <f aca="false">'Смета Внутр'!B298</f>
        <v>Материалы</v>
      </c>
      <c r="C298" s="1268"/>
      <c r="D298" s="1268"/>
      <c r="E298" s="1268"/>
      <c r="F298" s="1268"/>
      <c r="G298" s="3173" t="n">
        <f aca="false">'Смета Внутр'!H298</f>
        <v>0</v>
      </c>
      <c r="H298" s="3182"/>
      <c r="I298" s="3180" t="n">
        <f aca="false">IF(F298&lt;H298,F298*(D298-E298),0)+IF(H298=0,(D298-E298)*F298,0)+IF(H298&lt;F298,H298*(D298-E298),0)</f>
        <v>0</v>
      </c>
      <c r="J298" s="3180" t="n">
        <f aca="false">G298-I298</f>
        <v>0</v>
      </c>
    </row>
    <row r="299" customFormat="false" ht="15" hidden="false" customHeight="true" outlineLevel="0" collapsed="false">
      <c r="B299" s="1439" t="str">
        <f aca="false">'Смета Внутр'!B299</f>
        <v>Доска сухая калиброванная, 190*45мм</v>
      </c>
      <c r="C299" s="1439" t="str">
        <f aca="false">'Смета Внутр'!C299</f>
        <v>м3</v>
      </c>
      <c r="D299" s="1439" t="n">
        <f aca="false">'Смета Внутр'!D299</f>
        <v>0.790875</v>
      </c>
      <c r="E299" s="1439"/>
      <c r="F299" s="1439" t="n">
        <f aca="false">'Смета Внутр'!E299</f>
        <v>12500</v>
      </c>
      <c r="G299" s="1439" t="n">
        <f aca="false">'Смета Внутр'!H299</f>
        <v>0</v>
      </c>
      <c r="H299" s="1439"/>
      <c r="I299" s="1439" t="n">
        <f aca="false">IF(F299&lt;H299,F299*(D299-E299),0)+IF(H299=0,(D299-E299)*F299,0)+IF(H299&lt;F299,H299*(D299-E299),0)</f>
        <v>9885.9375</v>
      </c>
      <c r="J299" s="1439" t="n">
        <f aca="false">G299-I299</f>
        <v>-9885.9375</v>
      </c>
    </row>
    <row r="300" customFormat="false" ht="15" hidden="false" customHeight="true" outlineLevel="0" collapsed="false">
      <c r="B300" s="1439" t="str">
        <f aca="false">'Смета Внутр'!B300</f>
        <v>обработка мастикой</v>
      </c>
      <c r="C300" s="1439" t="str">
        <f aca="false">'Смета Внутр'!C300</f>
        <v>л</v>
      </c>
      <c r="D300" s="1439" t="n">
        <f aca="false">'Смета Внутр'!D300</f>
        <v>5.536125</v>
      </c>
      <c r="E300" s="1439"/>
      <c r="F300" s="1439" t="n">
        <f aca="false">'Смета Внутр'!E300</f>
        <v>60</v>
      </c>
      <c r="G300" s="1439" t="n">
        <f aca="false">'Смета Внутр'!H300</f>
        <v>0</v>
      </c>
      <c r="H300" s="1439"/>
      <c r="I300" s="1439" t="n">
        <f aca="false">IF(F300&lt;H300,F300*(D300-E300),0)+IF(H300=0,(D300-E300)*F300,0)+IF(H300&lt;F300,H300*(D300-E300),0)</f>
        <v>332.1675</v>
      </c>
      <c r="J300" s="1439" t="n">
        <f aca="false">G300-I300</f>
        <v>-332.1675</v>
      </c>
    </row>
    <row r="301" customFormat="false" ht="15" hidden="false" customHeight="true" outlineLevel="0" collapsed="false">
      <c r="B301" s="1439" t="str">
        <f aca="false">'Смета Внутр'!B301</f>
        <v>Sip панель 2800*1250*174мм</v>
      </c>
      <c r="C301" s="1439" t="str">
        <f aca="false">'Смета Внутр'!C301</f>
        <v>м2</v>
      </c>
      <c r="D301" s="1439" t="n">
        <f aca="false">'Смета Внутр'!D301</f>
        <v>-2.64</v>
      </c>
      <c r="E301" s="1439"/>
      <c r="F301" s="1439" t="n">
        <f aca="false">'Смета Внутр'!E301</f>
        <v>1200</v>
      </c>
      <c r="G301" s="1439" t="n">
        <f aca="false">'Смета Внутр'!H301</f>
        <v>0</v>
      </c>
      <c r="H301" s="1439"/>
      <c r="I301" s="1439" t="n">
        <f aca="false">IF(F301&lt;H301,F301*(D301-E301),0)+IF(H301=0,(D301-E301)*F301,0)+IF(H301&lt;F301,H301*(D301-E301),0)</f>
        <v>-3168</v>
      </c>
      <c r="J301" s="1439" t="n">
        <f aca="false">G301-I301</f>
        <v>3168</v>
      </c>
    </row>
    <row r="302" customFormat="false" ht="15" hidden="false" customHeight="true" outlineLevel="0" collapsed="false">
      <c r="B302" s="1439" t="str">
        <f aca="false">'Смета Внутр'!B302</f>
        <v>Sip панель 2800*1250*174мм</v>
      </c>
      <c r="C302" s="1439" t="str">
        <f aca="false">'Смета Внутр'!C302</f>
        <v>м2</v>
      </c>
      <c r="D302" s="1439" t="n">
        <f aca="false">'Смета Внутр'!D302</f>
        <v>0</v>
      </c>
      <c r="E302" s="1439"/>
      <c r="F302" s="1439" t="n">
        <f aca="false">'Смета Внутр'!E302</f>
        <v>1200</v>
      </c>
      <c r="G302" s="1439" t="n">
        <f aca="false">'Смета Внутр'!H302</f>
        <v>0</v>
      </c>
      <c r="H302" s="1439"/>
      <c r="I302" s="1439" t="n">
        <f aca="false">IF(F302&lt;H302,F302*(D302-E302),0)+IF(H302=0,(D302-E302)*F302,0)+IF(H302&lt;F302,H302*(D302-E302),0)</f>
        <v>0</v>
      </c>
      <c r="J302" s="1439" t="n">
        <f aca="false">G302-I302</f>
        <v>0</v>
      </c>
    </row>
    <row r="303" customFormat="false" ht="15" hidden="false" customHeight="true" outlineLevel="0" collapsed="false">
      <c r="B303" s="1439" t="str">
        <f aca="false">'Смета Внутр'!B303</f>
        <v>Sip панель 2800*1250*124мм</v>
      </c>
      <c r="C303" s="1439" t="str">
        <f aca="false">'Смета Внутр'!C303</f>
        <v>м2</v>
      </c>
      <c r="D303" s="1439" t="n">
        <f aca="false">'Смета Внутр'!D303</f>
        <v>0</v>
      </c>
      <c r="E303" s="1439"/>
      <c r="F303" s="1439" t="n">
        <f aca="false">'Смета Внутр'!E303</f>
        <v>800</v>
      </c>
      <c r="G303" s="1439" t="n">
        <f aca="false">'Смета Внутр'!H303</f>
        <v>0</v>
      </c>
      <c r="H303" s="1439"/>
      <c r="I303" s="1439" t="n">
        <f aca="false">IF(F303&lt;H303,F303*(D303-E303),0)+IF(H303=0,(D303-E303)*F303,0)+IF(H303&lt;F303,H303*(D303-E303),0)</f>
        <v>0</v>
      </c>
      <c r="J303" s="1439" t="n">
        <f aca="false">G303-I303</f>
        <v>0</v>
      </c>
    </row>
    <row r="304" customFormat="false" ht="15" hidden="false" customHeight="true" outlineLevel="0" collapsed="false">
      <c r="B304" s="1439" t="str">
        <f aca="false">'Смета Внутр'!B304</f>
        <v>Болты анкерные с гайкой 12,0 х 280          </v>
      </c>
      <c r="C304" s="1439" t="str">
        <f aca="false">'Смета Внутр'!C304</f>
        <v>шт</v>
      </c>
      <c r="D304" s="1439" t="n">
        <f aca="false">'Смета Внутр'!D304</f>
        <v>96</v>
      </c>
      <c r="E304" s="1439"/>
      <c r="F304" s="1439" t="n">
        <f aca="false">'Смета Внутр'!E304</f>
        <v>27.1</v>
      </c>
      <c r="G304" s="1439" t="n">
        <f aca="false">'Смета Внутр'!H304</f>
        <v>0</v>
      </c>
      <c r="H304" s="1439"/>
      <c r="I304" s="1439" t="n">
        <f aca="false">IF(F304&lt;H304,F304*(D304-E304),0)+IF(H304=0,(D304-E304)*F304,0)+IF(H304&lt;F304,H304*(D304-E304),0)</f>
        <v>2601.6</v>
      </c>
      <c r="J304" s="1439" t="n">
        <f aca="false">G304-I304</f>
        <v>-2601.6</v>
      </c>
    </row>
    <row r="305" customFormat="false" ht="15" hidden="false" customHeight="true" outlineLevel="0" collapsed="false">
      <c r="B305" s="1439" t="str">
        <f aca="false">'Смета Внутр'!B305</f>
        <v>обвязка наружние стены верх низ</v>
      </c>
      <c r="C305" s="1439" t="str">
        <f aca="false">'Смета Внутр'!C305</f>
        <v>м3</v>
      </c>
      <c r="D305" s="1439" t="n">
        <f aca="false">'Смета Внутр'!D305</f>
        <v>0.96</v>
      </c>
      <c r="E305" s="1439"/>
      <c r="F305" s="1439" t="n">
        <f aca="false">'Смета Внутр'!E305</f>
        <v>9000</v>
      </c>
      <c r="G305" s="1439" t="n">
        <f aca="false">'Смета Внутр'!H305</f>
        <v>0</v>
      </c>
      <c r="H305" s="1439"/>
      <c r="I305" s="1439" t="n">
        <f aca="false">IF(F305&lt;H305,F305*(D305-E305),0)+IF(H305=0,(D305-E305)*F305,0)+IF(H305&lt;F305,H305*(D305-E305),0)</f>
        <v>8640</v>
      </c>
      <c r="J305" s="1439" t="n">
        <f aca="false">G305-I305</f>
        <v>-8640</v>
      </c>
    </row>
    <row r="306" customFormat="false" ht="15" hidden="false" customHeight="true" outlineLevel="0" collapsed="false">
      <c r="B306" s="1439" t="str">
        <f aca="false">'Смета Внутр'!B306</f>
        <v>обвязка несущие перегородки верх низ</v>
      </c>
      <c r="C306" s="1439" t="str">
        <f aca="false">'Смета Внутр'!C306</f>
        <v>м3</v>
      </c>
      <c r="D306" s="1439" t="n">
        <f aca="false">'Смета Внутр'!D306</f>
        <v>0.4275</v>
      </c>
      <c r="E306" s="1439"/>
      <c r="F306" s="1439" t="n">
        <f aca="false">'Смета Внутр'!E306</f>
        <v>9000</v>
      </c>
      <c r="G306" s="1439" t="n">
        <f aca="false">'Смета Внутр'!H306</f>
        <v>0</v>
      </c>
      <c r="H306" s="1439"/>
      <c r="I306" s="1439" t="n">
        <f aca="false">IF(F306&lt;H306,F306*(D306-E306),0)+IF(H306=0,(D306-E306)*F306,0)+IF(H306&lt;F306,H306*(D306-E306),0)</f>
        <v>3847.5</v>
      </c>
      <c r="J306" s="1439" t="n">
        <f aca="false">G306-I306</f>
        <v>-3847.5</v>
      </c>
    </row>
    <row r="307" customFormat="false" ht="15" hidden="false" customHeight="true" outlineLevel="0" collapsed="false">
      <c r="B307" s="1439" t="str">
        <f aca="false">'Смета Внутр'!B307</f>
        <v>обвязка несущие перегородки верх низ</v>
      </c>
      <c r="C307" s="1439" t="str">
        <f aca="false">'Смета Внутр'!C307</f>
        <v>м3</v>
      </c>
      <c r="D307" s="1439" t="n">
        <f aca="false">'Смета Внутр'!D307</f>
        <v>0.117</v>
      </c>
      <c r="E307" s="1439"/>
      <c r="F307" s="1439" t="n">
        <f aca="false">'Смета Внутр'!E307</f>
        <v>9000</v>
      </c>
      <c r="G307" s="1439" t="n">
        <f aca="false">'Смета Внутр'!H307</f>
        <v>0</v>
      </c>
      <c r="H307" s="1439"/>
      <c r="I307" s="1439" t="n">
        <f aca="false">IF(F307&lt;H307,F307*(D307-E307),0)+IF(H307=0,(D307-E307)*F307,0)+IF(H307&lt;F307,H307*(D307-E307),0)</f>
        <v>1053</v>
      </c>
      <c r="J307" s="1439" t="n">
        <f aca="false">G307-I307</f>
        <v>-1053</v>
      </c>
    </row>
    <row r="308" customFormat="false" ht="15" hidden="false" customHeight="true" outlineLevel="0" collapsed="false">
      <c r="B308" s="1439" t="str">
        <f aca="false">'Смета Внутр'!B308</f>
        <v>стойки наружние стены</v>
      </c>
      <c r="C308" s="1439" t="str">
        <f aca="false">'Смета Внутр'!C308</f>
        <v>м3</v>
      </c>
      <c r="D308" s="1439" t="n">
        <f aca="false">'Смета Внутр'!D308</f>
        <v>0</v>
      </c>
      <c r="E308" s="1439"/>
      <c r="F308" s="1439" t="n">
        <f aca="false">'Смета Внутр'!E308</f>
        <v>9000</v>
      </c>
      <c r="G308" s="1439" t="n">
        <f aca="false">'Смета Внутр'!H308</f>
        <v>0</v>
      </c>
      <c r="H308" s="1439"/>
      <c r="I308" s="1439" t="n">
        <f aca="false">IF(F308&lt;H308,F308*(D308-E308),0)+IF(H308=0,(D308-E308)*F308,0)+IF(H308&lt;F308,H308*(D308-E308),0)</f>
        <v>0</v>
      </c>
      <c r="J308" s="1439" t="n">
        <f aca="false">G308-I308</f>
        <v>0</v>
      </c>
    </row>
    <row r="309" customFormat="false" ht="15" hidden="false" customHeight="true" outlineLevel="0" collapsed="false">
      <c r="B309" s="1439" t="str">
        <f aca="false">'Смета Внутр'!B309</f>
        <v>стойки перегородки несущие</v>
      </c>
      <c r="C309" s="1439" t="str">
        <f aca="false">'Смета Внутр'!C309</f>
        <v>м3</v>
      </c>
      <c r="D309" s="1439" t="n">
        <f aca="false">'Смета Внутр'!D309</f>
        <v>0</v>
      </c>
      <c r="E309" s="1439"/>
      <c r="F309" s="1439" t="n">
        <f aca="false">'Смета Внутр'!E309</f>
        <v>9000</v>
      </c>
      <c r="G309" s="1439" t="n">
        <f aca="false">'Смета Внутр'!H309</f>
        <v>0</v>
      </c>
      <c r="H309" s="1439"/>
      <c r="I309" s="1439" t="n">
        <f aca="false">IF(F309&lt;H309,F309*(D309-E309),0)+IF(H309=0,(D309-E309)*F309,0)+IF(H309&lt;F309,H309*(D309-E309),0)</f>
        <v>0</v>
      </c>
      <c r="J309" s="1439" t="n">
        <f aca="false">G309-I309</f>
        <v>0</v>
      </c>
    </row>
    <row r="310" customFormat="false" ht="15" hidden="false" customHeight="true" outlineLevel="0" collapsed="false">
      <c r="B310" s="1439" t="str">
        <f aca="false">'Смета Внутр'!B310</f>
        <v>Стойки перегородки простые</v>
      </c>
      <c r="C310" s="1439" t="str">
        <f aca="false">'Смета Внутр'!C310</f>
        <v>м3</v>
      </c>
      <c r="D310" s="1439" t="n">
        <f aca="false">'Смета Внутр'!D310</f>
        <v>0</v>
      </c>
      <c r="E310" s="1439"/>
      <c r="F310" s="1439" t="n">
        <f aca="false">'Смета Внутр'!E310</f>
        <v>9000</v>
      </c>
      <c r="G310" s="1439" t="n">
        <f aca="false">'Смета Внутр'!H310</f>
        <v>0</v>
      </c>
      <c r="H310" s="1439"/>
      <c r="I310" s="1439" t="n">
        <f aca="false">IF(F310&lt;H310,F310*(D310-E310),0)+IF(H310=0,(D310-E310)*F310,0)+IF(H310&lt;F310,H310*(D310-E310),0)</f>
        <v>0</v>
      </c>
      <c r="J310" s="1439" t="n">
        <f aca="false">G310-I310</f>
        <v>0</v>
      </c>
    </row>
    <row r="311" customFormat="false" ht="15" hidden="false" customHeight="true" outlineLevel="0" collapsed="false">
      <c r="B311" s="1439" t="str">
        <f aca="false">'Смета Внутр'!B311</f>
        <v>брус, обвязка кровли, сип панели</v>
      </c>
      <c r="C311" s="1439" t="str">
        <f aca="false">'Смета Внутр'!C311</f>
        <v>м3</v>
      </c>
      <c r="D311" s="1439" t="n">
        <f aca="false">'Смета Внутр'!D311</f>
        <v>-0.276509716980849</v>
      </c>
      <c r="E311" s="1439"/>
      <c r="F311" s="1439" t="n">
        <f aca="false">'Смета Внутр'!E311</f>
        <v>0</v>
      </c>
      <c r="G311" s="1439" t="n">
        <f aca="false">'Смета Внутр'!H311</f>
        <v>0</v>
      </c>
      <c r="H311" s="1439"/>
      <c r="I311" s="1439" t="n">
        <f aca="false">IF(F311&lt;H311,F311*(D311-E311),0)+IF(H311=0,(D311-E311)*F311,0)+IF(H311&lt;F311,H311*(D311-E311),0)</f>
        <v>0</v>
      </c>
      <c r="J311" s="1439" t="n">
        <f aca="false">G311-I311</f>
        <v>0</v>
      </c>
    </row>
    <row r="312" customFormat="false" ht="15" hidden="false" customHeight="true" outlineLevel="0" collapsed="false">
      <c r="B312" s="1439" t="str">
        <f aca="false">'Смета Внутр'!B312</f>
        <v>торцевая доска, кровля, сип панели</v>
      </c>
      <c r="C312" s="1439" t="str">
        <f aca="false">'Смета Внутр'!C312</f>
        <v>м3</v>
      </c>
      <c r="D312" s="1439" t="n">
        <f aca="false">'Смета Внутр'!D312</f>
        <v>0.276509716980849</v>
      </c>
      <c r="E312" s="1439"/>
      <c r="F312" s="1439" t="n">
        <f aca="false">'Смета Внутр'!E312</f>
        <v>0</v>
      </c>
      <c r="G312" s="1439" t="n">
        <f aca="false">'Смета Внутр'!H312</f>
        <v>0</v>
      </c>
      <c r="H312" s="1439"/>
      <c r="I312" s="1439" t="n">
        <f aca="false">IF(F312&lt;H312,F312*(D312-E312),0)+IF(H312=0,(D312-E312)*F312,0)+IF(H312&lt;F312,H312*(D312-E312),0)</f>
        <v>0</v>
      </c>
      <c r="J312" s="1439" t="n">
        <f aca="false">G312-I312</f>
        <v>0</v>
      </c>
    </row>
    <row r="313" customFormat="false" ht="15" hidden="false" customHeight="true" outlineLevel="0" collapsed="false">
      <c r="B313" s="1439" t="str">
        <f aca="false">'Смета Внутр'!B313</f>
        <v>Нет </v>
      </c>
      <c r="C313" s="1439" t="str">
        <f aca="false">'Смета Внутр'!C313</f>
        <v>м2</v>
      </c>
      <c r="D313" s="1439" t="n">
        <f aca="false">'Смета Внутр'!D313</f>
        <v>105.780913567754</v>
      </c>
      <c r="E313" s="1439"/>
      <c r="F313" s="1439" t="n">
        <f aca="false">'Смета Внутр'!E313</f>
        <v>0</v>
      </c>
      <c r="G313" s="1439" t="n">
        <f aca="false">'Смета Внутр'!H313</f>
        <v>0</v>
      </c>
      <c r="H313" s="1439"/>
      <c r="I313" s="1439" t="n">
        <f aca="false">IF(F313&lt;H313,F313*(D313-E313),0)+IF(H313=0,(D313-E313)*F313,0)+IF(H313&lt;F313,H313*(D313-E313),0)</f>
        <v>0</v>
      </c>
      <c r="J313" s="1439" t="n">
        <f aca="false">G313-I313</f>
        <v>0</v>
      </c>
    </row>
    <row r="314" customFormat="false" ht="15" hidden="false" customHeight="true" outlineLevel="0" collapsed="false">
      <c r="B314" s="1439" t="str">
        <f aca="false">'Смета Внутр'!B314</f>
        <v>Пена монтажная, всесезонняя 800мл</v>
      </c>
      <c r="C314" s="1439" t="str">
        <f aca="false">'Смета Внутр'!C314</f>
        <v>шт</v>
      </c>
      <c r="D314" s="1439" t="n">
        <f aca="false">'Смета Внутр'!D314</f>
        <v>12.8</v>
      </c>
      <c r="E314" s="1439"/>
      <c r="F314" s="1439" t="n">
        <f aca="false">'Смета Внутр'!E314</f>
        <v>300</v>
      </c>
      <c r="G314" s="1439" t="n">
        <f aca="false">'Смета Внутр'!H314</f>
        <v>0</v>
      </c>
      <c r="H314" s="1439"/>
      <c r="I314" s="1439" t="n">
        <f aca="false">IF(F314&lt;H314,F314*(D314-E314),0)+IF(H314=0,(D314-E314)*F314,0)+IF(H314&lt;F314,H314*(D314-E314),0)</f>
        <v>3840</v>
      </c>
      <c r="J314" s="1439" t="n">
        <f aca="false">G314-I314</f>
        <v>-3840</v>
      </c>
    </row>
    <row r="315" customFormat="false" ht="15" hidden="false" customHeight="true" outlineLevel="0" collapsed="false">
      <c r="B315" s="1439" t="str">
        <f aca="false">'Смета Внутр'!B315</f>
        <v>Саморезы 3,5 x 55            </v>
      </c>
      <c r="C315" s="1439" t="str">
        <f aca="false">'Смета Внутр'!C315</f>
        <v>кг</v>
      </c>
      <c r="D315" s="1439" t="n">
        <f aca="false">'Смета Внутр'!D315</f>
        <v>11.3187275711836</v>
      </c>
      <c r="E315" s="1439"/>
      <c r="F315" s="1439" t="n">
        <f aca="false">'Смета Внутр'!E315</f>
        <v>105.62</v>
      </c>
      <c r="G315" s="1439" t="n">
        <f aca="false">'Смета Внутр'!H315</f>
        <v>0</v>
      </c>
      <c r="H315" s="1439"/>
      <c r="I315" s="1439" t="n">
        <f aca="false">IF(F315&lt;H315,F315*(D315-E315),0)+IF(H315=0,(D315-E315)*F315,0)+IF(H315&lt;F315,H315*(D315-E315),0)</f>
        <v>1195.48400606841</v>
      </c>
      <c r="J315" s="1439" t="n">
        <f aca="false">G315-I315</f>
        <v>-1195.48400606841</v>
      </c>
    </row>
    <row r="316" customFormat="false" ht="15" hidden="false" customHeight="true" outlineLevel="0" collapsed="false">
      <c r="B316" s="1439" t="str">
        <f aca="false">'Смета Внутр'!B316</f>
        <v>Саморезы 4,2 x 90            </v>
      </c>
      <c r="C316" s="1439" t="str">
        <f aca="false">'Смета Внутр'!C316</f>
        <v>шт</v>
      </c>
      <c r="D316" s="1439" t="n">
        <f aca="false">'Смета Внутр'!D316</f>
        <v>11.3187275711836</v>
      </c>
      <c r="E316" s="1439"/>
      <c r="F316" s="1439" t="n">
        <f aca="false">'Смета Внутр'!E316</f>
        <v>107.62</v>
      </c>
      <c r="G316" s="1439" t="n">
        <f aca="false">'Смета Внутр'!H316</f>
        <v>0</v>
      </c>
      <c r="H316" s="1439"/>
      <c r="I316" s="1439" t="n">
        <f aca="false">IF(F316&lt;H316,F316*(D316-E316),0)+IF(H316=0,(D316-E316)*F316,0)+IF(H316&lt;F316,H316*(D316-E316),0)</f>
        <v>1218.12146121078</v>
      </c>
      <c r="J316" s="1439" t="n">
        <f aca="false">G316-I316</f>
        <v>-1218.12146121078</v>
      </c>
    </row>
    <row r="317" customFormat="false" ht="15" hidden="false" customHeight="true" outlineLevel="0" collapsed="false">
      <c r="B317" s="1692" t="s">
        <v>4332</v>
      </c>
      <c r="C317" s="1692"/>
      <c r="D317" s="1692"/>
      <c r="E317" s="1692"/>
      <c r="F317" s="1692"/>
      <c r="G317" s="1439" t="n">
        <f aca="false">'Смета Внутр'!H317</f>
        <v>0</v>
      </c>
      <c r="H317" s="3181"/>
      <c r="I317" s="1439"/>
      <c r="J317" s="1439"/>
    </row>
    <row r="318" customFormat="false" ht="15" hidden="false" customHeight="true" outlineLevel="0" collapsed="false">
      <c r="B318" s="1268" t="str">
        <f aca="false">'Смета Внутр'!B318</f>
        <v>Работы</v>
      </c>
      <c r="C318" s="1268"/>
      <c r="D318" s="1268"/>
      <c r="E318" s="1268"/>
      <c r="F318" s="1268"/>
      <c r="G318" s="3173" t="n">
        <f aca="false">'Смета Внутр'!H318</f>
        <v>0</v>
      </c>
      <c r="H318" s="3182"/>
      <c r="I318" s="3180" t="n">
        <f aca="false">IF(F318&lt;H318,F318*(D318-E318),0)+IF(H318=0,(D318-E318)*F318,0)+IF(H318&lt;F318,H318*(D318-E318),0)</f>
        <v>0</v>
      </c>
      <c r="J318" s="3180" t="n">
        <f aca="false">G318-I318</f>
        <v>0</v>
      </c>
    </row>
    <row r="319" customFormat="false" ht="15" hidden="false" customHeight="true" outlineLevel="0" collapsed="false">
      <c r="B319" s="1439" t="str">
        <f aca="false">'Смета Внутр'!B319</f>
        <v>монтаж обвязочного бруса</v>
      </c>
      <c r="C319" s="1439" t="str">
        <f aca="false">'Смета Внутр'!C319</f>
        <v>м.п.</v>
      </c>
      <c r="D319" s="1439" t="n">
        <f aca="false">'Смета Внутр'!D319</f>
        <v>48</v>
      </c>
      <c r="E319" s="1439"/>
      <c r="F319" s="1439" t="n">
        <f aca="false">'Смета Внутр'!E319</f>
        <v>200</v>
      </c>
      <c r="G319" s="1439" t="n">
        <f aca="false">'Смета Внутр'!H319</f>
        <v>0</v>
      </c>
      <c r="H319" s="1439"/>
      <c r="I319" s="1439" t="n">
        <f aca="false">IF(F319&lt;H319,F319*(D319-E319),0)+IF(H319=0,(D319-E319)*F319,0)+IF(H319&lt;F319,H319*(D319-E319),0)</f>
        <v>9600</v>
      </c>
      <c r="J319" s="1439" t="n">
        <f aca="false">G319-I319</f>
        <v>-9600</v>
      </c>
    </row>
    <row r="320" customFormat="false" ht="15" hidden="false" customHeight="true" outlineLevel="0" collapsed="false">
      <c r="B320" s="1439" t="str">
        <f aca="false">'Смета Внутр'!B320</f>
        <v>обработка мастикой</v>
      </c>
      <c r="C320" s="1439" t="str">
        <f aca="false">'Смета Внутр'!C320</f>
        <v>м.п.</v>
      </c>
      <c r="D320" s="1439" t="n">
        <f aca="false">'Смета Внутр'!D320</f>
        <v>48</v>
      </c>
      <c r="E320" s="1439"/>
      <c r="F320" s="1439" t="n">
        <f aca="false">'Смета Внутр'!E320</f>
        <v>200</v>
      </c>
      <c r="G320" s="1439" t="n">
        <f aca="false">'Смета Внутр'!H320</f>
        <v>0</v>
      </c>
      <c r="H320" s="1439"/>
      <c r="I320" s="1439" t="n">
        <f aca="false">IF(F320&lt;H320,F320*(D320-E320),0)+IF(H320=0,(D320-E320)*F320,0)+IF(H320&lt;F320,H320*(D320-E320),0)</f>
        <v>9600</v>
      </c>
      <c r="J320" s="1439" t="n">
        <f aca="false">G320-I320</f>
        <v>-9600</v>
      </c>
    </row>
    <row r="321" customFormat="false" ht="15" hidden="false" customHeight="true" outlineLevel="0" collapsed="false">
      <c r="B321" s="1439" t="str">
        <f aca="false">'Смета Внутр'!B321</f>
        <v>монтаж наружних стен сиппанели</v>
      </c>
      <c r="C321" s="1439" t="str">
        <f aca="false">'Смета Внутр'!C321</f>
        <v>м2</v>
      </c>
      <c r="D321" s="1439" t="n">
        <f aca="false">'Смета Внутр'!D321</f>
        <v>0</v>
      </c>
      <c r="E321" s="1439"/>
      <c r="F321" s="1439" t="n">
        <f aca="false">'Смета Внутр'!E321</f>
        <v>400</v>
      </c>
      <c r="G321" s="1439" t="n">
        <f aca="false">'Смета Внутр'!H321</f>
        <v>0</v>
      </c>
      <c r="H321" s="1439"/>
      <c r="I321" s="1439" t="n">
        <f aca="false">IF(F321&lt;H321,F321*(D321-E321),0)+IF(H321=0,(D321-E321)*F321,0)+IF(H321&lt;F321,H321*(D321-E321),0)</f>
        <v>0</v>
      </c>
      <c r="J321" s="1439" t="n">
        <f aca="false">G321-I321</f>
        <v>0</v>
      </c>
    </row>
    <row r="322" customFormat="false" ht="15" hidden="false" customHeight="true" outlineLevel="0" collapsed="false">
      <c r="B322" s="1439" t="str">
        <f aca="false">'Смета Внутр'!B322</f>
        <v>Монтаж несущих перегородок сип панели</v>
      </c>
      <c r="C322" s="1439" t="str">
        <f aca="false">'Смета Внутр'!C322</f>
        <v>м2</v>
      </c>
      <c r="D322" s="1439" t="n">
        <f aca="false">'Смета Внутр'!D322</f>
        <v>0</v>
      </c>
      <c r="E322" s="1439"/>
      <c r="F322" s="1439" t="n">
        <f aca="false">'Смета Внутр'!E322</f>
        <v>400</v>
      </c>
      <c r="G322" s="1439" t="n">
        <f aca="false">'Смета Внутр'!H322</f>
        <v>0</v>
      </c>
      <c r="H322" s="1439"/>
      <c r="I322" s="1439" t="n">
        <f aca="false">IF(F322&lt;H322,F322*(D322-E322),0)+IF(H322=0,(D322-E322)*F322,0)+IF(H322&lt;F322,H322*(D322-E322),0)</f>
        <v>0</v>
      </c>
      <c r="J322" s="1439" t="n">
        <f aca="false">G322-I322</f>
        <v>0</v>
      </c>
    </row>
    <row r="323" customFormat="false" ht="15" hidden="false" customHeight="true" outlineLevel="0" collapsed="false">
      <c r="B323" s="1439" t="str">
        <f aca="false">'Смета Внутр'!B323</f>
        <v>Монтаж перегородок сип панели</v>
      </c>
      <c r="C323" s="1439" t="str">
        <f aca="false">'Смета Внутр'!C323</f>
        <v>м2</v>
      </c>
      <c r="D323" s="1439" t="n">
        <f aca="false">'Смета Внутр'!D323</f>
        <v>0</v>
      </c>
      <c r="E323" s="1439"/>
      <c r="F323" s="1439" t="n">
        <f aca="false">'Смета Внутр'!E323</f>
        <v>300</v>
      </c>
      <c r="G323" s="1439" t="n">
        <f aca="false">'Смета Внутр'!H323</f>
        <v>0</v>
      </c>
      <c r="H323" s="1439"/>
      <c r="I323" s="1439" t="n">
        <f aca="false">IF(F323&lt;H323,F323*(D323-E323),0)+IF(H323=0,(D323-E323)*F323,0)+IF(H323&lt;F323,H323*(D323-E323),0)</f>
        <v>0</v>
      </c>
      <c r="J323" s="1439" t="n">
        <f aca="false">G323-I323</f>
        <v>0</v>
      </c>
    </row>
    <row r="324" customFormat="false" ht="15" hidden="false" customHeight="true" outlineLevel="0" collapsed="false">
      <c r="B324" s="1439" t="str">
        <f aca="false">'Смета Внутр'!B324</f>
        <v>монтаж покрытия кровли</v>
      </c>
      <c r="C324" s="1439" t="str">
        <f aca="false">'Смета Внутр'!C324</f>
        <v>м2</v>
      </c>
      <c r="D324" s="1439" t="n">
        <f aca="false">'Смета Внутр'!D324</f>
        <v>0</v>
      </c>
      <c r="E324" s="1439"/>
      <c r="F324" s="1439" t="n">
        <f aca="false">'Смета Внутр'!E324</f>
        <v>400</v>
      </c>
      <c r="G324" s="1439" t="n">
        <f aca="false">'Смета Внутр'!H324</f>
        <v>0</v>
      </c>
      <c r="H324" s="1439"/>
      <c r="I324" s="1439" t="n">
        <f aca="false">IF(F324&lt;H324,F324*(D324-E324),0)+IF(H324=0,(D324-E324)*F324,0)+IF(H324&lt;F324,H324*(D324-E324),0)</f>
        <v>0</v>
      </c>
      <c r="J324" s="1439" t="n">
        <f aca="false">G324-I324</f>
        <v>0</v>
      </c>
    </row>
    <row r="325" customFormat="false" ht="15" hidden="false" customHeight="false" outlineLevel="0" collapsed="false">
      <c r="B325" s="1692" t="s">
        <v>4333</v>
      </c>
      <c r="C325" s="1692"/>
      <c r="D325" s="1692"/>
      <c r="E325" s="1692"/>
      <c r="F325" s="1692"/>
      <c r="G325" s="1439" t="n">
        <f aca="false">'Смета Внутр'!H325</f>
        <v>0</v>
      </c>
      <c r="H325" s="3181"/>
      <c r="I325" s="1439"/>
      <c r="J325" s="1439"/>
    </row>
    <row r="326" customFormat="false" ht="15" hidden="false" customHeight="true" outlineLevel="0" collapsed="false">
      <c r="B326" s="3183" t="str">
        <f aca="false">'Смета Внутр'!B326</f>
        <v>Каркасный дом</v>
      </c>
      <c r="C326" s="3183"/>
      <c r="D326" s="3183"/>
      <c r="E326" s="3183"/>
      <c r="F326" s="3183"/>
      <c r="G326" s="3173" t="n">
        <f aca="false">'Смета Внутр'!H326</f>
        <v>0</v>
      </c>
      <c r="H326" s="3173"/>
      <c r="I326" s="3180" t="n">
        <f aca="false">IF(F326&lt;H326,F326*(D326-E326),0)+IF(H326=0,(D326-E326)*F326,0)+IF(H326&lt;F326,H326*(D326-E326),0)</f>
        <v>0</v>
      </c>
      <c r="J326" s="3180" t="n">
        <f aca="false">G326-I326</f>
        <v>0</v>
      </c>
    </row>
    <row r="327" customFormat="false" ht="15" hidden="false" customHeight="true" outlineLevel="0" collapsed="false">
      <c r="B327" s="1268" t="str">
        <f aca="false">'Смета Внутр'!B327</f>
        <v>Материалы</v>
      </c>
      <c r="C327" s="1268"/>
      <c r="D327" s="1268"/>
      <c r="E327" s="1268"/>
      <c r="F327" s="1268"/>
      <c r="G327" s="3173" t="n">
        <f aca="false">'Смета Внутр'!H327</f>
        <v>0</v>
      </c>
      <c r="H327" s="3182"/>
      <c r="I327" s="3180" t="n">
        <f aca="false">IF(F327&lt;H327,F327*(D327-E327),0)+IF(H327=0,(D327-E327)*F327,0)+IF(H327&lt;F327,H327*(D327-E327),0)</f>
        <v>0</v>
      </c>
      <c r="J327" s="3180" t="n">
        <f aca="false">G327-I327</f>
        <v>0</v>
      </c>
    </row>
    <row r="328" customFormat="false" ht="15" hidden="false" customHeight="true" outlineLevel="0" collapsed="false">
      <c r="B328" s="1439" t="str">
        <f aca="false">'Смета Внутр'!B328</f>
        <v>Доска сухая калиброванная, 190*45мм</v>
      </c>
      <c r="C328" s="1439" t="str">
        <f aca="false">'Смета Внутр'!C328</f>
        <v>м3</v>
      </c>
      <c r="D328" s="1439" t="n">
        <f aca="false">'Смета Внутр'!D328</f>
        <v>0.8699625</v>
      </c>
      <c r="E328" s="1439"/>
      <c r="F328" s="1439" t="n">
        <f aca="false">'Смета Внутр'!E328</f>
        <v>12500</v>
      </c>
      <c r="G328" s="1439" t="n">
        <f aca="false">'Смета Внутр'!H328</f>
        <v>0</v>
      </c>
      <c r="H328" s="1439"/>
      <c r="I328" s="1439" t="n">
        <f aca="false">IF(F328&lt;H328,F328*(D328-E328),0)+IF(H328=0,(D328-E328)*F328,0)+IF(H328&lt;F328,H328*(D328-E328),0)</f>
        <v>10874.53125</v>
      </c>
      <c r="J328" s="1439" t="n">
        <f aca="false">G328-I328</f>
        <v>-10874.53125</v>
      </c>
    </row>
    <row r="329" customFormat="false" ht="15" hidden="false" customHeight="true" outlineLevel="0" collapsed="false">
      <c r="B329" s="1439" t="str">
        <f aca="false">'Смета Внутр'!B329</f>
        <v>Болты анкерные с гайкой 12,0 х 280          </v>
      </c>
      <c r="C329" s="1439" t="str">
        <f aca="false">'Смета Внутр'!C329</f>
        <v>шт</v>
      </c>
      <c r="D329" s="1439" t="n">
        <f aca="false">'Смета Внутр'!D329</f>
        <v>101.75</v>
      </c>
      <c r="E329" s="1439"/>
      <c r="F329" s="1439" t="n">
        <f aca="false">'Смета Внутр'!E329</f>
        <v>27.1</v>
      </c>
      <c r="G329" s="1439" t="n">
        <f aca="false">'Смета Внутр'!H329</f>
        <v>0</v>
      </c>
      <c r="H329" s="1439"/>
      <c r="I329" s="1439" t="n">
        <f aca="false">IF(F329&lt;H329,F329*(D329-E329),0)+IF(H329=0,(D329-E329)*F329,0)+IF(H329&lt;F329,H329*(D329-E329),0)</f>
        <v>2757.425</v>
      </c>
      <c r="J329" s="1439" t="n">
        <f aca="false">G329-I329</f>
        <v>-2757.425</v>
      </c>
    </row>
    <row r="330" customFormat="false" ht="15" hidden="false" customHeight="true" outlineLevel="0" collapsed="false">
      <c r="B330" s="1439" t="str">
        <f aca="false">'Смета Внутр'!B330</f>
        <v>Доска сухая калиброванная, 145*45мм</v>
      </c>
      <c r="C330" s="1439" t="str">
        <f aca="false">'Смета Внутр'!C330</f>
        <v>м3</v>
      </c>
      <c r="D330" s="1439" t="n">
        <f aca="false">'Смета Внутр'!D330</f>
        <v>0</v>
      </c>
      <c r="E330" s="1439"/>
      <c r="F330" s="1439" t="n">
        <f aca="false">'Смета Внутр'!E330</f>
        <v>12500</v>
      </c>
      <c r="G330" s="1439" t="n">
        <f aca="false">'Смета Внутр'!H330</f>
        <v>0</v>
      </c>
      <c r="H330" s="1439"/>
      <c r="I330" s="1439" t="n">
        <f aca="false">IF(F330&lt;H330,F330*(D330-E330),0)+IF(H330=0,(D330-E330)*F330,0)+IF(H330&lt;F330,H330*(D330-E330),0)</f>
        <v>0</v>
      </c>
      <c r="J330" s="1439" t="n">
        <f aca="false">G330-I330</f>
        <v>0</v>
      </c>
    </row>
    <row r="331" customFormat="false" ht="15" hidden="false" customHeight="true" outlineLevel="0" collapsed="false">
      <c r="B331" s="1439" t="str">
        <f aca="false">'Смета Внутр'!B331</f>
        <v>Доска сухая калиброванная, 145*45мм</v>
      </c>
      <c r="C331" s="1439" t="str">
        <f aca="false">'Смета Внутр'!C331</f>
        <v>м3</v>
      </c>
      <c r="D331" s="1439" t="n">
        <f aca="false">'Смета Внутр'!D331</f>
        <v>0</v>
      </c>
      <c r="E331" s="1439"/>
      <c r="F331" s="1439" t="n">
        <f aca="false">'Смета Внутр'!E331</f>
        <v>12500</v>
      </c>
      <c r="G331" s="1439" t="n">
        <f aca="false">'Смета Внутр'!H331</f>
        <v>0</v>
      </c>
      <c r="H331" s="1439"/>
      <c r="I331" s="1439" t="n">
        <f aca="false">IF(F331&lt;H331,F331*(D331-E331),0)+IF(H331=0,(D331-E331)*F331,0)+IF(H331&lt;F331,H331*(D331-E331),0)</f>
        <v>0</v>
      </c>
      <c r="J331" s="1439" t="n">
        <f aca="false">G331-I331</f>
        <v>0</v>
      </c>
    </row>
    <row r="332" customFormat="false" ht="15" hidden="false" customHeight="true" outlineLevel="0" collapsed="false">
      <c r="B332" s="1439" t="str">
        <f aca="false">'Смета Внутр'!B332</f>
        <v>Доска сухая калиброванная, 100*45мм</v>
      </c>
      <c r="C332" s="1439" t="str">
        <f aca="false">'Смета Внутр'!C332</f>
        <v>м3</v>
      </c>
      <c r="D332" s="1439" t="n">
        <f aca="false">'Смета Внутр'!D332</f>
        <v>0</v>
      </c>
      <c r="E332" s="1439"/>
      <c r="F332" s="1439" t="n">
        <f aca="false">'Смета Внутр'!E332</f>
        <v>12500</v>
      </c>
      <c r="G332" s="1439" t="n">
        <f aca="false">'Смета Внутр'!H332</f>
        <v>0</v>
      </c>
      <c r="H332" s="1439"/>
      <c r="I332" s="1439" t="n">
        <f aca="false">IF(F332&lt;H332,F332*(D332-E332),0)+IF(H332=0,(D332-E332)*F332,0)+IF(H332&lt;F332,H332*(D332-E332),0)</f>
        <v>0</v>
      </c>
      <c r="J332" s="1439" t="n">
        <f aca="false">G332-I332</f>
        <v>0</v>
      </c>
    </row>
    <row r="333" customFormat="false" ht="15" hidden="false" customHeight="true" outlineLevel="0" collapsed="false">
      <c r="B333" s="1439" t="str">
        <f aca="false">'Смета Внутр'!B333</f>
        <v>Фанера Хвойная, марка ФСФ, 21 мм </v>
      </c>
      <c r="C333" s="1439" t="str">
        <f aca="false">'Смета Внутр'!C333</f>
        <v>м2</v>
      </c>
      <c r="D333" s="1439" t="n">
        <f aca="false">'Смета Внутр'!D333</f>
        <v>104.205408239449</v>
      </c>
      <c r="E333" s="1439"/>
      <c r="F333" s="1439" t="n">
        <f aca="false">'Смета Внутр'!E333</f>
        <v>548.333333333333</v>
      </c>
      <c r="G333" s="1439" t="n">
        <f aca="false">'Смета Внутр'!H333</f>
        <v>0</v>
      </c>
      <c r="H333" s="1439"/>
      <c r="I333" s="1439" t="n">
        <f aca="false">IF(F333&lt;H333,F333*(D333-E333),0)+IF(H333=0,(D333-E333)*F333,0)+IF(H333&lt;F333,H333*(D333-E333),0)</f>
        <v>57139.298851298</v>
      </c>
      <c r="J333" s="1439" t="n">
        <f aca="false">G333-I333</f>
        <v>-57139.298851298</v>
      </c>
    </row>
    <row r="334" customFormat="false" ht="15" hidden="false" customHeight="true" outlineLevel="0" collapsed="false">
      <c r="B334" s="1439" t="str">
        <f aca="false">'Смета Внутр'!B334</f>
        <v>нет</v>
      </c>
      <c r="C334" s="1439" t="str">
        <f aca="false">'Смета Внутр'!C334</f>
        <v>м.п.</v>
      </c>
      <c r="D334" s="1439" t="n">
        <f aca="false">'Смета Внутр'!D334</f>
        <v>0</v>
      </c>
      <c r="E334" s="1439"/>
      <c r="F334" s="1439" t="n">
        <f aca="false">'Смета Внутр'!E334</f>
        <v>0</v>
      </c>
      <c r="G334" s="1439" t="n">
        <f aca="false">'Смета Внутр'!H334</f>
        <v>0</v>
      </c>
      <c r="H334" s="1439"/>
      <c r="I334" s="1439" t="n">
        <f aca="false">IF(F334&lt;H334,F334*(D334-E334),0)+IF(H334=0,(D334-E334)*F334,0)+IF(H334&lt;F334,H334*(D334-E334),0)</f>
        <v>0</v>
      </c>
      <c r="J334" s="1439" t="n">
        <f aca="false">G334-I334</f>
        <v>0</v>
      </c>
    </row>
    <row r="335" customFormat="false" ht="15" hidden="false" customHeight="true" outlineLevel="0" collapsed="false">
      <c r="B335" s="1439" t="str">
        <f aca="false">'Смета Внутр'!B335</f>
        <v>Плитный,28кг/м3, технониколь, 150мм</v>
      </c>
      <c r="C335" s="1439" t="str">
        <f aca="false">'Смета Внутр'!C335</f>
        <v>м3</v>
      </c>
      <c r="D335" s="1439" t="n">
        <f aca="false">'Смета Внутр'!D335</f>
        <v>0</v>
      </c>
      <c r="E335" s="1439"/>
      <c r="F335" s="1439" t="n">
        <f aca="false">'Смета Внутр'!E335</f>
        <v>1700</v>
      </c>
      <c r="G335" s="1439" t="n">
        <f aca="false">'Смета Внутр'!H335</f>
        <v>0</v>
      </c>
      <c r="H335" s="1439"/>
      <c r="I335" s="1439" t="n">
        <f aca="false">IF(F335&lt;H335,F335*(D335-E335),0)+IF(H335=0,(D335-E335)*F335,0)+IF(H335&lt;F335,H335*(D335-E335),0)</f>
        <v>0</v>
      </c>
      <c r="J335" s="1439" t="n">
        <f aca="false">G335-I335</f>
        <v>0</v>
      </c>
    </row>
    <row r="336" customFormat="false" ht="15" hidden="false" customHeight="true" outlineLevel="0" collapsed="false">
      <c r="B336" s="1439" t="str">
        <f aca="false">'Смета Внутр'!B336</f>
        <v>Плитный,28кг/м3, технониколь, 50мм</v>
      </c>
      <c r="C336" s="1439" t="str">
        <f aca="false">'Смета Внутр'!C336</f>
        <v>м3</v>
      </c>
      <c r="D336" s="1439" t="n">
        <f aca="false">'Смета Внутр'!D336</f>
        <v>0</v>
      </c>
      <c r="E336" s="1439"/>
      <c r="F336" s="1439" t="n">
        <f aca="false">'Смета Внутр'!E336</f>
        <v>1700</v>
      </c>
      <c r="G336" s="1439" t="n">
        <f aca="false">'Смета Внутр'!H336</f>
        <v>0</v>
      </c>
      <c r="H336" s="1439"/>
      <c r="I336" s="1439" t="n">
        <f aca="false">IF(F336&lt;H336,F336*(D336-E336),0)+IF(H336=0,(D336-E336)*F336,0)+IF(H336&lt;F336,H336*(D336-E336),0)</f>
        <v>0</v>
      </c>
      <c r="J336" s="1439" t="n">
        <f aca="false">G336-I336</f>
        <v>0</v>
      </c>
    </row>
    <row r="337" customFormat="false" ht="15" hidden="false" customHeight="true" outlineLevel="0" collapsed="false">
      <c r="B337" s="1439" t="str">
        <f aca="false">'Смета Внутр'!B337</f>
        <v>нет</v>
      </c>
      <c r="C337" s="1439" t="str">
        <f aca="false">'Смета Внутр'!C337</f>
        <v>м2</v>
      </c>
      <c r="D337" s="1439" t="n">
        <f aca="false">'Смета Внутр'!D337</f>
        <v>0</v>
      </c>
      <c r="E337" s="1439"/>
      <c r="F337" s="1439" t="n">
        <f aca="false">'Смета Внутр'!E337</f>
        <v>0</v>
      </c>
      <c r="G337" s="1439" t="n">
        <f aca="false">'Смета Внутр'!H337</f>
        <v>0</v>
      </c>
      <c r="H337" s="1439"/>
      <c r="I337" s="1439" t="n">
        <f aca="false">IF(F337&lt;H337,F337*(D337-E337),0)+IF(H337=0,(D337-E337)*F337,0)+IF(H337&lt;F337,H337*(D337-E337),0)</f>
        <v>0</v>
      </c>
      <c r="J337" s="1439" t="n">
        <f aca="false">G337-I337</f>
        <v>0</v>
      </c>
    </row>
    <row r="338" customFormat="false" ht="15" hidden="false" customHeight="true" outlineLevel="0" collapsed="false">
      <c r="B338" s="1439" t="str">
        <f aca="false">'Смета Внутр'!B338</f>
        <v>нет</v>
      </c>
      <c r="C338" s="1439" t="str">
        <f aca="false">'Смета Внутр'!C338</f>
        <v>м2</v>
      </c>
      <c r="D338" s="1439" t="n">
        <f aca="false">'Смета Внутр'!D338</f>
        <v>0</v>
      </c>
      <c r="E338" s="1439"/>
      <c r="F338" s="1439" t="n">
        <f aca="false">'Смета Внутр'!E338</f>
        <v>0</v>
      </c>
      <c r="G338" s="1439" t="n">
        <f aca="false">'Смета Внутр'!H338</f>
        <v>0</v>
      </c>
      <c r="H338" s="1439"/>
      <c r="I338" s="1439" t="n">
        <f aca="false">IF(F338&lt;H338,F338*(D338-E338),0)+IF(H338=0,(D338-E338)*F338,0)+IF(H338&lt;F338,H338*(D338-E338),0)</f>
        <v>0</v>
      </c>
      <c r="J338" s="1439" t="n">
        <f aca="false">G338-I338</f>
        <v>0</v>
      </c>
    </row>
    <row r="339" customFormat="false" ht="15" hidden="false" customHeight="true" outlineLevel="0" collapsed="false">
      <c r="B339" s="1439" t="str">
        <f aca="false">'Смета Внутр'!B339</f>
        <v>нет</v>
      </c>
      <c r="C339" s="1439" t="str">
        <f aca="false">'Смета Внутр'!C339</f>
        <v>м2</v>
      </c>
      <c r="D339" s="1439" t="n">
        <f aca="false">'Смета Внутр'!D339</f>
        <v>0</v>
      </c>
      <c r="E339" s="1439"/>
      <c r="F339" s="1439" t="n">
        <f aca="false">'Смета Внутр'!E339</f>
        <v>0</v>
      </c>
      <c r="G339" s="1439" t="n">
        <f aca="false">'Смета Внутр'!H339</f>
        <v>0</v>
      </c>
      <c r="H339" s="1439"/>
      <c r="I339" s="1439" t="n">
        <f aca="false">IF(F339&lt;H339,F339*(D339-E339),0)+IF(H339=0,(D339-E339)*F339,0)+IF(H339&lt;F339,H339*(D339-E339),0)</f>
        <v>0</v>
      </c>
      <c r="J339" s="1439" t="n">
        <f aca="false">G339-I339</f>
        <v>0</v>
      </c>
    </row>
    <row r="340" customFormat="false" ht="15" hidden="false" customHeight="true" outlineLevel="0" collapsed="false">
      <c r="B340" s="1439" t="str">
        <f aca="false">'Смета Внутр'!B340</f>
        <v>Саморезы 3,5 x 25            </v>
      </c>
      <c r="C340" s="1439" t="str">
        <f aca="false">'Смета Внутр'!C340</f>
        <v>шт</v>
      </c>
      <c r="D340" s="1439" t="n">
        <f aca="false">'Смета Внутр'!D340</f>
        <v>0</v>
      </c>
      <c r="E340" s="1439"/>
      <c r="F340" s="1439" t="n">
        <f aca="false">'Смета Внутр'!E340</f>
        <v>0.2</v>
      </c>
      <c r="G340" s="1439" t="n">
        <f aca="false">'Смета Внутр'!H340</f>
        <v>0</v>
      </c>
      <c r="H340" s="1439"/>
      <c r="I340" s="1439" t="n">
        <f aca="false">IF(F340&lt;H340,F340*(D340-E340),0)+IF(H340=0,(D340-E340)*F340,0)+IF(H340&lt;F340,H340*(D340-E340),0)</f>
        <v>0</v>
      </c>
      <c r="J340" s="1439" t="n">
        <f aca="false">G340-I340</f>
        <v>0</v>
      </c>
    </row>
    <row r="341" customFormat="false" ht="15" hidden="false" customHeight="true" outlineLevel="0" collapsed="false">
      <c r="B341" s="1439" t="str">
        <f aca="false">'Смета Внутр'!B341</f>
        <v>Гвозди ершоные 2,8 х 90            </v>
      </c>
      <c r="C341" s="1439" t="str">
        <f aca="false">'Смета Внутр'!C341</f>
        <v>кг</v>
      </c>
      <c r="D341" s="1439" t="n">
        <f aca="false">'Смета Внутр'!D341</f>
        <v>0</v>
      </c>
      <c r="E341" s="1439"/>
      <c r="F341" s="1439" t="n">
        <f aca="false">'Смета Внутр'!E341</f>
        <v>76.49</v>
      </c>
      <c r="G341" s="1439" t="n">
        <f aca="false">'Смета Внутр'!H341</f>
        <v>0</v>
      </c>
      <c r="H341" s="1439"/>
      <c r="I341" s="1439" t="n">
        <f aca="false">IF(F341&lt;H341,F341*(D341-E341),0)+IF(H341=0,(D341-E341)*F341,0)+IF(H341&lt;F341,H341*(D341-E341),0)</f>
        <v>0</v>
      </c>
      <c r="J341" s="1439" t="n">
        <f aca="false">G341-I341</f>
        <v>0</v>
      </c>
    </row>
    <row r="342" customFormat="false" ht="15" hidden="false" customHeight="true" outlineLevel="0" collapsed="false">
      <c r="B342" s="1439" t="str">
        <f aca="false">'Смета Внутр'!B342</f>
        <v>Гвозди ершоные 3,4 x 60            </v>
      </c>
      <c r="C342" s="1439" t="str">
        <f aca="false">'Смета Внутр'!C342</f>
        <v>кг</v>
      </c>
      <c r="D342" s="1439" t="n">
        <f aca="false">'Смета Внутр'!D342</f>
        <v>0</v>
      </c>
      <c r="E342" s="1439"/>
      <c r="F342" s="1439" t="n">
        <f aca="false">'Смета Внутр'!E342</f>
        <v>75.51</v>
      </c>
      <c r="G342" s="1439" t="n">
        <f aca="false">'Смета Внутр'!H342</f>
        <v>0</v>
      </c>
      <c r="H342" s="1439"/>
      <c r="I342" s="1439" t="n">
        <f aca="false">IF(F342&lt;H342,F342*(D342-E342),0)+IF(H342=0,(D342-E342)*F342,0)+IF(H342&lt;F342,H342*(D342-E342),0)</f>
        <v>0</v>
      </c>
      <c r="J342" s="1439" t="n">
        <f aca="false">G342-I342</f>
        <v>0</v>
      </c>
    </row>
    <row r="343" customFormat="false" ht="15" hidden="false" customHeight="true" outlineLevel="0" collapsed="false">
      <c r="B343" s="1439" t="str">
        <f aca="false">'Смета Внутр'!B343</f>
        <v>Универсальная Optima C</v>
      </c>
      <c r="C343" s="1439" t="str">
        <f aca="false">'Смета Внутр'!C343</f>
        <v>м2</v>
      </c>
      <c r="D343" s="1439" t="n">
        <f aca="false">'Смета Внутр'!D343</f>
        <v>0</v>
      </c>
      <c r="E343" s="1439"/>
      <c r="F343" s="1439" t="n">
        <f aca="false">'Смета Внутр'!E343</f>
        <v>19</v>
      </c>
      <c r="G343" s="1439" t="n">
        <f aca="false">'Смета Внутр'!H343</f>
        <v>0</v>
      </c>
      <c r="H343" s="1439"/>
      <c r="I343" s="1439" t="n">
        <f aca="false">IF(F343&lt;H343,F343*(D343-E343),0)+IF(H343=0,(D343-E343)*F343,0)+IF(H343&lt;F343,H343*(D343-E343),0)</f>
        <v>0</v>
      </c>
      <c r="J343" s="1439" t="n">
        <f aca="false">G343-I343</f>
        <v>0</v>
      </c>
    </row>
    <row r="344" customFormat="false" ht="15" hidden="false" customHeight="true" outlineLevel="0" collapsed="false">
      <c r="B344" s="1439" t="str">
        <f aca="false">'Смета Внутр'!B344</f>
        <v>Универсальная Optima C</v>
      </c>
      <c r="C344" s="1439" t="str">
        <f aca="false">'Смета Внутр'!C344</f>
        <v>м2</v>
      </c>
      <c r="D344" s="1439" t="n">
        <f aca="false">'Смета Внутр'!D344</f>
        <v>0</v>
      </c>
      <c r="E344" s="1439"/>
      <c r="F344" s="1439" t="n">
        <f aca="false">'Смета Внутр'!E344</f>
        <v>20</v>
      </c>
      <c r="G344" s="1439" t="n">
        <f aca="false">'Смета Внутр'!H344</f>
        <v>0</v>
      </c>
      <c r="H344" s="1439"/>
      <c r="I344" s="1439" t="n">
        <f aca="false">IF(F344&lt;H344,F344*(D344-E344),0)+IF(H344=0,(D344-E344)*F344,0)+IF(H344&lt;F344,H344*(D344-E344),0)</f>
        <v>0</v>
      </c>
      <c r="J344" s="1439" t="n">
        <f aca="false">G344-I344</f>
        <v>0</v>
      </c>
    </row>
    <row r="345" customFormat="false" ht="15" hidden="false" customHeight="true" outlineLevel="0" collapsed="false">
      <c r="B345" s="1439" t="str">
        <f aca="false">'Смета Внутр'!B345</f>
        <v>Скобы для степлера, 1000шт/уп</v>
      </c>
      <c r="C345" s="1439" t="str">
        <f aca="false">'Смета Внутр'!C345</f>
        <v>уп</v>
      </c>
      <c r="D345" s="1439" t="n">
        <f aca="false">'Смета Внутр'!D345</f>
        <v>5.5</v>
      </c>
      <c r="E345" s="1439"/>
      <c r="F345" s="1439" t="n">
        <f aca="false">'Смета Внутр'!E345</f>
        <v>100</v>
      </c>
      <c r="G345" s="1439" t="n">
        <f aca="false">'Смета Внутр'!H345</f>
        <v>0</v>
      </c>
      <c r="H345" s="1439"/>
      <c r="I345" s="1439" t="n">
        <f aca="false">IF(F345&lt;H345,F345*(D345-E345),0)+IF(H345=0,(D345-E345)*F345,0)+IF(H345&lt;F345,H345*(D345-E345),0)</f>
        <v>550</v>
      </c>
      <c r="J345" s="1439" t="n">
        <f aca="false">G345-I345</f>
        <v>-550</v>
      </c>
    </row>
    <row r="346" customFormat="false" ht="15" hidden="false" customHeight="true" outlineLevel="0" collapsed="false">
      <c r="B346" s="1692" t="s">
        <v>4332</v>
      </c>
      <c r="C346" s="1692"/>
      <c r="D346" s="1692"/>
      <c r="E346" s="1692"/>
      <c r="F346" s="1692"/>
      <c r="G346" s="1439" t="n">
        <f aca="false">'Смета Внутр'!H346</f>
        <v>0</v>
      </c>
      <c r="H346" s="3181"/>
      <c r="I346" s="1439"/>
      <c r="J346" s="1439"/>
    </row>
    <row r="347" customFormat="false" ht="15" hidden="false" customHeight="true" outlineLevel="0" collapsed="false">
      <c r="B347" s="1268" t="str">
        <f aca="false">'Смета Внутр'!B347</f>
        <v>Работы</v>
      </c>
      <c r="C347" s="1268"/>
      <c r="D347" s="1268"/>
      <c r="E347" s="1268"/>
      <c r="F347" s="1268"/>
      <c r="G347" s="3173" t="n">
        <f aca="false">'Смета Внутр'!H347</f>
        <v>0</v>
      </c>
      <c r="H347" s="3182"/>
      <c r="I347" s="3180" t="n">
        <f aca="false">IF(F347&lt;H347,F347*(D347-E347),0)+IF(H347=0,(D347-E347)*F347,0)+IF(H347&lt;F347,H347*(D347-E347),0)</f>
        <v>0</v>
      </c>
      <c r="J347" s="3180" t="n">
        <f aca="false">G347-I347</f>
        <v>0</v>
      </c>
    </row>
    <row r="348" customFormat="false" ht="15" hidden="false" customHeight="true" outlineLevel="0" collapsed="false">
      <c r="B348" s="1439" t="str">
        <f aca="false">'Смета Внутр'!B348</f>
        <v>монтаж обвязки</v>
      </c>
      <c r="C348" s="1439" t="str">
        <f aca="false">'Смета Внутр'!C348</f>
        <v>м.п.</v>
      </c>
      <c r="D348" s="1439" t="n">
        <f aca="false">'Смета Внутр'!D348</f>
        <v>32</v>
      </c>
      <c r="E348" s="1439"/>
      <c r="F348" s="1439" t="n">
        <f aca="false">'Смета Внутр'!E348</f>
        <v>200</v>
      </c>
      <c r="G348" s="1439" t="n">
        <f aca="false">'Смета Внутр'!H348</f>
        <v>0</v>
      </c>
      <c r="H348" s="1439"/>
      <c r="I348" s="1439" t="n">
        <f aca="false">IF(F348&lt;H348,F348*(D348-E348),0)+IF(H348=0,(D348-E348)*F348,0)+IF(H348&lt;F348,H348*(D348-E348),0)</f>
        <v>6400</v>
      </c>
      <c r="J348" s="1439" t="n">
        <f aca="false">G348-I348</f>
        <v>-6400</v>
      </c>
    </row>
    <row r="349" customFormat="false" ht="15" hidden="false" customHeight="true" outlineLevel="0" collapsed="false">
      <c r="B349" s="1439" t="str">
        <f aca="false">'Смета Внутр'!B349</f>
        <v>монтаж стен каркаса</v>
      </c>
      <c r="C349" s="1439" t="str">
        <f aca="false">'Смета Внутр'!C349</f>
        <v>м2</v>
      </c>
      <c r="D349" s="1439" t="n">
        <f aca="false">'Смета Внутр'!D349</f>
        <v>0</v>
      </c>
      <c r="E349" s="1439"/>
      <c r="F349" s="1439" t="n">
        <f aca="false">'Смета Внутр'!E349</f>
        <v>400</v>
      </c>
      <c r="G349" s="1439" t="n">
        <f aca="false">'Смета Внутр'!H349</f>
        <v>0</v>
      </c>
      <c r="H349" s="1439"/>
      <c r="I349" s="1439" t="n">
        <f aca="false">IF(F349&lt;H349,F349*(D349-E349),0)+IF(H349=0,(D349-E349)*F349,0)+IF(H349&lt;F349,H349*(D349-E349),0)</f>
        <v>0</v>
      </c>
      <c r="J349" s="1439" t="n">
        <f aca="false">G349-I349</f>
        <v>0</v>
      </c>
    </row>
    <row r="350" customFormat="false" ht="15" hidden="false" customHeight="true" outlineLevel="0" collapsed="false">
      <c r="B350" s="1439" t="str">
        <f aca="false">'Смета Внутр'!B350</f>
        <v>Монтаж несущих перегородок</v>
      </c>
      <c r="C350" s="1439" t="str">
        <f aca="false">'Смета Внутр'!C350</f>
        <v>м2</v>
      </c>
      <c r="D350" s="1439" t="n">
        <f aca="false">'Смета Внутр'!D350</f>
        <v>0</v>
      </c>
      <c r="E350" s="1439"/>
      <c r="F350" s="1439" t="n">
        <f aca="false">'Смета Внутр'!E350</f>
        <v>400</v>
      </c>
      <c r="G350" s="1439" t="n">
        <f aca="false">'Смета Внутр'!H350</f>
        <v>0</v>
      </c>
      <c r="H350" s="1439"/>
      <c r="I350" s="1439" t="n">
        <f aca="false">IF(F350&lt;H350,F350*(D350-E350),0)+IF(H350=0,(D350-E350)*F350,0)+IF(H350&lt;F350,H350*(D350-E350),0)</f>
        <v>0</v>
      </c>
      <c r="J350" s="1439" t="n">
        <f aca="false">G350-I350</f>
        <v>0</v>
      </c>
    </row>
    <row r="351" customFormat="false" ht="15" hidden="false" customHeight="true" outlineLevel="0" collapsed="false">
      <c r="B351" s="1439" t="str">
        <f aca="false">'Смета Внутр'!B351</f>
        <v>Монтаж перегородок</v>
      </c>
      <c r="C351" s="1439" t="str">
        <f aca="false">'Смета Внутр'!C351</f>
        <v>м2</v>
      </c>
      <c r="D351" s="1439" t="n">
        <f aca="false">'Смета Внутр'!D351</f>
        <v>0</v>
      </c>
      <c r="E351" s="1439"/>
      <c r="F351" s="1439" t="n">
        <f aca="false">'Смета Внутр'!E351</f>
        <v>400</v>
      </c>
      <c r="G351" s="1439" t="n">
        <f aca="false">'Смета Внутр'!H351</f>
        <v>0</v>
      </c>
      <c r="H351" s="1439"/>
      <c r="I351" s="1439" t="n">
        <f aca="false">IF(F351&lt;H351,F351*(D351-E351),0)+IF(H351=0,(D351-E351)*F351,0)+IF(H351&lt;F351,H351*(D351-E351),0)</f>
        <v>0</v>
      </c>
      <c r="J351" s="1439" t="n">
        <f aca="false">G351-I351</f>
        <v>0</v>
      </c>
    </row>
    <row r="352" customFormat="false" ht="15" hidden="false" customHeight="true" outlineLevel="0" collapsed="false">
      <c r="B352" s="1439" t="str">
        <f aca="false">'Смета Внутр'!B352</f>
        <v>Монтаж вентиляционного зазора</v>
      </c>
      <c r="C352" s="1439" t="str">
        <f aca="false">'Смета Внутр'!C352</f>
        <v>м2</v>
      </c>
      <c r="D352" s="1439" t="n">
        <f aca="false">'Смета Внутр'!D352</f>
        <v>0</v>
      </c>
      <c r="E352" s="1439"/>
      <c r="F352" s="1439" t="n">
        <f aca="false">'Смета Внутр'!E352</f>
        <v>80</v>
      </c>
      <c r="G352" s="1439" t="n">
        <f aca="false">'Смета Внутр'!H352</f>
        <v>0</v>
      </c>
      <c r="H352" s="1439"/>
      <c r="I352" s="1439" t="n">
        <f aca="false">IF(F352&lt;H352,F352*(D352-E352),0)+IF(H352=0,(D352-E352)*F352,0)+IF(H352&lt;F352,H352*(D352-E352),0)</f>
        <v>0</v>
      </c>
      <c r="J352" s="1439" t="n">
        <f aca="false">G352-I352</f>
        <v>0</v>
      </c>
    </row>
    <row r="353" customFormat="false" ht="15" hidden="false" customHeight="true" outlineLevel="0" collapsed="false">
      <c r="B353" s="1439" t="str">
        <f aca="false">'Смета Внутр'!B353</f>
        <v>Монтаж технологического зазора</v>
      </c>
      <c r="C353" s="1439" t="str">
        <f aca="false">'Смета Внутр'!C353</f>
        <v>м2</v>
      </c>
      <c r="D353" s="1439" t="n">
        <f aca="false">'Смета Внутр'!D353</f>
        <v>0</v>
      </c>
      <c r="E353" s="1439"/>
      <c r="F353" s="1439" t="n">
        <f aca="false">'Смета Внутр'!E353</f>
        <v>80</v>
      </c>
      <c r="G353" s="1439" t="n">
        <f aca="false">'Смета Внутр'!H353</f>
        <v>0</v>
      </c>
      <c r="H353" s="1439"/>
      <c r="I353" s="1439" t="n">
        <f aca="false">IF(F353&lt;H353,F353*(D353-E353),0)+IF(H353=0,(D353-E353)*F353,0)+IF(H353&lt;F353,H353*(D353-E353),0)</f>
        <v>0</v>
      </c>
      <c r="J353" s="1439" t="n">
        <f aca="false">G353-I353</f>
        <v>0</v>
      </c>
    </row>
    <row r="354" customFormat="false" ht="15" hidden="false" customHeight="true" outlineLevel="0" collapsed="false">
      <c r="B354" s="1439" t="str">
        <f aca="false">'Смета Внутр'!B354</f>
        <v>монтаж ветроизоляции стен</v>
      </c>
      <c r="C354" s="1439" t="str">
        <f aca="false">'Смета Внутр'!C354</f>
        <v>м2</v>
      </c>
      <c r="D354" s="1439" t="n">
        <f aca="false">'Смета Внутр'!D354</f>
        <v>0</v>
      </c>
      <c r="E354" s="1439"/>
      <c r="F354" s="1439" t="n">
        <f aca="false">'Смета Внутр'!E354</f>
        <v>100</v>
      </c>
      <c r="G354" s="1439" t="n">
        <f aca="false">'Смета Внутр'!H354</f>
        <v>0</v>
      </c>
      <c r="H354" s="1439"/>
      <c r="I354" s="1439" t="n">
        <f aca="false">IF(F354&lt;H354,F354*(D354-E354),0)+IF(H354=0,(D354-E354)*F354,0)+IF(H354&lt;F354,H354*(D354-E354),0)</f>
        <v>0</v>
      </c>
      <c r="J354" s="1439" t="n">
        <f aca="false">G354-I354</f>
        <v>0</v>
      </c>
    </row>
    <row r="355" customFormat="false" ht="15" hidden="false" customHeight="true" outlineLevel="0" collapsed="false">
      <c r="B355" s="1439" t="str">
        <f aca="false">'Смета Внутр'!B355</f>
        <v>монтаж пароизоляции стен</v>
      </c>
      <c r="C355" s="1439" t="str">
        <f aca="false">'Смета Внутр'!C355</f>
        <v>м2</v>
      </c>
      <c r="D355" s="1439" t="n">
        <f aca="false">'Смета Внутр'!D355</f>
        <v>0</v>
      </c>
      <c r="E355" s="1439"/>
      <c r="F355" s="1439" t="n">
        <f aca="false">'Смета Внутр'!E355</f>
        <v>100</v>
      </c>
      <c r="G355" s="1439" t="n">
        <f aca="false">'Смета Внутр'!H355</f>
        <v>0</v>
      </c>
      <c r="H355" s="1439"/>
      <c r="I355" s="1439" t="n">
        <f aca="false">IF(F355&lt;H355,F355*(D355-E355),0)+IF(H355=0,(D355-E355)*F355,0)+IF(H355&lt;F355,H355*(D355-E355),0)</f>
        <v>0</v>
      </c>
      <c r="J355" s="1439" t="n">
        <f aca="false">G355-I355</f>
        <v>0</v>
      </c>
    </row>
    <row r="356" customFormat="false" ht="15" hidden="false" customHeight="true" outlineLevel="0" collapsed="false">
      <c r="B356" s="1439" t="str">
        <f aca="false">'Смета Внутр'!B356</f>
        <v>монтаж osb/фанера наруж стены</v>
      </c>
      <c r="C356" s="1439" t="str">
        <f aca="false">'Смета Внутр'!C356</f>
        <v>м2</v>
      </c>
      <c r="D356" s="1439" t="n">
        <f aca="false">'Смета Внутр'!D356</f>
        <v>0</v>
      </c>
      <c r="E356" s="1439"/>
      <c r="F356" s="1439" t="n">
        <f aca="false">'Смета Внутр'!E356</f>
        <v>200</v>
      </c>
      <c r="G356" s="1439" t="n">
        <f aca="false">'Смета Внутр'!H356</f>
        <v>0</v>
      </c>
      <c r="H356" s="1439"/>
      <c r="I356" s="1439" t="n">
        <f aca="false">IF(F356&lt;H356,F356*(D356-E356),0)+IF(H356=0,(D356-E356)*F356,0)+IF(H356&lt;F356,H356*(D356-E356),0)</f>
        <v>0</v>
      </c>
      <c r="J356" s="1439" t="n">
        <f aca="false">G356-I356</f>
        <v>0</v>
      </c>
    </row>
    <row r="357" customFormat="false" ht="15" hidden="false" customHeight="true" outlineLevel="0" collapsed="false">
      <c r="B357" s="1439" t="str">
        <f aca="false">'Смета Внутр'!B357</f>
        <v>монтаж osb/фанера потолок</v>
      </c>
      <c r="C357" s="1439" t="str">
        <f aca="false">'Смета Внутр'!C357</f>
        <v>м2</v>
      </c>
      <c r="D357" s="1439" t="n">
        <f aca="false">'Смета Внутр'!D357</f>
        <v>0</v>
      </c>
      <c r="E357" s="1439"/>
      <c r="F357" s="1439" t="n">
        <f aca="false">'Смета Внутр'!E357</f>
        <v>200</v>
      </c>
      <c r="G357" s="1439" t="n">
        <f aca="false">'Смета Внутр'!H357</f>
        <v>0</v>
      </c>
      <c r="H357" s="1439"/>
      <c r="I357" s="1439" t="n">
        <f aca="false">IF(F357&lt;H357,F357*(D357-E357),0)+IF(H357=0,(D357-E357)*F357,0)+IF(H357&lt;F357,H357*(D357-E357),0)</f>
        <v>0</v>
      </c>
      <c r="J357" s="1439" t="n">
        <f aca="false">G357-I357</f>
        <v>0</v>
      </c>
    </row>
    <row r="358" customFormat="false" ht="15" hidden="false" customHeight="true" outlineLevel="0" collapsed="false">
      <c r="B358" s="1439" t="str">
        <f aca="false">'Смета Внутр'!B358</f>
        <v>монтаж osb/фанера перегородки</v>
      </c>
      <c r="C358" s="1439" t="str">
        <f aca="false">'Смета Внутр'!C358</f>
        <v>м2</v>
      </c>
      <c r="D358" s="1439" t="n">
        <f aca="false">'Смета Внутр'!D358</f>
        <v>0</v>
      </c>
      <c r="E358" s="1439"/>
      <c r="F358" s="1439" t="n">
        <f aca="false">'Смета Внутр'!E358</f>
        <v>200</v>
      </c>
      <c r="G358" s="1439" t="n">
        <f aca="false">'Смета Внутр'!H358</f>
        <v>0</v>
      </c>
      <c r="H358" s="1439"/>
      <c r="I358" s="1439" t="n">
        <f aca="false">IF(F358&lt;H358,F358*(D358-E358),0)+IF(H358=0,(D358-E358)*F358,0)+IF(H358&lt;F358,H358*(D358-E358),0)</f>
        <v>0</v>
      </c>
      <c r="J358" s="1439" t="n">
        <f aca="false">G358-I358</f>
        <v>0</v>
      </c>
    </row>
    <row r="359" customFormat="false" ht="15" hidden="false" customHeight="true" outlineLevel="0" collapsed="false">
      <c r="B359" s="1439" t="str">
        <f aca="false">'Смета Внутр'!B359</f>
        <v>монтаж osb/фанера пол</v>
      </c>
      <c r="C359" s="1439" t="str">
        <f aca="false">'Смета Внутр'!C359</f>
        <v>м2</v>
      </c>
      <c r="D359" s="1439" t="n">
        <f aca="false">'Смета Внутр'!D359</f>
        <v>94.7321893085902</v>
      </c>
      <c r="E359" s="1439"/>
      <c r="F359" s="1439" t="n">
        <f aca="false">'Смета Внутр'!E359</f>
        <v>200</v>
      </c>
      <c r="G359" s="1439" t="n">
        <f aca="false">'Смета Внутр'!H359</f>
        <v>0</v>
      </c>
      <c r="H359" s="1439"/>
      <c r="I359" s="1439" t="n">
        <f aca="false">IF(F359&lt;H359,F359*(D359-E359),0)+IF(H359=0,(D359-E359)*F359,0)+IF(H359&lt;F359,H359*(D359-E359),0)</f>
        <v>18946.437861718</v>
      </c>
      <c r="J359" s="1439" t="n">
        <f aca="false">G359-I359</f>
        <v>-18946.437861718</v>
      </c>
    </row>
    <row r="360" customFormat="false" ht="15" hidden="false" customHeight="true" outlineLevel="0" collapsed="false">
      <c r="B360" s="1439" t="str">
        <f aca="false">'Смета Внутр'!B360</f>
        <v>утепление наружних стен</v>
      </c>
      <c r="C360" s="1439" t="str">
        <f aca="false">'Смета Внутр'!C360</f>
        <v>м2</v>
      </c>
      <c r="D360" s="1439" t="n">
        <f aca="false">'Смета Внутр'!D360</f>
        <v>0</v>
      </c>
      <c r="E360" s="1439"/>
      <c r="F360" s="1439" t="n">
        <f aca="false">'Смета Внутр'!E360</f>
        <v>200</v>
      </c>
      <c r="G360" s="1439" t="n">
        <f aca="false">'Смета Внутр'!H360</f>
        <v>0</v>
      </c>
      <c r="H360" s="1439"/>
      <c r="I360" s="1439" t="n">
        <f aca="false">IF(F360&lt;H360,F360*(D360-E360),0)+IF(H360=0,(D360-E360)*F360,0)+IF(H360&lt;F360,H360*(D360-E360),0)</f>
        <v>0</v>
      </c>
      <c r="J360" s="1439" t="n">
        <f aca="false">G360-I360</f>
        <v>0</v>
      </c>
    </row>
    <row r="361" customFormat="false" ht="15" hidden="false" customHeight="true" outlineLevel="0" collapsed="false">
      <c r="B361" s="1439" t="str">
        <f aca="false">'Смета Внутр'!B361</f>
        <v>Утепление перегородок</v>
      </c>
      <c r="C361" s="1439" t="str">
        <f aca="false">'Смета Внутр'!C361</f>
        <v>м2</v>
      </c>
      <c r="D361" s="1439" t="n">
        <f aca="false">'Смета Внутр'!D361</f>
        <v>0</v>
      </c>
      <c r="E361" s="1439"/>
      <c r="F361" s="1439" t="n">
        <f aca="false">'Смета Внутр'!E361</f>
        <v>200</v>
      </c>
      <c r="G361" s="1439" t="n">
        <f aca="false">'Смета Внутр'!H361</f>
        <v>0</v>
      </c>
      <c r="H361" s="1439"/>
      <c r="I361" s="1439" t="n">
        <f aca="false">IF(F361&lt;H361,F361*(D361-E361),0)+IF(H361=0,(D361-E361)*F361,0)+IF(H361&lt;F361,H361*(D361-E361),0)</f>
        <v>0</v>
      </c>
      <c r="J361" s="1439" t="n">
        <f aca="false">G361-I361</f>
        <v>0</v>
      </c>
    </row>
    <row r="362" customFormat="false" ht="15" hidden="false" customHeight="false" outlineLevel="0" collapsed="false">
      <c r="B362" s="1692" t="s">
        <v>4333</v>
      </c>
      <c r="C362" s="1692"/>
      <c r="D362" s="1692"/>
      <c r="E362" s="1692"/>
      <c r="F362" s="1692"/>
      <c r="G362" s="1439" t="n">
        <f aca="false">'Смета Внутр'!H362</f>
        <v>0</v>
      </c>
      <c r="H362" s="3181"/>
      <c r="I362" s="1439"/>
      <c r="J362" s="1439"/>
    </row>
    <row r="363" customFormat="false" ht="15" hidden="false" customHeight="true" outlineLevel="0" collapsed="false">
      <c r="B363" s="3172" t="str">
        <f aca="false">'Смета Внутр'!B363</f>
        <v>Дом из Газобетона</v>
      </c>
      <c r="C363" s="3172"/>
      <c r="D363" s="3172"/>
      <c r="E363" s="3172"/>
      <c r="F363" s="3172"/>
      <c r="G363" s="3173" t="n">
        <f aca="false">'Смета Внутр'!H363</f>
        <v>0</v>
      </c>
      <c r="H363" s="3173"/>
      <c r="I363" s="3180" t="n">
        <f aca="false">IF(F363&lt;H363,F363*(D363-E363),0)+IF(H363=0,(D363-E363)*F363,0)+IF(H363&lt;F363,H363*(D363-E363),0)</f>
        <v>0</v>
      </c>
      <c r="J363" s="3180" t="n">
        <f aca="false">G363-I363</f>
        <v>0</v>
      </c>
    </row>
    <row r="364" customFormat="false" ht="15" hidden="false" customHeight="true" outlineLevel="0" collapsed="false">
      <c r="B364" s="1268" t="str">
        <f aca="false">'Смета Внутр'!B364</f>
        <v>Материалы</v>
      </c>
      <c r="C364" s="1268"/>
      <c r="D364" s="1268"/>
      <c r="E364" s="1268"/>
      <c r="F364" s="1268"/>
      <c r="G364" s="3173" t="n">
        <f aca="false">'Смета Внутр'!H364</f>
        <v>0</v>
      </c>
      <c r="H364" s="3182"/>
      <c r="I364" s="3180" t="n">
        <f aca="false">IF(F364&lt;H364,F364*(D364-E364),0)+IF(H364=0,(D364-E364)*F364,0)+IF(H364&lt;F364,H364*(D364-E364),0)</f>
        <v>0</v>
      </c>
      <c r="J364" s="3180" t="n">
        <f aca="false">G364-I364</f>
        <v>0</v>
      </c>
    </row>
    <row r="365" customFormat="false" ht="15" hidden="false" customHeight="true" outlineLevel="0" collapsed="false">
      <c r="B365" s="1439" t="str">
        <f aca="false">'Смета Внутр'!B365</f>
        <v>Газоблок D400 200х300х390 </v>
      </c>
      <c r="C365" s="1439" t="str">
        <f aca="false">'Смета Внутр'!C365</f>
        <v>м3</v>
      </c>
      <c r="D365" s="1439" t="n">
        <f aca="false">'Смета Внутр'!D365</f>
        <v>-4.992</v>
      </c>
      <c r="E365" s="1439"/>
      <c r="F365" s="1439" t="n">
        <f aca="false">'Смета Внутр'!E365</f>
        <v>4200</v>
      </c>
      <c r="G365" s="1439" t="n">
        <f aca="false">'Смета Внутр'!H365</f>
        <v>0</v>
      </c>
      <c r="H365" s="1439"/>
      <c r="I365" s="1439" t="n">
        <f aca="false">IF(F365&lt;H365,F365*(D365-E365),0)+IF(H365=0,(D365-E365)*F365,0)+IF(H365&lt;F365,H365*(D365-E365),0)</f>
        <v>-20966.4</v>
      </c>
      <c r="J365" s="1439" t="n">
        <f aca="false">G365-I365</f>
        <v>20966.4</v>
      </c>
    </row>
    <row r="366" customFormat="false" ht="15" hidden="false" customHeight="true" outlineLevel="0" collapsed="false">
      <c r="B366" s="1439" t="str">
        <f aca="false">'Смета Внутр'!B366</f>
        <v>Газоблок D400 200х200х390 </v>
      </c>
      <c r="C366" s="1439" t="str">
        <f aca="false">'Смета Внутр'!C366</f>
        <v>м3</v>
      </c>
      <c r="D366" s="1439" t="n">
        <f aca="false">'Смета Внутр'!D366</f>
        <v>0</v>
      </c>
      <c r="E366" s="1439"/>
      <c r="F366" s="1439" t="n">
        <f aca="false">'Смета Внутр'!E366</f>
        <v>0</v>
      </c>
      <c r="G366" s="1439" t="n">
        <f aca="false">'Смета Внутр'!H366</f>
        <v>0</v>
      </c>
      <c r="H366" s="1439"/>
      <c r="I366" s="1439" t="n">
        <f aca="false">IF(F366&lt;H366,F366*(D366-E366),0)+IF(H366=0,(D366-E366)*F366,0)+IF(H366&lt;F366,H366*(D366-E366),0)</f>
        <v>0</v>
      </c>
      <c r="J366" s="1439" t="n">
        <f aca="false">G366-I366</f>
        <v>0</v>
      </c>
    </row>
    <row r="367" customFormat="false" ht="15" hidden="false" customHeight="true" outlineLevel="0" collapsed="false">
      <c r="B367" s="1439" t="str">
        <f aca="false">'Смета Внутр'!B367</f>
        <v>Газоблок D400 200х100х390 </v>
      </c>
      <c r="C367" s="1439" t="str">
        <f aca="false">'Смета Внутр'!C367</f>
        <v>м3</v>
      </c>
      <c r="D367" s="1439" t="n">
        <f aca="false">'Смета Внутр'!D367</f>
        <v>0</v>
      </c>
      <c r="E367" s="1439"/>
      <c r="F367" s="1439" t="n">
        <f aca="false">'Смета Внутр'!E367</f>
        <v>0</v>
      </c>
      <c r="G367" s="1439" t="n">
        <f aca="false">'Смета Внутр'!H367</f>
        <v>0</v>
      </c>
      <c r="H367" s="1439"/>
      <c r="I367" s="1439" t="n">
        <f aca="false">IF(F367&lt;H367,F367*(D367-E367),0)+IF(H367=0,(D367-E367)*F367,0)+IF(H367&lt;F367,H367*(D367-E367),0)</f>
        <v>0</v>
      </c>
      <c r="J367" s="1439" t="n">
        <f aca="false">G367-I367</f>
        <v>0</v>
      </c>
    </row>
    <row r="368" customFormat="false" ht="15" hidden="false" customHeight="true" outlineLevel="0" collapsed="false">
      <c r="B368" s="1439" t="str">
        <f aca="false">'Смета Внутр'!B368</f>
        <v>Газоблок поясной D400 200х300х390 </v>
      </c>
      <c r="C368" s="1439" t="str">
        <f aca="false">'Смета Внутр'!C368</f>
        <v>м3</v>
      </c>
      <c r="D368" s="1439" t="n">
        <f aca="false">'Смета Внутр'!D368</f>
        <v>4.8048</v>
      </c>
      <c r="E368" s="1439"/>
      <c r="F368" s="1439" t="n">
        <f aca="false">'Смета Внутр'!E368</f>
        <v>4200</v>
      </c>
      <c r="G368" s="1439" t="n">
        <f aca="false">'Смета Внутр'!H368</f>
        <v>0</v>
      </c>
      <c r="H368" s="1439"/>
      <c r="I368" s="1439" t="n">
        <f aca="false">IF(F368&lt;H368,F368*(D368-E368),0)+IF(H368=0,(D368-E368)*F368,0)+IF(H368&lt;F368,H368*(D368-E368),0)</f>
        <v>20180.16</v>
      </c>
      <c r="J368" s="1439" t="n">
        <f aca="false">G368-I368</f>
        <v>-20180.16</v>
      </c>
    </row>
    <row r="369" customFormat="false" ht="15" hidden="false" customHeight="true" outlineLevel="0" collapsed="false">
      <c r="B369" s="1439" t="str">
        <f aca="false">'Смета Внутр'!B369</f>
        <v>Поясной 200х300х600 угловой внешний</v>
      </c>
      <c r="C369" s="1439" t="str">
        <f aca="false">'Смета Внутр'!C369</f>
        <v>м3</v>
      </c>
      <c r="D369" s="1439" t="n">
        <f aca="false">'Смета Внутр'!D369</f>
        <v>0.1872</v>
      </c>
      <c r="E369" s="1439"/>
      <c r="F369" s="1439" t="n">
        <f aca="false">'Смета Внутр'!E369</f>
        <v>4200</v>
      </c>
      <c r="G369" s="1439" t="n">
        <f aca="false">'Смета Внутр'!H369</f>
        <v>0</v>
      </c>
      <c r="H369" s="1439"/>
      <c r="I369" s="1439" t="n">
        <f aca="false">IF(F369&lt;H369,F369*(D369-E369),0)+IF(H369=0,(D369-E369)*F369,0)+IF(H369&lt;F369,H369*(D369-E369),0)</f>
        <v>786.24</v>
      </c>
      <c r="J369" s="1439" t="n">
        <f aca="false">G369-I369</f>
        <v>-786.24</v>
      </c>
    </row>
    <row r="370" customFormat="false" ht="15" hidden="false" customHeight="true" outlineLevel="0" collapsed="false">
      <c r="B370" s="1439" t="str">
        <f aca="false">'Смета Внутр'!B370</f>
        <v>Поясной 200х300х600 угловой внутренний</v>
      </c>
      <c r="C370" s="1439" t="str">
        <f aca="false">'Смета Внутр'!C370</f>
        <v>м3</v>
      </c>
      <c r="D370" s="1439" t="n">
        <f aca="false">'Смета Внутр'!D370</f>
        <v>0</v>
      </c>
      <c r="E370" s="1439"/>
      <c r="F370" s="1439" t="n">
        <f aca="false">'Смета Внутр'!E370</f>
        <v>4200</v>
      </c>
      <c r="G370" s="1439" t="n">
        <f aca="false">'Смета Внутр'!H370</f>
        <v>0</v>
      </c>
      <c r="H370" s="1439"/>
      <c r="I370" s="1439" t="n">
        <f aca="false">IF(F370&lt;H370,F370*(D370-E370),0)+IF(H370=0,(D370-E370)*F370,0)+IF(H370&lt;F370,H370*(D370-E370),0)</f>
        <v>0</v>
      </c>
      <c r="J370" s="1439" t="n">
        <f aca="false">G370-I370</f>
        <v>0</v>
      </c>
    </row>
    <row r="371" customFormat="false" ht="15" hidden="false" customHeight="true" outlineLevel="0" collapsed="false">
      <c r="B371" s="1439" t="str">
        <f aca="false">'Смета Внутр'!B371</f>
        <v>200х300х600 угловой внешний</v>
      </c>
      <c r="C371" s="1439" t="str">
        <f aca="false">'Смета Внутр'!C371</f>
        <v>м3</v>
      </c>
      <c r="D371" s="1439" t="n">
        <f aca="false">'Смета Внутр'!D371</f>
        <v>3.168</v>
      </c>
      <c r="E371" s="1439"/>
      <c r="F371" s="1439" t="n">
        <f aca="false">'Смета Внутр'!E371</f>
        <v>4200</v>
      </c>
      <c r="G371" s="1439" t="n">
        <f aca="false">'Смета Внутр'!H371</f>
        <v>0</v>
      </c>
      <c r="H371" s="1439"/>
      <c r="I371" s="1439" t="n">
        <f aca="false">IF(F371&lt;H371,F371*(D371-E371),0)+IF(H371=0,(D371-E371)*F371,0)+IF(H371&lt;F371,H371*(D371-E371),0)</f>
        <v>13305.6</v>
      </c>
      <c r="J371" s="1439" t="n">
        <f aca="false">G371-I371</f>
        <v>-13305.6</v>
      </c>
    </row>
    <row r="372" customFormat="false" ht="15" hidden="false" customHeight="true" outlineLevel="0" collapsed="false">
      <c r="B372" s="1439" t="str">
        <f aca="false">'Смета Внутр'!B372</f>
        <v>200х300х600 угловой внутренний</v>
      </c>
      <c r="C372" s="1439" t="str">
        <f aca="false">'Смета Внутр'!C372</f>
        <v>м4</v>
      </c>
      <c r="D372" s="1439" t="n">
        <f aca="false">'Смета Внутр'!D372</f>
        <v>0</v>
      </c>
      <c r="E372" s="1439"/>
      <c r="F372" s="1439" t="n">
        <f aca="false">'Смета Внутр'!E372</f>
        <v>4200</v>
      </c>
      <c r="G372" s="1439" t="n">
        <f aca="false">'Смета Внутр'!H372</f>
        <v>0</v>
      </c>
      <c r="H372" s="1439"/>
      <c r="I372" s="1439" t="n">
        <f aca="false">IF(F372&lt;H372,F372*(D372-E372),0)+IF(H372=0,(D372-E372)*F372,0)+IF(H372&lt;F372,H372*(D372-E372),0)</f>
        <v>0</v>
      </c>
      <c r="J372" s="1439" t="n">
        <f aca="false">G372-I372</f>
        <v>0</v>
      </c>
    </row>
    <row r="373" customFormat="false" ht="15" hidden="false" customHeight="true" outlineLevel="0" collapsed="false">
      <c r="B373" s="1439" t="str">
        <f aca="false">'Смета Внутр'!B373</f>
        <v>Клей монтажный ВК-100</v>
      </c>
      <c r="C373" s="1439" t="str">
        <f aca="false">'Смета Внутр'!C373</f>
        <v>меш</v>
      </c>
      <c r="D373" s="1439" t="n">
        <f aca="false">'Смета Внутр'!D373</f>
        <v>0</v>
      </c>
      <c r="E373" s="1439"/>
      <c r="F373" s="1439" t="n">
        <f aca="false">'Смета Внутр'!E373</f>
        <v>185</v>
      </c>
      <c r="G373" s="1439" t="n">
        <f aca="false">'Смета Внутр'!H373</f>
        <v>0</v>
      </c>
      <c r="H373" s="1439"/>
      <c r="I373" s="1439" t="n">
        <f aca="false">IF(F373&lt;H373,F373*(D373-E373),0)+IF(H373=0,(D373-E373)*F373,0)+IF(H373&lt;F373,H373*(D373-E373),0)</f>
        <v>0</v>
      </c>
      <c r="J373" s="1439" t="n">
        <f aca="false">G373-I373</f>
        <v>0</v>
      </c>
    </row>
    <row r="374" customFormat="false" ht="15" hidden="false" customHeight="true" outlineLevel="0" collapsed="false">
      <c r="B374" s="1439" t="e">
        <f aca="false">'Смета Внутр'!B374</f>
        <v>#N/A</v>
      </c>
      <c r="C374" s="1439" t="str">
        <f aca="false">'Смета Внутр'!C374</f>
        <v>меш</v>
      </c>
      <c r="D374" s="1439" t="n">
        <f aca="false">'Смета Внутр'!D374</f>
        <v>-5.77047239682</v>
      </c>
      <c r="E374" s="1439"/>
      <c r="F374" s="1439" t="n">
        <f aca="false">'Смета Внутр'!E374</f>
        <v>0</v>
      </c>
      <c r="G374" s="1439" t="n">
        <f aca="false">'Смета Внутр'!H374</f>
        <v>0</v>
      </c>
      <c r="H374" s="1439"/>
      <c r="I374" s="1439" t="n">
        <f aca="false">IF(F374&lt;H374,F374*(D374-E374),0)+IF(H374=0,(D374-E374)*F374,0)+IF(H374&lt;F374,H374*(D374-E374),0)</f>
        <v>0</v>
      </c>
      <c r="J374" s="1439" t="n">
        <f aca="false">G374-I374</f>
        <v>0</v>
      </c>
    </row>
    <row r="375" customFormat="false" ht="15" hidden="false" customHeight="true" outlineLevel="0" collapsed="false">
      <c r="B375" s="1439" t="e">
        <f aca="false">'Смета Внутр'!B375</f>
        <v>#N/A</v>
      </c>
      <c r="C375" s="1439" t="str">
        <f aca="false">'Смета Внутр'!C375</f>
        <v>м3</v>
      </c>
      <c r="D375" s="1439" t="n">
        <f aca="false">'Смета Внутр'!D375</f>
        <v>-1.37392199924286</v>
      </c>
      <c r="E375" s="1439"/>
      <c r="F375" s="1439" t="n">
        <f aca="false">'Смета Внутр'!E375</f>
        <v>0</v>
      </c>
      <c r="G375" s="1439" t="n">
        <f aca="false">'Смета Внутр'!H375</f>
        <v>0</v>
      </c>
      <c r="H375" s="1439"/>
      <c r="I375" s="1439" t="n">
        <f aca="false">IF(F375&lt;H375,F375*(D375-E375),0)+IF(H375=0,(D375-E375)*F375,0)+IF(H375&lt;F375,H375*(D375-E375),0)</f>
        <v>0</v>
      </c>
      <c r="J375" s="1439" t="n">
        <f aca="false">G375-I375</f>
        <v>0</v>
      </c>
    </row>
    <row r="376" customFormat="false" ht="15" hidden="false" customHeight="true" outlineLevel="0" collapsed="false">
      <c r="B376" s="1439" t="str">
        <f aca="false">'Смета Внутр'!B376</f>
        <v>Доставка песка</v>
      </c>
      <c r="C376" s="1439" t="str">
        <f aca="false">'Смета Внутр'!C376</f>
        <v>маш</v>
      </c>
      <c r="D376" s="1439" t="n">
        <f aca="false">'Смета Внутр'!D376</f>
        <v>0</v>
      </c>
      <c r="E376" s="1439"/>
      <c r="F376" s="1439" t="n">
        <f aca="false">'Смета Внутр'!E376</f>
        <v>0</v>
      </c>
      <c r="G376" s="1439" t="n">
        <f aca="false">'Смета Внутр'!H376</f>
        <v>0</v>
      </c>
      <c r="H376" s="1439"/>
      <c r="I376" s="1439" t="n">
        <f aca="false">IF(F376&lt;H376,F376*(D376-E376),0)+IF(H376=0,(D376-E376)*F376,0)+IF(H376&lt;F376,H376*(D376-E376),0)</f>
        <v>0</v>
      </c>
      <c r="J376" s="1439" t="n">
        <f aca="false">G376-I376</f>
        <v>0</v>
      </c>
    </row>
    <row r="377" customFormat="false" ht="15" hidden="false" customHeight="true" outlineLevel="0" collapsed="false">
      <c r="B377" s="1439" t="e">
        <f aca="false">'Смета Внутр'!B377</f>
        <v>#N/A</v>
      </c>
      <c r="C377" s="1439" t="str">
        <f aca="false">'Смета Внутр'!C377</f>
        <v>м3</v>
      </c>
      <c r="D377" s="1439" t="n">
        <f aca="false">'Смета Внутр'!D377</f>
        <v>-1.37392199924286</v>
      </c>
      <c r="E377" s="1439"/>
      <c r="F377" s="1439" t="n">
        <f aca="false">'Смета Внутр'!E377</f>
        <v>0</v>
      </c>
      <c r="G377" s="1439" t="n">
        <f aca="false">'Смета Внутр'!H377</f>
        <v>0</v>
      </c>
      <c r="H377" s="1439"/>
      <c r="I377" s="1439" t="n">
        <f aca="false">IF(F377&lt;H377,F377*(D377-E377),0)+IF(H377=0,(D377-E377)*F377,0)+IF(H377&lt;F377,H377*(D377-E377),0)</f>
        <v>0</v>
      </c>
      <c r="J377" s="1439" t="n">
        <f aca="false">G377-I377</f>
        <v>0</v>
      </c>
    </row>
    <row r="378" customFormat="false" ht="15" hidden="false" customHeight="true" outlineLevel="0" collapsed="false">
      <c r="B378" s="1439" t="str">
        <f aca="false">'Смета Внутр'!B378</f>
        <v>Арматура М6 каждый 3-й ряд, 2 нити</v>
      </c>
      <c r="C378" s="1439" t="str">
        <f aca="false">'Смета Внутр'!C378</f>
        <v>м.п.</v>
      </c>
      <c r="D378" s="1439" t="n">
        <f aca="false">'Смета Внутр'!D378</f>
        <v>597.333333333333</v>
      </c>
      <c r="E378" s="1439"/>
      <c r="F378" s="1439" t="n">
        <f aca="false">'Смета Внутр'!E378</f>
        <v>0</v>
      </c>
      <c r="G378" s="1439" t="n">
        <f aca="false">'Смета Внутр'!H378</f>
        <v>0</v>
      </c>
      <c r="H378" s="1439"/>
      <c r="I378" s="1439" t="n">
        <f aca="false">IF(F378&lt;H378,F378*(D378-E378),0)+IF(H378=0,(D378-E378)*F378,0)+IF(H378&lt;F378,H378*(D378-E378),0)</f>
        <v>0</v>
      </c>
      <c r="J378" s="1439" t="n">
        <f aca="false">G378-I378</f>
        <v>0</v>
      </c>
    </row>
    <row r="379" customFormat="false" ht="15" hidden="false" customHeight="true" outlineLevel="0" collapsed="false">
      <c r="B379" s="1439" t="str">
        <f aca="false">'Смета Внутр'!B379</f>
        <v>Арматура М6 каждый 3-й ряд, 2 нити</v>
      </c>
      <c r="C379" s="1439" t="str">
        <f aca="false">'Смета Внутр'!C379</f>
        <v>м.п.</v>
      </c>
      <c r="D379" s="1439" t="n">
        <f aca="false">'Смета Внутр'!D379</f>
        <v>100</v>
      </c>
      <c r="E379" s="1439"/>
      <c r="F379" s="1439" t="n">
        <f aca="false">'Смета Внутр'!E379</f>
        <v>0</v>
      </c>
      <c r="G379" s="1439" t="n">
        <f aca="false">'Смета Внутр'!H379</f>
        <v>0</v>
      </c>
      <c r="H379" s="1439"/>
      <c r="I379" s="1439" t="n">
        <f aca="false">IF(F379&lt;H379,F379*(D379-E379),0)+IF(H379=0,(D379-E379)*F379,0)+IF(H379&lt;F379,H379*(D379-E379),0)</f>
        <v>0</v>
      </c>
      <c r="J379" s="1439" t="n">
        <f aca="false">G379-I379</f>
        <v>0</v>
      </c>
    </row>
    <row r="380" customFormat="false" ht="15" hidden="false" customHeight="true" outlineLevel="0" collapsed="false">
      <c r="B380" s="1439" t="str">
        <f aca="false">'Смета Внутр'!B380</f>
        <v>Перемычка оконная, 1-ый эт. Вариант 1</v>
      </c>
      <c r="C380" s="1439" t="str">
        <f aca="false">'Смета Внутр'!C380</f>
        <v>м.п.</v>
      </c>
      <c r="D380" s="1439" t="n">
        <f aca="false">'Смета Внутр'!D380</f>
        <v>1</v>
      </c>
      <c r="E380" s="1439"/>
      <c r="F380" s="1439" t="n">
        <f aca="false">'Смета Внутр'!E380</f>
        <v>1000</v>
      </c>
      <c r="G380" s="1439" t="n">
        <f aca="false">'Смета Внутр'!H380</f>
        <v>0</v>
      </c>
      <c r="H380" s="1439"/>
      <c r="I380" s="1439" t="n">
        <f aca="false">IF(F380&lt;H380,F380*(D380-E380),0)+IF(H380=0,(D380-E380)*F380,0)+IF(H380&lt;F380,H380*(D380-E380),0)</f>
        <v>1000</v>
      </c>
      <c r="J380" s="1439" t="n">
        <f aca="false">G380-I380</f>
        <v>-1000</v>
      </c>
    </row>
    <row r="381" customFormat="false" ht="15" hidden="false" customHeight="true" outlineLevel="0" collapsed="false">
      <c r="B381" s="1439" t="str">
        <f aca="false">'Смета Внутр'!B381</f>
        <v>Перемычка оконная, 1-ый эт. Вариант 2</v>
      </c>
      <c r="C381" s="1439" t="str">
        <f aca="false">'Смета Внутр'!C381</f>
        <v>м.п.</v>
      </c>
      <c r="D381" s="1439" t="n">
        <f aca="false">'Смета Внутр'!D381</f>
        <v>0</v>
      </c>
      <c r="E381" s="1439"/>
      <c r="F381" s="1439" t="n">
        <f aca="false">'Смета Внутр'!E381</f>
        <v>1000</v>
      </c>
      <c r="G381" s="1439" t="n">
        <f aca="false">'Смета Внутр'!H381</f>
        <v>0</v>
      </c>
      <c r="H381" s="1439"/>
      <c r="I381" s="1439" t="n">
        <f aca="false">IF(F381&lt;H381,F381*(D381-E381),0)+IF(H381=0,(D381-E381)*F381,0)+IF(H381&lt;F381,H381*(D381-E381),0)</f>
        <v>0</v>
      </c>
      <c r="J381" s="1439" t="n">
        <f aca="false">G381-I381</f>
        <v>0</v>
      </c>
    </row>
    <row r="382" customFormat="false" ht="15" hidden="false" customHeight="true" outlineLevel="0" collapsed="false">
      <c r="B382" s="1439" t="str">
        <f aca="false">'Смета Внутр'!B382</f>
        <v>Перемычка оконная, 1-ый эт. Вариант 3</v>
      </c>
      <c r="C382" s="1439" t="str">
        <f aca="false">'Смета Внутр'!C382</f>
        <v>м.п.</v>
      </c>
      <c r="D382" s="1439" t="n">
        <f aca="false">'Смета Внутр'!D382</f>
        <v>0</v>
      </c>
      <c r="E382" s="1439"/>
      <c r="F382" s="1439" t="n">
        <f aca="false">'Смета Внутр'!E382</f>
        <v>1000</v>
      </c>
      <c r="G382" s="1439" t="n">
        <f aca="false">'Смета Внутр'!H382</f>
        <v>0</v>
      </c>
      <c r="H382" s="1439"/>
      <c r="I382" s="1439" t="n">
        <f aca="false">IF(F382&lt;H382,F382*(D382-E382),0)+IF(H382=0,(D382-E382)*F382,0)+IF(H382&lt;F382,H382*(D382-E382),0)</f>
        <v>0</v>
      </c>
      <c r="J382" s="1439" t="n">
        <f aca="false">G382-I382</f>
        <v>0</v>
      </c>
    </row>
    <row r="383" customFormat="false" ht="15" hidden="false" customHeight="true" outlineLevel="0" collapsed="false">
      <c r="B383" s="1439" t="str">
        <f aca="false">'Смета Внутр'!B383</f>
        <v>Перемычка оконная, 1-ый эт. Вариант 4</v>
      </c>
      <c r="C383" s="1439" t="str">
        <f aca="false">'Смета Внутр'!C383</f>
        <v>м.п.</v>
      </c>
      <c r="D383" s="1439" t="n">
        <f aca="false">'Смета Внутр'!D383</f>
        <v>0</v>
      </c>
      <c r="E383" s="1439"/>
      <c r="F383" s="1439" t="n">
        <f aca="false">'Смета Внутр'!E383</f>
        <v>1000</v>
      </c>
      <c r="G383" s="1439" t="n">
        <f aca="false">'Смета Внутр'!H383</f>
        <v>0</v>
      </c>
      <c r="H383" s="1439"/>
      <c r="I383" s="1439" t="n">
        <f aca="false">IF(F383&lt;H383,F383*(D383-E383),0)+IF(H383=0,(D383-E383)*F383,0)+IF(H383&lt;F383,H383*(D383-E383),0)</f>
        <v>0</v>
      </c>
      <c r="J383" s="1439" t="n">
        <f aca="false">G383-I383</f>
        <v>0</v>
      </c>
    </row>
    <row r="384" customFormat="false" ht="15" hidden="false" customHeight="true" outlineLevel="0" collapsed="false">
      <c r="B384" s="1439" t="str">
        <f aca="false">'Смета Внутр'!B384</f>
        <v>Перемычка оконная, 1-ый эт. Вариант 5</v>
      </c>
      <c r="C384" s="1439" t="str">
        <f aca="false">'Смета Внутр'!C384</f>
        <v>м.п.</v>
      </c>
      <c r="D384" s="1439" t="n">
        <f aca="false">'Смета Внутр'!D384</f>
        <v>0</v>
      </c>
      <c r="E384" s="1439"/>
      <c r="F384" s="1439" t="n">
        <f aca="false">'Смета Внутр'!E384</f>
        <v>1000</v>
      </c>
      <c r="G384" s="1439" t="n">
        <f aca="false">'Смета Внутр'!H384</f>
        <v>0</v>
      </c>
      <c r="H384" s="1439"/>
      <c r="I384" s="1439" t="n">
        <f aca="false">IF(F384&lt;H384,F384*(D384-E384),0)+IF(H384=0,(D384-E384)*F384,0)+IF(H384&lt;F384,H384*(D384-E384),0)</f>
        <v>0</v>
      </c>
      <c r="J384" s="1439" t="n">
        <f aca="false">G384-I384</f>
        <v>0</v>
      </c>
    </row>
    <row r="385" customFormat="false" ht="15" hidden="false" customHeight="true" outlineLevel="0" collapsed="false">
      <c r="B385" s="1439" t="str">
        <f aca="false">'Смета Внутр'!B385</f>
        <v>Перемычка оконная, 2-ый эт. Вариант 6</v>
      </c>
      <c r="C385" s="1439" t="str">
        <f aca="false">'Смета Внутр'!C385</f>
        <v>м.п.</v>
      </c>
      <c r="D385" s="1439" t="n">
        <f aca="false">'Смета Внутр'!D385</f>
        <v>0</v>
      </c>
      <c r="E385" s="1439"/>
      <c r="F385" s="1439" t="n">
        <f aca="false">'Смета Внутр'!E385</f>
        <v>1000</v>
      </c>
      <c r="G385" s="1439" t="n">
        <f aca="false">'Смета Внутр'!H385</f>
        <v>0</v>
      </c>
      <c r="H385" s="1439"/>
      <c r="I385" s="1439" t="n">
        <f aca="false">IF(F385&lt;H385,F385*(D385-E385),0)+IF(H385=0,(D385-E385)*F385,0)+IF(H385&lt;F385,H385*(D385-E385),0)</f>
        <v>0</v>
      </c>
      <c r="J385" s="1439" t="n">
        <f aca="false">G385-I385</f>
        <v>0</v>
      </c>
    </row>
    <row r="386" customFormat="false" ht="15" hidden="false" customHeight="true" outlineLevel="0" collapsed="false">
      <c r="B386" s="1439" t="str">
        <f aca="false">'Смета Внутр'!B386</f>
        <v>Перемычка оконная, 2-ый эт. Вариант 7</v>
      </c>
      <c r="C386" s="1439" t="str">
        <f aca="false">'Смета Внутр'!C386</f>
        <v>м.п.</v>
      </c>
      <c r="D386" s="1439" t="n">
        <f aca="false">'Смета Внутр'!D386</f>
        <v>0</v>
      </c>
      <c r="E386" s="1439"/>
      <c r="F386" s="1439" t="n">
        <f aca="false">'Смета Внутр'!E386</f>
        <v>1000</v>
      </c>
      <c r="G386" s="1439" t="n">
        <f aca="false">'Смета Внутр'!H386</f>
        <v>0</v>
      </c>
      <c r="H386" s="1439"/>
      <c r="I386" s="1439" t="n">
        <f aca="false">IF(F386&lt;H386,F386*(D386-E386),0)+IF(H386=0,(D386-E386)*F386,0)+IF(H386&lt;F386,H386*(D386-E386),0)</f>
        <v>0</v>
      </c>
      <c r="J386" s="1439" t="n">
        <f aca="false">G386-I386</f>
        <v>0</v>
      </c>
    </row>
    <row r="387" customFormat="false" ht="15" hidden="false" customHeight="true" outlineLevel="0" collapsed="false">
      <c r="B387" s="1439" t="str">
        <f aca="false">'Смета Внутр'!B387</f>
        <v>Перемычка оконная, 2-ый эт. Вариант 8</v>
      </c>
      <c r="C387" s="1439" t="str">
        <f aca="false">'Смета Внутр'!C387</f>
        <v>м.п.</v>
      </c>
      <c r="D387" s="1439" t="n">
        <f aca="false">'Смета Внутр'!D387</f>
        <v>0</v>
      </c>
      <c r="E387" s="1439"/>
      <c r="F387" s="1439" t="n">
        <f aca="false">'Смета Внутр'!E387</f>
        <v>1000</v>
      </c>
      <c r="G387" s="1439" t="n">
        <f aca="false">'Смета Внутр'!H387</f>
        <v>0</v>
      </c>
      <c r="H387" s="1439"/>
      <c r="I387" s="1439" t="n">
        <f aca="false">IF(F387&lt;H387,F387*(D387-E387),0)+IF(H387=0,(D387-E387)*F387,0)+IF(H387&lt;F387,H387*(D387-E387),0)</f>
        <v>0</v>
      </c>
      <c r="J387" s="1439" t="n">
        <f aca="false">G387-I387</f>
        <v>0</v>
      </c>
    </row>
    <row r="388" customFormat="false" ht="15" hidden="false" customHeight="true" outlineLevel="0" collapsed="false">
      <c r="B388" s="1439" t="str">
        <f aca="false">'Смета Внутр'!B388</f>
        <v>Перемычка оконная, 2-ый эт. Вариант 9</v>
      </c>
      <c r="C388" s="1439" t="str">
        <f aca="false">'Смета Внутр'!C388</f>
        <v>м.п.</v>
      </c>
      <c r="D388" s="1439" t="n">
        <f aca="false">'Смета Внутр'!D388</f>
        <v>0</v>
      </c>
      <c r="E388" s="1439"/>
      <c r="F388" s="1439" t="n">
        <f aca="false">'Смета Внутр'!E388</f>
        <v>1000</v>
      </c>
      <c r="G388" s="1439" t="n">
        <f aca="false">'Смета Внутр'!H388</f>
        <v>0</v>
      </c>
      <c r="H388" s="1439"/>
      <c r="I388" s="1439" t="n">
        <f aca="false">IF(F388&lt;H388,F388*(D388-E388),0)+IF(H388=0,(D388-E388)*F388,0)+IF(H388&lt;F388,H388*(D388-E388),0)</f>
        <v>0</v>
      </c>
      <c r="J388" s="1439" t="n">
        <f aca="false">G388-I388</f>
        <v>0</v>
      </c>
    </row>
    <row r="389" customFormat="false" ht="15" hidden="false" customHeight="true" outlineLevel="0" collapsed="false">
      <c r="B389" s="1439" t="str">
        <f aca="false">'Смета Внутр'!B389</f>
        <v>Перемычка оконная, 2-ый эт. Вариант 10</v>
      </c>
      <c r="C389" s="1439" t="str">
        <f aca="false">'Смета Внутр'!C389</f>
        <v>м.п.</v>
      </c>
      <c r="D389" s="1439" t="n">
        <f aca="false">'Смета Внутр'!D389</f>
        <v>0</v>
      </c>
      <c r="E389" s="1439"/>
      <c r="F389" s="1439" t="n">
        <f aca="false">'Смета Внутр'!E389</f>
        <v>1000</v>
      </c>
      <c r="G389" s="1439" t="n">
        <f aca="false">'Смета Внутр'!H389</f>
        <v>0</v>
      </c>
      <c r="H389" s="1439"/>
      <c r="I389" s="1439" t="n">
        <f aca="false">IF(F389&lt;H389,F389*(D389-E389),0)+IF(H389=0,(D389-E389)*F389,0)+IF(H389&lt;F389,H389*(D389-E389),0)</f>
        <v>0</v>
      </c>
      <c r="J389" s="1439" t="n">
        <f aca="false">G389-I389</f>
        <v>0</v>
      </c>
    </row>
    <row r="390" customFormat="false" ht="15" hidden="false" customHeight="true" outlineLevel="0" collapsed="false">
      <c r="B390" s="1439" t="str">
        <f aca="false">'Смета Внутр'!B390</f>
        <v>Перемычка дверная, 1-ый эт. Вариант 1</v>
      </c>
      <c r="C390" s="1439" t="str">
        <f aca="false">'Смета Внутр'!C390</f>
        <v>м.п.</v>
      </c>
      <c r="D390" s="1439" t="n">
        <f aca="false">'Смета Внутр'!D390</f>
        <v>0</v>
      </c>
      <c r="E390" s="1439"/>
      <c r="F390" s="1439" t="n">
        <f aca="false">'Смета Внутр'!E390</f>
        <v>1000</v>
      </c>
      <c r="G390" s="1439" t="n">
        <f aca="false">'Смета Внутр'!H390</f>
        <v>0</v>
      </c>
      <c r="H390" s="1439"/>
      <c r="I390" s="1439" t="n">
        <f aca="false">IF(F390&lt;H390,F390*(D390-E390),0)+IF(H390=0,(D390-E390)*F390,0)+IF(H390&lt;F390,H390*(D390-E390),0)</f>
        <v>0</v>
      </c>
      <c r="J390" s="1439" t="n">
        <f aca="false">G390-I390</f>
        <v>0</v>
      </c>
    </row>
    <row r="391" customFormat="false" ht="15" hidden="false" customHeight="true" outlineLevel="0" collapsed="false">
      <c r="B391" s="1439" t="str">
        <f aca="false">'Смета Внутр'!B391</f>
        <v>Перемычка дверная, 2-ый эт. Вариант 2</v>
      </c>
      <c r="C391" s="1439" t="str">
        <f aca="false">'Смета Внутр'!C391</f>
        <v>м.п.</v>
      </c>
      <c r="D391" s="1439" t="n">
        <f aca="false">'Смета Внутр'!D391</f>
        <v>0</v>
      </c>
      <c r="E391" s="1439"/>
      <c r="F391" s="1439" t="n">
        <f aca="false">'Смета Внутр'!E391</f>
        <v>1000</v>
      </c>
      <c r="G391" s="1439" t="n">
        <f aca="false">'Смета Внутр'!H391</f>
        <v>0</v>
      </c>
      <c r="H391" s="1439"/>
      <c r="I391" s="1439" t="n">
        <f aca="false">IF(F391&lt;H391,F391*(D391-E391),0)+IF(H391=0,(D391-E391)*F391,0)+IF(H391&lt;F391,H391*(D391-E391),0)</f>
        <v>0</v>
      </c>
      <c r="J391" s="1439" t="n">
        <f aca="false">G391-I391</f>
        <v>0</v>
      </c>
    </row>
    <row r="392" customFormat="false" ht="15" hidden="false" customHeight="true" outlineLevel="0" collapsed="false">
      <c r="B392" s="1439" t="str">
        <f aca="false">'Смета Внутр'!B392</f>
        <v>Перемычка оконная 1-ый эт, Вариант 11</v>
      </c>
      <c r="C392" s="1439" t="str">
        <f aca="false">'Смета Внутр'!C392</f>
        <v>м.п.</v>
      </c>
      <c r="D392" s="1439" t="n">
        <f aca="false">'Смета Внутр'!D392</f>
        <v>0</v>
      </c>
      <c r="E392" s="1439"/>
      <c r="F392" s="1439" t="n">
        <f aca="false">'Смета Внутр'!E392</f>
        <v>1000</v>
      </c>
      <c r="G392" s="1439" t="n">
        <f aca="false">'Смета Внутр'!H392</f>
        <v>0</v>
      </c>
      <c r="H392" s="1439"/>
      <c r="I392" s="1439" t="n">
        <f aca="false">IF(F392&lt;H392,F392*(D392-E392),0)+IF(H392=0,(D392-E392)*F392,0)+IF(H392&lt;F392,H392*(D392-E392),0)</f>
        <v>0</v>
      </c>
      <c r="J392" s="1439" t="n">
        <f aca="false">G392-I392</f>
        <v>0</v>
      </c>
    </row>
    <row r="393" customFormat="false" ht="15" hidden="false" customHeight="true" outlineLevel="0" collapsed="false">
      <c r="B393" s="1439" t="str">
        <f aca="false">'Смета Внутр'!B393</f>
        <v>Перемычка оконная 1-ый эт, Вариант 12</v>
      </c>
      <c r="C393" s="1439" t="str">
        <f aca="false">'Смета Внутр'!C393</f>
        <v>м.п.</v>
      </c>
      <c r="D393" s="1439" t="n">
        <f aca="false">'Смета Внутр'!D393</f>
        <v>0</v>
      </c>
      <c r="E393" s="1439"/>
      <c r="F393" s="1439" t="n">
        <f aca="false">'Смета Внутр'!E393</f>
        <v>1000</v>
      </c>
      <c r="G393" s="1439" t="n">
        <f aca="false">'Смета Внутр'!H393</f>
        <v>0</v>
      </c>
      <c r="H393" s="1439"/>
      <c r="I393" s="1439" t="n">
        <f aca="false">IF(F393&lt;H393,F393*(D393-E393),0)+IF(H393=0,(D393-E393)*F393,0)+IF(H393&lt;F393,H393*(D393-E393),0)</f>
        <v>0</v>
      </c>
      <c r="J393" s="1439" t="n">
        <f aca="false">G393-I393</f>
        <v>0</v>
      </c>
    </row>
    <row r="394" customFormat="false" ht="15" hidden="false" customHeight="true" outlineLevel="0" collapsed="false">
      <c r="B394" s="1439" t="str">
        <f aca="false">'Смета Внутр'!B394</f>
        <v>Перемычка дверная, 1-ый эт. Вариант 4</v>
      </c>
      <c r="C394" s="1439" t="str">
        <f aca="false">'Смета Внутр'!C394</f>
        <v>м.п.</v>
      </c>
      <c r="D394" s="1439" t="n">
        <f aca="false">'Смета Внутр'!D394</f>
        <v>3</v>
      </c>
      <c r="E394" s="1439"/>
      <c r="F394" s="1439" t="n">
        <f aca="false">'Смета Внутр'!E394</f>
        <v>1000</v>
      </c>
      <c r="G394" s="1439" t="n">
        <f aca="false">'Смета Внутр'!H394</f>
        <v>0</v>
      </c>
      <c r="H394" s="1439"/>
      <c r="I394" s="1439" t="n">
        <f aca="false">IF(F394&lt;H394,F394*(D394-E394),0)+IF(H394=0,(D394-E394)*F394,0)+IF(H394&lt;F394,H394*(D394-E394),0)</f>
        <v>3000</v>
      </c>
      <c r="J394" s="1439" t="n">
        <f aca="false">G394-I394</f>
        <v>-3000</v>
      </c>
    </row>
    <row r="395" customFormat="false" ht="15" hidden="false" customHeight="true" outlineLevel="0" collapsed="false">
      <c r="B395" s="1439" t="str">
        <f aca="false">'Смета Внутр'!B395</f>
        <v>Перемычка дверная, 1-ый эт. Вариант 5</v>
      </c>
      <c r="C395" s="1439" t="str">
        <f aca="false">'Смета Внутр'!C395</f>
        <v>м.п.</v>
      </c>
      <c r="D395" s="1439" t="n">
        <f aca="false">'Смета Внутр'!D395</f>
        <v>0</v>
      </c>
      <c r="E395" s="1439"/>
      <c r="F395" s="1439" t="n">
        <f aca="false">'Смета Внутр'!E395</f>
        <v>1000</v>
      </c>
      <c r="G395" s="1439" t="n">
        <f aca="false">'Смета Внутр'!H395</f>
        <v>0</v>
      </c>
      <c r="H395" s="1439"/>
      <c r="I395" s="1439" t="n">
        <f aca="false">IF(F395&lt;H395,F395*(D395-E395),0)+IF(H395=0,(D395-E395)*F395,0)+IF(H395&lt;F395,H395*(D395-E395),0)</f>
        <v>0</v>
      </c>
      <c r="J395" s="1439" t="n">
        <f aca="false">G395-I395</f>
        <v>0</v>
      </c>
    </row>
    <row r="396" customFormat="false" ht="15" hidden="false" customHeight="true" outlineLevel="0" collapsed="false">
      <c r="B396" s="1439" t="str">
        <f aca="false">'Смета Внутр'!B396</f>
        <v>Перемычка дверная, 1-ый эт. Вариант 6</v>
      </c>
      <c r="C396" s="1439" t="str">
        <f aca="false">'Смета Внутр'!C396</f>
        <v>м.п.</v>
      </c>
      <c r="D396" s="1439" t="n">
        <f aca="false">'Смета Внутр'!D396</f>
        <v>0</v>
      </c>
      <c r="E396" s="1439"/>
      <c r="F396" s="1439" t="n">
        <f aca="false">'Смета Внутр'!E396</f>
        <v>1000</v>
      </c>
      <c r="G396" s="1439" t="n">
        <f aca="false">'Смета Внутр'!H396</f>
        <v>0</v>
      </c>
      <c r="H396" s="1439"/>
      <c r="I396" s="1439" t="n">
        <f aca="false">IF(F396&lt;H396,F396*(D396-E396),0)+IF(H396=0,(D396-E396)*F396,0)+IF(H396&lt;F396,H396*(D396-E396),0)</f>
        <v>0</v>
      </c>
      <c r="J396" s="1439" t="n">
        <f aca="false">G396-I396</f>
        <v>0</v>
      </c>
    </row>
    <row r="397" customFormat="false" ht="15" hidden="false" customHeight="true" outlineLevel="0" collapsed="false">
      <c r="B397" s="1439" t="str">
        <f aca="false">'Смета Внутр'!B397</f>
        <v>Перемычка дверная, 2-ый эт. Вариант 7</v>
      </c>
      <c r="C397" s="1439" t="str">
        <f aca="false">'Смета Внутр'!C397</f>
        <v>м.п.</v>
      </c>
      <c r="D397" s="1439" t="n">
        <f aca="false">'Смета Внутр'!D397</f>
        <v>0</v>
      </c>
      <c r="E397" s="1439"/>
      <c r="F397" s="1439" t="n">
        <f aca="false">'Смета Внутр'!E397</f>
        <v>1000</v>
      </c>
      <c r="G397" s="1439" t="n">
        <f aca="false">'Смета Внутр'!H397</f>
        <v>0</v>
      </c>
      <c r="H397" s="1439"/>
      <c r="I397" s="1439" t="n">
        <f aca="false">IF(F397&lt;H397,F397*(D397-E397),0)+IF(H397=0,(D397-E397)*F397,0)+IF(H397&lt;F397,H397*(D397-E397),0)</f>
        <v>0</v>
      </c>
      <c r="J397" s="1439" t="n">
        <f aca="false">G397-I397</f>
        <v>0</v>
      </c>
    </row>
    <row r="398" customFormat="false" ht="15" hidden="false" customHeight="true" outlineLevel="0" collapsed="false">
      <c r="B398" s="1439" t="str">
        <f aca="false">'Смета Внутр'!B398</f>
        <v>Перемычка дверная, 2-ый эт. Вариант 8</v>
      </c>
      <c r="C398" s="1439" t="str">
        <f aca="false">'Смета Внутр'!C398</f>
        <v>м.п.</v>
      </c>
      <c r="D398" s="1439" t="n">
        <f aca="false">'Смета Внутр'!D398</f>
        <v>0</v>
      </c>
      <c r="E398" s="1439"/>
      <c r="F398" s="1439" t="n">
        <f aca="false">'Смета Внутр'!E398</f>
        <v>1000</v>
      </c>
      <c r="G398" s="1439" t="n">
        <f aca="false">'Смета Внутр'!H398</f>
        <v>0</v>
      </c>
      <c r="H398" s="1439"/>
      <c r="I398" s="1439" t="n">
        <f aca="false">IF(F398&lt;H398,F398*(D398-E398),0)+IF(H398=0,(D398-E398)*F398,0)+IF(H398&lt;F398,H398*(D398-E398),0)</f>
        <v>0</v>
      </c>
      <c r="J398" s="1439" t="n">
        <f aca="false">G398-I398</f>
        <v>0</v>
      </c>
    </row>
    <row r="399" customFormat="false" ht="15" hidden="false" customHeight="true" outlineLevel="0" collapsed="false">
      <c r="B399" s="1439" t="str">
        <f aca="false">'Смета Внутр'!B399</f>
        <v>Перемычка дверная, 2-ый эт. Вариант 9</v>
      </c>
      <c r="C399" s="1439" t="str">
        <f aca="false">'Смета Внутр'!C399</f>
        <v>м.п.</v>
      </c>
      <c r="D399" s="1439" t="n">
        <f aca="false">'Смета Внутр'!D399</f>
        <v>0</v>
      </c>
      <c r="E399" s="1439"/>
      <c r="F399" s="1439" t="n">
        <f aca="false">'Смета Внутр'!E399</f>
        <v>1000</v>
      </c>
      <c r="G399" s="1439" t="n">
        <f aca="false">'Смета Внутр'!H399</f>
        <v>0</v>
      </c>
      <c r="H399" s="1439"/>
      <c r="I399" s="1439" t="n">
        <f aca="false">IF(F399&lt;H399,F399*(D399-E399),0)+IF(H399=0,(D399-E399)*F399,0)+IF(H399&lt;F399,H399*(D399-E399),0)</f>
        <v>0</v>
      </c>
      <c r="J399" s="1439" t="n">
        <f aca="false">G399-I399</f>
        <v>0</v>
      </c>
    </row>
    <row r="400" customFormat="false" ht="15" hidden="false" customHeight="true" outlineLevel="0" collapsed="false">
      <c r="B400" s="1439" t="str">
        <f aca="false">'Смета Внутр'!B400</f>
        <v>Перемычка проема, 1-ый эт. Вариант 10</v>
      </c>
      <c r="C400" s="1439" t="str">
        <f aca="false">'Смета Внутр'!C400</f>
        <v>м.п.</v>
      </c>
      <c r="D400" s="1439" t="n">
        <f aca="false">'Смета Внутр'!D400</f>
        <v>0</v>
      </c>
      <c r="E400" s="1439"/>
      <c r="F400" s="1439" t="n">
        <f aca="false">'Смета Внутр'!E400</f>
        <v>1000</v>
      </c>
      <c r="G400" s="1439" t="n">
        <f aca="false">'Смета Внутр'!H400</f>
        <v>0</v>
      </c>
      <c r="H400" s="1439"/>
      <c r="I400" s="1439" t="n">
        <f aca="false">IF(F400&lt;H400,F400*(D400-E400),0)+IF(H400=0,(D400-E400)*F400,0)+IF(H400&lt;F400,H400*(D400-E400),0)</f>
        <v>0</v>
      </c>
      <c r="J400" s="1439" t="n">
        <f aca="false">G400-I400</f>
        <v>0</v>
      </c>
    </row>
    <row r="401" customFormat="false" ht="15" hidden="false" customHeight="true" outlineLevel="0" collapsed="false">
      <c r="B401" s="1439" t="str">
        <f aca="false">'Смета Внутр'!B401</f>
        <v>Перемычка проема, 1-ый эт. Вариант 11</v>
      </c>
      <c r="C401" s="1439" t="str">
        <f aca="false">'Смета Внутр'!C401</f>
        <v>м.п.</v>
      </c>
      <c r="D401" s="1439" t="n">
        <f aca="false">'Смета Внутр'!D401</f>
        <v>0</v>
      </c>
      <c r="E401" s="1439"/>
      <c r="F401" s="1439" t="n">
        <f aca="false">'Смета Внутр'!E401</f>
        <v>1000</v>
      </c>
      <c r="G401" s="1439" t="n">
        <f aca="false">'Смета Внутр'!H401</f>
        <v>0</v>
      </c>
      <c r="H401" s="1439"/>
      <c r="I401" s="1439" t="n">
        <f aca="false">IF(F401&lt;H401,F401*(D401-E401),0)+IF(H401=0,(D401-E401)*F401,0)+IF(H401&lt;F401,H401*(D401-E401),0)</f>
        <v>0</v>
      </c>
      <c r="J401" s="1439" t="n">
        <f aca="false">G401-I401</f>
        <v>0</v>
      </c>
    </row>
    <row r="402" customFormat="false" ht="15" hidden="false" customHeight="true" outlineLevel="0" collapsed="false">
      <c r="B402" s="1439" t="str">
        <f aca="false">'Смета Внутр'!B402</f>
        <v>Перемычка проема, 2-ый эт. Вариант 12</v>
      </c>
      <c r="C402" s="1439" t="str">
        <f aca="false">'Смета Внутр'!C402</f>
        <v>м.п.</v>
      </c>
      <c r="D402" s="1439" t="n">
        <f aca="false">'Смета Внутр'!D402</f>
        <v>0</v>
      </c>
      <c r="E402" s="1439"/>
      <c r="F402" s="1439" t="n">
        <f aca="false">'Смета Внутр'!E402</f>
        <v>1000</v>
      </c>
      <c r="G402" s="1439" t="n">
        <f aca="false">'Смета Внутр'!H402</f>
        <v>0</v>
      </c>
      <c r="H402" s="1439"/>
      <c r="I402" s="1439" t="n">
        <f aca="false">IF(F402&lt;H402,F402*(D402-E402),0)+IF(H402=0,(D402-E402)*F402,0)+IF(H402&lt;F402,H402*(D402-E402),0)</f>
        <v>0</v>
      </c>
      <c r="J402" s="1439" t="n">
        <f aca="false">G402-I402</f>
        <v>0</v>
      </c>
    </row>
    <row r="403" customFormat="false" ht="15" hidden="false" customHeight="true" outlineLevel="0" collapsed="false">
      <c r="B403" s="1439" t="str">
        <f aca="false">'Смета Внутр'!B403</f>
        <v>Перемычка проема, 2-ый эт. Вариант 13</v>
      </c>
      <c r="C403" s="1439" t="str">
        <f aca="false">'Смета Внутр'!C403</f>
        <v>м.п.</v>
      </c>
      <c r="D403" s="1439" t="n">
        <f aca="false">'Смета Внутр'!D403</f>
        <v>0</v>
      </c>
      <c r="E403" s="1439"/>
      <c r="F403" s="1439" t="n">
        <f aca="false">'Смета Внутр'!E403</f>
        <v>1000</v>
      </c>
      <c r="G403" s="1439" t="n">
        <f aca="false">'Смета Внутр'!H403</f>
        <v>0</v>
      </c>
      <c r="H403" s="1439"/>
      <c r="I403" s="1439" t="n">
        <f aca="false">IF(F403&lt;H403,F403*(D403-E403),0)+IF(H403=0,(D403-E403)*F403,0)+IF(H403&lt;F403,H403*(D403-E403),0)</f>
        <v>0</v>
      </c>
      <c r="J403" s="1439" t="n">
        <f aca="false">G403-I403</f>
        <v>0</v>
      </c>
    </row>
    <row r="404" customFormat="false" ht="15" hidden="false" customHeight="true" outlineLevel="0" collapsed="false">
      <c r="B404" s="1439" t="str">
        <f aca="false">'Смета Внутр'!B404</f>
        <v>Перемычка дверная, 1-ый эт. Вариант 1</v>
      </c>
      <c r="C404" s="1439" t="str">
        <f aca="false">'Смета Внутр'!C404</f>
        <v>м.п.</v>
      </c>
      <c r="D404" s="1439" t="n">
        <f aca="false">'Смета Внутр'!D404</f>
        <v>0</v>
      </c>
      <c r="E404" s="1439"/>
      <c r="F404" s="1439" t="n">
        <f aca="false">'Смета Внутр'!E404</f>
        <v>1000</v>
      </c>
      <c r="G404" s="1439" t="n">
        <f aca="false">'Смета Внутр'!H404</f>
        <v>0</v>
      </c>
      <c r="H404" s="1439"/>
      <c r="I404" s="1439" t="n">
        <f aca="false">IF(F404&lt;H404,F404*(D404-E404),0)+IF(H404=0,(D404-E404)*F404,0)+IF(H404&lt;F404,H404*(D404-E404),0)</f>
        <v>0</v>
      </c>
      <c r="J404" s="1439" t="n">
        <f aca="false">G404-I404</f>
        <v>0</v>
      </c>
    </row>
    <row r="405" customFormat="false" ht="15" hidden="false" customHeight="true" outlineLevel="0" collapsed="false">
      <c r="B405" s="1439" t="str">
        <f aca="false">'Смета Внутр'!B405</f>
        <v>Перемычка дверная, 1-ый эт. Вариант 2</v>
      </c>
      <c r="C405" s="1439" t="str">
        <f aca="false">'Смета Внутр'!C405</f>
        <v>м.п.</v>
      </c>
      <c r="D405" s="1439" t="n">
        <f aca="false">'Смета Внутр'!D405</f>
        <v>1</v>
      </c>
      <c r="E405" s="1439"/>
      <c r="F405" s="1439" t="n">
        <f aca="false">'Смета Внутр'!E405</f>
        <v>1000</v>
      </c>
      <c r="G405" s="1439" t="n">
        <f aca="false">'Смета Внутр'!H405</f>
        <v>0</v>
      </c>
      <c r="H405" s="1439"/>
      <c r="I405" s="1439" t="n">
        <f aca="false">IF(F405&lt;H405,F405*(D405-E405),0)+IF(H405=0,(D405-E405)*F405,0)+IF(H405&lt;F405,H405*(D405-E405),0)</f>
        <v>1000</v>
      </c>
      <c r="J405" s="1439" t="n">
        <f aca="false">G405-I405</f>
        <v>-1000</v>
      </c>
    </row>
    <row r="406" customFormat="false" ht="15" hidden="false" customHeight="true" outlineLevel="0" collapsed="false">
      <c r="B406" s="1439" t="str">
        <f aca="false">'Смета Внутр'!B406</f>
        <v>Перемычка дверная, 1-ый эт. Вариант 3</v>
      </c>
      <c r="C406" s="1439" t="str">
        <f aca="false">'Смета Внутр'!C406</f>
        <v>м.п.</v>
      </c>
      <c r="D406" s="1439" t="n">
        <f aca="false">'Смета Внутр'!D406</f>
        <v>0</v>
      </c>
      <c r="E406" s="1439"/>
      <c r="F406" s="1439" t="n">
        <f aca="false">'Смета Внутр'!E406</f>
        <v>1000</v>
      </c>
      <c r="G406" s="1439" t="n">
        <f aca="false">'Смета Внутр'!H406</f>
        <v>0</v>
      </c>
      <c r="H406" s="1439"/>
      <c r="I406" s="1439" t="n">
        <f aca="false">IF(F406&lt;H406,F406*(D406-E406),0)+IF(H406=0,(D406-E406)*F406,0)+IF(H406&lt;F406,H406*(D406-E406),0)</f>
        <v>0</v>
      </c>
      <c r="J406" s="1439" t="n">
        <f aca="false">G406-I406</f>
        <v>0</v>
      </c>
    </row>
    <row r="407" customFormat="false" ht="15" hidden="false" customHeight="true" outlineLevel="0" collapsed="false">
      <c r="B407" s="1439" t="str">
        <f aca="false">'Смета Внутр'!B407</f>
        <v>Сосна влаж,200*40мм</v>
      </c>
      <c r="C407" s="1439" t="str">
        <f aca="false">'Смета Внутр'!C407</f>
        <v>м3</v>
      </c>
      <c r="D407" s="1439" t="n">
        <f aca="false">'Смета Внутр'!D407</f>
        <v>1.8512</v>
      </c>
      <c r="E407" s="1439"/>
      <c r="F407" s="1439" t="n">
        <f aca="false">'Смета Внутр'!E407</f>
        <v>6500</v>
      </c>
      <c r="G407" s="1439" t="n">
        <f aca="false">'Смета Внутр'!H407</f>
        <v>0</v>
      </c>
      <c r="H407" s="1439"/>
      <c r="I407" s="1439" t="n">
        <f aca="false">IF(F407&lt;H407,F407*(D407-E407),0)+IF(H407=0,(D407-E407)*F407,0)+IF(H407&lt;F407,H407*(D407-E407),0)</f>
        <v>12032.8</v>
      </c>
      <c r="J407" s="1439" t="n">
        <f aca="false">G407-I407</f>
        <v>-12032.8</v>
      </c>
    </row>
    <row r="408" customFormat="false" ht="15" hidden="false" customHeight="true" outlineLevel="0" collapsed="false">
      <c r="B408" s="1439" t="str">
        <f aca="false">'Смета Внутр'!B408</f>
        <v>Сейсмопояс Арматура М10 4 нити</v>
      </c>
      <c r="C408" s="1439" t="str">
        <f aca="false">'Смета Внутр'!C408</f>
        <v>м.п.</v>
      </c>
      <c r="D408" s="1439" t="n">
        <f aca="false">'Смета Внутр'!D408</f>
        <v>281.6</v>
      </c>
      <c r="E408" s="1439"/>
      <c r="F408" s="1439" t="n">
        <f aca="false">'Смета Внутр'!E408</f>
        <v>21.0397</v>
      </c>
      <c r="G408" s="1439" t="n">
        <f aca="false">'Смета Внутр'!H408</f>
        <v>0</v>
      </c>
      <c r="H408" s="1439"/>
      <c r="I408" s="1439" t="n">
        <f aca="false">IF(F408&lt;H408,F408*(D408-E408),0)+IF(H408=0,(D408-E408)*F408,0)+IF(H408&lt;F408,H408*(D408-E408),0)</f>
        <v>5924.77952</v>
      </c>
      <c r="J408" s="1439" t="n">
        <f aca="false">G408-I408</f>
        <v>-5924.77952</v>
      </c>
    </row>
    <row r="409" customFormat="false" ht="15" hidden="false" customHeight="true" outlineLevel="0" collapsed="false">
      <c r="B409" s="1439" t="str">
        <f aca="false">'Смета Внутр'!B409</f>
        <v>Хомут для сейсмопояса Арматура М6, шаг 400мм</v>
      </c>
      <c r="C409" s="1439" t="str">
        <f aca="false">'Смета Внутр'!C409</f>
        <v>м.п.</v>
      </c>
      <c r="D409" s="1439" t="n">
        <f aca="false">'Смета Внутр'!D409</f>
        <v>144</v>
      </c>
      <c r="E409" s="1439"/>
      <c r="F409" s="1439" t="n">
        <f aca="false">'Смета Внутр'!E409</f>
        <v>0</v>
      </c>
      <c r="G409" s="1439" t="n">
        <f aca="false">'Смета Внутр'!H409</f>
        <v>0</v>
      </c>
      <c r="H409" s="1439"/>
      <c r="I409" s="1439" t="n">
        <f aca="false">IF(F409&lt;H409,F409*(D409-E409),0)+IF(H409=0,(D409-E409)*F409,0)+IF(H409&lt;F409,H409*(D409-E409),0)</f>
        <v>0</v>
      </c>
      <c r="J409" s="1439" t="n">
        <f aca="false">G409-I409</f>
        <v>0</v>
      </c>
    </row>
    <row r="410" customFormat="false" ht="15" hidden="false" customHeight="true" outlineLevel="0" collapsed="false">
      <c r="B410" s="1439" t="str">
        <f aca="false">'Смета Внутр'!B410</f>
        <v>Бетон, м300</v>
      </c>
      <c r="C410" s="1439" t="str">
        <f aca="false">'Смета Внутр'!C410</f>
        <v>м3</v>
      </c>
      <c r="D410" s="1439" t="n">
        <f aca="false">'Смета Внутр'!D410</f>
        <v>2.8833</v>
      </c>
      <c r="E410" s="1439"/>
      <c r="F410" s="1439" t="n">
        <f aca="false">'Смета Внутр'!E410</f>
        <v>3000</v>
      </c>
      <c r="G410" s="1439" t="n">
        <f aca="false">'Смета Внутр'!H410</f>
        <v>0</v>
      </c>
      <c r="H410" s="1439"/>
      <c r="I410" s="1439" t="n">
        <f aca="false">IF(F410&lt;H410,F410*(D410-E410),0)+IF(H410=0,(D410-E410)*F410,0)+IF(H410&lt;F410,H410*(D410-E410),0)</f>
        <v>8649.9</v>
      </c>
      <c r="J410" s="1439" t="n">
        <f aca="false">G410-I410</f>
        <v>-8649.9</v>
      </c>
    </row>
    <row r="411" customFormat="false" ht="15" hidden="false" customHeight="true" outlineLevel="0" collapsed="false">
      <c r="B411" s="1439" t="str">
        <f aca="false">'Смета Внутр'!B411</f>
        <v>Нет</v>
      </c>
      <c r="C411" s="1439" t="str">
        <f aca="false">'Смета Внутр'!C411</f>
        <v>м3</v>
      </c>
      <c r="D411" s="1439" t="n">
        <f aca="false">'Смета Внутр'!D411</f>
        <v>0</v>
      </c>
      <c r="E411" s="1439"/>
      <c r="F411" s="1439" t="n">
        <f aca="false">'Смета Внутр'!E411</f>
        <v>0</v>
      </c>
      <c r="G411" s="1439" t="n">
        <f aca="false">'Смета Внутр'!H411</f>
        <v>0</v>
      </c>
      <c r="H411" s="1439"/>
      <c r="I411" s="1439" t="n">
        <f aca="false">IF(F411&lt;H411,F411*(D411-E411),0)+IF(H411=0,(D411-E411)*F411,0)+IF(H411&lt;F411,H411*(D411-E411),0)</f>
        <v>0</v>
      </c>
      <c r="J411" s="1439" t="n">
        <f aca="false">G411-I411</f>
        <v>0</v>
      </c>
    </row>
    <row r="412" customFormat="false" ht="15" hidden="false" customHeight="true" outlineLevel="0" collapsed="false">
      <c r="B412" s="1439" t="str">
        <f aca="false">'Смета Внутр'!B412</f>
        <v>Грибок для крепления утеплителя</v>
      </c>
      <c r="C412" s="1439" t="str">
        <f aca="false">'Смета Внутр'!C412</f>
        <v>шт</v>
      </c>
      <c r="D412" s="1439" t="n">
        <f aca="false">'Смета Внутр'!D412</f>
        <v>0</v>
      </c>
      <c r="E412" s="1439"/>
      <c r="F412" s="1439" t="n">
        <f aca="false">'Смета Внутр'!E412</f>
        <v>15</v>
      </c>
      <c r="G412" s="1439" t="n">
        <f aca="false">'Смета Внутр'!H412</f>
        <v>0</v>
      </c>
      <c r="H412" s="1439"/>
      <c r="I412" s="1439" t="n">
        <f aca="false">IF(F412&lt;H412,F412*(D412-E412),0)+IF(H412=0,(D412-E412)*F412,0)+IF(H412&lt;F412,H412*(D412-E412),0)</f>
        <v>0</v>
      </c>
      <c r="J412" s="1439" t="n">
        <f aca="false">G412-I412</f>
        <v>0</v>
      </c>
    </row>
    <row r="413" customFormat="false" ht="15" hidden="false" customHeight="true" outlineLevel="0" collapsed="false">
      <c r="B413" s="1439" t="str">
        <f aca="false">'Смета Внутр'!B413</f>
        <v>нет ветроизоляции</v>
      </c>
      <c r="C413" s="1439" t="str">
        <f aca="false">'Смета Внутр'!C413</f>
        <v>м2</v>
      </c>
      <c r="D413" s="1439" t="n">
        <f aca="false">'Смета Внутр'!D413</f>
        <v>0</v>
      </c>
      <c r="E413" s="1439"/>
      <c r="F413" s="1439" t="n">
        <f aca="false">'Смета Внутр'!E413</f>
        <v>0</v>
      </c>
      <c r="G413" s="1439" t="n">
        <f aca="false">'Смета Внутр'!H413</f>
        <v>0</v>
      </c>
      <c r="H413" s="1439"/>
      <c r="I413" s="1439" t="n">
        <f aca="false">IF(F413&lt;H413,F413*(D413-E413),0)+IF(H413=0,(D413-E413)*F413,0)+IF(H413&lt;F413,H413*(D413-E413),0)</f>
        <v>0</v>
      </c>
      <c r="J413" s="1439" t="n">
        <f aca="false">G413-I413</f>
        <v>0</v>
      </c>
    </row>
    <row r="414" customFormat="false" ht="15" hidden="false" customHeight="true" outlineLevel="0" collapsed="false">
      <c r="B414" s="1692" t="s">
        <v>4332</v>
      </c>
      <c r="C414" s="1692"/>
      <c r="D414" s="1692"/>
      <c r="E414" s="1692"/>
      <c r="F414" s="1692"/>
      <c r="G414" s="1439" t="n">
        <f aca="false">'Смета Внутр'!H414</f>
        <v>0</v>
      </c>
      <c r="H414" s="3181"/>
      <c r="I414" s="1439"/>
      <c r="J414" s="1439"/>
    </row>
    <row r="415" customFormat="false" ht="15" hidden="false" customHeight="true" outlineLevel="0" collapsed="false">
      <c r="B415" s="1268" t="str">
        <f aca="false">'Смета Внутр'!B415</f>
        <v>Работы</v>
      </c>
      <c r="C415" s="1268"/>
      <c r="D415" s="1268"/>
      <c r="E415" s="1268"/>
      <c r="F415" s="1268"/>
      <c r="G415" s="3173" t="n">
        <f aca="false">'Смета Внутр'!H415</f>
        <v>0</v>
      </c>
      <c r="H415" s="3182"/>
      <c r="I415" s="3180" t="n">
        <f aca="false">IF(F415&lt;H415,F415*(D415-E415),0)+IF(H415=0,(D415-E415)*F415,0)+IF(H415&lt;F415,H415*(D415-E415),0)</f>
        <v>0</v>
      </c>
      <c r="J415" s="3180" t="n">
        <f aca="false">G415-I415</f>
        <v>0</v>
      </c>
    </row>
    <row r="416" customFormat="false" ht="15" hidden="false" customHeight="true" outlineLevel="0" collapsed="false">
      <c r="B416" s="1439" t="str">
        <f aca="false">'Смета Внутр'!B416</f>
        <v>кладка газобетона несущие стены</v>
      </c>
      <c r="C416" s="1439" t="str">
        <f aca="false">'Смета Внутр'!C416</f>
        <v>м3</v>
      </c>
      <c r="D416" s="1439" t="n">
        <f aca="false">'Смета Внутр'!D416</f>
        <v>-4.992</v>
      </c>
      <c r="E416" s="1439"/>
      <c r="F416" s="1439" t="n">
        <f aca="false">'Смета Внутр'!E416</f>
        <v>3500</v>
      </c>
      <c r="G416" s="1439" t="n">
        <f aca="false">'Смета Внутр'!H416</f>
        <v>0</v>
      </c>
      <c r="H416" s="1439"/>
      <c r="I416" s="1439" t="n">
        <f aca="false">IF(F416&lt;H416,F416*(D416-E416),0)+IF(H416=0,(D416-E416)*F416,0)+IF(H416&lt;F416,H416*(D416-E416),0)</f>
        <v>-17472</v>
      </c>
      <c r="J416" s="1439" t="n">
        <f aca="false">G416-I416</f>
        <v>17472</v>
      </c>
    </row>
    <row r="417" customFormat="false" ht="15" hidden="false" customHeight="true" outlineLevel="0" collapsed="false">
      <c r="B417" s="1439" t="str">
        <f aca="false">'Смета Внутр'!B417</f>
        <v>кладка газобетона несущие перегородки</v>
      </c>
      <c r="C417" s="1439" t="str">
        <f aca="false">'Смета Внутр'!C417</f>
        <v>м3</v>
      </c>
      <c r="D417" s="1439" t="n">
        <f aca="false">'Смета Внутр'!D417</f>
        <v>0</v>
      </c>
      <c r="E417" s="1439"/>
      <c r="F417" s="1439" t="n">
        <f aca="false">'Смета Внутр'!E417</f>
        <v>3500</v>
      </c>
      <c r="G417" s="1439" t="n">
        <f aca="false">'Смета Внутр'!H417</f>
        <v>0</v>
      </c>
      <c r="H417" s="1439"/>
      <c r="I417" s="1439" t="n">
        <f aca="false">IF(F417&lt;H417,F417*(D417-E417),0)+IF(H417=0,(D417-E417)*F417,0)+IF(H417&lt;F417,H417*(D417-E417),0)</f>
        <v>0</v>
      </c>
      <c r="J417" s="1439" t="n">
        <f aca="false">G417-I417</f>
        <v>0</v>
      </c>
    </row>
    <row r="418" customFormat="false" ht="15" hidden="false" customHeight="true" outlineLevel="0" collapsed="false">
      <c r="B418" s="1439" t="str">
        <f aca="false">'Смета Внутр'!B418</f>
        <v>кладка газобетона перегородки</v>
      </c>
      <c r="C418" s="1439" t="str">
        <f aca="false">'Смета Внутр'!C418</f>
        <v>м2</v>
      </c>
      <c r="D418" s="1439" t="n">
        <f aca="false">'Смета Внутр'!D418</f>
        <v>0</v>
      </c>
      <c r="E418" s="1439"/>
      <c r="F418" s="1439" t="n">
        <f aca="false">'Смета Внутр'!E418</f>
        <v>500</v>
      </c>
      <c r="G418" s="1439" t="n">
        <f aca="false">'Смета Внутр'!H418</f>
        <v>0</v>
      </c>
      <c r="H418" s="1439"/>
      <c r="I418" s="1439" t="n">
        <f aca="false">IF(F418&lt;H418,F418*(D418-E418),0)+IF(H418=0,(D418-E418)*F418,0)+IF(H418&lt;F418,H418*(D418-E418),0)</f>
        <v>0</v>
      </c>
      <c r="J418" s="1439" t="n">
        <f aca="false">G418-I418</f>
        <v>0</v>
      </c>
    </row>
    <row r="419" customFormat="false" ht="15" hidden="false" customHeight="true" outlineLevel="0" collapsed="false">
      <c r="B419" s="1439" t="str">
        <f aca="false">'Смета Внутр'!B419</f>
        <v>изготовление и монтаж перемычек для окон и дверей</v>
      </c>
      <c r="C419" s="1439" t="str">
        <f aca="false">'Смета Внутр'!C419</f>
        <v>м.п.</v>
      </c>
      <c r="D419" s="1439" t="n">
        <f aca="false">'Смета Внутр'!D419</f>
        <v>10.49</v>
      </c>
      <c r="E419" s="1439"/>
      <c r="F419" s="1439" t="n">
        <f aca="false">'Смета Внутр'!E419</f>
        <v>500</v>
      </c>
      <c r="G419" s="1439" t="n">
        <f aca="false">'Смета Внутр'!H419</f>
        <v>0</v>
      </c>
      <c r="H419" s="1439"/>
      <c r="I419" s="1439" t="n">
        <f aca="false">IF(F419&lt;H419,F419*(D419-E419),0)+IF(H419=0,(D419-E419)*F419,0)+IF(H419&lt;F419,H419*(D419-E419),0)</f>
        <v>5245</v>
      </c>
      <c r="J419" s="1439" t="n">
        <f aca="false">G419-I419</f>
        <v>-5245</v>
      </c>
    </row>
    <row r="420" customFormat="false" ht="15" hidden="false" customHeight="true" outlineLevel="0" collapsed="false">
      <c r="B420" s="1439" t="str">
        <f aca="false">'Смета Внутр'!B420</f>
        <v>Замешивание раствора</v>
      </c>
      <c r="C420" s="1439" t="str">
        <f aca="false">'Смета Внутр'!C420</f>
        <v>м3</v>
      </c>
      <c r="D420" s="1439" t="n">
        <f aca="false">'Смета Внутр'!D420</f>
        <v>-1.37392199924286</v>
      </c>
      <c r="E420" s="1439"/>
      <c r="F420" s="1439" t="n">
        <f aca="false">'Смета Внутр'!E420</f>
        <v>1500</v>
      </c>
      <c r="G420" s="1439" t="n">
        <f aca="false">'Смета Внутр'!H420</f>
        <v>0</v>
      </c>
      <c r="H420" s="1439"/>
      <c r="I420" s="1439" t="n">
        <f aca="false">IF(F420&lt;H420,F420*(D420-E420),0)+IF(H420=0,(D420-E420)*F420,0)+IF(H420&lt;F420,H420*(D420-E420),0)</f>
        <v>-2060.88299886428</v>
      </c>
      <c r="J420" s="1439" t="n">
        <f aca="false">G420-I420</f>
        <v>2060.88299886428</v>
      </c>
    </row>
    <row r="421" customFormat="false" ht="15" hidden="false" customHeight="true" outlineLevel="0" collapsed="false">
      <c r="B421" s="1439" t="str">
        <f aca="false">'Смета Внутр'!B421</f>
        <v>Армирование стен наружних и перегородок</v>
      </c>
      <c r="C421" s="1439" t="str">
        <f aca="false">'Смета Внутр'!C421</f>
        <v>м.п.</v>
      </c>
      <c r="D421" s="1439" t="n">
        <f aca="false">'Смета Внутр'!D421</f>
        <v>348.666666666667</v>
      </c>
      <c r="E421" s="1439"/>
      <c r="F421" s="1439" t="n">
        <f aca="false">'Смета Внутр'!E421</f>
        <v>70</v>
      </c>
      <c r="G421" s="1439" t="n">
        <f aca="false">'Смета Внутр'!H421</f>
        <v>0</v>
      </c>
      <c r="H421" s="1439"/>
      <c r="I421" s="1439" t="n">
        <f aca="false">IF(F421&lt;H421,F421*(D421-E421),0)+IF(H421=0,(D421-E421)*F421,0)+IF(H421&lt;F421,H421*(D421-E421),0)</f>
        <v>24406.6666666667</v>
      </c>
      <c r="J421" s="1439" t="n">
        <f aca="false">G421-I421</f>
        <v>-24406.6666666667</v>
      </c>
    </row>
    <row r="422" customFormat="false" ht="15" hidden="false" customHeight="true" outlineLevel="0" collapsed="false">
      <c r="B422" s="1439" t="str">
        <f aca="false">'Смета Внутр'!B422</f>
        <v>Установка опалубки для сейсмопояса</v>
      </c>
      <c r="C422" s="1439" t="str">
        <f aca="false">'Смета Внутр'!C422</f>
        <v>м.п.</v>
      </c>
      <c r="D422" s="1439" t="n">
        <f aca="false">'Смета Внутр'!D422</f>
        <v>76.5</v>
      </c>
      <c r="E422" s="1439"/>
      <c r="F422" s="1439" t="n">
        <f aca="false">'Смета Внутр'!E422</f>
        <v>300</v>
      </c>
      <c r="G422" s="1439" t="n">
        <f aca="false">'Смета Внутр'!H422</f>
        <v>0</v>
      </c>
      <c r="H422" s="1439"/>
      <c r="I422" s="1439" t="n">
        <f aca="false">IF(F422&lt;H422,F422*(D422-E422),0)+IF(H422=0,(D422-E422)*F422,0)+IF(H422&lt;F422,H422*(D422-E422),0)</f>
        <v>22950</v>
      </c>
      <c r="J422" s="1439" t="n">
        <f aca="false">G422-I422</f>
        <v>-22950</v>
      </c>
    </row>
    <row r="423" customFormat="false" ht="15" hidden="false" customHeight="true" outlineLevel="0" collapsed="false">
      <c r="B423" s="1439" t="str">
        <f aca="false">'Смета Внутр'!B423</f>
        <v>Армирование сейсмопояса</v>
      </c>
      <c r="C423" s="1439" t="str">
        <f aca="false">'Смета Внутр'!C423</f>
        <v>м.п.</v>
      </c>
      <c r="D423" s="1439" t="n">
        <f aca="false">'Смета Внутр'!D423</f>
        <v>76.5</v>
      </c>
      <c r="E423" s="1439"/>
      <c r="F423" s="1439" t="n">
        <f aca="false">'Смета Внутр'!E423</f>
        <v>500</v>
      </c>
      <c r="G423" s="1439" t="n">
        <f aca="false">'Смета Внутр'!H423</f>
        <v>0</v>
      </c>
      <c r="H423" s="1439"/>
      <c r="I423" s="1439" t="n">
        <f aca="false">IF(F423&lt;H423,F423*(D423-E423),0)+IF(H423=0,(D423-E423)*F423,0)+IF(H423&lt;F423,H423*(D423-E423),0)</f>
        <v>38250</v>
      </c>
      <c r="J423" s="1439" t="n">
        <f aca="false">G423-I423</f>
        <v>-38250</v>
      </c>
    </row>
    <row r="424" customFormat="false" ht="15" hidden="false" customHeight="true" outlineLevel="0" collapsed="false">
      <c r="B424" s="1439" t="str">
        <f aca="false">'Смета Внутр'!B424</f>
        <v>Заливка бетоном сейсмопояса</v>
      </c>
      <c r="C424" s="1439" t="str">
        <f aca="false">'Смета Внутр'!C424</f>
        <v>м.п.</v>
      </c>
      <c r="D424" s="1439" t="n">
        <f aca="false">'Смета Внутр'!D424</f>
        <v>76.5</v>
      </c>
      <c r="E424" s="1439"/>
      <c r="F424" s="1439" t="n">
        <f aca="false">'Смета Внутр'!E424</f>
        <v>700</v>
      </c>
      <c r="G424" s="1439" t="n">
        <f aca="false">'Смета Внутр'!H424</f>
        <v>0</v>
      </c>
      <c r="H424" s="1439"/>
      <c r="I424" s="1439" t="n">
        <f aca="false">IF(F424&lt;H424,F424*(D424-E424),0)+IF(H424=0,(D424-E424)*F424,0)+IF(H424&lt;F424,H424*(D424-E424),0)</f>
        <v>53550</v>
      </c>
      <c r="J424" s="1439" t="n">
        <f aca="false">G424-I424</f>
        <v>-53550</v>
      </c>
    </row>
    <row r="425" customFormat="false" ht="15" hidden="false" customHeight="true" outlineLevel="0" collapsed="false">
      <c r="B425" s="1439" t="str">
        <f aca="false">'Смета Внутр'!B425</f>
        <v>утепление стен снаружи дома</v>
      </c>
      <c r="C425" s="1439" t="str">
        <f aca="false">'Смета Внутр'!C425</f>
        <v>м2</v>
      </c>
      <c r="D425" s="1439" t="n">
        <f aca="false">'Смета Внутр'!D425</f>
        <v>0</v>
      </c>
      <c r="E425" s="1439"/>
      <c r="F425" s="1439" t="n">
        <f aca="false">'Смета Внутр'!E425</f>
        <v>350</v>
      </c>
      <c r="G425" s="1439" t="n">
        <f aca="false">'Смета Внутр'!H425</f>
        <v>0</v>
      </c>
      <c r="H425" s="1439"/>
      <c r="I425" s="1439" t="n">
        <f aca="false">IF(F425&lt;H425,F425*(D425-E425),0)+IF(H425=0,(D425-E425)*F425,0)+IF(H425&lt;F425,H425*(D425-E425),0)</f>
        <v>0</v>
      </c>
      <c r="J425" s="1439" t="n">
        <f aca="false">G425-I425</f>
        <v>0</v>
      </c>
    </row>
    <row r="426" customFormat="false" ht="15" hidden="false" customHeight="true" outlineLevel="0" collapsed="false">
      <c r="B426" s="1439" t="str">
        <f aca="false">'Смета Внутр'!B426</f>
        <v>монтаж ветроизоляции стен</v>
      </c>
      <c r="C426" s="1439" t="str">
        <f aca="false">'Смета Внутр'!C426</f>
        <v>м2</v>
      </c>
      <c r="D426" s="1439" t="n">
        <f aca="false">'Смета Внутр'!D426</f>
        <v>0</v>
      </c>
      <c r="E426" s="1439"/>
      <c r="F426" s="1439" t="n">
        <f aca="false">'Смета Внутр'!E426</f>
        <v>100</v>
      </c>
      <c r="G426" s="1439" t="n">
        <f aca="false">'Смета Внутр'!H426</f>
        <v>0</v>
      </c>
      <c r="H426" s="1439"/>
      <c r="I426" s="1439" t="n">
        <f aca="false">IF(F426&lt;H426,F426*(D426-E426),0)+IF(H426=0,(D426-E426)*F426,0)+IF(H426&lt;F426,H426*(D426-E426),0)</f>
        <v>0</v>
      </c>
      <c r="J426" s="1439" t="n">
        <f aca="false">G426-I426</f>
        <v>0</v>
      </c>
    </row>
    <row r="427" customFormat="false" ht="15" hidden="false" customHeight="false" outlineLevel="0" collapsed="false">
      <c r="B427" s="1692" t="s">
        <v>4333</v>
      </c>
      <c r="C427" s="1692"/>
      <c r="D427" s="1692"/>
      <c r="E427" s="1692"/>
      <c r="F427" s="1692"/>
      <c r="G427" s="1439" t="n">
        <f aca="false">'Смета Внутр'!H427</f>
        <v>0</v>
      </c>
      <c r="H427" s="3181"/>
      <c r="I427" s="1439"/>
      <c r="J427" s="1439"/>
    </row>
    <row r="428" customFormat="false" ht="15" hidden="false" customHeight="true" outlineLevel="0" collapsed="false">
      <c r="B428" s="3172" t="str">
        <f aca="false">'Смета Внутр'!B428</f>
        <v>Дом из Пенобетона</v>
      </c>
      <c r="C428" s="3172"/>
      <c r="D428" s="3172"/>
      <c r="E428" s="3172"/>
      <c r="F428" s="3172"/>
      <c r="G428" s="3173" t="n">
        <f aca="false">'Смета Внутр'!H428</f>
        <v>0</v>
      </c>
      <c r="H428" s="3173"/>
      <c r="I428" s="3180" t="n">
        <f aca="false">IF(F428&lt;H428,F428*(D428-E428),0)+IF(H428=0,(D428-E428)*F428,0)+IF(H428&lt;F428,H428*(D428-E428),0)</f>
        <v>0</v>
      </c>
      <c r="J428" s="3180" t="n">
        <f aca="false">G428-I428</f>
        <v>0</v>
      </c>
    </row>
    <row r="429" customFormat="false" ht="15" hidden="false" customHeight="true" outlineLevel="0" collapsed="false">
      <c r="B429" s="1268" t="str">
        <f aca="false">'Смета Внутр'!B429</f>
        <v>Материалы</v>
      </c>
      <c r="C429" s="1268"/>
      <c r="D429" s="1268"/>
      <c r="E429" s="1268"/>
      <c r="F429" s="1268"/>
      <c r="G429" s="3173" t="n">
        <f aca="false">'Смета Внутр'!H429</f>
        <v>0</v>
      </c>
      <c r="H429" s="3182"/>
      <c r="I429" s="3180" t="n">
        <f aca="false">IF(F429&lt;H429,F429*(D429-E429),0)+IF(H429=0,(D429-E429)*F429,0)+IF(H429&lt;F429,H429*(D429-E429),0)</f>
        <v>0</v>
      </c>
      <c r="J429" s="3180" t="n">
        <f aca="false">G429-I429</f>
        <v>0</v>
      </c>
    </row>
    <row r="430" customFormat="false" ht="15" hidden="false" customHeight="true" outlineLevel="0" collapsed="false">
      <c r="B430" s="1439" t="str">
        <f aca="false">'Смета Внутр'!B430</f>
        <v>Пенобетон 200x300x600</v>
      </c>
      <c r="C430" s="1439" t="str">
        <f aca="false">'Смета Внутр'!C430</f>
        <v>м3</v>
      </c>
      <c r="D430" s="1439" t="n">
        <f aca="false">'Смета Внутр'!D430</f>
        <v>0</v>
      </c>
      <c r="E430" s="1439"/>
      <c r="F430" s="1439" t="n">
        <f aca="false">'Смета Внутр'!E430</f>
        <v>3650</v>
      </c>
      <c r="G430" s="1439" t="n">
        <f aca="false">'Смета Внутр'!H430</f>
        <v>0</v>
      </c>
      <c r="H430" s="1439"/>
      <c r="I430" s="1439" t="n">
        <f aca="false">IF(F430&lt;H430,F430*(D430-E430),0)+IF(H430=0,(D430-E430)*F430,0)+IF(H430&lt;F430,H430*(D430-E430),0)</f>
        <v>0</v>
      </c>
      <c r="J430" s="1439" t="n">
        <f aca="false">G430-I430</f>
        <v>0</v>
      </c>
    </row>
    <row r="431" customFormat="false" ht="15" hidden="false" customHeight="true" outlineLevel="0" collapsed="false">
      <c r="B431" s="1439" t="str">
        <f aca="false">'Смета Внутр'!B431</f>
        <v>Пенобетон 200x150x600</v>
      </c>
      <c r="C431" s="1439" t="str">
        <f aca="false">'Смета Внутр'!C431</f>
        <v>м3</v>
      </c>
      <c r="D431" s="1439" t="n">
        <f aca="false">'Смета Внутр'!D431</f>
        <v>0</v>
      </c>
      <c r="E431" s="1439"/>
      <c r="F431" s="1439" t="n">
        <f aca="false">'Смета Внутр'!E431</f>
        <v>3950</v>
      </c>
      <c r="G431" s="1439" t="n">
        <f aca="false">'Смета Внутр'!H431</f>
        <v>0</v>
      </c>
      <c r="H431" s="1439"/>
      <c r="I431" s="1439" t="n">
        <f aca="false">IF(F431&lt;H431,F431*(D431-E431),0)+IF(H431=0,(D431-E431)*F431,0)+IF(H431&lt;F431,H431*(D431-E431),0)</f>
        <v>0</v>
      </c>
      <c r="J431" s="1439" t="n">
        <f aca="false">G431-I431</f>
        <v>0</v>
      </c>
    </row>
    <row r="432" customFormat="false" ht="15" hidden="false" customHeight="true" outlineLevel="0" collapsed="false">
      <c r="B432" s="1439" t="str">
        <f aca="false">'Смета Внутр'!B432</f>
        <v>Пенобетон 200x150x600</v>
      </c>
      <c r="C432" s="1439" t="str">
        <f aca="false">'Смета Внутр'!C432</f>
        <v>м3</v>
      </c>
      <c r="D432" s="1439" t="n">
        <f aca="false">'Смета Внутр'!D432</f>
        <v>0</v>
      </c>
      <c r="E432" s="1439"/>
      <c r="F432" s="1439" t="n">
        <f aca="false">'Смета Внутр'!E432</f>
        <v>3950</v>
      </c>
      <c r="G432" s="1439" t="n">
        <f aca="false">'Смета Внутр'!H432</f>
        <v>0</v>
      </c>
      <c r="H432" s="1439"/>
      <c r="I432" s="1439" t="n">
        <f aca="false">IF(F432&lt;H432,F432*(D432-E432),0)+IF(H432=0,(D432-E432)*F432,0)+IF(H432&lt;F432,H432*(D432-E432),0)</f>
        <v>0</v>
      </c>
      <c r="J432" s="1439" t="n">
        <f aca="false">G432-I432</f>
        <v>0</v>
      </c>
    </row>
    <row r="433" customFormat="false" ht="15" hidden="false" customHeight="true" outlineLevel="0" collapsed="false">
      <c r="B433" s="1439" t="str">
        <f aca="false">'Смета Внутр'!B433</f>
        <v>Клей монтажный ВК-100</v>
      </c>
      <c r="C433" s="1439" t="str">
        <f aca="false">'Смета Внутр'!C433</f>
        <v>меш</v>
      </c>
      <c r="D433" s="1439" t="n">
        <f aca="false">'Смета Внутр'!D433</f>
        <v>0</v>
      </c>
      <c r="E433" s="1439"/>
      <c r="F433" s="1439" t="n">
        <f aca="false">'Смета Внутр'!E433</f>
        <v>185</v>
      </c>
      <c r="G433" s="1439" t="n">
        <f aca="false">'Смета Внутр'!H433</f>
        <v>0</v>
      </c>
      <c r="H433" s="1439"/>
      <c r="I433" s="1439" t="n">
        <f aca="false">IF(F433&lt;H433,F433*(D433-E433),0)+IF(H433=0,(D433-E433)*F433,0)+IF(H433&lt;F433,H433*(D433-E433),0)</f>
        <v>0</v>
      </c>
      <c r="J433" s="1439" t="n">
        <f aca="false">G433-I433</f>
        <v>0</v>
      </c>
    </row>
    <row r="434" customFormat="false" ht="15" hidden="false" customHeight="true" outlineLevel="0" collapsed="false">
      <c r="B434" s="1439" t="e">
        <f aca="false">'Смета Внутр'!B434</f>
        <v>#N/A</v>
      </c>
      <c r="C434" s="1439" t="str">
        <f aca="false">'Смета Внутр'!C434</f>
        <v>меш</v>
      </c>
      <c r="D434" s="1439" t="n">
        <f aca="false">'Смета Внутр'!D434</f>
        <v>0</v>
      </c>
      <c r="E434" s="1439"/>
      <c r="F434" s="1439" t="n">
        <f aca="false">'Смета Внутр'!E434</f>
        <v>0</v>
      </c>
      <c r="G434" s="1439" t="n">
        <f aca="false">'Смета Внутр'!H434</f>
        <v>0</v>
      </c>
      <c r="H434" s="1439"/>
      <c r="I434" s="1439" t="n">
        <f aca="false">IF(F434&lt;H434,F434*(D434-E434),0)+IF(H434=0,(D434-E434)*F434,0)+IF(H434&lt;F434,H434*(D434-E434),0)</f>
        <v>0</v>
      </c>
      <c r="J434" s="1439" t="n">
        <f aca="false">G434-I434</f>
        <v>0</v>
      </c>
    </row>
    <row r="435" customFormat="false" ht="15" hidden="false" customHeight="true" outlineLevel="0" collapsed="false">
      <c r="B435" s="1439" t="e">
        <f aca="false">'Смета Внутр'!B435</f>
        <v>#N/A</v>
      </c>
      <c r="C435" s="1439" t="str">
        <f aca="false">'Смета Внутр'!C435</f>
        <v>м3</v>
      </c>
      <c r="D435" s="1439" t="n">
        <f aca="false">'Смета Внутр'!D435</f>
        <v>0</v>
      </c>
      <c r="E435" s="1439"/>
      <c r="F435" s="1439" t="n">
        <f aca="false">'Смета Внутр'!E435</f>
        <v>0</v>
      </c>
      <c r="G435" s="1439" t="n">
        <f aca="false">'Смета Внутр'!H435</f>
        <v>0</v>
      </c>
      <c r="H435" s="1439"/>
      <c r="I435" s="1439" t="n">
        <f aca="false">IF(F435&lt;H435,F435*(D435-E435),0)+IF(H435=0,(D435-E435)*F435,0)+IF(H435&lt;F435,H435*(D435-E435),0)</f>
        <v>0</v>
      </c>
      <c r="J435" s="1439" t="n">
        <f aca="false">G435-I435</f>
        <v>0</v>
      </c>
    </row>
    <row r="436" customFormat="false" ht="15" hidden="false" customHeight="true" outlineLevel="0" collapsed="false">
      <c r="B436" s="1439" t="str">
        <f aca="false">'Смета Внутр'!B436</f>
        <v>Доставка песка</v>
      </c>
      <c r="C436" s="1439" t="str">
        <f aca="false">'Смета Внутр'!C436</f>
        <v>маш</v>
      </c>
      <c r="D436" s="1439" t="n">
        <f aca="false">'Смета Внутр'!D436</f>
        <v>0</v>
      </c>
      <c r="E436" s="1439"/>
      <c r="F436" s="1439" t="n">
        <f aca="false">'Смета Внутр'!E436</f>
        <v>0</v>
      </c>
      <c r="G436" s="1439" t="n">
        <f aca="false">'Смета Внутр'!H436</f>
        <v>0</v>
      </c>
      <c r="H436" s="1439"/>
      <c r="I436" s="1439" t="n">
        <f aca="false">IF(F436&lt;H436,F436*(D436-E436),0)+IF(H436=0,(D436-E436)*F436,0)+IF(H436&lt;F436,H436*(D436-E436),0)</f>
        <v>0</v>
      </c>
      <c r="J436" s="1439" t="n">
        <f aca="false">G436-I436</f>
        <v>0</v>
      </c>
    </row>
    <row r="437" customFormat="false" ht="15" hidden="false" customHeight="true" outlineLevel="0" collapsed="false">
      <c r="B437" s="1439" t="e">
        <f aca="false">'Смета Внутр'!B437</f>
        <v>#N/A</v>
      </c>
      <c r="C437" s="1439" t="str">
        <f aca="false">'Смета Внутр'!C437</f>
        <v>м3</v>
      </c>
      <c r="D437" s="1439" t="n">
        <f aca="false">'Смета Внутр'!D437</f>
        <v>0</v>
      </c>
      <c r="E437" s="1439"/>
      <c r="F437" s="1439" t="n">
        <f aca="false">'Смета Внутр'!E437</f>
        <v>0</v>
      </c>
      <c r="G437" s="1439" t="n">
        <f aca="false">'Смета Внутр'!H437</f>
        <v>0</v>
      </c>
      <c r="H437" s="1439"/>
      <c r="I437" s="1439" t="n">
        <f aca="false">IF(F437&lt;H437,F437*(D437-E437),0)+IF(H437=0,(D437-E437)*F437,0)+IF(H437&lt;F437,H437*(D437-E437),0)</f>
        <v>0</v>
      </c>
      <c r="J437" s="1439" t="n">
        <f aca="false">G437-I437</f>
        <v>0</v>
      </c>
    </row>
    <row r="438" customFormat="false" ht="15" hidden="false" customHeight="true" outlineLevel="0" collapsed="false">
      <c r="B438" s="1439" t="str">
        <f aca="false">'Смета Внутр'!B438</f>
        <v>Арматура М6 каждый 3-й ряд, 2 нити</v>
      </c>
      <c r="C438" s="1439" t="str">
        <f aca="false">'Смета Внутр'!C438</f>
        <v>м.п.</v>
      </c>
      <c r="D438" s="1439" t="n">
        <f aca="false">'Смета Внутр'!D438</f>
        <v>597.333333333333</v>
      </c>
      <c r="E438" s="1439"/>
      <c r="F438" s="1439" t="n">
        <f aca="false">'Смета Внутр'!E438</f>
        <v>0</v>
      </c>
      <c r="G438" s="1439" t="n">
        <f aca="false">'Смета Внутр'!H438</f>
        <v>0</v>
      </c>
      <c r="H438" s="1439"/>
      <c r="I438" s="1439" t="n">
        <f aca="false">IF(F438&lt;H438,F438*(D438-E438),0)+IF(H438=0,(D438-E438)*F438,0)+IF(H438&lt;F438,H438*(D438-E438),0)</f>
        <v>0</v>
      </c>
      <c r="J438" s="1439" t="n">
        <f aca="false">G438-I438</f>
        <v>0</v>
      </c>
    </row>
    <row r="439" customFormat="false" ht="15" hidden="false" customHeight="true" outlineLevel="0" collapsed="false">
      <c r="B439" s="1439" t="str">
        <f aca="false">'Смета Внутр'!B439</f>
        <v>Арматура М6 каждый 3-й ряд, 2 нити</v>
      </c>
      <c r="C439" s="1439" t="str">
        <f aca="false">'Смета Внутр'!C439</f>
        <v>м.п.</v>
      </c>
      <c r="D439" s="1439" t="n">
        <f aca="false">'Смета Внутр'!D439</f>
        <v>100</v>
      </c>
      <c r="E439" s="1439"/>
      <c r="F439" s="1439" t="n">
        <f aca="false">'Смета Внутр'!E439</f>
        <v>0</v>
      </c>
      <c r="G439" s="1439" t="n">
        <f aca="false">'Смета Внутр'!H439</f>
        <v>0</v>
      </c>
      <c r="H439" s="1439"/>
      <c r="I439" s="1439" t="n">
        <f aca="false">IF(F439&lt;H439,F439*(D439-E439),0)+IF(H439=0,(D439-E439)*F439,0)+IF(H439&lt;F439,H439*(D439-E439),0)</f>
        <v>0</v>
      </c>
      <c r="J439" s="1439" t="n">
        <f aca="false">G439-I439</f>
        <v>0</v>
      </c>
    </row>
    <row r="440" customFormat="false" ht="15" hidden="false" customHeight="true" outlineLevel="0" collapsed="false">
      <c r="B440" s="1439" t="str">
        <f aca="false">'Смета Внутр'!B440</f>
        <v>Перемычка оконная, 1-ый эт. Вариант 1</v>
      </c>
      <c r="C440" s="1439" t="str">
        <f aca="false">'Смета Внутр'!C440</f>
        <v>м.п.</v>
      </c>
      <c r="D440" s="1439" t="n">
        <f aca="false">'Смета Внутр'!D440</f>
        <v>1</v>
      </c>
      <c r="E440" s="1439"/>
      <c r="F440" s="1439" t="n">
        <f aca="false">'Смета Внутр'!E440</f>
        <v>1000</v>
      </c>
      <c r="G440" s="1439" t="n">
        <f aca="false">'Смета Внутр'!H440</f>
        <v>0</v>
      </c>
      <c r="H440" s="1439"/>
      <c r="I440" s="1439" t="n">
        <f aca="false">IF(F440&lt;H440,F440*(D440-E440),0)+IF(H440=0,(D440-E440)*F440,0)+IF(H440&lt;F440,H440*(D440-E440),0)</f>
        <v>1000</v>
      </c>
      <c r="J440" s="1439" t="n">
        <f aca="false">G440-I440</f>
        <v>-1000</v>
      </c>
    </row>
    <row r="441" customFormat="false" ht="15" hidden="false" customHeight="true" outlineLevel="0" collapsed="false">
      <c r="B441" s="1439" t="str">
        <f aca="false">'Смета Внутр'!B441</f>
        <v>Перемычка оконная, 1-ый эт. Вариант 2</v>
      </c>
      <c r="C441" s="1439" t="str">
        <f aca="false">'Смета Внутр'!C441</f>
        <v>м.п.</v>
      </c>
      <c r="D441" s="1439" t="n">
        <f aca="false">'Смета Внутр'!D441</f>
        <v>0</v>
      </c>
      <c r="E441" s="1439"/>
      <c r="F441" s="1439" t="n">
        <f aca="false">'Смета Внутр'!E441</f>
        <v>1000</v>
      </c>
      <c r="G441" s="1439" t="n">
        <f aca="false">'Смета Внутр'!H441</f>
        <v>0</v>
      </c>
      <c r="H441" s="1439"/>
      <c r="I441" s="1439" t="n">
        <f aca="false">IF(F441&lt;H441,F441*(D441-E441),0)+IF(H441=0,(D441-E441)*F441,0)+IF(H441&lt;F441,H441*(D441-E441),0)</f>
        <v>0</v>
      </c>
      <c r="J441" s="1439" t="n">
        <f aca="false">G441-I441</f>
        <v>0</v>
      </c>
    </row>
    <row r="442" customFormat="false" ht="15" hidden="false" customHeight="true" outlineLevel="0" collapsed="false">
      <c r="B442" s="1439" t="str">
        <f aca="false">'Смета Внутр'!B442</f>
        <v>Перемычка оконная, 1-ый эт. Вариант 3</v>
      </c>
      <c r="C442" s="1439" t="str">
        <f aca="false">'Смета Внутр'!C442</f>
        <v>м.п.</v>
      </c>
      <c r="D442" s="1439" t="n">
        <f aca="false">'Смета Внутр'!D442</f>
        <v>0</v>
      </c>
      <c r="E442" s="1439"/>
      <c r="F442" s="1439" t="n">
        <f aca="false">'Смета Внутр'!E442</f>
        <v>1000</v>
      </c>
      <c r="G442" s="1439" t="n">
        <f aca="false">'Смета Внутр'!H442</f>
        <v>0</v>
      </c>
      <c r="H442" s="1439"/>
      <c r="I442" s="1439" t="n">
        <f aca="false">IF(F442&lt;H442,F442*(D442-E442),0)+IF(H442=0,(D442-E442)*F442,0)+IF(H442&lt;F442,H442*(D442-E442),0)</f>
        <v>0</v>
      </c>
      <c r="J442" s="1439" t="n">
        <f aca="false">G442-I442</f>
        <v>0</v>
      </c>
    </row>
    <row r="443" customFormat="false" ht="15" hidden="false" customHeight="true" outlineLevel="0" collapsed="false">
      <c r="B443" s="1439" t="str">
        <f aca="false">'Смета Внутр'!B443</f>
        <v>Перемычка оконная, 1-ый эт. Вариант 4</v>
      </c>
      <c r="C443" s="1439" t="str">
        <f aca="false">'Смета Внутр'!C443</f>
        <v>м.п.</v>
      </c>
      <c r="D443" s="1439" t="n">
        <f aca="false">'Смета Внутр'!D443</f>
        <v>0</v>
      </c>
      <c r="E443" s="1439"/>
      <c r="F443" s="1439" t="n">
        <f aca="false">'Смета Внутр'!E443</f>
        <v>1000</v>
      </c>
      <c r="G443" s="1439" t="n">
        <f aca="false">'Смета Внутр'!H443</f>
        <v>0</v>
      </c>
      <c r="H443" s="1439"/>
      <c r="I443" s="1439" t="n">
        <f aca="false">IF(F443&lt;H443,F443*(D443-E443),0)+IF(H443=0,(D443-E443)*F443,0)+IF(H443&lt;F443,H443*(D443-E443),0)</f>
        <v>0</v>
      </c>
      <c r="J443" s="1439" t="n">
        <f aca="false">G443-I443</f>
        <v>0</v>
      </c>
    </row>
    <row r="444" customFormat="false" ht="15" hidden="false" customHeight="true" outlineLevel="0" collapsed="false">
      <c r="B444" s="1439" t="str">
        <f aca="false">'Смета Внутр'!B444</f>
        <v>Перемычка оконная, 1-ый эт. Вариант 5</v>
      </c>
      <c r="C444" s="1439" t="str">
        <f aca="false">'Смета Внутр'!C444</f>
        <v>м.п.</v>
      </c>
      <c r="D444" s="1439" t="n">
        <f aca="false">'Смета Внутр'!D444</f>
        <v>0</v>
      </c>
      <c r="E444" s="1439"/>
      <c r="F444" s="1439" t="n">
        <f aca="false">'Смета Внутр'!E444</f>
        <v>1000</v>
      </c>
      <c r="G444" s="1439" t="n">
        <f aca="false">'Смета Внутр'!H444</f>
        <v>0</v>
      </c>
      <c r="H444" s="1439"/>
      <c r="I444" s="1439" t="n">
        <f aca="false">IF(F444&lt;H444,F444*(D444-E444),0)+IF(H444=0,(D444-E444)*F444,0)+IF(H444&lt;F444,H444*(D444-E444),0)</f>
        <v>0</v>
      </c>
      <c r="J444" s="1439" t="n">
        <f aca="false">G444-I444</f>
        <v>0</v>
      </c>
    </row>
    <row r="445" customFormat="false" ht="15" hidden="false" customHeight="true" outlineLevel="0" collapsed="false">
      <c r="B445" s="1439" t="str">
        <f aca="false">'Смета Внутр'!B445</f>
        <v>Перемычка оконная, 2-ый эт. Вариант 6</v>
      </c>
      <c r="C445" s="1439" t="str">
        <f aca="false">'Смета Внутр'!C445</f>
        <v>м.п.</v>
      </c>
      <c r="D445" s="1439" t="n">
        <f aca="false">'Смета Внутр'!D445</f>
        <v>0</v>
      </c>
      <c r="E445" s="1439"/>
      <c r="F445" s="1439" t="n">
        <f aca="false">'Смета Внутр'!E445</f>
        <v>1000</v>
      </c>
      <c r="G445" s="1439" t="n">
        <f aca="false">'Смета Внутр'!H445</f>
        <v>0</v>
      </c>
      <c r="H445" s="1439"/>
      <c r="I445" s="1439" t="n">
        <f aca="false">IF(F445&lt;H445,F445*(D445-E445),0)+IF(H445=0,(D445-E445)*F445,0)+IF(H445&lt;F445,H445*(D445-E445),0)</f>
        <v>0</v>
      </c>
      <c r="J445" s="1439" t="n">
        <f aca="false">G445-I445</f>
        <v>0</v>
      </c>
    </row>
    <row r="446" customFormat="false" ht="15" hidden="false" customHeight="true" outlineLevel="0" collapsed="false">
      <c r="B446" s="1439" t="str">
        <f aca="false">'Смета Внутр'!B446</f>
        <v>Перемычка оконная, 2-ый эт. Вариант 7</v>
      </c>
      <c r="C446" s="1439" t="str">
        <f aca="false">'Смета Внутр'!C446</f>
        <v>м.п.</v>
      </c>
      <c r="D446" s="1439" t="n">
        <f aca="false">'Смета Внутр'!D446</f>
        <v>0</v>
      </c>
      <c r="E446" s="1439"/>
      <c r="F446" s="1439" t="n">
        <f aca="false">'Смета Внутр'!E446</f>
        <v>1000</v>
      </c>
      <c r="G446" s="1439" t="n">
        <f aca="false">'Смета Внутр'!H446</f>
        <v>0</v>
      </c>
      <c r="H446" s="1439"/>
      <c r="I446" s="1439" t="n">
        <f aca="false">IF(F446&lt;H446,F446*(D446-E446),0)+IF(H446=0,(D446-E446)*F446,0)+IF(H446&lt;F446,H446*(D446-E446),0)</f>
        <v>0</v>
      </c>
      <c r="J446" s="1439" t="n">
        <f aca="false">G446-I446</f>
        <v>0</v>
      </c>
    </row>
    <row r="447" customFormat="false" ht="15" hidden="false" customHeight="true" outlineLevel="0" collapsed="false">
      <c r="B447" s="1439" t="str">
        <f aca="false">'Смета Внутр'!B447</f>
        <v>Перемычка оконная, 2-ый эт. Вариант 8</v>
      </c>
      <c r="C447" s="1439" t="str">
        <f aca="false">'Смета Внутр'!C447</f>
        <v>м.п.</v>
      </c>
      <c r="D447" s="1439" t="n">
        <f aca="false">'Смета Внутр'!D447</f>
        <v>0</v>
      </c>
      <c r="E447" s="1439"/>
      <c r="F447" s="1439" t="n">
        <f aca="false">'Смета Внутр'!E447</f>
        <v>1000</v>
      </c>
      <c r="G447" s="1439" t="n">
        <f aca="false">'Смета Внутр'!H447</f>
        <v>0</v>
      </c>
      <c r="H447" s="1439"/>
      <c r="I447" s="1439" t="n">
        <f aca="false">IF(F447&lt;H447,F447*(D447-E447),0)+IF(H447=0,(D447-E447)*F447,0)+IF(H447&lt;F447,H447*(D447-E447),0)</f>
        <v>0</v>
      </c>
      <c r="J447" s="1439" t="n">
        <f aca="false">G447-I447</f>
        <v>0</v>
      </c>
    </row>
    <row r="448" customFormat="false" ht="15" hidden="false" customHeight="true" outlineLevel="0" collapsed="false">
      <c r="B448" s="1439" t="str">
        <f aca="false">'Смета Внутр'!B448</f>
        <v>Перемычка оконная, 2-ый эт. Вариант 9</v>
      </c>
      <c r="C448" s="1439" t="str">
        <f aca="false">'Смета Внутр'!C448</f>
        <v>м.п.</v>
      </c>
      <c r="D448" s="1439" t="n">
        <f aca="false">'Смета Внутр'!D448</f>
        <v>0</v>
      </c>
      <c r="E448" s="1439"/>
      <c r="F448" s="1439" t="n">
        <f aca="false">'Смета Внутр'!E448</f>
        <v>1000</v>
      </c>
      <c r="G448" s="1439" t="n">
        <f aca="false">'Смета Внутр'!H448</f>
        <v>0</v>
      </c>
      <c r="H448" s="1439"/>
      <c r="I448" s="1439" t="n">
        <f aca="false">IF(F448&lt;H448,F448*(D448-E448),0)+IF(H448=0,(D448-E448)*F448,0)+IF(H448&lt;F448,H448*(D448-E448),0)</f>
        <v>0</v>
      </c>
      <c r="J448" s="1439" t="n">
        <f aca="false">G448-I448</f>
        <v>0</v>
      </c>
    </row>
    <row r="449" customFormat="false" ht="15" hidden="false" customHeight="true" outlineLevel="0" collapsed="false">
      <c r="B449" s="1439" t="str">
        <f aca="false">'Смета Внутр'!B449</f>
        <v>Перемычка оконная, 2-ый эт. Вариант 10</v>
      </c>
      <c r="C449" s="1439" t="str">
        <f aca="false">'Смета Внутр'!C449</f>
        <v>м.п.</v>
      </c>
      <c r="D449" s="1439" t="n">
        <f aca="false">'Смета Внутр'!D449</f>
        <v>0</v>
      </c>
      <c r="E449" s="1439"/>
      <c r="F449" s="1439" t="n">
        <f aca="false">'Смета Внутр'!E449</f>
        <v>1000</v>
      </c>
      <c r="G449" s="1439" t="n">
        <f aca="false">'Смета Внутр'!H449</f>
        <v>0</v>
      </c>
      <c r="H449" s="1439"/>
      <c r="I449" s="1439" t="n">
        <f aca="false">IF(F449&lt;H449,F449*(D449-E449),0)+IF(H449=0,(D449-E449)*F449,0)+IF(H449&lt;F449,H449*(D449-E449),0)</f>
        <v>0</v>
      </c>
      <c r="J449" s="1439" t="n">
        <f aca="false">G449-I449</f>
        <v>0</v>
      </c>
    </row>
    <row r="450" customFormat="false" ht="15" hidden="false" customHeight="true" outlineLevel="0" collapsed="false">
      <c r="B450" s="1439" t="str">
        <f aca="false">'Смета Внутр'!B450</f>
        <v>Перемычка дверная, 1-ый эт. Вариант 1</v>
      </c>
      <c r="C450" s="1439" t="str">
        <f aca="false">'Смета Внутр'!C450</f>
        <v>м.п.</v>
      </c>
      <c r="D450" s="1439" t="n">
        <f aca="false">'Смета Внутр'!D450</f>
        <v>0</v>
      </c>
      <c r="E450" s="1439"/>
      <c r="F450" s="1439" t="n">
        <f aca="false">'Смета Внутр'!E450</f>
        <v>1000</v>
      </c>
      <c r="G450" s="1439" t="n">
        <f aca="false">'Смета Внутр'!H450</f>
        <v>0</v>
      </c>
      <c r="H450" s="1439"/>
      <c r="I450" s="1439" t="n">
        <f aca="false">IF(F450&lt;H450,F450*(D450-E450),0)+IF(H450=0,(D450-E450)*F450,0)+IF(H450&lt;F450,H450*(D450-E450),0)</f>
        <v>0</v>
      </c>
      <c r="J450" s="1439" t="n">
        <f aca="false">G450-I450</f>
        <v>0</v>
      </c>
    </row>
    <row r="451" customFormat="false" ht="15" hidden="false" customHeight="true" outlineLevel="0" collapsed="false">
      <c r="B451" s="1439" t="str">
        <f aca="false">'Смета Внутр'!B451</f>
        <v>Перемычка дверная, 2-ый эт. Вариант 2</v>
      </c>
      <c r="C451" s="1439" t="str">
        <f aca="false">'Смета Внутр'!C451</f>
        <v>м.п.</v>
      </c>
      <c r="D451" s="1439" t="n">
        <f aca="false">'Смета Внутр'!D451</f>
        <v>0</v>
      </c>
      <c r="E451" s="1439"/>
      <c r="F451" s="1439" t="n">
        <f aca="false">'Смета Внутр'!E451</f>
        <v>1000</v>
      </c>
      <c r="G451" s="1439" t="n">
        <f aca="false">'Смета Внутр'!H451</f>
        <v>0</v>
      </c>
      <c r="H451" s="1439"/>
      <c r="I451" s="1439" t="n">
        <f aca="false">IF(F451&lt;H451,F451*(D451-E451),0)+IF(H451=0,(D451-E451)*F451,0)+IF(H451&lt;F451,H451*(D451-E451),0)</f>
        <v>0</v>
      </c>
      <c r="J451" s="1439" t="n">
        <f aca="false">G451-I451</f>
        <v>0</v>
      </c>
    </row>
    <row r="452" customFormat="false" ht="15" hidden="false" customHeight="true" outlineLevel="0" collapsed="false">
      <c r="B452" s="1439" t="str">
        <f aca="false">'Смета Внутр'!B452</f>
        <v>Перемычка оконная 1-ый эт, Вариант 11</v>
      </c>
      <c r="C452" s="1439" t="str">
        <f aca="false">'Смета Внутр'!C452</f>
        <v>м.п.</v>
      </c>
      <c r="D452" s="1439" t="n">
        <f aca="false">'Смета Внутр'!D452</f>
        <v>0</v>
      </c>
      <c r="E452" s="1439"/>
      <c r="F452" s="1439" t="n">
        <f aca="false">'Смета Внутр'!E452</f>
        <v>1000</v>
      </c>
      <c r="G452" s="1439" t="n">
        <f aca="false">'Смета Внутр'!H452</f>
        <v>0</v>
      </c>
      <c r="H452" s="1439"/>
      <c r="I452" s="1439" t="n">
        <f aca="false">IF(F452&lt;H452,F452*(D452-E452),0)+IF(H452=0,(D452-E452)*F452,0)+IF(H452&lt;F452,H452*(D452-E452),0)</f>
        <v>0</v>
      </c>
      <c r="J452" s="1439" t="n">
        <f aca="false">G452-I452</f>
        <v>0</v>
      </c>
    </row>
    <row r="453" customFormat="false" ht="15" hidden="false" customHeight="true" outlineLevel="0" collapsed="false">
      <c r="B453" s="1439" t="str">
        <f aca="false">'Смета Внутр'!B453</f>
        <v>Перемычка оконная 1-ый эт, Вариант 12</v>
      </c>
      <c r="C453" s="1439" t="str">
        <f aca="false">'Смета Внутр'!C453</f>
        <v>м.п.</v>
      </c>
      <c r="D453" s="1439" t="n">
        <f aca="false">'Смета Внутр'!D453</f>
        <v>0</v>
      </c>
      <c r="E453" s="1439"/>
      <c r="F453" s="1439" t="n">
        <f aca="false">'Смета Внутр'!E453</f>
        <v>1000</v>
      </c>
      <c r="G453" s="1439" t="n">
        <f aca="false">'Смета Внутр'!H453</f>
        <v>0</v>
      </c>
      <c r="H453" s="1439"/>
      <c r="I453" s="1439" t="n">
        <f aca="false">IF(F453&lt;H453,F453*(D453-E453),0)+IF(H453=0,(D453-E453)*F453,0)+IF(H453&lt;F453,H453*(D453-E453),0)</f>
        <v>0</v>
      </c>
      <c r="J453" s="1439" t="n">
        <f aca="false">G453-I453</f>
        <v>0</v>
      </c>
    </row>
    <row r="454" customFormat="false" ht="15" hidden="false" customHeight="true" outlineLevel="0" collapsed="false">
      <c r="B454" s="1439" t="str">
        <f aca="false">'Смета Внутр'!B454</f>
        <v>Перемычка дверная, 1-ый эт. Вариант 4</v>
      </c>
      <c r="C454" s="1439" t="str">
        <f aca="false">'Смета Внутр'!C454</f>
        <v>м.п.</v>
      </c>
      <c r="D454" s="1439" t="n">
        <f aca="false">'Смета Внутр'!D454</f>
        <v>3</v>
      </c>
      <c r="E454" s="1439"/>
      <c r="F454" s="1439" t="n">
        <f aca="false">'Смета Внутр'!E454</f>
        <v>1000</v>
      </c>
      <c r="G454" s="1439" t="n">
        <f aca="false">'Смета Внутр'!H454</f>
        <v>0</v>
      </c>
      <c r="H454" s="1439"/>
      <c r="I454" s="1439" t="n">
        <f aca="false">IF(F454&lt;H454,F454*(D454-E454),0)+IF(H454=0,(D454-E454)*F454,0)+IF(H454&lt;F454,H454*(D454-E454),0)</f>
        <v>3000</v>
      </c>
      <c r="J454" s="1439" t="n">
        <f aca="false">G454-I454</f>
        <v>-3000</v>
      </c>
    </row>
    <row r="455" customFormat="false" ht="15" hidden="false" customHeight="true" outlineLevel="0" collapsed="false">
      <c r="B455" s="1439" t="str">
        <f aca="false">'Смета Внутр'!B455</f>
        <v>Перемычка дверная, 1-ый эт. Вариант 5</v>
      </c>
      <c r="C455" s="1439" t="str">
        <f aca="false">'Смета Внутр'!C455</f>
        <v>м.п.</v>
      </c>
      <c r="D455" s="1439" t="n">
        <f aca="false">'Смета Внутр'!D455</f>
        <v>0</v>
      </c>
      <c r="E455" s="1439"/>
      <c r="F455" s="1439" t="n">
        <f aca="false">'Смета Внутр'!E455</f>
        <v>1000</v>
      </c>
      <c r="G455" s="1439" t="n">
        <f aca="false">'Смета Внутр'!H455</f>
        <v>0</v>
      </c>
      <c r="H455" s="1439"/>
      <c r="I455" s="1439" t="n">
        <f aca="false">IF(F455&lt;H455,F455*(D455-E455),0)+IF(H455=0,(D455-E455)*F455,0)+IF(H455&lt;F455,H455*(D455-E455),0)</f>
        <v>0</v>
      </c>
      <c r="J455" s="1439" t="n">
        <f aca="false">G455-I455</f>
        <v>0</v>
      </c>
    </row>
    <row r="456" customFormat="false" ht="15" hidden="false" customHeight="true" outlineLevel="0" collapsed="false">
      <c r="B456" s="1439" t="str">
        <f aca="false">'Смета Внутр'!B456</f>
        <v>Перемычка дверная, 1-ый эт. Вариант 6</v>
      </c>
      <c r="C456" s="1439" t="str">
        <f aca="false">'Смета Внутр'!C456</f>
        <v>м.п.</v>
      </c>
      <c r="D456" s="1439" t="n">
        <f aca="false">'Смета Внутр'!D456</f>
        <v>0</v>
      </c>
      <c r="E456" s="1439"/>
      <c r="F456" s="1439" t="n">
        <f aca="false">'Смета Внутр'!E456</f>
        <v>1000</v>
      </c>
      <c r="G456" s="1439" t="n">
        <f aca="false">'Смета Внутр'!H456</f>
        <v>0</v>
      </c>
      <c r="H456" s="1439"/>
      <c r="I456" s="1439" t="n">
        <f aca="false">IF(F456&lt;H456,F456*(D456-E456),0)+IF(H456=0,(D456-E456)*F456,0)+IF(H456&lt;F456,H456*(D456-E456),0)</f>
        <v>0</v>
      </c>
      <c r="J456" s="1439" t="n">
        <f aca="false">G456-I456</f>
        <v>0</v>
      </c>
    </row>
    <row r="457" customFormat="false" ht="15" hidden="false" customHeight="true" outlineLevel="0" collapsed="false">
      <c r="B457" s="1439" t="str">
        <f aca="false">'Смета Внутр'!B457</f>
        <v>Перемычка дверная, 2-ый эт. Вариант 7</v>
      </c>
      <c r="C457" s="1439" t="str">
        <f aca="false">'Смета Внутр'!C457</f>
        <v>м.п.</v>
      </c>
      <c r="D457" s="1439" t="n">
        <f aca="false">'Смета Внутр'!D457</f>
        <v>0</v>
      </c>
      <c r="E457" s="1439"/>
      <c r="F457" s="1439" t="n">
        <f aca="false">'Смета Внутр'!E457</f>
        <v>1000</v>
      </c>
      <c r="G457" s="1439" t="n">
        <f aca="false">'Смета Внутр'!H457</f>
        <v>0</v>
      </c>
      <c r="H457" s="1439"/>
      <c r="I457" s="1439" t="n">
        <f aca="false">IF(F457&lt;H457,F457*(D457-E457),0)+IF(H457=0,(D457-E457)*F457,0)+IF(H457&lt;F457,H457*(D457-E457),0)</f>
        <v>0</v>
      </c>
      <c r="J457" s="1439" t="n">
        <f aca="false">G457-I457</f>
        <v>0</v>
      </c>
    </row>
    <row r="458" customFormat="false" ht="15" hidden="false" customHeight="true" outlineLevel="0" collapsed="false">
      <c r="B458" s="1439" t="str">
        <f aca="false">'Смета Внутр'!B458</f>
        <v>Перемычка дверная, 2-ый эт. Вариант 8</v>
      </c>
      <c r="C458" s="1439" t="str">
        <f aca="false">'Смета Внутр'!C458</f>
        <v>м.п.</v>
      </c>
      <c r="D458" s="1439" t="n">
        <f aca="false">'Смета Внутр'!D458</f>
        <v>0</v>
      </c>
      <c r="E458" s="1439"/>
      <c r="F458" s="1439" t="n">
        <f aca="false">'Смета Внутр'!E458</f>
        <v>1000</v>
      </c>
      <c r="G458" s="1439" t="n">
        <f aca="false">'Смета Внутр'!H458</f>
        <v>0</v>
      </c>
      <c r="H458" s="1439"/>
      <c r="I458" s="1439" t="n">
        <f aca="false">IF(F458&lt;H458,F458*(D458-E458),0)+IF(H458=0,(D458-E458)*F458,0)+IF(H458&lt;F458,H458*(D458-E458),0)</f>
        <v>0</v>
      </c>
      <c r="J458" s="1439" t="n">
        <f aca="false">G458-I458</f>
        <v>0</v>
      </c>
    </row>
    <row r="459" customFormat="false" ht="15" hidden="false" customHeight="true" outlineLevel="0" collapsed="false">
      <c r="B459" s="1439" t="str">
        <f aca="false">'Смета Внутр'!B459</f>
        <v>Перемычка дверная, 2-ый эт. Вариант 9</v>
      </c>
      <c r="C459" s="1439" t="str">
        <f aca="false">'Смета Внутр'!C459</f>
        <v>м.п.</v>
      </c>
      <c r="D459" s="1439" t="n">
        <f aca="false">'Смета Внутр'!D459</f>
        <v>0</v>
      </c>
      <c r="E459" s="1439"/>
      <c r="F459" s="1439" t="n">
        <f aca="false">'Смета Внутр'!E459</f>
        <v>1000</v>
      </c>
      <c r="G459" s="1439" t="n">
        <f aca="false">'Смета Внутр'!H459</f>
        <v>0</v>
      </c>
      <c r="H459" s="1439"/>
      <c r="I459" s="1439" t="n">
        <f aca="false">IF(F459&lt;H459,F459*(D459-E459),0)+IF(H459=0,(D459-E459)*F459,0)+IF(H459&lt;F459,H459*(D459-E459),0)</f>
        <v>0</v>
      </c>
      <c r="J459" s="1439" t="n">
        <f aca="false">G459-I459</f>
        <v>0</v>
      </c>
    </row>
    <row r="460" customFormat="false" ht="15" hidden="false" customHeight="true" outlineLevel="0" collapsed="false">
      <c r="B460" s="1439" t="str">
        <f aca="false">'Смета Внутр'!B460</f>
        <v>Перемычка проема, 1-ый эт. Вариант 10</v>
      </c>
      <c r="C460" s="1439" t="str">
        <f aca="false">'Смета Внутр'!C460</f>
        <v>м.п.</v>
      </c>
      <c r="D460" s="1439" t="n">
        <f aca="false">'Смета Внутр'!D460</f>
        <v>0</v>
      </c>
      <c r="E460" s="1439"/>
      <c r="F460" s="1439" t="n">
        <f aca="false">'Смета Внутр'!E460</f>
        <v>1000</v>
      </c>
      <c r="G460" s="1439" t="n">
        <f aca="false">'Смета Внутр'!H460</f>
        <v>0</v>
      </c>
      <c r="H460" s="1439"/>
      <c r="I460" s="1439" t="n">
        <f aca="false">IF(F460&lt;H460,F460*(D460-E460),0)+IF(H460=0,(D460-E460)*F460,0)+IF(H460&lt;F460,H460*(D460-E460),0)</f>
        <v>0</v>
      </c>
      <c r="J460" s="1439" t="n">
        <f aca="false">G460-I460</f>
        <v>0</v>
      </c>
    </row>
    <row r="461" customFormat="false" ht="15" hidden="false" customHeight="true" outlineLevel="0" collapsed="false">
      <c r="B461" s="1439" t="str">
        <f aca="false">'Смета Внутр'!B461</f>
        <v>Перемычка проема, 1-ый эт. Вариант 11</v>
      </c>
      <c r="C461" s="1439" t="str">
        <f aca="false">'Смета Внутр'!C461</f>
        <v>м.п.</v>
      </c>
      <c r="D461" s="1439" t="n">
        <f aca="false">'Смета Внутр'!D461</f>
        <v>0</v>
      </c>
      <c r="E461" s="1439"/>
      <c r="F461" s="1439" t="n">
        <f aca="false">'Смета Внутр'!E461</f>
        <v>1000</v>
      </c>
      <c r="G461" s="1439" t="n">
        <f aca="false">'Смета Внутр'!H461</f>
        <v>0</v>
      </c>
      <c r="H461" s="1439"/>
      <c r="I461" s="1439" t="n">
        <f aca="false">IF(F461&lt;H461,F461*(D461-E461),0)+IF(H461=0,(D461-E461)*F461,0)+IF(H461&lt;F461,H461*(D461-E461),0)</f>
        <v>0</v>
      </c>
      <c r="J461" s="1439" t="n">
        <f aca="false">G461-I461</f>
        <v>0</v>
      </c>
    </row>
    <row r="462" customFormat="false" ht="15" hidden="false" customHeight="true" outlineLevel="0" collapsed="false">
      <c r="B462" s="1439" t="str">
        <f aca="false">'Смета Внутр'!B462</f>
        <v>Перемычка проема, 2-ый эт. Вариант 12</v>
      </c>
      <c r="C462" s="1439" t="str">
        <f aca="false">'Смета Внутр'!C462</f>
        <v>м.п.</v>
      </c>
      <c r="D462" s="1439" t="n">
        <f aca="false">'Смета Внутр'!D462</f>
        <v>0</v>
      </c>
      <c r="E462" s="1439"/>
      <c r="F462" s="1439" t="n">
        <f aca="false">'Смета Внутр'!E462</f>
        <v>1000</v>
      </c>
      <c r="G462" s="1439" t="n">
        <f aca="false">'Смета Внутр'!H462</f>
        <v>0</v>
      </c>
      <c r="H462" s="1439"/>
      <c r="I462" s="1439" t="n">
        <f aca="false">IF(F462&lt;H462,F462*(D462-E462),0)+IF(H462=0,(D462-E462)*F462,0)+IF(H462&lt;F462,H462*(D462-E462),0)</f>
        <v>0</v>
      </c>
      <c r="J462" s="1439" t="n">
        <f aca="false">G462-I462</f>
        <v>0</v>
      </c>
    </row>
    <row r="463" customFormat="false" ht="15" hidden="false" customHeight="true" outlineLevel="0" collapsed="false">
      <c r="B463" s="1439" t="str">
        <f aca="false">'Смета Внутр'!B463</f>
        <v>Перемычка проема, 2-ый эт. Вариант 13</v>
      </c>
      <c r="C463" s="1439" t="str">
        <f aca="false">'Смета Внутр'!C463</f>
        <v>м.п.</v>
      </c>
      <c r="D463" s="1439" t="n">
        <f aca="false">'Смета Внутр'!D463</f>
        <v>0</v>
      </c>
      <c r="E463" s="1439"/>
      <c r="F463" s="1439" t="n">
        <f aca="false">'Смета Внутр'!E463</f>
        <v>1000</v>
      </c>
      <c r="G463" s="1439" t="n">
        <f aca="false">'Смета Внутр'!H463</f>
        <v>0</v>
      </c>
      <c r="H463" s="1439"/>
      <c r="I463" s="1439" t="n">
        <f aca="false">IF(F463&lt;H463,F463*(D463-E463),0)+IF(H463=0,(D463-E463)*F463,0)+IF(H463&lt;F463,H463*(D463-E463),0)</f>
        <v>0</v>
      </c>
      <c r="J463" s="1439" t="n">
        <f aca="false">G463-I463</f>
        <v>0</v>
      </c>
    </row>
    <row r="464" customFormat="false" ht="15" hidden="false" customHeight="true" outlineLevel="0" collapsed="false">
      <c r="B464" s="1439" t="str">
        <f aca="false">'Смета Внутр'!B464</f>
        <v>Перемычка дверная, 1-ый эт. Вариант 1</v>
      </c>
      <c r="C464" s="1439" t="str">
        <f aca="false">'Смета Внутр'!C464</f>
        <v>м.п.</v>
      </c>
      <c r="D464" s="1439" t="n">
        <f aca="false">'Смета Внутр'!D464</f>
        <v>0</v>
      </c>
      <c r="E464" s="1439"/>
      <c r="F464" s="1439" t="n">
        <f aca="false">'Смета Внутр'!E464</f>
        <v>1000</v>
      </c>
      <c r="G464" s="1439" t="n">
        <f aca="false">'Смета Внутр'!H464</f>
        <v>0</v>
      </c>
      <c r="H464" s="1439"/>
      <c r="I464" s="1439" t="n">
        <f aca="false">IF(F464&lt;H464,F464*(D464-E464),0)+IF(H464=0,(D464-E464)*F464,0)+IF(H464&lt;F464,H464*(D464-E464),0)</f>
        <v>0</v>
      </c>
      <c r="J464" s="1439" t="n">
        <f aca="false">G464-I464</f>
        <v>0</v>
      </c>
    </row>
    <row r="465" customFormat="false" ht="15" hidden="false" customHeight="true" outlineLevel="0" collapsed="false">
      <c r="B465" s="1439" t="str">
        <f aca="false">'Смета Внутр'!B465</f>
        <v>Перемычка дверная, 1-ый эт. Вариант 2</v>
      </c>
      <c r="C465" s="1439" t="str">
        <f aca="false">'Смета Внутр'!C465</f>
        <v>м.п.</v>
      </c>
      <c r="D465" s="1439" t="n">
        <f aca="false">'Смета Внутр'!D465</f>
        <v>1</v>
      </c>
      <c r="E465" s="1439"/>
      <c r="F465" s="1439" t="n">
        <f aca="false">'Смета Внутр'!E465</f>
        <v>1000</v>
      </c>
      <c r="G465" s="1439" t="n">
        <f aca="false">'Смета Внутр'!H465</f>
        <v>0</v>
      </c>
      <c r="H465" s="1439"/>
      <c r="I465" s="1439" t="n">
        <f aca="false">IF(F465&lt;H465,F465*(D465-E465),0)+IF(H465=0,(D465-E465)*F465,0)+IF(H465&lt;F465,H465*(D465-E465),0)</f>
        <v>1000</v>
      </c>
      <c r="J465" s="1439" t="n">
        <f aca="false">G465-I465</f>
        <v>-1000</v>
      </c>
    </row>
    <row r="466" customFormat="false" ht="15" hidden="false" customHeight="true" outlineLevel="0" collapsed="false">
      <c r="B466" s="1439" t="str">
        <f aca="false">'Смета Внутр'!B466</f>
        <v>Перемычка дверная, 1-ый эт. Вариант 3</v>
      </c>
      <c r="C466" s="1439" t="str">
        <f aca="false">'Смета Внутр'!C466</f>
        <v>м.п.</v>
      </c>
      <c r="D466" s="1439" t="n">
        <f aca="false">'Смета Внутр'!D466</f>
        <v>0</v>
      </c>
      <c r="E466" s="1439"/>
      <c r="F466" s="1439" t="n">
        <f aca="false">'Смета Внутр'!E466</f>
        <v>1000</v>
      </c>
      <c r="G466" s="1439" t="n">
        <f aca="false">'Смета Внутр'!H466</f>
        <v>0</v>
      </c>
      <c r="H466" s="1439"/>
      <c r="I466" s="1439" t="n">
        <f aca="false">IF(F466&lt;H466,F466*(D466-E466),0)+IF(H466=0,(D466-E466)*F466,0)+IF(H466&lt;F466,H466*(D466-E466),0)</f>
        <v>0</v>
      </c>
      <c r="J466" s="1439" t="n">
        <f aca="false">G466-I466</f>
        <v>0</v>
      </c>
    </row>
    <row r="467" customFormat="false" ht="15" hidden="false" customHeight="true" outlineLevel="0" collapsed="false">
      <c r="B467" s="1439" t="str">
        <f aca="false">'Смета Внутр'!B467</f>
        <v>Сосна влаж,200*40мм</v>
      </c>
      <c r="C467" s="1439" t="str">
        <f aca="false">'Смета Внутр'!C467</f>
        <v>м3</v>
      </c>
      <c r="D467" s="1439" t="n">
        <f aca="false">'Смета Внутр'!D467</f>
        <v>1.8512</v>
      </c>
      <c r="E467" s="1439"/>
      <c r="F467" s="1439" t="n">
        <f aca="false">'Смета Внутр'!E467</f>
        <v>6500</v>
      </c>
      <c r="G467" s="1439" t="n">
        <f aca="false">'Смета Внутр'!H467</f>
        <v>0</v>
      </c>
      <c r="H467" s="1439"/>
      <c r="I467" s="1439" t="n">
        <f aca="false">IF(F467&lt;H467,F467*(D467-E467),0)+IF(H467=0,(D467-E467)*F467,0)+IF(H467&lt;F467,H467*(D467-E467),0)</f>
        <v>12032.8</v>
      </c>
      <c r="J467" s="1439" t="n">
        <f aca="false">G467-I467</f>
        <v>-12032.8</v>
      </c>
    </row>
    <row r="468" customFormat="false" ht="15" hidden="false" customHeight="true" outlineLevel="0" collapsed="false">
      <c r="B468" s="1439" t="str">
        <f aca="false">'Смета Внутр'!B468</f>
        <v>Сейсмопояс Арматура М10 4 нити</v>
      </c>
      <c r="C468" s="1439" t="str">
        <f aca="false">'Смета Внутр'!C468</f>
        <v>м.п.</v>
      </c>
      <c r="D468" s="1439" t="n">
        <f aca="false">'Смета Внутр'!D468</f>
        <v>281.6</v>
      </c>
      <c r="E468" s="1439"/>
      <c r="F468" s="1439" t="n">
        <f aca="false">'Смета Внутр'!E468</f>
        <v>21.0397</v>
      </c>
      <c r="G468" s="1439" t="n">
        <f aca="false">'Смета Внутр'!H468</f>
        <v>0</v>
      </c>
      <c r="H468" s="1439"/>
      <c r="I468" s="1439" t="n">
        <f aca="false">IF(F468&lt;H468,F468*(D468-E468),0)+IF(H468=0,(D468-E468)*F468,0)+IF(H468&lt;F468,H468*(D468-E468),0)</f>
        <v>5924.77952</v>
      </c>
      <c r="J468" s="1439" t="n">
        <f aca="false">G468-I468</f>
        <v>-5924.77952</v>
      </c>
    </row>
    <row r="469" customFormat="false" ht="15" hidden="false" customHeight="true" outlineLevel="0" collapsed="false">
      <c r="B469" s="1439" t="str">
        <f aca="false">'Смета Внутр'!B469</f>
        <v>Хомут для сейсмопояса Арматура М6, шаг 400мм</v>
      </c>
      <c r="C469" s="1439" t="str">
        <f aca="false">'Смета Внутр'!C469</f>
        <v>м.п.</v>
      </c>
      <c r="D469" s="1439" t="n">
        <f aca="false">'Смета Внутр'!D469</f>
        <v>144</v>
      </c>
      <c r="E469" s="1439"/>
      <c r="F469" s="1439" t="n">
        <f aca="false">'Смета Внутр'!E469</f>
        <v>0</v>
      </c>
      <c r="G469" s="1439" t="n">
        <f aca="false">'Смета Внутр'!H469</f>
        <v>0</v>
      </c>
      <c r="H469" s="1439"/>
      <c r="I469" s="1439" t="n">
        <f aca="false">IF(F469&lt;H469,F469*(D469-E469),0)+IF(H469=0,(D469-E469)*F469,0)+IF(H469&lt;F469,H469*(D469-E469),0)</f>
        <v>0</v>
      </c>
      <c r="J469" s="1439" t="n">
        <f aca="false">G469-I469</f>
        <v>0</v>
      </c>
    </row>
    <row r="470" customFormat="false" ht="15" hidden="false" customHeight="true" outlineLevel="0" collapsed="false">
      <c r="B470" s="1439" t="str">
        <f aca="false">'Смета Внутр'!B470</f>
        <v>Бетон, м300</v>
      </c>
      <c r="C470" s="1439" t="str">
        <f aca="false">'Смета Внутр'!C470</f>
        <v>м3</v>
      </c>
      <c r="D470" s="1439" t="n">
        <f aca="false">'Смета Внутр'!D470</f>
        <v>2.8833</v>
      </c>
      <c r="E470" s="1439"/>
      <c r="F470" s="1439" t="n">
        <f aca="false">'Смета Внутр'!E470</f>
        <v>3000</v>
      </c>
      <c r="G470" s="1439" t="n">
        <f aca="false">'Смета Внутр'!H470</f>
        <v>0</v>
      </c>
      <c r="H470" s="1439"/>
      <c r="I470" s="1439" t="n">
        <f aca="false">IF(F470&lt;H470,F470*(D470-E470),0)+IF(H470=0,(D470-E470)*F470,0)+IF(H470&lt;F470,H470*(D470-E470),0)</f>
        <v>8649.9</v>
      </c>
      <c r="J470" s="1439" t="n">
        <f aca="false">G470-I470</f>
        <v>-8649.9</v>
      </c>
    </row>
    <row r="471" customFormat="false" ht="15" hidden="false" customHeight="true" outlineLevel="0" collapsed="false">
      <c r="B471" s="1439" t="str">
        <f aca="false">'Смета Внутр'!B471</f>
        <v>Нет</v>
      </c>
      <c r="C471" s="1439" t="str">
        <f aca="false">'Смета Внутр'!C471</f>
        <v>м3</v>
      </c>
      <c r="D471" s="1439" t="n">
        <f aca="false">'Смета Внутр'!D471</f>
        <v>0</v>
      </c>
      <c r="E471" s="1439"/>
      <c r="F471" s="1439" t="n">
        <f aca="false">'Смета Внутр'!E471</f>
        <v>0</v>
      </c>
      <c r="G471" s="1439" t="n">
        <f aca="false">'Смета Внутр'!H471</f>
        <v>0</v>
      </c>
      <c r="H471" s="1439"/>
      <c r="I471" s="1439" t="n">
        <f aca="false">IF(F471&lt;H471,F471*(D471-E471),0)+IF(H471=0,(D471-E471)*F471,0)+IF(H471&lt;F471,H471*(D471-E471),0)</f>
        <v>0</v>
      </c>
      <c r="J471" s="1439" t="n">
        <f aca="false">G471-I471</f>
        <v>0</v>
      </c>
    </row>
    <row r="472" customFormat="false" ht="15" hidden="false" customHeight="true" outlineLevel="0" collapsed="false">
      <c r="B472" s="1439" t="str">
        <f aca="false">'Смета Внутр'!B472</f>
        <v>Грибок для крепления утеплителя</v>
      </c>
      <c r="C472" s="1439" t="str">
        <f aca="false">'Смета Внутр'!C472</f>
        <v>шт</v>
      </c>
      <c r="D472" s="1439" t="n">
        <f aca="false">'Смета Внутр'!D472</f>
        <v>0</v>
      </c>
      <c r="E472" s="1439"/>
      <c r="F472" s="1439" t="n">
        <f aca="false">'Смета Внутр'!E472</f>
        <v>15</v>
      </c>
      <c r="G472" s="1439" t="n">
        <f aca="false">'Смета Внутр'!H472</f>
        <v>0</v>
      </c>
      <c r="H472" s="1439"/>
      <c r="I472" s="1439" t="n">
        <f aca="false">IF(F472&lt;H472,F472*(D472-E472),0)+IF(H472=0,(D472-E472)*F472,0)+IF(H472&lt;F472,H472*(D472-E472),0)</f>
        <v>0</v>
      </c>
      <c r="J472" s="1439" t="n">
        <f aca="false">G472-I472</f>
        <v>0</v>
      </c>
    </row>
    <row r="473" customFormat="false" ht="15" hidden="false" customHeight="true" outlineLevel="0" collapsed="false">
      <c r="B473" s="1439" t="str">
        <f aca="false">'Смета Внутр'!B473</f>
        <v>нет ветроизоляции</v>
      </c>
      <c r="C473" s="1439" t="str">
        <f aca="false">'Смета Внутр'!C473</f>
        <v>м2</v>
      </c>
      <c r="D473" s="1439" t="n">
        <f aca="false">'Смета Внутр'!D473</f>
        <v>0</v>
      </c>
      <c r="E473" s="1439"/>
      <c r="F473" s="1439" t="n">
        <f aca="false">'Смета Внутр'!E473</f>
        <v>0</v>
      </c>
      <c r="G473" s="1439" t="n">
        <f aca="false">'Смета Внутр'!H473</f>
        <v>0</v>
      </c>
      <c r="H473" s="1439"/>
      <c r="I473" s="1439" t="n">
        <f aca="false">IF(F473&lt;H473,F473*(D473-E473),0)+IF(H473=0,(D473-E473)*F473,0)+IF(H473&lt;F473,H473*(D473-E473),0)</f>
        <v>0</v>
      </c>
      <c r="J473" s="1439" t="n">
        <f aca="false">G473-I473</f>
        <v>0</v>
      </c>
    </row>
    <row r="474" customFormat="false" ht="15" hidden="false" customHeight="true" outlineLevel="0" collapsed="false">
      <c r="B474" s="1692" t="s">
        <v>4332</v>
      </c>
      <c r="C474" s="1692"/>
      <c r="D474" s="1692"/>
      <c r="E474" s="1692"/>
      <c r="F474" s="1692"/>
      <c r="G474" s="1439" t="n">
        <f aca="false">'Смета Внутр'!H474</f>
        <v>0</v>
      </c>
      <c r="H474" s="3181"/>
      <c r="I474" s="1439"/>
      <c r="J474" s="1439"/>
    </row>
    <row r="475" customFormat="false" ht="15" hidden="false" customHeight="true" outlineLevel="0" collapsed="false">
      <c r="B475" s="1268" t="str">
        <f aca="false">'Смета Внутр'!B475</f>
        <v>Работы</v>
      </c>
      <c r="C475" s="1268"/>
      <c r="D475" s="1268"/>
      <c r="E475" s="1268"/>
      <c r="F475" s="1268"/>
      <c r="G475" s="3173" t="n">
        <f aca="false">'Смета Внутр'!H475</f>
        <v>0</v>
      </c>
      <c r="H475" s="3182"/>
      <c r="I475" s="3180" t="n">
        <f aca="false">IF(F475&lt;H475,F475*(D475-E475),0)+IF(H475=0,(D475-E475)*F475,0)+IF(H475&lt;F475,H475*(D475-E475),0)</f>
        <v>0</v>
      </c>
      <c r="J475" s="3180" t="n">
        <f aca="false">G475-I475</f>
        <v>0</v>
      </c>
    </row>
    <row r="476" customFormat="false" ht="15" hidden="false" customHeight="true" outlineLevel="0" collapsed="false">
      <c r="B476" s="1439" t="str">
        <f aca="false">'Смета Внутр'!B476</f>
        <v>кладка пенобетона несущие стены</v>
      </c>
      <c r="C476" s="1439" t="str">
        <f aca="false">'Смета Внутр'!C476</f>
        <v>м3</v>
      </c>
      <c r="D476" s="1439" t="n">
        <f aca="false">'Смета Внутр'!D476</f>
        <v>0</v>
      </c>
      <c r="E476" s="1439"/>
      <c r="F476" s="1439" t="n">
        <f aca="false">'Смета Внутр'!E476</f>
        <v>3500</v>
      </c>
      <c r="G476" s="1439" t="n">
        <f aca="false">'Смета Внутр'!H476</f>
        <v>0</v>
      </c>
      <c r="H476" s="1439"/>
      <c r="I476" s="1439" t="n">
        <f aca="false">IF(F476&lt;H476,F476*(D476-E476),0)+IF(H476=0,(D476-E476)*F476,0)+IF(H476&lt;F476,H476*(D476-E476),0)</f>
        <v>0</v>
      </c>
      <c r="J476" s="1439" t="n">
        <f aca="false">G476-I476</f>
        <v>0</v>
      </c>
    </row>
    <row r="477" customFormat="false" ht="15" hidden="false" customHeight="true" outlineLevel="0" collapsed="false">
      <c r="B477" s="1439" t="str">
        <f aca="false">'Смета Внутр'!B477</f>
        <v>кладка пенобетона несущие перегородки</v>
      </c>
      <c r="C477" s="1439" t="str">
        <f aca="false">'Смета Внутр'!C477</f>
        <v>м3</v>
      </c>
      <c r="D477" s="1439" t="n">
        <f aca="false">'Смета Внутр'!D477</f>
        <v>0</v>
      </c>
      <c r="E477" s="1439"/>
      <c r="F477" s="1439" t="n">
        <f aca="false">'Смета Внутр'!E477</f>
        <v>3500</v>
      </c>
      <c r="G477" s="1439" t="n">
        <f aca="false">'Смета Внутр'!H477</f>
        <v>0</v>
      </c>
      <c r="H477" s="1439"/>
      <c r="I477" s="1439" t="n">
        <f aca="false">IF(F477&lt;H477,F477*(D477-E477),0)+IF(H477=0,(D477-E477)*F477,0)+IF(H477&lt;F477,H477*(D477-E477),0)</f>
        <v>0</v>
      </c>
      <c r="J477" s="1439" t="n">
        <f aca="false">G477-I477</f>
        <v>0</v>
      </c>
    </row>
    <row r="478" customFormat="false" ht="15" hidden="false" customHeight="true" outlineLevel="0" collapsed="false">
      <c r="B478" s="1439" t="str">
        <f aca="false">'Смета Внутр'!B478</f>
        <v>кладка пенобетона перегородки</v>
      </c>
      <c r="C478" s="1439" t="str">
        <f aca="false">'Смета Внутр'!C478</f>
        <v>м2</v>
      </c>
      <c r="D478" s="1439" t="n">
        <f aca="false">'Смета Внутр'!D478</f>
        <v>0</v>
      </c>
      <c r="E478" s="1439"/>
      <c r="F478" s="1439" t="n">
        <f aca="false">'Смета Внутр'!E478</f>
        <v>450</v>
      </c>
      <c r="G478" s="1439" t="n">
        <f aca="false">'Смета Внутр'!H478</f>
        <v>0</v>
      </c>
      <c r="H478" s="1439"/>
      <c r="I478" s="1439" t="n">
        <f aca="false">IF(F478&lt;H478,F478*(D478-E478),0)+IF(H478=0,(D478-E478)*F478,0)+IF(H478&lt;F478,H478*(D478-E478),0)</f>
        <v>0</v>
      </c>
      <c r="J478" s="1439" t="n">
        <f aca="false">G478-I478</f>
        <v>0</v>
      </c>
    </row>
    <row r="479" customFormat="false" ht="15" hidden="false" customHeight="true" outlineLevel="0" collapsed="false">
      <c r="B479" s="1439" t="str">
        <f aca="false">'Смета Внутр'!B479</f>
        <v>изготовление и монтаж перемычек для окон и дверей</v>
      </c>
      <c r="C479" s="1439" t="str">
        <f aca="false">'Смета Внутр'!C479</f>
        <v>м.п.</v>
      </c>
      <c r="D479" s="1439" t="n">
        <f aca="false">'Смета Внутр'!D479</f>
        <v>10.49</v>
      </c>
      <c r="E479" s="1439"/>
      <c r="F479" s="1439" t="n">
        <f aca="false">'Смета Внутр'!E479</f>
        <v>500</v>
      </c>
      <c r="G479" s="1439" t="n">
        <f aca="false">'Смета Внутр'!H479</f>
        <v>0</v>
      </c>
      <c r="H479" s="1439"/>
      <c r="I479" s="1439" t="n">
        <f aca="false">IF(F479&lt;H479,F479*(D479-E479),0)+IF(H479=0,(D479-E479)*F479,0)+IF(H479&lt;F479,H479*(D479-E479),0)</f>
        <v>5245</v>
      </c>
      <c r="J479" s="1439" t="n">
        <f aca="false">G479-I479</f>
        <v>-5245</v>
      </c>
    </row>
    <row r="480" customFormat="false" ht="15" hidden="false" customHeight="true" outlineLevel="0" collapsed="false">
      <c r="B480" s="1439" t="str">
        <f aca="false">'Смета Внутр'!B480</f>
        <v>Замешивание раствора</v>
      </c>
      <c r="C480" s="1439" t="str">
        <f aca="false">'Смета Внутр'!C480</f>
        <v>м3</v>
      </c>
      <c r="D480" s="1439" t="n">
        <f aca="false">'Смета Внутр'!D480</f>
        <v>0</v>
      </c>
      <c r="E480" s="1439"/>
      <c r="F480" s="1439" t="n">
        <f aca="false">'Смета Внутр'!E480</f>
        <v>1500</v>
      </c>
      <c r="G480" s="1439" t="n">
        <f aca="false">'Смета Внутр'!H480</f>
        <v>0</v>
      </c>
      <c r="H480" s="1439"/>
      <c r="I480" s="1439" t="n">
        <f aca="false">IF(F480&lt;H480,F480*(D480-E480),0)+IF(H480=0,(D480-E480)*F480,0)+IF(H480&lt;F480,H480*(D480-E480),0)</f>
        <v>0</v>
      </c>
      <c r="J480" s="1439" t="n">
        <f aca="false">G480-I480</f>
        <v>0</v>
      </c>
    </row>
    <row r="481" customFormat="false" ht="15" hidden="false" customHeight="true" outlineLevel="0" collapsed="false">
      <c r="B481" s="1439" t="str">
        <f aca="false">'Смета Внутр'!B481</f>
        <v>Армирование стен наружних и перегородок</v>
      </c>
      <c r="C481" s="1439" t="str">
        <f aca="false">'Смета Внутр'!C481</f>
        <v>м.п.</v>
      </c>
      <c r="D481" s="1439" t="n">
        <f aca="false">'Смета Внутр'!D481</f>
        <v>348.666666666667</v>
      </c>
      <c r="E481" s="1439"/>
      <c r="F481" s="1439" t="n">
        <f aca="false">'Смета Внутр'!E481</f>
        <v>70</v>
      </c>
      <c r="G481" s="1439" t="n">
        <f aca="false">'Смета Внутр'!H481</f>
        <v>0</v>
      </c>
      <c r="H481" s="1439"/>
      <c r="I481" s="1439" t="n">
        <f aca="false">IF(F481&lt;H481,F481*(D481-E481),0)+IF(H481=0,(D481-E481)*F481,0)+IF(H481&lt;F481,H481*(D481-E481),0)</f>
        <v>24406.6666666667</v>
      </c>
      <c r="J481" s="1439" t="n">
        <f aca="false">G481-I481</f>
        <v>-24406.6666666667</v>
      </c>
    </row>
    <row r="482" customFormat="false" ht="15" hidden="false" customHeight="true" outlineLevel="0" collapsed="false">
      <c r="B482" s="1439" t="str">
        <f aca="false">'Смета Внутр'!B482</f>
        <v>Установка опалубки для сейсмопояса</v>
      </c>
      <c r="C482" s="1439" t="str">
        <f aca="false">'Смета Внутр'!C482</f>
        <v>м.п.</v>
      </c>
      <c r="D482" s="1439" t="n">
        <f aca="false">'Смета Внутр'!D482</f>
        <v>76.5</v>
      </c>
      <c r="E482" s="1439"/>
      <c r="F482" s="1439" t="n">
        <f aca="false">'Смета Внутр'!E482</f>
        <v>300</v>
      </c>
      <c r="G482" s="1439" t="n">
        <f aca="false">'Смета Внутр'!H482</f>
        <v>0</v>
      </c>
      <c r="H482" s="1439"/>
      <c r="I482" s="1439" t="n">
        <f aca="false">IF(F482&lt;H482,F482*(D482-E482),0)+IF(H482=0,(D482-E482)*F482,0)+IF(H482&lt;F482,H482*(D482-E482),0)</f>
        <v>22950</v>
      </c>
      <c r="J482" s="1439" t="n">
        <f aca="false">G482-I482</f>
        <v>-22950</v>
      </c>
    </row>
    <row r="483" customFormat="false" ht="15" hidden="false" customHeight="true" outlineLevel="0" collapsed="false">
      <c r="B483" s="1439" t="str">
        <f aca="false">'Смета Внутр'!B483</f>
        <v>Армирование сейсмопояса</v>
      </c>
      <c r="C483" s="1439" t="str">
        <f aca="false">'Смета Внутр'!C483</f>
        <v>м.п.</v>
      </c>
      <c r="D483" s="1439" t="n">
        <f aca="false">'Смета Внутр'!D483</f>
        <v>76.5</v>
      </c>
      <c r="E483" s="1439"/>
      <c r="F483" s="1439" t="n">
        <f aca="false">'Смета Внутр'!E483</f>
        <v>500</v>
      </c>
      <c r="G483" s="1439" t="n">
        <f aca="false">'Смета Внутр'!H483</f>
        <v>0</v>
      </c>
      <c r="H483" s="1439"/>
      <c r="I483" s="1439" t="n">
        <f aca="false">IF(F483&lt;H483,F483*(D483-E483),0)+IF(H483=0,(D483-E483)*F483,0)+IF(H483&lt;F483,H483*(D483-E483),0)</f>
        <v>38250</v>
      </c>
      <c r="J483" s="1439" t="n">
        <f aca="false">G483-I483</f>
        <v>-38250</v>
      </c>
    </row>
    <row r="484" customFormat="false" ht="15" hidden="false" customHeight="true" outlineLevel="0" collapsed="false">
      <c r="B484" s="1439" t="str">
        <f aca="false">'Смета Внутр'!B484</f>
        <v>Заливка бетоном сейсмопояса</v>
      </c>
      <c r="C484" s="1439" t="str">
        <f aca="false">'Смета Внутр'!C484</f>
        <v>м.п.</v>
      </c>
      <c r="D484" s="1439" t="n">
        <f aca="false">'Смета Внутр'!D484</f>
        <v>76.5</v>
      </c>
      <c r="E484" s="1439"/>
      <c r="F484" s="1439" t="n">
        <f aca="false">'Смета Внутр'!E484</f>
        <v>700</v>
      </c>
      <c r="G484" s="1439" t="n">
        <f aca="false">'Смета Внутр'!H484</f>
        <v>0</v>
      </c>
      <c r="H484" s="1439"/>
      <c r="I484" s="1439" t="n">
        <f aca="false">IF(F484&lt;H484,F484*(D484-E484),0)+IF(H484=0,(D484-E484)*F484,0)+IF(H484&lt;F484,H484*(D484-E484),0)</f>
        <v>53550</v>
      </c>
      <c r="J484" s="1439" t="n">
        <f aca="false">G484-I484</f>
        <v>-53550</v>
      </c>
    </row>
    <row r="485" customFormat="false" ht="15" hidden="false" customHeight="true" outlineLevel="0" collapsed="false">
      <c r="B485" s="1439" t="str">
        <f aca="false">'Смета Внутр'!B485</f>
        <v>утепление стен снаружи дома</v>
      </c>
      <c r="C485" s="1439" t="str">
        <f aca="false">'Смета Внутр'!C485</f>
        <v>м2</v>
      </c>
      <c r="D485" s="1439" t="n">
        <f aca="false">'Смета Внутр'!D485</f>
        <v>0</v>
      </c>
      <c r="E485" s="1439"/>
      <c r="F485" s="1439" t="n">
        <f aca="false">'Смета Внутр'!E485</f>
        <v>350</v>
      </c>
      <c r="G485" s="1439" t="n">
        <f aca="false">'Смета Внутр'!H485</f>
        <v>0</v>
      </c>
      <c r="H485" s="1439"/>
      <c r="I485" s="1439" t="n">
        <f aca="false">IF(F485&lt;H485,F485*(D485-E485),0)+IF(H485=0,(D485-E485)*F485,0)+IF(H485&lt;F485,H485*(D485-E485),0)</f>
        <v>0</v>
      </c>
      <c r="J485" s="1439" t="n">
        <f aca="false">G485-I485</f>
        <v>0</v>
      </c>
    </row>
    <row r="486" customFormat="false" ht="15" hidden="false" customHeight="true" outlineLevel="0" collapsed="false">
      <c r="B486" s="1439" t="str">
        <f aca="false">'Смета Внутр'!B486</f>
        <v>монтаж ветроизоляции стен</v>
      </c>
      <c r="C486" s="1439" t="str">
        <f aca="false">'Смета Внутр'!C486</f>
        <v>м2</v>
      </c>
      <c r="D486" s="1439" t="n">
        <f aca="false">'Смета Внутр'!D486</f>
        <v>0</v>
      </c>
      <c r="E486" s="1439"/>
      <c r="F486" s="1439" t="n">
        <f aca="false">'Смета Внутр'!E486</f>
        <v>100</v>
      </c>
      <c r="G486" s="1439" t="n">
        <f aca="false">'Смета Внутр'!H486</f>
        <v>0</v>
      </c>
      <c r="H486" s="1439"/>
      <c r="I486" s="1439" t="n">
        <f aca="false">IF(F486&lt;H486,F486*(D486-E486),0)+IF(H486=0,(D486-E486)*F486,0)+IF(H486&lt;F486,H486*(D486-E486),0)</f>
        <v>0</v>
      </c>
      <c r="J486" s="1439" t="n">
        <f aca="false">G486-I486</f>
        <v>0</v>
      </c>
    </row>
    <row r="487" customFormat="false" ht="15" hidden="false" customHeight="false" outlineLevel="0" collapsed="false">
      <c r="B487" s="1692" t="s">
        <v>4333</v>
      </c>
      <c r="C487" s="1692"/>
      <c r="D487" s="1692"/>
      <c r="E487" s="1692"/>
      <c r="F487" s="1692"/>
      <c r="G487" s="1439" t="n">
        <f aca="false">'Смета Внутр'!H487</f>
        <v>0</v>
      </c>
      <c r="H487" s="3181"/>
      <c r="I487" s="1439"/>
      <c r="J487" s="1439"/>
    </row>
    <row r="488" customFormat="false" ht="15" hidden="false" customHeight="true" outlineLevel="0" collapsed="false">
      <c r="B488" s="3172" t="str">
        <f aca="false">'Смета Внутр'!B488</f>
        <v>Кирпичный дом</v>
      </c>
      <c r="C488" s="3172"/>
      <c r="D488" s="3172"/>
      <c r="E488" s="3172"/>
      <c r="F488" s="3172"/>
      <c r="G488" s="3173" t="n">
        <f aca="false">'Смета Внутр'!H488</f>
        <v>1</v>
      </c>
      <c r="H488" s="3173"/>
      <c r="I488" s="3180" t="n">
        <f aca="false">IF(F488&lt;H488,F488*(D488-E488),0)+IF(H488=0,(D488-E488)*F488,0)+IF(H488&lt;F488,H488*(D488-E488),0)</f>
        <v>0</v>
      </c>
      <c r="J488" s="3180" t="n">
        <f aca="false">G488-I488</f>
        <v>1</v>
      </c>
    </row>
    <row r="489" customFormat="false" ht="15" hidden="false" customHeight="true" outlineLevel="0" collapsed="false">
      <c r="B489" s="1268" t="str">
        <f aca="false">'Смета Внутр'!B489</f>
        <v>Материалы</v>
      </c>
      <c r="C489" s="1268"/>
      <c r="D489" s="1268"/>
      <c r="E489" s="1268"/>
      <c r="F489" s="1268"/>
      <c r="G489" s="3173" t="n">
        <f aca="false">'Смета Внутр'!H489</f>
        <v>1</v>
      </c>
      <c r="H489" s="3182"/>
      <c r="I489" s="3180" t="n">
        <f aca="false">IF(F489&lt;H489,F489*(D489-E489),0)+IF(H489=0,(D489-E489)*F489,0)+IF(H489&lt;F489,H489*(D489-E489),0)</f>
        <v>0</v>
      </c>
      <c r="J489" s="3180" t="n">
        <f aca="false">G489-I489</f>
        <v>1</v>
      </c>
    </row>
    <row r="490" customFormat="false" ht="15" hidden="false" customHeight="true" outlineLevel="0" collapsed="false">
      <c r="B490" s="1439" t="str">
        <f aca="false">'Смета Внутр'!B490</f>
        <v>0,7НФ/150/75 Красный</v>
      </c>
      <c r="C490" s="1439" t="str">
        <f aca="false">'Смета Внутр'!C490</f>
        <v>м3</v>
      </c>
      <c r="D490" s="1439" t="n">
        <f aca="false">'Смета Внутр'!D490</f>
        <v>60.52816</v>
      </c>
      <c r="E490" s="1439"/>
      <c r="F490" s="1439" t="n">
        <f aca="false">'Смета Внутр'!E490</f>
        <v>8379.57</v>
      </c>
      <c r="G490" s="1439" t="n">
        <f aca="false">'Смета Внутр'!H490</f>
        <v>507199.9536912</v>
      </c>
      <c r="H490" s="1439"/>
      <c r="I490" s="1439" t="n">
        <f aca="false">IF(F490&lt;H490,F490*(D490-E490),0)+IF(H490=0,(D490-E490)*F490,0)+IF(H490&lt;F490,H490*(D490-E490),0)</f>
        <v>507199.9536912</v>
      </c>
      <c r="J490" s="1439" t="n">
        <f aca="false">G490-I490</f>
        <v>0</v>
      </c>
    </row>
    <row r="491" customFormat="false" ht="15" hidden="false" customHeight="true" outlineLevel="0" collapsed="false">
      <c r="B491" s="1439" t="str">
        <f aca="false">'Смета Внутр'!B491</f>
        <v>0,7НФ/150/75 Красный</v>
      </c>
      <c r="C491" s="1439" t="str">
        <f aca="false">'Смета Внутр'!C491</f>
        <v>м3</v>
      </c>
      <c r="D491" s="1439" t="n">
        <f aca="false">'Смета Внутр'!D491</f>
        <v>17.24844</v>
      </c>
      <c r="E491" s="1439"/>
      <c r="F491" s="1439" t="n">
        <f aca="false">'Смета Внутр'!E491</f>
        <v>8379.57</v>
      </c>
      <c r="G491" s="1439" t="n">
        <f aca="false">'Смета Внутр'!H491</f>
        <v>144534.5103708</v>
      </c>
      <c r="H491" s="1439"/>
      <c r="I491" s="1439" t="n">
        <f aca="false">IF(F491&lt;H491,F491*(D491-E491),0)+IF(H491=0,(D491-E491)*F491,0)+IF(H491&lt;F491,H491*(D491-E491),0)</f>
        <v>144534.5103708</v>
      </c>
      <c r="J491" s="1439" t="n">
        <f aca="false">G491-I491</f>
        <v>0</v>
      </c>
    </row>
    <row r="492" customFormat="false" ht="15" hidden="false" customHeight="true" outlineLevel="0" collapsed="false">
      <c r="B492" s="1439" t="str">
        <f aca="false">'Смета Внутр'!B492</f>
        <v>0,7НФ/150/75 Красный</v>
      </c>
      <c r="C492" s="1439" t="str">
        <f aca="false">'Смета Внутр'!C492</f>
        <v>м3</v>
      </c>
      <c r="D492" s="1439" t="n">
        <f aca="false">'Смета Внутр'!D492</f>
        <v>3.84384</v>
      </c>
      <c r="E492" s="1439"/>
      <c r="F492" s="1439" t="n">
        <f aca="false">'Смета Внутр'!E492</f>
        <v>8379.57</v>
      </c>
      <c r="G492" s="1439" t="n">
        <f aca="false">'Смета Внутр'!H492</f>
        <v>32209.7263488</v>
      </c>
      <c r="H492" s="1439"/>
      <c r="I492" s="1439" t="n">
        <f aca="false">IF(F492&lt;H492,F492*(D492-E492),0)+IF(H492=0,(D492-E492)*F492,0)+IF(H492&lt;F492,H492*(D492-E492),0)</f>
        <v>32209.7263488</v>
      </c>
      <c r="J492" s="1439" t="n">
        <f aca="false">G492-I492</f>
        <v>0</v>
      </c>
    </row>
    <row r="493" customFormat="false" ht="15" hidden="false" customHeight="true" outlineLevel="0" collapsed="false">
      <c r="B493" s="1439" t="str">
        <f aca="false">'Смета Внутр'!B493</f>
        <v>Перемычка оконная, 1-ый эт. Вариант 1</v>
      </c>
      <c r="C493" s="1439" t="str">
        <f aca="false">'Смета Внутр'!C493</f>
        <v>м.п.</v>
      </c>
      <c r="D493" s="1439" t="n">
        <f aca="false">'Смета Внутр'!D493</f>
        <v>1</v>
      </c>
      <c r="E493" s="1439"/>
      <c r="F493" s="1439" t="n">
        <f aca="false">'Смета Внутр'!E493</f>
        <v>1000</v>
      </c>
      <c r="G493" s="1439" t="n">
        <f aca="false">'Смета Внутр'!H493</f>
        <v>1000</v>
      </c>
      <c r="H493" s="1439"/>
      <c r="I493" s="1439" t="n">
        <f aca="false">IF(F493&lt;H493,F493*(D493-E493),0)+IF(H493=0,(D493-E493)*F493,0)+IF(H493&lt;F493,H493*(D493-E493),0)</f>
        <v>1000</v>
      </c>
      <c r="J493" s="1439" t="n">
        <f aca="false">G493-I493</f>
        <v>0</v>
      </c>
    </row>
    <row r="494" customFormat="false" ht="15" hidden="false" customHeight="true" outlineLevel="0" collapsed="false">
      <c r="B494" s="1439" t="str">
        <f aca="false">'Смета Внутр'!B494</f>
        <v>Перемычка оконная, 1-ый эт. Вариант 2</v>
      </c>
      <c r="C494" s="1439" t="str">
        <f aca="false">'Смета Внутр'!C494</f>
        <v>м.п.</v>
      </c>
      <c r="D494" s="1439" t="n">
        <f aca="false">'Смета Внутр'!D494</f>
        <v>0</v>
      </c>
      <c r="E494" s="1439"/>
      <c r="F494" s="1439" t="n">
        <f aca="false">'Смета Внутр'!E494</f>
        <v>1000</v>
      </c>
      <c r="G494" s="1439" t="n">
        <f aca="false">'Смета Внутр'!H494</f>
        <v>0</v>
      </c>
      <c r="H494" s="1439"/>
      <c r="I494" s="1439" t="n">
        <f aca="false">IF(F494&lt;H494,F494*(D494-E494),0)+IF(H494=0,(D494-E494)*F494,0)+IF(H494&lt;F494,H494*(D494-E494),0)</f>
        <v>0</v>
      </c>
      <c r="J494" s="1439" t="n">
        <f aca="false">G494-I494</f>
        <v>0</v>
      </c>
    </row>
    <row r="495" customFormat="false" ht="15" hidden="false" customHeight="true" outlineLevel="0" collapsed="false">
      <c r="B495" s="1439" t="str">
        <f aca="false">'Смета Внутр'!B495</f>
        <v>Перемычка оконная, 1-ый эт. Вариант 3</v>
      </c>
      <c r="C495" s="1439" t="str">
        <f aca="false">'Смета Внутр'!C495</f>
        <v>м.п.</v>
      </c>
      <c r="D495" s="1439" t="n">
        <f aca="false">'Смета Внутр'!D495</f>
        <v>0</v>
      </c>
      <c r="E495" s="1439"/>
      <c r="F495" s="1439" t="n">
        <f aca="false">'Смета Внутр'!E495</f>
        <v>1000</v>
      </c>
      <c r="G495" s="1439" t="n">
        <f aca="false">'Смета Внутр'!H495</f>
        <v>0</v>
      </c>
      <c r="H495" s="1439"/>
      <c r="I495" s="1439" t="n">
        <f aca="false">IF(F495&lt;H495,F495*(D495-E495),0)+IF(H495=0,(D495-E495)*F495,0)+IF(H495&lt;F495,H495*(D495-E495),0)</f>
        <v>0</v>
      </c>
      <c r="J495" s="1439" t="n">
        <f aca="false">G495-I495</f>
        <v>0</v>
      </c>
    </row>
    <row r="496" customFormat="false" ht="15" hidden="false" customHeight="true" outlineLevel="0" collapsed="false">
      <c r="B496" s="1439" t="str">
        <f aca="false">'Смета Внутр'!B496</f>
        <v>Перемычка оконная, 1-ый эт. Вариант 4</v>
      </c>
      <c r="C496" s="1439" t="str">
        <f aca="false">'Смета Внутр'!C496</f>
        <v>м.п.</v>
      </c>
      <c r="D496" s="1439" t="n">
        <f aca="false">'Смета Внутр'!D496</f>
        <v>0</v>
      </c>
      <c r="E496" s="1439"/>
      <c r="F496" s="1439" t="n">
        <f aca="false">'Смета Внутр'!E496</f>
        <v>1000</v>
      </c>
      <c r="G496" s="1439" t="n">
        <f aca="false">'Смета Внутр'!H496</f>
        <v>0</v>
      </c>
      <c r="H496" s="1439"/>
      <c r="I496" s="1439" t="n">
        <f aca="false">IF(F496&lt;H496,F496*(D496-E496),0)+IF(H496=0,(D496-E496)*F496,0)+IF(H496&lt;F496,H496*(D496-E496),0)</f>
        <v>0</v>
      </c>
      <c r="J496" s="1439" t="n">
        <f aca="false">G496-I496</f>
        <v>0</v>
      </c>
    </row>
    <row r="497" customFormat="false" ht="15" hidden="false" customHeight="true" outlineLevel="0" collapsed="false">
      <c r="B497" s="1439" t="str">
        <f aca="false">'Смета Внутр'!B497</f>
        <v>Перемычка оконная, 1-ый эт. Вариант 5</v>
      </c>
      <c r="C497" s="1439" t="str">
        <f aca="false">'Смета Внутр'!C497</f>
        <v>м.п.</v>
      </c>
      <c r="D497" s="1439" t="n">
        <f aca="false">'Смета Внутр'!D497</f>
        <v>0</v>
      </c>
      <c r="E497" s="1439"/>
      <c r="F497" s="1439" t="n">
        <f aca="false">'Смета Внутр'!E497</f>
        <v>1000</v>
      </c>
      <c r="G497" s="1439" t="n">
        <f aca="false">'Смета Внутр'!H497</f>
        <v>0</v>
      </c>
      <c r="H497" s="1439"/>
      <c r="I497" s="1439" t="n">
        <f aca="false">IF(F497&lt;H497,F497*(D497-E497),0)+IF(H497=0,(D497-E497)*F497,0)+IF(H497&lt;F497,H497*(D497-E497),0)</f>
        <v>0</v>
      </c>
      <c r="J497" s="1439" t="n">
        <f aca="false">G497-I497</f>
        <v>0</v>
      </c>
    </row>
    <row r="498" customFormat="false" ht="15" hidden="false" customHeight="true" outlineLevel="0" collapsed="false">
      <c r="B498" s="1439" t="str">
        <f aca="false">'Смета Внутр'!B498</f>
        <v>Перемычка оконная, 2-ый эт. Вариант 6</v>
      </c>
      <c r="C498" s="1439" t="str">
        <f aca="false">'Смета Внутр'!C498</f>
        <v>м.п.</v>
      </c>
      <c r="D498" s="1439" t="n">
        <f aca="false">'Смета Внутр'!D498</f>
        <v>0</v>
      </c>
      <c r="E498" s="1439"/>
      <c r="F498" s="1439" t="n">
        <f aca="false">'Смета Внутр'!E498</f>
        <v>1000</v>
      </c>
      <c r="G498" s="1439" t="n">
        <f aca="false">'Смета Внутр'!H498</f>
        <v>0</v>
      </c>
      <c r="H498" s="1439"/>
      <c r="I498" s="1439" t="n">
        <f aca="false">IF(F498&lt;H498,F498*(D498-E498),0)+IF(H498=0,(D498-E498)*F498,0)+IF(H498&lt;F498,H498*(D498-E498),0)</f>
        <v>0</v>
      </c>
      <c r="J498" s="1439" t="n">
        <f aca="false">G498-I498</f>
        <v>0</v>
      </c>
    </row>
    <row r="499" customFormat="false" ht="15" hidden="false" customHeight="true" outlineLevel="0" collapsed="false">
      <c r="B499" s="1439" t="str">
        <f aca="false">'Смета Внутр'!B499</f>
        <v>Перемычка оконная, 2-ый эт. Вариант 7</v>
      </c>
      <c r="C499" s="1439" t="str">
        <f aca="false">'Смета Внутр'!C499</f>
        <v>м.п.</v>
      </c>
      <c r="D499" s="1439" t="n">
        <f aca="false">'Смета Внутр'!D499</f>
        <v>0</v>
      </c>
      <c r="E499" s="1439"/>
      <c r="F499" s="1439" t="n">
        <f aca="false">'Смета Внутр'!E499</f>
        <v>1000</v>
      </c>
      <c r="G499" s="1439" t="n">
        <f aca="false">'Смета Внутр'!H499</f>
        <v>0</v>
      </c>
      <c r="H499" s="1439"/>
      <c r="I499" s="1439" t="n">
        <f aca="false">IF(F499&lt;H499,F499*(D499-E499),0)+IF(H499=0,(D499-E499)*F499,0)+IF(H499&lt;F499,H499*(D499-E499),0)</f>
        <v>0</v>
      </c>
      <c r="J499" s="1439" t="n">
        <f aca="false">G499-I499</f>
        <v>0</v>
      </c>
    </row>
    <row r="500" customFormat="false" ht="15" hidden="false" customHeight="true" outlineLevel="0" collapsed="false">
      <c r="B500" s="1439" t="str">
        <f aca="false">'Смета Внутр'!B500</f>
        <v>Перемычка оконная, 2-ый эт. Вариант 8</v>
      </c>
      <c r="C500" s="1439" t="str">
        <f aca="false">'Смета Внутр'!C500</f>
        <v>м.п.</v>
      </c>
      <c r="D500" s="1439" t="n">
        <f aca="false">'Смета Внутр'!D500</f>
        <v>0</v>
      </c>
      <c r="E500" s="1439"/>
      <c r="F500" s="1439" t="n">
        <f aca="false">'Смета Внутр'!E500</f>
        <v>1000</v>
      </c>
      <c r="G500" s="1439" t="n">
        <f aca="false">'Смета Внутр'!H500</f>
        <v>0</v>
      </c>
      <c r="H500" s="1439"/>
      <c r="I500" s="1439" t="n">
        <f aca="false">IF(F500&lt;H500,F500*(D500-E500),0)+IF(H500=0,(D500-E500)*F500,0)+IF(H500&lt;F500,H500*(D500-E500),0)</f>
        <v>0</v>
      </c>
      <c r="J500" s="1439" t="n">
        <f aca="false">G500-I500</f>
        <v>0</v>
      </c>
    </row>
    <row r="501" customFormat="false" ht="15" hidden="false" customHeight="true" outlineLevel="0" collapsed="false">
      <c r="B501" s="1439" t="str">
        <f aca="false">'Смета Внутр'!B501</f>
        <v>Перемычка оконная, 2-ый эт. Вариант 9</v>
      </c>
      <c r="C501" s="1439" t="str">
        <f aca="false">'Смета Внутр'!C501</f>
        <v>м.п.</v>
      </c>
      <c r="D501" s="1439" t="n">
        <f aca="false">'Смета Внутр'!D501</f>
        <v>0</v>
      </c>
      <c r="E501" s="1439"/>
      <c r="F501" s="1439" t="n">
        <f aca="false">'Смета Внутр'!E501</f>
        <v>1000</v>
      </c>
      <c r="G501" s="1439" t="n">
        <f aca="false">'Смета Внутр'!H501</f>
        <v>0</v>
      </c>
      <c r="H501" s="1439"/>
      <c r="I501" s="1439" t="n">
        <f aca="false">IF(F501&lt;H501,F501*(D501-E501),0)+IF(H501=0,(D501-E501)*F501,0)+IF(H501&lt;F501,H501*(D501-E501),0)</f>
        <v>0</v>
      </c>
      <c r="J501" s="1439" t="n">
        <f aca="false">G501-I501</f>
        <v>0</v>
      </c>
    </row>
    <row r="502" customFormat="false" ht="15" hidden="false" customHeight="true" outlineLevel="0" collapsed="false">
      <c r="B502" s="1439" t="str">
        <f aca="false">'Смета Внутр'!B502</f>
        <v>Перемычка оконная, 2-ый эт. Вариант 10</v>
      </c>
      <c r="C502" s="1439" t="str">
        <f aca="false">'Смета Внутр'!C502</f>
        <v>м.п.</v>
      </c>
      <c r="D502" s="1439" t="n">
        <f aca="false">'Смета Внутр'!D502</f>
        <v>0</v>
      </c>
      <c r="E502" s="1439"/>
      <c r="F502" s="1439" t="n">
        <f aca="false">'Смета Внутр'!E502</f>
        <v>1000</v>
      </c>
      <c r="G502" s="1439" t="n">
        <f aca="false">'Смета Внутр'!H502</f>
        <v>0</v>
      </c>
      <c r="H502" s="1439"/>
      <c r="I502" s="1439" t="n">
        <f aca="false">IF(F502&lt;H502,F502*(D502-E502),0)+IF(H502=0,(D502-E502)*F502,0)+IF(H502&lt;F502,H502*(D502-E502),0)</f>
        <v>0</v>
      </c>
      <c r="J502" s="1439" t="n">
        <f aca="false">G502-I502</f>
        <v>0</v>
      </c>
    </row>
    <row r="503" customFormat="false" ht="15" hidden="false" customHeight="true" outlineLevel="0" collapsed="false">
      <c r="B503" s="1439" t="str">
        <f aca="false">'Смета Внутр'!B503</f>
        <v>Перемычка дверная, 1-ый эт. Вариант 1</v>
      </c>
      <c r="C503" s="1439" t="str">
        <f aca="false">'Смета Внутр'!C503</f>
        <v>м.п.</v>
      </c>
      <c r="D503" s="1439" t="n">
        <f aca="false">'Смета Внутр'!D503</f>
        <v>0</v>
      </c>
      <c r="E503" s="1439"/>
      <c r="F503" s="1439" t="n">
        <f aca="false">'Смета Внутр'!E503</f>
        <v>1000</v>
      </c>
      <c r="G503" s="1439" t="n">
        <f aca="false">'Смета Внутр'!H503</f>
        <v>0</v>
      </c>
      <c r="H503" s="1439"/>
      <c r="I503" s="1439" t="n">
        <f aca="false">IF(F503&lt;H503,F503*(D503-E503),0)+IF(H503=0,(D503-E503)*F503,0)+IF(H503&lt;F503,H503*(D503-E503),0)</f>
        <v>0</v>
      </c>
      <c r="J503" s="1439" t="n">
        <f aca="false">G503-I503</f>
        <v>0</v>
      </c>
    </row>
    <row r="504" customFormat="false" ht="15" hidden="false" customHeight="true" outlineLevel="0" collapsed="false">
      <c r="B504" s="1439" t="str">
        <f aca="false">'Смета Внутр'!B504</f>
        <v>Перемычка дверная, 2-ый эт. Вариант 2</v>
      </c>
      <c r="C504" s="1439" t="str">
        <f aca="false">'Смета Внутр'!C504</f>
        <v>м.п.</v>
      </c>
      <c r="D504" s="1439" t="n">
        <f aca="false">'Смета Внутр'!D504</f>
        <v>0</v>
      </c>
      <c r="E504" s="1439"/>
      <c r="F504" s="1439" t="n">
        <f aca="false">'Смета Внутр'!E504</f>
        <v>1000</v>
      </c>
      <c r="G504" s="1439" t="n">
        <f aca="false">'Смета Внутр'!H504</f>
        <v>0</v>
      </c>
      <c r="H504" s="1439"/>
      <c r="I504" s="1439" t="n">
        <f aca="false">IF(F504&lt;H504,F504*(D504-E504),0)+IF(H504=0,(D504-E504)*F504,0)+IF(H504&lt;F504,H504*(D504-E504),0)</f>
        <v>0</v>
      </c>
      <c r="J504" s="1439" t="n">
        <f aca="false">G504-I504</f>
        <v>0</v>
      </c>
    </row>
    <row r="505" customFormat="false" ht="15" hidden="false" customHeight="true" outlineLevel="0" collapsed="false">
      <c r="B505" s="1439" t="str">
        <f aca="false">'Смета Внутр'!B505</f>
        <v>Перемычка оконная 1-ый эт, Вариант 11</v>
      </c>
      <c r="C505" s="1439" t="str">
        <f aca="false">'Смета Внутр'!C505</f>
        <v>м.п.</v>
      </c>
      <c r="D505" s="1439" t="n">
        <f aca="false">'Смета Внутр'!D505</f>
        <v>0</v>
      </c>
      <c r="E505" s="1439"/>
      <c r="F505" s="1439" t="n">
        <f aca="false">'Смета Внутр'!E505</f>
        <v>1000</v>
      </c>
      <c r="G505" s="1439" t="n">
        <f aca="false">'Смета Внутр'!H505</f>
        <v>0</v>
      </c>
      <c r="H505" s="1439"/>
      <c r="I505" s="1439" t="n">
        <f aca="false">IF(F505&lt;H505,F505*(D505-E505),0)+IF(H505=0,(D505-E505)*F505,0)+IF(H505&lt;F505,H505*(D505-E505),0)</f>
        <v>0</v>
      </c>
      <c r="J505" s="1439" t="n">
        <f aca="false">G505-I505</f>
        <v>0</v>
      </c>
    </row>
    <row r="506" customFormat="false" ht="15" hidden="false" customHeight="true" outlineLevel="0" collapsed="false">
      <c r="B506" s="1439" t="str">
        <f aca="false">'Смета Внутр'!B506</f>
        <v>Перемычка оконная 1-ый эт, Вариант 12</v>
      </c>
      <c r="C506" s="1439" t="str">
        <f aca="false">'Смета Внутр'!C506</f>
        <v>м.п.</v>
      </c>
      <c r="D506" s="1439" t="n">
        <f aca="false">'Смета Внутр'!D506</f>
        <v>0</v>
      </c>
      <c r="E506" s="1439"/>
      <c r="F506" s="1439" t="n">
        <f aca="false">'Смета Внутр'!E506</f>
        <v>1000</v>
      </c>
      <c r="G506" s="1439" t="n">
        <f aca="false">'Смета Внутр'!H506</f>
        <v>0</v>
      </c>
      <c r="H506" s="1439"/>
      <c r="I506" s="1439" t="n">
        <f aca="false">IF(F506&lt;H506,F506*(D506-E506),0)+IF(H506=0,(D506-E506)*F506,0)+IF(H506&lt;F506,H506*(D506-E506),0)</f>
        <v>0</v>
      </c>
      <c r="J506" s="1439" t="n">
        <f aca="false">G506-I506</f>
        <v>0</v>
      </c>
    </row>
    <row r="507" customFormat="false" ht="15" hidden="false" customHeight="true" outlineLevel="0" collapsed="false">
      <c r="B507" s="1439" t="str">
        <f aca="false">'Смета Внутр'!B507</f>
        <v>Перемычка дверная, 1-ый эт. Вариант 4</v>
      </c>
      <c r="C507" s="1439" t="str">
        <f aca="false">'Смета Внутр'!C507</f>
        <v>м.п.</v>
      </c>
      <c r="D507" s="1439" t="n">
        <f aca="false">'Смета Внутр'!D507</f>
        <v>3</v>
      </c>
      <c r="E507" s="1439"/>
      <c r="F507" s="1439" t="n">
        <f aca="false">'Смета Внутр'!E507</f>
        <v>1000</v>
      </c>
      <c r="G507" s="1439" t="n">
        <f aca="false">'Смета Внутр'!H507</f>
        <v>3000</v>
      </c>
      <c r="H507" s="1439"/>
      <c r="I507" s="1439" t="n">
        <f aca="false">IF(F507&lt;H507,F507*(D507-E507),0)+IF(H507=0,(D507-E507)*F507,0)+IF(H507&lt;F507,H507*(D507-E507),0)</f>
        <v>3000</v>
      </c>
      <c r="J507" s="1439" t="n">
        <f aca="false">G507-I507</f>
        <v>0</v>
      </c>
    </row>
    <row r="508" customFormat="false" ht="15" hidden="false" customHeight="true" outlineLevel="0" collapsed="false">
      <c r="B508" s="1439" t="str">
        <f aca="false">'Смета Внутр'!B508</f>
        <v>Перемычка дверная, 1-ый эт. Вариант 5</v>
      </c>
      <c r="C508" s="1439" t="str">
        <f aca="false">'Смета Внутр'!C508</f>
        <v>м.п.</v>
      </c>
      <c r="D508" s="1439" t="n">
        <f aca="false">'Смета Внутр'!D508</f>
        <v>0</v>
      </c>
      <c r="E508" s="1439"/>
      <c r="F508" s="1439" t="n">
        <f aca="false">'Смета Внутр'!E508</f>
        <v>1000</v>
      </c>
      <c r="G508" s="1439" t="n">
        <f aca="false">'Смета Внутр'!H508</f>
        <v>0</v>
      </c>
      <c r="H508" s="1439"/>
      <c r="I508" s="1439" t="n">
        <f aca="false">IF(F508&lt;H508,F508*(D508-E508),0)+IF(H508=0,(D508-E508)*F508,0)+IF(H508&lt;F508,H508*(D508-E508),0)</f>
        <v>0</v>
      </c>
      <c r="J508" s="1439" t="n">
        <f aca="false">G508-I508</f>
        <v>0</v>
      </c>
    </row>
    <row r="509" customFormat="false" ht="15" hidden="false" customHeight="true" outlineLevel="0" collapsed="false">
      <c r="B509" s="1439" t="str">
        <f aca="false">'Смета Внутр'!B509</f>
        <v>Перемычка дверная, 1-ый эт. Вариант 6</v>
      </c>
      <c r="C509" s="1439" t="str">
        <f aca="false">'Смета Внутр'!C509</f>
        <v>м.п.</v>
      </c>
      <c r="D509" s="1439" t="n">
        <f aca="false">'Смета Внутр'!D509</f>
        <v>0</v>
      </c>
      <c r="E509" s="1439"/>
      <c r="F509" s="1439" t="n">
        <f aca="false">'Смета Внутр'!E509</f>
        <v>1000</v>
      </c>
      <c r="G509" s="1439" t="n">
        <f aca="false">'Смета Внутр'!H509</f>
        <v>0</v>
      </c>
      <c r="H509" s="1439"/>
      <c r="I509" s="1439" t="n">
        <f aca="false">IF(F509&lt;H509,F509*(D509-E509),0)+IF(H509=0,(D509-E509)*F509,0)+IF(H509&lt;F509,H509*(D509-E509),0)</f>
        <v>0</v>
      </c>
      <c r="J509" s="1439" t="n">
        <f aca="false">G509-I509</f>
        <v>0</v>
      </c>
    </row>
    <row r="510" customFormat="false" ht="15" hidden="false" customHeight="true" outlineLevel="0" collapsed="false">
      <c r="B510" s="1439" t="str">
        <f aca="false">'Смета Внутр'!B510</f>
        <v>Перемычка дверная, 2-ый эт. Вариант 7</v>
      </c>
      <c r="C510" s="1439" t="str">
        <f aca="false">'Смета Внутр'!C510</f>
        <v>м.п.</v>
      </c>
      <c r="D510" s="1439" t="n">
        <f aca="false">'Смета Внутр'!D510</f>
        <v>0</v>
      </c>
      <c r="E510" s="1439"/>
      <c r="F510" s="1439" t="n">
        <f aca="false">'Смета Внутр'!E510</f>
        <v>1000</v>
      </c>
      <c r="G510" s="1439" t="n">
        <f aca="false">'Смета Внутр'!H510</f>
        <v>0</v>
      </c>
      <c r="H510" s="1439"/>
      <c r="I510" s="1439" t="n">
        <f aca="false">IF(F510&lt;H510,F510*(D510-E510),0)+IF(H510=0,(D510-E510)*F510,0)+IF(H510&lt;F510,H510*(D510-E510),0)</f>
        <v>0</v>
      </c>
      <c r="J510" s="1439" t="n">
        <f aca="false">G510-I510</f>
        <v>0</v>
      </c>
    </row>
    <row r="511" customFormat="false" ht="15" hidden="false" customHeight="true" outlineLevel="0" collapsed="false">
      <c r="B511" s="1439" t="str">
        <f aca="false">'Смета Внутр'!B511</f>
        <v>Перемычка дверная, 2-ый эт. Вариант 8</v>
      </c>
      <c r="C511" s="1439" t="str">
        <f aca="false">'Смета Внутр'!C511</f>
        <v>м.п.</v>
      </c>
      <c r="D511" s="1439" t="n">
        <f aca="false">'Смета Внутр'!D511</f>
        <v>0</v>
      </c>
      <c r="E511" s="1439"/>
      <c r="F511" s="1439" t="n">
        <f aca="false">'Смета Внутр'!E511</f>
        <v>1000</v>
      </c>
      <c r="G511" s="1439" t="n">
        <f aca="false">'Смета Внутр'!H511</f>
        <v>0</v>
      </c>
      <c r="H511" s="1439"/>
      <c r="I511" s="1439" t="n">
        <f aca="false">IF(F511&lt;H511,F511*(D511-E511),0)+IF(H511=0,(D511-E511)*F511,0)+IF(H511&lt;F511,H511*(D511-E511),0)</f>
        <v>0</v>
      </c>
      <c r="J511" s="1439" t="n">
        <f aca="false">G511-I511</f>
        <v>0</v>
      </c>
    </row>
    <row r="512" customFormat="false" ht="15" hidden="false" customHeight="true" outlineLevel="0" collapsed="false">
      <c r="B512" s="1439" t="str">
        <f aca="false">'Смета Внутр'!B512</f>
        <v>Перемычка дверная, 2-ый эт. Вариант 9</v>
      </c>
      <c r="C512" s="1439" t="str">
        <f aca="false">'Смета Внутр'!C512</f>
        <v>м.п.</v>
      </c>
      <c r="D512" s="1439" t="n">
        <f aca="false">'Смета Внутр'!D512</f>
        <v>0</v>
      </c>
      <c r="E512" s="1439"/>
      <c r="F512" s="1439" t="n">
        <f aca="false">'Смета Внутр'!E512</f>
        <v>1000</v>
      </c>
      <c r="G512" s="1439" t="n">
        <f aca="false">'Смета Внутр'!H512</f>
        <v>0</v>
      </c>
      <c r="H512" s="1439"/>
      <c r="I512" s="1439" t="n">
        <f aca="false">IF(F512&lt;H512,F512*(D512-E512),0)+IF(H512=0,(D512-E512)*F512,0)+IF(H512&lt;F512,H512*(D512-E512),0)</f>
        <v>0</v>
      </c>
      <c r="J512" s="1439" t="n">
        <f aca="false">G512-I512</f>
        <v>0</v>
      </c>
    </row>
    <row r="513" customFormat="false" ht="15" hidden="false" customHeight="true" outlineLevel="0" collapsed="false">
      <c r="B513" s="1439" t="str">
        <f aca="false">'Смета Внутр'!B513</f>
        <v>Перемычка проема, 1-ый эт. Вариант 10</v>
      </c>
      <c r="C513" s="1439" t="str">
        <f aca="false">'Смета Внутр'!C513</f>
        <v>м.п.</v>
      </c>
      <c r="D513" s="1439" t="n">
        <f aca="false">'Смета Внутр'!D513</f>
        <v>0</v>
      </c>
      <c r="E513" s="1439"/>
      <c r="F513" s="1439" t="n">
        <f aca="false">'Смета Внутр'!E513</f>
        <v>1000</v>
      </c>
      <c r="G513" s="1439" t="n">
        <f aca="false">'Смета Внутр'!H513</f>
        <v>0</v>
      </c>
      <c r="H513" s="1439"/>
      <c r="I513" s="1439" t="n">
        <f aca="false">IF(F513&lt;H513,F513*(D513-E513),0)+IF(H513=0,(D513-E513)*F513,0)+IF(H513&lt;F513,H513*(D513-E513),0)</f>
        <v>0</v>
      </c>
      <c r="J513" s="1439" t="n">
        <f aca="false">G513-I513</f>
        <v>0</v>
      </c>
    </row>
    <row r="514" customFormat="false" ht="15" hidden="false" customHeight="true" outlineLevel="0" collapsed="false">
      <c r="B514" s="1439" t="str">
        <f aca="false">'Смета Внутр'!B514</f>
        <v>Перемычка проема, 1-ый эт. Вариант 11</v>
      </c>
      <c r="C514" s="1439" t="str">
        <f aca="false">'Смета Внутр'!C514</f>
        <v>м.п.</v>
      </c>
      <c r="D514" s="1439" t="n">
        <f aca="false">'Смета Внутр'!D514</f>
        <v>0</v>
      </c>
      <c r="E514" s="1439"/>
      <c r="F514" s="1439" t="n">
        <f aca="false">'Смета Внутр'!E514</f>
        <v>1000</v>
      </c>
      <c r="G514" s="1439" t="n">
        <f aca="false">'Смета Внутр'!H514</f>
        <v>0</v>
      </c>
      <c r="H514" s="1439"/>
      <c r="I514" s="1439" t="n">
        <f aca="false">IF(F514&lt;H514,F514*(D514-E514),0)+IF(H514=0,(D514-E514)*F514,0)+IF(H514&lt;F514,H514*(D514-E514),0)</f>
        <v>0</v>
      </c>
      <c r="J514" s="1439" t="n">
        <f aca="false">G514-I514</f>
        <v>0</v>
      </c>
    </row>
    <row r="515" customFormat="false" ht="15" hidden="false" customHeight="true" outlineLevel="0" collapsed="false">
      <c r="B515" s="1439" t="str">
        <f aca="false">'Смета Внутр'!B515</f>
        <v>Перемычка проема, 2-ый эт. Вариант 12</v>
      </c>
      <c r="C515" s="1439" t="str">
        <f aca="false">'Смета Внутр'!C515</f>
        <v>м.п.</v>
      </c>
      <c r="D515" s="1439" t="n">
        <f aca="false">'Смета Внутр'!D515</f>
        <v>0</v>
      </c>
      <c r="E515" s="1439"/>
      <c r="F515" s="1439" t="n">
        <f aca="false">'Смета Внутр'!E515</f>
        <v>1000</v>
      </c>
      <c r="G515" s="1439" t="n">
        <f aca="false">'Смета Внутр'!H515</f>
        <v>0</v>
      </c>
      <c r="H515" s="1439"/>
      <c r="I515" s="1439" t="n">
        <f aca="false">IF(F515&lt;H515,F515*(D515-E515),0)+IF(H515=0,(D515-E515)*F515,0)+IF(H515&lt;F515,H515*(D515-E515),0)</f>
        <v>0</v>
      </c>
      <c r="J515" s="1439" t="n">
        <f aca="false">G515-I515</f>
        <v>0</v>
      </c>
    </row>
    <row r="516" customFormat="false" ht="15" hidden="false" customHeight="true" outlineLevel="0" collapsed="false">
      <c r="B516" s="1439" t="str">
        <f aca="false">'Смета Внутр'!B516</f>
        <v>Перемычка проема, 2-ый эт. Вариант 13</v>
      </c>
      <c r="C516" s="1439" t="str">
        <f aca="false">'Смета Внутр'!C516</f>
        <v>м.п.</v>
      </c>
      <c r="D516" s="1439" t="n">
        <f aca="false">'Смета Внутр'!D516</f>
        <v>0</v>
      </c>
      <c r="E516" s="1439"/>
      <c r="F516" s="1439" t="n">
        <f aca="false">'Смета Внутр'!E516</f>
        <v>1000</v>
      </c>
      <c r="G516" s="1439" t="n">
        <f aca="false">'Смета Внутр'!H516</f>
        <v>0</v>
      </c>
      <c r="H516" s="1439"/>
      <c r="I516" s="1439" t="n">
        <f aca="false">IF(F516&lt;H516,F516*(D516-E516),0)+IF(H516=0,(D516-E516)*F516,0)+IF(H516&lt;F516,H516*(D516-E516),0)</f>
        <v>0</v>
      </c>
      <c r="J516" s="1439" t="n">
        <f aca="false">G516-I516</f>
        <v>0</v>
      </c>
    </row>
    <row r="517" customFormat="false" ht="15" hidden="false" customHeight="true" outlineLevel="0" collapsed="false">
      <c r="B517" s="1439" t="str">
        <f aca="false">'Смета Внутр'!B517</f>
        <v>Перемычка дверная, 1-ый эт. Вариант 1</v>
      </c>
      <c r="C517" s="1439" t="str">
        <f aca="false">'Смета Внутр'!C517</f>
        <v>м.п.</v>
      </c>
      <c r="D517" s="1439" t="n">
        <f aca="false">'Смета Внутр'!D517</f>
        <v>0</v>
      </c>
      <c r="E517" s="1439"/>
      <c r="F517" s="1439" t="n">
        <f aca="false">'Смета Внутр'!E517</f>
        <v>1000</v>
      </c>
      <c r="G517" s="1439" t="n">
        <f aca="false">'Смета Внутр'!H517</f>
        <v>0</v>
      </c>
      <c r="H517" s="1439"/>
      <c r="I517" s="1439" t="n">
        <f aca="false">IF(F517&lt;H517,F517*(D517-E517),0)+IF(H517=0,(D517-E517)*F517,0)+IF(H517&lt;F517,H517*(D517-E517),0)</f>
        <v>0</v>
      </c>
      <c r="J517" s="1439" t="n">
        <f aca="false">G517-I517</f>
        <v>0</v>
      </c>
    </row>
    <row r="518" customFormat="false" ht="15" hidden="false" customHeight="true" outlineLevel="0" collapsed="false">
      <c r="B518" s="1439" t="str">
        <f aca="false">'Смета Внутр'!B518</f>
        <v>Перемычка дверная, 1-ый эт. Вариант 2</v>
      </c>
      <c r="C518" s="1439" t="str">
        <f aca="false">'Смета Внутр'!C518</f>
        <v>м.п.</v>
      </c>
      <c r="D518" s="1439" t="n">
        <f aca="false">'Смета Внутр'!D518</f>
        <v>1</v>
      </c>
      <c r="E518" s="1439"/>
      <c r="F518" s="1439" t="n">
        <f aca="false">'Смета Внутр'!E518</f>
        <v>1000</v>
      </c>
      <c r="G518" s="1439" t="n">
        <f aca="false">'Смета Внутр'!H518</f>
        <v>1000</v>
      </c>
      <c r="H518" s="1439"/>
      <c r="I518" s="1439" t="n">
        <f aca="false">IF(F518&lt;H518,F518*(D518-E518),0)+IF(H518=0,(D518-E518)*F518,0)+IF(H518&lt;F518,H518*(D518-E518),0)</f>
        <v>1000</v>
      </c>
      <c r="J518" s="1439" t="n">
        <f aca="false">G518-I518</f>
        <v>0</v>
      </c>
    </row>
    <row r="519" customFormat="false" ht="15" hidden="false" customHeight="true" outlineLevel="0" collapsed="false">
      <c r="B519" s="1439" t="str">
        <f aca="false">'Смета Внутр'!B519</f>
        <v>Перемычка дверная, 1-ый эт. Вариант 3</v>
      </c>
      <c r="C519" s="1439" t="str">
        <f aca="false">'Смета Внутр'!C519</f>
        <v>м.п.</v>
      </c>
      <c r="D519" s="1439" t="n">
        <f aca="false">'Смета Внутр'!D519</f>
        <v>0</v>
      </c>
      <c r="E519" s="1439"/>
      <c r="F519" s="1439" t="n">
        <f aca="false">'Смета Внутр'!E519</f>
        <v>1000</v>
      </c>
      <c r="G519" s="1439" t="n">
        <f aca="false">'Смета Внутр'!H519</f>
        <v>0</v>
      </c>
      <c r="H519" s="1439"/>
      <c r="I519" s="1439" t="n">
        <f aca="false">IF(F519&lt;H519,F519*(D519-E519),0)+IF(H519=0,(D519-E519)*F519,0)+IF(H519&lt;F519,H519*(D519-E519),0)</f>
        <v>0</v>
      </c>
      <c r="J519" s="1439" t="n">
        <f aca="false">G519-I519</f>
        <v>0</v>
      </c>
    </row>
    <row r="520" customFormat="false" ht="15" hidden="false" customHeight="true" outlineLevel="0" collapsed="false">
      <c r="B520" s="1439" t="str">
        <f aca="false">'Смета Внутр'!B520</f>
        <v>Сосна влаж,200*40мм</v>
      </c>
      <c r="C520" s="1439" t="str">
        <f aca="false">'Смета Внутр'!C520</f>
        <v>м3</v>
      </c>
      <c r="D520" s="1439" t="n">
        <f aca="false">'Смета Внутр'!D520</f>
        <v>1.8512</v>
      </c>
      <c r="E520" s="1439"/>
      <c r="F520" s="1439" t="n">
        <f aca="false">'Смета Внутр'!E520</f>
        <v>6500</v>
      </c>
      <c r="G520" s="1439" t="n">
        <f aca="false">'Смета Внутр'!H520</f>
        <v>12032.8</v>
      </c>
      <c r="H520" s="1439"/>
      <c r="I520" s="1439" t="n">
        <f aca="false">IF(F520&lt;H520,F520*(D520-E520),0)+IF(H520=0,(D520-E520)*F520,0)+IF(H520&lt;F520,H520*(D520-E520),0)</f>
        <v>12032.8</v>
      </c>
      <c r="J520" s="1439" t="n">
        <f aca="false">G520-I520</f>
        <v>0</v>
      </c>
    </row>
    <row r="521" customFormat="false" ht="15" hidden="false" customHeight="true" outlineLevel="0" collapsed="false">
      <c r="B521" s="1439" t="str">
        <f aca="false">'Смета Внутр'!B521</f>
        <v>Сейсмопояс Арматура М10 4 нити</v>
      </c>
      <c r="C521" s="1439" t="str">
        <f aca="false">'Смета Внутр'!C521</f>
        <v>м.п.</v>
      </c>
      <c r="D521" s="1439" t="n">
        <f aca="false">'Смета Внутр'!D521</f>
        <v>281.6</v>
      </c>
      <c r="E521" s="1439"/>
      <c r="F521" s="1439" t="n">
        <f aca="false">'Смета Внутр'!E521</f>
        <v>21.0397</v>
      </c>
      <c r="G521" s="1439" t="n">
        <f aca="false">'Смета Внутр'!H521</f>
        <v>5924.77952</v>
      </c>
      <c r="H521" s="1439"/>
      <c r="I521" s="1439" t="n">
        <f aca="false">IF(F521&lt;H521,F521*(D521-E521),0)+IF(H521=0,(D521-E521)*F521,0)+IF(H521&lt;F521,H521*(D521-E521),0)</f>
        <v>5924.77952</v>
      </c>
      <c r="J521" s="1439" t="n">
        <f aca="false">G521-I521</f>
        <v>0</v>
      </c>
    </row>
    <row r="522" customFormat="false" ht="15" hidden="false" customHeight="true" outlineLevel="0" collapsed="false">
      <c r="B522" s="1439" t="str">
        <f aca="false">'Смета Внутр'!B522</f>
        <v>Хомут для сейсмопояса Арматура М6, шаг 400мм</v>
      </c>
      <c r="C522" s="1439" t="str">
        <f aca="false">'Смета Внутр'!C522</f>
        <v>м.п.</v>
      </c>
      <c r="D522" s="1439" t="n">
        <f aca="false">'Смета Внутр'!D522</f>
        <v>144</v>
      </c>
      <c r="E522" s="1439"/>
      <c r="F522" s="1439" t="n">
        <f aca="false">'Смета Внутр'!E522</f>
        <v>0</v>
      </c>
      <c r="G522" s="1439" t="n">
        <f aca="false">'Смета Внутр'!H522</f>
        <v>0</v>
      </c>
      <c r="H522" s="1439"/>
      <c r="I522" s="1439" t="n">
        <f aca="false">IF(F522&lt;H522,F522*(D522-E522),0)+IF(H522=0,(D522-E522)*F522,0)+IF(H522&lt;F522,H522*(D522-E522),0)</f>
        <v>0</v>
      </c>
      <c r="J522" s="1439" t="n">
        <f aca="false">G522-I522</f>
        <v>0</v>
      </c>
    </row>
    <row r="523" customFormat="false" ht="15" hidden="false" customHeight="true" outlineLevel="0" collapsed="false">
      <c r="B523" s="1439" t="str">
        <f aca="false">'Смета Внутр'!B523</f>
        <v>Бетон, м300</v>
      </c>
      <c r="C523" s="1439" t="str">
        <f aca="false">'Смета Внутр'!C523</f>
        <v>м3</v>
      </c>
      <c r="D523" s="1439" t="n">
        <f aca="false">'Смета Внутр'!D523</f>
        <v>2.8833</v>
      </c>
      <c r="E523" s="1439"/>
      <c r="F523" s="1439" t="n">
        <f aca="false">'Смета Внутр'!E523</f>
        <v>3000</v>
      </c>
      <c r="G523" s="1439" t="n">
        <f aca="false">'Смета Внутр'!H523</f>
        <v>8649.9</v>
      </c>
      <c r="H523" s="1439"/>
      <c r="I523" s="1439" t="n">
        <f aca="false">IF(F523&lt;H523,F523*(D523-E523),0)+IF(H523=0,(D523-E523)*F523,0)+IF(H523&lt;F523,H523*(D523-E523),0)</f>
        <v>8649.9</v>
      </c>
      <c r="J523" s="1439" t="n">
        <f aca="false">G523-I523</f>
        <v>0</v>
      </c>
    </row>
    <row r="524" customFormat="false" ht="15" hidden="false" customHeight="true" outlineLevel="0" collapsed="false">
      <c r="B524" s="1439" t="str">
        <f aca="false">'Смета Внутр'!B524</f>
        <v>Нет</v>
      </c>
      <c r="C524" s="1439" t="str">
        <f aca="false">'Смета Внутр'!C524</f>
        <v>м3</v>
      </c>
      <c r="D524" s="1439" t="n">
        <f aca="false">'Смета Внутр'!D524</f>
        <v>0</v>
      </c>
      <c r="E524" s="1439"/>
      <c r="F524" s="1439" t="n">
        <f aca="false">'Смета Внутр'!E524</f>
        <v>0</v>
      </c>
      <c r="G524" s="1439" t="n">
        <f aca="false">'Смета Внутр'!H524</f>
        <v>0</v>
      </c>
      <c r="H524" s="1439"/>
      <c r="I524" s="1439" t="n">
        <f aca="false">IF(F524&lt;H524,F524*(D524-E524),0)+IF(H524=0,(D524-E524)*F524,0)+IF(H524&lt;F524,H524*(D524-E524),0)</f>
        <v>0</v>
      </c>
      <c r="J524" s="1439" t="n">
        <f aca="false">G524-I524</f>
        <v>0</v>
      </c>
    </row>
    <row r="525" customFormat="false" ht="15" hidden="false" customHeight="true" outlineLevel="0" collapsed="false">
      <c r="B525" s="1439" t="str">
        <f aca="false">'Смета Внутр'!B525</f>
        <v>Грибок для крепления утеплителя</v>
      </c>
      <c r="C525" s="1439" t="str">
        <f aca="false">'Смета Внутр'!C525</f>
        <v>шт</v>
      </c>
      <c r="D525" s="1439" t="n">
        <f aca="false">'Смета Внутр'!D525</f>
        <v>0</v>
      </c>
      <c r="E525" s="1439"/>
      <c r="F525" s="1439" t="n">
        <f aca="false">'Смета Внутр'!E525</f>
        <v>15</v>
      </c>
      <c r="G525" s="1439" t="n">
        <f aca="false">'Смета Внутр'!H525</f>
        <v>0</v>
      </c>
      <c r="H525" s="1439"/>
      <c r="I525" s="1439" t="n">
        <f aca="false">IF(F525&lt;H525,F525*(D525-E525),0)+IF(H525=0,(D525-E525)*F525,0)+IF(H525&lt;F525,H525*(D525-E525),0)</f>
        <v>0</v>
      </c>
      <c r="J525" s="1439" t="n">
        <f aca="false">G525-I525</f>
        <v>0</v>
      </c>
    </row>
    <row r="526" customFormat="false" ht="15" hidden="false" customHeight="true" outlineLevel="0" collapsed="false">
      <c r="B526" s="1439" t="str">
        <f aca="false">'Смета Внутр'!B526</f>
        <v>нет ветроизоляции</v>
      </c>
      <c r="C526" s="1439" t="str">
        <f aca="false">'Смета Внутр'!C526</f>
        <v>м2</v>
      </c>
      <c r="D526" s="1439" t="n">
        <f aca="false">'Смета Внутр'!D526</f>
        <v>0</v>
      </c>
      <c r="E526" s="1439"/>
      <c r="F526" s="1439" t="n">
        <f aca="false">'Смета Внутр'!E526</f>
        <v>0</v>
      </c>
      <c r="G526" s="1439" t="n">
        <f aca="false">'Смета Внутр'!H526</f>
        <v>0</v>
      </c>
      <c r="H526" s="1439"/>
      <c r="I526" s="1439" t="n">
        <f aca="false">IF(F526&lt;H526,F526*(D526-E526),0)+IF(H526=0,(D526-E526)*F526,0)+IF(H526&lt;F526,H526*(D526-E526),0)</f>
        <v>0</v>
      </c>
      <c r="J526" s="1439" t="n">
        <f aca="false">G526-I526</f>
        <v>0</v>
      </c>
    </row>
    <row r="527" customFormat="false" ht="15" hidden="false" customHeight="true" outlineLevel="0" collapsed="false">
      <c r="B527" s="1439" t="str">
        <f aca="false">'Смета Внутр'!B527</f>
        <v>Кладочная сетка, 100*100/150*150/200*200мм</v>
      </c>
      <c r="C527" s="1439" t="str">
        <f aca="false">'Смета Внутр'!C527</f>
        <v>м2</v>
      </c>
      <c r="D527" s="1439" t="n">
        <f aca="false">'Смета Внутр'!D527</f>
        <v>175.362</v>
      </c>
      <c r="E527" s="1439"/>
      <c r="F527" s="1439" t="n">
        <f aca="false">'Смета Внутр'!E527</f>
        <v>70</v>
      </c>
      <c r="G527" s="1439" t="n">
        <f aca="false">'Смета Внутр'!H527</f>
        <v>12275.34</v>
      </c>
      <c r="H527" s="1439"/>
      <c r="I527" s="1439" t="n">
        <f aca="false">IF(F527&lt;H527,F527*(D527-E527),0)+IF(H527=0,(D527-E527)*F527,0)+IF(H527&lt;F527,H527*(D527-E527),0)</f>
        <v>12275.34</v>
      </c>
      <c r="J527" s="1439" t="n">
        <f aca="false">G527-I527</f>
        <v>0</v>
      </c>
    </row>
    <row r="528" customFormat="false" ht="15" hidden="false" customHeight="true" outlineLevel="0" collapsed="false">
      <c r="B528" s="1439" t="str">
        <f aca="false">'Смета Внутр'!B528</f>
        <v>Песок, машина 13м3</v>
      </c>
      <c r="C528" s="1439" t="str">
        <f aca="false">'Смета Внутр'!C528</f>
        <v>шт</v>
      </c>
      <c r="D528" s="1439" t="n">
        <f aca="false">'Смета Внутр'!D528</f>
        <v>1.57119347</v>
      </c>
      <c r="E528" s="1439"/>
      <c r="F528" s="1439" t="n">
        <f aca="false">'Смета Внутр'!E528</f>
        <v>12000</v>
      </c>
      <c r="G528" s="1439" t="n">
        <f aca="false">'Смета Внутр'!H528</f>
        <v>18854.32164</v>
      </c>
      <c r="H528" s="1439"/>
      <c r="I528" s="1439" t="n">
        <f aca="false">IF(F528&lt;H528,F528*(D528-E528),0)+IF(H528=0,(D528-E528)*F528,0)+IF(H528&lt;F528,H528*(D528-E528),0)</f>
        <v>18854.32164</v>
      </c>
      <c r="J528" s="1439" t="n">
        <f aca="false">G528-I528</f>
        <v>0</v>
      </c>
    </row>
    <row r="529" customFormat="false" ht="15" hidden="false" customHeight="true" outlineLevel="0" collapsed="false">
      <c r="B529" s="1439" t="str">
        <f aca="false">'Смета Внутр'!B529</f>
        <v>Цемент, мешок, 50кг</v>
      </c>
      <c r="C529" s="1439" t="str">
        <f aca="false">'Смета Внутр'!C529</f>
        <v>меш</v>
      </c>
      <c r="D529" s="1439" t="n">
        <f aca="false">'Смета Внутр'!D529</f>
        <v>48.48254136</v>
      </c>
      <c r="E529" s="1439"/>
      <c r="F529" s="1439" t="n">
        <f aca="false">'Смета Внутр'!E529</f>
        <v>250</v>
      </c>
      <c r="G529" s="1439" t="n">
        <f aca="false">'Смета Внутр'!H529</f>
        <v>12120.63534</v>
      </c>
      <c r="H529" s="1439"/>
      <c r="I529" s="1439" t="n">
        <f aca="false">IF(F529&lt;H529,F529*(D529-E529),0)+IF(H529=0,(D529-E529)*F529,0)+IF(H529&lt;F529,H529*(D529-E529),0)</f>
        <v>12120.63534</v>
      </c>
      <c r="J529" s="1439" t="n">
        <f aca="false">G529-I529</f>
        <v>0</v>
      </c>
    </row>
    <row r="530" customFormat="false" ht="15" hidden="false" customHeight="false" outlineLevel="0" collapsed="false">
      <c r="B530" s="1692" t="s">
        <v>4332</v>
      </c>
      <c r="C530" s="1692"/>
      <c r="D530" s="1692"/>
      <c r="E530" s="1692"/>
      <c r="F530" s="1692"/>
      <c r="G530" s="1439" t="n">
        <f aca="false">'Смета Внутр'!H530</f>
        <v>758801.9669108</v>
      </c>
      <c r="H530" s="3181"/>
      <c r="I530" s="1439"/>
      <c r="J530" s="1439"/>
    </row>
    <row r="531" customFormat="false" ht="15" hidden="false" customHeight="true" outlineLevel="0" collapsed="false">
      <c r="B531" s="1268" t="str">
        <f aca="false">'Смета Внутр'!B531</f>
        <v>Работы</v>
      </c>
      <c r="C531" s="1268"/>
      <c r="D531" s="1268"/>
      <c r="E531" s="1268"/>
      <c r="F531" s="1268"/>
      <c r="G531" s="3173" t="n">
        <f aca="false">'Смета Внутр'!H531</f>
        <v>1</v>
      </c>
      <c r="H531" s="3182"/>
      <c r="I531" s="3180" t="n">
        <f aca="false">IF(F531&lt;H531,F531*(D531-E531),0)+IF(H531=0,(D531-E531)*F531,0)+IF(H531&lt;F531,H531*(D531-E531),0)</f>
        <v>0</v>
      </c>
      <c r="J531" s="3180" t="n">
        <f aca="false">G531-I531</f>
        <v>1</v>
      </c>
    </row>
    <row r="532" customFormat="false" ht="15" hidden="false" customHeight="true" outlineLevel="0" collapsed="false">
      <c r="B532" s="1439" t="str">
        <f aca="false">'Смета Внутр'!B532</f>
        <v>кладка кирпича</v>
      </c>
      <c r="C532" s="1439" t="str">
        <f aca="false">'Смета Внутр'!C532</f>
        <v>м3</v>
      </c>
      <c r="D532" s="1439" t="n">
        <f aca="false">'Смета Внутр'!D532</f>
        <v>81.62044</v>
      </c>
      <c r="E532" s="1439"/>
      <c r="F532" s="1439" t="n">
        <f aca="false">'Смета Внутр'!E532</f>
        <v>3500</v>
      </c>
      <c r="G532" s="1439" t="n">
        <f aca="false">'Смета Внутр'!H532</f>
        <v>285671.54</v>
      </c>
      <c r="H532" s="1439"/>
      <c r="I532" s="1439" t="n">
        <f aca="false">IF(F532&lt;H532,F532*(D532-E532),0)+IF(H532=0,(D532-E532)*F532,0)+IF(H532&lt;F532,H532*(D532-E532),0)</f>
        <v>285671.54</v>
      </c>
      <c r="J532" s="1439" t="n">
        <f aca="false">G532-I532</f>
        <v>0</v>
      </c>
    </row>
    <row r="533" customFormat="false" ht="15" hidden="false" customHeight="true" outlineLevel="0" collapsed="false">
      <c r="B533" s="1439" t="str">
        <f aca="false">'Смета Внутр'!B533</f>
        <v>кладка перегородок из кирпича</v>
      </c>
      <c r="C533" s="1439" t="str">
        <f aca="false">'Смета Внутр'!C533</f>
        <v>м2</v>
      </c>
      <c r="D533" s="1439" t="n">
        <f aca="false">'Смета Внутр'!D533</f>
        <v>21.84</v>
      </c>
      <c r="E533" s="1439"/>
      <c r="F533" s="1439" t="n">
        <f aca="false">'Смета Внутр'!E533</f>
        <v>550</v>
      </c>
      <c r="G533" s="1439" t="n">
        <f aca="false">'Смета Внутр'!H533</f>
        <v>12012</v>
      </c>
      <c r="H533" s="1439"/>
      <c r="I533" s="1439" t="n">
        <f aca="false">IF(F533&lt;H533,F533*(D533-E533),0)+IF(H533=0,(D533-E533)*F533,0)+IF(H533&lt;F533,H533*(D533-E533),0)</f>
        <v>12012</v>
      </c>
      <c r="J533" s="1439" t="n">
        <f aca="false">G533-I533</f>
        <v>0</v>
      </c>
    </row>
    <row r="534" customFormat="false" ht="15" hidden="false" customHeight="true" outlineLevel="0" collapsed="false">
      <c r="B534" s="1439" t="str">
        <f aca="false">'Смета Внутр'!B534</f>
        <v>Армирование сейсмопояса</v>
      </c>
      <c r="C534" s="1439" t="str">
        <f aca="false">'Смета Внутр'!C534</f>
        <v>м2</v>
      </c>
      <c r="D534" s="1439" t="n">
        <f aca="false">'Смета Внутр'!D534</f>
        <v>87.681</v>
      </c>
      <c r="E534" s="1439"/>
      <c r="F534" s="1439" t="n">
        <f aca="false">'Смета Внутр'!E534</f>
        <v>500</v>
      </c>
      <c r="G534" s="1439" t="n">
        <f aca="false">'Смета Внутр'!H534</f>
        <v>43840.5</v>
      </c>
      <c r="H534" s="1439"/>
      <c r="I534" s="1439" t="n">
        <f aca="false">IF(F534&lt;H534,F534*(D534-E534),0)+IF(H534=0,(D534-E534)*F534,0)+IF(H534&lt;F534,H534*(D534-E534),0)</f>
        <v>43840.5</v>
      </c>
      <c r="J534" s="1439" t="n">
        <f aca="false">G534-I534</f>
        <v>0</v>
      </c>
    </row>
    <row r="535" customFormat="false" ht="15" hidden="false" customHeight="true" outlineLevel="0" collapsed="false">
      <c r="B535" s="1439" t="str">
        <f aca="false">'Смета Внутр'!B535</f>
        <v>Заливка бетоном сейсмопояса</v>
      </c>
      <c r="C535" s="1439" t="str">
        <f aca="false">'Смета Внутр'!C535</f>
        <v>м3</v>
      </c>
      <c r="D535" s="1439" t="n">
        <f aca="false">'Смета Внутр'!D535</f>
        <v>2.8833</v>
      </c>
      <c r="E535" s="1439"/>
      <c r="F535" s="1439" t="n">
        <f aca="false">'Смета Внутр'!E535</f>
        <v>700</v>
      </c>
      <c r="G535" s="1439" t="n">
        <f aca="false">'Смета Внутр'!H535</f>
        <v>2018.31</v>
      </c>
      <c r="H535" s="1439"/>
      <c r="I535" s="1439" t="n">
        <f aca="false">IF(F535&lt;H535,F535*(D535-E535),0)+IF(H535=0,(D535-E535)*F535,0)+IF(H535&lt;F535,H535*(D535-E535),0)</f>
        <v>2018.31</v>
      </c>
      <c r="J535" s="1439" t="n">
        <f aca="false">G535-I535</f>
        <v>0</v>
      </c>
    </row>
    <row r="536" customFormat="false" ht="15" hidden="false" customHeight="true" outlineLevel="0" collapsed="false">
      <c r="B536" s="1439" t="str">
        <f aca="false">'Смета Внутр'!B536</f>
        <v>утепление стен снаружи дома</v>
      </c>
      <c r="C536" s="1439" t="str">
        <f aca="false">'Смета Внутр'!C536</f>
        <v>м2</v>
      </c>
      <c r="D536" s="1439" t="n">
        <f aca="false">'Смета Внутр'!D536</f>
        <v>0</v>
      </c>
      <c r="E536" s="1439"/>
      <c r="F536" s="1439" t="n">
        <f aca="false">'Смета Внутр'!E536</f>
        <v>350</v>
      </c>
      <c r="G536" s="1439" t="n">
        <f aca="false">'Смета Внутр'!H536</f>
        <v>0</v>
      </c>
      <c r="H536" s="1439"/>
      <c r="I536" s="1439" t="n">
        <f aca="false">IF(F536&lt;H536,F536*(D536-E536),0)+IF(H536=0,(D536-E536)*F536,0)+IF(H536&lt;F536,H536*(D536-E536),0)</f>
        <v>0</v>
      </c>
      <c r="J536" s="1439" t="n">
        <f aca="false">G536-I536</f>
        <v>0</v>
      </c>
    </row>
    <row r="537" customFormat="false" ht="15" hidden="false" customHeight="true" outlineLevel="0" collapsed="false">
      <c r="B537" s="1439" t="str">
        <f aca="false">'Смета Внутр'!B537</f>
        <v>монтаж ветроизоляции стен</v>
      </c>
      <c r="C537" s="1439" t="str">
        <f aca="false">'Смета Внутр'!C537</f>
        <v>м2</v>
      </c>
      <c r="D537" s="1439" t="n">
        <f aca="false">'Смета Внутр'!D537</f>
        <v>0</v>
      </c>
      <c r="E537" s="1439"/>
      <c r="F537" s="1439" t="n">
        <f aca="false">'Смета Внутр'!E537</f>
        <v>100</v>
      </c>
      <c r="G537" s="1439" t="n">
        <f aca="false">'Смета Внутр'!H537</f>
        <v>0</v>
      </c>
      <c r="H537" s="1439"/>
      <c r="I537" s="1439" t="n">
        <f aca="false">IF(F537&lt;H537,F537*(D537-E537),0)+IF(H537=0,(D537-E537)*F537,0)+IF(H537&lt;F537,H537*(D537-E537),0)</f>
        <v>0</v>
      </c>
      <c r="J537" s="1439" t="n">
        <f aca="false">G537-I537</f>
        <v>0</v>
      </c>
    </row>
    <row r="538" customFormat="false" ht="15" hidden="false" customHeight="true" outlineLevel="0" collapsed="false">
      <c r="B538" s="1439" t="str">
        <f aca="false">'Смета Внутр'!B538</f>
        <v>изготовление и монтаж перемычек для окон и дверей</v>
      </c>
      <c r="C538" s="1439" t="str">
        <f aca="false">'Смета Внутр'!C538</f>
        <v>м.п.</v>
      </c>
      <c r="D538" s="1439" t="n">
        <f aca="false">'Смета Внутр'!D538</f>
        <v>5</v>
      </c>
      <c r="E538" s="1439"/>
      <c r="F538" s="1439" t="n">
        <f aca="false">'Смета Внутр'!E538</f>
        <v>500</v>
      </c>
      <c r="G538" s="1439" t="n">
        <f aca="false">'Смета Внутр'!H538</f>
        <v>2500</v>
      </c>
      <c r="H538" s="1439"/>
      <c r="I538" s="1439" t="n">
        <f aca="false">IF(F538&lt;H538,F538*(D538-E538),0)+IF(H538=0,(D538-E538)*F538,0)+IF(H538&lt;F538,H538*(D538-E538),0)</f>
        <v>2500</v>
      </c>
      <c r="J538" s="1439" t="n">
        <f aca="false">G538-I538</f>
        <v>0</v>
      </c>
    </row>
    <row r="539" customFormat="false" ht="15" hidden="false" customHeight="false" outlineLevel="0" collapsed="false">
      <c r="B539" s="1692" t="s">
        <v>4333</v>
      </c>
      <c r="C539" s="1692"/>
      <c r="D539" s="1692"/>
      <c r="E539" s="1692"/>
      <c r="F539" s="1692"/>
      <c r="G539" s="1439" t="n">
        <f aca="false">'Смета Внутр'!H539</f>
        <v>346042.35</v>
      </c>
      <c r="H539" s="3181"/>
      <c r="I539" s="1439"/>
      <c r="J539" s="1439"/>
    </row>
    <row r="540" customFormat="false" ht="15" hidden="false" customHeight="true" outlineLevel="0" collapsed="false">
      <c r="B540" s="3183" t="str">
        <f aca="false">'Смета Внутр'!B540</f>
        <v>Брусовой дом</v>
      </c>
      <c r="C540" s="3183"/>
      <c r="D540" s="3183"/>
      <c r="E540" s="3183"/>
      <c r="F540" s="3183"/>
      <c r="G540" s="3173" t="n">
        <f aca="false">'Смета Внутр'!H540</f>
        <v>0</v>
      </c>
      <c r="H540" s="3173"/>
      <c r="I540" s="3180" t="n">
        <f aca="false">IF(F540&lt;H540,F540*(D540-E540),0)+IF(H540=0,(D540-E540)*F540,0)+IF(H540&lt;F540,H540*(D540-E540),0)</f>
        <v>0</v>
      </c>
      <c r="J540" s="3180" t="n">
        <f aca="false">G540-I540</f>
        <v>0</v>
      </c>
    </row>
    <row r="541" customFormat="false" ht="15" hidden="false" customHeight="true" outlineLevel="0" collapsed="false">
      <c r="B541" s="1268" t="str">
        <f aca="false">'Смета Внутр'!B541</f>
        <v>Материалы</v>
      </c>
      <c r="C541" s="1268"/>
      <c r="D541" s="1268"/>
      <c r="E541" s="1268"/>
      <c r="F541" s="1268"/>
      <c r="G541" s="3173" t="n">
        <f aca="false">'Смета Внутр'!H541</f>
        <v>0</v>
      </c>
      <c r="H541" s="3182"/>
      <c r="I541" s="3180" t="n">
        <f aca="false">IF(F541&lt;H541,F541*(D541-E541),0)+IF(H541=0,(D541-E541)*F541,0)+IF(H541&lt;F541,H541*(D541-E541),0)</f>
        <v>0</v>
      </c>
      <c r="J541" s="3180" t="n">
        <f aca="false">G541-I541</f>
        <v>0</v>
      </c>
    </row>
    <row r="542" customFormat="false" ht="15" hidden="false" customHeight="true" outlineLevel="0" collapsed="false">
      <c r="B542" s="1439" t="str">
        <f aca="false">'Смета Внутр'!B542</f>
        <v>Листв. влаж, 200*200мм</v>
      </c>
      <c r="C542" s="1439" t="str">
        <f aca="false">'Смета Внутр'!C542</f>
        <v>м3</v>
      </c>
      <c r="D542" s="1439" t="n">
        <f aca="false">'Смета Внутр'!D542</f>
        <v>4.012</v>
      </c>
      <c r="E542" s="1439"/>
      <c r="F542" s="1439" t="n">
        <f aca="false">'Смета Внутр'!E542</f>
        <v>9000</v>
      </c>
      <c r="G542" s="1439" t="n">
        <f aca="false">'Смета Внутр'!H542</f>
        <v>0</v>
      </c>
      <c r="H542" s="1439"/>
      <c r="I542" s="1439" t="n">
        <f aca="false">IF(F542&lt;H542,F542*(D542-E542),0)+IF(H542=0,(D542-E542)*F542,0)+IF(H542&lt;F542,H542*(D542-E542),0)</f>
        <v>36108</v>
      </c>
      <c r="J542" s="1439" t="n">
        <f aca="false">G542-I542</f>
        <v>-36108</v>
      </c>
    </row>
    <row r="543" customFormat="false" ht="15" hidden="false" customHeight="true" outlineLevel="0" collapsed="false">
      <c r="B543" s="1439" t="str">
        <f aca="false">'Смета Внутр'!B543</f>
        <v>Сосна влаж, 200*150мм</v>
      </c>
      <c r="C543" s="1439" t="str">
        <f aca="false">'Смета Внутр'!C543</f>
        <v>м3</v>
      </c>
      <c r="D543" s="1439" t="n">
        <f aca="false">'Смета Внутр'!D543</f>
        <v>-3.14575</v>
      </c>
      <c r="E543" s="1439"/>
      <c r="F543" s="1439" t="n">
        <f aca="false">'Смета Внутр'!E543</f>
        <v>6500</v>
      </c>
      <c r="G543" s="1439" t="n">
        <f aca="false">'Смета Внутр'!H543</f>
        <v>0</v>
      </c>
      <c r="H543" s="1439"/>
      <c r="I543" s="1439" t="n">
        <f aca="false">IF(F543&lt;H543,F543*(D543-E543),0)+IF(H543=0,(D543-E543)*F543,0)+IF(H543&lt;F543,H543*(D543-E543),0)</f>
        <v>-20447.375</v>
      </c>
      <c r="J543" s="1439" t="n">
        <f aca="false">G543-I543</f>
        <v>20447.375</v>
      </c>
    </row>
    <row r="544" customFormat="false" ht="15" hidden="false" customHeight="true" outlineLevel="0" collapsed="false">
      <c r="B544" s="1439" t="str">
        <f aca="false">'Смета Внутр'!B544</f>
        <v>Сосна влаж, 200*150мм</v>
      </c>
      <c r="C544" s="1439" t="str">
        <f aca="false">'Смета Внутр'!C544</f>
        <v>м3</v>
      </c>
      <c r="D544" s="1439" t="n">
        <f aca="false">'Смета Внутр'!D544</f>
        <v>0</v>
      </c>
      <c r="E544" s="1439"/>
      <c r="F544" s="1439" t="n">
        <f aca="false">'Смета Внутр'!E544</f>
        <v>6500</v>
      </c>
      <c r="G544" s="1439" t="n">
        <f aca="false">'Смета Внутр'!H544</f>
        <v>0</v>
      </c>
      <c r="H544" s="1439"/>
      <c r="I544" s="1439" t="n">
        <f aca="false">IF(F544&lt;H544,F544*(D544-E544),0)+IF(H544=0,(D544-E544)*F544,0)+IF(H544&lt;F544,H544*(D544-E544),0)</f>
        <v>0</v>
      </c>
      <c r="J544" s="1439" t="n">
        <f aca="false">G544-I544</f>
        <v>0</v>
      </c>
    </row>
    <row r="545" customFormat="false" ht="15" hidden="false" customHeight="true" outlineLevel="0" collapsed="false">
      <c r="B545" s="1439" t="str">
        <f aca="false">'Смета Внутр'!B545</f>
        <v>Сосна влаж, 200*100мм</v>
      </c>
      <c r="C545" s="1439" t="str">
        <f aca="false">'Смета Внутр'!C545</f>
        <v>м2</v>
      </c>
      <c r="D545" s="1439" t="n">
        <f aca="false">'Смета Внутр'!D545</f>
        <v>0</v>
      </c>
      <c r="E545" s="1439"/>
      <c r="F545" s="1439" t="n">
        <f aca="false">'Смета Внутр'!E545</f>
        <v>6500</v>
      </c>
      <c r="G545" s="1439" t="n">
        <f aca="false">'Смета Внутр'!H545</f>
        <v>0</v>
      </c>
      <c r="H545" s="1439"/>
      <c r="I545" s="1439" t="n">
        <f aca="false">IF(F545&lt;H545,F545*(D545-E545),0)+IF(H545=0,(D545-E545)*F545,0)+IF(H545&lt;F545,H545*(D545-E545),0)</f>
        <v>0</v>
      </c>
      <c r="J545" s="1439" t="n">
        <f aca="false">G545-I545</f>
        <v>0</v>
      </c>
    </row>
    <row r="546" customFormat="false" ht="15" hidden="false" customHeight="true" outlineLevel="0" collapsed="false">
      <c r="B546" s="1439" t="str">
        <f aca="false">'Смета Внутр'!B546</f>
        <v>Шкант</v>
      </c>
      <c r="C546" s="1439" t="str">
        <f aca="false">'Смета Внутр'!C546</f>
        <v>шт</v>
      </c>
      <c r="D546" s="1439" t="n">
        <f aca="false">'Смета Внутр'!D546</f>
        <v>20</v>
      </c>
      <c r="E546" s="1439"/>
      <c r="F546" s="1439" t="n">
        <f aca="false">'Смета Внутр'!E546</f>
        <v>6</v>
      </c>
      <c r="G546" s="1439" t="n">
        <f aca="false">'Смета Внутр'!H546</f>
        <v>0</v>
      </c>
      <c r="H546" s="1439"/>
      <c r="I546" s="1439" t="n">
        <f aca="false">IF(F546&lt;H546,F546*(D546-E546),0)+IF(H546=0,(D546-E546)*F546,0)+IF(H546&lt;F546,H546*(D546-E546),0)</f>
        <v>120</v>
      </c>
      <c r="J546" s="1439" t="n">
        <f aca="false">G546-I546</f>
        <v>-120</v>
      </c>
    </row>
    <row r="547" customFormat="false" ht="15" hidden="false" customHeight="true" outlineLevel="0" collapsed="false">
      <c r="B547" s="1439" t="str">
        <f aca="false">'Смета Внутр'!B547</f>
        <v>Лен-джут 200х5х20000 мм</v>
      </c>
      <c r="C547" s="1439" t="str">
        <f aca="false">'Смета Внутр'!C547</f>
        <v>шт</v>
      </c>
      <c r="D547" s="1439" t="n">
        <f aca="false">'Смета Внутр'!D547</f>
        <v>0</v>
      </c>
      <c r="E547" s="1439"/>
      <c r="F547" s="1439" t="n">
        <f aca="false">'Смета Внутр'!E547</f>
        <v>175</v>
      </c>
      <c r="G547" s="1439" t="n">
        <f aca="false">'Смета Внутр'!H547</f>
        <v>0</v>
      </c>
      <c r="H547" s="1439"/>
      <c r="I547" s="1439" t="n">
        <f aca="false">IF(F547&lt;H547,F547*(D547-E547),0)+IF(H547=0,(D547-E547)*F547,0)+IF(H547&lt;F547,H547*(D547-E547),0)</f>
        <v>0</v>
      </c>
      <c r="J547" s="1439" t="n">
        <f aca="false">G547-I547</f>
        <v>0</v>
      </c>
    </row>
    <row r="548" customFormat="false" ht="15" hidden="false" customHeight="true" outlineLevel="0" collapsed="false">
      <c r="B548" s="1439" t="str">
        <f aca="false">'Смета Внутр'!B548</f>
        <v>Гвозди строительные 3,5 x 90            </v>
      </c>
      <c r="C548" s="1439" t="str">
        <f aca="false">'Смета Внутр'!C548</f>
        <v>шт</v>
      </c>
      <c r="D548" s="1439" t="n">
        <f aca="false">'Смета Внутр'!D548</f>
        <v>4.4</v>
      </c>
      <c r="E548" s="1439"/>
      <c r="F548" s="1439" t="n">
        <f aca="false">'Смета Внутр'!E548</f>
        <v>70</v>
      </c>
      <c r="G548" s="1439" t="n">
        <f aca="false">'Смета Внутр'!H548</f>
        <v>0</v>
      </c>
      <c r="H548" s="1439"/>
      <c r="I548" s="1439" t="n">
        <f aca="false">IF(F548&lt;H548,F548*(D548-E548),0)+IF(H548=0,(D548-E548)*F548,0)+IF(H548&lt;F548,H548*(D548-E548),0)</f>
        <v>308</v>
      </c>
      <c r="J548" s="1439" t="n">
        <f aca="false">G548-I548</f>
        <v>-308</v>
      </c>
    </row>
    <row r="549" customFormat="false" ht="15" hidden="false" customHeight="true" outlineLevel="0" collapsed="false">
      <c r="B549" s="1439" t="str">
        <f aca="false">'Смета Внутр'!B549</f>
        <v>нет</v>
      </c>
      <c r="C549" s="1439" t="str">
        <f aca="false">'Смета Внутр'!C549</f>
        <v>м3</v>
      </c>
      <c r="D549" s="1439" t="n">
        <f aca="false">'Смета Внутр'!D549</f>
        <v>0</v>
      </c>
      <c r="E549" s="1439"/>
      <c r="F549" s="1439" t="n">
        <f aca="false">'Смета Внутр'!E549</f>
        <v>0</v>
      </c>
      <c r="G549" s="1439" t="n">
        <f aca="false">'Смета Внутр'!H549</f>
        <v>0</v>
      </c>
      <c r="H549" s="1439"/>
      <c r="I549" s="1439" t="n">
        <f aca="false">IF(F549&lt;H549,F549*(D549-E549),0)+IF(H549=0,(D549-E549)*F549,0)+IF(H549&lt;F549,H549*(D549-E549),0)</f>
        <v>0</v>
      </c>
      <c r="J549" s="1439" t="n">
        <f aca="false">G549-I549</f>
        <v>0</v>
      </c>
    </row>
    <row r="550" customFormat="false" ht="15" hidden="false" customHeight="true" outlineLevel="0" collapsed="false">
      <c r="B550" s="1439" t="str">
        <f aca="false">'Смета Внутр'!B550</f>
        <v>нет</v>
      </c>
      <c r="C550" s="1439" t="str">
        <f aca="false">'Смета Внутр'!C550</f>
        <v>м3</v>
      </c>
      <c r="D550" s="1439" t="n">
        <f aca="false">'Смета Внутр'!D550</f>
        <v>0</v>
      </c>
      <c r="E550" s="1439"/>
      <c r="F550" s="1439" t="n">
        <f aca="false">'Смета Внутр'!E550</f>
        <v>0</v>
      </c>
      <c r="G550" s="1439" t="n">
        <f aca="false">'Смета Внутр'!H550</f>
        <v>0</v>
      </c>
      <c r="H550" s="1439"/>
      <c r="I550" s="1439" t="n">
        <f aca="false">IF(F550&lt;H550,F550*(D550-E550),0)+IF(H550=0,(D550-E550)*F550,0)+IF(H550&lt;F550,H550*(D550-E550),0)</f>
        <v>0</v>
      </c>
      <c r="J550" s="1439" t="n">
        <f aca="false">G550-I550</f>
        <v>0</v>
      </c>
    </row>
    <row r="551" customFormat="false" ht="15" hidden="false" customHeight="true" outlineLevel="0" collapsed="false">
      <c r="B551" s="1439" t="str">
        <f aca="false">'Смета Внутр'!B551</f>
        <v>нет</v>
      </c>
      <c r="C551" s="1439" t="str">
        <f aca="false">'Смета Внутр'!C551</f>
        <v>м3</v>
      </c>
      <c r="D551" s="1439" t="n">
        <f aca="false">'Смета Внутр'!D551</f>
        <v>0</v>
      </c>
      <c r="E551" s="1439"/>
      <c r="F551" s="1439" t="n">
        <f aca="false">'Смета Внутр'!E551</f>
        <v>0</v>
      </c>
      <c r="G551" s="1439" t="n">
        <f aca="false">'Смета Внутр'!H551</f>
        <v>0</v>
      </c>
      <c r="H551" s="1439"/>
      <c r="I551" s="1439" t="n">
        <f aca="false">IF(F551&lt;H551,F551*(D551-E551),0)+IF(H551=0,(D551-E551)*F551,0)+IF(H551&lt;F551,H551*(D551-E551),0)</f>
        <v>0</v>
      </c>
      <c r="J551" s="1439" t="n">
        <f aca="false">G551-I551</f>
        <v>0</v>
      </c>
    </row>
    <row r="552" customFormat="false" ht="15" hidden="false" customHeight="true" outlineLevel="0" collapsed="false">
      <c r="B552" s="1439" t="str">
        <f aca="false">'Смета Внутр'!B552</f>
        <v>нет</v>
      </c>
      <c r="C552" s="1439" t="str">
        <f aca="false">'Смета Внутр'!C552</f>
        <v>м.п.</v>
      </c>
      <c r="D552" s="1439" t="n">
        <f aca="false">'Смета Внутр'!D552</f>
        <v>0</v>
      </c>
      <c r="E552" s="1439"/>
      <c r="F552" s="1439" t="n">
        <f aca="false">'Смета Внутр'!E552</f>
        <v>0</v>
      </c>
      <c r="G552" s="1439" t="n">
        <f aca="false">'Смета Внутр'!H552</f>
        <v>0</v>
      </c>
      <c r="H552" s="1439"/>
      <c r="I552" s="1439" t="n">
        <f aca="false">IF(F552&lt;H552,F552*(D552-E552),0)+IF(H552=0,(D552-E552)*F552,0)+IF(H552&lt;F552,H552*(D552-E552),0)</f>
        <v>0</v>
      </c>
      <c r="J552" s="1439" t="n">
        <f aca="false">G552-I552</f>
        <v>0</v>
      </c>
    </row>
    <row r="553" customFormat="false" ht="15" hidden="false" customHeight="true" outlineLevel="0" collapsed="false">
      <c r="B553" s="1439" t="str">
        <f aca="false">'Смета Внутр'!B553</f>
        <v>Бензин для пилы</v>
      </c>
      <c r="C553" s="1439" t="str">
        <f aca="false">'Смета Внутр'!C553</f>
        <v>л</v>
      </c>
      <c r="D553" s="1439" t="n">
        <f aca="false">'Смета Внутр'!D553</f>
        <v>0.1588125</v>
      </c>
      <c r="E553" s="1439"/>
      <c r="F553" s="1439" t="n">
        <f aca="false">'Смета Внутр'!E553</f>
        <v>40</v>
      </c>
      <c r="G553" s="1439" t="n">
        <f aca="false">'Смета Внутр'!H553</f>
        <v>0</v>
      </c>
      <c r="H553" s="1439"/>
      <c r="I553" s="1439" t="n">
        <f aca="false">IF(F553&lt;H553,F553*(D553-E553),0)+IF(H553=0,(D553-E553)*F553,0)+IF(H553&lt;F553,H553*(D553-E553),0)</f>
        <v>6.3525</v>
      </c>
      <c r="J553" s="1439" t="n">
        <f aca="false">G553-I553</f>
        <v>-6.3525</v>
      </c>
    </row>
    <row r="554" customFormat="false" ht="15" hidden="false" customHeight="true" outlineLevel="0" collapsed="false">
      <c r="B554" s="1439" t="str">
        <f aca="false">'Смета Внутр'!B554</f>
        <v>Масло для пилы</v>
      </c>
      <c r="C554" s="1439" t="str">
        <f aca="false">'Смета Внутр'!C554</f>
        <v>л</v>
      </c>
      <c r="D554" s="1439" t="n">
        <f aca="false">'Смета Внутр'!D554</f>
        <v>0.017469375</v>
      </c>
      <c r="E554" s="1439"/>
      <c r="F554" s="1439" t="n">
        <f aca="false">'Смета Внутр'!E554</f>
        <v>250</v>
      </c>
      <c r="G554" s="1439" t="n">
        <f aca="false">'Смета Внутр'!H554</f>
        <v>0</v>
      </c>
      <c r="H554" s="1439"/>
      <c r="I554" s="1439" t="n">
        <f aca="false">IF(F554&lt;H554,F554*(D554-E554),0)+IF(H554=0,(D554-E554)*F554,0)+IF(H554&lt;F554,H554*(D554-E554),0)</f>
        <v>4.36734375</v>
      </c>
      <c r="J554" s="1439" t="n">
        <f aca="false">G554-I554</f>
        <v>-4.36734375</v>
      </c>
    </row>
    <row r="555" customFormat="false" ht="15" hidden="false" customHeight="true" outlineLevel="0" collapsed="false">
      <c r="B555" s="1439" t="str">
        <f aca="false">'Смета Внутр'!B555</f>
        <v>Цепь для пилы</v>
      </c>
      <c r="C555" s="1439" t="str">
        <f aca="false">'Смета Внутр'!C555</f>
        <v>шт</v>
      </c>
      <c r="D555" s="1439" t="n">
        <f aca="false">'Смета Внутр'!D555</f>
        <v>1.1</v>
      </c>
      <c r="E555" s="1439"/>
      <c r="F555" s="1439" t="n">
        <f aca="false">'Смета Внутр'!E555</f>
        <v>800</v>
      </c>
      <c r="G555" s="1439" t="n">
        <f aca="false">'Смета Внутр'!H555</f>
        <v>0</v>
      </c>
      <c r="H555" s="1439"/>
      <c r="I555" s="1439" t="n">
        <f aca="false">IF(F555&lt;H555,F555*(D555-E555),0)+IF(H555=0,(D555-E555)*F555,0)+IF(H555&lt;F555,H555*(D555-E555),0)</f>
        <v>880</v>
      </c>
      <c r="J555" s="1439" t="n">
        <f aca="false">G555-I555</f>
        <v>-880</v>
      </c>
    </row>
    <row r="556" customFormat="false" ht="15" hidden="false" customHeight="true" outlineLevel="0" collapsed="false">
      <c r="B556" s="1439" t="str">
        <f aca="false">'Смета Внутр'!B556</f>
        <v>"Профилюкс" Антисептик ОБЗ-1</v>
      </c>
      <c r="C556" s="1439" t="str">
        <f aca="false">'Смета Внутр'!C556</f>
        <v>л</v>
      </c>
      <c r="D556" s="1439" t="n">
        <f aca="false">'Смета Внутр'!D556</f>
        <v>0</v>
      </c>
      <c r="E556" s="1439"/>
      <c r="F556" s="1439" t="n">
        <f aca="false">'Смета Внутр'!E556</f>
        <v>42</v>
      </c>
      <c r="G556" s="1439" t="n">
        <f aca="false">'Смета Внутр'!H556</f>
        <v>0</v>
      </c>
      <c r="H556" s="1439"/>
      <c r="I556" s="1439" t="n">
        <f aca="false">IF(F556&lt;H556,F556*(D556-E556),0)+IF(H556=0,(D556-E556)*F556,0)+IF(H556&lt;F556,H556*(D556-E556),0)</f>
        <v>0</v>
      </c>
      <c r="J556" s="1439" t="n">
        <f aca="false">G556-I556</f>
        <v>0</v>
      </c>
    </row>
    <row r="557" customFormat="false" ht="15" hidden="false" customHeight="true" outlineLevel="0" collapsed="false">
      <c r="B557" s="1439" t="str">
        <f aca="false">'Смета Внутр'!B557</f>
        <v>Нет пропитки</v>
      </c>
      <c r="C557" s="1439" t="str">
        <f aca="false">'Смета Внутр'!C557</f>
        <v>л</v>
      </c>
      <c r="D557" s="1439" t="n">
        <f aca="false">'Смета Внутр'!D557</f>
        <v>0</v>
      </c>
      <c r="E557" s="1439"/>
      <c r="F557" s="1439" t="n">
        <f aca="false">'Смета Внутр'!E557</f>
        <v>0</v>
      </c>
      <c r="G557" s="1439" t="n">
        <f aca="false">'Смета Внутр'!H557</f>
        <v>0</v>
      </c>
      <c r="H557" s="1439"/>
      <c r="I557" s="1439" t="n">
        <f aca="false">IF(F557&lt;H557,F557*(D557-E557),0)+IF(H557=0,(D557-E557)*F557,0)+IF(H557&lt;F557,H557*(D557-E557),0)</f>
        <v>0</v>
      </c>
      <c r="J557" s="1439" t="n">
        <f aca="false">G557-I557</f>
        <v>0</v>
      </c>
    </row>
    <row r="558" customFormat="false" ht="15" hidden="false" customHeight="true" outlineLevel="0" collapsed="false">
      <c r="B558" s="1439" t="str">
        <f aca="false">'Смета Внутр'!B558</f>
        <v>Нет пропитки</v>
      </c>
      <c r="C558" s="1439" t="str">
        <f aca="false">'Смета Внутр'!C558</f>
        <v>л</v>
      </c>
      <c r="D558" s="1439" t="n">
        <f aca="false">'Смета Внутр'!D558</f>
        <v>0</v>
      </c>
      <c r="E558" s="1439"/>
      <c r="F558" s="1439" t="n">
        <f aca="false">'Смета Внутр'!E558</f>
        <v>0</v>
      </c>
      <c r="G558" s="1439" t="n">
        <f aca="false">'Смета Внутр'!H558</f>
        <v>0</v>
      </c>
      <c r="H558" s="1439"/>
      <c r="I558" s="1439" t="n">
        <f aca="false">IF(F558&lt;H558,F558*(D558-E558),0)+IF(H558=0,(D558-E558)*F558,0)+IF(H558&lt;F558,H558*(D558-E558),0)</f>
        <v>0</v>
      </c>
      <c r="J558" s="1439" t="n">
        <f aca="false">G558-I558</f>
        <v>0</v>
      </c>
    </row>
    <row r="559" customFormat="false" ht="15" hidden="false" customHeight="true" outlineLevel="0" collapsed="false">
      <c r="B559" s="1439" t="str">
        <f aca="false">'Смета Внутр'!B559</f>
        <v>Нет наличника</v>
      </c>
      <c r="C559" s="1439" t="str">
        <f aca="false">'Смета Внутр'!C559</f>
        <v>м.п.</v>
      </c>
      <c r="D559" s="1439" t="n">
        <f aca="false">'Смета Внутр'!D559</f>
        <v>3.57</v>
      </c>
      <c r="E559" s="1439"/>
      <c r="F559" s="1439" t="n">
        <f aca="false">'Смета Внутр'!E559</f>
        <v>0</v>
      </c>
      <c r="G559" s="1439" t="n">
        <f aca="false">'Смета Внутр'!H559</f>
        <v>0</v>
      </c>
      <c r="H559" s="1439"/>
      <c r="I559" s="1439" t="n">
        <f aca="false">IF(F559&lt;H559,F559*(D559-E559),0)+IF(H559=0,(D559-E559)*F559,0)+IF(H559&lt;F559,H559*(D559-E559),0)</f>
        <v>0</v>
      </c>
      <c r="J559" s="1439" t="n">
        <f aca="false">G559-I559</f>
        <v>0</v>
      </c>
    </row>
    <row r="560" customFormat="false" ht="15" hidden="false" customHeight="true" outlineLevel="0" collapsed="false">
      <c r="B560" s="1439" t="str">
        <f aca="false">'Смета Внутр'!B560</f>
        <v>Нет наличника</v>
      </c>
      <c r="C560" s="1439" t="str">
        <f aca="false">'Смета Внутр'!C560</f>
        <v>м.п.</v>
      </c>
      <c r="D560" s="1439" t="n">
        <f aca="false">'Смета Внутр'!D560</f>
        <v>3.57</v>
      </c>
      <c r="E560" s="1439"/>
      <c r="F560" s="1439" t="n">
        <f aca="false">'Смета Внутр'!E560</f>
        <v>0</v>
      </c>
      <c r="G560" s="1439" t="n">
        <f aca="false">'Смета Внутр'!H560</f>
        <v>0</v>
      </c>
      <c r="H560" s="1439"/>
      <c r="I560" s="1439" t="n">
        <f aca="false">IF(F560&lt;H560,F560*(D560-E560),0)+IF(H560=0,(D560-E560)*F560,0)+IF(H560&lt;F560,H560*(D560-E560),0)</f>
        <v>0</v>
      </c>
      <c r="J560" s="1439" t="n">
        <f aca="false">G560-I560</f>
        <v>0</v>
      </c>
    </row>
    <row r="561" customFormat="false" ht="15" hidden="false" customHeight="true" outlineLevel="0" collapsed="false">
      <c r="B561" s="1439" t="str">
        <f aca="false">'Смета Внутр'!B561</f>
        <v>Нет наждачной бумаги</v>
      </c>
      <c r="C561" s="1439" t="str">
        <f aca="false">'Смета Внутр'!C561</f>
        <v>м</v>
      </c>
      <c r="D561" s="1439" t="n">
        <f aca="false">'Смета Внутр'!D561</f>
        <v>0</v>
      </c>
      <c r="E561" s="1439"/>
      <c r="F561" s="1439" t="n">
        <f aca="false">'Смета Внутр'!E561</f>
        <v>0</v>
      </c>
      <c r="G561" s="1439" t="n">
        <f aca="false">'Смета Внутр'!H561</f>
        <v>0</v>
      </c>
      <c r="H561" s="1439"/>
      <c r="I561" s="1439" t="n">
        <f aca="false">IF(F561&lt;H561,F561*(D561-E561),0)+IF(H561=0,(D561-E561)*F561,0)+IF(H561&lt;F561,H561*(D561-E561),0)</f>
        <v>0</v>
      </c>
      <c r="J561" s="1439" t="n">
        <f aca="false">G561-I561</f>
        <v>0</v>
      </c>
    </row>
    <row r="562" customFormat="false" ht="15" hidden="false" customHeight="true" outlineLevel="0" collapsed="false">
      <c r="B562" s="1439" t="str">
        <f aca="false">'Смета Внутр'!B562</f>
        <v>Нет наждачной бумаги</v>
      </c>
      <c r="C562" s="1439" t="str">
        <f aca="false">'Смета Внутр'!C562</f>
        <v>м</v>
      </c>
      <c r="D562" s="1439" t="n">
        <f aca="false">'Смета Внутр'!D562</f>
        <v>0</v>
      </c>
      <c r="E562" s="1439"/>
      <c r="F562" s="1439" t="n">
        <f aca="false">'Смета Внутр'!E562</f>
        <v>0</v>
      </c>
      <c r="G562" s="1439" t="n">
        <f aca="false">'Смета Внутр'!H562</f>
        <v>0</v>
      </c>
      <c r="H562" s="1439"/>
      <c r="I562" s="1439" t="n">
        <f aca="false">IF(F562&lt;H562,F562*(D562-E562),0)+IF(H562=0,(D562-E562)*F562,0)+IF(H562&lt;F562,H562*(D562-E562),0)</f>
        <v>0</v>
      </c>
      <c r="J562" s="1439" t="n">
        <f aca="false">G562-I562</f>
        <v>0</v>
      </c>
    </row>
    <row r="563" customFormat="false" ht="15" hidden="false" customHeight="true" outlineLevel="0" collapsed="false">
      <c r="B563" s="1439" t="str">
        <f aca="false">'Смета Внутр'!B563</f>
        <v>Нет наждачной бумаги</v>
      </c>
      <c r="C563" s="1439" t="str">
        <f aca="false">'Смета Внутр'!C563</f>
        <v>м</v>
      </c>
      <c r="D563" s="1439" t="n">
        <f aca="false">'Смета Внутр'!D563</f>
        <v>0</v>
      </c>
      <c r="E563" s="1439"/>
      <c r="F563" s="1439" t="n">
        <f aca="false">'Смета Внутр'!E563</f>
        <v>0</v>
      </c>
      <c r="G563" s="1439" t="n">
        <f aca="false">'Смета Внутр'!H563</f>
        <v>0</v>
      </c>
      <c r="H563" s="1439"/>
      <c r="I563" s="1439" t="n">
        <f aca="false">IF(F563&lt;H563,F563*(D563-E563),0)+IF(H563=0,(D563-E563)*F563,0)+IF(H563&lt;F563,H563*(D563-E563),0)</f>
        <v>0</v>
      </c>
      <c r="J563" s="1439" t="n">
        <f aca="false">G563-I563</f>
        <v>0</v>
      </c>
    </row>
    <row r="564" customFormat="false" ht="15" hidden="false" customHeight="true" outlineLevel="0" collapsed="false">
      <c r="B564" s="1439" t="str">
        <f aca="false">'Смета Внутр'!B564</f>
        <v>Нет наждачной бумаги</v>
      </c>
      <c r="C564" s="1439" t="str">
        <f aca="false">'Смета Внутр'!C564</f>
        <v>м</v>
      </c>
      <c r="D564" s="1439" t="n">
        <f aca="false">'Смета Внутр'!D564</f>
        <v>0</v>
      </c>
      <c r="E564" s="1439"/>
      <c r="F564" s="1439" t="n">
        <f aca="false">'Смета Внутр'!E564</f>
        <v>0</v>
      </c>
      <c r="G564" s="1439" t="n">
        <f aca="false">'Смета Внутр'!H564</f>
        <v>0</v>
      </c>
      <c r="H564" s="1439"/>
      <c r="I564" s="1439" t="n">
        <f aca="false">IF(F564&lt;H564,F564*(D564-E564),0)+IF(H564=0,(D564-E564)*F564,0)+IF(H564&lt;F564,H564*(D564-E564),0)</f>
        <v>0</v>
      </c>
      <c r="J564" s="1439" t="n">
        <f aca="false">G564-I564</f>
        <v>0</v>
      </c>
    </row>
    <row r="565" customFormat="false" ht="15" hidden="false" customHeight="false" outlineLevel="0" collapsed="false">
      <c r="B565" s="1692" t="s">
        <v>4332</v>
      </c>
      <c r="C565" s="1692"/>
      <c r="D565" s="1692"/>
      <c r="E565" s="1692"/>
      <c r="F565" s="1692"/>
      <c r="G565" s="1439" t="n">
        <f aca="false">'Смета Внутр'!H565</f>
        <v>0</v>
      </c>
      <c r="H565" s="3181"/>
      <c r="I565" s="1439"/>
      <c r="J565" s="1439"/>
    </row>
    <row r="566" customFormat="false" ht="15" hidden="false" customHeight="true" outlineLevel="0" collapsed="false">
      <c r="B566" s="1268" t="str">
        <f aca="false">'Смета Внутр'!B566</f>
        <v>Работы</v>
      </c>
      <c r="C566" s="1268"/>
      <c r="D566" s="1268"/>
      <c r="E566" s="1268"/>
      <c r="F566" s="1268"/>
      <c r="G566" s="3173" t="n">
        <f aca="false">'Смета Внутр'!H566</f>
        <v>0</v>
      </c>
      <c r="H566" s="3182"/>
      <c r="I566" s="3180" t="n">
        <f aca="false">IF(F566&lt;H566,F566*(D566-E566),0)+IF(H566=0,(D566-E566)*F566,0)+IF(H566&lt;F566,H566*(D566-E566),0)</f>
        <v>0</v>
      </c>
      <c r="J566" s="3180" t="n">
        <f aca="false">G566-I566</f>
        <v>0</v>
      </c>
    </row>
    <row r="567" customFormat="false" ht="15" hidden="false" customHeight="true" outlineLevel="0" collapsed="false">
      <c r="B567" s="1439" t="str">
        <f aca="false">'Смета Внутр'!B567</f>
        <v>кладка бруса</v>
      </c>
      <c r="C567" s="1439" t="str">
        <f aca="false">'Смета Внутр'!C567</f>
        <v>м3</v>
      </c>
      <c r="D567" s="1439" t="n">
        <f aca="false">'Смета Внутр'!D567</f>
        <v>0.866249999999999</v>
      </c>
      <c r="E567" s="1439"/>
      <c r="F567" s="1439" t="n">
        <f aca="false">'Смета Внутр'!E567</f>
        <v>4000</v>
      </c>
      <c r="G567" s="1439" t="n">
        <f aca="false">'Смета Внутр'!H567</f>
        <v>0</v>
      </c>
      <c r="H567" s="1439"/>
      <c r="I567" s="1439" t="n">
        <f aca="false">IF(F567&lt;H567,F567*(D567-E567),0)+IF(H567=0,(D567-E567)*F567,0)+IF(H567&lt;F567,H567*(D567-E567),0)</f>
        <v>3465</v>
      </c>
      <c r="J567" s="1439" t="n">
        <f aca="false">G567-I567</f>
        <v>-3465</v>
      </c>
    </row>
    <row r="568" customFormat="false" ht="15" hidden="false" customHeight="true" outlineLevel="0" collapsed="false">
      <c r="B568" s="1439" t="str">
        <f aca="false">'Смета Внутр'!B568</f>
        <v>окосячка проемов, м.п.</v>
      </c>
      <c r="C568" s="1439" t="str">
        <f aca="false">'Смета Внутр'!C568</f>
        <v>м.п.</v>
      </c>
      <c r="D568" s="1439" t="n">
        <f aca="false">'Смета Внутр'!D568</f>
        <v>0</v>
      </c>
      <c r="E568" s="1439"/>
      <c r="F568" s="1439" t="n">
        <f aca="false">'Смета Внутр'!E568</f>
        <v>150</v>
      </c>
      <c r="G568" s="1439" t="n">
        <f aca="false">'Смета Внутр'!H568</f>
        <v>0</v>
      </c>
      <c r="H568" s="1439"/>
      <c r="I568" s="1439" t="n">
        <f aca="false">IF(F568&lt;H568,F568*(D568-E568),0)+IF(H568=0,(D568-E568)*F568,0)+IF(H568&lt;F568,H568*(D568-E568),0)</f>
        <v>0</v>
      </c>
      <c r="J568" s="1439" t="n">
        <f aca="false">G568-I568</f>
        <v>0</v>
      </c>
    </row>
    <row r="569" customFormat="false" ht="15" hidden="false" customHeight="true" outlineLevel="0" collapsed="false">
      <c r="B569" s="1439" t="str">
        <f aca="false">'Смета Внутр'!B569</f>
        <v>обработка торцов на брусе</v>
      </c>
      <c r="C569" s="1439" t="str">
        <f aca="false">'Смета Внутр'!C569</f>
        <v>м.п.</v>
      </c>
      <c r="D569" s="1439" t="n">
        <f aca="false">'Смета Внутр'!D569</f>
        <v>20</v>
      </c>
      <c r="E569" s="1439"/>
      <c r="F569" s="1439" t="n">
        <f aca="false">'Смета Внутр'!E569</f>
        <v>250</v>
      </c>
      <c r="G569" s="1439" t="n">
        <f aca="false">'Смета Внутр'!H569</f>
        <v>0</v>
      </c>
      <c r="H569" s="1439"/>
      <c r="I569" s="1439" t="n">
        <f aca="false">IF(F569&lt;H569,F569*(D569-E569),0)+IF(H569=0,(D569-E569)*F569,0)+IF(H569&lt;F569,H569*(D569-E569),0)</f>
        <v>5000</v>
      </c>
      <c r="J569" s="1439" t="n">
        <f aca="false">G569-I569</f>
        <v>-5000</v>
      </c>
    </row>
    <row r="570" customFormat="false" ht="15" hidden="false" customHeight="true" outlineLevel="0" collapsed="false">
      <c r="B570" s="1439" t="str">
        <f aca="false">'Смета Внутр'!B570</f>
        <v>Обаботка огнебиозащитой</v>
      </c>
      <c r="C570" s="1439" t="str">
        <f aca="false">'Смета Внутр'!C570</f>
        <v>м.п.</v>
      </c>
      <c r="D570" s="1439" t="n">
        <f aca="false">'Смета Внутр'!D570</f>
        <v>0.866249999999999</v>
      </c>
      <c r="E570" s="1439"/>
      <c r="F570" s="1439" t="n">
        <f aca="false">'Смета Внутр'!E570</f>
        <v>300</v>
      </c>
      <c r="G570" s="1439" t="n">
        <f aca="false">'Смета Внутр'!H570</f>
        <v>0</v>
      </c>
      <c r="H570" s="1439"/>
      <c r="I570" s="1439" t="n">
        <f aca="false">IF(F570&lt;H570,F570*(D570-E570),0)+IF(H570=0,(D570-E570)*F570,0)+IF(H570&lt;F570,H570*(D570-E570),0)</f>
        <v>259.875</v>
      </c>
      <c r="J570" s="1439" t="n">
        <f aca="false">G570-I570</f>
        <v>-259.875</v>
      </c>
    </row>
    <row r="571" customFormat="false" ht="15" hidden="false" customHeight="true" outlineLevel="0" collapsed="false">
      <c r="B571" s="1439" t="str">
        <f aca="false">'Смета Внутр'!B571</f>
        <v>Пропитка стен внешних</v>
      </c>
      <c r="C571" s="1439" t="str">
        <f aca="false">'Смета Внутр'!C571</f>
        <v>м.п.</v>
      </c>
      <c r="D571" s="1439" t="n">
        <f aca="false">'Смета Внутр'!D571</f>
        <v>0</v>
      </c>
      <c r="E571" s="1439"/>
      <c r="F571" s="1439" t="n">
        <f aca="false">'Смета Внутр'!E571</f>
        <v>100</v>
      </c>
      <c r="G571" s="1439" t="n">
        <f aca="false">'Смета Внутр'!H571</f>
        <v>0</v>
      </c>
      <c r="H571" s="1439"/>
      <c r="I571" s="1439" t="n">
        <f aca="false">IF(F571&lt;H571,F571*(D571-E571),0)+IF(H571=0,(D571-E571)*F571,0)+IF(H571&lt;F571,H571*(D571-E571),0)</f>
        <v>0</v>
      </c>
      <c r="J571" s="1439" t="n">
        <f aca="false">G571-I571</f>
        <v>0</v>
      </c>
    </row>
    <row r="572" customFormat="false" ht="15" hidden="false" customHeight="true" outlineLevel="0" collapsed="false">
      <c r="B572" s="1439" t="str">
        <f aca="false">'Смета Внутр'!B572</f>
        <v>Пропитка внутенних стен</v>
      </c>
      <c r="C572" s="1439" t="str">
        <f aca="false">'Смета Внутр'!C572</f>
        <v>м.п.</v>
      </c>
      <c r="D572" s="1439" t="n">
        <f aca="false">'Смета Внутр'!D572</f>
        <v>0</v>
      </c>
      <c r="E572" s="1439"/>
      <c r="F572" s="1439" t="n">
        <f aca="false">'Смета Внутр'!E572</f>
        <v>100</v>
      </c>
      <c r="G572" s="1439" t="n">
        <f aca="false">'Смета Внутр'!H572</f>
        <v>0</v>
      </c>
      <c r="H572" s="1439"/>
      <c r="I572" s="1439" t="n">
        <f aca="false">IF(F572&lt;H572,F572*(D572-E572),0)+IF(H572=0,(D572-E572)*F572,0)+IF(H572&lt;F572,H572*(D572-E572),0)</f>
        <v>0</v>
      </c>
      <c r="J572" s="1439" t="n">
        <f aca="false">G572-I572</f>
        <v>0</v>
      </c>
    </row>
    <row r="573" customFormat="false" ht="15" hidden="false" customHeight="true" outlineLevel="0" collapsed="false">
      <c r="B573" s="1439" t="str">
        <f aca="false">'Смета Внутр'!B573</f>
        <v>Не считать</v>
      </c>
      <c r="C573" s="1439" t="str">
        <f aca="false">'Смета Внутр'!C573</f>
        <v>м.п.</v>
      </c>
      <c r="D573" s="1439" t="n">
        <f aca="false">'Смета Внутр'!D573</f>
        <v>0</v>
      </c>
      <c r="E573" s="1439"/>
      <c r="F573" s="1439" t="n">
        <f aca="false">'Смета Внутр'!E573</f>
        <v>300</v>
      </c>
      <c r="G573" s="1439" t="n">
        <f aca="false">'Смета Внутр'!H573</f>
        <v>0</v>
      </c>
      <c r="H573" s="1439"/>
      <c r="I573" s="1439" t="n">
        <f aca="false">IF(F573&lt;H573,F573*(D573-E573),0)+IF(H573=0,(D573-E573)*F573,0)+IF(H573&lt;F573,H573*(D573-E573),0)</f>
        <v>0</v>
      </c>
      <c r="J573" s="1439" t="n">
        <f aca="false">G573-I573</f>
        <v>0</v>
      </c>
    </row>
    <row r="574" customFormat="false" ht="15" hidden="false" customHeight="true" outlineLevel="0" collapsed="false">
      <c r="B574" s="1439" t="str">
        <f aca="false">'Смета Внутр'!B574</f>
        <v>Монтаж наличника</v>
      </c>
      <c r="C574" s="1439" t="str">
        <f aca="false">'Смета Внутр'!C574</f>
        <v>м.п.</v>
      </c>
      <c r="D574" s="1439" t="n">
        <f aca="false">'Смета Внутр'!D574</f>
        <v>0</v>
      </c>
      <c r="E574" s="1439"/>
      <c r="F574" s="1439" t="n">
        <f aca="false">'Смета Внутр'!E574</f>
        <v>80</v>
      </c>
      <c r="G574" s="1439" t="n">
        <f aca="false">'Смета Внутр'!H574</f>
        <v>0</v>
      </c>
      <c r="H574" s="1439"/>
      <c r="I574" s="1439" t="n">
        <f aca="false">IF(F574&lt;H574,F574*(D574-E574),0)+IF(H574=0,(D574-E574)*F574,0)+IF(H574&lt;F574,H574*(D574-E574),0)</f>
        <v>0</v>
      </c>
      <c r="J574" s="1439" t="n">
        <f aca="false">G574-I574</f>
        <v>0</v>
      </c>
    </row>
    <row r="575" customFormat="false" ht="15" hidden="false" customHeight="true" outlineLevel="0" collapsed="false">
      <c r="B575" s="1439" t="str">
        <f aca="false">'Смета Внутр'!B575</f>
        <v>Шлифовка стен дома</v>
      </c>
      <c r="C575" s="1439" t="str">
        <f aca="false">'Смета Внутр'!C575</f>
        <v>м.п.</v>
      </c>
      <c r="D575" s="1439" t="n">
        <f aca="false">'Смета Внутр'!D575</f>
        <v>0</v>
      </c>
      <c r="E575" s="1439"/>
      <c r="F575" s="1439" t="n">
        <f aca="false">'Смета Внутр'!E575</f>
        <v>250</v>
      </c>
      <c r="G575" s="1439" t="n">
        <f aca="false">'Смета Внутр'!H575</f>
        <v>0</v>
      </c>
      <c r="H575" s="1439"/>
      <c r="I575" s="1439" t="n">
        <f aca="false">IF(F575&lt;H575,F575*(D575-E575),0)+IF(H575=0,(D575-E575)*F575,0)+IF(H575&lt;F575,H575*(D575-E575),0)</f>
        <v>0</v>
      </c>
      <c r="J575" s="1439" t="n">
        <f aca="false">G575-I575</f>
        <v>0</v>
      </c>
    </row>
    <row r="576" customFormat="false" ht="15" hidden="false" customHeight="false" outlineLevel="0" collapsed="false">
      <c r="B576" s="1692" t="s">
        <v>4333</v>
      </c>
      <c r="C576" s="1692"/>
      <c r="D576" s="1692"/>
      <c r="E576" s="1692"/>
      <c r="F576" s="1692"/>
      <c r="G576" s="1439" t="n">
        <f aca="false">'Смета Внутр'!H576</f>
        <v>0</v>
      </c>
      <c r="H576" s="3181"/>
      <c r="I576" s="1439"/>
      <c r="J576" s="1439"/>
    </row>
    <row r="577" customFormat="false" ht="15" hidden="false" customHeight="true" outlineLevel="0" collapsed="false">
      <c r="B577" s="3172" t="str">
        <f aca="false">'Смета Внутр'!B577</f>
        <v>Дом из Дикого леса</v>
      </c>
      <c r="C577" s="3172"/>
      <c r="D577" s="3172"/>
      <c r="E577" s="3172"/>
      <c r="F577" s="3172"/>
      <c r="G577" s="3173" t="n">
        <f aca="false">'Смета Внутр'!H577</f>
        <v>0</v>
      </c>
      <c r="H577" s="3173"/>
      <c r="I577" s="3180" t="n">
        <f aca="false">IF(F577&lt;H577,F577*(D577-E577),0)+IF(H577=0,(D577-E577)*F577,0)+IF(H577&lt;F577,H577*(D577-E577),0)</f>
        <v>0</v>
      </c>
      <c r="J577" s="3180" t="n">
        <f aca="false">G577-I577</f>
        <v>0</v>
      </c>
    </row>
    <row r="578" customFormat="false" ht="15" hidden="false" customHeight="true" outlineLevel="0" collapsed="false">
      <c r="B578" s="1268" t="str">
        <f aca="false">'Смета Внутр'!B578</f>
        <v>Материалы</v>
      </c>
      <c r="C578" s="1268"/>
      <c r="D578" s="1268"/>
      <c r="E578" s="1268"/>
      <c r="F578" s="1268"/>
      <c r="G578" s="3173" t="n">
        <f aca="false">'Смета Внутр'!H578</f>
        <v>0</v>
      </c>
      <c r="H578" s="3182"/>
      <c r="I578" s="3180" t="n">
        <f aca="false">IF(F578&lt;H578,F578*(D578-E578),0)+IF(H578=0,(D578-E578)*F578,0)+IF(H578&lt;F578,H578*(D578-E578),0)</f>
        <v>0</v>
      </c>
      <c r="J578" s="3180" t="n">
        <f aca="false">G578-I578</f>
        <v>0</v>
      </c>
    </row>
    <row r="579" customFormat="false" ht="15" hidden="false" customHeight="true" outlineLevel="0" collapsed="false">
      <c r="B579" s="1439" t="str">
        <f aca="false">'Смета Внутр'!B579</f>
        <v>Оцилиндрованное бревно лиственница 280мм</v>
      </c>
      <c r="C579" s="1439" t="str">
        <f aca="false">'Смета Внутр'!C579</f>
        <v>м3</v>
      </c>
      <c r="D579" s="1439" t="n">
        <f aca="false">'Смета Внутр'!D579</f>
        <v>4.19187802</v>
      </c>
      <c r="E579" s="1439"/>
      <c r="F579" s="1439" t="n">
        <f aca="false">'Смета Внутр'!E579</f>
        <v>10000</v>
      </c>
      <c r="G579" s="1439" t="n">
        <f aca="false">'Смета Внутр'!H579</f>
        <v>0</v>
      </c>
      <c r="H579" s="1439"/>
      <c r="I579" s="1439" t="n">
        <f aca="false">IF(F579&lt;H579,F579*(D579-E579),0)+IF(H579=0,(D579-E579)*F579,0)+IF(H579&lt;F579,H579*(D579-E579),0)</f>
        <v>41918.7802</v>
      </c>
      <c r="J579" s="1439" t="n">
        <f aca="false">G579-I579</f>
        <v>-41918.7802</v>
      </c>
    </row>
    <row r="580" customFormat="false" ht="15" hidden="false" customHeight="true" outlineLevel="0" collapsed="false">
      <c r="B580" s="1439" t="str">
        <f aca="false">'Смета Внутр'!B580</f>
        <v>Оцилиндрованное бревно сосна 220мм</v>
      </c>
      <c r="C580" s="1439" t="str">
        <f aca="false">'Смета Внутр'!C580</f>
        <v>м3</v>
      </c>
      <c r="D580" s="1439" t="n">
        <f aca="false">'Смета Внутр'!D580</f>
        <v>-3.09205170421053</v>
      </c>
      <c r="E580" s="1439"/>
      <c r="F580" s="1439" t="n">
        <f aca="false">'Смета Внутр'!E580</f>
        <v>8000</v>
      </c>
      <c r="G580" s="1439" t="n">
        <f aca="false">'Смета Внутр'!H580</f>
        <v>0</v>
      </c>
      <c r="H580" s="1439"/>
      <c r="I580" s="1439" t="n">
        <f aca="false">IF(F580&lt;H580,F580*(D580-E580),0)+IF(H580=0,(D580-E580)*F580,0)+IF(H580&lt;F580,H580*(D580-E580),0)</f>
        <v>-24736.4136336842</v>
      </c>
      <c r="J580" s="1439" t="n">
        <f aca="false">G580-I580</f>
        <v>24736.4136336842</v>
      </c>
    </row>
    <row r="581" customFormat="false" ht="15" hidden="false" customHeight="true" outlineLevel="0" collapsed="false">
      <c r="B581" s="1439" t="str">
        <f aca="false">'Смета Внутр'!B581</f>
        <v>Оцилиндрованное бревно сосна 220мм</v>
      </c>
      <c r="C581" s="1439" t="str">
        <f aca="false">'Смета Внутр'!C581</f>
        <v>м3</v>
      </c>
      <c r="D581" s="1439" t="n">
        <f aca="false">'Смета Внутр'!D581</f>
        <v>0</v>
      </c>
      <c r="E581" s="1439"/>
      <c r="F581" s="1439" t="n">
        <f aca="false">'Смета Внутр'!E581</f>
        <v>8000</v>
      </c>
      <c r="G581" s="1439" t="n">
        <f aca="false">'Смета Внутр'!H581</f>
        <v>0</v>
      </c>
      <c r="H581" s="1439"/>
      <c r="I581" s="1439" t="n">
        <f aca="false">IF(F581&lt;H581,F581*(D581-E581),0)+IF(H581=0,(D581-E581)*F581,0)+IF(H581&lt;F581,H581*(D581-E581),0)</f>
        <v>0</v>
      </c>
      <c r="J581" s="1439" t="n">
        <f aca="false">G581-I581</f>
        <v>0</v>
      </c>
    </row>
    <row r="582" customFormat="false" ht="15" hidden="false" customHeight="true" outlineLevel="0" collapsed="false">
      <c r="B582" s="1439" t="str">
        <f aca="false">'Смета Внутр'!B582</f>
        <v>Оцилиндрованное бревно сосна 220мм</v>
      </c>
      <c r="C582" s="1439" t="str">
        <f aca="false">'Смета Внутр'!C582</f>
        <v>м2</v>
      </c>
      <c r="D582" s="1439" t="n">
        <f aca="false">'Смета Внутр'!D582</f>
        <v>0</v>
      </c>
      <c r="E582" s="1439"/>
      <c r="F582" s="1439" t="n">
        <f aca="false">'Смета Внутр'!E582</f>
        <v>8000</v>
      </c>
      <c r="G582" s="1439" t="n">
        <f aca="false">'Смета Внутр'!H582</f>
        <v>0</v>
      </c>
      <c r="H582" s="1439"/>
      <c r="I582" s="1439" t="n">
        <f aca="false">IF(F582&lt;H582,F582*(D582-E582),0)+IF(H582=0,(D582-E582)*F582,0)+IF(H582&lt;F582,H582*(D582-E582),0)</f>
        <v>0</v>
      </c>
      <c r="J582" s="1439" t="n">
        <f aca="false">G582-I582</f>
        <v>0</v>
      </c>
    </row>
    <row r="583" customFormat="false" ht="15" hidden="false" customHeight="true" outlineLevel="0" collapsed="false">
      <c r="B583" s="1439" t="str">
        <f aca="false">'Смета Внутр'!B583</f>
        <v>Шкант</v>
      </c>
      <c r="C583" s="1439" t="str">
        <f aca="false">'Смета Внутр'!C583</f>
        <v>шт</v>
      </c>
      <c r="D583" s="1439" t="n">
        <f aca="false">'Смета Внутр'!D583</f>
        <v>0.349944736842105</v>
      </c>
      <c r="E583" s="1439"/>
      <c r="F583" s="1439" t="n">
        <f aca="false">'Смета Внутр'!E583</f>
        <v>6</v>
      </c>
      <c r="G583" s="1439" t="n">
        <f aca="false">'Смета Внутр'!H583</f>
        <v>0</v>
      </c>
      <c r="H583" s="1439"/>
      <c r="I583" s="1439" t="n">
        <f aca="false">IF(F583&lt;H583,F583*(D583-E583),0)+IF(H583=0,(D583-E583)*F583,0)+IF(H583&lt;F583,H583*(D583-E583),0)</f>
        <v>2.09966842105263</v>
      </c>
      <c r="J583" s="1439" t="n">
        <f aca="false">G583-I583</f>
        <v>-2.09966842105263</v>
      </c>
    </row>
    <row r="584" customFormat="false" ht="15" hidden="false" customHeight="true" outlineLevel="0" collapsed="false">
      <c r="B584" s="1439" t="str">
        <f aca="false">'Смета Внутр'!B584</f>
        <v>Лен-джут 200х5х20000 мм</v>
      </c>
      <c r="C584" s="1439" t="str">
        <f aca="false">'Смета Внутр'!C584</f>
        <v>шт</v>
      </c>
      <c r="D584" s="1439" t="n">
        <f aca="false">'Смета Внутр'!D584</f>
        <v>2</v>
      </c>
      <c r="E584" s="1439"/>
      <c r="F584" s="1439" t="n">
        <f aca="false">'Смета Внутр'!E584</f>
        <v>175</v>
      </c>
      <c r="G584" s="1439" t="n">
        <f aca="false">'Смета Внутр'!H584</f>
        <v>0</v>
      </c>
      <c r="H584" s="1439"/>
      <c r="I584" s="1439" t="n">
        <f aca="false">IF(F584&lt;H584,F584*(D584-E584),0)+IF(H584=0,(D584-E584)*F584,0)+IF(H584&lt;F584,H584*(D584-E584),0)</f>
        <v>350</v>
      </c>
      <c r="J584" s="1439" t="n">
        <f aca="false">G584-I584</f>
        <v>-350</v>
      </c>
    </row>
    <row r="585" customFormat="false" ht="15" hidden="false" customHeight="true" outlineLevel="0" collapsed="false">
      <c r="B585" s="1439" t="str">
        <f aca="false">'Смета Внутр'!B585</f>
        <v>Гвозди ершоные 2,8 х 90            </v>
      </c>
      <c r="C585" s="1439" t="str">
        <f aca="false">'Смета Внутр'!C585</f>
        <v>шт</v>
      </c>
      <c r="D585" s="1439" t="n">
        <f aca="false">'Смета Внутр'!D585</f>
        <v>4.84</v>
      </c>
      <c r="E585" s="1439"/>
      <c r="F585" s="1439" t="n">
        <f aca="false">'Смета Внутр'!E585</f>
        <v>76.49</v>
      </c>
      <c r="G585" s="1439" t="n">
        <f aca="false">'Смета Внутр'!H585</f>
        <v>0</v>
      </c>
      <c r="H585" s="1439"/>
      <c r="I585" s="1439" t="n">
        <f aca="false">IF(F585&lt;H585,F585*(D585-E585),0)+IF(H585=0,(D585-E585)*F585,0)+IF(H585&lt;F585,H585*(D585-E585),0)</f>
        <v>370.2116</v>
      </c>
      <c r="J585" s="1439" t="n">
        <f aca="false">G585-I585</f>
        <v>-370.2116</v>
      </c>
    </row>
    <row r="586" customFormat="false" ht="15" hidden="false" customHeight="true" outlineLevel="0" collapsed="false">
      <c r="B586" s="1439" t="str">
        <f aca="false">'Смета Внутр'!B586</f>
        <v>нет</v>
      </c>
      <c r="C586" s="1439" t="str">
        <f aca="false">'Смета Внутр'!C586</f>
        <v>м3</v>
      </c>
      <c r="D586" s="1439" t="n">
        <f aca="false">'Смета Внутр'!D586</f>
        <v>0</v>
      </c>
      <c r="E586" s="1439"/>
      <c r="F586" s="1439" t="n">
        <f aca="false">'Смета Внутр'!E586</f>
        <v>0</v>
      </c>
      <c r="G586" s="1439" t="n">
        <f aca="false">'Смета Внутр'!H586</f>
        <v>0</v>
      </c>
      <c r="H586" s="1439"/>
      <c r="I586" s="1439" t="n">
        <f aca="false">IF(F586&lt;H586,F586*(D586-E586),0)+IF(H586=0,(D586-E586)*F586,0)+IF(H586&lt;F586,H586*(D586-E586),0)</f>
        <v>0</v>
      </c>
      <c r="J586" s="1439" t="n">
        <f aca="false">G586-I586</f>
        <v>0</v>
      </c>
    </row>
    <row r="587" customFormat="false" ht="15" hidden="false" customHeight="true" outlineLevel="0" collapsed="false">
      <c r="B587" s="1439" t="str">
        <f aca="false">'Смета Внутр'!B587</f>
        <v>нет</v>
      </c>
      <c r="C587" s="1439" t="str">
        <f aca="false">'Смета Внутр'!C587</f>
        <v>м3</v>
      </c>
      <c r="D587" s="1439" t="n">
        <f aca="false">'Смета Внутр'!D587</f>
        <v>0</v>
      </c>
      <c r="E587" s="1439"/>
      <c r="F587" s="1439" t="n">
        <f aca="false">'Смета Внутр'!E587</f>
        <v>0</v>
      </c>
      <c r="G587" s="1439" t="n">
        <f aca="false">'Смета Внутр'!H587</f>
        <v>0</v>
      </c>
      <c r="H587" s="1439"/>
      <c r="I587" s="1439" t="n">
        <f aca="false">IF(F587&lt;H587,F587*(D587-E587),0)+IF(H587=0,(D587-E587)*F587,0)+IF(H587&lt;F587,H587*(D587-E587),0)</f>
        <v>0</v>
      </c>
      <c r="J587" s="1439" t="n">
        <f aca="false">G587-I587</f>
        <v>0</v>
      </c>
    </row>
    <row r="588" customFormat="false" ht="15" hidden="false" customHeight="true" outlineLevel="0" collapsed="false">
      <c r="B588" s="1439" t="str">
        <f aca="false">'Смета Внутр'!B588</f>
        <v>нет</v>
      </c>
      <c r="C588" s="1439" t="str">
        <f aca="false">'Смета Внутр'!C588</f>
        <v>м3</v>
      </c>
      <c r="D588" s="1439" t="n">
        <f aca="false">'Смета Внутр'!D588</f>
        <v>0</v>
      </c>
      <c r="E588" s="1439"/>
      <c r="F588" s="1439" t="n">
        <f aca="false">'Смета Внутр'!E588</f>
        <v>0</v>
      </c>
      <c r="G588" s="1439" t="n">
        <f aca="false">'Смета Внутр'!H588</f>
        <v>0</v>
      </c>
      <c r="H588" s="1439"/>
      <c r="I588" s="1439" t="n">
        <f aca="false">IF(F588&lt;H588,F588*(D588-E588),0)+IF(H588=0,(D588-E588)*F588,0)+IF(H588&lt;F588,H588*(D588-E588),0)</f>
        <v>0</v>
      </c>
      <c r="J588" s="1439" t="n">
        <f aca="false">G588-I588</f>
        <v>0</v>
      </c>
    </row>
    <row r="589" customFormat="false" ht="15" hidden="false" customHeight="true" outlineLevel="0" collapsed="false">
      <c r="B589" s="1439" t="str">
        <f aca="false">'Смета Внутр'!B589</f>
        <v>нет</v>
      </c>
      <c r="C589" s="1439" t="str">
        <f aca="false">'Смета Внутр'!C589</f>
        <v>м.п.</v>
      </c>
      <c r="D589" s="1439" t="n">
        <f aca="false">'Смета Внутр'!D589</f>
        <v>0</v>
      </c>
      <c r="E589" s="1439"/>
      <c r="F589" s="1439" t="n">
        <f aca="false">'Смета Внутр'!E589</f>
        <v>0</v>
      </c>
      <c r="G589" s="1439" t="n">
        <f aca="false">'Смета Внутр'!H589</f>
        <v>0</v>
      </c>
      <c r="H589" s="1439"/>
      <c r="I589" s="1439" t="n">
        <f aca="false">IF(F589&lt;H589,F589*(D589-E589),0)+IF(H589=0,(D589-E589)*F589,0)+IF(H589&lt;F589,H589*(D589-E589),0)</f>
        <v>0</v>
      </c>
      <c r="J589" s="1439" t="n">
        <f aca="false">G589-I589</f>
        <v>0</v>
      </c>
    </row>
    <row r="590" customFormat="false" ht="15" hidden="false" customHeight="true" outlineLevel="0" collapsed="false">
      <c r="B590" s="1439" t="str">
        <f aca="false">'Смета Внутр'!B590</f>
        <v>Бензин для пилы</v>
      </c>
      <c r="C590" s="1439" t="str">
        <f aca="false">'Смета Внутр'!C590</f>
        <v>л</v>
      </c>
      <c r="D590" s="1439" t="n">
        <f aca="false">'Смета Внутр'!D590</f>
        <v>0.219965263157895</v>
      </c>
      <c r="E590" s="1439"/>
      <c r="F590" s="1439" t="n">
        <f aca="false">'Смета Внутр'!E590</f>
        <v>40</v>
      </c>
      <c r="G590" s="1439" t="n">
        <f aca="false">'Смета Внутр'!H590</f>
        <v>0</v>
      </c>
      <c r="H590" s="1439"/>
      <c r="I590" s="1439" t="n">
        <f aca="false">IF(F590&lt;H590,F590*(D590-E590),0)+IF(H590=0,(D590-E590)*F590,0)+IF(H590&lt;F590,H590*(D590-E590),0)</f>
        <v>8.79861052631579</v>
      </c>
      <c r="J590" s="1439" t="n">
        <f aca="false">G590-I590</f>
        <v>-8.79861052631579</v>
      </c>
    </row>
    <row r="591" customFormat="false" ht="15" hidden="false" customHeight="true" outlineLevel="0" collapsed="false">
      <c r="B591" s="1439" t="str">
        <f aca="false">'Смета Внутр'!B591</f>
        <v>Масло для пилы</v>
      </c>
      <c r="C591" s="1439" t="str">
        <f aca="false">'Смета Внутр'!C591</f>
        <v>л</v>
      </c>
      <c r="D591" s="1439" t="n">
        <f aca="false">'Смета Внутр'!D591</f>
        <v>0.0109982631578947</v>
      </c>
      <c r="E591" s="1439"/>
      <c r="F591" s="1439" t="n">
        <f aca="false">'Смета Внутр'!E591</f>
        <v>250</v>
      </c>
      <c r="G591" s="1439" t="n">
        <f aca="false">'Смета Внутр'!H591</f>
        <v>0</v>
      </c>
      <c r="H591" s="1439"/>
      <c r="I591" s="1439" t="n">
        <f aca="false">IF(F591&lt;H591,F591*(D591-E591),0)+IF(H591=0,(D591-E591)*F591,0)+IF(H591&lt;F591,H591*(D591-E591),0)</f>
        <v>2.74956578947368</v>
      </c>
      <c r="J591" s="1439" t="n">
        <f aca="false">G591-I591</f>
        <v>-2.74956578947368</v>
      </c>
    </row>
    <row r="592" customFormat="false" ht="15" hidden="false" customHeight="true" outlineLevel="0" collapsed="false">
      <c r="B592" s="1439" t="str">
        <f aca="false">'Смета Внутр'!B592</f>
        <v>Цепь для пилы</v>
      </c>
      <c r="C592" s="1439" t="str">
        <f aca="false">'Смета Внутр'!C592</f>
        <v>шт</v>
      </c>
      <c r="D592" s="1439" t="n">
        <f aca="false">'Смета Внутр'!D592</f>
        <v>1</v>
      </c>
      <c r="E592" s="1439"/>
      <c r="F592" s="1439" t="n">
        <f aca="false">'Смета Внутр'!E592</f>
        <v>800</v>
      </c>
      <c r="G592" s="1439" t="n">
        <f aca="false">'Смета Внутр'!H592</f>
        <v>0</v>
      </c>
      <c r="H592" s="1439"/>
      <c r="I592" s="1439" t="n">
        <f aca="false">IF(F592&lt;H592,F592*(D592-E592),0)+IF(H592=0,(D592-E592)*F592,0)+IF(H592&lt;F592,H592*(D592-E592),0)</f>
        <v>800</v>
      </c>
      <c r="J592" s="1439" t="n">
        <f aca="false">G592-I592</f>
        <v>-800</v>
      </c>
    </row>
    <row r="593" customFormat="false" ht="15" hidden="false" customHeight="true" outlineLevel="0" collapsed="false">
      <c r="B593" s="1439" t="str">
        <f aca="false">'Смета Внутр'!B593</f>
        <v>"Профилюкс" Антисептик ОБЗ-1</v>
      </c>
      <c r="C593" s="1439" t="str">
        <f aca="false">'Смета Внутр'!C593</f>
        <v>л</v>
      </c>
      <c r="D593" s="1439" t="n">
        <f aca="false">'Смета Внутр'!D593</f>
        <v>1.81789473684211</v>
      </c>
      <c r="E593" s="1439"/>
      <c r="F593" s="1439" t="n">
        <f aca="false">'Смета Внутр'!E593</f>
        <v>42</v>
      </c>
      <c r="G593" s="1439" t="n">
        <f aca="false">'Смета Внутр'!H593</f>
        <v>0</v>
      </c>
      <c r="H593" s="1439"/>
      <c r="I593" s="1439" t="n">
        <f aca="false">IF(F593&lt;H593,F593*(D593-E593),0)+IF(H593=0,(D593-E593)*F593,0)+IF(H593&lt;F593,H593*(D593-E593),0)</f>
        <v>76.3515789473684</v>
      </c>
      <c r="J593" s="1439" t="n">
        <f aca="false">G593-I593</f>
        <v>-76.3515789473684</v>
      </c>
    </row>
    <row r="594" customFormat="false" ht="15" hidden="false" customHeight="true" outlineLevel="0" collapsed="false">
      <c r="B594" s="1439" t="str">
        <f aca="false">'Смета Внутр'!B594</f>
        <v>Нет пропитки</v>
      </c>
      <c r="C594" s="1439" t="str">
        <f aca="false">'Смета Внутр'!C594</f>
        <v>л</v>
      </c>
      <c r="D594" s="1439" t="n">
        <f aca="false">'Смета Внутр'!D594</f>
        <v>1.09073684210526</v>
      </c>
      <c r="E594" s="1439"/>
      <c r="F594" s="1439" t="n">
        <f aca="false">'Смета Внутр'!E594</f>
        <v>0</v>
      </c>
      <c r="G594" s="1439" t="n">
        <f aca="false">'Смета Внутр'!H594</f>
        <v>0</v>
      </c>
      <c r="H594" s="1439"/>
      <c r="I594" s="1439" t="n">
        <f aca="false">IF(F594&lt;H594,F594*(D594-E594),0)+IF(H594=0,(D594-E594)*F594,0)+IF(H594&lt;F594,H594*(D594-E594),0)</f>
        <v>0</v>
      </c>
      <c r="J594" s="1439" t="n">
        <f aca="false">G594-I594</f>
        <v>0</v>
      </c>
    </row>
    <row r="595" customFormat="false" ht="15" hidden="false" customHeight="true" outlineLevel="0" collapsed="false">
      <c r="B595" s="1439" t="str">
        <f aca="false">'Смета Внутр'!B595</f>
        <v>Нет пропитки</v>
      </c>
      <c r="C595" s="1439" t="str">
        <f aca="false">'Смета Внутр'!C595</f>
        <v>л</v>
      </c>
      <c r="D595" s="1439" t="n">
        <f aca="false">'Смета Внутр'!D595</f>
        <v>1.09073684210526</v>
      </c>
      <c r="E595" s="1439"/>
      <c r="F595" s="1439" t="n">
        <f aca="false">'Смета Внутр'!E595</f>
        <v>0</v>
      </c>
      <c r="G595" s="1439" t="n">
        <f aca="false">'Смета Внутр'!H595</f>
        <v>0</v>
      </c>
      <c r="H595" s="1439"/>
      <c r="I595" s="1439" t="n">
        <f aca="false">IF(F595&lt;H595,F595*(D595-E595),0)+IF(H595=0,(D595-E595)*F595,0)+IF(H595&lt;F595,H595*(D595-E595),0)</f>
        <v>0</v>
      </c>
      <c r="J595" s="1439" t="n">
        <f aca="false">G595-I595</f>
        <v>0</v>
      </c>
    </row>
    <row r="596" customFormat="false" ht="15" hidden="false" customHeight="true" outlineLevel="0" collapsed="false">
      <c r="B596" s="1439" t="str">
        <f aca="false">'Смета Внутр'!B596</f>
        <v>Нет наличника</v>
      </c>
      <c r="C596" s="1439" t="str">
        <f aca="false">'Смета Внутр'!C596</f>
        <v>м.п.</v>
      </c>
      <c r="D596" s="1439" t="n">
        <f aca="false">'Смета Внутр'!D596</f>
        <v>3.57</v>
      </c>
      <c r="E596" s="1439"/>
      <c r="F596" s="1439" t="n">
        <f aca="false">'Смета Внутр'!E596</f>
        <v>0</v>
      </c>
      <c r="G596" s="1439" t="n">
        <f aca="false">'Смета Внутр'!H596</f>
        <v>0</v>
      </c>
      <c r="H596" s="1439"/>
      <c r="I596" s="1439" t="n">
        <f aca="false">IF(F596&lt;H596,F596*(D596-E596),0)+IF(H596=0,(D596-E596)*F596,0)+IF(H596&lt;F596,H596*(D596-E596),0)</f>
        <v>0</v>
      </c>
      <c r="J596" s="1439" t="n">
        <f aca="false">G596-I596</f>
        <v>0</v>
      </c>
    </row>
    <row r="597" customFormat="false" ht="15" hidden="false" customHeight="true" outlineLevel="0" collapsed="false">
      <c r="B597" s="1439" t="str">
        <f aca="false">'Смета Внутр'!B597</f>
        <v>Нет наличника</v>
      </c>
      <c r="C597" s="1439" t="str">
        <f aca="false">'Смета Внутр'!C597</f>
        <v>м.п.</v>
      </c>
      <c r="D597" s="1439" t="n">
        <f aca="false">'Смета Внутр'!D597</f>
        <v>3.57</v>
      </c>
      <c r="E597" s="1439"/>
      <c r="F597" s="1439" t="n">
        <f aca="false">'Смета Внутр'!E597</f>
        <v>0</v>
      </c>
      <c r="G597" s="1439" t="n">
        <f aca="false">'Смета Внутр'!H597</f>
        <v>0</v>
      </c>
      <c r="H597" s="1439"/>
      <c r="I597" s="1439" t="n">
        <f aca="false">IF(F597&lt;H597,F597*(D597-E597),0)+IF(H597=0,(D597-E597)*F597,0)+IF(H597&lt;F597,H597*(D597-E597),0)</f>
        <v>0</v>
      </c>
      <c r="J597" s="1439" t="n">
        <f aca="false">G597-I597</f>
        <v>0</v>
      </c>
    </row>
    <row r="598" customFormat="false" ht="15" hidden="false" customHeight="true" outlineLevel="0" collapsed="false">
      <c r="B598" s="1439" t="str">
        <f aca="false">'Смета Внутр'!B598</f>
        <v>Нет наждачной бумаги</v>
      </c>
      <c r="C598" s="1439" t="str">
        <f aca="false">'Смета Внутр'!C598</f>
        <v>м</v>
      </c>
      <c r="D598" s="1439" t="n">
        <f aca="false">'Смета Внутр'!D598</f>
        <v>0</v>
      </c>
      <c r="E598" s="1439"/>
      <c r="F598" s="1439" t="n">
        <f aca="false">'Смета Внутр'!E598</f>
        <v>0</v>
      </c>
      <c r="G598" s="1439" t="n">
        <f aca="false">'Смета Внутр'!H598</f>
        <v>0</v>
      </c>
      <c r="H598" s="1439"/>
      <c r="I598" s="1439" t="n">
        <f aca="false">IF(F598&lt;H598,F598*(D598-E598),0)+IF(H598=0,(D598-E598)*F598,0)+IF(H598&lt;F598,H598*(D598-E598),0)</f>
        <v>0</v>
      </c>
      <c r="J598" s="1439" t="n">
        <f aca="false">G598-I598</f>
        <v>0</v>
      </c>
    </row>
    <row r="599" customFormat="false" ht="15" hidden="false" customHeight="true" outlineLevel="0" collapsed="false">
      <c r="B599" s="1439" t="str">
        <f aca="false">'Смета Внутр'!B599</f>
        <v>Нет наждачной бумаги</v>
      </c>
      <c r="C599" s="1439" t="str">
        <f aca="false">'Смета Внутр'!C599</f>
        <v>м</v>
      </c>
      <c r="D599" s="1439" t="n">
        <f aca="false">'Смета Внутр'!D599</f>
        <v>0</v>
      </c>
      <c r="E599" s="1439"/>
      <c r="F599" s="1439" t="n">
        <f aca="false">'Смета Внутр'!E599</f>
        <v>0</v>
      </c>
      <c r="G599" s="1439" t="n">
        <f aca="false">'Смета Внутр'!H599</f>
        <v>0</v>
      </c>
      <c r="H599" s="1439"/>
      <c r="I599" s="1439" t="n">
        <f aca="false">IF(F599&lt;H599,F599*(D599-E599),0)+IF(H599=0,(D599-E599)*F599,0)+IF(H599&lt;F599,H599*(D599-E599),0)</f>
        <v>0</v>
      </c>
      <c r="J599" s="1439" t="n">
        <f aca="false">G599-I599</f>
        <v>0</v>
      </c>
    </row>
    <row r="600" customFormat="false" ht="15" hidden="false" customHeight="true" outlineLevel="0" collapsed="false">
      <c r="B600" s="1439" t="str">
        <f aca="false">'Смета Внутр'!B600</f>
        <v>Нет наждачной бумаги</v>
      </c>
      <c r="C600" s="1439" t="str">
        <f aca="false">'Смета Внутр'!C600</f>
        <v>м</v>
      </c>
      <c r="D600" s="1439" t="n">
        <f aca="false">'Смета Внутр'!D600</f>
        <v>0</v>
      </c>
      <c r="E600" s="1439"/>
      <c r="F600" s="1439" t="n">
        <f aca="false">'Смета Внутр'!E600</f>
        <v>0</v>
      </c>
      <c r="G600" s="1439" t="n">
        <f aca="false">'Смета Внутр'!H600</f>
        <v>0</v>
      </c>
      <c r="H600" s="1439"/>
      <c r="I600" s="1439" t="n">
        <f aca="false">IF(F600&lt;H600,F600*(D600-E600),0)+IF(H600=0,(D600-E600)*F600,0)+IF(H600&lt;F600,H600*(D600-E600),0)</f>
        <v>0</v>
      </c>
      <c r="J600" s="1439" t="n">
        <f aca="false">G600-I600</f>
        <v>0</v>
      </c>
    </row>
    <row r="601" customFormat="false" ht="15" hidden="false" customHeight="true" outlineLevel="0" collapsed="false">
      <c r="B601" s="1439" t="str">
        <f aca="false">'Смета Внутр'!B601</f>
        <v>Нет наждачной бумаги</v>
      </c>
      <c r="C601" s="1439" t="str">
        <f aca="false">'Смета Внутр'!C601</f>
        <v>м</v>
      </c>
      <c r="D601" s="1439" t="n">
        <f aca="false">'Смета Внутр'!D601</f>
        <v>0</v>
      </c>
      <c r="E601" s="1439"/>
      <c r="F601" s="1439" t="n">
        <f aca="false">'Смета Внутр'!E601</f>
        <v>0</v>
      </c>
      <c r="G601" s="1439" t="n">
        <f aca="false">'Смета Внутр'!H601</f>
        <v>0</v>
      </c>
      <c r="H601" s="1439"/>
      <c r="I601" s="1439" t="n">
        <f aca="false">IF(F601&lt;H601,F601*(D601-E601),0)+IF(H601=0,(D601-E601)*F601,0)+IF(H601&lt;F601,H601*(D601-E601),0)</f>
        <v>0</v>
      </c>
      <c r="J601" s="1439" t="n">
        <f aca="false">G601-I601</f>
        <v>0</v>
      </c>
    </row>
    <row r="602" customFormat="false" ht="15" hidden="false" customHeight="true" outlineLevel="0" collapsed="false">
      <c r="B602" s="1692" t="s">
        <v>4332</v>
      </c>
      <c r="C602" s="1692"/>
      <c r="D602" s="1692"/>
      <c r="E602" s="1692"/>
      <c r="F602" s="1692"/>
      <c r="G602" s="1439" t="n">
        <f aca="false">'Смета Внутр'!H602</f>
        <v>0</v>
      </c>
      <c r="H602" s="3181"/>
      <c r="I602" s="1439"/>
      <c r="J602" s="1439"/>
    </row>
    <row r="603" customFormat="false" ht="15" hidden="false" customHeight="true" outlineLevel="0" collapsed="false">
      <c r="B603" s="1268" t="str">
        <f aca="false">'Смета Внутр'!B603</f>
        <v>Работы</v>
      </c>
      <c r="C603" s="1268"/>
      <c r="D603" s="1268"/>
      <c r="E603" s="1268"/>
      <c r="F603" s="1268"/>
      <c r="G603" s="3173" t="n">
        <f aca="false">'Смета Внутр'!H603</f>
        <v>0</v>
      </c>
      <c r="H603" s="3182"/>
      <c r="I603" s="3180" t="n">
        <f aca="false">IF(F603&lt;H603,F603*(D603-E603),0)+IF(H603=0,(D603-E603)*F603,0)+IF(H603&lt;F603,H603*(D603-E603),0)</f>
        <v>0</v>
      </c>
      <c r="J603" s="3180" t="n">
        <f aca="false">G603-I603</f>
        <v>0</v>
      </c>
    </row>
    <row r="604" customFormat="false" ht="15" hidden="false" customHeight="true" outlineLevel="0" collapsed="false">
      <c r="B604" s="1439" t="str">
        <f aca="false">'Смета Внутр'!B604</f>
        <v>кладка Дикого леса</v>
      </c>
      <c r="C604" s="1439" t="str">
        <f aca="false">'Смета Внутр'!C604</f>
        <v>м3</v>
      </c>
      <c r="D604" s="1439" t="n">
        <f aca="false">'Смета Внутр'!D604</f>
        <v>1.09982631578947</v>
      </c>
      <c r="E604" s="1439"/>
      <c r="F604" s="1439" t="n">
        <f aca="false">'Смета Внутр'!E604</f>
        <v>6000</v>
      </c>
      <c r="G604" s="1439" t="n">
        <f aca="false">'Смета Внутр'!H604</f>
        <v>0</v>
      </c>
      <c r="H604" s="1439"/>
      <c r="I604" s="1439" t="n">
        <f aca="false">IF(F604&lt;H604,F604*(D604-E604),0)+IF(H604=0,(D604-E604)*F604,0)+IF(H604&lt;F604,H604*(D604-E604),0)</f>
        <v>6598.95789473684</v>
      </c>
      <c r="J604" s="1439" t="n">
        <f aca="false">G604-I604</f>
        <v>-6598.95789473684</v>
      </c>
    </row>
    <row r="605" customFormat="false" ht="15" hidden="false" customHeight="true" outlineLevel="0" collapsed="false">
      <c r="B605" s="1439" t="str">
        <f aca="false">'Смета Внутр'!B605</f>
        <v>окосячка проемов, м.п.</v>
      </c>
      <c r="C605" s="1439" t="str">
        <f aca="false">'Смета Внутр'!C605</f>
        <v>м.п.</v>
      </c>
      <c r="D605" s="1439" t="n">
        <f aca="false">'Смета Внутр'!D605</f>
        <v>0</v>
      </c>
      <c r="E605" s="1439"/>
      <c r="F605" s="1439" t="n">
        <f aca="false">'Смета Внутр'!E605</f>
        <v>150</v>
      </c>
      <c r="G605" s="1439" t="n">
        <f aca="false">'Смета Внутр'!H605</f>
        <v>0</v>
      </c>
      <c r="H605" s="1439"/>
      <c r="I605" s="1439" t="n">
        <f aca="false">IF(F605&lt;H605,F605*(D605-E605),0)+IF(H605=0,(D605-E605)*F605,0)+IF(H605&lt;F605,H605*(D605-E605),0)</f>
        <v>0</v>
      </c>
      <c r="J605" s="1439" t="n">
        <f aca="false">G605-I605</f>
        <v>0</v>
      </c>
    </row>
    <row r="606" customFormat="false" ht="15" hidden="false" customHeight="true" outlineLevel="0" collapsed="false">
      <c r="B606" s="1439" t="str">
        <f aca="false">'Смета Внутр'!B606</f>
        <v>обработка торцов на брусе</v>
      </c>
      <c r="C606" s="1439" t="str">
        <f aca="false">'Смета Внутр'!C606</f>
        <v>м.п.</v>
      </c>
      <c r="D606" s="1439" t="n">
        <f aca="false">'Смета Внутр'!D606</f>
        <v>20</v>
      </c>
      <c r="E606" s="1439"/>
      <c r="F606" s="1439" t="n">
        <f aca="false">'Смета Внутр'!E606</f>
        <v>250</v>
      </c>
      <c r="G606" s="1439" t="n">
        <f aca="false">'Смета Внутр'!H606</f>
        <v>0</v>
      </c>
      <c r="H606" s="1439"/>
      <c r="I606" s="1439" t="n">
        <f aca="false">IF(F606&lt;H606,F606*(D606-E606),0)+IF(H606=0,(D606-E606)*F606,0)+IF(H606&lt;F606,H606*(D606-E606),0)</f>
        <v>5000</v>
      </c>
      <c r="J606" s="1439" t="n">
        <f aca="false">G606-I606</f>
        <v>-5000</v>
      </c>
    </row>
    <row r="607" customFormat="false" ht="15" hidden="false" customHeight="true" outlineLevel="0" collapsed="false">
      <c r="B607" s="1439" t="str">
        <f aca="false">'Смета Внутр'!B607</f>
        <v>Обаботка огнебиозащитой</v>
      </c>
      <c r="C607" s="1439" t="str">
        <f aca="false">'Смета Внутр'!C607</f>
        <v>м.п.</v>
      </c>
      <c r="D607" s="1439" t="n">
        <f aca="false">'Смета Внутр'!D607</f>
        <v>1.09982631578947</v>
      </c>
      <c r="E607" s="1439"/>
      <c r="F607" s="1439" t="n">
        <f aca="false">'Смета Внутр'!E607</f>
        <v>300</v>
      </c>
      <c r="G607" s="1439" t="n">
        <f aca="false">'Смета Внутр'!H607</f>
        <v>0</v>
      </c>
      <c r="H607" s="1439"/>
      <c r="I607" s="1439" t="n">
        <f aca="false">IF(F607&lt;H607,F607*(D607-E607),0)+IF(H607=0,(D607-E607)*F607,0)+IF(H607&lt;F607,H607*(D607-E607),0)</f>
        <v>329.947894736842</v>
      </c>
      <c r="J607" s="1439" t="n">
        <f aca="false">G607-I607</f>
        <v>-329.947894736842</v>
      </c>
    </row>
    <row r="608" customFormat="false" ht="15" hidden="false" customHeight="true" outlineLevel="0" collapsed="false">
      <c r="B608" s="1439" t="str">
        <f aca="false">'Смета Внутр'!B608</f>
        <v>Пропитка стен внешних</v>
      </c>
      <c r="C608" s="1439" t="str">
        <f aca="false">'Смета Внутр'!C608</f>
        <v>м.п.</v>
      </c>
      <c r="D608" s="1439" t="n">
        <f aca="false">'Смета Внутр'!D608</f>
        <v>0</v>
      </c>
      <c r="E608" s="1439"/>
      <c r="F608" s="1439" t="n">
        <f aca="false">'Смета Внутр'!E608</f>
        <v>100</v>
      </c>
      <c r="G608" s="1439" t="n">
        <f aca="false">'Смета Внутр'!H608</f>
        <v>0</v>
      </c>
      <c r="H608" s="1439"/>
      <c r="I608" s="1439" t="n">
        <f aca="false">IF(F608&lt;H608,F608*(D608-E608),0)+IF(H608=0,(D608-E608)*F608,0)+IF(H608&lt;F608,H608*(D608-E608),0)</f>
        <v>0</v>
      </c>
      <c r="J608" s="1439" t="n">
        <f aca="false">G608-I608</f>
        <v>0</v>
      </c>
    </row>
    <row r="609" customFormat="false" ht="15" hidden="false" customHeight="true" outlineLevel="0" collapsed="false">
      <c r="B609" s="1439" t="str">
        <f aca="false">'Смета Внутр'!B609</f>
        <v>Пропитка внутенних стен</v>
      </c>
      <c r="C609" s="1439" t="str">
        <f aca="false">'Смета Внутр'!C609</f>
        <v>м.п.</v>
      </c>
      <c r="D609" s="1439" t="n">
        <f aca="false">'Смета Внутр'!D609</f>
        <v>0</v>
      </c>
      <c r="E609" s="1439"/>
      <c r="F609" s="1439" t="n">
        <f aca="false">'Смета Внутр'!E609</f>
        <v>100</v>
      </c>
      <c r="G609" s="1439" t="n">
        <f aca="false">'Смета Внутр'!H609</f>
        <v>0</v>
      </c>
      <c r="H609" s="1439"/>
      <c r="I609" s="1439" t="n">
        <f aca="false">IF(F609&lt;H609,F609*(D609-E609),0)+IF(H609=0,(D609-E609)*F609,0)+IF(H609&lt;F609,H609*(D609-E609),0)</f>
        <v>0</v>
      </c>
      <c r="J609" s="1439" t="n">
        <f aca="false">G609-I609</f>
        <v>0</v>
      </c>
    </row>
    <row r="610" customFormat="false" ht="15" hidden="false" customHeight="true" outlineLevel="0" collapsed="false">
      <c r="B610" s="1439" t="str">
        <f aca="false">'Смета Внутр'!B610</f>
        <v>Не считать</v>
      </c>
      <c r="C610" s="1439" t="str">
        <f aca="false">'Смета Внутр'!C610</f>
        <v>м.п.</v>
      </c>
      <c r="D610" s="1439" t="n">
        <f aca="false">'Смета Внутр'!D610</f>
        <v>0</v>
      </c>
      <c r="E610" s="1439"/>
      <c r="F610" s="1439" t="n">
        <f aca="false">'Смета Внутр'!E610</f>
        <v>300</v>
      </c>
      <c r="G610" s="1439" t="n">
        <f aca="false">'Смета Внутр'!H610</f>
        <v>0</v>
      </c>
      <c r="H610" s="1439"/>
      <c r="I610" s="1439" t="n">
        <f aca="false">IF(F610&lt;H610,F610*(D610-E610),0)+IF(H610=0,(D610-E610)*F610,0)+IF(H610&lt;F610,H610*(D610-E610),0)</f>
        <v>0</v>
      </c>
      <c r="J610" s="1439" t="n">
        <f aca="false">G610-I610</f>
        <v>0</v>
      </c>
    </row>
    <row r="611" customFormat="false" ht="15" hidden="false" customHeight="true" outlineLevel="0" collapsed="false">
      <c r="B611" s="1439" t="str">
        <f aca="false">'Смета Внутр'!B611</f>
        <v>Монтаж наличника</v>
      </c>
      <c r="C611" s="1439" t="str">
        <f aca="false">'Смета Внутр'!C611</f>
        <v>м.п.</v>
      </c>
      <c r="D611" s="1439" t="n">
        <f aca="false">'Смета Внутр'!D611</f>
        <v>0</v>
      </c>
      <c r="E611" s="1439"/>
      <c r="F611" s="1439" t="n">
        <f aca="false">'Смета Внутр'!E611</f>
        <v>80</v>
      </c>
      <c r="G611" s="1439" t="n">
        <f aca="false">'Смета Внутр'!H611</f>
        <v>0</v>
      </c>
      <c r="H611" s="1439"/>
      <c r="I611" s="1439" t="n">
        <f aca="false">IF(F611&lt;H611,F611*(D611-E611),0)+IF(H611=0,(D611-E611)*F611,0)+IF(H611&lt;F611,H611*(D611-E611),0)</f>
        <v>0</v>
      </c>
      <c r="J611" s="1439" t="n">
        <f aca="false">G611-I611</f>
        <v>0</v>
      </c>
    </row>
    <row r="612" customFormat="false" ht="15" hidden="false" customHeight="true" outlineLevel="0" collapsed="false">
      <c r="B612" s="1439" t="str">
        <f aca="false">'Смета Внутр'!B612</f>
        <v>Шлифовка стен дома</v>
      </c>
      <c r="C612" s="1439" t="str">
        <f aca="false">'Смета Внутр'!C612</f>
        <v>м.п.</v>
      </c>
      <c r="D612" s="1439" t="n">
        <f aca="false">'Смета Внутр'!D612</f>
        <v>0</v>
      </c>
      <c r="E612" s="1439"/>
      <c r="F612" s="1439" t="n">
        <f aca="false">'Смета Внутр'!E612</f>
        <v>250</v>
      </c>
      <c r="G612" s="1439" t="n">
        <f aca="false">'Смета Внутр'!H612</f>
        <v>0</v>
      </c>
      <c r="H612" s="1439"/>
      <c r="I612" s="1439" t="n">
        <f aca="false">IF(F612&lt;H612,F612*(D612-E612),0)+IF(H612=0,(D612-E612)*F612,0)+IF(H612&lt;F612,H612*(D612-E612),0)</f>
        <v>0</v>
      </c>
      <c r="J612" s="1439" t="n">
        <f aca="false">G612-I612</f>
        <v>0</v>
      </c>
    </row>
    <row r="613" customFormat="false" ht="15" hidden="false" customHeight="false" outlineLevel="0" collapsed="false">
      <c r="B613" s="1692" t="s">
        <v>4333</v>
      </c>
      <c r="C613" s="1692"/>
      <c r="D613" s="1692"/>
      <c r="E613" s="1692"/>
      <c r="F613" s="1692"/>
      <c r="G613" s="1439" t="n">
        <f aca="false">'Смета Внутр'!H613</f>
        <v>0</v>
      </c>
      <c r="H613" s="3181"/>
      <c r="I613" s="1439"/>
      <c r="J613" s="1439"/>
    </row>
    <row r="614" customFormat="false" ht="15" hidden="false" customHeight="true" outlineLevel="0" collapsed="false">
      <c r="B614" s="3172" t="str">
        <f aca="false">'Смета Внутр'!B614</f>
        <v>Дом из Оцилиндрованного бревна</v>
      </c>
      <c r="C614" s="3172"/>
      <c r="D614" s="3172"/>
      <c r="E614" s="3172"/>
      <c r="F614" s="3172"/>
      <c r="G614" s="1551" t="n">
        <f aca="false">'Смета Внутр'!H614</f>
        <v>0</v>
      </c>
      <c r="I614" s="3179" t="n">
        <f aca="false">IF(F614&lt;H614,F614*(D614-E614),0)+IF(H614=0,(D614-E614)*F614,0)+IF(H614&lt;F614,H614*(D614-E614),0)</f>
        <v>0</v>
      </c>
      <c r="J614" s="3179" t="n">
        <f aca="false">G614-I614</f>
        <v>0</v>
      </c>
    </row>
    <row r="615" customFormat="false" ht="15" hidden="false" customHeight="true" outlineLevel="0" collapsed="false">
      <c r="B615" s="1268" t="str">
        <f aca="false">'Смета Внутр'!B615</f>
        <v>Материалы</v>
      </c>
      <c r="C615" s="1268"/>
      <c r="D615" s="1268"/>
      <c r="E615" s="1268"/>
      <c r="F615" s="1268"/>
      <c r="G615" s="1551" t="n">
        <f aca="false">'Смета Внутр'!H615</f>
        <v>0</v>
      </c>
      <c r="H615" s="3175"/>
      <c r="I615" s="3179" t="n">
        <f aca="false">IF(F615&lt;H615,F615*(D615-E615),0)+IF(H615=0,(D615-E615)*F615,0)+IF(H615&lt;F615,H615*(D615-E615),0)</f>
        <v>0</v>
      </c>
      <c r="J615" s="3179" t="n">
        <f aca="false">G615-I615</f>
        <v>0</v>
      </c>
    </row>
    <row r="616" customFormat="false" ht="15" hidden="false" customHeight="true" outlineLevel="0" collapsed="false">
      <c r="B616" s="1551" t="str">
        <f aca="false">'Смета Внутр'!B616</f>
        <v>Оцилиндрованное бревно лиственница 280мм</v>
      </c>
      <c r="C616" s="1551" t="str">
        <f aca="false">'Смета Внутр'!C616</f>
        <v>м3</v>
      </c>
      <c r="D616" s="1551" t="n">
        <f aca="false">'Смета Внутр'!D616</f>
        <v>6.79014952</v>
      </c>
      <c r="F616" s="1551" t="n">
        <f aca="false">'Смета Внутр'!E616</f>
        <v>10000</v>
      </c>
      <c r="G616" s="1551" t="n">
        <f aca="false">'Смета Внутр'!H616</f>
        <v>0</v>
      </c>
      <c r="I616" s="3179" t="n">
        <f aca="false">IF(F616&lt;H616,F616*(D616-E616),0)+IF(H616=0,(D616-E616)*F616,0)+IF(H616&lt;F616,H616*(D616-E616),0)</f>
        <v>67901.4952</v>
      </c>
      <c r="J616" s="3179" t="n">
        <f aca="false">G616-I616</f>
        <v>-67901.4952</v>
      </c>
    </row>
    <row r="617" customFormat="false" ht="15" hidden="false" customHeight="true" outlineLevel="0" collapsed="false">
      <c r="B617" s="1551" t="str">
        <f aca="false">'Смета Внутр'!B617</f>
        <v>Оцилиндрованное бревно сосна 220мм</v>
      </c>
      <c r="C617" s="1551" t="str">
        <f aca="false">'Смета Внутр'!C617</f>
        <v>м3</v>
      </c>
      <c r="D617" s="1551" t="n">
        <f aca="false">'Смета Внутр'!D617</f>
        <v>-5.69032320421053</v>
      </c>
      <c r="F617" s="1551" t="n">
        <f aca="false">'Смета Внутр'!E617</f>
        <v>8000</v>
      </c>
      <c r="G617" s="1551" t="n">
        <f aca="false">'Смета Внутр'!H617</f>
        <v>0</v>
      </c>
      <c r="I617" s="3179" t="n">
        <f aca="false">IF(F617&lt;H617,F617*(D617-E617),0)+IF(H617=0,(D617-E617)*F617,0)+IF(H617&lt;F617,H617*(D617-E617),0)</f>
        <v>-45522.5856336842</v>
      </c>
      <c r="J617" s="3179" t="n">
        <f aca="false">G617-I617</f>
        <v>45522.5856336842</v>
      </c>
    </row>
    <row r="618" customFormat="false" ht="15" hidden="false" customHeight="true" outlineLevel="0" collapsed="false">
      <c r="B618" s="1551" t="str">
        <f aca="false">'Смета Внутр'!B618</f>
        <v>Оцилиндрованное бревно сосна 220мм</v>
      </c>
      <c r="C618" s="1551" t="str">
        <f aca="false">'Смета Внутр'!C618</f>
        <v>м3</v>
      </c>
      <c r="D618" s="1551" t="n">
        <f aca="false">'Смета Внутр'!D618</f>
        <v>0</v>
      </c>
      <c r="F618" s="1551" t="n">
        <f aca="false">'Смета Внутр'!E618</f>
        <v>8000</v>
      </c>
      <c r="G618" s="1551" t="n">
        <f aca="false">'Смета Внутр'!H618</f>
        <v>0</v>
      </c>
      <c r="I618" s="3179" t="n">
        <f aca="false">IF(F618&lt;H618,F618*(D618-E618),0)+IF(H618=0,(D618-E618)*F618,0)+IF(H618&lt;F618,H618*(D618-E618),0)</f>
        <v>0</v>
      </c>
      <c r="J618" s="3179" t="n">
        <f aca="false">G618-I618</f>
        <v>0</v>
      </c>
    </row>
    <row r="619" customFormat="false" ht="15" hidden="false" customHeight="true" outlineLevel="0" collapsed="false">
      <c r="B619" s="1551" t="str">
        <f aca="false">'Смета Внутр'!B619</f>
        <v>Оцилиндрованное бревно сосна 220мм</v>
      </c>
      <c r="C619" s="1551" t="str">
        <f aca="false">'Смета Внутр'!C619</f>
        <v>м2</v>
      </c>
      <c r="D619" s="1551" t="n">
        <f aca="false">'Смета Внутр'!D619</f>
        <v>0</v>
      </c>
      <c r="F619" s="1551" t="n">
        <f aca="false">'Смета Внутр'!E619</f>
        <v>8000</v>
      </c>
      <c r="G619" s="1551" t="n">
        <f aca="false">'Смета Внутр'!H619</f>
        <v>0</v>
      </c>
      <c r="I619" s="3179" t="n">
        <f aca="false">IF(F619&lt;H619,F619*(D619-E619),0)+IF(H619=0,(D619-E619)*F619,0)+IF(H619&lt;F619,H619*(D619-E619),0)</f>
        <v>0</v>
      </c>
      <c r="J619" s="3179" t="n">
        <f aca="false">G619-I619</f>
        <v>0</v>
      </c>
    </row>
    <row r="620" customFormat="false" ht="15" hidden="false" customHeight="true" outlineLevel="0" collapsed="false">
      <c r="B620" s="1551" t="str">
        <f aca="false">'Смета Внутр'!B620</f>
        <v>Шкант</v>
      </c>
      <c r="C620" s="1551" t="str">
        <f aca="false">'Смета Внутр'!C620</f>
        <v>шт</v>
      </c>
      <c r="D620" s="1551" t="n">
        <f aca="false">'Смета Внутр'!D620</f>
        <v>25</v>
      </c>
      <c r="F620" s="1551" t="n">
        <f aca="false">'Смета Внутр'!E620</f>
        <v>6</v>
      </c>
      <c r="G620" s="1551" t="n">
        <f aca="false">'Смета Внутр'!H620</f>
        <v>0</v>
      </c>
      <c r="I620" s="3179" t="n">
        <f aca="false">IF(F620&lt;H620,F620*(D620-E620),0)+IF(H620=0,(D620-E620)*F620,0)+IF(H620&lt;F620,H620*(D620-E620),0)</f>
        <v>150</v>
      </c>
      <c r="J620" s="3179" t="n">
        <f aca="false">G620-I620</f>
        <v>-150</v>
      </c>
    </row>
    <row r="621" customFormat="false" ht="15" hidden="false" customHeight="true" outlineLevel="0" collapsed="false">
      <c r="B621" s="1551" t="str">
        <f aca="false">'Смета Внутр'!B621</f>
        <v>Лен-джут 200х5х20000 мм</v>
      </c>
      <c r="C621" s="1551" t="str">
        <f aca="false">'Смета Внутр'!C621</f>
        <v>шт</v>
      </c>
      <c r="D621" s="1551" t="n">
        <f aca="false">'Смета Внутр'!D621</f>
        <v>2</v>
      </c>
      <c r="F621" s="1551" t="n">
        <f aca="false">'Смета Внутр'!E621</f>
        <v>175</v>
      </c>
      <c r="G621" s="1551" t="n">
        <f aca="false">'Смета Внутр'!H621</f>
        <v>0</v>
      </c>
      <c r="I621" s="3179" t="n">
        <f aca="false">IF(F621&lt;H621,F621*(D621-E621),0)+IF(H621=0,(D621-E621)*F621,0)+IF(H621&lt;F621,H621*(D621-E621),0)</f>
        <v>350</v>
      </c>
      <c r="J621" s="3179" t="n">
        <f aca="false">G621-I621</f>
        <v>-350</v>
      </c>
    </row>
    <row r="622" customFormat="false" ht="15" hidden="false" customHeight="true" outlineLevel="0" collapsed="false">
      <c r="B622" s="1551" t="str">
        <f aca="false">'Смета Внутр'!B622</f>
        <v>Гвозди ершоные 2,8 х 90            </v>
      </c>
      <c r="C622" s="1551" t="str">
        <f aca="false">'Смета Внутр'!C622</f>
        <v>шт</v>
      </c>
      <c r="D622" s="1551" t="n">
        <f aca="false">'Смета Внутр'!D622</f>
        <v>4.84</v>
      </c>
      <c r="F622" s="1551" t="n">
        <f aca="false">'Смета Внутр'!E622</f>
        <v>76.49</v>
      </c>
      <c r="G622" s="1551" t="n">
        <f aca="false">'Смета Внутр'!H622</f>
        <v>0</v>
      </c>
      <c r="I622" s="3179" t="n">
        <f aca="false">IF(F622&lt;H622,F622*(D622-E622),0)+IF(H622=0,(D622-E622)*F622,0)+IF(H622&lt;F622,H622*(D622-E622),0)</f>
        <v>370.2116</v>
      </c>
      <c r="J622" s="3179" t="n">
        <f aca="false">G622-I622</f>
        <v>-370.2116</v>
      </c>
    </row>
    <row r="623" customFormat="false" ht="15" hidden="false" customHeight="true" outlineLevel="0" collapsed="false">
      <c r="B623" s="1551" t="str">
        <f aca="false">'Смета Внутр'!B623</f>
        <v>нет</v>
      </c>
      <c r="C623" s="1551" t="str">
        <f aca="false">'Смета Внутр'!C623</f>
        <v>м3</v>
      </c>
      <c r="D623" s="1551" t="n">
        <f aca="false">'Смета Внутр'!D623</f>
        <v>0</v>
      </c>
      <c r="F623" s="1551" t="n">
        <f aca="false">'Смета Внутр'!E623</f>
        <v>0</v>
      </c>
      <c r="G623" s="1551" t="n">
        <f aca="false">'Смета Внутр'!H623</f>
        <v>0</v>
      </c>
      <c r="I623" s="3179" t="n">
        <f aca="false">IF(F623&lt;H623,F623*(D623-E623),0)+IF(H623=0,(D623-E623)*F623,0)+IF(H623&lt;F623,H623*(D623-E623),0)</f>
        <v>0</v>
      </c>
      <c r="J623" s="3179" t="n">
        <f aca="false">G623-I623</f>
        <v>0</v>
      </c>
    </row>
    <row r="624" customFormat="false" ht="15" hidden="false" customHeight="true" outlineLevel="0" collapsed="false">
      <c r="B624" s="1551" t="str">
        <f aca="false">'Смета Внутр'!B624</f>
        <v>нет</v>
      </c>
      <c r="C624" s="1551" t="str">
        <f aca="false">'Смета Внутр'!C624</f>
        <v>м3</v>
      </c>
      <c r="D624" s="1551" t="n">
        <f aca="false">'Смета Внутр'!D624</f>
        <v>0</v>
      </c>
      <c r="F624" s="1551" t="n">
        <f aca="false">'Смета Внутр'!E624</f>
        <v>0</v>
      </c>
      <c r="G624" s="1551" t="n">
        <f aca="false">'Смета Внутр'!H624</f>
        <v>0</v>
      </c>
      <c r="I624" s="3179" t="n">
        <f aca="false">IF(F624&lt;H624,F624*(D624-E624),0)+IF(H624=0,(D624-E624)*F624,0)+IF(H624&lt;F624,H624*(D624-E624),0)</f>
        <v>0</v>
      </c>
      <c r="J624" s="3179" t="n">
        <f aca="false">G624-I624</f>
        <v>0</v>
      </c>
    </row>
    <row r="625" customFormat="false" ht="15" hidden="false" customHeight="true" outlineLevel="0" collapsed="false">
      <c r="B625" s="1551" t="str">
        <f aca="false">'Смета Внутр'!B625</f>
        <v>нет</v>
      </c>
      <c r="C625" s="1551" t="str">
        <f aca="false">'Смета Внутр'!C625</f>
        <v>м3</v>
      </c>
      <c r="D625" s="1551" t="n">
        <f aca="false">'Смета Внутр'!D625</f>
        <v>0</v>
      </c>
      <c r="F625" s="1551" t="n">
        <f aca="false">'Смета Внутр'!E625</f>
        <v>0</v>
      </c>
      <c r="G625" s="1551" t="n">
        <f aca="false">'Смета Внутр'!H625</f>
        <v>0</v>
      </c>
      <c r="I625" s="3179" t="n">
        <f aca="false">IF(F625&lt;H625,F625*(D625-E625),0)+IF(H625=0,(D625-E625)*F625,0)+IF(H625&lt;F625,H625*(D625-E625),0)</f>
        <v>0</v>
      </c>
      <c r="J625" s="3179" t="n">
        <f aca="false">G625-I625</f>
        <v>0</v>
      </c>
    </row>
    <row r="626" customFormat="false" ht="15" hidden="false" customHeight="true" outlineLevel="0" collapsed="false">
      <c r="B626" s="1551" t="str">
        <f aca="false">'Смета Внутр'!B626</f>
        <v>нет</v>
      </c>
      <c r="C626" s="1551" t="str">
        <f aca="false">'Смета Внутр'!C626</f>
        <v>м.п.</v>
      </c>
      <c r="D626" s="1551" t="n">
        <f aca="false">'Смета Внутр'!D626</f>
        <v>0</v>
      </c>
      <c r="F626" s="1551" t="n">
        <f aca="false">'Смета Внутр'!E626</f>
        <v>0</v>
      </c>
      <c r="G626" s="1551" t="n">
        <f aca="false">'Смета Внутр'!H626</f>
        <v>0</v>
      </c>
      <c r="I626" s="3179" t="n">
        <f aca="false">IF(F626&lt;H626,F626*(D626-E626),0)+IF(H626=0,(D626-E626)*F626,0)+IF(H626&lt;F626,H626*(D626-E626),0)</f>
        <v>0</v>
      </c>
      <c r="J626" s="3179" t="n">
        <f aca="false">G626-I626</f>
        <v>0</v>
      </c>
    </row>
    <row r="627" customFormat="false" ht="15" hidden="false" customHeight="true" outlineLevel="0" collapsed="false">
      <c r="B627" s="1551" t="str">
        <f aca="false">'Смета Внутр'!B627</f>
        <v>Бензин для пилы</v>
      </c>
      <c r="C627" s="1551" t="str">
        <f aca="false">'Смета Внутр'!C627</f>
        <v>л</v>
      </c>
      <c r="D627" s="1551" t="n">
        <f aca="false">'Смета Внутр'!D627</f>
        <v>0.274956578947368</v>
      </c>
      <c r="F627" s="1551" t="n">
        <f aca="false">'Смета Внутр'!E627</f>
        <v>40</v>
      </c>
      <c r="G627" s="1551" t="n">
        <f aca="false">'Смета Внутр'!H627</f>
        <v>0</v>
      </c>
      <c r="I627" s="3179" t="n">
        <f aca="false">IF(F627&lt;H627,F627*(D627-E627),0)+IF(H627=0,(D627-E627)*F627,0)+IF(H627&lt;F627,H627*(D627-E627),0)</f>
        <v>10.9982631578947</v>
      </c>
      <c r="J627" s="3179" t="n">
        <f aca="false">G627-I627</f>
        <v>-10.9982631578947</v>
      </c>
    </row>
    <row r="628" customFormat="false" ht="15" hidden="false" customHeight="true" outlineLevel="0" collapsed="false">
      <c r="B628" s="1551" t="str">
        <f aca="false">'Смета Внутр'!B628</f>
        <v>Масло для пилы</v>
      </c>
      <c r="C628" s="1551" t="str">
        <f aca="false">'Смета Внутр'!C628</f>
        <v>л</v>
      </c>
      <c r="D628" s="1551" t="n">
        <f aca="false">'Смета Внутр'!D628</f>
        <v>0.0137478289473684</v>
      </c>
      <c r="F628" s="1551" t="n">
        <f aca="false">'Смета Внутр'!E628</f>
        <v>250</v>
      </c>
      <c r="G628" s="1551" t="n">
        <f aca="false">'Смета Внутр'!H628</f>
        <v>0</v>
      </c>
      <c r="I628" s="3179" t="n">
        <f aca="false">IF(F628&lt;H628,F628*(D628-E628),0)+IF(H628=0,(D628-E628)*F628,0)+IF(H628&lt;F628,H628*(D628-E628),0)</f>
        <v>3.43695723684211</v>
      </c>
      <c r="J628" s="3179" t="n">
        <f aca="false">G628-I628</f>
        <v>-3.43695723684211</v>
      </c>
    </row>
    <row r="629" customFormat="false" ht="15" hidden="false" customHeight="true" outlineLevel="0" collapsed="false">
      <c r="B629" s="1551" t="str">
        <f aca="false">'Смета Внутр'!B629</f>
        <v>Цепь для пилы</v>
      </c>
      <c r="C629" s="1551" t="str">
        <f aca="false">'Смета Внутр'!C629</f>
        <v>шт</v>
      </c>
      <c r="D629" s="1551" t="n">
        <f aca="false">'Смета Внутр'!D629</f>
        <v>1</v>
      </c>
      <c r="F629" s="1551" t="n">
        <f aca="false">'Смета Внутр'!E629</f>
        <v>800</v>
      </c>
      <c r="G629" s="1551" t="n">
        <f aca="false">'Смета Внутр'!H629</f>
        <v>0</v>
      </c>
      <c r="I629" s="3179" t="n">
        <f aca="false">IF(F629&lt;H629,F629*(D629-E629),0)+IF(H629=0,(D629-E629)*F629,0)+IF(H629&lt;F629,H629*(D629-E629),0)</f>
        <v>800</v>
      </c>
      <c r="J629" s="3179" t="n">
        <f aca="false">G629-I629</f>
        <v>-800</v>
      </c>
    </row>
    <row r="630" customFormat="false" ht="15" hidden="false" customHeight="true" outlineLevel="0" collapsed="false">
      <c r="B630" s="1551" t="str">
        <f aca="false">'Смета Внутр'!B630</f>
        <v>"Профилюкс" Антисептик ОБЗ-1</v>
      </c>
      <c r="C630" s="1551" t="str">
        <f aca="false">'Смета Внутр'!C630</f>
        <v>л</v>
      </c>
      <c r="D630" s="1551" t="n">
        <f aca="false">'Смета Внутр'!D630</f>
        <v>1.81789473684211</v>
      </c>
      <c r="F630" s="1551" t="n">
        <f aca="false">'Смета Внутр'!E630</f>
        <v>42</v>
      </c>
      <c r="G630" s="1551" t="n">
        <f aca="false">'Смета Внутр'!H630</f>
        <v>0</v>
      </c>
      <c r="I630" s="3179" t="n">
        <f aca="false">IF(F630&lt;H630,F630*(D630-E630),0)+IF(H630=0,(D630-E630)*F630,0)+IF(H630&lt;F630,H630*(D630-E630),0)</f>
        <v>76.3515789473684</v>
      </c>
      <c r="J630" s="3179" t="n">
        <f aca="false">G630-I630</f>
        <v>-76.3515789473684</v>
      </c>
    </row>
    <row r="631" customFormat="false" ht="15" hidden="false" customHeight="true" outlineLevel="0" collapsed="false">
      <c r="B631" s="1551" t="str">
        <f aca="false">'Смета Внутр'!B631</f>
        <v>Нет пропитки</v>
      </c>
      <c r="C631" s="1551" t="str">
        <f aca="false">'Смета Внутр'!C631</f>
        <v>л</v>
      </c>
      <c r="D631" s="1551" t="n">
        <f aca="false">'Смета Внутр'!D631</f>
        <v>1.09073684210526</v>
      </c>
      <c r="F631" s="1551" t="n">
        <f aca="false">'Смета Внутр'!E631</f>
        <v>0</v>
      </c>
      <c r="G631" s="1551" t="n">
        <f aca="false">'Смета Внутр'!H631</f>
        <v>0</v>
      </c>
      <c r="I631" s="3179" t="n">
        <f aca="false">IF(F631&lt;H631,F631*(D631-E631),0)+IF(H631=0,(D631-E631)*F631,0)+IF(H631&lt;F631,H631*(D631-E631),0)</f>
        <v>0</v>
      </c>
      <c r="J631" s="3179" t="n">
        <f aca="false">G631-I631</f>
        <v>0</v>
      </c>
    </row>
    <row r="632" customFormat="false" ht="15" hidden="false" customHeight="true" outlineLevel="0" collapsed="false">
      <c r="B632" s="1551" t="str">
        <f aca="false">'Смета Внутр'!B632</f>
        <v>Нет пропитки</v>
      </c>
      <c r="C632" s="1551" t="str">
        <f aca="false">'Смета Внутр'!C632</f>
        <v>л</v>
      </c>
      <c r="D632" s="1551" t="n">
        <f aca="false">'Смета Внутр'!D632</f>
        <v>1.09073684210526</v>
      </c>
      <c r="F632" s="1551" t="n">
        <f aca="false">'Смета Внутр'!E632</f>
        <v>0</v>
      </c>
      <c r="G632" s="1551" t="n">
        <f aca="false">'Смета Внутр'!H632</f>
        <v>0</v>
      </c>
      <c r="I632" s="3179" t="n">
        <f aca="false">IF(F632&lt;H632,F632*(D632-E632),0)+IF(H632=0,(D632-E632)*F632,0)+IF(H632&lt;F632,H632*(D632-E632),0)</f>
        <v>0</v>
      </c>
      <c r="J632" s="3179" t="n">
        <f aca="false">G632-I632</f>
        <v>0</v>
      </c>
    </row>
    <row r="633" customFormat="false" ht="15" hidden="false" customHeight="true" outlineLevel="0" collapsed="false">
      <c r="B633" s="1551" t="str">
        <f aca="false">'Смета Внутр'!B633</f>
        <v>Нет наличника</v>
      </c>
      <c r="C633" s="1551" t="str">
        <f aca="false">'Смета Внутр'!C633</f>
        <v>м.п.</v>
      </c>
      <c r="D633" s="1551" t="n">
        <f aca="false">'Смета Внутр'!D633</f>
        <v>3.57</v>
      </c>
      <c r="F633" s="1551" t="n">
        <f aca="false">'Смета Внутр'!E633</f>
        <v>0</v>
      </c>
      <c r="G633" s="1551" t="n">
        <f aca="false">'Смета Внутр'!H633</f>
        <v>0</v>
      </c>
      <c r="I633" s="3179" t="n">
        <f aca="false">IF(F633&lt;H633,F633*(D633-E633),0)+IF(H633=0,(D633-E633)*F633,0)+IF(H633&lt;F633,H633*(D633-E633),0)</f>
        <v>0</v>
      </c>
      <c r="J633" s="3179" t="n">
        <f aca="false">G633-I633</f>
        <v>0</v>
      </c>
    </row>
    <row r="634" customFormat="false" ht="15" hidden="false" customHeight="true" outlineLevel="0" collapsed="false">
      <c r="B634" s="1551" t="str">
        <f aca="false">'Смета Внутр'!B634</f>
        <v>Нет наличника</v>
      </c>
      <c r="C634" s="1551" t="str">
        <f aca="false">'Смета Внутр'!C634</f>
        <v>м.п.</v>
      </c>
      <c r="D634" s="1551" t="n">
        <f aca="false">'Смета Внутр'!D634</f>
        <v>3.57</v>
      </c>
      <c r="F634" s="1551" t="n">
        <f aca="false">'Смета Внутр'!E634</f>
        <v>0</v>
      </c>
      <c r="G634" s="1551" t="n">
        <f aca="false">'Смета Внутр'!H634</f>
        <v>0</v>
      </c>
      <c r="I634" s="3179" t="n">
        <f aca="false">IF(F634&lt;H634,F634*(D634-E634),0)+IF(H634=0,(D634-E634)*F634,0)+IF(H634&lt;F634,H634*(D634-E634),0)</f>
        <v>0</v>
      </c>
      <c r="J634" s="3179" t="n">
        <f aca="false">G634-I634</f>
        <v>0</v>
      </c>
    </row>
    <row r="635" customFormat="false" ht="15" hidden="false" customHeight="true" outlineLevel="0" collapsed="false">
      <c r="B635" s="1551" t="str">
        <f aca="false">'Смета Внутр'!B635</f>
        <v>Нет наждачной бумаги</v>
      </c>
      <c r="C635" s="1551" t="str">
        <f aca="false">'Смета Внутр'!C635</f>
        <v>м</v>
      </c>
      <c r="D635" s="1551" t="n">
        <f aca="false">'Смета Внутр'!D635</f>
        <v>0</v>
      </c>
      <c r="F635" s="1551" t="n">
        <f aca="false">'Смета Внутр'!E635</f>
        <v>0</v>
      </c>
      <c r="G635" s="1551" t="n">
        <f aca="false">'Смета Внутр'!H635</f>
        <v>0</v>
      </c>
      <c r="I635" s="3179" t="n">
        <f aca="false">IF(F635&lt;H635,F635*(D635-E635),0)+IF(H635=0,(D635-E635)*F635,0)+IF(H635&lt;F635,H635*(D635-E635),0)</f>
        <v>0</v>
      </c>
      <c r="J635" s="3179" t="n">
        <f aca="false">G635-I635</f>
        <v>0</v>
      </c>
    </row>
    <row r="636" customFormat="false" ht="15" hidden="false" customHeight="true" outlineLevel="0" collapsed="false">
      <c r="B636" s="1551" t="str">
        <f aca="false">'Смета Внутр'!B636</f>
        <v>Нет наждачной бумаги</v>
      </c>
      <c r="C636" s="1551" t="str">
        <f aca="false">'Смета Внутр'!C636</f>
        <v>м</v>
      </c>
      <c r="D636" s="1551" t="n">
        <f aca="false">'Смета Внутр'!D636</f>
        <v>0</v>
      </c>
      <c r="F636" s="1551" t="n">
        <f aca="false">'Смета Внутр'!E636</f>
        <v>0</v>
      </c>
      <c r="G636" s="1551" t="n">
        <f aca="false">'Смета Внутр'!H636</f>
        <v>0</v>
      </c>
      <c r="I636" s="3179" t="n">
        <f aca="false">IF(F636&lt;H636,F636*(D636-E636),0)+IF(H636=0,(D636-E636)*F636,0)+IF(H636&lt;F636,H636*(D636-E636),0)</f>
        <v>0</v>
      </c>
      <c r="J636" s="3179" t="n">
        <f aca="false">G636-I636</f>
        <v>0</v>
      </c>
    </row>
    <row r="637" customFormat="false" ht="15" hidden="false" customHeight="true" outlineLevel="0" collapsed="false">
      <c r="B637" s="1551" t="str">
        <f aca="false">'Смета Внутр'!B637</f>
        <v>Нет наждачной бумаги</v>
      </c>
      <c r="C637" s="1551" t="str">
        <f aca="false">'Смета Внутр'!C637</f>
        <v>м</v>
      </c>
      <c r="D637" s="1551" t="n">
        <f aca="false">'Смета Внутр'!D637</f>
        <v>0</v>
      </c>
      <c r="F637" s="1551" t="n">
        <f aca="false">'Смета Внутр'!E637</f>
        <v>0</v>
      </c>
      <c r="G637" s="1551" t="n">
        <f aca="false">'Смета Внутр'!H637</f>
        <v>0</v>
      </c>
      <c r="I637" s="3179" t="n">
        <f aca="false">IF(F637&lt;H637,F637*(D637-E637),0)+IF(H637=0,(D637-E637)*F637,0)+IF(H637&lt;F637,H637*(D637-E637),0)</f>
        <v>0</v>
      </c>
      <c r="J637" s="3179" t="n">
        <f aca="false">G637-I637</f>
        <v>0</v>
      </c>
    </row>
    <row r="638" customFormat="false" ht="15" hidden="false" customHeight="true" outlineLevel="0" collapsed="false">
      <c r="B638" s="1551" t="str">
        <f aca="false">'Смета Внутр'!B638</f>
        <v>Нет наждачной бумаги</v>
      </c>
      <c r="C638" s="1551" t="str">
        <f aca="false">'Смета Внутр'!C638</f>
        <v>м</v>
      </c>
      <c r="D638" s="1551" t="n">
        <f aca="false">'Смета Внутр'!D638</f>
        <v>0</v>
      </c>
      <c r="F638" s="1551" t="n">
        <f aca="false">'Смета Внутр'!E638</f>
        <v>0</v>
      </c>
      <c r="G638" s="1551" t="n">
        <f aca="false">'Смета Внутр'!H638</f>
        <v>0</v>
      </c>
      <c r="I638" s="3179" t="n">
        <f aca="false">IF(F638&lt;H638,F638*(D638-E638),0)+IF(H638=0,(D638-E638)*F638,0)+IF(H638&lt;F638,H638*(D638-E638),0)</f>
        <v>0</v>
      </c>
      <c r="J638" s="3179" t="n">
        <f aca="false">G638-I638</f>
        <v>0</v>
      </c>
    </row>
    <row r="639" customFormat="false" ht="15" hidden="false" customHeight="true" outlineLevel="0" collapsed="false">
      <c r="B639" s="1692" t="s">
        <v>4332</v>
      </c>
      <c r="C639" s="1692"/>
      <c r="D639" s="1692"/>
      <c r="E639" s="1692"/>
      <c r="F639" s="1692"/>
      <c r="G639" s="1551" t="n">
        <f aca="false">'Смета Внутр'!H639</f>
        <v>0</v>
      </c>
      <c r="H639" s="3184"/>
      <c r="I639" s="3179" t="n">
        <f aca="false">IF(F639&lt;H639,F639*(D639-E639),0)+IF(H639=0,(D639-E639)*F639,0)+IF(H639&lt;F639,H639*(D639-E639),0)</f>
        <v>0</v>
      </c>
      <c r="J639" s="3179" t="n">
        <f aca="false">G639-I639</f>
        <v>0</v>
      </c>
    </row>
    <row r="640" customFormat="false" ht="15" hidden="false" customHeight="true" outlineLevel="0" collapsed="false">
      <c r="B640" s="1268" t="str">
        <f aca="false">'Смета Внутр'!B640</f>
        <v>Работы</v>
      </c>
      <c r="C640" s="1268"/>
      <c r="D640" s="1268"/>
      <c r="E640" s="1268"/>
      <c r="F640" s="1268"/>
      <c r="G640" s="1551" t="n">
        <f aca="false">'Смета Внутр'!H640</f>
        <v>0</v>
      </c>
      <c r="H640" s="3175"/>
      <c r="I640" s="3179" t="n">
        <f aca="false">IF(F640&lt;H640,F640*(D640-E640),0)+IF(H640=0,(D640-E640)*F640,0)+IF(H640&lt;F640,H640*(D640-E640),0)</f>
        <v>0</v>
      </c>
      <c r="J640" s="3179" t="n">
        <f aca="false">G640-I640</f>
        <v>0</v>
      </c>
    </row>
    <row r="641" customFormat="false" ht="15" hidden="false" customHeight="true" outlineLevel="0" collapsed="false">
      <c r="B641" s="1551" t="str">
        <f aca="false">'Смета Внутр'!B641</f>
        <v>кладка Оцилиндрованного вревна</v>
      </c>
      <c r="C641" s="1551" t="str">
        <f aca="false">'Смета Внутр'!C641</f>
        <v>м3</v>
      </c>
      <c r="D641" s="1551" t="n">
        <f aca="false">'Смета Внутр'!D641</f>
        <v>1.09982631578947</v>
      </c>
      <c r="F641" s="1551" t="n">
        <f aca="false">'Смета Внутр'!E641</f>
        <v>6000</v>
      </c>
      <c r="G641" s="1551" t="n">
        <f aca="false">'Смета Внутр'!H641</f>
        <v>0</v>
      </c>
      <c r="I641" s="3179" t="n">
        <f aca="false">IF(F641&lt;H641,F641*(D641-E641),0)+IF(H641=0,(D641-E641)*F641,0)+IF(H641&lt;F641,H641*(D641-E641),0)</f>
        <v>6598.95789473684</v>
      </c>
      <c r="J641" s="3179" t="n">
        <f aca="false">G641-I641</f>
        <v>-6598.95789473684</v>
      </c>
    </row>
    <row r="642" customFormat="false" ht="15" hidden="false" customHeight="true" outlineLevel="0" collapsed="false">
      <c r="B642" s="1551" t="str">
        <f aca="false">'Смета Внутр'!B642</f>
        <v>окосячка проемов, м.п.</v>
      </c>
      <c r="C642" s="1551" t="str">
        <f aca="false">'Смета Внутр'!C642</f>
        <v>м.п.</v>
      </c>
      <c r="D642" s="1551" t="n">
        <f aca="false">'Смета Внутр'!D642</f>
        <v>0</v>
      </c>
      <c r="F642" s="1551" t="n">
        <f aca="false">'Смета Внутр'!E642</f>
        <v>150</v>
      </c>
      <c r="G642" s="1551" t="n">
        <f aca="false">'Смета Внутр'!H642</f>
        <v>0</v>
      </c>
      <c r="I642" s="3179" t="n">
        <f aca="false">IF(F642&lt;H642,F642*(D642-E642),0)+IF(H642=0,(D642-E642)*F642,0)+IF(H642&lt;F642,H642*(D642-E642),0)</f>
        <v>0</v>
      </c>
      <c r="J642" s="3179" t="n">
        <f aca="false">G642-I642</f>
        <v>0</v>
      </c>
    </row>
    <row r="643" customFormat="false" ht="15" hidden="false" customHeight="true" outlineLevel="0" collapsed="false">
      <c r="B643" s="1551" t="str">
        <f aca="false">'Смета Внутр'!B643</f>
        <v>обработка торцов на брусе</v>
      </c>
      <c r="C643" s="1551" t="str">
        <f aca="false">'Смета Внутр'!C643</f>
        <v>м.п.</v>
      </c>
      <c r="D643" s="1551" t="n">
        <f aca="false">'Смета Внутр'!D643</f>
        <v>20</v>
      </c>
      <c r="F643" s="1551" t="n">
        <f aca="false">'Смета Внутр'!E643</f>
        <v>250</v>
      </c>
      <c r="G643" s="1551" t="n">
        <f aca="false">'Смета Внутр'!H643</f>
        <v>0</v>
      </c>
      <c r="I643" s="3179" t="n">
        <f aca="false">IF(F643&lt;H643,F643*(D643-E643),0)+IF(H643=0,(D643-E643)*F643,0)+IF(H643&lt;F643,H643*(D643-E643),0)</f>
        <v>5000</v>
      </c>
      <c r="J643" s="3179" t="n">
        <f aca="false">G643-I643</f>
        <v>-5000</v>
      </c>
    </row>
    <row r="644" customFormat="false" ht="15" hidden="false" customHeight="true" outlineLevel="0" collapsed="false">
      <c r="B644" s="1551" t="str">
        <f aca="false">'Смета Внутр'!B644</f>
        <v>Обаботка огнебиозащитой</v>
      </c>
      <c r="C644" s="1551" t="str">
        <f aca="false">'Смета Внутр'!C644</f>
        <v>м.п.</v>
      </c>
      <c r="D644" s="1551" t="n">
        <f aca="false">'Смета Внутр'!D644</f>
        <v>1.09982631578947</v>
      </c>
      <c r="F644" s="1551" t="n">
        <f aca="false">'Смета Внутр'!E644</f>
        <v>300</v>
      </c>
      <c r="G644" s="1551" t="n">
        <f aca="false">'Смета Внутр'!H644</f>
        <v>0</v>
      </c>
      <c r="I644" s="3179" t="n">
        <f aca="false">IF(F644&lt;H644,F644*(D644-E644),0)+IF(H644=0,(D644-E644)*F644,0)+IF(H644&lt;F644,H644*(D644-E644),0)</f>
        <v>329.947894736842</v>
      </c>
      <c r="J644" s="3179" t="n">
        <f aca="false">G644-I644</f>
        <v>-329.947894736842</v>
      </c>
    </row>
    <row r="645" customFormat="false" ht="15" hidden="false" customHeight="true" outlineLevel="0" collapsed="false">
      <c r="B645" s="1551" t="str">
        <f aca="false">'Смета Внутр'!B645</f>
        <v>Пропитка стен внешних</v>
      </c>
      <c r="C645" s="1551" t="str">
        <f aca="false">'Смета Внутр'!C645</f>
        <v>м.п.</v>
      </c>
      <c r="D645" s="1551" t="n">
        <f aca="false">'Смета Внутр'!D645</f>
        <v>0</v>
      </c>
      <c r="F645" s="1551" t="n">
        <f aca="false">'Смета Внутр'!E645</f>
        <v>100</v>
      </c>
      <c r="G645" s="1551" t="n">
        <f aca="false">'Смета Внутр'!H645</f>
        <v>0</v>
      </c>
      <c r="I645" s="3179" t="n">
        <f aca="false">IF(F645&lt;H645,F645*(D645-E645),0)+IF(H645=0,(D645-E645)*F645,0)+IF(H645&lt;F645,H645*(D645-E645),0)</f>
        <v>0</v>
      </c>
      <c r="J645" s="3179" t="n">
        <f aca="false">G645-I645</f>
        <v>0</v>
      </c>
    </row>
    <row r="646" customFormat="false" ht="15" hidden="false" customHeight="true" outlineLevel="0" collapsed="false">
      <c r="B646" s="1551" t="str">
        <f aca="false">'Смета Внутр'!B646</f>
        <v>Пропитка внутенних стен</v>
      </c>
      <c r="C646" s="1551" t="str">
        <f aca="false">'Смета Внутр'!C646</f>
        <v>м.п.</v>
      </c>
      <c r="D646" s="1551" t="n">
        <f aca="false">'Смета Внутр'!D646</f>
        <v>0</v>
      </c>
      <c r="F646" s="1551" t="n">
        <f aca="false">'Смета Внутр'!E646</f>
        <v>100</v>
      </c>
      <c r="G646" s="1551" t="n">
        <f aca="false">'Смета Внутр'!H646</f>
        <v>0</v>
      </c>
      <c r="I646" s="3179" t="n">
        <f aca="false">IF(F646&lt;H646,F646*(D646-E646),0)+IF(H646=0,(D646-E646)*F646,0)+IF(H646&lt;F646,H646*(D646-E646),0)</f>
        <v>0</v>
      </c>
      <c r="J646" s="3179" t="n">
        <f aca="false">G646-I646</f>
        <v>0</v>
      </c>
    </row>
    <row r="647" customFormat="false" ht="15" hidden="false" customHeight="true" outlineLevel="0" collapsed="false">
      <c r="B647" s="1551" t="str">
        <f aca="false">'Смета Внутр'!B647</f>
        <v>Не считать</v>
      </c>
      <c r="C647" s="1551" t="str">
        <f aca="false">'Смета Внутр'!C647</f>
        <v>м.п.</v>
      </c>
      <c r="D647" s="1551" t="n">
        <f aca="false">'Смета Внутр'!D647</f>
        <v>0</v>
      </c>
      <c r="F647" s="1551" t="n">
        <f aca="false">'Смета Внутр'!E647</f>
        <v>300</v>
      </c>
      <c r="G647" s="1551" t="n">
        <f aca="false">'Смета Внутр'!H647</f>
        <v>0</v>
      </c>
      <c r="I647" s="3179" t="n">
        <f aca="false">IF(F647&lt;H647,F647*(D647-E647),0)+IF(H647=0,(D647-E647)*F647,0)+IF(H647&lt;F647,H647*(D647-E647),0)</f>
        <v>0</v>
      </c>
      <c r="J647" s="3179" t="n">
        <f aca="false">G647-I647</f>
        <v>0</v>
      </c>
    </row>
    <row r="648" customFormat="false" ht="15" hidden="false" customHeight="true" outlineLevel="0" collapsed="false">
      <c r="B648" s="1551" t="str">
        <f aca="false">'Смета Внутр'!B648</f>
        <v>Монтаж наличника</v>
      </c>
      <c r="C648" s="1551" t="str">
        <f aca="false">'Смета Внутр'!C648</f>
        <v>м.п.</v>
      </c>
      <c r="D648" s="1551" t="n">
        <f aca="false">'Смета Внутр'!D648</f>
        <v>0</v>
      </c>
      <c r="F648" s="1551" t="n">
        <f aca="false">'Смета Внутр'!E648</f>
        <v>80</v>
      </c>
      <c r="G648" s="1551" t="n">
        <f aca="false">'Смета Внутр'!H648</f>
        <v>0</v>
      </c>
      <c r="I648" s="3179" t="n">
        <f aca="false">IF(F648&lt;H648,F648*(D648-E648),0)+IF(H648=0,(D648-E648)*F648,0)+IF(H648&lt;F648,H648*(D648-E648),0)</f>
        <v>0</v>
      </c>
      <c r="J648" s="3179" t="n">
        <f aca="false">G648-I648</f>
        <v>0</v>
      </c>
    </row>
    <row r="649" customFormat="false" ht="15" hidden="false" customHeight="true" outlineLevel="0" collapsed="false">
      <c r="B649" s="1551" t="str">
        <f aca="false">'Смета Внутр'!B649</f>
        <v>Шлифовка стен дома</v>
      </c>
      <c r="C649" s="1551" t="str">
        <f aca="false">'Смета Внутр'!C649</f>
        <v>м.п.</v>
      </c>
      <c r="D649" s="1551" t="n">
        <f aca="false">'Смета Внутр'!D649</f>
        <v>0</v>
      </c>
      <c r="F649" s="1551" t="n">
        <f aca="false">'Смета Внутр'!E649</f>
        <v>250</v>
      </c>
      <c r="G649" s="1551" t="n">
        <f aca="false">'Смета Внутр'!H649</f>
        <v>0</v>
      </c>
      <c r="I649" s="3179" t="n">
        <f aca="false">IF(F649&lt;H649,F649*(D649-E649),0)+IF(H649=0,(D649-E649)*F649,0)+IF(H649&lt;F649,H649*(D649-E649),0)</f>
        <v>0</v>
      </c>
      <c r="J649" s="3179" t="n">
        <f aca="false">G649-I649</f>
        <v>0</v>
      </c>
    </row>
    <row r="650" customFormat="false" ht="15" hidden="false" customHeight="false" outlineLevel="0" collapsed="false">
      <c r="B650" s="1692" t="s">
        <v>4333</v>
      </c>
      <c r="C650" s="1692"/>
      <c r="D650" s="1692"/>
      <c r="E650" s="1692"/>
      <c r="F650" s="1692"/>
      <c r="G650" s="1551" t="n">
        <f aca="false">'Смета Внутр'!H650</f>
        <v>0</v>
      </c>
      <c r="H650" s="1584"/>
      <c r="I650" s="3179" t="n">
        <f aca="false">IF(F650&lt;H650,F650*(D650-E650),0)+IF(H650=0,(D650-E650)*F650,0)+IF(H650&lt;F650,H650*(D650-E650),0)</f>
        <v>0</v>
      </c>
      <c r="J650" s="3179" t="n">
        <f aca="false">G650-I650</f>
        <v>0</v>
      </c>
    </row>
    <row r="651" customFormat="false" ht="15" hidden="false" customHeight="true" outlineLevel="0" collapsed="false">
      <c r="B651" s="1551" t="str">
        <f aca="false">'Смета Внутр'!B651</f>
        <v>Дом из Профилированного бруса</v>
      </c>
      <c r="C651" s="1551" t="n">
        <f aca="false">'Смета Внутр'!C651</f>
        <v>0</v>
      </c>
      <c r="D651" s="1551" t="n">
        <f aca="false">'Смета Внутр'!D651</f>
        <v>0</v>
      </c>
      <c r="F651" s="1551" t="n">
        <f aca="false">'Смета Внутр'!E651</f>
        <v>0</v>
      </c>
      <c r="G651" s="1551" t="n">
        <f aca="false">'Смета Внутр'!H651</f>
        <v>0</v>
      </c>
      <c r="I651" s="3179" t="n">
        <f aca="false">IF(F651&lt;H651,F651*(D651-E651),0)+IF(H651=0,(D651-E651)*F651,0)+IF(H651&lt;F651,H651*(D651-E651),0)</f>
        <v>0</v>
      </c>
      <c r="J651" s="3179" t="n">
        <f aca="false">G651-I651</f>
        <v>0</v>
      </c>
    </row>
    <row r="652" customFormat="false" ht="15" hidden="false" customHeight="true" outlineLevel="0" collapsed="false">
      <c r="B652" s="1268" t="str">
        <f aca="false">'Смета Внутр'!B652</f>
        <v>Материалы</v>
      </c>
      <c r="C652" s="1268"/>
      <c r="D652" s="1268"/>
      <c r="E652" s="1268"/>
      <c r="F652" s="1268"/>
      <c r="G652" s="1551" t="n">
        <f aca="false">'Смета Внутр'!H652</f>
        <v>0</v>
      </c>
      <c r="H652" s="3175"/>
      <c r="I652" s="3179" t="n">
        <f aca="false">IF(F652&lt;H652,F652*(D652-E652),0)+IF(H652=0,(D652-E652)*F652,0)+IF(H652&lt;F652,H652*(D652-E652),0)</f>
        <v>0</v>
      </c>
      <c r="J652" s="3179" t="n">
        <f aca="false">G652-I652</f>
        <v>0</v>
      </c>
    </row>
    <row r="653" customFormat="false" ht="15" hidden="false" customHeight="true" outlineLevel="0" collapsed="false">
      <c r="B653" s="1551" t="str">
        <f aca="false">'Смета Внутр'!B653</f>
        <v>Листв. влаж, 200*200мм</v>
      </c>
      <c r="C653" s="1551" t="str">
        <f aca="false">'Смета Внутр'!C653</f>
        <v>м3</v>
      </c>
      <c r="D653" s="1551" t="n">
        <f aca="false">'Смета Внутр'!D653</f>
        <v>4.012</v>
      </c>
      <c r="F653" s="1551" t="n">
        <f aca="false">'Смета Внутр'!E653</f>
        <v>9000</v>
      </c>
      <c r="G653" s="1551" t="n">
        <f aca="false">'Смета Внутр'!H653</f>
        <v>0</v>
      </c>
      <c r="I653" s="3179" t="n">
        <f aca="false">IF(F653&lt;H653,F653*(D653-E653),0)+IF(H653=0,(D653-E653)*F653,0)+IF(H653&lt;F653,H653*(D653-E653),0)</f>
        <v>36108</v>
      </c>
      <c r="J653" s="3179" t="n">
        <f aca="false">G653-I653</f>
        <v>-36108</v>
      </c>
    </row>
    <row r="654" customFormat="false" ht="15" hidden="false" customHeight="true" outlineLevel="0" collapsed="false">
      <c r="B654" s="1551" t="str">
        <f aca="false">'Смета Внутр'!B654</f>
        <v>Сосна влаж, 200*150мм</v>
      </c>
      <c r="C654" s="1551" t="str">
        <f aca="false">'Смета Внутр'!C654</f>
        <v>м3</v>
      </c>
      <c r="D654" s="1551" t="n">
        <f aca="false">'Смета Внутр'!D654</f>
        <v>-3.187</v>
      </c>
      <c r="F654" s="1551" t="n">
        <f aca="false">'Смета Внутр'!E654</f>
        <v>6500</v>
      </c>
      <c r="G654" s="1551" t="n">
        <f aca="false">'Смета Внутр'!H654</f>
        <v>0</v>
      </c>
      <c r="I654" s="3179" t="n">
        <f aca="false">IF(F654&lt;H654,F654*(D654-E654),0)+IF(H654=0,(D654-E654)*F654,0)+IF(H654&lt;F654,H654*(D654-E654),0)</f>
        <v>-20715.5</v>
      </c>
      <c r="J654" s="3179" t="n">
        <f aca="false">G654-I654</f>
        <v>20715.5</v>
      </c>
    </row>
    <row r="655" customFormat="false" ht="15" hidden="false" customHeight="true" outlineLevel="0" collapsed="false">
      <c r="B655" s="1551" t="str">
        <f aca="false">'Смета Внутр'!B655</f>
        <v>Сосна влаж, 200*150мм</v>
      </c>
      <c r="C655" s="1551" t="str">
        <f aca="false">'Смета Внутр'!C655</f>
        <v>м3</v>
      </c>
      <c r="D655" s="1551" t="n">
        <f aca="false">'Смета Внутр'!D655</f>
        <v>0</v>
      </c>
      <c r="F655" s="1551" t="n">
        <f aca="false">'Смета Внутр'!E655</f>
        <v>6500</v>
      </c>
      <c r="G655" s="1551" t="n">
        <f aca="false">'Смета Внутр'!H655</f>
        <v>0</v>
      </c>
      <c r="I655" s="3179" t="n">
        <f aca="false">IF(F655&lt;H655,F655*(D655-E655),0)+IF(H655=0,(D655-E655)*F655,0)+IF(H655&lt;F655,H655*(D655-E655),0)</f>
        <v>0</v>
      </c>
      <c r="J655" s="3179" t="n">
        <f aca="false">G655-I655</f>
        <v>0</v>
      </c>
    </row>
    <row r="656" customFormat="false" ht="15" hidden="false" customHeight="true" outlineLevel="0" collapsed="false">
      <c r="B656" s="1551" t="str">
        <f aca="false">'Смета Внутр'!B656</f>
        <v>Сосна влаж, 200*100мм</v>
      </c>
      <c r="C656" s="1551" t="str">
        <f aca="false">'Смета Внутр'!C656</f>
        <v>м2</v>
      </c>
      <c r="D656" s="1551" t="n">
        <f aca="false">'Смета Внутр'!D656</f>
        <v>0</v>
      </c>
      <c r="F656" s="1551" t="n">
        <f aca="false">'Смета Внутр'!E656</f>
        <v>6500</v>
      </c>
      <c r="G656" s="1551" t="n">
        <f aca="false">'Смета Внутр'!H656</f>
        <v>0</v>
      </c>
      <c r="I656" s="3179" t="n">
        <f aca="false">IF(F656&lt;H656,F656*(D656-E656),0)+IF(H656=0,(D656-E656)*F656,0)+IF(H656&lt;F656,H656*(D656-E656),0)</f>
        <v>0</v>
      </c>
      <c r="J656" s="3179" t="n">
        <f aca="false">G656-I656</f>
        <v>0</v>
      </c>
    </row>
    <row r="657" customFormat="false" ht="15" hidden="false" customHeight="true" outlineLevel="0" collapsed="false">
      <c r="B657" s="1551" t="str">
        <f aca="false">'Смета Внутр'!B657</f>
        <v>Шкант</v>
      </c>
      <c r="C657" s="1551" t="str">
        <f aca="false">'Смета Внутр'!C657</f>
        <v>шт</v>
      </c>
      <c r="D657" s="1551" t="n">
        <f aca="false">'Смета Внутр'!D657</f>
        <v>19</v>
      </c>
      <c r="F657" s="1551" t="n">
        <f aca="false">'Смета Внутр'!E657</f>
        <v>6</v>
      </c>
      <c r="G657" s="1551" t="n">
        <f aca="false">'Смета Внутр'!H657</f>
        <v>0</v>
      </c>
      <c r="I657" s="3179" t="n">
        <f aca="false">IF(F657&lt;H657,F657*(D657-E657),0)+IF(H657=0,(D657-E657)*F657,0)+IF(H657&lt;F657,H657*(D657-E657),0)</f>
        <v>114</v>
      </c>
      <c r="J657" s="3179" t="n">
        <f aca="false">G657-I657</f>
        <v>-114</v>
      </c>
    </row>
    <row r="658" customFormat="false" ht="15" hidden="false" customHeight="true" outlineLevel="0" collapsed="false">
      <c r="B658" s="1551" t="str">
        <f aca="false">'Смета Внутр'!B658</f>
        <v>Лента уплотнения</v>
      </c>
      <c r="C658" s="1551" t="str">
        <f aca="false">'Смета Внутр'!C658</f>
        <v>шт</v>
      </c>
      <c r="D658" s="1551" t="n">
        <f aca="false">'Смета Внутр'!D658</f>
        <v>0</v>
      </c>
      <c r="F658" s="1551" t="n">
        <f aca="false">'Смета Внутр'!E658</f>
        <v>130</v>
      </c>
      <c r="G658" s="1551" t="n">
        <f aca="false">'Смета Внутр'!H658</f>
        <v>0</v>
      </c>
      <c r="I658" s="3179" t="n">
        <f aca="false">IF(F658&lt;H658,F658*(D658-E658),0)+IF(H658=0,(D658-E658)*F658,0)+IF(H658&lt;F658,H658*(D658-E658),0)</f>
        <v>0</v>
      </c>
      <c r="J658" s="3179" t="n">
        <f aca="false">G658-I658</f>
        <v>0</v>
      </c>
    </row>
    <row r="659" customFormat="false" ht="15" hidden="false" customHeight="true" outlineLevel="0" collapsed="false">
      <c r="B659" s="1551" t="str">
        <f aca="false">'Смета Внутр'!B659</f>
        <v>Гвозди строительные 3,5 x 90            </v>
      </c>
      <c r="C659" s="1551" t="str">
        <f aca="false">'Смета Внутр'!C659</f>
        <v>шт</v>
      </c>
      <c r="D659" s="1551" t="n">
        <f aca="false">'Смета Внутр'!D659</f>
        <v>4.4</v>
      </c>
      <c r="F659" s="1551" t="n">
        <f aca="false">'Смета Внутр'!E659</f>
        <v>70</v>
      </c>
      <c r="G659" s="1551" t="n">
        <f aca="false">'Смета Внутр'!H659</f>
        <v>0</v>
      </c>
      <c r="I659" s="3179" t="n">
        <f aca="false">IF(F659&lt;H659,F659*(D659-E659),0)+IF(H659=0,(D659-E659)*F659,0)+IF(H659&lt;F659,H659*(D659-E659),0)</f>
        <v>308</v>
      </c>
      <c r="J659" s="3179" t="n">
        <f aca="false">G659-I659</f>
        <v>-308</v>
      </c>
    </row>
    <row r="660" customFormat="false" ht="15" hidden="false" customHeight="true" outlineLevel="0" collapsed="false">
      <c r="B660" s="1551" t="str">
        <f aca="false">'Смета Внутр'!B660</f>
        <v>нет</v>
      </c>
      <c r="C660" s="1551" t="str">
        <f aca="false">'Смета Внутр'!C660</f>
        <v>м3</v>
      </c>
      <c r="D660" s="1551" t="n">
        <f aca="false">'Смета Внутр'!D660</f>
        <v>0</v>
      </c>
      <c r="F660" s="1551" t="n">
        <f aca="false">'Смета Внутр'!E660</f>
        <v>0</v>
      </c>
      <c r="G660" s="1551" t="n">
        <f aca="false">'Смета Внутр'!H660</f>
        <v>0</v>
      </c>
      <c r="I660" s="3179" t="n">
        <f aca="false">IF(F660&lt;H660,F660*(D660-E660),0)+IF(H660=0,(D660-E660)*F660,0)+IF(H660&lt;F660,H660*(D660-E660),0)</f>
        <v>0</v>
      </c>
      <c r="J660" s="3179" t="n">
        <f aca="false">G660-I660</f>
        <v>0</v>
      </c>
    </row>
    <row r="661" customFormat="false" ht="15" hidden="false" customHeight="true" outlineLevel="0" collapsed="false">
      <c r="B661" s="1551" t="str">
        <f aca="false">'Смета Внутр'!B661</f>
        <v>нет</v>
      </c>
      <c r="C661" s="1551" t="str">
        <f aca="false">'Смета Внутр'!C661</f>
        <v>м3</v>
      </c>
      <c r="D661" s="1551" t="n">
        <f aca="false">'Смета Внутр'!D661</f>
        <v>0</v>
      </c>
      <c r="F661" s="1551" t="n">
        <f aca="false">'Смета Внутр'!E661</f>
        <v>0</v>
      </c>
      <c r="G661" s="1551" t="n">
        <f aca="false">'Смета Внутр'!H661</f>
        <v>0</v>
      </c>
      <c r="I661" s="3179" t="n">
        <f aca="false">IF(F661&lt;H661,F661*(D661-E661),0)+IF(H661=0,(D661-E661)*F661,0)+IF(H661&lt;F661,H661*(D661-E661),0)</f>
        <v>0</v>
      </c>
      <c r="J661" s="3179" t="n">
        <f aca="false">G661-I661</f>
        <v>0</v>
      </c>
    </row>
    <row r="662" customFormat="false" ht="15" hidden="false" customHeight="true" outlineLevel="0" collapsed="false">
      <c r="B662" s="1551" t="str">
        <f aca="false">'Смета Внутр'!B662</f>
        <v>нет</v>
      </c>
      <c r="C662" s="1551" t="str">
        <f aca="false">'Смета Внутр'!C662</f>
        <v>м3</v>
      </c>
      <c r="D662" s="1551" t="n">
        <f aca="false">'Смета Внутр'!D662</f>
        <v>0</v>
      </c>
      <c r="F662" s="1551" t="n">
        <f aca="false">'Смета Внутр'!E662</f>
        <v>0</v>
      </c>
      <c r="G662" s="1551" t="n">
        <f aca="false">'Смета Внутр'!H662</f>
        <v>0</v>
      </c>
      <c r="I662" s="3179" t="n">
        <f aca="false">IF(F662&lt;H662,F662*(D662-E662),0)+IF(H662=0,(D662-E662)*F662,0)+IF(H662&lt;F662,H662*(D662-E662),0)</f>
        <v>0</v>
      </c>
      <c r="J662" s="3179" t="n">
        <f aca="false">G662-I662</f>
        <v>0</v>
      </c>
    </row>
    <row r="663" customFormat="false" ht="15" hidden="false" customHeight="true" outlineLevel="0" collapsed="false">
      <c r="B663" s="1551" t="str">
        <f aca="false">'Смета Внутр'!B663</f>
        <v>нет</v>
      </c>
      <c r="C663" s="1551" t="str">
        <f aca="false">'Смета Внутр'!C663</f>
        <v>м.п.</v>
      </c>
      <c r="D663" s="1551" t="n">
        <f aca="false">'Смета Внутр'!D663</f>
        <v>0</v>
      </c>
      <c r="F663" s="1551" t="n">
        <f aca="false">'Смета Внутр'!E663</f>
        <v>0</v>
      </c>
      <c r="G663" s="1551" t="n">
        <f aca="false">'Смета Внутр'!H663</f>
        <v>0</v>
      </c>
      <c r="I663" s="3179" t="n">
        <f aca="false">IF(F663&lt;H663,F663*(D663-E663),0)+IF(H663=0,(D663-E663)*F663,0)+IF(H663&lt;F663,H663*(D663-E663),0)</f>
        <v>0</v>
      </c>
      <c r="J663" s="3179" t="n">
        <f aca="false">G663-I663</f>
        <v>0</v>
      </c>
    </row>
    <row r="664" customFormat="false" ht="15" hidden="false" customHeight="true" outlineLevel="0" collapsed="false">
      <c r="B664" s="1551" t="str">
        <f aca="false">'Смета Внутр'!B664</f>
        <v>Бензин для пилы</v>
      </c>
      <c r="C664" s="1551" t="str">
        <f aca="false">'Смета Внутр'!C664</f>
        <v>л</v>
      </c>
      <c r="D664" s="1551" t="n">
        <f aca="false">'Смета Внутр'!D664</f>
        <v>0.165</v>
      </c>
      <c r="F664" s="1551" t="n">
        <f aca="false">'Смета Внутр'!E664</f>
        <v>40</v>
      </c>
      <c r="G664" s="1551" t="n">
        <f aca="false">'Смета Внутр'!H664</f>
        <v>0</v>
      </c>
      <c r="I664" s="3179" t="n">
        <f aca="false">IF(F664&lt;H664,F664*(D664-E664),0)+IF(H664=0,(D664-E664)*F664,0)+IF(H664&lt;F664,H664*(D664-E664),0)</f>
        <v>6.6</v>
      </c>
      <c r="J664" s="3179" t="n">
        <f aca="false">G664-I664</f>
        <v>-6.6</v>
      </c>
    </row>
    <row r="665" customFormat="false" ht="15" hidden="false" customHeight="true" outlineLevel="0" collapsed="false">
      <c r="B665" s="1551" t="str">
        <f aca="false">'Смета Внутр'!B665</f>
        <v>Масло для пилы</v>
      </c>
      <c r="C665" s="1551" t="str">
        <f aca="false">'Смета Внутр'!C665</f>
        <v>л</v>
      </c>
      <c r="D665" s="1551" t="n">
        <f aca="false">'Смета Внутр'!D665</f>
        <v>0.00825</v>
      </c>
      <c r="F665" s="1551" t="n">
        <f aca="false">'Смета Внутр'!E665</f>
        <v>250</v>
      </c>
      <c r="G665" s="1551" t="n">
        <f aca="false">'Смета Внутр'!H665</f>
        <v>0</v>
      </c>
      <c r="I665" s="3179" t="n">
        <f aca="false">IF(F665&lt;H665,F665*(D665-E665),0)+IF(H665=0,(D665-E665)*F665,0)+IF(H665&lt;F665,H665*(D665-E665),0)</f>
        <v>2.0625</v>
      </c>
      <c r="J665" s="3179" t="n">
        <f aca="false">G665-I665</f>
        <v>-2.0625</v>
      </c>
    </row>
    <row r="666" customFormat="false" ht="15" hidden="false" customHeight="true" outlineLevel="0" collapsed="false">
      <c r="B666" s="1551" t="str">
        <f aca="false">'Смета Внутр'!B666</f>
        <v>Цепь для пилы</v>
      </c>
      <c r="C666" s="1551" t="str">
        <f aca="false">'Смета Внутр'!C666</f>
        <v>шт</v>
      </c>
      <c r="D666" s="1551" t="n">
        <f aca="false">'Смета Внутр'!D666</f>
        <v>1</v>
      </c>
      <c r="F666" s="1551" t="n">
        <f aca="false">'Смета Внутр'!E666</f>
        <v>800</v>
      </c>
      <c r="G666" s="1551" t="n">
        <f aca="false">'Смета Внутр'!H666</f>
        <v>0</v>
      </c>
      <c r="I666" s="3179" t="n">
        <f aca="false">IF(F666&lt;H666,F666*(D666-E666),0)+IF(H666=0,(D666-E666)*F666,0)+IF(H666&lt;F666,H666*(D666-E666),0)</f>
        <v>800</v>
      </c>
      <c r="J666" s="3179" t="n">
        <f aca="false">G666-I666</f>
        <v>-800</v>
      </c>
    </row>
    <row r="667" customFormat="false" ht="15" hidden="false" customHeight="true" outlineLevel="0" collapsed="false">
      <c r="B667" s="1551" t="str">
        <f aca="false">'Смета Внутр'!B667</f>
        <v>"Профилюкс" Антисептик ОБЗ-1</v>
      </c>
      <c r="C667" s="1551" t="str">
        <f aca="false">'Смета Внутр'!C667</f>
        <v>л</v>
      </c>
      <c r="D667" s="1551" t="n">
        <f aca="false">'Смета Внутр'!D667</f>
        <v>0</v>
      </c>
      <c r="F667" s="1551" t="n">
        <f aca="false">'Смета Внутр'!E667</f>
        <v>42</v>
      </c>
      <c r="G667" s="1551" t="n">
        <f aca="false">'Смета Внутр'!H667</f>
        <v>0</v>
      </c>
      <c r="I667" s="3179" t="n">
        <f aca="false">IF(F667&lt;H667,F667*(D667-E667),0)+IF(H667=0,(D667-E667)*F667,0)+IF(H667&lt;F667,H667*(D667-E667),0)</f>
        <v>0</v>
      </c>
      <c r="J667" s="3179" t="n">
        <f aca="false">G667-I667</f>
        <v>0</v>
      </c>
    </row>
    <row r="668" customFormat="false" ht="15" hidden="false" customHeight="true" outlineLevel="0" collapsed="false">
      <c r="B668" s="1551" t="str">
        <f aca="false">'Смета Внутр'!B668</f>
        <v>Нет пропитки</v>
      </c>
      <c r="C668" s="1551" t="str">
        <f aca="false">'Смета Внутр'!C668</f>
        <v>л</v>
      </c>
      <c r="D668" s="1551" t="n">
        <f aca="false">'Смета Внутр'!D668</f>
        <v>0</v>
      </c>
      <c r="F668" s="1551" t="n">
        <f aca="false">'Смета Внутр'!E668</f>
        <v>0</v>
      </c>
      <c r="G668" s="1551" t="n">
        <f aca="false">'Смета Внутр'!H668</f>
        <v>0</v>
      </c>
      <c r="I668" s="3179" t="n">
        <f aca="false">IF(F668&lt;H668,F668*(D668-E668),0)+IF(H668=0,(D668-E668)*F668,0)+IF(H668&lt;F668,H668*(D668-E668),0)</f>
        <v>0</v>
      </c>
      <c r="J668" s="3179" t="n">
        <f aca="false">G668-I668</f>
        <v>0</v>
      </c>
    </row>
    <row r="669" customFormat="false" ht="15" hidden="false" customHeight="true" outlineLevel="0" collapsed="false">
      <c r="B669" s="1551" t="str">
        <f aca="false">'Смета Внутр'!B669</f>
        <v>Нет пропитки</v>
      </c>
      <c r="C669" s="1551" t="str">
        <f aca="false">'Смета Внутр'!C669</f>
        <v>л</v>
      </c>
      <c r="D669" s="1551" t="n">
        <f aca="false">'Смета Внутр'!D669</f>
        <v>0</v>
      </c>
      <c r="F669" s="1551" t="n">
        <f aca="false">'Смета Внутр'!E669</f>
        <v>0</v>
      </c>
      <c r="G669" s="1551" t="n">
        <f aca="false">'Смета Внутр'!H669</f>
        <v>0</v>
      </c>
      <c r="I669" s="3179" t="n">
        <f aca="false">IF(F669&lt;H669,F669*(D669-E669),0)+IF(H669=0,(D669-E669)*F669,0)+IF(H669&lt;F669,H669*(D669-E669),0)</f>
        <v>0</v>
      </c>
      <c r="J669" s="3179" t="n">
        <f aca="false">G669-I669</f>
        <v>0</v>
      </c>
    </row>
    <row r="670" customFormat="false" ht="15" hidden="false" customHeight="true" outlineLevel="0" collapsed="false">
      <c r="B670" s="1551" t="str">
        <f aca="false">'Смета Внутр'!B670</f>
        <v>Нет наличника</v>
      </c>
      <c r="C670" s="1551" t="str">
        <f aca="false">'Смета Внутр'!C670</f>
        <v>м.п.</v>
      </c>
      <c r="D670" s="1551" t="n">
        <f aca="false">'Смета Внутр'!D670</f>
        <v>3.57</v>
      </c>
      <c r="F670" s="1551" t="n">
        <f aca="false">'Смета Внутр'!E670</f>
        <v>0</v>
      </c>
      <c r="G670" s="1551" t="n">
        <f aca="false">'Смета Внутр'!H670</f>
        <v>0</v>
      </c>
      <c r="I670" s="3179" t="n">
        <f aca="false">IF(F670&lt;H670,F670*(D670-E670),0)+IF(H670=0,(D670-E670)*F670,0)+IF(H670&lt;F670,H670*(D670-E670),0)</f>
        <v>0</v>
      </c>
      <c r="J670" s="3179" t="n">
        <f aca="false">G670-I670</f>
        <v>0</v>
      </c>
    </row>
    <row r="671" customFormat="false" ht="15" hidden="false" customHeight="true" outlineLevel="0" collapsed="false">
      <c r="B671" s="1551" t="str">
        <f aca="false">'Смета Внутр'!B671</f>
        <v>Нет наличника</v>
      </c>
      <c r="C671" s="1551" t="str">
        <f aca="false">'Смета Внутр'!C671</f>
        <v>м.п.</v>
      </c>
      <c r="D671" s="1551" t="n">
        <f aca="false">'Смета Внутр'!D671</f>
        <v>3.57</v>
      </c>
      <c r="F671" s="1551" t="n">
        <f aca="false">'Смета Внутр'!E671</f>
        <v>0</v>
      </c>
      <c r="G671" s="1551" t="n">
        <f aca="false">'Смета Внутр'!H671</f>
        <v>0</v>
      </c>
      <c r="I671" s="3179" t="n">
        <f aca="false">IF(F671&lt;H671,F671*(D671-E671),0)+IF(H671=0,(D671-E671)*F671,0)+IF(H671&lt;F671,H671*(D671-E671),0)</f>
        <v>0</v>
      </c>
      <c r="J671" s="3179" t="n">
        <f aca="false">G671-I671</f>
        <v>0</v>
      </c>
    </row>
    <row r="672" customFormat="false" ht="15" hidden="false" customHeight="true" outlineLevel="0" collapsed="false">
      <c r="B672" s="1551" t="str">
        <f aca="false">'Смета Внутр'!B672</f>
        <v>Нет наждачной бумаги</v>
      </c>
      <c r="C672" s="1551" t="str">
        <f aca="false">'Смета Внутр'!C672</f>
        <v>м</v>
      </c>
      <c r="D672" s="1551" t="n">
        <f aca="false">'Смета Внутр'!D672</f>
        <v>0</v>
      </c>
      <c r="F672" s="1551" t="n">
        <f aca="false">'Смета Внутр'!E672</f>
        <v>0</v>
      </c>
      <c r="G672" s="1551" t="n">
        <f aca="false">'Смета Внутр'!H672</f>
        <v>0</v>
      </c>
      <c r="I672" s="3179" t="n">
        <f aca="false">IF(F672&lt;H672,F672*(D672-E672),0)+IF(H672=0,(D672-E672)*F672,0)+IF(H672&lt;F672,H672*(D672-E672),0)</f>
        <v>0</v>
      </c>
      <c r="J672" s="3179" t="n">
        <f aca="false">G672-I672</f>
        <v>0</v>
      </c>
    </row>
    <row r="673" customFormat="false" ht="15" hidden="false" customHeight="true" outlineLevel="0" collapsed="false">
      <c r="B673" s="1551" t="str">
        <f aca="false">'Смета Внутр'!B673</f>
        <v>Нет наждачной бумаги</v>
      </c>
      <c r="C673" s="1551" t="str">
        <f aca="false">'Смета Внутр'!C673</f>
        <v>м</v>
      </c>
      <c r="D673" s="1551" t="n">
        <f aca="false">'Смета Внутр'!D673</f>
        <v>0</v>
      </c>
      <c r="F673" s="1551" t="n">
        <f aca="false">'Смета Внутр'!E673</f>
        <v>0</v>
      </c>
      <c r="G673" s="1551" t="n">
        <f aca="false">'Смета Внутр'!H673</f>
        <v>0</v>
      </c>
      <c r="I673" s="3179" t="n">
        <f aca="false">IF(F673&lt;H673,F673*(D673-E673),0)+IF(H673=0,(D673-E673)*F673,0)+IF(H673&lt;F673,H673*(D673-E673),0)</f>
        <v>0</v>
      </c>
      <c r="J673" s="3179" t="n">
        <f aca="false">G673-I673</f>
        <v>0</v>
      </c>
    </row>
    <row r="674" customFormat="false" ht="15" hidden="false" customHeight="true" outlineLevel="0" collapsed="false">
      <c r="B674" s="1551" t="str">
        <f aca="false">'Смета Внутр'!B674</f>
        <v>Нет наждачной бумаги</v>
      </c>
      <c r="C674" s="1551" t="str">
        <f aca="false">'Смета Внутр'!C674</f>
        <v>м</v>
      </c>
      <c r="D674" s="1551" t="n">
        <f aca="false">'Смета Внутр'!D674</f>
        <v>0</v>
      </c>
      <c r="F674" s="1551" t="n">
        <f aca="false">'Смета Внутр'!E674</f>
        <v>0</v>
      </c>
      <c r="G674" s="1551" t="n">
        <f aca="false">'Смета Внутр'!H674</f>
        <v>0</v>
      </c>
      <c r="I674" s="3179" t="n">
        <f aca="false">IF(F674&lt;H674,F674*(D674-E674),0)+IF(H674=0,(D674-E674)*F674,0)+IF(H674&lt;F674,H674*(D674-E674),0)</f>
        <v>0</v>
      </c>
      <c r="J674" s="3179" t="n">
        <f aca="false">G674-I674</f>
        <v>0</v>
      </c>
    </row>
    <row r="675" customFormat="false" ht="15" hidden="false" customHeight="true" outlineLevel="0" collapsed="false">
      <c r="B675" s="1551" t="str">
        <f aca="false">'Смета Внутр'!B675</f>
        <v>Нет наждачной бумаги</v>
      </c>
      <c r="C675" s="1551" t="str">
        <f aca="false">'Смета Внутр'!C675</f>
        <v>м</v>
      </c>
      <c r="D675" s="1551" t="n">
        <f aca="false">'Смета Внутр'!D675</f>
        <v>0</v>
      </c>
      <c r="F675" s="1551" t="n">
        <f aca="false">'Смета Внутр'!E675</f>
        <v>0</v>
      </c>
      <c r="G675" s="1551" t="n">
        <f aca="false">'Смета Внутр'!H675</f>
        <v>0</v>
      </c>
      <c r="I675" s="3179" t="n">
        <f aca="false">IF(F675&lt;H675,F675*(D675-E675),0)+IF(H675=0,(D675-E675)*F675,0)+IF(H675&lt;F675,H675*(D675-E675),0)</f>
        <v>0</v>
      </c>
      <c r="J675" s="3179" t="n">
        <f aca="false">G675-I675</f>
        <v>0</v>
      </c>
    </row>
    <row r="676" customFormat="false" ht="15" hidden="false" customHeight="true" outlineLevel="0" collapsed="false">
      <c r="B676" s="1692" t="s">
        <v>4332</v>
      </c>
      <c r="C676" s="1692"/>
      <c r="D676" s="1692"/>
      <c r="E676" s="1692"/>
      <c r="F676" s="1692"/>
      <c r="G676" s="1551" t="n">
        <f aca="false">'Смета Внутр'!H676</f>
        <v>0</v>
      </c>
      <c r="H676" s="3184"/>
      <c r="I676" s="3179" t="n">
        <f aca="false">IF(F676&lt;H676,F676*(D676-E676),0)+IF(H676=0,(D676-E676)*F676,0)+IF(H676&lt;F676,H676*(D676-E676),0)</f>
        <v>0</v>
      </c>
      <c r="J676" s="3179" t="n">
        <f aca="false">G676-I676</f>
        <v>0</v>
      </c>
    </row>
    <row r="677" customFormat="false" ht="15" hidden="false" customHeight="true" outlineLevel="0" collapsed="false">
      <c r="B677" s="1268" t="str">
        <f aca="false">'Смета Внутр'!B677</f>
        <v>Работы</v>
      </c>
      <c r="C677" s="1268"/>
      <c r="D677" s="1268"/>
      <c r="E677" s="1268"/>
      <c r="F677" s="1268"/>
      <c r="G677" s="1551" t="n">
        <f aca="false">'Смета Внутр'!H677</f>
        <v>0</v>
      </c>
      <c r="H677" s="3175"/>
      <c r="I677" s="3179" t="n">
        <f aca="false">IF(F677&lt;H677,F677*(D677-E677),0)+IF(H677=0,(D677-E677)*F677,0)+IF(H677&lt;F677,H677*(D677-E677),0)</f>
        <v>0</v>
      </c>
      <c r="J677" s="3179" t="n">
        <f aca="false">G677-I677</f>
        <v>0</v>
      </c>
    </row>
    <row r="678" customFormat="false" ht="15" hidden="false" customHeight="true" outlineLevel="0" collapsed="false">
      <c r="B678" s="1551" t="str">
        <f aca="false">'Смета Внутр'!B678</f>
        <v>кладка Профилированного бруса</v>
      </c>
      <c r="C678" s="1551" t="str">
        <f aca="false">'Смета Внутр'!C678</f>
        <v>м3</v>
      </c>
      <c r="D678" s="1551" t="n">
        <f aca="false">'Смета Внутр'!D678</f>
        <v>0.825</v>
      </c>
      <c r="F678" s="1551" t="n">
        <f aca="false">'Смета Внутр'!E678</f>
        <v>6000</v>
      </c>
      <c r="G678" s="1551" t="n">
        <f aca="false">'Смета Внутр'!H678</f>
        <v>0</v>
      </c>
      <c r="I678" s="3179" t="n">
        <f aca="false">IF(F678&lt;H678,F678*(D678-E678),0)+IF(H678=0,(D678-E678)*F678,0)+IF(H678&lt;F678,H678*(D678-E678),0)</f>
        <v>4950</v>
      </c>
      <c r="J678" s="3179" t="n">
        <f aca="false">G678-I678</f>
        <v>-4950</v>
      </c>
    </row>
    <row r="679" customFormat="false" ht="15" hidden="false" customHeight="true" outlineLevel="0" collapsed="false">
      <c r="B679" s="1551" t="str">
        <f aca="false">'Смета Внутр'!B679</f>
        <v>окосячка проемов, м.п.</v>
      </c>
      <c r="C679" s="1551" t="str">
        <f aca="false">'Смета Внутр'!C679</f>
        <v>м.п.</v>
      </c>
      <c r="D679" s="1551" t="n">
        <f aca="false">'Смета Внутр'!D679</f>
        <v>0</v>
      </c>
      <c r="F679" s="1551" t="n">
        <f aca="false">'Смета Внутр'!E679</f>
        <v>150</v>
      </c>
      <c r="G679" s="1551" t="n">
        <f aca="false">'Смета Внутр'!H679</f>
        <v>0</v>
      </c>
      <c r="I679" s="3179" t="n">
        <f aca="false">IF(F679&lt;H679,F679*(D679-E679),0)+IF(H679=0,(D679-E679)*F679,0)+IF(H679&lt;F679,H679*(D679-E679),0)</f>
        <v>0</v>
      </c>
      <c r="J679" s="3179" t="n">
        <f aca="false">G679-I679</f>
        <v>0</v>
      </c>
    </row>
    <row r="680" customFormat="false" ht="15" hidden="false" customHeight="true" outlineLevel="0" collapsed="false">
      <c r="B680" s="1551" t="str">
        <f aca="false">'Смета Внутр'!B680</f>
        <v>обработка торцов на брусе</v>
      </c>
      <c r="C680" s="1551" t="str">
        <f aca="false">'Смета Внутр'!C680</f>
        <v>м.п.</v>
      </c>
      <c r="D680" s="1551" t="n">
        <f aca="false">'Смета Внутр'!D680</f>
        <v>20</v>
      </c>
      <c r="F680" s="1551" t="n">
        <f aca="false">'Смета Внутр'!E680</f>
        <v>250</v>
      </c>
      <c r="G680" s="1551" t="n">
        <f aca="false">'Смета Внутр'!H680</f>
        <v>0</v>
      </c>
      <c r="I680" s="3179" t="n">
        <f aca="false">IF(F680&lt;H680,F680*(D680-E680),0)+IF(H680=0,(D680-E680)*F680,0)+IF(H680&lt;F680,H680*(D680-E680),0)</f>
        <v>5000</v>
      </c>
      <c r="J680" s="3179" t="n">
        <f aca="false">G680-I680</f>
        <v>-5000</v>
      </c>
    </row>
    <row r="681" customFormat="false" ht="15" hidden="false" customHeight="true" outlineLevel="0" collapsed="false">
      <c r="B681" s="1551" t="str">
        <f aca="false">'Смета Внутр'!B681</f>
        <v>Обаботка огнебиозащитой</v>
      </c>
      <c r="C681" s="1551" t="str">
        <f aca="false">'Смета Внутр'!C681</f>
        <v>м.п.</v>
      </c>
      <c r="D681" s="1551" t="n">
        <f aca="false">'Смета Внутр'!D681</f>
        <v>0.825</v>
      </c>
      <c r="F681" s="1551" t="n">
        <f aca="false">'Смета Внутр'!E681</f>
        <v>300</v>
      </c>
      <c r="G681" s="1551" t="n">
        <f aca="false">'Смета Внутр'!H681</f>
        <v>0</v>
      </c>
      <c r="I681" s="3179" t="n">
        <f aca="false">IF(F681&lt;H681,F681*(D681-E681),0)+IF(H681=0,(D681-E681)*F681,0)+IF(H681&lt;F681,H681*(D681-E681),0)</f>
        <v>247.5</v>
      </c>
      <c r="J681" s="3179" t="n">
        <f aca="false">G681-I681</f>
        <v>-247.5</v>
      </c>
    </row>
    <row r="682" customFormat="false" ht="15" hidden="false" customHeight="true" outlineLevel="0" collapsed="false">
      <c r="B682" s="1551" t="str">
        <f aca="false">'Смета Внутр'!B682</f>
        <v>Пропитка стен внешних</v>
      </c>
      <c r="C682" s="1551" t="str">
        <f aca="false">'Смета Внутр'!C682</f>
        <v>м.п.</v>
      </c>
      <c r="D682" s="1551" t="n">
        <f aca="false">'Смета Внутр'!D682</f>
        <v>0</v>
      </c>
      <c r="F682" s="1551" t="n">
        <f aca="false">'Смета Внутр'!E682</f>
        <v>100</v>
      </c>
      <c r="G682" s="1551" t="n">
        <f aca="false">'Смета Внутр'!H682</f>
        <v>0</v>
      </c>
      <c r="I682" s="3179" t="n">
        <f aca="false">IF(F682&lt;H682,F682*(D682-E682),0)+IF(H682=0,(D682-E682)*F682,0)+IF(H682&lt;F682,H682*(D682-E682),0)</f>
        <v>0</v>
      </c>
      <c r="J682" s="3179" t="n">
        <f aca="false">G682-I682</f>
        <v>0</v>
      </c>
    </row>
    <row r="683" customFormat="false" ht="15" hidden="false" customHeight="true" outlineLevel="0" collapsed="false">
      <c r="B683" s="1551" t="str">
        <f aca="false">'Смета Внутр'!B683</f>
        <v>Пропитка внутенних стен</v>
      </c>
      <c r="C683" s="1551" t="str">
        <f aca="false">'Смета Внутр'!C683</f>
        <v>м.п.</v>
      </c>
      <c r="D683" s="1551" t="n">
        <f aca="false">'Смета Внутр'!D683</f>
        <v>0</v>
      </c>
      <c r="F683" s="1551" t="n">
        <f aca="false">'Смета Внутр'!E683</f>
        <v>100</v>
      </c>
      <c r="G683" s="1551" t="n">
        <f aca="false">'Смета Внутр'!H683</f>
        <v>0</v>
      </c>
      <c r="I683" s="3179" t="n">
        <f aca="false">IF(F683&lt;H683,F683*(D683-E683),0)+IF(H683=0,(D683-E683)*F683,0)+IF(H683&lt;F683,H683*(D683-E683),0)</f>
        <v>0</v>
      </c>
      <c r="J683" s="3179" t="n">
        <f aca="false">G683-I683</f>
        <v>0</v>
      </c>
    </row>
    <row r="684" customFormat="false" ht="15" hidden="false" customHeight="true" outlineLevel="0" collapsed="false">
      <c r="B684" s="1551" t="str">
        <f aca="false">'Смета Внутр'!B684</f>
        <v>Не считать</v>
      </c>
      <c r="C684" s="1551" t="str">
        <f aca="false">'Смета Внутр'!C684</f>
        <v>м.п.</v>
      </c>
      <c r="D684" s="1551" t="n">
        <f aca="false">'Смета Внутр'!D684</f>
        <v>0</v>
      </c>
      <c r="F684" s="1551" t="n">
        <f aca="false">'Смета Внутр'!E684</f>
        <v>300</v>
      </c>
      <c r="G684" s="1551" t="n">
        <f aca="false">'Смета Внутр'!H684</f>
        <v>0</v>
      </c>
      <c r="I684" s="3179" t="n">
        <f aca="false">IF(F684&lt;H684,F684*(D684-E684),0)+IF(H684=0,(D684-E684)*F684,0)+IF(H684&lt;F684,H684*(D684-E684),0)</f>
        <v>0</v>
      </c>
      <c r="J684" s="3179" t="n">
        <f aca="false">G684-I684</f>
        <v>0</v>
      </c>
    </row>
    <row r="685" customFormat="false" ht="15" hidden="false" customHeight="true" outlineLevel="0" collapsed="false">
      <c r="B685" s="1551" t="str">
        <f aca="false">'Смета Внутр'!B685</f>
        <v>Монтаж наличника</v>
      </c>
      <c r="C685" s="1551" t="str">
        <f aca="false">'Смета Внутр'!C685</f>
        <v>м.п.</v>
      </c>
      <c r="D685" s="1551" t="n">
        <f aca="false">'Смета Внутр'!D685</f>
        <v>0</v>
      </c>
      <c r="F685" s="1551" t="n">
        <f aca="false">'Смета Внутр'!E685</f>
        <v>80</v>
      </c>
      <c r="G685" s="1551" t="n">
        <f aca="false">'Смета Внутр'!H685</f>
        <v>0</v>
      </c>
      <c r="I685" s="3179" t="n">
        <f aca="false">IF(F685&lt;H685,F685*(D685-E685),0)+IF(H685=0,(D685-E685)*F685,0)+IF(H685&lt;F685,H685*(D685-E685),0)</f>
        <v>0</v>
      </c>
      <c r="J685" s="3179" t="n">
        <f aca="false">G685-I685</f>
        <v>0</v>
      </c>
    </row>
    <row r="686" customFormat="false" ht="15" hidden="false" customHeight="true" outlineLevel="0" collapsed="false">
      <c r="B686" s="1551" t="str">
        <f aca="false">'Смета Внутр'!B686</f>
        <v>Шлифовка стен дома</v>
      </c>
      <c r="C686" s="1551" t="str">
        <f aca="false">'Смета Внутр'!C686</f>
        <v>м.п.</v>
      </c>
      <c r="D686" s="1551" t="n">
        <f aca="false">'Смета Внутр'!D686</f>
        <v>0</v>
      </c>
      <c r="F686" s="1551" t="n">
        <f aca="false">'Смета Внутр'!E686</f>
        <v>250</v>
      </c>
      <c r="G686" s="1551" t="n">
        <f aca="false">'Смета Внутр'!H686</f>
        <v>0</v>
      </c>
      <c r="I686" s="3179" t="n">
        <f aca="false">IF(F686&lt;H686,F686*(D686-E686),0)+IF(H686=0,(D686-E686)*F686,0)+IF(H686&lt;F686,H686*(D686-E686),0)</f>
        <v>0</v>
      </c>
      <c r="J686" s="3179" t="n">
        <f aca="false">G686-I686</f>
        <v>0</v>
      </c>
    </row>
    <row r="687" customFormat="false" ht="15" hidden="false" customHeight="false" outlineLevel="0" collapsed="false">
      <c r="B687" s="1692" t="s">
        <v>4333</v>
      </c>
      <c r="C687" s="1692"/>
      <c r="D687" s="1692"/>
      <c r="E687" s="1692"/>
      <c r="F687" s="1692"/>
      <c r="G687" s="1551" t="n">
        <f aca="false">'Смета Внутр'!H687</f>
        <v>0</v>
      </c>
      <c r="H687" s="1584"/>
      <c r="I687" s="3179" t="n">
        <f aca="false">IF(F687&lt;H687,F687*(D687-E687),0)+IF(H687=0,(D687-E687)*F687,0)+IF(H687&lt;F687,H687*(D687-E687),0)</f>
        <v>0</v>
      </c>
      <c r="J687" s="3179" t="n">
        <f aca="false">G687-I687</f>
        <v>0</v>
      </c>
    </row>
    <row r="688" customFormat="false" ht="15" hidden="false" customHeight="true" outlineLevel="0" collapsed="false">
      <c r="B688" s="1551" t="str">
        <f aca="false">'Смета Внутр'!B688</f>
        <v>Дом из Клееного бруса</v>
      </c>
      <c r="C688" s="1551" t="n">
        <f aca="false">'Смета Внутр'!C688</f>
        <v>0</v>
      </c>
      <c r="D688" s="1551" t="n">
        <f aca="false">'Смета Внутр'!D688</f>
        <v>0</v>
      </c>
      <c r="F688" s="1551" t="n">
        <f aca="false">'Смета Внутр'!E688</f>
        <v>0</v>
      </c>
      <c r="G688" s="1551" t="n">
        <f aca="false">'Смета Внутр'!H688</f>
        <v>0</v>
      </c>
      <c r="I688" s="3179" t="n">
        <f aca="false">IF(F688&lt;H688,F688*(D688-E688),0)+IF(H688=0,(D688-E688)*F688,0)+IF(H688&lt;F688,H688*(D688-E688),0)</f>
        <v>0</v>
      </c>
      <c r="J688" s="3179" t="n">
        <f aca="false">G688-I688</f>
        <v>0</v>
      </c>
    </row>
    <row r="689" customFormat="false" ht="15" hidden="false" customHeight="true" outlineLevel="0" collapsed="false">
      <c r="B689" s="1268" t="str">
        <f aca="false">'Смета Внутр'!B689</f>
        <v>Материалы</v>
      </c>
      <c r="C689" s="1268"/>
      <c r="D689" s="1268"/>
      <c r="E689" s="1268"/>
      <c r="F689" s="1268"/>
      <c r="G689" s="1551" t="n">
        <f aca="false">'Смета Внутр'!H689</f>
        <v>0</v>
      </c>
      <c r="H689" s="3175"/>
      <c r="I689" s="3179" t="n">
        <f aca="false">IF(F689&lt;H689,F689*(D689-E689),0)+IF(H689=0,(D689-E689)*F689,0)+IF(H689&lt;F689,H689*(D689-E689),0)</f>
        <v>0</v>
      </c>
      <c r="J689" s="3179" t="n">
        <f aca="false">G689-I689</f>
        <v>0</v>
      </c>
    </row>
    <row r="690" customFormat="false" ht="15" hidden="false" customHeight="true" outlineLevel="0" collapsed="false">
      <c r="B690" s="1551" t="str">
        <f aca="false">'Смета Внутр'!B690</f>
        <v>Листв. влаж, 200*200мм</v>
      </c>
      <c r="C690" s="1551" t="str">
        <f aca="false">'Смета Внутр'!C690</f>
        <v>м3</v>
      </c>
      <c r="D690" s="1551" t="n">
        <f aca="false">'Смета Внутр'!D690</f>
        <v>4.012</v>
      </c>
      <c r="F690" s="1551" t="n">
        <f aca="false">'Смета Внутр'!E690</f>
        <v>9000</v>
      </c>
      <c r="G690" s="1551" t="n">
        <f aca="false">'Смета Внутр'!H690</f>
        <v>0</v>
      </c>
      <c r="I690" s="3179" t="n">
        <f aca="false">IF(F690&lt;H690,F690*(D690-E690),0)+IF(H690=0,(D690-E690)*F690,0)+IF(H690&lt;F690,H690*(D690-E690),0)</f>
        <v>36108</v>
      </c>
      <c r="J690" s="3179" t="n">
        <f aca="false">G690-I690</f>
        <v>-36108</v>
      </c>
    </row>
    <row r="691" customFormat="false" ht="15" hidden="false" customHeight="true" outlineLevel="0" collapsed="false">
      <c r="B691" s="1551" t="str">
        <f aca="false">'Смета Внутр'!B691</f>
        <v>Сосна влаж, 200*150мм</v>
      </c>
      <c r="C691" s="1551" t="str">
        <f aca="false">'Смета Внутр'!C691</f>
        <v>м3</v>
      </c>
      <c r="D691" s="1551" t="n">
        <f aca="false">'Смета Внутр'!D691</f>
        <v>-3.187</v>
      </c>
      <c r="F691" s="1551" t="n">
        <f aca="false">'Смета Внутр'!E691</f>
        <v>6500</v>
      </c>
      <c r="G691" s="1551" t="n">
        <f aca="false">'Смета Внутр'!H691</f>
        <v>0</v>
      </c>
      <c r="I691" s="3179" t="n">
        <f aca="false">IF(F691&lt;H691,F691*(D691-E691),0)+IF(H691=0,(D691-E691)*F691,0)+IF(H691&lt;F691,H691*(D691-E691),0)</f>
        <v>-20715.5</v>
      </c>
      <c r="J691" s="3179" t="n">
        <f aca="false">G691-I691</f>
        <v>20715.5</v>
      </c>
    </row>
    <row r="692" customFormat="false" ht="15" hidden="false" customHeight="true" outlineLevel="0" collapsed="false">
      <c r="B692" s="1551" t="str">
        <f aca="false">'Смета Внутр'!B692</f>
        <v>Сосна влаж, 200*150мм</v>
      </c>
      <c r="C692" s="1551" t="str">
        <f aca="false">'Смета Внутр'!C692</f>
        <v>м3</v>
      </c>
      <c r="D692" s="1551" t="n">
        <f aca="false">'Смета Внутр'!D692</f>
        <v>0</v>
      </c>
      <c r="F692" s="1551" t="n">
        <f aca="false">'Смета Внутр'!E692</f>
        <v>6500</v>
      </c>
      <c r="G692" s="1551" t="n">
        <f aca="false">'Смета Внутр'!H692</f>
        <v>0</v>
      </c>
      <c r="I692" s="3179" t="n">
        <f aca="false">IF(F692&lt;H692,F692*(D692-E692),0)+IF(H692=0,(D692-E692)*F692,0)+IF(H692&lt;F692,H692*(D692-E692),0)</f>
        <v>0</v>
      </c>
      <c r="J692" s="3179" t="n">
        <f aca="false">G692-I692</f>
        <v>0</v>
      </c>
    </row>
    <row r="693" customFormat="false" ht="15" hidden="false" customHeight="true" outlineLevel="0" collapsed="false">
      <c r="B693" s="1551" t="str">
        <f aca="false">'Смета Внутр'!B693</f>
        <v>Сосна влаж, 200*100мм</v>
      </c>
      <c r="C693" s="1551" t="str">
        <f aca="false">'Смета Внутр'!C693</f>
        <v>м2</v>
      </c>
      <c r="D693" s="1551" t="n">
        <f aca="false">'Смета Внутр'!D693</f>
        <v>0</v>
      </c>
      <c r="F693" s="1551" t="n">
        <f aca="false">'Смета Внутр'!E693</f>
        <v>6500</v>
      </c>
      <c r="G693" s="1551" t="n">
        <f aca="false">'Смета Внутр'!H693</f>
        <v>0</v>
      </c>
      <c r="I693" s="3179" t="n">
        <f aca="false">IF(F693&lt;H693,F693*(D693-E693),0)+IF(H693=0,(D693-E693)*F693,0)+IF(H693&lt;F693,H693*(D693-E693),0)</f>
        <v>0</v>
      </c>
      <c r="J693" s="3179" t="n">
        <f aca="false">G693-I693</f>
        <v>0</v>
      </c>
    </row>
    <row r="694" customFormat="false" ht="15" hidden="false" customHeight="true" outlineLevel="0" collapsed="false">
      <c r="B694" s="1551" t="str">
        <f aca="false">'Смета Внутр'!B694</f>
        <v>Шкант</v>
      </c>
      <c r="C694" s="1551" t="str">
        <f aca="false">'Смета Внутр'!C694</f>
        <v>шт</v>
      </c>
      <c r="D694" s="1551" t="n">
        <f aca="false">'Смета Внутр'!D694</f>
        <v>19</v>
      </c>
      <c r="F694" s="1551" t="n">
        <f aca="false">'Смета Внутр'!E694</f>
        <v>6</v>
      </c>
      <c r="G694" s="1551" t="n">
        <f aca="false">'Смета Внутр'!H694</f>
        <v>0</v>
      </c>
      <c r="I694" s="3179" t="n">
        <f aca="false">IF(F694&lt;H694,F694*(D694-E694),0)+IF(H694=0,(D694-E694)*F694,0)+IF(H694&lt;F694,H694*(D694-E694),0)</f>
        <v>114</v>
      </c>
      <c r="J694" s="3179" t="n">
        <f aca="false">G694-I694</f>
        <v>-114</v>
      </c>
    </row>
    <row r="695" customFormat="false" ht="15" hidden="false" customHeight="true" outlineLevel="0" collapsed="false">
      <c r="B695" s="1551" t="str">
        <f aca="false">'Смета Внутр'!B695</f>
        <v>Лента уплотнения</v>
      </c>
      <c r="C695" s="1551" t="str">
        <f aca="false">'Смета Внутр'!C695</f>
        <v>шт</v>
      </c>
      <c r="D695" s="1551" t="n">
        <f aca="false">'Смета Внутр'!D695</f>
        <v>0</v>
      </c>
      <c r="F695" s="1551" t="n">
        <f aca="false">'Смета Внутр'!E695</f>
        <v>130</v>
      </c>
      <c r="G695" s="1551" t="n">
        <f aca="false">'Смета Внутр'!H695</f>
        <v>0</v>
      </c>
      <c r="I695" s="3179" t="n">
        <f aca="false">IF(F695&lt;H695,F695*(D695-E695),0)+IF(H695=0,(D695-E695)*F695,0)+IF(H695&lt;F695,H695*(D695-E695),0)</f>
        <v>0</v>
      </c>
      <c r="J695" s="3179" t="n">
        <f aca="false">G695-I695</f>
        <v>0</v>
      </c>
    </row>
    <row r="696" customFormat="false" ht="15" hidden="false" customHeight="true" outlineLevel="0" collapsed="false">
      <c r="B696" s="1551" t="str">
        <f aca="false">'Смета Внутр'!B696</f>
        <v>Гвозди строительные 3,5 x 90            </v>
      </c>
      <c r="C696" s="1551" t="str">
        <f aca="false">'Смета Внутр'!C696</f>
        <v>шт</v>
      </c>
      <c r="D696" s="1551" t="n">
        <f aca="false">'Смета Внутр'!D696</f>
        <v>4.4</v>
      </c>
      <c r="F696" s="1551" t="n">
        <f aca="false">'Смета Внутр'!E696</f>
        <v>70</v>
      </c>
      <c r="G696" s="1551" t="n">
        <f aca="false">'Смета Внутр'!H696</f>
        <v>0</v>
      </c>
      <c r="I696" s="3179" t="n">
        <f aca="false">IF(F696&lt;H696,F696*(D696-E696),0)+IF(H696=0,(D696-E696)*F696,0)+IF(H696&lt;F696,H696*(D696-E696),0)</f>
        <v>308</v>
      </c>
      <c r="J696" s="3179" t="n">
        <f aca="false">G696-I696</f>
        <v>-308</v>
      </c>
    </row>
    <row r="697" customFormat="false" ht="15" hidden="false" customHeight="true" outlineLevel="0" collapsed="false">
      <c r="B697" s="1551" t="str">
        <f aca="false">'Смета Внутр'!B697</f>
        <v>нет</v>
      </c>
      <c r="C697" s="1551" t="str">
        <f aca="false">'Смета Внутр'!C697</f>
        <v>м3</v>
      </c>
      <c r="D697" s="1551" t="n">
        <f aca="false">'Смета Внутр'!D697</f>
        <v>0</v>
      </c>
      <c r="F697" s="1551" t="n">
        <f aca="false">'Смета Внутр'!E697</f>
        <v>0</v>
      </c>
      <c r="G697" s="1551" t="n">
        <f aca="false">'Смета Внутр'!H697</f>
        <v>0</v>
      </c>
      <c r="I697" s="3179" t="n">
        <f aca="false">IF(F697&lt;H697,F697*(D697-E697),0)+IF(H697=0,(D697-E697)*F697,0)+IF(H697&lt;F697,H697*(D697-E697),0)</f>
        <v>0</v>
      </c>
      <c r="J697" s="3179" t="n">
        <f aca="false">G697-I697</f>
        <v>0</v>
      </c>
    </row>
    <row r="698" customFormat="false" ht="15" hidden="false" customHeight="true" outlineLevel="0" collapsed="false">
      <c r="B698" s="1551" t="str">
        <f aca="false">'Смета Внутр'!B698</f>
        <v>нет</v>
      </c>
      <c r="C698" s="1551" t="str">
        <f aca="false">'Смета Внутр'!C698</f>
        <v>м3</v>
      </c>
      <c r="D698" s="1551" t="n">
        <f aca="false">'Смета Внутр'!D698</f>
        <v>0</v>
      </c>
      <c r="F698" s="1551" t="n">
        <f aca="false">'Смета Внутр'!E698</f>
        <v>0</v>
      </c>
      <c r="G698" s="1551" t="n">
        <f aca="false">'Смета Внутр'!H698</f>
        <v>0</v>
      </c>
      <c r="I698" s="3179" t="n">
        <f aca="false">IF(F698&lt;H698,F698*(D698-E698),0)+IF(H698=0,(D698-E698)*F698,0)+IF(H698&lt;F698,H698*(D698-E698),0)</f>
        <v>0</v>
      </c>
      <c r="J698" s="3179" t="n">
        <f aca="false">G698-I698</f>
        <v>0</v>
      </c>
    </row>
    <row r="699" customFormat="false" ht="15" hidden="false" customHeight="true" outlineLevel="0" collapsed="false">
      <c r="B699" s="1551" t="str">
        <f aca="false">'Смета Внутр'!B699</f>
        <v>нет</v>
      </c>
      <c r="C699" s="1551" t="str">
        <f aca="false">'Смета Внутр'!C699</f>
        <v>м3</v>
      </c>
      <c r="D699" s="1551" t="n">
        <f aca="false">'Смета Внутр'!D699</f>
        <v>0</v>
      </c>
      <c r="F699" s="1551" t="n">
        <f aca="false">'Смета Внутр'!E699</f>
        <v>0</v>
      </c>
      <c r="G699" s="1551" t="n">
        <f aca="false">'Смета Внутр'!H699</f>
        <v>0</v>
      </c>
      <c r="I699" s="3179" t="n">
        <f aca="false">IF(F699&lt;H699,F699*(D699-E699),0)+IF(H699=0,(D699-E699)*F699,0)+IF(H699&lt;F699,H699*(D699-E699),0)</f>
        <v>0</v>
      </c>
      <c r="J699" s="3179" t="n">
        <f aca="false">G699-I699</f>
        <v>0</v>
      </c>
    </row>
    <row r="700" customFormat="false" ht="15" hidden="false" customHeight="true" outlineLevel="0" collapsed="false">
      <c r="B700" s="1551" t="str">
        <f aca="false">'Смета Внутр'!B700</f>
        <v>нет</v>
      </c>
      <c r="C700" s="1551" t="str">
        <f aca="false">'Смета Внутр'!C700</f>
        <v>м.п.</v>
      </c>
      <c r="D700" s="1551" t="n">
        <f aca="false">'Смета Внутр'!D700</f>
        <v>0</v>
      </c>
      <c r="F700" s="1551" t="n">
        <f aca="false">'Смета Внутр'!E700</f>
        <v>0</v>
      </c>
      <c r="G700" s="1551" t="n">
        <f aca="false">'Смета Внутр'!H700</f>
        <v>0</v>
      </c>
      <c r="I700" s="3179" t="n">
        <f aca="false">IF(F700&lt;H700,F700*(D700-E700),0)+IF(H700=0,(D700-E700)*F700,0)+IF(H700&lt;F700,H700*(D700-E700),0)</f>
        <v>0</v>
      </c>
      <c r="J700" s="3179" t="n">
        <f aca="false">G700-I700</f>
        <v>0</v>
      </c>
    </row>
    <row r="701" customFormat="false" ht="15" hidden="false" customHeight="true" outlineLevel="0" collapsed="false">
      <c r="B701" s="1551" t="str">
        <f aca="false">'Смета Внутр'!B701</f>
        <v>Бензин для пилы</v>
      </c>
      <c r="C701" s="1551" t="str">
        <f aca="false">'Смета Внутр'!C701</f>
        <v>л</v>
      </c>
      <c r="D701" s="1551" t="n">
        <f aca="false">'Смета Внутр'!D701</f>
        <v>0.165</v>
      </c>
      <c r="F701" s="1551" t="n">
        <f aca="false">'Смета Внутр'!E701</f>
        <v>40</v>
      </c>
      <c r="G701" s="1551" t="n">
        <f aca="false">'Смета Внутр'!H701</f>
        <v>0</v>
      </c>
      <c r="I701" s="3179" t="n">
        <f aca="false">IF(F701&lt;H701,F701*(D701-E701),0)+IF(H701=0,(D701-E701)*F701,0)+IF(H701&lt;F701,H701*(D701-E701),0)</f>
        <v>6.6</v>
      </c>
      <c r="J701" s="3179" t="n">
        <f aca="false">G701-I701</f>
        <v>-6.6</v>
      </c>
    </row>
    <row r="702" customFormat="false" ht="15" hidden="false" customHeight="true" outlineLevel="0" collapsed="false">
      <c r="B702" s="1551" t="str">
        <f aca="false">'Смета Внутр'!B702</f>
        <v>Масло для пилы</v>
      </c>
      <c r="C702" s="1551" t="str">
        <f aca="false">'Смета Внутр'!C702</f>
        <v>л</v>
      </c>
      <c r="D702" s="1551" t="n">
        <f aca="false">'Смета Внутр'!D702</f>
        <v>0.00825</v>
      </c>
      <c r="F702" s="1551" t="n">
        <f aca="false">'Смета Внутр'!E702</f>
        <v>250</v>
      </c>
      <c r="G702" s="1551" t="n">
        <f aca="false">'Смета Внутр'!H702</f>
        <v>0</v>
      </c>
      <c r="I702" s="3179" t="n">
        <f aca="false">IF(F702&lt;H702,F702*(D702-E702),0)+IF(H702=0,(D702-E702)*F702,0)+IF(H702&lt;F702,H702*(D702-E702),0)</f>
        <v>2.0625</v>
      </c>
      <c r="J702" s="3179" t="n">
        <f aca="false">G702-I702</f>
        <v>-2.0625</v>
      </c>
    </row>
    <row r="703" customFormat="false" ht="15" hidden="false" customHeight="true" outlineLevel="0" collapsed="false">
      <c r="B703" s="1551" t="str">
        <f aca="false">'Смета Внутр'!B703</f>
        <v>Цепь для пилы</v>
      </c>
      <c r="C703" s="1551" t="str">
        <f aca="false">'Смета Внутр'!C703</f>
        <v>шт</v>
      </c>
      <c r="D703" s="1551" t="n">
        <f aca="false">'Смета Внутр'!D703</f>
        <v>1</v>
      </c>
      <c r="F703" s="1551" t="n">
        <f aca="false">'Смета Внутр'!E703</f>
        <v>800</v>
      </c>
      <c r="G703" s="1551" t="n">
        <f aca="false">'Смета Внутр'!H703</f>
        <v>0</v>
      </c>
      <c r="I703" s="3179" t="n">
        <f aca="false">IF(F703&lt;H703,F703*(D703-E703),0)+IF(H703=0,(D703-E703)*F703,0)+IF(H703&lt;F703,H703*(D703-E703),0)</f>
        <v>800</v>
      </c>
      <c r="J703" s="3179" t="n">
        <f aca="false">G703-I703</f>
        <v>-800</v>
      </c>
    </row>
    <row r="704" customFormat="false" ht="15" hidden="false" customHeight="true" outlineLevel="0" collapsed="false">
      <c r="B704" s="1551" t="str">
        <f aca="false">'Смета Внутр'!B704</f>
        <v>"Профилюкс" Антисептик ОБЗ-1</v>
      </c>
      <c r="C704" s="1551" t="str">
        <f aca="false">'Смета Внутр'!C704</f>
        <v>л</v>
      </c>
      <c r="D704" s="1551" t="n">
        <f aca="false">'Смета Внутр'!D704</f>
        <v>0</v>
      </c>
      <c r="F704" s="1551" t="n">
        <f aca="false">'Смета Внутр'!E704</f>
        <v>42</v>
      </c>
      <c r="G704" s="1551" t="n">
        <f aca="false">'Смета Внутр'!H704</f>
        <v>0</v>
      </c>
      <c r="I704" s="3179" t="n">
        <f aca="false">IF(F704&lt;H704,F704*(D704-E704),0)+IF(H704=0,(D704-E704)*F704,0)+IF(H704&lt;F704,H704*(D704-E704),0)</f>
        <v>0</v>
      </c>
      <c r="J704" s="3179" t="n">
        <f aca="false">G704-I704</f>
        <v>0</v>
      </c>
    </row>
    <row r="705" customFormat="false" ht="15" hidden="false" customHeight="true" outlineLevel="0" collapsed="false">
      <c r="B705" s="1551" t="str">
        <f aca="false">'Смета Внутр'!B705</f>
        <v>Нет пропитки</v>
      </c>
      <c r="C705" s="1551" t="str">
        <f aca="false">'Смета Внутр'!C705</f>
        <v>л</v>
      </c>
      <c r="D705" s="1551" t="n">
        <f aca="false">'Смета Внутр'!D705</f>
        <v>0</v>
      </c>
      <c r="F705" s="1551" t="n">
        <f aca="false">'Смета Внутр'!E705</f>
        <v>0</v>
      </c>
      <c r="G705" s="1551" t="n">
        <f aca="false">'Смета Внутр'!H705</f>
        <v>0</v>
      </c>
      <c r="I705" s="3179" t="n">
        <f aca="false">IF(F705&lt;H705,F705*(D705-E705),0)+IF(H705=0,(D705-E705)*F705,0)+IF(H705&lt;F705,H705*(D705-E705),0)</f>
        <v>0</v>
      </c>
      <c r="J705" s="3179" t="n">
        <f aca="false">G705-I705</f>
        <v>0</v>
      </c>
    </row>
    <row r="706" customFormat="false" ht="15" hidden="false" customHeight="true" outlineLevel="0" collapsed="false">
      <c r="B706" s="1551" t="str">
        <f aca="false">'Смета Внутр'!B706</f>
        <v>Нет пропитки</v>
      </c>
      <c r="C706" s="1551" t="str">
        <f aca="false">'Смета Внутр'!C706</f>
        <v>л</v>
      </c>
      <c r="D706" s="1551" t="n">
        <f aca="false">'Смета Внутр'!D706</f>
        <v>0</v>
      </c>
      <c r="F706" s="1551" t="n">
        <f aca="false">'Смета Внутр'!E706</f>
        <v>0</v>
      </c>
      <c r="G706" s="1551" t="n">
        <f aca="false">'Смета Внутр'!H706</f>
        <v>0</v>
      </c>
      <c r="I706" s="3179" t="n">
        <f aca="false">IF(F706&lt;H706,F706*(D706-E706),0)+IF(H706=0,(D706-E706)*F706,0)+IF(H706&lt;F706,H706*(D706-E706),0)</f>
        <v>0</v>
      </c>
      <c r="J706" s="3179" t="n">
        <f aca="false">G706-I706</f>
        <v>0</v>
      </c>
    </row>
    <row r="707" customFormat="false" ht="15" hidden="false" customHeight="true" outlineLevel="0" collapsed="false">
      <c r="B707" s="1551" t="str">
        <f aca="false">'Смета Внутр'!B707</f>
        <v>Нет наличника</v>
      </c>
      <c r="C707" s="1551" t="str">
        <f aca="false">'Смета Внутр'!C707</f>
        <v>м.п.</v>
      </c>
      <c r="D707" s="1551" t="n">
        <f aca="false">'Смета Внутр'!D707</f>
        <v>3.57</v>
      </c>
      <c r="F707" s="1551" t="n">
        <f aca="false">'Смета Внутр'!E707</f>
        <v>0</v>
      </c>
      <c r="G707" s="1551" t="n">
        <f aca="false">'Смета Внутр'!H707</f>
        <v>0</v>
      </c>
      <c r="I707" s="3179" t="n">
        <f aca="false">IF(F707&lt;H707,F707*(D707-E707),0)+IF(H707=0,(D707-E707)*F707,0)+IF(H707&lt;F707,H707*(D707-E707),0)</f>
        <v>0</v>
      </c>
      <c r="J707" s="3179" t="n">
        <f aca="false">G707-I707</f>
        <v>0</v>
      </c>
    </row>
    <row r="708" customFormat="false" ht="15" hidden="false" customHeight="true" outlineLevel="0" collapsed="false">
      <c r="B708" s="1551" t="str">
        <f aca="false">'Смета Внутр'!B708</f>
        <v>Нет наличника</v>
      </c>
      <c r="C708" s="1551" t="str">
        <f aca="false">'Смета Внутр'!C708</f>
        <v>м.п.</v>
      </c>
      <c r="D708" s="1551" t="n">
        <f aca="false">'Смета Внутр'!D708</f>
        <v>3.57</v>
      </c>
      <c r="F708" s="1551" t="n">
        <f aca="false">'Смета Внутр'!E708</f>
        <v>0</v>
      </c>
      <c r="G708" s="1551" t="n">
        <f aca="false">'Смета Внутр'!H708</f>
        <v>0</v>
      </c>
      <c r="I708" s="3179" t="n">
        <f aca="false">IF(F708&lt;H708,F708*(D708-E708),0)+IF(H708=0,(D708-E708)*F708,0)+IF(H708&lt;F708,H708*(D708-E708),0)</f>
        <v>0</v>
      </c>
      <c r="J708" s="3179" t="n">
        <f aca="false">G708-I708</f>
        <v>0</v>
      </c>
    </row>
    <row r="709" customFormat="false" ht="15" hidden="false" customHeight="true" outlineLevel="0" collapsed="false">
      <c r="B709" s="1551" t="str">
        <f aca="false">'Смета Внутр'!B709</f>
        <v>Нет наждачной бумаги</v>
      </c>
      <c r="C709" s="1551" t="str">
        <f aca="false">'Смета Внутр'!C709</f>
        <v>м</v>
      </c>
      <c r="D709" s="1551" t="n">
        <f aca="false">'Смета Внутр'!D709</f>
        <v>0</v>
      </c>
      <c r="F709" s="1551" t="n">
        <f aca="false">'Смета Внутр'!E709</f>
        <v>0</v>
      </c>
      <c r="G709" s="1551" t="n">
        <f aca="false">'Смета Внутр'!H709</f>
        <v>0</v>
      </c>
      <c r="I709" s="3179" t="n">
        <f aca="false">IF(F709&lt;H709,F709*(D709-E709),0)+IF(H709=0,(D709-E709)*F709,0)+IF(H709&lt;F709,H709*(D709-E709),0)</f>
        <v>0</v>
      </c>
      <c r="J709" s="3179" t="n">
        <f aca="false">G709-I709</f>
        <v>0</v>
      </c>
    </row>
    <row r="710" customFormat="false" ht="15" hidden="false" customHeight="true" outlineLevel="0" collapsed="false">
      <c r="B710" s="1551" t="str">
        <f aca="false">'Смета Внутр'!B710</f>
        <v>Нет наждачной бумаги</v>
      </c>
      <c r="C710" s="1551" t="str">
        <f aca="false">'Смета Внутр'!C710</f>
        <v>м</v>
      </c>
      <c r="D710" s="1551" t="n">
        <f aca="false">'Смета Внутр'!D710</f>
        <v>0</v>
      </c>
      <c r="F710" s="1551" t="n">
        <f aca="false">'Смета Внутр'!E710</f>
        <v>0</v>
      </c>
      <c r="G710" s="1551" t="n">
        <f aca="false">'Смета Внутр'!H710</f>
        <v>0</v>
      </c>
      <c r="I710" s="3179" t="n">
        <f aca="false">IF(F710&lt;H710,F710*(D710-E710),0)+IF(H710=0,(D710-E710)*F710,0)+IF(H710&lt;F710,H710*(D710-E710),0)</f>
        <v>0</v>
      </c>
      <c r="J710" s="3179" t="n">
        <f aca="false">G710-I710</f>
        <v>0</v>
      </c>
    </row>
    <row r="711" customFormat="false" ht="15" hidden="false" customHeight="true" outlineLevel="0" collapsed="false">
      <c r="B711" s="1551" t="str">
        <f aca="false">'Смета Внутр'!B711</f>
        <v>Нет наждачной бумаги</v>
      </c>
      <c r="C711" s="1551" t="str">
        <f aca="false">'Смета Внутр'!C711</f>
        <v>м</v>
      </c>
      <c r="D711" s="1551" t="n">
        <f aca="false">'Смета Внутр'!D711</f>
        <v>0</v>
      </c>
      <c r="F711" s="1551" t="n">
        <f aca="false">'Смета Внутр'!E711</f>
        <v>0</v>
      </c>
      <c r="G711" s="1551" t="n">
        <f aca="false">'Смета Внутр'!H711</f>
        <v>0</v>
      </c>
      <c r="I711" s="3179" t="n">
        <f aca="false">IF(F711&lt;H711,F711*(D711-E711),0)+IF(H711=0,(D711-E711)*F711,0)+IF(H711&lt;F711,H711*(D711-E711),0)</f>
        <v>0</v>
      </c>
      <c r="J711" s="3179" t="n">
        <f aca="false">G711-I711</f>
        <v>0</v>
      </c>
    </row>
    <row r="712" customFormat="false" ht="15" hidden="false" customHeight="true" outlineLevel="0" collapsed="false">
      <c r="B712" s="1551" t="str">
        <f aca="false">'Смета Внутр'!B712</f>
        <v>Нет наждачной бумаги</v>
      </c>
      <c r="C712" s="1551" t="str">
        <f aca="false">'Смета Внутр'!C712</f>
        <v>м</v>
      </c>
      <c r="D712" s="1551" t="n">
        <f aca="false">'Смета Внутр'!D712</f>
        <v>0</v>
      </c>
      <c r="F712" s="1551" t="n">
        <f aca="false">'Смета Внутр'!E712</f>
        <v>0</v>
      </c>
      <c r="G712" s="1551" t="n">
        <f aca="false">'Смета Внутр'!H712</f>
        <v>0</v>
      </c>
      <c r="I712" s="3179" t="n">
        <f aca="false">IF(F712&lt;H712,F712*(D712-E712),0)+IF(H712=0,(D712-E712)*F712,0)+IF(H712&lt;F712,H712*(D712-E712),0)</f>
        <v>0</v>
      </c>
      <c r="J712" s="3179" t="n">
        <f aca="false">G712-I712</f>
        <v>0</v>
      </c>
    </row>
    <row r="713" customFormat="false" ht="15" hidden="false" customHeight="true" outlineLevel="0" collapsed="false">
      <c r="B713" s="1692" t="s">
        <v>4332</v>
      </c>
      <c r="C713" s="1692"/>
      <c r="D713" s="1692"/>
      <c r="E713" s="1692"/>
      <c r="F713" s="1692"/>
      <c r="G713" s="1551" t="n">
        <f aca="false">'Смета Внутр'!H713</f>
        <v>0</v>
      </c>
      <c r="H713" s="3184"/>
      <c r="I713" s="3179" t="n">
        <f aca="false">IF(F713&lt;H713,F713*(D713-E713),0)+IF(H713=0,(D713-E713)*F713,0)+IF(H713&lt;F713,H713*(D713-E713),0)</f>
        <v>0</v>
      </c>
      <c r="J713" s="3179" t="n">
        <f aca="false">G713-I713</f>
        <v>0</v>
      </c>
    </row>
    <row r="714" customFormat="false" ht="15" hidden="false" customHeight="true" outlineLevel="0" collapsed="false">
      <c r="B714" s="1268" t="str">
        <f aca="false">'Смета Внутр'!B714</f>
        <v>Работы</v>
      </c>
      <c r="C714" s="1268"/>
      <c r="D714" s="1268"/>
      <c r="E714" s="1268"/>
      <c r="F714" s="1268"/>
      <c r="G714" s="1551" t="n">
        <f aca="false">'Смета Внутр'!H714</f>
        <v>0</v>
      </c>
      <c r="H714" s="3175"/>
      <c r="I714" s="3179" t="n">
        <f aca="false">IF(F714&lt;H714,F714*(D714-E714),0)+IF(H714=0,(D714-E714)*F714,0)+IF(H714&lt;F714,H714*(D714-E714),0)</f>
        <v>0</v>
      </c>
      <c r="J714" s="3179" t="n">
        <f aca="false">G714-I714</f>
        <v>0</v>
      </c>
    </row>
    <row r="715" customFormat="false" ht="15" hidden="false" customHeight="true" outlineLevel="0" collapsed="false">
      <c r="B715" s="1551" t="str">
        <f aca="false">'Смета Внутр'!B715</f>
        <v>кладка бруса</v>
      </c>
      <c r="C715" s="1551" t="str">
        <f aca="false">'Смета Внутр'!C715</f>
        <v>м3</v>
      </c>
      <c r="D715" s="1551" t="n">
        <f aca="false">'Смета Внутр'!D715</f>
        <v>0.825</v>
      </c>
      <c r="F715" s="1551" t="n">
        <f aca="false">'Смета Внутр'!E715</f>
        <v>6000</v>
      </c>
      <c r="G715" s="1551" t="n">
        <f aca="false">'Смета Внутр'!H715</f>
        <v>0</v>
      </c>
      <c r="I715" s="3179" t="n">
        <f aca="false">IF(F715&lt;H715,F715*(D715-E715),0)+IF(H715=0,(D715-E715)*F715,0)+IF(H715&lt;F715,H715*(D715-E715),0)</f>
        <v>4950</v>
      </c>
      <c r="J715" s="3179" t="n">
        <f aca="false">G715-I715</f>
        <v>-4950</v>
      </c>
    </row>
    <row r="716" customFormat="false" ht="15" hidden="false" customHeight="true" outlineLevel="0" collapsed="false">
      <c r="B716" s="1551" t="str">
        <f aca="false">'Смета Внутр'!B716</f>
        <v>окосячка проемов, м.п.</v>
      </c>
      <c r="C716" s="1551" t="str">
        <f aca="false">'Смета Внутр'!C716</f>
        <v>м.п.</v>
      </c>
      <c r="D716" s="1551" t="n">
        <f aca="false">'Смета Внутр'!D716</f>
        <v>0</v>
      </c>
      <c r="F716" s="1551" t="n">
        <f aca="false">'Смета Внутр'!E716</f>
        <v>150</v>
      </c>
      <c r="G716" s="1551" t="n">
        <f aca="false">'Смета Внутр'!H716</f>
        <v>0</v>
      </c>
      <c r="I716" s="3179" t="n">
        <f aca="false">IF(F716&lt;H716,F716*(D716-E716),0)+IF(H716=0,(D716-E716)*F716,0)+IF(H716&lt;F716,H716*(D716-E716),0)</f>
        <v>0</v>
      </c>
      <c r="J716" s="3179" t="n">
        <f aca="false">G716-I716</f>
        <v>0</v>
      </c>
    </row>
    <row r="717" customFormat="false" ht="15" hidden="false" customHeight="true" outlineLevel="0" collapsed="false">
      <c r="B717" s="1551" t="str">
        <f aca="false">'Смета Внутр'!B717</f>
        <v>обработка торцов на брусе</v>
      </c>
      <c r="C717" s="1551" t="str">
        <f aca="false">'Смета Внутр'!C717</f>
        <v>м.п.</v>
      </c>
      <c r="D717" s="1551" t="n">
        <f aca="false">'Смета Внутр'!D717</f>
        <v>20</v>
      </c>
      <c r="F717" s="1551" t="n">
        <f aca="false">'Смета Внутр'!E717</f>
        <v>250</v>
      </c>
      <c r="G717" s="1551" t="n">
        <f aca="false">'Смета Внутр'!H717</f>
        <v>0</v>
      </c>
      <c r="I717" s="3179" t="n">
        <f aca="false">IF(F717&lt;H717,F717*(D717-E717),0)+IF(H717=0,(D717-E717)*F717,0)+IF(H717&lt;F717,H717*(D717-E717),0)</f>
        <v>5000</v>
      </c>
      <c r="J717" s="3179" t="n">
        <f aca="false">G717-I717</f>
        <v>-5000</v>
      </c>
    </row>
    <row r="718" customFormat="false" ht="15" hidden="false" customHeight="true" outlineLevel="0" collapsed="false">
      <c r="B718" s="1551" t="str">
        <f aca="false">'Смета Внутр'!B718</f>
        <v>Обаботка огнебиозащитой</v>
      </c>
      <c r="C718" s="1551" t="str">
        <f aca="false">'Смета Внутр'!C718</f>
        <v>м.п.</v>
      </c>
      <c r="D718" s="1551" t="n">
        <f aca="false">'Смета Внутр'!D718</f>
        <v>0.825</v>
      </c>
      <c r="F718" s="1551" t="n">
        <f aca="false">'Смета Внутр'!E718</f>
        <v>300</v>
      </c>
      <c r="G718" s="1551" t="n">
        <f aca="false">'Смета Внутр'!H718</f>
        <v>0</v>
      </c>
      <c r="I718" s="3179" t="n">
        <f aca="false">IF(F718&lt;H718,F718*(D718-E718),0)+IF(H718=0,(D718-E718)*F718,0)+IF(H718&lt;F718,H718*(D718-E718),0)</f>
        <v>247.5</v>
      </c>
      <c r="J718" s="3179" t="n">
        <f aca="false">G718-I718</f>
        <v>-247.5</v>
      </c>
    </row>
    <row r="719" customFormat="false" ht="15" hidden="false" customHeight="true" outlineLevel="0" collapsed="false">
      <c r="B719" s="1551" t="str">
        <f aca="false">'Смета Внутр'!B719</f>
        <v>Пропитка стен внешних</v>
      </c>
      <c r="C719" s="1551" t="str">
        <f aca="false">'Смета Внутр'!C719</f>
        <v>м.п.</v>
      </c>
      <c r="D719" s="1551" t="n">
        <f aca="false">'Смета Внутр'!D719</f>
        <v>0</v>
      </c>
      <c r="F719" s="1551" t="n">
        <f aca="false">'Смета Внутр'!E719</f>
        <v>100</v>
      </c>
      <c r="G719" s="1551" t="n">
        <f aca="false">'Смета Внутр'!H719</f>
        <v>0</v>
      </c>
      <c r="I719" s="3179" t="n">
        <f aca="false">IF(F719&lt;H719,F719*(D719-E719),0)+IF(H719=0,(D719-E719)*F719,0)+IF(H719&lt;F719,H719*(D719-E719),0)</f>
        <v>0</v>
      </c>
      <c r="J719" s="3179" t="n">
        <f aca="false">G719-I719</f>
        <v>0</v>
      </c>
    </row>
    <row r="720" customFormat="false" ht="15" hidden="false" customHeight="true" outlineLevel="0" collapsed="false">
      <c r="B720" s="1551" t="str">
        <f aca="false">'Смета Внутр'!B720</f>
        <v>Пропитка внутенних стен</v>
      </c>
      <c r="C720" s="1551" t="str">
        <f aca="false">'Смета Внутр'!C720</f>
        <v>м.п.</v>
      </c>
      <c r="D720" s="1551" t="n">
        <f aca="false">'Смета Внутр'!D720</f>
        <v>0</v>
      </c>
      <c r="F720" s="1551" t="n">
        <f aca="false">'Смета Внутр'!E720</f>
        <v>100</v>
      </c>
      <c r="G720" s="1551" t="n">
        <f aca="false">'Смета Внутр'!H720</f>
        <v>0</v>
      </c>
      <c r="I720" s="3179" t="n">
        <f aca="false">IF(F720&lt;H720,F720*(D720-E720),0)+IF(H720=0,(D720-E720)*F720,0)+IF(H720&lt;F720,H720*(D720-E720),0)</f>
        <v>0</v>
      </c>
      <c r="J720" s="3179" t="n">
        <f aca="false">G720-I720</f>
        <v>0</v>
      </c>
    </row>
    <row r="721" customFormat="false" ht="15" hidden="false" customHeight="true" outlineLevel="0" collapsed="false">
      <c r="B721" s="1551" t="str">
        <f aca="false">'Смета Внутр'!B721</f>
        <v>Не считать</v>
      </c>
      <c r="C721" s="1551" t="str">
        <f aca="false">'Смета Внутр'!C721</f>
        <v>м.п.</v>
      </c>
      <c r="D721" s="1551" t="n">
        <f aca="false">'Смета Внутр'!D721</f>
        <v>0</v>
      </c>
      <c r="F721" s="1551" t="n">
        <f aca="false">'Смета Внутр'!E721</f>
        <v>300</v>
      </c>
      <c r="G721" s="1551" t="n">
        <f aca="false">'Смета Внутр'!H721</f>
        <v>0</v>
      </c>
      <c r="I721" s="3179" t="n">
        <f aca="false">IF(F721&lt;H721,F721*(D721-E721),0)+IF(H721=0,(D721-E721)*F721,0)+IF(H721&lt;F721,H721*(D721-E721),0)</f>
        <v>0</v>
      </c>
      <c r="J721" s="3179" t="n">
        <f aca="false">G721-I721</f>
        <v>0</v>
      </c>
    </row>
    <row r="722" customFormat="false" ht="15" hidden="false" customHeight="true" outlineLevel="0" collapsed="false">
      <c r="B722" s="1551" t="str">
        <f aca="false">'Смета Внутр'!B722</f>
        <v>Монтаж наличника</v>
      </c>
      <c r="C722" s="1551" t="str">
        <f aca="false">'Смета Внутр'!C722</f>
        <v>м.п.</v>
      </c>
      <c r="D722" s="1551" t="n">
        <f aca="false">'Смета Внутр'!D722</f>
        <v>0</v>
      </c>
      <c r="F722" s="1551" t="n">
        <f aca="false">'Смета Внутр'!E722</f>
        <v>80</v>
      </c>
      <c r="G722" s="1551" t="n">
        <f aca="false">'Смета Внутр'!H722</f>
        <v>0</v>
      </c>
      <c r="I722" s="3179" t="n">
        <f aca="false">IF(F722&lt;H722,F722*(D722-E722),0)+IF(H722=0,(D722-E722)*F722,0)+IF(H722&lt;F722,H722*(D722-E722),0)</f>
        <v>0</v>
      </c>
      <c r="J722" s="3179" t="n">
        <f aca="false">G722-I722</f>
        <v>0</v>
      </c>
    </row>
    <row r="723" customFormat="false" ht="15" hidden="false" customHeight="true" outlineLevel="0" collapsed="false">
      <c r="B723" s="1551" t="str">
        <f aca="false">'Смета Внутр'!B723</f>
        <v>Шлифовка стен дома</v>
      </c>
      <c r="C723" s="1551" t="str">
        <f aca="false">'Смета Внутр'!C723</f>
        <v>м.п.</v>
      </c>
      <c r="D723" s="1551" t="n">
        <f aca="false">'Смета Внутр'!D723</f>
        <v>0</v>
      </c>
      <c r="F723" s="1551" t="n">
        <f aca="false">'Смета Внутр'!E723</f>
        <v>250</v>
      </c>
      <c r="G723" s="1551" t="n">
        <f aca="false">'Смета Внутр'!H723</f>
        <v>0</v>
      </c>
      <c r="I723" s="3179" t="n">
        <f aca="false">IF(F723&lt;H723,F723*(D723-E723),0)+IF(H723=0,(D723-E723)*F723,0)+IF(H723&lt;F723,H723*(D723-E723),0)</f>
        <v>0</v>
      </c>
      <c r="J723" s="3179" t="n">
        <f aca="false">G723-I723</f>
        <v>0</v>
      </c>
    </row>
    <row r="724" customFormat="false" ht="15" hidden="false" customHeight="false" outlineLevel="0" collapsed="false">
      <c r="B724" s="1692" t="s">
        <v>4333</v>
      </c>
      <c r="C724" s="1692"/>
      <c r="D724" s="1692"/>
      <c r="E724" s="1692"/>
      <c r="F724" s="1692"/>
      <c r="G724" s="1551" t="n">
        <f aca="false">'Смета Внутр'!H724</f>
        <v>0</v>
      </c>
      <c r="H724" s="1584"/>
      <c r="I724" s="3179" t="n">
        <f aca="false">IF(F724&lt;H724,F724*(D724-E724),0)+IF(H724=0,(D724-E724)*F724,0)+IF(H724&lt;F724,H724*(D724-E724),0)</f>
        <v>0</v>
      </c>
      <c r="J724" s="3179" t="n">
        <f aca="false">G724-I724</f>
        <v>0</v>
      </c>
    </row>
    <row r="725" customFormat="false" ht="15" hidden="false" customHeight="true" outlineLevel="0" collapsed="false">
      <c r="B725" s="1551" t="str">
        <f aca="false">'Смета Внутр'!B725</f>
        <v>Перекрытие 0-1-2 этажей</v>
      </c>
      <c r="C725" s="1551" t="n">
        <f aca="false">'Смета Внутр'!C725</f>
        <v>0</v>
      </c>
      <c r="D725" s="1551" t="n">
        <f aca="false">'Смета Внутр'!D725</f>
        <v>0</v>
      </c>
      <c r="F725" s="1551" t="n">
        <f aca="false">'Смета Внутр'!E725</f>
        <v>0</v>
      </c>
      <c r="G725" s="1551" t="n">
        <f aca="false">'Смета Внутр'!H725</f>
        <v>1</v>
      </c>
      <c r="I725" s="3179" t="n">
        <f aca="false">IF(F725&lt;H725,F725*(D725-E725),0)+IF(H725=0,(D725-E725)*F725,0)+IF(H725&lt;F725,H725*(D725-E725),0)</f>
        <v>0</v>
      </c>
      <c r="J725" s="3179" t="n">
        <f aca="false">G725-I725</f>
        <v>1</v>
      </c>
    </row>
    <row r="726" customFormat="false" ht="15" hidden="false" customHeight="true" outlineLevel="0" collapsed="false">
      <c r="B726" s="1268" t="str">
        <f aca="false">'Смета Внутр'!B726</f>
        <v>Материалы</v>
      </c>
      <c r="C726" s="1268"/>
      <c r="D726" s="1268"/>
      <c r="E726" s="1268"/>
      <c r="F726" s="1268"/>
      <c r="G726" s="1551" t="n">
        <f aca="false">'Смета Внутр'!H726</f>
        <v>1</v>
      </c>
      <c r="H726" s="3175"/>
      <c r="I726" s="3179" t="n">
        <f aca="false">IF(F726&lt;H726,F726*(D726-E726),0)+IF(H726=0,(D726-E726)*F726,0)+IF(H726&lt;F726,H726*(D726-E726),0)</f>
        <v>0</v>
      </c>
      <c r="J726" s="3179" t="n">
        <f aca="false">G726-I726</f>
        <v>1</v>
      </c>
    </row>
    <row r="727" customFormat="false" ht="15" hidden="false" customHeight="true" outlineLevel="0" collapsed="false">
      <c r="B727" s="1551" t="str">
        <f aca="false">'Смета Внутр'!B727</f>
        <v>Плиты перекрытия ЖБИ</v>
      </c>
      <c r="C727" s="1551" t="str">
        <f aca="false">'Смета Внутр'!C727</f>
        <v>м2</v>
      </c>
      <c r="D727" s="1551" t="n">
        <f aca="false">'Смета Внутр'!D727</f>
        <v>0</v>
      </c>
      <c r="F727" s="1551" t="n">
        <f aca="false">'Смета Внутр'!E727</f>
        <v>1400</v>
      </c>
      <c r="G727" s="1551" t="n">
        <f aca="false">'Смета Внутр'!H727</f>
        <v>0</v>
      </c>
      <c r="I727" s="3179" t="n">
        <f aca="false">IF(F727&lt;H727,F727*(D727-E727),0)+IF(H727=0,(D727-E727)*F727,0)+IF(H727&lt;F727,H727*(D727-E727),0)</f>
        <v>0</v>
      </c>
      <c r="J727" s="3179" t="n">
        <f aca="false">G727-I727</f>
        <v>0</v>
      </c>
    </row>
    <row r="728" customFormat="false" ht="15" hidden="false" customHeight="true" outlineLevel="0" collapsed="false">
      <c r="B728" s="1551" t="str">
        <f aca="false">'Смета Внутр'!B728</f>
        <v>Раствор, м250</v>
      </c>
      <c r="C728" s="1551" t="str">
        <f aca="false">'Смета Внутр'!C728</f>
        <v>м3</v>
      </c>
      <c r="D728" s="1551" t="n">
        <f aca="false">'Смета Внутр'!D728</f>
        <v>0</v>
      </c>
      <c r="F728" s="1551" t="n">
        <f aca="false">'Смета Внутр'!E728</f>
        <v>2500</v>
      </c>
      <c r="G728" s="1551" t="n">
        <f aca="false">'Смета Внутр'!H728</f>
        <v>0</v>
      </c>
      <c r="I728" s="3179" t="n">
        <f aca="false">IF(F728&lt;H728,F728*(D728-E728),0)+IF(H728=0,(D728-E728)*F728,0)+IF(H728&lt;F728,H728*(D728-E728),0)</f>
        <v>0</v>
      </c>
      <c r="J728" s="3179" t="n">
        <f aca="false">G728-I728</f>
        <v>0</v>
      </c>
    </row>
    <row r="729" customFormat="false" ht="15" hidden="false" customHeight="true" outlineLevel="0" collapsed="false">
      <c r="B729" s="1551" t="str">
        <f aca="false">'Смета Внутр'!B729</f>
        <v>Монолит, бетон, 300мм, 2 слоя</v>
      </c>
      <c r="C729" s="1551" t="str">
        <f aca="false">'Смета Внутр'!C729</f>
        <v>м2</v>
      </c>
      <c r="D729" s="1551" t="n">
        <f aca="false">'Смета Внутр'!D729</f>
        <v>0</v>
      </c>
      <c r="F729" s="1551" t="n">
        <f aca="false">'Смета Внутр'!E729</f>
        <v>1</v>
      </c>
      <c r="G729" s="1551" t="n">
        <f aca="false">'Смета Внутр'!H729</f>
        <v>0</v>
      </c>
      <c r="I729" s="3179" t="n">
        <f aca="false">IF(F729&lt;H729,F729*(D729-E729),0)+IF(H729=0,(D729-E729)*F729,0)+IF(H729&lt;F729,H729*(D729-E729),0)</f>
        <v>0</v>
      </c>
      <c r="J729" s="3179" t="n">
        <f aca="false">G729-I729</f>
        <v>0</v>
      </c>
    </row>
    <row r="730" customFormat="false" ht="15" hidden="false" customHeight="true" outlineLevel="0" collapsed="false">
      <c r="B730" s="1551" t="str">
        <f aca="false">'Смета Внутр'!B730</f>
        <v>Монолит, бетон, 300мм, 1 слой</v>
      </c>
      <c r="C730" s="1551" t="str">
        <f aca="false">'Смета Внутр'!C730</f>
        <v>м2</v>
      </c>
      <c r="D730" s="1551" t="n">
        <f aca="false">'Смета Внутр'!D730</f>
        <v>0</v>
      </c>
      <c r="F730" s="1551" t="n">
        <f aca="false">'Смета Внутр'!E730</f>
        <v>1</v>
      </c>
      <c r="G730" s="1551" t="n">
        <f aca="false">'Смета Внутр'!H730</f>
        <v>0</v>
      </c>
      <c r="I730" s="3179" t="n">
        <f aca="false">IF(F730&lt;H730,F730*(D730-E730),0)+IF(H730=0,(D730-E730)*F730,0)+IF(H730&lt;F730,H730*(D730-E730),0)</f>
        <v>0</v>
      </c>
      <c r="J730" s="3179" t="n">
        <f aca="false">G730-I730</f>
        <v>0</v>
      </c>
    </row>
    <row r="731" customFormat="false" ht="15" hidden="false" customHeight="true" outlineLevel="0" collapsed="false">
      <c r="B731" s="1551" t="str">
        <f aca="false">'Смета Внутр'!B731</f>
        <v>Монолит, бетон, 250мм, 2 слоя</v>
      </c>
      <c r="C731" s="1551" t="str">
        <f aca="false">'Смета Внутр'!C731</f>
        <v>м2</v>
      </c>
      <c r="D731" s="1551" t="n">
        <f aca="false">'Смета Внутр'!D731</f>
        <v>0</v>
      </c>
      <c r="F731" s="1551" t="n">
        <f aca="false">'Смета Внутр'!E731</f>
        <v>1</v>
      </c>
      <c r="G731" s="1551" t="n">
        <f aca="false">'Смета Внутр'!H731</f>
        <v>0</v>
      </c>
      <c r="I731" s="3179" t="n">
        <f aca="false">IF(F731&lt;H731,F731*(D731-E731),0)+IF(H731=0,(D731-E731)*F731,0)+IF(H731&lt;F731,H731*(D731-E731),0)</f>
        <v>0</v>
      </c>
      <c r="J731" s="3179" t="n">
        <f aca="false">G731-I731</f>
        <v>0</v>
      </c>
    </row>
    <row r="732" customFormat="false" ht="15" hidden="false" customHeight="true" outlineLevel="0" collapsed="false">
      <c r="B732" s="1551" t="str">
        <f aca="false">'Смета Внутр'!B732</f>
        <v>Монолит, бетон, 250мм, 1 слой</v>
      </c>
      <c r="C732" s="1551" t="str">
        <f aca="false">'Смета Внутр'!C732</f>
        <v>м2</v>
      </c>
      <c r="D732" s="1551" t="n">
        <f aca="false">'Смета Внутр'!D732</f>
        <v>0</v>
      </c>
      <c r="F732" s="1551" t="n">
        <f aca="false">'Смета Внутр'!E732</f>
        <v>1</v>
      </c>
      <c r="G732" s="1551" t="n">
        <f aca="false">'Смета Внутр'!H732</f>
        <v>0</v>
      </c>
      <c r="I732" s="3179" t="n">
        <f aca="false">IF(F732&lt;H732,F732*(D732-E732),0)+IF(H732=0,(D732-E732)*F732,0)+IF(H732&lt;F732,H732*(D732-E732),0)</f>
        <v>0</v>
      </c>
      <c r="J732" s="3179" t="n">
        <f aca="false">G732-I732</f>
        <v>0</v>
      </c>
    </row>
    <row r="733" customFormat="false" ht="15" hidden="false" customHeight="true" outlineLevel="0" collapsed="false">
      <c r="B733" s="1551" t="str">
        <f aca="false">'Смета Внутр'!B733</f>
        <v>Монолит, бетон, 200мм, 2 слоя</v>
      </c>
      <c r="C733" s="1551" t="str">
        <f aca="false">'Смета Внутр'!C733</f>
        <v>м2</v>
      </c>
      <c r="D733" s="1551" t="n">
        <f aca="false">'Смета Внутр'!D733</f>
        <v>0</v>
      </c>
      <c r="F733" s="1551" t="n">
        <f aca="false">'Смета Внутр'!E733</f>
        <v>1</v>
      </c>
      <c r="G733" s="1551" t="n">
        <f aca="false">'Смета Внутр'!H733</f>
        <v>0</v>
      </c>
      <c r="I733" s="3179" t="n">
        <f aca="false">IF(F733&lt;H733,F733*(D733-E733),0)+IF(H733=0,(D733-E733)*F733,0)+IF(H733&lt;F733,H733*(D733-E733),0)</f>
        <v>0</v>
      </c>
      <c r="J733" s="3179" t="n">
        <f aca="false">G733-I733</f>
        <v>0</v>
      </c>
    </row>
    <row r="734" customFormat="false" ht="15" hidden="false" customHeight="true" outlineLevel="0" collapsed="false">
      <c r="B734" s="1551" t="str">
        <f aca="false">'Смета Внутр'!B734</f>
        <v>Монолит, бетон, 200мм, 1 слой</v>
      </c>
      <c r="C734" s="1551" t="str">
        <f aca="false">'Смета Внутр'!C734</f>
        <v>м2</v>
      </c>
      <c r="D734" s="1551" t="n">
        <f aca="false">'Смета Внутр'!D734</f>
        <v>0</v>
      </c>
      <c r="F734" s="1551" t="n">
        <f aca="false">'Смета Внутр'!E734</f>
        <v>1</v>
      </c>
      <c r="G734" s="1551" t="n">
        <f aca="false">'Смета Внутр'!H734</f>
        <v>0</v>
      </c>
      <c r="I734" s="3179" t="n">
        <f aca="false">IF(F734&lt;H734,F734*(D734-E734),0)+IF(H734=0,(D734-E734)*F734,0)+IF(H734&lt;F734,H734*(D734-E734),0)</f>
        <v>0</v>
      </c>
      <c r="J734" s="3179" t="n">
        <f aca="false">G734-I734</f>
        <v>0</v>
      </c>
    </row>
    <row r="735" customFormat="false" ht="15" hidden="false" customHeight="true" outlineLevel="0" collapsed="false">
      <c r="B735" s="1551" t="str">
        <f aca="false">'Смета Внутр'!B735</f>
        <v>Монолит, бетон, 150мм, 2 слоя</v>
      </c>
      <c r="C735" s="1551" t="str">
        <f aca="false">'Смета Внутр'!C735</f>
        <v>м2</v>
      </c>
      <c r="D735" s="1551" t="n">
        <f aca="false">'Смета Внутр'!D735</f>
        <v>0</v>
      </c>
      <c r="F735" s="1551" t="n">
        <f aca="false">'Смета Внутр'!E735</f>
        <v>1</v>
      </c>
      <c r="G735" s="1551" t="n">
        <f aca="false">'Смета Внутр'!H735</f>
        <v>0</v>
      </c>
      <c r="I735" s="3179" t="n">
        <f aca="false">IF(F735&lt;H735,F735*(D735-E735),0)+IF(H735=0,(D735-E735)*F735,0)+IF(H735&lt;F735,H735*(D735-E735),0)</f>
        <v>0</v>
      </c>
      <c r="J735" s="3179" t="n">
        <f aca="false">G735-I735</f>
        <v>0</v>
      </c>
    </row>
    <row r="736" customFormat="false" ht="15" hidden="false" customHeight="true" outlineLevel="0" collapsed="false">
      <c r="B736" s="1551" t="str">
        <f aca="false">'Смета Внутр'!B736</f>
        <v>Монолит, бетон, 150мм, 1 слой</v>
      </c>
      <c r="C736" s="1551" t="str">
        <f aca="false">'Смета Внутр'!C736</f>
        <v>м2</v>
      </c>
      <c r="D736" s="1551" t="n">
        <f aca="false">'Смета Внутр'!D736</f>
        <v>0</v>
      </c>
      <c r="F736" s="1551" t="n">
        <f aca="false">'Смета Внутр'!E736</f>
        <v>1</v>
      </c>
      <c r="G736" s="1551" t="n">
        <f aca="false">'Смета Внутр'!H736</f>
        <v>0</v>
      </c>
      <c r="I736" s="3179" t="n">
        <f aca="false">IF(F736&lt;H736,F736*(D736-E736),0)+IF(H736=0,(D736-E736)*F736,0)+IF(H736&lt;F736,H736*(D736-E736),0)</f>
        <v>0</v>
      </c>
      <c r="J736" s="3179" t="n">
        <f aca="false">G736-I736</f>
        <v>0</v>
      </c>
    </row>
    <row r="737" customFormat="false" ht="15" hidden="false" customHeight="true" outlineLevel="0" collapsed="false">
      <c r="B737" s="1551" t="str">
        <f aca="false">'Смета Внутр'!B737</f>
        <v>доска для опалубки монолит перекрытий</v>
      </c>
      <c r="C737" s="1551" t="str">
        <f aca="false">'Смета Внутр'!C737</f>
        <v>м3</v>
      </c>
      <c r="D737" s="1551" t="n">
        <f aca="false">'Смета Внутр'!D737</f>
        <v>0</v>
      </c>
      <c r="F737" s="1551" t="n">
        <f aca="false">'Смета Внутр'!E737</f>
        <v>6500</v>
      </c>
      <c r="G737" s="1551" t="n">
        <f aca="false">'Смета Внутр'!H737</f>
        <v>0</v>
      </c>
      <c r="I737" s="3179" t="n">
        <f aca="false">IF(F737&lt;H737,F737*(D737-E737),0)+IF(H737=0,(D737-E737)*F737,0)+IF(H737&lt;F737,H737*(D737-E737),0)</f>
        <v>0</v>
      </c>
      <c r="J737" s="3179" t="n">
        <f aca="false">G737-I737</f>
        <v>0</v>
      </c>
    </row>
    <row r="738" customFormat="false" ht="15" hidden="false" customHeight="true" outlineLevel="0" collapsed="false">
      <c r="B738" s="1551" t="str">
        <f aca="false">'Смета Внутр'!B738</f>
        <v>стойки под опалубку перекрытий</v>
      </c>
      <c r="C738" s="1551" t="str">
        <f aca="false">'Смета Внутр'!C738</f>
        <v>шт</v>
      </c>
      <c r="D738" s="1551" t="n">
        <f aca="false">'Смета Внутр'!D738</f>
        <v>0</v>
      </c>
      <c r="F738" s="1551" t="n">
        <f aca="false">'Смета Внутр'!E738</f>
        <v>0</v>
      </c>
      <c r="G738" s="1551" t="n">
        <f aca="false">'Смета Внутр'!H738</f>
        <v>0</v>
      </c>
      <c r="I738" s="3179" t="n">
        <f aca="false">IF(F738&lt;H738,F738*(D738-E738),0)+IF(H738=0,(D738-E738)*F738,0)+IF(H738&lt;F738,H738*(D738-E738),0)</f>
        <v>0</v>
      </c>
      <c r="J738" s="3179" t="n">
        <f aca="false">G738-I738</f>
        <v>0</v>
      </c>
    </row>
    <row r="739" customFormat="false" ht="15" hidden="false" customHeight="true" outlineLevel="0" collapsed="false">
      <c r="B739" s="1551" t="str">
        <f aca="false">'Смета Внутр'!B739</f>
        <v>Пленка гидроизоляционная </v>
      </c>
      <c r="C739" s="1551" t="str">
        <f aca="false">'Смета Внутр'!C739</f>
        <v>м2</v>
      </c>
      <c r="D739" s="1551" t="n">
        <f aca="false">'Смета Внутр'!D739</f>
        <v>0</v>
      </c>
      <c r="F739" s="1551" t="n">
        <f aca="false">'Смета Внутр'!E739</f>
        <v>15</v>
      </c>
      <c r="G739" s="1551" t="n">
        <f aca="false">'Смета Внутр'!H739</f>
        <v>0</v>
      </c>
      <c r="I739" s="3179" t="n">
        <f aca="false">IF(F739&lt;H739,F739*(D739-E739),0)+IF(H739=0,(D739-E739)*F739,0)+IF(H739&lt;F739,H739*(D739-E739),0)</f>
        <v>0</v>
      </c>
      <c r="J739" s="3179" t="n">
        <f aca="false">G739-I739</f>
        <v>0</v>
      </c>
    </row>
    <row r="740" customFormat="false" ht="15" hidden="false" customHeight="true" outlineLevel="0" collapsed="false">
      <c r="B740" s="1551" t="str">
        <f aca="false">'Смета Внутр'!B740</f>
        <v>Арматура М10</v>
      </c>
      <c r="C740" s="1551" t="str">
        <f aca="false">'Смета Внутр'!C740</f>
        <v>м.п.</v>
      </c>
      <c r="D740" s="1551" t="n">
        <f aca="false">'Смета Внутр'!D740</f>
        <v>0</v>
      </c>
      <c r="F740" s="1551" t="n">
        <f aca="false">'Смета Внутр'!E740</f>
        <v>21.0397</v>
      </c>
      <c r="G740" s="1551" t="n">
        <f aca="false">'Смета Внутр'!H740</f>
        <v>0</v>
      </c>
      <c r="I740" s="3179" t="n">
        <f aca="false">IF(F740&lt;H740,F740*(D740-E740),0)+IF(H740=0,(D740-E740)*F740,0)+IF(H740&lt;F740,H740*(D740-E740),0)</f>
        <v>0</v>
      </c>
      <c r="J740" s="3179" t="n">
        <f aca="false">G740-I740</f>
        <v>0</v>
      </c>
    </row>
    <row r="741" customFormat="false" ht="15" hidden="false" customHeight="true" outlineLevel="0" collapsed="false">
      <c r="B741" s="1551" t="str">
        <f aca="false">'Смета Внутр'!B741</f>
        <v>Вязальная проволока</v>
      </c>
      <c r="C741" s="1551" t="str">
        <f aca="false">'Смета Внутр'!C741</f>
        <v>кг</v>
      </c>
      <c r="D741" s="1551" t="n">
        <f aca="false">'Смета Внутр'!D741</f>
        <v>0</v>
      </c>
      <c r="F741" s="1551" t="n">
        <f aca="false">'Смета Внутр'!E741</f>
        <v>80</v>
      </c>
      <c r="G741" s="1551" t="n">
        <f aca="false">'Смета Внутр'!H741</f>
        <v>0</v>
      </c>
      <c r="I741" s="3179" t="n">
        <f aca="false">IF(F741&lt;H741,F741*(D741-E741),0)+IF(H741=0,(D741-E741)*F741,0)+IF(H741&lt;F741,H741*(D741-E741),0)</f>
        <v>0</v>
      </c>
      <c r="J741" s="3179" t="n">
        <f aca="false">G741-I741</f>
        <v>0</v>
      </c>
    </row>
    <row r="742" customFormat="false" ht="15" hidden="false" customHeight="true" outlineLevel="0" collapsed="false">
      <c r="B742" s="1551" t="str">
        <f aca="false">'Смета Внутр'!B742</f>
        <v>Подставка под арматурный каркас</v>
      </c>
      <c r="C742" s="1551" t="str">
        <f aca="false">'Смета Внутр'!C742</f>
        <v>шт</v>
      </c>
      <c r="D742" s="1551" t="n">
        <f aca="false">'Смета Внутр'!D742</f>
        <v>0</v>
      </c>
      <c r="F742" s="1551" t="n">
        <f aca="false">'Смета Внутр'!E742</f>
        <v>5</v>
      </c>
      <c r="G742" s="1551" t="n">
        <f aca="false">'Смета Внутр'!H742</f>
        <v>0</v>
      </c>
      <c r="I742" s="3179" t="n">
        <f aca="false">IF(F742&lt;H742,F742*(D742-E742),0)+IF(H742=0,(D742-E742)*F742,0)+IF(H742&lt;F742,H742*(D742-E742),0)</f>
        <v>0</v>
      </c>
      <c r="J742" s="3179" t="n">
        <f aca="false">G742-I742</f>
        <v>0</v>
      </c>
    </row>
    <row r="743" customFormat="false" ht="15" hidden="false" customHeight="true" outlineLevel="0" collapsed="false">
      <c r="B743" s="1551" t="str">
        <f aca="false">'Смета Внутр'!B743</f>
        <v>бетон, м350</v>
      </c>
      <c r="C743" s="1551" t="str">
        <f aca="false">'Смета Внутр'!C743</f>
        <v>м3</v>
      </c>
      <c r="D743" s="1551" t="n">
        <f aca="false">'Смета Внутр'!D743</f>
        <v>0</v>
      </c>
      <c r="F743" s="1551" t="n">
        <f aca="false">'Смета Внутр'!E743</f>
        <v>3500</v>
      </c>
      <c r="G743" s="1551" t="n">
        <f aca="false">'Смета Внутр'!H743</f>
        <v>0</v>
      </c>
      <c r="I743" s="3179" t="n">
        <f aca="false">IF(F743&lt;H743,F743*(D743-E743),0)+IF(H743=0,(D743-E743)*F743,0)+IF(H743&lt;F743,H743*(D743-E743),0)</f>
        <v>0</v>
      </c>
      <c r="J743" s="3179" t="n">
        <f aca="false">G743-I743</f>
        <v>0</v>
      </c>
    </row>
    <row r="744" customFormat="false" ht="15" hidden="false" customHeight="true" outlineLevel="0" collapsed="false">
      <c r="B744" s="1551" t="str">
        <f aca="false">'Смета Внутр'!B744</f>
        <v>Брус естественной влажности, 200*100мм</v>
      </c>
      <c r="C744" s="1551" t="str">
        <f aca="false">'Смета Внутр'!C744</f>
        <v>м3</v>
      </c>
      <c r="D744" s="1551" t="n">
        <f aca="false">'Смета Внутр'!D744</f>
        <v>0</v>
      </c>
      <c r="F744" s="1551" t="n">
        <f aca="false">'Смета Внутр'!E744</f>
        <v>6500</v>
      </c>
      <c r="G744" s="1551" t="n">
        <f aca="false">'Смета Внутр'!H744</f>
        <v>0</v>
      </c>
      <c r="I744" s="3179" t="n">
        <f aca="false">IF(F744&lt;H744,F744*(D744-E744),0)+IF(H744=0,(D744-E744)*F744,0)+IF(H744&lt;F744,H744*(D744-E744),0)</f>
        <v>0</v>
      </c>
      <c r="J744" s="3179" t="n">
        <f aca="false">G744-I744</f>
        <v>0</v>
      </c>
    </row>
    <row r="745" customFormat="false" ht="15" hidden="false" customHeight="true" outlineLevel="0" collapsed="false">
      <c r="B745" s="1551" t="str">
        <f aca="false">'Смета Внутр'!B745</f>
        <v>Брус естественной влажности, 150*100мм</v>
      </c>
      <c r="C745" s="1551" t="str">
        <f aca="false">'Смета Внутр'!C745</f>
        <v>м3</v>
      </c>
      <c r="D745" s="1551" t="n">
        <f aca="false">'Смета Внутр'!D745</f>
        <v>0</v>
      </c>
      <c r="F745" s="1551" t="n">
        <f aca="false">'Смета Внутр'!E745</f>
        <v>6500</v>
      </c>
      <c r="G745" s="1551" t="n">
        <f aca="false">'Смета Внутр'!H745</f>
        <v>0</v>
      </c>
      <c r="I745" s="3179" t="n">
        <f aca="false">IF(F745&lt;H745,F745*(D745-E745),0)+IF(H745=0,(D745-E745)*F745,0)+IF(H745&lt;F745,H745*(D745-E745),0)</f>
        <v>0</v>
      </c>
      <c r="J745" s="3179" t="n">
        <f aca="false">G745-I745</f>
        <v>0</v>
      </c>
    </row>
    <row r="746" customFormat="false" ht="15" hidden="false" customHeight="true" outlineLevel="0" collapsed="false">
      <c r="B746" s="1551" t="str">
        <f aca="false">'Смета Внутр'!B746</f>
        <v>Брус естественной влажности, 100*100мм</v>
      </c>
      <c r="C746" s="1551" t="str">
        <f aca="false">'Смета Внутр'!C746</f>
        <v>м3</v>
      </c>
      <c r="D746" s="1551" t="n">
        <f aca="false">'Смета Внутр'!D746</f>
        <v>0</v>
      </c>
      <c r="F746" s="1551" t="n">
        <f aca="false">'Смета Внутр'!E746</f>
        <v>6500</v>
      </c>
      <c r="G746" s="1551" t="n">
        <f aca="false">'Смета Внутр'!H746</f>
        <v>0</v>
      </c>
      <c r="I746" s="3179" t="n">
        <f aca="false">IF(F746&lt;H746,F746*(D746-E746),0)+IF(H746=0,(D746-E746)*F746,0)+IF(H746&lt;F746,H746*(D746-E746),0)</f>
        <v>0</v>
      </c>
      <c r="J746" s="3179" t="n">
        <f aca="false">G746-I746</f>
        <v>0</v>
      </c>
    </row>
    <row r="747" customFormat="false" ht="15" hidden="false" customHeight="true" outlineLevel="0" collapsed="false">
      <c r="B747" s="1551" t="str">
        <f aca="false">'Смета Внутр'!B747</f>
        <v>Брус естественной влажности, 150*150мм</v>
      </c>
      <c r="C747" s="1551" t="str">
        <f aca="false">'Смета Внутр'!C747</f>
        <v>м3</v>
      </c>
      <c r="D747" s="1551" t="n">
        <f aca="false">'Смета Внутр'!D747</f>
        <v>0</v>
      </c>
      <c r="F747" s="1551" t="n">
        <f aca="false">'Смета Внутр'!E747</f>
        <v>6500</v>
      </c>
      <c r="G747" s="1551" t="n">
        <f aca="false">'Смета Внутр'!H747</f>
        <v>0</v>
      </c>
      <c r="I747" s="3179" t="n">
        <f aca="false">IF(F747&lt;H747,F747*(D747-E747),0)+IF(H747=0,(D747-E747)*F747,0)+IF(H747&lt;F747,H747*(D747-E747),0)</f>
        <v>0</v>
      </c>
      <c r="J747" s="3179" t="n">
        <f aca="false">G747-I747</f>
        <v>0</v>
      </c>
    </row>
    <row r="748" customFormat="false" ht="15" hidden="false" customHeight="true" outlineLevel="0" collapsed="false">
      <c r="B748" s="1551" t="str">
        <f aca="false">'Смета Внутр'!B748</f>
        <v>Доска естественной влажности, 200*50мм</v>
      </c>
      <c r="C748" s="1551" t="str">
        <f aca="false">'Смета Внутр'!C748</f>
        <v>м3</v>
      </c>
      <c r="D748" s="1551" t="n">
        <f aca="false">'Смета Внутр'!D748</f>
        <v>0</v>
      </c>
      <c r="F748" s="1551" t="n">
        <f aca="false">'Смета Внутр'!E748</f>
        <v>6500</v>
      </c>
      <c r="G748" s="1551" t="n">
        <f aca="false">'Смета Внутр'!H748</f>
        <v>0</v>
      </c>
      <c r="I748" s="3179" t="n">
        <f aca="false">IF(F748&lt;H748,F748*(D748-E748),0)+IF(H748=0,(D748-E748)*F748,0)+IF(H748&lt;F748,H748*(D748-E748),0)</f>
        <v>0</v>
      </c>
      <c r="J748" s="3179" t="n">
        <f aca="false">G748-I748</f>
        <v>0</v>
      </c>
    </row>
    <row r="749" customFormat="false" ht="15" hidden="false" customHeight="true" outlineLevel="0" collapsed="false">
      <c r="B749" s="1551" t="str">
        <f aca="false">'Смета Внутр'!B749</f>
        <v>Доска естественной влажности, 150*50мм</v>
      </c>
      <c r="C749" s="1551" t="str">
        <f aca="false">'Смета Внутр'!C749</f>
        <v>м3</v>
      </c>
      <c r="D749" s="1551" t="n">
        <f aca="false">'Смета Внутр'!D749</f>
        <v>0</v>
      </c>
      <c r="F749" s="1551" t="n">
        <f aca="false">'Смета Внутр'!E749</f>
        <v>6500</v>
      </c>
      <c r="G749" s="1551" t="n">
        <f aca="false">'Смета Внутр'!H749</f>
        <v>0</v>
      </c>
      <c r="I749" s="3179" t="n">
        <f aca="false">IF(F749&lt;H749,F749*(D749-E749),0)+IF(H749=0,(D749-E749)*F749,0)+IF(H749&lt;F749,H749*(D749-E749),0)</f>
        <v>0</v>
      </c>
      <c r="J749" s="3179" t="n">
        <f aca="false">G749-I749</f>
        <v>0</v>
      </c>
    </row>
    <row r="750" customFormat="false" ht="15" hidden="false" customHeight="true" outlineLevel="0" collapsed="false">
      <c r="B750" s="1551" t="str">
        <f aca="false">'Смета Внутр'!B750</f>
        <v>Опора бруса          </v>
      </c>
      <c r="C750" s="1551" t="str">
        <f aca="false">'Смета Внутр'!C750</f>
        <v>шт</v>
      </c>
      <c r="D750" s="1551" t="n">
        <f aca="false">'Смета Внутр'!D750</f>
        <v>0</v>
      </c>
      <c r="F750" s="1551" t="n">
        <f aca="false">'Смета Внутр'!E750</f>
        <v>50</v>
      </c>
      <c r="G750" s="1551" t="n">
        <f aca="false">'Смета Внутр'!H750</f>
        <v>0</v>
      </c>
      <c r="I750" s="3179" t="n">
        <f aca="false">IF(F750&lt;H750,F750*(D750-E750),0)+IF(H750=0,(D750-E750)*F750,0)+IF(H750&lt;F750,H750*(D750-E750),0)</f>
        <v>0</v>
      </c>
      <c r="J750" s="3179" t="n">
        <f aca="false">G750-I750</f>
        <v>0</v>
      </c>
    </row>
    <row r="751" customFormat="false" ht="15" hidden="false" customHeight="true" outlineLevel="0" collapsed="false">
      <c r="B751" s="1551" t="str">
        <f aca="false">'Смета Внутр'!B751</f>
        <v>Болты анкерные с гайкой 8,0 x 60           </v>
      </c>
      <c r="C751" s="1551" t="str">
        <f aca="false">'Смета Внутр'!C751</f>
        <v>шт</v>
      </c>
      <c r="D751" s="1551" t="n">
        <f aca="false">'Смета Внутр'!D751</f>
        <v>0</v>
      </c>
      <c r="F751" s="1551" t="n">
        <f aca="false">'Смета Внутр'!E751</f>
        <v>4</v>
      </c>
      <c r="G751" s="1551" t="n">
        <f aca="false">'Смета Внутр'!H751</f>
        <v>0</v>
      </c>
      <c r="I751" s="3179" t="n">
        <f aca="false">IF(F751&lt;H751,F751*(D751-E751),0)+IF(H751=0,(D751-E751)*F751,0)+IF(H751&lt;F751,H751*(D751-E751),0)</f>
        <v>0</v>
      </c>
      <c r="J751" s="3179" t="n">
        <f aca="false">G751-I751</f>
        <v>0</v>
      </c>
    </row>
    <row r="752" customFormat="false" ht="15" hidden="false" customHeight="true" outlineLevel="0" collapsed="false">
      <c r="B752" s="1551" t="str">
        <f aca="false">'Смета Внутр'!B752</f>
        <v>Sip панель 2500*625*124мм</v>
      </c>
      <c r="C752" s="1551" t="str">
        <f aca="false">'Смета Внутр'!C752</f>
        <v>м2</v>
      </c>
      <c r="D752" s="1551" t="n">
        <f aca="false">'Смета Внутр'!D752</f>
        <v>0</v>
      </c>
      <c r="F752" s="1551" t="n">
        <f aca="false">'Смета Внутр'!E752</f>
        <v>800</v>
      </c>
      <c r="G752" s="1551" t="n">
        <f aca="false">'Смета Внутр'!H752</f>
        <v>0</v>
      </c>
      <c r="I752" s="3179" t="n">
        <f aca="false">IF(F752&lt;H752,F752*(D752-E752),0)+IF(H752=0,(D752-E752)*F752,0)+IF(H752&lt;F752,H752*(D752-E752),0)</f>
        <v>0</v>
      </c>
      <c r="J752" s="3179" t="n">
        <f aca="false">G752-I752</f>
        <v>0</v>
      </c>
    </row>
    <row r="753" customFormat="false" ht="15" hidden="false" customHeight="true" outlineLevel="0" collapsed="false">
      <c r="B753" s="1551" t="str">
        <f aca="false">'Смета Внутр'!B753</f>
        <v>Sip панель 2500*625*174мм</v>
      </c>
      <c r="C753" s="1551" t="str">
        <f aca="false">'Смета Внутр'!C753</f>
        <v>м2</v>
      </c>
      <c r="D753" s="1551" t="n">
        <f aca="false">'Смета Внутр'!D753</f>
        <v>0</v>
      </c>
      <c r="F753" s="1551" t="n">
        <f aca="false">'Смета Внутр'!E753</f>
        <v>1200</v>
      </c>
      <c r="G753" s="1551" t="n">
        <f aca="false">'Смета Внутр'!H753</f>
        <v>0</v>
      </c>
      <c r="I753" s="3179" t="n">
        <f aca="false">IF(F753&lt;H753,F753*(D753-E753),0)+IF(H753=0,(D753-E753)*F753,0)+IF(H753&lt;F753,H753*(D753-E753),0)</f>
        <v>0</v>
      </c>
      <c r="J753" s="3179" t="n">
        <f aca="false">G753-I753</f>
        <v>0</v>
      </c>
    </row>
    <row r="754" customFormat="false" ht="15" hidden="false" customHeight="true" outlineLevel="0" collapsed="false">
      <c r="B754" s="1551" t="str">
        <f aca="false">'Смета Внутр'!B754</f>
        <v>Sip панель 2500*625*224мм</v>
      </c>
      <c r="C754" s="1551" t="str">
        <f aca="false">'Смета Внутр'!C754</f>
        <v>м2</v>
      </c>
      <c r="D754" s="1551" t="n">
        <f aca="false">'Смета Внутр'!D754</f>
        <v>0</v>
      </c>
      <c r="F754" s="1551" t="n">
        <f aca="false">'Смета Внутр'!E754</f>
        <v>1400</v>
      </c>
      <c r="G754" s="1551" t="n">
        <f aca="false">'Смета Внутр'!H754</f>
        <v>0</v>
      </c>
      <c r="I754" s="3179" t="n">
        <f aca="false">IF(F754&lt;H754,F754*(D754-E754),0)+IF(H754=0,(D754-E754)*F754,0)+IF(H754&lt;F754,H754*(D754-E754),0)</f>
        <v>0</v>
      </c>
      <c r="J754" s="3179" t="n">
        <f aca="false">G754-I754</f>
        <v>0</v>
      </c>
    </row>
    <row r="755" customFormat="false" ht="15" hidden="false" customHeight="true" outlineLevel="0" collapsed="false">
      <c r="B755" s="1551" t="str">
        <f aca="false">'Смета Внутр'!B755</f>
        <v>Доска сухая, 100*50мм</v>
      </c>
      <c r="C755" s="1551" t="str">
        <f aca="false">'Смета Внутр'!C755</f>
        <v>м.п.</v>
      </c>
      <c r="D755" s="1551" t="n">
        <f aca="false">'Смета Внутр'!D755</f>
        <v>0</v>
      </c>
      <c r="F755" s="1551" t="n">
        <f aca="false">'Смета Внутр'!E755</f>
        <v>45</v>
      </c>
      <c r="G755" s="1551" t="n">
        <f aca="false">'Смета Внутр'!H755</f>
        <v>0</v>
      </c>
      <c r="I755" s="3179" t="n">
        <f aca="false">IF(F755&lt;H755,F755*(D755-E755),0)+IF(H755=0,(D755-E755)*F755,0)+IF(H755&lt;F755,H755*(D755-E755),0)</f>
        <v>0</v>
      </c>
      <c r="J755" s="3179" t="n">
        <f aca="false">G755-I755</f>
        <v>0</v>
      </c>
    </row>
    <row r="756" customFormat="false" ht="15" hidden="false" customHeight="true" outlineLevel="0" collapsed="false">
      <c r="B756" s="1551" t="str">
        <f aca="false">'Смета Внутр'!B756</f>
        <v>Доска сухая, 150*50мм</v>
      </c>
      <c r="C756" s="1551" t="str">
        <f aca="false">'Смета Внутр'!C756</f>
        <v>м.п.</v>
      </c>
      <c r="D756" s="1551" t="n">
        <f aca="false">'Смета Внутр'!D756</f>
        <v>0</v>
      </c>
      <c r="F756" s="1551" t="n">
        <f aca="false">'Смета Внутр'!E756</f>
        <v>67.5</v>
      </c>
      <c r="G756" s="1551" t="n">
        <f aca="false">'Смета Внутр'!H756</f>
        <v>0</v>
      </c>
      <c r="I756" s="3179" t="n">
        <f aca="false">IF(F756&lt;H756,F756*(D756-E756),0)+IF(H756=0,(D756-E756)*F756,0)+IF(H756&lt;F756,H756*(D756-E756),0)</f>
        <v>0</v>
      </c>
      <c r="J756" s="3179" t="n">
        <f aca="false">G756-I756</f>
        <v>0</v>
      </c>
    </row>
    <row r="757" customFormat="false" ht="15" hidden="false" customHeight="true" outlineLevel="0" collapsed="false">
      <c r="B757" s="1551" t="str">
        <f aca="false">'Смета Внутр'!B757</f>
        <v>Доска сухая, 200*50мм</v>
      </c>
      <c r="C757" s="1551" t="str">
        <f aca="false">'Смета Внутр'!C757</f>
        <v>м.п.</v>
      </c>
      <c r="D757" s="1551" t="n">
        <f aca="false">'Смета Внутр'!D757</f>
        <v>0</v>
      </c>
      <c r="F757" s="1551" t="n">
        <f aca="false">'Смета Внутр'!E757</f>
        <v>90</v>
      </c>
      <c r="G757" s="1551" t="n">
        <f aca="false">'Смета Внутр'!H757</f>
        <v>0</v>
      </c>
      <c r="I757" s="3179" t="n">
        <f aca="false">IF(F757&lt;H757,F757*(D757-E757),0)+IF(H757=0,(D757-E757)*F757,0)+IF(H757&lt;F757,H757*(D757-E757),0)</f>
        <v>0</v>
      </c>
      <c r="J757" s="3179" t="n">
        <f aca="false">G757-I757</f>
        <v>0</v>
      </c>
    </row>
    <row r="758" customFormat="false" ht="15" hidden="false" customHeight="true" outlineLevel="0" collapsed="false">
      <c r="B758" s="1551" t="str">
        <f aca="false">'Смета Внутр'!B758</f>
        <v>Пена монтажная, всесезонняя 800мл</v>
      </c>
      <c r="C758" s="1551" t="str">
        <f aca="false">'Смета Внутр'!C758</f>
        <v>шт</v>
      </c>
      <c r="D758" s="1551" t="n">
        <f aca="false">'Смета Внутр'!D758</f>
        <v>0</v>
      </c>
      <c r="F758" s="1551" t="n">
        <f aca="false">'Смета Внутр'!E758</f>
        <v>300</v>
      </c>
      <c r="G758" s="1551" t="n">
        <f aca="false">'Смета Внутр'!H758</f>
        <v>0</v>
      </c>
      <c r="I758" s="3179" t="n">
        <f aca="false">IF(F758&lt;H758,F758*(D758-E758),0)+IF(H758=0,(D758-E758)*F758,0)+IF(H758&lt;F758,H758*(D758-E758),0)</f>
        <v>0</v>
      </c>
      <c r="J758" s="3179" t="n">
        <f aca="false">G758-I758</f>
        <v>0</v>
      </c>
    </row>
    <row r="759" customFormat="false" ht="15" hidden="false" customHeight="true" outlineLevel="0" collapsed="false">
      <c r="B759" s="1551" t="str">
        <f aca="false">'Смета Внутр'!B759</f>
        <v>Гвозди строительные 3,5 x 90            </v>
      </c>
      <c r="C759" s="1551" t="str">
        <f aca="false">'Смета Внутр'!C759</f>
        <v>шт</v>
      </c>
      <c r="D759" s="1551" t="n">
        <f aca="false">'Смета Внутр'!D759</f>
        <v>0</v>
      </c>
      <c r="F759" s="1551" t="n">
        <f aca="false">'Смета Внутр'!E759</f>
        <v>45</v>
      </c>
      <c r="G759" s="1551" t="n">
        <f aca="false">'Смета Внутр'!H759</f>
        <v>0</v>
      </c>
      <c r="I759" s="3179" t="n">
        <f aca="false">IF(F759&lt;H759,F759*(D759-E759),0)+IF(H759=0,(D759-E759)*F759,0)+IF(H759&lt;F759,H759*(D759-E759),0)</f>
        <v>0</v>
      </c>
      <c r="J759" s="3179" t="n">
        <f aca="false">G759-I759</f>
        <v>0</v>
      </c>
    </row>
    <row r="760" customFormat="false" ht="15" hidden="false" customHeight="true" outlineLevel="0" collapsed="false">
      <c r="B760" s="1551" t="str">
        <f aca="false">'Смета Внутр'!B760</f>
        <v>Саморезы 3,5 x 45            </v>
      </c>
      <c r="C760" s="1551" t="str">
        <f aca="false">'Смета Внутр'!C760</f>
        <v>шт</v>
      </c>
      <c r="D760" s="1551" t="n">
        <f aca="false">'Смета Внутр'!D760</f>
        <v>0</v>
      </c>
      <c r="F760" s="1551" t="n">
        <f aca="false">'Смета Внутр'!E760</f>
        <v>0.25</v>
      </c>
      <c r="G760" s="1551" t="n">
        <f aca="false">'Смета Внутр'!H760</f>
        <v>0</v>
      </c>
      <c r="I760" s="3179" t="n">
        <f aca="false">IF(F760&lt;H760,F760*(D760-E760),0)+IF(H760=0,(D760-E760)*F760,0)+IF(H760&lt;F760,H760*(D760-E760),0)</f>
        <v>0</v>
      </c>
      <c r="J760" s="3179" t="n">
        <f aca="false">G760-I760</f>
        <v>0</v>
      </c>
    </row>
    <row r="761" customFormat="false" ht="15" hidden="false" customHeight="true" outlineLevel="0" collapsed="false">
      <c r="B761" s="1551" t="str">
        <f aca="false">'Смета Внутр'!B761</f>
        <v>Доска сухая, 200*50мм</v>
      </c>
      <c r="C761" s="1551" t="str">
        <f aca="false">'Смета Внутр'!C761</f>
        <v>м3</v>
      </c>
      <c r="D761" s="1551" t="n">
        <f aca="false">'Смета Внутр'!D761</f>
        <v>0</v>
      </c>
      <c r="F761" s="1551" t="n">
        <f aca="false">'Смета Внутр'!E761</f>
        <v>9000</v>
      </c>
      <c r="G761" s="1551" t="n">
        <f aca="false">'Смета Внутр'!H761</f>
        <v>0</v>
      </c>
      <c r="I761" s="3179" t="n">
        <f aca="false">IF(F761&lt;H761,F761*(D761-E761),0)+IF(H761=0,(D761-E761)*F761,0)+IF(H761&lt;F761,H761*(D761-E761),0)</f>
        <v>0</v>
      </c>
      <c r="J761" s="3179" t="n">
        <f aca="false">G761-I761</f>
        <v>0</v>
      </c>
    </row>
    <row r="762" customFormat="false" ht="15" hidden="false" customHeight="true" outlineLevel="0" collapsed="false">
      <c r="B762" s="1551" t="str">
        <f aca="false">'Смета Внутр'!B762</f>
        <v>Доска сухая, 150*50мм</v>
      </c>
      <c r="C762" s="1551" t="str">
        <f aca="false">'Смета Внутр'!C762</f>
        <v>м3</v>
      </c>
      <c r="D762" s="1551" t="n">
        <f aca="false">'Смета Внутр'!D762</f>
        <v>0</v>
      </c>
      <c r="F762" s="1551" t="n">
        <f aca="false">'Смета Внутр'!E762</f>
        <v>9000</v>
      </c>
      <c r="G762" s="1551" t="n">
        <f aca="false">'Смета Внутр'!H762</f>
        <v>0</v>
      </c>
      <c r="I762" s="3179" t="n">
        <f aca="false">IF(F762&lt;H762,F762*(D762-E762),0)+IF(H762=0,(D762-E762)*F762,0)+IF(H762&lt;F762,H762*(D762-E762),0)</f>
        <v>0</v>
      </c>
      <c r="J762" s="3179" t="n">
        <f aca="false">G762-I762</f>
        <v>0</v>
      </c>
    </row>
    <row r="763" customFormat="false" ht="15" hidden="false" customHeight="true" outlineLevel="0" collapsed="false">
      <c r="B763" s="1551" t="str">
        <f aca="false">'Смета Внутр'!B763</f>
        <v>Гвозди ершоные 2,8 х 90            </v>
      </c>
      <c r="C763" s="1551" t="str">
        <f aca="false">'Смета Внутр'!C763</f>
        <v>кг</v>
      </c>
      <c r="D763" s="1551" t="n">
        <f aca="false">'Смета Внутр'!D763</f>
        <v>0</v>
      </c>
      <c r="F763" s="1551" t="n">
        <f aca="false">'Смета Внутр'!E763</f>
        <v>76.49</v>
      </c>
      <c r="G763" s="1551" t="n">
        <f aca="false">'Смета Внутр'!H763</f>
        <v>0</v>
      </c>
      <c r="I763" s="3179" t="n">
        <f aca="false">IF(F763&lt;H763,F763*(D763-E763),0)+IF(H763=0,(D763-E763)*F763,0)+IF(H763&lt;F763,H763*(D763-E763),0)</f>
        <v>0</v>
      </c>
      <c r="J763" s="3179" t="n">
        <f aca="false">G763-I763</f>
        <v>0</v>
      </c>
    </row>
    <row r="764" customFormat="false" ht="15" hidden="false" customHeight="true" outlineLevel="0" collapsed="false">
      <c r="B764" s="1551" t="str">
        <f aca="false">'Смета Внутр'!B764</f>
        <v>Доска сухая калиброванная, 190*45мм</v>
      </c>
      <c r="C764" s="1551" t="str">
        <f aca="false">'Смета Внутр'!C764</f>
        <v>м3</v>
      </c>
      <c r="D764" s="1551" t="n">
        <f aca="false">'Смета Внутр'!D764</f>
        <v>0</v>
      </c>
      <c r="F764" s="1551" t="n">
        <f aca="false">'Смета Внутр'!E764</f>
        <v>12500</v>
      </c>
      <c r="G764" s="1551" t="n">
        <f aca="false">'Смета Внутр'!H764</f>
        <v>0</v>
      </c>
      <c r="I764" s="3179" t="n">
        <f aca="false">IF(F764&lt;H764,F764*(D764-E764),0)+IF(H764=0,(D764-E764)*F764,0)+IF(H764&lt;F764,H764*(D764-E764),0)</f>
        <v>0</v>
      </c>
      <c r="J764" s="3179" t="n">
        <f aca="false">G764-I764</f>
        <v>0</v>
      </c>
    </row>
    <row r="765" customFormat="false" ht="15" hidden="false" customHeight="true" outlineLevel="0" collapsed="false">
      <c r="B765" s="1551" t="str">
        <f aca="false">'Смета Внутр'!B765</f>
        <v>Доска сухая калиброванная, 145*45мм</v>
      </c>
      <c r="C765" s="1551" t="str">
        <f aca="false">'Смета Внутр'!C765</f>
        <v>м3</v>
      </c>
      <c r="D765" s="1551" t="n">
        <f aca="false">'Смета Внутр'!D765</f>
        <v>0</v>
      </c>
      <c r="F765" s="1551" t="n">
        <f aca="false">'Смета Внутр'!E765</f>
        <v>12500</v>
      </c>
      <c r="G765" s="1551" t="n">
        <f aca="false">'Смета Внутр'!H765</f>
        <v>0</v>
      </c>
      <c r="I765" s="3179" t="n">
        <f aca="false">IF(F765&lt;H765,F765*(D765-E765),0)+IF(H765=0,(D765-E765)*F765,0)+IF(H765&lt;F765,H765*(D765-E765),0)</f>
        <v>0</v>
      </c>
      <c r="J765" s="3179" t="n">
        <f aca="false">G765-I765</f>
        <v>0</v>
      </c>
    </row>
    <row r="766" customFormat="false" ht="15" hidden="false" customHeight="true" outlineLevel="0" collapsed="false">
      <c r="B766" s="1551" t="str">
        <f aca="false">'Смета Внутр'!B766</f>
        <v>Гвозди ершоные 2,8 х 90            </v>
      </c>
      <c r="C766" s="1551" t="str">
        <f aca="false">'Смета Внутр'!C766</f>
        <v>кг</v>
      </c>
      <c r="D766" s="1551" t="n">
        <f aca="false">'Смета Внутр'!D766</f>
        <v>0</v>
      </c>
      <c r="F766" s="1551" t="n">
        <f aca="false">'Смета Внутр'!E766</f>
        <v>76.49</v>
      </c>
      <c r="G766" s="1551" t="n">
        <f aca="false">'Смета Внутр'!H766</f>
        <v>0</v>
      </c>
      <c r="I766" s="3179" t="n">
        <f aca="false">IF(F766&lt;H766,F766*(D766-E766),0)+IF(H766=0,(D766-E766)*F766,0)+IF(H766&lt;F766,H766*(D766-E766),0)</f>
        <v>0</v>
      </c>
      <c r="J766" s="3179" t="n">
        <f aca="false">G766-I766</f>
        <v>0</v>
      </c>
    </row>
    <row r="767" customFormat="false" ht="15" hidden="false" customHeight="true" outlineLevel="0" collapsed="false">
      <c r="B767" s="1551" t="str">
        <f aca="false">'Смета Внутр'!B767</f>
        <v>Двутавровая деревянная балка, 400*65мм</v>
      </c>
      <c r="C767" s="1551" t="str">
        <f aca="false">'Смета Внутр'!C767</f>
        <v>м.п.</v>
      </c>
      <c r="D767" s="1551" t="n">
        <f aca="false">'Смета Внутр'!D767</f>
        <v>0</v>
      </c>
      <c r="F767" s="1551" t="n">
        <f aca="false">'Смета Внутр'!E767</f>
        <v>303</v>
      </c>
      <c r="G767" s="1551" t="n">
        <f aca="false">'Смета Внутр'!H767</f>
        <v>0</v>
      </c>
      <c r="I767" s="3179" t="n">
        <f aca="false">IF(F767&lt;H767,F767*(D767-E767),0)+IF(H767=0,(D767-E767)*F767,0)+IF(H767&lt;F767,H767*(D767-E767),0)</f>
        <v>0</v>
      </c>
      <c r="J767" s="3179" t="n">
        <f aca="false">G767-I767</f>
        <v>0</v>
      </c>
    </row>
    <row r="768" customFormat="false" ht="15" hidden="false" customHeight="true" outlineLevel="0" collapsed="false">
      <c r="B768" s="1551" t="str">
        <f aca="false">'Смета Внутр'!B768</f>
        <v>Двутавровая деревянная балка, 400*90мм</v>
      </c>
      <c r="C768" s="1551" t="str">
        <f aca="false">'Смета Внутр'!C768</f>
        <v>м.п.</v>
      </c>
      <c r="D768" s="1551" t="n">
        <f aca="false">'Смета Внутр'!D768</f>
        <v>0</v>
      </c>
      <c r="F768" s="1551" t="n">
        <f aca="false">'Смета Внутр'!E768</f>
        <v>355</v>
      </c>
      <c r="G768" s="1551" t="n">
        <f aca="false">'Смета Внутр'!H768</f>
        <v>0</v>
      </c>
      <c r="I768" s="3179" t="n">
        <f aca="false">IF(F768&lt;H768,F768*(D768-E768),0)+IF(H768=0,(D768-E768)*F768,0)+IF(H768&lt;F768,H768*(D768-E768),0)</f>
        <v>0</v>
      </c>
      <c r="J768" s="3179" t="n">
        <f aca="false">G768-I768</f>
        <v>0</v>
      </c>
    </row>
    <row r="769" customFormat="false" ht="15" hidden="false" customHeight="true" outlineLevel="0" collapsed="false">
      <c r="B769" s="1551" t="str">
        <f aca="false">'Смета Внутр'!B769</f>
        <v>Двутавровая деревянная балка, 350*65мм</v>
      </c>
      <c r="C769" s="1551" t="str">
        <f aca="false">'Смета Внутр'!C769</f>
        <v>м.п.</v>
      </c>
      <c r="D769" s="1551" t="n">
        <f aca="false">'Смета Внутр'!D769</f>
        <v>138.666666666667</v>
      </c>
      <c r="F769" s="1551" t="n">
        <f aca="false">'Смета Внутр'!E769</f>
        <v>287</v>
      </c>
      <c r="G769" s="1551" t="n">
        <f aca="false">'Смета Внутр'!H769</f>
        <v>39797.3333333333</v>
      </c>
      <c r="I769" s="3179" t="n">
        <f aca="false">IF(F769&lt;H769,F769*(D769-E769),0)+IF(H769=0,(D769-E769)*F769,0)+IF(H769&lt;F769,H769*(D769-E769),0)</f>
        <v>39797.3333333333</v>
      </c>
      <c r="J769" s="3179" t="n">
        <f aca="false">G769-I769</f>
        <v>0</v>
      </c>
    </row>
    <row r="770" customFormat="false" ht="15" hidden="false" customHeight="true" outlineLevel="0" collapsed="false">
      <c r="B770" s="1551" t="str">
        <f aca="false">'Смета Внутр'!B770</f>
        <v>Двутавровая деревянная балка, 350*90мм</v>
      </c>
      <c r="C770" s="1551" t="str">
        <f aca="false">'Смета Внутр'!C770</f>
        <v>м.п.</v>
      </c>
      <c r="D770" s="1551" t="n">
        <f aca="false">'Смета Внутр'!D770</f>
        <v>0</v>
      </c>
      <c r="F770" s="1551" t="n">
        <f aca="false">'Смета Внутр'!E770</f>
        <v>315</v>
      </c>
      <c r="G770" s="1551" t="n">
        <f aca="false">'Смета Внутр'!H770</f>
        <v>0</v>
      </c>
      <c r="I770" s="3179" t="n">
        <f aca="false">IF(F770&lt;H770,F770*(D770-E770),0)+IF(H770=0,(D770-E770)*F770,0)+IF(H770&lt;F770,H770*(D770-E770),0)</f>
        <v>0</v>
      </c>
      <c r="J770" s="3179" t="n">
        <f aca="false">G770-I770</f>
        <v>0</v>
      </c>
    </row>
    <row r="771" customFormat="false" ht="15" hidden="false" customHeight="true" outlineLevel="0" collapsed="false">
      <c r="B771" s="1551" t="str">
        <f aca="false">'Смета Внутр'!B771</f>
        <v>Двутавровая деревянная балка, 300*65мм</v>
      </c>
      <c r="C771" s="1551" t="str">
        <f aca="false">'Смета Внутр'!C771</f>
        <v>м.п.</v>
      </c>
      <c r="D771" s="1551" t="n">
        <f aca="false">'Смета Внутр'!D771</f>
        <v>0</v>
      </c>
      <c r="F771" s="1551" t="n">
        <f aca="false">'Смета Внутр'!E771</f>
        <v>273</v>
      </c>
      <c r="G771" s="1551" t="n">
        <f aca="false">'Смета Внутр'!H771</f>
        <v>0</v>
      </c>
      <c r="I771" s="3179" t="n">
        <f aca="false">IF(F771&lt;H771,F771*(D771-E771),0)+IF(H771=0,(D771-E771)*F771,0)+IF(H771&lt;F771,H771*(D771-E771),0)</f>
        <v>0</v>
      </c>
      <c r="J771" s="3179" t="n">
        <f aca="false">G771-I771</f>
        <v>0</v>
      </c>
    </row>
    <row r="772" customFormat="false" ht="15" hidden="false" customHeight="true" outlineLevel="0" collapsed="false">
      <c r="B772" s="1551" t="str">
        <f aca="false">'Смета Внутр'!B772</f>
        <v>Двутавровая деревянная балка, 300*90мм</v>
      </c>
      <c r="C772" s="1551" t="str">
        <f aca="false">'Смета Внутр'!C772</f>
        <v>м.п.</v>
      </c>
      <c r="D772" s="1551" t="n">
        <f aca="false">'Смета Внутр'!D772</f>
        <v>0</v>
      </c>
      <c r="F772" s="1551" t="n">
        <f aca="false">'Смета Внутр'!E772</f>
        <v>315</v>
      </c>
      <c r="G772" s="1551" t="n">
        <f aca="false">'Смета Внутр'!H772</f>
        <v>0</v>
      </c>
      <c r="I772" s="3179" t="n">
        <f aca="false">IF(F772&lt;H772,F772*(D772-E772),0)+IF(H772=0,(D772-E772)*F772,0)+IF(H772&lt;F772,H772*(D772-E772),0)</f>
        <v>0</v>
      </c>
      <c r="J772" s="3179" t="n">
        <f aca="false">G772-I772</f>
        <v>0</v>
      </c>
    </row>
    <row r="773" customFormat="false" ht="15" hidden="false" customHeight="true" outlineLevel="0" collapsed="false">
      <c r="B773" s="1551" t="str">
        <f aca="false">'Смета Внутр'!B773</f>
        <v>Двутавровая деревянная балка, 240*65мм</v>
      </c>
      <c r="C773" s="1551" t="str">
        <f aca="false">'Смета Внутр'!C773</f>
        <v>м.п.</v>
      </c>
      <c r="D773" s="1551" t="n">
        <f aca="false">'Смета Внутр'!D773</f>
        <v>0</v>
      </c>
      <c r="F773" s="1551" t="n">
        <f aca="false">'Смета Внутр'!E773</f>
        <v>263</v>
      </c>
      <c r="G773" s="1551" t="n">
        <f aca="false">'Смета Внутр'!H773</f>
        <v>0</v>
      </c>
      <c r="I773" s="3179" t="n">
        <f aca="false">IF(F773&lt;H773,F773*(D773-E773),0)+IF(H773=0,(D773-E773)*F773,0)+IF(H773&lt;F773,H773*(D773-E773),0)</f>
        <v>0</v>
      </c>
      <c r="J773" s="3179" t="n">
        <f aca="false">G773-I773</f>
        <v>0</v>
      </c>
    </row>
    <row r="774" customFormat="false" ht="15" hidden="false" customHeight="true" outlineLevel="0" collapsed="false">
      <c r="B774" s="1551" t="str">
        <f aca="false">'Смета Внутр'!B774</f>
        <v>Двутавровая деревянная балка, 240*90мм</v>
      </c>
      <c r="C774" s="1551" t="str">
        <f aca="false">'Смета Внутр'!C774</f>
        <v>м.п.</v>
      </c>
      <c r="D774" s="1551" t="n">
        <f aca="false">'Смета Внутр'!D774</f>
        <v>0</v>
      </c>
      <c r="F774" s="1551" t="n">
        <f aca="false">'Смета Внутр'!E774</f>
        <v>291</v>
      </c>
      <c r="G774" s="1551" t="n">
        <f aca="false">'Смета Внутр'!H774</f>
        <v>0</v>
      </c>
      <c r="I774" s="3179" t="n">
        <f aca="false">IF(F774&lt;H774,F774*(D774-E774),0)+IF(H774=0,(D774-E774)*F774,0)+IF(H774&lt;F774,H774*(D774-E774),0)</f>
        <v>0</v>
      </c>
      <c r="J774" s="3179" t="n">
        <f aca="false">G774-I774</f>
        <v>0</v>
      </c>
    </row>
    <row r="775" customFormat="false" ht="15" hidden="false" customHeight="true" outlineLevel="0" collapsed="false">
      <c r="B775" s="1551" t="str">
        <f aca="false">'Смета Внутр'!B775</f>
        <v>Двутавровая деревянная балка, 200*65мм</v>
      </c>
      <c r="C775" s="1551" t="str">
        <f aca="false">'Смета Внутр'!C775</f>
        <v>м.п.</v>
      </c>
      <c r="D775" s="1551" t="n">
        <f aca="false">'Смета Внутр'!D775</f>
        <v>0</v>
      </c>
      <c r="F775" s="1551" t="n">
        <f aca="false">'Смета Внутр'!E775</f>
        <v>250</v>
      </c>
      <c r="G775" s="1551" t="n">
        <f aca="false">'Смета Внутр'!H775</f>
        <v>0</v>
      </c>
      <c r="I775" s="3179" t="n">
        <f aca="false">IF(F775&lt;H775,F775*(D775-E775),0)+IF(H775=0,(D775-E775)*F775,0)+IF(H775&lt;F775,H775*(D775-E775),0)</f>
        <v>0</v>
      </c>
      <c r="J775" s="3179" t="n">
        <f aca="false">G775-I775</f>
        <v>0</v>
      </c>
    </row>
    <row r="776" customFormat="false" ht="15" hidden="false" customHeight="true" outlineLevel="0" collapsed="false">
      <c r="B776" s="1551" t="str">
        <f aca="false">'Смета Внутр'!B776</f>
        <v>Двутавровая деревянная балка, 200*90мм</v>
      </c>
      <c r="C776" s="1551" t="str">
        <f aca="false">'Смета Внутр'!C776</f>
        <v>м.п.</v>
      </c>
      <c r="D776" s="1551" t="n">
        <f aca="false">'Смета Внутр'!D776</f>
        <v>0</v>
      </c>
      <c r="F776" s="1551" t="n">
        <f aca="false">'Смета Внутр'!E776</f>
        <v>280</v>
      </c>
      <c r="G776" s="1551" t="n">
        <f aca="false">'Смета Внутр'!H776</f>
        <v>0</v>
      </c>
      <c r="I776" s="3179" t="n">
        <f aca="false">IF(F776&lt;H776,F776*(D776-E776),0)+IF(H776=0,(D776-E776)*F776,0)+IF(H776&lt;F776,H776*(D776-E776),0)</f>
        <v>0</v>
      </c>
      <c r="J776" s="3179" t="n">
        <f aca="false">G776-I776</f>
        <v>0</v>
      </c>
    </row>
    <row r="777" customFormat="false" ht="15" hidden="false" customHeight="true" outlineLevel="0" collapsed="false">
      <c r="B777" s="1551" t="str">
        <f aca="false">'Смета Внутр'!B777</f>
        <v>Двутавровая деревянная балка, 150*65мм</v>
      </c>
      <c r="C777" s="1551" t="str">
        <f aca="false">'Смета Внутр'!C777</f>
        <v>м.п.</v>
      </c>
      <c r="D777" s="1551" t="n">
        <f aca="false">'Смета Внутр'!D777</f>
        <v>0</v>
      </c>
      <c r="F777" s="1551" t="n">
        <f aca="false">'Смета Внутр'!E777</f>
        <v>220</v>
      </c>
      <c r="G777" s="1551" t="n">
        <f aca="false">'Смета Внутр'!H777</f>
        <v>0</v>
      </c>
      <c r="I777" s="3179" t="n">
        <f aca="false">IF(F777&lt;H777,F777*(D777-E777),0)+IF(H777=0,(D777-E777)*F777,0)+IF(H777&lt;F777,H777*(D777-E777),0)</f>
        <v>0</v>
      </c>
      <c r="J777" s="3179" t="n">
        <f aca="false">G777-I777</f>
        <v>0</v>
      </c>
    </row>
    <row r="778" customFormat="false" ht="15" hidden="false" customHeight="true" outlineLevel="0" collapsed="false">
      <c r="B778" s="1551" t="str">
        <f aca="false">'Смета Внутр'!B778</f>
        <v>Двутавровая деревянная балка, 150*90мм</v>
      </c>
      <c r="C778" s="1551" t="str">
        <f aca="false">'Смета Внутр'!C778</f>
        <v>м.п.</v>
      </c>
      <c r="D778" s="1551" t="n">
        <f aca="false">'Смета Внутр'!D778</f>
        <v>0</v>
      </c>
      <c r="F778" s="1551" t="n">
        <f aca="false">'Смета Внутр'!E778</f>
        <v>250</v>
      </c>
      <c r="G778" s="1551" t="n">
        <f aca="false">'Смета Внутр'!H778</f>
        <v>0</v>
      </c>
      <c r="I778" s="3179" t="n">
        <f aca="false">IF(F778&lt;H778,F778*(D778-E778),0)+IF(H778=0,(D778-E778)*F778,0)+IF(H778&lt;F778,H778*(D778-E778),0)</f>
        <v>0</v>
      </c>
      <c r="J778" s="3179" t="n">
        <f aca="false">G778-I778</f>
        <v>0</v>
      </c>
    </row>
    <row r="779" customFormat="false" ht="15" hidden="false" customHeight="true" outlineLevel="0" collapsed="false">
      <c r="B779" s="1551" t="str">
        <f aca="false">'Смета Внутр'!B779</f>
        <v>Уголок усиленный 90х70х55х2,5        </v>
      </c>
      <c r="C779" s="1551" t="str">
        <f aca="false">'Смета Внутр'!C779</f>
        <v>шт</v>
      </c>
      <c r="D779" s="1551" t="n">
        <f aca="false">'Смета Внутр'!D779</f>
        <v>157</v>
      </c>
      <c r="F779" s="1551" t="n">
        <f aca="false">'Смета Внутр'!E779</f>
        <v>30</v>
      </c>
      <c r="G779" s="1551" t="n">
        <f aca="false">'Смета Внутр'!H779</f>
        <v>4710</v>
      </c>
      <c r="I779" s="3179" t="n">
        <f aca="false">IF(F779&lt;H779,F779*(D779-E779),0)+IF(H779=0,(D779-E779)*F779,0)+IF(H779&lt;F779,H779*(D779-E779),0)</f>
        <v>4710</v>
      </c>
      <c r="J779" s="3179" t="n">
        <f aca="false">G779-I779</f>
        <v>0</v>
      </c>
    </row>
    <row r="780" customFormat="false" ht="15" hidden="false" customHeight="true" outlineLevel="0" collapsed="false">
      <c r="B780" s="1551" t="str">
        <f aca="false">'Смета Внутр'!B780</f>
        <v>Саморезы 3,5 x 55            </v>
      </c>
      <c r="C780" s="1551" t="str">
        <f aca="false">'Смета Внутр'!C780</f>
        <v>шт</v>
      </c>
      <c r="D780" s="1551" t="n">
        <f aca="false">'Смета Внутр'!D780</f>
        <v>628</v>
      </c>
      <c r="F780" s="1551" t="n">
        <f aca="false">'Смета Внутр'!E780</f>
        <v>0.3</v>
      </c>
      <c r="G780" s="1551" t="n">
        <f aca="false">'Смета Внутр'!H780</f>
        <v>188.4</v>
      </c>
      <c r="I780" s="3179" t="n">
        <f aca="false">IF(F780&lt;H780,F780*(D780-E780),0)+IF(H780=0,(D780-E780)*F780,0)+IF(H780&lt;F780,H780*(D780-E780),0)</f>
        <v>188.4</v>
      </c>
      <c r="J780" s="3179" t="n">
        <f aca="false">G780-I780</f>
        <v>0</v>
      </c>
    </row>
    <row r="781" customFormat="false" ht="15" hidden="false" customHeight="true" outlineLevel="0" collapsed="false">
      <c r="B781" s="1551" t="str">
        <f aca="false">'Смета Внутр'!B781</f>
        <v>Нет</v>
      </c>
      <c r="C781" s="1551" t="str">
        <f aca="false">'Смета Внутр'!C781</f>
        <v>м3</v>
      </c>
      <c r="D781" s="1551" t="n">
        <f aca="false">'Смета Внутр'!D781</f>
        <v>0</v>
      </c>
      <c r="F781" s="1551" t="n">
        <f aca="false">'Смета Внутр'!E781</f>
        <v>0</v>
      </c>
      <c r="G781" s="1551" t="n">
        <f aca="false">'Смета Внутр'!H781</f>
        <v>0</v>
      </c>
      <c r="I781" s="3179" t="n">
        <f aca="false">IF(F781&lt;H781,F781*(D781-E781),0)+IF(H781=0,(D781-E781)*F781,0)+IF(H781&lt;F781,H781*(D781-E781),0)</f>
        <v>0</v>
      </c>
      <c r="J781" s="3179" t="n">
        <f aca="false">G781-I781</f>
        <v>0</v>
      </c>
    </row>
    <row r="782" customFormat="false" ht="15" hidden="false" customHeight="true" outlineLevel="0" collapsed="false">
      <c r="B782" s="1551" t="str">
        <f aca="false">'Смета Внутр'!B782</f>
        <v>нет ветроизоляции</v>
      </c>
      <c r="C782" s="1551" t="str">
        <f aca="false">'Смета Внутр'!C782</f>
        <v>м2</v>
      </c>
      <c r="D782" s="1551" t="n">
        <f aca="false">'Смета Внутр'!D782</f>
        <v>64</v>
      </c>
      <c r="F782" s="1551" t="n">
        <f aca="false">'Смета Внутр'!E782</f>
        <v>0</v>
      </c>
      <c r="G782" s="1551" t="n">
        <f aca="false">'Смета Внутр'!H782</f>
        <v>0</v>
      </c>
      <c r="I782" s="3179" t="n">
        <f aca="false">IF(F782&lt;H782,F782*(D782-E782),0)+IF(H782=0,(D782-E782)*F782,0)+IF(H782&lt;F782,H782*(D782-E782),0)</f>
        <v>0</v>
      </c>
      <c r="J782" s="3179" t="n">
        <f aca="false">G782-I782</f>
        <v>0</v>
      </c>
    </row>
    <row r="783" customFormat="false" ht="15" hidden="false" customHeight="true" outlineLevel="0" collapsed="false">
      <c r="B783" s="1551" t="str">
        <f aca="false">'Смета Внутр'!B783</f>
        <v>нет пароизоляции</v>
      </c>
      <c r="C783" s="1551" t="str">
        <f aca="false">'Смета Внутр'!C783</f>
        <v>м2</v>
      </c>
      <c r="D783" s="1551" t="n">
        <f aca="false">'Смета Внутр'!D783</f>
        <v>64</v>
      </c>
      <c r="F783" s="1551" t="n">
        <f aca="false">'Смета Внутр'!E783</f>
        <v>0</v>
      </c>
      <c r="G783" s="1551" t="n">
        <f aca="false">'Смета Внутр'!H783</f>
        <v>0</v>
      </c>
      <c r="I783" s="3179" t="n">
        <f aca="false">IF(F783&lt;H783,F783*(D783-E783),0)+IF(H783=0,(D783-E783)*F783,0)+IF(H783&lt;F783,H783*(D783-E783),0)</f>
        <v>0</v>
      </c>
      <c r="J783" s="3179" t="n">
        <f aca="false">G783-I783</f>
        <v>0</v>
      </c>
    </row>
    <row r="784" customFormat="false" ht="15" hidden="false" customHeight="true" outlineLevel="0" collapsed="false">
      <c r="B784" s="1551" t="str">
        <f aca="false">'Смета Внутр'!B784</f>
        <v>Плита перекрытия ЖБИ</v>
      </c>
      <c r="C784" s="1551" t="str">
        <f aca="false">'Смета Внутр'!C784</f>
        <v>м2</v>
      </c>
      <c r="D784" s="1551" t="n">
        <f aca="false">'Смета Внутр'!D784</f>
        <v>0</v>
      </c>
      <c r="F784" s="1551" t="n">
        <f aca="false">'Смета Внутр'!E784</f>
        <v>1400</v>
      </c>
      <c r="G784" s="1551" t="n">
        <f aca="false">'Смета Внутр'!H784</f>
        <v>0</v>
      </c>
      <c r="I784" s="3179" t="n">
        <f aca="false">IF(F784&lt;H784,F784*(D784-E784),0)+IF(H784=0,(D784-E784)*F784,0)+IF(H784&lt;F784,H784*(D784-E784),0)</f>
        <v>0</v>
      </c>
      <c r="J784" s="3179" t="n">
        <f aca="false">G784-I784</f>
        <v>0</v>
      </c>
    </row>
    <row r="785" customFormat="false" ht="15" hidden="false" customHeight="true" outlineLevel="0" collapsed="false">
      <c r="B785" s="1551" t="str">
        <f aca="false">'Смета Внутр'!B785</f>
        <v>Раствор, м250</v>
      </c>
      <c r="C785" s="1551" t="str">
        <f aca="false">'Смета Внутр'!C785</f>
        <v>м3</v>
      </c>
      <c r="D785" s="1551" t="n">
        <f aca="false">'Смета Внутр'!D785</f>
        <v>0</v>
      </c>
      <c r="F785" s="1551" t="n">
        <f aca="false">'Смета Внутр'!E785</f>
        <v>2500</v>
      </c>
      <c r="G785" s="1551" t="n">
        <f aca="false">'Смета Внутр'!H785</f>
        <v>0</v>
      </c>
      <c r="I785" s="3179" t="n">
        <f aca="false">IF(F785&lt;H785,F785*(D785-E785),0)+IF(H785=0,(D785-E785)*F785,0)+IF(H785&lt;F785,H785*(D785-E785),0)</f>
        <v>0</v>
      </c>
      <c r="J785" s="3179" t="n">
        <f aca="false">G785-I785</f>
        <v>0</v>
      </c>
    </row>
    <row r="786" customFormat="false" ht="15" hidden="false" customHeight="true" outlineLevel="0" collapsed="false">
      <c r="B786" s="1551" t="str">
        <f aca="false">'Смета Внутр'!B786</f>
        <v>Монолит, бетон, 300мм, 2 слоя</v>
      </c>
      <c r="C786" s="1551" t="str">
        <f aca="false">'Смета Внутр'!C786</f>
        <v>м2</v>
      </c>
      <c r="D786" s="1551" t="n">
        <f aca="false">'Смета Внутр'!D786</f>
        <v>0</v>
      </c>
      <c r="F786" s="1551" t="n">
        <f aca="false">'Смета Внутр'!E786</f>
        <v>1</v>
      </c>
      <c r="G786" s="1551" t="n">
        <f aca="false">'Смета Внутр'!H786</f>
        <v>0</v>
      </c>
      <c r="I786" s="3179" t="n">
        <f aca="false">IF(F786&lt;H786,F786*(D786-E786),0)+IF(H786=0,(D786-E786)*F786,0)+IF(H786&lt;F786,H786*(D786-E786),0)</f>
        <v>0</v>
      </c>
      <c r="J786" s="3179" t="n">
        <f aca="false">G786-I786</f>
        <v>0</v>
      </c>
    </row>
    <row r="787" customFormat="false" ht="15" hidden="false" customHeight="true" outlineLevel="0" collapsed="false">
      <c r="B787" s="1551" t="str">
        <f aca="false">'Смета Внутр'!B787</f>
        <v>Монолит, бетон, 300мм, 1 слой</v>
      </c>
      <c r="C787" s="1551" t="str">
        <f aca="false">'Смета Внутр'!C787</f>
        <v>м2</v>
      </c>
      <c r="D787" s="1551" t="n">
        <f aca="false">'Смета Внутр'!D787</f>
        <v>0</v>
      </c>
      <c r="F787" s="1551" t="n">
        <f aca="false">'Смета Внутр'!E787</f>
        <v>1</v>
      </c>
      <c r="G787" s="1551" t="n">
        <f aca="false">'Смета Внутр'!H787</f>
        <v>0</v>
      </c>
      <c r="I787" s="3179" t="n">
        <f aca="false">IF(F787&lt;H787,F787*(D787-E787),0)+IF(H787=0,(D787-E787)*F787,0)+IF(H787&lt;F787,H787*(D787-E787),0)</f>
        <v>0</v>
      </c>
      <c r="J787" s="3179" t="n">
        <f aca="false">G787-I787</f>
        <v>0</v>
      </c>
    </row>
    <row r="788" customFormat="false" ht="15" hidden="false" customHeight="true" outlineLevel="0" collapsed="false">
      <c r="B788" s="1551" t="str">
        <f aca="false">'Смета Внутр'!B788</f>
        <v>Монолит, бетон, 250мм, 2 слоя</v>
      </c>
      <c r="C788" s="1551" t="str">
        <f aca="false">'Смета Внутр'!C788</f>
        <v>м2</v>
      </c>
      <c r="D788" s="1551" t="n">
        <f aca="false">'Смета Внутр'!D788</f>
        <v>0</v>
      </c>
      <c r="F788" s="1551" t="n">
        <f aca="false">'Смета Внутр'!E788</f>
        <v>1</v>
      </c>
      <c r="G788" s="1551" t="n">
        <f aca="false">'Смета Внутр'!H788</f>
        <v>0</v>
      </c>
      <c r="I788" s="3179" t="n">
        <f aca="false">IF(F788&lt;H788,F788*(D788-E788),0)+IF(H788=0,(D788-E788)*F788,0)+IF(H788&lt;F788,H788*(D788-E788),0)</f>
        <v>0</v>
      </c>
      <c r="J788" s="3179" t="n">
        <f aca="false">G788-I788</f>
        <v>0</v>
      </c>
    </row>
    <row r="789" customFormat="false" ht="15" hidden="false" customHeight="true" outlineLevel="0" collapsed="false">
      <c r="B789" s="1551" t="str">
        <f aca="false">'Смета Внутр'!B789</f>
        <v>Монолит, бетон, 250мм, 1 слой</v>
      </c>
      <c r="C789" s="1551" t="str">
        <f aca="false">'Смета Внутр'!C789</f>
        <v>м2</v>
      </c>
      <c r="D789" s="1551" t="n">
        <f aca="false">'Смета Внутр'!D789</f>
        <v>0</v>
      </c>
      <c r="F789" s="1551" t="n">
        <f aca="false">'Смета Внутр'!E789</f>
        <v>1</v>
      </c>
      <c r="G789" s="1551" t="n">
        <f aca="false">'Смета Внутр'!H789</f>
        <v>0</v>
      </c>
      <c r="I789" s="3179" t="n">
        <f aca="false">IF(F789&lt;H789,F789*(D789-E789),0)+IF(H789=0,(D789-E789)*F789,0)+IF(H789&lt;F789,H789*(D789-E789),0)</f>
        <v>0</v>
      </c>
      <c r="J789" s="3179" t="n">
        <f aca="false">G789-I789</f>
        <v>0</v>
      </c>
    </row>
    <row r="790" customFormat="false" ht="15" hidden="false" customHeight="true" outlineLevel="0" collapsed="false">
      <c r="B790" s="1551" t="str">
        <f aca="false">'Смета Внутр'!B790</f>
        <v>Монолит, бетон, 200мм, 2 слоя</v>
      </c>
      <c r="C790" s="1551" t="str">
        <f aca="false">'Смета Внутр'!C790</f>
        <v>м2</v>
      </c>
      <c r="D790" s="1551" t="n">
        <f aca="false">'Смета Внутр'!D790</f>
        <v>64</v>
      </c>
      <c r="F790" s="1551" t="n">
        <f aca="false">'Смета Внутр'!E790</f>
        <v>1</v>
      </c>
      <c r="G790" s="1551" t="n">
        <f aca="false">'Смета Внутр'!H790</f>
        <v>64</v>
      </c>
      <c r="I790" s="3179" t="n">
        <f aca="false">IF(F790&lt;H790,F790*(D790-E790),0)+IF(H790=0,(D790-E790)*F790,0)+IF(H790&lt;F790,H790*(D790-E790),0)</f>
        <v>64</v>
      </c>
      <c r="J790" s="3179" t="n">
        <f aca="false">G790-I790</f>
        <v>0</v>
      </c>
    </row>
    <row r="791" customFormat="false" ht="15" hidden="false" customHeight="true" outlineLevel="0" collapsed="false">
      <c r="B791" s="1551" t="str">
        <f aca="false">'Смета Внутр'!B791</f>
        <v>Монолит, бетон, 200мм, 1 слой</v>
      </c>
      <c r="C791" s="1551" t="str">
        <f aca="false">'Смета Внутр'!C791</f>
        <v>м2</v>
      </c>
      <c r="D791" s="1551" t="n">
        <f aca="false">'Смета Внутр'!D791</f>
        <v>0</v>
      </c>
      <c r="F791" s="1551" t="n">
        <f aca="false">'Смета Внутр'!E791</f>
        <v>1</v>
      </c>
      <c r="G791" s="1551" t="n">
        <f aca="false">'Смета Внутр'!H791</f>
        <v>0</v>
      </c>
      <c r="I791" s="3179" t="n">
        <f aca="false">IF(F791&lt;H791,F791*(D791-E791),0)+IF(H791=0,(D791-E791)*F791,0)+IF(H791&lt;F791,H791*(D791-E791),0)</f>
        <v>0</v>
      </c>
      <c r="J791" s="3179" t="n">
        <f aca="false">G791-I791</f>
        <v>0</v>
      </c>
    </row>
    <row r="792" customFormat="false" ht="15" hidden="false" customHeight="true" outlineLevel="0" collapsed="false">
      <c r="B792" s="1551" t="str">
        <f aca="false">'Смета Внутр'!B792</f>
        <v>Монолит, бетон, 150мм, 2 слоя</v>
      </c>
      <c r="C792" s="1551" t="str">
        <f aca="false">'Смета Внутр'!C792</f>
        <v>м2</v>
      </c>
      <c r="D792" s="1551" t="n">
        <f aca="false">'Смета Внутр'!D792</f>
        <v>0</v>
      </c>
      <c r="F792" s="1551" t="n">
        <f aca="false">'Смета Внутр'!E792</f>
        <v>1</v>
      </c>
      <c r="G792" s="1551" t="n">
        <f aca="false">'Смета Внутр'!H792</f>
        <v>0</v>
      </c>
      <c r="I792" s="3179" t="n">
        <f aca="false">IF(F792&lt;H792,F792*(D792-E792),0)+IF(H792=0,(D792-E792)*F792,0)+IF(H792&lt;F792,H792*(D792-E792),0)</f>
        <v>0</v>
      </c>
      <c r="J792" s="3179" t="n">
        <f aca="false">G792-I792</f>
        <v>0</v>
      </c>
    </row>
    <row r="793" customFormat="false" ht="15" hidden="false" customHeight="true" outlineLevel="0" collapsed="false">
      <c r="B793" s="1551" t="str">
        <f aca="false">'Смета Внутр'!B793</f>
        <v>Монолит, бетон, 150мм, 1 слой</v>
      </c>
      <c r="C793" s="1551" t="str">
        <f aca="false">'Смета Внутр'!C793</f>
        <v>м2</v>
      </c>
      <c r="D793" s="1551" t="n">
        <f aca="false">'Смета Внутр'!D793</f>
        <v>0</v>
      </c>
      <c r="F793" s="1551" t="n">
        <f aca="false">'Смета Внутр'!E793</f>
        <v>1</v>
      </c>
      <c r="G793" s="1551" t="n">
        <f aca="false">'Смета Внутр'!H793</f>
        <v>0</v>
      </c>
      <c r="I793" s="3179" t="n">
        <f aca="false">IF(F793&lt;H793,F793*(D793-E793),0)+IF(H793=0,(D793-E793)*F793,0)+IF(H793&lt;F793,H793*(D793-E793),0)</f>
        <v>0</v>
      </c>
      <c r="J793" s="3179" t="n">
        <f aca="false">G793-I793</f>
        <v>0</v>
      </c>
    </row>
    <row r="794" customFormat="false" ht="15" hidden="false" customHeight="true" outlineLevel="0" collapsed="false">
      <c r="B794" s="1551" t="str">
        <f aca="false">'Смета Внутр'!B794</f>
        <v>доска для опалубки монолит перекрытий</v>
      </c>
      <c r="C794" s="1551" t="str">
        <f aca="false">'Смета Внутр'!C794</f>
        <v>м3</v>
      </c>
      <c r="D794" s="1551" t="n">
        <f aca="false">'Смета Внутр'!D794</f>
        <v>5.126</v>
      </c>
      <c r="F794" s="1551" t="n">
        <f aca="false">'Смета Внутр'!E794</f>
        <v>6500</v>
      </c>
      <c r="G794" s="1551" t="n">
        <f aca="false">'Смета Внутр'!H794</f>
        <v>33319</v>
      </c>
      <c r="I794" s="3179" t="n">
        <f aca="false">IF(F794&lt;H794,F794*(D794-E794),0)+IF(H794=0,(D794-E794)*F794,0)+IF(H794&lt;F794,H794*(D794-E794),0)</f>
        <v>33319</v>
      </c>
      <c r="J794" s="3179" t="n">
        <f aca="false">G794-I794</f>
        <v>0</v>
      </c>
    </row>
    <row r="795" customFormat="false" ht="15" hidden="false" customHeight="true" outlineLevel="0" collapsed="false">
      <c r="B795" s="1551" t="str">
        <f aca="false">'Смета Внутр'!B795</f>
        <v>стойки под опалубку перекрытий</v>
      </c>
      <c r="C795" s="1551" t="str">
        <f aca="false">'Смета Внутр'!C795</f>
        <v>шт</v>
      </c>
      <c r="D795" s="1551" t="n">
        <f aca="false">'Смета Внутр'!D795</f>
        <v>64</v>
      </c>
      <c r="F795" s="1551" t="n">
        <f aca="false">'Смета Внутр'!E795</f>
        <v>0</v>
      </c>
      <c r="G795" s="1551" t="n">
        <f aca="false">'Смета Внутр'!H795</f>
        <v>0</v>
      </c>
      <c r="I795" s="3179" t="n">
        <f aca="false">IF(F795&lt;H795,F795*(D795-E795),0)+IF(H795=0,(D795-E795)*F795,0)+IF(H795&lt;F795,H795*(D795-E795),0)</f>
        <v>0</v>
      </c>
      <c r="J795" s="3179" t="n">
        <f aca="false">G795-I795</f>
        <v>0</v>
      </c>
    </row>
    <row r="796" customFormat="false" ht="15" hidden="false" customHeight="true" outlineLevel="0" collapsed="false">
      <c r="B796" s="1551" t="str">
        <f aca="false">'Смета Внутр'!B796</f>
        <v>Пленка гидроизоляционная </v>
      </c>
      <c r="C796" s="1551" t="str">
        <f aca="false">'Смета Внутр'!C796</f>
        <v>м2</v>
      </c>
      <c r="D796" s="1551" t="n">
        <f aca="false">'Смета Внутр'!D796</f>
        <v>83.2</v>
      </c>
      <c r="F796" s="1551" t="n">
        <f aca="false">'Смета Внутр'!E796</f>
        <v>15</v>
      </c>
      <c r="G796" s="1551" t="n">
        <f aca="false">'Смета Внутр'!H796</f>
        <v>1248</v>
      </c>
      <c r="I796" s="3179" t="n">
        <f aca="false">IF(F796&lt;H796,F796*(D796-E796),0)+IF(H796=0,(D796-E796)*F796,0)+IF(H796&lt;F796,H796*(D796-E796),0)</f>
        <v>1248</v>
      </c>
      <c r="J796" s="3179" t="n">
        <f aca="false">G796-I796</f>
        <v>0</v>
      </c>
    </row>
    <row r="797" customFormat="false" ht="15" hidden="false" customHeight="true" outlineLevel="0" collapsed="false">
      <c r="B797" s="1551" t="str">
        <f aca="false">'Смета Внутр'!B797</f>
        <v>Арматура М10</v>
      </c>
      <c r="C797" s="1551" t="str">
        <f aca="false">'Смета Внутр'!C797</f>
        <v>м.п.</v>
      </c>
      <c r="D797" s="1551" t="n">
        <f aca="false">'Смета Внутр'!D797</f>
        <v>640</v>
      </c>
      <c r="F797" s="1551" t="n">
        <f aca="false">'Смета Внутр'!E797</f>
        <v>21.0397</v>
      </c>
      <c r="G797" s="1551" t="n">
        <f aca="false">'Смета Внутр'!H797</f>
        <v>13465.408</v>
      </c>
      <c r="I797" s="3179" t="n">
        <f aca="false">IF(F797&lt;H797,F797*(D797-E797),0)+IF(H797=0,(D797-E797)*F797,0)+IF(H797&lt;F797,H797*(D797-E797),0)</f>
        <v>13465.408</v>
      </c>
      <c r="J797" s="3179" t="n">
        <f aca="false">G797-I797</f>
        <v>0</v>
      </c>
    </row>
    <row r="798" customFormat="false" ht="15" hidden="false" customHeight="true" outlineLevel="0" collapsed="false">
      <c r="B798" s="1551" t="str">
        <f aca="false">'Смета Внутр'!B798</f>
        <v>Вязальная проволока</v>
      </c>
      <c r="C798" s="1551" t="str">
        <f aca="false">'Смета Внутр'!C798</f>
        <v>кг</v>
      </c>
      <c r="D798" s="1551" t="n">
        <f aca="false">'Смета Внутр'!D798</f>
        <v>16</v>
      </c>
      <c r="F798" s="1551" t="n">
        <f aca="false">'Смета Внутр'!E798</f>
        <v>80</v>
      </c>
      <c r="G798" s="1551" t="n">
        <f aca="false">'Смета Внутр'!H798</f>
        <v>1280</v>
      </c>
      <c r="I798" s="3179" t="n">
        <f aca="false">IF(F798&lt;H798,F798*(D798-E798),0)+IF(H798=0,(D798-E798)*F798,0)+IF(H798&lt;F798,H798*(D798-E798),0)</f>
        <v>1280</v>
      </c>
      <c r="J798" s="3179" t="n">
        <f aca="false">G798-I798</f>
        <v>0</v>
      </c>
    </row>
    <row r="799" customFormat="false" ht="15" hidden="false" customHeight="true" outlineLevel="0" collapsed="false">
      <c r="B799" s="1551" t="str">
        <f aca="false">'Смета Внутр'!B799</f>
        <v>Подставка под арматурный каркас</v>
      </c>
      <c r="C799" s="1551" t="str">
        <f aca="false">'Смета Внутр'!C799</f>
        <v>шт</v>
      </c>
      <c r="D799" s="1551" t="n">
        <f aca="false">'Смета Внутр'!D799</f>
        <v>256</v>
      </c>
      <c r="F799" s="1551" t="n">
        <f aca="false">'Смета Внутр'!E799</f>
        <v>5</v>
      </c>
      <c r="G799" s="1551" t="n">
        <f aca="false">'Смета Внутр'!H799</f>
        <v>1280</v>
      </c>
      <c r="I799" s="3179" t="n">
        <f aca="false">IF(F799&lt;H799,F799*(D799-E799),0)+IF(H799=0,(D799-E799)*F799,0)+IF(H799&lt;F799,H799*(D799-E799),0)</f>
        <v>1280</v>
      </c>
      <c r="J799" s="3179" t="n">
        <f aca="false">G799-I799</f>
        <v>0</v>
      </c>
    </row>
    <row r="800" customFormat="false" ht="15" hidden="false" customHeight="true" outlineLevel="0" collapsed="false">
      <c r="B800" s="1551" t="str">
        <f aca="false">'Смета Внутр'!B800</f>
        <v>бетон, м350</v>
      </c>
      <c r="C800" s="1551" t="str">
        <f aca="false">'Смета Внутр'!C800</f>
        <v>м3</v>
      </c>
      <c r="D800" s="1551" t="n">
        <f aca="false">'Смета Внутр'!D800</f>
        <v>12.8</v>
      </c>
      <c r="F800" s="1551" t="n">
        <f aca="false">'Смета Внутр'!E800</f>
        <v>3500</v>
      </c>
      <c r="G800" s="1551" t="n">
        <f aca="false">'Смета Внутр'!H800</f>
        <v>44800</v>
      </c>
      <c r="I800" s="3179" t="n">
        <f aca="false">IF(F800&lt;H800,F800*(D800-E800),0)+IF(H800=0,(D800-E800)*F800,0)+IF(H800&lt;F800,H800*(D800-E800),0)</f>
        <v>44800</v>
      </c>
      <c r="J800" s="3179" t="n">
        <f aca="false">G800-I800</f>
        <v>0</v>
      </c>
    </row>
    <row r="801" customFormat="false" ht="15" hidden="false" customHeight="true" outlineLevel="0" collapsed="false">
      <c r="B801" s="1551" t="str">
        <f aca="false">'Смета Внутр'!B801</f>
        <v>Брус естественной влажности, 200*100мм</v>
      </c>
      <c r="C801" s="1551" t="str">
        <f aca="false">'Смета Внутр'!C801</f>
        <v>м3</v>
      </c>
      <c r="D801" s="1551" t="n">
        <f aca="false">'Смета Внутр'!D801</f>
        <v>0</v>
      </c>
      <c r="F801" s="1551" t="n">
        <f aca="false">'Смета Внутр'!E801</f>
        <v>6500</v>
      </c>
      <c r="G801" s="1551" t="n">
        <f aca="false">'Смета Внутр'!H801</f>
        <v>0</v>
      </c>
      <c r="I801" s="3179" t="n">
        <f aca="false">IF(F801&lt;H801,F801*(D801-E801),0)+IF(H801=0,(D801-E801)*F801,0)+IF(H801&lt;F801,H801*(D801-E801),0)</f>
        <v>0</v>
      </c>
      <c r="J801" s="3179" t="n">
        <f aca="false">G801-I801</f>
        <v>0</v>
      </c>
    </row>
    <row r="802" customFormat="false" ht="15" hidden="false" customHeight="true" outlineLevel="0" collapsed="false">
      <c r="B802" s="1551" t="str">
        <f aca="false">'Смета Внутр'!B802</f>
        <v>Брус естественной влажности, 150*100мм</v>
      </c>
      <c r="C802" s="1551" t="str">
        <f aca="false">'Смета Внутр'!C802</f>
        <v>м3</v>
      </c>
      <c r="D802" s="1551" t="n">
        <f aca="false">'Смета Внутр'!D802</f>
        <v>0</v>
      </c>
      <c r="F802" s="1551" t="n">
        <f aca="false">'Смета Внутр'!E802</f>
        <v>6500</v>
      </c>
      <c r="G802" s="1551" t="n">
        <f aca="false">'Смета Внутр'!H802</f>
        <v>0</v>
      </c>
      <c r="I802" s="3179" t="n">
        <f aca="false">IF(F802&lt;H802,F802*(D802-E802),0)+IF(H802=0,(D802-E802)*F802,0)+IF(H802&lt;F802,H802*(D802-E802),0)</f>
        <v>0</v>
      </c>
      <c r="J802" s="3179" t="n">
        <f aca="false">G802-I802</f>
        <v>0</v>
      </c>
    </row>
    <row r="803" customFormat="false" ht="15" hidden="false" customHeight="true" outlineLevel="0" collapsed="false">
      <c r="B803" s="1551" t="str">
        <f aca="false">'Смета Внутр'!B803</f>
        <v>Брус естественной влажности, 100*100мм</v>
      </c>
      <c r="C803" s="1551" t="str">
        <f aca="false">'Смета Внутр'!C803</f>
        <v>м3</v>
      </c>
      <c r="D803" s="1551" t="n">
        <f aca="false">'Смета Внутр'!D803</f>
        <v>0</v>
      </c>
      <c r="F803" s="1551" t="n">
        <f aca="false">'Смета Внутр'!E803</f>
        <v>6500</v>
      </c>
      <c r="G803" s="1551" t="n">
        <f aca="false">'Смета Внутр'!H803</f>
        <v>0</v>
      </c>
      <c r="I803" s="3179" t="n">
        <f aca="false">IF(F803&lt;H803,F803*(D803-E803),0)+IF(H803=0,(D803-E803)*F803,0)+IF(H803&lt;F803,H803*(D803-E803),0)</f>
        <v>0</v>
      </c>
      <c r="J803" s="3179" t="n">
        <f aca="false">G803-I803</f>
        <v>0</v>
      </c>
    </row>
    <row r="804" customFormat="false" ht="15" hidden="false" customHeight="true" outlineLevel="0" collapsed="false">
      <c r="B804" s="1551" t="str">
        <f aca="false">'Смета Внутр'!B804</f>
        <v>Брус естественной влажности, 150*150мм</v>
      </c>
      <c r="C804" s="1551" t="str">
        <f aca="false">'Смета Внутр'!C804</f>
        <v>м3</v>
      </c>
      <c r="D804" s="1551" t="n">
        <f aca="false">'Смета Внутр'!D804</f>
        <v>0</v>
      </c>
      <c r="F804" s="1551" t="n">
        <f aca="false">'Смета Внутр'!E804</f>
        <v>6500</v>
      </c>
      <c r="G804" s="1551" t="n">
        <f aca="false">'Смета Внутр'!H804</f>
        <v>0</v>
      </c>
      <c r="I804" s="3179" t="n">
        <f aca="false">IF(F804&lt;H804,F804*(D804-E804),0)+IF(H804=0,(D804-E804)*F804,0)+IF(H804&lt;F804,H804*(D804-E804),0)</f>
        <v>0</v>
      </c>
      <c r="J804" s="3179" t="n">
        <f aca="false">G804-I804</f>
        <v>0</v>
      </c>
    </row>
    <row r="805" customFormat="false" ht="15" hidden="false" customHeight="true" outlineLevel="0" collapsed="false">
      <c r="B805" s="1551" t="str">
        <f aca="false">'Смета Внутр'!B805</f>
        <v>Доска естественной влажности, 200*50мм</v>
      </c>
      <c r="C805" s="1551" t="str">
        <f aca="false">'Смета Внутр'!C805</f>
        <v>м3</v>
      </c>
      <c r="D805" s="1551" t="n">
        <f aca="false">'Смета Внутр'!D805</f>
        <v>0</v>
      </c>
      <c r="F805" s="1551" t="n">
        <f aca="false">'Смета Внутр'!E805</f>
        <v>6500</v>
      </c>
      <c r="G805" s="1551" t="n">
        <f aca="false">'Смета Внутр'!H805</f>
        <v>0</v>
      </c>
      <c r="I805" s="3179" t="n">
        <f aca="false">IF(F805&lt;H805,F805*(D805-E805),0)+IF(H805=0,(D805-E805)*F805,0)+IF(H805&lt;F805,H805*(D805-E805),0)</f>
        <v>0</v>
      </c>
      <c r="J805" s="3179" t="n">
        <f aca="false">G805-I805</f>
        <v>0</v>
      </c>
    </row>
    <row r="806" customFormat="false" ht="15" hidden="false" customHeight="true" outlineLevel="0" collapsed="false">
      <c r="B806" s="1551" t="str">
        <f aca="false">'Смета Внутр'!B806</f>
        <v>Доска естественной влажности, 150*50мм</v>
      </c>
      <c r="C806" s="1551" t="str">
        <f aca="false">'Смета Внутр'!C806</f>
        <v>м3</v>
      </c>
      <c r="D806" s="1551" t="n">
        <f aca="false">'Смета Внутр'!D806</f>
        <v>0</v>
      </c>
      <c r="F806" s="1551" t="n">
        <f aca="false">'Смета Внутр'!E806</f>
        <v>6500</v>
      </c>
      <c r="G806" s="1551" t="n">
        <f aca="false">'Смета Внутр'!H806</f>
        <v>0</v>
      </c>
      <c r="I806" s="3179" t="n">
        <f aca="false">IF(F806&lt;H806,F806*(D806-E806),0)+IF(H806=0,(D806-E806)*F806,0)+IF(H806&lt;F806,H806*(D806-E806),0)</f>
        <v>0</v>
      </c>
      <c r="J806" s="3179" t="n">
        <f aca="false">G806-I806</f>
        <v>0</v>
      </c>
    </row>
    <row r="807" customFormat="false" ht="15" hidden="false" customHeight="true" outlineLevel="0" collapsed="false">
      <c r="B807" s="1551" t="str">
        <f aca="false">'Смета Внутр'!B807</f>
        <v>Опора бруса          </v>
      </c>
      <c r="C807" s="1551" t="str">
        <f aca="false">'Смета Внутр'!C807</f>
        <v>шт</v>
      </c>
      <c r="D807" s="1551" t="n">
        <f aca="false">'Смета Внутр'!D807</f>
        <v>0</v>
      </c>
      <c r="F807" s="1551" t="n">
        <f aca="false">'Смета Внутр'!E807</f>
        <v>50</v>
      </c>
      <c r="G807" s="1551" t="n">
        <f aca="false">'Смета Внутр'!H807</f>
        <v>0</v>
      </c>
      <c r="I807" s="3179" t="n">
        <f aca="false">IF(F807&lt;H807,F807*(D807-E807),0)+IF(H807=0,(D807-E807)*F807,0)+IF(H807&lt;F807,H807*(D807-E807),0)</f>
        <v>0</v>
      </c>
      <c r="J807" s="3179" t="n">
        <f aca="false">G807-I807</f>
        <v>0</v>
      </c>
    </row>
    <row r="808" customFormat="false" ht="15" hidden="false" customHeight="true" outlineLevel="0" collapsed="false">
      <c r="B808" s="1551" t="str">
        <f aca="false">'Смета Внутр'!B808</f>
        <v>Болты анкерные с гайкой 8,0 x 60           </v>
      </c>
      <c r="C808" s="1551" t="str">
        <f aca="false">'Смета Внутр'!C808</f>
        <v>шт</v>
      </c>
      <c r="D808" s="1551" t="n">
        <f aca="false">'Смета Внутр'!D808</f>
        <v>0</v>
      </c>
      <c r="F808" s="1551" t="n">
        <f aca="false">'Смета Внутр'!E808</f>
        <v>4</v>
      </c>
      <c r="G808" s="1551" t="n">
        <f aca="false">'Смета Внутр'!H808</f>
        <v>0</v>
      </c>
      <c r="I808" s="3179" t="n">
        <f aca="false">IF(F808&lt;H808,F808*(D808-E808),0)+IF(H808=0,(D808-E808)*F808,0)+IF(H808&lt;F808,H808*(D808-E808),0)</f>
        <v>0</v>
      </c>
      <c r="J808" s="3179" t="n">
        <f aca="false">G808-I808</f>
        <v>0</v>
      </c>
    </row>
    <row r="809" customFormat="false" ht="15" hidden="false" customHeight="true" outlineLevel="0" collapsed="false">
      <c r="B809" s="1551" t="str">
        <f aca="false">'Смета Внутр'!B809</f>
        <v>Sip панель 2500*625*124мм</v>
      </c>
      <c r="C809" s="1551" t="str">
        <f aca="false">'Смета Внутр'!C809</f>
        <v>м2</v>
      </c>
      <c r="D809" s="1551" t="n">
        <f aca="false">'Смета Внутр'!D809</f>
        <v>0</v>
      </c>
      <c r="F809" s="1551" t="n">
        <f aca="false">'Смета Внутр'!E809</f>
        <v>800</v>
      </c>
      <c r="G809" s="1551" t="n">
        <f aca="false">'Смета Внутр'!H809</f>
        <v>0</v>
      </c>
      <c r="I809" s="3179" t="n">
        <f aca="false">IF(F809&lt;H809,F809*(D809-E809),0)+IF(H809=0,(D809-E809)*F809,0)+IF(H809&lt;F809,H809*(D809-E809),0)</f>
        <v>0</v>
      </c>
      <c r="J809" s="3179" t="n">
        <f aca="false">G809-I809</f>
        <v>0</v>
      </c>
    </row>
    <row r="810" customFormat="false" ht="15" hidden="false" customHeight="true" outlineLevel="0" collapsed="false">
      <c r="B810" s="1551" t="str">
        <f aca="false">'Смета Внутр'!B810</f>
        <v>Sip панель 2500*625*174мм</v>
      </c>
      <c r="C810" s="1551" t="str">
        <f aca="false">'Смета Внутр'!C810</f>
        <v>м2</v>
      </c>
      <c r="D810" s="1551" t="n">
        <f aca="false">'Смета Внутр'!D810</f>
        <v>0</v>
      </c>
      <c r="F810" s="1551" t="n">
        <f aca="false">'Смета Внутр'!E810</f>
        <v>1200</v>
      </c>
      <c r="G810" s="1551" t="n">
        <f aca="false">'Смета Внутр'!H810</f>
        <v>0</v>
      </c>
      <c r="I810" s="3179" t="n">
        <f aca="false">IF(F810&lt;H810,F810*(D810-E810),0)+IF(H810=0,(D810-E810)*F810,0)+IF(H810&lt;F810,H810*(D810-E810),0)</f>
        <v>0</v>
      </c>
      <c r="J810" s="3179" t="n">
        <f aca="false">G810-I810</f>
        <v>0</v>
      </c>
    </row>
    <row r="811" customFormat="false" ht="15" hidden="false" customHeight="true" outlineLevel="0" collapsed="false">
      <c r="B811" s="1551" t="str">
        <f aca="false">'Смета Внутр'!B811</f>
        <v>Sip панель 2500*625*224мм</v>
      </c>
      <c r="C811" s="1551" t="str">
        <f aca="false">'Смета Внутр'!C811</f>
        <v>м2</v>
      </c>
      <c r="D811" s="1551" t="n">
        <f aca="false">'Смета Внутр'!D811</f>
        <v>0</v>
      </c>
      <c r="F811" s="1551" t="n">
        <f aca="false">'Смета Внутр'!E811</f>
        <v>1400</v>
      </c>
      <c r="G811" s="1551" t="n">
        <f aca="false">'Смета Внутр'!H811</f>
        <v>0</v>
      </c>
      <c r="I811" s="3179" t="n">
        <f aca="false">IF(F811&lt;H811,F811*(D811-E811),0)+IF(H811=0,(D811-E811)*F811,0)+IF(H811&lt;F811,H811*(D811-E811),0)</f>
        <v>0</v>
      </c>
      <c r="J811" s="3179" t="n">
        <f aca="false">G811-I811</f>
        <v>0</v>
      </c>
    </row>
    <row r="812" customFormat="false" ht="15" hidden="false" customHeight="true" outlineLevel="0" collapsed="false">
      <c r="B812" s="1551" t="str">
        <f aca="false">'Смета Внутр'!B812</f>
        <v>Доска сухая, 100*50мм</v>
      </c>
      <c r="C812" s="1551" t="str">
        <f aca="false">'Смета Внутр'!C812</f>
        <v>м.п.</v>
      </c>
      <c r="D812" s="1551" t="n">
        <f aca="false">'Смета Внутр'!D812</f>
        <v>0</v>
      </c>
      <c r="F812" s="1551" t="n">
        <f aca="false">'Смета Внутр'!E812</f>
        <v>45</v>
      </c>
      <c r="G812" s="1551" t="n">
        <f aca="false">'Смета Внутр'!H812</f>
        <v>0</v>
      </c>
      <c r="I812" s="3179" t="n">
        <f aca="false">IF(F812&lt;H812,F812*(D812-E812),0)+IF(H812=0,(D812-E812)*F812,0)+IF(H812&lt;F812,H812*(D812-E812),0)</f>
        <v>0</v>
      </c>
      <c r="J812" s="3179" t="n">
        <f aca="false">G812-I812</f>
        <v>0</v>
      </c>
    </row>
    <row r="813" customFormat="false" ht="15" hidden="false" customHeight="true" outlineLevel="0" collapsed="false">
      <c r="B813" s="1551" t="str">
        <f aca="false">'Смета Внутр'!B813</f>
        <v>Доска сухая, 150*50мм</v>
      </c>
      <c r="C813" s="1551" t="str">
        <f aca="false">'Смета Внутр'!C813</f>
        <v>м.п.</v>
      </c>
      <c r="D813" s="1551" t="n">
        <f aca="false">'Смета Внутр'!D813</f>
        <v>0</v>
      </c>
      <c r="F813" s="1551" t="n">
        <f aca="false">'Смета Внутр'!E813</f>
        <v>67.5</v>
      </c>
      <c r="G813" s="1551" t="n">
        <f aca="false">'Смета Внутр'!H813</f>
        <v>0</v>
      </c>
      <c r="I813" s="3179" t="n">
        <f aca="false">IF(F813&lt;H813,F813*(D813-E813),0)+IF(H813=0,(D813-E813)*F813,0)+IF(H813&lt;F813,H813*(D813-E813),0)</f>
        <v>0</v>
      </c>
      <c r="J813" s="3179" t="n">
        <f aca="false">G813-I813</f>
        <v>0</v>
      </c>
    </row>
    <row r="814" customFormat="false" ht="15" hidden="false" customHeight="true" outlineLevel="0" collapsed="false">
      <c r="B814" s="1551" t="str">
        <f aca="false">'Смета Внутр'!B814</f>
        <v>Доска сухая, 200*50мм</v>
      </c>
      <c r="C814" s="1551" t="str">
        <f aca="false">'Смета Внутр'!C814</f>
        <v>м.п.</v>
      </c>
      <c r="D814" s="1551" t="n">
        <f aca="false">'Смета Внутр'!D814</f>
        <v>0</v>
      </c>
      <c r="F814" s="1551" t="n">
        <f aca="false">'Смета Внутр'!E814</f>
        <v>90</v>
      </c>
      <c r="G814" s="1551" t="n">
        <f aca="false">'Смета Внутр'!H814</f>
        <v>0</v>
      </c>
      <c r="I814" s="3179" t="n">
        <f aca="false">IF(F814&lt;H814,F814*(D814-E814),0)+IF(H814=0,(D814-E814)*F814,0)+IF(H814&lt;F814,H814*(D814-E814),0)</f>
        <v>0</v>
      </c>
      <c r="J814" s="3179" t="n">
        <f aca="false">G814-I814</f>
        <v>0</v>
      </c>
    </row>
    <row r="815" customFormat="false" ht="15" hidden="false" customHeight="true" outlineLevel="0" collapsed="false">
      <c r="B815" s="1551" t="str">
        <f aca="false">'Смета Внутр'!B815</f>
        <v>Пена монтажная, всесезонняя 800мл</v>
      </c>
      <c r="C815" s="1551" t="str">
        <f aca="false">'Смета Внутр'!C815</f>
        <v>шт</v>
      </c>
      <c r="D815" s="1551" t="n">
        <f aca="false">'Смета Внутр'!D815</f>
        <v>0</v>
      </c>
      <c r="F815" s="1551" t="n">
        <f aca="false">'Смета Внутр'!E815</f>
        <v>300</v>
      </c>
      <c r="G815" s="1551" t="n">
        <f aca="false">'Смета Внутр'!H815</f>
        <v>0</v>
      </c>
      <c r="I815" s="3179" t="n">
        <f aca="false">IF(F815&lt;H815,F815*(D815-E815),0)+IF(H815=0,(D815-E815)*F815,0)+IF(H815&lt;F815,H815*(D815-E815),0)</f>
        <v>0</v>
      </c>
      <c r="J815" s="3179" t="n">
        <f aca="false">G815-I815</f>
        <v>0</v>
      </c>
    </row>
    <row r="816" customFormat="false" ht="15" hidden="false" customHeight="true" outlineLevel="0" collapsed="false">
      <c r="B816" s="1551" t="str">
        <f aca="false">'Смета Внутр'!B816</f>
        <v>Гвозди строительные 3,5 x 90            </v>
      </c>
      <c r="C816" s="1551" t="str">
        <f aca="false">'Смета Внутр'!C816</f>
        <v>шт</v>
      </c>
      <c r="D816" s="1551" t="n">
        <f aca="false">'Смета Внутр'!D816</f>
        <v>0</v>
      </c>
      <c r="F816" s="1551" t="n">
        <f aca="false">'Смета Внутр'!E816</f>
        <v>45</v>
      </c>
      <c r="G816" s="1551" t="n">
        <f aca="false">'Смета Внутр'!H816</f>
        <v>0</v>
      </c>
      <c r="I816" s="3179" t="n">
        <f aca="false">IF(F816&lt;H816,F816*(D816-E816),0)+IF(H816=0,(D816-E816)*F816,0)+IF(H816&lt;F816,H816*(D816-E816),0)</f>
        <v>0</v>
      </c>
      <c r="J816" s="3179" t="n">
        <f aca="false">G816-I816</f>
        <v>0</v>
      </c>
    </row>
    <row r="817" customFormat="false" ht="15" hidden="false" customHeight="true" outlineLevel="0" collapsed="false">
      <c r="B817" s="1551" t="str">
        <f aca="false">'Смета Внутр'!B817</f>
        <v>Саморезы 3,5 x 45            </v>
      </c>
      <c r="C817" s="1551" t="str">
        <f aca="false">'Смета Внутр'!C817</f>
        <v>шт</v>
      </c>
      <c r="D817" s="1551" t="n">
        <f aca="false">'Смета Внутр'!D817</f>
        <v>0</v>
      </c>
      <c r="F817" s="1551" t="n">
        <f aca="false">'Смета Внутр'!E817</f>
        <v>0.25</v>
      </c>
      <c r="G817" s="1551" t="n">
        <f aca="false">'Смета Внутр'!H817</f>
        <v>0</v>
      </c>
      <c r="I817" s="3179" t="n">
        <f aca="false">IF(F817&lt;H817,F817*(D817-E817),0)+IF(H817=0,(D817-E817)*F817,0)+IF(H817&lt;F817,H817*(D817-E817),0)</f>
        <v>0</v>
      </c>
      <c r="J817" s="3179" t="n">
        <f aca="false">G817-I817</f>
        <v>0</v>
      </c>
    </row>
    <row r="818" customFormat="false" ht="15" hidden="false" customHeight="true" outlineLevel="0" collapsed="false">
      <c r="B818" s="1551" t="str">
        <f aca="false">'Смета Внутр'!B818</f>
        <v>Доска сухая, 200*50мм</v>
      </c>
      <c r="C818" s="1551" t="str">
        <f aca="false">'Смета Внутр'!C818</f>
        <v>м3</v>
      </c>
      <c r="D818" s="1551" t="n">
        <f aca="false">'Смета Внутр'!D818</f>
        <v>0</v>
      </c>
      <c r="F818" s="1551" t="n">
        <f aca="false">'Смета Внутр'!E818</f>
        <v>9000</v>
      </c>
      <c r="G818" s="1551" t="n">
        <f aca="false">'Смета Внутр'!H818</f>
        <v>0</v>
      </c>
      <c r="I818" s="3179" t="n">
        <f aca="false">IF(F818&lt;H818,F818*(D818-E818),0)+IF(H818=0,(D818-E818)*F818,0)+IF(H818&lt;F818,H818*(D818-E818),0)</f>
        <v>0</v>
      </c>
      <c r="J818" s="3179" t="n">
        <f aca="false">G818-I818</f>
        <v>0</v>
      </c>
    </row>
    <row r="819" customFormat="false" ht="15" hidden="false" customHeight="true" outlineLevel="0" collapsed="false">
      <c r="B819" s="1551" t="str">
        <f aca="false">'Смета Внутр'!B819</f>
        <v>Доска сухая, 150*50мм</v>
      </c>
      <c r="C819" s="1551" t="str">
        <f aca="false">'Смета Внутр'!C819</f>
        <v>м3</v>
      </c>
      <c r="D819" s="1551" t="n">
        <f aca="false">'Смета Внутр'!D819</f>
        <v>0</v>
      </c>
      <c r="F819" s="1551" t="n">
        <f aca="false">'Смета Внутр'!E819</f>
        <v>9000</v>
      </c>
      <c r="G819" s="1551" t="n">
        <f aca="false">'Смета Внутр'!H819</f>
        <v>0</v>
      </c>
      <c r="I819" s="3179" t="n">
        <f aca="false">IF(F819&lt;H819,F819*(D819-E819),0)+IF(H819=0,(D819-E819)*F819,0)+IF(H819&lt;F819,H819*(D819-E819),0)</f>
        <v>0</v>
      </c>
      <c r="J819" s="3179" t="n">
        <f aca="false">G819-I819</f>
        <v>0</v>
      </c>
    </row>
    <row r="820" customFormat="false" ht="15" hidden="false" customHeight="true" outlineLevel="0" collapsed="false">
      <c r="B820" s="1551" t="str">
        <f aca="false">'Смета Внутр'!B820</f>
        <v>Гвозди ершоные 2,8 х 90            </v>
      </c>
      <c r="C820" s="1551" t="str">
        <f aca="false">'Смета Внутр'!C820</f>
        <v>кг</v>
      </c>
      <c r="D820" s="1551" t="n">
        <f aca="false">'Смета Внутр'!D820</f>
        <v>0</v>
      </c>
      <c r="F820" s="1551" t="n">
        <f aca="false">'Смета Внутр'!E820</f>
        <v>76.49</v>
      </c>
      <c r="G820" s="1551" t="n">
        <f aca="false">'Смета Внутр'!H820</f>
        <v>0</v>
      </c>
      <c r="I820" s="3179" t="n">
        <f aca="false">IF(F820&lt;H820,F820*(D820-E820),0)+IF(H820=0,(D820-E820)*F820,0)+IF(H820&lt;F820,H820*(D820-E820),0)</f>
        <v>0</v>
      </c>
      <c r="J820" s="3179" t="n">
        <f aca="false">G820-I820</f>
        <v>0</v>
      </c>
    </row>
    <row r="821" customFormat="false" ht="15" hidden="false" customHeight="true" outlineLevel="0" collapsed="false">
      <c r="B821" s="1551" t="str">
        <f aca="false">'Смета Внутр'!B821</f>
        <v>Доска сухая калиброванная, 190*45мм</v>
      </c>
      <c r="C821" s="1551" t="str">
        <f aca="false">'Смета Внутр'!C821</f>
        <v>м3</v>
      </c>
      <c r="D821" s="1551" t="n">
        <f aca="false">'Смета Внутр'!D821</f>
        <v>0</v>
      </c>
      <c r="F821" s="1551" t="n">
        <f aca="false">'Смета Внутр'!E821</f>
        <v>12500</v>
      </c>
      <c r="G821" s="1551" t="n">
        <f aca="false">'Смета Внутр'!H821</f>
        <v>0</v>
      </c>
      <c r="I821" s="3179" t="n">
        <f aca="false">IF(F821&lt;H821,F821*(D821-E821),0)+IF(H821=0,(D821-E821)*F821,0)+IF(H821&lt;F821,H821*(D821-E821),0)</f>
        <v>0</v>
      </c>
      <c r="J821" s="3179" t="n">
        <f aca="false">G821-I821</f>
        <v>0</v>
      </c>
    </row>
    <row r="822" customFormat="false" ht="15" hidden="false" customHeight="true" outlineLevel="0" collapsed="false">
      <c r="B822" s="1551" t="str">
        <f aca="false">'Смета Внутр'!B822</f>
        <v>Доска сухая калиброванная, 145*45мм</v>
      </c>
      <c r="C822" s="1551" t="str">
        <f aca="false">'Смета Внутр'!C822</f>
        <v>м3</v>
      </c>
      <c r="D822" s="1551" t="n">
        <f aca="false">'Смета Внутр'!D822</f>
        <v>0</v>
      </c>
      <c r="F822" s="1551" t="n">
        <f aca="false">'Смета Внутр'!E822</f>
        <v>12500</v>
      </c>
      <c r="G822" s="1551" t="n">
        <f aca="false">'Смета Внутр'!H822</f>
        <v>0</v>
      </c>
      <c r="I822" s="3179" t="n">
        <f aca="false">IF(F822&lt;H822,F822*(D822-E822),0)+IF(H822=0,(D822-E822)*F822,0)+IF(H822&lt;F822,H822*(D822-E822),0)</f>
        <v>0</v>
      </c>
      <c r="J822" s="3179" t="n">
        <f aca="false">G822-I822</f>
        <v>0</v>
      </c>
    </row>
    <row r="823" customFormat="false" ht="15" hidden="false" customHeight="true" outlineLevel="0" collapsed="false">
      <c r="B823" s="1551" t="str">
        <f aca="false">'Смета Внутр'!B823</f>
        <v>Гвозди ершоные 2,8 х 90            </v>
      </c>
      <c r="C823" s="1551" t="str">
        <f aca="false">'Смета Внутр'!C823</f>
        <v>кг</v>
      </c>
      <c r="D823" s="1551" t="n">
        <f aca="false">'Смета Внутр'!D823</f>
        <v>0</v>
      </c>
      <c r="F823" s="1551" t="n">
        <f aca="false">'Смета Внутр'!E823</f>
        <v>76.49</v>
      </c>
      <c r="G823" s="1551" t="n">
        <f aca="false">'Смета Внутр'!H823</f>
        <v>0</v>
      </c>
      <c r="I823" s="3179" t="n">
        <f aca="false">IF(F823&lt;H823,F823*(D823-E823),0)+IF(H823=0,(D823-E823)*F823,0)+IF(H823&lt;F823,H823*(D823-E823),0)</f>
        <v>0</v>
      </c>
      <c r="J823" s="3179" t="n">
        <f aca="false">G823-I823</f>
        <v>0</v>
      </c>
    </row>
    <row r="824" customFormat="false" ht="15" hidden="false" customHeight="true" outlineLevel="0" collapsed="false">
      <c r="B824" s="1551" t="str">
        <f aca="false">'Смета Внутр'!B824</f>
        <v>Двутавровая деревянная балка, 400*65мм</v>
      </c>
      <c r="C824" s="1551" t="str">
        <f aca="false">'Смета Внутр'!C824</f>
        <v>м.п.</v>
      </c>
      <c r="D824" s="1551" t="n">
        <f aca="false">'Смета Внутр'!D824</f>
        <v>0</v>
      </c>
      <c r="F824" s="1551" t="n">
        <f aca="false">'Смета Внутр'!E824</f>
        <v>303</v>
      </c>
      <c r="G824" s="1551" t="n">
        <f aca="false">'Смета Внутр'!H824</f>
        <v>0</v>
      </c>
      <c r="I824" s="3179" t="n">
        <f aca="false">IF(F824&lt;H824,F824*(D824-E824),0)+IF(H824=0,(D824-E824)*F824,0)+IF(H824&lt;F824,H824*(D824-E824),0)</f>
        <v>0</v>
      </c>
      <c r="J824" s="3179" t="n">
        <f aca="false">G824-I824</f>
        <v>0</v>
      </c>
    </row>
    <row r="825" customFormat="false" ht="15" hidden="false" customHeight="true" outlineLevel="0" collapsed="false">
      <c r="B825" s="1551" t="str">
        <f aca="false">'Смета Внутр'!B825</f>
        <v>Двутавровая деревянная балка, 400*90мм</v>
      </c>
      <c r="C825" s="1551" t="str">
        <f aca="false">'Смета Внутр'!C825</f>
        <v>м.п.</v>
      </c>
      <c r="D825" s="1551" t="n">
        <f aca="false">'Смета Внутр'!D825</f>
        <v>0</v>
      </c>
      <c r="F825" s="1551" t="n">
        <f aca="false">'Смета Внутр'!E825</f>
        <v>355</v>
      </c>
      <c r="G825" s="1551" t="n">
        <f aca="false">'Смета Внутр'!H825</f>
        <v>0</v>
      </c>
      <c r="I825" s="3179" t="n">
        <f aca="false">IF(F825&lt;H825,F825*(D825-E825),0)+IF(H825=0,(D825-E825)*F825,0)+IF(H825&lt;F825,H825*(D825-E825),0)</f>
        <v>0</v>
      </c>
      <c r="J825" s="3179" t="n">
        <f aca="false">G825-I825</f>
        <v>0</v>
      </c>
    </row>
    <row r="826" customFormat="false" ht="15" hidden="false" customHeight="true" outlineLevel="0" collapsed="false">
      <c r="B826" s="1551" t="str">
        <f aca="false">'Смета Внутр'!B826</f>
        <v>Двутавровая деревянная балка, 350*65мм</v>
      </c>
      <c r="C826" s="1551" t="str">
        <f aca="false">'Смета Внутр'!C826</f>
        <v>м.п.</v>
      </c>
      <c r="D826" s="1551" t="n">
        <f aca="false">'Смета Внутр'!D826</f>
        <v>0</v>
      </c>
      <c r="F826" s="1551" t="n">
        <f aca="false">'Смета Внутр'!E826</f>
        <v>287</v>
      </c>
      <c r="G826" s="1551" t="n">
        <f aca="false">'Смета Внутр'!H826</f>
        <v>0</v>
      </c>
      <c r="I826" s="3179" t="n">
        <f aca="false">IF(F826&lt;H826,F826*(D826-E826),0)+IF(H826=0,(D826-E826)*F826,0)+IF(H826&lt;F826,H826*(D826-E826),0)</f>
        <v>0</v>
      </c>
      <c r="J826" s="3179" t="n">
        <f aca="false">G826-I826</f>
        <v>0</v>
      </c>
    </row>
    <row r="827" customFormat="false" ht="15" hidden="false" customHeight="true" outlineLevel="0" collapsed="false">
      <c r="B827" s="1551" t="str">
        <f aca="false">'Смета Внутр'!B827</f>
        <v>Двутавровая деревянная балка, 350*90мм</v>
      </c>
      <c r="C827" s="1551" t="str">
        <f aca="false">'Смета Внутр'!C827</f>
        <v>м.п.</v>
      </c>
      <c r="D827" s="1551" t="n">
        <f aca="false">'Смета Внутр'!D827</f>
        <v>0</v>
      </c>
      <c r="F827" s="1551" t="n">
        <f aca="false">'Смета Внутр'!E827</f>
        <v>315</v>
      </c>
      <c r="G827" s="1551" t="n">
        <f aca="false">'Смета Внутр'!H827</f>
        <v>0</v>
      </c>
      <c r="I827" s="3179" t="n">
        <f aca="false">IF(F827&lt;H827,F827*(D827-E827),0)+IF(H827=0,(D827-E827)*F827,0)+IF(H827&lt;F827,H827*(D827-E827),0)</f>
        <v>0</v>
      </c>
      <c r="J827" s="3179" t="n">
        <f aca="false">G827-I827</f>
        <v>0</v>
      </c>
    </row>
    <row r="828" customFormat="false" ht="15" hidden="false" customHeight="true" outlineLevel="0" collapsed="false">
      <c r="B828" s="1551" t="str">
        <f aca="false">'Смета Внутр'!B828</f>
        <v>Двутавровая деревянная балка, 300*65мм</v>
      </c>
      <c r="C828" s="1551" t="str">
        <f aca="false">'Смета Внутр'!C828</f>
        <v>м.п.</v>
      </c>
      <c r="D828" s="1551" t="n">
        <f aca="false">'Смета Внутр'!D828</f>
        <v>0</v>
      </c>
      <c r="F828" s="1551" t="n">
        <f aca="false">'Смета Внутр'!E828</f>
        <v>273</v>
      </c>
      <c r="G828" s="1551" t="n">
        <f aca="false">'Смета Внутр'!H828</f>
        <v>0</v>
      </c>
      <c r="I828" s="3179" t="n">
        <f aca="false">IF(F828&lt;H828,F828*(D828-E828),0)+IF(H828=0,(D828-E828)*F828,0)+IF(H828&lt;F828,H828*(D828-E828),0)</f>
        <v>0</v>
      </c>
      <c r="J828" s="3179" t="n">
        <f aca="false">G828-I828</f>
        <v>0</v>
      </c>
    </row>
    <row r="829" customFormat="false" ht="15" hidden="false" customHeight="true" outlineLevel="0" collapsed="false">
      <c r="B829" s="1551" t="str">
        <f aca="false">'Смета Внутр'!B829</f>
        <v>Двутавровая деревянная балка, 300*90мм</v>
      </c>
      <c r="C829" s="1551" t="str">
        <f aca="false">'Смета Внутр'!C829</f>
        <v>м.п.</v>
      </c>
      <c r="D829" s="1551" t="n">
        <f aca="false">'Смета Внутр'!D829</f>
        <v>0</v>
      </c>
      <c r="F829" s="1551" t="n">
        <f aca="false">'Смета Внутр'!E829</f>
        <v>315</v>
      </c>
      <c r="G829" s="1551" t="n">
        <f aca="false">'Смета Внутр'!H829</f>
        <v>0</v>
      </c>
      <c r="I829" s="3179" t="n">
        <f aca="false">IF(F829&lt;H829,F829*(D829-E829),0)+IF(H829=0,(D829-E829)*F829,0)+IF(H829&lt;F829,H829*(D829-E829),0)</f>
        <v>0</v>
      </c>
      <c r="J829" s="3179" t="n">
        <f aca="false">G829-I829</f>
        <v>0</v>
      </c>
    </row>
    <row r="830" customFormat="false" ht="15" hidden="false" customHeight="true" outlineLevel="0" collapsed="false">
      <c r="B830" s="1551" t="str">
        <f aca="false">'Смета Внутр'!B830</f>
        <v>Двутавровая деревянная балка, 240*65мм</v>
      </c>
      <c r="C830" s="1551" t="str">
        <f aca="false">'Смета Внутр'!C830</f>
        <v>м.п.</v>
      </c>
      <c r="D830" s="1551" t="n">
        <f aca="false">'Смета Внутр'!D830</f>
        <v>0</v>
      </c>
      <c r="F830" s="1551" t="n">
        <f aca="false">'Смета Внутр'!E830</f>
        <v>263</v>
      </c>
      <c r="G830" s="1551" t="n">
        <f aca="false">'Смета Внутр'!H830</f>
        <v>0</v>
      </c>
      <c r="I830" s="3179" t="n">
        <f aca="false">IF(F830&lt;H830,F830*(D830-E830),0)+IF(H830=0,(D830-E830)*F830,0)+IF(H830&lt;F830,H830*(D830-E830),0)</f>
        <v>0</v>
      </c>
      <c r="J830" s="3179" t="n">
        <f aca="false">G830-I830</f>
        <v>0</v>
      </c>
    </row>
    <row r="831" customFormat="false" ht="15" hidden="false" customHeight="true" outlineLevel="0" collapsed="false">
      <c r="B831" s="1551" t="str">
        <f aca="false">'Смета Внутр'!B831</f>
        <v>Двутавровая деревянная балка, 240*90мм</v>
      </c>
      <c r="C831" s="1551" t="str">
        <f aca="false">'Смета Внутр'!C831</f>
        <v>м.п.</v>
      </c>
      <c r="D831" s="1551" t="n">
        <f aca="false">'Смета Внутр'!D831</f>
        <v>0</v>
      </c>
      <c r="F831" s="1551" t="n">
        <f aca="false">'Смета Внутр'!E831</f>
        <v>291</v>
      </c>
      <c r="G831" s="1551" t="n">
        <f aca="false">'Смета Внутр'!H831</f>
        <v>0</v>
      </c>
      <c r="I831" s="3179" t="n">
        <f aca="false">IF(F831&lt;H831,F831*(D831-E831),0)+IF(H831=0,(D831-E831)*F831,0)+IF(H831&lt;F831,H831*(D831-E831),0)</f>
        <v>0</v>
      </c>
      <c r="J831" s="3179" t="n">
        <f aca="false">G831-I831</f>
        <v>0</v>
      </c>
    </row>
    <row r="832" customFormat="false" ht="15" hidden="false" customHeight="true" outlineLevel="0" collapsed="false">
      <c r="B832" s="1551" t="str">
        <f aca="false">'Смета Внутр'!B832</f>
        <v>Двутавровая деревянная балка, 200*65мм</v>
      </c>
      <c r="C832" s="1551" t="str">
        <f aca="false">'Смета Внутр'!C832</f>
        <v>м.п.</v>
      </c>
      <c r="D832" s="1551" t="n">
        <f aca="false">'Смета Внутр'!D832</f>
        <v>0</v>
      </c>
      <c r="F832" s="1551" t="n">
        <f aca="false">'Смета Внутр'!E832</f>
        <v>250</v>
      </c>
      <c r="G832" s="1551" t="n">
        <f aca="false">'Смета Внутр'!H832</f>
        <v>0</v>
      </c>
      <c r="I832" s="3179" t="n">
        <f aca="false">IF(F832&lt;H832,F832*(D832-E832),0)+IF(H832=0,(D832-E832)*F832,0)+IF(H832&lt;F832,H832*(D832-E832),0)</f>
        <v>0</v>
      </c>
      <c r="J832" s="3179" t="n">
        <f aca="false">G832-I832</f>
        <v>0</v>
      </c>
    </row>
    <row r="833" customFormat="false" ht="15" hidden="false" customHeight="true" outlineLevel="0" collapsed="false">
      <c r="B833" s="1551" t="str">
        <f aca="false">'Смета Внутр'!B833</f>
        <v>Двутавровая деревянная балка, 200*90мм</v>
      </c>
      <c r="C833" s="1551" t="str">
        <f aca="false">'Смета Внутр'!C833</f>
        <v>м.п.</v>
      </c>
      <c r="D833" s="1551" t="n">
        <f aca="false">'Смета Внутр'!D833</f>
        <v>0</v>
      </c>
      <c r="F833" s="1551" t="n">
        <f aca="false">'Смета Внутр'!E833</f>
        <v>280</v>
      </c>
      <c r="G833" s="1551" t="n">
        <f aca="false">'Смета Внутр'!H833</f>
        <v>0</v>
      </c>
      <c r="I833" s="3179" t="n">
        <f aca="false">IF(F833&lt;H833,F833*(D833-E833),0)+IF(H833=0,(D833-E833)*F833,0)+IF(H833&lt;F833,H833*(D833-E833),0)</f>
        <v>0</v>
      </c>
      <c r="J833" s="3179" t="n">
        <f aca="false">G833-I833</f>
        <v>0</v>
      </c>
    </row>
    <row r="834" customFormat="false" ht="15" hidden="false" customHeight="true" outlineLevel="0" collapsed="false">
      <c r="B834" s="1551" t="str">
        <f aca="false">'Смета Внутр'!B834</f>
        <v>Двутавровая деревянная балка, 150*65мм</v>
      </c>
      <c r="C834" s="1551" t="str">
        <f aca="false">'Смета Внутр'!C834</f>
        <v>м.п.</v>
      </c>
      <c r="D834" s="1551" t="n">
        <f aca="false">'Смета Внутр'!D834</f>
        <v>0</v>
      </c>
      <c r="F834" s="1551" t="n">
        <f aca="false">'Смета Внутр'!E834</f>
        <v>220</v>
      </c>
      <c r="G834" s="1551" t="n">
        <f aca="false">'Смета Внутр'!H834</f>
        <v>0</v>
      </c>
      <c r="I834" s="3179" t="n">
        <f aca="false">IF(F834&lt;H834,F834*(D834-E834),0)+IF(H834=0,(D834-E834)*F834,0)+IF(H834&lt;F834,H834*(D834-E834),0)</f>
        <v>0</v>
      </c>
      <c r="J834" s="3179" t="n">
        <f aca="false">G834-I834</f>
        <v>0</v>
      </c>
    </row>
    <row r="835" customFormat="false" ht="15" hidden="false" customHeight="true" outlineLevel="0" collapsed="false">
      <c r="B835" s="1551" t="str">
        <f aca="false">'Смета Внутр'!B835</f>
        <v>Двутавровая деревянная балка, 150*90мм</v>
      </c>
      <c r="C835" s="1551" t="str">
        <f aca="false">'Смета Внутр'!C835</f>
        <v>м.п.</v>
      </c>
      <c r="D835" s="1551" t="n">
        <f aca="false">'Смета Внутр'!D835</f>
        <v>0</v>
      </c>
      <c r="F835" s="1551" t="n">
        <f aca="false">'Смета Внутр'!E835</f>
        <v>250</v>
      </c>
      <c r="G835" s="1551" t="n">
        <f aca="false">'Смета Внутр'!H835</f>
        <v>0</v>
      </c>
      <c r="I835" s="3179" t="n">
        <f aca="false">IF(F835&lt;H835,F835*(D835-E835),0)+IF(H835=0,(D835-E835)*F835,0)+IF(H835&lt;F835,H835*(D835-E835),0)</f>
        <v>0</v>
      </c>
      <c r="J835" s="3179" t="n">
        <f aca="false">G835-I835</f>
        <v>0</v>
      </c>
    </row>
    <row r="836" customFormat="false" ht="15" hidden="false" customHeight="true" outlineLevel="0" collapsed="false">
      <c r="B836" s="1551" t="str">
        <f aca="false">'Смета Внутр'!B836</f>
        <v>Уголок усиленный 90х70х55х2,5        </v>
      </c>
      <c r="C836" s="1551" t="str">
        <f aca="false">'Смета Внутр'!C836</f>
        <v>шт</v>
      </c>
      <c r="D836" s="1551" t="n">
        <f aca="false">'Смета Внутр'!D836</f>
        <v>0</v>
      </c>
      <c r="F836" s="1551" t="n">
        <f aca="false">'Смета Внутр'!E836</f>
        <v>30</v>
      </c>
      <c r="G836" s="1551" t="n">
        <f aca="false">'Смета Внутр'!H836</f>
        <v>0</v>
      </c>
      <c r="I836" s="3179" t="n">
        <f aca="false">IF(F836&lt;H836,F836*(D836-E836),0)+IF(H836=0,(D836-E836)*F836,0)+IF(H836&lt;F836,H836*(D836-E836),0)</f>
        <v>0</v>
      </c>
      <c r="J836" s="3179" t="n">
        <f aca="false">G836-I836</f>
        <v>0</v>
      </c>
    </row>
    <row r="837" customFormat="false" ht="15" hidden="false" customHeight="true" outlineLevel="0" collapsed="false">
      <c r="B837" s="1551" t="str">
        <f aca="false">'Смета Внутр'!B837</f>
        <v>Саморезы 3,5 x 55            </v>
      </c>
      <c r="C837" s="1551" t="str">
        <f aca="false">'Смета Внутр'!C837</f>
        <v>шт</v>
      </c>
      <c r="D837" s="1551" t="n">
        <f aca="false">'Смета Внутр'!D837</f>
        <v>0</v>
      </c>
      <c r="F837" s="1551" t="n">
        <f aca="false">'Смета Внутр'!E837</f>
        <v>0.3</v>
      </c>
      <c r="G837" s="1551" t="n">
        <f aca="false">'Смета Внутр'!H837</f>
        <v>0</v>
      </c>
      <c r="I837" s="3179" t="n">
        <f aca="false">IF(F837&lt;H837,F837*(D837-E837),0)+IF(H837=0,(D837-E837)*F837,0)+IF(H837&lt;F837,H837*(D837-E837),0)</f>
        <v>0</v>
      </c>
      <c r="J837" s="3179" t="n">
        <f aca="false">G837-I837</f>
        <v>0</v>
      </c>
    </row>
    <row r="838" customFormat="false" ht="15" hidden="false" customHeight="true" outlineLevel="0" collapsed="false">
      <c r="B838" s="1551" t="str">
        <f aca="false">'Смета Внутр'!B838</f>
        <v>Пенопласт ПСБ-С-35, 100мм</v>
      </c>
      <c r="C838" s="1551" t="str">
        <f aca="false">'Смета Внутр'!C838</f>
        <v>м3</v>
      </c>
      <c r="D838" s="1551" t="n">
        <f aca="false">'Смета Внутр'!D838</f>
        <v>6.4</v>
      </c>
      <c r="F838" s="1551" t="n">
        <f aca="false">'Смета Внутр'!E838</f>
        <v>3400</v>
      </c>
      <c r="G838" s="1551" t="n">
        <f aca="false">'Смета Внутр'!H838</f>
        <v>21760</v>
      </c>
      <c r="I838" s="3179" t="n">
        <f aca="false">IF(F838&lt;H838,F838*(D838-E838),0)+IF(H838=0,(D838-E838)*F838,0)+IF(H838&lt;F838,H838*(D838-E838),0)</f>
        <v>21760</v>
      </c>
      <c r="J838" s="3179" t="n">
        <f aca="false">G838-I838</f>
        <v>0</v>
      </c>
    </row>
    <row r="839" customFormat="false" ht="15" hidden="false" customHeight="true" outlineLevel="0" collapsed="false">
      <c r="B839" s="1551" t="str">
        <f aca="false">'Смета Внутр'!B839</f>
        <v>нет ветроизоляции</v>
      </c>
      <c r="C839" s="1551" t="str">
        <f aca="false">'Смета Внутр'!C839</f>
        <v>м2</v>
      </c>
      <c r="D839" s="1551" t="n">
        <f aca="false">'Смета Внутр'!D839</f>
        <v>64</v>
      </c>
      <c r="F839" s="1551" t="n">
        <f aca="false">'Смета Внутр'!E839</f>
        <v>0</v>
      </c>
      <c r="G839" s="1551" t="n">
        <f aca="false">'Смета Внутр'!H839</f>
        <v>0</v>
      </c>
      <c r="I839" s="3179" t="n">
        <f aca="false">IF(F839&lt;H839,F839*(D839-E839),0)+IF(H839=0,(D839-E839)*F839,0)+IF(H839&lt;F839,H839*(D839-E839),0)</f>
        <v>0</v>
      </c>
      <c r="J839" s="3179" t="n">
        <f aca="false">G839-I839</f>
        <v>0</v>
      </c>
    </row>
    <row r="840" customFormat="false" ht="15" hidden="false" customHeight="true" outlineLevel="0" collapsed="false">
      <c r="B840" s="1551" t="str">
        <f aca="false">'Смета Внутр'!B840</f>
        <v>нет пароизоляции</v>
      </c>
      <c r="C840" s="1551" t="str">
        <f aca="false">'Смета Внутр'!C840</f>
        <v>м2</v>
      </c>
      <c r="D840" s="1551" t="n">
        <f aca="false">'Смета Внутр'!D840</f>
        <v>64</v>
      </c>
      <c r="F840" s="1551" t="n">
        <f aca="false">'Смета Внутр'!E840</f>
        <v>0</v>
      </c>
      <c r="G840" s="1551" t="n">
        <f aca="false">'Смета Внутр'!H840</f>
        <v>0</v>
      </c>
      <c r="I840" s="3179" t="n">
        <f aca="false">IF(F840&lt;H840,F840*(D840-E840),0)+IF(H840=0,(D840-E840)*F840,0)+IF(H840&lt;F840,H840*(D840-E840),0)</f>
        <v>0</v>
      </c>
      <c r="J840" s="3179" t="n">
        <f aca="false">G840-I840</f>
        <v>0</v>
      </c>
    </row>
    <row r="841" customFormat="false" ht="15" hidden="false" customHeight="true" outlineLevel="0" collapsed="false">
      <c r="B841" s="1551" t="str">
        <f aca="false">'Смета Внутр'!B841</f>
        <v>Плита перекрытия  ЖБИ</v>
      </c>
      <c r="C841" s="1551" t="str">
        <f aca="false">'Смета Внутр'!C841</f>
        <v>м2</v>
      </c>
      <c r="D841" s="1551" t="n">
        <f aca="false">'Смета Внутр'!D841</f>
        <v>0</v>
      </c>
      <c r="F841" s="1551" t="n">
        <f aca="false">'Смета Внутр'!E841</f>
        <v>1400</v>
      </c>
      <c r="G841" s="1551" t="n">
        <f aca="false">'Смета Внутр'!H841</f>
        <v>0</v>
      </c>
      <c r="I841" s="3179" t="n">
        <f aca="false">IF(F841&lt;H841,F841*(D841-E841),0)+IF(H841=0,(D841-E841)*F841,0)+IF(H841&lt;F841,H841*(D841-E841),0)</f>
        <v>0</v>
      </c>
      <c r="J841" s="3179" t="n">
        <f aca="false">G841-I841</f>
        <v>0</v>
      </c>
    </row>
    <row r="842" customFormat="false" ht="15" hidden="false" customHeight="true" outlineLevel="0" collapsed="false">
      <c r="B842" s="1551" t="str">
        <f aca="false">'Смета Внутр'!B842</f>
        <v>Раствор, м250</v>
      </c>
      <c r="C842" s="1551" t="str">
        <f aca="false">'Смета Внутр'!C842</f>
        <v>м3</v>
      </c>
      <c r="D842" s="1551" t="n">
        <f aca="false">'Смета Внутр'!D842</f>
        <v>0</v>
      </c>
      <c r="F842" s="1551" t="n">
        <f aca="false">'Смета Внутр'!E842</f>
        <v>2500</v>
      </c>
      <c r="G842" s="1551" t="n">
        <f aca="false">'Смета Внутр'!H842</f>
        <v>0</v>
      </c>
      <c r="I842" s="3179" t="n">
        <f aca="false">IF(F842&lt;H842,F842*(D842-E842),0)+IF(H842=0,(D842-E842)*F842,0)+IF(H842&lt;F842,H842*(D842-E842),0)</f>
        <v>0</v>
      </c>
      <c r="J842" s="3179" t="n">
        <f aca="false">G842-I842</f>
        <v>0</v>
      </c>
    </row>
    <row r="843" customFormat="false" ht="15" hidden="false" customHeight="true" outlineLevel="0" collapsed="false">
      <c r="B843" s="1551" t="str">
        <f aca="false">'Смета Внутр'!B843</f>
        <v>Монолит, бетон, 300мм, 2 слоя</v>
      </c>
      <c r="C843" s="1551" t="str">
        <f aca="false">'Смета Внутр'!C843</f>
        <v>м2</v>
      </c>
      <c r="D843" s="1551" t="n">
        <f aca="false">'Смета Внутр'!D843</f>
        <v>0</v>
      </c>
      <c r="F843" s="1551" t="n">
        <f aca="false">'Смета Внутр'!E843</f>
        <v>1</v>
      </c>
      <c r="G843" s="1551" t="n">
        <f aca="false">'Смета Внутр'!H843</f>
        <v>0</v>
      </c>
      <c r="I843" s="3179" t="n">
        <f aca="false">IF(F843&lt;H843,F843*(D843-E843),0)+IF(H843=0,(D843-E843)*F843,0)+IF(H843&lt;F843,H843*(D843-E843),0)</f>
        <v>0</v>
      </c>
      <c r="J843" s="3179" t="n">
        <f aca="false">G843-I843</f>
        <v>0</v>
      </c>
    </row>
    <row r="844" customFormat="false" ht="15" hidden="false" customHeight="true" outlineLevel="0" collapsed="false">
      <c r="B844" s="1551" t="str">
        <f aca="false">'Смета Внутр'!B844</f>
        <v>Монолит, бетон, 300мм, 1 слой</v>
      </c>
      <c r="C844" s="1551" t="str">
        <f aca="false">'Смета Внутр'!C844</f>
        <v>м2</v>
      </c>
      <c r="D844" s="1551" t="n">
        <f aca="false">'Смета Внутр'!D844</f>
        <v>0</v>
      </c>
      <c r="F844" s="1551" t="n">
        <f aca="false">'Смета Внутр'!E844</f>
        <v>1</v>
      </c>
      <c r="G844" s="1551" t="n">
        <f aca="false">'Смета Внутр'!H844</f>
        <v>0</v>
      </c>
      <c r="I844" s="3179" t="n">
        <f aca="false">IF(F844&lt;H844,F844*(D844-E844),0)+IF(H844=0,(D844-E844)*F844,0)+IF(H844&lt;F844,H844*(D844-E844),0)</f>
        <v>0</v>
      </c>
      <c r="J844" s="3179" t="n">
        <f aca="false">G844-I844</f>
        <v>0</v>
      </c>
    </row>
    <row r="845" customFormat="false" ht="15" hidden="false" customHeight="true" outlineLevel="0" collapsed="false">
      <c r="B845" s="1551" t="str">
        <f aca="false">'Смета Внутр'!B845</f>
        <v>Монолит, бетон, 250мм, 2 слоя</v>
      </c>
      <c r="C845" s="1551" t="str">
        <f aca="false">'Смета Внутр'!C845</f>
        <v>м2</v>
      </c>
      <c r="D845" s="1551" t="n">
        <f aca="false">'Смета Внутр'!D845</f>
        <v>0</v>
      </c>
      <c r="F845" s="1551" t="n">
        <f aca="false">'Смета Внутр'!E845</f>
        <v>1</v>
      </c>
      <c r="G845" s="1551" t="n">
        <f aca="false">'Смета Внутр'!H845</f>
        <v>0</v>
      </c>
      <c r="I845" s="3179" t="n">
        <f aca="false">IF(F845&lt;H845,F845*(D845-E845),0)+IF(H845=0,(D845-E845)*F845,0)+IF(H845&lt;F845,H845*(D845-E845),0)</f>
        <v>0</v>
      </c>
      <c r="J845" s="3179" t="n">
        <f aca="false">G845-I845</f>
        <v>0</v>
      </c>
    </row>
    <row r="846" customFormat="false" ht="15" hidden="false" customHeight="true" outlineLevel="0" collapsed="false">
      <c r="B846" s="1551" t="str">
        <f aca="false">'Смета Внутр'!B846</f>
        <v>Монолит, бетон, 250мм, 1 слой</v>
      </c>
      <c r="C846" s="1551" t="str">
        <f aca="false">'Смета Внутр'!C846</f>
        <v>м2</v>
      </c>
      <c r="D846" s="1551" t="n">
        <f aca="false">'Смета Внутр'!D846</f>
        <v>0</v>
      </c>
      <c r="F846" s="1551" t="n">
        <f aca="false">'Смета Внутр'!E846</f>
        <v>1</v>
      </c>
      <c r="G846" s="1551" t="n">
        <f aca="false">'Смета Внутр'!H846</f>
        <v>0</v>
      </c>
      <c r="I846" s="3179" t="n">
        <f aca="false">IF(F846&lt;H846,F846*(D846-E846),0)+IF(H846=0,(D846-E846)*F846,0)+IF(H846&lt;F846,H846*(D846-E846),0)</f>
        <v>0</v>
      </c>
      <c r="J846" s="3179" t="n">
        <f aca="false">G846-I846</f>
        <v>0</v>
      </c>
    </row>
    <row r="847" customFormat="false" ht="15" hidden="false" customHeight="true" outlineLevel="0" collapsed="false">
      <c r="B847" s="1551" t="str">
        <f aca="false">'Смета Внутр'!B847</f>
        <v>Монолит, бетон, 200мм, 2 слоя</v>
      </c>
      <c r="C847" s="1551" t="str">
        <f aca="false">'Смета Внутр'!C847</f>
        <v>м2</v>
      </c>
      <c r="D847" s="1551" t="n">
        <f aca="false">'Смета Внутр'!D847</f>
        <v>0</v>
      </c>
      <c r="F847" s="1551" t="n">
        <f aca="false">'Смета Внутр'!E847</f>
        <v>1</v>
      </c>
      <c r="G847" s="1551" t="n">
        <f aca="false">'Смета Внутр'!H847</f>
        <v>0</v>
      </c>
      <c r="I847" s="3179" t="n">
        <f aca="false">IF(F847&lt;H847,F847*(D847-E847),0)+IF(H847=0,(D847-E847)*F847,0)+IF(H847&lt;F847,H847*(D847-E847),0)</f>
        <v>0</v>
      </c>
      <c r="J847" s="3179" t="n">
        <f aca="false">G847-I847</f>
        <v>0</v>
      </c>
    </row>
    <row r="848" customFormat="false" ht="15" hidden="false" customHeight="true" outlineLevel="0" collapsed="false">
      <c r="B848" s="1551" t="str">
        <f aca="false">'Смета Внутр'!B848</f>
        <v>Монолит, бетон, 200мм, 1 слой</v>
      </c>
      <c r="C848" s="1551" t="str">
        <f aca="false">'Смета Внутр'!C848</f>
        <v>м2</v>
      </c>
      <c r="D848" s="1551" t="n">
        <f aca="false">'Смета Внутр'!D848</f>
        <v>0</v>
      </c>
      <c r="F848" s="1551" t="n">
        <f aca="false">'Смета Внутр'!E848</f>
        <v>1</v>
      </c>
      <c r="G848" s="1551" t="n">
        <f aca="false">'Смета Внутр'!H848</f>
        <v>0</v>
      </c>
      <c r="I848" s="3179" t="n">
        <f aca="false">IF(F848&lt;H848,F848*(D848-E848),0)+IF(H848=0,(D848-E848)*F848,0)+IF(H848&lt;F848,H848*(D848-E848),0)</f>
        <v>0</v>
      </c>
      <c r="J848" s="3179" t="n">
        <f aca="false">G848-I848</f>
        <v>0</v>
      </c>
    </row>
    <row r="849" customFormat="false" ht="15" hidden="false" customHeight="true" outlineLevel="0" collapsed="false">
      <c r="B849" s="1551" t="str">
        <f aca="false">'Смета Внутр'!B849</f>
        <v>Монолит, бетон, 150мм, 2 слоя</v>
      </c>
      <c r="C849" s="1551" t="str">
        <f aca="false">'Смета Внутр'!C849</f>
        <v>м2</v>
      </c>
      <c r="D849" s="1551" t="n">
        <f aca="false">'Смета Внутр'!D849</f>
        <v>0</v>
      </c>
      <c r="F849" s="1551" t="n">
        <f aca="false">'Смета Внутр'!E849</f>
        <v>1</v>
      </c>
      <c r="G849" s="1551" t="n">
        <f aca="false">'Смета Внутр'!H849</f>
        <v>0</v>
      </c>
      <c r="I849" s="3179" t="n">
        <f aca="false">IF(F849&lt;H849,F849*(D849-E849),0)+IF(H849=0,(D849-E849)*F849,0)+IF(H849&lt;F849,H849*(D849-E849),0)</f>
        <v>0</v>
      </c>
      <c r="J849" s="3179" t="n">
        <f aca="false">G849-I849</f>
        <v>0</v>
      </c>
    </row>
    <row r="850" customFormat="false" ht="15" hidden="false" customHeight="true" outlineLevel="0" collapsed="false">
      <c r="B850" s="1551" t="str">
        <f aca="false">'Смета Внутр'!B850</f>
        <v>Монолит, бетон, 150мм, 1 слой</v>
      </c>
      <c r="C850" s="1551" t="str">
        <f aca="false">'Смета Внутр'!C850</f>
        <v>м2</v>
      </c>
      <c r="D850" s="1551" t="n">
        <f aca="false">'Смета Внутр'!D850</f>
        <v>0</v>
      </c>
      <c r="F850" s="1551" t="n">
        <f aca="false">'Смета Внутр'!E850</f>
        <v>1</v>
      </c>
      <c r="G850" s="1551" t="n">
        <f aca="false">'Смета Внутр'!H850</f>
        <v>0</v>
      </c>
      <c r="I850" s="3179" t="n">
        <f aca="false">IF(F850&lt;H850,F850*(D850-E850),0)+IF(H850=0,(D850-E850)*F850,0)+IF(H850&lt;F850,H850*(D850-E850),0)</f>
        <v>0</v>
      </c>
      <c r="J850" s="3179" t="n">
        <f aca="false">G850-I850</f>
        <v>0</v>
      </c>
    </row>
    <row r="851" customFormat="false" ht="15" hidden="false" customHeight="true" outlineLevel="0" collapsed="false">
      <c r="B851" s="1551" t="str">
        <f aca="false">'Смета Внутр'!B851</f>
        <v>доска для опалубки монолит перекрытий</v>
      </c>
      <c r="C851" s="1551" t="str">
        <f aca="false">'Смета Внутр'!C851</f>
        <v>м3</v>
      </c>
      <c r="D851" s="1551" t="n">
        <f aca="false">'Смета Внутр'!D851</f>
        <v>0</v>
      </c>
      <c r="F851" s="1551" t="n">
        <f aca="false">'Смета Внутр'!E851</f>
        <v>6500</v>
      </c>
      <c r="G851" s="1551" t="n">
        <f aca="false">'Смета Внутр'!H851</f>
        <v>0</v>
      </c>
      <c r="I851" s="3179" t="n">
        <f aca="false">IF(F851&lt;H851,F851*(D851-E851),0)+IF(H851=0,(D851-E851)*F851,0)+IF(H851&lt;F851,H851*(D851-E851),0)</f>
        <v>0</v>
      </c>
      <c r="J851" s="3179" t="n">
        <f aca="false">G851-I851</f>
        <v>0</v>
      </c>
    </row>
    <row r="852" customFormat="false" ht="15" hidden="false" customHeight="true" outlineLevel="0" collapsed="false">
      <c r="B852" s="1551" t="str">
        <f aca="false">'Смета Внутр'!B852</f>
        <v>стойки под опалубку перекрытий</v>
      </c>
      <c r="C852" s="1551" t="str">
        <f aca="false">'Смета Внутр'!C852</f>
        <v>шт</v>
      </c>
      <c r="D852" s="1551" t="n">
        <f aca="false">'Смета Внутр'!D852</f>
        <v>0</v>
      </c>
      <c r="F852" s="1551" t="n">
        <f aca="false">'Смета Внутр'!E852</f>
        <v>0</v>
      </c>
      <c r="G852" s="1551" t="n">
        <f aca="false">'Смета Внутр'!H852</f>
        <v>0</v>
      </c>
      <c r="I852" s="3179" t="n">
        <f aca="false">IF(F852&lt;H852,F852*(D852-E852),0)+IF(H852=0,(D852-E852)*F852,0)+IF(H852&lt;F852,H852*(D852-E852),0)</f>
        <v>0</v>
      </c>
      <c r="J852" s="3179" t="n">
        <f aca="false">G852-I852</f>
        <v>0</v>
      </c>
    </row>
    <row r="853" customFormat="false" ht="15" hidden="false" customHeight="true" outlineLevel="0" collapsed="false">
      <c r="B853" s="1551" t="str">
        <f aca="false">'Смета Внутр'!B853</f>
        <v>Пленка гидроизоляционная </v>
      </c>
      <c r="C853" s="1551" t="str">
        <f aca="false">'Смета Внутр'!C853</f>
        <v>м2</v>
      </c>
      <c r="D853" s="1551" t="n">
        <f aca="false">'Смета Внутр'!D853</f>
        <v>0</v>
      </c>
      <c r="F853" s="1551" t="n">
        <f aca="false">'Смета Внутр'!E853</f>
        <v>15</v>
      </c>
      <c r="G853" s="1551" t="n">
        <f aca="false">'Смета Внутр'!H853</f>
        <v>0</v>
      </c>
      <c r="I853" s="3179" t="n">
        <f aca="false">IF(F853&lt;H853,F853*(D853-E853),0)+IF(H853=0,(D853-E853)*F853,0)+IF(H853&lt;F853,H853*(D853-E853),0)</f>
        <v>0</v>
      </c>
      <c r="J853" s="3179" t="n">
        <f aca="false">G853-I853</f>
        <v>0</v>
      </c>
    </row>
    <row r="854" customFormat="false" ht="15" hidden="false" customHeight="true" outlineLevel="0" collapsed="false">
      <c r="B854" s="1551" t="str">
        <f aca="false">'Смета Внутр'!B854</f>
        <v>Арматура М12</v>
      </c>
      <c r="C854" s="1551" t="str">
        <f aca="false">'Смета Внутр'!C854</f>
        <v>м.п.</v>
      </c>
      <c r="D854" s="1551" t="n">
        <f aca="false">'Смета Внутр'!D854</f>
        <v>0</v>
      </c>
      <c r="F854" s="1551" t="n">
        <f aca="false">'Смета Внутр'!E854</f>
        <v>29.2152</v>
      </c>
      <c r="G854" s="1551" t="n">
        <f aca="false">'Смета Внутр'!H854</f>
        <v>0</v>
      </c>
      <c r="I854" s="3179" t="n">
        <f aca="false">IF(F854&lt;H854,F854*(D854-E854),0)+IF(H854=0,(D854-E854)*F854,0)+IF(H854&lt;F854,H854*(D854-E854),0)</f>
        <v>0</v>
      </c>
      <c r="J854" s="3179" t="n">
        <f aca="false">G854-I854</f>
        <v>0</v>
      </c>
    </row>
    <row r="855" customFormat="false" ht="15" hidden="false" customHeight="true" outlineLevel="0" collapsed="false">
      <c r="B855" s="1551" t="str">
        <f aca="false">'Смета Внутр'!B855</f>
        <v>Вязальная проволока</v>
      </c>
      <c r="C855" s="1551" t="str">
        <f aca="false">'Смета Внутр'!C855</f>
        <v>кг</v>
      </c>
      <c r="D855" s="1551" t="n">
        <f aca="false">'Смета Внутр'!D855</f>
        <v>0</v>
      </c>
      <c r="F855" s="1551" t="n">
        <f aca="false">'Смета Внутр'!E855</f>
        <v>80</v>
      </c>
      <c r="G855" s="1551" t="n">
        <f aca="false">'Смета Внутр'!H855</f>
        <v>0</v>
      </c>
      <c r="I855" s="3179" t="n">
        <f aca="false">IF(F855&lt;H855,F855*(D855-E855),0)+IF(H855=0,(D855-E855)*F855,0)+IF(H855&lt;F855,H855*(D855-E855),0)</f>
        <v>0</v>
      </c>
      <c r="J855" s="3179" t="n">
        <f aca="false">G855-I855</f>
        <v>0</v>
      </c>
    </row>
    <row r="856" customFormat="false" ht="15" hidden="false" customHeight="true" outlineLevel="0" collapsed="false">
      <c r="B856" s="1551" t="str">
        <f aca="false">'Смета Внутр'!B856</f>
        <v>Подставка под арматурный каркас</v>
      </c>
      <c r="C856" s="1551" t="str">
        <f aca="false">'Смета Внутр'!C856</f>
        <v>шт</v>
      </c>
      <c r="D856" s="1551" t="n">
        <f aca="false">'Смета Внутр'!D856</f>
        <v>0</v>
      </c>
      <c r="F856" s="1551" t="n">
        <f aca="false">'Смета Внутр'!E856</f>
        <v>5</v>
      </c>
      <c r="G856" s="1551" t="n">
        <f aca="false">'Смета Внутр'!H856</f>
        <v>0</v>
      </c>
      <c r="I856" s="3179" t="n">
        <f aca="false">IF(F856&lt;H856,F856*(D856-E856),0)+IF(H856=0,(D856-E856)*F856,0)+IF(H856&lt;F856,H856*(D856-E856),0)</f>
        <v>0</v>
      </c>
      <c r="J856" s="3179" t="n">
        <f aca="false">G856-I856</f>
        <v>0</v>
      </c>
    </row>
    <row r="857" customFormat="false" ht="15" hidden="false" customHeight="true" outlineLevel="0" collapsed="false">
      <c r="B857" s="1551" t="str">
        <f aca="false">'Смета Внутр'!B857</f>
        <v>бетон, м350</v>
      </c>
      <c r="C857" s="1551" t="str">
        <f aca="false">'Смета Внутр'!C857</f>
        <v>м3</v>
      </c>
      <c r="D857" s="1551" t="n">
        <f aca="false">'Смета Внутр'!D857</f>
        <v>0</v>
      </c>
      <c r="F857" s="1551" t="n">
        <f aca="false">'Смета Внутр'!E857</f>
        <v>3500</v>
      </c>
      <c r="G857" s="1551" t="n">
        <f aca="false">'Смета Внутр'!H857</f>
        <v>0</v>
      </c>
      <c r="I857" s="3179" t="n">
        <f aca="false">IF(F857&lt;H857,F857*(D857-E857),0)+IF(H857=0,(D857-E857)*F857,0)+IF(H857&lt;F857,H857*(D857-E857),0)</f>
        <v>0</v>
      </c>
      <c r="J857" s="3179" t="n">
        <f aca="false">G857-I857</f>
        <v>0</v>
      </c>
    </row>
    <row r="858" customFormat="false" ht="15" hidden="false" customHeight="true" outlineLevel="0" collapsed="false">
      <c r="B858" s="1551" t="str">
        <f aca="false">'Смета Внутр'!B858</f>
        <v>Брус естественной влажности, 200*100мм</v>
      </c>
      <c r="C858" s="1551" t="str">
        <f aca="false">'Смета Внутр'!C858</f>
        <v>м3</v>
      </c>
      <c r="D858" s="1551" t="n">
        <f aca="false">'Смета Внутр'!D858</f>
        <v>0</v>
      </c>
      <c r="F858" s="1551" t="n">
        <f aca="false">'Смета Внутр'!E858</f>
        <v>6500</v>
      </c>
      <c r="G858" s="1551" t="n">
        <f aca="false">'Смета Внутр'!H858</f>
        <v>0</v>
      </c>
      <c r="I858" s="3179" t="n">
        <f aca="false">IF(F858&lt;H858,F858*(D858-E858),0)+IF(H858=0,(D858-E858)*F858,0)+IF(H858&lt;F858,H858*(D858-E858),0)</f>
        <v>0</v>
      </c>
      <c r="J858" s="3179" t="n">
        <f aca="false">G858-I858</f>
        <v>0</v>
      </c>
    </row>
    <row r="859" customFormat="false" ht="15" hidden="false" customHeight="true" outlineLevel="0" collapsed="false">
      <c r="B859" s="1551" t="str">
        <f aca="false">'Смета Внутр'!B859</f>
        <v>Брус естественной влажности, 150*100мм</v>
      </c>
      <c r="C859" s="1551" t="str">
        <f aca="false">'Смета Внутр'!C859</f>
        <v>м3</v>
      </c>
      <c r="D859" s="1551" t="n">
        <f aca="false">'Смета Внутр'!D859</f>
        <v>0</v>
      </c>
      <c r="F859" s="1551" t="n">
        <f aca="false">'Смета Внутр'!E859</f>
        <v>6500</v>
      </c>
      <c r="G859" s="1551" t="n">
        <f aca="false">'Смета Внутр'!H859</f>
        <v>0</v>
      </c>
      <c r="I859" s="3179" t="n">
        <f aca="false">IF(F859&lt;H859,F859*(D859-E859),0)+IF(H859=0,(D859-E859)*F859,0)+IF(H859&lt;F859,H859*(D859-E859),0)</f>
        <v>0</v>
      </c>
      <c r="J859" s="3179" t="n">
        <f aca="false">G859-I859</f>
        <v>0</v>
      </c>
    </row>
    <row r="860" customFormat="false" ht="15" hidden="false" customHeight="true" outlineLevel="0" collapsed="false">
      <c r="B860" s="1551" t="str">
        <f aca="false">'Смета Внутр'!B860</f>
        <v>Брус естественной влажности, 100*100мм</v>
      </c>
      <c r="C860" s="1551" t="str">
        <f aca="false">'Смета Внутр'!C860</f>
        <v>м3</v>
      </c>
      <c r="D860" s="1551" t="n">
        <f aca="false">'Смета Внутр'!D860</f>
        <v>0</v>
      </c>
      <c r="F860" s="1551" t="n">
        <f aca="false">'Смета Внутр'!E860</f>
        <v>6500</v>
      </c>
      <c r="G860" s="1551" t="n">
        <f aca="false">'Смета Внутр'!H860</f>
        <v>0</v>
      </c>
      <c r="I860" s="3179" t="n">
        <f aca="false">IF(F860&lt;H860,F860*(D860-E860),0)+IF(H860=0,(D860-E860)*F860,0)+IF(H860&lt;F860,H860*(D860-E860),0)</f>
        <v>0</v>
      </c>
      <c r="J860" s="3179" t="n">
        <f aca="false">G860-I860</f>
        <v>0</v>
      </c>
    </row>
    <row r="861" customFormat="false" ht="15" hidden="false" customHeight="true" outlineLevel="0" collapsed="false">
      <c r="B861" s="1551" t="str">
        <f aca="false">'Смета Внутр'!B861</f>
        <v>Брус естественной влажности, 150*150мм</v>
      </c>
      <c r="C861" s="1551" t="str">
        <f aca="false">'Смета Внутр'!C861</f>
        <v>м3</v>
      </c>
      <c r="D861" s="1551" t="n">
        <f aca="false">'Смета Внутр'!D861</f>
        <v>0</v>
      </c>
      <c r="F861" s="1551" t="n">
        <f aca="false">'Смета Внутр'!E861</f>
        <v>6500</v>
      </c>
      <c r="G861" s="1551" t="n">
        <f aca="false">'Смета Внутр'!H861</f>
        <v>0</v>
      </c>
      <c r="I861" s="3179" t="n">
        <f aca="false">IF(F861&lt;H861,F861*(D861-E861),0)+IF(H861=0,(D861-E861)*F861,0)+IF(H861&lt;F861,H861*(D861-E861),0)</f>
        <v>0</v>
      </c>
      <c r="J861" s="3179" t="n">
        <f aca="false">G861-I861</f>
        <v>0</v>
      </c>
    </row>
    <row r="862" customFormat="false" ht="15" hidden="false" customHeight="true" outlineLevel="0" collapsed="false">
      <c r="B862" s="1551" t="str">
        <f aca="false">'Смета Внутр'!B862</f>
        <v>Доска естественной влажности, 200*50мм</v>
      </c>
      <c r="C862" s="1551" t="str">
        <f aca="false">'Смета Внутр'!C862</f>
        <v>м3</v>
      </c>
      <c r="D862" s="1551" t="n">
        <f aca="false">'Смета Внутр'!D862</f>
        <v>0</v>
      </c>
      <c r="F862" s="1551" t="n">
        <f aca="false">'Смета Внутр'!E862</f>
        <v>6500</v>
      </c>
      <c r="G862" s="1551" t="n">
        <f aca="false">'Смета Внутр'!H862</f>
        <v>0</v>
      </c>
      <c r="I862" s="3179" t="n">
        <f aca="false">IF(F862&lt;H862,F862*(D862-E862),0)+IF(H862=0,(D862-E862)*F862,0)+IF(H862&lt;F862,H862*(D862-E862),0)</f>
        <v>0</v>
      </c>
      <c r="J862" s="3179" t="n">
        <f aca="false">G862-I862</f>
        <v>0</v>
      </c>
    </row>
    <row r="863" customFormat="false" ht="15" hidden="false" customHeight="true" outlineLevel="0" collapsed="false">
      <c r="B863" s="1551" t="str">
        <f aca="false">'Смета Внутр'!B863</f>
        <v>Доска естественной влажности, 150*50мм</v>
      </c>
      <c r="C863" s="1551" t="str">
        <f aca="false">'Смета Внутр'!C863</f>
        <v>м3</v>
      </c>
      <c r="D863" s="1551" t="n">
        <f aca="false">'Смета Внутр'!D863</f>
        <v>0</v>
      </c>
      <c r="F863" s="1551" t="n">
        <f aca="false">'Смета Внутр'!E863</f>
        <v>6500</v>
      </c>
      <c r="G863" s="1551" t="n">
        <f aca="false">'Смета Внутр'!H863</f>
        <v>0</v>
      </c>
      <c r="I863" s="3179" t="n">
        <f aca="false">IF(F863&lt;H863,F863*(D863-E863),0)+IF(H863=0,(D863-E863)*F863,0)+IF(H863&lt;F863,H863*(D863-E863),0)</f>
        <v>0</v>
      </c>
      <c r="J863" s="3179" t="n">
        <f aca="false">G863-I863</f>
        <v>0</v>
      </c>
    </row>
    <row r="864" customFormat="false" ht="15" hidden="false" customHeight="true" outlineLevel="0" collapsed="false">
      <c r="B864" s="1551" t="str">
        <f aca="false">'Смета Внутр'!B864</f>
        <v>Опора бруса          </v>
      </c>
      <c r="C864" s="1551" t="str">
        <f aca="false">'Смета Внутр'!C864</f>
        <v>шт</v>
      </c>
      <c r="D864" s="1551" t="n">
        <f aca="false">'Смета Внутр'!D864</f>
        <v>0</v>
      </c>
      <c r="F864" s="1551" t="n">
        <f aca="false">'Смета Внутр'!E864</f>
        <v>50</v>
      </c>
      <c r="G864" s="1551" t="n">
        <f aca="false">'Смета Внутр'!H864</f>
        <v>0</v>
      </c>
      <c r="I864" s="3179" t="n">
        <f aca="false">IF(F864&lt;H864,F864*(D864-E864),0)+IF(H864=0,(D864-E864)*F864,0)+IF(H864&lt;F864,H864*(D864-E864),0)</f>
        <v>0</v>
      </c>
      <c r="J864" s="3179" t="n">
        <f aca="false">G864-I864</f>
        <v>0</v>
      </c>
    </row>
    <row r="865" customFormat="false" ht="15" hidden="false" customHeight="true" outlineLevel="0" collapsed="false">
      <c r="B865" s="1551" t="str">
        <f aca="false">'Смета Внутр'!B865</f>
        <v>Болты анкерные с гайкой 8,0 x 60           </v>
      </c>
      <c r="C865" s="1551" t="str">
        <f aca="false">'Смета Внутр'!C865</f>
        <v>шт</v>
      </c>
      <c r="D865" s="1551" t="n">
        <f aca="false">'Смета Внутр'!D865</f>
        <v>0</v>
      </c>
      <c r="F865" s="1551" t="n">
        <f aca="false">'Смета Внутр'!E865</f>
        <v>4</v>
      </c>
      <c r="G865" s="1551" t="n">
        <f aca="false">'Смета Внутр'!H865</f>
        <v>0</v>
      </c>
      <c r="I865" s="3179" t="n">
        <f aca="false">IF(F865&lt;H865,F865*(D865-E865),0)+IF(H865=0,(D865-E865)*F865,0)+IF(H865&lt;F865,H865*(D865-E865),0)</f>
        <v>0</v>
      </c>
      <c r="J865" s="3179" t="n">
        <f aca="false">G865-I865</f>
        <v>0</v>
      </c>
    </row>
    <row r="866" customFormat="false" ht="15" hidden="false" customHeight="true" outlineLevel="0" collapsed="false">
      <c r="B866" s="1551" t="str">
        <f aca="false">'Смета Внутр'!B866</f>
        <v>Нет перекрестного пола</v>
      </c>
      <c r="C866" s="1551" t="str">
        <f aca="false">'Смета Внутр'!C866</f>
        <v>м3</v>
      </c>
      <c r="D866" s="1551" t="n">
        <f aca="false">'Смета Внутр'!D866</f>
        <v>0</v>
      </c>
      <c r="F866" s="1551" t="n">
        <f aca="false">'Смета Внутр'!E866</f>
        <v>0</v>
      </c>
      <c r="G866" s="1551" t="n">
        <f aca="false">'Смета Внутр'!H866</f>
        <v>0</v>
      </c>
      <c r="I866" s="3179" t="n">
        <f aca="false">IF(F866&lt;H866,F866*(D866-E866),0)+IF(H866=0,(D866-E866)*F866,0)+IF(H866&lt;F866,H866*(D866-E866),0)</f>
        <v>0</v>
      </c>
      <c r="J866" s="3179" t="n">
        <f aca="false">G866-I866</f>
        <v>0</v>
      </c>
    </row>
    <row r="867" customFormat="false" ht="15" hidden="false" customHeight="true" outlineLevel="0" collapsed="false">
      <c r="B867" s="1551" t="str">
        <f aca="false">'Смета Внутр'!B867</f>
        <v>Гвозди строительные 3,5 x 90            </v>
      </c>
      <c r="C867" s="1551" t="str">
        <f aca="false">'Смета Внутр'!C867</f>
        <v>кг</v>
      </c>
      <c r="D867" s="1551" t="n">
        <f aca="false">'Смета Внутр'!D867</f>
        <v>0</v>
      </c>
      <c r="F867" s="1551" t="n">
        <f aca="false">'Смета Внутр'!E867</f>
        <v>70</v>
      </c>
      <c r="G867" s="1551" t="n">
        <f aca="false">'Смета Внутр'!H867</f>
        <v>0</v>
      </c>
      <c r="I867" s="3179" t="n">
        <f aca="false">IF(F867&lt;H867,F867*(D867-E867),0)+IF(H867=0,(D867-E867)*F867,0)+IF(H867&lt;F867,H867*(D867-E867),0)</f>
        <v>0</v>
      </c>
      <c r="J867" s="3179" t="n">
        <f aca="false">G867-I867</f>
        <v>0</v>
      </c>
    </row>
    <row r="868" customFormat="false" ht="15" hidden="false" customHeight="true" outlineLevel="0" collapsed="false">
      <c r="B868" s="1551" t="str">
        <f aca="false">'Смета Внутр'!B868</f>
        <v>Sip панель 2500*625*124мм</v>
      </c>
      <c r="C868" s="1551" t="str">
        <f aca="false">'Смета Внутр'!C868</f>
        <v>м2</v>
      </c>
      <c r="D868" s="1551" t="n">
        <f aca="false">'Смета Внутр'!D868</f>
        <v>0</v>
      </c>
      <c r="F868" s="1551" t="n">
        <f aca="false">'Смета Внутр'!E868</f>
        <v>800</v>
      </c>
      <c r="G868" s="1551" t="n">
        <f aca="false">'Смета Внутр'!H868</f>
        <v>0</v>
      </c>
      <c r="I868" s="3179" t="n">
        <f aca="false">IF(F868&lt;H868,F868*(D868-E868),0)+IF(H868=0,(D868-E868)*F868,0)+IF(H868&lt;F868,H868*(D868-E868),0)</f>
        <v>0</v>
      </c>
      <c r="J868" s="3179" t="n">
        <f aca="false">G868-I868</f>
        <v>0</v>
      </c>
    </row>
    <row r="869" customFormat="false" ht="15" hidden="false" customHeight="true" outlineLevel="0" collapsed="false">
      <c r="B869" s="1551" t="str">
        <f aca="false">'Смета Внутр'!B869</f>
        <v>Sip панель 2500*625*174мм</v>
      </c>
      <c r="C869" s="1551" t="str">
        <f aca="false">'Смета Внутр'!C869</f>
        <v>м2</v>
      </c>
      <c r="D869" s="1551" t="n">
        <f aca="false">'Смета Внутр'!D869</f>
        <v>0</v>
      </c>
      <c r="F869" s="1551" t="n">
        <f aca="false">'Смета Внутр'!E869</f>
        <v>1200</v>
      </c>
      <c r="G869" s="1551" t="n">
        <f aca="false">'Смета Внутр'!H869</f>
        <v>0</v>
      </c>
      <c r="I869" s="3179" t="n">
        <f aca="false">IF(F869&lt;H869,F869*(D869-E869),0)+IF(H869=0,(D869-E869)*F869,0)+IF(H869&lt;F869,H869*(D869-E869),0)</f>
        <v>0</v>
      </c>
      <c r="J869" s="3179" t="n">
        <f aca="false">G869-I869</f>
        <v>0</v>
      </c>
    </row>
    <row r="870" customFormat="false" ht="15" hidden="false" customHeight="true" outlineLevel="0" collapsed="false">
      <c r="B870" s="1551" t="str">
        <f aca="false">'Смета Внутр'!B870</f>
        <v>Sip панель 2500*625*224мм</v>
      </c>
      <c r="C870" s="1551" t="str">
        <f aca="false">'Смета Внутр'!C870</f>
        <v>м2</v>
      </c>
      <c r="D870" s="1551" t="n">
        <f aca="false">'Смета Внутр'!D870</f>
        <v>0</v>
      </c>
      <c r="F870" s="1551" t="n">
        <f aca="false">'Смета Внутр'!E870</f>
        <v>1400</v>
      </c>
      <c r="G870" s="1551" t="n">
        <f aca="false">'Смета Внутр'!H870</f>
        <v>0</v>
      </c>
      <c r="I870" s="3179" t="n">
        <f aca="false">IF(F870&lt;H870,F870*(D870-E870),0)+IF(H870=0,(D870-E870)*F870,0)+IF(H870&lt;F870,H870*(D870-E870),0)</f>
        <v>0</v>
      </c>
      <c r="J870" s="3179" t="n">
        <f aca="false">G870-I870</f>
        <v>0</v>
      </c>
    </row>
    <row r="871" customFormat="false" ht="15" hidden="false" customHeight="true" outlineLevel="0" collapsed="false">
      <c r="B871" s="1551" t="str">
        <f aca="false">'Смета Внутр'!B871</f>
        <v>Доска сухая, 100*50мм</v>
      </c>
      <c r="C871" s="1551" t="str">
        <f aca="false">'Смета Внутр'!C871</f>
        <v>м.п.</v>
      </c>
      <c r="D871" s="1551" t="n">
        <f aca="false">'Смета Внутр'!D871</f>
        <v>0</v>
      </c>
      <c r="F871" s="1551" t="n">
        <f aca="false">'Смета Внутр'!E871</f>
        <v>45</v>
      </c>
      <c r="G871" s="1551" t="n">
        <f aca="false">'Смета Внутр'!H871</f>
        <v>0</v>
      </c>
      <c r="I871" s="3179" t="n">
        <f aca="false">IF(F871&lt;H871,F871*(D871-E871),0)+IF(H871=0,(D871-E871)*F871,0)+IF(H871&lt;F871,H871*(D871-E871),0)</f>
        <v>0</v>
      </c>
      <c r="J871" s="3179" t="n">
        <f aca="false">G871-I871</f>
        <v>0</v>
      </c>
    </row>
    <row r="872" customFormat="false" ht="15" hidden="false" customHeight="true" outlineLevel="0" collapsed="false">
      <c r="B872" s="1551" t="str">
        <f aca="false">'Смета Внутр'!B872</f>
        <v>Доска сухая, 150*50мм</v>
      </c>
      <c r="C872" s="1551" t="str">
        <f aca="false">'Смета Внутр'!C872</f>
        <v>м.п.</v>
      </c>
      <c r="D872" s="1551" t="n">
        <f aca="false">'Смета Внутр'!D872</f>
        <v>0</v>
      </c>
      <c r="F872" s="1551" t="n">
        <f aca="false">'Смета Внутр'!E872</f>
        <v>67.5</v>
      </c>
      <c r="G872" s="1551" t="n">
        <f aca="false">'Смета Внутр'!H872</f>
        <v>0</v>
      </c>
      <c r="I872" s="3179" t="n">
        <f aca="false">IF(F872&lt;H872,F872*(D872-E872),0)+IF(H872=0,(D872-E872)*F872,0)+IF(H872&lt;F872,H872*(D872-E872),0)</f>
        <v>0</v>
      </c>
      <c r="J872" s="3179" t="n">
        <f aca="false">G872-I872</f>
        <v>0</v>
      </c>
    </row>
    <row r="873" customFormat="false" ht="15" hidden="false" customHeight="true" outlineLevel="0" collapsed="false">
      <c r="B873" s="1551" t="str">
        <f aca="false">'Смета Внутр'!B873</f>
        <v>Доска сухая, 200*50мм</v>
      </c>
      <c r="C873" s="1551" t="str">
        <f aca="false">'Смета Внутр'!C873</f>
        <v>м.п.</v>
      </c>
      <c r="D873" s="1551" t="n">
        <f aca="false">'Смета Внутр'!D873</f>
        <v>0</v>
      </c>
      <c r="F873" s="1551" t="n">
        <f aca="false">'Смета Внутр'!E873</f>
        <v>90</v>
      </c>
      <c r="G873" s="1551" t="n">
        <f aca="false">'Смета Внутр'!H873</f>
        <v>0</v>
      </c>
      <c r="I873" s="3179" t="n">
        <f aca="false">IF(F873&lt;H873,F873*(D873-E873),0)+IF(H873=0,(D873-E873)*F873,0)+IF(H873&lt;F873,H873*(D873-E873),0)</f>
        <v>0</v>
      </c>
      <c r="J873" s="3179" t="n">
        <f aca="false">G873-I873</f>
        <v>0</v>
      </c>
    </row>
    <row r="874" customFormat="false" ht="15" hidden="false" customHeight="true" outlineLevel="0" collapsed="false">
      <c r="B874" s="1551" t="str">
        <f aca="false">'Смета Внутр'!B874</f>
        <v>Пена монтажная, всесезонняя 800мл</v>
      </c>
      <c r="C874" s="1551" t="str">
        <f aca="false">'Смета Внутр'!C874</f>
        <v>шт</v>
      </c>
      <c r="D874" s="1551" t="n">
        <f aca="false">'Смета Внутр'!D874</f>
        <v>0</v>
      </c>
      <c r="F874" s="1551" t="n">
        <f aca="false">'Смета Внутр'!E874</f>
        <v>300</v>
      </c>
      <c r="G874" s="1551" t="n">
        <f aca="false">'Смета Внутр'!H874</f>
        <v>0</v>
      </c>
      <c r="I874" s="3179" t="n">
        <f aca="false">IF(F874&lt;H874,F874*(D874-E874),0)+IF(H874=0,(D874-E874)*F874,0)+IF(H874&lt;F874,H874*(D874-E874),0)</f>
        <v>0</v>
      </c>
      <c r="J874" s="3179" t="n">
        <f aca="false">G874-I874</f>
        <v>0</v>
      </c>
    </row>
    <row r="875" customFormat="false" ht="15" hidden="false" customHeight="true" outlineLevel="0" collapsed="false">
      <c r="B875" s="1551" t="str">
        <f aca="false">'Смета Внутр'!B875</f>
        <v>Гвозди строительные 3,5 x 90            </v>
      </c>
      <c r="C875" s="1551" t="str">
        <f aca="false">'Смета Внутр'!C875</f>
        <v>шт</v>
      </c>
      <c r="D875" s="1551" t="n">
        <f aca="false">'Смета Внутр'!D875</f>
        <v>0</v>
      </c>
      <c r="F875" s="1551" t="n">
        <f aca="false">'Смета Внутр'!E875</f>
        <v>45</v>
      </c>
      <c r="G875" s="1551" t="n">
        <f aca="false">'Смета Внутр'!H875</f>
        <v>0</v>
      </c>
      <c r="I875" s="3179" t="n">
        <f aca="false">IF(F875&lt;H875,F875*(D875-E875),0)+IF(H875=0,(D875-E875)*F875,0)+IF(H875&lt;F875,H875*(D875-E875),0)</f>
        <v>0</v>
      </c>
      <c r="J875" s="3179" t="n">
        <f aca="false">G875-I875</f>
        <v>0</v>
      </c>
    </row>
    <row r="876" customFormat="false" ht="15" hidden="false" customHeight="true" outlineLevel="0" collapsed="false">
      <c r="B876" s="1551" t="str">
        <f aca="false">'Смета Внутр'!B876</f>
        <v>Саморезы 3,5 x 45            </v>
      </c>
      <c r="C876" s="1551" t="str">
        <f aca="false">'Смета Внутр'!C876</f>
        <v>шт</v>
      </c>
      <c r="D876" s="1551" t="n">
        <f aca="false">'Смета Внутр'!D876</f>
        <v>0</v>
      </c>
      <c r="F876" s="1551" t="n">
        <f aca="false">'Смета Внутр'!E876</f>
        <v>0.25</v>
      </c>
      <c r="G876" s="1551" t="n">
        <f aca="false">'Смета Внутр'!H876</f>
        <v>0</v>
      </c>
      <c r="I876" s="3179" t="n">
        <f aca="false">IF(F876&lt;H876,F876*(D876-E876),0)+IF(H876=0,(D876-E876)*F876,0)+IF(H876&lt;F876,H876*(D876-E876),0)</f>
        <v>0</v>
      </c>
      <c r="J876" s="3179" t="n">
        <f aca="false">G876-I876</f>
        <v>0</v>
      </c>
    </row>
    <row r="877" customFormat="false" ht="15" hidden="false" customHeight="true" outlineLevel="0" collapsed="false">
      <c r="B877" s="1551" t="str">
        <f aca="false">'Смета Внутр'!B877</f>
        <v>Доска сухая, 200*50мм</v>
      </c>
      <c r="C877" s="1551" t="str">
        <f aca="false">'Смета Внутр'!C877</f>
        <v>м3</v>
      </c>
      <c r="D877" s="1551" t="n">
        <f aca="false">'Смета Внутр'!D877</f>
        <v>0</v>
      </c>
      <c r="F877" s="1551" t="n">
        <f aca="false">'Смета Внутр'!E877</f>
        <v>9000</v>
      </c>
      <c r="G877" s="1551" t="n">
        <f aca="false">'Смета Внутр'!H877</f>
        <v>0</v>
      </c>
      <c r="I877" s="3179" t="n">
        <f aca="false">IF(F877&lt;H877,F877*(D877-E877),0)+IF(H877=0,(D877-E877)*F877,0)+IF(H877&lt;F877,H877*(D877-E877),0)</f>
        <v>0</v>
      </c>
      <c r="J877" s="3179" t="n">
        <f aca="false">G877-I877</f>
        <v>0</v>
      </c>
    </row>
    <row r="878" customFormat="false" ht="15" hidden="false" customHeight="true" outlineLevel="0" collapsed="false">
      <c r="B878" s="1551" t="str">
        <f aca="false">'Смета Внутр'!B878</f>
        <v>Доска сухая, 150*50мм</v>
      </c>
      <c r="C878" s="1551" t="str">
        <f aca="false">'Смета Внутр'!C878</f>
        <v>м3</v>
      </c>
      <c r="D878" s="1551" t="n">
        <f aca="false">'Смета Внутр'!D878</f>
        <v>0</v>
      </c>
      <c r="F878" s="1551" t="n">
        <f aca="false">'Смета Внутр'!E878</f>
        <v>9000</v>
      </c>
      <c r="G878" s="1551" t="n">
        <f aca="false">'Смета Внутр'!H878</f>
        <v>0</v>
      </c>
      <c r="I878" s="3179" t="n">
        <f aca="false">IF(F878&lt;H878,F878*(D878-E878),0)+IF(H878=0,(D878-E878)*F878,0)+IF(H878&lt;F878,H878*(D878-E878),0)</f>
        <v>0</v>
      </c>
      <c r="J878" s="3179" t="n">
        <f aca="false">G878-I878</f>
        <v>0</v>
      </c>
    </row>
    <row r="879" customFormat="false" ht="15" hidden="false" customHeight="true" outlineLevel="0" collapsed="false">
      <c r="B879" s="1551" t="str">
        <f aca="false">'Смета Внутр'!B879</f>
        <v>Гвозди ершоные 2,8 х 90            </v>
      </c>
      <c r="C879" s="1551" t="str">
        <f aca="false">'Смета Внутр'!C879</f>
        <v>кг</v>
      </c>
      <c r="D879" s="1551" t="n">
        <f aca="false">'Смета Внутр'!D879</f>
        <v>0</v>
      </c>
      <c r="F879" s="1551" t="n">
        <f aca="false">'Смета Внутр'!E879</f>
        <v>76.49</v>
      </c>
      <c r="G879" s="1551" t="n">
        <f aca="false">'Смета Внутр'!H879</f>
        <v>0</v>
      </c>
      <c r="I879" s="3179" t="n">
        <f aca="false">IF(F879&lt;H879,F879*(D879-E879),0)+IF(H879=0,(D879-E879)*F879,0)+IF(H879&lt;F879,H879*(D879-E879),0)</f>
        <v>0</v>
      </c>
      <c r="J879" s="3179" t="n">
        <f aca="false">G879-I879</f>
        <v>0</v>
      </c>
    </row>
    <row r="880" customFormat="false" ht="15" hidden="false" customHeight="true" outlineLevel="0" collapsed="false">
      <c r="B880" s="1551" t="str">
        <f aca="false">'Смета Внутр'!B880</f>
        <v>Доска сухая калиброванная, 190*45мм</v>
      </c>
      <c r="C880" s="1551" t="str">
        <f aca="false">'Смета Внутр'!C880</f>
        <v>м3</v>
      </c>
      <c r="D880" s="1551" t="n">
        <f aca="false">'Смета Внутр'!D880</f>
        <v>0</v>
      </c>
      <c r="F880" s="1551" t="n">
        <f aca="false">'Смета Внутр'!E880</f>
        <v>12500</v>
      </c>
      <c r="G880" s="1551" t="n">
        <f aca="false">'Смета Внутр'!H880</f>
        <v>0</v>
      </c>
      <c r="I880" s="3179" t="n">
        <f aca="false">IF(F880&lt;H880,F880*(D880-E880),0)+IF(H880=0,(D880-E880)*F880,0)+IF(H880&lt;F880,H880*(D880-E880),0)</f>
        <v>0</v>
      </c>
      <c r="J880" s="3179" t="n">
        <f aca="false">G880-I880</f>
        <v>0</v>
      </c>
    </row>
    <row r="881" customFormat="false" ht="15" hidden="false" customHeight="true" outlineLevel="0" collapsed="false">
      <c r="B881" s="1551" t="str">
        <f aca="false">'Смета Внутр'!B881</f>
        <v>Доска сухая калиброванная, 145*45мм</v>
      </c>
      <c r="C881" s="1551" t="str">
        <f aca="false">'Смета Внутр'!C881</f>
        <v>м3</v>
      </c>
      <c r="D881" s="1551" t="n">
        <f aca="false">'Смета Внутр'!D881</f>
        <v>0</v>
      </c>
      <c r="F881" s="1551" t="n">
        <f aca="false">'Смета Внутр'!E881</f>
        <v>12500</v>
      </c>
      <c r="G881" s="1551" t="n">
        <f aca="false">'Смета Внутр'!H881</f>
        <v>0</v>
      </c>
      <c r="I881" s="3179" t="n">
        <f aca="false">IF(F881&lt;H881,F881*(D881-E881),0)+IF(H881=0,(D881-E881)*F881,0)+IF(H881&lt;F881,H881*(D881-E881),0)</f>
        <v>0</v>
      </c>
      <c r="J881" s="3179" t="n">
        <f aca="false">G881-I881</f>
        <v>0</v>
      </c>
    </row>
    <row r="882" customFormat="false" ht="15" hidden="false" customHeight="true" outlineLevel="0" collapsed="false">
      <c r="B882" s="1551" t="str">
        <f aca="false">'Смета Внутр'!B882</f>
        <v>Гвозди ершоные 2,8 х 90            </v>
      </c>
      <c r="C882" s="1551" t="str">
        <f aca="false">'Смета Внутр'!C882</f>
        <v>кг</v>
      </c>
      <c r="D882" s="1551" t="n">
        <f aca="false">'Смета Внутр'!D882</f>
        <v>0</v>
      </c>
      <c r="F882" s="1551" t="n">
        <f aca="false">'Смета Внутр'!E882</f>
        <v>76.49</v>
      </c>
      <c r="G882" s="1551" t="n">
        <f aca="false">'Смета Внутр'!H882</f>
        <v>0</v>
      </c>
      <c r="I882" s="3179" t="n">
        <f aca="false">IF(F882&lt;H882,F882*(D882-E882),0)+IF(H882=0,(D882-E882)*F882,0)+IF(H882&lt;F882,H882*(D882-E882),0)</f>
        <v>0</v>
      </c>
      <c r="J882" s="3179" t="n">
        <f aca="false">G882-I882</f>
        <v>0</v>
      </c>
    </row>
    <row r="883" customFormat="false" ht="15" hidden="false" customHeight="true" outlineLevel="0" collapsed="false">
      <c r="B883" s="1551" t="str">
        <f aca="false">'Смета Внутр'!B883</f>
        <v>Двутавровая деревянная балка, 400*65мм</v>
      </c>
      <c r="C883" s="1551" t="str">
        <f aca="false">'Смета Внутр'!C883</f>
        <v>м.п.</v>
      </c>
      <c r="D883" s="1551" t="n">
        <f aca="false">'Смета Внутр'!D883</f>
        <v>0</v>
      </c>
      <c r="F883" s="1551" t="n">
        <f aca="false">'Смета Внутр'!E883</f>
        <v>303</v>
      </c>
      <c r="G883" s="1551" t="n">
        <f aca="false">'Смета Внутр'!H883</f>
        <v>0</v>
      </c>
      <c r="I883" s="3179" t="n">
        <f aca="false">IF(F883&lt;H883,F883*(D883-E883),0)+IF(H883=0,(D883-E883)*F883,0)+IF(H883&lt;F883,H883*(D883-E883),0)</f>
        <v>0</v>
      </c>
      <c r="J883" s="3179" t="n">
        <f aca="false">G883-I883</f>
        <v>0</v>
      </c>
    </row>
    <row r="884" customFormat="false" ht="15" hidden="false" customHeight="true" outlineLevel="0" collapsed="false">
      <c r="B884" s="1551" t="str">
        <f aca="false">'Смета Внутр'!B884</f>
        <v>Двутавровая деревянная балка, 400*90мм</v>
      </c>
      <c r="C884" s="1551" t="str">
        <f aca="false">'Смета Внутр'!C884</f>
        <v>м.п.</v>
      </c>
      <c r="D884" s="1551" t="n">
        <f aca="false">'Смета Внутр'!D884</f>
        <v>0</v>
      </c>
      <c r="F884" s="1551" t="n">
        <f aca="false">'Смета Внутр'!E884</f>
        <v>355</v>
      </c>
      <c r="G884" s="1551" t="n">
        <f aca="false">'Смета Внутр'!H884</f>
        <v>0</v>
      </c>
      <c r="I884" s="3179" t="n">
        <f aca="false">IF(F884&lt;H884,F884*(D884-E884),0)+IF(H884=0,(D884-E884)*F884,0)+IF(H884&lt;F884,H884*(D884-E884),0)</f>
        <v>0</v>
      </c>
      <c r="J884" s="3179" t="n">
        <f aca="false">G884-I884</f>
        <v>0</v>
      </c>
    </row>
    <row r="885" customFormat="false" ht="15" hidden="false" customHeight="true" outlineLevel="0" collapsed="false">
      <c r="B885" s="1551" t="str">
        <f aca="false">'Смета Внутр'!B885</f>
        <v>Двутавровая деревянная балка, 350*65мм</v>
      </c>
      <c r="C885" s="1551" t="str">
        <f aca="false">'Смета Внутр'!C885</f>
        <v>м.п.</v>
      </c>
      <c r="D885" s="1551" t="n">
        <f aca="false">'Смета Внутр'!D885</f>
        <v>0</v>
      </c>
      <c r="F885" s="1551" t="n">
        <f aca="false">'Смета Внутр'!E885</f>
        <v>287</v>
      </c>
      <c r="G885" s="1551" t="n">
        <f aca="false">'Смета Внутр'!H885</f>
        <v>0</v>
      </c>
      <c r="I885" s="3179" t="n">
        <f aca="false">IF(F885&lt;H885,F885*(D885-E885),0)+IF(H885=0,(D885-E885)*F885,0)+IF(H885&lt;F885,H885*(D885-E885),0)</f>
        <v>0</v>
      </c>
      <c r="J885" s="3179" t="n">
        <f aca="false">G885-I885</f>
        <v>0</v>
      </c>
    </row>
    <row r="886" customFormat="false" ht="15" hidden="false" customHeight="true" outlineLevel="0" collapsed="false">
      <c r="B886" s="1551" t="str">
        <f aca="false">'Смета Внутр'!B886</f>
        <v>Двутавровая деревянная балка, 350*90мм</v>
      </c>
      <c r="C886" s="1551" t="str">
        <f aca="false">'Смета Внутр'!C886</f>
        <v>м.п.</v>
      </c>
      <c r="D886" s="1551" t="n">
        <f aca="false">'Смета Внутр'!D886</f>
        <v>0</v>
      </c>
      <c r="F886" s="1551" t="n">
        <f aca="false">'Смета Внутр'!E886</f>
        <v>315</v>
      </c>
      <c r="G886" s="1551" t="n">
        <f aca="false">'Смета Внутр'!H886</f>
        <v>0</v>
      </c>
      <c r="I886" s="3179" t="n">
        <f aca="false">IF(F886&lt;H886,F886*(D886-E886),0)+IF(H886=0,(D886-E886)*F886,0)+IF(H886&lt;F886,H886*(D886-E886),0)</f>
        <v>0</v>
      </c>
      <c r="J886" s="3179" t="n">
        <f aca="false">G886-I886</f>
        <v>0</v>
      </c>
    </row>
    <row r="887" customFormat="false" ht="15" hidden="false" customHeight="true" outlineLevel="0" collapsed="false">
      <c r="B887" s="1551" t="str">
        <f aca="false">'Смета Внутр'!B887</f>
        <v>Двутавровая деревянная балка, 300*65мм</v>
      </c>
      <c r="C887" s="1551" t="str">
        <f aca="false">'Смета Внутр'!C887</f>
        <v>м.п.</v>
      </c>
      <c r="D887" s="1551" t="n">
        <f aca="false">'Смета Внутр'!D887</f>
        <v>0</v>
      </c>
      <c r="F887" s="1551" t="n">
        <f aca="false">'Смета Внутр'!E887</f>
        <v>273</v>
      </c>
      <c r="G887" s="1551" t="n">
        <f aca="false">'Смета Внутр'!H887</f>
        <v>0</v>
      </c>
      <c r="I887" s="3179" t="n">
        <f aca="false">IF(F887&lt;H887,F887*(D887-E887),0)+IF(H887=0,(D887-E887)*F887,0)+IF(H887&lt;F887,H887*(D887-E887),0)</f>
        <v>0</v>
      </c>
      <c r="J887" s="3179" t="n">
        <f aca="false">G887-I887</f>
        <v>0</v>
      </c>
    </row>
    <row r="888" customFormat="false" ht="15" hidden="false" customHeight="true" outlineLevel="0" collapsed="false">
      <c r="B888" s="1551" t="str">
        <f aca="false">'Смета Внутр'!B888</f>
        <v>Двутавровая деревянная балка, 300*90мм</v>
      </c>
      <c r="C888" s="1551" t="str">
        <f aca="false">'Смета Внутр'!C888</f>
        <v>м.п.</v>
      </c>
      <c r="D888" s="1551" t="n">
        <f aca="false">'Смета Внутр'!D888</f>
        <v>0</v>
      </c>
      <c r="F888" s="1551" t="n">
        <f aca="false">'Смета Внутр'!E888</f>
        <v>315</v>
      </c>
      <c r="G888" s="1551" t="n">
        <f aca="false">'Смета Внутр'!H888</f>
        <v>0</v>
      </c>
      <c r="I888" s="3179" t="n">
        <f aca="false">IF(F888&lt;H888,F888*(D888-E888),0)+IF(H888=0,(D888-E888)*F888,0)+IF(H888&lt;F888,H888*(D888-E888),0)</f>
        <v>0</v>
      </c>
      <c r="J888" s="3179" t="n">
        <f aca="false">G888-I888</f>
        <v>0</v>
      </c>
    </row>
    <row r="889" customFormat="false" ht="15" hidden="false" customHeight="true" outlineLevel="0" collapsed="false">
      <c r="B889" s="1551" t="str">
        <f aca="false">'Смета Внутр'!B889</f>
        <v>Двутавровая деревянная балка, 240*65мм</v>
      </c>
      <c r="C889" s="1551" t="str">
        <f aca="false">'Смета Внутр'!C889</f>
        <v>м.п.</v>
      </c>
      <c r="D889" s="1551" t="n">
        <f aca="false">'Смета Внутр'!D889</f>
        <v>0</v>
      </c>
      <c r="F889" s="1551" t="n">
        <f aca="false">'Смета Внутр'!E889</f>
        <v>263</v>
      </c>
      <c r="G889" s="1551" t="n">
        <f aca="false">'Смета Внутр'!H889</f>
        <v>0</v>
      </c>
      <c r="I889" s="3179" t="n">
        <f aca="false">IF(F889&lt;H889,F889*(D889-E889),0)+IF(H889=0,(D889-E889)*F889,0)+IF(H889&lt;F889,H889*(D889-E889),0)</f>
        <v>0</v>
      </c>
      <c r="J889" s="3179" t="n">
        <f aca="false">G889-I889</f>
        <v>0</v>
      </c>
    </row>
    <row r="890" customFormat="false" ht="15" hidden="false" customHeight="true" outlineLevel="0" collapsed="false">
      <c r="B890" s="1551" t="str">
        <f aca="false">'Смета Внутр'!B890</f>
        <v>Двутавровая деревянная балка, 240*90мм</v>
      </c>
      <c r="C890" s="1551" t="str">
        <f aca="false">'Смета Внутр'!C890</f>
        <v>м.п.</v>
      </c>
      <c r="D890" s="1551" t="n">
        <f aca="false">'Смета Внутр'!D890</f>
        <v>0</v>
      </c>
      <c r="F890" s="1551" t="n">
        <f aca="false">'Смета Внутр'!E890</f>
        <v>291</v>
      </c>
      <c r="G890" s="1551" t="n">
        <f aca="false">'Смета Внутр'!H890</f>
        <v>0</v>
      </c>
      <c r="I890" s="3179" t="n">
        <f aca="false">IF(F890&lt;H890,F890*(D890-E890),0)+IF(H890=0,(D890-E890)*F890,0)+IF(H890&lt;F890,H890*(D890-E890),0)</f>
        <v>0</v>
      </c>
      <c r="J890" s="3179" t="n">
        <f aca="false">G890-I890</f>
        <v>0</v>
      </c>
    </row>
    <row r="891" customFormat="false" ht="15" hidden="false" customHeight="true" outlineLevel="0" collapsed="false">
      <c r="B891" s="1551" t="str">
        <f aca="false">'Смета Внутр'!B891</f>
        <v>Двутавровая деревянная балка, 200*65мм</v>
      </c>
      <c r="C891" s="1551" t="str">
        <f aca="false">'Смета Внутр'!C891</f>
        <v>м.п.</v>
      </c>
      <c r="D891" s="1551" t="n">
        <f aca="false">'Смета Внутр'!D891</f>
        <v>0</v>
      </c>
      <c r="F891" s="1551" t="n">
        <f aca="false">'Смета Внутр'!E891</f>
        <v>250</v>
      </c>
      <c r="G891" s="1551" t="n">
        <f aca="false">'Смета Внутр'!H891</f>
        <v>0</v>
      </c>
      <c r="I891" s="3179" t="n">
        <f aca="false">IF(F891&lt;H891,F891*(D891-E891),0)+IF(H891=0,(D891-E891)*F891,0)+IF(H891&lt;F891,H891*(D891-E891),0)</f>
        <v>0</v>
      </c>
      <c r="J891" s="3179" t="n">
        <f aca="false">G891-I891</f>
        <v>0</v>
      </c>
    </row>
    <row r="892" customFormat="false" ht="15" hidden="false" customHeight="true" outlineLevel="0" collapsed="false">
      <c r="B892" s="1551" t="str">
        <f aca="false">'Смета Внутр'!B892</f>
        <v>Двутавровая деревянная балка, 200*90мм</v>
      </c>
      <c r="C892" s="1551" t="str">
        <f aca="false">'Смета Внутр'!C892</f>
        <v>м.п.</v>
      </c>
      <c r="D892" s="1551" t="n">
        <f aca="false">'Смета Внутр'!D892</f>
        <v>0</v>
      </c>
      <c r="F892" s="1551" t="n">
        <f aca="false">'Смета Внутр'!E892</f>
        <v>280</v>
      </c>
      <c r="G892" s="1551" t="n">
        <f aca="false">'Смета Внутр'!H892</f>
        <v>0</v>
      </c>
      <c r="I892" s="3179" t="n">
        <f aca="false">IF(F892&lt;H892,F892*(D892-E892),0)+IF(H892=0,(D892-E892)*F892,0)+IF(H892&lt;F892,H892*(D892-E892),0)</f>
        <v>0</v>
      </c>
      <c r="J892" s="3179" t="n">
        <f aca="false">G892-I892</f>
        <v>0</v>
      </c>
    </row>
    <row r="893" customFormat="false" ht="15" hidden="false" customHeight="true" outlineLevel="0" collapsed="false">
      <c r="B893" s="1551" t="str">
        <f aca="false">'Смета Внутр'!B893</f>
        <v>Двутавровая деревянная балка, 150*65мм</v>
      </c>
      <c r="C893" s="1551" t="str">
        <f aca="false">'Смета Внутр'!C893</f>
        <v>м.п.</v>
      </c>
      <c r="D893" s="1551" t="n">
        <f aca="false">'Смета Внутр'!D893</f>
        <v>0</v>
      </c>
      <c r="F893" s="1551" t="n">
        <f aca="false">'Смета Внутр'!E893</f>
        <v>220</v>
      </c>
      <c r="G893" s="1551" t="n">
        <f aca="false">'Смета Внутр'!H893</f>
        <v>0</v>
      </c>
      <c r="I893" s="3179" t="n">
        <f aca="false">IF(F893&lt;H893,F893*(D893-E893),0)+IF(H893=0,(D893-E893)*F893,0)+IF(H893&lt;F893,H893*(D893-E893),0)</f>
        <v>0</v>
      </c>
      <c r="J893" s="3179" t="n">
        <f aca="false">G893-I893</f>
        <v>0</v>
      </c>
    </row>
    <row r="894" customFormat="false" ht="15" hidden="false" customHeight="true" outlineLevel="0" collapsed="false">
      <c r="B894" s="1551" t="str">
        <f aca="false">'Смета Внутр'!B894</f>
        <v>Двутавровая деревянная балка, 150*90мм</v>
      </c>
      <c r="C894" s="1551" t="str">
        <f aca="false">'Смета Внутр'!C894</f>
        <v>м.п.</v>
      </c>
      <c r="D894" s="1551" t="n">
        <f aca="false">'Смета Внутр'!D894</f>
        <v>0</v>
      </c>
      <c r="F894" s="1551" t="n">
        <f aca="false">'Смета Внутр'!E894</f>
        <v>250</v>
      </c>
      <c r="G894" s="1551" t="n">
        <f aca="false">'Смета Внутр'!H894</f>
        <v>0</v>
      </c>
      <c r="I894" s="3179" t="n">
        <f aca="false">IF(F894&lt;H894,F894*(D894-E894),0)+IF(H894=0,(D894-E894)*F894,0)+IF(H894&lt;F894,H894*(D894-E894),0)</f>
        <v>0</v>
      </c>
      <c r="J894" s="3179" t="n">
        <f aca="false">G894-I894</f>
        <v>0</v>
      </c>
    </row>
    <row r="895" customFormat="false" ht="15" hidden="false" customHeight="true" outlineLevel="0" collapsed="false">
      <c r="B895" s="1551" t="str">
        <f aca="false">'Смета Внутр'!B895</f>
        <v>Уголок усиленный 90х70х55х2,5        </v>
      </c>
      <c r="C895" s="1551" t="str">
        <f aca="false">'Смета Внутр'!C895</f>
        <v>шт</v>
      </c>
      <c r="D895" s="1551" t="n">
        <f aca="false">'Смета Внутр'!D895</f>
        <v>0</v>
      </c>
      <c r="F895" s="1551" t="n">
        <f aca="false">'Смета Внутр'!E895</f>
        <v>30</v>
      </c>
      <c r="G895" s="1551" t="n">
        <f aca="false">'Смета Внутр'!H895</f>
        <v>0</v>
      </c>
      <c r="I895" s="3179" t="n">
        <f aca="false">IF(F895&lt;H895,F895*(D895-E895),0)+IF(H895=0,(D895-E895)*F895,0)+IF(H895&lt;F895,H895*(D895-E895),0)</f>
        <v>0</v>
      </c>
      <c r="J895" s="3179" t="n">
        <f aca="false">G895-I895</f>
        <v>0</v>
      </c>
    </row>
    <row r="896" customFormat="false" ht="15" hidden="false" customHeight="true" outlineLevel="0" collapsed="false">
      <c r="B896" s="1551" t="str">
        <f aca="false">'Смета Внутр'!B896</f>
        <v>Саморезы 3,5 x 55            </v>
      </c>
      <c r="C896" s="1551" t="str">
        <f aca="false">'Смета Внутр'!C896</f>
        <v>шт</v>
      </c>
      <c r="D896" s="1551" t="n">
        <f aca="false">'Смета Внутр'!D896</f>
        <v>0</v>
      </c>
      <c r="F896" s="1551" t="n">
        <f aca="false">'Смета Внутр'!E896</f>
        <v>0.3</v>
      </c>
      <c r="G896" s="1551" t="n">
        <f aca="false">'Смета Внутр'!H896</f>
        <v>0</v>
      </c>
      <c r="I896" s="3179" t="n">
        <f aca="false">IF(F896&lt;H896,F896*(D896-E896),0)+IF(H896=0,(D896-E896)*F896,0)+IF(H896&lt;F896,H896*(D896-E896),0)</f>
        <v>0</v>
      </c>
      <c r="J896" s="3179" t="n">
        <f aca="false">G896-I896</f>
        <v>0</v>
      </c>
    </row>
    <row r="897" customFormat="false" ht="15" hidden="false" customHeight="true" outlineLevel="0" collapsed="false">
      <c r="B897" s="1551" t="str">
        <f aca="false">'Смета Внутр'!B897</f>
        <v>Нет</v>
      </c>
      <c r="C897" s="1551" t="str">
        <f aca="false">'Смета Внутр'!C897</f>
        <v>м3</v>
      </c>
      <c r="D897" s="1551" t="n">
        <f aca="false">'Смета Внутр'!D897</f>
        <v>0</v>
      </c>
      <c r="F897" s="1551" t="n">
        <f aca="false">'Смета Внутр'!E897</f>
        <v>0</v>
      </c>
      <c r="G897" s="1551" t="n">
        <f aca="false">'Смета Внутр'!H897</f>
        <v>0</v>
      </c>
      <c r="I897" s="3179" t="n">
        <f aca="false">IF(F897&lt;H897,F897*(D897-E897),0)+IF(H897=0,(D897-E897)*F897,0)+IF(H897&lt;F897,H897*(D897-E897),0)</f>
        <v>0</v>
      </c>
      <c r="J897" s="3179" t="n">
        <f aca="false">G897-I897</f>
        <v>0</v>
      </c>
    </row>
    <row r="898" customFormat="false" ht="15" hidden="false" customHeight="true" outlineLevel="0" collapsed="false">
      <c r="B898" s="1551" t="str">
        <f aca="false">'Смета Внутр'!B898</f>
        <v>нет ветроизоляции</v>
      </c>
      <c r="C898" s="1551" t="str">
        <f aca="false">'Смета Внутр'!C898</f>
        <v>м2</v>
      </c>
      <c r="D898" s="1551" t="n">
        <f aca="false">'Смета Внутр'!D898</f>
        <v>0</v>
      </c>
      <c r="F898" s="1551" t="n">
        <f aca="false">'Смета Внутр'!E898</f>
        <v>0</v>
      </c>
      <c r="G898" s="1551" t="n">
        <f aca="false">'Смета Внутр'!H898</f>
        <v>0</v>
      </c>
      <c r="I898" s="3179" t="n">
        <f aca="false">IF(F898&lt;H898,F898*(D898-E898),0)+IF(H898=0,(D898-E898)*F898,0)+IF(H898&lt;F898,H898*(D898-E898),0)</f>
        <v>0</v>
      </c>
      <c r="J898" s="3179" t="n">
        <f aca="false">G898-I898</f>
        <v>0</v>
      </c>
    </row>
    <row r="899" customFormat="false" ht="15" hidden="false" customHeight="true" outlineLevel="0" collapsed="false">
      <c r="B899" s="1551" t="str">
        <f aca="false">'Смета Внутр'!B899</f>
        <v>нет пароизоляции</v>
      </c>
      <c r="C899" s="1551" t="str">
        <f aca="false">'Смета Внутр'!C899</f>
        <v>м2</v>
      </c>
      <c r="D899" s="1551" t="n">
        <f aca="false">'Смета Внутр'!D899</f>
        <v>0</v>
      </c>
      <c r="F899" s="1551" t="n">
        <f aca="false">'Смета Внутр'!E899</f>
        <v>0</v>
      </c>
      <c r="G899" s="1551" t="n">
        <f aca="false">'Смета Внутр'!H899</f>
        <v>0</v>
      </c>
      <c r="I899" s="3179" t="n">
        <f aca="false">IF(F899&lt;H899,F899*(D899-E899),0)+IF(H899=0,(D899-E899)*F899,0)+IF(H899&lt;F899,H899*(D899-E899),0)</f>
        <v>0</v>
      </c>
      <c r="J899" s="3179" t="n">
        <f aca="false">G899-I899</f>
        <v>0</v>
      </c>
    </row>
    <row r="900" customFormat="false" ht="15" hidden="false" customHeight="true" outlineLevel="0" collapsed="false">
      <c r="B900" s="1551" t="str">
        <f aca="false">'Смета Внутр'!B900</f>
        <v>нет</v>
      </c>
      <c r="C900" s="1551" t="str">
        <f aca="false">'Смета Внутр'!C900</f>
        <v>м3</v>
      </c>
      <c r="D900" s="1551" t="n">
        <f aca="false">'Смета Внутр'!D900</f>
        <v>0</v>
      </c>
      <c r="F900" s="1551" t="n">
        <f aca="false">'Смета Внутр'!E900</f>
        <v>0</v>
      </c>
      <c r="G900" s="1551" t="n">
        <f aca="false">'Смета Внутр'!H900</f>
        <v>0</v>
      </c>
      <c r="I900" s="3179" t="n">
        <f aca="false">IF(F900&lt;H900,F900*(D900-E900),0)+IF(H900=0,(D900-E900)*F900,0)+IF(H900&lt;F900,H900*(D900-E900),0)</f>
        <v>0</v>
      </c>
      <c r="J900" s="3179" t="n">
        <f aca="false">G900-I900</f>
        <v>0</v>
      </c>
    </row>
    <row r="901" customFormat="false" ht="15" hidden="false" customHeight="true" outlineLevel="0" collapsed="false">
      <c r="B901" s="1551" t="str">
        <f aca="false">'Смета Внутр'!B901</f>
        <v>нет</v>
      </c>
      <c r="C901" s="1551" t="str">
        <f aca="false">'Смета Внутр'!C901</f>
        <v>м3</v>
      </c>
      <c r="D901" s="1551" t="n">
        <f aca="false">'Смета Внутр'!D901</f>
        <v>0</v>
      </c>
      <c r="F901" s="1551" t="n">
        <f aca="false">'Смета Внутр'!E901</f>
        <v>0</v>
      </c>
      <c r="G901" s="1551" t="n">
        <f aca="false">'Смета Внутр'!H901</f>
        <v>0</v>
      </c>
      <c r="I901" s="3179" t="n">
        <f aca="false">IF(F901&lt;H901,F901*(D901-E901),0)+IF(H901=0,(D901-E901)*F901,0)+IF(H901&lt;F901,H901*(D901-E901),0)</f>
        <v>0</v>
      </c>
      <c r="J901" s="3179" t="n">
        <f aca="false">G901-I901</f>
        <v>0</v>
      </c>
    </row>
    <row r="902" customFormat="false" ht="15" hidden="false" customHeight="true" outlineLevel="0" collapsed="false">
      <c r="B902" s="1551" t="str">
        <f aca="false">'Смета Внутр'!B902</f>
        <v>нет</v>
      </c>
      <c r="C902" s="1551" t="str">
        <f aca="false">'Смета Внутр'!C902</f>
        <v>м3</v>
      </c>
      <c r="D902" s="1551" t="n">
        <f aca="false">'Смета Внутр'!D902</f>
        <v>0</v>
      </c>
      <c r="F902" s="1551" t="n">
        <f aca="false">'Смета Внутр'!E902</f>
        <v>0</v>
      </c>
      <c r="G902" s="1551" t="n">
        <f aca="false">'Смета Внутр'!H902</f>
        <v>0</v>
      </c>
      <c r="I902" s="3179" t="n">
        <f aca="false">IF(F902&lt;H902,F902*(D902-E902),0)+IF(H902=0,(D902-E902)*F902,0)+IF(H902&lt;F902,H902*(D902-E902),0)</f>
        <v>0</v>
      </c>
      <c r="J902" s="3179" t="n">
        <f aca="false">G902-I902</f>
        <v>0</v>
      </c>
    </row>
    <row r="903" customFormat="false" ht="15" hidden="false" customHeight="true" outlineLevel="0" collapsed="false">
      <c r="B903" s="1551" t="str">
        <f aca="false">'Смета Внутр'!B903</f>
        <v>нет</v>
      </c>
      <c r="C903" s="1551" t="str">
        <f aca="false">'Смета Внутр'!C903</f>
        <v>м3</v>
      </c>
      <c r="D903" s="1551" t="n">
        <f aca="false">'Смета Внутр'!D903</f>
        <v>0</v>
      </c>
      <c r="F903" s="1551" t="n">
        <f aca="false">'Смета Внутр'!E903</f>
        <v>0</v>
      </c>
      <c r="G903" s="1551" t="n">
        <f aca="false">'Смета Внутр'!H903</f>
        <v>0</v>
      </c>
      <c r="I903" s="3179" t="n">
        <f aca="false">IF(F903&lt;H903,F903*(D903-E903),0)+IF(H903=0,(D903-E903)*F903,0)+IF(H903&lt;F903,H903*(D903-E903),0)</f>
        <v>0</v>
      </c>
      <c r="J903" s="3179" t="n">
        <f aca="false">G903-I903</f>
        <v>0</v>
      </c>
    </row>
    <row r="904" customFormat="false" ht="15" hidden="false" customHeight="true" outlineLevel="0" collapsed="false">
      <c r="B904" s="1551" t="str">
        <f aca="false">'Смета Внутр'!B904</f>
        <v>нет</v>
      </c>
      <c r="C904" s="1551" t="str">
        <f aca="false">'Смета Внутр'!C904</f>
        <v>м3</v>
      </c>
      <c r="D904" s="1551" t="n">
        <f aca="false">'Смета Внутр'!D904</f>
        <v>0</v>
      </c>
      <c r="F904" s="1551" t="n">
        <f aca="false">'Смета Внутр'!E904</f>
        <v>0</v>
      </c>
      <c r="G904" s="1551" t="n">
        <f aca="false">'Смета Внутр'!H904</f>
        <v>0</v>
      </c>
      <c r="I904" s="3179" t="n">
        <f aca="false">IF(F904&lt;H904,F904*(D904-E904),0)+IF(H904=0,(D904-E904)*F904,0)+IF(H904&lt;F904,H904*(D904-E904),0)</f>
        <v>0</v>
      </c>
      <c r="J904" s="3179" t="n">
        <f aca="false">G904-I904</f>
        <v>0</v>
      </c>
    </row>
    <row r="905" customFormat="false" ht="15" hidden="false" customHeight="true" outlineLevel="0" collapsed="false">
      <c r="B905" s="1551" t="str">
        <f aca="false">'Смета Внутр'!B905</f>
        <v>нет</v>
      </c>
      <c r="C905" s="1551" t="str">
        <f aca="false">'Смета Внутр'!C905</f>
        <v>м3</v>
      </c>
      <c r="D905" s="1551" t="n">
        <f aca="false">'Смета Внутр'!D905</f>
        <v>0</v>
      </c>
      <c r="F905" s="1551" t="n">
        <f aca="false">'Смета Внутр'!E905</f>
        <v>0</v>
      </c>
      <c r="G905" s="1551" t="n">
        <f aca="false">'Смета Внутр'!H905</f>
        <v>0</v>
      </c>
      <c r="I905" s="3179" t="n">
        <f aca="false">IF(F905&lt;H905,F905*(D905-E905),0)+IF(H905=0,(D905-E905)*F905,0)+IF(H905&lt;F905,H905*(D905-E905),0)</f>
        <v>0</v>
      </c>
      <c r="J905" s="3179" t="n">
        <f aca="false">G905-I905</f>
        <v>0</v>
      </c>
    </row>
    <row r="906" customFormat="false" ht="15" hidden="false" customHeight="true" outlineLevel="0" collapsed="false">
      <c r="B906" s="1551" t="str">
        <f aca="false">'Смета Внутр'!B906</f>
        <v>Гвозди ершоные 2,8 х 90            </v>
      </c>
      <c r="C906" s="1551" t="str">
        <f aca="false">'Смета Внутр'!C906</f>
        <v>кг</v>
      </c>
      <c r="D906" s="1551" t="n">
        <f aca="false">'Смета Внутр'!D906</f>
        <v>0</v>
      </c>
      <c r="F906" s="1551" t="n">
        <f aca="false">'Смета Внутр'!E906</f>
        <v>76.49</v>
      </c>
      <c r="G906" s="1551" t="n">
        <f aca="false">'Смета Внутр'!H906</f>
        <v>0</v>
      </c>
      <c r="I906" s="3179" t="n">
        <f aca="false">IF(F906&lt;H906,F906*(D906-E906),0)+IF(H906=0,(D906-E906)*F906,0)+IF(H906&lt;F906,H906*(D906-E906),0)</f>
        <v>0</v>
      </c>
      <c r="J906" s="3179" t="n">
        <f aca="false">G906-I906</f>
        <v>0</v>
      </c>
    </row>
    <row r="907" customFormat="false" ht="15" hidden="false" customHeight="true" outlineLevel="0" collapsed="false">
      <c r="B907" s="1692" t="s">
        <v>4332</v>
      </c>
      <c r="C907" s="1692"/>
      <c r="D907" s="1692"/>
      <c r="E907" s="1692"/>
      <c r="F907" s="1692"/>
      <c r="G907" s="1551" t="n">
        <f aca="false">'Смета Внутр'!H907</f>
        <v>161912.141333333</v>
      </c>
      <c r="H907" s="3184"/>
      <c r="I907" s="3179" t="n">
        <f aca="false">IF(F907&lt;H907,F907*(D907-E907),0)+IF(H907=0,(D907-E907)*F907,0)+IF(H907&lt;F907,H907*(D907-E907),0)</f>
        <v>0</v>
      </c>
      <c r="J907" s="3179" t="n">
        <f aca="false">G907-I907</f>
        <v>161912.141333333</v>
      </c>
    </row>
    <row r="908" customFormat="false" ht="15" hidden="false" customHeight="true" outlineLevel="0" collapsed="false">
      <c r="B908" s="1268" t="str">
        <f aca="false">'Смета Внутр'!B908</f>
        <v>Работы</v>
      </c>
      <c r="C908" s="1268"/>
      <c r="D908" s="1268"/>
      <c r="E908" s="1268"/>
      <c r="F908" s="1268"/>
      <c r="G908" s="1551" t="n">
        <f aca="false">'Смета Внутр'!H908</f>
        <v>1</v>
      </c>
      <c r="H908" s="3175"/>
      <c r="I908" s="3179" t="n">
        <f aca="false">IF(F908&lt;H908,F908*(D908-E908),0)+IF(H908=0,(D908-E908)*F908,0)+IF(H908&lt;F908,H908*(D908-E908),0)</f>
        <v>0</v>
      </c>
      <c r="J908" s="3179" t="n">
        <f aca="false">G908-I908</f>
        <v>1</v>
      </c>
    </row>
    <row r="909" customFormat="false" ht="15" hidden="false" customHeight="true" outlineLevel="0" collapsed="false">
      <c r="B909" s="1551" t="str">
        <f aca="false">'Смета Внутр'!B909</f>
        <v>Монтаж плит ЖБИ</v>
      </c>
      <c r="C909" s="1551" t="str">
        <f aca="false">'Смета Внутр'!C909</f>
        <v>м2</v>
      </c>
      <c r="D909" s="1551" t="n">
        <f aca="false">'Смета Внутр'!D909</f>
        <v>0</v>
      </c>
      <c r="F909" s="1551" t="n">
        <f aca="false">'Смета Внутр'!E909</f>
        <v>200</v>
      </c>
      <c r="G909" s="1551" t="n">
        <f aca="false">'Смета Внутр'!H909</f>
        <v>0</v>
      </c>
      <c r="I909" s="3179" t="n">
        <f aca="false">IF(F909&lt;H909,F909*(D909-E909),0)+IF(H909=0,(D909-E909)*F909,0)+IF(H909&lt;F909,H909*(D909-E909),0)</f>
        <v>0</v>
      </c>
      <c r="J909" s="3179" t="n">
        <f aca="false">G909-I909</f>
        <v>0</v>
      </c>
    </row>
    <row r="910" customFormat="false" ht="15" hidden="false" customHeight="true" outlineLevel="0" collapsed="false">
      <c r="B910" s="1551" t="str">
        <f aca="false">'Смета Внутр'!B910</f>
        <v>Монтаж опалубки</v>
      </c>
      <c r="C910" s="1551" t="str">
        <f aca="false">'Смета Внутр'!C910</f>
        <v>м2</v>
      </c>
      <c r="D910" s="1551" t="n">
        <f aca="false">'Смета Внутр'!D910</f>
        <v>0</v>
      </c>
      <c r="F910" s="1551" t="n">
        <f aca="false">'Смета Внутр'!E910</f>
        <v>200</v>
      </c>
      <c r="G910" s="1551" t="n">
        <f aca="false">'Смета Внутр'!H910</f>
        <v>0</v>
      </c>
      <c r="I910" s="3179" t="n">
        <f aca="false">IF(F910&lt;H910,F910*(D910-E910),0)+IF(H910=0,(D910-E910)*F910,0)+IF(H910&lt;F910,H910*(D910-E910),0)</f>
        <v>0</v>
      </c>
      <c r="J910" s="3179" t="n">
        <f aca="false">G910-I910</f>
        <v>0</v>
      </c>
    </row>
    <row r="911" customFormat="false" ht="15" hidden="false" customHeight="true" outlineLevel="0" collapsed="false">
      <c r="B911" s="1551" t="str">
        <f aca="false">'Смета Внутр'!B911</f>
        <v>Укладка пленки гидроизоляционной</v>
      </c>
      <c r="C911" s="1551" t="str">
        <f aca="false">'Смета Внутр'!C911</f>
        <v>м2</v>
      </c>
      <c r="D911" s="1551" t="n">
        <f aca="false">'Смета Внутр'!D911</f>
        <v>0</v>
      </c>
      <c r="F911" s="1551" t="n">
        <f aca="false">'Смета Внутр'!E911</f>
        <v>40</v>
      </c>
      <c r="G911" s="1551" t="n">
        <f aca="false">'Смета Внутр'!H911</f>
        <v>0</v>
      </c>
      <c r="I911" s="3179" t="n">
        <f aca="false">IF(F911&lt;H911,F911*(D911-E911),0)+IF(H911=0,(D911-E911)*F911,0)+IF(H911&lt;F911,H911*(D911-E911),0)</f>
        <v>0</v>
      </c>
      <c r="J911" s="3179" t="n">
        <f aca="false">G911-I911</f>
        <v>0</v>
      </c>
    </row>
    <row r="912" customFormat="false" ht="15" hidden="false" customHeight="true" outlineLevel="0" collapsed="false">
      <c r="B912" s="1551" t="str">
        <f aca="false">'Смета Внутр'!B912</f>
        <v>Армирование перекрытия/плиты</v>
      </c>
      <c r="C912" s="1551" t="str">
        <f aca="false">'Смета Внутр'!C912</f>
        <v>м2</v>
      </c>
      <c r="D912" s="1551" t="n">
        <f aca="false">'Смета Внутр'!D912</f>
        <v>0</v>
      </c>
      <c r="F912" s="1551" t="n">
        <f aca="false">'Смета Внутр'!E912</f>
        <v>300</v>
      </c>
      <c r="G912" s="1551" t="n">
        <f aca="false">'Смета Внутр'!H912</f>
        <v>0</v>
      </c>
      <c r="I912" s="3179" t="n">
        <f aca="false">IF(F912&lt;H912,F912*(D912-E912),0)+IF(H912=0,(D912-E912)*F912,0)+IF(H912&lt;F912,H912*(D912-E912),0)</f>
        <v>0</v>
      </c>
      <c r="J912" s="3179" t="n">
        <f aca="false">G912-I912</f>
        <v>0</v>
      </c>
    </row>
    <row r="913" customFormat="false" ht="15" hidden="false" customHeight="true" outlineLevel="0" collapsed="false">
      <c r="B913" s="1551" t="str">
        <f aca="false">'Смета Внутр'!B913</f>
        <v>Заливка бетоном перекрытия/плиты</v>
      </c>
      <c r="C913" s="1551" t="str">
        <f aca="false">'Смета Внутр'!C913</f>
        <v>м2</v>
      </c>
      <c r="D913" s="1551" t="n">
        <f aca="false">'Смета Внутр'!D913</f>
        <v>0</v>
      </c>
      <c r="F913" s="1551" t="n">
        <f aca="false">'Смета Внутр'!E913</f>
        <v>350</v>
      </c>
      <c r="G913" s="1551" t="n">
        <f aca="false">'Смета Внутр'!H913</f>
        <v>0</v>
      </c>
      <c r="I913" s="3179" t="n">
        <f aca="false">IF(F913&lt;H913,F913*(D913-E913),0)+IF(H913=0,(D913-E913)*F913,0)+IF(H913&lt;F913,H913*(D913-E913),0)</f>
        <v>0</v>
      </c>
      <c r="J913" s="3179" t="n">
        <f aca="false">G913-I913</f>
        <v>0</v>
      </c>
    </row>
    <row r="914" customFormat="false" ht="15" hidden="false" customHeight="true" outlineLevel="0" collapsed="false">
      <c r="B914" s="1551" t="str">
        <f aca="false">'Смета Внутр'!B914</f>
        <v>Монтаж перекрытий из бруса</v>
      </c>
      <c r="C914" s="1551" t="str">
        <f aca="false">'Смета Внутр'!C914</f>
        <v>м2</v>
      </c>
      <c r="D914" s="1551" t="n">
        <f aca="false">'Смета Внутр'!D914</f>
        <v>0</v>
      </c>
      <c r="F914" s="1551" t="n">
        <f aca="false">'Смета Внутр'!E914</f>
        <v>300</v>
      </c>
      <c r="G914" s="1551" t="n">
        <f aca="false">'Смета Внутр'!H914</f>
        <v>0</v>
      </c>
      <c r="I914" s="3179" t="n">
        <f aca="false">IF(F914&lt;H914,F914*(D914-E914),0)+IF(H914=0,(D914-E914)*F914,0)+IF(H914&lt;F914,H914*(D914-E914),0)</f>
        <v>0</v>
      </c>
      <c r="J914" s="3179" t="n">
        <f aca="false">G914-I914</f>
        <v>0</v>
      </c>
    </row>
    <row r="915" customFormat="false" ht="15" hidden="false" customHeight="true" outlineLevel="0" collapsed="false">
      <c r="B915" s="1551" t="str">
        <f aca="false">'Смета Внутр'!B915</f>
        <v>Монтаж перекрытий Сип-панели</v>
      </c>
      <c r="C915" s="1551" t="str">
        <f aca="false">'Смета Внутр'!C915</f>
        <v>м2</v>
      </c>
      <c r="D915" s="1551" t="n">
        <f aca="false">'Смета Внутр'!D915</f>
        <v>0</v>
      </c>
      <c r="F915" s="1551" t="n">
        <f aca="false">'Смета Внутр'!E915</f>
        <v>400</v>
      </c>
      <c r="G915" s="1551" t="n">
        <f aca="false">'Смета Внутр'!H915</f>
        <v>0</v>
      </c>
      <c r="I915" s="3179" t="n">
        <f aca="false">IF(F915&lt;H915,F915*(D915-E915),0)+IF(H915=0,(D915-E915)*F915,0)+IF(H915&lt;F915,H915*(D915-E915),0)</f>
        <v>0</v>
      </c>
      <c r="J915" s="3179" t="n">
        <f aca="false">G915-I915</f>
        <v>0</v>
      </c>
    </row>
    <row r="916" customFormat="false" ht="15" hidden="false" customHeight="true" outlineLevel="0" collapsed="false">
      <c r="B916" s="1551" t="str">
        <f aca="false">'Смета Внутр'!B916</f>
        <v>Монтаж перекрытий из сухой доски</v>
      </c>
      <c r="C916" s="1551" t="str">
        <f aca="false">'Смета Внутр'!C916</f>
        <v>м2</v>
      </c>
      <c r="D916" s="1551" t="n">
        <f aca="false">'Смета Внутр'!D916</f>
        <v>0</v>
      </c>
      <c r="F916" s="1551" t="n">
        <f aca="false">'Смета Внутр'!E916</f>
        <v>250</v>
      </c>
      <c r="G916" s="1551" t="n">
        <f aca="false">'Смета Внутр'!H916</f>
        <v>0</v>
      </c>
      <c r="I916" s="3179" t="n">
        <f aca="false">IF(F916&lt;H916,F916*(D916-E916),0)+IF(H916=0,(D916-E916)*F916,0)+IF(H916&lt;F916,H916*(D916-E916),0)</f>
        <v>0</v>
      </c>
      <c r="J916" s="3179" t="n">
        <f aca="false">G916-I916</f>
        <v>0</v>
      </c>
    </row>
    <row r="917" customFormat="false" ht="15" hidden="false" customHeight="true" outlineLevel="0" collapsed="false">
      <c r="B917" s="1551" t="str">
        <f aca="false">'Смета Внутр'!B917</f>
        <v>Монтаж перекрытий из двутавровой балки</v>
      </c>
      <c r="C917" s="1551" t="str">
        <f aca="false">'Смета Внутр'!C917</f>
        <v>м2</v>
      </c>
      <c r="D917" s="1551" t="n">
        <f aca="false">'Смета Внутр'!D917</f>
        <v>64</v>
      </c>
      <c r="F917" s="1551" t="n">
        <f aca="false">'Смета Внутр'!E917</f>
        <v>300</v>
      </c>
      <c r="G917" s="1551" t="n">
        <f aca="false">'Смета Внутр'!H917</f>
        <v>19200</v>
      </c>
      <c r="I917" s="3179" t="n">
        <f aca="false">IF(F917&lt;H917,F917*(D917-E917),0)+IF(H917=0,(D917-E917)*F917,0)+IF(H917&lt;F917,H917*(D917-E917),0)</f>
        <v>19200</v>
      </c>
      <c r="J917" s="3179" t="n">
        <f aca="false">G917-I917</f>
        <v>0</v>
      </c>
    </row>
    <row r="918" customFormat="false" ht="15" hidden="false" customHeight="true" outlineLevel="0" collapsed="false">
      <c r="B918" s="1551" t="str">
        <f aca="false">'Смета Внутр'!B918</f>
        <v>Монтаж перекрестного пола</v>
      </c>
      <c r="C918" s="1551" t="str">
        <f aca="false">'Смета Внутр'!C918</f>
        <v>м2</v>
      </c>
      <c r="D918" s="1551" t="n">
        <f aca="false">'Смета Внутр'!D918</f>
        <v>0</v>
      </c>
      <c r="F918" s="1551" t="n">
        <f aca="false">'Смета Внутр'!E918</f>
        <v>200</v>
      </c>
      <c r="G918" s="1551" t="n">
        <f aca="false">'Смета Внутр'!H918</f>
        <v>0</v>
      </c>
      <c r="I918" s="3179" t="n">
        <f aca="false">IF(F918&lt;H918,F918*(D918-E918),0)+IF(H918=0,(D918-E918)*F918,0)+IF(H918&lt;F918,H918*(D918-E918),0)</f>
        <v>0</v>
      </c>
      <c r="J918" s="3179" t="n">
        <f aca="false">G918-I918</f>
        <v>0</v>
      </c>
    </row>
    <row r="919" customFormat="false" ht="15" hidden="false" customHeight="true" outlineLevel="0" collapsed="false">
      <c r="B919" s="1551" t="str">
        <f aca="false">'Смета Внутр'!B919</f>
        <v>Монтаж утеплителя перекрытия</v>
      </c>
      <c r="C919" s="1551" t="str">
        <f aca="false">'Смета Внутр'!C919</f>
        <v>м2</v>
      </c>
      <c r="D919" s="1551" t="n">
        <f aca="false">'Смета Внутр'!D919</f>
        <v>64</v>
      </c>
      <c r="F919" s="1551" t="n">
        <f aca="false">'Смета Внутр'!E919</f>
        <v>200</v>
      </c>
      <c r="G919" s="1551" t="n">
        <f aca="false">'Смета Внутр'!H919</f>
        <v>12800</v>
      </c>
      <c r="I919" s="3179" t="n">
        <f aca="false">IF(F919&lt;H919,F919*(D919-E919),0)+IF(H919=0,(D919-E919)*F919,0)+IF(H919&lt;F919,H919*(D919-E919),0)</f>
        <v>12800</v>
      </c>
      <c r="J919" s="3179" t="n">
        <f aca="false">G919-I919</f>
        <v>0</v>
      </c>
    </row>
    <row r="920" customFormat="false" ht="15" hidden="false" customHeight="true" outlineLevel="0" collapsed="false">
      <c r="B920" s="1551" t="str">
        <f aca="false">'Смета Внутр'!B920</f>
        <v>Монтаж ветроизоляции перекрытий</v>
      </c>
      <c r="C920" s="1551" t="str">
        <f aca="false">'Смета Внутр'!C920</f>
        <v>м2</v>
      </c>
      <c r="D920" s="1551" t="n">
        <f aca="false">'Смета Внутр'!D920</f>
        <v>0</v>
      </c>
      <c r="F920" s="1551" t="n">
        <f aca="false">'Смета Внутр'!E920</f>
        <v>100</v>
      </c>
      <c r="G920" s="1551" t="n">
        <f aca="false">'Смета Внутр'!H920</f>
        <v>0</v>
      </c>
      <c r="I920" s="3179" t="n">
        <f aca="false">IF(F920&lt;H920,F920*(D920-E920),0)+IF(H920=0,(D920-E920)*F920,0)+IF(H920&lt;F920,H920*(D920-E920),0)</f>
        <v>0</v>
      </c>
      <c r="J920" s="3179" t="n">
        <f aca="false">G920-I920</f>
        <v>0</v>
      </c>
    </row>
    <row r="921" customFormat="false" ht="15" hidden="false" customHeight="true" outlineLevel="0" collapsed="false">
      <c r="B921" s="1551" t="str">
        <f aca="false">'Смета Внутр'!B921</f>
        <v>Монтаж пароизоляции перекрытий</v>
      </c>
      <c r="C921" s="1551" t="str">
        <f aca="false">'Смета Внутр'!C921</f>
        <v>м2</v>
      </c>
      <c r="D921" s="1551" t="n">
        <f aca="false">'Смета Внутр'!D921</f>
        <v>0</v>
      </c>
      <c r="F921" s="1551" t="n">
        <f aca="false">'Смета Внутр'!E921</f>
        <v>100</v>
      </c>
      <c r="G921" s="1551" t="n">
        <f aca="false">'Смета Внутр'!H921</f>
        <v>0</v>
      </c>
      <c r="I921" s="3179" t="n">
        <f aca="false">IF(F921&lt;H921,F921*(D921-E921),0)+IF(H921=0,(D921-E921)*F921,0)+IF(H921&lt;F921,H921*(D921-E921),0)</f>
        <v>0</v>
      </c>
      <c r="J921" s="3179" t="n">
        <f aca="false">G921-I921</f>
        <v>0</v>
      </c>
    </row>
    <row r="922" customFormat="false" ht="15" hidden="false" customHeight="true" outlineLevel="0" collapsed="false">
      <c r="B922" s="1551" t="str">
        <f aca="false">'Смета Внутр'!B922</f>
        <v>Монтаж плит ЖБИ</v>
      </c>
      <c r="C922" s="1551" t="str">
        <f aca="false">'Смета Внутр'!C922</f>
        <v>м2</v>
      </c>
      <c r="D922" s="1551" t="n">
        <f aca="false">'Смета Внутр'!D922</f>
        <v>0</v>
      </c>
      <c r="F922" s="1551" t="n">
        <f aca="false">'Смета Внутр'!E922</f>
        <v>200</v>
      </c>
      <c r="G922" s="1551" t="n">
        <f aca="false">'Смета Внутр'!H922</f>
        <v>0</v>
      </c>
      <c r="I922" s="3179" t="n">
        <f aca="false">IF(F922&lt;H922,F922*(D922-E922),0)+IF(H922=0,(D922-E922)*F922,0)+IF(H922&lt;F922,H922*(D922-E922),0)</f>
        <v>0</v>
      </c>
      <c r="J922" s="3179" t="n">
        <f aca="false">G922-I922</f>
        <v>0</v>
      </c>
    </row>
    <row r="923" customFormat="false" ht="15" hidden="false" customHeight="true" outlineLevel="0" collapsed="false">
      <c r="B923" s="1551" t="str">
        <f aca="false">'Смета Внутр'!B923</f>
        <v>Монтаж опалубки</v>
      </c>
      <c r="C923" s="1551" t="str">
        <f aca="false">'Смета Внутр'!C923</f>
        <v>м2</v>
      </c>
      <c r="D923" s="1551" t="n">
        <f aca="false">'Смета Внутр'!D923</f>
        <v>64</v>
      </c>
      <c r="F923" s="1551" t="n">
        <f aca="false">'Смета Внутр'!E923</f>
        <v>200</v>
      </c>
      <c r="G923" s="1551" t="n">
        <f aca="false">'Смета Внутр'!H923</f>
        <v>12800</v>
      </c>
      <c r="I923" s="3179" t="n">
        <f aca="false">IF(F923&lt;H923,F923*(D923-E923),0)+IF(H923=0,(D923-E923)*F923,0)+IF(H923&lt;F923,H923*(D923-E923),0)</f>
        <v>12800</v>
      </c>
      <c r="J923" s="3179" t="n">
        <f aca="false">G923-I923</f>
        <v>0</v>
      </c>
    </row>
    <row r="924" customFormat="false" ht="15" hidden="false" customHeight="true" outlineLevel="0" collapsed="false">
      <c r="B924" s="1551" t="str">
        <f aca="false">'Смета Внутр'!B924</f>
        <v>Укладка пленки гидроизоляционной</v>
      </c>
      <c r="C924" s="1551" t="str">
        <f aca="false">'Смета Внутр'!C924</f>
        <v>м2</v>
      </c>
      <c r="D924" s="1551" t="n">
        <f aca="false">'Смета Внутр'!D924</f>
        <v>64</v>
      </c>
      <c r="F924" s="1551" t="n">
        <f aca="false">'Смета Внутр'!E924</f>
        <v>40</v>
      </c>
      <c r="G924" s="1551" t="n">
        <f aca="false">'Смета Внутр'!H924</f>
        <v>2560</v>
      </c>
      <c r="I924" s="3179" t="n">
        <f aca="false">IF(F924&lt;H924,F924*(D924-E924),0)+IF(H924=0,(D924-E924)*F924,0)+IF(H924&lt;F924,H924*(D924-E924),0)</f>
        <v>2560</v>
      </c>
      <c r="J924" s="3179" t="n">
        <f aca="false">G924-I924</f>
        <v>0</v>
      </c>
    </row>
    <row r="925" customFormat="false" ht="15" hidden="false" customHeight="true" outlineLevel="0" collapsed="false">
      <c r="B925" s="1551" t="str">
        <f aca="false">'Смета Внутр'!B925</f>
        <v>Армирование перекрытия/плиты</v>
      </c>
      <c r="C925" s="1551" t="str">
        <f aca="false">'Смета Внутр'!C925</f>
        <v>м2</v>
      </c>
      <c r="D925" s="1551" t="n">
        <f aca="false">'Смета Внутр'!D925</f>
        <v>64</v>
      </c>
      <c r="F925" s="1551" t="n">
        <f aca="false">'Смета Внутр'!E925</f>
        <v>300</v>
      </c>
      <c r="G925" s="1551" t="n">
        <f aca="false">'Смета Внутр'!H925</f>
        <v>19200</v>
      </c>
      <c r="I925" s="3179" t="n">
        <f aca="false">IF(F925&lt;H925,F925*(D925-E925),0)+IF(H925=0,(D925-E925)*F925,0)+IF(H925&lt;F925,H925*(D925-E925),0)</f>
        <v>19200</v>
      </c>
      <c r="J925" s="3179" t="n">
        <f aca="false">G925-I925</f>
        <v>0</v>
      </c>
    </row>
    <row r="926" customFormat="false" ht="15" hidden="false" customHeight="true" outlineLevel="0" collapsed="false">
      <c r="B926" s="1551" t="str">
        <f aca="false">'Смета Внутр'!B926</f>
        <v>Заливка бетоном перекрытия/плиты</v>
      </c>
      <c r="C926" s="1551" t="str">
        <f aca="false">'Смета Внутр'!C926</f>
        <v>м2</v>
      </c>
      <c r="D926" s="1551" t="n">
        <f aca="false">'Смета Внутр'!D926</f>
        <v>64</v>
      </c>
      <c r="F926" s="1551" t="n">
        <f aca="false">'Смета Внутр'!E926</f>
        <v>350</v>
      </c>
      <c r="G926" s="1551" t="n">
        <f aca="false">'Смета Внутр'!H926</f>
        <v>22400</v>
      </c>
      <c r="I926" s="3179" t="n">
        <f aca="false">IF(F926&lt;H926,F926*(D926-E926),0)+IF(H926=0,(D926-E926)*F926,0)+IF(H926&lt;F926,H926*(D926-E926),0)</f>
        <v>22400</v>
      </c>
      <c r="J926" s="3179" t="n">
        <f aca="false">G926-I926</f>
        <v>0</v>
      </c>
    </row>
    <row r="927" customFormat="false" ht="15" hidden="false" customHeight="true" outlineLevel="0" collapsed="false">
      <c r="B927" s="1551" t="str">
        <f aca="false">'Смета Внутр'!B927</f>
        <v>Монтаж перекрытий из бруса</v>
      </c>
      <c r="C927" s="1551" t="str">
        <f aca="false">'Смета Внутр'!C927</f>
        <v>м2</v>
      </c>
      <c r="D927" s="1551" t="n">
        <f aca="false">'Смета Внутр'!D927</f>
        <v>0</v>
      </c>
      <c r="F927" s="1551" t="n">
        <f aca="false">'Смета Внутр'!E927</f>
        <v>300</v>
      </c>
      <c r="G927" s="1551" t="n">
        <f aca="false">'Смета Внутр'!H927</f>
        <v>0</v>
      </c>
      <c r="I927" s="3179" t="n">
        <f aca="false">IF(F927&lt;H927,F927*(D927-E927),0)+IF(H927=0,(D927-E927)*F927,0)+IF(H927&lt;F927,H927*(D927-E927),0)</f>
        <v>0</v>
      </c>
      <c r="J927" s="3179" t="n">
        <f aca="false">G927-I927</f>
        <v>0</v>
      </c>
    </row>
    <row r="928" customFormat="false" ht="15" hidden="false" customHeight="true" outlineLevel="0" collapsed="false">
      <c r="B928" s="1551" t="str">
        <f aca="false">'Смета Внутр'!B928</f>
        <v>Монтаж перекрытий Сип-панели</v>
      </c>
      <c r="C928" s="1551" t="str">
        <f aca="false">'Смета Внутр'!C928</f>
        <v>м2</v>
      </c>
      <c r="D928" s="1551" t="n">
        <f aca="false">'Смета Внутр'!D928</f>
        <v>0</v>
      </c>
      <c r="F928" s="1551" t="n">
        <f aca="false">'Смета Внутр'!E928</f>
        <v>400</v>
      </c>
      <c r="G928" s="1551" t="n">
        <f aca="false">'Смета Внутр'!H928</f>
        <v>0</v>
      </c>
      <c r="I928" s="3179" t="n">
        <f aca="false">IF(F928&lt;H928,F928*(D928-E928),0)+IF(H928=0,(D928-E928)*F928,0)+IF(H928&lt;F928,H928*(D928-E928),0)</f>
        <v>0</v>
      </c>
      <c r="J928" s="3179" t="n">
        <f aca="false">G928-I928</f>
        <v>0</v>
      </c>
    </row>
    <row r="929" customFormat="false" ht="15" hidden="false" customHeight="true" outlineLevel="0" collapsed="false">
      <c r="B929" s="1551" t="str">
        <f aca="false">'Смета Внутр'!B929</f>
        <v>Монтаж перекрытий из сухой доски</v>
      </c>
      <c r="C929" s="1551" t="str">
        <f aca="false">'Смета Внутр'!C929</f>
        <v>м2</v>
      </c>
      <c r="D929" s="1551" t="n">
        <f aca="false">'Смета Внутр'!D929</f>
        <v>0</v>
      </c>
      <c r="F929" s="1551" t="n">
        <f aca="false">'Смета Внутр'!E929</f>
        <v>250</v>
      </c>
      <c r="G929" s="1551" t="n">
        <f aca="false">'Смета Внутр'!H929</f>
        <v>0</v>
      </c>
      <c r="I929" s="3179" t="n">
        <f aca="false">IF(F929&lt;H929,F929*(D929-E929),0)+IF(H929=0,(D929-E929)*F929,0)+IF(H929&lt;F929,H929*(D929-E929),0)</f>
        <v>0</v>
      </c>
      <c r="J929" s="3179" t="n">
        <f aca="false">G929-I929</f>
        <v>0</v>
      </c>
    </row>
    <row r="930" customFormat="false" ht="15" hidden="false" customHeight="true" outlineLevel="0" collapsed="false">
      <c r="B930" s="1551" t="str">
        <f aca="false">'Смета Внутр'!B930</f>
        <v>Монтаж перекрытий из двутавровой балки</v>
      </c>
      <c r="C930" s="1551" t="str">
        <f aca="false">'Смета Внутр'!C930</f>
        <v>м2</v>
      </c>
      <c r="D930" s="1551" t="n">
        <f aca="false">'Смета Внутр'!D930</f>
        <v>0</v>
      </c>
      <c r="F930" s="1551" t="n">
        <f aca="false">'Смета Внутр'!E930</f>
        <v>300</v>
      </c>
      <c r="G930" s="1551" t="n">
        <f aca="false">'Смета Внутр'!H930</f>
        <v>0</v>
      </c>
      <c r="I930" s="3179" t="n">
        <f aca="false">IF(F930&lt;H930,F930*(D930-E930),0)+IF(H930=0,(D930-E930)*F930,0)+IF(H930&lt;F930,H930*(D930-E930),0)</f>
        <v>0</v>
      </c>
      <c r="J930" s="3179" t="n">
        <f aca="false">G930-I930</f>
        <v>0</v>
      </c>
    </row>
    <row r="931" customFormat="false" ht="15" hidden="false" customHeight="true" outlineLevel="0" collapsed="false">
      <c r="B931" s="1551" t="str">
        <f aca="false">'Смета Внутр'!B931</f>
        <v>Монтаж утеплителя перекрытия</v>
      </c>
      <c r="C931" s="1551" t="str">
        <f aca="false">'Смета Внутр'!C931</f>
        <v>м2</v>
      </c>
      <c r="D931" s="1551" t="n">
        <f aca="false">'Смета Внутр'!D931</f>
        <v>64</v>
      </c>
      <c r="F931" s="1551" t="n">
        <f aca="false">'Смета Внутр'!E931</f>
        <v>200</v>
      </c>
      <c r="G931" s="1551" t="n">
        <f aca="false">'Смета Внутр'!H931</f>
        <v>12800</v>
      </c>
      <c r="I931" s="3179" t="n">
        <f aca="false">IF(F931&lt;H931,F931*(D931-E931),0)+IF(H931=0,(D931-E931)*F931,0)+IF(H931&lt;F931,H931*(D931-E931),0)</f>
        <v>12800</v>
      </c>
      <c r="J931" s="3179" t="n">
        <f aca="false">G931-I931</f>
        <v>0</v>
      </c>
    </row>
    <row r="932" customFormat="false" ht="15" hidden="false" customHeight="true" outlineLevel="0" collapsed="false">
      <c r="B932" s="1551" t="str">
        <f aca="false">'Смета Внутр'!B932</f>
        <v>Монтаж ветроизоляции перекрытий</v>
      </c>
      <c r="C932" s="1551" t="str">
        <f aca="false">'Смета Внутр'!C932</f>
        <v>м2</v>
      </c>
      <c r="D932" s="1551" t="n">
        <f aca="false">'Смета Внутр'!D932</f>
        <v>0</v>
      </c>
      <c r="F932" s="1551" t="n">
        <f aca="false">'Смета Внутр'!E932</f>
        <v>100</v>
      </c>
      <c r="G932" s="1551" t="n">
        <f aca="false">'Смета Внутр'!H932</f>
        <v>0</v>
      </c>
      <c r="I932" s="3179" t="n">
        <f aca="false">IF(F932&lt;H932,F932*(D932-E932),0)+IF(H932=0,(D932-E932)*F932,0)+IF(H932&lt;F932,H932*(D932-E932),0)</f>
        <v>0</v>
      </c>
      <c r="J932" s="3179" t="n">
        <f aca="false">G932-I932</f>
        <v>0</v>
      </c>
    </row>
    <row r="933" customFormat="false" ht="15" hidden="false" customHeight="true" outlineLevel="0" collapsed="false">
      <c r="B933" s="1551" t="str">
        <f aca="false">'Смета Внутр'!B933</f>
        <v>Монтаж пароизоляции перекрытий</v>
      </c>
      <c r="C933" s="1551" t="str">
        <f aca="false">'Смета Внутр'!C933</f>
        <v>м2</v>
      </c>
      <c r="D933" s="1551" t="n">
        <f aca="false">'Смета Внутр'!D933</f>
        <v>0</v>
      </c>
      <c r="F933" s="1551" t="n">
        <f aca="false">'Смета Внутр'!E933</f>
        <v>100</v>
      </c>
      <c r="G933" s="1551" t="n">
        <f aca="false">'Смета Внутр'!H933</f>
        <v>0</v>
      </c>
      <c r="I933" s="3179" t="n">
        <f aca="false">IF(F933&lt;H933,F933*(D933-E933),0)+IF(H933=0,(D933-E933)*F933,0)+IF(H933&lt;F933,H933*(D933-E933),0)</f>
        <v>0</v>
      </c>
      <c r="J933" s="3179" t="n">
        <f aca="false">G933-I933</f>
        <v>0</v>
      </c>
    </row>
    <row r="934" customFormat="false" ht="15" hidden="false" customHeight="true" outlineLevel="0" collapsed="false">
      <c r="B934" s="1551" t="str">
        <f aca="false">'Смета Внутр'!B934</f>
        <v>Монтаж плит ЖБИ</v>
      </c>
      <c r="C934" s="1551" t="str">
        <f aca="false">'Смета Внутр'!C934</f>
        <v>м2</v>
      </c>
      <c r="D934" s="1551" t="n">
        <f aca="false">'Смета Внутр'!D934</f>
        <v>0</v>
      </c>
      <c r="F934" s="1551" t="n">
        <f aca="false">'Смета Внутр'!E934</f>
        <v>200</v>
      </c>
      <c r="G934" s="1551" t="n">
        <f aca="false">'Смета Внутр'!H934</f>
        <v>0</v>
      </c>
      <c r="I934" s="3179" t="n">
        <f aca="false">IF(F934&lt;H934,F934*(D934-E934),0)+IF(H934=0,(D934-E934)*F934,0)+IF(H934&lt;F934,H934*(D934-E934),0)</f>
        <v>0</v>
      </c>
      <c r="J934" s="3179" t="n">
        <f aca="false">G934-I934</f>
        <v>0</v>
      </c>
    </row>
    <row r="935" customFormat="false" ht="15" hidden="false" customHeight="true" outlineLevel="0" collapsed="false">
      <c r="B935" s="1551" t="str">
        <f aca="false">'Смета Внутр'!B935</f>
        <v>Монтаж опалубки</v>
      </c>
      <c r="C935" s="1551" t="str">
        <f aca="false">'Смета Внутр'!C935</f>
        <v>м2</v>
      </c>
      <c r="D935" s="1551" t="n">
        <f aca="false">'Смета Внутр'!D935</f>
        <v>0</v>
      </c>
      <c r="F935" s="1551" t="n">
        <f aca="false">'Смета Внутр'!E935</f>
        <v>200</v>
      </c>
      <c r="G935" s="1551" t="n">
        <f aca="false">'Смета Внутр'!H935</f>
        <v>0</v>
      </c>
      <c r="I935" s="3179" t="n">
        <f aca="false">IF(F935&lt;H935,F935*(D935-E935),0)+IF(H935=0,(D935-E935)*F935,0)+IF(H935&lt;F935,H935*(D935-E935),0)</f>
        <v>0</v>
      </c>
      <c r="J935" s="3179" t="n">
        <f aca="false">G935-I935</f>
        <v>0</v>
      </c>
    </row>
    <row r="936" customFormat="false" ht="15" hidden="false" customHeight="true" outlineLevel="0" collapsed="false">
      <c r="B936" s="1551" t="str">
        <f aca="false">'Смета Внутр'!B936</f>
        <v>Укладка пленки гидроизоляционной</v>
      </c>
      <c r="C936" s="1551" t="str">
        <f aca="false">'Смета Внутр'!C936</f>
        <v>м2</v>
      </c>
      <c r="D936" s="1551" t="n">
        <f aca="false">'Смета Внутр'!D936</f>
        <v>0</v>
      </c>
      <c r="F936" s="1551" t="n">
        <f aca="false">'Смета Внутр'!E936</f>
        <v>40</v>
      </c>
      <c r="G936" s="1551" t="n">
        <f aca="false">'Смета Внутр'!H936</f>
        <v>0</v>
      </c>
      <c r="I936" s="3179" t="n">
        <f aca="false">IF(F936&lt;H936,F936*(D936-E936),0)+IF(H936=0,(D936-E936)*F936,0)+IF(H936&lt;F936,H936*(D936-E936),0)</f>
        <v>0</v>
      </c>
      <c r="J936" s="3179" t="n">
        <f aca="false">G936-I936</f>
        <v>0</v>
      </c>
    </row>
    <row r="937" customFormat="false" ht="15" hidden="false" customHeight="true" outlineLevel="0" collapsed="false">
      <c r="B937" s="1551" t="str">
        <f aca="false">'Смета Внутр'!B937</f>
        <v>Армирование перекрытия/плиты</v>
      </c>
      <c r="C937" s="1551" t="str">
        <f aca="false">'Смета Внутр'!C937</f>
        <v>м2</v>
      </c>
      <c r="D937" s="1551" t="n">
        <f aca="false">'Смета Внутр'!D937</f>
        <v>0</v>
      </c>
      <c r="F937" s="1551" t="n">
        <f aca="false">'Смета Внутр'!E937</f>
        <v>300</v>
      </c>
      <c r="G937" s="1551" t="n">
        <f aca="false">'Смета Внутр'!H937</f>
        <v>0</v>
      </c>
      <c r="I937" s="3179" t="n">
        <f aca="false">IF(F937&lt;H937,F937*(D937-E937),0)+IF(H937=0,(D937-E937)*F937,0)+IF(H937&lt;F937,H937*(D937-E937),0)</f>
        <v>0</v>
      </c>
      <c r="J937" s="3179" t="n">
        <f aca="false">G937-I937</f>
        <v>0</v>
      </c>
    </row>
    <row r="938" customFormat="false" ht="15" hidden="false" customHeight="true" outlineLevel="0" collapsed="false">
      <c r="B938" s="1551" t="str">
        <f aca="false">'Смета Внутр'!B938</f>
        <v>Заливка бетоном перекрытия/плиты</v>
      </c>
      <c r="C938" s="1551" t="str">
        <f aca="false">'Смета Внутр'!C938</f>
        <v>м2</v>
      </c>
      <c r="D938" s="1551" t="n">
        <f aca="false">'Смета Внутр'!D938</f>
        <v>0</v>
      </c>
      <c r="F938" s="1551" t="n">
        <f aca="false">'Смета Внутр'!E938</f>
        <v>350</v>
      </c>
      <c r="G938" s="1551" t="n">
        <f aca="false">'Смета Внутр'!H938</f>
        <v>0</v>
      </c>
      <c r="I938" s="3179" t="n">
        <f aca="false">IF(F938&lt;H938,F938*(D938-E938),0)+IF(H938=0,(D938-E938)*F938,0)+IF(H938&lt;F938,H938*(D938-E938),0)</f>
        <v>0</v>
      </c>
      <c r="J938" s="3179" t="n">
        <f aca="false">G938-I938</f>
        <v>0</v>
      </c>
    </row>
    <row r="939" customFormat="false" ht="15" hidden="false" customHeight="true" outlineLevel="0" collapsed="false">
      <c r="B939" s="1551" t="str">
        <f aca="false">'Смета Внутр'!B939</f>
        <v>Монтаж перекрытий из бруса</v>
      </c>
      <c r="C939" s="1551" t="str">
        <f aca="false">'Смета Внутр'!C939</f>
        <v>м2</v>
      </c>
      <c r="D939" s="1551" t="n">
        <f aca="false">'Смета Внутр'!D939</f>
        <v>0</v>
      </c>
      <c r="F939" s="1551" t="n">
        <f aca="false">'Смета Внутр'!E939</f>
        <v>300</v>
      </c>
      <c r="G939" s="1551" t="n">
        <f aca="false">'Смета Внутр'!H939</f>
        <v>0</v>
      </c>
      <c r="I939" s="3179" t="n">
        <f aca="false">IF(F939&lt;H939,F939*(D939-E939),0)+IF(H939=0,(D939-E939)*F939,0)+IF(H939&lt;F939,H939*(D939-E939),0)</f>
        <v>0</v>
      </c>
      <c r="J939" s="3179" t="n">
        <f aca="false">G939-I939</f>
        <v>0</v>
      </c>
    </row>
    <row r="940" customFormat="false" ht="15" hidden="false" customHeight="true" outlineLevel="0" collapsed="false">
      <c r="B940" s="1551" t="str">
        <f aca="false">'Смета Внутр'!B940</f>
        <v>Монтаж перекрытий Сип-панели</v>
      </c>
      <c r="C940" s="1551" t="str">
        <f aca="false">'Смета Внутр'!C940</f>
        <v>м2</v>
      </c>
      <c r="D940" s="1551" t="n">
        <f aca="false">'Смета Внутр'!D940</f>
        <v>0</v>
      </c>
      <c r="F940" s="1551" t="n">
        <f aca="false">'Смета Внутр'!E940</f>
        <v>400</v>
      </c>
      <c r="G940" s="1551" t="n">
        <f aca="false">'Смета Внутр'!H940</f>
        <v>0</v>
      </c>
      <c r="I940" s="3179" t="n">
        <f aca="false">IF(F940&lt;H940,F940*(D940-E940),0)+IF(H940=0,(D940-E940)*F940,0)+IF(H940&lt;F940,H940*(D940-E940),0)</f>
        <v>0</v>
      </c>
      <c r="J940" s="3179" t="n">
        <f aca="false">G940-I940</f>
        <v>0</v>
      </c>
    </row>
    <row r="941" customFormat="false" ht="15" hidden="false" customHeight="true" outlineLevel="0" collapsed="false">
      <c r="B941" s="1551" t="str">
        <f aca="false">'Смета Внутр'!B941</f>
        <v>Монтаж перекрытий из сухой доски</v>
      </c>
      <c r="C941" s="1551" t="str">
        <f aca="false">'Смета Внутр'!C941</f>
        <v>м2</v>
      </c>
      <c r="D941" s="1551" t="n">
        <f aca="false">'Смета Внутр'!D941</f>
        <v>0</v>
      </c>
      <c r="F941" s="1551" t="n">
        <f aca="false">'Смета Внутр'!E941</f>
        <v>250</v>
      </c>
      <c r="G941" s="1551" t="n">
        <f aca="false">'Смета Внутр'!H941</f>
        <v>0</v>
      </c>
      <c r="I941" s="3179" t="n">
        <f aca="false">IF(F941&lt;H941,F941*(D941-E941),0)+IF(H941=0,(D941-E941)*F941,0)+IF(H941&lt;F941,H941*(D941-E941),0)</f>
        <v>0</v>
      </c>
      <c r="J941" s="3179" t="n">
        <f aca="false">G941-I941</f>
        <v>0</v>
      </c>
    </row>
    <row r="942" customFormat="false" ht="15" hidden="false" customHeight="true" outlineLevel="0" collapsed="false">
      <c r="B942" s="1551" t="str">
        <f aca="false">'Смета Внутр'!B942</f>
        <v>Монтаж перекрытий из двутавровой балки</v>
      </c>
      <c r="C942" s="1551" t="str">
        <f aca="false">'Смета Внутр'!C942</f>
        <v>м2</v>
      </c>
      <c r="D942" s="1551" t="n">
        <f aca="false">'Смета Внутр'!D942</f>
        <v>0</v>
      </c>
      <c r="F942" s="1551" t="n">
        <f aca="false">'Смета Внутр'!E942</f>
        <v>300</v>
      </c>
      <c r="G942" s="1551" t="n">
        <f aca="false">'Смета Внутр'!H942</f>
        <v>0</v>
      </c>
      <c r="I942" s="3179" t="n">
        <f aca="false">IF(F942&lt;H942,F942*(D942-E942),0)+IF(H942=0,(D942-E942)*F942,0)+IF(H942&lt;F942,H942*(D942-E942),0)</f>
        <v>0</v>
      </c>
      <c r="J942" s="3179" t="n">
        <f aca="false">G942-I942</f>
        <v>0</v>
      </c>
    </row>
    <row r="943" customFormat="false" ht="15" hidden="false" customHeight="true" outlineLevel="0" collapsed="false">
      <c r="B943" s="1551" t="str">
        <f aca="false">'Смета Внутр'!B943</f>
        <v>Монтаж утеплителя перекрытия</v>
      </c>
      <c r="C943" s="1551" t="str">
        <f aca="false">'Смета Внутр'!C943</f>
        <v>м2</v>
      </c>
      <c r="D943" s="1551" t="n">
        <f aca="false">'Смета Внутр'!D943</f>
        <v>0</v>
      </c>
      <c r="F943" s="1551" t="n">
        <f aca="false">'Смета Внутр'!E943</f>
        <v>200</v>
      </c>
      <c r="G943" s="1551" t="n">
        <f aca="false">'Смета Внутр'!H943</f>
        <v>0</v>
      </c>
      <c r="I943" s="3179" t="n">
        <f aca="false">IF(F943&lt;H943,F943*(D943-E943),0)+IF(H943=0,(D943-E943)*F943,0)+IF(H943&lt;F943,H943*(D943-E943),0)</f>
        <v>0</v>
      </c>
      <c r="J943" s="3179" t="n">
        <f aca="false">G943-I943</f>
        <v>0</v>
      </c>
    </row>
    <row r="944" customFormat="false" ht="15" hidden="false" customHeight="true" outlineLevel="0" collapsed="false">
      <c r="B944" s="1551" t="str">
        <f aca="false">'Смета Внутр'!B944</f>
        <v>Монтаж ветроизоляции перекрытий</v>
      </c>
      <c r="C944" s="1551" t="str">
        <f aca="false">'Смета Внутр'!C944</f>
        <v>м2</v>
      </c>
      <c r="D944" s="1551" t="n">
        <f aca="false">'Смета Внутр'!D944</f>
        <v>0</v>
      </c>
      <c r="F944" s="1551" t="n">
        <f aca="false">'Смета Внутр'!E944</f>
        <v>100</v>
      </c>
      <c r="G944" s="1551" t="n">
        <f aca="false">'Смета Внутр'!H944</f>
        <v>0</v>
      </c>
      <c r="I944" s="3179" t="n">
        <f aca="false">IF(F944&lt;H944,F944*(D944-E944),0)+IF(H944=0,(D944-E944)*F944,0)+IF(H944&lt;F944,H944*(D944-E944),0)</f>
        <v>0</v>
      </c>
      <c r="J944" s="3179" t="n">
        <f aca="false">G944-I944</f>
        <v>0</v>
      </c>
    </row>
    <row r="945" customFormat="false" ht="15" hidden="false" customHeight="true" outlineLevel="0" collapsed="false">
      <c r="B945" s="1551" t="str">
        <f aca="false">'Смета Внутр'!B945</f>
        <v>Монтаж пароизоляции перекрытий</v>
      </c>
      <c r="C945" s="1551" t="str">
        <f aca="false">'Смета Внутр'!C945</f>
        <v>м2</v>
      </c>
      <c r="D945" s="1551" t="n">
        <f aca="false">'Смета Внутр'!D945</f>
        <v>0</v>
      </c>
      <c r="F945" s="1551" t="n">
        <f aca="false">'Смета Внутр'!E945</f>
        <v>100</v>
      </c>
      <c r="G945" s="1551" t="n">
        <f aca="false">'Смета Внутр'!H945</f>
        <v>0</v>
      </c>
      <c r="I945" s="3179" t="n">
        <f aca="false">IF(F945&lt;H945,F945*(D945-E945),0)+IF(H945=0,(D945-E945)*F945,0)+IF(H945&lt;F945,H945*(D945-E945),0)</f>
        <v>0</v>
      </c>
      <c r="J945" s="3179" t="n">
        <f aca="false">G945-I945</f>
        <v>0</v>
      </c>
    </row>
    <row r="946" customFormat="false" ht="15" hidden="false" customHeight="true" outlineLevel="0" collapsed="false">
      <c r="B946" s="1551" t="str">
        <f aca="false">'Смета Внутр'!B946</f>
        <v>Монтаж перекрестного пола</v>
      </c>
      <c r="C946" s="1551" t="str">
        <f aca="false">'Смета Внутр'!C946</f>
        <v>м2</v>
      </c>
      <c r="D946" s="1551" t="n">
        <f aca="false">'Смета Внутр'!D946</f>
        <v>0</v>
      </c>
      <c r="F946" s="1551" t="n">
        <f aca="false">'Смета Внутр'!E946</f>
        <v>200</v>
      </c>
      <c r="G946" s="1551" t="n">
        <f aca="false">'Смета Внутр'!H946</f>
        <v>0</v>
      </c>
      <c r="I946" s="3179" t="n">
        <f aca="false">IF(F946&lt;H946,F946*(D946-E946),0)+IF(H946=0,(D946-E946)*F946,0)+IF(H946&lt;F946,H946*(D946-E946),0)</f>
        <v>0</v>
      </c>
      <c r="J946" s="3179" t="n">
        <f aca="false">G946-I946</f>
        <v>0</v>
      </c>
    </row>
    <row r="947" customFormat="false" ht="15" hidden="false" customHeight="true" outlineLevel="0" collapsed="false">
      <c r="B947" s="1551" t="str">
        <f aca="false">'Смета Внутр'!B947</f>
        <v>Монтаж чернового пола 0 этажа</v>
      </c>
      <c r="C947" s="1551" t="str">
        <f aca="false">'Смета Внутр'!C947</f>
        <v>м2</v>
      </c>
      <c r="D947" s="1551" t="n">
        <f aca="false">'Смета Внутр'!D947</f>
        <v>0</v>
      </c>
      <c r="F947" s="1551" t="n">
        <f aca="false">'Смета Внутр'!E947</f>
        <v>150</v>
      </c>
      <c r="G947" s="1551" t="n">
        <f aca="false">'Смета Внутр'!H947</f>
        <v>0</v>
      </c>
      <c r="I947" s="3179" t="n">
        <f aca="false">IF(F947&lt;H947,F947*(D947-E947),0)+IF(H947=0,(D947-E947)*F947,0)+IF(H947&lt;F947,H947*(D947-E947),0)</f>
        <v>0</v>
      </c>
      <c r="J947" s="3179" t="n">
        <f aca="false">G947-I947</f>
        <v>0</v>
      </c>
    </row>
    <row r="948" customFormat="false" ht="15" hidden="false" customHeight="true" outlineLevel="0" collapsed="false">
      <c r="B948" s="1551" t="str">
        <f aca="false">'Смета Внутр'!B948</f>
        <v>Монтаж чернового пола 1 этажа</v>
      </c>
      <c r="C948" s="1551" t="str">
        <f aca="false">'Смета Внутр'!C948</f>
        <v>м2</v>
      </c>
      <c r="D948" s="1551" t="n">
        <f aca="false">'Смета Внутр'!D948</f>
        <v>0</v>
      </c>
      <c r="F948" s="1551" t="n">
        <f aca="false">'Смета Внутр'!E948</f>
        <v>150</v>
      </c>
      <c r="G948" s="1551" t="n">
        <f aca="false">'Смета Внутр'!H948</f>
        <v>0</v>
      </c>
      <c r="I948" s="3179" t="n">
        <f aca="false">IF(F948&lt;H948,F948*(D948-E948),0)+IF(H948=0,(D948-E948)*F948,0)+IF(H948&lt;F948,H948*(D948-E948),0)</f>
        <v>0</v>
      </c>
      <c r="J948" s="3179" t="n">
        <f aca="false">G948-I948</f>
        <v>0</v>
      </c>
    </row>
    <row r="949" customFormat="false" ht="15" hidden="false" customHeight="true" outlineLevel="0" collapsed="false">
      <c r="B949" s="1551" t="str">
        <f aca="false">'Смета Внутр'!B949</f>
        <v>Монтаж чернового пола 2 этажа</v>
      </c>
      <c r="C949" s="1551" t="str">
        <f aca="false">'Смета Внутр'!C949</f>
        <v>м2</v>
      </c>
      <c r="D949" s="1551" t="n">
        <f aca="false">'Смета Внутр'!D949</f>
        <v>0</v>
      </c>
      <c r="F949" s="1551" t="n">
        <f aca="false">'Смета Внутр'!E949</f>
        <v>150</v>
      </c>
      <c r="G949" s="1551" t="n">
        <f aca="false">'Смета Внутр'!H949</f>
        <v>0</v>
      </c>
      <c r="I949" s="3179" t="n">
        <f aca="false">IF(F949&lt;H949,F949*(D949-E949),0)+IF(H949=0,(D949-E949)*F949,0)+IF(H949&lt;F949,H949*(D949-E949),0)</f>
        <v>0</v>
      </c>
      <c r="J949" s="3179" t="n">
        <f aca="false">G949-I949</f>
        <v>0</v>
      </c>
    </row>
    <row r="950" customFormat="false" ht="15" hidden="false" customHeight="false" outlineLevel="0" collapsed="false">
      <c r="B950" s="1692" t="s">
        <v>4333</v>
      </c>
      <c r="C950" s="1692"/>
      <c r="D950" s="1692"/>
      <c r="E950" s="1692"/>
      <c r="F950" s="1692"/>
      <c r="G950" s="1551" t="n">
        <f aca="false">'Смета Внутр'!H950</f>
        <v>101760</v>
      </c>
      <c r="H950" s="1584"/>
      <c r="I950" s="3179" t="n">
        <f aca="false">IF(F950&lt;H950,F950*(D950-E950),0)+IF(H950=0,(D950-E950)*F950,0)+IF(H950&lt;F950,H950*(D950-E950),0)</f>
        <v>0</v>
      </c>
      <c r="J950" s="3179" t="n">
        <f aca="false">G950-I950</f>
        <v>101760</v>
      </c>
    </row>
    <row r="951" customFormat="false" ht="15" hidden="false" customHeight="true" outlineLevel="0" collapsed="false">
      <c r="B951" s="1551" t="str">
        <f aca="false">'Смета Внутр'!B951</f>
        <v>Веранда/терасса деревянная</v>
      </c>
      <c r="C951" s="1551" t="n">
        <f aca="false">'Смета Внутр'!C951</f>
        <v>0</v>
      </c>
      <c r="D951" s="1551" t="n">
        <f aca="false">'Смета Внутр'!D951</f>
        <v>0</v>
      </c>
      <c r="F951" s="1551" t="n">
        <f aca="false">'Смета Внутр'!E951</f>
        <v>0</v>
      </c>
      <c r="G951" s="1551" t="n">
        <f aca="false">'Смета Внутр'!H951</f>
        <v>0</v>
      </c>
      <c r="I951" s="3179" t="n">
        <f aca="false">IF(F951&lt;H951,F951*(D951-E951),0)+IF(H951=0,(D951-E951)*F951,0)+IF(H951&lt;F951,H951*(D951-E951),0)</f>
        <v>0</v>
      </c>
      <c r="J951" s="3179" t="n">
        <f aca="false">G951-I951</f>
        <v>0</v>
      </c>
    </row>
    <row r="952" customFormat="false" ht="15" hidden="false" customHeight="true" outlineLevel="0" collapsed="false">
      <c r="B952" s="1268" t="str">
        <f aca="false">'Смета Внутр'!B952</f>
        <v>Материалы</v>
      </c>
      <c r="C952" s="1268"/>
      <c r="D952" s="1268"/>
      <c r="E952" s="1268"/>
      <c r="F952" s="1268"/>
      <c r="G952" s="1551" t="n">
        <f aca="false">'Смета Внутр'!H952</f>
        <v>0</v>
      </c>
      <c r="H952" s="3175"/>
      <c r="I952" s="3179" t="n">
        <f aca="false">IF(F952&lt;H952,F952*(D952-E952),0)+IF(H952=0,(D952-E952)*F952,0)+IF(H952&lt;F952,H952*(D952-E952),0)</f>
        <v>0</v>
      </c>
      <c r="J952" s="3179" t="n">
        <f aca="false">G952-I952</f>
        <v>0</v>
      </c>
    </row>
    <row r="953" customFormat="false" ht="15" hidden="false" customHeight="true" outlineLevel="0" collapsed="false">
      <c r="B953" s="1551" t="str">
        <f aca="false">'Смета Внутр'!B953</f>
        <v>Листв. влаж, 200*200мм</v>
      </c>
      <c r="C953" s="1551" t="str">
        <f aca="false">'Смета Внутр'!C953</f>
        <v>м3</v>
      </c>
      <c r="D953" s="1551" t="n">
        <f aca="false">'Смета Внутр'!D953</f>
        <v>0</v>
      </c>
      <c r="F953" s="1551" t="n">
        <f aca="false">'Смета Внутр'!E953</f>
        <v>9000</v>
      </c>
      <c r="G953" s="1551" t="n">
        <f aca="false">'Смета Внутр'!H953</f>
        <v>0</v>
      </c>
      <c r="I953" s="3179" t="n">
        <f aca="false">IF(F953&lt;H953,F953*(D953-E953),0)+IF(H953=0,(D953-E953)*F953,0)+IF(H953&lt;F953,H953*(D953-E953),0)</f>
        <v>0</v>
      </c>
      <c r="J953" s="3179" t="n">
        <f aca="false">G953-I953</f>
        <v>0</v>
      </c>
    </row>
    <row r="954" customFormat="false" ht="15" hidden="false" customHeight="true" outlineLevel="0" collapsed="false">
      <c r="B954" s="1551" t="str">
        <f aca="false">'Смета Внутр'!B954</f>
        <v>Листв. влаж, 200*150мм</v>
      </c>
      <c r="C954" s="1551" t="str">
        <f aca="false">'Смета Внутр'!C954</f>
        <v>м3</v>
      </c>
      <c r="D954" s="1551" t="n">
        <f aca="false">'Смета Внутр'!D954</f>
        <v>0.54</v>
      </c>
      <c r="F954" s="1551" t="n">
        <f aca="false">'Смета Внутр'!E954</f>
        <v>8500</v>
      </c>
      <c r="G954" s="1551" t="n">
        <f aca="false">'Смета Внутр'!H954</f>
        <v>0</v>
      </c>
      <c r="I954" s="3179" t="n">
        <f aca="false">IF(F954&lt;H954,F954*(D954-E954),0)+IF(H954=0,(D954-E954)*F954,0)+IF(H954&lt;F954,H954*(D954-E954),0)</f>
        <v>4590</v>
      </c>
      <c r="J954" s="3179" t="n">
        <f aca="false">G954-I954</f>
        <v>-4590</v>
      </c>
    </row>
    <row r="955" customFormat="false" ht="15" hidden="false" customHeight="true" outlineLevel="0" collapsed="false">
      <c r="B955" s="1551" t="str">
        <f aca="false">'Смета Внутр'!B955</f>
        <v>Рубероид</v>
      </c>
      <c r="C955" s="1551" t="str">
        <f aca="false">'Смета Внутр'!C955</f>
        <v>м.п.</v>
      </c>
      <c r="D955" s="1551" t="n">
        <f aca="false">'Смета Внутр'!D955</f>
        <v>0</v>
      </c>
      <c r="F955" s="1551" t="n">
        <f aca="false">'Смета Внутр'!E955</f>
        <v>30</v>
      </c>
      <c r="G955" s="1551" t="n">
        <f aca="false">'Смета Внутр'!H955</f>
        <v>0</v>
      </c>
      <c r="I955" s="3179" t="n">
        <f aca="false">IF(F955&lt;H955,F955*(D955-E955),0)+IF(H955=0,(D955-E955)*F955,0)+IF(H955&lt;F955,H955*(D955-E955),0)</f>
        <v>0</v>
      </c>
      <c r="J955" s="3179" t="n">
        <f aca="false">G955-I955</f>
        <v>0</v>
      </c>
    </row>
    <row r="956" customFormat="false" ht="15" hidden="false" customHeight="true" outlineLevel="0" collapsed="false">
      <c r="B956" s="1551" t="str">
        <f aca="false">'Смета Внутр'!B956</f>
        <v>Листв. влаж, 200*150мм</v>
      </c>
      <c r="C956" s="1551" t="str">
        <f aca="false">'Смета Внутр'!C956</f>
        <v>м3</v>
      </c>
      <c r="D956" s="1551" t="n">
        <f aca="false">'Смета Внутр'!D956</f>
        <v>0</v>
      </c>
      <c r="F956" s="1551" t="n">
        <f aca="false">'Смета Внутр'!E956</f>
        <v>8500</v>
      </c>
      <c r="G956" s="1551" t="n">
        <f aca="false">'Смета Внутр'!H956</f>
        <v>0</v>
      </c>
      <c r="I956" s="3179" t="n">
        <f aca="false">IF(F956&lt;H956,F956*(D956-E956),0)+IF(H956=0,(D956-E956)*F956,0)+IF(H956&lt;F956,H956*(D956-E956),0)</f>
        <v>0</v>
      </c>
      <c r="J956" s="3179" t="n">
        <f aca="false">G956-I956</f>
        <v>0</v>
      </c>
    </row>
    <row r="957" customFormat="false" ht="15" hidden="false" customHeight="true" outlineLevel="0" collapsed="false">
      <c r="B957" s="1551" t="str">
        <f aca="false">'Смета Внутр'!B957</f>
        <v>Проф.брус вл. 200*150мм</v>
      </c>
      <c r="C957" s="1551" t="str">
        <f aca="false">'Смета Внутр'!C957</f>
        <v>м3</v>
      </c>
      <c r="D957" s="1551" t="n">
        <f aca="false">'Смета Внутр'!D957</f>
        <v>0.5265</v>
      </c>
      <c r="F957" s="1551" t="n">
        <f aca="false">'Смета Внутр'!E957</f>
        <v>9300</v>
      </c>
      <c r="G957" s="1551" t="n">
        <f aca="false">'Смета Внутр'!H957</f>
        <v>0</v>
      </c>
      <c r="I957" s="3179" t="n">
        <f aca="false">IF(F957&lt;H957,F957*(D957-E957),0)+IF(H957=0,(D957-E957)*F957,0)+IF(H957&lt;F957,H957*(D957-E957),0)</f>
        <v>4896.45</v>
      </c>
      <c r="J957" s="3179" t="n">
        <f aca="false">G957-I957</f>
        <v>-4896.45</v>
      </c>
    </row>
    <row r="958" customFormat="false" ht="15" hidden="false" customHeight="true" outlineLevel="0" collapsed="false">
      <c r="B958" s="1551" t="str">
        <f aca="false">'Смета Внутр'!B958</f>
        <v>Брус клееный проф 2 ламель кедр Шир. 240 выс. 140</v>
      </c>
      <c r="C958" s="1551" t="str">
        <f aca="false">'Смета Внутр'!C958</f>
        <v>м3</v>
      </c>
      <c r="D958" s="1551" t="n">
        <f aca="false">'Смета Внутр'!D958</f>
        <v>0.3024</v>
      </c>
      <c r="F958" s="1551" t="n">
        <f aca="false">'Смета Внутр'!E958</f>
        <v>24000</v>
      </c>
      <c r="G958" s="1551" t="n">
        <f aca="false">'Смета Внутр'!H958</f>
        <v>0</v>
      </c>
      <c r="I958" s="3179" t="n">
        <f aca="false">IF(F958&lt;H958,F958*(D958-E958),0)+IF(H958=0,(D958-E958)*F958,0)+IF(H958&lt;F958,H958*(D958-E958),0)</f>
        <v>7257.6</v>
      </c>
      <c r="J958" s="3179" t="n">
        <f aca="false">G958-I958</f>
        <v>-7257.6</v>
      </c>
    </row>
    <row r="959" customFormat="false" ht="15" hidden="false" customHeight="true" outlineLevel="0" collapsed="false">
      <c r="B959" s="1551" t="str">
        <f aca="false">'Смета Внутр'!B959</f>
        <v>Брус клееный проф 1 ламель кедр Шир. 240 выс. 140</v>
      </c>
      <c r="C959" s="1551" t="str">
        <f aca="false">'Смета Внутр'!C959</f>
        <v>м3</v>
      </c>
      <c r="D959" s="1551" t="n">
        <f aca="false">'Смета Внутр'!D959</f>
        <v>1.008</v>
      </c>
      <c r="F959" s="1551" t="n">
        <f aca="false">'Смета Внутр'!E959</f>
        <v>24000</v>
      </c>
      <c r="G959" s="1551" t="n">
        <f aca="false">'Смета Внутр'!H959</f>
        <v>0</v>
      </c>
      <c r="I959" s="3179" t="n">
        <f aca="false">IF(F959&lt;H959,F959*(D959-E959),0)+IF(H959=0,(D959-E959)*F959,0)+IF(H959&lt;F959,H959*(D959-E959),0)</f>
        <v>24192</v>
      </c>
      <c r="J959" s="3179" t="n">
        <f aca="false">G959-I959</f>
        <v>-24192</v>
      </c>
    </row>
    <row r="960" customFormat="false" ht="15" hidden="false" customHeight="true" outlineLevel="0" collapsed="false">
      <c r="B960" s="1551" t="str">
        <f aca="false">'Смета Внутр'!B960</f>
        <v>Проф.брус вл. 200*180мм</v>
      </c>
      <c r="C960" s="1551" t="str">
        <f aca="false">'Смета Внутр'!C960</f>
        <v>м3</v>
      </c>
      <c r="D960" s="1551" t="n">
        <f aca="false">'Смета Внутр'!D960</f>
        <v>0.504</v>
      </c>
      <c r="F960" s="1551" t="n">
        <f aca="false">'Смета Внутр'!E960</f>
        <v>9300</v>
      </c>
      <c r="G960" s="1551" t="n">
        <f aca="false">'Смета Внутр'!H960</f>
        <v>0</v>
      </c>
      <c r="I960" s="3179" t="n">
        <f aca="false">IF(F960&lt;H960,F960*(D960-E960),0)+IF(H960=0,(D960-E960)*F960,0)+IF(H960&lt;F960,H960*(D960-E960),0)</f>
        <v>4687.2</v>
      </c>
      <c r="J960" s="3179" t="n">
        <f aca="false">G960-I960</f>
        <v>-4687.2</v>
      </c>
    </row>
    <row r="961" customFormat="false" ht="15" hidden="false" customHeight="true" outlineLevel="0" collapsed="false">
      <c r="B961" s="1551" t="str">
        <f aca="false">'Смета Внутр'!B961</f>
        <v>Нет накладки</v>
      </c>
      <c r="C961" s="1551" t="str">
        <f aca="false">'Смета Внутр'!C961</f>
        <v>м.п.</v>
      </c>
      <c r="D961" s="1551" t="n">
        <f aca="false">'Смета Внутр'!D961</f>
        <v>9</v>
      </c>
      <c r="F961" s="1551" t="n">
        <f aca="false">'Смета Внутр'!E961</f>
        <v>0</v>
      </c>
      <c r="G961" s="1551" t="n">
        <f aca="false">'Смета Внутр'!H961</f>
        <v>0</v>
      </c>
      <c r="I961" s="3179" t="n">
        <f aca="false">IF(F961&lt;H961,F961*(D961-E961),0)+IF(H961=0,(D961-E961)*F961,0)+IF(H961&lt;F961,H961*(D961-E961),0)</f>
        <v>0</v>
      </c>
      <c r="J961" s="3179" t="n">
        <f aca="false">G961-I961</f>
        <v>0</v>
      </c>
    </row>
    <row r="962" customFormat="false" ht="15" hidden="false" customHeight="true" outlineLevel="0" collapsed="false">
      <c r="B962" s="1551" t="str">
        <f aca="false">'Смета Внутр'!B962</f>
        <v>Гидрокомпенсатор</v>
      </c>
      <c r="C962" s="1551" t="str">
        <f aca="false">'Смета Внутр'!C962</f>
        <v>шт</v>
      </c>
      <c r="D962" s="1551" t="n">
        <f aca="false">'Смета Внутр'!D962</f>
        <v>9</v>
      </c>
      <c r="F962" s="1551" t="n">
        <f aca="false">'Смета Внутр'!E962</f>
        <v>450</v>
      </c>
      <c r="G962" s="1551" t="n">
        <f aca="false">'Смета Внутр'!H962</f>
        <v>0</v>
      </c>
      <c r="I962" s="3179" t="n">
        <f aca="false">IF(F962&lt;H962,F962*(D962-E962),0)+IF(H962=0,(D962-E962)*F962,0)+IF(H962&lt;F962,H962*(D962-E962),0)</f>
        <v>4050</v>
      </c>
      <c r="J962" s="3179" t="n">
        <f aca="false">G962-I962</f>
        <v>-4050</v>
      </c>
    </row>
    <row r="963" customFormat="false" ht="15" hidden="false" customHeight="true" outlineLevel="0" collapsed="false">
      <c r="B963" s="1551" t="str">
        <f aca="false">'Смета Внутр'!B963</f>
        <v>Уголок усиленный 90х70х55х2,5        </v>
      </c>
      <c r="C963" s="1551" t="str">
        <f aca="false">'Смета Внутр'!C963</f>
        <v>шт</v>
      </c>
      <c r="D963" s="1551" t="n">
        <f aca="false">'Смета Внутр'!D963</f>
        <v>0</v>
      </c>
      <c r="F963" s="1551" t="n">
        <f aca="false">'Смета Внутр'!E963</f>
        <v>30</v>
      </c>
      <c r="G963" s="1551" t="n">
        <f aca="false">'Смета Внутр'!H963</f>
        <v>0</v>
      </c>
      <c r="I963" s="3179" t="n">
        <f aca="false">IF(F963&lt;H963,F963*(D963-E963),0)+IF(H963=0,(D963-E963)*F963,0)+IF(H963&lt;F963,H963*(D963-E963),0)</f>
        <v>0</v>
      </c>
      <c r="J963" s="3179" t="n">
        <f aca="false">G963-I963</f>
        <v>0</v>
      </c>
    </row>
    <row r="964" customFormat="false" ht="15" hidden="false" customHeight="true" outlineLevel="0" collapsed="false">
      <c r="B964" s="1551" t="str">
        <f aca="false">'Смета Внутр'!B964</f>
        <v>Нет уголков</v>
      </c>
      <c r="C964" s="1551" t="str">
        <f aca="false">'Смета Внутр'!C964</f>
        <v>шт</v>
      </c>
      <c r="D964" s="1551" t="n">
        <f aca="false">'Смета Внутр'!D964</f>
        <v>0</v>
      </c>
      <c r="F964" s="1551" t="n">
        <f aca="false">'Смета Внутр'!E964</f>
        <v>0</v>
      </c>
      <c r="G964" s="1551" t="n">
        <f aca="false">'Смета Внутр'!H964</f>
        <v>0</v>
      </c>
      <c r="I964" s="3179" t="n">
        <f aca="false">IF(F964&lt;H964,F964*(D964-E964),0)+IF(H964=0,(D964-E964)*F964,0)+IF(H964&lt;F964,H964*(D964-E964),0)</f>
        <v>0</v>
      </c>
      <c r="J964" s="3179" t="n">
        <f aca="false">G964-I964</f>
        <v>0</v>
      </c>
    </row>
    <row r="965" customFormat="false" ht="15" hidden="false" customHeight="true" outlineLevel="0" collapsed="false">
      <c r="B965" s="1551" t="str">
        <f aca="false">'Смета Внутр'!B965</f>
        <v>Пластина соеденительная 100х240х2           </v>
      </c>
      <c r="C965" s="1551" t="str">
        <f aca="false">'Смета Внутр'!C965</f>
        <v>шт</v>
      </c>
      <c r="D965" s="1551" t="n">
        <f aca="false">'Смета Внутр'!D965</f>
        <v>0</v>
      </c>
      <c r="F965" s="1551" t="n">
        <f aca="false">'Смета Внутр'!E965</f>
        <v>31.54</v>
      </c>
      <c r="G965" s="1551" t="n">
        <f aca="false">'Смета Внутр'!H965</f>
        <v>0</v>
      </c>
      <c r="I965" s="3179" t="n">
        <f aca="false">IF(F965&lt;H965,F965*(D965-E965),0)+IF(H965=0,(D965-E965)*F965,0)+IF(H965&lt;F965,H965*(D965-E965),0)</f>
        <v>0</v>
      </c>
      <c r="J965" s="3179" t="n">
        <f aca="false">G965-I965</f>
        <v>0</v>
      </c>
    </row>
    <row r="966" customFormat="false" ht="15" hidden="false" customHeight="true" outlineLevel="0" collapsed="false">
      <c r="B966" s="1551" t="str">
        <f aca="false">'Смета Внутр'!B966</f>
        <v>Нет пластин</v>
      </c>
      <c r="C966" s="1551" t="str">
        <f aca="false">'Смета Внутр'!C966</f>
        <v>шт</v>
      </c>
      <c r="D966" s="1551" t="n">
        <f aca="false">'Смета Внутр'!D966</f>
        <v>0</v>
      </c>
      <c r="F966" s="1551" t="n">
        <f aca="false">'Смета Внутр'!E966</f>
        <v>0</v>
      </c>
      <c r="G966" s="1551" t="n">
        <f aca="false">'Смета Внутр'!H966</f>
        <v>0</v>
      </c>
      <c r="I966" s="3179" t="n">
        <f aca="false">IF(F966&lt;H966,F966*(D966-E966),0)+IF(H966=0,(D966-E966)*F966,0)+IF(H966&lt;F966,H966*(D966-E966),0)</f>
        <v>0</v>
      </c>
      <c r="J966" s="3179" t="n">
        <f aca="false">G966-I966</f>
        <v>0</v>
      </c>
    </row>
    <row r="967" customFormat="false" ht="15" hidden="false" customHeight="true" outlineLevel="0" collapsed="false">
      <c r="B967" s="1551" t="str">
        <f aca="false">'Смета Внутр'!B967</f>
        <v>Болты анкерные с гайкой 12,0 x 100          </v>
      </c>
      <c r="C967" s="1551" t="str">
        <f aca="false">'Смета Внутр'!C967</f>
        <v>шт</v>
      </c>
      <c r="D967" s="1551" t="n">
        <f aca="false">'Смета Внутр'!D967</f>
        <v>0</v>
      </c>
      <c r="F967" s="1551" t="n">
        <f aca="false">'Смета Внутр'!E967</f>
        <v>11.2</v>
      </c>
      <c r="G967" s="1551" t="n">
        <f aca="false">'Смета Внутр'!H967</f>
        <v>0</v>
      </c>
      <c r="I967" s="3179" t="n">
        <f aca="false">IF(F967&lt;H967,F967*(D967-E967),0)+IF(H967=0,(D967-E967)*F967,0)+IF(H967&lt;F967,H967*(D967-E967),0)</f>
        <v>0</v>
      </c>
      <c r="J967" s="3179" t="n">
        <f aca="false">G967-I967</f>
        <v>0</v>
      </c>
    </row>
    <row r="968" customFormat="false" ht="15" hidden="false" customHeight="true" outlineLevel="0" collapsed="false">
      <c r="B968" s="1551" t="str">
        <f aca="false">'Смета Внутр'!B968</f>
        <v>Нет анкерных болтов</v>
      </c>
      <c r="C968" s="1551" t="str">
        <f aca="false">'Смета Внутр'!C968</f>
        <v>шт</v>
      </c>
      <c r="D968" s="1551" t="n">
        <f aca="false">'Смета Внутр'!D968</f>
        <v>0</v>
      </c>
      <c r="F968" s="1551" t="n">
        <f aca="false">'Смета Внутр'!E968</f>
        <v>0</v>
      </c>
      <c r="G968" s="1551" t="n">
        <f aca="false">'Смета Внутр'!H968</f>
        <v>0</v>
      </c>
      <c r="I968" s="3179" t="n">
        <f aca="false">IF(F968&lt;H968,F968*(D968-E968),0)+IF(H968=0,(D968-E968)*F968,0)+IF(H968&lt;F968,H968*(D968-E968),0)</f>
        <v>0</v>
      </c>
      <c r="J968" s="3179" t="n">
        <f aca="false">G968-I968</f>
        <v>0</v>
      </c>
    </row>
    <row r="969" customFormat="false" ht="15" hidden="false" customHeight="true" outlineLevel="0" collapsed="false">
      <c r="B969" s="1551" t="str">
        <f aca="false">'Смета Внутр'!B969</f>
        <v>Саморезы 3,5 x 45            </v>
      </c>
      <c r="C969" s="1551" t="str">
        <f aca="false">'Смета Внутр'!C969</f>
        <v>кг</v>
      </c>
      <c r="D969" s="1551" t="n">
        <f aca="false">'Смета Внутр'!D969</f>
        <v>0</v>
      </c>
      <c r="F969" s="1551" t="n">
        <f aca="false">'Смета Внутр'!E969</f>
        <v>105.62</v>
      </c>
      <c r="G969" s="1551" t="n">
        <f aca="false">'Смета Внутр'!H969</f>
        <v>0</v>
      </c>
      <c r="I969" s="3179" t="n">
        <f aca="false">IF(F969&lt;H969,F969*(D969-E969),0)+IF(H969=0,(D969-E969)*F969,0)+IF(H969&lt;F969,H969*(D969-E969),0)</f>
        <v>0</v>
      </c>
      <c r="J969" s="3179" t="n">
        <f aca="false">G969-I969</f>
        <v>0</v>
      </c>
    </row>
    <row r="970" customFormat="false" ht="15" hidden="false" customHeight="true" outlineLevel="0" collapsed="false">
      <c r="B970" s="1551" t="str">
        <f aca="false">'Смета Внутр'!B970</f>
        <v>Нет саморезов</v>
      </c>
      <c r="C970" s="1551" t="str">
        <f aca="false">'Смета Внутр'!C970</f>
        <v>кг</v>
      </c>
      <c r="D970" s="1551" t="n">
        <f aca="false">'Смета Внутр'!D970</f>
        <v>0</v>
      </c>
      <c r="F970" s="1551" t="n">
        <f aca="false">'Смета Внутр'!E970</f>
        <v>0</v>
      </c>
      <c r="G970" s="1551" t="n">
        <f aca="false">'Смета Внутр'!H970</f>
        <v>0</v>
      </c>
      <c r="I970" s="3179" t="n">
        <f aca="false">IF(F970&lt;H970,F970*(D970-E970),0)+IF(H970=0,(D970-E970)*F970,0)+IF(H970&lt;F970,H970*(D970-E970),0)</f>
        <v>0</v>
      </c>
      <c r="J970" s="3179" t="n">
        <f aca="false">G970-I970</f>
        <v>0</v>
      </c>
    </row>
    <row r="971" customFormat="false" ht="15" hidden="false" customHeight="true" outlineLevel="0" collapsed="false">
      <c r="B971" s="1551" t="str">
        <f aca="false">'Смета Внутр'!B971</f>
        <v>Гвозди строительные 2,5 x 60            </v>
      </c>
      <c r="C971" s="1551" t="str">
        <f aca="false">'Смета Внутр'!C971</f>
        <v>кг</v>
      </c>
      <c r="D971" s="1551" t="n">
        <f aca="false">'Смета Внутр'!D971</f>
        <v>0</v>
      </c>
      <c r="F971" s="1551" t="n">
        <f aca="false">'Смета Внутр'!E971</f>
        <v>70</v>
      </c>
      <c r="G971" s="1551" t="n">
        <f aca="false">'Смета Внутр'!H971</f>
        <v>0</v>
      </c>
      <c r="I971" s="3179" t="n">
        <f aca="false">IF(F971&lt;H971,F971*(D971-E971),0)+IF(H971=0,(D971-E971)*F971,0)+IF(H971&lt;F971,H971*(D971-E971),0)</f>
        <v>0</v>
      </c>
      <c r="J971" s="3179" t="n">
        <f aca="false">G971-I971</f>
        <v>0</v>
      </c>
    </row>
    <row r="972" customFormat="false" ht="15" hidden="false" customHeight="true" outlineLevel="0" collapsed="false">
      <c r="B972" s="1551" t="str">
        <f aca="false">'Смета Внутр'!B972</f>
        <v>Гвозди ершоные 3,4 x 60            </v>
      </c>
      <c r="C972" s="1551" t="str">
        <f aca="false">'Смета Внутр'!C972</f>
        <v>кг</v>
      </c>
      <c r="D972" s="1551" t="n">
        <f aca="false">'Смета Внутр'!D972</f>
        <v>0</v>
      </c>
      <c r="F972" s="1551" t="n">
        <f aca="false">'Смета Внутр'!E972</f>
        <v>75.51</v>
      </c>
      <c r="G972" s="1551" t="n">
        <f aca="false">'Смета Внутр'!H972</f>
        <v>0</v>
      </c>
      <c r="I972" s="3179" t="n">
        <f aca="false">IF(F972&lt;H972,F972*(D972-E972),0)+IF(H972=0,(D972-E972)*F972,0)+IF(H972&lt;F972,H972*(D972-E972),0)</f>
        <v>0</v>
      </c>
      <c r="J972" s="3179" t="n">
        <f aca="false">G972-I972</f>
        <v>0</v>
      </c>
    </row>
    <row r="973" customFormat="false" ht="15" hidden="false" customHeight="true" outlineLevel="0" collapsed="false">
      <c r="B973" s="1551" t="str">
        <f aca="false">'Смета Внутр'!B973</f>
        <v>Гидроизоляция жидкая резина 1</v>
      </c>
      <c r="C973" s="1551" t="str">
        <f aca="false">'Смета Внутр'!C973</f>
        <v>кг</v>
      </c>
      <c r="D973" s="1551" t="n">
        <f aca="false">'Смета Внутр'!D973</f>
        <v>0</v>
      </c>
      <c r="F973" s="1551" t="n">
        <f aca="false">'Смета Внутр'!E973</f>
        <v>150</v>
      </c>
      <c r="G973" s="1551" t="n">
        <f aca="false">'Смета Внутр'!H973</f>
        <v>0</v>
      </c>
      <c r="I973" s="3179" t="n">
        <f aca="false">IF(F973&lt;H973,F973*(D973-E973),0)+IF(H973=0,(D973-E973)*F973,0)+IF(H973&lt;F973,H973*(D973-E973),0)</f>
        <v>0</v>
      </c>
      <c r="J973" s="3179" t="n">
        <f aca="false">G973-I973</f>
        <v>0</v>
      </c>
    </row>
    <row r="974" customFormat="false" ht="15" hidden="false" customHeight="true" outlineLevel="0" collapsed="false">
      <c r="B974" s="1551" t="str">
        <f aca="false">'Смета Внутр'!B974</f>
        <v>Kronospan - OSB-3, 22мм</v>
      </c>
      <c r="C974" s="1551" t="str">
        <f aca="false">'Смета Внутр'!C974</f>
        <v>м2</v>
      </c>
      <c r="D974" s="1551" t="n">
        <f aca="false">'Смета Внутр'!D974</f>
        <v>0</v>
      </c>
      <c r="F974" s="1551" t="n">
        <f aca="false">'Смета Внутр'!E974</f>
        <v>526.666666666667</v>
      </c>
      <c r="G974" s="1551" t="n">
        <f aca="false">'Смета Внутр'!H974</f>
        <v>0</v>
      </c>
      <c r="I974" s="3179" t="n">
        <f aca="false">IF(F974&lt;H974,F974*(D974-E974),0)+IF(H974=0,(D974-E974)*F974,0)+IF(H974&lt;F974,H974*(D974-E974),0)</f>
        <v>0</v>
      </c>
      <c r="J974" s="3179" t="n">
        <f aca="false">G974-I974</f>
        <v>0</v>
      </c>
    </row>
    <row r="975" customFormat="false" ht="15" hidden="false" customHeight="true" outlineLevel="0" collapsed="false">
      <c r="B975" s="1551" t="str">
        <f aca="false">'Смета Внутр'!B975</f>
        <v>Проф.брус вл. 200*150мм</v>
      </c>
      <c r="C975" s="1551" t="str">
        <f aca="false">'Смета Внутр'!C975</f>
        <v>м3</v>
      </c>
      <c r="D975" s="1551" t="n">
        <f aca="false">'Смета Внутр'!D975</f>
        <v>0.09</v>
      </c>
      <c r="F975" s="1551" t="n">
        <f aca="false">'Смета Внутр'!E975</f>
        <v>9300</v>
      </c>
      <c r="G975" s="1551" t="n">
        <f aca="false">'Смета Внутр'!H975</f>
        <v>0</v>
      </c>
      <c r="I975" s="3179" t="n">
        <f aca="false">IF(F975&lt;H975,F975*(D975-E975),0)+IF(H975=0,(D975-E975)*F975,0)+IF(H975&lt;F975,H975*(D975-E975),0)</f>
        <v>837</v>
      </c>
      <c r="J975" s="3179" t="n">
        <f aca="false">G975-I975</f>
        <v>-837</v>
      </c>
    </row>
    <row r="976" customFormat="false" ht="15" hidden="false" customHeight="true" outlineLevel="0" collapsed="false">
      <c r="B976" s="1551" t="str">
        <f aca="false">'Смета Внутр'!B976</f>
        <v>Брус клееный проф 2 ламель кедр Шир. 240 выс. 140</v>
      </c>
      <c r="C976" s="1551" t="str">
        <f aca="false">'Смета Внутр'!C976</f>
        <v>м3</v>
      </c>
      <c r="D976" s="1551" t="n">
        <f aca="false">'Смета Внутр'!D976</f>
        <v>0.12096</v>
      </c>
      <c r="F976" s="1551" t="n">
        <f aca="false">'Смета Внутр'!E976</f>
        <v>24000</v>
      </c>
      <c r="G976" s="1551" t="n">
        <f aca="false">'Смета Внутр'!H976</f>
        <v>0</v>
      </c>
      <c r="I976" s="3179" t="n">
        <f aca="false">IF(F976&lt;H976,F976*(D976-E976),0)+IF(H976=0,(D976-E976)*F976,0)+IF(H976&lt;F976,H976*(D976-E976),0)</f>
        <v>2903.04</v>
      </c>
      <c r="J976" s="3179" t="n">
        <f aca="false">G976-I976</f>
        <v>-2903.04</v>
      </c>
    </row>
    <row r="977" customFormat="false" ht="15" hidden="false" customHeight="true" outlineLevel="0" collapsed="false">
      <c r="B977" s="1551" t="str">
        <f aca="false">'Смета Внутр'!B977</f>
        <v>Брус клееный проф 1 ламель кедр Шир. 240 выс. 140</v>
      </c>
      <c r="C977" s="1551" t="str">
        <f aca="false">'Смета Внутр'!C977</f>
        <v>м3</v>
      </c>
      <c r="D977" s="1551" t="n">
        <f aca="false">'Смета Внутр'!D977</f>
        <v>0.4368</v>
      </c>
      <c r="F977" s="1551" t="n">
        <f aca="false">'Смета Внутр'!E977</f>
        <v>24000</v>
      </c>
      <c r="G977" s="1551" t="n">
        <f aca="false">'Смета Внутр'!H977</f>
        <v>0</v>
      </c>
      <c r="I977" s="3179" t="n">
        <f aca="false">IF(F977&lt;H977,F977*(D977-E977),0)+IF(H977=0,(D977-E977)*F977,0)+IF(H977&lt;F977,H977*(D977-E977),0)</f>
        <v>10483.2</v>
      </c>
      <c r="J977" s="3179" t="n">
        <f aca="false">G977-I977</f>
        <v>-10483.2</v>
      </c>
    </row>
    <row r="978" customFormat="false" ht="15" hidden="false" customHeight="true" outlineLevel="0" collapsed="false">
      <c r="B978" s="1551" t="str">
        <f aca="false">'Смета Внутр'!B978</f>
        <v>Клееная накладка на перила шир 240мм</v>
      </c>
      <c r="C978" s="1551" t="str">
        <f aca="false">'Смета Внутр'!C978</f>
        <v>м.п.</v>
      </c>
      <c r="D978" s="1551" t="n">
        <f aca="false">'Смета Внутр'!D978</f>
        <v>3.6</v>
      </c>
      <c r="F978" s="1551" t="n">
        <f aca="false">'Смета Внутр'!E978</f>
        <v>400</v>
      </c>
      <c r="G978" s="1551" t="n">
        <f aca="false">'Смета Внутр'!H978</f>
        <v>0</v>
      </c>
      <c r="I978" s="3179" t="n">
        <f aca="false">IF(F978&lt;H978,F978*(D978-E978),0)+IF(H978=0,(D978-E978)*F978,0)+IF(H978&lt;F978,H978*(D978-E978),0)</f>
        <v>1440</v>
      </c>
      <c r="J978" s="3179" t="n">
        <f aca="false">G978-I978</f>
        <v>-1440</v>
      </c>
    </row>
    <row r="979" customFormat="false" ht="15" hidden="false" customHeight="true" outlineLevel="0" collapsed="false">
      <c r="B979" s="1692" t="s">
        <v>4332</v>
      </c>
      <c r="C979" s="1692"/>
      <c r="D979" s="1692"/>
      <c r="E979" s="1692"/>
      <c r="F979" s="1692"/>
      <c r="G979" s="1551" t="n">
        <f aca="false">'Смета Внутр'!H979</f>
        <v>0</v>
      </c>
      <c r="H979" s="3184"/>
      <c r="I979" s="3179" t="n">
        <f aca="false">IF(F979&lt;H979,F979*(D979-E979),0)+IF(H979=0,(D979-E979)*F979,0)+IF(H979&lt;F979,H979*(D979-E979),0)</f>
        <v>0</v>
      </c>
      <c r="J979" s="3179" t="n">
        <f aca="false">G979-I979</f>
        <v>0</v>
      </c>
    </row>
    <row r="980" customFormat="false" ht="15" hidden="false" customHeight="true" outlineLevel="0" collapsed="false">
      <c r="B980" s="1268" t="str">
        <f aca="false">'Смета Внутр'!B980</f>
        <v>Работы</v>
      </c>
      <c r="C980" s="1268"/>
      <c r="D980" s="1268"/>
      <c r="E980" s="1268"/>
      <c r="F980" s="1268"/>
      <c r="G980" s="1551" t="n">
        <f aca="false">'Смета Внутр'!H980</f>
        <v>0</v>
      </c>
      <c r="H980" s="3175"/>
      <c r="I980" s="3179" t="n">
        <f aca="false">IF(F980&lt;H980,F980*(D980-E980),0)+IF(H980=0,(D980-E980)*F980,0)+IF(H980&lt;F980,H980*(D980-E980),0)</f>
        <v>0</v>
      </c>
      <c r="J980" s="3179" t="n">
        <f aca="false">G980-I980</f>
        <v>0</v>
      </c>
    </row>
    <row r="981" customFormat="false" ht="15" hidden="false" customHeight="true" outlineLevel="0" collapsed="false">
      <c r="B981" s="1551" t="str">
        <f aca="false">'Смета Внутр'!B981</f>
        <v>монтаж веранды</v>
      </c>
      <c r="C981" s="1551" t="str">
        <f aca="false">'Смета Внутр'!C981</f>
        <v>м2</v>
      </c>
      <c r="D981" s="1551" t="n">
        <f aca="false">'Смета Внутр'!D981</f>
        <v>9</v>
      </c>
      <c r="F981" s="1551" t="n">
        <f aca="false">'Смета Внутр'!E981</f>
        <v>1500</v>
      </c>
      <c r="G981" s="1551" t="n">
        <f aca="false">'Смета Внутр'!H981</f>
        <v>0</v>
      </c>
      <c r="I981" s="3179" t="n">
        <f aca="false">IF(F981&lt;H981,F981*(D981-E981),0)+IF(H981=0,(D981-E981)*F981,0)+IF(H981&lt;F981,H981*(D981-E981),0)</f>
        <v>13500</v>
      </c>
      <c r="J981" s="3179" t="n">
        <f aca="false">G981-I981</f>
        <v>-13500</v>
      </c>
    </row>
    <row r="982" customFormat="false" ht="15" hidden="false" customHeight="true" outlineLevel="0" collapsed="false">
      <c r="B982" s="1551" t="str">
        <f aca="false">'Смета Внутр'!B982</f>
        <v>монтаж лаги, перекрытия</v>
      </c>
      <c r="C982" s="1551" t="str">
        <f aca="false">'Смета Внутр'!C982</f>
        <v>м2</v>
      </c>
      <c r="D982" s="1551" t="n">
        <f aca="false">'Смета Внутр'!D982</f>
        <v>9</v>
      </c>
      <c r="F982" s="1551" t="n">
        <f aca="false">'Смета Внутр'!E982</f>
        <v>300</v>
      </c>
      <c r="G982" s="1551" t="n">
        <f aca="false">'Смета Внутр'!H982</f>
        <v>0</v>
      </c>
      <c r="I982" s="3179" t="n">
        <f aca="false">IF(F982&lt;H982,F982*(D982-E982),0)+IF(H982=0,(D982-E982)*F982,0)+IF(H982&lt;F982,H982*(D982-E982),0)</f>
        <v>2700</v>
      </c>
      <c r="J982" s="3179" t="n">
        <f aca="false">G982-I982</f>
        <v>-2700</v>
      </c>
    </row>
    <row r="983" customFormat="false" ht="15" hidden="false" customHeight="true" outlineLevel="0" collapsed="false">
      <c r="B983" s="1551" t="str">
        <f aca="false">'Смета Внутр'!B983</f>
        <v>Монтаж накладки на перила</v>
      </c>
      <c r="C983" s="1551" t="str">
        <f aca="false">'Смета Внутр'!C983</f>
        <v>м.п.</v>
      </c>
      <c r="D983" s="1551" t="n">
        <f aca="false">'Смета Внутр'!D983</f>
        <v>9</v>
      </c>
      <c r="F983" s="1551" t="n">
        <f aca="false">'Смета Внутр'!E983</f>
        <v>0</v>
      </c>
      <c r="G983" s="1551" t="n">
        <f aca="false">'Смета Внутр'!H983</f>
        <v>0</v>
      </c>
      <c r="I983" s="3179" t="n">
        <f aca="false">IF(F983&lt;H983,F983*(D983-E983),0)+IF(H983=0,(D983-E983)*F983,0)+IF(H983&lt;F983,H983*(D983-E983),0)</f>
        <v>0</v>
      </c>
      <c r="J983" s="3179" t="n">
        <f aca="false">G983-I983</f>
        <v>0</v>
      </c>
    </row>
    <row r="984" customFormat="false" ht="15" hidden="false" customHeight="true" outlineLevel="0" collapsed="false">
      <c r="B984" s="1551" t="str">
        <f aca="false">'Смета Внутр'!B984</f>
        <v>Монтаж перил</v>
      </c>
      <c r="C984" s="1551" t="str">
        <f aca="false">'Смета Внутр'!C984</f>
        <v>м.п.</v>
      </c>
      <c r="D984" s="1551" t="n">
        <f aca="false">'Смета Внутр'!D984</f>
        <v>9</v>
      </c>
      <c r="F984" s="1551" t="n">
        <f aca="false">'Смета Внутр'!E984</f>
        <v>500</v>
      </c>
      <c r="G984" s="1551" t="n">
        <f aca="false">'Смета Внутр'!H984</f>
        <v>0</v>
      </c>
      <c r="I984" s="3179" t="n">
        <f aca="false">IF(F984&lt;H984,F984*(D984-E984),0)+IF(H984=0,(D984-E984)*F984,0)+IF(H984&lt;F984,H984*(D984-E984),0)</f>
        <v>4500</v>
      </c>
      <c r="J984" s="3179" t="n">
        <f aca="false">G984-I984</f>
        <v>-4500</v>
      </c>
    </row>
    <row r="985" customFormat="false" ht="15" hidden="false" customHeight="true" outlineLevel="0" collapsed="false">
      <c r="B985" s="1551" t="str">
        <f aca="false">'Смета Внутр'!B985</f>
        <v>Гидроизоляция рулонная</v>
      </c>
      <c r="C985" s="1551" t="str">
        <f aca="false">'Смета Внутр'!C985</f>
        <v>м2</v>
      </c>
      <c r="D985" s="1551" t="n">
        <f aca="false">'Смета Внутр'!D985</f>
        <v>0</v>
      </c>
      <c r="F985" s="1551" t="n">
        <f aca="false">'Смета Внутр'!E985</f>
        <v>250</v>
      </c>
      <c r="G985" s="1551" t="n">
        <f aca="false">'Смета Внутр'!H985</f>
        <v>0</v>
      </c>
      <c r="I985" s="3179" t="n">
        <f aca="false">IF(F985&lt;H985,F985*(D985-E985),0)+IF(H985=0,(D985-E985)*F985,0)+IF(H985&lt;F985,H985*(D985-E985),0)</f>
        <v>0</v>
      </c>
      <c r="J985" s="3179" t="n">
        <f aca="false">G985-I985</f>
        <v>0</v>
      </c>
    </row>
    <row r="986" customFormat="false" ht="15" hidden="false" customHeight="true" outlineLevel="0" collapsed="false">
      <c r="B986" s="1551" t="str">
        <f aca="false">'Смета Внутр'!B986</f>
        <v>монтаж OSB пол</v>
      </c>
      <c r="C986" s="1551" t="str">
        <f aca="false">'Смета Внутр'!C986</f>
        <v>м2</v>
      </c>
      <c r="D986" s="1551" t="n">
        <f aca="false">'Смета Внутр'!D986</f>
        <v>0</v>
      </c>
      <c r="F986" s="1551" t="n">
        <f aca="false">'Смета Внутр'!E986</f>
        <v>250</v>
      </c>
      <c r="G986" s="1551" t="n">
        <f aca="false">'Смета Внутр'!H986</f>
        <v>0</v>
      </c>
      <c r="I986" s="3179" t="n">
        <f aca="false">IF(F986&lt;H986,F986*(D986-E986),0)+IF(H986=0,(D986-E986)*F986,0)+IF(H986&lt;F986,H986*(D986-E986),0)</f>
        <v>0</v>
      </c>
      <c r="J986" s="3179" t="n">
        <f aca="false">G986-I986</f>
        <v>0</v>
      </c>
    </row>
    <row r="987" customFormat="false" ht="15" hidden="false" customHeight="true" outlineLevel="0" collapsed="false">
      <c r="B987" s="1551" t="str">
        <f aca="false">'Смета Внутр'!B987</f>
        <v>Монтаж перил</v>
      </c>
      <c r="C987" s="1551" t="str">
        <f aca="false">'Смета Внутр'!C987</f>
        <v>м.п.</v>
      </c>
      <c r="D987" s="1551" t="n">
        <f aca="false">'Смета Внутр'!D987</f>
        <v>3.6</v>
      </c>
      <c r="F987" s="1551" t="n">
        <f aca="false">'Смета Внутр'!E987</f>
        <v>500</v>
      </c>
      <c r="G987" s="1551" t="n">
        <f aca="false">'Смета Внутр'!H987</f>
        <v>0</v>
      </c>
      <c r="I987" s="3179" t="n">
        <f aca="false">IF(F987&lt;H987,F987*(D987-E987),0)+IF(H987=0,(D987-E987)*F987,0)+IF(H987&lt;F987,H987*(D987-E987),0)</f>
        <v>1800</v>
      </c>
      <c r="J987" s="3179" t="n">
        <f aca="false">G987-I987</f>
        <v>-1800</v>
      </c>
    </row>
    <row r="988" customFormat="false" ht="15" hidden="false" customHeight="true" outlineLevel="0" collapsed="false">
      <c r="B988" s="1551" t="str">
        <f aca="false">'Смета Внутр'!B988</f>
        <v>Монтаж накладки на перила</v>
      </c>
      <c r="C988" s="1551" t="str">
        <f aca="false">'Смета Внутр'!C988</f>
        <v>м.п.</v>
      </c>
      <c r="D988" s="1551" t="n">
        <f aca="false">'Смета Внутр'!D988</f>
        <v>3.6</v>
      </c>
      <c r="F988" s="1551" t="n">
        <f aca="false">'Смета Внутр'!E988</f>
        <v>0</v>
      </c>
      <c r="G988" s="1551" t="n">
        <f aca="false">'Смета Внутр'!H988</f>
        <v>0</v>
      </c>
      <c r="I988" s="3179" t="n">
        <f aca="false">IF(F988&lt;H988,F988*(D988-E988),0)+IF(H988=0,(D988-E988)*F988,0)+IF(H988&lt;F988,H988*(D988-E988),0)</f>
        <v>0</v>
      </c>
      <c r="J988" s="3179" t="n">
        <f aca="false">G988-I988</f>
        <v>0</v>
      </c>
    </row>
    <row r="989" customFormat="false" ht="15" hidden="false" customHeight="true" outlineLevel="0" collapsed="false">
      <c r="B989" s="1551" t="str">
        <f aca="false">'Смета Внутр'!B989</f>
        <v>монтаж веранды/крыльцо</v>
      </c>
      <c r="C989" s="1551" t="str">
        <f aca="false">'Смета Внутр'!C989</f>
        <v>м2</v>
      </c>
      <c r="D989" s="1551" t="n">
        <f aca="false">'Смета Внутр'!D989</f>
        <v>0</v>
      </c>
      <c r="F989" s="1551" t="n">
        <f aca="false">'Смета Внутр'!E989</f>
        <v>1500</v>
      </c>
      <c r="G989" s="1551" t="n">
        <f aca="false">'Смета Внутр'!H989</f>
        <v>0</v>
      </c>
      <c r="I989" s="3179" t="n">
        <f aca="false">IF(F989&lt;H989,F989*(D989-E989),0)+IF(H989=0,(D989-E989)*F989,0)+IF(H989&lt;F989,H989*(D989-E989),0)</f>
        <v>0</v>
      </c>
      <c r="J989" s="3179" t="n">
        <f aca="false">G989-I989</f>
        <v>0</v>
      </c>
    </row>
    <row r="990" customFormat="false" ht="15" hidden="false" customHeight="false" outlineLevel="0" collapsed="false">
      <c r="B990" s="1692" t="s">
        <v>4333</v>
      </c>
      <c r="C990" s="1692"/>
      <c r="D990" s="1692"/>
      <c r="E990" s="1692"/>
      <c r="F990" s="1692"/>
      <c r="G990" s="1551" t="n">
        <f aca="false">'Смета Внутр'!H990</f>
        <v>0</v>
      </c>
      <c r="H990" s="1584"/>
      <c r="I990" s="3179" t="n">
        <f aca="false">IF(F990&lt;H990,F990*(D990-E990),0)+IF(H990=0,(D990-E990)*F990,0)+IF(H990&lt;F990,H990*(D990-E990),0)</f>
        <v>0</v>
      </c>
      <c r="J990" s="3179" t="n">
        <f aca="false">G990-I990</f>
        <v>0</v>
      </c>
    </row>
    <row r="991" customFormat="false" ht="15" hidden="false" customHeight="true" outlineLevel="0" collapsed="false">
      <c r="B991" s="1551" t="str">
        <f aca="false">'Смета Внутр'!B991</f>
        <v>Крыльцо</v>
      </c>
      <c r="C991" s="1551" t="n">
        <f aca="false">'Смета Внутр'!C991</f>
        <v>0</v>
      </c>
      <c r="D991" s="1551" t="n">
        <f aca="false">'Смета Внутр'!D991</f>
        <v>0</v>
      </c>
      <c r="F991" s="1551" t="n">
        <f aca="false">'Смета Внутр'!E991</f>
        <v>0</v>
      </c>
      <c r="G991" s="1551" t="n">
        <f aca="false">'Смета Внутр'!H991</f>
        <v>0</v>
      </c>
      <c r="I991" s="3179" t="n">
        <f aca="false">IF(F991&lt;H991,F991*(D991-E991),0)+IF(H991=0,(D991-E991)*F991,0)+IF(H991&lt;F991,H991*(D991-E991),0)</f>
        <v>0</v>
      </c>
      <c r="J991" s="3179" t="n">
        <f aca="false">G991-I991</f>
        <v>0</v>
      </c>
    </row>
    <row r="992" customFormat="false" ht="15" hidden="false" customHeight="true" outlineLevel="0" collapsed="false">
      <c r="B992" s="1268" t="str">
        <f aca="false">'Смета Внутр'!B992</f>
        <v>Материалы</v>
      </c>
      <c r="C992" s="1268"/>
      <c r="D992" s="1268"/>
      <c r="E992" s="1268"/>
      <c r="F992" s="1268"/>
      <c r="G992" s="1551" t="n">
        <f aca="false">'Смета Внутр'!H992</f>
        <v>0</v>
      </c>
      <c r="H992" s="3175"/>
      <c r="I992" s="3179" t="n">
        <f aca="false">IF(F992&lt;H992,F992*(D992-E992),0)+IF(H992=0,(D992-E992)*F992,0)+IF(H992&lt;F992,H992*(D992-E992),0)</f>
        <v>0</v>
      </c>
      <c r="J992" s="3179" t="n">
        <f aca="false">G992-I992</f>
        <v>0</v>
      </c>
    </row>
    <row r="993" customFormat="false" ht="15" hidden="false" customHeight="true" outlineLevel="0" collapsed="false">
      <c r="B993" s="1551" t="str">
        <f aca="false">'Смета Внутр'!B993</f>
        <v>Листв. влаж, 150*150мм</v>
      </c>
      <c r="C993" s="1551" t="str">
        <f aca="false">'Смета Внутр'!C993</f>
        <v>м3</v>
      </c>
      <c r="D993" s="1551" t="n">
        <f aca="false">'Смета Внутр'!D993</f>
        <v>0.084</v>
      </c>
      <c r="F993" s="1551" t="n">
        <f aca="false">'Смета Внутр'!E993</f>
        <v>8500</v>
      </c>
      <c r="G993" s="1551" t="n">
        <f aca="false">'Смета Внутр'!H993</f>
        <v>0</v>
      </c>
      <c r="I993" s="3179" t="n">
        <f aca="false">IF(F993&lt;H993,F993*(D993-E993),0)+IF(H993=0,(D993-E993)*F993,0)+IF(H993&lt;F993,H993*(D993-E993),0)</f>
        <v>714</v>
      </c>
      <c r="J993" s="3179" t="n">
        <f aca="false">G993-I993</f>
        <v>-714</v>
      </c>
    </row>
    <row r="994" customFormat="false" ht="15" hidden="false" customHeight="true" outlineLevel="0" collapsed="false">
      <c r="B994" s="1551" t="str">
        <f aca="false">'Смета Внутр'!B994</f>
        <v>Листв. влаж, 150*100мм</v>
      </c>
      <c r="C994" s="1551" t="str">
        <f aca="false">'Смета Внутр'!C994</f>
        <v>м3</v>
      </c>
      <c r="D994" s="1551" t="n">
        <f aca="false">'Смета Внутр'!D994</f>
        <v>0.09</v>
      </c>
      <c r="F994" s="1551" t="n">
        <f aca="false">'Смета Внутр'!E994</f>
        <v>8500</v>
      </c>
      <c r="G994" s="1551" t="n">
        <f aca="false">'Смета Внутр'!H994</f>
        <v>0</v>
      </c>
      <c r="I994" s="3179" t="n">
        <f aca="false">IF(F994&lt;H994,F994*(D994-E994),0)+IF(H994=0,(D994-E994)*F994,0)+IF(H994&lt;F994,H994*(D994-E994),0)</f>
        <v>765</v>
      </c>
      <c r="J994" s="3179" t="n">
        <f aca="false">G994-I994</f>
        <v>-765</v>
      </c>
    </row>
    <row r="995" customFormat="false" ht="15" hidden="false" customHeight="true" outlineLevel="0" collapsed="false">
      <c r="B995" s="1551" t="str">
        <f aca="false">'Смета Внутр'!B995</f>
        <v>Сосна влаж, 150*100мм</v>
      </c>
      <c r="C995" s="1551" t="str">
        <f aca="false">'Смета Внутр'!C995</f>
        <v>м3</v>
      </c>
      <c r="D995" s="1551" t="n">
        <f aca="false">'Смета Внутр'!D995</f>
        <v>0.075</v>
      </c>
      <c r="F995" s="1551" t="n">
        <f aca="false">'Смета Внутр'!E995</f>
        <v>6500</v>
      </c>
      <c r="G995" s="1551" t="n">
        <f aca="false">'Смета Внутр'!H995</f>
        <v>0</v>
      </c>
      <c r="I995" s="3179" t="n">
        <f aca="false">IF(F995&lt;H995,F995*(D995-E995),0)+IF(H995=0,(D995-E995)*F995,0)+IF(H995&lt;F995,H995*(D995-E995),0)</f>
        <v>487.5</v>
      </c>
      <c r="J995" s="3179" t="n">
        <f aca="false">G995-I995</f>
        <v>-487.5</v>
      </c>
    </row>
    <row r="996" customFormat="false" ht="15" hidden="false" customHeight="true" outlineLevel="0" collapsed="false">
      <c r="B996" s="1551" t="str">
        <f aca="false">'Смета Внутр'!B996</f>
        <v>Нет</v>
      </c>
      <c r="C996" s="1551" t="str">
        <f aca="false">'Смета Внутр'!C996</f>
        <v>м3</v>
      </c>
      <c r="D996" s="1551" t="n">
        <f aca="false">'Смета Внутр'!D996</f>
        <v>11.5</v>
      </c>
      <c r="F996" s="1551" t="n">
        <f aca="false">'Смета Внутр'!E996</f>
        <v>0</v>
      </c>
      <c r="G996" s="1551" t="n">
        <f aca="false">'Смета Внутр'!H996</f>
        <v>0</v>
      </c>
      <c r="I996" s="3179" t="n">
        <f aca="false">IF(F996&lt;H996,F996*(D996-E996),0)+IF(H996=0,(D996-E996)*F996,0)+IF(H996&lt;F996,H996*(D996-E996),0)</f>
        <v>0</v>
      </c>
      <c r="J996" s="3179" t="n">
        <f aca="false">G996-I996</f>
        <v>0</v>
      </c>
    </row>
    <row r="997" customFormat="false" ht="15" hidden="false" customHeight="true" outlineLevel="0" collapsed="false">
      <c r="B997" s="1551" t="str">
        <f aca="false">'Смета Внутр'!B997</f>
        <v>Листв. влаж, 150*100мм</v>
      </c>
      <c r="C997" s="1551" t="str">
        <f aca="false">'Смета Внутр'!C997</f>
        <v>м3</v>
      </c>
      <c r="D997" s="1551" t="n">
        <f aca="false">'Смета Внутр'!D997</f>
        <v>0.075</v>
      </c>
      <c r="F997" s="1551" t="n">
        <f aca="false">'Смета Внутр'!E997</f>
        <v>8500</v>
      </c>
      <c r="G997" s="1551" t="n">
        <f aca="false">'Смета Внутр'!H997</f>
        <v>0</v>
      </c>
      <c r="I997" s="3179" t="n">
        <f aca="false">IF(F997&lt;H997,F997*(D997-E997),0)+IF(H997=0,(D997-E997)*F997,0)+IF(H997&lt;F997,H997*(D997-E997),0)</f>
        <v>637.5</v>
      </c>
      <c r="J997" s="3179" t="n">
        <f aca="false">G997-I997</f>
        <v>-637.5</v>
      </c>
    </row>
    <row r="998" customFormat="false" ht="15" hidden="false" customHeight="true" outlineLevel="0" collapsed="false">
      <c r="B998" s="1551" t="str">
        <f aca="false">'Смета Внутр'!B998</f>
        <v>Листв. влаж, 150*150мм</v>
      </c>
      <c r="C998" s="1551" t="str">
        <f aca="false">'Смета Внутр'!C998</f>
        <v>м3</v>
      </c>
      <c r="D998" s="1551" t="n">
        <f aca="false">'Смета Внутр'!D998</f>
        <v>0.225</v>
      </c>
      <c r="F998" s="1551" t="n">
        <f aca="false">'Смета Внутр'!E998</f>
        <v>8500</v>
      </c>
      <c r="G998" s="1551" t="n">
        <f aca="false">'Смета Внутр'!H998</f>
        <v>0</v>
      </c>
      <c r="I998" s="3179" t="n">
        <f aca="false">IF(F998&lt;H998,F998*(D998-E998),0)+IF(H998=0,(D998-E998)*F998,0)+IF(H998&lt;F998,H998*(D998-E998),0)</f>
        <v>1912.5</v>
      </c>
      <c r="J998" s="3179" t="n">
        <f aca="false">G998-I998</f>
        <v>-1912.5</v>
      </c>
    </row>
    <row r="999" customFormat="false" ht="15" hidden="false" customHeight="true" outlineLevel="0" collapsed="false">
      <c r="B999" s="1551" t="str">
        <f aca="false">'Смета Внутр'!B999</f>
        <v>Нет накладки</v>
      </c>
      <c r="C999" s="1551" t="str">
        <f aca="false">'Смета Внутр'!C999</f>
        <v>м.п.</v>
      </c>
      <c r="D999" s="1551" t="n">
        <f aca="false">'Смета Внутр'!D999</f>
        <v>5</v>
      </c>
      <c r="F999" s="1551" t="n">
        <f aca="false">'Смета Внутр'!E999</f>
        <v>0</v>
      </c>
      <c r="G999" s="1551" t="n">
        <f aca="false">'Смета Внутр'!H999</f>
        <v>0</v>
      </c>
      <c r="I999" s="3179" t="n">
        <f aca="false">IF(F999&lt;H999,F999*(D999-E999),0)+IF(H999=0,(D999-E999)*F999,0)+IF(H999&lt;F999,H999*(D999-E999),0)</f>
        <v>0</v>
      </c>
      <c r="J999" s="3179" t="n">
        <f aca="false">G999-I999</f>
        <v>0</v>
      </c>
    </row>
    <row r="1000" customFormat="false" ht="15" hidden="false" customHeight="true" outlineLevel="0" collapsed="false">
      <c r="B1000" s="1551" t="str">
        <f aca="false">'Смета Внутр'!B1000</f>
        <v>Нет</v>
      </c>
      <c r="C1000" s="1551" t="str">
        <f aca="false">'Смета Внутр'!C1000</f>
        <v>м3</v>
      </c>
      <c r="D1000" s="1551" t="n">
        <f aca="false">'Смета Внутр'!D1000</f>
        <v>8</v>
      </c>
      <c r="F1000" s="1551" t="n">
        <f aca="false">'Смета Внутр'!E1000</f>
        <v>0</v>
      </c>
      <c r="G1000" s="1551" t="n">
        <f aca="false">'Смета Внутр'!H1000</f>
        <v>0</v>
      </c>
      <c r="I1000" s="3179" t="n">
        <f aca="false">IF(F1000&lt;H1000,F1000*(D1000-E1000),0)+IF(H1000=0,(D1000-E1000)*F1000,0)+IF(H1000&lt;F1000,H1000*(D1000-E1000),0)</f>
        <v>0</v>
      </c>
      <c r="J1000" s="3179" t="n">
        <f aca="false">G1000-I1000</f>
        <v>0</v>
      </c>
    </row>
    <row r="1001" customFormat="false" ht="15" hidden="false" customHeight="true" outlineLevel="0" collapsed="false">
      <c r="B1001" s="1551" t="str">
        <f aca="false">'Смета Внутр'!B1001</f>
        <v>Уголок усиленный 90х70х55х2,5        </v>
      </c>
      <c r="C1001" s="1551" t="str">
        <f aca="false">'Смета Внутр'!C1001</f>
        <v>шт</v>
      </c>
      <c r="D1001" s="1551" t="n">
        <f aca="false">'Смета Внутр'!D1001</f>
        <v>6</v>
      </c>
      <c r="F1001" s="1551" t="n">
        <f aca="false">'Смета Внутр'!E1001</f>
        <v>30</v>
      </c>
      <c r="G1001" s="1551" t="n">
        <f aca="false">'Смета Внутр'!H1001</f>
        <v>0</v>
      </c>
      <c r="I1001" s="3179" t="n">
        <f aca="false">IF(F1001&lt;H1001,F1001*(D1001-E1001),0)+IF(H1001=0,(D1001-E1001)*F1001,0)+IF(H1001&lt;F1001,H1001*(D1001-E1001),0)</f>
        <v>180</v>
      </c>
      <c r="J1001" s="3179" t="n">
        <f aca="false">G1001-I1001</f>
        <v>-180</v>
      </c>
    </row>
    <row r="1002" customFormat="false" ht="15" hidden="false" customHeight="true" outlineLevel="0" collapsed="false">
      <c r="B1002" s="1551" t="str">
        <f aca="false">'Смета Внутр'!B1002</f>
        <v>Нет уголков</v>
      </c>
      <c r="C1002" s="1551" t="str">
        <f aca="false">'Смета Внутр'!C1002</f>
        <v>шт</v>
      </c>
      <c r="D1002" s="1551" t="n">
        <f aca="false">'Смета Внутр'!D1002</f>
        <v>0</v>
      </c>
      <c r="F1002" s="1551" t="n">
        <f aca="false">'Смета Внутр'!E1002</f>
        <v>0</v>
      </c>
      <c r="G1002" s="1551" t="n">
        <f aca="false">'Смета Внутр'!H1002</f>
        <v>0</v>
      </c>
      <c r="I1002" s="3179" t="n">
        <f aca="false">IF(F1002&lt;H1002,F1002*(D1002-E1002),0)+IF(H1002=0,(D1002-E1002)*F1002,0)+IF(H1002&lt;F1002,H1002*(D1002-E1002),0)</f>
        <v>0</v>
      </c>
      <c r="J1002" s="3179" t="n">
        <f aca="false">G1002-I1002</f>
        <v>0</v>
      </c>
    </row>
    <row r="1003" customFormat="false" ht="15" hidden="false" customHeight="true" outlineLevel="0" collapsed="false">
      <c r="B1003" s="1551" t="str">
        <f aca="false">'Смета Внутр'!B1003</f>
        <v>Пластина соеденительная 100х240х2           </v>
      </c>
      <c r="C1003" s="1551" t="str">
        <f aca="false">'Смета Внутр'!C1003</f>
        <v>шт</v>
      </c>
      <c r="D1003" s="1551" t="n">
        <f aca="false">'Смета Внутр'!D1003</f>
        <v>2</v>
      </c>
      <c r="F1003" s="1551" t="n">
        <f aca="false">'Смета Внутр'!E1003</f>
        <v>31.54</v>
      </c>
      <c r="G1003" s="1551" t="n">
        <f aca="false">'Смета Внутр'!H1003</f>
        <v>0</v>
      </c>
      <c r="I1003" s="3179" t="n">
        <f aca="false">IF(F1003&lt;H1003,F1003*(D1003-E1003),0)+IF(H1003=0,(D1003-E1003)*F1003,0)+IF(H1003&lt;F1003,H1003*(D1003-E1003),0)</f>
        <v>63.08</v>
      </c>
      <c r="J1003" s="3179" t="n">
        <f aca="false">G1003-I1003</f>
        <v>-63.08</v>
      </c>
    </row>
    <row r="1004" customFormat="false" ht="15" hidden="false" customHeight="true" outlineLevel="0" collapsed="false">
      <c r="B1004" s="1551" t="str">
        <f aca="false">'Смета Внутр'!B1004</f>
        <v>Нет пластин</v>
      </c>
      <c r="C1004" s="1551" t="str">
        <f aca="false">'Смета Внутр'!C1004</f>
        <v>шт</v>
      </c>
      <c r="D1004" s="1551" t="n">
        <f aca="false">'Смета Внутр'!D1004</f>
        <v>0</v>
      </c>
      <c r="F1004" s="1551" t="n">
        <f aca="false">'Смета Внутр'!E1004</f>
        <v>0</v>
      </c>
      <c r="G1004" s="1551" t="n">
        <f aca="false">'Смета Внутр'!H1004</f>
        <v>0</v>
      </c>
      <c r="I1004" s="3179" t="n">
        <f aca="false">IF(F1004&lt;H1004,F1004*(D1004-E1004),0)+IF(H1004=0,(D1004-E1004)*F1004,0)+IF(H1004&lt;F1004,H1004*(D1004-E1004),0)</f>
        <v>0</v>
      </c>
      <c r="J1004" s="3179" t="n">
        <f aca="false">G1004-I1004</f>
        <v>0</v>
      </c>
    </row>
    <row r="1005" customFormat="false" ht="15" hidden="false" customHeight="true" outlineLevel="0" collapsed="false">
      <c r="B1005" s="1551" t="str">
        <f aca="false">'Смета Внутр'!B1005</f>
        <v>Болты анкерные с гайкой 12,0 x 100          </v>
      </c>
      <c r="C1005" s="1551" t="str">
        <f aca="false">'Смета Внутр'!C1005</f>
        <v>шт</v>
      </c>
      <c r="D1005" s="1551" t="n">
        <f aca="false">'Смета Внутр'!D1005</f>
        <v>6</v>
      </c>
      <c r="F1005" s="1551" t="n">
        <f aca="false">'Смета Внутр'!E1005</f>
        <v>11.2</v>
      </c>
      <c r="G1005" s="1551" t="n">
        <f aca="false">'Смета Внутр'!H1005</f>
        <v>0</v>
      </c>
      <c r="I1005" s="3179" t="n">
        <f aca="false">IF(F1005&lt;H1005,F1005*(D1005-E1005),0)+IF(H1005=0,(D1005-E1005)*F1005,0)+IF(H1005&lt;F1005,H1005*(D1005-E1005),0)</f>
        <v>67.2</v>
      </c>
      <c r="J1005" s="3179" t="n">
        <f aca="false">G1005-I1005</f>
        <v>-67.2</v>
      </c>
    </row>
    <row r="1006" customFormat="false" ht="15" hidden="false" customHeight="true" outlineLevel="0" collapsed="false">
      <c r="B1006" s="1551" t="str">
        <f aca="false">'Смета Внутр'!B1006</f>
        <v>Нет анкерных болтов</v>
      </c>
      <c r="C1006" s="1551" t="str">
        <f aca="false">'Смета Внутр'!C1006</f>
        <v>шт</v>
      </c>
      <c r="D1006" s="1551" t="n">
        <f aca="false">'Смета Внутр'!D1006</f>
        <v>0</v>
      </c>
      <c r="F1006" s="1551" t="n">
        <f aca="false">'Смета Внутр'!E1006</f>
        <v>0</v>
      </c>
      <c r="G1006" s="1551" t="n">
        <f aca="false">'Смета Внутр'!H1006</f>
        <v>0</v>
      </c>
      <c r="I1006" s="3179" t="n">
        <f aca="false">IF(F1006&lt;H1006,F1006*(D1006-E1006),0)+IF(H1006=0,(D1006-E1006)*F1006,0)+IF(H1006&lt;F1006,H1006*(D1006-E1006),0)</f>
        <v>0</v>
      </c>
      <c r="J1006" s="3179" t="n">
        <f aca="false">G1006-I1006</f>
        <v>0</v>
      </c>
    </row>
    <row r="1007" customFormat="false" ht="15" hidden="false" customHeight="true" outlineLevel="0" collapsed="false">
      <c r="B1007" s="1551" t="str">
        <f aca="false">'Смета Внутр'!B1007</f>
        <v>Саморезы 3,5 x 45            </v>
      </c>
      <c r="C1007" s="1551" t="str">
        <f aca="false">'Смета Внутр'!C1007</f>
        <v>кг</v>
      </c>
      <c r="D1007" s="1551" t="n">
        <f aca="false">'Смета Внутр'!D1007</f>
        <v>0</v>
      </c>
      <c r="F1007" s="1551" t="n">
        <f aca="false">'Смета Внутр'!E1007</f>
        <v>105.62</v>
      </c>
      <c r="G1007" s="1551" t="n">
        <f aca="false">'Смета Внутр'!H1007</f>
        <v>0</v>
      </c>
      <c r="I1007" s="3179" t="n">
        <f aca="false">IF(F1007&lt;H1007,F1007*(D1007-E1007),0)+IF(H1007=0,(D1007-E1007)*F1007,0)+IF(H1007&lt;F1007,H1007*(D1007-E1007),0)</f>
        <v>0</v>
      </c>
      <c r="J1007" s="3179" t="n">
        <f aca="false">G1007-I1007</f>
        <v>0</v>
      </c>
    </row>
    <row r="1008" customFormat="false" ht="15" hidden="false" customHeight="true" outlineLevel="0" collapsed="false">
      <c r="B1008" s="1551" t="str">
        <f aca="false">'Смета Внутр'!B1008</f>
        <v>Нет саморезов</v>
      </c>
      <c r="C1008" s="1551" t="str">
        <f aca="false">'Смета Внутр'!C1008</f>
        <v>кг</v>
      </c>
      <c r="D1008" s="1551" t="n">
        <f aca="false">'Смета Внутр'!D1008</f>
        <v>0</v>
      </c>
      <c r="F1008" s="1551" t="n">
        <f aca="false">'Смета Внутр'!E1008</f>
        <v>0</v>
      </c>
      <c r="G1008" s="1551" t="n">
        <f aca="false">'Смета Внутр'!H1008</f>
        <v>0</v>
      </c>
      <c r="I1008" s="3179" t="n">
        <f aca="false">IF(F1008&lt;H1008,F1008*(D1008-E1008),0)+IF(H1008=0,(D1008-E1008)*F1008,0)+IF(H1008&lt;F1008,H1008*(D1008-E1008),0)</f>
        <v>0</v>
      </c>
      <c r="J1008" s="3179" t="n">
        <f aca="false">G1008-I1008</f>
        <v>0</v>
      </c>
    </row>
    <row r="1009" customFormat="false" ht="15" hidden="false" customHeight="true" outlineLevel="0" collapsed="false">
      <c r="B1009" s="1551" t="str">
        <f aca="false">'Смета Внутр'!B1009</f>
        <v>Гвозди строительные 2,5 x 60            </v>
      </c>
      <c r="C1009" s="1551" t="str">
        <f aca="false">'Смета Внутр'!C1009</f>
        <v>кг</v>
      </c>
      <c r="D1009" s="1551" t="n">
        <f aca="false">'Смета Внутр'!D1009</f>
        <v>1</v>
      </c>
      <c r="F1009" s="1551" t="n">
        <f aca="false">'Смета Внутр'!E1009</f>
        <v>70</v>
      </c>
      <c r="G1009" s="1551" t="n">
        <f aca="false">'Смета Внутр'!H1009</f>
        <v>0</v>
      </c>
      <c r="I1009" s="3179" t="n">
        <f aca="false">IF(F1009&lt;H1009,F1009*(D1009-E1009),0)+IF(H1009=0,(D1009-E1009)*F1009,0)+IF(H1009&lt;F1009,H1009*(D1009-E1009),0)</f>
        <v>70</v>
      </c>
      <c r="J1009" s="3179" t="n">
        <f aca="false">G1009-I1009</f>
        <v>-70</v>
      </c>
    </row>
    <row r="1010" customFormat="false" ht="15" hidden="false" customHeight="true" outlineLevel="0" collapsed="false">
      <c r="B1010" s="1551" t="str">
        <f aca="false">'Смета Внутр'!B1010</f>
        <v>Гвозди ершоные 3,4 x 60            </v>
      </c>
      <c r="C1010" s="1551" t="str">
        <f aca="false">'Смета Внутр'!C1010</f>
        <v>кг</v>
      </c>
      <c r="D1010" s="1551" t="n">
        <f aca="false">'Смета Внутр'!D1010</f>
        <v>1</v>
      </c>
      <c r="F1010" s="1551" t="n">
        <f aca="false">'Смета Внутр'!E1010</f>
        <v>75.51</v>
      </c>
      <c r="G1010" s="1551" t="n">
        <f aca="false">'Смета Внутр'!H1010</f>
        <v>0</v>
      </c>
      <c r="I1010" s="3179" t="n">
        <f aca="false">IF(F1010&lt;H1010,F1010*(D1010-E1010),0)+IF(H1010=0,(D1010-E1010)*F1010,0)+IF(H1010&lt;F1010,H1010*(D1010-E1010),0)</f>
        <v>75.51</v>
      </c>
      <c r="J1010" s="3179" t="n">
        <f aca="false">G1010-I1010</f>
        <v>-75.51</v>
      </c>
    </row>
    <row r="1011" customFormat="false" ht="15" hidden="false" customHeight="true" outlineLevel="0" collapsed="false">
      <c r="B1011" s="1692" t="s">
        <v>4332</v>
      </c>
      <c r="C1011" s="1692"/>
      <c r="D1011" s="1692"/>
      <c r="E1011" s="1692"/>
      <c r="F1011" s="1692"/>
      <c r="G1011" s="1551" t="n">
        <f aca="false">'Смета Внутр'!H1011</f>
        <v>0</v>
      </c>
      <c r="H1011" s="3184"/>
      <c r="I1011" s="3179" t="n">
        <f aca="false">IF(F1011&lt;H1011,F1011*(D1011-E1011),0)+IF(H1011=0,(D1011-E1011)*F1011,0)+IF(H1011&lt;F1011,H1011*(D1011-E1011),0)</f>
        <v>0</v>
      </c>
      <c r="J1011" s="3179" t="n">
        <f aca="false">G1011-I1011</f>
        <v>0</v>
      </c>
    </row>
    <row r="1012" customFormat="false" ht="15" hidden="false" customHeight="true" outlineLevel="0" collapsed="false">
      <c r="B1012" s="1268" t="str">
        <f aca="false">'Смета Внутр'!B1012</f>
        <v>Работы</v>
      </c>
      <c r="C1012" s="1268"/>
      <c r="D1012" s="1268"/>
      <c r="E1012" s="1268"/>
      <c r="F1012" s="1268"/>
      <c r="G1012" s="1551" t="n">
        <f aca="false">'Смета Внутр'!H1012</f>
        <v>0</v>
      </c>
      <c r="H1012" s="3175"/>
      <c r="I1012" s="3179" t="n">
        <f aca="false">IF(F1012&lt;H1012,F1012*(D1012-E1012),0)+IF(H1012=0,(D1012-E1012)*F1012,0)+IF(H1012&lt;F1012,H1012*(D1012-E1012),0)</f>
        <v>0</v>
      </c>
      <c r="J1012" s="3179" t="n">
        <f aca="false">G1012-I1012</f>
        <v>0</v>
      </c>
    </row>
    <row r="1013" customFormat="false" ht="15" hidden="false" customHeight="true" outlineLevel="0" collapsed="false">
      <c r="B1013" s="1551" t="str">
        <f aca="false">'Смета Внутр'!B1013</f>
        <v>монтаж веранды/крыльцо</v>
      </c>
      <c r="C1013" s="1551" t="str">
        <f aca="false">'Смета Внутр'!C1013</f>
        <v>м2</v>
      </c>
      <c r="D1013" s="1551" t="n">
        <f aca="false">'Смета Внутр'!D1013</f>
        <v>3</v>
      </c>
      <c r="F1013" s="1551" t="n">
        <f aca="false">'Смета Внутр'!E1013</f>
        <v>1500</v>
      </c>
      <c r="G1013" s="1551" t="n">
        <f aca="false">'Смета Внутр'!H1013</f>
        <v>0</v>
      </c>
      <c r="I1013" s="3179" t="n">
        <f aca="false">IF(F1013&lt;H1013,F1013*(D1013-E1013),0)+IF(H1013=0,(D1013-E1013)*F1013,0)+IF(H1013&lt;F1013,H1013*(D1013-E1013),0)</f>
        <v>4500</v>
      </c>
      <c r="J1013" s="3179" t="n">
        <f aca="false">G1013-I1013</f>
        <v>-4500</v>
      </c>
    </row>
    <row r="1014" customFormat="false" ht="15" hidden="false" customHeight="true" outlineLevel="0" collapsed="false">
      <c r="B1014" s="1692" t="s">
        <v>4333</v>
      </c>
      <c r="C1014" s="1692"/>
      <c r="D1014" s="1692"/>
      <c r="E1014" s="1692"/>
      <c r="F1014" s="1692"/>
      <c r="G1014" s="1551" t="n">
        <f aca="false">'Смета Внутр'!H1014</f>
        <v>0</v>
      </c>
      <c r="H1014" s="1584"/>
      <c r="I1014" s="3179" t="n">
        <f aca="false">IF(F1014&lt;H1014,F1014*(D1014-E1014),0)+IF(H1014=0,(D1014-E1014)*F1014,0)+IF(H1014&lt;F1014,H1014*(D1014-E1014),0)</f>
        <v>0</v>
      </c>
      <c r="J1014" s="3179" t="n">
        <f aca="false">G1014-I1014</f>
        <v>0</v>
      </c>
    </row>
    <row r="1015" customFormat="false" ht="15" hidden="false" customHeight="true" outlineLevel="0" collapsed="false">
      <c r="B1015" s="1551" t="str">
        <f aca="false">'Смета Внутр'!B1015</f>
        <v>Балкон</v>
      </c>
      <c r="C1015" s="1551" t="n">
        <f aca="false">'Смета Внутр'!C1015</f>
        <v>0</v>
      </c>
      <c r="D1015" s="1551" t="n">
        <f aca="false">'Смета Внутр'!D1015</f>
        <v>0</v>
      </c>
      <c r="F1015" s="1551" t="n">
        <f aca="false">'Смета Внутр'!E1015</f>
        <v>0</v>
      </c>
      <c r="G1015" s="1551" t="n">
        <f aca="false">'Смета Внутр'!H1015</f>
        <v>0</v>
      </c>
      <c r="I1015" s="3179" t="n">
        <f aca="false">IF(F1015&lt;H1015,F1015*(D1015-E1015),0)+IF(H1015=0,(D1015-E1015)*F1015,0)+IF(H1015&lt;F1015,H1015*(D1015-E1015),0)</f>
        <v>0</v>
      </c>
      <c r="J1015" s="3179" t="n">
        <f aca="false">G1015-I1015</f>
        <v>0</v>
      </c>
    </row>
    <row r="1016" customFormat="false" ht="15" hidden="false" customHeight="true" outlineLevel="0" collapsed="false">
      <c r="B1016" s="1268" t="str">
        <f aca="false">'Смета Внутр'!B1016</f>
        <v>Материалы</v>
      </c>
      <c r="C1016" s="1268"/>
      <c r="D1016" s="1268"/>
      <c r="E1016" s="1268"/>
      <c r="F1016" s="1268"/>
      <c r="G1016" s="1551" t="n">
        <f aca="false">'Смета Внутр'!H1016</f>
        <v>0</v>
      </c>
      <c r="H1016" s="3175"/>
      <c r="I1016" s="3179" t="n">
        <f aca="false">IF(F1016&lt;H1016,F1016*(D1016-E1016),0)+IF(H1016=0,(D1016-E1016)*F1016,0)+IF(H1016&lt;F1016,H1016*(D1016-E1016),0)</f>
        <v>0</v>
      </c>
      <c r="J1016" s="3179" t="n">
        <f aca="false">G1016-I1016</f>
        <v>0</v>
      </c>
    </row>
    <row r="1017" customFormat="false" ht="15" hidden="false" customHeight="true" outlineLevel="0" collapsed="false">
      <c r="B1017" s="1551" t="str">
        <f aca="false">'Смета Внутр'!B1017</f>
        <v>Оцилиндрованное бревно сосна 260мм</v>
      </c>
      <c r="C1017" s="1551" t="str">
        <f aca="false">'Смета Внутр'!C1017</f>
        <v>м3</v>
      </c>
      <c r="D1017" s="1551" t="n">
        <f aca="false">'Смета Внутр'!D1017</f>
        <v>1.17</v>
      </c>
      <c r="F1017" s="1551" t="n">
        <f aca="false">'Смета Внутр'!E1017</f>
        <v>8500</v>
      </c>
      <c r="G1017" s="1551" t="n">
        <f aca="false">'Смета Внутр'!H1017</f>
        <v>0</v>
      </c>
      <c r="I1017" s="3179" t="n">
        <f aca="false">IF(F1017&lt;H1017,F1017*(D1017-E1017),0)+IF(H1017=0,(D1017-E1017)*F1017,0)+IF(H1017&lt;F1017,H1017*(D1017-E1017),0)</f>
        <v>9945</v>
      </c>
      <c r="J1017" s="3179" t="n">
        <f aca="false">G1017-I1017</f>
        <v>-9945</v>
      </c>
    </row>
    <row r="1018" customFormat="false" ht="15" hidden="false" customHeight="true" outlineLevel="0" collapsed="false">
      <c r="B1018" s="1551" t="str">
        <f aca="false">'Смета Внутр'!B1018</f>
        <v>Доска естественной влажности, 200*50мм</v>
      </c>
      <c r="C1018" s="1551" t="str">
        <f aca="false">'Смета Внутр'!C1018</f>
        <v>м3</v>
      </c>
      <c r="D1018" s="1551" t="n">
        <f aca="false">'Смета Внутр'!D1018</f>
        <v>0.09</v>
      </c>
      <c r="F1018" s="1551" t="n">
        <f aca="false">'Смета Внутр'!E1018</f>
        <v>6500</v>
      </c>
      <c r="G1018" s="1551" t="n">
        <f aca="false">'Смета Внутр'!H1018</f>
        <v>0</v>
      </c>
      <c r="I1018" s="3179" t="n">
        <f aca="false">IF(F1018&lt;H1018,F1018*(D1018-E1018),0)+IF(H1018=0,(D1018-E1018)*F1018,0)+IF(H1018&lt;F1018,H1018*(D1018-E1018),0)</f>
        <v>585</v>
      </c>
      <c r="J1018" s="3179" t="n">
        <f aca="false">G1018-I1018</f>
        <v>-585</v>
      </c>
    </row>
    <row r="1019" customFormat="false" ht="15" hidden="false" customHeight="true" outlineLevel="0" collapsed="false">
      <c r="B1019" s="1551" t="str">
        <f aca="false">'Смета Внутр'!B1019</f>
        <v>Бензин для пилы</v>
      </c>
      <c r="C1019" s="1551" t="str">
        <f aca="false">'Смета Внутр'!C1019</f>
        <v>л</v>
      </c>
      <c r="D1019" s="1551" t="n">
        <f aca="false">'Смета Внутр'!D1019</f>
        <v>0.63</v>
      </c>
      <c r="F1019" s="1551" t="n">
        <f aca="false">'Смета Внутр'!E1019</f>
        <v>40</v>
      </c>
      <c r="G1019" s="1551" t="n">
        <f aca="false">'Смета Внутр'!H1019</f>
        <v>0</v>
      </c>
      <c r="I1019" s="3179" t="n">
        <f aca="false">IF(F1019&lt;H1019,F1019*(D1019-E1019),0)+IF(H1019=0,(D1019-E1019)*F1019,0)+IF(H1019&lt;F1019,H1019*(D1019-E1019),0)</f>
        <v>25.2</v>
      </c>
      <c r="J1019" s="3179" t="n">
        <f aca="false">G1019-I1019</f>
        <v>-25.2</v>
      </c>
    </row>
    <row r="1020" customFormat="false" ht="15" hidden="false" customHeight="true" outlineLevel="0" collapsed="false">
      <c r="B1020" s="1551" t="str">
        <f aca="false">'Смета Внутр'!B1020</f>
        <v>Масло для пилы</v>
      </c>
      <c r="C1020" s="1551" t="str">
        <f aca="false">'Смета Внутр'!C1020</f>
        <v>л</v>
      </c>
      <c r="D1020" s="1551" t="n">
        <f aca="false">'Смета Внутр'!D1020</f>
        <v>0.0525</v>
      </c>
      <c r="F1020" s="1551" t="n">
        <f aca="false">'Смета Внутр'!E1020</f>
        <v>250</v>
      </c>
      <c r="G1020" s="1551" t="n">
        <f aca="false">'Смета Внутр'!H1020</f>
        <v>0</v>
      </c>
      <c r="I1020" s="3179" t="n">
        <f aca="false">IF(F1020&lt;H1020,F1020*(D1020-E1020),0)+IF(H1020=0,(D1020-E1020)*F1020,0)+IF(H1020&lt;F1020,H1020*(D1020-E1020),0)</f>
        <v>13.125</v>
      </c>
      <c r="J1020" s="3179" t="n">
        <f aca="false">G1020-I1020</f>
        <v>-13.125</v>
      </c>
    </row>
    <row r="1021" customFormat="false" ht="15" hidden="false" customHeight="true" outlineLevel="0" collapsed="false">
      <c r="B1021" s="1551" t="str">
        <f aca="false">'Смета Внутр'!B1021</f>
        <v>Цепь для пилы</v>
      </c>
      <c r="C1021" s="1551" t="str">
        <f aca="false">'Смета Внутр'!C1021</f>
        <v>л</v>
      </c>
      <c r="D1021" s="1551" t="n">
        <f aca="false">'Смета Внутр'!D1021</f>
        <v>1</v>
      </c>
      <c r="F1021" s="1551" t="n">
        <f aca="false">'Смета Внутр'!E1021</f>
        <v>800</v>
      </c>
      <c r="G1021" s="1551" t="n">
        <f aca="false">'Смета Внутр'!H1021</f>
        <v>0</v>
      </c>
      <c r="I1021" s="3179" t="n">
        <f aca="false">IF(F1021&lt;H1021,F1021*(D1021-E1021),0)+IF(H1021=0,(D1021-E1021)*F1021,0)+IF(H1021&lt;F1021,H1021*(D1021-E1021),0)</f>
        <v>800</v>
      </c>
      <c r="J1021" s="3179" t="n">
        <f aca="false">G1021-I1021</f>
        <v>-800</v>
      </c>
    </row>
    <row r="1022" customFormat="false" ht="15" hidden="false" customHeight="true" outlineLevel="0" collapsed="false">
      <c r="B1022" s="1551" t="str">
        <f aca="false">'Смета Внутр'!B1022</f>
        <v>Гидроизоляция жидкая резина 1</v>
      </c>
      <c r="C1022" s="1551" t="str">
        <f aca="false">'Смета Внутр'!C1022</f>
        <v>кг</v>
      </c>
      <c r="D1022" s="1551" t="n">
        <f aca="false">'Смета Внутр'!D1022</f>
        <v>0</v>
      </c>
      <c r="F1022" s="1551" t="n">
        <f aca="false">'Смета Внутр'!E1022</f>
        <v>150</v>
      </c>
      <c r="G1022" s="1551" t="n">
        <f aca="false">'Смета Внутр'!H1022</f>
        <v>0</v>
      </c>
      <c r="I1022" s="3179" t="n">
        <f aca="false">IF(F1022&lt;H1022,F1022*(D1022-E1022),0)+IF(H1022=0,(D1022-E1022)*F1022,0)+IF(H1022&lt;F1022,H1022*(D1022-E1022),0)</f>
        <v>0</v>
      </c>
      <c r="J1022" s="3179" t="n">
        <f aca="false">G1022-I1022</f>
        <v>0</v>
      </c>
    </row>
    <row r="1023" customFormat="false" ht="15" hidden="false" customHeight="true" outlineLevel="0" collapsed="false">
      <c r="B1023" s="1551" t="str">
        <f aca="false">'Смета Внутр'!B1023</f>
        <v>Kronospan - OSB-3, 22мм</v>
      </c>
      <c r="C1023" s="1551" t="str">
        <f aca="false">'Смета Внутр'!C1023</f>
        <v>м2</v>
      </c>
      <c r="D1023" s="1551" t="n">
        <f aca="false">'Смета Внутр'!D1023</f>
        <v>0</v>
      </c>
      <c r="F1023" s="1551" t="n">
        <f aca="false">'Смета Внутр'!E1023</f>
        <v>526.666666666667</v>
      </c>
      <c r="G1023" s="1551" t="n">
        <f aca="false">'Смета Внутр'!H1023</f>
        <v>0</v>
      </c>
      <c r="I1023" s="3179" t="n">
        <f aca="false">IF(F1023&lt;H1023,F1023*(D1023-E1023),0)+IF(H1023=0,(D1023-E1023)*F1023,0)+IF(H1023&lt;F1023,H1023*(D1023-E1023),0)</f>
        <v>0</v>
      </c>
      <c r="J1023" s="3179" t="n">
        <f aca="false">G1023-I1023</f>
        <v>0</v>
      </c>
    </row>
    <row r="1024" customFormat="false" ht="15" hidden="false" customHeight="true" outlineLevel="0" collapsed="false">
      <c r="B1024" s="1551" t="str">
        <f aca="false">'Смета Внутр'!B1024</f>
        <v>Проф.брус вл. 200*150мм</v>
      </c>
      <c r="C1024" s="1551" t="str">
        <f aca="false">'Смета Внутр'!C1024</f>
        <v>м3</v>
      </c>
      <c r="D1024" s="1551" t="n">
        <f aca="false">'Смета Внутр'!D1024</f>
        <v>0</v>
      </c>
      <c r="F1024" s="1551" t="n">
        <f aca="false">'Смета Внутр'!E1024</f>
        <v>9300</v>
      </c>
      <c r="G1024" s="1551" t="n">
        <f aca="false">'Смета Внутр'!H1024</f>
        <v>0</v>
      </c>
      <c r="I1024" s="3179" t="n">
        <f aca="false">IF(F1024&lt;H1024,F1024*(D1024-E1024),0)+IF(H1024=0,(D1024-E1024)*F1024,0)+IF(H1024&lt;F1024,H1024*(D1024-E1024),0)</f>
        <v>0</v>
      </c>
      <c r="J1024" s="3179" t="n">
        <f aca="false">G1024-I1024</f>
        <v>0</v>
      </c>
    </row>
    <row r="1025" customFormat="false" ht="15" hidden="false" customHeight="true" outlineLevel="0" collapsed="false">
      <c r="B1025" s="1551" t="str">
        <f aca="false">'Смета Внутр'!B1025</f>
        <v>Брус клееный проф 2 ламель кедр Шир. 240 выс. 140</v>
      </c>
      <c r="C1025" s="1551" t="str">
        <f aca="false">'Смета Внутр'!C1025</f>
        <v>м3</v>
      </c>
      <c r="D1025" s="1551" t="n">
        <f aca="false">'Смета Внутр'!D1025</f>
        <v>0</v>
      </c>
      <c r="F1025" s="1551" t="n">
        <f aca="false">'Смета Внутр'!E1025</f>
        <v>24000</v>
      </c>
      <c r="G1025" s="1551" t="n">
        <f aca="false">'Смета Внутр'!H1025</f>
        <v>0</v>
      </c>
      <c r="I1025" s="3179" t="n">
        <f aca="false">IF(F1025&lt;H1025,F1025*(D1025-E1025),0)+IF(H1025=0,(D1025-E1025)*F1025,0)+IF(H1025&lt;F1025,H1025*(D1025-E1025),0)</f>
        <v>0</v>
      </c>
      <c r="J1025" s="3179" t="n">
        <f aca="false">G1025-I1025</f>
        <v>0</v>
      </c>
    </row>
    <row r="1026" customFormat="false" ht="15" hidden="false" customHeight="true" outlineLevel="0" collapsed="false">
      <c r="B1026" s="1551" t="str">
        <f aca="false">'Смета Внутр'!B1026</f>
        <v>Брус клееный проф 1 ламель кедр Шир. 240 выс. 140</v>
      </c>
      <c r="C1026" s="1551" t="str">
        <f aca="false">'Смета Внутр'!C1026</f>
        <v>м3</v>
      </c>
      <c r="D1026" s="1551" t="n">
        <f aca="false">'Смета Внутр'!D1026</f>
        <v>0</v>
      </c>
      <c r="F1026" s="1551" t="n">
        <f aca="false">'Смета Внутр'!E1026</f>
        <v>24000</v>
      </c>
      <c r="G1026" s="1551" t="n">
        <f aca="false">'Смета Внутр'!H1026</f>
        <v>0</v>
      </c>
      <c r="I1026" s="3179" t="n">
        <f aca="false">IF(F1026&lt;H1026,F1026*(D1026-E1026),0)+IF(H1026=0,(D1026-E1026)*F1026,0)+IF(H1026&lt;F1026,H1026*(D1026-E1026),0)</f>
        <v>0</v>
      </c>
      <c r="J1026" s="3179" t="n">
        <f aca="false">G1026-I1026</f>
        <v>0</v>
      </c>
    </row>
    <row r="1027" customFormat="false" ht="15" hidden="false" customHeight="true" outlineLevel="0" collapsed="false">
      <c r="B1027" s="1551" t="str">
        <f aca="false">'Смета Внутр'!B1027</f>
        <v>Клееная накладка на перила шир 240мм</v>
      </c>
      <c r="C1027" s="1551" t="str">
        <f aca="false">'Смета Внутр'!C1027</f>
        <v>м.п.</v>
      </c>
      <c r="D1027" s="1551" t="n">
        <f aca="false">'Смета Внутр'!D1027</f>
        <v>0</v>
      </c>
      <c r="F1027" s="1551" t="n">
        <f aca="false">'Смета Внутр'!E1027</f>
        <v>400</v>
      </c>
      <c r="G1027" s="1551" t="n">
        <f aca="false">'Смета Внутр'!H1027</f>
        <v>0</v>
      </c>
      <c r="I1027" s="3179" t="n">
        <f aca="false">IF(F1027&lt;H1027,F1027*(D1027-E1027),0)+IF(H1027=0,(D1027-E1027)*F1027,0)+IF(H1027&lt;F1027,H1027*(D1027-E1027),0)</f>
        <v>0</v>
      </c>
      <c r="J1027" s="3179" t="n">
        <f aca="false">G1027-I1027</f>
        <v>0</v>
      </c>
    </row>
    <row r="1028" customFormat="false" ht="15" hidden="false" customHeight="true" outlineLevel="0" collapsed="false">
      <c r="B1028" s="1692" t="s">
        <v>4332</v>
      </c>
      <c r="C1028" s="1692"/>
      <c r="D1028" s="1692"/>
      <c r="E1028" s="1692"/>
      <c r="F1028" s="1692"/>
      <c r="G1028" s="1551" t="n">
        <f aca="false">'Смета Внутр'!H1028</f>
        <v>0</v>
      </c>
      <c r="H1028" s="3184"/>
      <c r="I1028" s="3179" t="n">
        <f aca="false">IF(F1028&lt;H1028,F1028*(D1028-E1028),0)+IF(H1028=0,(D1028-E1028)*F1028,0)+IF(H1028&lt;F1028,H1028*(D1028-E1028),0)</f>
        <v>0</v>
      </c>
      <c r="J1028" s="3179" t="n">
        <f aca="false">G1028-I1028</f>
        <v>0</v>
      </c>
    </row>
    <row r="1029" customFormat="false" ht="15" hidden="false" customHeight="true" outlineLevel="0" collapsed="false">
      <c r="B1029" s="1268" t="str">
        <f aca="false">'Смета Внутр'!B1029</f>
        <v>Работы</v>
      </c>
      <c r="C1029" s="1268"/>
      <c r="D1029" s="1268"/>
      <c r="E1029" s="1268"/>
      <c r="F1029" s="1268"/>
      <c r="G1029" s="1551" t="n">
        <f aca="false">'Смета Внутр'!H1029</f>
        <v>0</v>
      </c>
      <c r="H1029" s="3175"/>
      <c r="I1029" s="3179" t="n">
        <f aca="false">IF(F1029&lt;H1029,F1029*(D1029-E1029),0)+IF(H1029=0,(D1029-E1029)*F1029,0)+IF(H1029&lt;F1029,H1029*(D1029-E1029),0)</f>
        <v>0</v>
      </c>
      <c r="J1029" s="3179" t="n">
        <f aca="false">G1029-I1029</f>
        <v>0</v>
      </c>
    </row>
    <row r="1030" customFormat="false" ht="15" hidden="false" customHeight="true" outlineLevel="0" collapsed="false">
      <c r="B1030" s="1551" t="str">
        <f aca="false">'Смета Внутр'!B1030</f>
        <v>кладка бруса</v>
      </c>
      <c r="C1030" s="1551" t="str">
        <f aca="false">'Смета Внутр'!C1030</f>
        <v>м3</v>
      </c>
      <c r="D1030" s="1551" t="n">
        <f aca="false">'Смета Внутр'!D1030</f>
        <v>1.17</v>
      </c>
      <c r="F1030" s="1551" t="n">
        <f aca="false">'Смета Внутр'!E1030</f>
        <v>4000</v>
      </c>
      <c r="G1030" s="1551" t="n">
        <f aca="false">'Смета Внутр'!H1030</f>
        <v>0</v>
      </c>
      <c r="I1030" s="3179" t="n">
        <f aca="false">IF(F1030&lt;H1030,F1030*(D1030-E1030),0)+IF(H1030=0,(D1030-E1030)*F1030,0)+IF(H1030&lt;F1030,H1030*(D1030-E1030),0)</f>
        <v>4680</v>
      </c>
      <c r="J1030" s="3179" t="n">
        <f aca="false">G1030-I1030</f>
        <v>-4680</v>
      </c>
    </row>
    <row r="1031" customFormat="false" ht="15" hidden="false" customHeight="true" outlineLevel="0" collapsed="false">
      <c r="B1031" s="1551" t="str">
        <f aca="false">'Смета Внутр'!B1031</f>
        <v>Монтаж перекрытий из бруса</v>
      </c>
      <c r="C1031" s="1551" t="str">
        <f aca="false">'Смета Внутр'!C1031</f>
        <v>м2</v>
      </c>
      <c r="D1031" s="1551" t="n">
        <f aca="false">'Смета Внутр'!D1031</f>
        <v>3</v>
      </c>
      <c r="F1031" s="1551" t="n">
        <f aca="false">'Смета Внутр'!E1031</f>
        <v>300</v>
      </c>
      <c r="G1031" s="1551" t="n">
        <f aca="false">'Смета Внутр'!H1031</f>
        <v>0</v>
      </c>
      <c r="I1031" s="3179" t="n">
        <f aca="false">IF(F1031&lt;H1031,F1031*(D1031-E1031),0)+IF(H1031=0,(D1031-E1031)*F1031,0)+IF(H1031&lt;F1031,H1031*(D1031-E1031),0)</f>
        <v>900</v>
      </c>
      <c r="J1031" s="3179" t="n">
        <f aca="false">G1031-I1031</f>
        <v>-900</v>
      </c>
    </row>
    <row r="1032" customFormat="false" ht="15" hidden="false" customHeight="true" outlineLevel="0" collapsed="false">
      <c r="B1032" s="1551" t="str">
        <f aca="false">'Смета Внутр'!B1032</f>
        <v>Гидроизоляция рулонная</v>
      </c>
      <c r="C1032" s="1551" t="str">
        <f aca="false">'Смета Внутр'!C1032</f>
        <v>м2</v>
      </c>
      <c r="D1032" s="1551" t="n">
        <f aca="false">'Смета Внутр'!D1032</f>
        <v>0</v>
      </c>
      <c r="F1032" s="1551" t="n">
        <f aca="false">'Смета Внутр'!E1032</f>
        <v>250</v>
      </c>
      <c r="G1032" s="1551" t="n">
        <f aca="false">'Смета Внутр'!H1032</f>
        <v>0</v>
      </c>
      <c r="I1032" s="3179" t="n">
        <f aca="false">IF(F1032&lt;H1032,F1032*(D1032-E1032),0)+IF(H1032=0,(D1032-E1032)*F1032,0)+IF(H1032&lt;F1032,H1032*(D1032-E1032),0)</f>
        <v>0</v>
      </c>
      <c r="J1032" s="3179" t="n">
        <f aca="false">G1032-I1032</f>
        <v>0</v>
      </c>
    </row>
    <row r="1033" customFormat="false" ht="15" hidden="false" customHeight="true" outlineLevel="0" collapsed="false">
      <c r="B1033" s="1551" t="str">
        <f aca="false">'Смета Внутр'!B1033</f>
        <v>монтаж OSB пол</v>
      </c>
      <c r="C1033" s="1551" t="str">
        <f aca="false">'Смета Внутр'!C1033</f>
        <v>м2</v>
      </c>
      <c r="D1033" s="1551" t="n">
        <f aca="false">'Смета Внутр'!D1033</f>
        <v>0</v>
      </c>
      <c r="F1033" s="1551" t="n">
        <f aca="false">'Смета Внутр'!E1033</f>
        <v>250</v>
      </c>
      <c r="G1033" s="1551" t="n">
        <f aca="false">'Смета Внутр'!H1033</f>
        <v>0</v>
      </c>
      <c r="I1033" s="3179" t="n">
        <f aca="false">IF(F1033&lt;H1033,F1033*(D1033-E1033),0)+IF(H1033=0,(D1033-E1033)*F1033,0)+IF(H1033&lt;F1033,H1033*(D1033-E1033),0)</f>
        <v>0</v>
      </c>
      <c r="J1033" s="3179" t="n">
        <f aca="false">G1033-I1033</f>
        <v>0</v>
      </c>
    </row>
    <row r="1034" customFormat="false" ht="15" hidden="false" customHeight="true" outlineLevel="0" collapsed="false">
      <c r="B1034" s="1551" t="str">
        <f aca="false">'Смета Внутр'!B1034</f>
        <v>Монтаж перил</v>
      </c>
      <c r="C1034" s="1551" t="str">
        <f aca="false">'Смета Внутр'!C1034</f>
        <v>м.п.</v>
      </c>
      <c r="D1034" s="1551" t="n">
        <f aca="false">'Смета Внутр'!D1034</f>
        <v>0</v>
      </c>
      <c r="F1034" s="1551" t="n">
        <f aca="false">'Смета Внутр'!E1034</f>
        <v>500</v>
      </c>
      <c r="G1034" s="1551" t="n">
        <f aca="false">'Смета Внутр'!H1034</f>
        <v>0</v>
      </c>
      <c r="I1034" s="3179" t="n">
        <f aca="false">IF(F1034&lt;H1034,F1034*(D1034-E1034),0)+IF(H1034=0,(D1034-E1034)*F1034,0)+IF(H1034&lt;F1034,H1034*(D1034-E1034),0)</f>
        <v>0</v>
      </c>
      <c r="J1034" s="3179" t="n">
        <f aca="false">G1034-I1034</f>
        <v>0</v>
      </c>
    </row>
    <row r="1035" customFormat="false" ht="15" hidden="false" customHeight="true" outlineLevel="0" collapsed="false">
      <c r="B1035" s="1551" t="str">
        <f aca="false">'Смета Внутр'!B1035</f>
        <v>Монтаж накладки на перила</v>
      </c>
      <c r="C1035" s="1551" t="str">
        <f aca="false">'Смета Внутр'!C1035</f>
        <v>м.п.</v>
      </c>
      <c r="D1035" s="1551" t="n">
        <f aca="false">'Смета Внутр'!D1035</f>
        <v>0</v>
      </c>
      <c r="F1035" s="1551" t="n">
        <f aca="false">'Смета Внутр'!E1035</f>
        <v>0</v>
      </c>
      <c r="G1035" s="1551" t="n">
        <f aca="false">'Смета Внутр'!H1035</f>
        <v>0</v>
      </c>
      <c r="I1035" s="3179" t="n">
        <f aca="false">IF(F1035&lt;H1035,F1035*(D1035-E1035),0)+IF(H1035=0,(D1035-E1035)*F1035,0)+IF(H1035&lt;F1035,H1035*(D1035-E1035),0)</f>
        <v>0</v>
      </c>
      <c r="J1035" s="3179" t="n">
        <f aca="false">G1035-I1035</f>
        <v>0</v>
      </c>
    </row>
    <row r="1036" customFormat="false" ht="15" hidden="false" customHeight="false" outlineLevel="0" collapsed="false">
      <c r="B1036" s="1692" t="s">
        <v>4333</v>
      </c>
      <c r="C1036" s="1692"/>
      <c r="D1036" s="1692"/>
      <c r="E1036" s="1692"/>
      <c r="F1036" s="1692"/>
      <c r="G1036" s="1551" t="n">
        <f aca="false">'Смета Внутр'!H1036</f>
        <v>0</v>
      </c>
      <c r="H1036" s="1584"/>
      <c r="I1036" s="3179" t="n">
        <f aca="false">IF(F1036&lt;H1036,F1036*(D1036-E1036),0)+IF(H1036=0,(D1036-E1036)*F1036,0)+IF(H1036&lt;F1036,H1036*(D1036-E1036),0)</f>
        <v>0</v>
      </c>
      <c r="J1036" s="3179" t="n">
        <f aca="false">G1036-I1036</f>
        <v>0</v>
      </c>
    </row>
    <row r="1037" customFormat="false" ht="15" hidden="false" customHeight="true" outlineLevel="0" collapsed="false">
      <c r="B1037" s="1551" t="str">
        <f aca="false">'Смета Внутр'!B1037</f>
        <v>Кровля односкатная</v>
      </c>
      <c r="C1037" s="1551" t="n">
        <f aca="false">'Смета Внутр'!C1037</f>
        <v>0</v>
      </c>
      <c r="D1037" s="1551" t="n">
        <f aca="false">'Смета Внутр'!D1037</f>
        <v>0</v>
      </c>
      <c r="F1037" s="1551" t="n">
        <f aca="false">'Смета Внутр'!E1037</f>
        <v>0</v>
      </c>
      <c r="G1037" s="1551" t="n">
        <f aca="false">'Смета Внутр'!H1037</f>
        <v>0</v>
      </c>
      <c r="I1037" s="3179" t="n">
        <f aca="false">IF(F1037&lt;H1037,F1037*(D1037-E1037),0)+IF(H1037=0,(D1037-E1037)*F1037,0)+IF(H1037&lt;F1037,H1037*(D1037-E1037),0)</f>
        <v>0</v>
      </c>
      <c r="J1037" s="3179" t="n">
        <f aca="false">G1037-I1037</f>
        <v>0</v>
      </c>
    </row>
    <row r="1038" customFormat="false" ht="15" hidden="false" customHeight="true" outlineLevel="0" collapsed="false">
      <c r="B1038" s="1268" t="str">
        <f aca="false">'Смета Внутр'!B1038</f>
        <v>Материалы</v>
      </c>
      <c r="C1038" s="1268"/>
      <c r="D1038" s="1268"/>
      <c r="E1038" s="1268"/>
      <c r="F1038" s="1268"/>
      <c r="G1038" s="1551" t="n">
        <f aca="false">'Смета Внутр'!H1038</f>
        <v>0</v>
      </c>
      <c r="H1038" s="3175"/>
      <c r="I1038" s="3179" t="n">
        <f aca="false">IF(F1038&lt;H1038,F1038*(D1038-E1038),0)+IF(H1038=0,(D1038-E1038)*F1038,0)+IF(H1038&lt;F1038,H1038*(D1038-E1038),0)</f>
        <v>0</v>
      </c>
      <c r="J1038" s="3179" t="n">
        <f aca="false">G1038-I1038</f>
        <v>0</v>
      </c>
    </row>
    <row r="1039" customFormat="false" ht="15" hidden="false" customHeight="true" outlineLevel="0" collapsed="false">
      <c r="B1039" s="1551" t="str">
        <f aca="false">'Смета Внутр'!B1039</f>
        <v>нет</v>
      </c>
      <c r="C1039" s="1551" t="str">
        <f aca="false">'Смета Внутр'!C1039</f>
        <v>м3</v>
      </c>
      <c r="D1039" s="1551" t="n">
        <f aca="false">'Смета Внутр'!D1039</f>
        <v>0</v>
      </c>
      <c r="F1039" s="1551" t="n">
        <f aca="false">'Смета Внутр'!E1039</f>
        <v>0</v>
      </c>
      <c r="G1039" s="1551" t="n">
        <f aca="false">'Смета Внутр'!H1039</f>
        <v>0</v>
      </c>
      <c r="I1039" s="3179" t="n">
        <f aca="false">IF(F1039&lt;H1039,F1039*(D1039-E1039),0)+IF(H1039=0,(D1039-E1039)*F1039,0)+IF(H1039&lt;F1039,H1039*(D1039-E1039),0)</f>
        <v>0</v>
      </c>
      <c r="J1039" s="3179" t="n">
        <f aca="false">G1039-I1039</f>
        <v>0</v>
      </c>
    </row>
    <row r="1040" customFormat="false" ht="15" hidden="false" customHeight="true" outlineLevel="0" collapsed="false">
      <c r="B1040" s="1551" t="str">
        <f aca="false">'Смета Внутр'!B1040</f>
        <v>Болты анкерные с гайкой 12,0 х 280          </v>
      </c>
      <c r="C1040" s="1551" t="str">
        <f aca="false">'Смета Внутр'!C1040</f>
        <v>шт</v>
      </c>
      <c r="D1040" s="1551" t="n">
        <f aca="false">'Смета Внутр'!D1040</f>
        <v>36.9990475974507</v>
      </c>
      <c r="F1040" s="1551" t="n">
        <f aca="false">'Смета Внутр'!E1040</f>
        <v>27.1</v>
      </c>
      <c r="G1040" s="1551" t="n">
        <f aca="false">'Смета Внутр'!H1040</f>
        <v>0</v>
      </c>
      <c r="I1040" s="3179" t="n">
        <f aca="false">IF(F1040&lt;H1040,F1040*(D1040-E1040),0)+IF(H1040=0,(D1040-E1040)*F1040,0)+IF(H1040&lt;F1040,H1040*(D1040-E1040),0)</f>
        <v>1002.67418989091</v>
      </c>
      <c r="J1040" s="3179" t="n">
        <f aca="false">G1040-I1040</f>
        <v>-1002.67418989091</v>
      </c>
    </row>
    <row r="1041" customFormat="false" ht="15" hidden="false" customHeight="true" outlineLevel="0" collapsed="false">
      <c r="B1041" s="1551" t="str">
        <f aca="false">'Смета Внутр'!B1041</f>
        <v>Доска сырая, 150*50мм</v>
      </c>
      <c r="C1041" s="1551" t="str">
        <f aca="false">'Смета Внутр'!C1041</f>
        <v>м3</v>
      </c>
      <c r="D1041" s="1551" t="n">
        <f aca="false">'Смета Внутр'!D1041</f>
        <v>0.09</v>
      </c>
      <c r="F1041" s="1551" t="n">
        <f aca="false">'Смета Внутр'!E1041</f>
        <v>6500</v>
      </c>
      <c r="G1041" s="1551" t="n">
        <f aca="false">'Смета Внутр'!H1041</f>
        <v>0</v>
      </c>
      <c r="I1041" s="3179" t="n">
        <f aca="false">IF(F1041&lt;H1041,F1041*(D1041-E1041),0)+IF(H1041=0,(D1041-E1041)*F1041,0)+IF(H1041&lt;F1041,H1041*(D1041-E1041),0)</f>
        <v>585</v>
      </c>
      <c r="J1041" s="3179" t="n">
        <f aca="false">G1041-I1041</f>
        <v>-585</v>
      </c>
    </row>
    <row r="1042" customFormat="false" ht="15" hidden="false" customHeight="true" outlineLevel="0" collapsed="false">
      <c r="B1042" s="1551" t="str">
        <f aca="false">'Смета Внутр'!B1042</f>
        <v>бугель, доска </v>
      </c>
      <c r="C1042" s="1551" t="str">
        <f aca="false">'Смета Внутр'!C1042</f>
        <v>м3</v>
      </c>
      <c r="D1042" s="1551" t="n">
        <f aca="false">'Смета Внутр'!D1042</f>
        <v>0</v>
      </c>
      <c r="F1042" s="1551" t="n">
        <f aca="false">'Смета Внутр'!E1042</f>
        <v>6500</v>
      </c>
      <c r="G1042" s="1551" t="n">
        <f aca="false">'Смета Внутр'!H1042</f>
        <v>0</v>
      </c>
      <c r="I1042" s="3179" t="n">
        <f aca="false">IF(F1042&lt;H1042,F1042*(D1042-E1042),0)+IF(H1042=0,(D1042-E1042)*F1042,0)+IF(H1042&lt;F1042,H1042*(D1042-E1042),0)</f>
        <v>0</v>
      </c>
      <c r="J1042" s="3179" t="n">
        <f aca="false">G1042-I1042</f>
        <v>0</v>
      </c>
    </row>
    <row r="1043" customFormat="false" ht="15" hidden="false" customHeight="true" outlineLevel="0" collapsed="false">
      <c r="B1043" s="1551" t="str">
        <f aca="false">'Смета Внутр'!B1043</f>
        <v>стойка под конек</v>
      </c>
      <c r="C1043" s="1551" t="str">
        <f aca="false">'Смета Внутр'!C1043</f>
        <v>м3</v>
      </c>
      <c r="D1043" s="1551" t="n">
        <f aca="false">'Смета Внутр'!D1043</f>
        <v>0.0612</v>
      </c>
      <c r="F1043" s="1551" t="n">
        <f aca="false">'Смета Внутр'!E1043</f>
        <v>6500</v>
      </c>
      <c r="G1043" s="1551" t="n">
        <f aca="false">'Смета Внутр'!H1043</f>
        <v>0</v>
      </c>
      <c r="I1043" s="3179" t="n">
        <f aca="false">IF(F1043&lt;H1043,F1043*(D1043-E1043),0)+IF(H1043=0,(D1043-E1043)*F1043,0)+IF(H1043&lt;F1043,H1043*(D1043-E1043),0)</f>
        <v>397.8</v>
      </c>
      <c r="J1043" s="3179" t="n">
        <f aca="false">G1043-I1043</f>
        <v>-397.8</v>
      </c>
    </row>
    <row r="1044" customFormat="false" ht="15" hidden="false" customHeight="true" outlineLevel="0" collapsed="false">
      <c r="B1044" s="1551" t="str">
        <f aca="false">'Смета Внутр'!B1044</f>
        <v>Сосна влаж,100*25мм</v>
      </c>
      <c r="C1044" s="1551" t="str">
        <f aca="false">'Смета Внутр'!C1044</f>
        <v>м3</v>
      </c>
      <c r="D1044" s="1551" t="n">
        <f aca="false">'Смета Внутр'!D1044</f>
        <v>0.045</v>
      </c>
      <c r="F1044" s="1551" t="n">
        <f aca="false">'Смета Внутр'!E1044</f>
        <v>6500</v>
      </c>
      <c r="G1044" s="1551" t="n">
        <f aca="false">'Смета Внутр'!H1044</f>
        <v>0</v>
      </c>
      <c r="I1044" s="3179" t="n">
        <f aca="false">IF(F1044&lt;H1044,F1044*(D1044-E1044),0)+IF(H1044=0,(D1044-E1044)*F1044,0)+IF(H1044&lt;F1044,H1044*(D1044-E1044),0)</f>
        <v>292.5</v>
      </c>
      <c r="J1044" s="3179" t="n">
        <f aca="false">G1044-I1044</f>
        <v>-292.5</v>
      </c>
    </row>
    <row r="1045" customFormat="false" ht="15" hidden="false" customHeight="true" outlineLevel="0" collapsed="false">
      <c r="B1045" s="1551" t="str">
        <f aca="false">'Смета Внутр'!B1045</f>
        <v>Сосна влаж, 50*50мм</v>
      </c>
      <c r="C1045" s="1551" t="str">
        <f aca="false">'Смета Внутр'!C1045</f>
        <v>м3</v>
      </c>
      <c r="D1045" s="1551" t="n">
        <f aca="false">'Смета Внутр'!D1045</f>
        <v>0.0375</v>
      </c>
      <c r="F1045" s="1551" t="n">
        <f aca="false">'Смета Внутр'!E1045</f>
        <v>6500</v>
      </c>
      <c r="G1045" s="1551" t="n">
        <f aca="false">'Смета Внутр'!H1045</f>
        <v>0</v>
      </c>
      <c r="I1045" s="3179" t="n">
        <f aca="false">IF(F1045&lt;H1045,F1045*(D1045-E1045),0)+IF(H1045=0,(D1045-E1045)*F1045,0)+IF(H1045&lt;F1045,H1045*(D1045-E1045),0)</f>
        <v>243.75</v>
      </c>
      <c r="J1045" s="3179" t="n">
        <f aca="false">G1045-I1045</f>
        <v>-243.75</v>
      </c>
    </row>
    <row r="1046" customFormat="false" ht="15" hidden="false" customHeight="true" outlineLevel="0" collapsed="false">
      <c r="B1046" s="1551" t="str">
        <f aca="false">'Смета Внутр'!B1046</f>
        <v>Нет</v>
      </c>
      <c r="C1046" s="1551" t="str">
        <f aca="false">'Смета Внутр'!C1046</f>
        <v>м3</v>
      </c>
      <c r="D1046" s="1551" t="n">
        <f aca="false">'Смета Внутр'!D1046</f>
        <v>0</v>
      </c>
      <c r="F1046" s="1551" t="n">
        <f aca="false">'Смета Внутр'!E1046</f>
        <v>0</v>
      </c>
      <c r="G1046" s="1551" t="n">
        <f aca="false">'Смета Внутр'!H1046</f>
        <v>0</v>
      </c>
      <c r="I1046" s="3179" t="n">
        <f aca="false">IF(F1046&lt;H1046,F1046*(D1046-E1046),0)+IF(H1046=0,(D1046-E1046)*F1046,0)+IF(H1046&lt;F1046,H1046*(D1046-E1046),0)</f>
        <v>0</v>
      </c>
      <c r="J1046" s="3179" t="n">
        <f aca="false">G1046-I1046</f>
        <v>0</v>
      </c>
    </row>
    <row r="1047" customFormat="false" ht="15" hidden="false" customHeight="true" outlineLevel="0" collapsed="false">
      <c r="B1047" s="1551" t="str">
        <f aca="false">'Смета Внутр'!B1047</f>
        <v>Гидрокомпенсатор</v>
      </c>
      <c r="C1047" s="1551" t="str">
        <f aca="false">'Смета Внутр'!C1047</f>
        <v>шт</v>
      </c>
      <c r="D1047" s="1551" t="n">
        <f aca="false">'Смета Внутр'!D1047</f>
        <v>0</v>
      </c>
      <c r="F1047" s="1551" t="n">
        <f aca="false">'Смета Внутр'!E1047</f>
        <v>450</v>
      </c>
      <c r="G1047" s="1551" t="n">
        <f aca="false">'Смета Внутр'!H1047</f>
        <v>0</v>
      </c>
      <c r="I1047" s="3179" t="n">
        <f aca="false">IF(F1047&lt;H1047,F1047*(D1047-E1047),0)+IF(H1047=0,(D1047-E1047)*F1047,0)+IF(H1047&lt;F1047,H1047*(D1047-E1047),0)</f>
        <v>0</v>
      </c>
      <c r="J1047" s="3179" t="n">
        <f aca="false">G1047-I1047</f>
        <v>0</v>
      </c>
    </row>
    <row r="1048" customFormat="false" ht="15" hidden="false" customHeight="true" outlineLevel="0" collapsed="false">
      <c r="B1048" s="1551" t="str">
        <f aca="false">'Смета Внутр'!B1048</f>
        <v>Универсальная Optima C</v>
      </c>
      <c r="C1048" s="1551" t="str">
        <f aca="false">'Смета Внутр'!C1048</f>
        <v>м2</v>
      </c>
      <c r="D1048" s="1551" t="n">
        <f aca="false">'Смета Внутр'!D1048</f>
        <v>7.2</v>
      </c>
      <c r="F1048" s="1551" t="n">
        <f aca="false">'Смета Внутр'!E1048</f>
        <v>19</v>
      </c>
      <c r="G1048" s="1551" t="n">
        <f aca="false">'Смета Внутр'!H1048</f>
        <v>0</v>
      </c>
      <c r="I1048" s="3179" t="n">
        <f aca="false">IF(F1048&lt;H1048,F1048*(D1048-E1048),0)+IF(H1048=0,(D1048-E1048)*F1048,0)+IF(H1048&lt;F1048,H1048*(D1048-E1048),0)</f>
        <v>136.8</v>
      </c>
      <c r="J1048" s="3179" t="n">
        <f aca="false">G1048-I1048</f>
        <v>-136.8</v>
      </c>
    </row>
    <row r="1049" customFormat="false" ht="15" hidden="false" customHeight="true" outlineLevel="0" collapsed="false">
      <c r="B1049" s="1551" t="str">
        <f aca="false">'Смета Внутр'!B1049</f>
        <v>Универсальная Optima C</v>
      </c>
      <c r="C1049" s="1551" t="str">
        <f aca="false">'Смета Внутр'!C1049</f>
        <v>м2</v>
      </c>
      <c r="D1049" s="1551" t="n">
        <f aca="false">'Смета Внутр'!D1049</f>
        <v>0</v>
      </c>
      <c r="F1049" s="1551" t="n">
        <f aca="false">'Смета Внутр'!E1049</f>
        <v>20</v>
      </c>
      <c r="G1049" s="1551" t="n">
        <f aca="false">'Смета Внутр'!H1049</f>
        <v>0</v>
      </c>
      <c r="I1049" s="3179" t="n">
        <f aca="false">IF(F1049&lt;H1049,F1049*(D1049-E1049),0)+IF(H1049=0,(D1049-E1049)*F1049,0)+IF(H1049&lt;F1049,H1049*(D1049-E1049),0)</f>
        <v>0</v>
      </c>
      <c r="J1049" s="3179" t="n">
        <f aca="false">G1049-I1049</f>
        <v>0</v>
      </c>
    </row>
    <row r="1050" customFormat="false" ht="15" hidden="false" customHeight="true" outlineLevel="0" collapsed="false">
      <c r="B1050" s="1551" t="str">
        <f aca="false">'Смета Внутр'!B1050</f>
        <v>Плитный,28кг/м3, технониколь, 100мм</v>
      </c>
      <c r="C1050" s="1551" t="str">
        <f aca="false">'Смета Внутр'!C1050</f>
        <v>м3</v>
      </c>
      <c r="D1050" s="1551" t="n">
        <f aca="false">'Смета Внутр'!D1050</f>
        <v>0</v>
      </c>
      <c r="F1050" s="1551" t="n">
        <f aca="false">'Смета Внутр'!E1050</f>
        <v>1700</v>
      </c>
      <c r="G1050" s="1551" t="n">
        <f aca="false">'Смета Внутр'!H1050</f>
        <v>0</v>
      </c>
      <c r="I1050" s="3179" t="n">
        <f aca="false">IF(F1050&lt;H1050,F1050*(D1050-E1050),0)+IF(H1050=0,(D1050-E1050)*F1050,0)+IF(H1050&lt;F1050,H1050*(D1050-E1050),0)</f>
        <v>0</v>
      </c>
      <c r="J1050" s="3179" t="n">
        <f aca="false">G1050-I1050</f>
        <v>0</v>
      </c>
    </row>
    <row r="1051" customFormat="false" ht="15" hidden="false" customHeight="true" outlineLevel="0" collapsed="false">
      <c r="B1051" s="1551" t="str">
        <f aca="false">'Смета Внутр'!B1051</f>
        <v>Металлочерепица</v>
      </c>
      <c r="C1051" s="1551" t="str">
        <f aca="false">'Смета Внутр'!C1051</f>
        <v>м2</v>
      </c>
      <c r="D1051" s="1551" t="n">
        <f aca="false">'Смета Внутр'!D1051</f>
        <v>7.2</v>
      </c>
      <c r="F1051" s="1551" t="n">
        <f aca="false">'Смета Внутр'!E1051</f>
        <v>250</v>
      </c>
      <c r="G1051" s="1551" t="n">
        <f aca="false">'Смета Внутр'!H1051</f>
        <v>0</v>
      </c>
      <c r="I1051" s="3179" t="n">
        <f aca="false">IF(F1051&lt;H1051,F1051*(D1051-E1051),0)+IF(H1051=0,(D1051-E1051)*F1051,0)+IF(H1051&lt;F1051,H1051*(D1051-E1051),0)</f>
        <v>1800</v>
      </c>
      <c r="J1051" s="3179" t="n">
        <f aca="false">G1051-I1051</f>
        <v>-1800</v>
      </c>
    </row>
    <row r="1052" customFormat="false" ht="15" hidden="false" customHeight="true" outlineLevel="0" collapsed="false">
      <c r="B1052" s="1551" t="str">
        <f aca="false">'Смета Внутр'!B1052</f>
        <v>Карнизная планка</v>
      </c>
      <c r="C1052" s="1551" t="str">
        <f aca="false">'Смета Внутр'!C1052</f>
        <v>м.п.</v>
      </c>
      <c r="D1052" s="1551" t="n">
        <f aca="false">'Смета Внутр'!D1052</f>
        <v>0</v>
      </c>
      <c r="F1052" s="1551" t="n">
        <f aca="false">'Смета Внутр'!E1052</f>
        <v>190</v>
      </c>
      <c r="G1052" s="1551" t="n">
        <f aca="false">'Смета Внутр'!H1052</f>
        <v>0</v>
      </c>
      <c r="I1052" s="3179" t="n">
        <f aca="false">IF(F1052&lt;H1052,F1052*(D1052-E1052),0)+IF(H1052=0,(D1052-E1052)*F1052,0)+IF(H1052&lt;F1052,H1052*(D1052-E1052),0)</f>
        <v>0</v>
      </c>
      <c r="J1052" s="3179" t="n">
        <f aca="false">G1052-I1052</f>
        <v>0</v>
      </c>
    </row>
    <row r="1053" customFormat="false" ht="15" hidden="false" customHeight="true" outlineLevel="0" collapsed="false">
      <c r="B1053" s="1551" t="str">
        <f aca="false">'Смета Внутр'!B1053</f>
        <v>Торцевая планка</v>
      </c>
      <c r="C1053" s="1551" t="str">
        <f aca="false">'Смета Внутр'!C1053</f>
        <v>м.п.</v>
      </c>
      <c r="D1053" s="1551" t="n">
        <f aca="false">'Смета Внутр'!D1053</f>
        <v>0</v>
      </c>
      <c r="F1053" s="1551" t="n">
        <f aca="false">'Смета Внутр'!E1053</f>
        <v>190</v>
      </c>
      <c r="G1053" s="1551" t="n">
        <f aca="false">'Смета Внутр'!H1053</f>
        <v>0</v>
      </c>
      <c r="I1053" s="3179" t="n">
        <f aca="false">IF(F1053&lt;H1053,F1053*(D1053-E1053),0)+IF(H1053=0,(D1053-E1053)*F1053,0)+IF(H1053&lt;F1053,H1053*(D1053-E1053),0)</f>
        <v>0</v>
      </c>
      <c r="J1053" s="3179" t="n">
        <f aca="false">G1053-I1053</f>
        <v>0</v>
      </c>
    </row>
    <row r="1054" customFormat="false" ht="15" hidden="false" customHeight="true" outlineLevel="0" collapsed="false">
      <c r="B1054" s="1551" t="str">
        <f aca="false">'Смета Внутр'!B1054</f>
        <v>Конек</v>
      </c>
      <c r="C1054" s="1551" t="str">
        <f aca="false">'Смета Внутр'!C1054</f>
        <v>м.п.</v>
      </c>
      <c r="D1054" s="1551" t="n">
        <f aca="false">'Смета Внутр'!D1054</f>
        <v>0</v>
      </c>
      <c r="F1054" s="1551" t="n">
        <f aca="false">'Смета Внутр'!E1054</f>
        <v>200</v>
      </c>
      <c r="G1054" s="1551" t="n">
        <f aca="false">'Смета Внутр'!H1054</f>
        <v>0</v>
      </c>
      <c r="I1054" s="3179" t="n">
        <f aca="false">IF(F1054&lt;H1054,F1054*(D1054-E1054),0)+IF(H1054=0,(D1054-E1054)*F1054,0)+IF(H1054&lt;F1054,H1054*(D1054-E1054),0)</f>
        <v>0</v>
      </c>
      <c r="J1054" s="3179" t="n">
        <f aca="false">G1054-I1054</f>
        <v>0</v>
      </c>
    </row>
    <row r="1055" customFormat="false" ht="15" hidden="false" customHeight="true" outlineLevel="0" collapsed="false">
      <c r="B1055" s="1551" t="str">
        <f aca="false">'Смета Внутр'!B1055</f>
        <v>ондулин</v>
      </c>
      <c r="C1055" s="1551" t="str">
        <f aca="false">'Смета Внутр'!C1055</f>
        <v>м2</v>
      </c>
      <c r="D1055" s="1551" t="n">
        <f aca="false">'Смета Внутр'!D1055</f>
        <v>0</v>
      </c>
      <c r="F1055" s="1551" t="n">
        <f aca="false">'Смета Внутр'!E1055</f>
        <v>180</v>
      </c>
      <c r="G1055" s="1551" t="n">
        <f aca="false">'Смета Внутр'!H1055</f>
        <v>0</v>
      </c>
      <c r="I1055" s="3179" t="n">
        <f aca="false">IF(F1055&lt;H1055,F1055*(D1055-E1055),0)+IF(H1055=0,(D1055-E1055)*F1055,0)+IF(H1055&lt;F1055,H1055*(D1055-E1055),0)</f>
        <v>0</v>
      </c>
      <c r="J1055" s="3179" t="n">
        <f aca="false">G1055-I1055</f>
        <v>0</v>
      </c>
    </row>
    <row r="1056" customFormat="false" ht="15" hidden="false" customHeight="true" outlineLevel="0" collapsed="false">
      <c r="B1056" s="1551" t="str">
        <f aca="false">'Смета Внутр'!B1056</f>
        <v>Карнизная планка</v>
      </c>
      <c r="C1056" s="1551" t="str">
        <f aca="false">'Смета Внутр'!C1056</f>
        <v>м.п.</v>
      </c>
      <c r="D1056" s="1551" t="n">
        <f aca="false">'Смета Внутр'!D1056</f>
        <v>0</v>
      </c>
      <c r="F1056" s="1551" t="n">
        <f aca="false">'Смета Внутр'!E1056</f>
        <v>190</v>
      </c>
      <c r="G1056" s="1551" t="n">
        <f aca="false">'Смета Внутр'!H1056</f>
        <v>0</v>
      </c>
      <c r="I1056" s="3179" t="n">
        <f aca="false">IF(F1056&lt;H1056,F1056*(D1056-E1056),0)+IF(H1056=0,(D1056-E1056)*F1056,0)+IF(H1056&lt;F1056,H1056*(D1056-E1056),0)</f>
        <v>0</v>
      </c>
      <c r="J1056" s="3179" t="n">
        <f aca="false">G1056-I1056</f>
        <v>0</v>
      </c>
    </row>
    <row r="1057" customFormat="false" ht="15" hidden="false" customHeight="true" outlineLevel="0" collapsed="false">
      <c r="B1057" s="1551" t="str">
        <f aca="false">'Смета Внутр'!B1057</f>
        <v>Торцевая планка</v>
      </c>
      <c r="C1057" s="1551" t="str">
        <f aca="false">'Смета Внутр'!C1057</f>
        <v>м.п.</v>
      </c>
      <c r="D1057" s="1551" t="n">
        <f aca="false">'Смета Внутр'!D1057</f>
        <v>0</v>
      </c>
      <c r="F1057" s="1551" t="n">
        <f aca="false">'Смета Внутр'!E1057</f>
        <v>190</v>
      </c>
      <c r="G1057" s="1551" t="n">
        <f aca="false">'Смета Внутр'!H1057</f>
        <v>0</v>
      </c>
      <c r="I1057" s="3179" t="n">
        <f aca="false">IF(F1057&lt;H1057,F1057*(D1057-E1057),0)+IF(H1057=0,(D1057-E1057)*F1057,0)+IF(H1057&lt;F1057,H1057*(D1057-E1057),0)</f>
        <v>0</v>
      </c>
      <c r="J1057" s="3179" t="n">
        <f aca="false">G1057-I1057</f>
        <v>0</v>
      </c>
    </row>
    <row r="1058" customFormat="false" ht="15" hidden="false" customHeight="true" outlineLevel="0" collapsed="false">
      <c r="B1058" s="1551" t="str">
        <f aca="false">'Смета Внутр'!B1058</f>
        <v>Конек</v>
      </c>
      <c r="C1058" s="1551" t="str">
        <f aca="false">'Смета Внутр'!C1058</f>
        <v>м.п</v>
      </c>
      <c r="D1058" s="1551" t="n">
        <f aca="false">'Смета Внутр'!D1058</f>
        <v>0</v>
      </c>
      <c r="F1058" s="1551" t="n">
        <f aca="false">'Смета Внутр'!E1058</f>
        <v>200</v>
      </c>
      <c r="G1058" s="1551" t="n">
        <f aca="false">'Смета Внутр'!H1058</f>
        <v>0</v>
      </c>
      <c r="I1058" s="3179" t="n">
        <f aca="false">IF(F1058&lt;H1058,F1058*(D1058-E1058),0)+IF(H1058=0,(D1058-E1058)*F1058,0)+IF(H1058&lt;F1058,H1058*(D1058-E1058),0)</f>
        <v>0</v>
      </c>
      <c r="J1058" s="3179" t="n">
        <f aca="false">G1058-I1058</f>
        <v>0</v>
      </c>
    </row>
    <row r="1059" customFormat="false" ht="15" hidden="false" customHeight="true" outlineLevel="0" collapsed="false">
      <c r="B1059" s="1551" t="str">
        <f aca="false">'Смета Внутр'!B1059</f>
        <v>Ендова нижняя</v>
      </c>
      <c r="C1059" s="1551" t="str">
        <f aca="false">'Смета Внутр'!C1059</f>
        <v>м.п.</v>
      </c>
      <c r="D1059" s="1551" t="n">
        <f aca="false">'Смета Внутр'!D1059</f>
        <v>0</v>
      </c>
      <c r="F1059" s="1551" t="n">
        <f aca="false">'Смета Внутр'!E1059</f>
        <v>160</v>
      </c>
      <c r="G1059" s="1551" t="n">
        <f aca="false">'Смета Внутр'!H1059</f>
        <v>0</v>
      </c>
      <c r="I1059" s="3179" t="n">
        <f aca="false">IF(F1059&lt;H1059,F1059*(D1059-E1059),0)+IF(H1059=0,(D1059-E1059)*F1059,0)+IF(H1059&lt;F1059,H1059*(D1059-E1059),0)</f>
        <v>0</v>
      </c>
      <c r="J1059" s="3179" t="n">
        <f aca="false">G1059-I1059</f>
        <v>0</v>
      </c>
    </row>
    <row r="1060" customFormat="false" ht="15" hidden="false" customHeight="true" outlineLevel="0" collapsed="false">
      <c r="B1060" s="1551" t="str">
        <f aca="false">'Смета Внутр'!B1060</f>
        <v>Ендова верхняя</v>
      </c>
      <c r="C1060" s="1551" t="str">
        <f aca="false">'Смета Внутр'!C1060</f>
        <v>м.п.</v>
      </c>
      <c r="D1060" s="1551" t="n">
        <f aca="false">'Смета Внутр'!D1060</f>
        <v>0</v>
      </c>
      <c r="F1060" s="1551" t="n">
        <f aca="false">'Смета Внутр'!E1060</f>
        <v>190</v>
      </c>
      <c r="G1060" s="1551" t="n">
        <f aca="false">'Смета Внутр'!H1060</f>
        <v>0</v>
      </c>
      <c r="I1060" s="3179" t="n">
        <f aca="false">IF(F1060&lt;H1060,F1060*(D1060-E1060),0)+IF(H1060=0,(D1060-E1060)*F1060,0)+IF(H1060&lt;F1060,H1060*(D1060-E1060),0)</f>
        <v>0</v>
      </c>
      <c r="J1060" s="3179" t="n">
        <f aca="false">G1060-I1060</f>
        <v>0</v>
      </c>
    </row>
    <row r="1061" customFormat="false" ht="15" hidden="false" customHeight="true" outlineLevel="0" collapsed="false">
      <c r="B1061" s="1551" t="str">
        <f aca="false">'Смета Внутр'!B1061</f>
        <v>Планка примыкания</v>
      </c>
      <c r="C1061" s="1551" t="str">
        <f aca="false">'Смета Внутр'!C1061</f>
        <v>м.п.</v>
      </c>
      <c r="D1061" s="1551" t="n">
        <f aca="false">'Смета Внутр'!D1061</f>
        <v>0</v>
      </c>
      <c r="F1061" s="1551" t="n">
        <f aca="false">'Смета Внутр'!E1061</f>
        <v>190</v>
      </c>
      <c r="G1061" s="1551" t="n">
        <f aca="false">'Смета Внутр'!H1061</f>
        <v>0</v>
      </c>
      <c r="I1061" s="3179" t="n">
        <f aca="false">IF(F1061&lt;H1061,F1061*(D1061-E1061),0)+IF(H1061=0,(D1061-E1061)*F1061,0)+IF(H1061&lt;F1061,H1061*(D1061-E1061),0)</f>
        <v>0</v>
      </c>
      <c r="J1061" s="3179" t="n">
        <f aca="false">G1061-I1061</f>
        <v>0</v>
      </c>
    </row>
    <row r="1062" customFormat="false" ht="15" hidden="false" customHeight="true" outlineLevel="0" collapsed="false">
      <c r="B1062" s="1551" t="str">
        <f aca="false">'Смета Внутр'!B1062</f>
        <v>Крепеж для ондулина</v>
      </c>
      <c r="C1062" s="1551" t="str">
        <f aca="false">'Смета Внутр'!C1062</f>
        <v>шт</v>
      </c>
      <c r="D1062" s="1551" t="n">
        <f aca="false">'Смета Внутр'!D1062</f>
        <v>0</v>
      </c>
      <c r="F1062" s="1551" t="n">
        <f aca="false">'Смета Внутр'!E1062</f>
        <v>4.5</v>
      </c>
      <c r="G1062" s="1551" t="n">
        <f aca="false">'Смета Внутр'!H1062</f>
        <v>0</v>
      </c>
      <c r="I1062" s="3179" t="n">
        <f aca="false">IF(F1062&lt;H1062,F1062*(D1062-E1062),0)+IF(H1062=0,(D1062-E1062)*F1062,0)+IF(H1062&lt;F1062,H1062*(D1062-E1062),0)</f>
        <v>0</v>
      </c>
      <c r="J1062" s="3179" t="n">
        <f aca="false">G1062-I1062</f>
        <v>0</v>
      </c>
    </row>
    <row r="1063" customFormat="false" ht="15" hidden="false" customHeight="true" outlineLevel="0" collapsed="false">
      <c r="B1063" s="1551" t="str">
        <f aca="false">'Смета Внутр'!B1063</f>
        <v>нет</v>
      </c>
      <c r="C1063" s="1551" t="str">
        <f aca="false">'Смета Внутр'!C1063</f>
        <v>м2</v>
      </c>
      <c r="D1063" s="1551" t="n">
        <f aca="false">'Смета Внутр'!D1063</f>
        <v>116.359004924529</v>
      </c>
      <c r="F1063" s="1551" t="n">
        <f aca="false">'Смета Внутр'!E1063</f>
        <v>0</v>
      </c>
      <c r="G1063" s="1551" t="n">
        <f aca="false">'Смета Внутр'!H1063</f>
        <v>0</v>
      </c>
      <c r="I1063" s="3179" t="n">
        <f aca="false">IF(F1063&lt;H1063,F1063*(D1063-E1063),0)+IF(H1063=0,(D1063-E1063)*F1063,0)+IF(H1063&lt;F1063,H1063*(D1063-E1063),0)</f>
        <v>0</v>
      </c>
      <c r="J1063" s="3179" t="n">
        <f aca="false">G1063-I1063</f>
        <v>0</v>
      </c>
    </row>
    <row r="1064" customFormat="false" ht="15" hidden="false" customHeight="true" outlineLevel="0" collapsed="false">
      <c r="B1064" s="1551" t="str">
        <f aca="false">'Смета Внутр'!B1064</f>
        <v>Рядовая черепица</v>
      </c>
      <c r="C1064" s="1551" t="str">
        <f aca="false">'Смета Внутр'!C1064</f>
        <v>м2</v>
      </c>
      <c r="D1064" s="1551" t="n">
        <f aca="false">'Смета Внутр'!D1064</f>
        <v>0</v>
      </c>
      <c r="F1064" s="1551" t="n">
        <f aca="false">'Смета Внутр'!E1064</f>
        <v>360</v>
      </c>
      <c r="G1064" s="1551" t="n">
        <f aca="false">'Смета Внутр'!H1064</f>
        <v>0</v>
      </c>
      <c r="I1064" s="3179" t="n">
        <f aca="false">IF(F1064&lt;H1064,F1064*(D1064-E1064),0)+IF(H1064=0,(D1064-E1064)*F1064,0)+IF(H1064&lt;F1064,H1064*(D1064-E1064),0)</f>
        <v>0</v>
      </c>
      <c r="J1064" s="3179" t="n">
        <f aca="false">G1064-I1064</f>
        <v>0</v>
      </c>
    </row>
    <row r="1065" customFormat="false" ht="15" hidden="false" customHeight="true" outlineLevel="0" collapsed="false">
      <c r="B1065" s="1551" t="str">
        <f aca="false">'Смета Внутр'!B1065</f>
        <v>Металл оцинк защита (карниз)</v>
      </c>
      <c r="C1065" s="1551" t="str">
        <f aca="false">'Смета Внутр'!C1065</f>
        <v>м.п.</v>
      </c>
      <c r="D1065" s="1551" t="n">
        <f aca="false">'Смета Внутр'!D1065</f>
        <v>0</v>
      </c>
      <c r="F1065" s="1551" t="n">
        <f aca="false">'Смета Внутр'!E1065</f>
        <v>200</v>
      </c>
      <c r="G1065" s="1551" t="n">
        <f aca="false">'Смета Внутр'!H1065</f>
        <v>0</v>
      </c>
      <c r="I1065" s="3179" t="n">
        <f aca="false">IF(F1065&lt;H1065,F1065*(D1065-E1065),0)+IF(H1065=0,(D1065-E1065)*F1065,0)+IF(H1065&lt;F1065,H1065*(D1065-E1065),0)</f>
        <v>0</v>
      </c>
      <c r="J1065" s="3179" t="n">
        <f aca="false">G1065-I1065</f>
        <v>0</v>
      </c>
    </row>
    <row r="1066" customFormat="false" ht="15" hidden="false" customHeight="true" outlineLevel="0" collapsed="false">
      <c r="B1066" s="1551" t="str">
        <f aca="false">'Смета Внутр'!B1066</f>
        <v>Подкладочный ковер</v>
      </c>
      <c r="C1066" s="1551" t="str">
        <f aca="false">'Смета Внутр'!C1066</f>
        <v>м.п.</v>
      </c>
      <c r="D1066" s="1551" t="n">
        <f aca="false">'Смета Внутр'!D1066</f>
        <v>0</v>
      </c>
      <c r="F1066" s="1551" t="n">
        <f aca="false">'Смета Внутр'!E1066</f>
        <v>220</v>
      </c>
      <c r="G1066" s="1551" t="n">
        <f aca="false">'Смета Внутр'!H1066</f>
        <v>0</v>
      </c>
      <c r="I1066" s="3179" t="n">
        <f aca="false">IF(F1066&lt;H1066,F1066*(D1066-E1066),0)+IF(H1066=0,(D1066-E1066)*F1066,0)+IF(H1066&lt;F1066,H1066*(D1066-E1066),0)</f>
        <v>0</v>
      </c>
      <c r="J1066" s="3179" t="n">
        <f aca="false">G1066-I1066</f>
        <v>0</v>
      </c>
    </row>
    <row r="1067" customFormat="false" ht="15" hidden="false" customHeight="true" outlineLevel="0" collapsed="false">
      <c r="B1067" s="1551" t="str">
        <f aca="false">'Смета Внутр'!B1067</f>
        <v>Карнизная самоклеющаяся черепица</v>
      </c>
      <c r="C1067" s="1551" t="str">
        <f aca="false">'Смета Внутр'!C1067</f>
        <v>м.п.</v>
      </c>
      <c r="D1067" s="1551" t="n">
        <f aca="false">'Смета Внутр'!D1067</f>
        <v>0</v>
      </c>
      <c r="F1067" s="1551" t="n">
        <f aca="false">'Смета Внутр'!E1067</f>
        <v>220</v>
      </c>
      <c r="G1067" s="1551" t="n">
        <f aca="false">'Смета Внутр'!H1067</f>
        <v>0</v>
      </c>
      <c r="I1067" s="3179" t="n">
        <f aca="false">IF(F1067&lt;H1067,F1067*(D1067-E1067),0)+IF(H1067=0,(D1067-E1067)*F1067,0)+IF(H1067&lt;F1067,H1067*(D1067-E1067),0)</f>
        <v>0</v>
      </c>
      <c r="J1067" s="3179" t="n">
        <f aca="false">G1067-I1067</f>
        <v>0</v>
      </c>
    </row>
    <row r="1068" customFormat="false" ht="15" hidden="false" customHeight="true" outlineLevel="0" collapsed="false">
      <c r="B1068" s="1551" t="str">
        <f aca="false">'Смета Внутр'!B1068</f>
        <v>Спец ковер ендова нижняя</v>
      </c>
      <c r="C1068" s="1551" t="str">
        <f aca="false">'Смета Внутр'!C1068</f>
        <v>м.п.</v>
      </c>
      <c r="D1068" s="1551" t="n">
        <f aca="false">'Смета Внутр'!D1068</f>
        <v>0</v>
      </c>
      <c r="F1068" s="1551" t="n">
        <f aca="false">'Смета Внутр'!E1068</f>
        <v>200</v>
      </c>
      <c r="G1068" s="1551" t="n">
        <f aca="false">'Смета Внутр'!H1068</f>
        <v>0</v>
      </c>
      <c r="I1068" s="3179" t="n">
        <f aca="false">IF(F1068&lt;H1068,F1068*(D1068-E1068),0)+IF(H1068=0,(D1068-E1068)*F1068,0)+IF(H1068&lt;F1068,H1068*(D1068-E1068),0)</f>
        <v>0</v>
      </c>
      <c r="J1068" s="3179" t="n">
        <f aca="false">G1068-I1068</f>
        <v>0</v>
      </c>
    </row>
    <row r="1069" customFormat="false" ht="15" hidden="false" customHeight="true" outlineLevel="0" collapsed="false">
      <c r="B1069" s="1551" t="str">
        <f aca="false">'Смета Внутр'!B1069</f>
        <v>Коньковой элемент</v>
      </c>
      <c r="C1069" s="1551" t="str">
        <f aca="false">'Смета Внутр'!C1069</f>
        <v>м.п.</v>
      </c>
      <c r="D1069" s="1551" t="n">
        <f aca="false">'Смета Внутр'!D1069</f>
        <v>0</v>
      </c>
      <c r="F1069" s="1551" t="n">
        <f aca="false">'Смета Внутр'!E1069</f>
        <v>250</v>
      </c>
      <c r="G1069" s="1551" t="n">
        <f aca="false">'Смета Внутр'!H1069</f>
        <v>0</v>
      </c>
      <c r="I1069" s="3179" t="n">
        <f aca="false">IF(F1069&lt;H1069,F1069*(D1069-E1069),0)+IF(H1069=0,(D1069-E1069)*F1069,0)+IF(H1069&lt;F1069,H1069*(D1069-E1069),0)</f>
        <v>0</v>
      </c>
      <c r="J1069" s="3179" t="n">
        <f aca="false">G1069-I1069</f>
        <v>0</v>
      </c>
    </row>
    <row r="1070" customFormat="false" ht="15" hidden="false" customHeight="true" outlineLevel="0" collapsed="false">
      <c r="B1070" s="1551" t="str">
        <f aca="false">'Смета Внутр'!B1070</f>
        <v>Планка премыкания</v>
      </c>
      <c r="C1070" s="1551" t="str">
        <f aca="false">'Смета Внутр'!C1070</f>
        <v>м.п.</v>
      </c>
      <c r="D1070" s="1551" t="n">
        <f aca="false">'Смета Внутр'!D1070</f>
        <v>0</v>
      </c>
      <c r="F1070" s="1551" t="n">
        <f aca="false">'Смета Внутр'!E1070</f>
        <v>200</v>
      </c>
      <c r="G1070" s="1551" t="n">
        <f aca="false">'Смета Внутр'!H1070</f>
        <v>0</v>
      </c>
      <c r="I1070" s="3179" t="n">
        <f aca="false">IF(F1070&lt;H1070,F1070*(D1070-E1070),0)+IF(H1070=0,(D1070-E1070)*F1070,0)+IF(H1070&lt;F1070,H1070*(D1070-E1070),0)</f>
        <v>0</v>
      </c>
      <c r="J1070" s="3179" t="n">
        <f aca="false">G1070-I1070</f>
        <v>0</v>
      </c>
    </row>
    <row r="1071" customFormat="false" ht="15" hidden="false" customHeight="true" outlineLevel="0" collapsed="false">
      <c r="B1071" s="1551" t="str">
        <f aca="false">'Смета Внутр'!B1071</f>
        <v>Гвозди для крепления подкладочного ковра</v>
      </c>
      <c r="C1071" s="1551" t="str">
        <f aca="false">'Смета Внутр'!C1071</f>
        <v>шт</v>
      </c>
      <c r="D1071" s="1551" t="n">
        <f aca="false">'Смета Внутр'!D1071</f>
        <v>0</v>
      </c>
      <c r="F1071" s="1551" t="n">
        <f aca="false">'Смета Внутр'!E1071</f>
        <v>0.012</v>
      </c>
      <c r="G1071" s="1551" t="n">
        <f aca="false">'Смета Внутр'!H1071</f>
        <v>0</v>
      </c>
      <c r="I1071" s="3179" t="n">
        <f aca="false">IF(F1071&lt;H1071,F1071*(D1071-E1071),0)+IF(H1071=0,(D1071-E1071)*F1071,0)+IF(H1071&lt;F1071,H1071*(D1071-E1071),0)</f>
        <v>0</v>
      </c>
      <c r="J1071" s="3179" t="n">
        <f aca="false">G1071-I1071</f>
        <v>0</v>
      </c>
    </row>
    <row r="1072" customFormat="false" ht="15" hidden="false" customHeight="true" outlineLevel="0" collapsed="false">
      <c r="B1072" s="1551" t="str">
        <f aca="false">'Смета Внутр'!B1072</f>
        <v>Гвозди для крепления черепицы</v>
      </c>
      <c r="C1072" s="1551" t="str">
        <f aca="false">'Смета Внутр'!C1072</f>
        <v>шт</v>
      </c>
      <c r="D1072" s="1551" t="n">
        <f aca="false">'Смета Внутр'!D1072</f>
        <v>0</v>
      </c>
      <c r="F1072" s="1551" t="n">
        <f aca="false">'Смета Внутр'!E1072</f>
        <v>0.25</v>
      </c>
      <c r="G1072" s="1551" t="n">
        <f aca="false">'Смета Внутр'!H1072</f>
        <v>0</v>
      </c>
      <c r="I1072" s="3179" t="n">
        <f aca="false">IF(F1072&lt;H1072,F1072*(D1072-E1072),0)+IF(H1072=0,(D1072-E1072)*F1072,0)+IF(H1072&lt;F1072,H1072*(D1072-E1072),0)</f>
        <v>0</v>
      </c>
      <c r="J1072" s="3179" t="n">
        <f aca="false">G1072-I1072</f>
        <v>0</v>
      </c>
    </row>
    <row r="1073" customFormat="false" ht="15" hidden="false" customHeight="true" outlineLevel="0" collapsed="false">
      <c r="B1073" s="1551" t="str">
        <f aca="false">'Смета Внутр'!B1073</f>
        <v>Клей для монтажа черепицы</v>
      </c>
      <c r="C1073" s="1551" t="str">
        <f aca="false">'Смета Внутр'!C1073</f>
        <v>кг</v>
      </c>
      <c r="D1073" s="1551" t="n">
        <f aca="false">'Смета Внутр'!D1073</f>
        <v>0</v>
      </c>
      <c r="F1073" s="1551" t="n">
        <f aca="false">'Смета Внутр'!E1073</f>
        <v>250</v>
      </c>
      <c r="G1073" s="1551" t="n">
        <f aca="false">'Смета Внутр'!H1073</f>
        <v>0</v>
      </c>
      <c r="I1073" s="3179" t="n">
        <f aca="false">IF(F1073&lt;H1073,F1073*(D1073-E1073),0)+IF(H1073=0,(D1073-E1073)*F1073,0)+IF(H1073&lt;F1073,H1073*(D1073-E1073),0)</f>
        <v>0</v>
      </c>
      <c r="J1073" s="3179" t="n">
        <f aca="false">G1073-I1073</f>
        <v>0</v>
      </c>
    </row>
    <row r="1074" customFormat="false" ht="15" hidden="false" customHeight="true" outlineLevel="0" collapsed="false">
      <c r="B1074" s="1551" t="str">
        <f aca="false">'Смета Внутр'!B1074</f>
        <v>желоб</v>
      </c>
      <c r="C1074" s="1551" t="str">
        <f aca="false">'Смета Внутр'!C1074</f>
        <v>м.п</v>
      </c>
      <c r="D1074" s="1551" t="n">
        <f aca="false">'Смета Внутр'!D1074</f>
        <v>0</v>
      </c>
      <c r="F1074" s="1551" t="n">
        <f aca="false">'Смета Внутр'!E1074</f>
        <v>300</v>
      </c>
      <c r="G1074" s="1551" t="n">
        <f aca="false">'Смета Внутр'!H1074</f>
        <v>0</v>
      </c>
      <c r="I1074" s="3179" t="n">
        <f aca="false">IF(F1074&lt;H1074,F1074*(D1074-E1074),0)+IF(H1074=0,(D1074-E1074)*F1074,0)+IF(H1074&lt;F1074,H1074*(D1074-E1074),0)</f>
        <v>0</v>
      </c>
      <c r="J1074" s="3179" t="n">
        <f aca="false">G1074-I1074</f>
        <v>0</v>
      </c>
    </row>
    <row r="1075" customFormat="false" ht="15" hidden="false" customHeight="true" outlineLevel="0" collapsed="false">
      <c r="B1075" s="1551" t="str">
        <f aca="false">'Смета Внутр'!B1075</f>
        <v>отвод</v>
      </c>
      <c r="C1075" s="1551" t="str">
        <f aca="false">'Смета Внутр'!C1075</f>
        <v>шт</v>
      </c>
      <c r="D1075" s="1551" t="n">
        <f aca="false">'Смета Внутр'!D1075</f>
        <v>2</v>
      </c>
      <c r="F1075" s="1551" t="n">
        <f aca="false">'Смета Внутр'!E1075</f>
        <v>250</v>
      </c>
      <c r="G1075" s="1551" t="n">
        <f aca="false">'Смета Внутр'!H1075</f>
        <v>0</v>
      </c>
      <c r="I1075" s="3179" t="n">
        <f aca="false">IF(F1075&lt;H1075,F1075*(D1075-E1075),0)+IF(H1075=0,(D1075-E1075)*F1075,0)+IF(H1075&lt;F1075,H1075*(D1075-E1075),0)</f>
        <v>500</v>
      </c>
      <c r="J1075" s="3179" t="n">
        <f aca="false">G1075-I1075</f>
        <v>-500</v>
      </c>
    </row>
    <row r="1076" customFormat="false" ht="15" hidden="false" customHeight="true" outlineLevel="0" collapsed="false">
      <c r="B1076" s="1551" t="str">
        <f aca="false">'Смета Внутр'!B1076</f>
        <v>труба водосточная</v>
      </c>
      <c r="C1076" s="1551" t="str">
        <f aca="false">'Смета Внутр'!C1076</f>
        <v>м.п.</v>
      </c>
      <c r="D1076" s="1551" t="n">
        <f aca="false">'Смета Внутр'!D1076</f>
        <v>11.34</v>
      </c>
      <c r="F1076" s="1551" t="n">
        <f aca="false">'Смета Внутр'!E1076</f>
        <v>300</v>
      </c>
      <c r="G1076" s="1551" t="n">
        <f aca="false">'Смета Внутр'!H1076</f>
        <v>0</v>
      </c>
      <c r="I1076" s="3179" t="n">
        <f aca="false">IF(F1076&lt;H1076,F1076*(D1076-E1076),0)+IF(H1076=0,(D1076-E1076)*F1076,0)+IF(H1076&lt;F1076,H1076*(D1076-E1076),0)</f>
        <v>3402</v>
      </c>
      <c r="J1076" s="3179" t="n">
        <f aca="false">G1076-I1076</f>
        <v>-3402</v>
      </c>
    </row>
    <row r="1077" customFormat="false" ht="15" hidden="false" customHeight="true" outlineLevel="0" collapsed="false">
      <c r="B1077" s="1551" t="str">
        <f aca="false">'Смета Внутр'!B1077</f>
        <v>заглушка для желоба</v>
      </c>
      <c r="C1077" s="1551" t="str">
        <f aca="false">'Смета Внутр'!C1077</f>
        <v>шт</v>
      </c>
      <c r="D1077" s="1551" t="n">
        <f aca="false">'Смета Внутр'!D1077</f>
        <v>2</v>
      </c>
      <c r="F1077" s="1551" t="n">
        <f aca="false">'Смета Внутр'!E1077</f>
        <v>190</v>
      </c>
      <c r="G1077" s="1551" t="n">
        <f aca="false">'Смета Внутр'!H1077</f>
        <v>0</v>
      </c>
      <c r="I1077" s="3179" t="n">
        <f aca="false">IF(F1077&lt;H1077,F1077*(D1077-E1077),0)+IF(H1077=0,(D1077-E1077)*F1077,0)+IF(H1077&lt;F1077,H1077*(D1077-E1077),0)</f>
        <v>380</v>
      </c>
      <c r="J1077" s="3179" t="n">
        <f aca="false">G1077-I1077</f>
        <v>-380</v>
      </c>
    </row>
    <row r="1078" customFormat="false" ht="15" hidden="false" customHeight="true" outlineLevel="0" collapsed="false">
      <c r="B1078" s="1551" t="str">
        <f aca="false">'Смета Внутр'!B1078</f>
        <v>соеденитель для желоба</v>
      </c>
      <c r="C1078" s="1551" t="str">
        <f aca="false">'Смета Внутр'!C1078</f>
        <v>шт</v>
      </c>
      <c r="D1078" s="1551" t="n">
        <f aca="false">'Смета Внутр'!D1078</f>
        <v>1</v>
      </c>
      <c r="F1078" s="1551" t="n">
        <f aca="false">'Смета Внутр'!E1078</f>
        <v>180</v>
      </c>
      <c r="G1078" s="1551" t="n">
        <f aca="false">'Смета Внутр'!H1078</f>
        <v>0</v>
      </c>
      <c r="I1078" s="3179" t="n">
        <f aca="false">IF(F1078&lt;H1078,F1078*(D1078-E1078),0)+IF(H1078=0,(D1078-E1078)*F1078,0)+IF(H1078&lt;F1078,H1078*(D1078-E1078),0)</f>
        <v>180</v>
      </c>
      <c r="J1078" s="3179" t="n">
        <f aca="false">G1078-I1078</f>
        <v>-180</v>
      </c>
    </row>
    <row r="1079" customFormat="false" ht="15" hidden="false" customHeight="true" outlineLevel="0" collapsed="false">
      <c r="B1079" s="1551" t="str">
        <f aca="false">'Смета Внутр'!B1079</f>
        <v>кронштейн для желоба</v>
      </c>
      <c r="C1079" s="1551" t="str">
        <f aca="false">'Смета Внутр'!C1079</f>
        <v>шт</v>
      </c>
      <c r="D1079" s="1551" t="n">
        <f aca="false">'Смета Внутр'!D1079</f>
        <v>4</v>
      </c>
      <c r="F1079" s="1551" t="n">
        <f aca="false">'Смета Внутр'!E1079</f>
        <v>130</v>
      </c>
      <c r="G1079" s="1551" t="n">
        <f aca="false">'Смета Внутр'!H1079</f>
        <v>0</v>
      </c>
      <c r="I1079" s="3179" t="n">
        <f aca="false">IF(F1079&lt;H1079,F1079*(D1079-E1079),0)+IF(H1079=0,(D1079-E1079)*F1079,0)+IF(H1079&lt;F1079,H1079*(D1079-E1079),0)</f>
        <v>520</v>
      </c>
      <c r="J1079" s="3179" t="n">
        <f aca="false">G1079-I1079</f>
        <v>-520</v>
      </c>
    </row>
    <row r="1080" customFormat="false" ht="15" hidden="false" customHeight="true" outlineLevel="0" collapsed="false">
      <c r="B1080" s="1551" t="str">
        <f aca="false">'Смета Внутр'!B1080</f>
        <v>переход из желоба в трубу</v>
      </c>
      <c r="C1080" s="1551" t="str">
        <f aca="false">'Смета Внутр'!C1080</f>
        <v>шт</v>
      </c>
      <c r="D1080" s="1551" t="n">
        <f aca="false">'Смета Внутр'!D1080</f>
        <v>2</v>
      </c>
      <c r="F1080" s="1551" t="n">
        <f aca="false">'Смета Внутр'!E1080</f>
        <v>350</v>
      </c>
      <c r="G1080" s="1551" t="n">
        <f aca="false">'Смета Внутр'!H1080</f>
        <v>0</v>
      </c>
      <c r="I1080" s="3179" t="n">
        <f aca="false">IF(F1080&lt;H1080,F1080*(D1080-E1080),0)+IF(H1080=0,(D1080-E1080)*F1080,0)+IF(H1080&lt;F1080,H1080*(D1080-E1080),0)</f>
        <v>700</v>
      </c>
      <c r="J1080" s="3179" t="n">
        <f aca="false">G1080-I1080</f>
        <v>-700</v>
      </c>
    </row>
    <row r="1081" customFormat="false" ht="15" hidden="false" customHeight="true" outlineLevel="0" collapsed="false">
      <c r="B1081" s="1551" t="str">
        <f aca="false">'Смета Внутр'!B1081</f>
        <v>лента дельта мульти бэнд</v>
      </c>
      <c r="C1081" s="1551" t="str">
        <f aca="false">'Смета Внутр'!C1081</f>
        <v>шт</v>
      </c>
      <c r="D1081" s="1551" t="n">
        <f aca="false">'Смета Внутр'!D1081</f>
        <v>0</v>
      </c>
      <c r="F1081" s="1551" t="n">
        <f aca="false">'Смета Внутр'!E1081</f>
        <v>1200</v>
      </c>
      <c r="G1081" s="1551" t="n">
        <f aca="false">'Смета Внутр'!H1081</f>
        <v>0</v>
      </c>
      <c r="I1081" s="3179" t="n">
        <f aca="false">IF(F1081&lt;H1081,F1081*(D1081-E1081),0)+IF(H1081=0,(D1081-E1081)*F1081,0)+IF(H1081&lt;F1081,H1081*(D1081-E1081),0)</f>
        <v>0</v>
      </c>
      <c r="J1081" s="3179" t="n">
        <f aca="false">G1081-I1081</f>
        <v>0</v>
      </c>
    </row>
    <row r="1082" customFormat="false" ht="15" hidden="false" customHeight="true" outlineLevel="0" collapsed="false">
      <c r="B1082" s="1551" t="str">
        <f aca="false">'Смета Внутр'!B1082</f>
        <v>лента дельта sb-60</v>
      </c>
      <c r="C1082" s="1551" t="str">
        <f aca="false">'Смета Внутр'!C1082</f>
        <v>шт</v>
      </c>
      <c r="D1082" s="1551" t="n">
        <f aca="false">'Смета Внутр'!D1082</f>
        <v>1</v>
      </c>
      <c r="F1082" s="1551" t="n">
        <f aca="false">'Смета Внутр'!E1082</f>
        <v>1100</v>
      </c>
      <c r="G1082" s="1551" t="n">
        <f aca="false">'Смета Внутр'!H1082</f>
        <v>0</v>
      </c>
      <c r="I1082" s="3179" t="n">
        <f aca="false">IF(F1082&lt;H1082,F1082*(D1082-E1082),0)+IF(H1082=0,(D1082-E1082)*F1082,0)+IF(H1082&lt;F1082,H1082*(D1082-E1082),0)</f>
        <v>1100</v>
      </c>
      <c r="J1082" s="3179" t="n">
        <f aca="false">G1082-I1082</f>
        <v>-1100</v>
      </c>
    </row>
    <row r="1083" customFormat="false" ht="15" hidden="false" customHeight="true" outlineLevel="0" collapsed="false">
      <c r="B1083" s="1551" t="str">
        <f aca="false">'Смета Внутр'!B1083</f>
        <v>проходка кровельная, канализационная</v>
      </c>
      <c r="C1083" s="1551" t="str">
        <f aca="false">'Смета Внутр'!C1083</f>
        <v>шт</v>
      </c>
      <c r="D1083" s="1551" t="n">
        <f aca="false">'Смета Внутр'!D1083</f>
        <v>0</v>
      </c>
      <c r="F1083" s="1551" t="n">
        <f aca="false">'Смета Внутр'!E1083</f>
        <v>3500</v>
      </c>
      <c r="G1083" s="1551" t="n">
        <f aca="false">'Смета Внутр'!H1083</f>
        <v>0</v>
      </c>
      <c r="I1083" s="3179" t="n">
        <f aca="false">IF(F1083&lt;H1083,F1083*(D1083-E1083),0)+IF(H1083=0,(D1083-E1083)*F1083,0)+IF(H1083&lt;F1083,H1083*(D1083-E1083),0)</f>
        <v>0</v>
      </c>
      <c r="J1083" s="3179" t="n">
        <f aca="false">G1083-I1083</f>
        <v>0</v>
      </c>
    </row>
    <row r="1084" customFormat="false" ht="15" hidden="false" customHeight="true" outlineLevel="0" collapsed="false">
      <c r="B1084" s="1551" t="str">
        <f aca="false">'Смета Внутр'!B1084</f>
        <v>проходка кровельная, вентиляционная</v>
      </c>
      <c r="C1084" s="1551" t="str">
        <f aca="false">'Смета Внутр'!C1084</f>
        <v>шт</v>
      </c>
      <c r="D1084" s="1551" t="n">
        <f aca="false">'Смета Внутр'!D1084</f>
        <v>0</v>
      </c>
      <c r="F1084" s="1551" t="n">
        <f aca="false">'Смета Внутр'!E1084</f>
        <v>3500</v>
      </c>
      <c r="G1084" s="1551" t="n">
        <f aca="false">'Смета Внутр'!H1084</f>
        <v>0</v>
      </c>
      <c r="I1084" s="3179" t="n">
        <f aca="false">IF(F1084&lt;H1084,F1084*(D1084-E1084),0)+IF(H1084=0,(D1084-E1084)*F1084,0)+IF(H1084&lt;F1084,H1084*(D1084-E1084),0)</f>
        <v>0</v>
      </c>
      <c r="J1084" s="3179" t="n">
        <f aca="false">G1084-I1084</f>
        <v>0</v>
      </c>
    </row>
    <row r="1085" customFormat="false" ht="15" hidden="false" customHeight="true" outlineLevel="0" collapsed="false">
      <c r="B1085" s="1551" t="str">
        <f aca="false">'Смета Внутр'!B1085</f>
        <v>проодка кровельная, труба котел</v>
      </c>
      <c r="C1085" s="1551" t="str">
        <f aca="false">'Смета Внутр'!C1085</f>
        <v>шт</v>
      </c>
      <c r="D1085" s="1551" t="n">
        <f aca="false">'Смета Внутр'!D1085</f>
        <v>0</v>
      </c>
      <c r="F1085" s="1551" t="n">
        <f aca="false">'Смета Внутр'!E1085</f>
        <v>4500</v>
      </c>
      <c r="G1085" s="1551" t="n">
        <f aca="false">'Смета Внутр'!H1085</f>
        <v>0</v>
      </c>
      <c r="I1085" s="3179" t="n">
        <f aca="false">IF(F1085&lt;H1085,F1085*(D1085-E1085),0)+IF(H1085=0,(D1085-E1085)*F1085,0)+IF(H1085&lt;F1085,H1085*(D1085-E1085),0)</f>
        <v>0</v>
      </c>
      <c r="J1085" s="3179" t="n">
        <f aca="false">G1085-I1085</f>
        <v>0</v>
      </c>
    </row>
    <row r="1086" customFormat="false" ht="15" hidden="false" customHeight="true" outlineLevel="0" collapsed="false">
      <c r="B1086" s="1551" t="str">
        <f aca="false">'Смета Внутр'!B1086</f>
        <v>Кровельный саморез</v>
      </c>
      <c r="C1086" s="1551" t="str">
        <f aca="false">'Смета Внутр'!C1086</f>
        <v>шт</v>
      </c>
      <c r="D1086" s="1551" t="n">
        <f aca="false">'Смета Внутр'!D1086</f>
        <v>86.4</v>
      </c>
      <c r="F1086" s="1551" t="n">
        <f aca="false">'Смета Внутр'!E1086</f>
        <v>2</v>
      </c>
      <c r="G1086" s="1551" t="n">
        <f aca="false">'Смета Внутр'!H1086</f>
        <v>0</v>
      </c>
      <c r="I1086" s="3179" t="n">
        <f aca="false">IF(F1086&lt;H1086,F1086*(D1086-E1086),0)+IF(H1086=0,(D1086-E1086)*F1086,0)+IF(H1086&lt;F1086,H1086*(D1086-E1086),0)</f>
        <v>172.8</v>
      </c>
      <c r="J1086" s="3179" t="n">
        <f aca="false">G1086-I1086</f>
        <v>-172.8</v>
      </c>
    </row>
    <row r="1087" customFormat="false" ht="15" hidden="false" customHeight="true" outlineLevel="0" collapsed="false">
      <c r="B1087" s="1551" t="str">
        <f aca="false">'Смета Внутр'!B1087</f>
        <v>Гвозди ершоные 3,4 x 60            </v>
      </c>
      <c r="C1087" s="1551" t="str">
        <f aca="false">'Смета Внутр'!C1087</f>
        <v>кг</v>
      </c>
      <c r="D1087" s="1551" t="n">
        <f aca="false">'Смета Внутр'!D1087</f>
        <v>0.6</v>
      </c>
      <c r="F1087" s="1551" t="n">
        <f aca="false">'Смета Внутр'!E1087</f>
        <v>75.51</v>
      </c>
      <c r="G1087" s="1551" t="n">
        <f aca="false">'Смета Внутр'!H1087</f>
        <v>0</v>
      </c>
      <c r="I1087" s="3179" t="n">
        <f aca="false">IF(F1087&lt;H1087,F1087*(D1087-E1087),0)+IF(H1087=0,(D1087-E1087)*F1087,0)+IF(H1087&lt;F1087,H1087*(D1087-E1087),0)</f>
        <v>45.306</v>
      </c>
      <c r="J1087" s="3179" t="n">
        <f aca="false">G1087-I1087</f>
        <v>-45.306</v>
      </c>
    </row>
    <row r="1088" customFormat="false" ht="15" hidden="false" customHeight="true" outlineLevel="0" collapsed="false">
      <c r="B1088" s="1551" t="str">
        <f aca="false">'Смета Внутр'!B1088</f>
        <v>Гвозди ершоные 2,8 х 90            </v>
      </c>
      <c r="C1088" s="1551" t="str">
        <f aca="false">'Смета Внутр'!C1088</f>
        <v>кг</v>
      </c>
      <c r="D1088" s="1551" t="n">
        <f aca="false">'Смета Внутр'!D1088</f>
        <v>0.5661</v>
      </c>
      <c r="F1088" s="1551" t="n">
        <f aca="false">'Смета Внутр'!E1088</f>
        <v>76.49</v>
      </c>
      <c r="G1088" s="1551" t="n">
        <f aca="false">'Смета Внутр'!H1088</f>
        <v>0</v>
      </c>
      <c r="I1088" s="3179" t="n">
        <f aca="false">IF(F1088&lt;H1088,F1088*(D1088-E1088),0)+IF(H1088=0,(D1088-E1088)*F1088,0)+IF(H1088&lt;F1088,H1088*(D1088-E1088),0)</f>
        <v>43.300989</v>
      </c>
      <c r="J1088" s="3179" t="n">
        <f aca="false">G1088-I1088</f>
        <v>-43.300989</v>
      </c>
    </row>
    <row r="1089" customFormat="false" ht="15" hidden="false" customHeight="true" outlineLevel="0" collapsed="false">
      <c r="B1089" s="1551" t="str">
        <f aca="false">'Смета Внутр'!B1089</f>
        <v>Пластина соеденительная 100х240х2           </v>
      </c>
      <c r="C1089" s="1551" t="str">
        <f aca="false">'Смета Внутр'!C1089</f>
        <v>шт</v>
      </c>
      <c r="D1089" s="1551" t="n">
        <f aca="false">'Смета Внутр'!D1089</f>
        <v>0</v>
      </c>
      <c r="F1089" s="1551" t="n">
        <f aca="false">'Смета Внутр'!E1089</f>
        <v>31.54</v>
      </c>
      <c r="G1089" s="1551" t="n">
        <f aca="false">'Смета Внутр'!H1089</f>
        <v>0</v>
      </c>
      <c r="I1089" s="3179" t="n">
        <f aca="false">IF(F1089&lt;H1089,F1089*(D1089-E1089),0)+IF(H1089=0,(D1089-E1089)*F1089,0)+IF(H1089&lt;F1089,H1089*(D1089-E1089),0)</f>
        <v>0</v>
      </c>
      <c r="J1089" s="3179" t="n">
        <f aca="false">G1089-I1089</f>
        <v>0</v>
      </c>
    </row>
    <row r="1090" customFormat="false" ht="15" hidden="false" customHeight="true" outlineLevel="0" collapsed="false">
      <c r="B1090" s="1551" t="str">
        <f aca="false">'Смета Внутр'!B1090</f>
        <v>Уголок усиленный 90х70х55х2,5        </v>
      </c>
      <c r="C1090" s="1551" t="str">
        <f aca="false">'Смета Внутр'!C1090</f>
        <v>шт</v>
      </c>
      <c r="D1090" s="1551" t="n">
        <f aca="false">'Смета Внутр'!D1090</f>
        <v>6</v>
      </c>
      <c r="F1090" s="1551" t="n">
        <f aca="false">'Смета Внутр'!E1090</f>
        <v>30</v>
      </c>
      <c r="G1090" s="1551" t="n">
        <f aca="false">'Смета Внутр'!H1090</f>
        <v>0</v>
      </c>
      <c r="I1090" s="3179" t="n">
        <f aca="false">IF(F1090&lt;H1090,F1090*(D1090-E1090),0)+IF(H1090=0,(D1090-E1090)*F1090,0)+IF(H1090&lt;F1090,H1090*(D1090-E1090),0)</f>
        <v>180</v>
      </c>
      <c r="J1090" s="3179" t="n">
        <f aca="false">G1090-I1090</f>
        <v>-180</v>
      </c>
    </row>
    <row r="1091" customFormat="false" ht="15" hidden="false" customHeight="true" outlineLevel="0" collapsed="false">
      <c r="B1091" s="1692" t="s">
        <v>4332</v>
      </c>
      <c r="C1091" s="1692"/>
      <c r="D1091" s="1692"/>
      <c r="E1091" s="1692"/>
      <c r="F1091" s="1692"/>
      <c r="G1091" s="1551" t="n">
        <f aca="false">'Смета Внутр'!H1091</f>
        <v>0</v>
      </c>
      <c r="H1091" s="3184"/>
      <c r="I1091" s="3179" t="n">
        <f aca="false">IF(F1091&lt;H1091,F1091*(D1091-E1091),0)+IF(H1091=0,(D1091-E1091)*F1091,0)+IF(H1091&lt;F1091,H1091*(D1091-E1091),0)</f>
        <v>0</v>
      </c>
      <c r="J1091" s="3179" t="n">
        <f aca="false">G1091-I1091</f>
        <v>0</v>
      </c>
    </row>
    <row r="1092" customFormat="false" ht="15" hidden="false" customHeight="true" outlineLevel="0" collapsed="false">
      <c r="B1092" s="1268" t="str">
        <f aca="false">'Смета Внутр'!B1092</f>
        <v>Работы</v>
      </c>
      <c r="C1092" s="1268"/>
      <c r="D1092" s="1268"/>
      <c r="E1092" s="1268"/>
      <c r="F1092" s="1268"/>
      <c r="G1092" s="1551" t="n">
        <f aca="false">'Смета Внутр'!H1092</f>
        <v>0</v>
      </c>
      <c r="H1092" s="3175"/>
      <c r="I1092" s="3179" t="n">
        <f aca="false">IF(F1092&lt;H1092,F1092*(D1092-E1092),0)+IF(H1092=0,(D1092-E1092)*F1092,0)+IF(H1092&lt;F1092,H1092*(D1092-E1092),0)</f>
        <v>0</v>
      </c>
      <c r="J1092" s="3179" t="n">
        <f aca="false">G1092-I1092</f>
        <v>0</v>
      </c>
    </row>
    <row r="1093" customFormat="false" ht="15" hidden="false" customHeight="true" outlineLevel="0" collapsed="false">
      <c r="B1093" s="1551" t="str">
        <f aca="false">'Смета Внутр'!B1093</f>
        <v>монтаж мауэрлата</v>
      </c>
      <c r="C1093" s="1551" t="str">
        <f aca="false">'Смета Внутр'!C1093</f>
        <v>м.п.</v>
      </c>
      <c r="D1093" s="1551" t="n">
        <f aca="false">'Смета Внутр'!D1093</f>
        <v>0</v>
      </c>
      <c r="F1093" s="1551" t="n">
        <f aca="false">'Смета Внутр'!E1093</f>
        <v>250</v>
      </c>
      <c r="G1093" s="1551" t="n">
        <f aca="false">'Смета Внутр'!H1093</f>
        <v>0</v>
      </c>
      <c r="I1093" s="3179" t="n">
        <f aca="false">IF(F1093&lt;H1093,F1093*(D1093-E1093),0)+IF(H1093=0,(D1093-E1093)*F1093,0)+IF(H1093&lt;F1093,H1093*(D1093-E1093),0)</f>
        <v>0</v>
      </c>
      <c r="J1093" s="3179" t="n">
        <f aca="false">G1093-I1093</f>
        <v>0</v>
      </c>
    </row>
    <row r="1094" customFormat="false" ht="15" hidden="false" customHeight="true" outlineLevel="0" collapsed="false">
      <c r="B1094" s="1551" t="str">
        <f aca="false">'Смета Внутр'!B1094</f>
        <v>монтаж стропил</v>
      </c>
      <c r="C1094" s="1551" t="str">
        <f aca="false">'Смета Внутр'!C1094</f>
        <v>м2</v>
      </c>
      <c r="D1094" s="1551" t="n">
        <f aca="false">'Смета Внутр'!D1094</f>
        <v>6</v>
      </c>
      <c r="F1094" s="1551" t="n">
        <f aca="false">'Смета Внутр'!E1094</f>
        <v>450</v>
      </c>
      <c r="G1094" s="1551" t="n">
        <f aca="false">'Смета Внутр'!H1094</f>
        <v>0</v>
      </c>
      <c r="I1094" s="3179" t="n">
        <f aca="false">IF(F1094&lt;H1094,F1094*(D1094-E1094),0)+IF(H1094=0,(D1094-E1094)*F1094,0)+IF(H1094&lt;F1094,H1094*(D1094-E1094),0)</f>
        <v>2700</v>
      </c>
      <c r="J1094" s="3179" t="n">
        <f aca="false">G1094-I1094</f>
        <v>-2700</v>
      </c>
    </row>
    <row r="1095" customFormat="false" ht="15" hidden="false" customHeight="true" outlineLevel="0" collapsed="false">
      <c r="B1095" s="1551" t="str">
        <f aca="false">'Смета Внутр'!B1095</f>
        <v>обрешетка</v>
      </c>
      <c r="C1095" s="1551" t="str">
        <f aca="false">'Смета Внутр'!C1095</f>
        <v>м2</v>
      </c>
      <c r="D1095" s="1551" t="n">
        <f aca="false">'Смета Внутр'!D1095</f>
        <v>6</v>
      </c>
      <c r="F1095" s="1551" t="n">
        <f aca="false">'Смета Внутр'!E1095</f>
        <v>100</v>
      </c>
      <c r="G1095" s="1551" t="n">
        <f aca="false">'Смета Внутр'!H1095</f>
        <v>0</v>
      </c>
      <c r="I1095" s="3179" t="n">
        <f aca="false">IF(F1095&lt;H1095,F1095*(D1095-E1095),0)+IF(H1095=0,(D1095-E1095)*F1095,0)+IF(H1095&lt;F1095,H1095*(D1095-E1095),0)</f>
        <v>600</v>
      </c>
      <c r="J1095" s="3179" t="n">
        <f aca="false">G1095-I1095</f>
        <v>-600</v>
      </c>
    </row>
    <row r="1096" customFormat="false" ht="15" hidden="false" customHeight="true" outlineLevel="0" collapsed="false">
      <c r="B1096" s="1551" t="str">
        <f aca="false">'Смета Внутр'!B1096</f>
        <v>контробеш</v>
      </c>
      <c r="C1096" s="1551" t="str">
        <f aca="false">'Смета Внутр'!C1096</f>
        <v>м2</v>
      </c>
      <c r="D1096" s="1551" t="n">
        <f aca="false">'Смета Внутр'!D1096</f>
        <v>6</v>
      </c>
      <c r="F1096" s="1551" t="n">
        <f aca="false">'Смета Внутр'!E1096</f>
        <v>100</v>
      </c>
      <c r="G1096" s="1551" t="n">
        <f aca="false">'Смета Внутр'!H1096</f>
        <v>0</v>
      </c>
      <c r="I1096" s="3179" t="n">
        <f aca="false">IF(F1096&lt;H1096,F1096*(D1096-E1096),0)+IF(H1096=0,(D1096-E1096)*F1096,0)+IF(H1096&lt;F1096,H1096*(D1096-E1096),0)</f>
        <v>600</v>
      </c>
      <c r="J1096" s="3179" t="n">
        <f aca="false">G1096-I1096</f>
        <v>-600</v>
      </c>
    </row>
    <row r="1097" customFormat="false" ht="15" hidden="false" customHeight="true" outlineLevel="0" collapsed="false">
      <c r="B1097" s="1551" t="str">
        <f aca="false">'Смета Внутр'!B1097</f>
        <v>Монтаж металлочерепицы</v>
      </c>
      <c r="C1097" s="1551" t="str">
        <f aca="false">'Смета Внутр'!C1097</f>
        <v>м2</v>
      </c>
      <c r="D1097" s="1551" t="n">
        <f aca="false">'Смета Внутр'!D1097</f>
        <v>6</v>
      </c>
      <c r="F1097" s="1551" t="n">
        <f aca="false">'Смета Внутр'!E1097</f>
        <v>300</v>
      </c>
      <c r="G1097" s="1551" t="n">
        <f aca="false">'Смета Внутр'!H1097</f>
        <v>0</v>
      </c>
      <c r="I1097" s="3179" t="n">
        <f aca="false">IF(F1097&lt;H1097,F1097*(D1097-E1097),0)+IF(H1097=0,(D1097-E1097)*F1097,0)+IF(H1097&lt;F1097,H1097*(D1097-E1097),0)</f>
        <v>1800</v>
      </c>
      <c r="J1097" s="3179" t="n">
        <f aca="false">G1097-I1097</f>
        <v>-1800</v>
      </c>
    </row>
    <row r="1098" customFormat="false" ht="15" hidden="false" customHeight="true" outlineLevel="0" collapsed="false">
      <c r="B1098" s="1551" t="str">
        <f aca="false">'Смета Внутр'!B1098</f>
        <v>Монтаж ондулина</v>
      </c>
      <c r="C1098" s="1551" t="str">
        <f aca="false">'Смета Внутр'!C1098</f>
        <v>м2</v>
      </c>
      <c r="D1098" s="1551" t="n">
        <f aca="false">'Смета Внутр'!D1098</f>
        <v>0</v>
      </c>
      <c r="F1098" s="1551" t="n">
        <f aca="false">'Смета Внутр'!E1098</f>
        <v>300</v>
      </c>
      <c r="G1098" s="1551" t="n">
        <f aca="false">'Смета Внутр'!H1098</f>
        <v>0</v>
      </c>
      <c r="I1098" s="3179" t="n">
        <f aca="false">IF(F1098&lt;H1098,F1098*(D1098-E1098),0)+IF(H1098=0,(D1098-E1098)*F1098,0)+IF(H1098&lt;F1098,H1098*(D1098-E1098),0)</f>
        <v>0</v>
      </c>
      <c r="J1098" s="3179" t="n">
        <f aca="false">G1098-I1098</f>
        <v>0</v>
      </c>
    </row>
    <row r="1099" customFormat="false" ht="15" hidden="false" customHeight="true" outlineLevel="0" collapsed="false">
      <c r="B1099" s="1551" t="str">
        <f aca="false">'Смета Внутр'!B1099</f>
        <v>мембрана</v>
      </c>
      <c r="C1099" s="1551" t="str">
        <f aca="false">'Смета Внутр'!C1099</f>
        <v>м2</v>
      </c>
      <c r="D1099" s="1551" t="n">
        <f aca="false">'Смета Внутр'!D1099</f>
        <v>6</v>
      </c>
      <c r="F1099" s="1551" t="n">
        <f aca="false">'Смета Внутр'!E1099</f>
        <v>100</v>
      </c>
      <c r="G1099" s="1551" t="n">
        <f aca="false">'Смета Внутр'!H1099</f>
        <v>0</v>
      </c>
      <c r="I1099" s="3179" t="n">
        <f aca="false">IF(F1099&lt;H1099,F1099*(D1099-E1099),0)+IF(H1099=0,(D1099-E1099)*F1099,0)+IF(H1099&lt;F1099,H1099*(D1099-E1099),0)</f>
        <v>600</v>
      </c>
      <c r="J1099" s="3179" t="n">
        <f aca="false">G1099-I1099</f>
        <v>-600</v>
      </c>
    </row>
    <row r="1100" customFormat="false" ht="15" hidden="false" customHeight="true" outlineLevel="0" collapsed="false">
      <c r="B1100" s="1551" t="str">
        <f aca="false">'Смета Внутр'!B1100</f>
        <v>пароизоляц</v>
      </c>
      <c r="C1100" s="1551" t="str">
        <f aca="false">'Смета Внутр'!C1100</f>
        <v>м2</v>
      </c>
      <c r="D1100" s="1551" t="n">
        <f aca="false">'Смета Внутр'!D1100</f>
        <v>6</v>
      </c>
      <c r="F1100" s="1551" t="n">
        <f aca="false">'Смета Внутр'!E1100</f>
        <v>100</v>
      </c>
      <c r="G1100" s="1551" t="n">
        <f aca="false">'Смета Внутр'!H1100</f>
        <v>0</v>
      </c>
      <c r="I1100" s="3179" t="n">
        <f aca="false">IF(F1100&lt;H1100,F1100*(D1100-E1100),0)+IF(H1100=0,(D1100-E1100)*F1100,0)+IF(H1100&lt;F1100,H1100*(D1100-E1100),0)</f>
        <v>600</v>
      </c>
      <c r="J1100" s="3179" t="n">
        <f aca="false">G1100-I1100</f>
        <v>-600</v>
      </c>
    </row>
    <row r="1101" customFormat="false" ht="15" hidden="false" customHeight="true" outlineLevel="0" collapsed="false">
      <c r="B1101" s="1551" t="str">
        <f aca="false">'Смета Внутр'!B1101</f>
        <v>утеплитель</v>
      </c>
      <c r="C1101" s="1551" t="str">
        <f aca="false">'Смета Внутр'!C1101</f>
        <v>м2</v>
      </c>
      <c r="D1101" s="1551" t="n">
        <f aca="false">'Смета Внутр'!D1101</f>
        <v>0</v>
      </c>
      <c r="F1101" s="1551" t="n">
        <f aca="false">'Смета Внутр'!E1101</f>
        <v>200</v>
      </c>
      <c r="G1101" s="1551" t="n">
        <f aca="false">'Смета Внутр'!H1101</f>
        <v>0</v>
      </c>
      <c r="I1101" s="3179" t="n">
        <f aca="false">IF(F1101&lt;H1101,F1101*(D1101-E1101),0)+IF(H1101=0,(D1101-E1101)*F1101,0)+IF(H1101&lt;F1101,H1101*(D1101-E1101),0)</f>
        <v>0</v>
      </c>
      <c r="J1101" s="3179" t="n">
        <f aca="false">G1101-I1101</f>
        <v>0</v>
      </c>
    </row>
    <row r="1102" customFormat="false" ht="15" hidden="false" customHeight="true" outlineLevel="0" collapsed="false">
      <c r="B1102" s="1551" t="str">
        <f aca="false">'Смета Внутр'!B1102</f>
        <v>карнизная планка</v>
      </c>
      <c r="C1102" s="1551" t="str">
        <f aca="false">'Смета Внутр'!C1102</f>
        <v>м2</v>
      </c>
      <c r="D1102" s="1551" t="n">
        <f aca="false">'Смета Внутр'!D1102</f>
        <v>0</v>
      </c>
      <c r="F1102" s="1551" t="n">
        <f aca="false">'Смета Внутр'!E1102</f>
        <v>100</v>
      </c>
      <c r="G1102" s="1551" t="n">
        <f aca="false">'Смета Внутр'!H1102</f>
        <v>0</v>
      </c>
      <c r="I1102" s="3179" t="n">
        <f aca="false">IF(F1102&lt;H1102,F1102*(D1102-E1102),0)+IF(H1102=0,(D1102-E1102)*F1102,0)+IF(H1102&lt;F1102,H1102*(D1102-E1102),0)</f>
        <v>0</v>
      </c>
      <c r="J1102" s="3179" t="n">
        <f aca="false">G1102-I1102</f>
        <v>0</v>
      </c>
    </row>
    <row r="1103" customFormat="false" ht="15" hidden="false" customHeight="true" outlineLevel="0" collapsed="false">
      <c r="B1103" s="1551" t="str">
        <f aca="false">'Смета Внутр'!B1103</f>
        <v>торцевая планка</v>
      </c>
      <c r="C1103" s="1551" t="str">
        <f aca="false">'Смета Внутр'!C1103</f>
        <v>м2</v>
      </c>
      <c r="D1103" s="1551" t="n">
        <f aca="false">'Смета Внутр'!D1103</f>
        <v>0</v>
      </c>
      <c r="F1103" s="1551" t="n">
        <f aca="false">'Смета Внутр'!E1103</f>
        <v>100</v>
      </c>
      <c r="G1103" s="1551" t="n">
        <f aca="false">'Смета Внутр'!H1103</f>
        <v>0</v>
      </c>
      <c r="I1103" s="3179" t="n">
        <f aca="false">IF(F1103&lt;H1103,F1103*(D1103-E1103),0)+IF(H1103=0,(D1103-E1103)*F1103,0)+IF(H1103&lt;F1103,H1103*(D1103-E1103),0)</f>
        <v>0</v>
      </c>
      <c r="J1103" s="3179" t="n">
        <f aca="false">G1103-I1103</f>
        <v>0</v>
      </c>
    </row>
    <row r="1104" customFormat="false" ht="15" hidden="false" customHeight="true" outlineLevel="0" collapsed="false">
      <c r="B1104" s="1551" t="str">
        <f aca="false">'Смета Внутр'!B1104</f>
        <v>конек</v>
      </c>
      <c r="C1104" s="1551" t="str">
        <f aca="false">'Смета Внутр'!C1104</f>
        <v>м.п.</v>
      </c>
      <c r="D1104" s="1551" t="n">
        <f aca="false">'Смета Внутр'!D1104</f>
        <v>0</v>
      </c>
      <c r="F1104" s="1551" t="n">
        <f aca="false">'Смета Внутр'!E1104</f>
        <v>300</v>
      </c>
      <c r="G1104" s="1551" t="n">
        <f aca="false">'Смета Внутр'!H1104</f>
        <v>0</v>
      </c>
      <c r="I1104" s="3179" t="n">
        <f aca="false">IF(F1104&lt;H1104,F1104*(D1104-E1104),0)+IF(H1104=0,(D1104-E1104)*F1104,0)+IF(H1104&lt;F1104,H1104*(D1104-E1104),0)</f>
        <v>0</v>
      </c>
      <c r="J1104" s="3179" t="n">
        <f aca="false">G1104-I1104</f>
        <v>0</v>
      </c>
    </row>
    <row r="1105" customFormat="false" ht="15" hidden="false" customHeight="true" outlineLevel="0" collapsed="false">
      <c r="B1105" s="1551" t="str">
        <f aca="false">'Смета Внутр'!B1105</f>
        <v>желоб водосточный</v>
      </c>
      <c r="C1105" s="1551" t="str">
        <f aca="false">'Смета Внутр'!C1105</f>
        <v>м.п.</v>
      </c>
      <c r="D1105" s="1551" t="n">
        <f aca="false">'Смета Внутр'!D1105</f>
        <v>0</v>
      </c>
      <c r="F1105" s="1551" t="n">
        <f aca="false">'Смета Внутр'!E1105</f>
        <v>300</v>
      </c>
      <c r="G1105" s="1551" t="n">
        <f aca="false">'Смета Внутр'!H1105</f>
        <v>0</v>
      </c>
      <c r="I1105" s="3179" t="n">
        <f aca="false">IF(F1105&lt;H1105,F1105*(D1105-E1105),0)+IF(H1105=0,(D1105-E1105)*F1105,0)+IF(H1105&lt;F1105,H1105*(D1105-E1105),0)</f>
        <v>0</v>
      </c>
      <c r="J1105" s="3179" t="n">
        <f aca="false">G1105-I1105</f>
        <v>0</v>
      </c>
    </row>
    <row r="1106" customFormat="false" ht="15" hidden="false" customHeight="true" outlineLevel="0" collapsed="false">
      <c r="B1106" s="1551" t="str">
        <f aca="false">'Смета Внутр'!B1106</f>
        <v>труба водосточная</v>
      </c>
      <c r="C1106" s="1551" t="str">
        <f aca="false">'Смета Внутр'!C1106</f>
        <v>м.п.</v>
      </c>
      <c r="D1106" s="1551" t="n">
        <f aca="false">'Смета Внутр'!D1106</f>
        <v>11.34</v>
      </c>
      <c r="F1106" s="1551" t="n">
        <f aca="false">'Смета Внутр'!E1106</f>
        <v>300</v>
      </c>
      <c r="G1106" s="1551" t="n">
        <f aca="false">'Смета Внутр'!H1106</f>
        <v>0</v>
      </c>
      <c r="I1106" s="3179" t="n">
        <f aca="false">IF(F1106&lt;H1106,F1106*(D1106-E1106),0)+IF(H1106=0,(D1106-E1106)*F1106,0)+IF(H1106&lt;F1106,H1106*(D1106-E1106),0)</f>
        <v>3402</v>
      </c>
      <c r="J1106" s="3179" t="n">
        <f aca="false">G1106-I1106</f>
        <v>-3402</v>
      </c>
    </row>
    <row r="1107" customFormat="false" ht="15" hidden="false" customHeight="true" outlineLevel="0" collapsed="false">
      <c r="B1107" s="1551" t="str">
        <f aca="false">'Смета Внутр'!B1107</f>
        <v>Монтаж фанеры/osb</v>
      </c>
      <c r="C1107" s="1551" t="str">
        <f aca="false">'Смета Внутр'!C1107</f>
        <v>м2</v>
      </c>
      <c r="D1107" s="1551" t="n">
        <f aca="false">'Смета Внутр'!D1107</f>
        <v>0</v>
      </c>
      <c r="F1107" s="1551" t="n">
        <f aca="false">'Смета Внутр'!E1107</f>
        <v>200</v>
      </c>
      <c r="G1107" s="1551" t="n">
        <f aca="false">'Смета Внутр'!H1107</f>
        <v>0</v>
      </c>
      <c r="I1107" s="3179" t="n">
        <f aca="false">IF(F1107&lt;H1107,F1107*(D1107-E1107),0)+IF(H1107=0,(D1107-E1107)*F1107,0)+IF(H1107&lt;F1107,H1107*(D1107-E1107),0)</f>
        <v>0</v>
      </c>
      <c r="J1107" s="3179" t="n">
        <f aca="false">G1107-I1107</f>
        <v>0</v>
      </c>
    </row>
    <row r="1108" customFormat="false" ht="15" hidden="false" customHeight="true" outlineLevel="0" collapsed="false">
      <c r="B1108" s="1551" t="str">
        <f aca="false">'Смета Внутр'!B1108</f>
        <v>монтаж подкладочного ковра</v>
      </c>
      <c r="C1108" s="1551" t="str">
        <f aca="false">'Смета Внутр'!C1108</f>
        <v>м2</v>
      </c>
      <c r="D1108" s="1551" t="n">
        <f aca="false">'Смета Внутр'!D1108</f>
        <v>0</v>
      </c>
      <c r="F1108" s="1551" t="n">
        <f aca="false">'Смета Внутр'!E1108</f>
        <v>150</v>
      </c>
      <c r="G1108" s="1551" t="n">
        <f aca="false">'Смета Внутр'!H1108</f>
        <v>0</v>
      </c>
      <c r="I1108" s="3179" t="n">
        <f aca="false">IF(F1108&lt;H1108,F1108*(D1108-E1108),0)+IF(H1108=0,(D1108-E1108)*F1108,0)+IF(H1108&lt;F1108,H1108*(D1108-E1108),0)</f>
        <v>0</v>
      </c>
      <c r="J1108" s="3179" t="n">
        <f aca="false">G1108-I1108</f>
        <v>0</v>
      </c>
    </row>
    <row r="1109" customFormat="false" ht="15" hidden="false" customHeight="true" outlineLevel="0" collapsed="false">
      <c r="B1109" s="1551" t="str">
        <f aca="false">'Смета Внутр'!B1109</f>
        <v>Монтаж мягкой кровли</v>
      </c>
      <c r="C1109" s="1551" t="str">
        <f aca="false">'Смета Внутр'!C1109</f>
        <v>м2</v>
      </c>
      <c r="D1109" s="1551" t="n">
        <f aca="false">'Смета Внутр'!D1109</f>
        <v>0</v>
      </c>
      <c r="F1109" s="1551" t="n">
        <f aca="false">'Смета Внутр'!E1109</f>
        <v>350</v>
      </c>
      <c r="G1109" s="1551" t="n">
        <f aca="false">'Смета Внутр'!H1109</f>
        <v>0</v>
      </c>
      <c r="I1109" s="3179" t="n">
        <f aca="false">IF(F1109&lt;H1109,F1109*(D1109-E1109),0)+IF(H1109=0,(D1109-E1109)*F1109,0)+IF(H1109&lt;F1109,H1109*(D1109-E1109),0)</f>
        <v>0</v>
      </c>
      <c r="J1109" s="3179" t="n">
        <f aca="false">G1109-I1109</f>
        <v>0</v>
      </c>
    </row>
    <row r="1110" customFormat="false" ht="15" hidden="false" customHeight="false" outlineLevel="0" collapsed="false">
      <c r="B1110" s="1692" t="s">
        <v>4333</v>
      </c>
      <c r="C1110" s="1692"/>
      <c r="D1110" s="1692"/>
      <c r="E1110" s="1692"/>
      <c r="F1110" s="1692"/>
      <c r="G1110" s="1551" t="n">
        <f aca="false">'Смета Внутр'!H1110</f>
        <v>0</v>
      </c>
      <c r="H1110" s="1584"/>
      <c r="I1110" s="3179" t="n">
        <f aca="false">IF(F1110&lt;H1110,F1110*(D1110-E1110),0)+IF(H1110=0,(D1110-E1110)*F1110,0)+IF(H1110&lt;F1110,H1110*(D1110-E1110),0)</f>
        <v>0</v>
      </c>
      <c r="J1110" s="3179" t="n">
        <f aca="false">G1110-I1110</f>
        <v>0</v>
      </c>
    </row>
    <row r="1111" customFormat="false" ht="15" hidden="false" customHeight="true" outlineLevel="0" collapsed="false">
      <c r="B1111" s="1551" t="str">
        <f aca="false">'Смета Внутр'!B1111</f>
        <v>Кровля двускатная</v>
      </c>
      <c r="C1111" s="1551" t="n">
        <f aca="false">'Смета Внутр'!C1111</f>
        <v>0</v>
      </c>
      <c r="D1111" s="1551" t="n">
        <f aca="false">'Смета Внутр'!D1111</f>
        <v>0</v>
      </c>
      <c r="F1111" s="1551" t="n">
        <f aca="false">'Смета Внутр'!E1111</f>
        <v>0</v>
      </c>
      <c r="G1111" s="1551" t="n">
        <f aca="false">'Смета Внутр'!H1111</f>
        <v>1</v>
      </c>
      <c r="I1111" s="3179" t="n">
        <f aca="false">IF(F1111&lt;H1111,F1111*(D1111-E1111),0)+IF(H1111=0,(D1111-E1111)*F1111,0)+IF(H1111&lt;F1111,H1111*(D1111-E1111),0)</f>
        <v>0</v>
      </c>
      <c r="J1111" s="3179" t="n">
        <f aca="false">G1111-I1111</f>
        <v>1</v>
      </c>
    </row>
    <row r="1112" customFormat="false" ht="15" hidden="false" customHeight="true" outlineLevel="0" collapsed="false">
      <c r="B1112" s="1268" t="str">
        <f aca="false">'Смета Внутр'!B1112</f>
        <v>Материалы</v>
      </c>
      <c r="C1112" s="1268"/>
      <c r="D1112" s="1268"/>
      <c r="E1112" s="1268"/>
      <c r="F1112" s="1268"/>
      <c r="G1112" s="1551" t="n">
        <f aca="false">'Смета Внутр'!H1112</f>
        <v>1</v>
      </c>
      <c r="H1112" s="3175"/>
      <c r="I1112" s="3179" t="n">
        <f aca="false">IF(F1112&lt;H1112,F1112*(D1112-E1112),0)+IF(H1112=0,(D1112-E1112)*F1112,0)+IF(H1112&lt;F1112,H1112*(D1112-E1112),0)</f>
        <v>0</v>
      </c>
      <c r="J1112" s="3179" t="n">
        <f aca="false">G1112-I1112</f>
        <v>1</v>
      </c>
    </row>
    <row r="1113" customFormat="false" ht="15" hidden="false" customHeight="true" outlineLevel="0" collapsed="false">
      <c r="B1113" s="1551" t="str">
        <f aca="false">'Смета Внутр'!B1113</f>
        <v>нет</v>
      </c>
      <c r="C1113" s="1551" t="str">
        <f aca="false">'Смета Внутр'!C1113</f>
        <v>м3</v>
      </c>
      <c r="D1113" s="1551" t="n">
        <f aca="false">'Смета Внутр'!D1113</f>
        <v>0</v>
      </c>
      <c r="F1113" s="1551" t="n">
        <f aca="false">'Смета Внутр'!E1113</f>
        <v>0</v>
      </c>
      <c r="G1113" s="1551" t="n">
        <f aca="false">'Смета Внутр'!H1113</f>
        <v>0</v>
      </c>
      <c r="I1113" s="3179" t="n">
        <f aca="false">IF(F1113&lt;H1113,F1113*(D1113-E1113),0)+IF(H1113=0,(D1113-E1113)*F1113,0)+IF(H1113&lt;F1113,H1113*(D1113-E1113),0)</f>
        <v>0</v>
      </c>
      <c r="J1113" s="3179" t="n">
        <f aca="false">G1113-I1113</f>
        <v>0</v>
      </c>
    </row>
    <row r="1114" customFormat="false" ht="15" hidden="false" customHeight="true" outlineLevel="0" collapsed="false">
      <c r="B1114" s="1551" t="str">
        <f aca="false">'Смета Внутр'!B1114</f>
        <v>Болты анкерные с гайкой 12,0 х 280          </v>
      </c>
      <c r="C1114" s="1551" t="str">
        <f aca="false">'Смета Внутр'!C1114</f>
        <v>шт</v>
      </c>
      <c r="D1114" s="1551" t="n">
        <f aca="false">'Смета Внутр'!D1114</f>
        <v>36.9990475974507</v>
      </c>
      <c r="F1114" s="1551" t="n">
        <f aca="false">'Смета Внутр'!E1114</f>
        <v>27.1</v>
      </c>
      <c r="G1114" s="1551" t="n">
        <f aca="false">'Смета Внутр'!H1114</f>
        <v>1002.67418989091</v>
      </c>
      <c r="I1114" s="3179" t="n">
        <f aca="false">IF(F1114&lt;H1114,F1114*(D1114-E1114),0)+IF(H1114=0,(D1114-E1114)*F1114,0)+IF(H1114&lt;F1114,H1114*(D1114-E1114),0)</f>
        <v>1002.67418989091</v>
      </c>
      <c r="J1114" s="3179" t="n">
        <f aca="false">G1114-I1114</f>
        <v>0</v>
      </c>
    </row>
    <row r="1115" customFormat="false" ht="15" hidden="false" customHeight="true" outlineLevel="0" collapsed="false">
      <c r="B1115" s="1551" t="str">
        <f aca="false">'Смета Внутр'!B1115</f>
        <v>Доска сухая, 200*50мм</v>
      </c>
      <c r="C1115" s="1551" t="str">
        <f aca="false">'Смета Внутр'!C1115</f>
        <v>м3</v>
      </c>
      <c r="D1115" s="1551" t="n">
        <f aca="false">'Смета Внутр'!D1115</f>
        <v>1.3582236137642</v>
      </c>
      <c r="F1115" s="1551" t="n">
        <f aca="false">'Смета Внутр'!E1115</f>
        <v>9000</v>
      </c>
      <c r="G1115" s="1551" t="n">
        <f aca="false">'Смета Внутр'!H1115</f>
        <v>12224.0125238778</v>
      </c>
      <c r="I1115" s="3179" t="n">
        <f aca="false">IF(F1115&lt;H1115,F1115*(D1115-E1115),0)+IF(H1115=0,(D1115-E1115)*F1115,0)+IF(H1115&lt;F1115,H1115*(D1115-E1115),0)</f>
        <v>12224.0125238778</v>
      </c>
      <c r="J1115" s="3179" t="n">
        <f aca="false">G1115-I1115</f>
        <v>0</v>
      </c>
    </row>
    <row r="1116" customFormat="false" ht="15" hidden="false" customHeight="true" outlineLevel="0" collapsed="false">
      <c r="B1116" s="1551" t="str">
        <f aca="false">'Смета Внутр'!B1116</f>
        <v>бугель, доска </v>
      </c>
      <c r="C1116" s="1551" t="str">
        <f aca="false">'Смета Внутр'!C1116</f>
        <v>м3</v>
      </c>
      <c r="D1116" s="1551" t="n">
        <f aca="false">'Смета Внутр'!D1116</f>
        <v>0.624</v>
      </c>
      <c r="F1116" s="1551" t="n">
        <f aca="false">'Смета Внутр'!E1116</f>
        <v>9000</v>
      </c>
      <c r="G1116" s="1551" t="n">
        <f aca="false">'Смета Внутр'!H1116</f>
        <v>5616</v>
      </c>
      <c r="I1116" s="3179" t="n">
        <f aca="false">IF(F1116&lt;H1116,F1116*(D1116-E1116),0)+IF(H1116=0,(D1116-E1116)*F1116,0)+IF(H1116&lt;F1116,H1116*(D1116-E1116),0)</f>
        <v>5616</v>
      </c>
      <c r="J1116" s="3179" t="n">
        <f aca="false">G1116-I1116</f>
        <v>0</v>
      </c>
    </row>
    <row r="1117" customFormat="false" ht="15" hidden="false" customHeight="true" outlineLevel="0" collapsed="false">
      <c r="B1117" s="1551" t="str">
        <f aca="false">'Смета Внутр'!B1117</f>
        <v>стойка под конек</v>
      </c>
      <c r="C1117" s="1551" t="str">
        <f aca="false">'Смета Внутр'!C1117</f>
        <v>м3</v>
      </c>
      <c r="D1117" s="1551" t="n">
        <f aca="false">'Смета Внутр'!D1117</f>
        <v>0.75</v>
      </c>
      <c r="F1117" s="1551" t="n">
        <f aca="false">'Смета Внутр'!E1117</f>
        <v>9000</v>
      </c>
      <c r="G1117" s="1551" t="n">
        <f aca="false">'Смета Внутр'!H1117</f>
        <v>6750</v>
      </c>
      <c r="I1117" s="3179" t="n">
        <f aca="false">IF(F1117&lt;H1117,F1117*(D1117-E1117),0)+IF(H1117=0,(D1117-E1117)*F1117,0)+IF(H1117&lt;F1117,H1117*(D1117-E1117),0)</f>
        <v>6750</v>
      </c>
      <c r="J1117" s="3179" t="n">
        <f aca="false">G1117-I1117</f>
        <v>0</v>
      </c>
    </row>
    <row r="1118" customFormat="false" ht="15" hidden="false" customHeight="true" outlineLevel="0" collapsed="false">
      <c r="B1118" s="1551" t="str">
        <f aca="false">'Смета Внутр'!B1118</f>
        <v>Сосна влаж,100*25мм</v>
      </c>
      <c r="C1118" s="1551" t="str">
        <f aca="false">'Смета Внутр'!C1118</f>
        <v>м3</v>
      </c>
      <c r="D1118" s="1551" t="n">
        <f aca="false">'Смета Внутр'!D1118</f>
        <v>1.05780913567754</v>
      </c>
      <c r="F1118" s="1551" t="n">
        <f aca="false">'Смета Внутр'!E1118</f>
        <v>6500</v>
      </c>
      <c r="G1118" s="1551" t="n">
        <f aca="false">'Смета Внутр'!H1118</f>
        <v>6875.75938190401</v>
      </c>
      <c r="I1118" s="3179" t="n">
        <f aca="false">IF(F1118&lt;H1118,F1118*(D1118-E1118),0)+IF(H1118=0,(D1118-E1118)*F1118,0)+IF(H1118&lt;F1118,H1118*(D1118-E1118),0)</f>
        <v>6875.75938190401</v>
      </c>
      <c r="J1118" s="3179" t="n">
        <f aca="false">G1118-I1118</f>
        <v>0</v>
      </c>
    </row>
    <row r="1119" customFormat="false" ht="15" hidden="false" customHeight="true" outlineLevel="0" collapsed="false">
      <c r="B1119" s="1551" t="str">
        <f aca="false">'Смета Внутр'!B1119</f>
        <v>Сосна влаж, 50*50мм</v>
      </c>
      <c r="C1119" s="1551" t="str">
        <f aca="false">'Смета Внутр'!C1119</f>
        <v>шт</v>
      </c>
      <c r="D1119" s="1551" t="n">
        <f aca="false">'Смета Внутр'!D1119</f>
        <v>0.470137393634462</v>
      </c>
      <c r="F1119" s="1551" t="n">
        <f aca="false">'Смета Внутр'!E1119</f>
        <v>6500</v>
      </c>
      <c r="G1119" s="1551" t="n">
        <f aca="false">'Смета Внутр'!H1119</f>
        <v>3055.893058624</v>
      </c>
      <c r="I1119" s="3179" t="n">
        <f aca="false">IF(F1119&lt;H1119,F1119*(D1119-E1119),0)+IF(H1119=0,(D1119-E1119)*F1119,0)+IF(H1119&lt;F1119,H1119*(D1119-E1119),0)</f>
        <v>3055.893058624</v>
      </c>
      <c r="J1119" s="3179" t="n">
        <f aca="false">G1119-I1119</f>
        <v>0</v>
      </c>
    </row>
    <row r="1120" customFormat="false" ht="15" hidden="false" customHeight="true" outlineLevel="0" collapsed="false">
      <c r="B1120" s="1551" t="str">
        <f aca="false">'Смета Внутр'!B1120</f>
        <v>Нет</v>
      </c>
      <c r="C1120" s="1551" t="str">
        <f aca="false">'Смета Внутр'!C1120</f>
        <v>м.п.</v>
      </c>
      <c r="D1120" s="1551" t="n">
        <f aca="false">'Смета Внутр'!D1120</f>
        <v>0</v>
      </c>
      <c r="F1120" s="1551" t="n">
        <f aca="false">'Смета Внутр'!E1120</f>
        <v>0</v>
      </c>
      <c r="G1120" s="1551" t="n">
        <f aca="false">'Смета Внутр'!H1120</f>
        <v>0</v>
      </c>
      <c r="I1120" s="3179" t="n">
        <f aca="false">IF(F1120&lt;H1120,F1120*(D1120-E1120),0)+IF(H1120=0,(D1120-E1120)*F1120,0)+IF(H1120&lt;F1120,H1120*(D1120-E1120),0)</f>
        <v>0</v>
      </c>
      <c r="J1120" s="3179" t="n">
        <f aca="false">G1120-I1120</f>
        <v>0</v>
      </c>
    </row>
    <row r="1121" customFormat="false" ht="15" hidden="false" customHeight="true" outlineLevel="0" collapsed="false">
      <c r="B1121" s="1551" t="str">
        <f aca="false">'Смета Внутр'!B1121</f>
        <v>Гидрокомпенсатор</v>
      </c>
      <c r="C1121" s="1551" t="str">
        <f aca="false">'Смета Внутр'!C1121</f>
        <v>шт.</v>
      </c>
      <c r="D1121" s="1551" t="n">
        <f aca="false">'Смета Внутр'!D1121</f>
        <v>0</v>
      </c>
      <c r="F1121" s="1551" t="n">
        <f aca="false">'Смета Внутр'!E1121</f>
        <v>450</v>
      </c>
      <c r="G1121" s="1551" t="n">
        <f aca="false">'Смета Внутр'!H1121</f>
        <v>0</v>
      </c>
      <c r="I1121" s="3179" t="n">
        <f aca="false">IF(F1121&lt;H1121,F1121*(D1121-E1121),0)+IF(H1121=0,(D1121-E1121)*F1121,0)+IF(H1121&lt;F1121,H1121*(D1121-E1121),0)</f>
        <v>0</v>
      </c>
      <c r="J1121" s="3179" t="n">
        <f aca="false">G1121-I1121</f>
        <v>0</v>
      </c>
    </row>
    <row r="1122" customFormat="false" ht="15" hidden="false" customHeight="true" outlineLevel="0" collapsed="false">
      <c r="B1122" s="1551" t="str">
        <f aca="false">'Смета Внутр'!B1122</f>
        <v>Универсальная Optima C</v>
      </c>
      <c r="C1122" s="1551" t="str">
        <f aca="false">'Смета Внутр'!C1122</f>
        <v>м2</v>
      </c>
      <c r="D1122" s="1551" t="n">
        <f aca="false">'Смета Внутр'!D1122</f>
        <v>126.937096281305</v>
      </c>
      <c r="F1122" s="1551" t="n">
        <f aca="false">'Смета Внутр'!E1122</f>
        <v>19</v>
      </c>
      <c r="G1122" s="1551" t="n">
        <f aca="false">'Смета Внутр'!H1122</f>
        <v>2411.80482934479</v>
      </c>
      <c r="I1122" s="3179" t="n">
        <f aca="false">IF(F1122&lt;H1122,F1122*(D1122-E1122),0)+IF(H1122=0,(D1122-E1122)*F1122,0)+IF(H1122&lt;F1122,H1122*(D1122-E1122),0)</f>
        <v>2411.80482934479</v>
      </c>
      <c r="J1122" s="3179" t="n">
        <f aca="false">G1122-I1122</f>
        <v>0</v>
      </c>
    </row>
    <row r="1123" customFormat="false" ht="15" hidden="false" customHeight="true" outlineLevel="0" collapsed="false">
      <c r="B1123" s="1551" t="str">
        <f aca="false">'Смета Внутр'!B1123</f>
        <v>Универсальная Optima C</v>
      </c>
      <c r="C1123" s="1551" t="str">
        <f aca="false">'Смета Внутр'!C1123</f>
        <v>м2</v>
      </c>
      <c r="D1123" s="1551" t="n">
        <f aca="false">'Смета Внутр'!D1123</f>
        <v>116.359004924529</v>
      </c>
      <c r="F1123" s="1551" t="n">
        <f aca="false">'Смета Внутр'!E1123</f>
        <v>20</v>
      </c>
      <c r="G1123" s="1551" t="n">
        <f aca="false">'Смета Внутр'!H1123</f>
        <v>2327.18009849059</v>
      </c>
      <c r="I1123" s="3179" t="n">
        <f aca="false">IF(F1123&lt;H1123,F1123*(D1123-E1123),0)+IF(H1123=0,(D1123-E1123)*F1123,0)+IF(H1123&lt;F1123,H1123*(D1123-E1123),0)</f>
        <v>2327.18009849059</v>
      </c>
      <c r="J1123" s="3179" t="n">
        <f aca="false">G1123-I1123</f>
        <v>0</v>
      </c>
    </row>
    <row r="1124" customFormat="false" ht="15" hidden="false" customHeight="true" outlineLevel="0" collapsed="false">
      <c r="B1124" s="1551" t="str">
        <f aca="false">'Смета Внутр'!B1124</f>
        <v>Плитный,28кг/м3, технониколь, 100мм</v>
      </c>
      <c r="C1124" s="1551" t="str">
        <f aca="false">'Смета Внутр'!C1124</f>
        <v>м3</v>
      </c>
      <c r="D1124" s="1551" t="n">
        <f aca="false">'Смета Внутр'!D1124</f>
        <v>8.60274787268924</v>
      </c>
      <c r="F1124" s="1551" t="n">
        <f aca="false">'Смета Внутр'!E1124</f>
        <v>1700</v>
      </c>
      <c r="G1124" s="1551" t="n">
        <f aca="false">'Смета Внутр'!H1124</f>
        <v>14624.6713835717</v>
      </c>
      <c r="I1124" s="3179" t="n">
        <f aca="false">IF(F1124&lt;H1124,F1124*(D1124-E1124),0)+IF(H1124=0,(D1124-E1124)*F1124,0)+IF(H1124&lt;F1124,H1124*(D1124-E1124),0)</f>
        <v>14624.6713835717</v>
      </c>
      <c r="J1124" s="3179" t="n">
        <f aca="false">G1124-I1124</f>
        <v>0</v>
      </c>
    </row>
    <row r="1125" customFormat="false" ht="15" hidden="false" customHeight="true" outlineLevel="0" collapsed="false">
      <c r="B1125" s="1551" t="str">
        <f aca="false">'Смета Внутр'!B1125</f>
        <v>Металлочерепица</v>
      </c>
      <c r="C1125" s="1551" t="str">
        <f aca="false">'Смета Внутр'!C1125</f>
        <v>м2</v>
      </c>
      <c r="D1125" s="1551" t="n">
        <f aca="false">'Смета Внутр'!D1125</f>
        <v>105.780913567754</v>
      </c>
      <c r="F1125" s="1551" t="n">
        <f aca="false">'Смета Внутр'!E1125</f>
        <v>250</v>
      </c>
      <c r="G1125" s="1551" t="n">
        <f aca="false">'Смета Внутр'!H1125</f>
        <v>26445.2283919385</v>
      </c>
      <c r="I1125" s="3179" t="n">
        <f aca="false">IF(F1125&lt;H1125,F1125*(D1125-E1125),0)+IF(H1125=0,(D1125-E1125)*F1125,0)+IF(H1125&lt;F1125,H1125*(D1125-E1125),0)</f>
        <v>26445.2283919385</v>
      </c>
      <c r="J1125" s="3179" t="n">
        <f aca="false">G1125-I1125</f>
        <v>0</v>
      </c>
    </row>
    <row r="1126" customFormat="false" ht="15" hidden="false" customHeight="true" outlineLevel="0" collapsed="false">
      <c r="B1126" s="1551" t="str">
        <f aca="false">'Смета Внутр'!B1126</f>
        <v>Карнизная планка</v>
      </c>
      <c r="C1126" s="1551" t="str">
        <f aca="false">'Смета Внутр'!C1126</f>
        <v>м.п.</v>
      </c>
      <c r="D1126" s="1551" t="n">
        <f aca="false">'Смета Внутр'!D1126</f>
        <v>18</v>
      </c>
      <c r="F1126" s="1551" t="n">
        <f aca="false">'Смета Внутр'!E1126</f>
        <v>190</v>
      </c>
      <c r="G1126" s="1551" t="n">
        <f aca="false">'Смета Внутр'!H1126</f>
        <v>3420</v>
      </c>
      <c r="I1126" s="3179" t="n">
        <f aca="false">IF(F1126&lt;H1126,F1126*(D1126-E1126),0)+IF(H1126=0,(D1126-E1126)*F1126,0)+IF(H1126&lt;F1126,H1126*(D1126-E1126),0)</f>
        <v>3420</v>
      </c>
      <c r="J1126" s="3179" t="n">
        <f aca="false">G1126-I1126</f>
        <v>0</v>
      </c>
    </row>
    <row r="1127" customFormat="false" ht="15" hidden="false" customHeight="true" outlineLevel="0" collapsed="false">
      <c r="B1127" s="1551" t="str">
        <f aca="false">'Смета Внутр'!B1127</f>
        <v>Торцевая планка</v>
      </c>
      <c r="C1127" s="1551" t="str">
        <f aca="false">'Смета Внутр'!C1127</f>
        <v>м.п.</v>
      </c>
      <c r="D1127" s="1551" t="n">
        <f aca="false">'Смета Внутр'!D1127</f>
        <v>23.5068696817231</v>
      </c>
      <c r="F1127" s="1551" t="n">
        <f aca="false">'Смета Внутр'!E1127</f>
        <v>190</v>
      </c>
      <c r="G1127" s="1551" t="n">
        <f aca="false">'Смета Внутр'!H1127</f>
        <v>4466.30523952739</v>
      </c>
      <c r="I1127" s="3179" t="n">
        <f aca="false">IF(F1127&lt;H1127,F1127*(D1127-E1127),0)+IF(H1127=0,(D1127-E1127)*F1127,0)+IF(H1127&lt;F1127,H1127*(D1127-E1127),0)</f>
        <v>4466.30523952739</v>
      </c>
      <c r="J1127" s="3179" t="n">
        <f aca="false">G1127-I1127</f>
        <v>0</v>
      </c>
    </row>
    <row r="1128" customFormat="false" ht="15" hidden="false" customHeight="true" outlineLevel="0" collapsed="false">
      <c r="B1128" s="1551" t="str">
        <f aca="false">'Смета Внутр'!B1128</f>
        <v>Конек</v>
      </c>
      <c r="C1128" s="1551" t="str">
        <f aca="false">'Смета Внутр'!C1128</f>
        <v>м.п.</v>
      </c>
      <c r="D1128" s="1551" t="n">
        <f aca="false">'Смета Внутр'!D1128</f>
        <v>9</v>
      </c>
      <c r="F1128" s="1551" t="n">
        <f aca="false">'Смета Внутр'!E1128</f>
        <v>200</v>
      </c>
      <c r="G1128" s="1551" t="n">
        <f aca="false">'Смета Внутр'!H1128</f>
        <v>1800</v>
      </c>
      <c r="I1128" s="3179" t="n">
        <f aca="false">IF(F1128&lt;H1128,F1128*(D1128-E1128),0)+IF(H1128=0,(D1128-E1128)*F1128,0)+IF(H1128&lt;F1128,H1128*(D1128-E1128),0)</f>
        <v>1800</v>
      </c>
      <c r="J1128" s="3179" t="n">
        <f aca="false">G1128-I1128</f>
        <v>0</v>
      </c>
    </row>
    <row r="1129" customFormat="false" ht="15" hidden="false" customHeight="true" outlineLevel="0" collapsed="false">
      <c r="B1129" s="1551" t="str">
        <f aca="false">'Смета Внутр'!B1129</f>
        <v>ондулин</v>
      </c>
      <c r="C1129" s="1551" t="str">
        <f aca="false">'Смета Внутр'!C1129</f>
        <v>м2</v>
      </c>
      <c r="D1129" s="1551" t="n">
        <f aca="false">'Смета Внутр'!D1129</f>
        <v>0</v>
      </c>
      <c r="F1129" s="1551" t="n">
        <f aca="false">'Смета Внутр'!E1129</f>
        <v>180</v>
      </c>
      <c r="G1129" s="1551" t="n">
        <f aca="false">'Смета Внутр'!H1129</f>
        <v>0</v>
      </c>
      <c r="I1129" s="3179" t="n">
        <f aca="false">IF(F1129&lt;H1129,F1129*(D1129-E1129),0)+IF(H1129=0,(D1129-E1129)*F1129,0)+IF(H1129&lt;F1129,H1129*(D1129-E1129),0)</f>
        <v>0</v>
      </c>
      <c r="J1129" s="3179" t="n">
        <f aca="false">G1129-I1129</f>
        <v>0</v>
      </c>
    </row>
    <row r="1130" customFormat="false" ht="15" hidden="false" customHeight="true" outlineLevel="0" collapsed="false">
      <c r="B1130" s="1551" t="str">
        <f aca="false">'Смета Внутр'!B1130</f>
        <v>Карнизная планка</v>
      </c>
      <c r="C1130" s="1551" t="str">
        <f aca="false">'Смета Внутр'!C1130</f>
        <v>м.п.</v>
      </c>
      <c r="D1130" s="1551" t="n">
        <f aca="false">'Смета Внутр'!D1130</f>
        <v>0</v>
      </c>
      <c r="F1130" s="1551" t="n">
        <f aca="false">'Смета Внутр'!E1130</f>
        <v>190</v>
      </c>
      <c r="G1130" s="1551" t="n">
        <f aca="false">'Смета Внутр'!H1130</f>
        <v>0</v>
      </c>
      <c r="I1130" s="3179" t="n">
        <f aca="false">IF(F1130&lt;H1130,F1130*(D1130-E1130),0)+IF(H1130=0,(D1130-E1130)*F1130,0)+IF(H1130&lt;F1130,H1130*(D1130-E1130),0)</f>
        <v>0</v>
      </c>
      <c r="J1130" s="3179" t="n">
        <f aca="false">G1130-I1130</f>
        <v>0</v>
      </c>
    </row>
    <row r="1131" customFormat="false" ht="15" hidden="false" customHeight="true" outlineLevel="0" collapsed="false">
      <c r="B1131" s="1551" t="str">
        <f aca="false">'Смета Внутр'!B1131</f>
        <v>Торцевая планка</v>
      </c>
      <c r="C1131" s="1551" t="str">
        <f aca="false">'Смета Внутр'!C1131</f>
        <v>м.п.</v>
      </c>
      <c r="D1131" s="1551" t="n">
        <f aca="false">'Смета Внутр'!D1131</f>
        <v>0</v>
      </c>
      <c r="F1131" s="1551" t="n">
        <f aca="false">'Смета Внутр'!E1131</f>
        <v>190</v>
      </c>
      <c r="G1131" s="1551" t="n">
        <f aca="false">'Смета Внутр'!H1131</f>
        <v>0</v>
      </c>
      <c r="I1131" s="3179" t="n">
        <f aca="false">IF(F1131&lt;H1131,F1131*(D1131-E1131),0)+IF(H1131=0,(D1131-E1131)*F1131,0)+IF(H1131&lt;F1131,H1131*(D1131-E1131),0)</f>
        <v>0</v>
      </c>
      <c r="J1131" s="3179" t="n">
        <f aca="false">G1131-I1131</f>
        <v>0</v>
      </c>
    </row>
    <row r="1132" customFormat="false" ht="15" hidden="false" customHeight="true" outlineLevel="0" collapsed="false">
      <c r="B1132" s="1551" t="str">
        <f aca="false">'Смета Внутр'!B1132</f>
        <v>Конек</v>
      </c>
      <c r="C1132" s="1551" t="str">
        <f aca="false">'Смета Внутр'!C1132</f>
        <v>м.п</v>
      </c>
      <c r="D1132" s="1551" t="n">
        <f aca="false">'Смета Внутр'!D1132</f>
        <v>0</v>
      </c>
      <c r="F1132" s="1551" t="n">
        <f aca="false">'Смета Внутр'!E1132</f>
        <v>200</v>
      </c>
      <c r="G1132" s="1551" t="n">
        <f aca="false">'Смета Внутр'!H1132</f>
        <v>0</v>
      </c>
      <c r="I1132" s="3179" t="n">
        <f aca="false">IF(F1132&lt;H1132,F1132*(D1132-E1132),0)+IF(H1132=0,(D1132-E1132)*F1132,0)+IF(H1132&lt;F1132,H1132*(D1132-E1132),0)</f>
        <v>0</v>
      </c>
      <c r="J1132" s="3179" t="n">
        <f aca="false">G1132-I1132</f>
        <v>0</v>
      </c>
    </row>
    <row r="1133" customFormat="false" ht="15" hidden="false" customHeight="true" outlineLevel="0" collapsed="false">
      <c r="B1133" s="1551" t="str">
        <f aca="false">'Смета Внутр'!B1133</f>
        <v>Ендова нижняя</v>
      </c>
      <c r="C1133" s="1551" t="str">
        <f aca="false">'Смета Внутр'!C1133</f>
        <v>м.п.</v>
      </c>
      <c r="D1133" s="1551" t="n">
        <f aca="false">'Смета Внутр'!D1133</f>
        <v>0</v>
      </c>
      <c r="F1133" s="1551" t="n">
        <f aca="false">'Смета Внутр'!E1133</f>
        <v>160</v>
      </c>
      <c r="G1133" s="1551" t="n">
        <f aca="false">'Смета Внутр'!H1133</f>
        <v>0</v>
      </c>
      <c r="I1133" s="3179" t="n">
        <f aca="false">IF(F1133&lt;H1133,F1133*(D1133-E1133),0)+IF(H1133=0,(D1133-E1133)*F1133,0)+IF(H1133&lt;F1133,H1133*(D1133-E1133),0)</f>
        <v>0</v>
      </c>
      <c r="J1133" s="3179" t="n">
        <f aca="false">G1133-I1133</f>
        <v>0</v>
      </c>
    </row>
    <row r="1134" customFormat="false" ht="15" hidden="false" customHeight="true" outlineLevel="0" collapsed="false">
      <c r="B1134" s="1551" t="str">
        <f aca="false">'Смета Внутр'!B1134</f>
        <v>Ендова верхняя</v>
      </c>
      <c r="C1134" s="1551" t="str">
        <f aca="false">'Смета Внутр'!C1134</f>
        <v>м.п.</v>
      </c>
      <c r="D1134" s="1551" t="n">
        <f aca="false">'Смета Внутр'!D1134</f>
        <v>0</v>
      </c>
      <c r="F1134" s="1551" t="n">
        <f aca="false">'Смета Внутр'!E1134</f>
        <v>190</v>
      </c>
      <c r="G1134" s="1551" t="n">
        <f aca="false">'Смета Внутр'!H1134</f>
        <v>0</v>
      </c>
      <c r="I1134" s="3179" t="n">
        <f aca="false">IF(F1134&lt;H1134,F1134*(D1134-E1134),0)+IF(H1134=0,(D1134-E1134)*F1134,0)+IF(H1134&lt;F1134,H1134*(D1134-E1134),0)</f>
        <v>0</v>
      </c>
      <c r="J1134" s="3179" t="n">
        <f aca="false">G1134-I1134</f>
        <v>0</v>
      </c>
    </row>
    <row r="1135" customFormat="false" ht="15" hidden="false" customHeight="true" outlineLevel="0" collapsed="false">
      <c r="B1135" s="1551" t="str">
        <f aca="false">'Смета Внутр'!B1135</f>
        <v>Планка примыкания</v>
      </c>
      <c r="C1135" s="1551" t="str">
        <f aca="false">'Смета Внутр'!C1135</f>
        <v>м.п.</v>
      </c>
      <c r="D1135" s="1551" t="n">
        <f aca="false">'Смета Внутр'!D1135</f>
        <v>0</v>
      </c>
      <c r="F1135" s="1551" t="n">
        <f aca="false">'Смета Внутр'!E1135</f>
        <v>190</v>
      </c>
      <c r="G1135" s="1551" t="n">
        <f aca="false">'Смета Внутр'!H1135</f>
        <v>0</v>
      </c>
      <c r="I1135" s="3179" t="n">
        <f aca="false">IF(F1135&lt;H1135,F1135*(D1135-E1135),0)+IF(H1135=0,(D1135-E1135)*F1135,0)+IF(H1135&lt;F1135,H1135*(D1135-E1135),0)</f>
        <v>0</v>
      </c>
      <c r="J1135" s="3179" t="n">
        <f aca="false">G1135-I1135</f>
        <v>0</v>
      </c>
    </row>
    <row r="1136" customFormat="false" ht="15" hidden="false" customHeight="true" outlineLevel="0" collapsed="false">
      <c r="B1136" s="1551" t="str">
        <f aca="false">'Смета Внутр'!B1136</f>
        <v>Крепеж для ондулина</v>
      </c>
      <c r="C1136" s="1551" t="str">
        <f aca="false">'Смета Внутр'!C1136</f>
        <v>шт</v>
      </c>
      <c r="D1136" s="1551" t="n">
        <f aca="false">'Смета Внутр'!D1136</f>
        <v>0</v>
      </c>
      <c r="F1136" s="1551" t="n">
        <f aca="false">'Смета Внутр'!E1136</f>
        <v>4.5</v>
      </c>
      <c r="G1136" s="1551" t="n">
        <f aca="false">'Смета Внутр'!H1136</f>
        <v>0</v>
      </c>
      <c r="I1136" s="3179" t="n">
        <f aca="false">IF(F1136&lt;H1136,F1136*(D1136-E1136),0)+IF(H1136=0,(D1136-E1136)*F1136,0)+IF(H1136&lt;F1136,H1136*(D1136-E1136),0)</f>
        <v>0</v>
      </c>
      <c r="J1136" s="3179" t="n">
        <f aca="false">G1136-I1136</f>
        <v>0</v>
      </c>
    </row>
    <row r="1137" customFormat="false" ht="15" hidden="false" customHeight="true" outlineLevel="0" collapsed="false">
      <c r="B1137" s="1551" t="str">
        <f aca="false">'Смета Внутр'!B1137</f>
        <v>нет</v>
      </c>
      <c r="C1137" s="1551" t="str">
        <f aca="false">'Смета Внутр'!C1137</f>
        <v>м2</v>
      </c>
      <c r="D1137" s="1551" t="n">
        <f aca="false">'Смета Внутр'!D1137</f>
        <v>116.359004924529</v>
      </c>
      <c r="F1137" s="1551" t="n">
        <f aca="false">'Смета Внутр'!E1137</f>
        <v>0</v>
      </c>
      <c r="G1137" s="1551" t="n">
        <f aca="false">'Смета Внутр'!H1137</f>
        <v>0</v>
      </c>
      <c r="I1137" s="3179" t="n">
        <f aca="false">IF(F1137&lt;H1137,F1137*(D1137-E1137),0)+IF(H1137=0,(D1137-E1137)*F1137,0)+IF(H1137&lt;F1137,H1137*(D1137-E1137),0)</f>
        <v>0</v>
      </c>
      <c r="J1137" s="3179" t="n">
        <f aca="false">G1137-I1137</f>
        <v>0</v>
      </c>
    </row>
    <row r="1138" customFormat="false" ht="15" hidden="false" customHeight="true" outlineLevel="0" collapsed="false">
      <c r="B1138" s="1551" t="str">
        <f aca="false">'Смета Внутр'!B1138</f>
        <v>Рядовая черепица</v>
      </c>
      <c r="C1138" s="1551" t="str">
        <f aca="false">'Смета Внутр'!C1138</f>
        <v>м2</v>
      </c>
      <c r="D1138" s="1551" t="n">
        <f aca="false">'Смета Внутр'!D1138</f>
        <v>0</v>
      </c>
      <c r="F1138" s="1551" t="n">
        <f aca="false">'Смета Внутр'!E1138</f>
        <v>360</v>
      </c>
      <c r="G1138" s="1551" t="n">
        <f aca="false">'Смета Внутр'!H1138</f>
        <v>0</v>
      </c>
      <c r="I1138" s="3179" t="n">
        <f aca="false">IF(F1138&lt;H1138,F1138*(D1138-E1138),0)+IF(H1138=0,(D1138-E1138)*F1138,0)+IF(H1138&lt;F1138,H1138*(D1138-E1138),0)</f>
        <v>0</v>
      </c>
      <c r="J1138" s="3179" t="n">
        <f aca="false">G1138-I1138</f>
        <v>0</v>
      </c>
    </row>
    <row r="1139" customFormat="false" ht="15" hidden="false" customHeight="true" outlineLevel="0" collapsed="false">
      <c r="B1139" s="1551" t="str">
        <f aca="false">'Смета Внутр'!B1139</f>
        <v>Металл оцинк защита (карниз)</v>
      </c>
      <c r="C1139" s="1551" t="str">
        <f aca="false">'Смета Внутр'!C1139</f>
        <v>м.п.</v>
      </c>
      <c r="D1139" s="1551" t="n">
        <f aca="false">'Смета Внутр'!D1139</f>
        <v>0</v>
      </c>
      <c r="F1139" s="1551" t="n">
        <f aca="false">'Смета Внутр'!E1139</f>
        <v>200</v>
      </c>
      <c r="G1139" s="1551" t="n">
        <f aca="false">'Смета Внутр'!H1139</f>
        <v>0</v>
      </c>
      <c r="I1139" s="3179" t="n">
        <f aca="false">IF(F1139&lt;H1139,F1139*(D1139-E1139),0)+IF(H1139=0,(D1139-E1139)*F1139,0)+IF(H1139&lt;F1139,H1139*(D1139-E1139),0)</f>
        <v>0</v>
      </c>
      <c r="J1139" s="3179" t="n">
        <f aca="false">G1139-I1139</f>
        <v>0</v>
      </c>
    </row>
    <row r="1140" customFormat="false" ht="15" hidden="false" customHeight="true" outlineLevel="0" collapsed="false">
      <c r="B1140" s="1551" t="str">
        <f aca="false">'Смета Внутр'!B1140</f>
        <v>Подкладочный ковер</v>
      </c>
      <c r="C1140" s="1551" t="str">
        <f aca="false">'Смета Внутр'!C1140</f>
        <v>м.п.</v>
      </c>
      <c r="D1140" s="1551" t="n">
        <f aca="false">'Смета Внутр'!D1140</f>
        <v>0</v>
      </c>
      <c r="F1140" s="1551" t="n">
        <f aca="false">'Смета Внутр'!E1140</f>
        <v>220</v>
      </c>
      <c r="G1140" s="1551" t="n">
        <f aca="false">'Смета Внутр'!H1140</f>
        <v>0</v>
      </c>
      <c r="I1140" s="3179" t="n">
        <f aca="false">IF(F1140&lt;H1140,F1140*(D1140-E1140),0)+IF(H1140=0,(D1140-E1140)*F1140,0)+IF(H1140&lt;F1140,H1140*(D1140-E1140),0)</f>
        <v>0</v>
      </c>
      <c r="J1140" s="3179" t="n">
        <f aca="false">G1140-I1140</f>
        <v>0</v>
      </c>
    </row>
    <row r="1141" customFormat="false" ht="15" hidden="false" customHeight="true" outlineLevel="0" collapsed="false">
      <c r="B1141" s="1551" t="str">
        <f aca="false">'Смета Внутр'!B1141</f>
        <v>Карнизная самоклеющаяся черепица</v>
      </c>
      <c r="C1141" s="1551" t="str">
        <f aca="false">'Смета Внутр'!C1141</f>
        <v>м.п.</v>
      </c>
      <c r="D1141" s="1551" t="n">
        <f aca="false">'Смета Внутр'!D1141</f>
        <v>0</v>
      </c>
      <c r="F1141" s="1551" t="n">
        <f aca="false">'Смета Внутр'!E1141</f>
        <v>220</v>
      </c>
      <c r="G1141" s="1551" t="n">
        <f aca="false">'Смета Внутр'!H1141</f>
        <v>0</v>
      </c>
      <c r="I1141" s="3179" t="n">
        <f aca="false">IF(F1141&lt;H1141,F1141*(D1141-E1141),0)+IF(H1141=0,(D1141-E1141)*F1141,0)+IF(H1141&lt;F1141,H1141*(D1141-E1141),0)</f>
        <v>0</v>
      </c>
      <c r="J1141" s="3179" t="n">
        <f aca="false">G1141-I1141</f>
        <v>0</v>
      </c>
    </row>
    <row r="1142" customFormat="false" ht="15" hidden="false" customHeight="true" outlineLevel="0" collapsed="false">
      <c r="B1142" s="1551" t="str">
        <f aca="false">'Смета Внутр'!B1142</f>
        <v>Спец ковер ендова нижняя</v>
      </c>
      <c r="C1142" s="1551" t="str">
        <f aca="false">'Смета Внутр'!C1142</f>
        <v>м.п.</v>
      </c>
      <c r="D1142" s="1551" t="n">
        <f aca="false">'Смета Внутр'!D1142</f>
        <v>0</v>
      </c>
      <c r="F1142" s="1551" t="n">
        <f aca="false">'Смета Внутр'!E1142</f>
        <v>200</v>
      </c>
      <c r="G1142" s="1551" t="n">
        <f aca="false">'Смета Внутр'!H1142</f>
        <v>0</v>
      </c>
      <c r="I1142" s="3179" t="n">
        <f aca="false">IF(F1142&lt;H1142,F1142*(D1142-E1142),0)+IF(H1142=0,(D1142-E1142)*F1142,0)+IF(H1142&lt;F1142,H1142*(D1142-E1142),0)</f>
        <v>0</v>
      </c>
      <c r="J1142" s="3179" t="n">
        <f aca="false">G1142-I1142</f>
        <v>0</v>
      </c>
    </row>
    <row r="1143" customFormat="false" ht="15" hidden="false" customHeight="true" outlineLevel="0" collapsed="false">
      <c r="B1143" s="1551" t="str">
        <f aca="false">'Смета Внутр'!B1143</f>
        <v>Коньковой элемент</v>
      </c>
      <c r="C1143" s="1551" t="str">
        <f aca="false">'Смета Внутр'!C1143</f>
        <v>м.п.</v>
      </c>
      <c r="D1143" s="1551" t="n">
        <f aca="false">'Смета Внутр'!D1143</f>
        <v>0</v>
      </c>
      <c r="F1143" s="1551" t="n">
        <f aca="false">'Смета Внутр'!E1143</f>
        <v>250</v>
      </c>
      <c r="G1143" s="1551" t="n">
        <f aca="false">'Смета Внутр'!H1143</f>
        <v>0</v>
      </c>
      <c r="I1143" s="3179" t="n">
        <f aca="false">IF(F1143&lt;H1143,F1143*(D1143-E1143),0)+IF(H1143=0,(D1143-E1143)*F1143,0)+IF(H1143&lt;F1143,H1143*(D1143-E1143),0)</f>
        <v>0</v>
      </c>
      <c r="J1143" s="3179" t="n">
        <f aca="false">G1143-I1143</f>
        <v>0</v>
      </c>
    </row>
    <row r="1144" customFormat="false" ht="15" hidden="false" customHeight="true" outlineLevel="0" collapsed="false">
      <c r="B1144" s="1551" t="str">
        <f aca="false">'Смета Внутр'!B1144</f>
        <v>Планка премыкания</v>
      </c>
      <c r="C1144" s="1551" t="str">
        <f aca="false">'Смета Внутр'!C1144</f>
        <v>м.п.</v>
      </c>
      <c r="D1144" s="1551" t="n">
        <f aca="false">'Смета Внутр'!D1144</f>
        <v>0</v>
      </c>
      <c r="F1144" s="1551" t="n">
        <f aca="false">'Смета Внутр'!E1144</f>
        <v>200</v>
      </c>
      <c r="G1144" s="1551" t="n">
        <f aca="false">'Смета Внутр'!H1144</f>
        <v>0</v>
      </c>
      <c r="I1144" s="3179" t="n">
        <f aca="false">IF(F1144&lt;H1144,F1144*(D1144-E1144),0)+IF(H1144=0,(D1144-E1144)*F1144,0)+IF(H1144&lt;F1144,H1144*(D1144-E1144),0)</f>
        <v>0</v>
      </c>
      <c r="J1144" s="3179" t="n">
        <f aca="false">G1144-I1144</f>
        <v>0</v>
      </c>
    </row>
    <row r="1145" customFormat="false" ht="15" hidden="false" customHeight="true" outlineLevel="0" collapsed="false">
      <c r="B1145" s="1551" t="str">
        <f aca="false">'Смета Внутр'!B1145</f>
        <v>Гвозди для крепления подкладочного ковра</v>
      </c>
      <c r="C1145" s="1551" t="str">
        <f aca="false">'Смета Внутр'!C1145</f>
        <v>шт</v>
      </c>
      <c r="D1145" s="1551" t="n">
        <f aca="false">'Смета Внутр'!D1145</f>
        <v>0</v>
      </c>
      <c r="F1145" s="1551" t="n">
        <f aca="false">'Смета Внутр'!E1145</f>
        <v>0.012</v>
      </c>
      <c r="G1145" s="1551" t="n">
        <f aca="false">'Смета Внутр'!H1145</f>
        <v>0</v>
      </c>
      <c r="I1145" s="3179" t="n">
        <f aca="false">IF(F1145&lt;H1145,F1145*(D1145-E1145),0)+IF(H1145=0,(D1145-E1145)*F1145,0)+IF(H1145&lt;F1145,H1145*(D1145-E1145),0)</f>
        <v>0</v>
      </c>
      <c r="J1145" s="3179" t="n">
        <f aca="false">G1145-I1145</f>
        <v>0</v>
      </c>
    </row>
    <row r="1146" customFormat="false" ht="15" hidden="false" customHeight="true" outlineLevel="0" collapsed="false">
      <c r="B1146" s="1551" t="str">
        <f aca="false">'Смета Внутр'!B1146</f>
        <v>Гвозди для крепления черепицы</v>
      </c>
      <c r="C1146" s="1551" t="str">
        <f aca="false">'Смета Внутр'!C1146</f>
        <v>шт</v>
      </c>
      <c r="D1146" s="1551" t="n">
        <f aca="false">'Смета Внутр'!D1146</f>
        <v>0</v>
      </c>
      <c r="F1146" s="1551" t="n">
        <f aca="false">'Смета Внутр'!E1146</f>
        <v>0.25</v>
      </c>
      <c r="G1146" s="1551" t="n">
        <f aca="false">'Смета Внутр'!H1146</f>
        <v>0</v>
      </c>
      <c r="I1146" s="3179" t="n">
        <f aca="false">IF(F1146&lt;H1146,F1146*(D1146-E1146),0)+IF(H1146=0,(D1146-E1146)*F1146,0)+IF(H1146&lt;F1146,H1146*(D1146-E1146),0)</f>
        <v>0</v>
      </c>
      <c r="J1146" s="3179" t="n">
        <f aca="false">G1146-I1146</f>
        <v>0</v>
      </c>
    </row>
    <row r="1147" customFormat="false" ht="15" hidden="false" customHeight="true" outlineLevel="0" collapsed="false">
      <c r="B1147" s="1551" t="str">
        <f aca="false">'Смета Внутр'!B1147</f>
        <v>Клей для монтажа черепицы</v>
      </c>
      <c r="C1147" s="1551" t="str">
        <f aca="false">'Смета Внутр'!C1147</f>
        <v>кг</v>
      </c>
      <c r="D1147" s="1551" t="n">
        <f aca="false">'Смета Внутр'!D1147</f>
        <v>0</v>
      </c>
      <c r="F1147" s="1551" t="n">
        <f aca="false">'Смета Внутр'!E1147</f>
        <v>250</v>
      </c>
      <c r="G1147" s="1551" t="n">
        <f aca="false">'Смета Внутр'!H1147</f>
        <v>0</v>
      </c>
      <c r="I1147" s="3179" t="n">
        <f aca="false">IF(F1147&lt;H1147,F1147*(D1147-E1147),0)+IF(H1147=0,(D1147-E1147)*F1147,0)+IF(H1147&lt;F1147,H1147*(D1147-E1147),0)</f>
        <v>0</v>
      </c>
      <c r="J1147" s="3179" t="n">
        <f aca="false">G1147-I1147</f>
        <v>0</v>
      </c>
    </row>
    <row r="1148" customFormat="false" ht="15" hidden="false" customHeight="true" outlineLevel="0" collapsed="false">
      <c r="B1148" s="1551" t="str">
        <f aca="false">'Смета Внутр'!B1148</f>
        <v>желоб</v>
      </c>
      <c r="C1148" s="1551" t="str">
        <f aca="false">'Смета Внутр'!C1148</f>
        <v>м.п</v>
      </c>
      <c r="D1148" s="1551" t="n">
        <f aca="false">'Смета Внутр'!D1148</f>
        <v>18</v>
      </c>
      <c r="F1148" s="1551" t="n">
        <f aca="false">'Смета Внутр'!E1148</f>
        <v>300</v>
      </c>
      <c r="G1148" s="1551" t="n">
        <f aca="false">'Смета Внутр'!H1148</f>
        <v>5400</v>
      </c>
      <c r="I1148" s="3179" t="n">
        <f aca="false">IF(F1148&lt;H1148,F1148*(D1148-E1148),0)+IF(H1148=0,(D1148-E1148)*F1148,0)+IF(H1148&lt;F1148,H1148*(D1148-E1148),0)</f>
        <v>5400</v>
      </c>
      <c r="J1148" s="3179" t="n">
        <f aca="false">G1148-I1148</f>
        <v>0</v>
      </c>
    </row>
    <row r="1149" customFormat="false" ht="15" hidden="false" customHeight="true" outlineLevel="0" collapsed="false">
      <c r="B1149" s="1551" t="str">
        <f aca="false">'Смета Внутр'!B1149</f>
        <v>отвод</v>
      </c>
      <c r="C1149" s="1551" t="str">
        <f aca="false">'Смета Внутр'!C1149</f>
        <v>шт</v>
      </c>
      <c r="D1149" s="1551" t="n">
        <f aca="false">'Смета Внутр'!D1149</f>
        <v>4</v>
      </c>
      <c r="F1149" s="1551" t="n">
        <f aca="false">'Смета Внутр'!E1149</f>
        <v>250</v>
      </c>
      <c r="G1149" s="1551" t="n">
        <f aca="false">'Смета Внутр'!H1149</f>
        <v>1000</v>
      </c>
      <c r="I1149" s="3179" t="n">
        <f aca="false">IF(F1149&lt;H1149,F1149*(D1149-E1149),0)+IF(H1149=0,(D1149-E1149)*F1149,0)+IF(H1149&lt;F1149,H1149*(D1149-E1149),0)</f>
        <v>1000</v>
      </c>
      <c r="J1149" s="3179" t="n">
        <f aca="false">G1149-I1149</f>
        <v>0</v>
      </c>
    </row>
    <row r="1150" customFormat="false" ht="15" hidden="false" customHeight="true" outlineLevel="0" collapsed="false">
      <c r="B1150" s="1551" t="str">
        <f aca="false">'Смета Внутр'!B1150</f>
        <v>труба водосточная</v>
      </c>
      <c r="C1150" s="1551" t="str">
        <f aca="false">'Смета Внутр'!C1150</f>
        <v>м.п.</v>
      </c>
      <c r="D1150" s="1551" t="n">
        <f aca="false">'Смета Внутр'!D1150</f>
        <v>10.8</v>
      </c>
      <c r="F1150" s="1551" t="n">
        <f aca="false">'Смета Внутр'!E1150</f>
        <v>300</v>
      </c>
      <c r="G1150" s="1551" t="n">
        <f aca="false">'Смета Внутр'!H1150</f>
        <v>3240</v>
      </c>
      <c r="I1150" s="3179" t="n">
        <f aca="false">IF(F1150&lt;H1150,F1150*(D1150-E1150),0)+IF(H1150=0,(D1150-E1150)*F1150,0)+IF(H1150&lt;F1150,H1150*(D1150-E1150),0)</f>
        <v>3240</v>
      </c>
      <c r="J1150" s="3179" t="n">
        <f aca="false">G1150-I1150</f>
        <v>0</v>
      </c>
    </row>
    <row r="1151" customFormat="false" ht="15" hidden="false" customHeight="true" outlineLevel="0" collapsed="false">
      <c r="B1151" s="1551" t="str">
        <f aca="false">'Смета Внутр'!B1151</f>
        <v>заглушка для желоба</v>
      </c>
      <c r="C1151" s="1551" t="str">
        <f aca="false">'Смета Внутр'!C1151</f>
        <v>шт</v>
      </c>
      <c r="D1151" s="1551" t="n">
        <f aca="false">'Смета Внутр'!D1151</f>
        <v>4</v>
      </c>
      <c r="F1151" s="1551" t="n">
        <f aca="false">'Смета Внутр'!E1151</f>
        <v>190</v>
      </c>
      <c r="G1151" s="1551" t="n">
        <f aca="false">'Смета Внутр'!H1151</f>
        <v>760</v>
      </c>
      <c r="I1151" s="3179" t="n">
        <f aca="false">IF(F1151&lt;H1151,F1151*(D1151-E1151),0)+IF(H1151=0,(D1151-E1151)*F1151,0)+IF(H1151&lt;F1151,H1151*(D1151-E1151),0)</f>
        <v>760</v>
      </c>
      <c r="J1151" s="3179" t="n">
        <f aca="false">G1151-I1151</f>
        <v>0</v>
      </c>
    </row>
    <row r="1152" customFormat="false" ht="15" hidden="false" customHeight="true" outlineLevel="0" collapsed="false">
      <c r="B1152" s="1551" t="str">
        <f aca="false">'Смета Внутр'!B1152</f>
        <v>соеденитель для желоба</v>
      </c>
      <c r="C1152" s="1551" t="str">
        <f aca="false">'Смета Внутр'!C1152</f>
        <v>шт</v>
      </c>
      <c r="D1152" s="1551" t="n">
        <f aca="false">'Смета Внутр'!D1152</f>
        <v>9</v>
      </c>
      <c r="F1152" s="1551" t="n">
        <f aca="false">'Смета Внутр'!E1152</f>
        <v>180</v>
      </c>
      <c r="G1152" s="1551" t="n">
        <f aca="false">'Смета Внутр'!H1152</f>
        <v>1620</v>
      </c>
      <c r="I1152" s="3179" t="n">
        <f aca="false">IF(F1152&lt;H1152,F1152*(D1152-E1152),0)+IF(H1152=0,(D1152-E1152)*F1152,0)+IF(H1152&lt;F1152,H1152*(D1152-E1152),0)</f>
        <v>1620</v>
      </c>
      <c r="J1152" s="3179" t="n">
        <f aca="false">G1152-I1152</f>
        <v>0</v>
      </c>
    </row>
    <row r="1153" customFormat="false" ht="15" hidden="false" customHeight="true" outlineLevel="0" collapsed="false">
      <c r="B1153" s="1551" t="str">
        <f aca="false">'Смета Внутр'!B1153</f>
        <v>кронштейн для желоба</v>
      </c>
      <c r="C1153" s="1551" t="str">
        <f aca="false">'Смета Внутр'!C1153</f>
        <v>шт</v>
      </c>
      <c r="D1153" s="1551" t="n">
        <f aca="false">'Смета Внутр'!D1153</f>
        <v>36</v>
      </c>
      <c r="F1153" s="1551" t="n">
        <f aca="false">'Смета Внутр'!E1153</f>
        <v>130</v>
      </c>
      <c r="G1153" s="1551" t="n">
        <f aca="false">'Смета Внутр'!H1153</f>
        <v>4680</v>
      </c>
      <c r="I1153" s="3179" t="n">
        <f aca="false">IF(F1153&lt;H1153,F1153*(D1153-E1153),0)+IF(H1153=0,(D1153-E1153)*F1153,0)+IF(H1153&lt;F1153,H1153*(D1153-E1153),0)</f>
        <v>4680</v>
      </c>
      <c r="J1153" s="3179" t="n">
        <f aca="false">G1153-I1153</f>
        <v>0</v>
      </c>
    </row>
    <row r="1154" customFormat="false" ht="15" hidden="false" customHeight="true" outlineLevel="0" collapsed="false">
      <c r="B1154" s="1551" t="str">
        <f aca="false">'Смета Внутр'!B1154</f>
        <v>переход из желоба в трубу</v>
      </c>
      <c r="C1154" s="1551" t="str">
        <f aca="false">'Смета Внутр'!C1154</f>
        <v>шт</v>
      </c>
      <c r="D1154" s="1551" t="n">
        <f aca="false">'Смета Внутр'!D1154</f>
        <v>2</v>
      </c>
      <c r="F1154" s="1551" t="n">
        <f aca="false">'Смета Внутр'!E1154</f>
        <v>350</v>
      </c>
      <c r="G1154" s="1551" t="n">
        <f aca="false">'Смета Внутр'!H1154</f>
        <v>700</v>
      </c>
      <c r="I1154" s="3179" t="n">
        <f aca="false">IF(F1154&lt;H1154,F1154*(D1154-E1154),0)+IF(H1154=0,(D1154-E1154)*F1154,0)+IF(H1154&lt;F1154,H1154*(D1154-E1154),0)</f>
        <v>700</v>
      </c>
      <c r="J1154" s="3179" t="n">
        <f aca="false">G1154-I1154</f>
        <v>0</v>
      </c>
    </row>
    <row r="1155" customFormat="false" ht="15" hidden="false" customHeight="true" outlineLevel="0" collapsed="false">
      <c r="B1155" s="1551" t="str">
        <f aca="false">'Смета Внутр'!B1155</f>
        <v>лента дельта мульти бэнд</v>
      </c>
      <c r="C1155" s="1551" t="str">
        <f aca="false">'Смета Внутр'!C1155</f>
        <v>шт</v>
      </c>
      <c r="D1155" s="1551" t="n">
        <f aca="false">'Смета Внутр'!D1155</f>
        <v>9</v>
      </c>
      <c r="F1155" s="1551" t="n">
        <f aca="false">'Смета Внутр'!E1155</f>
        <v>1200</v>
      </c>
      <c r="G1155" s="1551" t="n">
        <f aca="false">'Смета Внутр'!H1155</f>
        <v>10800</v>
      </c>
      <c r="I1155" s="3179" t="n">
        <f aca="false">IF(F1155&lt;H1155,F1155*(D1155-E1155),0)+IF(H1155=0,(D1155-E1155)*F1155,0)+IF(H1155&lt;F1155,H1155*(D1155-E1155),0)</f>
        <v>10800</v>
      </c>
      <c r="J1155" s="3179" t="n">
        <f aca="false">G1155-I1155</f>
        <v>0</v>
      </c>
    </row>
    <row r="1156" customFormat="false" ht="15" hidden="false" customHeight="true" outlineLevel="0" collapsed="false">
      <c r="B1156" s="1551" t="str">
        <f aca="false">'Смета Внутр'!B1156</f>
        <v>лента дельта sb-60</v>
      </c>
      <c r="C1156" s="1551" t="str">
        <f aca="false">'Смета Внутр'!C1156</f>
        <v>шт</v>
      </c>
      <c r="D1156" s="1551" t="n">
        <f aca="false">'Смета Внутр'!D1156</f>
        <v>5</v>
      </c>
      <c r="F1156" s="1551" t="n">
        <f aca="false">'Смета Внутр'!E1156</f>
        <v>1100</v>
      </c>
      <c r="G1156" s="1551" t="n">
        <f aca="false">'Смета Внутр'!H1156</f>
        <v>5500</v>
      </c>
      <c r="I1156" s="3179" t="n">
        <f aca="false">IF(F1156&lt;H1156,F1156*(D1156-E1156),0)+IF(H1156=0,(D1156-E1156)*F1156,0)+IF(H1156&lt;F1156,H1156*(D1156-E1156),0)</f>
        <v>5500</v>
      </c>
      <c r="J1156" s="3179" t="n">
        <f aca="false">G1156-I1156</f>
        <v>0</v>
      </c>
    </row>
    <row r="1157" customFormat="false" ht="15" hidden="false" customHeight="true" outlineLevel="0" collapsed="false">
      <c r="B1157" s="1551" t="str">
        <f aca="false">'Смета Внутр'!B1157</f>
        <v>проходка кровельная, канализационная</v>
      </c>
      <c r="C1157" s="1551" t="str">
        <f aca="false">'Смета Внутр'!C1157</f>
        <v>шт</v>
      </c>
      <c r="D1157" s="1551" t="n">
        <f aca="false">'Смета Внутр'!D1157</f>
        <v>0</v>
      </c>
      <c r="F1157" s="1551" t="n">
        <f aca="false">'Смета Внутр'!E1157</f>
        <v>3500</v>
      </c>
      <c r="G1157" s="1551" t="n">
        <f aca="false">'Смета Внутр'!H1157</f>
        <v>0</v>
      </c>
      <c r="I1157" s="3179" t="n">
        <f aca="false">IF(F1157&lt;H1157,F1157*(D1157-E1157),0)+IF(H1157=0,(D1157-E1157)*F1157,0)+IF(H1157&lt;F1157,H1157*(D1157-E1157),0)</f>
        <v>0</v>
      </c>
      <c r="J1157" s="3179" t="n">
        <f aca="false">G1157-I1157</f>
        <v>0</v>
      </c>
    </row>
    <row r="1158" customFormat="false" ht="15" hidden="false" customHeight="true" outlineLevel="0" collapsed="false">
      <c r="B1158" s="1551" t="str">
        <f aca="false">'Смета Внутр'!B1158</f>
        <v>проходка кровельная, вентиляционная</v>
      </c>
      <c r="C1158" s="1551" t="str">
        <f aca="false">'Смета Внутр'!C1158</f>
        <v>шт</v>
      </c>
      <c r="D1158" s="1551" t="n">
        <f aca="false">'Смета Внутр'!D1158</f>
        <v>0</v>
      </c>
      <c r="F1158" s="1551" t="n">
        <f aca="false">'Смета Внутр'!E1158</f>
        <v>3500</v>
      </c>
      <c r="G1158" s="1551" t="n">
        <f aca="false">'Смета Внутр'!H1158</f>
        <v>0</v>
      </c>
      <c r="I1158" s="3179" t="n">
        <f aca="false">IF(F1158&lt;H1158,F1158*(D1158-E1158),0)+IF(H1158=0,(D1158-E1158)*F1158,0)+IF(H1158&lt;F1158,H1158*(D1158-E1158),0)</f>
        <v>0</v>
      </c>
      <c r="J1158" s="3179" t="n">
        <f aca="false">G1158-I1158</f>
        <v>0</v>
      </c>
    </row>
    <row r="1159" customFormat="false" ht="15" hidden="false" customHeight="true" outlineLevel="0" collapsed="false">
      <c r="B1159" s="1551" t="str">
        <f aca="false">'Смета Внутр'!B1159</f>
        <v>проодка кровельная, труба котел</v>
      </c>
      <c r="C1159" s="1551" t="str">
        <f aca="false">'Смета Внутр'!C1159</f>
        <v>шт</v>
      </c>
      <c r="D1159" s="1551" t="n">
        <f aca="false">'Смета Внутр'!D1159</f>
        <v>0</v>
      </c>
      <c r="F1159" s="1551" t="n">
        <f aca="false">'Смета Внутр'!E1159</f>
        <v>4500</v>
      </c>
      <c r="G1159" s="1551" t="n">
        <f aca="false">'Смета Внутр'!H1159</f>
        <v>0</v>
      </c>
      <c r="I1159" s="3179" t="n">
        <f aca="false">IF(F1159&lt;H1159,F1159*(D1159-E1159),0)+IF(H1159=0,(D1159-E1159)*F1159,0)+IF(H1159&lt;F1159,H1159*(D1159-E1159),0)</f>
        <v>0</v>
      </c>
      <c r="J1159" s="3179" t="n">
        <f aca="false">G1159-I1159</f>
        <v>0</v>
      </c>
    </row>
    <row r="1160" customFormat="false" ht="15" hidden="false" customHeight="true" outlineLevel="0" collapsed="false">
      <c r="B1160" s="1551" t="str">
        <f aca="false">'Смета Внутр'!B1160</f>
        <v>Кровельный саморез</v>
      </c>
      <c r="C1160" s="1551" t="str">
        <f aca="false">'Смета Внутр'!C1160</f>
        <v>шт</v>
      </c>
      <c r="D1160" s="1551" t="n">
        <f aca="false">'Смета Внутр'!D1160</f>
        <v>1269.37096281305</v>
      </c>
      <c r="F1160" s="1551" t="n">
        <f aca="false">'Смета Внутр'!E1160</f>
        <v>2</v>
      </c>
      <c r="G1160" s="1551" t="n">
        <f aca="false">'Смета Внутр'!H1160</f>
        <v>2538.74192562609</v>
      </c>
      <c r="I1160" s="3179" t="n">
        <f aca="false">IF(F1160&lt;H1160,F1160*(D1160-E1160),0)+IF(H1160=0,(D1160-E1160)*F1160,0)+IF(H1160&lt;F1160,H1160*(D1160-E1160),0)</f>
        <v>2538.74192562609</v>
      </c>
      <c r="J1160" s="3179" t="n">
        <f aca="false">G1160-I1160</f>
        <v>0</v>
      </c>
    </row>
    <row r="1161" customFormat="false" ht="15" hidden="false" customHeight="true" outlineLevel="0" collapsed="false">
      <c r="B1161" s="1551" t="str">
        <f aca="false">'Смета Внутр'!B1161</f>
        <v>Гвозди ершоные 3,4 x 60            </v>
      </c>
      <c r="C1161" s="1551" t="str">
        <f aca="false">'Смета Внутр'!C1161</f>
        <v>кг</v>
      </c>
      <c r="D1161" s="1551" t="n">
        <f aca="false">'Смета Внутр'!D1161</f>
        <v>7.05206090451693</v>
      </c>
      <c r="F1161" s="1551" t="n">
        <f aca="false">'Смета Внутр'!E1161</f>
        <v>75.51</v>
      </c>
      <c r="G1161" s="1551" t="n">
        <f aca="false">'Смета Внутр'!H1161</f>
        <v>532.501118900073</v>
      </c>
      <c r="I1161" s="3179" t="n">
        <f aca="false">IF(F1161&lt;H1161,F1161*(D1161-E1161),0)+IF(H1161=0,(D1161-E1161)*F1161,0)+IF(H1161&lt;F1161,H1161*(D1161-E1161),0)</f>
        <v>532.501118900073</v>
      </c>
      <c r="J1161" s="3179" t="n">
        <f aca="false">G1161-I1161</f>
        <v>0</v>
      </c>
    </row>
    <row r="1162" customFormat="false" ht="15" hidden="false" customHeight="true" outlineLevel="0" collapsed="false">
      <c r="B1162" s="1551" t="str">
        <f aca="false">'Смета Внутр'!B1162</f>
        <v>Гвозди ершоные 2,8 х 90            </v>
      </c>
      <c r="C1162" s="1551" t="str">
        <f aca="false">'Смета Внутр'!C1162</f>
        <v>кг</v>
      </c>
      <c r="D1162" s="1551" t="n">
        <f aca="false">'Смета Внутр'!D1162</f>
        <v>27.322236137642</v>
      </c>
      <c r="F1162" s="1551" t="n">
        <f aca="false">'Смета Внутр'!E1162</f>
        <v>76.49</v>
      </c>
      <c r="G1162" s="1551" t="n">
        <f aca="false">'Смета Внутр'!H1162</f>
        <v>2089.87784216824</v>
      </c>
      <c r="I1162" s="3179" t="n">
        <f aca="false">IF(F1162&lt;H1162,F1162*(D1162-E1162),0)+IF(H1162=0,(D1162-E1162)*F1162,0)+IF(H1162&lt;F1162,H1162*(D1162-E1162),0)</f>
        <v>2089.87784216824</v>
      </c>
      <c r="J1162" s="3179" t="n">
        <f aca="false">G1162-I1162</f>
        <v>0</v>
      </c>
    </row>
    <row r="1163" customFormat="false" ht="15" hidden="false" customHeight="true" outlineLevel="0" collapsed="false">
      <c r="B1163" s="1551" t="str">
        <f aca="false">'Смета Внутр'!B1163</f>
        <v>Пластина соеденительная 100х240х2           </v>
      </c>
      <c r="C1163" s="1551" t="str">
        <f aca="false">'Смета Внутр'!C1163</f>
        <v>шт</v>
      </c>
      <c r="D1163" s="1551" t="n">
        <f aca="false">'Смета Внутр'!D1163</f>
        <v>32</v>
      </c>
      <c r="F1163" s="1551" t="n">
        <f aca="false">'Смета Внутр'!E1163</f>
        <v>31.54</v>
      </c>
      <c r="G1163" s="1551" t="n">
        <f aca="false">'Смета Внутр'!H1163</f>
        <v>1009.28</v>
      </c>
      <c r="I1163" s="3179" t="n">
        <f aca="false">IF(F1163&lt;H1163,F1163*(D1163-E1163),0)+IF(H1163=0,(D1163-E1163)*F1163,0)+IF(H1163&lt;F1163,H1163*(D1163-E1163),0)</f>
        <v>1009.28</v>
      </c>
      <c r="J1163" s="3179" t="n">
        <f aca="false">G1163-I1163</f>
        <v>0</v>
      </c>
    </row>
    <row r="1164" customFormat="false" ht="15" hidden="false" customHeight="true" outlineLevel="0" collapsed="false">
      <c r="B1164" s="1551" t="str">
        <f aca="false">'Смета Внутр'!B1164</f>
        <v>Уголок усиленный 90х70х55х2,5        </v>
      </c>
      <c r="C1164" s="1551" t="str">
        <f aca="false">'Смета Внутр'!C1164</f>
        <v>шт</v>
      </c>
      <c r="D1164" s="1551" t="n">
        <f aca="false">'Смета Внутр'!D1164</f>
        <v>32</v>
      </c>
      <c r="F1164" s="1551" t="n">
        <f aca="false">'Смета Внутр'!E1164</f>
        <v>30</v>
      </c>
      <c r="G1164" s="1551" t="n">
        <f aca="false">'Смета Внутр'!H1164</f>
        <v>960</v>
      </c>
      <c r="I1164" s="3179" t="n">
        <f aca="false">IF(F1164&lt;H1164,F1164*(D1164-E1164),0)+IF(H1164=0,(D1164-E1164)*F1164,0)+IF(H1164&lt;F1164,H1164*(D1164-E1164),0)</f>
        <v>960</v>
      </c>
      <c r="J1164" s="3179" t="n">
        <f aca="false">G1164-I1164</f>
        <v>0</v>
      </c>
    </row>
    <row r="1165" customFormat="false" ht="15" hidden="false" customHeight="true" outlineLevel="0" collapsed="false">
      <c r="B1165" s="1692" t="s">
        <v>4332</v>
      </c>
      <c r="C1165" s="1692"/>
      <c r="D1165" s="1692"/>
      <c r="E1165" s="1692"/>
      <c r="F1165" s="1692"/>
      <c r="G1165" s="1551" t="n">
        <f aca="false">'Смета Внутр'!H1165</f>
        <v>131849.929983864</v>
      </c>
      <c r="H1165" s="3184"/>
      <c r="I1165" s="3179" t="n">
        <f aca="false">IF(F1165&lt;H1165,F1165*(D1165-E1165),0)+IF(H1165=0,(D1165-E1165)*F1165,0)+IF(H1165&lt;F1165,H1165*(D1165-E1165),0)</f>
        <v>0</v>
      </c>
      <c r="J1165" s="3179" t="n">
        <f aca="false">G1165-I1165</f>
        <v>131849.929983864</v>
      </c>
    </row>
    <row r="1166" customFormat="false" ht="15" hidden="false" customHeight="true" outlineLevel="0" collapsed="false">
      <c r="B1166" s="1268" t="str">
        <f aca="false">'Смета Внутр'!B1166</f>
        <v>Работы</v>
      </c>
      <c r="C1166" s="1268"/>
      <c r="D1166" s="1268"/>
      <c r="E1166" s="1268"/>
      <c r="F1166" s="1268"/>
      <c r="G1166" s="1551" t="n">
        <f aca="false">'Смета Внутр'!H1166</f>
        <v>1</v>
      </c>
      <c r="H1166" s="3175"/>
      <c r="I1166" s="3179" t="n">
        <f aca="false">IF(F1166&lt;H1166,F1166*(D1166-E1166),0)+IF(H1166=0,(D1166-E1166)*F1166,0)+IF(H1166&lt;F1166,H1166*(D1166-E1166),0)</f>
        <v>0</v>
      </c>
      <c r="J1166" s="3179" t="n">
        <f aca="false">G1166-I1166</f>
        <v>1</v>
      </c>
    </row>
    <row r="1167" customFormat="false" ht="15" hidden="false" customHeight="true" outlineLevel="0" collapsed="false">
      <c r="B1167" s="1551" t="str">
        <f aca="false">'Смета Внутр'!B1167</f>
        <v>монтаж мауэрлата</v>
      </c>
      <c r="C1167" s="1551" t="str">
        <f aca="false">'Смета Внутр'!C1167</f>
        <v>м.п.</v>
      </c>
      <c r="D1167" s="1551" t="n">
        <f aca="false">'Смета Внутр'!D1167</f>
        <v>36.9990475974507</v>
      </c>
      <c r="F1167" s="1551" t="n">
        <f aca="false">'Смета Внутр'!E1167</f>
        <v>250</v>
      </c>
      <c r="G1167" s="1551" t="n">
        <f aca="false">'Смета Внутр'!H1167</f>
        <v>9249.76189936267</v>
      </c>
      <c r="I1167" s="3179" t="n">
        <f aca="false">IF(F1167&lt;H1167,F1167*(D1167-E1167),0)+IF(H1167=0,(D1167-E1167)*F1167,0)+IF(H1167&lt;F1167,H1167*(D1167-E1167),0)</f>
        <v>9249.76189936267</v>
      </c>
      <c r="J1167" s="3179" t="n">
        <f aca="false">G1167-I1167</f>
        <v>0</v>
      </c>
    </row>
    <row r="1168" customFormat="false" ht="15" hidden="false" customHeight="true" outlineLevel="0" collapsed="false">
      <c r="B1168" s="1551" t="str">
        <f aca="false">'Смета Внутр'!B1168</f>
        <v>монтаж стропил</v>
      </c>
      <c r="C1168" s="1551" t="str">
        <f aca="false">'Смета Внутр'!C1168</f>
        <v>м2</v>
      </c>
      <c r="D1168" s="1551" t="n">
        <f aca="false">'Смета Внутр'!D1168</f>
        <v>105.780913567754</v>
      </c>
      <c r="F1168" s="1551" t="n">
        <f aca="false">'Смета Внутр'!E1168</f>
        <v>450</v>
      </c>
      <c r="G1168" s="1551" t="n">
        <f aca="false">'Смета Внутр'!H1168</f>
        <v>47601.4111054893</v>
      </c>
      <c r="I1168" s="3179" t="n">
        <f aca="false">IF(F1168&lt;H1168,F1168*(D1168-E1168),0)+IF(H1168=0,(D1168-E1168)*F1168,0)+IF(H1168&lt;F1168,H1168*(D1168-E1168),0)</f>
        <v>47601.4111054893</v>
      </c>
      <c r="J1168" s="3179" t="n">
        <f aca="false">G1168-I1168</f>
        <v>0</v>
      </c>
    </row>
    <row r="1169" customFormat="false" ht="15" hidden="false" customHeight="true" outlineLevel="0" collapsed="false">
      <c r="B1169" s="1551" t="str">
        <f aca="false">'Смета Внутр'!B1169</f>
        <v>обрешетка</v>
      </c>
      <c r="C1169" s="1551" t="str">
        <f aca="false">'Смета Внутр'!C1169</f>
        <v>м2</v>
      </c>
      <c r="D1169" s="1551" t="n">
        <f aca="false">'Смета Внутр'!D1169</f>
        <v>105.780913567754</v>
      </c>
      <c r="F1169" s="1551" t="n">
        <f aca="false">'Смета Внутр'!E1169</f>
        <v>100</v>
      </c>
      <c r="G1169" s="1551" t="n">
        <f aca="false">'Смета Внутр'!H1169</f>
        <v>10578.0913567754</v>
      </c>
      <c r="I1169" s="3179" t="n">
        <f aca="false">IF(F1169&lt;H1169,F1169*(D1169-E1169),0)+IF(H1169=0,(D1169-E1169)*F1169,0)+IF(H1169&lt;F1169,H1169*(D1169-E1169),0)</f>
        <v>10578.0913567754</v>
      </c>
      <c r="J1169" s="3179" t="n">
        <f aca="false">G1169-I1169</f>
        <v>0</v>
      </c>
    </row>
    <row r="1170" customFormat="false" ht="15" hidden="false" customHeight="true" outlineLevel="0" collapsed="false">
      <c r="B1170" s="1551" t="str">
        <f aca="false">'Смета Внутр'!B1170</f>
        <v>контробеш</v>
      </c>
      <c r="C1170" s="1551" t="str">
        <f aca="false">'Смета Внутр'!C1170</f>
        <v>м2</v>
      </c>
      <c r="D1170" s="1551" t="n">
        <f aca="false">'Смета Внутр'!D1170</f>
        <v>105.780913567754</v>
      </c>
      <c r="F1170" s="1551" t="n">
        <f aca="false">'Смета Внутр'!E1170</f>
        <v>100</v>
      </c>
      <c r="G1170" s="1551" t="n">
        <f aca="false">'Смета Внутр'!H1170</f>
        <v>10578.0913567754</v>
      </c>
      <c r="I1170" s="3179" t="n">
        <f aca="false">IF(F1170&lt;H1170,F1170*(D1170-E1170),0)+IF(H1170=0,(D1170-E1170)*F1170,0)+IF(H1170&lt;F1170,H1170*(D1170-E1170),0)</f>
        <v>10578.0913567754</v>
      </c>
      <c r="J1170" s="3179" t="n">
        <f aca="false">G1170-I1170</f>
        <v>0</v>
      </c>
    </row>
    <row r="1171" customFormat="false" ht="15" hidden="false" customHeight="true" outlineLevel="0" collapsed="false">
      <c r="B1171" s="1551" t="str">
        <f aca="false">'Смета Внутр'!B1171</f>
        <v>Монтаж металлочерепицы</v>
      </c>
      <c r="C1171" s="1551" t="str">
        <f aca="false">'Смета Внутр'!C1171</f>
        <v>м2</v>
      </c>
      <c r="D1171" s="1551" t="n">
        <f aca="false">'Смета Внутр'!D1171</f>
        <v>105.780913567754</v>
      </c>
      <c r="F1171" s="1551" t="n">
        <f aca="false">'Смета Внутр'!E1171</f>
        <v>300</v>
      </c>
      <c r="G1171" s="1551" t="n">
        <f aca="false">'Смета Внутр'!H1171</f>
        <v>31734.2740703262</v>
      </c>
      <c r="I1171" s="3179" t="n">
        <f aca="false">IF(F1171&lt;H1171,F1171*(D1171-E1171),0)+IF(H1171=0,(D1171-E1171)*F1171,0)+IF(H1171&lt;F1171,H1171*(D1171-E1171),0)</f>
        <v>31734.2740703262</v>
      </c>
      <c r="J1171" s="3179" t="n">
        <f aca="false">G1171-I1171</f>
        <v>0</v>
      </c>
    </row>
    <row r="1172" customFormat="false" ht="15" hidden="false" customHeight="true" outlineLevel="0" collapsed="false">
      <c r="B1172" s="1551" t="str">
        <f aca="false">'Смета Внутр'!B1172</f>
        <v>Монтаж ондулина</v>
      </c>
      <c r="C1172" s="1551" t="str">
        <f aca="false">'Смета Внутр'!C1172</f>
        <v>м2</v>
      </c>
      <c r="D1172" s="1551" t="n">
        <f aca="false">'Смета Внутр'!D1172</f>
        <v>0</v>
      </c>
      <c r="F1172" s="1551" t="n">
        <f aca="false">'Смета Внутр'!E1172</f>
        <v>300</v>
      </c>
      <c r="G1172" s="1551" t="n">
        <f aca="false">'Смета Внутр'!H1172</f>
        <v>0</v>
      </c>
      <c r="I1172" s="3179" t="n">
        <f aca="false">IF(F1172&lt;H1172,F1172*(D1172-E1172),0)+IF(H1172=0,(D1172-E1172)*F1172,0)+IF(H1172&lt;F1172,H1172*(D1172-E1172),0)</f>
        <v>0</v>
      </c>
      <c r="J1172" s="3179" t="n">
        <f aca="false">G1172-I1172</f>
        <v>0</v>
      </c>
    </row>
    <row r="1173" customFormat="false" ht="15" hidden="false" customHeight="true" outlineLevel="0" collapsed="false">
      <c r="B1173" s="1551" t="str">
        <f aca="false">'Смета Внутр'!B1173</f>
        <v>мембрана</v>
      </c>
      <c r="C1173" s="1551" t="str">
        <f aca="false">'Смета Внутр'!C1173</f>
        <v>м2</v>
      </c>
      <c r="D1173" s="1551" t="n">
        <f aca="false">'Смета Внутр'!D1173</f>
        <v>105.780913567754</v>
      </c>
      <c r="F1173" s="1551" t="n">
        <f aca="false">'Смета Внутр'!E1173</f>
        <v>100</v>
      </c>
      <c r="G1173" s="1551" t="n">
        <f aca="false">'Смета Внутр'!H1173</f>
        <v>10578.0913567754</v>
      </c>
      <c r="I1173" s="3179" t="n">
        <f aca="false">IF(F1173&lt;H1173,F1173*(D1173-E1173),0)+IF(H1173=0,(D1173-E1173)*F1173,0)+IF(H1173&lt;F1173,H1173*(D1173-E1173),0)</f>
        <v>10578.0913567754</v>
      </c>
      <c r="J1173" s="3179" t="n">
        <f aca="false">G1173-I1173</f>
        <v>0</v>
      </c>
    </row>
    <row r="1174" customFormat="false" ht="15" hidden="false" customHeight="true" outlineLevel="0" collapsed="false">
      <c r="B1174" s="1551" t="str">
        <f aca="false">'Смета Внутр'!B1174</f>
        <v>пароизоляц</v>
      </c>
      <c r="C1174" s="1551" t="str">
        <f aca="false">'Смета Внутр'!C1174</f>
        <v>м2</v>
      </c>
      <c r="D1174" s="1551" t="n">
        <f aca="false">'Смета Внутр'!D1174</f>
        <v>105.780913567754</v>
      </c>
      <c r="F1174" s="1551" t="n">
        <f aca="false">'Смета Внутр'!E1174</f>
        <v>100</v>
      </c>
      <c r="G1174" s="1551" t="n">
        <f aca="false">'Смета Внутр'!H1174</f>
        <v>10578.0913567754</v>
      </c>
      <c r="I1174" s="3179" t="n">
        <f aca="false">IF(F1174&lt;H1174,F1174*(D1174-E1174),0)+IF(H1174=0,(D1174-E1174)*F1174,0)+IF(H1174&lt;F1174,H1174*(D1174-E1174),0)</f>
        <v>10578.0913567754</v>
      </c>
      <c r="J1174" s="3179" t="n">
        <f aca="false">G1174-I1174</f>
        <v>0</v>
      </c>
    </row>
    <row r="1175" customFormat="false" ht="15" hidden="false" customHeight="true" outlineLevel="0" collapsed="false">
      <c r="B1175" s="1551" t="str">
        <f aca="false">'Смета Внутр'!B1175</f>
        <v>утеплитель</v>
      </c>
      <c r="C1175" s="1551" t="str">
        <f aca="false">'Смета Внутр'!C1175</f>
        <v>м2</v>
      </c>
      <c r="D1175" s="1551" t="n">
        <f aca="false">'Смета Внутр'!D1175</f>
        <v>105.780913567754</v>
      </c>
      <c r="F1175" s="1551" t="n">
        <f aca="false">'Смета Внутр'!E1175</f>
        <v>200</v>
      </c>
      <c r="G1175" s="1551" t="n">
        <f aca="false">'Смета Внутр'!H1175</f>
        <v>21156.1827135508</v>
      </c>
      <c r="I1175" s="3179" t="n">
        <f aca="false">IF(F1175&lt;H1175,F1175*(D1175-E1175),0)+IF(H1175=0,(D1175-E1175)*F1175,0)+IF(H1175&lt;F1175,H1175*(D1175-E1175),0)</f>
        <v>21156.1827135508</v>
      </c>
      <c r="J1175" s="3179" t="n">
        <f aca="false">G1175-I1175</f>
        <v>0</v>
      </c>
    </row>
    <row r="1176" customFormat="false" ht="15" hidden="false" customHeight="true" outlineLevel="0" collapsed="false">
      <c r="B1176" s="1551" t="str">
        <f aca="false">'Смета Внутр'!B1176</f>
        <v>карнизная планка</v>
      </c>
      <c r="C1176" s="1551" t="str">
        <f aca="false">'Смета Внутр'!C1176</f>
        <v>м.п.</v>
      </c>
      <c r="D1176" s="1551" t="n">
        <f aca="false">'Смета Внутр'!D1176</f>
        <v>18</v>
      </c>
      <c r="F1176" s="1551" t="n">
        <f aca="false">'Смета Внутр'!E1176</f>
        <v>100</v>
      </c>
      <c r="G1176" s="1551" t="n">
        <f aca="false">'Смета Внутр'!H1176</f>
        <v>1800</v>
      </c>
      <c r="I1176" s="3179" t="n">
        <f aca="false">IF(F1176&lt;H1176,F1176*(D1176-E1176),0)+IF(H1176=0,(D1176-E1176)*F1176,0)+IF(H1176&lt;F1176,H1176*(D1176-E1176),0)</f>
        <v>1800</v>
      </c>
      <c r="J1176" s="3179" t="n">
        <f aca="false">G1176-I1176</f>
        <v>0</v>
      </c>
    </row>
    <row r="1177" customFormat="false" ht="15" hidden="false" customHeight="true" outlineLevel="0" collapsed="false">
      <c r="B1177" s="1551" t="str">
        <f aca="false">'Смета Внутр'!B1177</f>
        <v>торцевая планка</v>
      </c>
      <c r="C1177" s="1551" t="str">
        <f aca="false">'Смета Внутр'!C1177</f>
        <v>м.п.</v>
      </c>
      <c r="D1177" s="1551" t="n">
        <f aca="false">'Смета Внутр'!D1177</f>
        <v>23.5068696817231</v>
      </c>
      <c r="F1177" s="1551" t="n">
        <f aca="false">'Смета Внутр'!E1177</f>
        <v>100</v>
      </c>
      <c r="G1177" s="1551" t="n">
        <f aca="false">'Смета Внутр'!H1177</f>
        <v>2350.68696817231</v>
      </c>
      <c r="I1177" s="3179" t="n">
        <f aca="false">IF(F1177&lt;H1177,F1177*(D1177-E1177),0)+IF(H1177=0,(D1177-E1177)*F1177,0)+IF(H1177&lt;F1177,H1177*(D1177-E1177),0)</f>
        <v>2350.68696817231</v>
      </c>
      <c r="J1177" s="3179" t="n">
        <f aca="false">G1177-I1177</f>
        <v>0</v>
      </c>
    </row>
    <row r="1178" customFormat="false" ht="15" hidden="false" customHeight="true" outlineLevel="0" collapsed="false">
      <c r="B1178" s="1551" t="str">
        <f aca="false">'Смета Внутр'!B1178</f>
        <v>конек</v>
      </c>
      <c r="C1178" s="1551" t="str">
        <f aca="false">'Смета Внутр'!C1178</f>
        <v>м.п.</v>
      </c>
      <c r="D1178" s="1551" t="n">
        <f aca="false">'Смета Внутр'!D1178</f>
        <v>9</v>
      </c>
      <c r="F1178" s="1551" t="n">
        <f aca="false">'Смета Внутр'!E1178</f>
        <v>300</v>
      </c>
      <c r="G1178" s="1551" t="n">
        <f aca="false">'Смета Внутр'!H1178</f>
        <v>2700</v>
      </c>
      <c r="I1178" s="3179" t="n">
        <f aca="false">IF(F1178&lt;H1178,F1178*(D1178-E1178),0)+IF(H1178=0,(D1178-E1178)*F1178,0)+IF(H1178&lt;F1178,H1178*(D1178-E1178),0)</f>
        <v>2700</v>
      </c>
      <c r="J1178" s="3179" t="n">
        <f aca="false">G1178-I1178</f>
        <v>0</v>
      </c>
    </row>
    <row r="1179" customFormat="false" ht="15" hidden="false" customHeight="true" outlineLevel="0" collapsed="false">
      <c r="B1179" s="1551" t="str">
        <f aca="false">'Смета Внутр'!B1179</f>
        <v>желоб водосточный</v>
      </c>
      <c r="C1179" s="1551" t="str">
        <f aca="false">'Смета Внутр'!C1179</f>
        <v>м.п.</v>
      </c>
      <c r="D1179" s="1551" t="n">
        <f aca="false">'Смета Внутр'!D1179</f>
        <v>18</v>
      </c>
      <c r="F1179" s="1551" t="n">
        <f aca="false">'Смета Внутр'!E1179</f>
        <v>300</v>
      </c>
      <c r="G1179" s="1551" t="n">
        <f aca="false">'Смета Внутр'!H1179</f>
        <v>5400</v>
      </c>
      <c r="I1179" s="3179" t="n">
        <f aca="false">IF(F1179&lt;H1179,F1179*(D1179-E1179),0)+IF(H1179=0,(D1179-E1179)*F1179,0)+IF(H1179&lt;F1179,H1179*(D1179-E1179),0)</f>
        <v>5400</v>
      </c>
      <c r="J1179" s="3179" t="n">
        <f aca="false">G1179-I1179</f>
        <v>0</v>
      </c>
    </row>
    <row r="1180" customFormat="false" ht="15" hidden="false" customHeight="true" outlineLevel="0" collapsed="false">
      <c r="B1180" s="1551" t="str">
        <f aca="false">'Смета Внутр'!B1180</f>
        <v>труба водосточная</v>
      </c>
      <c r="C1180" s="1551" t="str">
        <f aca="false">'Смета Внутр'!C1180</f>
        <v>м.п.</v>
      </c>
      <c r="D1180" s="1551" t="n">
        <f aca="false">'Смета Внутр'!D1180</f>
        <v>10.8</v>
      </c>
      <c r="F1180" s="1551" t="n">
        <f aca="false">'Смета Внутр'!E1180</f>
        <v>300</v>
      </c>
      <c r="G1180" s="1551" t="n">
        <f aca="false">'Смета Внутр'!H1180</f>
        <v>3240</v>
      </c>
      <c r="I1180" s="3179" t="n">
        <f aca="false">IF(F1180&lt;H1180,F1180*(D1180-E1180),0)+IF(H1180=0,(D1180-E1180)*F1180,0)+IF(H1180&lt;F1180,H1180*(D1180-E1180),0)</f>
        <v>3240</v>
      </c>
      <c r="J1180" s="3179" t="n">
        <f aca="false">G1180-I1180</f>
        <v>0</v>
      </c>
    </row>
    <row r="1181" customFormat="false" ht="15" hidden="false" customHeight="true" outlineLevel="0" collapsed="false">
      <c r="B1181" s="1551" t="str">
        <f aca="false">'Смета Внутр'!B1181</f>
        <v>Монтаж фанеры/osb</v>
      </c>
      <c r="C1181" s="1551" t="str">
        <f aca="false">'Смета Внутр'!C1181</f>
        <v>м2</v>
      </c>
      <c r="D1181" s="1551" t="n">
        <f aca="false">'Смета Внутр'!D1181</f>
        <v>0</v>
      </c>
      <c r="F1181" s="1551" t="n">
        <f aca="false">'Смета Внутр'!E1181</f>
        <v>200</v>
      </c>
      <c r="G1181" s="1551" t="n">
        <f aca="false">'Смета Внутр'!H1181</f>
        <v>0</v>
      </c>
      <c r="I1181" s="3179" t="n">
        <f aca="false">IF(F1181&lt;H1181,F1181*(D1181-E1181),0)+IF(H1181=0,(D1181-E1181)*F1181,0)+IF(H1181&lt;F1181,H1181*(D1181-E1181),0)</f>
        <v>0</v>
      </c>
      <c r="J1181" s="3179" t="n">
        <f aca="false">G1181-I1181</f>
        <v>0</v>
      </c>
    </row>
    <row r="1182" customFormat="false" ht="15" hidden="false" customHeight="true" outlineLevel="0" collapsed="false">
      <c r="B1182" s="1551" t="str">
        <f aca="false">'Смета Внутр'!B1182</f>
        <v>монтаж подкладочного ковра</v>
      </c>
      <c r="C1182" s="1551" t="str">
        <f aca="false">'Смета Внутр'!C1182</f>
        <v>м2</v>
      </c>
      <c r="D1182" s="1551" t="n">
        <f aca="false">'Смета Внутр'!D1182</f>
        <v>0</v>
      </c>
      <c r="F1182" s="1551" t="n">
        <f aca="false">'Смета Внутр'!E1182</f>
        <v>0</v>
      </c>
      <c r="G1182" s="1551" t="n">
        <f aca="false">'Смета Внутр'!H1182</f>
        <v>0</v>
      </c>
      <c r="I1182" s="3179" t="n">
        <f aca="false">IF(F1182&lt;H1182,F1182*(D1182-E1182),0)+IF(H1182=0,(D1182-E1182)*F1182,0)+IF(H1182&lt;F1182,H1182*(D1182-E1182),0)</f>
        <v>0</v>
      </c>
      <c r="J1182" s="3179" t="n">
        <f aca="false">G1182-I1182</f>
        <v>0</v>
      </c>
    </row>
    <row r="1183" customFormat="false" ht="15" hidden="false" customHeight="true" outlineLevel="0" collapsed="false">
      <c r="B1183" s="1551" t="str">
        <f aca="false">'Смета Внутр'!B1183</f>
        <v>Монтаж мягкой кровли</v>
      </c>
      <c r="C1183" s="1551" t="str">
        <f aca="false">'Смета Внутр'!C1183</f>
        <v>м2</v>
      </c>
      <c r="D1183" s="1551" t="n">
        <f aca="false">'Смета Внутр'!D1183</f>
        <v>0</v>
      </c>
      <c r="F1183" s="1551" t="n">
        <f aca="false">'Смета Внутр'!E1183</f>
        <v>0</v>
      </c>
      <c r="G1183" s="1551" t="n">
        <f aca="false">'Смета Внутр'!H1183</f>
        <v>0</v>
      </c>
      <c r="I1183" s="3179" t="n">
        <f aca="false">IF(F1183&lt;H1183,F1183*(D1183-E1183),0)+IF(H1183=0,(D1183-E1183)*F1183,0)+IF(H1183&lt;F1183,H1183*(D1183-E1183),0)</f>
        <v>0</v>
      </c>
      <c r="J1183" s="3179" t="n">
        <f aca="false">G1183-I1183</f>
        <v>0</v>
      </c>
    </row>
    <row r="1184" customFormat="false" ht="15" hidden="false" customHeight="false" outlineLevel="0" collapsed="false">
      <c r="B1184" s="1692" t="s">
        <v>4333</v>
      </c>
      <c r="C1184" s="1692"/>
      <c r="D1184" s="1692"/>
      <c r="E1184" s="1692"/>
      <c r="F1184" s="1692"/>
      <c r="G1184" s="1551" t="n">
        <f aca="false">'Смета Внутр'!H1184</f>
        <v>167544.682184003</v>
      </c>
      <c r="H1184" s="1584"/>
      <c r="I1184" s="3179" t="n">
        <f aca="false">IF(F1184&lt;H1184,F1184*(D1184-E1184),0)+IF(H1184=0,(D1184-E1184)*F1184,0)+IF(H1184&lt;F1184,H1184*(D1184-E1184),0)</f>
        <v>0</v>
      </c>
      <c r="J1184" s="3179" t="n">
        <f aca="false">G1184-I1184</f>
        <v>167544.682184003</v>
      </c>
    </row>
    <row r="1185" customFormat="false" ht="15" hidden="false" customHeight="true" outlineLevel="0" collapsed="false">
      <c r="B1185" s="1551" t="str">
        <f aca="false">'Смета Внутр'!B1185</f>
        <v>Кровля четырехскатная</v>
      </c>
      <c r="C1185" s="1551" t="n">
        <f aca="false">'Смета Внутр'!C1185</f>
        <v>0</v>
      </c>
      <c r="D1185" s="1551" t="n">
        <f aca="false">'Смета Внутр'!D1185</f>
        <v>0</v>
      </c>
      <c r="F1185" s="1551" t="n">
        <f aca="false">'Смета Внутр'!E1185</f>
        <v>0</v>
      </c>
      <c r="G1185" s="1551" t="n">
        <f aca="false">'Смета Внутр'!H1185</f>
        <v>0</v>
      </c>
      <c r="I1185" s="3179" t="n">
        <f aca="false">IF(F1185&lt;H1185,F1185*(D1185-E1185),0)+IF(H1185=0,(D1185-E1185)*F1185,0)+IF(H1185&lt;F1185,H1185*(D1185-E1185),0)</f>
        <v>0</v>
      </c>
      <c r="J1185" s="3179" t="n">
        <f aca="false">G1185-I1185</f>
        <v>0</v>
      </c>
    </row>
    <row r="1186" customFormat="false" ht="15" hidden="false" customHeight="true" outlineLevel="0" collapsed="false">
      <c r="B1186" s="1268" t="str">
        <f aca="false">'Смета Внутр'!B1186</f>
        <v>Материалы</v>
      </c>
      <c r="C1186" s="1268"/>
      <c r="D1186" s="1268"/>
      <c r="E1186" s="1268"/>
      <c r="F1186" s="1268"/>
      <c r="G1186" s="1551" t="n">
        <f aca="false">'Смета Внутр'!H1186</f>
        <v>0</v>
      </c>
      <c r="H1186" s="3175"/>
      <c r="I1186" s="3179" t="n">
        <f aca="false">IF(F1186&lt;H1186,F1186*(D1186-E1186),0)+IF(H1186=0,(D1186-E1186)*F1186,0)+IF(H1186&lt;F1186,H1186*(D1186-E1186),0)</f>
        <v>0</v>
      </c>
      <c r="J1186" s="3179" t="n">
        <f aca="false">G1186-I1186</f>
        <v>0</v>
      </c>
    </row>
    <row r="1187" customFormat="false" ht="15" hidden="false" customHeight="true" outlineLevel="0" collapsed="false">
      <c r="B1187" s="1551" t="str">
        <f aca="false">'Смета Внутр'!B1187</f>
        <v>нет</v>
      </c>
      <c r="C1187" s="1551" t="str">
        <f aca="false">'Смета Внутр'!C1187</f>
        <v>м3</v>
      </c>
      <c r="D1187" s="1551" t="n">
        <f aca="false">'Смета Внутр'!D1187</f>
        <v>0</v>
      </c>
      <c r="F1187" s="1551" t="n">
        <f aca="false">'Смета Внутр'!E1187</f>
        <v>0</v>
      </c>
      <c r="G1187" s="1551" t="n">
        <f aca="false">'Смета Внутр'!H1187</f>
        <v>0</v>
      </c>
      <c r="I1187" s="3179" t="n">
        <f aca="false">IF(F1187&lt;H1187,F1187*(D1187-E1187),0)+IF(H1187=0,(D1187-E1187)*F1187,0)+IF(H1187&lt;F1187,H1187*(D1187-E1187),0)</f>
        <v>0</v>
      </c>
      <c r="J1187" s="3179" t="n">
        <f aca="false">G1187-I1187</f>
        <v>0</v>
      </c>
    </row>
    <row r="1188" customFormat="false" ht="15" hidden="false" customHeight="true" outlineLevel="0" collapsed="false">
      <c r="B1188" s="1551" t="str">
        <f aca="false">'Смета Внутр'!B1188</f>
        <v>Болты анкерные с гайкой 12,0 х 280          </v>
      </c>
      <c r="C1188" s="1551" t="str">
        <f aca="false">'Смета Внутр'!C1188</f>
        <v>шт</v>
      </c>
      <c r="D1188" s="1551" t="n">
        <f aca="false">'Смета Внутр'!D1188</f>
        <v>35.2</v>
      </c>
      <c r="F1188" s="1551" t="n">
        <f aca="false">'Смета Внутр'!E1188</f>
        <v>27.1</v>
      </c>
      <c r="G1188" s="1551" t="n">
        <f aca="false">'Смета Внутр'!H1188</f>
        <v>0</v>
      </c>
      <c r="I1188" s="3179" t="n">
        <f aca="false">IF(F1188&lt;H1188,F1188*(D1188-E1188),0)+IF(H1188=0,(D1188-E1188)*F1188,0)+IF(H1188&lt;F1188,H1188*(D1188-E1188),0)</f>
        <v>953.92</v>
      </c>
      <c r="J1188" s="3179" t="n">
        <f aca="false">G1188-I1188</f>
        <v>-953.92</v>
      </c>
    </row>
    <row r="1189" customFormat="false" ht="15" hidden="false" customHeight="true" outlineLevel="0" collapsed="false">
      <c r="B1189" s="1551" t="str">
        <f aca="false">'Смета Внутр'!B1189</f>
        <v>Доска сырая, 150*50мм</v>
      </c>
      <c r="C1189" s="1551" t="str">
        <f aca="false">'Смета Внутр'!C1189</f>
        <v>м3</v>
      </c>
      <c r="D1189" s="1551" t="n">
        <f aca="false">'Смета Внутр'!D1189</f>
        <v>2.29942915439753</v>
      </c>
      <c r="F1189" s="1551" t="n">
        <f aca="false">'Смета Внутр'!E1189</f>
        <v>6500</v>
      </c>
      <c r="G1189" s="1551" t="n">
        <f aca="false">'Смета Внутр'!H1189</f>
        <v>0</v>
      </c>
      <c r="I1189" s="3179" t="n">
        <f aca="false">IF(F1189&lt;H1189,F1189*(D1189-E1189),0)+IF(H1189=0,(D1189-E1189)*F1189,0)+IF(H1189&lt;F1189,H1189*(D1189-E1189),0)</f>
        <v>14946.289503584</v>
      </c>
      <c r="J1189" s="3179" t="n">
        <f aca="false">G1189-I1189</f>
        <v>-14946.289503584</v>
      </c>
    </row>
    <row r="1190" customFormat="false" ht="15" hidden="false" customHeight="true" outlineLevel="0" collapsed="false">
      <c r="B1190" s="1551" t="str">
        <f aca="false">'Смета Внутр'!B1190</f>
        <v>бугель, доска </v>
      </c>
      <c r="C1190" s="1551" t="str">
        <f aca="false">'Смета Внутр'!C1190</f>
        <v>м3</v>
      </c>
      <c r="D1190" s="1551" t="n">
        <f aca="false">'Смета Внутр'!D1190</f>
        <v>0.21</v>
      </c>
      <c r="F1190" s="1551" t="n">
        <f aca="false">'Смета Внутр'!E1190</f>
        <v>6500</v>
      </c>
      <c r="G1190" s="1551" t="n">
        <f aca="false">'Смета Внутр'!H1190</f>
        <v>0</v>
      </c>
      <c r="I1190" s="3179" t="n">
        <f aca="false">IF(F1190&lt;H1190,F1190*(D1190-E1190),0)+IF(H1190=0,(D1190-E1190)*F1190,0)+IF(H1190&lt;F1190,H1190*(D1190-E1190),0)</f>
        <v>1365</v>
      </c>
      <c r="J1190" s="3179" t="n">
        <f aca="false">G1190-I1190</f>
        <v>-1365</v>
      </c>
    </row>
    <row r="1191" customFormat="false" ht="15" hidden="false" customHeight="true" outlineLevel="0" collapsed="false">
      <c r="B1191" s="1551" t="str">
        <f aca="false">'Смета Внутр'!B1191</f>
        <v>стойка под конек</v>
      </c>
      <c r="C1191" s="1551" t="str">
        <f aca="false">'Смета Внутр'!C1191</f>
        <v>м3</v>
      </c>
      <c r="D1191" s="1551" t="n">
        <f aca="false">'Смета Внутр'!D1191</f>
        <v>0.08925</v>
      </c>
      <c r="F1191" s="1551" t="n">
        <f aca="false">'Смета Внутр'!E1191</f>
        <v>6500</v>
      </c>
      <c r="G1191" s="1551" t="n">
        <f aca="false">'Смета Внутр'!H1191</f>
        <v>0</v>
      </c>
      <c r="I1191" s="3179" t="n">
        <f aca="false">IF(F1191&lt;H1191,F1191*(D1191-E1191),0)+IF(H1191=0,(D1191-E1191)*F1191,0)+IF(H1191&lt;F1191,H1191*(D1191-E1191),0)</f>
        <v>580.125</v>
      </c>
      <c r="J1191" s="3179" t="n">
        <f aca="false">G1191-I1191</f>
        <v>-580.125</v>
      </c>
    </row>
    <row r="1192" customFormat="false" ht="15" hidden="false" customHeight="true" outlineLevel="0" collapsed="false">
      <c r="B1192" s="1551" t="str">
        <f aca="false">'Смета Внутр'!B1192</f>
        <v>Сосна влаж,100*25мм</v>
      </c>
      <c r="C1192" s="1551" t="str">
        <f aca="false">'Смета Внутр'!C1192</f>
        <v>м3</v>
      </c>
      <c r="D1192" s="1551" t="n">
        <f aca="false">'Смета Внутр'!D1192</f>
        <v>1.11063020763307</v>
      </c>
      <c r="F1192" s="1551" t="n">
        <f aca="false">'Смета Внутр'!E1192</f>
        <v>6500</v>
      </c>
      <c r="G1192" s="1551" t="n">
        <f aca="false">'Смета Внутр'!H1192</f>
        <v>0</v>
      </c>
      <c r="I1192" s="3179" t="n">
        <f aca="false">IF(F1192&lt;H1192,F1192*(D1192-E1192),0)+IF(H1192=0,(D1192-E1192)*F1192,0)+IF(H1192&lt;F1192,H1192*(D1192-E1192),0)</f>
        <v>7219.09634961497</v>
      </c>
      <c r="J1192" s="3179" t="n">
        <f aca="false">G1192-I1192</f>
        <v>-7219.09634961497</v>
      </c>
    </row>
    <row r="1193" customFormat="false" ht="15" hidden="false" customHeight="true" outlineLevel="0" collapsed="false">
      <c r="B1193" s="1551" t="str">
        <f aca="false">'Смета Внутр'!B1193</f>
        <v>Сосна влаж, 50*50мм</v>
      </c>
      <c r="C1193" s="1551" t="str">
        <f aca="false">'Смета Внутр'!C1193</f>
        <v>м3</v>
      </c>
      <c r="D1193" s="1551" t="n">
        <f aca="false">'Смета Внутр'!D1193</f>
        <v>1.11063020763307</v>
      </c>
      <c r="F1193" s="1551" t="n">
        <f aca="false">'Смета Внутр'!E1193</f>
        <v>6500</v>
      </c>
      <c r="G1193" s="1551" t="n">
        <f aca="false">'Смета Внутр'!H1193</f>
        <v>0</v>
      </c>
      <c r="I1193" s="3179" t="n">
        <f aca="false">IF(F1193&lt;H1193,F1193*(D1193-E1193),0)+IF(H1193=0,(D1193-E1193)*F1193,0)+IF(H1193&lt;F1193,H1193*(D1193-E1193),0)</f>
        <v>7219.09634961497</v>
      </c>
      <c r="J1193" s="3179" t="n">
        <f aca="false">G1193-I1193</f>
        <v>-7219.09634961497</v>
      </c>
    </row>
    <row r="1194" customFormat="false" ht="15" hidden="false" customHeight="true" outlineLevel="0" collapsed="false">
      <c r="B1194" s="1551" t="str">
        <f aca="false">'Смета Внутр'!B1194</f>
        <v>Универсальная Optima C</v>
      </c>
      <c r="C1194" s="1551" t="str">
        <f aca="false">'Смета Внутр'!C1194</f>
        <v>м2</v>
      </c>
      <c r="D1194" s="1551" t="n">
        <f aca="false">'Смета Внутр'!D1194</f>
        <v>148.08402768441</v>
      </c>
      <c r="F1194" s="1551" t="n">
        <f aca="false">'Смета Внутр'!E1194</f>
        <v>19</v>
      </c>
      <c r="G1194" s="1551" t="n">
        <f aca="false">'Смета Внутр'!H1194</f>
        <v>0</v>
      </c>
      <c r="I1194" s="3179" t="n">
        <f aca="false">IF(F1194&lt;H1194,F1194*(D1194-E1194),0)+IF(H1194=0,(D1194-E1194)*F1194,0)+IF(H1194&lt;F1194,H1194*(D1194-E1194),0)</f>
        <v>2813.59652600378</v>
      </c>
      <c r="J1194" s="3179" t="n">
        <f aca="false">G1194-I1194</f>
        <v>-2813.59652600378</v>
      </c>
    </row>
    <row r="1195" customFormat="false" ht="15" hidden="false" customHeight="true" outlineLevel="0" collapsed="false">
      <c r="B1195" s="1551" t="str">
        <f aca="false">'Смета Внутр'!B1195</f>
        <v>Универсальная Optima C</v>
      </c>
      <c r="C1195" s="1551" t="str">
        <f aca="false">'Смета Внутр'!C1195</f>
        <v>м2</v>
      </c>
      <c r="D1195" s="1551" t="n">
        <f aca="false">'Смета Внутр'!D1195</f>
        <v>148.08402768441</v>
      </c>
      <c r="F1195" s="1551" t="n">
        <f aca="false">'Смета Внутр'!E1195</f>
        <v>20</v>
      </c>
      <c r="G1195" s="1551" t="n">
        <f aca="false">'Смета Внутр'!H1195</f>
        <v>0</v>
      </c>
      <c r="I1195" s="3179" t="n">
        <f aca="false">IF(F1195&lt;H1195,F1195*(D1195-E1195),0)+IF(H1195=0,(D1195-E1195)*F1195,0)+IF(H1195&lt;F1195,H1195*(D1195-E1195),0)</f>
        <v>2961.68055368819</v>
      </c>
      <c r="J1195" s="3179" t="n">
        <f aca="false">G1195-I1195</f>
        <v>-2961.68055368819</v>
      </c>
    </row>
    <row r="1196" customFormat="false" ht="15" hidden="false" customHeight="true" outlineLevel="0" collapsed="false">
      <c r="B1196" s="1551" t="str">
        <f aca="false">'Смета Внутр'!B1196</f>
        <v>Плитный,28кг/м3, технониколь, 100мм</v>
      </c>
      <c r="C1196" s="1551" t="str">
        <f aca="false">'Смета Внутр'!C1196</f>
        <v>м3</v>
      </c>
      <c r="D1196" s="1551" t="n">
        <f aca="false">'Смета Внутр'!D1196</f>
        <v>10.5774305488864</v>
      </c>
      <c r="F1196" s="1551" t="n">
        <f aca="false">'Смета Внутр'!E1196</f>
        <v>1700</v>
      </c>
      <c r="G1196" s="1551" t="n">
        <f aca="false">'Смета Внутр'!H1196</f>
        <v>0</v>
      </c>
      <c r="I1196" s="3179" t="n">
        <f aca="false">IF(F1196&lt;H1196,F1196*(D1196-E1196),0)+IF(H1196=0,(D1196-E1196)*F1196,0)+IF(H1196&lt;F1196,H1196*(D1196-E1196),0)</f>
        <v>17981.6319331069</v>
      </c>
      <c r="J1196" s="3179" t="n">
        <f aca="false">G1196-I1196</f>
        <v>-17981.6319331069</v>
      </c>
    </row>
    <row r="1197" customFormat="false" ht="15" hidden="false" customHeight="true" outlineLevel="0" collapsed="false">
      <c r="B1197" s="1551" t="str">
        <f aca="false">'Смета Внутр'!B1197</f>
        <v>металлочерепица</v>
      </c>
      <c r="C1197" s="1551" t="str">
        <f aca="false">'Смета Внутр'!C1197</f>
        <v>м2</v>
      </c>
      <c r="D1197" s="1551" t="n">
        <f aca="false">'Смета Внутр'!D1197</f>
        <v>148.08402768441</v>
      </c>
      <c r="F1197" s="1551" t="n">
        <f aca="false">'Смета Внутр'!E1197</f>
        <v>250</v>
      </c>
      <c r="G1197" s="1551" t="n">
        <f aca="false">'Смета Внутр'!H1197</f>
        <v>0</v>
      </c>
      <c r="I1197" s="3179" t="n">
        <f aca="false">IF(F1197&lt;H1197,F1197*(D1197-E1197),0)+IF(H1197=0,(D1197-E1197)*F1197,0)+IF(H1197&lt;F1197,H1197*(D1197-E1197),0)</f>
        <v>37021.0069211024</v>
      </c>
      <c r="J1197" s="3179" t="n">
        <f aca="false">G1197-I1197</f>
        <v>-37021.0069211024</v>
      </c>
    </row>
    <row r="1198" customFormat="false" ht="15" hidden="false" customHeight="true" outlineLevel="0" collapsed="false">
      <c r="B1198" s="1551" t="str">
        <f aca="false">'Смета Внутр'!B1198</f>
        <v>Конек</v>
      </c>
      <c r="C1198" s="1551" t="str">
        <f aca="false">'Смета Внутр'!C1198</f>
        <v>м.п.</v>
      </c>
      <c r="D1198" s="1551" t="n">
        <f aca="false">'Смета Внутр'!D1198</f>
        <v>28.6093426907597</v>
      </c>
      <c r="F1198" s="1551" t="n">
        <f aca="false">'Смета Внутр'!E1198</f>
        <v>200</v>
      </c>
      <c r="G1198" s="1551" t="n">
        <f aca="false">'Смета Внутр'!H1198</f>
        <v>0</v>
      </c>
      <c r="I1198" s="3179" t="n">
        <f aca="false">IF(F1198&lt;H1198,F1198*(D1198-E1198),0)+IF(H1198=0,(D1198-E1198)*F1198,0)+IF(H1198&lt;F1198,H1198*(D1198-E1198),0)</f>
        <v>5721.86853815194</v>
      </c>
      <c r="J1198" s="3179" t="n">
        <f aca="false">G1198-I1198</f>
        <v>-5721.86853815194</v>
      </c>
    </row>
    <row r="1199" customFormat="false" ht="15" hidden="false" customHeight="true" outlineLevel="0" collapsed="false">
      <c r="B1199" s="1551" t="str">
        <f aca="false">'Смета Внутр'!B1199</f>
        <v>Карнизная планка</v>
      </c>
      <c r="C1199" s="1551" t="str">
        <f aca="false">'Смета Внутр'!C1199</f>
        <v>м.п.</v>
      </c>
      <c r="D1199" s="1551" t="n">
        <f aca="false">'Смета Внутр'!D1199</f>
        <v>72</v>
      </c>
      <c r="F1199" s="1551" t="n">
        <f aca="false">'Смета Внутр'!E1199</f>
        <v>190</v>
      </c>
      <c r="G1199" s="1551" t="n">
        <f aca="false">'Смета Внутр'!H1199</f>
        <v>0</v>
      </c>
      <c r="I1199" s="3179" t="n">
        <f aca="false">IF(F1199&lt;H1199,F1199*(D1199-E1199),0)+IF(H1199=0,(D1199-E1199)*F1199,0)+IF(H1199&lt;F1199,H1199*(D1199-E1199),0)</f>
        <v>13680</v>
      </c>
      <c r="J1199" s="3179" t="n">
        <f aca="false">G1199-I1199</f>
        <v>-13680</v>
      </c>
    </row>
    <row r="1200" customFormat="false" ht="15" hidden="false" customHeight="true" outlineLevel="0" collapsed="false">
      <c r="B1200" s="1551" t="str">
        <f aca="false">'Смета Внутр'!B1200</f>
        <v>ондулин</v>
      </c>
      <c r="C1200" s="1551" t="str">
        <f aca="false">'Смета Внутр'!C1200</f>
        <v>м2</v>
      </c>
      <c r="D1200" s="1551" t="n">
        <f aca="false">'Смета Внутр'!D1200</f>
        <v>0</v>
      </c>
      <c r="F1200" s="1551" t="n">
        <f aca="false">'Смета Внутр'!E1200</f>
        <v>180</v>
      </c>
      <c r="G1200" s="1551" t="n">
        <f aca="false">'Смета Внутр'!H1200</f>
        <v>0</v>
      </c>
      <c r="I1200" s="3179" t="n">
        <f aca="false">IF(F1200&lt;H1200,F1200*(D1200-E1200),0)+IF(H1200=0,(D1200-E1200)*F1200,0)+IF(H1200&lt;F1200,H1200*(D1200-E1200),0)</f>
        <v>0</v>
      </c>
      <c r="J1200" s="3179" t="n">
        <f aca="false">G1200-I1200</f>
        <v>0</v>
      </c>
    </row>
    <row r="1201" customFormat="false" ht="15" hidden="false" customHeight="true" outlineLevel="0" collapsed="false">
      <c r="B1201" s="1551" t="str">
        <f aca="false">'Смета Внутр'!B1201</f>
        <v>Карнизная планка</v>
      </c>
      <c r="C1201" s="1551" t="str">
        <f aca="false">'Смета Внутр'!C1201</f>
        <v>м.п.</v>
      </c>
      <c r="D1201" s="1551" t="n">
        <f aca="false">'Смета Внутр'!D1201</f>
        <v>0</v>
      </c>
      <c r="F1201" s="1551" t="n">
        <f aca="false">'Смета Внутр'!E1201</f>
        <v>190</v>
      </c>
      <c r="G1201" s="1551" t="n">
        <f aca="false">'Смета Внутр'!H1201</f>
        <v>0</v>
      </c>
      <c r="I1201" s="3179" t="n">
        <f aca="false">IF(F1201&lt;H1201,F1201*(D1201-E1201),0)+IF(H1201=0,(D1201-E1201)*F1201,0)+IF(H1201&lt;F1201,H1201*(D1201-E1201),0)</f>
        <v>0</v>
      </c>
      <c r="J1201" s="3179" t="n">
        <f aca="false">G1201-I1201</f>
        <v>0</v>
      </c>
    </row>
    <row r="1202" customFormat="false" ht="15" hidden="false" customHeight="true" outlineLevel="0" collapsed="false">
      <c r="B1202" s="1551" t="str">
        <f aca="false">'Смета Внутр'!B1202</f>
        <v>Конек</v>
      </c>
      <c r="C1202" s="1551" t="str">
        <f aca="false">'Смета Внутр'!C1202</f>
        <v>м.п.</v>
      </c>
      <c r="D1202" s="1551" t="n">
        <f aca="false">'Смета Внутр'!D1202</f>
        <v>0</v>
      </c>
      <c r="F1202" s="1551" t="n">
        <f aca="false">'Смета Внутр'!E1202</f>
        <v>200</v>
      </c>
      <c r="G1202" s="1551" t="n">
        <f aca="false">'Смета Внутр'!H1202</f>
        <v>0</v>
      </c>
      <c r="I1202" s="3179" t="n">
        <f aca="false">IF(F1202&lt;H1202,F1202*(D1202-E1202),0)+IF(H1202=0,(D1202-E1202)*F1202,0)+IF(H1202&lt;F1202,H1202*(D1202-E1202),0)</f>
        <v>0</v>
      </c>
      <c r="J1202" s="3179" t="n">
        <f aca="false">G1202-I1202</f>
        <v>0</v>
      </c>
    </row>
    <row r="1203" customFormat="false" ht="15" hidden="false" customHeight="true" outlineLevel="0" collapsed="false">
      <c r="B1203" s="1551" t="str">
        <f aca="false">'Смета Внутр'!B1203</f>
        <v>Крепеж для ондулина</v>
      </c>
      <c r="C1203" s="1551" t="str">
        <f aca="false">'Смета Внутр'!C1203</f>
        <v>шт</v>
      </c>
      <c r="D1203" s="1551" t="n">
        <f aca="false">'Смета Внутр'!D1203</f>
        <v>0</v>
      </c>
      <c r="F1203" s="1551" t="n">
        <f aca="false">'Смета Внутр'!E1203</f>
        <v>4.5</v>
      </c>
      <c r="G1203" s="1551" t="n">
        <f aca="false">'Смета Внутр'!H1203</f>
        <v>0</v>
      </c>
      <c r="I1203" s="3179" t="n">
        <f aca="false">IF(F1203&lt;H1203,F1203*(D1203-E1203),0)+IF(H1203=0,(D1203-E1203)*F1203,0)+IF(H1203&lt;F1203,H1203*(D1203-E1203),0)</f>
        <v>0</v>
      </c>
      <c r="J1203" s="3179" t="n">
        <f aca="false">G1203-I1203</f>
        <v>0</v>
      </c>
    </row>
    <row r="1204" customFormat="false" ht="15" hidden="false" customHeight="true" outlineLevel="0" collapsed="false">
      <c r="B1204" s="1551" t="str">
        <f aca="false">'Смета Внутр'!B1204</f>
        <v>нет</v>
      </c>
      <c r="C1204" s="1551" t="str">
        <f aca="false">'Смета Внутр'!C1204</f>
        <v>м2</v>
      </c>
      <c r="D1204" s="1551" t="n">
        <f aca="false">'Смета Внутр'!D1204</f>
        <v>148.08402768441</v>
      </c>
      <c r="F1204" s="1551" t="n">
        <f aca="false">'Смета Внутр'!E1204</f>
        <v>0</v>
      </c>
      <c r="G1204" s="1551" t="n">
        <f aca="false">'Смета Внутр'!H1204</f>
        <v>0</v>
      </c>
      <c r="I1204" s="3179" t="n">
        <f aca="false">IF(F1204&lt;H1204,F1204*(D1204-E1204),0)+IF(H1204=0,(D1204-E1204)*F1204,0)+IF(H1204&lt;F1204,H1204*(D1204-E1204),0)</f>
        <v>0</v>
      </c>
      <c r="J1204" s="3179" t="n">
        <f aca="false">G1204-I1204</f>
        <v>0</v>
      </c>
    </row>
    <row r="1205" customFormat="false" ht="15" hidden="false" customHeight="true" outlineLevel="0" collapsed="false">
      <c r="B1205" s="1551" t="str">
        <f aca="false">'Смета Внутр'!B1205</f>
        <v>Рядовая черепица</v>
      </c>
      <c r="C1205" s="1551" t="str">
        <f aca="false">'Смета Внутр'!C1205</f>
        <v>м.п.</v>
      </c>
      <c r="D1205" s="1551" t="n">
        <f aca="false">'Смета Внутр'!D1205</f>
        <v>0</v>
      </c>
      <c r="F1205" s="1551" t="n">
        <f aca="false">'Смета Внутр'!E1205</f>
        <v>360</v>
      </c>
      <c r="G1205" s="1551" t="n">
        <f aca="false">'Смета Внутр'!H1205</f>
        <v>0</v>
      </c>
      <c r="I1205" s="3179" t="n">
        <f aca="false">IF(F1205&lt;H1205,F1205*(D1205-E1205),0)+IF(H1205=0,(D1205-E1205)*F1205,0)+IF(H1205&lt;F1205,H1205*(D1205-E1205),0)</f>
        <v>0</v>
      </c>
      <c r="J1205" s="3179" t="n">
        <f aca="false">G1205-I1205</f>
        <v>0</v>
      </c>
    </row>
    <row r="1206" customFormat="false" ht="15" hidden="false" customHeight="true" outlineLevel="0" collapsed="false">
      <c r="B1206" s="1551" t="str">
        <f aca="false">'Смета Внутр'!B1206</f>
        <v>Металл оцинк защита (карниз)</v>
      </c>
      <c r="C1206" s="1551" t="str">
        <f aca="false">'Смета Внутр'!C1206</f>
        <v>м.п.</v>
      </c>
      <c r="D1206" s="1551" t="n">
        <f aca="false">'Смета Внутр'!D1206</f>
        <v>0</v>
      </c>
      <c r="F1206" s="1551" t="n">
        <f aca="false">'Смета Внутр'!E1206</f>
        <v>200</v>
      </c>
      <c r="G1206" s="1551" t="n">
        <f aca="false">'Смета Внутр'!H1206</f>
        <v>0</v>
      </c>
      <c r="I1206" s="3179" t="n">
        <f aca="false">IF(F1206&lt;H1206,F1206*(D1206-E1206),0)+IF(H1206=0,(D1206-E1206)*F1206,0)+IF(H1206&lt;F1206,H1206*(D1206-E1206),0)</f>
        <v>0</v>
      </c>
      <c r="J1206" s="3179" t="n">
        <f aca="false">G1206-I1206</f>
        <v>0</v>
      </c>
    </row>
    <row r="1207" customFormat="false" ht="15" hidden="false" customHeight="true" outlineLevel="0" collapsed="false">
      <c r="B1207" s="1551" t="str">
        <f aca="false">'Смета Внутр'!B1207</f>
        <v>Подкладочный ковер</v>
      </c>
      <c r="C1207" s="1551" t="str">
        <f aca="false">'Смета Внутр'!C1207</f>
        <v>м2</v>
      </c>
      <c r="D1207" s="1551" t="n">
        <f aca="false">'Смета Внутр'!D1207</f>
        <v>0</v>
      </c>
      <c r="F1207" s="1551" t="n">
        <f aca="false">'Смета Внутр'!E1207</f>
        <v>220</v>
      </c>
      <c r="G1207" s="1551" t="n">
        <f aca="false">'Смета Внутр'!H1207</f>
        <v>0</v>
      </c>
      <c r="I1207" s="3179" t="n">
        <f aca="false">IF(F1207&lt;H1207,F1207*(D1207-E1207),0)+IF(H1207=0,(D1207-E1207)*F1207,0)+IF(H1207&lt;F1207,H1207*(D1207-E1207),0)</f>
        <v>0</v>
      </c>
      <c r="J1207" s="3179" t="n">
        <f aca="false">G1207-I1207</f>
        <v>0</v>
      </c>
    </row>
    <row r="1208" customFormat="false" ht="15" hidden="false" customHeight="true" outlineLevel="0" collapsed="false">
      <c r="B1208" s="1551" t="str">
        <f aca="false">'Смета Внутр'!B1208</f>
        <v>Карнизная самоклеющаяся черепица</v>
      </c>
      <c r="C1208" s="1551" t="str">
        <f aca="false">'Смета Внутр'!C1208</f>
        <v>м2</v>
      </c>
      <c r="D1208" s="1551" t="n">
        <f aca="false">'Смета Внутр'!D1208</f>
        <v>0</v>
      </c>
      <c r="F1208" s="1551" t="n">
        <f aca="false">'Смета Внутр'!E1208</f>
        <v>220</v>
      </c>
      <c r="G1208" s="1551" t="n">
        <f aca="false">'Смета Внутр'!H1208</f>
        <v>0</v>
      </c>
      <c r="I1208" s="3179" t="n">
        <f aca="false">IF(F1208&lt;H1208,F1208*(D1208-E1208),0)+IF(H1208=0,(D1208-E1208)*F1208,0)+IF(H1208&lt;F1208,H1208*(D1208-E1208),0)</f>
        <v>0</v>
      </c>
      <c r="J1208" s="3179" t="n">
        <f aca="false">G1208-I1208</f>
        <v>0</v>
      </c>
    </row>
    <row r="1209" customFormat="false" ht="15" hidden="false" customHeight="true" outlineLevel="0" collapsed="false">
      <c r="B1209" s="1551" t="str">
        <f aca="false">'Смета Внутр'!B1209</f>
        <v>Спец ковер ендова нижняя</v>
      </c>
      <c r="C1209" s="1551" t="str">
        <f aca="false">'Смета Внутр'!C1209</f>
        <v>м.п</v>
      </c>
      <c r="D1209" s="1551" t="n">
        <f aca="false">'Смета Внутр'!D1209</f>
        <v>0</v>
      </c>
      <c r="F1209" s="1551" t="n">
        <f aca="false">'Смета Внутр'!E1209</f>
        <v>200</v>
      </c>
      <c r="G1209" s="1551" t="n">
        <f aca="false">'Смета Внутр'!H1209</f>
        <v>0</v>
      </c>
      <c r="I1209" s="3179" t="n">
        <f aca="false">IF(F1209&lt;H1209,F1209*(D1209-E1209),0)+IF(H1209=0,(D1209-E1209)*F1209,0)+IF(H1209&lt;F1209,H1209*(D1209-E1209),0)</f>
        <v>0</v>
      </c>
      <c r="J1209" s="3179" t="n">
        <f aca="false">G1209-I1209</f>
        <v>0</v>
      </c>
    </row>
    <row r="1210" customFormat="false" ht="15" hidden="false" customHeight="true" outlineLevel="0" collapsed="false">
      <c r="B1210" s="1551" t="str">
        <f aca="false">'Смета Внутр'!B1210</f>
        <v>Коньковой элемент</v>
      </c>
      <c r="C1210" s="1551" t="str">
        <f aca="false">'Смета Внутр'!C1210</f>
        <v>м.п</v>
      </c>
      <c r="D1210" s="1551" t="n">
        <f aca="false">'Смета Внутр'!D1210</f>
        <v>0</v>
      </c>
      <c r="F1210" s="1551" t="n">
        <f aca="false">'Смета Внутр'!E1210</f>
        <v>250</v>
      </c>
      <c r="G1210" s="1551" t="n">
        <f aca="false">'Смета Внутр'!H1210</f>
        <v>0</v>
      </c>
      <c r="I1210" s="3179" t="n">
        <f aca="false">IF(F1210&lt;H1210,F1210*(D1210-E1210),0)+IF(H1210=0,(D1210-E1210)*F1210,0)+IF(H1210&lt;F1210,H1210*(D1210-E1210),0)</f>
        <v>0</v>
      </c>
      <c r="J1210" s="3179" t="n">
        <f aca="false">G1210-I1210</f>
        <v>0</v>
      </c>
    </row>
    <row r="1211" customFormat="false" ht="15" hidden="false" customHeight="true" outlineLevel="0" collapsed="false">
      <c r="B1211" s="1551" t="str">
        <f aca="false">'Смета Внутр'!B1211</f>
        <v>Планка премыкания</v>
      </c>
      <c r="C1211" s="1551" t="str">
        <f aca="false">'Смета Внутр'!C1211</f>
        <v>м.п.</v>
      </c>
      <c r="D1211" s="1551" t="n">
        <f aca="false">'Смета Внутр'!D1211</f>
        <v>0</v>
      </c>
      <c r="F1211" s="1551" t="n">
        <f aca="false">'Смета Внутр'!E1211</f>
        <v>200</v>
      </c>
      <c r="G1211" s="1551" t="n">
        <f aca="false">'Смета Внутр'!H1211</f>
        <v>0</v>
      </c>
      <c r="I1211" s="3179" t="n">
        <f aca="false">IF(F1211&lt;H1211,F1211*(D1211-E1211),0)+IF(H1211=0,(D1211-E1211)*F1211,0)+IF(H1211&lt;F1211,H1211*(D1211-E1211),0)</f>
        <v>0</v>
      </c>
      <c r="J1211" s="3179" t="n">
        <f aca="false">G1211-I1211</f>
        <v>0</v>
      </c>
    </row>
    <row r="1212" customFormat="false" ht="15" hidden="false" customHeight="true" outlineLevel="0" collapsed="false">
      <c r="B1212" s="1551" t="str">
        <f aca="false">'Смета Внутр'!B1212</f>
        <v>Гвозди для крепления подкладочного ковра</v>
      </c>
      <c r="C1212" s="1551" t="str">
        <f aca="false">'Смета Внутр'!C1212</f>
        <v>шт</v>
      </c>
      <c r="D1212" s="1551" t="n">
        <f aca="false">'Смета Внутр'!D1212</f>
        <v>0</v>
      </c>
      <c r="F1212" s="1551" t="n">
        <f aca="false">'Смета Внутр'!E1212</f>
        <v>0.012</v>
      </c>
      <c r="G1212" s="1551" t="n">
        <f aca="false">'Смета Внутр'!H1212</f>
        <v>0</v>
      </c>
      <c r="I1212" s="3179" t="n">
        <f aca="false">IF(F1212&lt;H1212,F1212*(D1212-E1212),0)+IF(H1212=0,(D1212-E1212)*F1212,0)+IF(H1212&lt;F1212,H1212*(D1212-E1212),0)</f>
        <v>0</v>
      </c>
      <c r="J1212" s="3179" t="n">
        <f aca="false">G1212-I1212</f>
        <v>0</v>
      </c>
    </row>
    <row r="1213" customFormat="false" ht="15" hidden="false" customHeight="true" outlineLevel="0" collapsed="false">
      <c r="B1213" s="1551" t="str">
        <f aca="false">'Смета Внутр'!B1213</f>
        <v>Гвозди для крепления черепицы</v>
      </c>
      <c r="C1213" s="1551" t="str">
        <f aca="false">'Смета Внутр'!C1213</f>
        <v>шт</v>
      </c>
      <c r="D1213" s="1551" t="n">
        <f aca="false">'Смета Внутр'!D1213</f>
        <v>0</v>
      </c>
      <c r="F1213" s="1551" t="n">
        <f aca="false">'Смета Внутр'!E1213</f>
        <v>0.25</v>
      </c>
      <c r="G1213" s="1551" t="n">
        <f aca="false">'Смета Внутр'!H1213</f>
        <v>0</v>
      </c>
      <c r="I1213" s="3179" t="n">
        <f aca="false">IF(F1213&lt;H1213,F1213*(D1213-E1213),0)+IF(H1213=0,(D1213-E1213)*F1213,0)+IF(H1213&lt;F1213,H1213*(D1213-E1213),0)</f>
        <v>0</v>
      </c>
      <c r="J1213" s="3179" t="n">
        <f aca="false">G1213-I1213</f>
        <v>0</v>
      </c>
    </row>
    <row r="1214" customFormat="false" ht="15" hidden="false" customHeight="true" outlineLevel="0" collapsed="false">
      <c r="B1214" s="1551" t="str">
        <f aca="false">'Смета Внутр'!B1214</f>
        <v>Клей для монтажа черепицы</v>
      </c>
      <c r="C1214" s="1551" t="str">
        <f aca="false">'Смета Внутр'!C1214</f>
        <v>кг</v>
      </c>
      <c r="D1214" s="1551" t="n">
        <f aca="false">'Смета Внутр'!D1214</f>
        <v>0</v>
      </c>
      <c r="F1214" s="1551" t="n">
        <f aca="false">'Смета Внутр'!E1214</f>
        <v>250</v>
      </c>
      <c r="G1214" s="1551" t="n">
        <f aca="false">'Смета Внутр'!H1214</f>
        <v>0</v>
      </c>
      <c r="I1214" s="3179" t="n">
        <f aca="false">IF(F1214&lt;H1214,F1214*(D1214-E1214),0)+IF(H1214=0,(D1214-E1214)*F1214,0)+IF(H1214&lt;F1214,H1214*(D1214-E1214),0)</f>
        <v>0</v>
      </c>
      <c r="J1214" s="3179" t="n">
        <f aca="false">G1214-I1214</f>
        <v>0</v>
      </c>
    </row>
    <row r="1215" customFormat="false" ht="15" hidden="false" customHeight="true" outlineLevel="0" collapsed="false">
      <c r="B1215" s="1551" t="str">
        <f aca="false">'Смета Внутр'!B1215</f>
        <v>желоб</v>
      </c>
      <c r="C1215" s="1551" t="str">
        <f aca="false">'Смета Внутр'!C1215</f>
        <v>м.п</v>
      </c>
      <c r="D1215" s="1551" t="n">
        <f aca="false">'Смета Внутр'!D1215</f>
        <v>34</v>
      </c>
      <c r="F1215" s="1551" t="n">
        <f aca="false">'Смета Внутр'!E1215</f>
        <v>300</v>
      </c>
      <c r="G1215" s="1551" t="n">
        <f aca="false">'Смета Внутр'!H1215</f>
        <v>0</v>
      </c>
      <c r="I1215" s="3179" t="n">
        <f aca="false">IF(F1215&lt;H1215,F1215*(D1215-E1215),0)+IF(H1215=0,(D1215-E1215)*F1215,0)+IF(H1215&lt;F1215,H1215*(D1215-E1215),0)</f>
        <v>10200</v>
      </c>
      <c r="J1215" s="3179" t="n">
        <f aca="false">G1215-I1215</f>
        <v>-10200</v>
      </c>
    </row>
    <row r="1216" customFormat="false" ht="15" hidden="false" customHeight="true" outlineLevel="0" collapsed="false">
      <c r="B1216" s="1551" t="str">
        <f aca="false">'Смета Внутр'!B1216</f>
        <v>отвод</v>
      </c>
      <c r="C1216" s="1551" t="str">
        <f aca="false">'Смета Внутр'!C1216</f>
        <v>шт</v>
      </c>
      <c r="D1216" s="1551" t="n">
        <f aca="false">'Смета Внутр'!D1216</f>
        <v>4</v>
      </c>
      <c r="F1216" s="1551" t="n">
        <f aca="false">'Смета Внутр'!E1216</f>
        <v>250</v>
      </c>
      <c r="G1216" s="1551" t="n">
        <f aca="false">'Смета Внутр'!H1216</f>
        <v>0</v>
      </c>
      <c r="I1216" s="3179" t="n">
        <f aca="false">IF(F1216&lt;H1216,F1216*(D1216-E1216),0)+IF(H1216=0,(D1216-E1216)*F1216,0)+IF(H1216&lt;F1216,H1216*(D1216-E1216),0)</f>
        <v>1000</v>
      </c>
      <c r="J1216" s="3179" t="n">
        <f aca="false">G1216-I1216</f>
        <v>-1000</v>
      </c>
    </row>
    <row r="1217" customFormat="false" ht="15" hidden="false" customHeight="true" outlineLevel="0" collapsed="false">
      <c r="B1217" s="1551" t="str">
        <f aca="false">'Смета Внутр'!B1217</f>
        <v>труба водосточная</v>
      </c>
      <c r="C1217" s="1551" t="str">
        <f aca="false">'Смета Внутр'!C1217</f>
        <v>м.п.</v>
      </c>
      <c r="D1217" s="1551" t="n">
        <f aca="false">'Смета Внутр'!D1217</f>
        <v>9.68</v>
      </c>
      <c r="F1217" s="1551" t="n">
        <f aca="false">'Смета Внутр'!E1217</f>
        <v>300</v>
      </c>
      <c r="G1217" s="1551" t="n">
        <f aca="false">'Смета Внутр'!H1217</f>
        <v>0</v>
      </c>
      <c r="I1217" s="3179" t="n">
        <f aca="false">IF(F1217&lt;H1217,F1217*(D1217-E1217),0)+IF(H1217=0,(D1217-E1217)*F1217,0)+IF(H1217&lt;F1217,H1217*(D1217-E1217),0)</f>
        <v>2904</v>
      </c>
      <c r="J1217" s="3179" t="n">
        <f aca="false">G1217-I1217</f>
        <v>-2904</v>
      </c>
    </row>
    <row r="1218" customFormat="false" ht="15" hidden="false" customHeight="true" outlineLevel="0" collapsed="false">
      <c r="B1218" s="1551" t="str">
        <f aca="false">'Смета Внутр'!B1218</f>
        <v>заглушка для желоба</v>
      </c>
      <c r="C1218" s="1551" t="str">
        <f aca="false">'Смета Внутр'!C1218</f>
        <v>шт</v>
      </c>
      <c r="D1218" s="1551" t="n">
        <f aca="false">'Смета Внутр'!D1218</f>
        <v>4</v>
      </c>
      <c r="F1218" s="1551" t="n">
        <f aca="false">'Смета Внутр'!E1218</f>
        <v>190</v>
      </c>
      <c r="G1218" s="1551" t="n">
        <f aca="false">'Смета Внутр'!H1218</f>
        <v>0</v>
      </c>
      <c r="I1218" s="3179" t="n">
        <f aca="false">IF(F1218&lt;H1218,F1218*(D1218-E1218),0)+IF(H1218=0,(D1218-E1218)*F1218,0)+IF(H1218&lt;F1218,H1218*(D1218-E1218),0)</f>
        <v>760</v>
      </c>
      <c r="J1218" s="3179" t="n">
        <f aca="false">G1218-I1218</f>
        <v>-760</v>
      </c>
    </row>
    <row r="1219" customFormat="false" ht="15" hidden="false" customHeight="true" outlineLevel="0" collapsed="false">
      <c r="B1219" s="1551" t="str">
        <f aca="false">'Смета Внутр'!B1219</f>
        <v>соеденитель для желоба</v>
      </c>
      <c r="C1219" s="1551" t="str">
        <f aca="false">'Смета Внутр'!C1219</f>
        <v>шт</v>
      </c>
      <c r="D1219" s="1551" t="n">
        <f aca="false">'Смета Внутр'!D1219</f>
        <v>12.3333333333333</v>
      </c>
      <c r="F1219" s="1551" t="n">
        <f aca="false">'Смета Внутр'!E1219</f>
        <v>180</v>
      </c>
      <c r="G1219" s="1551" t="n">
        <f aca="false">'Смета Внутр'!H1219</f>
        <v>0</v>
      </c>
      <c r="I1219" s="3179" t="n">
        <f aca="false">IF(F1219&lt;H1219,F1219*(D1219-E1219),0)+IF(H1219=0,(D1219-E1219)*F1219,0)+IF(H1219&lt;F1219,H1219*(D1219-E1219),0)</f>
        <v>2220</v>
      </c>
      <c r="J1219" s="3179" t="n">
        <f aca="false">G1219-I1219</f>
        <v>-2220</v>
      </c>
    </row>
    <row r="1220" customFormat="false" ht="15" hidden="false" customHeight="true" outlineLevel="0" collapsed="false">
      <c r="B1220" s="1551" t="str">
        <f aca="false">'Смета Внутр'!B1220</f>
        <v>кронштейн для желоба</v>
      </c>
      <c r="C1220" s="1551" t="str">
        <f aca="false">'Смета Внутр'!C1220</f>
        <v>шт</v>
      </c>
      <c r="D1220" s="1551" t="n">
        <f aca="false">'Смета Внутр'!D1220</f>
        <v>113.333333333333</v>
      </c>
      <c r="F1220" s="1551" t="n">
        <f aca="false">'Смета Внутр'!E1220</f>
        <v>130</v>
      </c>
      <c r="G1220" s="1551" t="n">
        <f aca="false">'Смета Внутр'!H1220</f>
        <v>0</v>
      </c>
      <c r="I1220" s="3179" t="n">
        <f aca="false">IF(F1220&lt;H1220,F1220*(D1220-E1220),0)+IF(H1220=0,(D1220-E1220)*F1220,0)+IF(H1220&lt;F1220,H1220*(D1220-E1220),0)</f>
        <v>14733.3333333333</v>
      </c>
      <c r="J1220" s="3179" t="n">
        <f aca="false">G1220-I1220</f>
        <v>-14733.3333333333</v>
      </c>
    </row>
    <row r="1221" customFormat="false" ht="15" hidden="false" customHeight="true" outlineLevel="0" collapsed="false">
      <c r="B1221" s="1551" t="str">
        <f aca="false">'Смета Внутр'!B1221</f>
        <v>переход из желоба в трубу</v>
      </c>
      <c r="C1221" s="1551" t="str">
        <f aca="false">'Смета Внутр'!C1221</f>
        <v>шт</v>
      </c>
      <c r="D1221" s="1551" t="n">
        <f aca="false">'Смета Внутр'!D1221</f>
        <v>2</v>
      </c>
      <c r="F1221" s="1551" t="n">
        <f aca="false">'Смета Внутр'!E1221</f>
        <v>350</v>
      </c>
      <c r="G1221" s="1551" t="n">
        <f aca="false">'Смета Внутр'!H1221</f>
        <v>0</v>
      </c>
      <c r="I1221" s="3179" t="n">
        <f aca="false">IF(F1221&lt;H1221,F1221*(D1221-E1221),0)+IF(H1221=0,(D1221-E1221)*F1221,0)+IF(H1221&lt;F1221,H1221*(D1221-E1221),0)</f>
        <v>700</v>
      </c>
      <c r="J1221" s="3179" t="n">
        <f aca="false">G1221-I1221</f>
        <v>-700</v>
      </c>
    </row>
    <row r="1222" customFormat="false" ht="15" hidden="false" customHeight="true" outlineLevel="0" collapsed="false">
      <c r="B1222" s="1551" t="str">
        <f aca="false">'Смета Внутр'!B1222</f>
        <v>лента дельта мульти бэнд</v>
      </c>
      <c r="C1222" s="1551" t="str">
        <f aca="false">'Смета Внутр'!C1222</f>
        <v>шт</v>
      </c>
      <c r="D1222" s="1551" t="n">
        <f aca="false">'Смета Внутр'!D1222</f>
        <v>1</v>
      </c>
      <c r="F1222" s="1551" t="n">
        <f aca="false">'Смета Внутр'!E1222</f>
        <v>1200</v>
      </c>
      <c r="G1222" s="1551" t="n">
        <f aca="false">'Смета Внутр'!H1222</f>
        <v>0</v>
      </c>
      <c r="I1222" s="3179" t="n">
        <f aca="false">IF(F1222&lt;H1222,F1222*(D1222-E1222),0)+IF(H1222=0,(D1222-E1222)*F1222,0)+IF(H1222&lt;F1222,H1222*(D1222-E1222),0)</f>
        <v>1200</v>
      </c>
      <c r="J1222" s="3179" t="n">
        <f aca="false">G1222-I1222</f>
        <v>-1200</v>
      </c>
    </row>
    <row r="1223" customFormat="false" ht="15" hidden="false" customHeight="true" outlineLevel="0" collapsed="false">
      <c r="B1223" s="1551" t="str">
        <f aca="false">'Смета Внутр'!B1223</f>
        <v>лента дельта sb-60</v>
      </c>
      <c r="C1223" s="1551" t="str">
        <f aca="false">'Смета Внутр'!C1223</f>
        <v>шт</v>
      </c>
      <c r="D1223" s="1551" t="n">
        <f aca="false">'Смета Внутр'!D1223</f>
        <v>7.05162036592427</v>
      </c>
      <c r="F1223" s="1551" t="n">
        <f aca="false">'Смета Внутр'!E1223</f>
        <v>1100</v>
      </c>
      <c r="G1223" s="1551" t="n">
        <f aca="false">'Смета Внутр'!H1223</f>
        <v>0</v>
      </c>
      <c r="I1223" s="3179" t="n">
        <f aca="false">IF(F1223&lt;H1223,F1223*(D1223-E1223),0)+IF(H1223=0,(D1223-E1223)*F1223,0)+IF(H1223&lt;F1223,H1223*(D1223-E1223),0)</f>
        <v>7756.7824025167</v>
      </c>
      <c r="J1223" s="3179" t="n">
        <f aca="false">G1223-I1223</f>
        <v>-7756.7824025167</v>
      </c>
    </row>
    <row r="1224" customFormat="false" ht="15" hidden="false" customHeight="true" outlineLevel="0" collapsed="false">
      <c r="B1224" s="1551" t="str">
        <f aca="false">'Смета Внутр'!B1224</f>
        <v>проходка кровельная, канализационная</v>
      </c>
      <c r="C1224" s="1551" t="str">
        <f aca="false">'Смета Внутр'!C1224</f>
        <v>шт</v>
      </c>
      <c r="D1224" s="1551" t="n">
        <f aca="false">'Смета Внутр'!D1224</f>
        <v>0</v>
      </c>
      <c r="F1224" s="1551" t="n">
        <f aca="false">'Смета Внутр'!E1224</f>
        <v>3500</v>
      </c>
      <c r="G1224" s="1551" t="n">
        <f aca="false">'Смета Внутр'!H1224</f>
        <v>0</v>
      </c>
      <c r="I1224" s="3179" t="n">
        <f aca="false">IF(F1224&lt;H1224,F1224*(D1224-E1224),0)+IF(H1224=0,(D1224-E1224)*F1224,0)+IF(H1224&lt;F1224,H1224*(D1224-E1224),0)</f>
        <v>0</v>
      </c>
      <c r="J1224" s="3179" t="n">
        <f aca="false">G1224-I1224</f>
        <v>0</v>
      </c>
    </row>
    <row r="1225" customFormat="false" ht="15" hidden="false" customHeight="true" outlineLevel="0" collapsed="false">
      <c r="B1225" s="1551" t="str">
        <f aca="false">'Смета Внутр'!B1225</f>
        <v>проходка кровельная, вентиляционная</v>
      </c>
      <c r="C1225" s="1551" t="str">
        <f aca="false">'Смета Внутр'!C1225</f>
        <v>шт</v>
      </c>
      <c r="D1225" s="1551" t="n">
        <f aca="false">'Смета Внутр'!D1225</f>
        <v>0</v>
      </c>
      <c r="F1225" s="1551" t="n">
        <f aca="false">'Смета Внутр'!E1225</f>
        <v>3500</v>
      </c>
      <c r="G1225" s="1551" t="n">
        <f aca="false">'Смета Внутр'!H1225</f>
        <v>0</v>
      </c>
      <c r="I1225" s="3179" t="n">
        <f aca="false">IF(F1225&lt;H1225,F1225*(D1225-E1225),0)+IF(H1225=0,(D1225-E1225)*F1225,0)+IF(H1225&lt;F1225,H1225*(D1225-E1225),0)</f>
        <v>0</v>
      </c>
      <c r="J1225" s="3179" t="n">
        <f aca="false">G1225-I1225</f>
        <v>0</v>
      </c>
    </row>
    <row r="1226" customFormat="false" ht="15" hidden="false" customHeight="true" outlineLevel="0" collapsed="false">
      <c r="B1226" s="1551" t="str">
        <f aca="false">'Смета Внутр'!B1226</f>
        <v>проодка кровельная, труба котел</v>
      </c>
      <c r="C1226" s="1551" t="str">
        <f aca="false">'Смета Внутр'!C1226</f>
        <v>шт</v>
      </c>
      <c r="D1226" s="1551" t="n">
        <f aca="false">'Смета Внутр'!D1226</f>
        <v>0</v>
      </c>
      <c r="F1226" s="1551" t="n">
        <f aca="false">'Смета Внутр'!E1226</f>
        <v>4500</v>
      </c>
      <c r="G1226" s="1551" t="n">
        <f aca="false">'Смета Внутр'!H1226</f>
        <v>0</v>
      </c>
      <c r="I1226" s="3179" t="n">
        <f aca="false">IF(F1226&lt;H1226,F1226*(D1226-E1226),0)+IF(H1226=0,(D1226-E1226)*F1226,0)+IF(H1226&lt;F1226,H1226*(D1226-E1226),0)</f>
        <v>0</v>
      </c>
      <c r="J1226" s="3179" t="n">
        <f aca="false">G1226-I1226</f>
        <v>0</v>
      </c>
    </row>
    <row r="1227" customFormat="false" ht="15" hidden="false" customHeight="true" outlineLevel="0" collapsed="false">
      <c r="B1227" s="1551" t="str">
        <f aca="false">'Смета Внутр'!B1227</f>
        <v>Кровельный саморез</v>
      </c>
      <c r="C1227" s="1551" t="str">
        <f aca="false">'Смета Внутр'!C1227</f>
        <v>шт</v>
      </c>
      <c r="D1227" s="1551" t="n">
        <f aca="false">'Смета Внутр'!D1227</f>
        <v>1269.29166586637</v>
      </c>
      <c r="F1227" s="1551" t="n">
        <f aca="false">'Смета Внутр'!E1227</f>
        <v>2</v>
      </c>
      <c r="G1227" s="1551" t="n">
        <f aca="false">'Смета Внутр'!H1227</f>
        <v>0</v>
      </c>
      <c r="I1227" s="3179" t="n">
        <f aca="false">IF(F1227&lt;H1227,F1227*(D1227-E1227),0)+IF(H1227=0,(D1227-E1227)*F1227,0)+IF(H1227&lt;F1227,H1227*(D1227-E1227),0)</f>
        <v>2538.58333173274</v>
      </c>
      <c r="J1227" s="3179" t="n">
        <f aca="false">G1227-I1227</f>
        <v>-2538.58333173274</v>
      </c>
    </row>
    <row r="1228" customFormat="false" ht="15" hidden="false" customHeight="true" outlineLevel="0" collapsed="false">
      <c r="B1228" s="1551" t="str">
        <f aca="false">'Смета Внутр'!B1228</f>
        <v>Гвозди ершоные 3,4 x 60            </v>
      </c>
      <c r="C1228" s="1551" t="str">
        <f aca="false">'Смета Внутр'!C1228</f>
        <v>кг</v>
      </c>
      <c r="D1228" s="1551" t="n">
        <f aca="false">'Смета Внутр'!D1228</f>
        <v>11.1063020763307</v>
      </c>
      <c r="F1228" s="1551" t="n">
        <f aca="false">'Смета Внутр'!E1228</f>
        <v>75.51</v>
      </c>
      <c r="G1228" s="1551" t="n">
        <f aca="false">'Смета Внутр'!H1228</f>
        <v>0</v>
      </c>
      <c r="I1228" s="3179" t="n">
        <f aca="false">IF(F1228&lt;H1228,F1228*(D1228-E1228),0)+IF(H1228=0,(D1228-E1228)*F1228,0)+IF(H1228&lt;F1228,H1228*(D1228-E1228),0)</f>
        <v>838.636869783733</v>
      </c>
      <c r="J1228" s="3179" t="n">
        <f aca="false">G1228-I1228</f>
        <v>-838.636869783733</v>
      </c>
    </row>
    <row r="1229" customFormat="false" ht="15" hidden="false" customHeight="true" outlineLevel="0" collapsed="false">
      <c r="B1229" s="1551" t="str">
        <f aca="false">'Смета Внутр'!B1229</f>
        <v>Гвозди строительные 3,5 x 90            </v>
      </c>
      <c r="C1229" s="1551" t="str">
        <f aca="false">'Смета Внутр'!C1229</f>
        <v>кг</v>
      </c>
      <c r="D1229" s="1551" t="n">
        <f aca="false">'Смета Внутр'!D1229</f>
        <v>15.5920749263852</v>
      </c>
      <c r="F1229" s="1551" t="n">
        <f aca="false">'Смета Внутр'!E1229</f>
        <v>76.49</v>
      </c>
      <c r="G1229" s="1551" t="n">
        <f aca="false">'Смета Внутр'!H1229</f>
        <v>0</v>
      </c>
      <c r="I1229" s="3179" t="n">
        <f aca="false">IF(F1229&lt;H1229,F1229*(D1229-E1229),0)+IF(H1229=0,(D1229-E1229)*F1229,0)+IF(H1229&lt;F1229,H1229*(D1229-E1229),0)</f>
        <v>1192.6378111192</v>
      </c>
      <c r="J1229" s="3179" t="n">
        <f aca="false">G1229-I1229</f>
        <v>-1192.6378111192</v>
      </c>
    </row>
    <row r="1230" customFormat="false" ht="15" hidden="false" customHeight="true" outlineLevel="0" collapsed="false">
      <c r="B1230" s="1551" t="str">
        <f aca="false">'Смета Внутр'!B1230</f>
        <v>Пластина соеденительная 100х240х2           </v>
      </c>
      <c r="C1230" s="1551" t="str">
        <f aca="false">'Смета Внутр'!C1230</f>
        <v>шт</v>
      </c>
      <c r="D1230" s="1551" t="n">
        <f aca="false">'Смета Внутр'!D1230</f>
        <v>15.1106150698377</v>
      </c>
      <c r="F1230" s="1551" t="n">
        <f aca="false">'Смета Внутр'!E1230</f>
        <v>31.54</v>
      </c>
      <c r="G1230" s="1551" t="n">
        <f aca="false">'Смета Внутр'!H1230</f>
        <v>0</v>
      </c>
      <c r="I1230" s="3179" t="n">
        <f aca="false">IF(F1230&lt;H1230,F1230*(D1230-E1230),0)+IF(H1230=0,(D1230-E1230)*F1230,0)+IF(H1230&lt;F1230,H1230*(D1230-E1230),0)</f>
        <v>476.588799302682</v>
      </c>
      <c r="J1230" s="3179" t="n">
        <f aca="false">G1230-I1230</f>
        <v>-476.588799302682</v>
      </c>
    </row>
    <row r="1231" customFormat="false" ht="15" hidden="false" customHeight="true" outlineLevel="0" collapsed="false">
      <c r="B1231" s="1551" t="str">
        <f aca="false">'Смета Внутр'!B1231</f>
        <v>Уголок усиленный 90х70х55х2,5        </v>
      </c>
      <c r="C1231" s="1551" t="str">
        <f aca="false">'Смета Внутр'!C1231</f>
        <v>шт</v>
      </c>
      <c r="D1231" s="1551" t="n">
        <f aca="false">'Смета Внутр'!D1231</f>
        <v>211.548610977728</v>
      </c>
      <c r="F1231" s="1551" t="n">
        <f aca="false">'Смета Внутр'!E1231</f>
        <v>30</v>
      </c>
      <c r="G1231" s="1551" t="n">
        <f aca="false">'Смета Внутр'!H1231</f>
        <v>0</v>
      </c>
      <c r="I1231" s="3179" t="n">
        <f aca="false">IF(F1231&lt;H1231,F1231*(D1231-E1231),0)+IF(H1231=0,(D1231-E1231)*F1231,0)+IF(H1231&lt;F1231,H1231*(D1231-E1231),0)</f>
        <v>6346.45832933184</v>
      </c>
      <c r="J1231" s="3179" t="n">
        <f aca="false">G1231-I1231</f>
        <v>-6346.45832933184</v>
      </c>
    </row>
    <row r="1232" customFormat="false" ht="15" hidden="false" customHeight="true" outlineLevel="0" collapsed="false">
      <c r="B1232" s="1692" t="s">
        <v>4332</v>
      </c>
      <c r="C1232" s="1692"/>
      <c r="D1232" s="1692"/>
      <c r="E1232" s="1692"/>
      <c r="F1232" s="1692"/>
      <c r="G1232" s="1551" t="n">
        <f aca="false">'Смета Внутр'!H1232</f>
        <v>0</v>
      </c>
      <c r="H1232" s="3184"/>
      <c r="I1232" s="3179" t="n">
        <f aca="false">IF(F1232&lt;H1232,F1232*(D1232-E1232),0)+IF(H1232=0,(D1232-E1232)*F1232,0)+IF(H1232&lt;F1232,H1232*(D1232-E1232),0)</f>
        <v>0</v>
      </c>
      <c r="J1232" s="3179" t="n">
        <f aca="false">G1232-I1232</f>
        <v>0</v>
      </c>
    </row>
    <row r="1233" customFormat="false" ht="15" hidden="false" customHeight="true" outlineLevel="0" collapsed="false">
      <c r="B1233" s="1268" t="str">
        <f aca="false">'Смета Внутр'!B1233</f>
        <v>Работы</v>
      </c>
      <c r="C1233" s="1268"/>
      <c r="D1233" s="1268"/>
      <c r="E1233" s="1268"/>
      <c r="F1233" s="1268"/>
      <c r="G1233" s="1551" t="n">
        <f aca="false">'Смета Внутр'!H1233</f>
        <v>0</v>
      </c>
      <c r="H1233" s="3175"/>
      <c r="I1233" s="3179" t="n">
        <f aca="false">IF(F1233&lt;H1233,F1233*(D1233-E1233),0)+IF(H1233=0,(D1233-E1233)*F1233,0)+IF(H1233&lt;F1233,H1233*(D1233-E1233),0)</f>
        <v>0</v>
      </c>
      <c r="J1233" s="3179" t="n">
        <f aca="false">G1233-I1233</f>
        <v>0</v>
      </c>
    </row>
    <row r="1234" customFormat="false" ht="15" hidden="false" customHeight="true" outlineLevel="0" collapsed="false">
      <c r="B1234" s="1551" t="str">
        <f aca="false">'Смета Внутр'!B1234</f>
        <v>монтаж мауэрлат</v>
      </c>
      <c r="C1234" s="1551" t="str">
        <f aca="false">'Смета Внутр'!C1234</f>
        <v>м.п.</v>
      </c>
      <c r="D1234" s="1551" t="n">
        <f aca="false">'Смета Внутр'!D1234</f>
        <v>32</v>
      </c>
      <c r="F1234" s="1551" t="n">
        <f aca="false">'Смета Внутр'!E1234</f>
        <v>250</v>
      </c>
      <c r="G1234" s="1551" t="n">
        <f aca="false">'Смета Внутр'!H1234</f>
        <v>0</v>
      </c>
      <c r="I1234" s="3179" t="n">
        <f aca="false">IF(F1234&lt;H1234,F1234*(D1234-E1234),0)+IF(H1234=0,(D1234-E1234)*F1234,0)+IF(H1234&lt;F1234,H1234*(D1234-E1234),0)</f>
        <v>8000</v>
      </c>
      <c r="J1234" s="3179" t="n">
        <f aca="false">G1234-I1234</f>
        <v>-8000</v>
      </c>
    </row>
    <row r="1235" customFormat="false" ht="15" hidden="false" customHeight="true" outlineLevel="0" collapsed="false">
      <c r="B1235" s="1551" t="str">
        <f aca="false">'Смета Внутр'!B1235</f>
        <v>монтаж стропил</v>
      </c>
      <c r="C1235" s="1551" t="str">
        <f aca="false">'Смета Внутр'!C1235</f>
        <v>м2</v>
      </c>
      <c r="D1235" s="1551" t="n">
        <f aca="false">'Смета Внутр'!D1235</f>
        <v>105.774305488864</v>
      </c>
      <c r="F1235" s="1551" t="n">
        <f aca="false">'Смета Внутр'!E1235</f>
        <v>450</v>
      </c>
      <c r="G1235" s="1551" t="n">
        <f aca="false">'Смета Внутр'!H1235</f>
        <v>0</v>
      </c>
      <c r="I1235" s="3179" t="n">
        <f aca="false">IF(F1235&lt;H1235,F1235*(D1235-E1235),0)+IF(H1235=0,(D1235-E1235)*F1235,0)+IF(H1235&lt;F1235,H1235*(D1235-E1235),0)</f>
        <v>47598.4374699888</v>
      </c>
      <c r="J1235" s="3179" t="n">
        <f aca="false">G1235-I1235</f>
        <v>-47598.4374699888</v>
      </c>
    </row>
    <row r="1236" customFormat="false" ht="15" hidden="false" customHeight="true" outlineLevel="0" collapsed="false">
      <c r="B1236" s="1551" t="str">
        <f aca="false">'Смета Внутр'!B1236</f>
        <v>обрешетка</v>
      </c>
      <c r="C1236" s="1551" t="str">
        <f aca="false">'Смета Внутр'!C1236</f>
        <v>м2</v>
      </c>
      <c r="D1236" s="1551" t="n">
        <f aca="false">'Смета Внутр'!D1236</f>
        <v>105.774305488864</v>
      </c>
      <c r="F1236" s="1551" t="n">
        <f aca="false">'Смета Внутр'!E1236</f>
        <v>100</v>
      </c>
      <c r="G1236" s="1551" t="n">
        <f aca="false">'Смета Внутр'!H1236</f>
        <v>0</v>
      </c>
      <c r="I1236" s="3179" t="n">
        <f aca="false">IF(F1236&lt;H1236,F1236*(D1236-E1236),0)+IF(H1236=0,(D1236-E1236)*F1236,0)+IF(H1236&lt;F1236,H1236*(D1236-E1236),0)</f>
        <v>10577.4305488864</v>
      </c>
      <c r="J1236" s="3179" t="n">
        <f aca="false">G1236-I1236</f>
        <v>-10577.4305488864</v>
      </c>
    </row>
    <row r="1237" customFormat="false" ht="15" hidden="false" customHeight="true" outlineLevel="0" collapsed="false">
      <c r="B1237" s="1551" t="str">
        <f aca="false">'Смета Внутр'!B1237</f>
        <v>контробеш</v>
      </c>
      <c r="C1237" s="1551" t="str">
        <f aca="false">'Смета Внутр'!C1237</f>
        <v>м2</v>
      </c>
      <c r="D1237" s="1551" t="n">
        <f aca="false">'Смета Внутр'!D1237</f>
        <v>105.774305488864</v>
      </c>
      <c r="F1237" s="1551" t="n">
        <f aca="false">'Смета Внутр'!E1237</f>
        <v>100</v>
      </c>
      <c r="G1237" s="1551" t="n">
        <f aca="false">'Смета Внутр'!H1237</f>
        <v>0</v>
      </c>
      <c r="I1237" s="3179" t="n">
        <f aca="false">IF(F1237&lt;H1237,F1237*(D1237-E1237),0)+IF(H1237=0,(D1237-E1237)*F1237,0)+IF(H1237&lt;F1237,H1237*(D1237-E1237),0)</f>
        <v>10577.4305488864</v>
      </c>
      <c r="J1237" s="3179" t="n">
        <f aca="false">G1237-I1237</f>
        <v>-10577.4305488864</v>
      </c>
    </row>
    <row r="1238" customFormat="false" ht="15" hidden="false" customHeight="true" outlineLevel="0" collapsed="false">
      <c r="B1238" s="1551" t="str">
        <f aca="false">'Смета Внутр'!B1238</f>
        <v>мембрана</v>
      </c>
      <c r="C1238" s="1551" t="str">
        <f aca="false">'Смета Внутр'!C1238</f>
        <v>м2</v>
      </c>
      <c r="D1238" s="1551" t="n">
        <f aca="false">'Смета Внутр'!D1238</f>
        <v>105.774305488864</v>
      </c>
      <c r="F1238" s="1551" t="n">
        <f aca="false">'Смета Внутр'!E1238</f>
        <v>100</v>
      </c>
      <c r="G1238" s="1551" t="n">
        <f aca="false">'Смета Внутр'!H1238</f>
        <v>0</v>
      </c>
      <c r="I1238" s="3179" t="n">
        <f aca="false">IF(F1238&lt;H1238,F1238*(D1238-E1238),0)+IF(H1238=0,(D1238-E1238)*F1238,0)+IF(H1238&lt;F1238,H1238*(D1238-E1238),0)</f>
        <v>10577.4305488864</v>
      </c>
      <c r="J1238" s="3179" t="n">
        <f aca="false">G1238-I1238</f>
        <v>-10577.4305488864</v>
      </c>
    </row>
    <row r="1239" customFormat="false" ht="15" hidden="false" customHeight="true" outlineLevel="0" collapsed="false">
      <c r="B1239" s="1551" t="str">
        <f aca="false">'Смета Внутр'!B1239</f>
        <v>пароизоляц</v>
      </c>
      <c r="C1239" s="1551" t="str">
        <f aca="false">'Смета Внутр'!C1239</f>
        <v>м2</v>
      </c>
      <c r="D1239" s="1551" t="n">
        <f aca="false">'Смета Внутр'!D1239</f>
        <v>105.774305488864</v>
      </c>
      <c r="F1239" s="1551" t="n">
        <f aca="false">'Смета Внутр'!E1239</f>
        <v>100</v>
      </c>
      <c r="G1239" s="1551" t="n">
        <f aca="false">'Смета Внутр'!H1239</f>
        <v>0</v>
      </c>
      <c r="I1239" s="3179" t="n">
        <f aca="false">IF(F1239&lt;H1239,F1239*(D1239-E1239),0)+IF(H1239=0,(D1239-E1239)*F1239,0)+IF(H1239&lt;F1239,H1239*(D1239-E1239),0)</f>
        <v>10577.4305488864</v>
      </c>
      <c r="J1239" s="3179" t="n">
        <f aca="false">G1239-I1239</f>
        <v>-10577.4305488864</v>
      </c>
    </row>
    <row r="1240" customFormat="false" ht="15" hidden="false" customHeight="true" outlineLevel="0" collapsed="false">
      <c r="B1240" s="1551" t="str">
        <f aca="false">'Смета Внутр'!B1240</f>
        <v>утеплитель</v>
      </c>
      <c r="C1240" s="1551" t="str">
        <f aca="false">'Смета Внутр'!C1240</f>
        <v>м2</v>
      </c>
      <c r="D1240" s="1551" t="n">
        <f aca="false">'Смета Внутр'!D1240</f>
        <v>105.774305488864</v>
      </c>
      <c r="F1240" s="1551" t="n">
        <f aca="false">'Смета Внутр'!E1240</f>
        <v>200</v>
      </c>
      <c r="G1240" s="1551" t="n">
        <f aca="false">'Смета Внутр'!H1240</f>
        <v>0</v>
      </c>
      <c r="I1240" s="3179" t="n">
        <f aca="false">IF(F1240&lt;H1240,F1240*(D1240-E1240),0)+IF(H1240=0,(D1240-E1240)*F1240,0)+IF(H1240&lt;F1240,H1240*(D1240-E1240),0)</f>
        <v>21154.8610977728</v>
      </c>
      <c r="J1240" s="3179" t="n">
        <f aca="false">G1240-I1240</f>
        <v>-21154.8610977728</v>
      </c>
    </row>
    <row r="1241" customFormat="false" ht="15" hidden="false" customHeight="true" outlineLevel="0" collapsed="false">
      <c r="B1241" s="1551" t="str">
        <f aca="false">'Смета Внутр'!B1241</f>
        <v>Монтаж металлочерепицы</v>
      </c>
      <c r="C1241" s="1551" t="str">
        <f aca="false">'Смета Внутр'!C1241</f>
        <v>м2</v>
      </c>
      <c r="D1241" s="1551" t="n">
        <f aca="false">'Смета Внутр'!D1241</f>
        <v>96.1584595353309</v>
      </c>
      <c r="F1241" s="1551" t="n">
        <f aca="false">'Смета Внутр'!E1241</f>
        <v>300</v>
      </c>
      <c r="G1241" s="1551" t="n">
        <f aca="false">'Смета Внутр'!H1241</f>
        <v>0</v>
      </c>
      <c r="I1241" s="3179" t="n">
        <f aca="false">IF(F1241&lt;H1241,F1241*(D1241-E1241),0)+IF(H1241=0,(D1241-E1241)*F1241,0)+IF(H1241&lt;F1241,H1241*(D1241-E1241),0)</f>
        <v>28847.5378605993</v>
      </c>
      <c r="J1241" s="3179" t="n">
        <f aca="false">G1241-I1241</f>
        <v>-28847.5378605993</v>
      </c>
    </row>
    <row r="1242" customFormat="false" ht="15" hidden="false" customHeight="true" outlineLevel="0" collapsed="false">
      <c r="B1242" s="1551" t="str">
        <f aca="false">'Смета Внутр'!B1242</f>
        <v>Монтаж ондулина</v>
      </c>
      <c r="C1242" s="1551" t="str">
        <f aca="false">'Смета Внутр'!C1242</f>
        <v>м2</v>
      </c>
      <c r="D1242" s="1551" t="n">
        <f aca="false">'Смета Внутр'!D1242</f>
        <v>0</v>
      </c>
      <c r="F1242" s="1551" t="n">
        <f aca="false">'Смета Внутр'!E1242</f>
        <v>300</v>
      </c>
      <c r="G1242" s="1551" t="n">
        <f aca="false">'Смета Внутр'!H1242</f>
        <v>0</v>
      </c>
      <c r="I1242" s="3179" t="n">
        <f aca="false">IF(F1242&lt;H1242,F1242*(D1242-E1242),0)+IF(H1242=0,(D1242-E1242)*F1242,0)+IF(H1242&lt;F1242,H1242*(D1242-E1242),0)</f>
        <v>0</v>
      </c>
      <c r="J1242" s="3179" t="n">
        <f aca="false">G1242-I1242</f>
        <v>0</v>
      </c>
    </row>
    <row r="1243" customFormat="false" ht="15" hidden="false" customHeight="true" outlineLevel="0" collapsed="false">
      <c r="B1243" s="1551" t="str">
        <f aca="false">'Смета Внутр'!B1243</f>
        <v>капельник планка</v>
      </c>
      <c r="C1243" s="1551" t="str">
        <f aca="false">'Смета Внутр'!C1243</f>
        <v>м.п.</v>
      </c>
      <c r="D1243" s="1551" t="n">
        <f aca="false">'Смета Внутр'!D1243</f>
        <v>72</v>
      </c>
      <c r="F1243" s="1551" t="n">
        <f aca="false">'Смета Внутр'!E1243</f>
        <v>100</v>
      </c>
      <c r="G1243" s="1551" t="n">
        <f aca="false">'Смета Внутр'!H1243</f>
        <v>0</v>
      </c>
      <c r="I1243" s="3179" t="n">
        <f aca="false">IF(F1243&lt;H1243,F1243*(D1243-E1243),0)+IF(H1243=0,(D1243-E1243)*F1243,0)+IF(H1243&lt;F1243,H1243*(D1243-E1243),0)</f>
        <v>7200</v>
      </c>
      <c r="J1243" s="3179" t="n">
        <f aca="false">G1243-I1243</f>
        <v>-7200</v>
      </c>
    </row>
    <row r="1244" customFormat="false" ht="15" hidden="false" customHeight="true" outlineLevel="0" collapsed="false">
      <c r="B1244" s="1551" t="str">
        <f aca="false">'Смета Внутр'!B1244</f>
        <v>желоб водосточный</v>
      </c>
      <c r="C1244" s="1551" t="str">
        <f aca="false">'Смета Внутр'!C1244</f>
        <v>м.п.</v>
      </c>
      <c r="D1244" s="1551" t="n">
        <f aca="false">'Смета Внутр'!D1244</f>
        <v>34</v>
      </c>
      <c r="F1244" s="1551" t="n">
        <f aca="false">'Смета Внутр'!E1244</f>
        <v>300</v>
      </c>
      <c r="G1244" s="1551" t="n">
        <f aca="false">'Смета Внутр'!H1244</f>
        <v>0</v>
      </c>
      <c r="I1244" s="3179" t="n">
        <f aca="false">IF(F1244&lt;H1244,F1244*(D1244-E1244),0)+IF(H1244=0,(D1244-E1244)*F1244,0)+IF(H1244&lt;F1244,H1244*(D1244-E1244),0)</f>
        <v>10200</v>
      </c>
      <c r="J1244" s="3179" t="n">
        <f aca="false">G1244-I1244</f>
        <v>-10200</v>
      </c>
    </row>
    <row r="1245" customFormat="false" ht="15" hidden="false" customHeight="true" outlineLevel="0" collapsed="false">
      <c r="B1245" s="1551" t="str">
        <f aca="false">'Смета Внутр'!B1245</f>
        <v>труба водосточная</v>
      </c>
      <c r="C1245" s="1551" t="str">
        <f aca="false">'Смета Внутр'!C1245</f>
        <v>м.п.</v>
      </c>
      <c r="D1245" s="1551" t="n">
        <f aca="false">'Смета Внутр'!D1245</f>
        <v>9.68</v>
      </c>
      <c r="F1245" s="1551" t="n">
        <f aca="false">'Смета Внутр'!E1245</f>
        <v>300</v>
      </c>
      <c r="G1245" s="1551" t="n">
        <f aca="false">'Смета Внутр'!H1245</f>
        <v>0</v>
      </c>
      <c r="I1245" s="3179" t="n">
        <f aca="false">IF(F1245&lt;H1245,F1245*(D1245-E1245),0)+IF(H1245=0,(D1245-E1245)*F1245,0)+IF(H1245&lt;F1245,H1245*(D1245-E1245),0)</f>
        <v>2904</v>
      </c>
      <c r="J1245" s="3179" t="n">
        <f aca="false">G1245-I1245</f>
        <v>-2904</v>
      </c>
    </row>
    <row r="1246" customFormat="false" ht="15" hidden="false" customHeight="true" outlineLevel="0" collapsed="false">
      <c r="B1246" s="1551" t="str">
        <f aca="false">'Смета Внутр'!B1246</f>
        <v>конек</v>
      </c>
      <c r="C1246" s="1551" t="str">
        <f aca="false">'Смета Внутр'!C1246</f>
        <v>м.п.</v>
      </c>
      <c r="D1246" s="1551" t="n">
        <f aca="false">'Смета Внутр'!D1246</f>
        <v>28.6093426907597</v>
      </c>
      <c r="F1246" s="1551" t="n">
        <f aca="false">'Смета Внутр'!E1246</f>
        <v>300</v>
      </c>
      <c r="G1246" s="1551" t="n">
        <f aca="false">'Смета Внутр'!H1246</f>
        <v>0</v>
      </c>
      <c r="I1246" s="3179" t="n">
        <f aca="false">IF(F1246&lt;H1246,F1246*(D1246-E1246),0)+IF(H1246=0,(D1246-E1246)*F1246,0)+IF(H1246&lt;F1246,H1246*(D1246-E1246),0)</f>
        <v>8582.80280722791</v>
      </c>
      <c r="J1246" s="3179" t="n">
        <f aca="false">G1246-I1246</f>
        <v>-8582.80280722791</v>
      </c>
    </row>
    <row r="1247" customFormat="false" ht="15" hidden="false" customHeight="true" outlineLevel="0" collapsed="false">
      <c r="B1247" s="1551" t="str">
        <f aca="false">'Смета Внутр'!B1247</f>
        <v>Монтаж фанеры/osb</v>
      </c>
      <c r="C1247" s="1551" t="str">
        <f aca="false">'Смета Внутр'!C1247</f>
        <v>м2</v>
      </c>
      <c r="D1247" s="1551" t="n">
        <f aca="false">'Смета Внутр'!D1247</f>
        <v>0</v>
      </c>
      <c r="F1247" s="1551" t="n">
        <f aca="false">'Смета Внутр'!E1247</f>
        <v>200</v>
      </c>
      <c r="G1247" s="1551" t="n">
        <f aca="false">'Смета Внутр'!H1247</f>
        <v>0</v>
      </c>
      <c r="I1247" s="3179" t="n">
        <f aca="false">IF(F1247&lt;H1247,F1247*(D1247-E1247),0)+IF(H1247=0,(D1247-E1247)*F1247,0)+IF(H1247&lt;F1247,H1247*(D1247-E1247),0)</f>
        <v>0</v>
      </c>
      <c r="J1247" s="3179" t="n">
        <f aca="false">G1247-I1247</f>
        <v>0</v>
      </c>
    </row>
    <row r="1248" customFormat="false" ht="15" hidden="false" customHeight="true" outlineLevel="0" collapsed="false">
      <c r="B1248" s="1551" t="str">
        <f aca="false">'Смета Внутр'!B1248</f>
        <v>монтаж подкладочного ковра</v>
      </c>
      <c r="C1248" s="1551" t="str">
        <f aca="false">'Смета Внутр'!C1248</f>
        <v>м2</v>
      </c>
      <c r="D1248" s="1551" t="n">
        <f aca="false">'Смета Внутр'!D1248</f>
        <v>0</v>
      </c>
      <c r="F1248" s="1551" t="n">
        <f aca="false">'Смета Внутр'!E1248</f>
        <v>150</v>
      </c>
      <c r="G1248" s="1551" t="n">
        <f aca="false">'Смета Внутр'!H1248</f>
        <v>0</v>
      </c>
      <c r="I1248" s="3179" t="n">
        <f aca="false">IF(F1248&lt;H1248,F1248*(D1248-E1248),0)+IF(H1248=0,(D1248-E1248)*F1248,0)+IF(H1248&lt;F1248,H1248*(D1248-E1248),0)</f>
        <v>0</v>
      </c>
      <c r="J1248" s="3179" t="n">
        <f aca="false">G1248-I1248</f>
        <v>0</v>
      </c>
    </row>
    <row r="1249" customFormat="false" ht="15" hidden="false" customHeight="true" outlineLevel="0" collapsed="false">
      <c r="B1249" s="1551" t="str">
        <f aca="false">'Смета Внутр'!B1249</f>
        <v>Монтаж мягкой кровли</v>
      </c>
      <c r="C1249" s="1551" t="str">
        <f aca="false">'Смета Внутр'!C1249</f>
        <v>м2</v>
      </c>
      <c r="D1249" s="1551" t="n">
        <f aca="false">'Смета Внутр'!D1249</f>
        <v>0</v>
      </c>
      <c r="F1249" s="1551" t="n">
        <f aca="false">'Смета Внутр'!E1249</f>
        <v>350</v>
      </c>
      <c r="G1249" s="1551" t="n">
        <f aca="false">'Смета Внутр'!H1249</f>
        <v>0</v>
      </c>
      <c r="I1249" s="3179" t="n">
        <f aca="false">IF(F1249&lt;H1249,F1249*(D1249-E1249),0)+IF(H1249=0,(D1249-E1249)*F1249,0)+IF(H1249&lt;F1249,H1249*(D1249-E1249),0)</f>
        <v>0</v>
      </c>
      <c r="J1249" s="3179" t="n">
        <f aca="false">G1249-I1249</f>
        <v>0</v>
      </c>
    </row>
    <row r="1250" customFormat="false" ht="15" hidden="false" customHeight="false" outlineLevel="0" collapsed="false">
      <c r="B1250" s="1692" t="s">
        <v>4333</v>
      </c>
      <c r="C1250" s="1692"/>
      <c r="D1250" s="1692"/>
      <c r="E1250" s="1692"/>
      <c r="F1250" s="1692"/>
      <c r="G1250" s="1551" t="n">
        <f aca="false">'Смета Внутр'!H1250</f>
        <v>0</v>
      </c>
      <c r="H1250" s="1584"/>
      <c r="I1250" s="3179" t="n">
        <f aca="false">IF(F1250&lt;H1250,F1250*(D1250-E1250),0)+IF(H1250=0,(D1250-E1250)*F1250,0)+IF(H1250&lt;F1250,H1250*(D1250-E1250),0)</f>
        <v>0</v>
      </c>
      <c r="J1250" s="3179" t="n">
        <f aca="false">G1250-I1250</f>
        <v>0</v>
      </c>
    </row>
    <row r="1251" customFormat="false" ht="15" hidden="false" customHeight="true" outlineLevel="0" collapsed="false">
      <c r="B1251" s="1551" t="str">
        <f aca="false">'Смета Внутр'!B1251</f>
        <v>Кровля Полу-Вальмовая</v>
      </c>
      <c r="C1251" s="1551" t="n">
        <f aca="false">'Смета Внутр'!C1251</f>
        <v>0</v>
      </c>
      <c r="D1251" s="1551" t="n">
        <f aca="false">'Смета Внутр'!D1251</f>
        <v>0</v>
      </c>
      <c r="F1251" s="1551" t="n">
        <f aca="false">'Смета Внутр'!E1251</f>
        <v>0</v>
      </c>
      <c r="G1251" s="1551" t="n">
        <f aca="false">'Смета Внутр'!H1251</f>
        <v>0</v>
      </c>
      <c r="I1251" s="3179" t="n">
        <f aca="false">IF(F1251&lt;H1251,F1251*(D1251-E1251),0)+IF(H1251=0,(D1251-E1251)*F1251,0)+IF(H1251&lt;F1251,H1251*(D1251-E1251),0)</f>
        <v>0</v>
      </c>
      <c r="J1251" s="3179" t="n">
        <f aca="false">G1251-I1251</f>
        <v>0</v>
      </c>
    </row>
    <row r="1252" customFormat="false" ht="15" hidden="false" customHeight="true" outlineLevel="0" collapsed="false">
      <c r="B1252" s="1268" t="str">
        <f aca="false">'Смета Внутр'!B1252</f>
        <v>Материалы</v>
      </c>
      <c r="C1252" s="1268"/>
      <c r="D1252" s="1268"/>
      <c r="E1252" s="1268"/>
      <c r="F1252" s="1268"/>
      <c r="G1252" s="1551" t="n">
        <f aca="false">'Смета Внутр'!H1252</f>
        <v>0</v>
      </c>
      <c r="H1252" s="3175"/>
      <c r="I1252" s="3179" t="n">
        <f aca="false">IF(F1252&lt;H1252,F1252*(D1252-E1252),0)+IF(H1252=0,(D1252-E1252)*F1252,0)+IF(H1252&lt;F1252,H1252*(D1252-E1252),0)</f>
        <v>0</v>
      </c>
      <c r="J1252" s="3179" t="n">
        <f aca="false">G1252-I1252</f>
        <v>0</v>
      </c>
    </row>
    <row r="1253" customFormat="false" ht="15" hidden="false" customHeight="true" outlineLevel="0" collapsed="false">
      <c r="B1253" s="1551" t="str">
        <f aca="false">'Смета Внутр'!B1253</f>
        <v>нет</v>
      </c>
      <c r="C1253" s="1551" t="str">
        <f aca="false">'Смета Внутр'!C1253</f>
        <v>м3</v>
      </c>
      <c r="D1253" s="1551" t="n">
        <f aca="false">'Смета Внутр'!D1253</f>
        <v>0</v>
      </c>
      <c r="F1253" s="1551" t="n">
        <f aca="false">'Смета Внутр'!E1253</f>
        <v>0</v>
      </c>
      <c r="G1253" s="1551" t="n">
        <f aca="false">'Смета Внутр'!H1253</f>
        <v>0</v>
      </c>
      <c r="I1253" s="3179" t="n">
        <f aca="false">IF(F1253&lt;H1253,F1253*(D1253-E1253),0)+IF(H1253=0,(D1253-E1253)*F1253,0)+IF(H1253&lt;F1253,H1253*(D1253-E1253),0)</f>
        <v>0</v>
      </c>
      <c r="J1253" s="3179" t="n">
        <f aca="false">G1253-I1253</f>
        <v>0</v>
      </c>
    </row>
    <row r="1254" customFormat="false" ht="15" hidden="false" customHeight="true" outlineLevel="0" collapsed="false">
      <c r="B1254" s="1551" t="str">
        <f aca="false">'Смета Внутр'!B1254</f>
        <v>Болты анкерные с гайкой 12,0 х 280          </v>
      </c>
      <c r="C1254" s="1551" t="str">
        <f aca="false">'Смета Внутр'!C1254</f>
        <v>шт</v>
      </c>
      <c r="D1254" s="1551" t="n">
        <f aca="false">'Смета Внутр'!D1254</f>
        <v>110.5307463295</v>
      </c>
      <c r="F1254" s="1551" t="n">
        <f aca="false">'Смета Внутр'!E1254</f>
        <v>27.1</v>
      </c>
      <c r="G1254" s="1551" t="n">
        <f aca="false">'Смета Внутр'!H1254</f>
        <v>0</v>
      </c>
      <c r="I1254" s="3179" t="n">
        <f aca="false">IF(F1254&lt;H1254,F1254*(D1254-E1254),0)+IF(H1254=0,(D1254-E1254)*F1254,0)+IF(H1254&lt;F1254,H1254*(D1254-E1254),0)</f>
        <v>2995.38322552944</v>
      </c>
      <c r="J1254" s="3179" t="n">
        <f aca="false">G1254-I1254</f>
        <v>-2995.38322552944</v>
      </c>
    </row>
    <row r="1255" customFormat="false" ht="15" hidden="false" customHeight="true" outlineLevel="0" collapsed="false">
      <c r="B1255" s="1551" t="str">
        <f aca="false">'Смета Внутр'!B1255</f>
        <v>Доска сырая, 150*50мм</v>
      </c>
      <c r="C1255" s="1551" t="str">
        <f aca="false">'Смета Внутр'!C1255</f>
        <v>м3</v>
      </c>
      <c r="D1255" s="1551" t="n">
        <f aca="false">'Смета Внутр'!D1255</f>
        <v>2.72103693695345</v>
      </c>
      <c r="F1255" s="1551" t="n">
        <f aca="false">'Смета Внутр'!E1255</f>
        <v>6500</v>
      </c>
      <c r="G1255" s="1551" t="n">
        <f aca="false">'Смета Внутр'!H1255</f>
        <v>0</v>
      </c>
      <c r="I1255" s="3179" t="n">
        <f aca="false">IF(F1255&lt;H1255,F1255*(D1255-E1255),0)+IF(H1255=0,(D1255-E1255)*F1255,0)+IF(H1255&lt;F1255,H1255*(D1255-E1255),0)</f>
        <v>17686.7400901975</v>
      </c>
      <c r="J1255" s="3179" t="n">
        <f aca="false">G1255-I1255</f>
        <v>-17686.7400901975</v>
      </c>
    </row>
    <row r="1256" customFormat="false" ht="15" hidden="false" customHeight="true" outlineLevel="0" collapsed="false">
      <c r="B1256" s="1551" t="str">
        <f aca="false">'Смета Внутр'!B1256</f>
        <v>бугель, доска </v>
      </c>
      <c r="C1256" s="1551" t="str">
        <f aca="false">'Смета Внутр'!C1256</f>
        <v>м3</v>
      </c>
      <c r="D1256" s="1551" t="n">
        <f aca="false">'Смета Внутр'!D1256</f>
        <v>0.495</v>
      </c>
      <c r="F1256" s="1551" t="n">
        <f aca="false">'Смета Внутр'!E1256</f>
        <v>6500</v>
      </c>
      <c r="G1256" s="1551" t="n">
        <f aca="false">'Смета Внутр'!H1256</f>
        <v>0</v>
      </c>
      <c r="I1256" s="3179" t="n">
        <f aca="false">IF(F1256&lt;H1256,F1256*(D1256-E1256),0)+IF(H1256=0,(D1256-E1256)*F1256,0)+IF(H1256&lt;F1256,H1256*(D1256-E1256),0)</f>
        <v>3217.5</v>
      </c>
      <c r="J1256" s="3179" t="n">
        <f aca="false">G1256-I1256</f>
        <v>-3217.5</v>
      </c>
    </row>
    <row r="1257" customFormat="false" ht="15" hidden="false" customHeight="true" outlineLevel="0" collapsed="false">
      <c r="B1257" s="1551" t="str">
        <f aca="false">'Смета Внутр'!B1257</f>
        <v>стойка под конек</v>
      </c>
      <c r="C1257" s="1551" t="str">
        <f aca="false">'Смета Внутр'!C1257</f>
        <v>м3</v>
      </c>
      <c r="D1257" s="1551" t="n">
        <f aca="false">'Смета Внутр'!D1257</f>
        <v>0.072</v>
      </c>
      <c r="F1257" s="1551" t="n">
        <f aca="false">'Смета Внутр'!E1257</f>
        <v>6500</v>
      </c>
      <c r="G1257" s="1551" t="n">
        <f aca="false">'Смета Внутр'!H1257</f>
        <v>0</v>
      </c>
      <c r="I1257" s="3179" t="n">
        <f aca="false">IF(F1257&lt;H1257,F1257*(D1257-E1257),0)+IF(H1257=0,(D1257-E1257)*F1257,0)+IF(H1257&lt;F1257,H1257*(D1257-E1257),0)</f>
        <v>468</v>
      </c>
      <c r="J1257" s="3179" t="n">
        <f aca="false">G1257-I1257</f>
        <v>-468</v>
      </c>
    </row>
    <row r="1258" customFormat="false" ht="15" hidden="false" customHeight="true" outlineLevel="0" collapsed="false">
      <c r="B1258" s="1551" t="str">
        <f aca="false">'Смета Внутр'!B1258</f>
        <v>Сосна влаж,100*25мм</v>
      </c>
      <c r="C1258" s="1551" t="str">
        <f aca="false">'Смета Внутр'!C1258</f>
        <v>м3</v>
      </c>
      <c r="D1258" s="1551" t="n">
        <f aca="false">'Смета Внутр'!D1258</f>
        <v>1.24340242764109</v>
      </c>
      <c r="F1258" s="1551" t="n">
        <f aca="false">'Смета Внутр'!E1258</f>
        <v>6500</v>
      </c>
      <c r="G1258" s="1551" t="n">
        <f aca="false">'Смета Внутр'!H1258</f>
        <v>0</v>
      </c>
      <c r="I1258" s="3179" t="n">
        <f aca="false">IF(F1258&lt;H1258,F1258*(D1258-E1258),0)+IF(H1258=0,(D1258-E1258)*F1258,0)+IF(H1258&lt;F1258,H1258*(D1258-E1258),0)</f>
        <v>8082.11577966709</v>
      </c>
      <c r="J1258" s="3179" t="n">
        <f aca="false">G1258-I1258</f>
        <v>-8082.11577966709</v>
      </c>
    </row>
    <row r="1259" customFormat="false" ht="15" hidden="false" customHeight="true" outlineLevel="0" collapsed="false">
      <c r="B1259" s="1551" t="str">
        <f aca="false">'Смета Внутр'!B1259</f>
        <v>Сосна влаж, 50*50мм</v>
      </c>
      <c r="C1259" s="1551" t="str">
        <f aca="false">'Смета Внутр'!C1259</f>
        <v>м3</v>
      </c>
      <c r="D1259" s="1551" t="n">
        <f aca="false">'Смета Внутр'!D1259</f>
        <v>0.956463405877762</v>
      </c>
      <c r="F1259" s="1551" t="n">
        <f aca="false">'Смета Внутр'!E1259</f>
        <v>6500</v>
      </c>
      <c r="G1259" s="1551" t="n">
        <f aca="false">'Смета Внутр'!H1259</f>
        <v>0</v>
      </c>
      <c r="I1259" s="3179" t="n">
        <f aca="false">IF(F1259&lt;H1259,F1259*(D1259-E1259),0)+IF(H1259=0,(D1259-E1259)*F1259,0)+IF(H1259&lt;F1259,H1259*(D1259-E1259),0)</f>
        <v>6217.01213820546</v>
      </c>
      <c r="J1259" s="3179" t="n">
        <f aca="false">G1259-I1259</f>
        <v>-6217.01213820546</v>
      </c>
    </row>
    <row r="1260" customFormat="false" ht="15" hidden="false" customHeight="true" outlineLevel="0" collapsed="false">
      <c r="B1260" s="1551" t="str">
        <f aca="false">'Смета Внутр'!B1260</f>
        <v>Универсальная Optima C</v>
      </c>
      <c r="C1260" s="1551" t="str">
        <f aca="false">'Смета Внутр'!C1260</f>
        <v>м2</v>
      </c>
      <c r="D1260" s="1551" t="n">
        <f aca="false">'Смета Внутр'!D1260</f>
        <v>178.539835763849</v>
      </c>
      <c r="F1260" s="1551" t="n">
        <f aca="false">'Смета Внутр'!E1260</f>
        <v>19</v>
      </c>
      <c r="G1260" s="1551" t="n">
        <f aca="false">'Смета Внутр'!H1260</f>
        <v>0</v>
      </c>
      <c r="I1260" s="3179" t="n">
        <f aca="false">IF(F1260&lt;H1260,F1260*(D1260-E1260),0)+IF(H1260=0,(D1260-E1260)*F1260,0)+IF(H1260&lt;F1260,H1260*(D1260-E1260),0)</f>
        <v>3392.25687951313</v>
      </c>
      <c r="J1260" s="3179" t="n">
        <f aca="false">G1260-I1260</f>
        <v>-3392.25687951313</v>
      </c>
    </row>
    <row r="1261" customFormat="false" ht="15" hidden="false" customHeight="true" outlineLevel="0" collapsed="false">
      <c r="B1261" s="1551" t="str">
        <f aca="false">'Смета Внутр'!B1261</f>
        <v>Универсальная Optima C</v>
      </c>
      <c r="C1261" s="1551" t="str">
        <f aca="false">'Смета Внутр'!C1261</f>
        <v>м2</v>
      </c>
      <c r="D1261" s="1551" t="n">
        <f aca="false">'Смета Внутр'!D1261</f>
        <v>178.539835763849</v>
      </c>
      <c r="F1261" s="1551" t="n">
        <f aca="false">'Смета Внутр'!E1261</f>
        <v>20</v>
      </c>
      <c r="G1261" s="1551" t="n">
        <f aca="false">'Смета Внутр'!H1261</f>
        <v>0</v>
      </c>
      <c r="I1261" s="3179" t="n">
        <f aca="false">IF(F1261&lt;H1261,F1261*(D1261-E1261),0)+IF(H1261=0,(D1261-E1261)*F1261,0)+IF(H1261&lt;F1261,H1261*(D1261-E1261),0)</f>
        <v>3570.79671527698</v>
      </c>
      <c r="J1261" s="3179" t="n">
        <f aca="false">G1261-I1261</f>
        <v>-3570.79671527698</v>
      </c>
    </row>
    <row r="1262" customFormat="false" ht="15" hidden="false" customHeight="true" outlineLevel="0" collapsed="false">
      <c r="B1262" s="1551" t="str">
        <f aca="false">'Смета Внутр'!B1262</f>
        <v>Плитный,28кг/м3, технониколь, 100мм</v>
      </c>
      <c r="C1262" s="1551" t="str">
        <f aca="false">'Смета Внутр'!C1262</f>
        <v>м3</v>
      </c>
      <c r="D1262" s="1551" t="n">
        <f aca="false">'Смета Внутр'!D1262</f>
        <v>12.7528454117035</v>
      </c>
      <c r="F1262" s="1551" t="n">
        <f aca="false">'Смета Внутр'!E1262</f>
        <v>1700</v>
      </c>
      <c r="G1262" s="1551" t="n">
        <f aca="false">'Смета Внутр'!H1262</f>
        <v>0</v>
      </c>
      <c r="I1262" s="3179" t="n">
        <f aca="false">IF(F1262&lt;H1262,F1262*(D1262-E1262),0)+IF(H1262=0,(D1262-E1262)*F1262,0)+IF(H1262&lt;F1262,H1262*(D1262-E1262),0)</f>
        <v>21679.8371998959</v>
      </c>
      <c r="J1262" s="3179" t="n">
        <f aca="false">G1262-I1262</f>
        <v>-21679.8371998959</v>
      </c>
    </row>
    <row r="1263" customFormat="false" ht="15" hidden="false" customHeight="true" outlineLevel="0" collapsed="false">
      <c r="B1263" s="1551" t="str">
        <f aca="false">'Смета Внутр'!B1263</f>
        <v>металлочерепица</v>
      </c>
      <c r="C1263" s="1551" t="str">
        <f aca="false">'Смета Внутр'!C1263</f>
        <v>м2</v>
      </c>
      <c r="D1263" s="1551" t="n">
        <f aca="false">'Смета Внутр'!D1263</f>
        <v>178.539835763849</v>
      </c>
      <c r="F1263" s="1551" t="n">
        <f aca="false">'Смета Внутр'!E1263</f>
        <v>250</v>
      </c>
      <c r="G1263" s="1551" t="n">
        <f aca="false">'Смета Внутр'!H1263</f>
        <v>0</v>
      </c>
      <c r="I1263" s="3179" t="n">
        <f aca="false">IF(F1263&lt;H1263,F1263*(D1263-E1263),0)+IF(H1263=0,(D1263-E1263)*F1263,0)+IF(H1263&lt;F1263,H1263*(D1263-E1263),0)</f>
        <v>44634.9589409622</v>
      </c>
      <c r="J1263" s="3179" t="n">
        <f aca="false">G1263-I1263</f>
        <v>-44634.9589409622</v>
      </c>
    </row>
    <row r="1264" customFormat="false" ht="15" hidden="false" customHeight="true" outlineLevel="0" collapsed="false">
      <c r="B1264" s="1551" t="str">
        <f aca="false">'Смета Внутр'!B1264</f>
        <v>Карнизная планка</v>
      </c>
      <c r="C1264" s="1551" t="str">
        <f aca="false">'Смета Внутр'!C1264</f>
        <v>м.п.</v>
      </c>
      <c r="D1264" s="1551" t="n">
        <f aca="false">'Смета Внутр'!D1264</f>
        <v>50</v>
      </c>
      <c r="F1264" s="1551" t="n">
        <f aca="false">'Смета Внутр'!E1264</f>
        <v>200</v>
      </c>
      <c r="G1264" s="1551" t="n">
        <f aca="false">'Смета Внутр'!H1264</f>
        <v>0</v>
      </c>
      <c r="I1264" s="3179" t="n">
        <f aca="false">IF(F1264&lt;H1264,F1264*(D1264-E1264),0)+IF(H1264=0,(D1264-E1264)*F1264,0)+IF(H1264&lt;F1264,H1264*(D1264-E1264),0)</f>
        <v>10000</v>
      </c>
      <c r="J1264" s="3179" t="n">
        <f aca="false">G1264-I1264</f>
        <v>-10000</v>
      </c>
    </row>
    <row r="1265" customFormat="false" ht="15" hidden="false" customHeight="true" outlineLevel="0" collapsed="false">
      <c r="B1265" s="1551" t="str">
        <f aca="false">'Смета Внутр'!B1265</f>
        <v>Торцевая планка</v>
      </c>
      <c r="C1265" s="1551" t="str">
        <f aca="false">'Смета Внутр'!C1265</f>
        <v>м.п.</v>
      </c>
      <c r="D1265" s="1551" t="n">
        <f aca="false">'Смета Внутр'!D1265</f>
        <v>16.9752761391384</v>
      </c>
      <c r="F1265" s="1551" t="n">
        <f aca="false">'Смета Внутр'!E1265</f>
        <v>200</v>
      </c>
      <c r="G1265" s="1551" t="n">
        <f aca="false">'Смета Внутр'!H1265</f>
        <v>0</v>
      </c>
      <c r="I1265" s="3179" t="n">
        <f aca="false">IF(F1265&lt;H1265,F1265*(D1265-E1265),0)+IF(H1265=0,(D1265-E1265)*F1265,0)+IF(H1265&lt;F1265,H1265*(D1265-E1265),0)</f>
        <v>3395.05522782767</v>
      </c>
      <c r="J1265" s="3179" t="n">
        <f aca="false">G1265-I1265</f>
        <v>-3395.05522782767</v>
      </c>
    </row>
    <row r="1266" customFormat="false" ht="15" hidden="false" customHeight="true" outlineLevel="0" collapsed="false">
      <c r="B1266" s="1551" t="str">
        <f aca="false">'Смета Внутр'!B1266</f>
        <v>Конек</v>
      </c>
      <c r="C1266" s="1551" t="str">
        <f aca="false">'Смета Внутр'!C1266</f>
        <v>м.п.</v>
      </c>
      <c r="D1266" s="1551" t="n">
        <f aca="false">'Смета Внутр'!D1266</f>
        <v>27.5581347885125</v>
      </c>
      <c r="F1266" s="1551" t="n">
        <f aca="false">'Смета Внутр'!E1266</f>
        <v>230</v>
      </c>
      <c r="G1266" s="1551" t="n">
        <f aca="false">'Смета Внутр'!H1266</f>
        <v>0</v>
      </c>
      <c r="I1266" s="3179" t="n">
        <f aca="false">IF(F1266&lt;H1266,F1266*(D1266-E1266),0)+IF(H1266=0,(D1266-E1266)*F1266,0)+IF(H1266&lt;F1266,H1266*(D1266-E1266),0)</f>
        <v>6338.37100135789</v>
      </c>
      <c r="J1266" s="3179" t="n">
        <f aca="false">G1266-I1266</f>
        <v>-6338.37100135789</v>
      </c>
    </row>
    <row r="1267" customFormat="false" ht="15" hidden="false" customHeight="true" outlineLevel="0" collapsed="false">
      <c r="B1267" s="1551" t="str">
        <f aca="false">'Смета Внутр'!B1267</f>
        <v>ондулин</v>
      </c>
      <c r="C1267" s="1551" t="str">
        <f aca="false">'Смета Внутр'!C1267</f>
        <v>м2</v>
      </c>
      <c r="D1267" s="1551" t="n">
        <f aca="false">'Смета Внутр'!D1267</f>
        <v>0</v>
      </c>
      <c r="F1267" s="1551" t="n">
        <f aca="false">'Смета Внутр'!E1267</f>
        <v>180</v>
      </c>
      <c r="G1267" s="1551" t="n">
        <f aca="false">'Смета Внутр'!H1267</f>
        <v>0</v>
      </c>
      <c r="I1267" s="3179" t="n">
        <f aca="false">IF(F1267&lt;H1267,F1267*(D1267-E1267),0)+IF(H1267=0,(D1267-E1267)*F1267,0)+IF(H1267&lt;F1267,H1267*(D1267-E1267),0)</f>
        <v>0</v>
      </c>
      <c r="J1267" s="3179" t="n">
        <f aca="false">G1267-I1267</f>
        <v>0</v>
      </c>
    </row>
    <row r="1268" customFormat="false" ht="15" hidden="false" customHeight="true" outlineLevel="0" collapsed="false">
      <c r="B1268" s="1551" t="str">
        <f aca="false">'Смета Внутр'!B1268</f>
        <v>Карнизная планка</v>
      </c>
      <c r="C1268" s="1551" t="str">
        <f aca="false">'Смета Внутр'!C1268</f>
        <v>м.п.</v>
      </c>
      <c r="D1268" s="1551" t="n">
        <f aca="false">'Смета Внутр'!D1268</f>
        <v>0</v>
      </c>
      <c r="F1268" s="1551" t="n">
        <f aca="false">'Смета Внутр'!E1268</f>
        <v>190</v>
      </c>
      <c r="G1268" s="1551" t="n">
        <f aca="false">'Смета Внутр'!H1268</f>
        <v>0</v>
      </c>
      <c r="I1268" s="3179" t="n">
        <f aca="false">IF(F1268&lt;H1268,F1268*(D1268-E1268),0)+IF(H1268=0,(D1268-E1268)*F1268,0)+IF(H1268&lt;F1268,H1268*(D1268-E1268),0)</f>
        <v>0</v>
      </c>
      <c r="J1268" s="3179" t="n">
        <f aca="false">G1268-I1268</f>
        <v>0</v>
      </c>
    </row>
    <row r="1269" customFormat="false" ht="15" hidden="false" customHeight="true" outlineLevel="0" collapsed="false">
      <c r="B1269" s="1551" t="str">
        <f aca="false">'Смета Внутр'!B1269</f>
        <v>Торцевая планка</v>
      </c>
      <c r="C1269" s="1551" t="str">
        <f aca="false">'Смета Внутр'!C1269</f>
        <v>м.п.</v>
      </c>
      <c r="D1269" s="1551" t="n">
        <f aca="false">'Смета Внутр'!D1269</f>
        <v>0</v>
      </c>
      <c r="F1269" s="1551" t="n">
        <f aca="false">'Смета Внутр'!E1269</f>
        <v>190</v>
      </c>
      <c r="G1269" s="1551" t="n">
        <f aca="false">'Смета Внутр'!H1269</f>
        <v>0</v>
      </c>
      <c r="I1269" s="3179" t="n">
        <f aca="false">IF(F1269&lt;H1269,F1269*(D1269-E1269),0)+IF(H1269=0,(D1269-E1269)*F1269,0)+IF(H1269&lt;F1269,H1269*(D1269-E1269),0)</f>
        <v>0</v>
      </c>
      <c r="J1269" s="3179" t="n">
        <f aca="false">G1269-I1269</f>
        <v>0</v>
      </c>
    </row>
    <row r="1270" customFormat="false" ht="15" hidden="false" customHeight="true" outlineLevel="0" collapsed="false">
      <c r="B1270" s="1551" t="str">
        <f aca="false">'Смета Внутр'!B1270</f>
        <v>Конек</v>
      </c>
      <c r="C1270" s="1551" t="str">
        <f aca="false">'Смета Внутр'!C1270</f>
        <v>м.п.</v>
      </c>
      <c r="D1270" s="1551" t="n">
        <f aca="false">'Смета Внутр'!D1270</f>
        <v>0</v>
      </c>
      <c r="F1270" s="1551" t="n">
        <f aca="false">'Смета Внутр'!E1270</f>
        <v>200</v>
      </c>
      <c r="G1270" s="1551" t="n">
        <f aca="false">'Смета Внутр'!H1270</f>
        <v>0</v>
      </c>
      <c r="I1270" s="3179" t="n">
        <f aca="false">IF(F1270&lt;H1270,F1270*(D1270-E1270),0)+IF(H1270=0,(D1270-E1270)*F1270,0)+IF(H1270&lt;F1270,H1270*(D1270-E1270),0)</f>
        <v>0</v>
      </c>
      <c r="J1270" s="3179" t="n">
        <f aca="false">G1270-I1270</f>
        <v>0</v>
      </c>
    </row>
    <row r="1271" customFormat="false" ht="15" hidden="false" customHeight="true" outlineLevel="0" collapsed="false">
      <c r="B1271" s="1551" t="str">
        <f aca="false">'Смета Внутр'!B1271</f>
        <v>Ендова нижняя</v>
      </c>
      <c r="C1271" s="1551" t="str">
        <f aca="false">'Смета Внутр'!C1271</f>
        <v>м.п.</v>
      </c>
      <c r="D1271" s="1551" t="n">
        <f aca="false">'Смета Внутр'!D1271</f>
        <v>0</v>
      </c>
      <c r="F1271" s="1551" t="n">
        <f aca="false">'Смета Внутр'!E1271</f>
        <v>160</v>
      </c>
      <c r="G1271" s="1551" t="n">
        <f aca="false">'Смета Внутр'!H1271</f>
        <v>0</v>
      </c>
      <c r="I1271" s="3179" t="n">
        <f aca="false">IF(F1271&lt;H1271,F1271*(D1271-E1271),0)+IF(H1271=0,(D1271-E1271)*F1271,0)+IF(H1271&lt;F1271,H1271*(D1271-E1271),0)</f>
        <v>0</v>
      </c>
      <c r="J1271" s="3179" t="n">
        <f aca="false">G1271-I1271</f>
        <v>0</v>
      </c>
    </row>
    <row r="1272" customFormat="false" ht="15" hidden="false" customHeight="true" outlineLevel="0" collapsed="false">
      <c r="B1272" s="1551" t="str">
        <f aca="false">'Смета Внутр'!B1272</f>
        <v>Ендова верхняя</v>
      </c>
      <c r="C1272" s="1551" t="str">
        <f aca="false">'Смета Внутр'!C1272</f>
        <v>м.п.</v>
      </c>
      <c r="D1272" s="1551" t="n">
        <f aca="false">'Смета Внутр'!D1272</f>
        <v>0</v>
      </c>
      <c r="F1272" s="1551" t="n">
        <f aca="false">'Смета Внутр'!E1272</f>
        <v>190</v>
      </c>
      <c r="G1272" s="1551" t="n">
        <f aca="false">'Смета Внутр'!H1272</f>
        <v>0</v>
      </c>
      <c r="I1272" s="3179" t="n">
        <f aca="false">IF(F1272&lt;H1272,F1272*(D1272-E1272),0)+IF(H1272=0,(D1272-E1272)*F1272,0)+IF(H1272&lt;F1272,H1272*(D1272-E1272),0)</f>
        <v>0</v>
      </c>
      <c r="J1272" s="3179" t="n">
        <f aca="false">G1272-I1272</f>
        <v>0</v>
      </c>
    </row>
    <row r="1273" customFormat="false" ht="15" hidden="false" customHeight="true" outlineLevel="0" collapsed="false">
      <c r="B1273" s="1551" t="str">
        <f aca="false">'Смета Внутр'!B1273</f>
        <v>Планка примыкания</v>
      </c>
      <c r="C1273" s="1551" t="str">
        <f aca="false">'Смета Внутр'!C1273</f>
        <v>м.п.</v>
      </c>
      <c r="D1273" s="1551" t="n">
        <f aca="false">'Смета Внутр'!D1273</f>
        <v>0</v>
      </c>
      <c r="F1273" s="1551" t="n">
        <f aca="false">'Смета Внутр'!E1273</f>
        <v>190</v>
      </c>
      <c r="G1273" s="1551" t="n">
        <f aca="false">'Смета Внутр'!H1273</f>
        <v>0</v>
      </c>
      <c r="I1273" s="3179" t="n">
        <f aca="false">IF(F1273&lt;H1273,F1273*(D1273-E1273),0)+IF(H1273=0,(D1273-E1273)*F1273,0)+IF(H1273&lt;F1273,H1273*(D1273-E1273),0)</f>
        <v>0</v>
      </c>
      <c r="J1273" s="3179" t="n">
        <f aca="false">G1273-I1273</f>
        <v>0</v>
      </c>
    </row>
    <row r="1274" customFormat="false" ht="15" hidden="false" customHeight="true" outlineLevel="0" collapsed="false">
      <c r="B1274" s="1551" t="str">
        <f aca="false">'Смета Внутр'!B1274</f>
        <v>Крепеж для ондулина</v>
      </c>
      <c r="C1274" s="1551" t="str">
        <f aca="false">'Смета Внутр'!C1274</f>
        <v>шт</v>
      </c>
      <c r="D1274" s="1551" t="n">
        <f aca="false">'Смета Внутр'!D1274</f>
        <v>0</v>
      </c>
      <c r="F1274" s="1551" t="n">
        <f aca="false">'Смета Внутр'!E1274</f>
        <v>4.5</v>
      </c>
      <c r="G1274" s="1551" t="n">
        <f aca="false">'Смета Внутр'!H1274</f>
        <v>0</v>
      </c>
      <c r="I1274" s="3179" t="n">
        <f aca="false">IF(F1274&lt;H1274,F1274*(D1274-E1274),0)+IF(H1274=0,(D1274-E1274)*F1274,0)+IF(H1274&lt;F1274,H1274*(D1274-E1274),0)</f>
        <v>0</v>
      </c>
      <c r="J1274" s="3179" t="n">
        <f aca="false">G1274-I1274</f>
        <v>0</v>
      </c>
    </row>
    <row r="1275" customFormat="false" ht="15" hidden="false" customHeight="true" outlineLevel="0" collapsed="false">
      <c r="B1275" s="1551" t="str">
        <f aca="false">'Смета Внутр'!B1275</f>
        <v>нет</v>
      </c>
      <c r="C1275" s="1551" t="str">
        <f aca="false">'Смета Внутр'!C1275</f>
        <v>м2</v>
      </c>
      <c r="D1275" s="1551" t="n">
        <f aca="false">'Смета Внутр'!D1275</f>
        <v>146.65772223459</v>
      </c>
      <c r="F1275" s="1551" t="n">
        <f aca="false">'Смета Внутр'!E1275</f>
        <v>0</v>
      </c>
      <c r="G1275" s="1551" t="n">
        <f aca="false">'Смета Внутр'!H1275</f>
        <v>0</v>
      </c>
      <c r="I1275" s="3179" t="n">
        <f aca="false">IF(F1275&lt;H1275,F1275*(D1275-E1275),0)+IF(H1275=0,(D1275-E1275)*F1275,0)+IF(H1275&lt;F1275,H1275*(D1275-E1275),0)</f>
        <v>0</v>
      </c>
      <c r="J1275" s="3179" t="n">
        <f aca="false">G1275-I1275</f>
        <v>0</v>
      </c>
    </row>
    <row r="1276" customFormat="false" ht="15" hidden="false" customHeight="true" outlineLevel="0" collapsed="false">
      <c r="B1276" s="1551" t="str">
        <f aca="false">'Смета Внутр'!B1276</f>
        <v>Рядовая черепица</v>
      </c>
      <c r="C1276" s="1551" t="str">
        <f aca="false">'Смета Внутр'!C1276</f>
        <v>м2</v>
      </c>
      <c r="D1276" s="1551" t="n">
        <f aca="false">'Смета Внутр'!D1276</f>
        <v>0</v>
      </c>
      <c r="F1276" s="1551" t="n">
        <f aca="false">'Смета Внутр'!E1276</f>
        <v>360</v>
      </c>
      <c r="G1276" s="1551" t="n">
        <f aca="false">'Смета Внутр'!H1276</f>
        <v>0</v>
      </c>
      <c r="I1276" s="3179" t="n">
        <f aca="false">IF(F1276&lt;H1276,F1276*(D1276-E1276),0)+IF(H1276=0,(D1276-E1276)*F1276,0)+IF(H1276&lt;F1276,H1276*(D1276-E1276),0)</f>
        <v>0</v>
      </c>
      <c r="J1276" s="3179" t="n">
        <f aca="false">G1276-I1276</f>
        <v>0</v>
      </c>
    </row>
    <row r="1277" customFormat="false" ht="15" hidden="false" customHeight="true" outlineLevel="0" collapsed="false">
      <c r="B1277" s="1551" t="str">
        <f aca="false">'Смета Внутр'!B1277</f>
        <v>Металл оцинк защита (карниз)</v>
      </c>
      <c r="C1277" s="1551" t="str">
        <f aca="false">'Смета Внутр'!C1277</f>
        <v>м.п.</v>
      </c>
      <c r="D1277" s="1551" t="n">
        <f aca="false">'Смета Внутр'!D1277</f>
        <v>0</v>
      </c>
      <c r="F1277" s="1551" t="n">
        <f aca="false">'Смета Внутр'!E1277</f>
        <v>200</v>
      </c>
      <c r="G1277" s="1551" t="n">
        <f aca="false">'Смета Внутр'!H1277</f>
        <v>0</v>
      </c>
      <c r="I1277" s="3179" t="n">
        <f aca="false">IF(F1277&lt;H1277,F1277*(D1277-E1277),0)+IF(H1277=0,(D1277-E1277)*F1277,0)+IF(H1277&lt;F1277,H1277*(D1277-E1277),0)</f>
        <v>0</v>
      </c>
      <c r="J1277" s="3179" t="n">
        <f aca="false">G1277-I1277</f>
        <v>0</v>
      </c>
    </row>
    <row r="1278" customFormat="false" ht="15" hidden="false" customHeight="true" outlineLevel="0" collapsed="false">
      <c r="B1278" s="1551" t="str">
        <f aca="false">'Смета Внутр'!B1278</f>
        <v>Подкладочный ковер</v>
      </c>
      <c r="C1278" s="1551" t="str">
        <f aca="false">'Смета Внутр'!C1278</f>
        <v>м.п.</v>
      </c>
      <c r="D1278" s="1551" t="n">
        <f aca="false">'Смета Внутр'!D1278</f>
        <v>0</v>
      </c>
      <c r="F1278" s="1551" t="n">
        <f aca="false">'Смета Внутр'!E1278</f>
        <v>220</v>
      </c>
      <c r="G1278" s="1551" t="n">
        <f aca="false">'Смета Внутр'!H1278</f>
        <v>0</v>
      </c>
      <c r="I1278" s="3179" t="n">
        <f aca="false">IF(F1278&lt;H1278,F1278*(D1278-E1278),0)+IF(H1278=0,(D1278-E1278)*F1278,0)+IF(H1278&lt;F1278,H1278*(D1278-E1278),0)</f>
        <v>0</v>
      </c>
      <c r="J1278" s="3179" t="n">
        <f aca="false">G1278-I1278</f>
        <v>0</v>
      </c>
    </row>
    <row r="1279" customFormat="false" ht="15" hidden="false" customHeight="true" outlineLevel="0" collapsed="false">
      <c r="B1279" s="1551" t="str">
        <f aca="false">'Смета Внутр'!B1279</f>
        <v>Карнизная самоклеющаяся черепица</v>
      </c>
      <c r="C1279" s="1551" t="str">
        <f aca="false">'Смета Внутр'!C1279</f>
        <v>м.п.</v>
      </c>
      <c r="D1279" s="1551" t="n">
        <f aca="false">'Смета Внутр'!D1279</f>
        <v>0</v>
      </c>
      <c r="F1279" s="1551" t="n">
        <f aca="false">'Смета Внутр'!E1279</f>
        <v>220</v>
      </c>
      <c r="G1279" s="1551" t="n">
        <f aca="false">'Смета Внутр'!H1279</f>
        <v>0</v>
      </c>
      <c r="I1279" s="3179" t="n">
        <f aca="false">IF(F1279&lt;H1279,F1279*(D1279-E1279),0)+IF(H1279=0,(D1279-E1279)*F1279,0)+IF(H1279&lt;F1279,H1279*(D1279-E1279),0)</f>
        <v>0</v>
      </c>
      <c r="J1279" s="3179" t="n">
        <f aca="false">G1279-I1279</f>
        <v>0</v>
      </c>
    </row>
    <row r="1280" customFormat="false" ht="15" hidden="false" customHeight="true" outlineLevel="0" collapsed="false">
      <c r="B1280" s="1551" t="str">
        <f aca="false">'Смета Внутр'!B1280</f>
        <v>Спец ковер ендова нижняя</v>
      </c>
      <c r="C1280" s="1551" t="str">
        <f aca="false">'Смета Внутр'!C1280</f>
        <v>м.п.</v>
      </c>
      <c r="D1280" s="1551" t="n">
        <f aca="false">'Смета Внутр'!D1280</f>
        <v>0</v>
      </c>
      <c r="F1280" s="1551" t="n">
        <f aca="false">'Смета Внутр'!E1280</f>
        <v>200</v>
      </c>
      <c r="G1280" s="1551" t="n">
        <f aca="false">'Смета Внутр'!H1280</f>
        <v>0</v>
      </c>
      <c r="I1280" s="3179" t="n">
        <f aca="false">IF(F1280&lt;H1280,F1280*(D1280-E1280),0)+IF(H1280=0,(D1280-E1280)*F1280,0)+IF(H1280&lt;F1280,H1280*(D1280-E1280),0)</f>
        <v>0</v>
      </c>
      <c r="J1280" s="3179" t="n">
        <f aca="false">G1280-I1280</f>
        <v>0</v>
      </c>
    </row>
    <row r="1281" customFormat="false" ht="15" hidden="false" customHeight="true" outlineLevel="0" collapsed="false">
      <c r="B1281" s="1551" t="str">
        <f aca="false">'Смета Внутр'!B1281</f>
        <v>Коньковой элемент</v>
      </c>
      <c r="C1281" s="1551" t="str">
        <f aca="false">'Смета Внутр'!C1281</f>
        <v>м.п.</v>
      </c>
      <c r="D1281" s="1551" t="n">
        <f aca="false">'Смета Внутр'!D1281</f>
        <v>0</v>
      </c>
      <c r="F1281" s="1551" t="n">
        <f aca="false">'Смета Внутр'!E1281</f>
        <v>250</v>
      </c>
      <c r="G1281" s="1551" t="n">
        <f aca="false">'Смета Внутр'!H1281</f>
        <v>0</v>
      </c>
      <c r="I1281" s="3179" t="n">
        <f aca="false">IF(F1281&lt;H1281,F1281*(D1281-E1281),0)+IF(H1281=0,(D1281-E1281)*F1281,0)+IF(H1281&lt;F1281,H1281*(D1281-E1281),0)</f>
        <v>0</v>
      </c>
      <c r="J1281" s="3179" t="n">
        <f aca="false">G1281-I1281</f>
        <v>0</v>
      </c>
    </row>
    <row r="1282" customFormat="false" ht="15" hidden="false" customHeight="true" outlineLevel="0" collapsed="false">
      <c r="B1282" s="1551" t="str">
        <f aca="false">'Смета Внутр'!B1282</f>
        <v>Планка премыкания</v>
      </c>
      <c r="C1282" s="1551" t="str">
        <f aca="false">'Смета Внутр'!C1282</f>
        <v>м.п.</v>
      </c>
      <c r="D1282" s="1551" t="n">
        <f aca="false">'Смета Внутр'!D1282</f>
        <v>0</v>
      </c>
      <c r="F1282" s="1551" t="n">
        <f aca="false">'Смета Внутр'!E1282</f>
        <v>200</v>
      </c>
      <c r="G1282" s="1551" t="n">
        <f aca="false">'Смета Внутр'!H1282</f>
        <v>0</v>
      </c>
      <c r="I1282" s="3179" t="n">
        <f aca="false">IF(F1282&lt;H1282,F1282*(D1282-E1282),0)+IF(H1282=0,(D1282-E1282)*F1282,0)+IF(H1282&lt;F1282,H1282*(D1282-E1282),0)</f>
        <v>0</v>
      </c>
      <c r="J1282" s="3179" t="n">
        <f aca="false">G1282-I1282</f>
        <v>0</v>
      </c>
    </row>
    <row r="1283" customFormat="false" ht="15" hidden="false" customHeight="true" outlineLevel="0" collapsed="false">
      <c r="B1283" s="1551" t="str">
        <f aca="false">'Смета Внутр'!B1283</f>
        <v>Гвозди для крепления подкладочного ковра</v>
      </c>
      <c r="C1283" s="1551" t="str">
        <f aca="false">'Смета Внутр'!C1283</f>
        <v>шт</v>
      </c>
      <c r="D1283" s="1551" t="n">
        <f aca="false">'Смета Внутр'!D1283</f>
        <v>0</v>
      </c>
      <c r="F1283" s="1551" t="n">
        <f aca="false">'Смета Внутр'!E1283</f>
        <v>0.012</v>
      </c>
      <c r="G1283" s="1551" t="n">
        <f aca="false">'Смета Внутр'!H1283</f>
        <v>0</v>
      </c>
      <c r="I1283" s="3179" t="n">
        <f aca="false">IF(F1283&lt;H1283,F1283*(D1283-E1283),0)+IF(H1283=0,(D1283-E1283)*F1283,0)+IF(H1283&lt;F1283,H1283*(D1283-E1283),0)</f>
        <v>0</v>
      </c>
      <c r="J1283" s="3179" t="n">
        <f aca="false">G1283-I1283</f>
        <v>0</v>
      </c>
    </row>
    <row r="1284" customFormat="false" ht="15" hidden="false" customHeight="true" outlineLevel="0" collapsed="false">
      <c r="B1284" s="1551" t="str">
        <f aca="false">'Смета Внутр'!B1284</f>
        <v>Гвозди для крепления черепицы</v>
      </c>
      <c r="C1284" s="1551" t="str">
        <f aca="false">'Смета Внутр'!C1284</f>
        <v>шт</v>
      </c>
      <c r="D1284" s="1551" t="n">
        <f aca="false">'Смета Внутр'!D1284</f>
        <v>0</v>
      </c>
      <c r="F1284" s="1551" t="n">
        <f aca="false">'Смета Внутр'!E1284</f>
        <v>0.25</v>
      </c>
      <c r="G1284" s="1551" t="n">
        <f aca="false">'Смета Внутр'!H1284</f>
        <v>0</v>
      </c>
      <c r="I1284" s="3179" t="n">
        <f aca="false">IF(F1284&lt;H1284,F1284*(D1284-E1284),0)+IF(H1284=0,(D1284-E1284)*F1284,0)+IF(H1284&lt;F1284,H1284*(D1284-E1284),0)</f>
        <v>0</v>
      </c>
      <c r="J1284" s="3179" t="n">
        <f aca="false">G1284-I1284</f>
        <v>0</v>
      </c>
    </row>
    <row r="1285" customFormat="false" ht="15" hidden="false" customHeight="true" outlineLevel="0" collapsed="false">
      <c r="B1285" s="1551" t="str">
        <f aca="false">'Смета Внутр'!B1285</f>
        <v>Клей для монтажа черепицы</v>
      </c>
      <c r="C1285" s="1551" t="str">
        <f aca="false">'Смета Внутр'!C1285</f>
        <v>кг</v>
      </c>
      <c r="D1285" s="1551" t="n">
        <f aca="false">'Смета Внутр'!D1285</f>
        <v>0</v>
      </c>
      <c r="F1285" s="1551" t="n">
        <f aca="false">'Смета Внутр'!E1285</f>
        <v>250</v>
      </c>
      <c r="G1285" s="1551" t="n">
        <f aca="false">'Смета Внутр'!H1285</f>
        <v>0</v>
      </c>
      <c r="I1285" s="3179" t="n">
        <f aca="false">IF(F1285&lt;H1285,F1285*(D1285-E1285),0)+IF(H1285=0,(D1285-E1285)*F1285,0)+IF(H1285&lt;F1285,H1285*(D1285-E1285),0)</f>
        <v>0</v>
      </c>
      <c r="J1285" s="3179" t="n">
        <f aca="false">G1285-I1285</f>
        <v>0</v>
      </c>
    </row>
    <row r="1286" customFormat="false" ht="15" hidden="false" customHeight="true" outlineLevel="0" collapsed="false">
      <c r="B1286" s="1551" t="str">
        <f aca="false">'Смета Внутр'!B1286</f>
        <v>желоб</v>
      </c>
      <c r="C1286" s="1551" t="str">
        <f aca="false">'Смета Внутр'!C1286</f>
        <v>м.п</v>
      </c>
      <c r="D1286" s="1551" t="n">
        <f aca="false">'Смета Внутр'!D1286</f>
        <v>41.6666666666667</v>
      </c>
      <c r="F1286" s="1551" t="n">
        <f aca="false">'Смета Внутр'!E1286</f>
        <v>300</v>
      </c>
      <c r="G1286" s="1551" t="n">
        <f aca="false">'Смета Внутр'!H1286</f>
        <v>0</v>
      </c>
      <c r="I1286" s="3179" t="n">
        <f aca="false">IF(F1286&lt;H1286,F1286*(D1286-E1286),0)+IF(H1286=0,(D1286-E1286)*F1286,0)+IF(H1286&lt;F1286,H1286*(D1286-E1286),0)</f>
        <v>12500</v>
      </c>
      <c r="J1286" s="3179" t="n">
        <f aca="false">G1286-I1286</f>
        <v>-12500</v>
      </c>
    </row>
    <row r="1287" customFormat="false" ht="15" hidden="false" customHeight="true" outlineLevel="0" collapsed="false">
      <c r="B1287" s="1551" t="str">
        <f aca="false">'Смета Внутр'!B1287</f>
        <v>отвод</v>
      </c>
      <c r="C1287" s="1551" t="str">
        <f aca="false">'Смета Внутр'!C1287</f>
        <v>шт</v>
      </c>
      <c r="D1287" s="1551" t="n">
        <f aca="false">'Смета Внутр'!D1287</f>
        <v>4</v>
      </c>
      <c r="F1287" s="1551" t="n">
        <f aca="false">'Смета Внутр'!E1287</f>
        <v>250</v>
      </c>
      <c r="G1287" s="1551" t="n">
        <f aca="false">'Смета Внутр'!H1287</f>
        <v>0</v>
      </c>
      <c r="I1287" s="3179" t="n">
        <f aca="false">IF(F1287&lt;H1287,F1287*(D1287-E1287),0)+IF(H1287=0,(D1287-E1287)*F1287,0)+IF(H1287&lt;F1287,H1287*(D1287-E1287),0)</f>
        <v>1000</v>
      </c>
      <c r="J1287" s="3179" t="n">
        <f aca="false">G1287-I1287</f>
        <v>-1000</v>
      </c>
    </row>
    <row r="1288" customFormat="false" ht="15" hidden="false" customHeight="true" outlineLevel="0" collapsed="false">
      <c r="B1288" s="1551" t="str">
        <f aca="false">'Смета Внутр'!B1288</f>
        <v>труба водосточная</v>
      </c>
      <c r="C1288" s="1551" t="str">
        <f aca="false">'Смета Внутр'!C1288</f>
        <v>м.п.</v>
      </c>
      <c r="D1288" s="1551" t="n">
        <f aca="false">'Смета Внутр'!D1288</f>
        <v>50</v>
      </c>
      <c r="F1288" s="1551" t="n">
        <f aca="false">'Смета Внутр'!E1288</f>
        <v>300</v>
      </c>
      <c r="G1288" s="1551" t="n">
        <f aca="false">'Смета Внутр'!H1288</f>
        <v>0</v>
      </c>
      <c r="I1288" s="3179" t="n">
        <f aca="false">IF(F1288&lt;H1288,F1288*(D1288-E1288),0)+IF(H1288=0,(D1288-E1288)*F1288,0)+IF(H1288&lt;F1288,H1288*(D1288-E1288),0)</f>
        <v>15000</v>
      </c>
      <c r="J1288" s="3179" t="n">
        <f aca="false">G1288-I1288</f>
        <v>-15000</v>
      </c>
    </row>
    <row r="1289" customFormat="false" ht="15" hidden="false" customHeight="true" outlineLevel="0" collapsed="false">
      <c r="B1289" s="1551" t="str">
        <f aca="false">'Смета Внутр'!B1289</f>
        <v>заглушка для желоба</v>
      </c>
      <c r="C1289" s="1551" t="str">
        <f aca="false">'Смета Внутр'!C1289</f>
        <v>шт</v>
      </c>
      <c r="D1289" s="1551" t="n">
        <f aca="false">'Смета Внутр'!D1289</f>
        <v>4</v>
      </c>
      <c r="F1289" s="1551" t="n">
        <f aca="false">'Смета Внутр'!E1289</f>
        <v>190</v>
      </c>
      <c r="G1289" s="1551" t="n">
        <f aca="false">'Смета Внутр'!H1289</f>
        <v>0</v>
      </c>
      <c r="I1289" s="3179" t="n">
        <f aca="false">IF(F1289&lt;H1289,F1289*(D1289-E1289),0)+IF(H1289=0,(D1289-E1289)*F1289,0)+IF(H1289&lt;F1289,H1289*(D1289-E1289),0)</f>
        <v>760</v>
      </c>
      <c r="J1289" s="3179" t="n">
        <f aca="false">G1289-I1289</f>
        <v>-760</v>
      </c>
    </row>
    <row r="1290" customFormat="false" ht="15" hidden="false" customHeight="true" outlineLevel="0" collapsed="false">
      <c r="B1290" s="1551" t="str">
        <f aca="false">'Смета Внутр'!B1290</f>
        <v>соеденитель для желоба</v>
      </c>
      <c r="C1290" s="1551" t="str">
        <f aca="false">'Смета Внутр'!C1290</f>
        <v>шт</v>
      </c>
      <c r="D1290" s="1551" t="n">
        <f aca="false">'Смета Внутр'!D1290</f>
        <v>14.8888888888889</v>
      </c>
      <c r="F1290" s="1551" t="n">
        <f aca="false">'Смета Внутр'!E1290</f>
        <v>180</v>
      </c>
      <c r="G1290" s="1551" t="n">
        <f aca="false">'Смета Внутр'!H1290</f>
        <v>0</v>
      </c>
      <c r="I1290" s="3179" t="n">
        <f aca="false">IF(F1290&lt;H1290,F1290*(D1290-E1290),0)+IF(H1290=0,(D1290-E1290)*F1290,0)+IF(H1290&lt;F1290,H1290*(D1290-E1290),0)</f>
        <v>2680</v>
      </c>
      <c r="J1290" s="3179" t="n">
        <f aca="false">G1290-I1290</f>
        <v>-2680</v>
      </c>
    </row>
    <row r="1291" customFormat="false" ht="15" hidden="false" customHeight="true" outlineLevel="0" collapsed="false">
      <c r="B1291" s="1551" t="str">
        <f aca="false">'Смета Внутр'!B1291</f>
        <v>кронштейн для желоба</v>
      </c>
      <c r="C1291" s="1551" t="str">
        <f aca="false">'Смета Внутр'!C1291</f>
        <v>шт</v>
      </c>
      <c r="D1291" s="1551" t="n">
        <f aca="false">'Смета Внутр'!D1291</f>
        <v>104.166666666667</v>
      </c>
      <c r="F1291" s="1551" t="n">
        <f aca="false">'Смета Внутр'!E1291</f>
        <v>130</v>
      </c>
      <c r="G1291" s="1551" t="n">
        <f aca="false">'Смета Внутр'!H1291</f>
        <v>0</v>
      </c>
      <c r="I1291" s="3179" t="n">
        <f aca="false">IF(F1291&lt;H1291,F1291*(D1291-E1291),0)+IF(H1291=0,(D1291-E1291)*F1291,0)+IF(H1291&lt;F1291,H1291*(D1291-E1291),0)</f>
        <v>13541.6666666667</v>
      </c>
      <c r="J1291" s="3179" t="n">
        <f aca="false">G1291-I1291</f>
        <v>-13541.6666666667</v>
      </c>
    </row>
    <row r="1292" customFormat="false" ht="15" hidden="false" customHeight="true" outlineLevel="0" collapsed="false">
      <c r="B1292" s="1551" t="str">
        <f aca="false">'Смета Внутр'!B1292</f>
        <v>переход из желоба в трубу</v>
      </c>
      <c r="C1292" s="1551" t="str">
        <f aca="false">'Смета Внутр'!C1292</f>
        <v>шт</v>
      </c>
      <c r="D1292" s="1551" t="n">
        <f aca="false">'Смета Внутр'!D1292</f>
        <v>4</v>
      </c>
      <c r="F1292" s="1551" t="n">
        <f aca="false">'Смета Внутр'!E1292</f>
        <v>350</v>
      </c>
      <c r="G1292" s="1551" t="n">
        <f aca="false">'Смета Внутр'!H1292</f>
        <v>0</v>
      </c>
      <c r="I1292" s="3179" t="n">
        <f aca="false">IF(F1292&lt;H1292,F1292*(D1292-E1292),0)+IF(H1292=0,(D1292-E1292)*F1292,0)+IF(H1292&lt;F1292,H1292*(D1292-E1292),0)</f>
        <v>1400</v>
      </c>
      <c r="J1292" s="3179" t="n">
        <f aca="false">G1292-I1292</f>
        <v>-1400</v>
      </c>
    </row>
    <row r="1293" customFormat="false" ht="15" hidden="false" customHeight="true" outlineLevel="0" collapsed="false">
      <c r="B1293" s="1551" t="str">
        <f aca="false">'Смета Внутр'!B1293</f>
        <v>лента дельта мульти бэнд</v>
      </c>
      <c r="C1293" s="1551" t="str">
        <f aca="false">'Смета Внутр'!C1293</f>
        <v>шт</v>
      </c>
      <c r="D1293" s="1551" t="n">
        <f aca="false">'Смета Внутр'!D1293</f>
        <v>1</v>
      </c>
      <c r="F1293" s="1551" t="n">
        <f aca="false">'Смета Внутр'!E1293</f>
        <v>1200</v>
      </c>
      <c r="G1293" s="1551" t="n">
        <f aca="false">'Смета Внутр'!H1293</f>
        <v>0</v>
      </c>
      <c r="I1293" s="3179" t="n">
        <f aca="false">IF(F1293&lt;H1293,F1293*(D1293-E1293),0)+IF(H1293=0,(D1293-E1293)*F1293,0)+IF(H1293&lt;F1293,H1293*(D1293-E1293),0)</f>
        <v>1200</v>
      </c>
      <c r="J1293" s="3179" t="n">
        <f aca="false">G1293-I1293</f>
        <v>-1200</v>
      </c>
    </row>
    <row r="1294" customFormat="false" ht="15" hidden="false" customHeight="true" outlineLevel="0" collapsed="false">
      <c r="B1294" s="1551" t="str">
        <f aca="false">'Смета Внутр'!B1294</f>
        <v>лента дельта sb-60</v>
      </c>
      <c r="C1294" s="1551" t="str">
        <f aca="false">'Смета Внутр'!C1294</f>
        <v>шт</v>
      </c>
      <c r="D1294" s="1551" t="n">
        <f aca="false">'Смета Внутр'!D1294</f>
        <v>8.50189694113567</v>
      </c>
      <c r="F1294" s="1551" t="n">
        <f aca="false">'Смета Внутр'!E1294</f>
        <v>1100</v>
      </c>
      <c r="G1294" s="1551" t="n">
        <f aca="false">'Смета Внутр'!H1294</f>
        <v>0</v>
      </c>
      <c r="I1294" s="3179" t="n">
        <f aca="false">IF(F1294&lt;H1294,F1294*(D1294-E1294),0)+IF(H1294=0,(D1294-E1294)*F1294,0)+IF(H1294&lt;F1294,H1294*(D1294-E1294),0)</f>
        <v>9352.08663524923</v>
      </c>
      <c r="J1294" s="3179" t="n">
        <f aca="false">G1294-I1294</f>
        <v>-9352.08663524923</v>
      </c>
    </row>
    <row r="1295" customFormat="false" ht="15" hidden="false" customHeight="true" outlineLevel="0" collapsed="false">
      <c r="B1295" s="1551" t="str">
        <f aca="false">'Смета Внутр'!B1295</f>
        <v>проходка кровельная, канализационная</v>
      </c>
      <c r="C1295" s="1551" t="str">
        <f aca="false">'Смета Внутр'!C1295</f>
        <v>шт</v>
      </c>
      <c r="D1295" s="1551" t="n">
        <f aca="false">'Смета Внутр'!D1295</f>
        <v>0</v>
      </c>
      <c r="F1295" s="1551" t="n">
        <f aca="false">'Смета Внутр'!E1295</f>
        <v>3500</v>
      </c>
      <c r="G1295" s="1551" t="n">
        <f aca="false">'Смета Внутр'!H1295</f>
        <v>0</v>
      </c>
      <c r="I1295" s="3179" t="n">
        <f aca="false">IF(F1295&lt;H1295,F1295*(D1295-E1295),0)+IF(H1295=0,(D1295-E1295)*F1295,0)+IF(H1295&lt;F1295,H1295*(D1295-E1295),0)</f>
        <v>0</v>
      </c>
      <c r="J1295" s="3179" t="n">
        <f aca="false">G1295-I1295</f>
        <v>0</v>
      </c>
    </row>
    <row r="1296" customFormat="false" ht="15" hidden="false" customHeight="true" outlineLevel="0" collapsed="false">
      <c r="B1296" s="1551" t="str">
        <f aca="false">'Смета Внутр'!B1296</f>
        <v>проходка кровельная, вентиляционная</v>
      </c>
      <c r="C1296" s="1551" t="str">
        <f aca="false">'Смета Внутр'!C1296</f>
        <v>шт</v>
      </c>
      <c r="D1296" s="1551" t="n">
        <f aca="false">'Смета Внутр'!D1296</f>
        <v>0</v>
      </c>
      <c r="F1296" s="1551" t="n">
        <f aca="false">'Смета Внутр'!E1296</f>
        <v>3500</v>
      </c>
      <c r="G1296" s="1551" t="n">
        <f aca="false">'Смета Внутр'!H1296</f>
        <v>0</v>
      </c>
      <c r="I1296" s="3179" t="n">
        <f aca="false">IF(F1296&lt;H1296,F1296*(D1296-E1296),0)+IF(H1296=0,(D1296-E1296)*F1296,0)+IF(H1296&lt;F1296,H1296*(D1296-E1296),0)</f>
        <v>0</v>
      </c>
      <c r="J1296" s="3179" t="n">
        <f aca="false">G1296-I1296</f>
        <v>0</v>
      </c>
    </row>
    <row r="1297" customFormat="false" ht="15" hidden="false" customHeight="true" outlineLevel="0" collapsed="false">
      <c r="B1297" s="1551" t="str">
        <f aca="false">'Смета Внутр'!B1297</f>
        <v>проодка кровельная, труба котел</v>
      </c>
      <c r="C1297" s="1551" t="str">
        <f aca="false">'Смета Внутр'!C1297</f>
        <v>шт</v>
      </c>
      <c r="D1297" s="1551" t="n">
        <f aca="false">'Смета Внутр'!D1297</f>
        <v>0</v>
      </c>
      <c r="F1297" s="1551" t="n">
        <f aca="false">'Смета Внутр'!E1297</f>
        <v>4500</v>
      </c>
      <c r="G1297" s="1551" t="n">
        <f aca="false">'Смета Внутр'!H1297</f>
        <v>0</v>
      </c>
      <c r="I1297" s="3179" t="n">
        <f aca="false">IF(F1297&lt;H1297,F1297*(D1297-E1297),0)+IF(H1297=0,(D1297-E1297)*F1297,0)+IF(H1297&lt;F1297,H1297*(D1297-E1297),0)</f>
        <v>0</v>
      </c>
      <c r="J1297" s="3179" t="n">
        <f aca="false">G1297-I1297</f>
        <v>0</v>
      </c>
    </row>
    <row r="1298" customFormat="false" ht="15" hidden="false" customHeight="true" outlineLevel="0" collapsed="false">
      <c r="B1298" s="1551" t="str">
        <f aca="false">'Смета Внутр'!B1298</f>
        <v>Кровельный саморез</v>
      </c>
      <c r="C1298" s="1551" t="str">
        <f aca="false">'Смета Внутр'!C1298</f>
        <v>шт</v>
      </c>
      <c r="D1298" s="1551" t="n">
        <f aca="false">'Смета Внутр'!D1298</f>
        <v>1530.34144940442</v>
      </c>
      <c r="F1298" s="1551" t="n">
        <f aca="false">'Смета Внутр'!E1298</f>
        <v>2</v>
      </c>
      <c r="G1298" s="1551" t="n">
        <f aca="false">'Смета Внутр'!H1298</f>
        <v>0</v>
      </c>
      <c r="I1298" s="3179" t="n">
        <f aca="false">IF(F1298&lt;H1298,F1298*(D1298-E1298),0)+IF(H1298=0,(D1298-E1298)*F1298,0)+IF(H1298&lt;F1298,H1298*(D1298-E1298),0)</f>
        <v>3060.68289880884</v>
      </c>
      <c r="J1298" s="3179" t="n">
        <f aca="false">G1298-I1298</f>
        <v>-3060.68289880884</v>
      </c>
    </row>
    <row r="1299" customFormat="false" ht="15" hidden="false" customHeight="true" outlineLevel="0" collapsed="false">
      <c r="B1299" s="1551" t="str">
        <f aca="false">'Смета Внутр'!B1299</f>
        <v>Гвозди ершоные 3,4 x 60            </v>
      </c>
      <c r="C1299" s="1551" t="str">
        <f aca="false">'Смета Внутр'!C1299</f>
        <v>кг</v>
      </c>
      <c r="D1299" s="1551" t="n">
        <f aca="false">'Смета Внутр'!D1299</f>
        <v>12.4340242764109</v>
      </c>
      <c r="F1299" s="1551" t="n">
        <f aca="false">'Смета Внутр'!E1299</f>
        <v>75.51</v>
      </c>
      <c r="G1299" s="1551" t="n">
        <f aca="false">'Смета Внутр'!H1299</f>
        <v>0</v>
      </c>
      <c r="I1299" s="3179" t="n">
        <f aca="false">IF(F1299&lt;H1299,F1299*(D1299-E1299),0)+IF(H1299=0,(D1299-E1299)*F1299,0)+IF(H1299&lt;F1299,H1299*(D1299-E1299),0)</f>
        <v>938.893173111788</v>
      </c>
      <c r="J1299" s="3179" t="n">
        <f aca="false">G1299-I1299</f>
        <v>-938.893173111788</v>
      </c>
    </row>
    <row r="1300" customFormat="false" ht="15" hidden="false" customHeight="true" outlineLevel="0" collapsed="false">
      <c r="B1300" s="1551" t="str">
        <f aca="false">'Смета Внутр'!B1300</f>
        <v>Гвозди ершоные 2,8 х 90            </v>
      </c>
      <c r="C1300" s="1551" t="str">
        <f aca="false">'Смета Внутр'!C1300</f>
        <v>кг</v>
      </c>
      <c r="D1300" s="1551" t="n">
        <f aca="false">'Смета Внутр'!D1300</f>
        <v>19.7282216217207</v>
      </c>
      <c r="F1300" s="1551" t="n">
        <f aca="false">'Смета Внутр'!E1300</f>
        <v>76.49</v>
      </c>
      <c r="G1300" s="1551" t="n">
        <f aca="false">'Смета Внутр'!H1300</f>
        <v>0</v>
      </c>
      <c r="I1300" s="3179" t="n">
        <f aca="false">IF(F1300&lt;H1300,F1300*(D1300-E1300),0)+IF(H1300=0,(D1300-E1300)*F1300,0)+IF(H1300&lt;F1300,H1300*(D1300-E1300),0)</f>
        <v>1509.01167184542</v>
      </c>
      <c r="J1300" s="3179" t="n">
        <f aca="false">G1300-I1300</f>
        <v>-1509.01167184542</v>
      </c>
    </row>
    <row r="1301" customFormat="false" ht="15" hidden="false" customHeight="true" outlineLevel="0" collapsed="false">
      <c r="B1301" s="1551" t="str">
        <f aca="false">'Смета Внутр'!B1301</f>
        <v>Пластина соеденительная 100х240х2           </v>
      </c>
      <c r="C1301" s="1551" t="str">
        <f aca="false">'Смета Внутр'!C1301</f>
        <v>шт</v>
      </c>
      <c r="D1301" s="1551" t="n">
        <f aca="false">'Смета Внутр'!D1301</f>
        <v>18.2183505881479</v>
      </c>
      <c r="F1301" s="1551" t="n">
        <f aca="false">'Смета Внутр'!E1301</f>
        <v>31.54</v>
      </c>
      <c r="G1301" s="1551" t="n">
        <f aca="false">'Смета Внутр'!H1301</f>
        <v>0</v>
      </c>
      <c r="I1301" s="3179" t="n">
        <f aca="false">IF(F1301&lt;H1301,F1301*(D1301-E1301),0)+IF(H1301=0,(D1301-E1301)*F1301,0)+IF(H1301&lt;F1301,H1301*(D1301-E1301),0)</f>
        <v>574.606777550183</v>
      </c>
      <c r="J1301" s="3179" t="n">
        <f aca="false">G1301-I1301</f>
        <v>-574.606777550183</v>
      </c>
    </row>
    <row r="1302" customFormat="false" ht="15" hidden="false" customHeight="true" outlineLevel="0" collapsed="false">
      <c r="B1302" s="1551" t="str">
        <f aca="false">'Смета Внутр'!B1302</f>
        <v>Уголок усиленный 90х70х55х2,5        </v>
      </c>
      <c r="C1302" s="1551" t="str">
        <f aca="false">'Смета Внутр'!C1302</f>
        <v>шт</v>
      </c>
      <c r="D1302" s="1551" t="n">
        <f aca="false">'Смета Внутр'!D1302</f>
        <v>255.05690823407</v>
      </c>
      <c r="F1302" s="1551" t="n">
        <f aca="false">'Смета Внутр'!E1302</f>
        <v>30</v>
      </c>
      <c r="G1302" s="1551" t="n">
        <f aca="false">'Смета Внутр'!H1302</f>
        <v>0</v>
      </c>
      <c r="I1302" s="3179" t="n">
        <f aca="false">IF(F1302&lt;H1302,F1302*(D1302-E1302),0)+IF(H1302=0,(D1302-E1302)*F1302,0)+IF(H1302&lt;F1302,H1302*(D1302-E1302),0)</f>
        <v>7651.7072470221</v>
      </c>
      <c r="J1302" s="3179" t="n">
        <f aca="false">G1302-I1302</f>
        <v>-7651.7072470221</v>
      </c>
    </row>
    <row r="1303" customFormat="false" ht="15" hidden="false" customHeight="true" outlineLevel="0" collapsed="false">
      <c r="B1303" s="1692" t="s">
        <v>4332</v>
      </c>
      <c r="C1303" s="1692"/>
      <c r="D1303" s="1692"/>
      <c r="E1303" s="1692"/>
      <c r="F1303" s="1692"/>
      <c r="G1303" s="1551" t="n">
        <f aca="false">'Смета Внутр'!H1303</f>
        <v>0</v>
      </c>
      <c r="H1303" s="3184"/>
      <c r="I1303" s="3179" t="n">
        <f aca="false">IF(F1303&lt;H1303,F1303*(D1303-E1303),0)+IF(H1303=0,(D1303-E1303)*F1303,0)+IF(H1303&lt;F1303,H1303*(D1303-E1303),0)</f>
        <v>0</v>
      </c>
      <c r="J1303" s="3179" t="n">
        <f aca="false">G1303-I1303</f>
        <v>0</v>
      </c>
    </row>
    <row r="1304" customFormat="false" ht="15" hidden="false" customHeight="true" outlineLevel="0" collapsed="false">
      <c r="B1304" s="1268" t="str">
        <f aca="false">'Смета Внутр'!B1304</f>
        <v>Работы</v>
      </c>
      <c r="C1304" s="1268"/>
      <c r="D1304" s="1268"/>
      <c r="E1304" s="1268"/>
      <c r="F1304" s="1268"/>
      <c r="G1304" s="1551" t="n">
        <f aca="false">'Смета Внутр'!H1304</f>
        <v>0</v>
      </c>
      <c r="H1304" s="3175"/>
      <c r="I1304" s="3179" t="n">
        <f aca="false">IF(F1304&lt;H1304,F1304*(D1304-E1304),0)+IF(H1304=0,(D1304-E1304)*F1304,0)+IF(H1304&lt;F1304,H1304*(D1304-E1304),0)</f>
        <v>0</v>
      </c>
      <c r="J1304" s="3179" t="n">
        <f aca="false">G1304-I1304</f>
        <v>0</v>
      </c>
    </row>
    <row r="1305" customFormat="false" ht="15" hidden="false" customHeight="true" outlineLevel="0" collapsed="false">
      <c r="B1305" s="1551" t="str">
        <f aca="false">'Смета Внутр'!B1305</f>
        <v>монтаж мауэрлат</v>
      </c>
      <c r="C1305" s="1551" t="str">
        <f aca="false">'Смета Внутр'!C1305</f>
        <v>м.п.</v>
      </c>
      <c r="D1305" s="1551" t="n">
        <f aca="false">'Смета Внутр'!D1305</f>
        <v>110.5307463295</v>
      </c>
      <c r="F1305" s="1551" t="n">
        <f aca="false">'Смета Внутр'!E1305</f>
        <v>250</v>
      </c>
      <c r="G1305" s="1551" t="n">
        <f aca="false">'Смета Внутр'!H1305</f>
        <v>0</v>
      </c>
      <c r="I1305" s="3179" t="n">
        <f aca="false">IF(F1305&lt;H1305,F1305*(D1305-E1305),0)+IF(H1305=0,(D1305-E1305)*F1305,0)+IF(H1305&lt;F1305,H1305*(D1305-E1305),0)</f>
        <v>27632.6865823749</v>
      </c>
      <c r="J1305" s="3179" t="n">
        <f aca="false">G1305-I1305</f>
        <v>-27632.6865823749</v>
      </c>
    </row>
    <row r="1306" customFormat="false" ht="15" hidden="false" customHeight="true" outlineLevel="0" collapsed="false">
      <c r="B1306" s="1551" t="str">
        <f aca="false">'Смета Внутр'!B1306</f>
        <v>монтаж стропил</v>
      </c>
      <c r="C1306" s="1551" t="str">
        <f aca="false">'Смета Внутр'!C1306</f>
        <v>м2</v>
      </c>
      <c r="D1306" s="1551" t="n">
        <f aca="false">'Смета Внутр'!D1306</f>
        <v>127.528454117035</v>
      </c>
      <c r="F1306" s="1551" t="n">
        <f aca="false">'Смета Внутр'!E1306</f>
        <v>450</v>
      </c>
      <c r="G1306" s="1551" t="n">
        <f aca="false">'Смета Внутр'!H1306</f>
        <v>0</v>
      </c>
      <c r="I1306" s="3179" t="n">
        <f aca="false">IF(F1306&lt;H1306,F1306*(D1306-E1306),0)+IF(H1306=0,(D1306-E1306)*F1306,0)+IF(H1306&lt;F1306,H1306*(D1306-E1306),0)</f>
        <v>57387.8043526657</v>
      </c>
      <c r="J1306" s="3179" t="n">
        <f aca="false">G1306-I1306</f>
        <v>-57387.8043526657</v>
      </c>
    </row>
    <row r="1307" customFormat="false" ht="15" hidden="false" customHeight="true" outlineLevel="0" collapsed="false">
      <c r="B1307" s="1551" t="str">
        <f aca="false">'Смета Внутр'!B1307</f>
        <v>обрешетка</v>
      </c>
      <c r="C1307" s="1551" t="str">
        <f aca="false">'Смета Внутр'!C1307</f>
        <v>м2</v>
      </c>
      <c r="D1307" s="1551" t="n">
        <f aca="false">'Смета Внутр'!D1307</f>
        <v>127.528454117035</v>
      </c>
      <c r="F1307" s="1551" t="n">
        <f aca="false">'Смета Внутр'!E1307</f>
        <v>100</v>
      </c>
      <c r="G1307" s="1551" t="n">
        <f aca="false">'Смета Внутр'!H1307</f>
        <v>0</v>
      </c>
      <c r="I1307" s="3179" t="n">
        <f aca="false">IF(F1307&lt;H1307,F1307*(D1307-E1307),0)+IF(H1307=0,(D1307-E1307)*F1307,0)+IF(H1307&lt;F1307,H1307*(D1307-E1307),0)</f>
        <v>12752.8454117035</v>
      </c>
      <c r="J1307" s="3179" t="n">
        <f aca="false">G1307-I1307</f>
        <v>-12752.8454117035</v>
      </c>
    </row>
    <row r="1308" customFormat="false" ht="15" hidden="false" customHeight="true" outlineLevel="0" collapsed="false">
      <c r="B1308" s="1551" t="str">
        <f aca="false">'Смета Внутр'!B1308</f>
        <v>контробеш</v>
      </c>
      <c r="C1308" s="1551" t="str">
        <f aca="false">'Смета Внутр'!C1308</f>
        <v>м2</v>
      </c>
      <c r="D1308" s="1551" t="n">
        <f aca="false">'Смета Внутр'!D1308</f>
        <v>127.528454117035</v>
      </c>
      <c r="F1308" s="1551" t="n">
        <f aca="false">'Смета Внутр'!E1308</f>
        <v>100</v>
      </c>
      <c r="G1308" s="1551" t="n">
        <f aca="false">'Смета Внутр'!H1308</f>
        <v>0</v>
      </c>
      <c r="I1308" s="3179" t="n">
        <f aca="false">IF(F1308&lt;H1308,F1308*(D1308-E1308),0)+IF(H1308=0,(D1308-E1308)*F1308,0)+IF(H1308&lt;F1308,H1308*(D1308-E1308),0)</f>
        <v>12752.8454117035</v>
      </c>
      <c r="J1308" s="3179" t="n">
        <f aca="false">G1308-I1308</f>
        <v>-12752.8454117035</v>
      </c>
    </row>
    <row r="1309" customFormat="false" ht="15" hidden="false" customHeight="true" outlineLevel="0" collapsed="false">
      <c r="B1309" s="1551" t="str">
        <f aca="false">'Смета Внутр'!B1309</f>
        <v>мембрана</v>
      </c>
      <c r="C1309" s="1551" t="str">
        <f aca="false">'Смета Внутр'!C1309</f>
        <v>м2</v>
      </c>
      <c r="D1309" s="1551" t="n">
        <f aca="false">'Смета Внутр'!D1309</f>
        <v>127.528454117035</v>
      </c>
      <c r="F1309" s="1551" t="n">
        <f aca="false">'Смета Внутр'!E1309</f>
        <v>100</v>
      </c>
      <c r="G1309" s="1551" t="n">
        <f aca="false">'Смета Внутр'!H1309</f>
        <v>0</v>
      </c>
      <c r="I1309" s="3179" t="n">
        <f aca="false">IF(F1309&lt;H1309,F1309*(D1309-E1309),0)+IF(H1309=0,(D1309-E1309)*F1309,0)+IF(H1309&lt;F1309,H1309*(D1309-E1309),0)</f>
        <v>12752.8454117035</v>
      </c>
      <c r="J1309" s="3179" t="n">
        <f aca="false">G1309-I1309</f>
        <v>-12752.8454117035</v>
      </c>
    </row>
    <row r="1310" customFormat="false" ht="15" hidden="false" customHeight="true" outlineLevel="0" collapsed="false">
      <c r="B1310" s="1551" t="str">
        <f aca="false">'Смета Внутр'!B1310</f>
        <v>пароизоляц</v>
      </c>
      <c r="C1310" s="1551" t="str">
        <f aca="false">'Смета Внутр'!C1310</f>
        <v>м2</v>
      </c>
      <c r="D1310" s="1551" t="n">
        <f aca="false">'Смета Внутр'!D1310</f>
        <v>127.528454117035</v>
      </c>
      <c r="F1310" s="1551" t="n">
        <f aca="false">'Смета Внутр'!E1310</f>
        <v>100</v>
      </c>
      <c r="G1310" s="1551" t="n">
        <f aca="false">'Смета Внутр'!H1310</f>
        <v>0</v>
      </c>
      <c r="I1310" s="3179" t="n">
        <f aca="false">IF(F1310&lt;H1310,F1310*(D1310-E1310),0)+IF(H1310=0,(D1310-E1310)*F1310,0)+IF(H1310&lt;F1310,H1310*(D1310-E1310),0)</f>
        <v>12752.8454117035</v>
      </c>
      <c r="J1310" s="3179" t="n">
        <f aca="false">G1310-I1310</f>
        <v>-12752.8454117035</v>
      </c>
    </row>
    <row r="1311" customFormat="false" ht="15" hidden="false" customHeight="true" outlineLevel="0" collapsed="false">
      <c r="B1311" s="1551" t="str">
        <f aca="false">'Смета Внутр'!B1311</f>
        <v>утеплитель</v>
      </c>
      <c r="C1311" s="1551" t="str">
        <f aca="false">'Смета Внутр'!C1311</f>
        <v>м2</v>
      </c>
      <c r="D1311" s="1551" t="n">
        <f aca="false">'Смета Внутр'!D1311</f>
        <v>127.528454117035</v>
      </c>
      <c r="F1311" s="1551" t="n">
        <f aca="false">'Смета Внутр'!E1311</f>
        <v>200</v>
      </c>
      <c r="G1311" s="1551" t="n">
        <f aca="false">'Смета Внутр'!H1311</f>
        <v>0</v>
      </c>
      <c r="I1311" s="3179" t="n">
        <f aca="false">IF(F1311&lt;H1311,F1311*(D1311-E1311),0)+IF(H1311=0,(D1311-E1311)*F1311,0)+IF(H1311&lt;F1311,H1311*(D1311-E1311),0)</f>
        <v>25505.690823407</v>
      </c>
      <c r="J1311" s="3179" t="n">
        <f aca="false">G1311-I1311</f>
        <v>-25505.690823407</v>
      </c>
    </row>
    <row r="1312" customFormat="false" ht="15" hidden="false" customHeight="true" outlineLevel="0" collapsed="false">
      <c r="B1312" s="1551" t="str">
        <f aca="false">'Смета Внутр'!B1312</f>
        <v>Монтаж металлочерепицы</v>
      </c>
      <c r="C1312" s="1551" t="str">
        <f aca="false">'Смета Внутр'!C1312</f>
        <v>м2</v>
      </c>
      <c r="D1312" s="1551" t="n">
        <f aca="false">'Смета Внутр'!D1312</f>
        <v>127.528454117035</v>
      </c>
      <c r="F1312" s="1551" t="n">
        <f aca="false">'Смета Внутр'!E1312</f>
        <v>300</v>
      </c>
      <c r="G1312" s="1551" t="n">
        <f aca="false">'Смета Внутр'!H1312</f>
        <v>0</v>
      </c>
      <c r="I1312" s="3179" t="n">
        <f aca="false">IF(F1312&lt;H1312,F1312*(D1312-E1312),0)+IF(H1312=0,(D1312-E1312)*F1312,0)+IF(H1312&lt;F1312,H1312*(D1312-E1312),0)</f>
        <v>38258.5362351105</v>
      </c>
      <c r="J1312" s="3179" t="n">
        <f aca="false">G1312-I1312</f>
        <v>-38258.5362351105</v>
      </c>
    </row>
    <row r="1313" customFormat="false" ht="15" hidden="false" customHeight="true" outlineLevel="0" collapsed="false">
      <c r="B1313" s="1551" t="str">
        <f aca="false">'Смета Внутр'!B1313</f>
        <v>ендова верхняя планка</v>
      </c>
      <c r="C1313" s="1551" t="str">
        <f aca="false">'Смета Внутр'!C1313</f>
        <v>м.п.</v>
      </c>
      <c r="D1313" s="1551" t="n">
        <f aca="false">'Смета Внутр'!D1313</f>
        <v>0</v>
      </c>
      <c r="F1313" s="1551" t="n">
        <f aca="false">'Смета Внутр'!E1313</f>
        <v>100</v>
      </c>
      <c r="G1313" s="1551" t="n">
        <f aca="false">'Смета Внутр'!H1313</f>
        <v>0</v>
      </c>
      <c r="I1313" s="3179" t="n">
        <f aca="false">IF(F1313&lt;H1313,F1313*(D1313-E1313),0)+IF(H1313=0,(D1313-E1313)*F1313,0)+IF(H1313&lt;F1313,H1313*(D1313-E1313),0)</f>
        <v>0</v>
      </c>
      <c r="J1313" s="3179" t="n">
        <f aca="false">G1313-I1313</f>
        <v>0</v>
      </c>
    </row>
    <row r="1314" customFormat="false" ht="15" hidden="false" customHeight="true" outlineLevel="0" collapsed="false">
      <c r="B1314" s="1551" t="str">
        <f aca="false">'Смета Внутр'!B1314</f>
        <v>капельник планка</v>
      </c>
      <c r="C1314" s="1551" t="str">
        <f aca="false">'Смета Внутр'!C1314</f>
        <v>м.п.</v>
      </c>
      <c r="D1314" s="1551" t="n">
        <f aca="false">'Смета Внутр'!D1314</f>
        <v>50</v>
      </c>
      <c r="F1314" s="1551" t="n">
        <f aca="false">'Смета Внутр'!E1314</f>
        <v>100</v>
      </c>
      <c r="G1314" s="1551" t="n">
        <f aca="false">'Смета Внутр'!H1314</f>
        <v>0</v>
      </c>
      <c r="I1314" s="3179" t="n">
        <f aca="false">IF(F1314&lt;H1314,F1314*(D1314-E1314),0)+IF(H1314=0,(D1314-E1314)*F1314,0)+IF(H1314&lt;F1314,H1314*(D1314-E1314),0)</f>
        <v>5000</v>
      </c>
      <c r="J1314" s="3179" t="n">
        <f aca="false">G1314-I1314</f>
        <v>-5000</v>
      </c>
    </row>
    <row r="1315" customFormat="false" ht="15" hidden="false" customHeight="true" outlineLevel="0" collapsed="false">
      <c r="B1315" s="1551" t="str">
        <f aca="false">'Смета Внутр'!B1315</f>
        <v>желоб водосточный</v>
      </c>
      <c r="C1315" s="1551" t="str">
        <f aca="false">'Смета Внутр'!C1315</f>
        <v>м.п.</v>
      </c>
      <c r="D1315" s="1551" t="n">
        <f aca="false">'Смета Внутр'!D1315</f>
        <v>41.6666666666667</v>
      </c>
      <c r="F1315" s="1551" t="n">
        <f aca="false">'Смета Внутр'!E1315</f>
        <v>300</v>
      </c>
      <c r="G1315" s="1551" t="n">
        <f aca="false">'Смета Внутр'!H1315</f>
        <v>0</v>
      </c>
      <c r="I1315" s="3179" t="n">
        <f aca="false">IF(F1315&lt;H1315,F1315*(D1315-E1315),0)+IF(H1315=0,(D1315-E1315)*F1315,0)+IF(H1315&lt;F1315,H1315*(D1315-E1315),0)</f>
        <v>12500</v>
      </c>
      <c r="J1315" s="3179" t="n">
        <f aca="false">G1315-I1315</f>
        <v>-12500</v>
      </c>
    </row>
    <row r="1316" customFormat="false" ht="15" hidden="false" customHeight="true" outlineLevel="0" collapsed="false">
      <c r="B1316" s="1551" t="str">
        <f aca="false">'Смета Внутр'!B1316</f>
        <v>труба водосточная</v>
      </c>
      <c r="C1316" s="1551" t="str">
        <f aca="false">'Смета Внутр'!C1316</f>
        <v>м.п.</v>
      </c>
      <c r="D1316" s="1551" t="n">
        <f aca="false">'Смета Внутр'!D1316</f>
        <v>50</v>
      </c>
      <c r="F1316" s="1551" t="n">
        <f aca="false">'Смета Внутр'!E1316</f>
        <v>300</v>
      </c>
      <c r="G1316" s="1551" t="n">
        <f aca="false">'Смета Внутр'!H1316</f>
        <v>0</v>
      </c>
      <c r="I1316" s="3179" t="n">
        <f aca="false">IF(F1316&lt;H1316,F1316*(D1316-E1316),0)+IF(H1316=0,(D1316-E1316)*F1316,0)+IF(H1316&lt;F1316,H1316*(D1316-E1316),0)</f>
        <v>15000</v>
      </c>
      <c r="J1316" s="3179" t="n">
        <f aca="false">G1316-I1316</f>
        <v>-15000</v>
      </c>
    </row>
    <row r="1317" customFormat="false" ht="15" hidden="false" customHeight="true" outlineLevel="0" collapsed="false">
      <c r="B1317" s="1551" t="str">
        <f aca="false">'Смета Внутр'!B1317</f>
        <v>карнизная планка</v>
      </c>
      <c r="C1317" s="1551" t="str">
        <f aca="false">'Смета Внутр'!C1317</f>
        <v>м.п.</v>
      </c>
      <c r="D1317" s="1551" t="n">
        <f aca="false">'Смета Внутр'!D1317</f>
        <v>16.9752761391384</v>
      </c>
      <c r="F1317" s="1551" t="n">
        <f aca="false">'Смета Внутр'!E1317</f>
        <v>300</v>
      </c>
      <c r="G1317" s="1551" t="n">
        <f aca="false">'Смета Внутр'!H1317</f>
        <v>0</v>
      </c>
      <c r="I1317" s="3179" t="n">
        <f aca="false">IF(F1317&lt;H1317,F1317*(D1317-E1317),0)+IF(H1317=0,(D1317-E1317)*F1317,0)+IF(H1317&lt;F1317,H1317*(D1317-E1317),0)</f>
        <v>5092.58284174151</v>
      </c>
      <c r="J1317" s="3179" t="n">
        <f aca="false">G1317-I1317</f>
        <v>-5092.58284174151</v>
      </c>
    </row>
    <row r="1318" customFormat="false" ht="15" hidden="false" customHeight="true" outlineLevel="0" collapsed="false">
      <c r="B1318" s="1551" t="str">
        <f aca="false">'Смета Внутр'!B1318</f>
        <v>конек</v>
      </c>
      <c r="C1318" s="1551" t="str">
        <f aca="false">'Смета Внутр'!C1318</f>
        <v>м.п.</v>
      </c>
      <c r="D1318" s="1551" t="n">
        <f aca="false">'Смета Внутр'!D1318</f>
        <v>6</v>
      </c>
      <c r="F1318" s="1551" t="n">
        <f aca="false">'Смета Внутр'!E1318</f>
        <v>300</v>
      </c>
      <c r="G1318" s="1551" t="n">
        <f aca="false">'Смета Внутр'!H1318</f>
        <v>0</v>
      </c>
      <c r="I1318" s="3179" t="n">
        <f aca="false">IF(F1318&lt;H1318,F1318*(D1318-E1318),0)+IF(H1318=0,(D1318-E1318)*F1318,0)+IF(H1318&lt;F1318,H1318*(D1318-E1318),0)</f>
        <v>1800</v>
      </c>
      <c r="J1318" s="3179" t="n">
        <f aca="false">G1318-I1318</f>
        <v>-1800</v>
      </c>
    </row>
    <row r="1319" customFormat="false" ht="15" hidden="false" customHeight="true" outlineLevel="0" collapsed="false">
      <c r="B1319" s="1551" t="str">
        <f aca="false">'Смета Внутр'!B1319</f>
        <v>Монтаж ондулина</v>
      </c>
      <c r="C1319" s="1551" t="str">
        <f aca="false">'Смета Внутр'!C1319</f>
        <v>м2</v>
      </c>
      <c r="D1319" s="1551" t="n">
        <f aca="false">'Смета Внутр'!D1319</f>
        <v>0</v>
      </c>
      <c r="F1319" s="1551" t="n">
        <f aca="false">'Смета Внутр'!E1319</f>
        <v>300</v>
      </c>
      <c r="G1319" s="1551" t="n">
        <f aca="false">'Смета Внутр'!H1319</f>
        <v>0</v>
      </c>
      <c r="I1319" s="3179" t="n">
        <f aca="false">IF(F1319&lt;H1319,F1319*(D1319-E1319),0)+IF(H1319=0,(D1319-E1319)*F1319,0)+IF(H1319&lt;F1319,H1319*(D1319-E1319),0)</f>
        <v>0</v>
      </c>
      <c r="J1319" s="3179" t="n">
        <f aca="false">G1319-I1319</f>
        <v>0</v>
      </c>
    </row>
    <row r="1320" customFormat="false" ht="15" hidden="false" customHeight="true" outlineLevel="0" collapsed="false">
      <c r="B1320" s="1551" t="str">
        <f aca="false">'Смета Внутр'!B1320</f>
        <v>Монтаж фанеры/osb</v>
      </c>
      <c r="C1320" s="1551" t="str">
        <f aca="false">'Смета Внутр'!C1320</f>
        <v>м2</v>
      </c>
      <c r="D1320" s="1551" t="n">
        <f aca="false">'Смета Внутр'!D1320</f>
        <v>0</v>
      </c>
      <c r="F1320" s="1551" t="n">
        <f aca="false">'Смета Внутр'!E1320</f>
        <v>200</v>
      </c>
      <c r="G1320" s="1551" t="n">
        <f aca="false">'Смета Внутр'!H1320</f>
        <v>0</v>
      </c>
      <c r="I1320" s="3179" t="n">
        <f aca="false">IF(F1320&lt;H1320,F1320*(D1320-E1320),0)+IF(H1320=0,(D1320-E1320)*F1320,0)+IF(H1320&lt;F1320,H1320*(D1320-E1320),0)</f>
        <v>0</v>
      </c>
      <c r="J1320" s="3179" t="n">
        <f aca="false">G1320-I1320</f>
        <v>0</v>
      </c>
    </row>
    <row r="1321" customFormat="false" ht="15" hidden="false" customHeight="true" outlineLevel="0" collapsed="false">
      <c r="B1321" s="1551" t="str">
        <f aca="false">'Смета Внутр'!B1321</f>
        <v>монтаж подкладочного ковра</v>
      </c>
      <c r="C1321" s="1551" t="str">
        <f aca="false">'Смета Внутр'!C1321</f>
        <v>м2</v>
      </c>
      <c r="D1321" s="1551" t="n">
        <f aca="false">'Смета Внутр'!D1321</f>
        <v>0</v>
      </c>
      <c r="F1321" s="1551" t="n">
        <f aca="false">'Смета Внутр'!E1321</f>
        <v>150</v>
      </c>
      <c r="G1321" s="1551" t="n">
        <f aca="false">'Смета Внутр'!H1321</f>
        <v>0</v>
      </c>
      <c r="I1321" s="3179" t="n">
        <f aca="false">IF(F1321&lt;H1321,F1321*(D1321-E1321),0)+IF(H1321=0,(D1321-E1321)*F1321,0)+IF(H1321&lt;F1321,H1321*(D1321-E1321),0)</f>
        <v>0</v>
      </c>
      <c r="J1321" s="3179" t="n">
        <f aca="false">G1321-I1321</f>
        <v>0</v>
      </c>
    </row>
    <row r="1322" customFormat="false" ht="15" hidden="false" customHeight="true" outlineLevel="0" collapsed="false">
      <c r="B1322" s="1551" t="str">
        <f aca="false">'Смета Внутр'!B1322</f>
        <v>Монтаж мягкой кровли</v>
      </c>
      <c r="C1322" s="1551" t="str">
        <f aca="false">'Смета Внутр'!C1322</f>
        <v>м2</v>
      </c>
      <c r="D1322" s="1551" t="n">
        <f aca="false">'Смета Внутр'!D1322</f>
        <v>0</v>
      </c>
      <c r="F1322" s="1551" t="n">
        <f aca="false">'Смета Внутр'!E1322</f>
        <v>350</v>
      </c>
      <c r="G1322" s="1551" t="n">
        <f aca="false">'Смета Внутр'!H1322</f>
        <v>0</v>
      </c>
      <c r="I1322" s="3179" t="n">
        <f aca="false">IF(F1322&lt;H1322,F1322*(D1322-E1322),0)+IF(H1322=0,(D1322-E1322)*F1322,0)+IF(H1322&lt;F1322,H1322*(D1322-E1322),0)</f>
        <v>0</v>
      </c>
      <c r="J1322" s="3179" t="n">
        <f aca="false">G1322-I1322</f>
        <v>0</v>
      </c>
    </row>
    <row r="1323" customFormat="false" ht="15" hidden="false" customHeight="false" outlineLevel="0" collapsed="false">
      <c r="B1323" s="1692" t="s">
        <v>4333</v>
      </c>
      <c r="C1323" s="1692"/>
      <c r="D1323" s="1692"/>
      <c r="E1323" s="1692"/>
      <c r="F1323" s="1692"/>
      <c r="G1323" s="1551" t="n">
        <f aca="false">'Смета Внутр'!H1323</f>
        <v>0</v>
      </c>
      <c r="H1323" s="1584"/>
      <c r="I1323" s="3179" t="n">
        <f aca="false">IF(F1323&lt;H1323,F1323*(D1323-E1323),0)+IF(H1323=0,(D1323-E1323)*F1323,0)+IF(H1323&lt;F1323,H1323*(D1323-E1323),0)</f>
        <v>0</v>
      </c>
      <c r="J1323" s="3179" t="n">
        <f aca="false">G1323-I1323</f>
        <v>0</v>
      </c>
    </row>
    <row r="1324" customFormat="false" ht="15" hidden="false" customHeight="true" outlineLevel="0" collapsed="false">
      <c r="B1324" s="1551" t="str">
        <f aca="false">'Смета Внутр'!B1324</f>
        <v>Элементы на кровле</v>
      </c>
      <c r="C1324" s="1551" t="n">
        <f aca="false">'Смета Внутр'!C1324</f>
        <v>0</v>
      </c>
      <c r="D1324" s="1551" t="n">
        <f aca="false">'Смета Внутр'!D1324</f>
        <v>0</v>
      </c>
      <c r="F1324" s="1551" t="n">
        <f aca="false">'Смета Внутр'!E1324</f>
        <v>0</v>
      </c>
      <c r="G1324" s="1551" t="n">
        <f aca="false">'Смета Внутр'!H1324</f>
        <v>0</v>
      </c>
      <c r="I1324" s="3179" t="n">
        <f aca="false">IF(F1324&lt;H1324,F1324*(D1324-E1324),0)+IF(H1324=0,(D1324-E1324)*F1324,0)+IF(H1324&lt;F1324,H1324*(D1324-E1324),0)</f>
        <v>0</v>
      </c>
      <c r="J1324" s="3179" t="n">
        <f aca="false">G1324-I1324</f>
        <v>0</v>
      </c>
    </row>
    <row r="1325" customFormat="false" ht="15" hidden="false" customHeight="true" outlineLevel="0" collapsed="false">
      <c r="B1325" s="1268" t="str">
        <f aca="false">'Смета Внутр'!B1325</f>
        <v>Материалы</v>
      </c>
      <c r="C1325" s="1268"/>
      <c r="D1325" s="1268"/>
      <c r="E1325" s="1268"/>
      <c r="F1325" s="1268"/>
      <c r="G1325" s="1551" t="n">
        <f aca="false">'Смета Внутр'!H1325</f>
        <v>0</v>
      </c>
      <c r="H1325" s="3175"/>
      <c r="I1325" s="3179" t="n">
        <f aca="false">IF(F1325&lt;H1325,F1325*(D1325-E1325),0)+IF(H1325=0,(D1325-E1325)*F1325,0)+IF(H1325&lt;F1325,H1325*(D1325-E1325),0)</f>
        <v>0</v>
      </c>
      <c r="J1325" s="3179" t="n">
        <f aca="false">G1325-I1325</f>
        <v>0</v>
      </c>
    </row>
    <row r="1326" customFormat="false" ht="15" hidden="false" customHeight="true" outlineLevel="0" collapsed="false">
      <c r="B1326" s="1551" t="str">
        <f aca="false">'Смета Внутр'!B1326</f>
        <v>Доска сухая, 200*50мм</v>
      </c>
      <c r="C1326" s="1551" t="str">
        <f aca="false">'Смета Внутр'!C1326</f>
        <v>м3</v>
      </c>
      <c r="D1326" s="1551" t="n">
        <f aca="false">'Смета Внутр'!D1326</f>
        <v>1.22337146290992</v>
      </c>
      <c r="F1326" s="1551" t="n">
        <f aca="false">'Смета Внутр'!E1326</f>
        <v>9000</v>
      </c>
      <c r="G1326" s="1551" t="n">
        <f aca="false">'Смета Внутр'!H1326</f>
        <v>0</v>
      </c>
      <c r="I1326" s="3179" t="n">
        <f aca="false">IF(F1326&lt;H1326,F1326*(D1326-E1326),0)+IF(H1326=0,(D1326-E1326)*F1326,0)+IF(H1326&lt;F1326,H1326*(D1326-E1326),0)</f>
        <v>11010.3431661892</v>
      </c>
      <c r="J1326" s="3179" t="n">
        <f aca="false">G1326-I1326</f>
        <v>-11010.3431661892</v>
      </c>
    </row>
    <row r="1327" customFormat="false" ht="15" hidden="false" customHeight="true" outlineLevel="0" collapsed="false">
      <c r="B1327" s="1551" t="str">
        <f aca="false">'Смета Внутр'!B1327</f>
        <v>бугель, доска </v>
      </c>
      <c r="C1327" s="1551" t="str">
        <f aca="false">'Смета Внутр'!C1327</f>
        <v>м3</v>
      </c>
      <c r="D1327" s="1551" t="n">
        <f aca="false">'Смета Внутр'!D1327</f>
        <v>0.297</v>
      </c>
      <c r="F1327" s="1551" t="n">
        <f aca="false">'Смета Внутр'!E1327</f>
        <v>9000</v>
      </c>
      <c r="G1327" s="1551" t="n">
        <f aca="false">'Смета Внутр'!H1327</f>
        <v>0</v>
      </c>
      <c r="I1327" s="3179" t="n">
        <f aca="false">IF(F1327&lt;H1327,F1327*(D1327-E1327),0)+IF(H1327=0,(D1327-E1327)*F1327,0)+IF(H1327&lt;F1327,H1327*(D1327-E1327),0)</f>
        <v>2673</v>
      </c>
      <c r="J1327" s="3179" t="n">
        <f aca="false">G1327-I1327</f>
        <v>-2673</v>
      </c>
    </row>
    <row r="1328" customFormat="false" ht="15" hidden="false" customHeight="true" outlineLevel="0" collapsed="false">
      <c r="B1328" s="1551" t="str">
        <f aca="false">'Смета Внутр'!B1328</f>
        <v>стойка под конек</v>
      </c>
      <c r="C1328" s="1551" t="str">
        <f aca="false">'Смета Внутр'!C1328</f>
        <v>м3</v>
      </c>
      <c r="D1328" s="1551" t="n">
        <f aca="false">'Смета Внутр'!D1328</f>
        <v>0.421770876399966</v>
      </c>
      <c r="F1328" s="1551" t="n">
        <f aca="false">'Смета Внутр'!E1328</f>
        <v>9000</v>
      </c>
      <c r="G1328" s="1551" t="n">
        <f aca="false">'Смета Внутр'!H1328</f>
        <v>0</v>
      </c>
      <c r="I1328" s="3179" t="n">
        <f aca="false">IF(F1328&lt;H1328,F1328*(D1328-E1328),0)+IF(H1328=0,(D1328-E1328)*F1328,0)+IF(H1328&lt;F1328,H1328*(D1328-E1328),0)</f>
        <v>3795.9378875997</v>
      </c>
      <c r="J1328" s="3179" t="n">
        <f aca="false">G1328-I1328</f>
        <v>-3795.9378875997</v>
      </c>
    </row>
    <row r="1329" customFormat="false" ht="15" hidden="false" customHeight="true" outlineLevel="0" collapsed="false">
      <c r="B1329" s="1551" t="str">
        <f aca="false">'Смета Внутр'!B1329</f>
        <v>Сосна влаж,100*25мм</v>
      </c>
      <c r="C1329" s="1551" t="str">
        <f aca="false">'Смета Внутр'!C1329</f>
        <v>м3</v>
      </c>
      <c r="D1329" s="1551" t="n">
        <f aca="false">'Смета Внутр'!D1329</f>
        <v>0.50612505167996</v>
      </c>
      <c r="F1329" s="1551" t="n">
        <f aca="false">'Смета Внутр'!E1329</f>
        <v>6500</v>
      </c>
      <c r="G1329" s="1551" t="n">
        <f aca="false">'Смета Внутр'!H1329</f>
        <v>0</v>
      </c>
      <c r="I1329" s="3179" t="n">
        <f aca="false">IF(F1329&lt;H1329,F1329*(D1329-E1329),0)+IF(H1329=0,(D1329-E1329)*F1329,0)+IF(H1329&lt;F1329,H1329*(D1329-E1329),0)</f>
        <v>3289.81283591974</v>
      </c>
      <c r="J1329" s="3179" t="n">
        <f aca="false">G1329-I1329</f>
        <v>-3289.81283591974</v>
      </c>
    </row>
    <row r="1330" customFormat="false" ht="15" hidden="false" customHeight="true" outlineLevel="0" collapsed="false">
      <c r="B1330" s="1551" t="str">
        <f aca="false">'Смета Внутр'!B1330</f>
        <v>Доска сухая, калибр., 35*45мм</v>
      </c>
      <c r="C1330" s="1551" t="str">
        <f aca="false">'Смета Внутр'!C1330</f>
        <v>шт</v>
      </c>
      <c r="D1330" s="1551" t="n">
        <f aca="false">'Смета Внутр'!D1330</f>
        <v>0.116250597807741</v>
      </c>
      <c r="F1330" s="1551" t="n">
        <f aca="false">'Смета Внутр'!E1330</f>
        <v>12500</v>
      </c>
      <c r="G1330" s="1551" t="n">
        <f aca="false">'Смета Внутр'!H1330</f>
        <v>0</v>
      </c>
      <c r="I1330" s="3179" t="n">
        <f aca="false">IF(F1330&lt;H1330,F1330*(D1330-E1330),0)+IF(H1330=0,(D1330-E1330)*F1330,0)+IF(H1330&lt;F1330,H1330*(D1330-E1330),0)</f>
        <v>1453.13247259676</v>
      </c>
      <c r="J1330" s="3179" t="n">
        <f aca="false">G1330-I1330</f>
        <v>-1453.13247259676</v>
      </c>
    </row>
    <row r="1331" customFormat="false" ht="15" hidden="false" customHeight="true" outlineLevel="0" collapsed="false">
      <c r="B1331" s="1551" t="str">
        <f aca="false">'Смета Внутр'!B1331</f>
        <v>нет ветроизоляции</v>
      </c>
      <c r="C1331" s="1551" t="str">
        <f aca="false">'Смета Внутр'!C1331</f>
        <v>м2</v>
      </c>
      <c r="D1331" s="1551" t="n">
        <f aca="false">'Смета Внутр'!D1331</f>
        <v>24.0409399547981</v>
      </c>
      <c r="F1331" s="1551" t="n">
        <f aca="false">'Смета Внутр'!E1331</f>
        <v>0</v>
      </c>
      <c r="G1331" s="1551" t="n">
        <f aca="false">'Смета Внутр'!H1331</f>
        <v>0</v>
      </c>
      <c r="I1331" s="3179" t="n">
        <f aca="false">IF(F1331&lt;H1331,F1331*(D1331-E1331),0)+IF(H1331=0,(D1331-E1331)*F1331,0)+IF(H1331&lt;F1331,H1331*(D1331-E1331),0)</f>
        <v>0</v>
      </c>
      <c r="J1331" s="3179" t="n">
        <f aca="false">G1331-I1331</f>
        <v>0</v>
      </c>
    </row>
    <row r="1332" customFormat="false" ht="15" hidden="false" customHeight="true" outlineLevel="0" collapsed="false">
      <c r="B1332" s="1551" t="str">
        <f aca="false">'Смета Внутр'!B1332</f>
        <v>нет пароизоляции</v>
      </c>
      <c r="C1332" s="1551" t="str">
        <f aca="false">'Смета Внутр'!C1332</f>
        <v>м2</v>
      </c>
      <c r="D1332" s="1551" t="n">
        <f aca="false">'Смета Внутр'!D1332</f>
        <v>22.0375282918982</v>
      </c>
      <c r="F1332" s="1551" t="n">
        <f aca="false">'Смета Внутр'!E1332</f>
        <v>0</v>
      </c>
      <c r="G1332" s="1551" t="n">
        <f aca="false">'Смета Внутр'!H1332</f>
        <v>0</v>
      </c>
      <c r="I1332" s="3179" t="n">
        <f aca="false">IF(F1332&lt;H1332,F1332*(D1332-E1332),0)+IF(H1332=0,(D1332-E1332)*F1332,0)+IF(H1332&lt;F1332,H1332*(D1332-E1332),0)</f>
        <v>0</v>
      </c>
      <c r="J1332" s="3179" t="n">
        <f aca="false">G1332-I1332</f>
        <v>0</v>
      </c>
    </row>
    <row r="1333" customFormat="false" ht="15" hidden="false" customHeight="true" outlineLevel="0" collapsed="false">
      <c r="B1333" s="1551" t="str">
        <f aca="false">'Смета Внутр'!B1333</f>
        <v>Плитный,28кг/м3, технониколь, 100мм</v>
      </c>
      <c r="C1333" s="1551" t="str">
        <f aca="false">'Смета Внутр'!C1333</f>
        <v>м3</v>
      </c>
      <c r="D1333" s="1551" t="n">
        <f aca="false">'Смета Внутр'!D1333</f>
        <v>2.00341166289984</v>
      </c>
      <c r="F1333" s="1551" t="n">
        <f aca="false">'Смета Внутр'!E1333</f>
        <v>1700</v>
      </c>
      <c r="G1333" s="1551" t="n">
        <f aca="false">'Смета Внутр'!H1333</f>
        <v>0</v>
      </c>
      <c r="I1333" s="3179" t="n">
        <f aca="false">IF(F1333&lt;H1333,F1333*(D1333-E1333),0)+IF(H1333=0,(D1333-E1333)*F1333,0)+IF(H1333&lt;F1333,H1333*(D1333-E1333),0)</f>
        <v>3405.79982692973</v>
      </c>
      <c r="J1333" s="3179" t="n">
        <f aca="false">G1333-I1333</f>
        <v>-3405.79982692973</v>
      </c>
    </row>
    <row r="1334" customFormat="false" ht="15" hidden="false" customHeight="true" outlineLevel="0" collapsed="false">
      <c r="B1334" s="1551" t="str">
        <f aca="false">'Смета Внутр'!B1334</f>
        <v>Металлочерепица</v>
      </c>
      <c r="C1334" s="1551" t="str">
        <f aca="false">'Смета Внутр'!C1334</f>
        <v>м2</v>
      </c>
      <c r="D1334" s="1551" t="n">
        <f aca="false">'Смета Внутр'!D1334</f>
        <v>28.0477632805978</v>
      </c>
      <c r="F1334" s="1551" t="n">
        <f aca="false">'Смета Внутр'!E1334</f>
        <v>250</v>
      </c>
      <c r="G1334" s="1551" t="n">
        <f aca="false">'Смета Внутр'!H1334</f>
        <v>0</v>
      </c>
      <c r="I1334" s="3179" t="n">
        <f aca="false">IF(F1334&lt;H1334,F1334*(D1334-E1334),0)+IF(H1334=0,(D1334-E1334)*F1334,0)+IF(H1334&lt;F1334,H1334*(D1334-E1334),0)</f>
        <v>7011.94082014944</v>
      </c>
      <c r="J1334" s="3179" t="n">
        <f aca="false">G1334-I1334</f>
        <v>-7011.94082014944</v>
      </c>
    </row>
    <row r="1335" customFormat="false" ht="15" hidden="false" customHeight="true" outlineLevel="0" collapsed="false">
      <c r="B1335" s="1551" t="str">
        <f aca="false">'Смета Внутр'!B1335</f>
        <v>Карнизная планка</v>
      </c>
      <c r="C1335" s="1551" t="str">
        <f aca="false">'Смета Внутр'!C1335</f>
        <v>м.п.</v>
      </c>
      <c r="D1335" s="1551" t="n">
        <f aca="false">'Смета Внутр'!D1335</f>
        <v>4</v>
      </c>
      <c r="F1335" s="1551" t="n">
        <f aca="false">'Смета Внутр'!E1335</f>
        <v>200</v>
      </c>
      <c r="G1335" s="1551" t="n">
        <f aca="false">'Смета Внутр'!H1335</f>
        <v>0</v>
      </c>
      <c r="I1335" s="3179" t="n">
        <f aca="false">IF(F1335&lt;H1335,F1335*(D1335-E1335),0)+IF(H1335=0,(D1335-E1335)*F1335,0)+IF(H1335&lt;F1335,H1335*(D1335-E1335),0)</f>
        <v>800</v>
      </c>
      <c r="J1335" s="3179" t="n">
        <f aca="false">G1335-I1335</f>
        <v>-800</v>
      </c>
    </row>
    <row r="1336" customFormat="false" ht="15" hidden="false" customHeight="true" outlineLevel="0" collapsed="false">
      <c r="B1336" s="1551" t="str">
        <f aca="false">'Смета Внутр'!B1336</f>
        <v>Торцевая планка</v>
      </c>
      <c r="C1336" s="1551" t="str">
        <f aca="false">'Смета Внутр'!C1336</f>
        <v>м.п.</v>
      </c>
      <c r="D1336" s="1551" t="n">
        <f aca="false">'Смета Внутр'!D1336</f>
        <v>10.5442719099992</v>
      </c>
      <c r="F1336" s="1551" t="n">
        <f aca="false">'Смета Внутр'!E1336</f>
        <v>200</v>
      </c>
      <c r="G1336" s="1551" t="n">
        <f aca="false">'Смета Внутр'!H1336</f>
        <v>0</v>
      </c>
      <c r="I1336" s="3179" t="n">
        <f aca="false">IF(F1336&lt;H1336,F1336*(D1336-E1336),0)+IF(H1336=0,(D1336-E1336)*F1336,0)+IF(H1336&lt;F1336,H1336*(D1336-E1336),0)</f>
        <v>2108.85438199983</v>
      </c>
      <c r="J1336" s="3179" t="n">
        <f aca="false">G1336-I1336</f>
        <v>-2108.85438199983</v>
      </c>
    </row>
    <row r="1337" customFormat="false" ht="15" hidden="false" customHeight="true" outlineLevel="0" collapsed="false">
      <c r="B1337" s="1551" t="str">
        <f aca="false">'Смета Внутр'!B1337</f>
        <v>Конек</v>
      </c>
      <c r="C1337" s="1551" t="str">
        <f aca="false">'Смета Внутр'!C1337</f>
        <v>м.п.</v>
      </c>
      <c r="D1337" s="1551" t="n">
        <f aca="false">'Смета Внутр'!D1337</f>
        <v>4.8</v>
      </c>
      <c r="F1337" s="1551" t="n">
        <f aca="false">'Смета Внутр'!E1337</f>
        <v>230</v>
      </c>
      <c r="G1337" s="1551" t="n">
        <f aca="false">'Смета Внутр'!H1337</f>
        <v>0</v>
      </c>
      <c r="I1337" s="3179" t="n">
        <f aca="false">IF(F1337&lt;H1337,F1337*(D1337-E1337),0)+IF(H1337=0,(D1337-E1337)*F1337,0)+IF(H1337&lt;F1337,H1337*(D1337-E1337),0)</f>
        <v>1104</v>
      </c>
      <c r="J1337" s="3179" t="n">
        <f aca="false">G1337-I1337</f>
        <v>-1104</v>
      </c>
    </row>
    <row r="1338" customFormat="false" ht="15" hidden="false" customHeight="true" outlineLevel="0" collapsed="false">
      <c r="B1338" s="1551" t="str">
        <f aca="false">'Смета Внутр'!B1338</f>
        <v>Ендова нижняя</v>
      </c>
      <c r="C1338" s="1551" t="str">
        <f aca="false">'Смета Внутр'!C1338</f>
        <v>м.п.</v>
      </c>
      <c r="D1338" s="1551" t="n">
        <f aca="false">'Смета Внутр'!D1338</f>
        <v>12.1426168033242</v>
      </c>
      <c r="F1338" s="1551" t="n">
        <f aca="false">'Смета Внутр'!E1338</f>
        <v>160</v>
      </c>
      <c r="G1338" s="1551" t="n">
        <f aca="false">'Смета Внутр'!H1338</f>
        <v>0</v>
      </c>
      <c r="I1338" s="3179" t="n">
        <f aca="false">IF(F1338&lt;H1338,F1338*(D1338-E1338),0)+IF(H1338=0,(D1338-E1338)*F1338,0)+IF(H1338&lt;F1338,H1338*(D1338-E1338),0)</f>
        <v>1942.81868853187</v>
      </c>
      <c r="J1338" s="3179" t="n">
        <f aca="false">G1338-I1338</f>
        <v>-1942.81868853187</v>
      </c>
    </row>
    <row r="1339" customFormat="false" ht="15" hidden="false" customHeight="true" outlineLevel="0" collapsed="false">
      <c r="B1339" s="1551" t="str">
        <f aca="false">'Смета Внутр'!B1339</f>
        <v>Ендова верхняя</v>
      </c>
      <c r="C1339" s="1551" t="str">
        <f aca="false">'Смета Внутр'!C1339</f>
        <v>м.п.</v>
      </c>
      <c r="D1339" s="1551" t="n">
        <f aca="false">'Смета Внутр'!D1339</f>
        <v>12.1426168033242</v>
      </c>
      <c r="F1339" s="1551" t="n">
        <f aca="false">'Смета Внутр'!E1339</f>
        <v>190</v>
      </c>
      <c r="G1339" s="1551" t="n">
        <f aca="false">'Смета Внутр'!H1339</f>
        <v>0</v>
      </c>
      <c r="I1339" s="3179" t="n">
        <f aca="false">IF(F1339&lt;H1339,F1339*(D1339-E1339),0)+IF(H1339=0,(D1339-E1339)*F1339,0)+IF(H1339&lt;F1339,H1339*(D1339-E1339),0)</f>
        <v>2307.09719263159</v>
      </c>
      <c r="J1339" s="3179" t="n">
        <f aca="false">G1339-I1339</f>
        <v>-2307.09719263159</v>
      </c>
    </row>
    <row r="1340" customFormat="false" ht="15" hidden="false" customHeight="true" outlineLevel="0" collapsed="false">
      <c r="B1340" s="1551" t="str">
        <f aca="false">'Смета Внутр'!B1340</f>
        <v>ондулин</v>
      </c>
      <c r="C1340" s="1551" t="str">
        <f aca="false">'Смета Внутр'!C1340</f>
        <v>м2</v>
      </c>
      <c r="D1340" s="1551" t="n">
        <f aca="false">'Смета Внутр'!D1340</f>
        <v>0</v>
      </c>
      <c r="F1340" s="1551" t="n">
        <f aca="false">'Смета Внутр'!E1340</f>
        <v>180</v>
      </c>
      <c r="G1340" s="1551" t="n">
        <f aca="false">'Смета Внутр'!H1340</f>
        <v>0</v>
      </c>
      <c r="I1340" s="3179" t="n">
        <f aca="false">IF(F1340&lt;H1340,F1340*(D1340-E1340),0)+IF(H1340=0,(D1340-E1340)*F1340,0)+IF(H1340&lt;F1340,H1340*(D1340-E1340),0)</f>
        <v>0</v>
      </c>
      <c r="J1340" s="3179" t="n">
        <f aca="false">G1340-I1340</f>
        <v>0</v>
      </c>
    </row>
    <row r="1341" customFormat="false" ht="15" hidden="false" customHeight="true" outlineLevel="0" collapsed="false">
      <c r="B1341" s="1551" t="str">
        <f aca="false">'Смета Внутр'!B1341</f>
        <v>Карнизная планка</v>
      </c>
      <c r="C1341" s="1551" t="str">
        <f aca="false">'Смета Внутр'!C1341</f>
        <v>м.п.</v>
      </c>
      <c r="D1341" s="1551" t="n">
        <f aca="false">'Смета Внутр'!D1341</f>
        <v>0</v>
      </c>
      <c r="F1341" s="1551" t="n">
        <f aca="false">'Смета Внутр'!E1341</f>
        <v>190</v>
      </c>
      <c r="G1341" s="1551" t="n">
        <f aca="false">'Смета Внутр'!H1341</f>
        <v>0</v>
      </c>
      <c r="I1341" s="3179" t="n">
        <f aca="false">IF(F1341&lt;H1341,F1341*(D1341-E1341),0)+IF(H1341=0,(D1341-E1341)*F1341,0)+IF(H1341&lt;F1341,H1341*(D1341-E1341),0)</f>
        <v>0</v>
      </c>
      <c r="J1341" s="3179" t="n">
        <f aca="false">G1341-I1341</f>
        <v>0</v>
      </c>
    </row>
    <row r="1342" customFormat="false" ht="15" hidden="false" customHeight="true" outlineLevel="0" collapsed="false">
      <c r="B1342" s="1551" t="str">
        <f aca="false">'Смета Внутр'!B1342</f>
        <v>Торцевая планка</v>
      </c>
      <c r="C1342" s="1551" t="str">
        <f aca="false">'Смета Внутр'!C1342</f>
        <v>м.п.</v>
      </c>
      <c r="D1342" s="1551" t="n">
        <f aca="false">'Смета Внутр'!D1342</f>
        <v>0</v>
      </c>
      <c r="F1342" s="1551" t="n">
        <f aca="false">'Смета Внутр'!E1342</f>
        <v>190</v>
      </c>
      <c r="G1342" s="1551" t="n">
        <f aca="false">'Смета Внутр'!H1342</f>
        <v>0</v>
      </c>
      <c r="I1342" s="3179" t="n">
        <f aca="false">IF(F1342&lt;H1342,F1342*(D1342-E1342),0)+IF(H1342=0,(D1342-E1342)*F1342,0)+IF(H1342&lt;F1342,H1342*(D1342-E1342),0)</f>
        <v>0</v>
      </c>
      <c r="J1342" s="3179" t="n">
        <f aca="false">G1342-I1342</f>
        <v>0</v>
      </c>
    </row>
    <row r="1343" customFormat="false" ht="15" hidden="false" customHeight="true" outlineLevel="0" collapsed="false">
      <c r="B1343" s="1551" t="str">
        <f aca="false">'Смета Внутр'!B1343</f>
        <v>Конек</v>
      </c>
      <c r="C1343" s="1551" t="str">
        <f aca="false">'Смета Внутр'!C1343</f>
        <v>м.п.</v>
      </c>
      <c r="D1343" s="1551" t="n">
        <f aca="false">'Смета Внутр'!D1343</f>
        <v>0</v>
      </c>
      <c r="F1343" s="1551" t="n">
        <f aca="false">'Смета Внутр'!E1343</f>
        <v>200</v>
      </c>
      <c r="G1343" s="1551" t="n">
        <f aca="false">'Смета Внутр'!H1343</f>
        <v>0</v>
      </c>
      <c r="I1343" s="3179" t="n">
        <f aca="false">IF(F1343&lt;H1343,F1343*(D1343-E1343),0)+IF(H1343=0,(D1343-E1343)*F1343,0)+IF(H1343&lt;F1343,H1343*(D1343-E1343),0)</f>
        <v>0</v>
      </c>
      <c r="J1343" s="3179" t="n">
        <f aca="false">G1343-I1343</f>
        <v>0</v>
      </c>
    </row>
    <row r="1344" customFormat="false" ht="15" hidden="false" customHeight="true" outlineLevel="0" collapsed="false">
      <c r="B1344" s="1551" t="str">
        <f aca="false">'Смета Внутр'!B1344</f>
        <v>Ендова нижняя</v>
      </c>
      <c r="C1344" s="1551" t="str">
        <f aca="false">'Смета Внутр'!C1344</f>
        <v>м.п.</v>
      </c>
      <c r="D1344" s="1551" t="n">
        <f aca="false">'Смета Внутр'!D1344</f>
        <v>0</v>
      </c>
      <c r="F1344" s="1551" t="n">
        <f aca="false">'Смета Внутр'!E1344</f>
        <v>160</v>
      </c>
      <c r="G1344" s="1551" t="n">
        <f aca="false">'Смета Внутр'!H1344</f>
        <v>0</v>
      </c>
      <c r="I1344" s="3179" t="n">
        <f aca="false">IF(F1344&lt;H1344,F1344*(D1344-E1344),0)+IF(H1344=0,(D1344-E1344)*F1344,0)+IF(H1344&lt;F1344,H1344*(D1344-E1344),0)</f>
        <v>0</v>
      </c>
      <c r="J1344" s="3179" t="n">
        <f aca="false">G1344-I1344</f>
        <v>0</v>
      </c>
    </row>
    <row r="1345" customFormat="false" ht="15" hidden="false" customHeight="true" outlineLevel="0" collapsed="false">
      <c r="B1345" s="1551" t="str">
        <f aca="false">'Смета Внутр'!B1345</f>
        <v>Ендова верхняя</v>
      </c>
      <c r="C1345" s="1551" t="str">
        <f aca="false">'Смета Внутр'!C1345</f>
        <v>м.п.</v>
      </c>
      <c r="D1345" s="1551" t="n">
        <f aca="false">'Смета Внутр'!D1345</f>
        <v>0</v>
      </c>
      <c r="F1345" s="1551" t="n">
        <f aca="false">'Смета Внутр'!E1345</f>
        <v>190</v>
      </c>
      <c r="G1345" s="1551" t="n">
        <f aca="false">'Смета Внутр'!H1345</f>
        <v>0</v>
      </c>
      <c r="I1345" s="3179" t="n">
        <f aca="false">IF(F1345&lt;H1345,F1345*(D1345-E1345),0)+IF(H1345=0,(D1345-E1345)*F1345,0)+IF(H1345&lt;F1345,H1345*(D1345-E1345),0)</f>
        <v>0</v>
      </c>
      <c r="J1345" s="3179" t="n">
        <f aca="false">G1345-I1345</f>
        <v>0</v>
      </c>
    </row>
    <row r="1346" customFormat="false" ht="15" hidden="false" customHeight="true" outlineLevel="0" collapsed="false">
      <c r="B1346" s="1551" t="str">
        <f aca="false">'Смета Внутр'!B1346</f>
        <v>Планка примыкания</v>
      </c>
      <c r="C1346" s="1551" t="str">
        <f aca="false">'Смета Внутр'!C1346</f>
        <v>м.п.</v>
      </c>
      <c r="D1346" s="1551" t="n">
        <f aca="false">'Смета Внутр'!D1346</f>
        <v>0</v>
      </c>
      <c r="F1346" s="1551" t="n">
        <f aca="false">'Смета Внутр'!E1346</f>
        <v>190</v>
      </c>
      <c r="G1346" s="1551" t="n">
        <f aca="false">'Смета Внутр'!H1346</f>
        <v>0</v>
      </c>
      <c r="I1346" s="3179" t="n">
        <f aca="false">IF(F1346&lt;H1346,F1346*(D1346-E1346),0)+IF(H1346=0,(D1346-E1346)*F1346,0)+IF(H1346&lt;F1346,H1346*(D1346-E1346),0)</f>
        <v>0</v>
      </c>
      <c r="J1346" s="3179" t="n">
        <f aca="false">G1346-I1346</f>
        <v>0</v>
      </c>
    </row>
    <row r="1347" customFormat="false" ht="15" hidden="false" customHeight="true" outlineLevel="0" collapsed="false">
      <c r="B1347" s="1551" t="str">
        <f aca="false">'Смета Внутр'!B1347</f>
        <v>Крепеж для ондулина</v>
      </c>
      <c r="C1347" s="1551" t="str">
        <f aca="false">'Смета Внутр'!C1347</f>
        <v>шт</v>
      </c>
      <c r="D1347" s="1551" t="n">
        <f aca="false">'Смета Внутр'!D1347</f>
        <v>0</v>
      </c>
      <c r="F1347" s="1551" t="n">
        <f aca="false">'Смета Внутр'!E1347</f>
        <v>4.5</v>
      </c>
      <c r="G1347" s="1551" t="n">
        <f aca="false">'Смета Внутр'!H1347</f>
        <v>0</v>
      </c>
      <c r="I1347" s="3179" t="n">
        <f aca="false">IF(F1347&lt;H1347,F1347*(D1347-E1347),0)+IF(H1347=0,(D1347-E1347)*F1347,0)+IF(H1347&lt;F1347,H1347*(D1347-E1347),0)</f>
        <v>0</v>
      </c>
      <c r="J1347" s="3179" t="n">
        <f aca="false">G1347-I1347</f>
        <v>0</v>
      </c>
    </row>
    <row r="1348" customFormat="false" ht="15" hidden="false" customHeight="true" outlineLevel="0" collapsed="false">
      <c r="B1348" s="1551" t="str">
        <f aca="false">'Смета Внутр'!B1348</f>
        <v>Фанера Березовая марка ФК - влагостойкая,  18 мм </v>
      </c>
      <c r="C1348" s="1551" t="str">
        <f aca="false">'Смета Внутр'!C1348</f>
        <v>м2</v>
      </c>
      <c r="D1348" s="1551" t="n">
        <f aca="false">'Смета Внутр'!D1348</f>
        <v>22.0375282918982</v>
      </c>
      <c r="F1348" s="1551" t="n">
        <f aca="false">'Смета Внутр'!E1348</f>
        <v>533.333333333333</v>
      </c>
      <c r="G1348" s="1551" t="n">
        <f aca="false">'Смета Внутр'!H1348</f>
        <v>0</v>
      </c>
      <c r="I1348" s="3179" t="n">
        <f aca="false">IF(F1348&lt;H1348,F1348*(D1348-E1348),0)+IF(H1348=0,(D1348-E1348)*F1348,0)+IF(H1348&lt;F1348,H1348*(D1348-E1348),0)</f>
        <v>11753.3484223457</v>
      </c>
      <c r="J1348" s="3179" t="n">
        <f aca="false">G1348-I1348</f>
        <v>-11753.3484223457</v>
      </c>
    </row>
    <row r="1349" customFormat="false" ht="15" hidden="false" customHeight="true" outlineLevel="0" collapsed="false">
      <c r="B1349" s="1551" t="str">
        <f aca="false">'Смета Внутр'!B1349</f>
        <v>Рядовая черепица</v>
      </c>
      <c r="C1349" s="1551" t="str">
        <f aca="false">'Смета Внутр'!C1349</f>
        <v>м2</v>
      </c>
      <c r="D1349" s="1551" t="n">
        <f aca="false">'Смета Внутр'!D1349</f>
        <v>0</v>
      </c>
      <c r="F1349" s="1551" t="n">
        <f aca="false">'Смета Внутр'!E1349</f>
        <v>360</v>
      </c>
      <c r="G1349" s="1551" t="n">
        <f aca="false">'Смета Внутр'!H1349</f>
        <v>0</v>
      </c>
      <c r="I1349" s="3179" t="n">
        <f aca="false">IF(F1349&lt;H1349,F1349*(D1349-E1349),0)+IF(H1349=0,(D1349-E1349)*F1349,0)+IF(H1349&lt;F1349,H1349*(D1349-E1349),0)</f>
        <v>0</v>
      </c>
      <c r="J1349" s="3179" t="n">
        <f aca="false">G1349-I1349</f>
        <v>0</v>
      </c>
    </row>
    <row r="1350" customFormat="false" ht="15" hidden="false" customHeight="true" outlineLevel="0" collapsed="false">
      <c r="B1350" s="1551" t="str">
        <f aca="false">'Смета Внутр'!B1350</f>
        <v>Металл оцинк защита (карниз)</v>
      </c>
      <c r="C1350" s="1551" t="str">
        <f aca="false">'Смета Внутр'!C1350</f>
        <v>м.п.</v>
      </c>
      <c r="D1350" s="1551" t="n">
        <f aca="false">'Смета Внутр'!D1350</f>
        <v>0</v>
      </c>
      <c r="F1350" s="1551" t="n">
        <f aca="false">'Смета Внутр'!E1350</f>
        <v>200</v>
      </c>
      <c r="G1350" s="1551" t="n">
        <f aca="false">'Смета Внутр'!H1350</f>
        <v>0</v>
      </c>
      <c r="I1350" s="3179" t="n">
        <f aca="false">IF(F1350&lt;H1350,F1350*(D1350-E1350),0)+IF(H1350=0,(D1350-E1350)*F1350,0)+IF(H1350&lt;F1350,H1350*(D1350-E1350),0)</f>
        <v>0</v>
      </c>
      <c r="J1350" s="3179" t="n">
        <f aca="false">G1350-I1350</f>
        <v>0</v>
      </c>
    </row>
    <row r="1351" customFormat="false" ht="15" hidden="false" customHeight="true" outlineLevel="0" collapsed="false">
      <c r="B1351" s="1551" t="str">
        <f aca="false">'Смета Внутр'!B1351</f>
        <v>Подкладочный ковер</v>
      </c>
      <c r="C1351" s="1551" t="str">
        <f aca="false">'Смета Внутр'!C1351</f>
        <v>м.п.</v>
      </c>
      <c r="D1351" s="1551" t="n">
        <f aca="false">'Смета Внутр'!D1351</f>
        <v>0</v>
      </c>
      <c r="F1351" s="1551" t="n">
        <f aca="false">'Смета Внутр'!E1351</f>
        <v>220</v>
      </c>
      <c r="G1351" s="1551" t="n">
        <f aca="false">'Смета Внутр'!H1351</f>
        <v>0</v>
      </c>
      <c r="I1351" s="3179" t="n">
        <f aca="false">IF(F1351&lt;H1351,F1351*(D1351-E1351),0)+IF(H1351=0,(D1351-E1351)*F1351,0)+IF(H1351&lt;F1351,H1351*(D1351-E1351),0)</f>
        <v>0</v>
      </c>
      <c r="J1351" s="3179" t="n">
        <f aca="false">G1351-I1351</f>
        <v>0</v>
      </c>
    </row>
    <row r="1352" customFormat="false" ht="15" hidden="false" customHeight="true" outlineLevel="0" collapsed="false">
      <c r="B1352" s="1551" t="str">
        <f aca="false">'Смета Внутр'!B1352</f>
        <v>Карнизная самоклеющаяся черепица</v>
      </c>
      <c r="C1352" s="1551" t="str">
        <f aca="false">'Смета Внутр'!C1352</f>
        <v>м.п.</v>
      </c>
      <c r="D1352" s="1551" t="n">
        <f aca="false">'Смета Внутр'!D1352</f>
        <v>0</v>
      </c>
      <c r="F1352" s="1551" t="n">
        <f aca="false">'Смета Внутр'!E1352</f>
        <v>220</v>
      </c>
      <c r="G1352" s="1551" t="n">
        <f aca="false">'Смета Внутр'!H1352</f>
        <v>0</v>
      </c>
      <c r="I1352" s="3179" t="n">
        <f aca="false">IF(F1352&lt;H1352,F1352*(D1352-E1352),0)+IF(H1352=0,(D1352-E1352)*F1352,0)+IF(H1352&lt;F1352,H1352*(D1352-E1352),0)</f>
        <v>0</v>
      </c>
      <c r="J1352" s="3179" t="n">
        <f aca="false">G1352-I1352</f>
        <v>0</v>
      </c>
    </row>
    <row r="1353" customFormat="false" ht="15" hidden="false" customHeight="true" outlineLevel="0" collapsed="false">
      <c r="B1353" s="1551" t="str">
        <f aca="false">'Смета Внутр'!B1353</f>
        <v>Спец ковер ендова нижняя</v>
      </c>
      <c r="C1353" s="1551" t="str">
        <f aca="false">'Смета Внутр'!C1353</f>
        <v>м.п.</v>
      </c>
      <c r="D1353" s="1551" t="n">
        <f aca="false">'Смета Внутр'!D1353</f>
        <v>0</v>
      </c>
      <c r="F1353" s="1551" t="n">
        <f aca="false">'Смета Внутр'!E1353</f>
        <v>200</v>
      </c>
      <c r="G1353" s="1551" t="n">
        <f aca="false">'Смета Внутр'!H1353</f>
        <v>0</v>
      </c>
      <c r="I1353" s="3179" t="n">
        <f aca="false">IF(F1353&lt;H1353,F1353*(D1353-E1353),0)+IF(H1353=0,(D1353-E1353)*F1353,0)+IF(H1353&lt;F1353,H1353*(D1353-E1353),0)</f>
        <v>0</v>
      </c>
      <c r="J1353" s="3179" t="n">
        <f aca="false">G1353-I1353</f>
        <v>0</v>
      </c>
    </row>
    <row r="1354" customFormat="false" ht="15" hidden="false" customHeight="true" outlineLevel="0" collapsed="false">
      <c r="B1354" s="1551" t="str">
        <f aca="false">'Смета Внутр'!B1354</f>
        <v>Коньковой элемент</v>
      </c>
      <c r="C1354" s="1551" t="str">
        <f aca="false">'Смета Внутр'!C1354</f>
        <v>м.п.</v>
      </c>
      <c r="D1354" s="1551" t="n">
        <f aca="false">'Смета Внутр'!D1354</f>
        <v>0</v>
      </c>
      <c r="F1354" s="1551" t="n">
        <f aca="false">'Смета Внутр'!E1354</f>
        <v>250</v>
      </c>
      <c r="G1354" s="1551" t="n">
        <f aca="false">'Смета Внутр'!H1354</f>
        <v>0</v>
      </c>
      <c r="I1354" s="3179" t="n">
        <f aca="false">IF(F1354&lt;H1354,F1354*(D1354-E1354),0)+IF(H1354=0,(D1354-E1354)*F1354,0)+IF(H1354&lt;F1354,H1354*(D1354-E1354),0)</f>
        <v>0</v>
      </c>
      <c r="J1354" s="3179" t="n">
        <f aca="false">G1354-I1354</f>
        <v>0</v>
      </c>
    </row>
    <row r="1355" customFormat="false" ht="15" hidden="false" customHeight="true" outlineLevel="0" collapsed="false">
      <c r="B1355" s="1551" t="str">
        <f aca="false">'Смета Внутр'!B1355</f>
        <v>Планка премыкания</v>
      </c>
      <c r="C1355" s="1551" t="str">
        <f aca="false">'Смета Внутр'!C1355</f>
        <v>м.п.</v>
      </c>
      <c r="D1355" s="1551" t="n">
        <f aca="false">'Смета Внутр'!D1355</f>
        <v>0</v>
      </c>
      <c r="F1355" s="1551" t="n">
        <f aca="false">'Смета Внутр'!E1355</f>
        <v>200</v>
      </c>
      <c r="G1355" s="1551" t="n">
        <f aca="false">'Смета Внутр'!H1355</f>
        <v>0</v>
      </c>
      <c r="I1355" s="3179" t="n">
        <f aca="false">IF(F1355&lt;H1355,F1355*(D1355-E1355),0)+IF(H1355=0,(D1355-E1355)*F1355,0)+IF(H1355&lt;F1355,H1355*(D1355-E1355),0)</f>
        <v>0</v>
      </c>
      <c r="J1355" s="3179" t="n">
        <f aca="false">G1355-I1355</f>
        <v>0</v>
      </c>
    </row>
    <row r="1356" customFormat="false" ht="15" hidden="false" customHeight="true" outlineLevel="0" collapsed="false">
      <c r="B1356" s="1551" t="str">
        <f aca="false">'Смета Внутр'!B1356</f>
        <v>Гвозди для крепления подкладочного ковра</v>
      </c>
      <c r="C1356" s="1551" t="str">
        <f aca="false">'Смета Внутр'!C1356</f>
        <v>шт</v>
      </c>
      <c r="D1356" s="1551" t="n">
        <f aca="false">'Смета Внутр'!D1356</f>
        <v>0</v>
      </c>
      <c r="F1356" s="1551" t="n">
        <f aca="false">'Смета Внутр'!E1356</f>
        <v>0.012</v>
      </c>
      <c r="G1356" s="1551" t="n">
        <f aca="false">'Смета Внутр'!H1356</f>
        <v>0</v>
      </c>
      <c r="I1356" s="3179" t="n">
        <f aca="false">IF(F1356&lt;H1356,F1356*(D1356-E1356),0)+IF(H1356=0,(D1356-E1356)*F1356,0)+IF(H1356&lt;F1356,H1356*(D1356-E1356),0)</f>
        <v>0</v>
      </c>
      <c r="J1356" s="3179" t="n">
        <f aca="false">G1356-I1356</f>
        <v>0</v>
      </c>
    </row>
    <row r="1357" customFormat="false" ht="15" hidden="false" customHeight="true" outlineLevel="0" collapsed="false">
      <c r="B1357" s="1551" t="str">
        <f aca="false">'Смета Внутр'!B1357</f>
        <v>Гвозди для крепления черепицы</v>
      </c>
      <c r="C1357" s="1551" t="str">
        <f aca="false">'Смета Внутр'!C1357</f>
        <v>шт</v>
      </c>
      <c r="D1357" s="1551" t="n">
        <f aca="false">'Смета Внутр'!D1357</f>
        <v>0</v>
      </c>
      <c r="F1357" s="1551" t="n">
        <f aca="false">'Смета Внутр'!E1357</f>
        <v>0.25</v>
      </c>
      <c r="G1357" s="1551" t="n">
        <f aca="false">'Смета Внутр'!H1357</f>
        <v>0</v>
      </c>
      <c r="I1357" s="3179" t="n">
        <f aca="false">IF(F1357&lt;H1357,F1357*(D1357-E1357),0)+IF(H1357=0,(D1357-E1357)*F1357,0)+IF(H1357&lt;F1357,H1357*(D1357-E1357),0)</f>
        <v>0</v>
      </c>
      <c r="J1357" s="3179" t="n">
        <f aca="false">G1357-I1357</f>
        <v>0</v>
      </c>
    </row>
    <row r="1358" customFormat="false" ht="15" hidden="false" customHeight="true" outlineLevel="0" collapsed="false">
      <c r="B1358" s="1551" t="str">
        <f aca="false">'Смета Внутр'!B1358</f>
        <v>Клей для монтажа черепицы</v>
      </c>
      <c r="C1358" s="1551" t="str">
        <f aca="false">'Смета Внутр'!C1358</f>
        <v>кг</v>
      </c>
      <c r="D1358" s="1551" t="n">
        <f aca="false">'Смета Внутр'!D1358</f>
        <v>0</v>
      </c>
      <c r="F1358" s="1551" t="n">
        <f aca="false">'Смета Внутр'!E1358</f>
        <v>250</v>
      </c>
      <c r="G1358" s="1551" t="n">
        <f aca="false">'Смета Внутр'!H1358</f>
        <v>0</v>
      </c>
      <c r="I1358" s="3179" t="n">
        <f aca="false">IF(F1358&lt;H1358,F1358*(D1358-E1358),0)+IF(H1358=0,(D1358-E1358)*F1358,0)+IF(H1358&lt;F1358,H1358*(D1358-E1358),0)</f>
        <v>0</v>
      </c>
      <c r="J1358" s="3179" t="n">
        <f aca="false">G1358-I1358</f>
        <v>0</v>
      </c>
    </row>
    <row r="1359" customFormat="false" ht="15" hidden="false" customHeight="true" outlineLevel="0" collapsed="false">
      <c r="B1359" s="1551" t="str">
        <f aca="false">'Смета Внутр'!B1359</f>
        <v>лента дельта мульти бэнд</v>
      </c>
      <c r="C1359" s="1551" t="str">
        <f aca="false">'Смета Внутр'!C1359</f>
        <v>шт</v>
      </c>
      <c r="D1359" s="1551" t="n">
        <f aca="false">'Смета Внутр'!D1359</f>
        <v>1.6695097190832</v>
      </c>
      <c r="F1359" s="1551" t="n">
        <f aca="false">'Смета Внутр'!E1359</f>
        <v>1200</v>
      </c>
      <c r="G1359" s="1551" t="n">
        <f aca="false">'Смета Внутр'!H1359</f>
        <v>0</v>
      </c>
      <c r="I1359" s="3179" t="n">
        <f aca="false">IF(F1359&lt;H1359,F1359*(D1359-E1359),0)+IF(H1359=0,(D1359-E1359)*F1359,0)+IF(H1359&lt;F1359,H1359*(D1359-E1359),0)</f>
        <v>2003.41166289984</v>
      </c>
      <c r="J1359" s="3179" t="n">
        <f aca="false">G1359-I1359</f>
        <v>-2003.41166289984</v>
      </c>
    </row>
    <row r="1360" customFormat="false" ht="15" hidden="false" customHeight="true" outlineLevel="0" collapsed="false">
      <c r="B1360" s="1551" t="str">
        <f aca="false">'Смета Внутр'!B1360</f>
        <v>лента дельта sb-60</v>
      </c>
      <c r="C1360" s="1551" t="str">
        <f aca="false">'Смета Внутр'!C1360</f>
        <v>шт</v>
      </c>
      <c r="D1360" s="1551" t="n">
        <f aca="false">'Смета Внутр'!D1360</f>
        <v>0.801364665159936</v>
      </c>
      <c r="F1360" s="1551" t="n">
        <f aca="false">'Смета Внутр'!E1360</f>
        <v>1100</v>
      </c>
      <c r="G1360" s="1551" t="n">
        <f aca="false">'Смета Внутр'!H1360</f>
        <v>0</v>
      </c>
      <c r="I1360" s="3179" t="n">
        <f aca="false">IF(F1360&lt;H1360,F1360*(D1360-E1360),0)+IF(H1360=0,(D1360-E1360)*F1360,0)+IF(H1360&lt;F1360,H1360*(D1360-E1360),0)</f>
        <v>881.50113167593</v>
      </c>
      <c r="J1360" s="3179" t="n">
        <f aca="false">G1360-I1360</f>
        <v>-881.50113167593</v>
      </c>
    </row>
    <row r="1361" customFormat="false" ht="15" hidden="false" customHeight="true" outlineLevel="0" collapsed="false">
      <c r="B1361" s="1551" t="str">
        <f aca="false">'Смета Внутр'!B1361</f>
        <v>Кровельный саморез</v>
      </c>
      <c r="C1361" s="1551" t="str">
        <f aca="false">'Смета Внутр'!C1361</f>
        <v>шт</v>
      </c>
      <c r="D1361" s="1551" t="n">
        <f aca="false">'Смета Внутр'!D1361</f>
        <v>240.409399547981</v>
      </c>
      <c r="F1361" s="1551" t="n">
        <f aca="false">'Смета Внутр'!E1361</f>
        <v>2</v>
      </c>
      <c r="G1361" s="1551" t="n">
        <f aca="false">'Смета Внутр'!H1361</f>
        <v>0</v>
      </c>
      <c r="I1361" s="3179" t="n">
        <f aca="false">IF(F1361&lt;H1361,F1361*(D1361-E1361),0)+IF(H1361=0,(D1361-E1361)*F1361,0)+IF(H1361&lt;F1361,H1361*(D1361-E1361),0)</f>
        <v>480.818799095962</v>
      </c>
      <c r="J1361" s="3179" t="n">
        <f aca="false">G1361-I1361</f>
        <v>-480.818799095962</v>
      </c>
    </row>
    <row r="1362" customFormat="false" ht="15" hidden="false" customHeight="true" outlineLevel="0" collapsed="false">
      <c r="B1362" s="1551" t="str">
        <f aca="false">'Смета Внутр'!B1362</f>
        <v>Гвозди ершоные 3,4 x 60            </v>
      </c>
      <c r="C1362" s="1551" t="str">
        <f aca="false">'Смета Внутр'!C1362</f>
        <v>кг</v>
      </c>
      <c r="D1362" s="1551" t="n">
        <f aca="false">'Смета Внутр'!D1362</f>
        <v>7.5918757751994</v>
      </c>
      <c r="F1362" s="1551" t="n">
        <f aca="false">'Смета Внутр'!E1362</f>
        <v>75.51</v>
      </c>
      <c r="G1362" s="1551" t="n">
        <f aca="false">'Смета Внутр'!H1362</f>
        <v>0</v>
      </c>
      <c r="I1362" s="3179" t="n">
        <f aca="false">IF(F1362&lt;H1362,F1362*(D1362-E1362),0)+IF(H1362=0,(D1362-E1362)*F1362,0)+IF(H1362&lt;F1362,H1362*(D1362-E1362),0)</f>
        <v>573.262539785306</v>
      </c>
      <c r="J1362" s="3179" t="n">
        <f aca="false">G1362-I1362</f>
        <v>-573.262539785306</v>
      </c>
    </row>
    <row r="1363" customFormat="false" ht="15" hidden="false" customHeight="true" outlineLevel="0" collapsed="false">
      <c r="B1363" s="1551" t="str">
        <f aca="false">'Смета Внутр'!B1363</f>
        <v>Гвозди ершоные 2,8 х 90            </v>
      </c>
      <c r="C1363" s="1551" t="str">
        <f aca="false">'Смета Внутр'!C1363</f>
        <v>кг</v>
      </c>
      <c r="D1363" s="1551" t="n">
        <f aca="false">'Смета Внутр'!D1363</f>
        <v>19.4214233930988</v>
      </c>
      <c r="F1363" s="1551" t="n">
        <f aca="false">'Смета Внутр'!E1363</f>
        <v>76.49</v>
      </c>
      <c r="G1363" s="1551" t="n">
        <f aca="false">'Смета Внутр'!H1363</f>
        <v>0</v>
      </c>
      <c r="I1363" s="3179" t="n">
        <f aca="false">IF(F1363&lt;H1363,F1363*(D1363-E1363),0)+IF(H1363=0,(D1363-E1363)*F1363,0)+IF(H1363&lt;F1363,H1363*(D1363-E1363),0)</f>
        <v>1485.54467533813</v>
      </c>
      <c r="J1363" s="3179" t="n">
        <f aca="false">G1363-I1363</f>
        <v>-1485.54467533813</v>
      </c>
    </row>
    <row r="1364" customFormat="false" ht="15" hidden="false" customHeight="true" outlineLevel="0" collapsed="false">
      <c r="B1364" s="1551" t="str">
        <f aca="false">'Смета Внутр'!B1364</f>
        <v>Пластина соеденительная 100х240х2           </v>
      </c>
      <c r="C1364" s="1551" t="str">
        <f aca="false">'Смета Внутр'!C1364</f>
        <v>шт</v>
      </c>
      <c r="D1364" s="1551" t="n">
        <f aca="false">'Смета Внутр'!D1364</f>
        <v>18</v>
      </c>
      <c r="F1364" s="1551" t="n">
        <f aca="false">'Смета Внутр'!E1364</f>
        <v>31.54</v>
      </c>
      <c r="G1364" s="1551" t="n">
        <f aca="false">'Смета Внутр'!H1364</f>
        <v>0</v>
      </c>
      <c r="I1364" s="3179" t="n">
        <f aca="false">IF(F1364&lt;H1364,F1364*(D1364-E1364),0)+IF(H1364=0,(D1364-E1364)*F1364,0)+IF(H1364&lt;F1364,H1364*(D1364-E1364),0)</f>
        <v>567.72</v>
      </c>
      <c r="J1364" s="3179" t="n">
        <f aca="false">G1364-I1364</f>
        <v>-567.72</v>
      </c>
    </row>
    <row r="1365" customFormat="false" ht="15" hidden="false" customHeight="true" outlineLevel="0" collapsed="false">
      <c r="B1365" s="1551" t="str">
        <f aca="false">'Смета Внутр'!B1365</f>
        <v>Уголок усиленный 90х70х55х2,5        </v>
      </c>
      <c r="C1365" s="1551" t="str">
        <f aca="false">'Смета Внутр'!C1365</f>
        <v>шт</v>
      </c>
      <c r="D1365" s="1551" t="n">
        <f aca="false">'Смета Внутр'!D1365</f>
        <v>18</v>
      </c>
      <c r="F1365" s="1551" t="n">
        <f aca="false">'Смета Внутр'!E1365</f>
        <v>30</v>
      </c>
      <c r="G1365" s="1551" t="n">
        <f aca="false">'Смета Внутр'!H1365</f>
        <v>0</v>
      </c>
      <c r="I1365" s="3179" t="n">
        <f aca="false">IF(F1365&lt;H1365,F1365*(D1365-E1365),0)+IF(H1365=0,(D1365-E1365)*F1365,0)+IF(H1365&lt;F1365,H1365*(D1365-E1365),0)</f>
        <v>540</v>
      </c>
      <c r="J1365" s="3179" t="n">
        <f aca="false">G1365-I1365</f>
        <v>-540</v>
      </c>
    </row>
    <row r="1366" customFormat="false" ht="15" hidden="false" customHeight="true" outlineLevel="0" collapsed="false">
      <c r="B1366" s="1692" t="s">
        <v>4332</v>
      </c>
      <c r="C1366" s="1692"/>
      <c r="D1366" s="1692"/>
      <c r="E1366" s="1692"/>
      <c r="F1366" s="1692"/>
      <c r="G1366" s="1551" t="n">
        <f aca="false">'Смета Внутр'!H1366</f>
        <v>0</v>
      </c>
      <c r="H1366" s="3184"/>
      <c r="I1366" s="3179" t="n">
        <f aca="false">IF(F1366&lt;H1366,F1366*(D1366-E1366),0)+IF(H1366=0,(D1366-E1366)*F1366,0)+IF(H1366&lt;F1366,H1366*(D1366-E1366),0)</f>
        <v>0</v>
      </c>
      <c r="J1366" s="3179" t="n">
        <f aca="false">G1366-I1366</f>
        <v>0</v>
      </c>
    </row>
    <row r="1367" customFormat="false" ht="15" hidden="false" customHeight="true" outlineLevel="0" collapsed="false">
      <c r="B1367" s="1268" t="str">
        <f aca="false">'Смета Внутр'!B1367</f>
        <v>Работы</v>
      </c>
      <c r="C1367" s="1268"/>
      <c r="D1367" s="1268"/>
      <c r="E1367" s="1268"/>
      <c r="F1367" s="1268"/>
      <c r="G1367" s="1551" t="n">
        <f aca="false">'Смета Внутр'!H1367</f>
        <v>0</v>
      </c>
      <c r="H1367" s="3175"/>
      <c r="I1367" s="3179" t="n">
        <f aca="false">IF(F1367&lt;H1367,F1367*(D1367-E1367),0)+IF(H1367=0,(D1367-E1367)*F1367,0)+IF(H1367&lt;F1367,H1367*(D1367-E1367),0)</f>
        <v>0</v>
      </c>
      <c r="J1367" s="3179" t="n">
        <f aca="false">G1367-I1367</f>
        <v>0</v>
      </c>
    </row>
    <row r="1368" customFormat="false" ht="15" hidden="false" customHeight="true" outlineLevel="0" collapsed="false">
      <c r="B1368" s="1551" t="str">
        <f aca="false">'Смета Внутр'!B1368</f>
        <v>монтаж стропил</v>
      </c>
      <c r="C1368" s="1551" t="str">
        <f aca="false">'Смета Внутр'!C1368</f>
        <v>м2</v>
      </c>
      <c r="D1368" s="1551" t="n">
        <f aca="false">'Смета Внутр'!D1368</f>
        <v>20.0341166289984</v>
      </c>
      <c r="F1368" s="1551" t="n">
        <f aca="false">'Смета Внутр'!E1368</f>
        <v>450</v>
      </c>
      <c r="G1368" s="1551" t="n">
        <f aca="false">'Смета Внутр'!H1368</f>
        <v>0</v>
      </c>
      <c r="I1368" s="3179" t="n">
        <f aca="false">IF(F1368&lt;H1368,F1368*(D1368-E1368),0)+IF(H1368=0,(D1368-E1368)*F1368,0)+IF(H1368&lt;F1368,H1368*(D1368-E1368),0)</f>
        <v>9015.35248304928</v>
      </c>
      <c r="J1368" s="3179" t="n">
        <f aca="false">G1368-I1368</f>
        <v>-9015.35248304928</v>
      </c>
    </row>
    <row r="1369" customFormat="false" ht="15" hidden="false" customHeight="true" outlineLevel="0" collapsed="false">
      <c r="B1369" s="1551" t="str">
        <f aca="false">'Смета Внутр'!B1369</f>
        <v>обрешетка</v>
      </c>
      <c r="C1369" s="1551" t="str">
        <f aca="false">'Смета Внутр'!C1369</f>
        <v>м2</v>
      </c>
      <c r="D1369" s="1551" t="n">
        <f aca="false">'Смета Внутр'!D1369</f>
        <v>20.0341166289984</v>
      </c>
      <c r="F1369" s="1551" t="n">
        <f aca="false">'Смета Внутр'!E1369</f>
        <v>100</v>
      </c>
      <c r="G1369" s="1551" t="n">
        <f aca="false">'Смета Внутр'!H1369</f>
        <v>0</v>
      </c>
      <c r="I1369" s="3179" t="n">
        <f aca="false">IF(F1369&lt;H1369,F1369*(D1369-E1369),0)+IF(H1369=0,(D1369-E1369)*F1369,0)+IF(H1369&lt;F1369,H1369*(D1369-E1369),0)</f>
        <v>2003.41166289984</v>
      </c>
      <c r="J1369" s="3179" t="n">
        <f aca="false">G1369-I1369</f>
        <v>-2003.41166289984</v>
      </c>
    </row>
    <row r="1370" customFormat="false" ht="15" hidden="false" customHeight="true" outlineLevel="0" collapsed="false">
      <c r="B1370" s="1551" t="str">
        <f aca="false">'Смета Внутр'!B1370</f>
        <v>контробеш</v>
      </c>
      <c r="C1370" s="1551" t="str">
        <f aca="false">'Смета Внутр'!C1370</f>
        <v>м2</v>
      </c>
      <c r="D1370" s="1551" t="n">
        <f aca="false">'Смета Внутр'!D1370</f>
        <v>20.0341166289984</v>
      </c>
      <c r="F1370" s="1551" t="n">
        <f aca="false">'Смета Внутр'!E1370</f>
        <v>100</v>
      </c>
      <c r="G1370" s="1551" t="n">
        <f aca="false">'Смета Внутр'!H1370</f>
        <v>0</v>
      </c>
      <c r="I1370" s="3179" t="n">
        <f aca="false">IF(F1370&lt;H1370,F1370*(D1370-E1370),0)+IF(H1370=0,(D1370-E1370)*F1370,0)+IF(H1370&lt;F1370,H1370*(D1370-E1370),0)</f>
        <v>2003.41166289984</v>
      </c>
      <c r="J1370" s="3179" t="n">
        <f aca="false">G1370-I1370</f>
        <v>-2003.41166289984</v>
      </c>
    </row>
    <row r="1371" customFormat="false" ht="15" hidden="false" customHeight="true" outlineLevel="0" collapsed="false">
      <c r="B1371" s="1551" t="str">
        <f aca="false">'Смета Внутр'!B1371</f>
        <v>мембрана</v>
      </c>
      <c r="C1371" s="1551" t="str">
        <f aca="false">'Смета Внутр'!C1371</f>
        <v>м2</v>
      </c>
      <c r="D1371" s="1551" t="n">
        <f aca="false">'Смета Внутр'!D1371</f>
        <v>0</v>
      </c>
      <c r="F1371" s="1551" t="n">
        <f aca="false">'Смета Внутр'!E1371</f>
        <v>100</v>
      </c>
      <c r="G1371" s="1551" t="n">
        <f aca="false">'Смета Внутр'!H1371</f>
        <v>0</v>
      </c>
      <c r="I1371" s="3179" t="n">
        <f aca="false">IF(F1371&lt;H1371,F1371*(D1371-E1371),0)+IF(H1371=0,(D1371-E1371)*F1371,0)+IF(H1371&lt;F1371,H1371*(D1371-E1371),0)</f>
        <v>0</v>
      </c>
      <c r="J1371" s="3179" t="n">
        <f aca="false">G1371-I1371</f>
        <v>0</v>
      </c>
    </row>
    <row r="1372" customFormat="false" ht="15" hidden="false" customHeight="true" outlineLevel="0" collapsed="false">
      <c r="B1372" s="1551" t="str">
        <f aca="false">'Смета Внутр'!B1372</f>
        <v>пароизоляц</v>
      </c>
      <c r="C1372" s="1551" t="str">
        <f aca="false">'Смета Внутр'!C1372</f>
        <v>м2</v>
      </c>
      <c r="D1372" s="1551" t="n">
        <f aca="false">'Смета Внутр'!D1372</f>
        <v>0</v>
      </c>
      <c r="F1372" s="1551" t="n">
        <f aca="false">'Смета Внутр'!E1372</f>
        <v>100</v>
      </c>
      <c r="G1372" s="1551" t="n">
        <f aca="false">'Смета Внутр'!H1372</f>
        <v>0</v>
      </c>
      <c r="I1372" s="3179" t="n">
        <f aca="false">IF(F1372&lt;H1372,F1372*(D1372-E1372),0)+IF(H1372=0,(D1372-E1372)*F1372,0)+IF(H1372&lt;F1372,H1372*(D1372-E1372),0)</f>
        <v>0</v>
      </c>
      <c r="J1372" s="3179" t="n">
        <f aca="false">G1372-I1372</f>
        <v>0</v>
      </c>
    </row>
    <row r="1373" customFormat="false" ht="15" hidden="false" customHeight="true" outlineLevel="0" collapsed="false">
      <c r="B1373" s="1551" t="str">
        <f aca="false">'Смета Внутр'!B1373</f>
        <v>утеплитель</v>
      </c>
      <c r="C1373" s="1551" t="str">
        <f aca="false">'Смета Внутр'!C1373</f>
        <v>м2</v>
      </c>
      <c r="D1373" s="1551" t="n">
        <f aca="false">'Смета Внутр'!D1373</f>
        <v>20.0341166289984</v>
      </c>
      <c r="F1373" s="1551" t="n">
        <f aca="false">'Смета Внутр'!E1373</f>
        <v>200</v>
      </c>
      <c r="G1373" s="1551" t="n">
        <f aca="false">'Смета Внутр'!H1373</f>
        <v>0</v>
      </c>
      <c r="I1373" s="3179" t="n">
        <f aca="false">IF(F1373&lt;H1373,F1373*(D1373-E1373),0)+IF(H1373=0,(D1373-E1373)*F1373,0)+IF(H1373&lt;F1373,H1373*(D1373-E1373),0)</f>
        <v>4006.82332579968</v>
      </c>
      <c r="J1373" s="3179" t="n">
        <f aca="false">G1373-I1373</f>
        <v>-4006.82332579968</v>
      </c>
    </row>
    <row r="1374" customFormat="false" ht="15" hidden="false" customHeight="true" outlineLevel="0" collapsed="false">
      <c r="B1374" s="1551" t="str">
        <f aca="false">'Смета Внутр'!B1374</f>
        <v>Монтаж металлочерепицы</v>
      </c>
      <c r="C1374" s="1551" t="str">
        <f aca="false">'Смета Внутр'!C1374</f>
        <v>м2</v>
      </c>
      <c r="D1374" s="1551" t="n">
        <f aca="false">'Смета Внутр'!D1374</f>
        <v>20.0341166289984</v>
      </c>
      <c r="F1374" s="1551" t="n">
        <f aca="false">'Смета Внутр'!E1374</f>
        <v>300</v>
      </c>
      <c r="G1374" s="1551" t="n">
        <f aca="false">'Смета Внутр'!H1374</f>
        <v>0</v>
      </c>
      <c r="I1374" s="3179" t="n">
        <f aca="false">IF(F1374&lt;H1374,F1374*(D1374-E1374),0)+IF(H1374=0,(D1374-E1374)*F1374,0)+IF(H1374&lt;F1374,H1374*(D1374-E1374),0)</f>
        <v>6010.23498869952</v>
      </c>
      <c r="J1374" s="3179" t="n">
        <f aca="false">G1374-I1374</f>
        <v>-6010.23498869952</v>
      </c>
    </row>
    <row r="1375" customFormat="false" ht="15" hidden="false" customHeight="true" outlineLevel="0" collapsed="false">
      <c r="B1375" s="1551" t="str">
        <f aca="false">'Смета Внутр'!B1375</f>
        <v>карнизная планка</v>
      </c>
      <c r="C1375" s="1551" t="str">
        <f aca="false">'Смета Внутр'!C1375</f>
        <v>м.п.</v>
      </c>
      <c r="D1375" s="1551" t="n">
        <f aca="false">'Смета Внутр'!D1375</f>
        <v>4</v>
      </c>
      <c r="F1375" s="1551" t="n">
        <f aca="false">'Смета Внутр'!E1375</f>
        <v>100</v>
      </c>
      <c r="G1375" s="1551" t="n">
        <f aca="false">'Смета Внутр'!H1375</f>
        <v>0</v>
      </c>
      <c r="I1375" s="3179" t="n">
        <f aca="false">IF(F1375&lt;H1375,F1375*(D1375-E1375),0)+IF(H1375=0,(D1375-E1375)*F1375,0)+IF(H1375&lt;F1375,H1375*(D1375-E1375),0)</f>
        <v>400</v>
      </c>
      <c r="J1375" s="3179" t="n">
        <f aca="false">G1375-I1375</f>
        <v>-400</v>
      </c>
    </row>
    <row r="1376" customFormat="false" ht="15" hidden="false" customHeight="true" outlineLevel="0" collapsed="false">
      <c r="B1376" s="1551" t="str">
        <f aca="false">'Смета Внутр'!B1376</f>
        <v>торцевая планка</v>
      </c>
      <c r="C1376" s="1551" t="str">
        <f aca="false">'Смета Внутр'!C1376</f>
        <v>м.п.</v>
      </c>
      <c r="D1376" s="1551" t="n">
        <f aca="false">'Смета Внутр'!D1376</f>
        <v>10.5442719099992</v>
      </c>
      <c r="F1376" s="1551" t="n">
        <f aca="false">'Смета Внутр'!E1376</f>
        <v>100</v>
      </c>
      <c r="G1376" s="1551" t="n">
        <f aca="false">'Смета Внутр'!H1376</f>
        <v>0</v>
      </c>
      <c r="I1376" s="3179" t="n">
        <f aca="false">IF(F1376&lt;H1376,F1376*(D1376-E1376),0)+IF(H1376=0,(D1376-E1376)*F1376,0)+IF(H1376&lt;F1376,H1376*(D1376-E1376),0)</f>
        <v>1054.42719099992</v>
      </c>
      <c r="J1376" s="3179" t="n">
        <f aca="false">G1376-I1376</f>
        <v>-1054.42719099992</v>
      </c>
    </row>
    <row r="1377" customFormat="false" ht="15" hidden="false" customHeight="true" outlineLevel="0" collapsed="false">
      <c r="B1377" s="1551" t="str">
        <f aca="false">'Смета Внутр'!B1377</f>
        <v>Монтаж ондулина</v>
      </c>
      <c r="C1377" s="1551" t="str">
        <f aca="false">'Смета Внутр'!C1377</f>
        <v>м2</v>
      </c>
      <c r="D1377" s="1551" t="n">
        <f aca="false">'Смета Внутр'!D1377</f>
        <v>0</v>
      </c>
      <c r="F1377" s="1551" t="n">
        <f aca="false">'Смета Внутр'!E1377</f>
        <v>300</v>
      </c>
      <c r="G1377" s="1551" t="n">
        <f aca="false">'Смета Внутр'!H1377</f>
        <v>0</v>
      </c>
      <c r="I1377" s="3179" t="n">
        <f aca="false">IF(F1377&lt;H1377,F1377*(D1377-E1377),0)+IF(H1377=0,(D1377-E1377)*F1377,0)+IF(H1377&lt;F1377,H1377*(D1377-E1377),0)</f>
        <v>0</v>
      </c>
      <c r="J1377" s="3179" t="n">
        <f aca="false">G1377-I1377</f>
        <v>0</v>
      </c>
    </row>
    <row r="1378" customFormat="false" ht="15" hidden="false" customHeight="true" outlineLevel="0" collapsed="false">
      <c r="B1378" s="1551" t="str">
        <f aca="false">'Смета Внутр'!B1378</f>
        <v>Монтаж фанеры/osb</v>
      </c>
      <c r="C1378" s="1551" t="str">
        <f aca="false">'Смета Внутр'!C1378</f>
        <v>м2</v>
      </c>
      <c r="D1378" s="1551" t="n">
        <f aca="false">'Смета Внутр'!D1378</f>
        <v>20.0341166289984</v>
      </c>
      <c r="F1378" s="1551" t="n">
        <f aca="false">'Смета Внутр'!E1378</f>
        <v>200</v>
      </c>
      <c r="G1378" s="1551" t="n">
        <f aca="false">'Смета Внутр'!H1378</f>
        <v>0</v>
      </c>
      <c r="I1378" s="3179" t="n">
        <f aca="false">IF(F1378&lt;H1378,F1378*(D1378-E1378),0)+IF(H1378=0,(D1378-E1378)*F1378,0)+IF(H1378&lt;F1378,H1378*(D1378-E1378),0)</f>
        <v>4006.82332579968</v>
      </c>
      <c r="J1378" s="3179" t="n">
        <f aca="false">G1378-I1378</f>
        <v>-4006.82332579968</v>
      </c>
    </row>
    <row r="1379" customFormat="false" ht="15" hidden="false" customHeight="true" outlineLevel="0" collapsed="false">
      <c r="B1379" s="1551" t="str">
        <f aca="false">'Смета Внутр'!B1379</f>
        <v>монтаж подкладочного ковра</v>
      </c>
      <c r="C1379" s="1551" t="str">
        <f aca="false">'Смета Внутр'!C1379</f>
        <v>м2</v>
      </c>
      <c r="D1379" s="1551" t="n">
        <f aca="false">'Смета Внутр'!D1379</f>
        <v>0</v>
      </c>
      <c r="F1379" s="1551" t="n">
        <f aca="false">'Смета Внутр'!E1379</f>
        <v>150</v>
      </c>
      <c r="G1379" s="1551" t="n">
        <f aca="false">'Смета Внутр'!H1379</f>
        <v>0</v>
      </c>
      <c r="I1379" s="3179" t="n">
        <f aca="false">IF(F1379&lt;H1379,F1379*(D1379-E1379),0)+IF(H1379=0,(D1379-E1379)*F1379,0)+IF(H1379&lt;F1379,H1379*(D1379-E1379),0)</f>
        <v>0</v>
      </c>
      <c r="J1379" s="3179" t="n">
        <f aca="false">G1379-I1379</f>
        <v>0</v>
      </c>
    </row>
    <row r="1380" customFormat="false" ht="15" hidden="false" customHeight="true" outlineLevel="0" collapsed="false">
      <c r="B1380" s="1551" t="str">
        <f aca="false">'Смета Внутр'!B1380</f>
        <v>Монтаж мягкой кровли</v>
      </c>
      <c r="C1380" s="1551" t="str">
        <f aca="false">'Смета Внутр'!C1380</f>
        <v>м2</v>
      </c>
      <c r="D1380" s="1551" t="n">
        <f aca="false">'Смета Внутр'!D1380</f>
        <v>0</v>
      </c>
      <c r="F1380" s="1551" t="n">
        <f aca="false">'Смета Внутр'!E1380</f>
        <v>350</v>
      </c>
      <c r="G1380" s="1551" t="n">
        <f aca="false">'Смета Внутр'!H1380</f>
        <v>0</v>
      </c>
      <c r="I1380" s="3179" t="n">
        <f aca="false">IF(F1380&lt;H1380,F1380*(D1380-E1380),0)+IF(H1380=0,(D1380-E1380)*F1380,0)+IF(H1380&lt;F1380,H1380*(D1380-E1380),0)</f>
        <v>0</v>
      </c>
      <c r="J1380" s="3179" t="n">
        <f aca="false">G1380-I1380</f>
        <v>0</v>
      </c>
    </row>
    <row r="1381" customFormat="false" ht="15" hidden="false" customHeight="false" outlineLevel="0" collapsed="false">
      <c r="B1381" s="1692" t="s">
        <v>4333</v>
      </c>
      <c r="C1381" s="1692"/>
      <c r="D1381" s="1692"/>
      <c r="E1381" s="1692"/>
      <c r="F1381" s="1692"/>
      <c r="G1381" s="1551" t="n">
        <f aca="false">'Смета Внутр'!H1381</f>
        <v>0</v>
      </c>
      <c r="H1381" s="1584"/>
      <c r="I1381" s="3179" t="n">
        <f aca="false">IF(F1381&lt;H1381,F1381*(D1381-E1381),0)+IF(H1381=0,(D1381-E1381)*F1381,0)+IF(H1381&lt;F1381,H1381*(D1381-E1381),0)</f>
        <v>0</v>
      </c>
      <c r="J1381" s="3179" t="n">
        <f aca="false">G1381-I1381</f>
        <v>0</v>
      </c>
    </row>
    <row r="1382" customFormat="false" ht="15" hidden="false" customHeight="true" outlineLevel="0" collapsed="false">
      <c r="B1382" s="1551" t="str">
        <f aca="false">'Смета Внутр'!B1382</f>
        <v>Кровля на пристройке</v>
      </c>
      <c r="C1382" s="1551" t="n">
        <f aca="false">'Смета Внутр'!C1382</f>
        <v>0</v>
      </c>
      <c r="D1382" s="1551" t="n">
        <f aca="false">'Смета Внутр'!D1382</f>
        <v>0</v>
      </c>
      <c r="F1382" s="1551" t="n">
        <f aca="false">'Смета Внутр'!E1382</f>
        <v>0</v>
      </c>
      <c r="G1382" s="1551" t="n">
        <f aca="false">'Смета Внутр'!H1382</f>
        <v>0</v>
      </c>
      <c r="I1382" s="3179" t="n">
        <f aca="false">IF(F1382&lt;H1382,F1382*(D1382-E1382),0)+IF(H1382=0,(D1382-E1382)*F1382,0)+IF(H1382&lt;F1382,H1382*(D1382-E1382),0)</f>
        <v>0</v>
      </c>
      <c r="J1382" s="3179" t="n">
        <f aca="false">G1382-I1382</f>
        <v>0</v>
      </c>
    </row>
    <row r="1383" customFormat="false" ht="15" hidden="false" customHeight="true" outlineLevel="0" collapsed="false">
      <c r="B1383" s="1268" t="str">
        <f aca="false">'Смета Внутр'!B1383</f>
        <v>Материалы</v>
      </c>
      <c r="C1383" s="1268"/>
      <c r="D1383" s="1268"/>
      <c r="E1383" s="1268"/>
      <c r="F1383" s="1268"/>
      <c r="G1383" s="1551" t="n">
        <f aca="false">'Смета Внутр'!H1383</f>
        <v>0</v>
      </c>
      <c r="H1383" s="3175"/>
      <c r="I1383" s="3179" t="n">
        <f aca="false">IF(F1383&lt;H1383,F1383*(D1383-E1383),0)+IF(H1383=0,(D1383-E1383)*F1383,0)+IF(H1383&lt;F1383,H1383*(D1383-E1383),0)</f>
        <v>0</v>
      </c>
      <c r="J1383" s="3179" t="n">
        <f aca="false">G1383-I1383</f>
        <v>0</v>
      </c>
    </row>
    <row r="1384" customFormat="false" ht="15" hidden="false" customHeight="true" outlineLevel="0" collapsed="false">
      <c r="B1384" s="1551" t="str">
        <f aca="false">'Смета Внутр'!B1384</f>
        <v>Доска сухая калиброванная, 190*45мм</v>
      </c>
      <c r="C1384" s="1551" t="str">
        <f aca="false">'Смета Внутр'!C1384</f>
        <v>м3</v>
      </c>
      <c r="D1384" s="1551" t="n">
        <f aca="false">'Смета Внутр'!D1384</f>
        <v>0</v>
      </c>
      <c r="F1384" s="1551" t="n">
        <f aca="false">'Смета Внутр'!E1384</f>
        <v>12500</v>
      </c>
      <c r="G1384" s="1551" t="n">
        <f aca="false">'Смета Внутр'!H1384</f>
        <v>0</v>
      </c>
      <c r="I1384" s="3179" t="n">
        <f aca="false">IF(F1384&lt;H1384,F1384*(D1384-E1384),0)+IF(H1384=0,(D1384-E1384)*F1384,0)+IF(H1384&lt;F1384,H1384*(D1384-E1384),0)</f>
        <v>0</v>
      </c>
      <c r="J1384" s="3179" t="n">
        <f aca="false">G1384-I1384</f>
        <v>0</v>
      </c>
    </row>
    <row r="1385" customFormat="false" ht="15" hidden="false" customHeight="true" outlineLevel="0" collapsed="false">
      <c r="B1385" s="1551" t="str">
        <f aca="false">'Смета Внутр'!B1385</f>
        <v>Болты анкерные с гайкой 12,0 х 280          </v>
      </c>
      <c r="C1385" s="1551" t="str">
        <f aca="false">'Смета Внутр'!C1385</f>
        <v>шт</v>
      </c>
      <c r="D1385" s="1551" t="n">
        <f aca="false">'Смета Внутр'!D1385</f>
        <v>0</v>
      </c>
      <c r="F1385" s="1551" t="n">
        <f aca="false">'Смета Внутр'!E1385</f>
        <v>27.1</v>
      </c>
      <c r="G1385" s="1551" t="n">
        <f aca="false">'Смета Внутр'!H1385</f>
        <v>0</v>
      </c>
      <c r="I1385" s="3179" t="n">
        <f aca="false">IF(F1385&lt;H1385,F1385*(D1385-E1385),0)+IF(H1385=0,(D1385-E1385)*F1385,0)+IF(H1385&lt;F1385,H1385*(D1385-E1385),0)</f>
        <v>0</v>
      </c>
      <c r="J1385" s="3179" t="n">
        <f aca="false">G1385-I1385</f>
        <v>0</v>
      </c>
    </row>
    <row r="1386" customFormat="false" ht="15" hidden="false" customHeight="true" outlineLevel="0" collapsed="false">
      <c r="B1386" s="1551" t="str">
        <f aca="false">'Смета Внутр'!B1386</f>
        <v>Доска сухая, 200*50мм</v>
      </c>
      <c r="C1386" s="1551" t="str">
        <f aca="false">'Смета Внутр'!C1386</f>
        <v>м3</v>
      </c>
      <c r="D1386" s="1551" t="n">
        <f aca="false">'Смета Внутр'!D1386</f>
        <v>0</v>
      </c>
      <c r="F1386" s="1551" t="n">
        <f aca="false">'Смета Внутр'!E1386</f>
        <v>9000</v>
      </c>
      <c r="G1386" s="1551" t="n">
        <f aca="false">'Смета Внутр'!H1386</f>
        <v>0</v>
      </c>
      <c r="I1386" s="3179" t="n">
        <f aca="false">IF(F1386&lt;H1386,F1386*(D1386-E1386),0)+IF(H1386=0,(D1386-E1386)*F1386,0)+IF(H1386&lt;F1386,H1386*(D1386-E1386),0)</f>
        <v>0</v>
      </c>
      <c r="J1386" s="3179" t="n">
        <f aca="false">G1386-I1386</f>
        <v>0</v>
      </c>
    </row>
    <row r="1387" customFormat="false" ht="15" hidden="false" customHeight="true" outlineLevel="0" collapsed="false">
      <c r="B1387" s="1551" t="str">
        <f aca="false">'Смета Внутр'!B1387</f>
        <v>бугель, доска </v>
      </c>
      <c r="C1387" s="1551" t="str">
        <f aca="false">'Смета Внутр'!C1387</f>
        <v>м3</v>
      </c>
      <c r="D1387" s="1551" t="n">
        <f aca="false">'Смета Внутр'!D1387</f>
        <v>0</v>
      </c>
      <c r="F1387" s="1551" t="n">
        <f aca="false">'Смета Внутр'!E1387</f>
        <v>9000</v>
      </c>
      <c r="G1387" s="1551" t="n">
        <f aca="false">'Смета Внутр'!H1387</f>
        <v>0</v>
      </c>
      <c r="I1387" s="3179" t="n">
        <f aca="false">IF(F1387&lt;H1387,F1387*(D1387-E1387),0)+IF(H1387=0,(D1387-E1387)*F1387,0)+IF(H1387&lt;F1387,H1387*(D1387-E1387),0)</f>
        <v>0</v>
      </c>
      <c r="J1387" s="3179" t="n">
        <f aca="false">G1387-I1387</f>
        <v>0</v>
      </c>
    </row>
    <row r="1388" customFormat="false" ht="15" hidden="false" customHeight="true" outlineLevel="0" collapsed="false">
      <c r="B1388" s="1551" t="str">
        <f aca="false">'Смета Внутр'!B1388</f>
        <v>Сосна влаж,100*25мм</v>
      </c>
      <c r="C1388" s="1551" t="str">
        <f aca="false">'Смета Внутр'!C1388</f>
        <v>м3</v>
      </c>
      <c r="D1388" s="1551" t="n">
        <f aca="false">'Смета Внутр'!D1388</f>
        <v>0</v>
      </c>
      <c r="F1388" s="1551" t="n">
        <f aca="false">'Смета Внутр'!E1388</f>
        <v>6500</v>
      </c>
      <c r="G1388" s="1551" t="n">
        <f aca="false">'Смета Внутр'!H1388</f>
        <v>0</v>
      </c>
      <c r="I1388" s="3179" t="n">
        <f aca="false">IF(F1388&lt;H1388,F1388*(D1388-E1388),0)+IF(H1388=0,(D1388-E1388)*F1388,0)+IF(H1388&lt;F1388,H1388*(D1388-E1388),0)</f>
        <v>0</v>
      </c>
      <c r="J1388" s="3179" t="n">
        <f aca="false">G1388-I1388</f>
        <v>0</v>
      </c>
    </row>
    <row r="1389" customFormat="false" ht="15" hidden="false" customHeight="true" outlineLevel="0" collapsed="false">
      <c r="B1389" s="1551" t="str">
        <f aca="false">'Смета Внутр'!B1389</f>
        <v>Доска сухая, калибр., 35*45мм</v>
      </c>
      <c r="C1389" s="1551" t="str">
        <f aca="false">'Смета Внутр'!C1389</f>
        <v>шт</v>
      </c>
      <c r="D1389" s="1551" t="n">
        <f aca="false">'Смета Внутр'!D1389</f>
        <v>0</v>
      </c>
      <c r="F1389" s="1551" t="n">
        <f aca="false">'Смета Внутр'!E1389</f>
        <v>12500</v>
      </c>
      <c r="G1389" s="1551" t="n">
        <f aca="false">'Смета Внутр'!H1389</f>
        <v>0</v>
      </c>
      <c r="I1389" s="3179" t="n">
        <f aca="false">IF(F1389&lt;H1389,F1389*(D1389-E1389),0)+IF(H1389=0,(D1389-E1389)*F1389,0)+IF(H1389&lt;F1389,H1389*(D1389-E1389),0)</f>
        <v>0</v>
      </c>
      <c r="J1389" s="3179" t="n">
        <f aca="false">G1389-I1389</f>
        <v>0</v>
      </c>
    </row>
    <row r="1390" customFormat="false" ht="15" hidden="false" customHeight="true" outlineLevel="0" collapsed="false">
      <c r="B1390" s="1551" t="str">
        <f aca="false">'Смета Внутр'!B1390</f>
        <v>Мембраны Tyvek Soft</v>
      </c>
      <c r="C1390" s="1551" t="str">
        <f aca="false">'Смета Внутр'!C1390</f>
        <v>м2</v>
      </c>
      <c r="D1390" s="1551" t="n">
        <f aca="false">'Смета Внутр'!D1390</f>
        <v>0</v>
      </c>
      <c r="F1390" s="1551" t="n">
        <f aca="false">'Смета Внутр'!E1390</f>
        <v>86</v>
      </c>
      <c r="G1390" s="1551" t="n">
        <f aca="false">'Смета Внутр'!H1390</f>
        <v>0</v>
      </c>
      <c r="I1390" s="3179" t="n">
        <f aca="false">IF(F1390&lt;H1390,F1390*(D1390-E1390),0)+IF(H1390=0,(D1390-E1390)*F1390,0)+IF(H1390&lt;F1390,H1390*(D1390-E1390),0)</f>
        <v>0</v>
      </c>
      <c r="J1390" s="3179" t="n">
        <f aca="false">G1390-I1390</f>
        <v>0</v>
      </c>
    </row>
    <row r="1391" customFormat="false" ht="15" hidden="false" customHeight="true" outlineLevel="0" collapsed="false">
      <c r="B1391" s="1551" t="str">
        <f aca="false">'Смета Внутр'!B1391</f>
        <v>Пленка Delta-Reflex</v>
      </c>
      <c r="C1391" s="1551" t="str">
        <f aca="false">'Смета Внутр'!C1391</f>
        <v>м2</v>
      </c>
      <c r="D1391" s="1551" t="n">
        <f aca="false">'Смета Внутр'!D1391</f>
        <v>0</v>
      </c>
      <c r="F1391" s="1551" t="n">
        <f aca="false">'Смета Внутр'!E1391</f>
        <v>156</v>
      </c>
      <c r="G1391" s="1551" t="n">
        <f aca="false">'Смета Внутр'!H1391</f>
        <v>0</v>
      </c>
      <c r="I1391" s="3179" t="n">
        <f aca="false">IF(F1391&lt;H1391,F1391*(D1391-E1391),0)+IF(H1391=0,(D1391-E1391)*F1391,0)+IF(H1391&lt;F1391,H1391*(D1391-E1391),0)</f>
        <v>0</v>
      </c>
      <c r="J1391" s="3179" t="n">
        <f aca="false">G1391-I1391</f>
        <v>0</v>
      </c>
    </row>
    <row r="1392" customFormat="false" ht="15" hidden="false" customHeight="true" outlineLevel="0" collapsed="false">
      <c r="B1392" s="1551" t="str">
        <f aca="false">'Смета Внутр'!B1392</f>
        <v>Плитный,28кг/м3, технониколь, 200мм</v>
      </c>
      <c r="C1392" s="1551" t="str">
        <f aca="false">'Смета Внутр'!C1392</f>
        <v>м3</v>
      </c>
      <c r="D1392" s="1551" t="n">
        <f aca="false">'Смета Внутр'!D1392</f>
        <v>0</v>
      </c>
      <c r="F1392" s="1551" t="n">
        <f aca="false">'Смета Внутр'!E1392</f>
        <v>1700</v>
      </c>
      <c r="G1392" s="1551" t="n">
        <f aca="false">'Смета Внутр'!H1392</f>
        <v>0</v>
      </c>
      <c r="I1392" s="3179" t="n">
        <f aca="false">IF(F1392&lt;H1392,F1392*(D1392-E1392),0)+IF(H1392=0,(D1392-E1392)*F1392,0)+IF(H1392&lt;F1392,H1392*(D1392-E1392),0)</f>
        <v>0</v>
      </c>
      <c r="J1392" s="3179" t="n">
        <f aca="false">G1392-I1392</f>
        <v>0</v>
      </c>
    </row>
    <row r="1393" customFormat="false" ht="15" hidden="false" customHeight="true" outlineLevel="0" collapsed="false">
      <c r="B1393" s="1551" t="str">
        <f aca="false">'Смета Внутр'!B1393</f>
        <v>металлочерепица</v>
      </c>
      <c r="C1393" s="1551" t="str">
        <f aca="false">'Смета Внутр'!C1393</f>
        <v>м2</v>
      </c>
      <c r="D1393" s="1551" t="n">
        <f aca="false">'Смета Внутр'!D1393</f>
        <v>0</v>
      </c>
      <c r="F1393" s="1551" t="n">
        <f aca="false">'Смета Внутр'!E1393</f>
        <v>250</v>
      </c>
      <c r="G1393" s="1551" t="n">
        <f aca="false">'Смета Внутр'!H1393</f>
        <v>0</v>
      </c>
      <c r="I1393" s="3179" t="n">
        <f aca="false">IF(F1393&lt;H1393,F1393*(D1393-E1393),0)+IF(H1393=0,(D1393-E1393)*F1393,0)+IF(H1393&lt;F1393,H1393*(D1393-E1393),0)</f>
        <v>0</v>
      </c>
      <c r="J1393" s="3179" t="n">
        <f aca="false">G1393-I1393</f>
        <v>0</v>
      </c>
    </row>
    <row r="1394" customFormat="false" ht="15" hidden="false" customHeight="true" outlineLevel="0" collapsed="false">
      <c r="B1394" s="1551" t="str">
        <f aca="false">'Смета Внутр'!B1394</f>
        <v>Карнизная планка</v>
      </c>
      <c r="C1394" s="1551" t="str">
        <f aca="false">'Смета Внутр'!C1394</f>
        <v>м.п.</v>
      </c>
      <c r="D1394" s="1551" t="n">
        <f aca="false">'Смета Внутр'!D1394</f>
        <v>0</v>
      </c>
      <c r="F1394" s="1551" t="n">
        <f aca="false">'Смета Внутр'!E1394</f>
        <v>200</v>
      </c>
      <c r="G1394" s="1551" t="n">
        <f aca="false">'Смета Внутр'!H1394</f>
        <v>0</v>
      </c>
      <c r="I1394" s="3179" t="n">
        <f aca="false">IF(F1394&lt;H1394,F1394*(D1394-E1394),0)+IF(H1394=0,(D1394-E1394)*F1394,0)+IF(H1394&lt;F1394,H1394*(D1394-E1394),0)</f>
        <v>0</v>
      </c>
      <c r="J1394" s="3179" t="n">
        <f aca="false">G1394-I1394</f>
        <v>0</v>
      </c>
    </row>
    <row r="1395" customFormat="false" ht="15" hidden="false" customHeight="true" outlineLevel="0" collapsed="false">
      <c r="B1395" s="1551" t="str">
        <f aca="false">'Смета Внутр'!B1395</f>
        <v>Торцевая планка</v>
      </c>
      <c r="C1395" s="1551" t="str">
        <f aca="false">'Смета Внутр'!C1395</f>
        <v>м.п.</v>
      </c>
      <c r="D1395" s="1551" t="n">
        <f aca="false">'Смета Внутр'!D1395</f>
        <v>0</v>
      </c>
      <c r="F1395" s="1551" t="n">
        <f aca="false">'Смета Внутр'!E1395</f>
        <v>200</v>
      </c>
      <c r="G1395" s="1551" t="n">
        <f aca="false">'Смета Внутр'!H1395</f>
        <v>0</v>
      </c>
      <c r="I1395" s="3179" t="n">
        <f aca="false">IF(F1395&lt;H1395,F1395*(D1395-E1395),0)+IF(H1395=0,(D1395-E1395)*F1395,0)+IF(H1395&lt;F1395,H1395*(D1395-E1395),0)</f>
        <v>0</v>
      </c>
      <c r="J1395" s="3179" t="n">
        <f aca="false">G1395-I1395</f>
        <v>0</v>
      </c>
    </row>
    <row r="1396" customFormat="false" ht="15" hidden="false" customHeight="true" outlineLevel="0" collapsed="false">
      <c r="B1396" s="1551" t="str">
        <f aca="false">'Смета Внутр'!B1396</f>
        <v>Конек</v>
      </c>
      <c r="C1396" s="1551" t="str">
        <f aca="false">'Смета Внутр'!C1396</f>
        <v>м.п.</v>
      </c>
      <c r="D1396" s="1551" t="n">
        <f aca="false">'Смета Внутр'!D1396</f>
        <v>0</v>
      </c>
      <c r="F1396" s="1551" t="n">
        <f aca="false">'Смета Внутр'!E1396</f>
        <v>230</v>
      </c>
      <c r="G1396" s="1551" t="n">
        <f aca="false">'Смета Внутр'!H1396</f>
        <v>0</v>
      </c>
      <c r="I1396" s="3179" t="n">
        <f aca="false">IF(F1396&lt;H1396,F1396*(D1396-E1396),0)+IF(H1396=0,(D1396-E1396)*F1396,0)+IF(H1396&lt;F1396,H1396*(D1396-E1396),0)</f>
        <v>0</v>
      </c>
      <c r="J1396" s="3179" t="n">
        <f aca="false">G1396-I1396</f>
        <v>0</v>
      </c>
    </row>
    <row r="1397" customFormat="false" ht="15" hidden="false" customHeight="true" outlineLevel="0" collapsed="false">
      <c r="B1397" s="1551" t="str">
        <f aca="false">'Смета Внутр'!B1397</f>
        <v>Ендова нижняя</v>
      </c>
      <c r="C1397" s="1551" t="str">
        <f aca="false">'Смета Внутр'!C1397</f>
        <v>м.п</v>
      </c>
      <c r="D1397" s="1551" t="n">
        <f aca="false">'Смета Внутр'!D1397</f>
        <v>0</v>
      </c>
      <c r="F1397" s="1551" t="n">
        <f aca="false">'Смета Внутр'!E1397</f>
        <v>160</v>
      </c>
      <c r="G1397" s="1551" t="n">
        <f aca="false">'Смета Внутр'!H1397</f>
        <v>0</v>
      </c>
      <c r="I1397" s="3179" t="n">
        <f aca="false">IF(F1397&lt;H1397,F1397*(D1397-E1397),0)+IF(H1397=0,(D1397-E1397)*F1397,0)+IF(H1397&lt;F1397,H1397*(D1397-E1397),0)</f>
        <v>0</v>
      </c>
      <c r="J1397" s="3179" t="n">
        <f aca="false">G1397-I1397</f>
        <v>0</v>
      </c>
    </row>
    <row r="1398" customFormat="false" ht="15" hidden="false" customHeight="true" outlineLevel="0" collapsed="false">
      <c r="B1398" s="1551" t="str">
        <f aca="false">'Смета Внутр'!B1398</f>
        <v>Планка примыкания</v>
      </c>
      <c r="C1398" s="1551" t="str">
        <f aca="false">'Смета Внутр'!C1398</f>
        <v>м.п.</v>
      </c>
      <c r="D1398" s="1551" t="n">
        <f aca="false">'Смета Внутр'!D1398</f>
        <v>0</v>
      </c>
      <c r="F1398" s="1551" t="n">
        <f aca="false">'Смета Внутр'!E1398</f>
        <v>190</v>
      </c>
      <c r="G1398" s="1551" t="n">
        <f aca="false">'Смета Внутр'!H1398</f>
        <v>0</v>
      </c>
      <c r="I1398" s="3179" t="n">
        <f aca="false">IF(F1398&lt;H1398,F1398*(D1398-E1398),0)+IF(H1398=0,(D1398-E1398)*F1398,0)+IF(H1398&lt;F1398,H1398*(D1398-E1398),0)</f>
        <v>0</v>
      </c>
      <c r="J1398" s="3179" t="n">
        <f aca="false">G1398-I1398</f>
        <v>0</v>
      </c>
    </row>
    <row r="1399" customFormat="false" ht="15" hidden="false" customHeight="true" outlineLevel="0" collapsed="false">
      <c r="B1399" s="1551" t="str">
        <f aca="false">'Смета Внутр'!B1399</f>
        <v>ондулин</v>
      </c>
      <c r="C1399" s="1551" t="str">
        <f aca="false">'Смета Внутр'!C1399</f>
        <v>м2</v>
      </c>
      <c r="D1399" s="1551" t="n">
        <f aca="false">'Смета Внутр'!D1399</f>
        <v>0</v>
      </c>
      <c r="F1399" s="1551" t="n">
        <f aca="false">'Смета Внутр'!E1399</f>
        <v>180</v>
      </c>
      <c r="G1399" s="1551" t="n">
        <f aca="false">'Смета Внутр'!H1399</f>
        <v>0</v>
      </c>
      <c r="I1399" s="3179" t="n">
        <f aca="false">IF(F1399&lt;H1399,F1399*(D1399-E1399),0)+IF(H1399=0,(D1399-E1399)*F1399,0)+IF(H1399&lt;F1399,H1399*(D1399-E1399),0)</f>
        <v>0</v>
      </c>
      <c r="J1399" s="3179" t="n">
        <f aca="false">G1399-I1399</f>
        <v>0</v>
      </c>
    </row>
    <row r="1400" customFormat="false" ht="15" hidden="false" customHeight="true" outlineLevel="0" collapsed="false">
      <c r="B1400" s="1551" t="str">
        <f aca="false">'Смета Внутр'!B1400</f>
        <v>Карнизная планка</v>
      </c>
      <c r="C1400" s="1551" t="str">
        <f aca="false">'Смета Внутр'!C1400</f>
        <v>м.п.</v>
      </c>
      <c r="D1400" s="1551" t="n">
        <f aca="false">'Смета Внутр'!D1400</f>
        <v>0</v>
      </c>
      <c r="F1400" s="1551" t="n">
        <f aca="false">'Смета Внутр'!E1400</f>
        <v>190</v>
      </c>
      <c r="G1400" s="1551" t="n">
        <f aca="false">'Смета Внутр'!H1400</f>
        <v>0</v>
      </c>
      <c r="I1400" s="3179" t="n">
        <f aca="false">IF(F1400&lt;H1400,F1400*(D1400-E1400),0)+IF(H1400=0,(D1400-E1400)*F1400,0)+IF(H1400&lt;F1400,H1400*(D1400-E1400),0)</f>
        <v>0</v>
      </c>
      <c r="J1400" s="3179" t="n">
        <f aca="false">G1400-I1400</f>
        <v>0</v>
      </c>
    </row>
    <row r="1401" customFormat="false" ht="15" hidden="false" customHeight="true" outlineLevel="0" collapsed="false">
      <c r="B1401" s="1551" t="str">
        <f aca="false">'Смета Внутр'!B1401</f>
        <v>Торцевая планка</v>
      </c>
      <c r="C1401" s="1551" t="str">
        <f aca="false">'Смета Внутр'!C1401</f>
        <v>м.п.</v>
      </c>
      <c r="D1401" s="1551" t="n">
        <f aca="false">'Смета Внутр'!D1401</f>
        <v>0</v>
      </c>
      <c r="F1401" s="1551" t="n">
        <f aca="false">'Смета Внутр'!E1401</f>
        <v>190</v>
      </c>
      <c r="G1401" s="1551" t="n">
        <f aca="false">'Смета Внутр'!H1401</f>
        <v>0</v>
      </c>
      <c r="I1401" s="3179" t="n">
        <f aca="false">IF(F1401&lt;H1401,F1401*(D1401-E1401),0)+IF(H1401=0,(D1401-E1401)*F1401,0)+IF(H1401&lt;F1401,H1401*(D1401-E1401),0)</f>
        <v>0</v>
      </c>
      <c r="J1401" s="3179" t="n">
        <f aca="false">G1401-I1401</f>
        <v>0</v>
      </c>
    </row>
    <row r="1402" customFormat="false" ht="15" hidden="false" customHeight="true" outlineLevel="0" collapsed="false">
      <c r="B1402" s="1551" t="str">
        <f aca="false">'Смета Внутр'!B1402</f>
        <v>Конек</v>
      </c>
      <c r="C1402" s="1551" t="str">
        <f aca="false">'Смета Внутр'!C1402</f>
        <v>м.п.</v>
      </c>
      <c r="D1402" s="1551" t="n">
        <f aca="false">'Смета Внутр'!D1402</f>
        <v>0</v>
      </c>
      <c r="F1402" s="1551" t="n">
        <f aca="false">'Смета Внутр'!E1402</f>
        <v>200</v>
      </c>
      <c r="G1402" s="1551" t="n">
        <f aca="false">'Смета Внутр'!H1402</f>
        <v>0</v>
      </c>
      <c r="I1402" s="3179" t="n">
        <f aca="false">IF(F1402&lt;H1402,F1402*(D1402-E1402),0)+IF(H1402=0,(D1402-E1402)*F1402,0)+IF(H1402&lt;F1402,H1402*(D1402-E1402),0)</f>
        <v>0</v>
      </c>
      <c r="J1402" s="3179" t="n">
        <f aca="false">G1402-I1402</f>
        <v>0</v>
      </c>
    </row>
    <row r="1403" customFormat="false" ht="15" hidden="false" customHeight="true" outlineLevel="0" collapsed="false">
      <c r="B1403" s="1551" t="str">
        <f aca="false">'Смета Внутр'!B1403</f>
        <v>Ендова нижняя</v>
      </c>
      <c r="C1403" s="1551" t="str">
        <f aca="false">'Смета Внутр'!C1403</f>
        <v>м.п.</v>
      </c>
      <c r="D1403" s="1551" t="n">
        <f aca="false">'Смета Внутр'!D1403</f>
        <v>0</v>
      </c>
      <c r="F1403" s="1551" t="n">
        <f aca="false">'Смета Внутр'!E1403</f>
        <v>160</v>
      </c>
      <c r="G1403" s="1551" t="n">
        <f aca="false">'Смета Внутр'!H1403</f>
        <v>0</v>
      </c>
      <c r="I1403" s="3179" t="n">
        <f aca="false">IF(F1403&lt;H1403,F1403*(D1403-E1403),0)+IF(H1403=0,(D1403-E1403)*F1403,0)+IF(H1403&lt;F1403,H1403*(D1403-E1403),0)</f>
        <v>0</v>
      </c>
      <c r="J1403" s="3179" t="n">
        <f aca="false">G1403-I1403</f>
        <v>0</v>
      </c>
    </row>
    <row r="1404" customFormat="false" ht="15" hidden="false" customHeight="true" outlineLevel="0" collapsed="false">
      <c r="B1404" s="1551" t="str">
        <f aca="false">'Смета Внутр'!B1404</f>
        <v>Ендова верхняя</v>
      </c>
      <c r="C1404" s="1551" t="str">
        <f aca="false">'Смета Внутр'!C1404</f>
        <v>м.п.</v>
      </c>
      <c r="D1404" s="1551" t="n">
        <f aca="false">'Смета Внутр'!D1404</f>
        <v>0</v>
      </c>
      <c r="F1404" s="1551" t="n">
        <f aca="false">'Смета Внутр'!E1404</f>
        <v>190</v>
      </c>
      <c r="G1404" s="1551" t="n">
        <f aca="false">'Смета Внутр'!H1404</f>
        <v>0</v>
      </c>
      <c r="I1404" s="3179" t="n">
        <f aca="false">IF(F1404&lt;H1404,F1404*(D1404-E1404),0)+IF(H1404=0,(D1404-E1404)*F1404,0)+IF(H1404&lt;F1404,H1404*(D1404-E1404),0)</f>
        <v>0</v>
      </c>
      <c r="J1404" s="3179" t="n">
        <f aca="false">G1404-I1404</f>
        <v>0</v>
      </c>
    </row>
    <row r="1405" customFormat="false" ht="15" hidden="false" customHeight="true" outlineLevel="0" collapsed="false">
      <c r="B1405" s="1551" t="str">
        <f aca="false">'Смета Внутр'!B1405</f>
        <v>Планка примыкания</v>
      </c>
      <c r="C1405" s="1551" t="str">
        <f aca="false">'Смета Внутр'!C1405</f>
        <v>м.п.</v>
      </c>
      <c r="D1405" s="1551" t="n">
        <f aca="false">'Смета Внутр'!D1405</f>
        <v>0</v>
      </c>
      <c r="F1405" s="1551" t="n">
        <f aca="false">'Смета Внутр'!E1405</f>
        <v>190</v>
      </c>
      <c r="G1405" s="1551" t="n">
        <f aca="false">'Смета Внутр'!H1405</f>
        <v>0</v>
      </c>
      <c r="I1405" s="3179" t="n">
        <f aca="false">IF(F1405&lt;H1405,F1405*(D1405-E1405),0)+IF(H1405=0,(D1405-E1405)*F1405,0)+IF(H1405&lt;F1405,H1405*(D1405-E1405),0)</f>
        <v>0</v>
      </c>
      <c r="J1405" s="3179" t="n">
        <f aca="false">G1405-I1405</f>
        <v>0</v>
      </c>
    </row>
    <row r="1406" customFormat="false" ht="15" hidden="false" customHeight="true" outlineLevel="0" collapsed="false">
      <c r="B1406" s="1551" t="str">
        <f aca="false">'Смета Внутр'!B1406</f>
        <v>Крепеж для ондулина</v>
      </c>
      <c r="C1406" s="1551" t="str">
        <f aca="false">'Смета Внутр'!C1406</f>
        <v>шт</v>
      </c>
      <c r="D1406" s="1551" t="n">
        <f aca="false">'Смета Внутр'!D1406</f>
        <v>0</v>
      </c>
      <c r="F1406" s="1551" t="n">
        <f aca="false">'Смета Внутр'!E1406</f>
        <v>4.5</v>
      </c>
      <c r="G1406" s="1551" t="n">
        <f aca="false">'Смета Внутр'!H1406</f>
        <v>0</v>
      </c>
      <c r="I1406" s="3179" t="n">
        <f aca="false">IF(F1406&lt;H1406,F1406*(D1406-E1406),0)+IF(H1406=0,(D1406-E1406)*F1406,0)+IF(H1406&lt;F1406,H1406*(D1406-E1406),0)</f>
        <v>0</v>
      </c>
      <c r="J1406" s="3179" t="n">
        <f aca="false">G1406-I1406</f>
        <v>0</v>
      </c>
    </row>
    <row r="1407" customFormat="false" ht="15" hidden="false" customHeight="true" outlineLevel="0" collapsed="false">
      <c r="B1407" s="1551" t="str">
        <f aca="false">'Смета Внутр'!B1407</f>
        <v>нет</v>
      </c>
      <c r="C1407" s="1551" t="str">
        <f aca="false">'Смета Внутр'!C1407</f>
        <v>м2</v>
      </c>
      <c r="D1407" s="1551" t="n">
        <f aca="false">'Смета Внутр'!D1407</f>
        <v>0</v>
      </c>
      <c r="F1407" s="1551" t="n">
        <f aca="false">'Смета Внутр'!E1407</f>
        <v>0</v>
      </c>
      <c r="G1407" s="1551" t="n">
        <f aca="false">'Смета Внутр'!H1407</f>
        <v>0</v>
      </c>
      <c r="I1407" s="3179" t="n">
        <f aca="false">IF(F1407&lt;H1407,F1407*(D1407-E1407),0)+IF(H1407=0,(D1407-E1407)*F1407,0)+IF(H1407&lt;F1407,H1407*(D1407-E1407),0)</f>
        <v>0</v>
      </c>
      <c r="J1407" s="3179" t="n">
        <f aca="false">G1407-I1407</f>
        <v>0</v>
      </c>
    </row>
    <row r="1408" customFormat="false" ht="15" hidden="false" customHeight="true" outlineLevel="0" collapsed="false">
      <c r="B1408" s="1551" t="str">
        <f aca="false">'Смета Внутр'!B1408</f>
        <v>Рядовая черепица</v>
      </c>
      <c r="C1408" s="1551" t="str">
        <f aca="false">'Смета Внутр'!C1408</f>
        <v>м2</v>
      </c>
      <c r="D1408" s="1551" t="n">
        <f aca="false">'Смета Внутр'!D1408</f>
        <v>0</v>
      </c>
      <c r="F1408" s="1551" t="n">
        <f aca="false">'Смета Внутр'!E1408</f>
        <v>360</v>
      </c>
      <c r="G1408" s="1551" t="n">
        <f aca="false">'Смета Внутр'!H1408</f>
        <v>0</v>
      </c>
      <c r="I1408" s="3179" t="n">
        <f aca="false">IF(F1408&lt;H1408,F1408*(D1408-E1408),0)+IF(H1408=0,(D1408-E1408)*F1408,0)+IF(H1408&lt;F1408,H1408*(D1408-E1408),0)</f>
        <v>0</v>
      </c>
      <c r="J1408" s="3179" t="n">
        <f aca="false">G1408-I1408</f>
        <v>0</v>
      </c>
    </row>
    <row r="1409" customFormat="false" ht="15" hidden="false" customHeight="true" outlineLevel="0" collapsed="false">
      <c r="B1409" s="1551" t="str">
        <f aca="false">'Смета Внутр'!B1409</f>
        <v>Металл оцинк защита (карниз)</v>
      </c>
      <c r="C1409" s="1551" t="str">
        <f aca="false">'Смета Внутр'!C1409</f>
        <v>м.п.</v>
      </c>
      <c r="D1409" s="1551" t="n">
        <f aca="false">'Смета Внутр'!D1409</f>
        <v>0</v>
      </c>
      <c r="F1409" s="1551" t="n">
        <f aca="false">'Смета Внутр'!E1409</f>
        <v>200</v>
      </c>
      <c r="G1409" s="1551" t="n">
        <f aca="false">'Смета Внутр'!H1409</f>
        <v>0</v>
      </c>
      <c r="I1409" s="3179" t="n">
        <f aca="false">IF(F1409&lt;H1409,F1409*(D1409-E1409),0)+IF(H1409=0,(D1409-E1409)*F1409,0)+IF(H1409&lt;F1409,H1409*(D1409-E1409),0)</f>
        <v>0</v>
      </c>
      <c r="J1409" s="3179" t="n">
        <f aca="false">G1409-I1409</f>
        <v>0</v>
      </c>
    </row>
    <row r="1410" customFormat="false" ht="15" hidden="false" customHeight="true" outlineLevel="0" collapsed="false">
      <c r="B1410" s="1551" t="str">
        <f aca="false">'Смета Внутр'!B1410</f>
        <v>Подкладочный ковер</v>
      </c>
      <c r="C1410" s="1551" t="str">
        <f aca="false">'Смета Внутр'!C1410</f>
        <v>м.п.</v>
      </c>
      <c r="D1410" s="1551" t="n">
        <f aca="false">'Смета Внутр'!D1410</f>
        <v>0</v>
      </c>
      <c r="F1410" s="1551" t="n">
        <f aca="false">'Смета Внутр'!E1410</f>
        <v>220</v>
      </c>
      <c r="G1410" s="1551" t="n">
        <f aca="false">'Смета Внутр'!H1410</f>
        <v>0</v>
      </c>
      <c r="I1410" s="3179" t="n">
        <f aca="false">IF(F1410&lt;H1410,F1410*(D1410-E1410),0)+IF(H1410=0,(D1410-E1410)*F1410,0)+IF(H1410&lt;F1410,H1410*(D1410-E1410),0)</f>
        <v>0</v>
      </c>
      <c r="J1410" s="3179" t="n">
        <f aca="false">G1410-I1410</f>
        <v>0</v>
      </c>
    </row>
    <row r="1411" customFormat="false" ht="15" hidden="false" customHeight="true" outlineLevel="0" collapsed="false">
      <c r="B1411" s="1551" t="str">
        <f aca="false">'Смета Внутр'!B1411</f>
        <v>Карнизная самоклеющаяся черепица</v>
      </c>
      <c r="C1411" s="1551" t="str">
        <f aca="false">'Смета Внутр'!C1411</f>
        <v>м.п.</v>
      </c>
      <c r="D1411" s="1551" t="n">
        <f aca="false">'Смета Внутр'!D1411</f>
        <v>0</v>
      </c>
      <c r="F1411" s="1551" t="n">
        <f aca="false">'Смета Внутр'!E1411</f>
        <v>220</v>
      </c>
      <c r="G1411" s="1551" t="n">
        <f aca="false">'Смета Внутр'!H1411</f>
        <v>0</v>
      </c>
      <c r="I1411" s="3179" t="n">
        <f aca="false">IF(F1411&lt;H1411,F1411*(D1411-E1411),0)+IF(H1411=0,(D1411-E1411)*F1411,0)+IF(H1411&lt;F1411,H1411*(D1411-E1411),0)</f>
        <v>0</v>
      </c>
      <c r="J1411" s="3179" t="n">
        <f aca="false">G1411-I1411</f>
        <v>0</v>
      </c>
    </row>
    <row r="1412" customFormat="false" ht="15" hidden="false" customHeight="true" outlineLevel="0" collapsed="false">
      <c r="B1412" s="1551" t="str">
        <f aca="false">'Смета Внутр'!B1412</f>
        <v>Спец ковер ендова нижняя</v>
      </c>
      <c r="C1412" s="1551" t="str">
        <f aca="false">'Смета Внутр'!C1412</f>
        <v>м.п.</v>
      </c>
      <c r="D1412" s="1551" t="n">
        <f aca="false">'Смета Внутр'!D1412</f>
        <v>0</v>
      </c>
      <c r="F1412" s="1551" t="n">
        <f aca="false">'Смета Внутр'!E1412</f>
        <v>200</v>
      </c>
      <c r="G1412" s="1551" t="n">
        <f aca="false">'Смета Внутр'!H1412</f>
        <v>0</v>
      </c>
      <c r="I1412" s="3179" t="n">
        <f aca="false">IF(F1412&lt;H1412,F1412*(D1412-E1412),0)+IF(H1412=0,(D1412-E1412)*F1412,0)+IF(H1412&lt;F1412,H1412*(D1412-E1412),0)</f>
        <v>0</v>
      </c>
      <c r="J1412" s="3179" t="n">
        <f aca="false">G1412-I1412</f>
        <v>0</v>
      </c>
    </row>
    <row r="1413" customFormat="false" ht="15" hidden="false" customHeight="true" outlineLevel="0" collapsed="false">
      <c r="B1413" s="1551" t="str">
        <f aca="false">'Смета Внутр'!B1413</f>
        <v>Коньковой элемент</v>
      </c>
      <c r="C1413" s="1551" t="str">
        <f aca="false">'Смета Внутр'!C1413</f>
        <v>м.п.</v>
      </c>
      <c r="D1413" s="1551" t="n">
        <f aca="false">'Смета Внутр'!D1413</f>
        <v>0</v>
      </c>
      <c r="F1413" s="1551" t="n">
        <f aca="false">'Смета Внутр'!E1413</f>
        <v>250</v>
      </c>
      <c r="G1413" s="1551" t="n">
        <f aca="false">'Смета Внутр'!H1413</f>
        <v>0</v>
      </c>
      <c r="I1413" s="3179" t="n">
        <f aca="false">IF(F1413&lt;H1413,F1413*(D1413-E1413),0)+IF(H1413=0,(D1413-E1413)*F1413,0)+IF(H1413&lt;F1413,H1413*(D1413-E1413),0)</f>
        <v>0</v>
      </c>
      <c r="J1413" s="3179" t="n">
        <f aca="false">G1413-I1413</f>
        <v>0</v>
      </c>
    </row>
    <row r="1414" customFormat="false" ht="15" hidden="false" customHeight="true" outlineLevel="0" collapsed="false">
      <c r="B1414" s="1551" t="str">
        <f aca="false">'Смета Внутр'!B1414</f>
        <v>Планка премыкания</v>
      </c>
      <c r="C1414" s="1551" t="str">
        <f aca="false">'Смета Внутр'!C1414</f>
        <v>м.п.</v>
      </c>
      <c r="D1414" s="1551" t="n">
        <f aca="false">'Смета Внутр'!D1414</f>
        <v>0</v>
      </c>
      <c r="F1414" s="1551" t="n">
        <f aca="false">'Смета Внутр'!E1414</f>
        <v>200</v>
      </c>
      <c r="G1414" s="1551" t="n">
        <f aca="false">'Смета Внутр'!H1414</f>
        <v>0</v>
      </c>
      <c r="I1414" s="3179" t="n">
        <f aca="false">IF(F1414&lt;H1414,F1414*(D1414-E1414),0)+IF(H1414=0,(D1414-E1414)*F1414,0)+IF(H1414&lt;F1414,H1414*(D1414-E1414),0)</f>
        <v>0</v>
      </c>
      <c r="J1414" s="3179" t="n">
        <f aca="false">G1414-I1414</f>
        <v>0</v>
      </c>
    </row>
    <row r="1415" customFormat="false" ht="15" hidden="false" customHeight="true" outlineLevel="0" collapsed="false">
      <c r="B1415" s="1551" t="str">
        <f aca="false">'Смета Внутр'!B1415</f>
        <v>Гвозди для крепления подкладочного ковра</v>
      </c>
      <c r="C1415" s="1551" t="str">
        <f aca="false">'Смета Внутр'!C1415</f>
        <v>шт</v>
      </c>
      <c r="D1415" s="1551" t="n">
        <f aca="false">'Смета Внутр'!D1415</f>
        <v>0</v>
      </c>
      <c r="F1415" s="1551" t="n">
        <f aca="false">'Смета Внутр'!E1415</f>
        <v>0.012</v>
      </c>
      <c r="G1415" s="1551" t="n">
        <f aca="false">'Смета Внутр'!H1415</f>
        <v>0</v>
      </c>
      <c r="I1415" s="3179" t="n">
        <f aca="false">IF(F1415&lt;H1415,F1415*(D1415-E1415),0)+IF(H1415=0,(D1415-E1415)*F1415,0)+IF(H1415&lt;F1415,H1415*(D1415-E1415),0)</f>
        <v>0</v>
      </c>
      <c r="J1415" s="3179" t="n">
        <f aca="false">G1415-I1415</f>
        <v>0</v>
      </c>
    </row>
    <row r="1416" customFormat="false" ht="15" hidden="false" customHeight="true" outlineLevel="0" collapsed="false">
      <c r="B1416" s="1551" t="str">
        <f aca="false">'Смета Внутр'!B1416</f>
        <v>Гвозди для крепления черепицы</v>
      </c>
      <c r="C1416" s="1551" t="str">
        <f aca="false">'Смета Внутр'!C1416</f>
        <v>шт</v>
      </c>
      <c r="D1416" s="1551" t="n">
        <f aca="false">'Смета Внутр'!D1416</f>
        <v>0</v>
      </c>
      <c r="F1416" s="1551" t="n">
        <f aca="false">'Смета Внутр'!E1416</f>
        <v>0.25</v>
      </c>
      <c r="G1416" s="1551" t="n">
        <f aca="false">'Смета Внутр'!H1416</f>
        <v>0</v>
      </c>
      <c r="I1416" s="3179" t="n">
        <f aca="false">IF(F1416&lt;H1416,F1416*(D1416-E1416),0)+IF(H1416=0,(D1416-E1416)*F1416,0)+IF(H1416&lt;F1416,H1416*(D1416-E1416),0)</f>
        <v>0</v>
      </c>
      <c r="J1416" s="3179" t="n">
        <f aca="false">G1416-I1416</f>
        <v>0</v>
      </c>
    </row>
    <row r="1417" customFormat="false" ht="15" hidden="false" customHeight="true" outlineLevel="0" collapsed="false">
      <c r="B1417" s="1551" t="str">
        <f aca="false">'Смета Внутр'!B1417</f>
        <v>Клей для монтажа черепицы</v>
      </c>
      <c r="C1417" s="1551" t="str">
        <f aca="false">'Смета Внутр'!C1417</f>
        <v>кг</v>
      </c>
      <c r="D1417" s="1551" t="n">
        <f aca="false">'Смета Внутр'!D1417</f>
        <v>0</v>
      </c>
      <c r="F1417" s="1551" t="n">
        <f aca="false">'Смета Внутр'!E1417</f>
        <v>250</v>
      </c>
      <c r="G1417" s="1551" t="n">
        <f aca="false">'Смета Внутр'!H1417</f>
        <v>0</v>
      </c>
      <c r="I1417" s="3179" t="n">
        <f aca="false">IF(F1417&lt;H1417,F1417*(D1417-E1417),0)+IF(H1417=0,(D1417-E1417)*F1417,0)+IF(H1417&lt;F1417,H1417*(D1417-E1417),0)</f>
        <v>0</v>
      </c>
      <c r="J1417" s="3179" t="n">
        <f aca="false">G1417-I1417</f>
        <v>0</v>
      </c>
    </row>
    <row r="1418" customFormat="false" ht="15" hidden="false" customHeight="true" outlineLevel="0" collapsed="false">
      <c r="B1418" s="1551" t="str">
        <f aca="false">'Смета Внутр'!B1418</f>
        <v>желоб</v>
      </c>
      <c r="C1418" s="1551" t="str">
        <f aca="false">'Смета Внутр'!C1418</f>
        <v>м.п</v>
      </c>
      <c r="D1418" s="1551" t="n">
        <f aca="false">'Смета Внутр'!D1418</f>
        <v>0</v>
      </c>
      <c r="F1418" s="1551" t="n">
        <f aca="false">'Смета Внутр'!E1418</f>
        <v>300</v>
      </c>
      <c r="G1418" s="1551" t="n">
        <f aca="false">'Смета Внутр'!H1418</f>
        <v>0</v>
      </c>
      <c r="I1418" s="3179" t="n">
        <f aca="false">IF(F1418&lt;H1418,F1418*(D1418-E1418),0)+IF(H1418=0,(D1418-E1418)*F1418,0)+IF(H1418&lt;F1418,H1418*(D1418-E1418),0)</f>
        <v>0</v>
      </c>
      <c r="J1418" s="3179" t="n">
        <f aca="false">G1418-I1418</f>
        <v>0</v>
      </c>
    </row>
    <row r="1419" customFormat="false" ht="15" hidden="false" customHeight="true" outlineLevel="0" collapsed="false">
      <c r="B1419" s="1551" t="str">
        <f aca="false">'Смета Внутр'!B1419</f>
        <v>отвод</v>
      </c>
      <c r="C1419" s="1551" t="str">
        <f aca="false">'Смета Внутр'!C1419</f>
        <v>шт</v>
      </c>
      <c r="D1419" s="1551" t="n">
        <f aca="false">'Смета Внутр'!D1419</f>
        <v>0</v>
      </c>
      <c r="F1419" s="1551" t="n">
        <f aca="false">'Смета Внутр'!E1419</f>
        <v>250</v>
      </c>
      <c r="G1419" s="1551" t="n">
        <f aca="false">'Смета Внутр'!H1419</f>
        <v>0</v>
      </c>
      <c r="I1419" s="3179" t="n">
        <f aca="false">IF(F1419&lt;H1419,F1419*(D1419-E1419),0)+IF(H1419=0,(D1419-E1419)*F1419,0)+IF(H1419&lt;F1419,H1419*(D1419-E1419),0)</f>
        <v>0</v>
      </c>
      <c r="J1419" s="3179" t="n">
        <f aca="false">G1419-I1419</f>
        <v>0</v>
      </c>
    </row>
    <row r="1420" customFormat="false" ht="15" hidden="false" customHeight="true" outlineLevel="0" collapsed="false">
      <c r="B1420" s="1551" t="str">
        <f aca="false">'Смета Внутр'!B1420</f>
        <v>труба водосточная</v>
      </c>
      <c r="C1420" s="1551" t="str">
        <f aca="false">'Смета Внутр'!C1420</f>
        <v>м.п.</v>
      </c>
      <c r="D1420" s="1551" t="n">
        <f aca="false">'Смета Внутр'!D1420</f>
        <v>0</v>
      </c>
      <c r="F1420" s="1551" t="n">
        <f aca="false">'Смета Внутр'!E1420</f>
        <v>300</v>
      </c>
      <c r="G1420" s="1551" t="n">
        <f aca="false">'Смета Внутр'!H1420</f>
        <v>0</v>
      </c>
      <c r="I1420" s="3179" t="n">
        <f aca="false">IF(F1420&lt;H1420,F1420*(D1420-E1420),0)+IF(H1420=0,(D1420-E1420)*F1420,0)+IF(H1420&lt;F1420,H1420*(D1420-E1420),0)</f>
        <v>0</v>
      </c>
      <c r="J1420" s="3179" t="n">
        <f aca="false">G1420-I1420</f>
        <v>0</v>
      </c>
    </row>
    <row r="1421" customFormat="false" ht="15" hidden="false" customHeight="true" outlineLevel="0" collapsed="false">
      <c r="B1421" s="1551" t="str">
        <f aca="false">'Смета Внутр'!B1421</f>
        <v>заглушка для желоба</v>
      </c>
      <c r="C1421" s="1551" t="str">
        <f aca="false">'Смета Внутр'!C1421</f>
        <v>шт</v>
      </c>
      <c r="D1421" s="1551" t="n">
        <f aca="false">'Смета Внутр'!D1421</f>
        <v>0</v>
      </c>
      <c r="F1421" s="1551" t="n">
        <f aca="false">'Смета Внутр'!E1421</f>
        <v>190</v>
      </c>
      <c r="G1421" s="1551" t="n">
        <f aca="false">'Смета Внутр'!H1421</f>
        <v>0</v>
      </c>
      <c r="I1421" s="3179" t="n">
        <f aca="false">IF(F1421&lt;H1421,F1421*(D1421-E1421),0)+IF(H1421=0,(D1421-E1421)*F1421,0)+IF(H1421&lt;F1421,H1421*(D1421-E1421),0)</f>
        <v>0</v>
      </c>
      <c r="J1421" s="3179" t="n">
        <f aca="false">G1421-I1421</f>
        <v>0</v>
      </c>
    </row>
    <row r="1422" customFormat="false" ht="15" hidden="false" customHeight="true" outlineLevel="0" collapsed="false">
      <c r="B1422" s="1551" t="str">
        <f aca="false">'Смета Внутр'!B1422</f>
        <v>соеденитель для желоба</v>
      </c>
      <c r="C1422" s="1551" t="str">
        <f aca="false">'Смета Внутр'!C1422</f>
        <v>шт</v>
      </c>
      <c r="D1422" s="1551" t="n">
        <f aca="false">'Смета Внутр'!D1422</f>
        <v>2</v>
      </c>
      <c r="F1422" s="1551" t="n">
        <f aca="false">'Смета Внутр'!E1422</f>
        <v>180</v>
      </c>
      <c r="G1422" s="1551" t="n">
        <f aca="false">'Смета Внутр'!H1422</f>
        <v>0</v>
      </c>
      <c r="I1422" s="3179" t="n">
        <f aca="false">IF(F1422&lt;H1422,F1422*(D1422-E1422),0)+IF(H1422=0,(D1422-E1422)*F1422,0)+IF(H1422&lt;F1422,H1422*(D1422-E1422),0)</f>
        <v>360</v>
      </c>
      <c r="J1422" s="3179" t="n">
        <f aca="false">G1422-I1422</f>
        <v>-360</v>
      </c>
    </row>
    <row r="1423" customFormat="false" ht="15" hidden="false" customHeight="true" outlineLevel="0" collapsed="false">
      <c r="B1423" s="1551" t="str">
        <f aca="false">'Смета Внутр'!B1423</f>
        <v>кронштейн для желоба</v>
      </c>
      <c r="C1423" s="1551" t="str">
        <f aca="false">'Смета Внутр'!C1423</f>
        <v>шт</v>
      </c>
      <c r="D1423" s="1551" t="n">
        <f aca="false">'Смета Внутр'!D1423</f>
        <v>0</v>
      </c>
      <c r="F1423" s="1551" t="n">
        <f aca="false">'Смета Внутр'!E1423</f>
        <v>130</v>
      </c>
      <c r="G1423" s="1551" t="n">
        <f aca="false">'Смета Внутр'!H1423</f>
        <v>0</v>
      </c>
      <c r="I1423" s="3179" t="n">
        <f aca="false">IF(F1423&lt;H1423,F1423*(D1423-E1423),0)+IF(H1423=0,(D1423-E1423)*F1423,0)+IF(H1423&lt;F1423,H1423*(D1423-E1423),0)</f>
        <v>0</v>
      </c>
      <c r="J1423" s="3179" t="n">
        <f aca="false">G1423-I1423</f>
        <v>0</v>
      </c>
    </row>
    <row r="1424" customFormat="false" ht="15" hidden="false" customHeight="true" outlineLevel="0" collapsed="false">
      <c r="B1424" s="1551" t="str">
        <f aca="false">'Смета Внутр'!B1424</f>
        <v>переход из желоба в трубу</v>
      </c>
      <c r="C1424" s="1551" t="str">
        <f aca="false">'Смета Внутр'!C1424</f>
        <v>шт</v>
      </c>
      <c r="D1424" s="1551" t="n">
        <f aca="false">'Смета Внутр'!D1424</f>
        <v>0</v>
      </c>
      <c r="F1424" s="1551" t="n">
        <f aca="false">'Смета Внутр'!E1424</f>
        <v>350</v>
      </c>
      <c r="G1424" s="1551" t="n">
        <f aca="false">'Смета Внутр'!H1424</f>
        <v>0</v>
      </c>
      <c r="I1424" s="3179" t="n">
        <f aca="false">IF(F1424&lt;H1424,F1424*(D1424-E1424),0)+IF(H1424=0,(D1424-E1424)*F1424,0)+IF(H1424&lt;F1424,H1424*(D1424-E1424),0)</f>
        <v>0</v>
      </c>
      <c r="J1424" s="3179" t="n">
        <f aca="false">G1424-I1424</f>
        <v>0</v>
      </c>
    </row>
    <row r="1425" customFormat="false" ht="15" hidden="false" customHeight="true" outlineLevel="0" collapsed="false">
      <c r="B1425" s="1551" t="str">
        <f aca="false">'Смета Внутр'!B1425</f>
        <v>лента дельта мульти бэнд</v>
      </c>
      <c r="C1425" s="1551" t="str">
        <f aca="false">'Смета Внутр'!C1425</f>
        <v>шт</v>
      </c>
      <c r="D1425" s="1551" t="n">
        <f aca="false">'Смета Внутр'!D1425</f>
        <v>0</v>
      </c>
      <c r="F1425" s="1551" t="n">
        <f aca="false">'Смета Внутр'!E1425</f>
        <v>1200</v>
      </c>
      <c r="G1425" s="1551" t="n">
        <f aca="false">'Смета Внутр'!H1425</f>
        <v>0</v>
      </c>
      <c r="I1425" s="3179" t="n">
        <f aca="false">IF(F1425&lt;H1425,F1425*(D1425-E1425),0)+IF(H1425=0,(D1425-E1425)*F1425,0)+IF(H1425&lt;F1425,H1425*(D1425-E1425),0)</f>
        <v>0</v>
      </c>
      <c r="J1425" s="3179" t="n">
        <f aca="false">G1425-I1425</f>
        <v>0</v>
      </c>
    </row>
    <row r="1426" customFormat="false" ht="15" hidden="false" customHeight="true" outlineLevel="0" collapsed="false">
      <c r="B1426" s="1551" t="str">
        <f aca="false">'Смета Внутр'!B1426</f>
        <v>лента дельта sb-60</v>
      </c>
      <c r="C1426" s="1551" t="str">
        <f aca="false">'Смета Внутр'!C1426</f>
        <v>шт</v>
      </c>
      <c r="D1426" s="1551" t="n">
        <f aca="false">'Смета Внутр'!D1426</f>
        <v>0</v>
      </c>
      <c r="F1426" s="1551" t="n">
        <f aca="false">'Смета Внутр'!E1426</f>
        <v>1100</v>
      </c>
      <c r="G1426" s="1551" t="n">
        <f aca="false">'Смета Внутр'!H1426</f>
        <v>0</v>
      </c>
      <c r="I1426" s="3179" t="n">
        <f aca="false">IF(F1426&lt;H1426,F1426*(D1426-E1426),0)+IF(H1426=0,(D1426-E1426)*F1426,0)+IF(H1426&lt;F1426,H1426*(D1426-E1426),0)</f>
        <v>0</v>
      </c>
      <c r="J1426" s="3179" t="n">
        <f aca="false">G1426-I1426</f>
        <v>0</v>
      </c>
    </row>
    <row r="1427" customFormat="false" ht="15" hidden="false" customHeight="true" outlineLevel="0" collapsed="false">
      <c r="B1427" s="1551" t="str">
        <f aca="false">'Смета Внутр'!B1427</f>
        <v>Кровельный саморез</v>
      </c>
      <c r="C1427" s="1551" t="str">
        <f aca="false">'Смета Внутр'!C1427</f>
        <v>шт</v>
      </c>
      <c r="D1427" s="1551" t="n">
        <f aca="false">'Смета Внутр'!D1427</f>
        <v>0</v>
      </c>
      <c r="F1427" s="1551" t="n">
        <f aca="false">'Смета Внутр'!E1427</f>
        <v>2</v>
      </c>
      <c r="G1427" s="1551" t="n">
        <f aca="false">'Смета Внутр'!H1427</f>
        <v>0</v>
      </c>
      <c r="I1427" s="3179" t="n">
        <f aca="false">IF(F1427&lt;H1427,F1427*(D1427-E1427),0)+IF(H1427=0,(D1427-E1427)*F1427,0)+IF(H1427&lt;F1427,H1427*(D1427-E1427),0)</f>
        <v>0</v>
      </c>
      <c r="J1427" s="3179" t="n">
        <f aca="false">G1427-I1427</f>
        <v>0</v>
      </c>
    </row>
    <row r="1428" customFormat="false" ht="15" hidden="false" customHeight="true" outlineLevel="0" collapsed="false">
      <c r="B1428" s="1551" t="str">
        <f aca="false">'Смета Внутр'!B1428</f>
        <v>Гвозди ершоные 3,4 x 60            </v>
      </c>
      <c r="C1428" s="1551" t="str">
        <f aca="false">'Смета Внутр'!C1428</f>
        <v>кг</v>
      </c>
      <c r="D1428" s="1551" t="n">
        <f aca="false">'Смета Внутр'!D1428</f>
        <v>0</v>
      </c>
      <c r="F1428" s="1551" t="n">
        <f aca="false">'Смета Внутр'!E1428</f>
        <v>75.51</v>
      </c>
      <c r="G1428" s="1551" t="n">
        <f aca="false">'Смета Внутр'!H1428</f>
        <v>0</v>
      </c>
      <c r="I1428" s="3179" t="n">
        <f aca="false">IF(F1428&lt;H1428,F1428*(D1428-E1428),0)+IF(H1428=0,(D1428-E1428)*F1428,0)+IF(H1428&lt;F1428,H1428*(D1428-E1428),0)</f>
        <v>0</v>
      </c>
      <c r="J1428" s="3179" t="n">
        <f aca="false">G1428-I1428</f>
        <v>0</v>
      </c>
    </row>
    <row r="1429" customFormat="false" ht="15" hidden="false" customHeight="true" outlineLevel="0" collapsed="false">
      <c r="B1429" s="1551" t="str">
        <f aca="false">'Смета Внутр'!B1429</f>
        <v>Гвозди ершоные 2,8 х 90            </v>
      </c>
      <c r="C1429" s="1551" t="str">
        <f aca="false">'Смета Внутр'!C1429</f>
        <v>кг</v>
      </c>
      <c r="D1429" s="1551" t="n">
        <f aca="false">'Смета Внутр'!D1429</f>
        <v>0</v>
      </c>
      <c r="F1429" s="1551" t="n">
        <f aca="false">'Смета Внутр'!E1429</f>
        <v>76.49</v>
      </c>
      <c r="G1429" s="1551" t="n">
        <f aca="false">'Смета Внутр'!H1429</f>
        <v>0</v>
      </c>
      <c r="I1429" s="3179" t="n">
        <f aca="false">IF(F1429&lt;H1429,F1429*(D1429-E1429),0)+IF(H1429=0,(D1429-E1429)*F1429,0)+IF(H1429&lt;F1429,H1429*(D1429-E1429),0)</f>
        <v>0</v>
      </c>
      <c r="J1429" s="3179" t="n">
        <f aca="false">G1429-I1429</f>
        <v>0</v>
      </c>
    </row>
    <row r="1430" customFormat="false" ht="15" hidden="false" customHeight="true" outlineLevel="0" collapsed="false">
      <c r="B1430" s="1551" t="str">
        <f aca="false">'Смета Внутр'!B1430</f>
        <v>Уголок усиленный 90х70х55х2,5        </v>
      </c>
      <c r="C1430" s="1551" t="str">
        <f aca="false">'Смета Внутр'!C1430</f>
        <v>шт</v>
      </c>
      <c r="D1430" s="1551" t="n">
        <f aca="false">'Смета Внутр'!D1430</f>
        <v>0</v>
      </c>
      <c r="F1430" s="1551" t="n">
        <f aca="false">'Смета Внутр'!E1430</f>
        <v>30</v>
      </c>
      <c r="G1430" s="1551" t="n">
        <f aca="false">'Смета Внутр'!H1430</f>
        <v>0</v>
      </c>
      <c r="I1430" s="3179" t="n">
        <f aca="false">IF(F1430&lt;H1430,F1430*(D1430-E1430),0)+IF(H1430=0,(D1430-E1430)*F1430,0)+IF(H1430&lt;F1430,H1430*(D1430-E1430),0)</f>
        <v>0</v>
      </c>
      <c r="J1430" s="3179" t="n">
        <f aca="false">G1430-I1430</f>
        <v>0</v>
      </c>
    </row>
    <row r="1431" customFormat="false" ht="15" hidden="false" customHeight="true" outlineLevel="0" collapsed="false">
      <c r="B1431" s="1692" t="s">
        <v>4332</v>
      </c>
      <c r="C1431" s="1692"/>
      <c r="D1431" s="1692"/>
      <c r="E1431" s="1692"/>
      <c r="F1431" s="1692"/>
      <c r="G1431" s="1551" t="n">
        <f aca="false">'Смета Внутр'!H1431</f>
        <v>0</v>
      </c>
      <c r="H1431" s="3184"/>
      <c r="I1431" s="3179" t="n">
        <f aca="false">IF(F1431&lt;H1431,F1431*(D1431-E1431),0)+IF(H1431=0,(D1431-E1431)*F1431,0)+IF(H1431&lt;F1431,H1431*(D1431-E1431),0)</f>
        <v>0</v>
      </c>
      <c r="J1431" s="3179" t="n">
        <f aca="false">G1431-I1431</f>
        <v>0</v>
      </c>
    </row>
    <row r="1432" customFormat="false" ht="15" hidden="false" customHeight="true" outlineLevel="0" collapsed="false">
      <c r="B1432" s="1268" t="str">
        <f aca="false">'Смета Внутр'!B1432</f>
        <v>Работы</v>
      </c>
      <c r="C1432" s="1268"/>
      <c r="D1432" s="1268"/>
      <c r="E1432" s="1268"/>
      <c r="F1432" s="1268"/>
      <c r="G1432" s="1551" t="n">
        <f aca="false">'Смета Внутр'!H1432</f>
        <v>0</v>
      </c>
      <c r="H1432" s="3175"/>
      <c r="I1432" s="3179" t="n">
        <f aca="false">IF(F1432&lt;H1432,F1432*(D1432-E1432),0)+IF(H1432=0,(D1432-E1432)*F1432,0)+IF(H1432&lt;F1432,H1432*(D1432-E1432),0)</f>
        <v>0</v>
      </c>
      <c r="J1432" s="3179" t="n">
        <f aca="false">G1432-I1432</f>
        <v>0</v>
      </c>
    </row>
    <row r="1433" customFormat="false" ht="15" hidden="false" customHeight="true" outlineLevel="0" collapsed="false">
      <c r="B1433" s="1551" t="str">
        <f aca="false">'Смета Внутр'!B1433</f>
        <v>монтаж мауэрлат</v>
      </c>
      <c r="C1433" s="1551" t="str">
        <f aca="false">'Смета Внутр'!C1433</f>
        <v>м.п.</v>
      </c>
      <c r="D1433" s="1551" t="n">
        <f aca="false">'Смета Внутр'!D1433</f>
        <v>0</v>
      </c>
      <c r="F1433" s="1551" t="n">
        <f aca="false">'Смета Внутр'!E1433</f>
        <v>250</v>
      </c>
      <c r="G1433" s="1551" t="n">
        <f aca="false">'Смета Внутр'!H1433</f>
        <v>0</v>
      </c>
      <c r="I1433" s="3179" t="n">
        <f aca="false">IF(F1433&lt;H1433,F1433*(D1433-E1433),0)+IF(H1433=0,(D1433-E1433)*F1433,0)+IF(H1433&lt;F1433,H1433*(D1433-E1433),0)</f>
        <v>0</v>
      </c>
      <c r="J1433" s="3179" t="n">
        <f aca="false">G1433-I1433</f>
        <v>0</v>
      </c>
    </row>
    <row r="1434" customFormat="false" ht="15" hidden="false" customHeight="true" outlineLevel="0" collapsed="false">
      <c r="B1434" s="1551" t="str">
        <f aca="false">'Смета Внутр'!B1434</f>
        <v>монтаж стропил</v>
      </c>
      <c r="C1434" s="1551" t="str">
        <f aca="false">'Смета Внутр'!C1434</f>
        <v>м2</v>
      </c>
      <c r="D1434" s="1551" t="n">
        <f aca="false">'Смета Внутр'!D1434</f>
        <v>0</v>
      </c>
      <c r="F1434" s="1551" t="n">
        <f aca="false">'Смета Внутр'!E1434</f>
        <v>450</v>
      </c>
      <c r="G1434" s="1551" t="n">
        <f aca="false">'Смета Внутр'!H1434</f>
        <v>0</v>
      </c>
      <c r="I1434" s="3179" t="n">
        <f aca="false">IF(F1434&lt;H1434,F1434*(D1434-E1434),0)+IF(H1434=0,(D1434-E1434)*F1434,0)+IF(H1434&lt;F1434,H1434*(D1434-E1434),0)</f>
        <v>0</v>
      </c>
      <c r="J1434" s="3179" t="n">
        <f aca="false">G1434-I1434</f>
        <v>0</v>
      </c>
    </row>
    <row r="1435" customFormat="false" ht="15" hidden="false" customHeight="true" outlineLevel="0" collapsed="false">
      <c r="B1435" s="1551" t="str">
        <f aca="false">'Смета Внутр'!B1435</f>
        <v>обрешетка</v>
      </c>
      <c r="C1435" s="1551" t="str">
        <f aca="false">'Смета Внутр'!C1435</f>
        <v>м2</v>
      </c>
      <c r="D1435" s="1551" t="n">
        <f aca="false">'Смета Внутр'!D1435</f>
        <v>0</v>
      </c>
      <c r="F1435" s="1551" t="n">
        <f aca="false">'Смета Внутр'!E1435</f>
        <v>100</v>
      </c>
      <c r="G1435" s="1551" t="n">
        <f aca="false">'Смета Внутр'!H1435</f>
        <v>0</v>
      </c>
      <c r="I1435" s="3179" t="n">
        <f aca="false">IF(F1435&lt;H1435,F1435*(D1435-E1435),0)+IF(H1435=0,(D1435-E1435)*F1435,0)+IF(H1435&lt;F1435,H1435*(D1435-E1435),0)</f>
        <v>0</v>
      </c>
      <c r="J1435" s="3179" t="n">
        <f aca="false">G1435-I1435</f>
        <v>0</v>
      </c>
    </row>
    <row r="1436" customFormat="false" ht="15" hidden="false" customHeight="true" outlineLevel="0" collapsed="false">
      <c r="B1436" s="1551" t="str">
        <f aca="false">'Смета Внутр'!B1436</f>
        <v>контробеш</v>
      </c>
      <c r="C1436" s="1551" t="str">
        <f aca="false">'Смета Внутр'!C1436</f>
        <v>м2</v>
      </c>
      <c r="D1436" s="1551" t="n">
        <f aca="false">'Смета Внутр'!D1436</f>
        <v>0</v>
      </c>
      <c r="F1436" s="1551" t="n">
        <f aca="false">'Смета Внутр'!E1436</f>
        <v>100</v>
      </c>
      <c r="G1436" s="1551" t="n">
        <f aca="false">'Смета Внутр'!H1436</f>
        <v>0</v>
      </c>
      <c r="I1436" s="3179" t="n">
        <f aca="false">IF(F1436&lt;H1436,F1436*(D1436-E1436),0)+IF(H1436=0,(D1436-E1436)*F1436,0)+IF(H1436&lt;F1436,H1436*(D1436-E1436),0)</f>
        <v>0</v>
      </c>
      <c r="J1436" s="3179" t="n">
        <f aca="false">G1436-I1436</f>
        <v>0</v>
      </c>
    </row>
    <row r="1437" customFormat="false" ht="15" hidden="false" customHeight="true" outlineLevel="0" collapsed="false">
      <c r="B1437" s="1551" t="str">
        <f aca="false">'Смета Внутр'!B1437</f>
        <v>мембрана</v>
      </c>
      <c r="C1437" s="1551" t="str">
        <f aca="false">'Смета Внутр'!C1437</f>
        <v>м2</v>
      </c>
      <c r="D1437" s="1551" t="n">
        <f aca="false">'Смета Внутр'!D1437</f>
        <v>0</v>
      </c>
      <c r="F1437" s="1551" t="n">
        <f aca="false">'Смета Внутр'!E1437</f>
        <v>100</v>
      </c>
      <c r="G1437" s="1551" t="n">
        <f aca="false">'Смета Внутр'!H1437</f>
        <v>0</v>
      </c>
      <c r="I1437" s="3179" t="n">
        <f aca="false">IF(F1437&lt;H1437,F1437*(D1437-E1437),0)+IF(H1437=0,(D1437-E1437)*F1437,0)+IF(H1437&lt;F1437,H1437*(D1437-E1437),0)</f>
        <v>0</v>
      </c>
      <c r="J1437" s="3179" t="n">
        <f aca="false">G1437-I1437</f>
        <v>0</v>
      </c>
    </row>
    <row r="1438" customFormat="false" ht="15" hidden="false" customHeight="true" outlineLevel="0" collapsed="false">
      <c r="B1438" s="1551" t="str">
        <f aca="false">'Смета Внутр'!B1438</f>
        <v>пароизоляц</v>
      </c>
      <c r="C1438" s="1551" t="str">
        <f aca="false">'Смета Внутр'!C1438</f>
        <v>м2</v>
      </c>
      <c r="D1438" s="1551" t="n">
        <f aca="false">'Смета Внутр'!D1438</f>
        <v>0</v>
      </c>
      <c r="F1438" s="1551" t="n">
        <f aca="false">'Смета Внутр'!E1438</f>
        <v>100</v>
      </c>
      <c r="G1438" s="1551" t="n">
        <f aca="false">'Смета Внутр'!H1438</f>
        <v>0</v>
      </c>
      <c r="I1438" s="3179" t="n">
        <f aca="false">IF(F1438&lt;H1438,F1438*(D1438-E1438),0)+IF(H1438=0,(D1438-E1438)*F1438,0)+IF(H1438&lt;F1438,H1438*(D1438-E1438),0)</f>
        <v>0</v>
      </c>
      <c r="J1438" s="3179" t="n">
        <f aca="false">G1438-I1438</f>
        <v>0</v>
      </c>
    </row>
    <row r="1439" customFormat="false" ht="15" hidden="false" customHeight="true" outlineLevel="0" collapsed="false">
      <c r="B1439" s="1551" t="str">
        <f aca="false">'Смета Внутр'!B1439</f>
        <v>утеплитель</v>
      </c>
      <c r="C1439" s="1551" t="str">
        <f aca="false">'Смета Внутр'!C1439</f>
        <v>м2</v>
      </c>
      <c r="D1439" s="1551" t="n">
        <f aca="false">'Смета Внутр'!D1439</f>
        <v>0</v>
      </c>
      <c r="F1439" s="1551" t="n">
        <f aca="false">'Смета Внутр'!E1439</f>
        <v>200</v>
      </c>
      <c r="G1439" s="1551" t="n">
        <f aca="false">'Смета Внутр'!H1439</f>
        <v>0</v>
      </c>
      <c r="I1439" s="3179" t="n">
        <f aca="false">IF(F1439&lt;H1439,F1439*(D1439-E1439),0)+IF(H1439=0,(D1439-E1439)*F1439,0)+IF(H1439&lt;F1439,H1439*(D1439-E1439),0)</f>
        <v>0</v>
      </c>
      <c r="J1439" s="3179" t="n">
        <f aca="false">G1439-I1439</f>
        <v>0</v>
      </c>
    </row>
    <row r="1440" customFormat="false" ht="15" hidden="false" customHeight="true" outlineLevel="0" collapsed="false">
      <c r="B1440" s="1551" t="str">
        <f aca="false">'Смета Внутр'!B1440</f>
        <v>Монтаж металлочерепицы</v>
      </c>
      <c r="C1440" s="1551" t="str">
        <f aca="false">'Смета Внутр'!C1440</f>
        <v>м2</v>
      </c>
      <c r="D1440" s="1551" t="n">
        <f aca="false">'Смета Внутр'!D1440</f>
        <v>0</v>
      </c>
      <c r="F1440" s="1551" t="n">
        <f aca="false">'Смета Внутр'!E1440</f>
        <v>300</v>
      </c>
      <c r="G1440" s="1551" t="n">
        <f aca="false">'Смета Внутр'!H1440</f>
        <v>0</v>
      </c>
      <c r="I1440" s="3179" t="n">
        <f aca="false">IF(F1440&lt;H1440,F1440*(D1440-E1440),0)+IF(H1440=0,(D1440-E1440)*F1440,0)+IF(H1440&lt;F1440,H1440*(D1440-E1440),0)</f>
        <v>0</v>
      </c>
      <c r="J1440" s="3179" t="n">
        <f aca="false">G1440-I1440</f>
        <v>0</v>
      </c>
    </row>
    <row r="1441" customFormat="false" ht="15" hidden="false" customHeight="true" outlineLevel="0" collapsed="false">
      <c r="B1441" s="1551" t="str">
        <f aca="false">'Смета Внутр'!B1441</f>
        <v>карнизная планка</v>
      </c>
      <c r="C1441" s="1551" t="str">
        <f aca="false">'Смета Внутр'!C1441</f>
        <v>м2</v>
      </c>
      <c r="D1441" s="1551" t="n">
        <f aca="false">'Смета Внутр'!D1441</f>
        <v>0</v>
      </c>
      <c r="F1441" s="1551" t="n">
        <f aca="false">'Смета Внутр'!E1441</f>
        <v>100</v>
      </c>
      <c r="G1441" s="1551" t="n">
        <f aca="false">'Смета Внутр'!H1441</f>
        <v>0</v>
      </c>
      <c r="I1441" s="3179" t="n">
        <f aca="false">IF(F1441&lt;H1441,F1441*(D1441-E1441),0)+IF(H1441=0,(D1441-E1441)*F1441,0)+IF(H1441&lt;F1441,H1441*(D1441-E1441),0)</f>
        <v>0</v>
      </c>
      <c r="J1441" s="3179" t="n">
        <f aca="false">G1441-I1441</f>
        <v>0</v>
      </c>
    </row>
    <row r="1442" customFormat="false" ht="15" hidden="false" customHeight="true" outlineLevel="0" collapsed="false">
      <c r="B1442" s="1551" t="str">
        <f aca="false">'Смета Внутр'!B1442</f>
        <v>торцевая планка</v>
      </c>
      <c r="C1442" s="1551" t="str">
        <f aca="false">'Смета Внутр'!C1442</f>
        <v>м2</v>
      </c>
      <c r="D1442" s="1551" t="n">
        <f aca="false">'Смета Внутр'!D1442</f>
        <v>0</v>
      </c>
      <c r="F1442" s="1551" t="n">
        <f aca="false">'Смета Внутр'!E1442</f>
        <v>100</v>
      </c>
      <c r="G1442" s="1551" t="n">
        <f aca="false">'Смета Внутр'!H1442</f>
        <v>0</v>
      </c>
      <c r="I1442" s="3179" t="n">
        <f aca="false">IF(F1442&lt;H1442,F1442*(D1442-E1442),0)+IF(H1442=0,(D1442-E1442)*F1442,0)+IF(H1442&lt;F1442,H1442*(D1442-E1442),0)</f>
        <v>0</v>
      </c>
      <c r="J1442" s="3179" t="n">
        <f aca="false">G1442-I1442</f>
        <v>0</v>
      </c>
    </row>
    <row r="1443" customFormat="false" ht="15" hidden="false" customHeight="true" outlineLevel="0" collapsed="false">
      <c r="B1443" s="1551" t="str">
        <f aca="false">'Смета Внутр'!B1443</f>
        <v>желоб водосточный</v>
      </c>
      <c r="C1443" s="1551" t="str">
        <f aca="false">'Смета Внутр'!C1443</f>
        <v>м.п.</v>
      </c>
      <c r="D1443" s="1551" t="n">
        <f aca="false">'Смета Внутр'!D1443</f>
        <v>0</v>
      </c>
      <c r="F1443" s="1551" t="n">
        <f aca="false">'Смета Внутр'!E1443</f>
        <v>300</v>
      </c>
      <c r="G1443" s="1551" t="n">
        <f aca="false">'Смета Внутр'!H1443</f>
        <v>0</v>
      </c>
      <c r="I1443" s="3179" t="n">
        <f aca="false">IF(F1443&lt;H1443,F1443*(D1443-E1443),0)+IF(H1443=0,(D1443-E1443)*F1443,0)+IF(H1443&lt;F1443,H1443*(D1443-E1443),0)</f>
        <v>0</v>
      </c>
      <c r="J1443" s="3179" t="n">
        <f aca="false">G1443-I1443</f>
        <v>0</v>
      </c>
    </row>
    <row r="1444" customFormat="false" ht="15" hidden="false" customHeight="true" outlineLevel="0" collapsed="false">
      <c r="B1444" s="1551" t="str">
        <f aca="false">'Смета Внутр'!B1444</f>
        <v>труба водосточная</v>
      </c>
      <c r="C1444" s="1551" t="str">
        <f aca="false">'Смета Внутр'!C1444</f>
        <v>м.п.</v>
      </c>
      <c r="D1444" s="1551" t="n">
        <f aca="false">'Смета Внутр'!D1444</f>
        <v>0</v>
      </c>
      <c r="F1444" s="1551" t="n">
        <f aca="false">'Смета Внутр'!E1444</f>
        <v>300</v>
      </c>
      <c r="G1444" s="1551" t="n">
        <f aca="false">'Смета Внутр'!H1444</f>
        <v>0</v>
      </c>
      <c r="I1444" s="3179" t="n">
        <f aca="false">IF(F1444&lt;H1444,F1444*(D1444-E1444),0)+IF(H1444=0,(D1444-E1444)*F1444,0)+IF(H1444&lt;F1444,H1444*(D1444-E1444),0)</f>
        <v>0</v>
      </c>
      <c r="J1444" s="3179" t="n">
        <f aca="false">G1444-I1444</f>
        <v>0</v>
      </c>
    </row>
    <row r="1445" customFormat="false" ht="15" hidden="false" customHeight="true" outlineLevel="0" collapsed="false">
      <c r="B1445" s="1551" t="str">
        <f aca="false">'Смета Внутр'!B1445</f>
        <v>ендова внутр/наружн</v>
      </c>
      <c r="C1445" s="1551" t="str">
        <f aca="false">'Смета Внутр'!C1445</f>
        <v>м.п.</v>
      </c>
      <c r="D1445" s="1551" t="n">
        <f aca="false">'Смета Внутр'!D1445</f>
        <v>0</v>
      </c>
      <c r="F1445" s="1551" t="n">
        <f aca="false">'Смета Внутр'!E1445</f>
        <v>300</v>
      </c>
      <c r="G1445" s="1551" t="n">
        <f aca="false">'Смета Внутр'!H1445</f>
        <v>0</v>
      </c>
      <c r="I1445" s="3179" t="n">
        <f aca="false">IF(F1445&lt;H1445,F1445*(D1445-E1445),0)+IF(H1445=0,(D1445-E1445)*F1445,0)+IF(H1445&lt;F1445,H1445*(D1445-E1445),0)</f>
        <v>0</v>
      </c>
      <c r="J1445" s="3179" t="n">
        <f aca="false">G1445-I1445</f>
        <v>0</v>
      </c>
    </row>
    <row r="1446" customFormat="false" ht="15" hidden="false" customHeight="true" outlineLevel="0" collapsed="false">
      <c r="B1446" s="1551" t="str">
        <f aca="false">'Смета Внутр'!B1446</f>
        <v>Монтаж ондулина</v>
      </c>
      <c r="C1446" s="1551" t="str">
        <f aca="false">'Смета Внутр'!C1446</f>
        <v>м2</v>
      </c>
      <c r="D1446" s="1551" t="n">
        <f aca="false">'Смета Внутр'!D1446</f>
        <v>0</v>
      </c>
      <c r="F1446" s="1551" t="n">
        <f aca="false">'Смета Внутр'!E1446</f>
        <v>300</v>
      </c>
      <c r="G1446" s="1551" t="n">
        <f aca="false">'Смета Внутр'!H1446</f>
        <v>0</v>
      </c>
      <c r="I1446" s="3179" t="n">
        <f aca="false">IF(F1446&lt;H1446,F1446*(D1446-E1446),0)+IF(H1446=0,(D1446-E1446)*F1446,0)+IF(H1446&lt;F1446,H1446*(D1446-E1446),0)</f>
        <v>0</v>
      </c>
      <c r="J1446" s="3179" t="n">
        <f aca="false">G1446-I1446</f>
        <v>0</v>
      </c>
    </row>
    <row r="1447" customFormat="false" ht="15" hidden="false" customHeight="true" outlineLevel="0" collapsed="false">
      <c r="B1447" s="1551" t="str">
        <f aca="false">'Смета Внутр'!B1447</f>
        <v>Монтаж фанеры/osb</v>
      </c>
      <c r="C1447" s="1551" t="str">
        <f aca="false">'Смета Внутр'!C1447</f>
        <v>м2</v>
      </c>
      <c r="D1447" s="1551" t="n">
        <f aca="false">'Смета Внутр'!D1447</f>
        <v>0</v>
      </c>
      <c r="F1447" s="1551" t="n">
        <f aca="false">'Смета Внутр'!E1447</f>
        <v>200</v>
      </c>
      <c r="G1447" s="1551" t="n">
        <f aca="false">'Смета Внутр'!H1447</f>
        <v>0</v>
      </c>
      <c r="I1447" s="3179" t="n">
        <f aca="false">IF(F1447&lt;H1447,F1447*(D1447-E1447),0)+IF(H1447=0,(D1447-E1447)*F1447,0)+IF(H1447&lt;F1447,H1447*(D1447-E1447),0)</f>
        <v>0</v>
      </c>
      <c r="J1447" s="3179" t="n">
        <f aca="false">G1447-I1447</f>
        <v>0</v>
      </c>
    </row>
    <row r="1448" customFormat="false" ht="15" hidden="false" customHeight="true" outlineLevel="0" collapsed="false">
      <c r="B1448" s="1551" t="str">
        <f aca="false">'Смета Внутр'!B1448</f>
        <v>монтаж подкладочного ковра</v>
      </c>
      <c r="C1448" s="1551" t="str">
        <f aca="false">'Смета Внутр'!C1448</f>
        <v>м2</v>
      </c>
      <c r="D1448" s="1551" t="n">
        <f aca="false">'Смета Внутр'!D1448</f>
        <v>0</v>
      </c>
      <c r="F1448" s="1551" t="n">
        <f aca="false">'Смета Внутр'!E1448</f>
        <v>150</v>
      </c>
      <c r="G1448" s="1551" t="n">
        <f aca="false">'Смета Внутр'!H1448</f>
        <v>0</v>
      </c>
      <c r="I1448" s="3179" t="n">
        <f aca="false">IF(F1448&lt;H1448,F1448*(D1448-E1448),0)+IF(H1448=0,(D1448-E1448)*F1448,0)+IF(H1448&lt;F1448,H1448*(D1448-E1448),0)</f>
        <v>0</v>
      </c>
      <c r="J1448" s="3179" t="n">
        <f aca="false">G1448-I1448</f>
        <v>0</v>
      </c>
    </row>
    <row r="1449" customFormat="false" ht="15" hidden="false" customHeight="true" outlineLevel="0" collapsed="false">
      <c r="B1449" s="1551" t="str">
        <f aca="false">'Смета Внутр'!B1449</f>
        <v>Монтаж мягкой кровли</v>
      </c>
      <c r="C1449" s="1551" t="str">
        <f aca="false">'Смета Внутр'!C1449</f>
        <v>м2</v>
      </c>
      <c r="D1449" s="1551" t="n">
        <f aca="false">'Смета Внутр'!D1449</f>
        <v>0</v>
      </c>
      <c r="F1449" s="1551" t="n">
        <f aca="false">'Смета Внутр'!E1449</f>
        <v>350</v>
      </c>
      <c r="G1449" s="1551" t="n">
        <f aca="false">'Смета Внутр'!H1449</f>
        <v>0</v>
      </c>
      <c r="I1449" s="3179" t="n">
        <f aca="false">IF(F1449&lt;H1449,F1449*(D1449-E1449),0)+IF(H1449=0,(D1449-E1449)*F1449,0)+IF(H1449&lt;F1449,H1449*(D1449-E1449),0)</f>
        <v>0</v>
      </c>
      <c r="J1449" s="3179" t="n">
        <f aca="false">G1449-I1449</f>
        <v>0</v>
      </c>
    </row>
    <row r="1450" customFormat="false" ht="15" hidden="false" customHeight="false" outlineLevel="0" collapsed="false">
      <c r="B1450" s="1692" t="s">
        <v>4333</v>
      </c>
      <c r="C1450" s="1692"/>
      <c r="D1450" s="1692"/>
      <c r="E1450" s="1692"/>
      <c r="F1450" s="1692"/>
      <c r="G1450" s="1551" t="n">
        <f aca="false">'Смета Внутр'!H1450</f>
        <v>0</v>
      </c>
      <c r="H1450" s="1584"/>
      <c r="I1450" s="3179" t="n">
        <f aca="false">IF(F1450&lt;H1450,F1450*(D1450-E1450),0)+IF(H1450=0,(D1450-E1450)*F1450,0)+IF(H1450&lt;F1450,H1450*(D1450-E1450),0)</f>
        <v>0</v>
      </c>
      <c r="J1450" s="3179" t="n">
        <f aca="false">G1450-I1450</f>
        <v>0</v>
      </c>
    </row>
    <row r="1451" customFormat="false" ht="15" hidden="false" customHeight="true" outlineLevel="0" collapsed="false">
      <c r="B1451" s="1551" t="str">
        <f aca="false">'Смета Внутр'!B1451</f>
        <v>Кровля на Эркере</v>
      </c>
      <c r="C1451" s="1551" t="n">
        <f aca="false">'Смета Внутр'!C1451</f>
        <v>0</v>
      </c>
      <c r="D1451" s="1551" t="n">
        <f aca="false">'Смета Внутр'!D1451</f>
        <v>0</v>
      </c>
      <c r="F1451" s="1551" t="n">
        <f aca="false">'Смета Внутр'!E1451</f>
        <v>0</v>
      </c>
      <c r="G1451" s="1551" t="n">
        <f aca="false">'Смета Внутр'!H1451</f>
        <v>0</v>
      </c>
      <c r="I1451" s="3179" t="n">
        <f aca="false">IF(F1451&lt;H1451,F1451*(D1451-E1451),0)+IF(H1451=0,(D1451-E1451)*F1451,0)+IF(H1451&lt;F1451,H1451*(D1451-E1451),0)</f>
        <v>0</v>
      </c>
      <c r="J1451" s="3179" t="n">
        <f aca="false">G1451-I1451</f>
        <v>0</v>
      </c>
    </row>
    <row r="1452" customFormat="false" ht="15" hidden="false" customHeight="true" outlineLevel="0" collapsed="false">
      <c r="B1452" s="1268" t="str">
        <f aca="false">'Смета Внутр'!B1452</f>
        <v>Материалы</v>
      </c>
      <c r="C1452" s="1268"/>
      <c r="D1452" s="1268"/>
      <c r="E1452" s="1268"/>
      <c r="F1452" s="1268"/>
      <c r="G1452" s="1551" t="n">
        <f aca="false">'Смета Внутр'!H1452</f>
        <v>0</v>
      </c>
      <c r="H1452" s="3175"/>
      <c r="I1452" s="3179" t="n">
        <f aca="false">IF(F1452&lt;H1452,F1452*(D1452-E1452),0)+IF(H1452=0,(D1452-E1452)*F1452,0)+IF(H1452&lt;F1452,H1452*(D1452-E1452),0)</f>
        <v>0</v>
      </c>
      <c r="J1452" s="3179" t="n">
        <f aca="false">G1452-I1452</f>
        <v>0</v>
      </c>
    </row>
    <row r="1453" customFormat="false" ht="15" hidden="false" customHeight="true" outlineLevel="0" collapsed="false">
      <c r="B1453" s="1551" t="str">
        <f aca="false">'Смета Внутр'!B1453</f>
        <v>нет</v>
      </c>
      <c r="C1453" s="1551" t="str">
        <f aca="false">'Смета Внутр'!C1453</f>
        <v>м3</v>
      </c>
      <c r="D1453" s="1551" t="n">
        <f aca="false">'Смета Внутр'!D1453</f>
        <v>0</v>
      </c>
      <c r="F1453" s="1551" t="n">
        <f aca="false">'Смета Внутр'!E1453</f>
        <v>0</v>
      </c>
      <c r="G1453" s="1551" t="n">
        <f aca="false">'Смета Внутр'!H1453</f>
        <v>0</v>
      </c>
      <c r="I1453" s="3179" t="n">
        <f aca="false">IF(F1453&lt;H1453,F1453*(D1453-E1453),0)+IF(H1453=0,(D1453-E1453)*F1453,0)+IF(H1453&lt;F1453,H1453*(D1453-E1453),0)</f>
        <v>0</v>
      </c>
      <c r="J1453" s="3179" t="n">
        <f aca="false">G1453-I1453</f>
        <v>0</v>
      </c>
    </row>
    <row r="1454" customFormat="false" ht="15" hidden="false" customHeight="true" outlineLevel="0" collapsed="false">
      <c r="B1454" s="1551" t="str">
        <f aca="false">'Смета Внутр'!B1454</f>
        <v>Болты анкерные с гайкой 12,0 х 280          </v>
      </c>
      <c r="C1454" s="1551" t="str">
        <f aca="false">'Смета Внутр'!C1454</f>
        <v>шт</v>
      </c>
      <c r="D1454" s="1551" t="n">
        <f aca="false">'Смета Внутр'!D1454</f>
        <v>0</v>
      </c>
      <c r="F1454" s="1551" t="n">
        <f aca="false">'Смета Внутр'!E1454</f>
        <v>27.1</v>
      </c>
      <c r="G1454" s="1551" t="n">
        <f aca="false">'Смета Внутр'!H1454</f>
        <v>0</v>
      </c>
      <c r="I1454" s="3179" t="n">
        <f aca="false">IF(F1454&lt;H1454,F1454*(D1454-E1454),0)+IF(H1454=0,(D1454-E1454)*F1454,0)+IF(H1454&lt;F1454,H1454*(D1454-E1454),0)</f>
        <v>0</v>
      </c>
      <c r="J1454" s="3179" t="n">
        <f aca="false">G1454-I1454</f>
        <v>0</v>
      </c>
    </row>
    <row r="1455" customFormat="false" ht="15" hidden="false" customHeight="true" outlineLevel="0" collapsed="false">
      <c r="B1455" s="1551" t="str">
        <f aca="false">'Смета Внутр'!B1455</f>
        <v>Доска сырая, 150*50мм</v>
      </c>
      <c r="C1455" s="1551" t="str">
        <f aca="false">'Смета Внутр'!C1455</f>
        <v>м3</v>
      </c>
      <c r="D1455" s="1551" t="n">
        <f aca="false">'Смета Внутр'!D1455</f>
        <v>0</v>
      </c>
      <c r="F1455" s="1551" t="n">
        <f aca="false">'Смета Внутр'!E1455</f>
        <v>6500</v>
      </c>
      <c r="G1455" s="1551" t="n">
        <f aca="false">'Смета Внутр'!H1455</f>
        <v>0</v>
      </c>
      <c r="I1455" s="3179" t="n">
        <f aca="false">IF(F1455&lt;H1455,F1455*(D1455-E1455),0)+IF(H1455=0,(D1455-E1455)*F1455,0)+IF(H1455&lt;F1455,H1455*(D1455-E1455),0)</f>
        <v>0</v>
      </c>
      <c r="J1455" s="3179" t="n">
        <f aca="false">G1455-I1455</f>
        <v>0</v>
      </c>
    </row>
    <row r="1456" customFormat="false" ht="15" hidden="false" customHeight="true" outlineLevel="0" collapsed="false">
      <c r="B1456" s="1551" t="str">
        <f aca="false">'Смета Внутр'!B1456</f>
        <v>Сосна влаж,100*25мм</v>
      </c>
      <c r="C1456" s="1551" t="str">
        <f aca="false">'Смета Внутр'!C1456</f>
        <v>м3</v>
      </c>
      <c r="D1456" s="1551" t="n">
        <f aca="false">'Смета Внутр'!D1456</f>
        <v>0</v>
      </c>
      <c r="F1456" s="1551" t="n">
        <f aca="false">'Смета Внутр'!E1456</f>
        <v>6500</v>
      </c>
      <c r="G1456" s="1551" t="n">
        <f aca="false">'Смета Внутр'!H1456</f>
        <v>0</v>
      </c>
      <c r="I1456" s="3179" t="n">
        <f aca="false">IF(F1456&lt;H1456,F1456*(D1456-E1456),0)+IF(H1456=0,(D1456-E1456)*F1456,0)+IF(H1456&lt;F1456,H1456*(D1456-E1456),0)</f>
        <v>0</v>
      </c>
      <c r="J1456" s="3179" t="n">
        <f aca="false">G1456-I1456</f>
        <v>0</v>
      </c>
    </row>
    <row r="1457" customFormat="false" ht="15" hidden="false" customHeight="true" outlineLevel="0" collapsed="false">
      <c r="B1457" s="1551" t="str">
        <f aca="false">'Смета Внутр'!B1457</f>
        <v>Доска сухая, калибр., 35*45мм</v>
      </c>
      <c r="C1457" s="1551" t="str">
        <f aca="false">'Смета Внутр'!C1457</f>
        <v>шт</v>
      </c>
      <c r="D1457" s="1551" t="n">
        <f aca="false">'Смета Внутр'!D1457</f>
        <v>0</v>
      </c>
      <c r="F1457" s="1551" t="n">
        <f aca="false">'Смета Внутр'!E1457</f>
        <v>12500</v>
      </c>
      <c r="G1457" s="1551" t="n">
        <f aca="false">'Смета Внутр'!H1457</f>
        <v>0</v>
      </c>
      <c r="I1457" s="3179" t="n">
        <f aca="false">IF(F1457&lt;H1457,F1457*(D1457-E1457),0)+IF(H1457=0,(D1457-E1457)*F1457,0)+IF(H1457&lt;F1457,H1457*(D1457-E1457),0)</f>
        <v>0</v>
      </c>
      <c r="J1457" s="3179" t="n">
        <f aca="false">G1457-I1457</f>
        <v>0</v>
      </c>
    </row>
    <row r="1458" customFormat="false" ht="15" hidden="false" customHeight="true" outlineLevel="0" collapsed="false">
      <c r="B1458" s="1551" t="str">
        <f aca="false">'Смета Внутр'!B1458</f>
        <v>нет ветроизоляции</v>
      </c>
      <c r="C1458" s="1551" t="str">
        <f aca="false">'Смета Внутр'!C1458</f>
        <v>м2</v>
      </c>
      <c r="D1458" s="1551" t="n">
        <f aca="false">'Смета Внутр'!D1458</f>
        <v>0</v>
      </c>
      <c r="F1458" s="1551" t="n">
        <f aca="false">'Смета Внутр'!E1458</f>
        <v>0</v>
      </c>
      <c r="G1458" s="1551" t="n">
        <f aca="false">'Смета Внутр'!H1458</f>
        <v>0</v>
      </c>
      <c r="I1458" s="3179" t="n">
        <f aca="false">IF(F1458&lt;H1458,F1458*(D1458-E1458),0)+IF(H1458=0,(D1458-E1458)*F1458,0)+IF(H1458&lt;F1458,H1458*(D1458-E1458),0)</f>
        <v>0</v>
      </c>
      <c r="J1458" s="3179" t="n">
        <f aca="false">G1458-I1458</f>
        <v>0</v>
      </c>
    </row>
    <row r="1459" customFormat="false" ht="15" hidden="false" customHeight="true" outlineLevel="0" collapsed="false">
      <c r="B1459" s="1551" t="str">
        <f aca="false">'Смета Внутр'!B1459</f>
        <v>нет пароизоляции</v>
      </c>
      <c r="C1459" s="1551" t="str">
        <f aca="false">'Смета Внутр'!C1459</f>
        <v>м2</v>
      </c>
      <c r="D1459" s="1551" t="n">
        <f aca="false">'Смета Внутр'!D1459</f>
        <v>0</v>
      </c>
      <c r="F1459" s="1551" t="n">
        <f aca="false">'Смета Внутр'!E1459</f>
        <v>0</v>
      </c>
      <c r="G1459" s="1551" t="n">
        <f aca="false">'Смета Внутр'!H1459</f>
        <v>0</v>
      </c>
      <c r="I1459" s="3179" t="n">
        <f aca="false">IF(F1459&lt;H1459,F1459*(D1459-E1459),0)+IF(H1459=0,(D1459-E1459)*F1459,0)+IF(H1459&lt;F1459,H1459*(D1459-E1459),0)</f>
        <v>0</v>
      </c>
      <c r="J1459" s="3179" t="n">
        <f aca="false">G1459-I1459</f>
        <v>0</v>
      </c>
    </row>
    <row r="1460" customFormat="false" ht="15" hidden="false" customHeight="true" outlineLevel="0" collapsed="false">
      <c r="B1460" s="1551" t="str">
        <f aca="false">'Смета Внутр'!B1460</f>
        <v>Плитный,28кг/м3, технониколь, 100мм</v>
      </c>
      <c r="C1460" s="1551" t="str">
        <f aca="false">'Смета Внутр'!C1460</f>
        <v>м3</v>
      </c>
      <c r="D1460" s="1551" t="n">
        <f aca="false">'Смета Внутр'!D1460</f>
        <v>1.32975746684072</v>
      </c>
      <c r="F1460" s="1551" t="n">
        <f aca="false">'Смета Внутр'!E1460</f>
        <v>1700</v>
      </c>
      <c r="G1460" s="1551" t="n">
        <f aca="false">'Смета Внутр'!H1460</f>
        <v>0</v>
      </c>
      <c r="I1460" s="3179" t="n">
        <f aca="false">IF(F1460&lt;H1460,F1460*(D1460-E1460),0)+IF(H1460=0,(D1460-E1460)*F1460,0)+IF(H1460&lt;F1460,H1460*(D1460-E1460),0)</f>
        <v>2260.58769362923</v>
      </c>
      <c r="J1460" s="3179" t="n">
        <f aca="false">G1460-I1460</f>
        <v>-2260.58769362923</v>
      </c>
    </row>
    <row r="1461" customFormat="false" ht="15" hidden="false" customHeight="true" outlineLevel="0" collapsed="false">
      <c r="B1461" s="1551" t="str">
        <f aca="false">'Смета Внутр'!B1461</f>
        <v>металлочерепица</v>
      </c>
      <c r="C1461" s="1551" t="str">
        <f aca="false">'Смета Внутр'!C1461</f>
        <v>м2</v>
      </c>
      <c r="D1461" s="1551" t="n">
        <f aca="false">'Смета Внутр'!D1461</f>
        <v>0</v>
      </c>
      <c r="F1461" s="1551" t="n">
        <f aca="false">'Смета Внутр'!E1461</f>
        <v>250</v>
      </c>
      <c r="G1461" s="1551" t="n">
        <f aca="false">'Смета Внутр'!H1461</f>
        <v>0</v>
      </c>
      <c r="I1461" s="3179" t="n">
        <f aca="false">IF(F1461&lt;H1461,F1461*(D1461-E1461),0)+IF(H1461=0,(D1461-E1461)*F1461,0)+IF(H1461&lt;F1461,H1461*(D1461-E1461),0)</f>
        <v>0</v>
      </c>
      <c r="J1461" s="3179" t="n">
        <f aca="false">G1461-I1461</f>
        <v>0</v>
      </c>
    </row>
    <row r="1462" customFormat="false" ht="15" hidden="false" customHeight="true" outlineLevel="0" collapsed="false">
      <c r="B1462" s="1551" t="str">
        <f aca="false">'Смета Внутр'!B1462</f>
        <v>Карнизная планка</v>
      </c>
      <c r="C1462" s="1551" t="str">
        <f aca="false">'Смета Внутр'!C1462</f>
        <v>м.п.</v>
      </c>
      <c r="D1462" s="1551" t="n">
        <f aca="false">'Смета Внутр'!D1462</f>
        <v>0</v>
      </c>
      <c r="F1462" s="1551" t="n">
        <f aca="false">'Смета Внутр'!E1462</f>
        <v>200</v>
      </c>
      <c r="G1462" s="1551" t="n">
        <f aca="false">'Смета Внутр'!H1462</f>
        <v>0</v>
      </c>
      <c r="I1462" s="3179" t="n">
        <f aca="false">IF(F1462&lt;H1462,F1462*(D1462-E1462),0)+IF(H1462=0,(D1462-E1462)*F1462,0)+IF(H1462&lt;F1462,H1462*(D1462-E1462),0)</f>
        <v>0</v>
      </c>
      <c r="J1462" s="3179" t="n">
        <f aca="false">G1462-I1462</f>
        <v>0</v>
      </c>
    </row>
    <row r="1463" customFormat="false" ht="15" hidden="false" customHeight="true" outlineLevel="0" collapsed="false">
      <c r="B1463" s="1551" t="str">
        <f aca="false">'Смета Внутр'!B1463</f>
        <v>Конек</v>
      </c>
      <c r="C1463" s="1551" t="str">
        <f aca="false">'Смета Внутр'!C1463</f>
        <v>м.п.</v>
      </c>
      <c r="D1463" s="1551" t="n">
        <f aca="false">'Смета Внутр'!D1463</f>
        <v>0</v>
      </c>
      <c r="F1463" s="1551" t="n">
        <f aca="false">'Смета Внутр'!E1463</f>
        <v>230</v>
      </c>
      <c r="G1463" s="1551" t="n">
        <f aca="false">'Смета Внутр'!H1463</f>
        <v>0</v>
      </c>
      <c r="I1463" s="3179" t="n">
        <f aca="false">IF(F1463&lt;H1463,F1463*(D1463-E1463),0)+IF(H1463=0,(D1463-E1463)*F1463,0)+IF(H1463&lt;F1463,H1463*(D1463-E1463),0)</f>
        <v>0</v>
      </c>
      <c r="J1463" s="3179" t="n">
        <f aca="false">G1463-I1463</f>
        <v>0</v>
      </c>
    </row>
    <row r="1464" customFormat="false" ht="15" hidden="false" customHeight="true" outlineLevel="0" collapsed="false">
      <c r="B1464" s="1551" t="str">
        <f aca="false">'Смета Внутр'!B1464</f>
        <v>Ендова нижняя</v>
      </c>
      <c r="C1464" s="1551" t="str">
        <f aca="false">'Смета Внутр'!C1464</f>
        <v>м.п</v>
      </c>
      <c r="D1464" s="1551" t="n">
        <f aca="false">'Смета Внутр'!D1464</f>
        <v>0</v>
      </c>
      <c r="F1464" s="1551" t="n">
        <f aca="false">'Смета Внутр'!E1464</f>
        <v>160</v>
      </c>
      <c r="G1464" s="1551" t="n">
        <f aca="false">'Смета Внутр'!H1464</f>
        <v>0</v>
      </c>
      <c r="I1464" s="3179" t="n">
        <f aca="false">IF(F1464&lt;H1464,F1464*(D1464-E1464),0)+IF(H1464=0,(D1464-E1464)*F1464,0)+IF(H1464&lt;F1464,H1464*(D1464-E1464),0)</f>
        <v>0</v>
      </c>
      <c r="J1464" s="3179" t="n">
        <f aca="false">G1464-I1464</f>
        <v>0</v>
      </c>
    </row>
    <row r="1465" customFormat="false" ht="15" hidden="false" customHeight="true" outlineLevel="0" collapsed="false">
      <c r="B1465" s="1551" t="str">
        <f aca="false">'Смета Внутр'!B1465</f>
        <v>Планка примыкания</v>
      </c>
      <c r="C1465" s="1551" t="str">
        <f aca="false">'Смета Внутр'!C1465</f>
        <v>м.п</v>
      </c>
      <c r="D1465" s="1551" t="n">
        <f aca="false">'Смета Внутр'!D1465</f>
        <v>0</v>
      </c>
      <c r="F1465" s="1551" t="n">
        <f aca="false">'Смета Внутр'!E1465</f>
        <v>190</v>
      </c>
      <c r="G1465" s="1551" t="n">
        <f aca="false">'Смета Внутр'!H1465</f>
        <v>0</v>
      </c>
      <c r="I1465" s="3179" t="n">
        <f aca="false">IF(F1465&lt;H1465,F1465*(D1465-E1465),0)+IF(H1465=0,(D1465-E1465)*F1465,0)+IF(H1465&lt;F1465,H1465*(D1465-E1465),0)</f>
        <v>0</v>
      </c>
      <c r="J1465" s="3179" t="n">
        <f aca="false">G1465-I1465</f>
        <v>0</v>
      </c>
    </row>
    <row r="1466" customFormat="false" ht="15" hidden="false" customHeight="true" outlineLevel="0" collapsed="false">
      <c r="B1466" s="1551" t="str">
        <f aca="false">'Смета Внутр'!B1466</f>
        <v>ондулин</v>
      </c>
      <c r="C1466" s="1551" t="str">
        <f aca="false">'Смета Внутр'!C1466</f>
        <v>м2</v>
      </c>
      <c r="D1466" s="1551" t="n">
        <f aca="false">'Смета Внутр'!D1466</f>
        <v>0</v>
      </c>
      <c r="F1466" s="1551" t="n">
        <f aca="false">'Смета Внутр'!E1466</f>
        <v>180</v>
      </c>
      <c r="G1466" s="1551" t="n">
        <f aca="false">'Смета Внутр'!H1466</f>
        <v>0</v>
      </c>
      <c r="I1466" s="3179" t="n">
        <f aca="false">IF(F1466&lt;H1466,F1466*(D1466-E1466),0)+IF(H1466=0,(D1466-E1466)*F1466,0)+IF(H1466&lt;F1466,H1466*(D1466-E1466),0)</f>
        <v>0</v>
      </c>
      <c r="J1466" s="3179" t="n">
        <f aca="false">G1466-I1466</f>
        <v>0</v>
      </c>
    </row>
    <row r="1467" customFormat="false" ht="15" hidden="false" customHeight="true" outlineLevel="0" collapsed="false">
      <c r="B1467" s="1551" t="str">
        <f aca="false">'Смета Внутр'!B1467</f>
        <v>Карнизная планка</v>
      </c>
      <c r="C1467" s="1551" t="str">
        <f aca="false">'Смета Внутр'!C1467</f>
        <v>м.п.</v>
      </c>
      <c r="D1467" s="1551" t="n">
        <f aca="false">'Смета Внутр'!D1467</f>
        <v>0</v>
      </c>
      <c r="F1467" s="1551" t="n">
        <f aca="false">'Смета Внутр'!E1467</f>
        <v>190</v>
      </c>
      <c r="G1467" s="1551" t="n">
        <f aca="false">'Смета Внутр'!H1467</f>
        <v>0</v>
      </c>
      <c r="I1467" s="3179" t="n">
        <f aca="false">IF(F1467&lt;H1467,F1467*(D1467-E1467),0)+IF(H1467=0,(D1467-E1467)*F1467,0)+IF(H1467&lt;F1467,H1467*(D1467-E1467),0)</f>
        <v>0</v>
      </c>
      <c r="J1467" s="3179" t="n">
        <f aca="false">G1467-I1467</f>
        <v>0</v>
      </c>
    </row>
    <row r="1468" customFormat="false" ht="15" hidden="false" customHeight="true" outlineLevel="0" collapsed="false">
      <c r="B1468" s="1551" t="str">
        <f aca="false">'Смета Внутр'!B1468</f>
        <v>Торцевая планка</v>
      </c>
      <c r="C1468" s="1551" t="str">
        <f aca="false">'Смета Внутр'!C1468</f>
        <v>м.п.</v>
      </c>
      <c r="D1468" s="1551" t="n">
        <f aca="false">'Смета Внутр'!D1468</f>
        <v>0</v>
      </c>
      <c r="F1468" s="1551" t="n">
        <f aca="false">'Смета Внутр'!E1468</f>
        <v>190</v>
      </c>
      <c r="G1468" s="1551" t="n">
        <f aca="false">'Смета Внутр'!H1468</f>
        <v>0</v>
      </c>
      <c r="I1468" s="3179" t="n">
        <f aca="false">IF(F1468&lt;H1468,F1468*(D1468-E1468),0)+IF(H1468=0,(D1468-E1468)*F1468,0)+IF(H1468&lt;F1468,H1468*(D1468-E1468),0)</f>
        <v>0</v>
      </c>
      <c r="J1468" s="3179" t="n">
        <f aca="false">G1468-I1468</f>
        <v>0</v>
      </c>
    </row>
    <row r="1469" customFormat="false" ht="15" hidden="false" customHeight="true" outlineLevel="0" collapsed="false">
      <c r="B1469" s="1551" t="str">
        <f aca="false">'Смета Внутр'!B1469</f>
        <v>Конек</v>
      </c>
      <c r="C1469" s="1551" t="str">
        <f aca="false">'Смета Внутр'!C1469</f>
        <v>м.п.</v>
      </c>
      <c r="D1469" s="1551" t="n">
        <f aca="false">'Смета Внутр'!D1469</f>
        <v>0</v>
      </c>
      <c r="F1469" s="1551" t="n">
        <f aca="false">'Смета Внутр'!E1469</f>
        <v>200</v>
      </c>
      <c r="G1469" s="1551" t="n">
        <f aca="false">'Смета Внутр'!H1469</f>
        <v>0</v>
      </c>
      <c r="I1469" s="3179" t="n">
        <f aca="false">IF(F1469&lt;H1469,F1469*(D1469-E1469),0)+IF(H1469=0,(D1469-E1469)*F1469,0)+IF(H1469&lt;F1469,H1469*(D1469-E1469),0)</f>
        <v>0</v>
      </c>
      <c r="J1469" s="3179" t="n">
        <f aca="false">G1469-I1469</f>
        <v>0</v>
      </c>
    </row>
    <row r="1470" customFormat="false" ht="15" hidden="false" customHeight="true" outlineLevel="0" collapsed="false">
      <c r="B1470" s="1551" t="str">
        <f aca="false">'Смета Внутр'!B1470</f>
        <v>Ендова нижняя</v>
      </c>
      <c r="C1470" s="1551" t="str">
        <f aca="false">'Смета Внутр'!C1470</f>
        <v>м.п.</v>
      </c>
      <c r="D1470" s="1551" t="n">
        <f aca="false">'Смета Внутр'!D1470</f>
        <v>0</v>
      </c>
      <c r="F1470" s="1551" t="n">
        <f aca="false">'Смета Внутр'!E1470</f>
        <v>160</v>
      </c>
      <c r="G1470" s="1551" t="n">
        <f aca="false">'Смета Внутр'!H1470</f>
        <v>0</v>
      </c>
      <c r="I1470" s="3179" t="n">
        <f aca="false">IF(F1470&lt;H1470,F1470*(D1470-E1470),0)+IF(H1470=0,(D1470-E1470)*F1470,0)+IF(H1470&lt;F1470,H1470*(D1470-E1470),0)</f>
        <v>0</v>
      </c>
      <c r="J1470" s="3179" t="n">
        <f aca="false">G1470-I1470</f>
        <v>0</v>
      </c>
    </row>
    <row r="1471" customFormat="false" ht="15" hidden="false" customHeight="true" outlineLevel="0" collapsed="false">
      <c r="B1471" s="1551" t="str">
        <f aca="false">'Смета Внутр'!B1471</f>
        <v>Ендова верхняя</v>
      </c>
      <c r="C1471" s="1551" t="str">
        <f aca="false">'Смета Внутр'!C1471</f>
        <v>м.п.</v>
      </c>
      <c r="D1471" s="1551" t="n">
        <f aca="false">'Смета Внутр'!D1471</f>
        <v>0</v>
      </c>
      <c r="F1471" s="1551" t="n">
        <f aca="false">'Смета Внутр'!E1471</f>
        <v>190</v>
      </c>
      <c r="G1471" s="1551" t="n">
        <f aca="false">'Смета Внутр'!H1471</f>
        <v>0</v>
      </c>
      <c r="I1471" s="3179" t="n">
        <f aca="false">IF(F1471&lt;H1471,F1471*(D1471-E1471),0)+IF(H1471=0,(D1471-E1471)*F1471,0)+IF(H1471&lt;F1471,H1471*(D1471-E1471),0)</f>
        <v>0</v>
      </c>
      <c r="J1471" s="3179" t="n">
        <f aca="false">G1471-I1471</f>
        <v>0</v>
      </c>
    </row>
    <row r="1472" customFormat="false" ht="15" hidden="false" customHeight="true" outlineLevel="0" collapsed="false">
      <c r="B1472" s="1551" t="str">
        <f aca="false">'Смета Внутр'!B1472</f>
        <v>Планка примыкания</v>
      </c>
      <c r="C1472" s="1551" t="str">
        <f aca="false">'Смета Внутр'!C1472</f>
        <v>м.п.</v>
      </c>
      <c r="D1472" s="1551" t="n">
        <f aca="false">'Смета Внутр'!D1472</f>
        <v>0</v>
      </c>
      <c r="F1472" s="1551" t="n">
        <f aca="false">'Смета Внутр'!E1472</f>
        <v>190</v>
      </c>
      <c r="G1472" s="1551" t="n">
        <f aca="false">'Смета Внутр'!H1472</f>
        <v>0</v>
      </c>
      <c r="I1472" s="3179" t="n">
        <f aca="false">IF(F1472&lt;H1472,F1472*(D1472-E1472),0)+IF(H1472=0,(D1472-E1472)*F1472,0)+IF(H1472&lt;F1472,H1472*(D1472-E1472),0)</f>
        <v>0</v>
      </c>
      <c r="J1472" s="3179" t="n">
        <f aca="false">G1472-I1472</f>
        <v>0</v>
      </c>
    </row>
    <row r="1473" customFormat="false" ht="15" hidden="false" customHeight="true" outlineLevel="0" collapsed="false">
      <c r="B1473" s="1551" t="str">
        <f aca="false">'Смета Внутр'!B1473</f>
        <v>Крепеж для ондулина</v>
      </c>
      <c r="C1473" s="1551" t="str">
        <f aca="false">'Смета Внутр'!C1473</f>
        <v>шт</v>
      </c>
      <c r="D1473" s="1551" t="n">
        <f aca="false">'Смета Внутр'!D1473</f>
        <v>0</v>
      </c>
      <c r="F1473" s="1551" t="n">
        <f aca="false">'Смета Внутр'!E1473</f>
        <v>4.5</v>
      </c>
      <c r="G1473" s="1551" t="n">
        <f aca="false">'Смета Внутр'!H1473</f>
        <v>0</v>
      </c>
      <c r="I1473" s="3179" t="n">
        <f aca="false">IF(F1473&lt;H1473,F1473*(D1473-E1473),0)+IF(H1473=0,(D1473-E1473)*F1473,0)+IF(H1473&lt;F1473,H1473*(D1473-E1473),0)</f>
        <v>0</v>
      </c>
      <c r="J1473" s="3179" t="n">
        <f aca="false">G1473-I1473</f>
        <v>0</v>
      </c>
    </row>
    <row r="1474" customFormat="false" ht="15" hidden="false" customHeight="true" outlineLevel="0" collapsed="false">
      <c r="B1474" s="1551" t="str">
        <f aca="false">'Смета Внутр'!B1474</f>
        <v>нет</v>
      </c>
      <c r="C1474" s="1551" t="str">
        <f aca="false">'Смета Внутр'!C1474</f>
        <v>м2</v>
      </c>
      <c r="D1474" s="1551" t="n">
        <f aca="false">'Смета Внутр'!D1474</f>
        <v>0</v>
      </c>
      <c r="F1474" s="1551" t="n">
        <f aca="false">'Смета Внутр'!E1474</f>
        <v>0</v>
      </c>
      <c r="G1474" s="1551" t="n">
        <f aca="false">'Смета Внутр'!H1474</f>
        <v>0</v>
      </c>
      <c r="I1474" s="3179" t="n">
        <f aca="false">IF(F1474&lt;H1474,F1474*(D1474-E1474),0)+IF(H1474=0,(D1474-E1474)*F1474,0)+IF(H1474&lt;F1474,H1474*(D1474-E1474),0)</f>
        <v>0</v>
      </c>
      <c r="J1474" s="3179" t="n">
        <f aca="false">G1474-I1474</f>
        <v>0</v>
      </c>
    </row>
    <row r="1475" customFormat="false" ht="15" hidden="false" customHeight="true" outlineLevel="0" collapsed="false">
      <c r="B1475" s="1551" t="str">
        <f aca="false">'Смета Внутр'!B1475</f>
        <v>Рядовая черепица</v>
      </c>
      <c r="C1475" s="1551" t="str">
        <f aca="false">'Смета Внутр'!C1475</f>
        <v>м2</v>
      </c>
      <c r="D1475" s="1551" t="n">
        <f aca="false">'Смета Внутр'!D1475</f>
        <v>0</v>
      </c>
      <c r="F1475" s="1551" t="n">
        <f aca="false">'Смета Внутр'!E1475</f>
        <v>360</v>
      </c>
      <c r="G1475" s="1551" t="n">
        <f aca="false">'Смета Внутр'!H1475</f>
        <v>0</v>
      </c>
      <c r="I1475" s="3179" t="n">
        <f aca="false">IF(F1475&lt;H1475,F1475*(D1475-E1475),0)+IF(H1475=0,(D1475-E1475)*F1475,0)+IF(H1475&lt;F1475,H1475*(D1475-E1475),0)</f>
        <v>0</v>
      </c>
      <c r="J1475" s="3179" t="n">
        <f aca="false">G1475-I1475</f>
        <v>0</v>
      </c>
    </row>
    <row r="1476" customFormat="false" ht="15" hidden="false" customHeight="true" outlineLevel="0" collapsed="false">
      <c r="B1476" s="1551" t="str">
        <f aca="false">'Смета Внутр'!B1476</f>
        <v>Металл оцинк защита (карниз)</v>
      </c>
      <c r="C1476" s="1551" t="str">
        <f aca="false">'Смета Внутр'!C1476</f>
        <v>м.п.</v>
      </c>
      <c r="D1476" s="1551" t="n">
        <f aca="false">'Смета Внутр'!D1476</f>
        <v>0</v>
      </c>
      <c r="F1476" s="1551" t="n">
        <f aca="false">'Смета Внутр'!E1476</f>
        <v>200</v>
      </c>
      <c r="G1476" s="1551" t="n">
        <f aca="false">'Смета Внутр'!H1476</f>
        <v>0</v>
      </c>
      <c r="I1476" s="3179" t="n">
        <f aca="false">IF(F1476&lt;H1476,F1476*(D1476-E1476),0)+IF(H1476=0,(D1476-E1476)*F1476,0)+IF(H1476&lt;F1476,H1476*(D1476-E1476),0)</f>
        <v>0</v>
      </c>
      <c r="J1476" s="3179" t="n">
        <f aca="false">G1476-I1476</f>
        <v>0</v>
      </c>
    </row>
    <row r="1477" customFormat="false" ht="15" hidden="false" customHeight="true" outlineLevel="0" collapsed="false">
      <c r="B1477" s="1551" t="str">
        <f aca="false">'Смета Внутр'!B1477</f>
        <v>Подкладочный ковер</v>
      </c>
      <c r="C1477" s="1551" t="str">
        <f aca="false">'Смета Внутр'!C1477</f>
        <v>м.п.</v>
      </c>
      <c r="D1477" s="1551" t="n">
        <f aca="false">'Смета Внутр'!D1477</f>
        <v>0</v>
      </c>
      <c r="F1477" s="1551" t="n">
        <f aca="false">'Смета Внутр'!E1477</f>
        <v>220</v>
      </c>
      <c r="G1477" s="1551" t="n">
        <f aca="false">'Смета Внутр'!H1477</f>
        <v>0</v>
      </c>
      <c r="I1477" s="3179" t="n">
        <f aca="false">IF(F1477&lt;H1477,F1477*(D1477-E1477),0)+IF(H1477=0,(D1477-E1477)*F1477,0)+IF(H1477&lt;F1477,H1477*(D1477-E1477),0)</f>
        <v>0</v>
      </c>
      <c r="J1477" s="3179" t="n">
        <f aca="false">G1477-I1477</f>
        <v>0</v>
      </c>
    </row>
    <row r="1478" customFormat="false" ht="15" hidden="false" customHeight="true" outlineLevel="0" collapsed="false">
      <c r="B1478" s="1551" t="str">
        <f aca="false">'Смета Внутр'!B1478</f>
        <v>Карнизная самоклеющаяся черепица</v>
      </c>
      <c r="C1478" s="1551" t="str">
        <f aca="false">'Смета Внутр'!C1478</f>
        <v>м.п.</v>
      </c>
      <c r="D1478" s="1551" t="n">
        <f aca="false">'Смета Внутр'!D1478</f>
        <v>0</v>
      </c>
      <c r="F1478" s="1551" t="n">
        <f aca="false">'Смета Внутр'!E1478</f>
        <v>220</v>
      </c>
      <c r="G1478" s="1551" t="n">
        <f aca="false">'Смета Внутр'!H1478</f>
        <v>0</v>
      </c>
      <c r="I1478" s="3179" t="n">
        <f aca="false">IF(F1478&lt;H1478,F1478*(D1478-E1478),0)+IF(H1478=0,(D1478-E1478)*F1478,0)+IF(H1478&lt;F1478,H1478*(D1478-E1478),0)</f>
        <v>0</v>
      </c>
      <c r="J1478" s="3179" t="n">
        <f aca="false">G1478-I1478</f>
        <v>0</v>
      </c>
    </row>
    <row r="1479" customFormat="false" ht="15" hidden="false" customHeight="true" outlineLevel="0" collapsed="false">
      <c r="B1479" s="1551" t="str">
        <f aca="false">'Смета Внутр'!B1479</f>
        <v>Спец ковер ендова нижняя</v>
      </c>
      <c r="C1479" s="1551" t="str">
        <f aca="false">'Смета Внутр'!C1479</f>
        <v>м.п.</v>
      </c>
      <c r="D1479" s="1551" t="n">
        <f aca="false">'Смета Внутр'!D1479</f>
        <v>0</v>
      </c>
      <c r="F1479" s="1551" t="n">
        <f aca="false">'Смета Внутр'!E1479</f>
        <v>200</v>
      </c>
      <c r="G1479" s="1551" t="n">
        <f aca="false">'Смета Внутр'!H1479</f>
        <v>0</v>
      </c>
      <c r="I1479" s="3179" t="n">
        <f aca="false">IF(F1479&lt;H1479,F1479*(D1479-E1479),0)+IF(H1479=0,(D1479-E1479)*F1479,0)+IF(H1479&lt;F1479,H1479*(D1479-E1479),0)</f>
        <v>0</v>
      </c>
      <c r="J1479" s="3179" t="n">
        <f aca="false">G1479-I1479</f>
        <v>0</v>
      </c>
    </row>
    <row r="1480" customFormat="false" ht="15" hidden="false" customHeight="true" outlineLevel="0" collapsed="false">
      <c r="B1480" s="1551" t="str">
        <f aca="false">'Смета Внутр'!B1480</f>
        <v>Коньковой элемент</v>
      </c>
      <c r="C1480" s="1551" t="str">
        <f aca="false">'Смета Внутр'!C1480</f>
        <v>м.п.</v>
      </c>
      <c r="D1480" s="1551" t="n">
        <f aca="false">'Смета Внутр'!D1480</f>
        <v>0</v>
      </c>
      <c r="F1480" s="1551" t="n">
        <f aca="false">'Смета Внутр'!E1480</f>
        <v>250</v>
      </c>
      <c r="G1480" s="1551" t="n">
        <f aca="false">'Смета Внутр'!H1480</f>
        <v>0</v>
      </c>
      <c r="I1480" s="3179" t="n">
        <f aca="false">IF(F1480&lt;H1480,F1480*(D1480-E1480),0)+IF(H1480=0,(D1480-E1480)*F1480,0)+IF(H1480&lt;F1480,H1480*(D1480-E1480),0)</f>
        <v>0</v>
      </c>
      <c r="J1480" s="3179" t="n">
        <f aca="false">G1480-I1480</f>
        <v>0</v>
      </c>
    </row>
    <row r="1481" customFormat="false" ht="15" hidden="false" customHeight="true" outlineLevel="0" collapsed="false">
      <c r="B1481" s="1551" t="str">
        <f aca="false">'Смета Внутр'!B1481</f>
        <v>Планка премыкания</v>
      </c>
      <c r="C1481" s="1551" t="str">
        <f aca="false">'Смета Внутр'!C1481</f>
        <v>м.п.</v>
      </c>
      <c r="D1481" s="1551" t="n">
        <f aca="false">'Смета Внутр'!D1481</f>
        <v>0</v>
      </c>
      <c r="F1481" s="1551" t="n">
        <f aca="false">'Смета Внутр'!E1481</f>
        <v>200</v>
      </c>
      <c r="G1481" s="1551" t="n">
        <f aca="false">'Смета Внутр'!H1481</f>
        <v>0</v>
      </c>
      <c r="I1481" s="3179" t="n">
        <f aca="false">IF(F1481&lt;H1481,F1481*(D1481-E1481),0)+IF(H1481=0,(D1481-E1481)*F1481,0)+IF(H1481&lt;F1481,H1481*(D1481-E1481),0)</f>
        <v>0</v>
      </c>
      <c r="J1481" s="3179" t="n">
        <f aca="false">G1481-I1481</f>
        <v>0</v>
      </c>
    </row>
    <row r="1482" customFormat="false" ht="15" hidden="false" customHeight="true" outlineLevel="0" collapsed="false">
      <c r="B1482" s="1551" t="str">
        <f aca="false">'Смета Внутр'!B1482</f>
        <v>Гвозди для крепления подкладочного ковра</v>
      </c>
      <c r="C1482" s="1551" t="str">
        <f aca="false">'Смета Внутр'!C1482</f>
        <v>шт</v>
      </c>
      <c r="D1482" s="1551" t="n">
        <f aca="false">'Смета Внутр'!D1482</f>
        <v>0</v>
      </c>
      <c r="F1482" s="1551" t="n">
        <f aca="false">'Смета Внутр'!E1482</f>
        <v>0.012</v>
      </c>
      <c r="G1482" s="1551" t="n">
        <f aca="false">'Смета Внутр'!H1482</f>
        <v>0</v>
      </c>
      <c r="I1482" s="3179" t="n">
        <f aca="false">IF(F1482&lt;H1482,F1482*(D1482-E1482),0)+IF(H1482=0,(D1482-E1482)*F1482,0)+IF(H1482&lt;F1482,H1482*(D1482-E1482),0)</f>
        <v>0</v>
      </c>
      <c r="J1482" s="3179" t="n">
        <f aca="false">G1482-I1482</f>
        <v>0</v>
      </c>
    </row>
    <row r="1483" customFormat="false" ht="15" hidden="false" customHeight="true" outlineLevel="0" collapsed="false">
      <c r="B1483" s="1551" t="str">
        <f aca="false">'Смета Внутр'!B1483</f>
        <v>Гвозди для крепления черепицы</v>
      </c>
      <c r="C1483" s="1551" t="str">
        <f aca="false">'Смета Внутр'!C1483</f>
        <v>шт</v>
      </c>
      <c r="D1483" s="1551" t="n">
        <f aca="false">'Смета Внутр'!D1483</f>
        <v>0</v>
      </c>
      <c r="F1483" s="1551" t="n">
        <f aca="false">'Смета Внутр'!E1483</f>
        <v>0.25</v>
      </c>
      <c r="G1483" s="1551" t="n">
        <f aca="false">'Смета Внутр'!H1483</f>
        <v>0</v>
      </c>
      <c r="I1483" s="3179" t="n">
        <f aca="false">IF(F1483&lt;H1483,F1483*(D1483-E1483),0)+IF(H1483=0,(D1483-E1483)*F1483,0)+IF(H1483&lt;F1483,H1483*(D1483-E1483),0)</f>
        <v>0</v>
      </c>
      <c r="J1483" s="3179" t="n">
        <f aca="false">G1483-I1483</f>
        <v>0</v>
      </c>
    </row>
    <row r="1484" customFormat="false" ht="15" hidden="false" customHeight="true" outlineLevel="0" collapsed="false">
      <c r="B1484" s="1551" t="str">
        <f aca="false">'Смета Внутр'!B1484</f>
        <v>Клей для монтажа черепицы</v>
      </c>
      <c r="C1484" s="1551" t="str">
        <f aca="false">'Смета Внутр'!C1484</f>
        <v>кг</v>
      </c>
      <c r="D1484" s="1551" t="n">
        <f aca="false">'Смета Внутр'!D1484</f>
        <v>0</v>
      </c>
      <c r="F1484" s="1551" t="n">
        <f aca="false">'Смета Внутр'!E1484</f>
        <v>250</v>
      </c>
      <c r="G1484" s="1551" t="n">
        <f aca="false">'Смета Внутр'!H1484</f>
        <v>0</v>
      </c>
      <c r="I1484" s="3179" t="n">
        <f aca="false">IF(F1484&lt;H1484,F1484*(D1484-E1484),0)+IF(H1484=0,(D1484-E1484)*F1484,0)+IF(H1484&lt;F1484,H1484*(D1484-E1484),0)</f>
        <v>0</v>
      </c>
      <c r="J1484" s="3179" t="n">
        <f aca="false">G1484-I1484</f>
        <v>0</v>
      </c>
    </row>
    <row r="1485" customFormat="false" ht="15" hidden="false" customHeight="true" outlineLevel="0" collapsed="false">
      <c r="B1485" s="1551" t="str">
        <f aca="false">'Смета Внутр'!B1485</f>
        <v>желоб</v>
      </c>
      <c r="C1485" s="1551" t="str">
        <f aca="false">'Смета Внутр'!C1485</f>
        <v>м.п</v>
      </c>
      <c r="D1485" s="1551" t="n">
        <f aca="false">'Смета Внутр'!D1485</f>
        <v>0</v>
      </c>
      <c r="F1485" s="1551" t="n">
        <f aca="false">'Смета Внутр'!E1485</f>
        <v>300</v>
      </c>
      <c r="G1485" s="1551" t="n">
        <f aca="false">'Смета Внутр'!H1485</f>
        <v>0</v>
      </c>
      <c r="I1485" s="3179" t="n">
        <f aca="false">IF(F1485&lt;H1485,F1485*(D1485-E1485),0)+IF(H1485=0,(D1485-E1485)*F1485,0)+IF(H1485&lt;F1485,H1485*(D1485-E1485),0)</f>
        <v>0</v>
      </c>
      <c r="J1485" s="3179" t="n">
        <f aca="false">G1485-I1485</f>
        <v>0</v>
      </c>
    </row>
    <row r="1486" customFormat="false" ht="15" hidden="false" customHeight="true" outlineLevel="0" collapsed="false">
      <c r="B1486" s="1551" t="str">
        <f aca="false">'Смета Внутр'!B1486</f>
        <v>отвод</v>
      </c>
      <c r="C1486" s="1551" t="str">
        <f aca="false">'Смета Внутр'!C1486</f>
        <v>шт</v>
      </c>
      <c r="D1486" s="1551" t="n">
        <f aca="false">'Смета Внутр'!D1486</f>
        <v>4</v>
      </c>
      <c r="F1486" s="1551" t="n">
        <f aca="false">'Смета Внутр'!E1486</f>
        <v>250</v>
      </c>
      <c r="G1486" s="1551" t="n">
        <f aca="false">'Смета Внутр'!H1486</f>
        <v>0</v>
      </c>
      <c r="I1486" s="3179" t="n">
        <f aca="false">IF(F1486&lt;H1486,F1486*(D1486-E1486),0)+IF(H1486=0,(D1486-E1486)*F1486,0)+IF(H1486&lt;F1486,H1486*(D1486-E1486),0)</f>
        <v>1000</v>
      </c>
      <c r="J1486" s="3179" t="n">
        <f aca="false">G1486-I1486</f>
        <v>-1000</v>
      </c>
    </row>
    <row r="1487" customFormat="false" ht="15" hidden="false" customHeight="true" outlineLevel="0" collapsed="false">
      <c r="B1487" s="1551" t="str">
        <f aca="false">'Смета Внутр'!B1487</f>
        <v>труба водосточная</v>
      </c>
      <c r="C1487" s="1551" t="str">
        <f aca="false">'Смета Внутр'!C1487</f>
        <v>м.п.</v>
      </c>
      <c r="D1487" s="1551" t="n">
        <f aca="false">'Смета Внутр'!D1487</f>
        <v>0</v>
      </c>
      <c r="F1487" s="1551" t="n">
        <f aca="false">'Смета Внутр'!E1487</f>
        <v>300</v>
      </c>
      <c r="G1487" s="1551" t="n">
        <f aca="false">'Смета Внутр'!H1487</f>
        <v>0</v>
      </c>
      <c r="I1487" s="3179" t="n">
        <f aca="false">IF(F1487&lt;H1487,F1487*(D1487-E1487),0)+IF(H1487=0,(D1487-E1487)*F1487,0)+IF(H1487&lt;F1487,H1487*(D1487-E1487),0)</f>
        <v>0</v>
      </c>
      <c r="J1487" s="3179" t="n">
        <f aca="false">G1487-I1487</f>
        <v>0</v>
      </c>
    </row>
    <row r="1488" customFormat="false" ht="15" hidden="false" customHeight="true" outlineLevel="0" collapsed="false">
      <c r="B1488" s="1551" t="str">
        <f aca="false">'Смета Внутр'!B1488</f>
        <v>заглушка для желоба</v>
      </c>
      <c r="C1488" s="1551" t="str">
        <f aca="false">'Смета Внутр'!C1488</f>
        <v>шт</v>
      </c>
      <c r="D1488" s="1551" t="n">
        <f aca="false">'Смета Внутр'!D1488</f>
        <v>0</v>
      </c>
      <c r="F1488" s="1551" t="n">
        <f aca="false">'Смета Внутр'!E1488</f>
        <v>190</v>
      </c>
      <c r="G1488" s="1551" t="n">
        <f aca="false">'Смета Внутр'!H1488</f>
        <v>0</v>
      </c>
      <c r="I1488" s="3179" t="n">
        <f aca="false">IF(F1488&lt;H1488,F1488*(D1488-E1488),0)+IF(H1488=0,(D1488-E1488)*F1488,0)+IF(H1488&lt;F1488,H1488*(D1488-E1488),0)</f>
        <v>0</v>
      </c>
      <c r="J1488" s="3179" t="n">
        <f aca="false">G1488-I1488</f>
        <v>0</v>
      </c>
    </row>
    <row r="1489" customFormat="false" ht="15" hidden="false" customHeight="true" outlineLevel="0" collapsed="false">
      <c r="B1489" s="1551" t="str">
        <f aca="false">'Смета Внутр'!B1489</f>
        <v>соеденитель для желоба</v>
      </c>
      <c r="C1489" s="1551" t="str">
        <f aca="false">'Смета Внутр'!C1489</f>
        <v>шт</v>
      </c>
      <c r="D1489" s="1551" t="n">
        <f aca="false">'Смета Внутр'!D1489</f>
        <v>0</v>
      </c>
      <c r="F1489" s="1551" t="n">
        <f aca="false">'Смета Внутр'!E1489</f>
        <v>180</v>
      </c>
      <c r="G1489" s="1551" t="n">
        <f aca="false">'Смета Внутр'!H1489</f>
        <v>0</v>
      </c>
      <c r="I1489" s="3179" t="n">
        <f aca="false">IF(F1489&lt;H1489,F1489*(D1489-E1489),0)+IF(H1489=0,(D1489-E1489)*F1489,0)+IF(H1489&lt;F1489,H1489*(D1489-E1489),0)</f>
        <v>0</v>
      </c>
      <c r="J1489" s="3179" t="n">
        <f aca="false">G1489-I1489</f>
        <v>0</v>
      </c>
    </row>
    <row r="1490" customFormat="false" ht="15" hidden="false" customHeight="true" outlineLevel="0" collapsed="false">
      <c r="B1490" s="1551" t="str">
        <f aca="false">'Смета Внутр'!B1490</f>
        <v>кронштейн для желоба</v>
      </c>
      <c r="C1490" s="1551" t="str">
        <f aca="false">'Смета Внутр'!C1490</f>
        <v>шт</v>
      </c>
      <c r="D1490" s="1551" t="n">
        <f aca="false">'Смета Внутр'!D1490</f>
        <v>0</v>
      </c>
      <c r="F1490" s="1551" t="n">
        <f aca="false">'Смета Внутр'!E1490</f>
        <v>130</v>
      </c>
      <c r="G1490" s="1551" t="n">
        <f aca="false">'Смета Внутр'!H1490</f>
        <v>0</v>
      </c>
      <c r="I1490" s="3179" t="n">
        <f aca="false">IF(F1490&lt;H1490,F1490*(D1490-E1490),0)+IF(H1490=0,(D1490-E1490)*F1490,0)+IF(H1490&lt;F1490,H1490*(D1490-E1490),0)</f>
        <v>0</v>
      </c>
      <c r="J1490" s="3179" t="n">
        <f aca="false">G1490-I1490</f>
        <v>0</v>
      </c>
    </row>
    <row r="1491" customFormat="false" ht="15" hidden="false" customHeight="true" outlineLevel="0" collapsed="false">
      <c r="B1491" s="1551" t="str">
        <f aca="false">'Смета Внутр'!B1491</f>
        <v>переход из желоба в трубу</v>
      </c>
      <c r="C1491" s="1551" t="str">
        <f aca="false">'Смета Внутр'!C1491</f>
        <v>шт</v>
      </c>
      <c r="D1491" s="1551" t="n">
        <f aca="false">'Смета Внутр'!D1491</f>
        <v>2</v>
      </c>
      <c r="F1491" s="1551" t="n">
        <f aca="false">'Смета Внутр'!E1491</f>
        <v>350</v>
      </c>
      <c r="G1491" s="1551" t="n">
        <f aca="false">'Смета Внутр'!H1491</f>
        <v>0</v>
      </c>
      <c r="I1491" s="3179" t="n">
        <f aca="false">IF(F1491&lt;H1491,F1491*(D1491-E1491),0)+IF(H1491=0,(D1491-E1491)*F1491,0)+IF(H1491&lt;F1491,H1491*(D1491-E1491),0)</f>
        <v>700</v>
      </c>
      <c r="J1491" s="3179" t="n">
        <f aca="false">G1491-I1491</f>
        <v>-700</v>
      </c>
    </row>
    <row r="1492" customFormat="false" ht="15" hidden="false" customHeight="true" outlineLevel="0" collapsed="false">
      <c r="B1492" s="1551" t="str">
        <f aca="false">'Смета Внутр'!B1492</f>
        <v>лента дельта мульти бэнд</v>
      </c>
      <c r="C1492" s="1551" t="str">
        <f aca="false">'Смета Внутр'!C1492</f>
        <v>шт</v>
      </c>
      <c r="D1492" s="1551" t="n">
        <f aca="false">'Смета Внутр'!D1492</f>
        <v>0</v>
      </c>
      <c r="F1492" s="1551" t="n">
        <f aca="false">'Смета Внутр'!E1492</f>
        <v>1200</v>
      </c>
      <c r="G1492" s="1551" t="n">
        <f aca="false">'Смета Внутр'!H1492</f>
        <v>0</v>
      </c>
      <c r="I1492" s="3179" t="n">
        <f aca="false">IF(F1492&lt;H1492,F1492*(D1492-E1492),0)+IF(H1492=0,(D1492-E1492)*F1492,0)+IF(H1492&lt;F1492,H1492*(D1492-E1492),0)</f>
        <v>0</v>
      </c>
      <c r="J1492" s="3179" t="n">
        <f aca="false">G1492-I1492</f>
        <v>0</v>
      </c>
    </row>
    <row r="1493" customFormat="false" ht="15" hidden="false" customHeight="true" outlineLevel="0" collapsed="false">
      <c r="B1493" s="1551" t="str">
        <f aca="false">'Смета Внутр'!B1493</f>
        <v>лента дельта sb-60</v>
      </c>
      <c r="C1493" s="1551" t="str">
        <f aca="false">'Смета Внутр'!C1493</f>
        <v>шт</v>
      </c>
      <c r="D1493" s="1551" t="n">
        <f aca="false">'Смета Внутр'!D1493</f>
        <v>0</v>
      </c>
      <c r="F1493" s="1551" t="n">
        <f aca="false">'Смета Внутр'!E1493</f>
        <v>1100</v>
      </c>
      <c r="G1493" s="1551" t="n">
        <f aca="false">'Смета Внутр'!H1493</f>
        <v>0</v>
      </c>
      <c r="I1493" s="3179" t="n">
        <f aca="false">IF(F1493&lt;H1493,F1493*(D1493-E1493),0)+IF(H1493=0,(D1493-E1493)*F1493,0)+IF(H1493&lt;F1493,H1493*(D1493-E1493),0)</f>
        <v>0</v>
      </c>
      <c r="J1493" s="3179" t="n">
        <f aca="false">G1493-I1493</f>
        <v>0</v>
      </c>
    </row>
    <row r="1494" customFormat="false" ht="15" hidden="false" customHeight="true" outlineLevel="0" collapsed="false">
      <c r="B1494" s="1551" t="str">
        <f aca="false">'Смета Внутр'!B1494</f>
        <v>Кровельный саморез</v>
      </c>
      <c r="C1494" s="1551" t="str">
        <f aca="false">'Смета Внутр'!C1494</f>
        <v>шт</v>
      </c>
      <c r="D1494" s="1551" t="n">
        <f aca="false">'Смета Внутр'!D1494</f>
        <v>0</v>
      </c>
      <c r="F1494" s="1551" t="n">
        <f aca="false">'Смета Внутр'!E1494</f>
        <v>2</v>
      </c>
      <c r="G1494" s="1551" t="n">
        <f aca="false">'Смета Внутр'!H1494</f>
        <v>0</v>
      </c>
      <c r="I1494" s="3179" t="n">
        <f aca="false">IF(F1494&lt;H1494,F1494*(D1494-E1494),0)+IF(H1494=0,(D1494-E1494)*F1494,0)+IF(H1494&lt;F1494,H1494*(D1494-E1494),0)</f>
        <v>0</v>
      </c>
      <c r="J1494" s="3179" t="n">
        <f aca="false">G1494-I1494</f>
        <v>0</v>
      </c>
    </row>
    <row r="1495" customFormat="false" ht="15" hidden="false" customHeight="true" outlineLevel="0" collapsed="false">
      <c r="B1495" s="1551" t="str">
        <f aca="false">'Смета Внутр'!B1495</f>
        <v>Гвозди ершоные 3,4 x 60            </v>
      </c>
      <c r="C1495" s="1551" t="str">
        <f aca="false">'Смета Внутр'!C1495</f>
        <v>кг</v>
      </c>
      <c r="D1495" s="1551" t="n">
        <f aca="false">'Смета Внутр'!D1495</f>
        <v>0</v>
      </c>
      <c r="F1495" s="1551" t="n">
        <f aca="false">'Смета Внутр'!E1495</f>
        <v>75.51</v>
      </c>
      <c r="G1495" s="1551" t="n">
        <f aca="false">'Смета Внутр'!H1495</f>
        <v>0</v>
      </c>
      <c r="I1495" s="3179" t="n">
        <f aca="false">IF(F1495&lt;H1495,F1495*(D1495-E1495),0)+IF(H1495=0,(D1495-E1495)*F1495,0)+IF(H1495&lt;F1495,H1495*(D1495-E1495),0)</f>
        <v>0</v>
      </c>
      <c r="J1495" s="3179" t="n">
        <f aca="false">G1495-I1495</f>
        <v>0</v>
      </c>
    </row>
    <row r="1496" customFormat="false" ht="15" hidden="false" customHeight="true" outlineLevel="0" collapsed="false">
      <c r="B1496" s="1551" t="str">
        <f aca="false">'Смета Внутр'!B1496</f>
        <v>Гвозди ершоные 2,8 х 90            </v>
      </c>
      <c r="C1496" s="1551" t="str">
        <f aca="false">'Смета Внутр'!C1496</f>
        <v>кг</v>
      </c>
      <c r="D1496" s="1551" t="n">
        <f aca="false">'Смета Внутр'!D1496</f>
        <v>0</v>
      </c>
      <c r="F1496" s="1551" t="n">
        <f aca="false">'Смета Внутр'!E1496</f>
        <v>76.49</v>
      </c>
      <c r="G1496" s="1551" t="n">
        <f aca="false">'Смета Внутр'!H1496</f>
        <v>0</v>
      </c>
      <c r="I1496" s="3179" t="n">
        <f aca="false">IF(F1496&lt;H1496,F1496*(D1496-E1496),0)+IF(H1496=0,(D1496-E1496)*F1496,0)+IF(H1496&lt;F1496,H1496*(D1496-E1496),0)</f>
        <v>0</v>
      </c>
      <c r="J1496" s="3179" t="n">
        <f aca="false">G1496-I1496</f>
        <v>0</v>
      </c>
    </row>
    <row r="1497" customFormat="false" ht="15" hidden="false" customHeight="true" outlineLevel="0" collapsed="false">
      <c r="B1497" s="1551" t="str">
        <f aca="false">'Смета Внутр'!B1497</f>
        <v>Пластина соеденительная 100х240х2           </v>
      </c>
      <c r="C1497" s="1551" t="str">
        <f aca="false">'Смета Внутр'!C1497</f>
        <v>шт</v>
      </c>
      <c r="D1497" s="1551" t="n">
        <f aca="false">'Смета Внутр'!D1497</f>
        <v>2</v>
      </c>
      <c r="F1497" s="1551" t="n">
        <f aca="false">'Смета Внутр'!E1497</f>
        <v>31.54</v>
      </c>
      <c r="G1497" s="1551" t="n">
        <f aca="false">'Смета Внутр'!H1497</f>
        <v>0</v>
      </c>
      <c r="I1497" s="3179" t="n">
        <f aca="false">IF(F1497&lt;H1497,F1497*(D1497-E1497),0)+IF(H1497=0,(D1497-E1497)*F1497,0)+IF(H1497&lt;F1497,H1497*(D1497-E1497),0)</f>
        <v>63.08</v>
      </c>
      <c r="J1497" s="3179" t="n">
        <f aca="false">G1497-I1497</f>
        <v>-63.08</v>
      </c>
    </row>
    <row r="1498" customFormat="false" ht="15" hidden="false" customHeight="true" outlineLevel="0" collapsed="false">
      <c r="B1498" s="1551" t="str">
        <f aca="false">'Смета Внутр'!B1498</f>
        <v>Уголок усиленный 90х70х55х2,5        </v>
      </c>
      <c r="C1498" s="1551" t="str">
        <f aca="false">'Смета Внутр'!C1498</f>
        <v>шт</v>
      </c>
      <c r="D1498" s="1551" t="n">
        <f aca="false">'Смета Внутр'!D1498</f>
        <v>3</v>
      </c>
      <c r="F1498" s="1551" t="n">
        <f aca="false">'Смета Внутр'!E1498</f>
        <v>30</v>
      </c>
      <c r="G1498" s="1551" t="n">
        <f aca="false">'Смета Внутр'!H1498</f>
        <v>0</v>
      </c>
      <c r="I1498" s="3179" t="n">
        <f aca="false">IF(F1498&lt;H1498,F1498*(D1498-E1498),0)+IF(H1498=0,(D1498-E1498)*F1498,0)+IF(H1498&lt;F1498,H1498*(D1498-E1498),0)</f>
        <v>90</v>
      </c>
      <c r="J1498" s="3179" t="n">
        <f aca="false">G1498-I1498</f>
        <v>-90</v>
      </c>
    </row>
    <row r="1499" customFormat="false" ht="15" hidden="false" customHeight="true" outlineLevel="0" collapsed="false">
      <c r="B1499" s="1692" t="s">
        <v>4332</v>
      </c>
      <c r="C1499" s="1692"/>
      <c r="D1499" s="1692"/>
      <c r="E1499" s="1692"/>
      <c r="F1499" s="1692"/>
      <c r="G1499" s="1551" t="n">
        <f aca="false">'Смета Внутр'!H1499</f>
        <v>0</v>
      </c>
      <c r="H1499" s="3184"/>
      <c r="I1499" s="3179" t="n">
        <f aca="false">IF(F1499&lt;H1499,F1499*(D1499-E1499),0)+IF(H1499=0,(D1499-E1499)*F1499,0)+IF(H1499&lt;F1499,H1499*(D1499-E1499),0)</f>
        <v>0</v>
      </c>
      <c r="J1499" s="3179" t="n">
        <f aca="false">G1499-I1499</f>
        <v>0</v>
      </c>
    </row>
    <row r="1500" customFormat="false" ht="15" hidden="false" customHeight="true" outlineLevel="0" collapsed="false">
      <c r="B1500" s="1268" t="str">
        <f aca="false">'Смета Внутр'!B1500</f>
        <v>Работы</v>
      </c>
      <c r="C1500" s="1268"/>
      <c r="D1500" s="1268"/>
      <c r="E1500" s="1268"/>
      <c r="F1500" s="1268"/>
      <c r="G1500" s="1551" t="n">
        <f aca="false">'Смета Внутр'!H1500</f>
        <v>0</v>
      </c>
      <c r="H1500" s="3175"/>
      <c r="I1500" s="3179" t="n">
        <f aca="false">IF(F1500&lt;H1500,F1500*(D1500-E1500),0)+IF(H1500=0,(D1500-E1500)*F1500,0)+IF(H1500&lt;F1500,H1500*(D1500-E1500),0)</f>
        <v>0</v>
      </c>
      <c r="J1500" s="3179" t="n">
        <f aca="false">G1500-I1500</f>
        <v>0</v>
      </c>
    </row>
    <row r="1501" customFormat="false" ht="15" hidden="false" customHeight="true" outlineLevel="0" collapsed="false">
      <c r="B1501" s="1551" t="str">
        <f aca="false">'Смета Внутр'!B1501</f>
        <v>монтаж мауэрлат</v>
      </c>
      <c r="C1501" s="1551" t="str">
        <f aca="false">'Смета Внутр'!C1501</f>
        <v>м.п.</v>
      </c>
      <c r="D1501" s="1551" t="n">
        <f aca="false">'Смета Внутр'!D1501</f>
        <v>0</v>
      </c>
      <c r="F1501" s="1551" t="n">
        <f aca="false">'Смета Внутр'!E1501</f>
        <v>250</v>
      </c>
      <c r="G1501" s="1551" t="n">
        <f aca="false">'Смета Внутр'!H1501</f>
        <v>0</v>
      </c>
      <c r="I1501" s="3179" t="n">
        <f aca="false">IF(F1501&lt;H1501,F1501*(D1501-E1501),0)+IF(H1501=0,(D1501-E1501)*F1501,0)+IF(H1501&lt;F1501,H1501*(D1501-E1501),0)</f>
        <v>0</v>
      </c>
      <c r="J1501" s="3179" t="n">
        <f aca="false">G1501-I1501</f>
        <v>0</v>
      </c>
    </row>
    <row r="1502" customFormat="false" ht="15" hidden="false" customHeight="true" outlineLevel="0" collapsed="false">
      <c r="B1502" s="1551" t="str">
        <f aca="false">'Смета Внутр'!B1502</f>
        <v>монтаж стропил</v>
      </c>
      <c r="C1502" s="1551" t="str">
        <f aca="false">'Смета Внутр'!C1502</f>
        <v>м2</v>
      </c>
      <c r="D1502" s="1551" t="n">
        <f aca="false">'Смета Внутр'!D1502</f>
        <v>0</v>
      </c>
      <c r="F1502" s="1551" t="n">
        <f aca="false">'Смета Внутр'!E1502</f>
        <v>450</v>
      </c>
      <c r="G1502" s="1551" t="n">
        <f aca="false">'Смета Внутр'!H1502</f>
        <v>0</v>
      </c>
      <c r="I1502" s="3179" t="n">
        <f aca="false">IF(F1502&lt;H1502,F1502*(D1502-E1502),0)+IF(H1502=0,(D1502-E1502)*F1502,0)+IF(H1502&lt;F1502,H1502*(D1502-E1502),0)</f>
        <v>0</v>
      </c>
      <c r="J1502" s="3179" t="n">
        <f aca="false">G1502-I1502</f>
        <v>0</v>
      </c>
    </row>
    <row r="1503" customFormat="false" ht="15" hidden="false" customHeight="true" outlineLevel="0" collapsed="false">
      <c r="B1503" s="1551" t="str">
        <f aca="false">'Смета Внутр'!B1503</f>
        <v>обрешетка</v>
      </c>
      <c r="C1503" s="1551" t="str">
        <f aca="false">'Смета Внутр'!C1503</f>
        <v>м2</v>
      </c>
      <c r="D1503" s="1551" t="n">
        <f aca="false">'Смета Внутр'!D1503</f>
        <v>0</v>
      </c>
      <c r="F1503" s="1551" t="n">
        <f aca="false">'Смета Внутр'!E1503</f>
        <v>100</v>
      </c>
      <c r="G1503" s="1551" t="n">
        <f aca="false">'Смета Внутр'!H1503</f>
        <v>0</v>
      </c>
      <c r="I1503" s="3179" t="n">
        <f aca="false">IF(F1503&lt;H1503,F1503*(D1503-E1503),0)+IF(H1503=0,(D1503-E1503)*F1503,0)+IF(H1503&lt;F1503,H1503*(D1503-E1503),0)</f>
        <v>0</v>
      </c>
      <c r="J1503" s="3179" t="n">
        <f aca="false">G1503-I1503</f>
        <v>0</v>
      </c>
    </row>
    <row r="1504" customFormat="false" ht="15" hidden="false" customHeight="true" outlineLevel="0" collapsed="false">
      <c r="B1504" s="1551" t="str">
        <f aca="false">'Смета Внутр'!B1504</f>
        <v>контробеш</v>
      </c>
      <c r="C1504" s="1551" t="str">
        <f aca="false">'Смета Внутр'!C1504</f>
        <v>м2</v>
      </c>
      <c r="D1504" s="1551" t="n">
        <f aca="false">'Смета Внутр'!D1504</f>
        <v>0</v>
      </c>
      <c r="F1504" s="1551" t="n">
        <f aca="false">'Смета Внутр'!E1504</f>
        <v>100</v>
      </c>
      <c r="G1504" s="1551" t="n">
        <f aca="false">'Смета Внутр'!H1504</f>
        <v>0</v>
      </c>
      <c r="I1504" s="3179" t="n">
        <f aca="false">IF(F1504&lt;H1504,F1504*(D1504-E1504),0)+IF(H1504=0,(D1504-E1504)*F1504,0)+IF(H1504&lt;F1504,H1504*(D1504-E1504),0)</f>
        <v>0</v>
      </c>
      <c r="J1504" s="3179" t="n">
        <f aca="false">G1504-I1504</f>
        <v>0</v>
      </c>
    </row>
    <row r="1505" customFormat="false" ht="15" hidden="false" customHeight="true" outlineLevel="0" collapsed="false">
      <c r="B1505" s="1551" t="str">
        <f aca="false">'Смета Внутр'!B1505</f>
        <v>мембрана</v>
      </c>
      <c r="C1505" s="1551" t="str">
        <f aca="false">'Смета Внутр'!C1505</f>
        <v>м2</v>
      </c>
      <c r="D1505" s="1551" t="n">
        <f aca="false">'Смета Внутр'!D1505</f>
        <v>0</v>
      </c>
      <c r="F1505" s="1551" t="n">
        <f aca="false">'Смета Внутр'!E1505</f>
        <v>100</v>
      </c>
      <c r="G1505" s="1551" t="n">
        <f aca="false">'Смета Внутр'!H1505</f>
        <v>0</v>
      </c>
      <c r="I1505" s="3179" t="n">
        <f aca="false">IF(F1505&lt;H1505,F1505*(D1505-E1505),0)+IF(H1505=0,(D1505-E1505)*F1505,0)+IF(H1505&lt;F1505,H1505*(D1505-E1505),0)</f>
        <v>0</v>
      </c>
      <c r="J1505" s="3179" t="n">
        <f aca="false">G1505-I1505</f>
        <v>0</v>
      </c>
    </row>
    <row r="1506" customFormat="false" ht="15" hidden="false" customHeight="true" outlineLevel="0" collapsed="false">
      <c r="B1506" s="1551" t="str">
        <f aca="false">'Смета Внутр'!B1506</f>
        <v>пароизоляц</v>
      </c>
      <c r="C1506" s="1551" t="str">
        <f aca="false">'Смета Внутр'!C1506</f>
        <v>м2</v>
      </c>
      <c r="D1506" s="1551" t="n">
        <f aca="false">'Смета Внутр'!D1506</f>
        <v>0</v>
      </c>
      <c r="F1506" s="1551" t="n">
        <f aca="false">'Смета Внутр'!E1506</f>
        <v>100</v>
      </c>
      <c r="G1506" s="1551" t="n">
        <f aca="false">'Смета Внутр'!H1506</f>
        <v>0</v>
      </c>
      <c r="I1506" s="3179" t="n">
        <f aca="false">IF(F1506&lt;H1506,F1506*(D1506-E1506),0)+IF(H1506=0,(D1506-E1506)*F1506,0)+IF(H1506&lt;F1506,H1506*(D1506-E1506),0)</f>
        <v>0</v>
      </c>
      <c r="J1506" s="3179" t="n">
        <f aca="false">G1506-I1506</f>
        <v>0</v>
      </c>
    </row>
    <row r="1507" customFormat="false" ht="15" hidden="false" customHeight="true" outlineLevel="0" collapsed="false">
      <c r="B1507" s="1551" t="str">
        <f aca="false">'Смета Внутр'!B1507</f>
        <v>утеплитель</v>
      </c>
      <c r="C1507" s="1551" t="str">
        <f aca="false">'Смета Внутр'!C1507</f>
        <v>м2</v>
      </c>
      <c r="D1507" s="1551" t="n">
        <f aca="false">'Смета Внутр'!D1507</f>
        <v>0</v>
      </c>
      <c r="F1507" s="1551" t="n">
        <f aca="false">'Смета Внутр'!E1507</f>
        <v>200</v>
      </c>
      <c r="G1507" s="1551" t="n">
        <f aca="false">'Смета Внутр'!H1507</f>
        <v>0</v>
      </c>
      <c r="I1507" s="3179" t="n">
        <f aca="false">IF(F1507&lt;H1507,F1507*(D1507-E1507),0)+IF(H1507=0,(D1507-E1507)*F1507,0)+IF(H1507&lt;F1507,H1507*(D1507-E1507),0)</f>
        <v>0</v>
      </c>
      <c r="J1507" s="3179" t="n">
        <f aca="false">G1507-I1507</f>
        <v>0</v>
      </c>
    </row>
    <row r="1508" customFormat="false" ht="15" hidden="false" customHeight="true" outlineLevel="0" collapsed="false">
      <c r="B1508" s="1551" t="str">
        <f aca="false">'Смета Внутр'!B1508</f>
        <v>Монтаж металлочерепицы</v>
      </c>
      <c r="C1508" s="1551" t="str">
        <f aca="false">'Смета Внутр'!C1508</f>
        <v>м2</v>
      </c>
      <c r="D1508" s="1551" t="n">
        <f aca="false">'Смета Внутр'!D1508</f>
        <v>0</v>
      </c>
      <c r="F1508" s="1551" t="n">
        <f aca="false">'Смета Внутр'!E1508</f>
        <v>300</v>
      </c>
      <c r="G1508" s="1551" t="n">
        <f aca="false">'Смета Внутр'!H1508</f>
        <v>0</v>
      </c>
      <c r="I1508" s="3179" t="n">
        <f aca="false">IF(F1508&lt;H1508,F1508*(D1508-E1508),0)+IF(H1508=0,(D1508-E1508)*F1508,0)+IF(H1508&lt;F1508,H1508*(D1508-E1508),0)</f>
        <v>0</v>
      </c>
      <c r="J1508" s="3179" t="n">
        <f aca="false">G1508-I1508</f>
        <v>0</v>
      </c>
    </row>
    <row r="1509" customFormat="false" ht="15" hidden="false" customHeight="true" outlineLevel="0" collapsed="false">
      <c r="B1509" s="1551" t="str">
        <f aca="false">'Смета Внутр'!B1509</f>
        <v>карнизная планка</v>
      </c>
      <c r="C1509" s="1551" t="str">
        <f aca="false">'Смета Внутр'!C1509</f>
        <v>м2</v>
      </c>
      <c r="D1509" s="1551" t="n">
        <f aca="false">'Смета Внутр'!D1509</f>
        <v>0</v>
      </c>
      <c r="F1509" s="1551" t="n">
        <f aca="false">'Смета Внутр'!E1509</f>
        <v>100</v>
      </c>
      <c r="G1509" s="1551" t="n">
        <f aca="false">'Смета Внутр'!H1509</f>
        <v>0</v>
      </c>
      <c r="I1509" s="3179" t="n">
        <f aca="false">IF(F1509&lt;H1509,F1509*(D1509-E1509),0)+IF(H1509=0,(D1509-E1509)*F1509,0)+IF(H1509&lt;F1509,H1509*(D1509-E1509),0)</f>
        <v>0</v>
      </c>
      <c r="J1509" s="3179" t="n">
        <f aca="false">G1509-I1509</f>
        <v>0</v>
      </c>
    </row>
    <row r="1510" customFormat="false" ht="15" hidden="false" customHeight="true" outlineLevel="0" collapsed="false">
      <c r="B1510" s="1551" t="str">
        <f aca="false">'Смета Внутр'!B1510</f>
        <v>желоб водосточный</v>
      </c>
      <c r="C1510" s="1551" t="str">
        <f aca="false">'Смета Внутр'!C1510</f>
        <v>м.п.</v>
      </c>
      <c r="D1510" s="1551" t="n">
        <f aca="false">'Смета Внутр'!D1510</f>
        <v>0</v>
      </c>
      <c r="F1510" s="1551" t="n">
        <f aca="false">'Смета Внутр'!E1510</f>
        <v>300</v>
      </c>
      <c r="G1510" s="1551" t="n">
        <f aca="false">'Смета Внутр'!H1510</f>
        <v>0</v>
      </c>
      <c r="I1510" s="3179" t="n">
        <f aca="false">IF(F1510&lt;H1510,F1510*(D1510-E1510),0)+IF(H1510=0,(D1510-E1510)*F1510,0)+IF(H1510&lt;F1510,H1510*(D1510-E1510),0)</f>
        <v>0</v>
      </c>
      <c r="J1510" s="3179" t="n">
        <f aca="false">G1510-I1510</f>
        <v>0</v>
      </c>
    </row>
    <row r="1511" customFormat="false" ht="15" hidden="false" customHeight="true" outlineLevel="0" collapsed="false">
      <c r="B1511" s="1551" t="str">
        <f aca="false">'Смета Внутр'!B1511</f>
        <v>труба водосточная</v>
      </c>
      <c r="C1511" s="1551" t="str">
        <f aca="false">'Смета Внутр'!C1511</f>
        <v>м.п.</v>
      </c>
      <c r="D1511" s="1551" t="n">
        <f aca="false">'Смета Внутр'!D1511</f>
        <v>0</v>
      </c>
      <c r="F1511" s="1551" t="n">
        <f aca="false">'Смета Внутр'!E1511</f>
        <v>300</v>
      </c>
      <c r="G1511" s="1551" t="n">
        <f aca="false">'Смета Внутр'!H1511</f>
        <v>0</v>
      </c>
      <c r="I1511" s="3179" t="n">
        <f aca="false">IF(F1511&lt;H1511,F1511*(D1511-E1511),0)+IF(H1511=0,(D1511-E1511)*F1511,0)+IF(H1511&lt;F1511,H1511*(D1511-E1511),0)</f>
        <v>0</v>
      </c>
      <c r="J1511" s="3179" t="n">
        <f aca="false">G1511-I1511</f>
        <v>0</v>
      </c>
    </row>
    <row r="1512" customFormat="false" ht="15" hidden="false" customHeight="true" outlineLevel="0" collapsed="false">
      <c r="B1512" s="1551" t="str">
        <f aca="false">'Смета Внутр'!B1512</f>
        <v>ендова внутр/наружн</v>
      </c>
      <c r="C1512" s="1551" t="str">
        <f aca="false">'Смета Внутр'!C1512</f>
        <v>м.п.</v>
      </c>
      <c r="D1512" s="1551" t="n">
        <f aca="false">'Смета Внутр'!D1512</f>
        <v>0</v>
      </c>
      <c r="F1512" s="1551" t="n">
        <f aca="false">'Смета Внутр'!E1512</f>
        <v>300</v>
      </c>
      <c r="G1512" s="1551" t="n">
        <f aca="false">'Смета Внутр'!H1512</f>
        <v>0</v>
      </c>
      <c r="I1512" s="3179" t="n">
        <f aca="false">IF(F1512&lt;H1512,F1512*(D1512-E1512),0)+IF(H1512=0,(D1512-E1512)*F1512,0)+IF(H1512&lt;F1512,H1512*(D1512-E1512),0)</f>
        <v>0</v>
      </c>
      <c r="J1512" s="3179" t="n">
        <f aca="false">G1512-I1512</f>
        <v>0</v>
      </c>
    </row>
    <row r="1513" customFormat="false" ht="15" hidden="false" customHeight="true" outlineLevel="0" collapsed="false">
      <c r="B1513" s="1551" t="str">
        <f aca="false">'Смета Внутр'!B1513</f>
        <v>Монтаж фанеры/osb</v>
      </c>
      <c r="C1513" s="1551" t="str">
        <f aca="false">'Смета Внутр'!C1513</f>
        <v>м2</v>
      </c>
      <c r="D1513" s="1551" t="n">
        <f aca="false">'Смета Внутр'!D1513</f>
        <v>0</v>
      </c>
      <c r="F1513" s="1551" t="n">
        <f aca="false">'Смета Внутр'!E1513</f>
        <v>200</v>
      </c>
      <c r="G1513" s="1551" t="n">
        <f aca="false">'Смета Внутр'!H1513</f>
        <v>0</v>
      </c>
      <c r="I1513" s="3179" t="n">
        <f aca="false">IF(F1513&lt;H1513,F1513*(D1513-E1513),0)+IF(H1513=0,(D1513-E1513)*F1513,0)+IF(H1513&lt;F1513,H1513*(D1513-E1513),0)</f>
        <v>0</v>
      </c>
      <c r="J1513" s="3179" t="n">
        <f aca="false">G1513-I1513</f>
        <v>0</v>
      </c>
    </row>
    <row r="1514" customFormat="false" ht="15" hidden="false" customHeight="true" outlineLevel="0" collapsed="false">
      <c r="B1514" s="1551" t="str">
        <f aca="false">'Смета Внутр'!B1514</f>
        <v>монтаж подкладочного ковра</v>
      </c>
      <c r="C1514" s="1551" t="str">
        <f aca="false">'Смета Внутр'!C1514</f>
        <v>м2</v>
      </c>
      <c r="D1514" s="1551" t="n">
        <f aca="false">'Смета Внутр'!D1514</f>
        <v>0</v>
      </c>
      <c r="F1514" s="1551" t="n">
        <f aca="false">'Смета Внутр'!E1514</f>
        <v>150</v>
      </c>
      <c r="G1514" s="1551" t="n">
        <f aca="false">'Смета Внутр'!H1514</f>
        <v>0</v>
      </c>
      <c r="I1514" s="3179" t="n">
        <f aca="false">IF(F1514&lt;H1514,F1514*(D1514-E1514),0)+IF(H1514=0,(D1514-E1514)*F1514,0)+IF(H1514&lt;F1514,H1514*(D1514-E1514),0)</f>
        <v>0</v>
      </c>
      <c r="J1514" s="3179" t="n">
        <f aca="false">G1514-I1514</f>
        <v>0</v>
      </c>
    </row>
    <row r="1515" customFormat="false" ht="15" hidden="false" customHeight="true" outlineLevel="0" collapsed="false">
      <c r="B1515" s="1551" t="str">
        <f aca="false">'Смета Внутр'!B1515</f>
        <v>Монтаж мягкой кровли</v>
      </c>
      <c r="C1515" s="1551" t="str">
        <f aca="false">'Смета Внутр'!C1515</f>
        <v>м2</v>
      </c>
      <c r="D1515" s="1551" t="n">
        <f aca="false">'Смета Внутр'!D1515</f>
        <v>0</v>
      </c>
      <c r="F1515" s="1551" t="n">
        <f aca="false">'Смета Внутр'!E1515</f>
        <v>350</v>
      </c>
      <c r="G1515" s="1551" t="n">
        <f aca="false">'Смета Внутр'!H1515</f>
        <v>0</v>
      </c>
      <c r="I1515" s="3179" t="n">
        <f aca="false">IF(F1515&lt;H1515,F1515*(D1515-E1515),0)+IF(H1515=0,(D1515-E1515)*F1515,0)+IF(H1515&lt;F1515,H1515*(D1515-E1515),0)</f>
        <v>0</v>
      </c>
      <c r="J1515" s="3179" t="n">
        <f aca="false">G1515-I1515</f>
        <v>0</v>
      </c>
    </row>
    <row r="1516" customFormat="false" ht="15" hidden="false" customHeight="false" outlineLevel="0" collapsed="false">
      <c r="B1516" s="1692" t="s">
        <v>4333</v>
      </c>
      <c r="C1516" s="1692"/>
      <c r="D1516" s="1692"/>
      <c r="E1516" s="1692"/>
      <c r="F1516" s="1692"/>
      <c r="G1516" s="1551" t="n">
        <f aca="false">'Смета Внутр'!H1516</f>
        <v>0</v>
      </c>
      <c r="H1516" s="1584"/>
      <c r="I1516" s="3179" t="n">
        <f aca="false">IF(F1516&lt;H1516,F1516*(D1516-E1516),0)+IF(H1516=0,(D1516-E1516)*F1516,0)+IF(H1516&lt;F1516,H1516*(D1516-E1516),0)</f>
        <v>0</v>
      </c>
      <c r="J1516" s="3179" t="n">
        <f aca="false">G1516-I1516</f>
        <v>0</v>
      </c>
    </row>
    <row r="1517" customFormat="false" ht="15" hidden="false" customHeight="true" outlineLevel="0" collapsed="false">
      <c r="B1517" s="1551" t="str">
        <f aca="false">'Смета Внутр'!B1517</f>
        <v>Кровля на террасу/веранду</v>
      </c>
      <c r="C1517" s="1551" t="n">
        <f aca="false">'Смета Внутр'!C1517</f>
        <v>0</v>
      </c>
      <c r="D1517" s="1551" t="n">
        <f aca="false">'Смета Внутр'!D1517</f>
        <v>0</v>
      </c>
      <c r="F1517" s="1551" t="n">
        <f aca="false">'Смета Внутр'!E1517</f>
        <v>0</v>
      </c>
      <c r="G1517" s="1551" t="n">
        <f aca="false">'Смета Внутр'!H1517</f>
        <v>0</v>
      </c>
      <c r="I1517" s="3179" t="n">
        <f aca="false">IF(F1517&lt;H1517,F1517*(D1517-E1517),0)+IF(H1517=0,(D1517-E1517)*F1517,0)+IF(H1517&lt;F1517,H1517*(D1517-E1517),0)</f>
        <v>0</v>
      </c>
      <c r="J1517" s="3179" t="n">
        <f aca="false">G1517-I1517</f>
        <v>0</v>
      </c>
    </row>
    <row r="1518" customFormat="false" ht="15" hidden="false" customHeight="true" outlineLevel="0" collapsed="false">
      <c r="B1518" s="1268" t="str">
        <f aca="false">'Смета Внутр'!B1518</f>
        <v>Материалы</v>
      </c>
      <c r="C1518" s="1268"/>
      <c r="D1518" s="1268"/>
      <c r="E1518" s="1268"/>
      <c r="F1518" s="1268"/>
      <c r="G1518" s="1551" t="n">
        <f aca="false">'Смета Внутр'!H1518</f>
        <v>0</v>
      </c>
      <c r="H1518" s="3175"/>
      <c r="I1518" s="3179" t="n">
        <f aca="false">IF(F1518&lt;H1518,F1518*(D1518-E1518),0)+IF(H1518=0,(D1518-E1518)*F1518,0)+IF(H1518&lt;F1518,H1518*(D1518-E1518),0)</f>
        <v>0</v>
      </c>
      <c r="J1518" s="3179" t="n">
        <f aca="false">G1518-I1518</f>
        <v>0</v>
      </c>
    </row>
    <row r="1519" customFormat="false" ht="15" hidden="false" customHeight="true" outlineLevel="0" collapsed="false">
      <c r="B1519" s="1551" t="str">
        <f aca="false">'Смета Внутр'!B1519</f>
        <v>Доска сухая, 200*50мм</v>
      </c>
      <c r="C1519" s="1551" t="str">
        <f aca="false">'Смета Внутр'!C1519</f>
        <v>м3</v>
      </c>
      <c r="D1519" s="1551" t="n">
        <f aca="false">'Смета Внутр'!D1519</f>
        <v>0</v>
      </c>
      <c r="F1519" s="1551" t="n">
        <f aca="false">'Смета Внутр'!E1519</f>
        <v>9000</v>
      </c>
      <c r="G1519" s="1551" t="n">
        <f aca="false">'Смета Внутр'!H1519</f>
        <v>0</v>
      </c>
      <c r="I1519" s="3179" t="n">
        <f aca="false">IF(F1519&lt;H1519,F1519*(D1519-E1519),0)+IF(H1519=0,(D1519-E1519)*F1519,0)+IF(H1519&lt;F1519,H1519*(D1519-E1519),0)</f>
        <v>0</v>
      </c>
      <c r="J1519" s="3179" t="n">
        <f aca="false">G1519-I1519</f>
        <v>0</v>
      </c>
    </row>
    <row r="1520" customFormat="false" ht="15" hidden="false" customHeight="true" outlineLevel="0" collapsed="false">
      <c r="B1520" s="1551" t="str">
        <f aca="false">'Смета Внутр'!B1520</f>
        <v>Сосна влаж,100*25мм</v>
      </c>
      <c r="C1520" s="1551" t="str">
        <f aca="false">'Смета Внутр'!C1520</f>
        <v>м3</v>
      </c>
      <c r="D1520" s="1551" t="n">
        <f aca="false">'Смета Внутр'!D1520</f>
        <v>0</v>
      </c>
      <c r="F1520" s="1551" t="n">
        <f aca="false">'Смета Внутр'!E1520</f>
        <v>6500</v>
      </c>
      <c r="G1520" s="1551" t="n">
        <f aca="false">'Смета Внутр'!H1520</f>
        <v>0</v>
      </c>
      <c r="I1520" s="3179" t="n">
        <f aca="false">IF(F1520&lt;H1520,F1520*(D1520-E1520),0)+IF(H1520=0,(D1520-E1520)*F1520,0)+IF(H1520&lt;F1520,H1520*(D1520-E1520),0)</f>
        <v>0</v>
      </c>
      <c r="J1520" s="3179" t="n">
        <f aca="false">G1520-I1520</f>
        <v>0</v>
      </c>
    </row>
    <row r="1521" customFormat="false" ht="15" hidden="false" customHeight="true" outlineLevel="0" collapsed="false">
      <c r="B1521" s="1551" t="str">
        <f aca="false">'Смета Внутр'!B1521</f>
        <v>Доска сухая, калибр., 35*45мм</v>
      </c>
      <c r="C1521" s="1551" t="str">
        <f aca="false">'Смета Внутр'!C1521</f>
        <v>шт</v>
      </c>
      <c r="D1521" s="1551" t="n">
        <f aca="false">'Смета Внутр'!D1521</f>
        <v>0</v>
      </c>
      <c r="F1521" s="1551" t="n">
        <f aca="false">'Смета Внутр'!E1521</f>
        <v>12500</v>
      </c>
      <c r="G1521" s="1551" t="n">
        <f aca="false">'Смета Внутр'!H1521</f>
        <v>0</v>
      </c>
      <c r="I1521" s="3179" t="n">
        <f aca="false">IF(F1521&lt;H1521,F1521*(D1521-E1521),0)+IF(H1521=0,(D1521-E1521)*F1521,0)+IF(H1521&lt;F1521,H1521*(D1521-E1521),0)</f>
        <v>0</v>
      </c>
      <c r="J1521" s="3179" t="n">
        <f aca="false">G1521-I1521</f>
        <v>0</v>
      </c>
    </row>
    <row r="1522" customFormat="false" ht="15" hidden="false" customHeight="true" outlineLevel="0" collapsed="false">
      <c r="B1522" s="1551" t="str">
        <f aca="false">'Смета Внутр'!B1522</f>
        <v>нет ветроизоляции</v>
      </c>
      <c r="C1522" s="1551" t="str">
        <f aca="false">'Смета Внутр'!C1522</f>
        <v>м2</v>
      </c>
      <c r="D1522" s="1551" t="n">
        <f aca="false">'Смета Внутр'!D1522</f>
        <v>0</v>
      </c>
      <c r="F1522" s="1551" t="n">
        <f aca="false">'Смета Внутр'!E1522</f>
        <v>0</v>
      </c>
      <c r="G1522" s="1551" t="n">
        <f aca="false">'Смета Внутр'!H1522</f>
        <v>0</v>
      </c>
      <c r="I1522" s="3179" t="n">
        <f aca="false">IF(F1522&lt;H1522,F1522*(D1522-E1522),0)+IF(H1522=0,(D1522-E1522)*F1522,0)+IF(H1522&lt;F1522,H1522*(D1522-E1522),0)</f>
        <v>0</v>
      </c>
      <c r="J1522" s="3179" t="n">
        <f aca="false">G1522-I1522</f>
        <v>0</v>
      </c>
    </row>
    <row r="1523" customFormat="false" ht="15" hidden="false" customHeight="true" outlineLevel="0" collapsed="false">
      <c r="B1523" s="1551" t="str">
        <f aca="false">'Смета Внутр'!B1523</f>
        <v>металлочерепица</v>
      </c>
      <c r="C1523" s="1551" t="str">
        <f aca="false">'Смета Внутр'!C1523</f>
        <v>м2</v>
      </c>
      <c r="D1523" s="1551" t="n">
        <f aca="false">'Смета Внутр'!D1523</f>
        <v>0</v>
      </c>
      <c r="F1523" s="1551" t="n">
        <f aca="false">'Смета Внутр'!E1523</f>
        <v>250</v>
      </c>
      <c r="G1523" s="1551" t="n">
        <f aca="false">'Смета Внутр'!H1523</f>
        <v>0</v>
      </c>
      <c r="I1523" s="3179" t="n">
        <f aca="false">IF(F1523&lt;H1523,F1523*(D1523-E1523),0)+IF(H1523=0,(D1523-E1523)*F1523,0)+IF(H1523&lt;F1523,H1523*(D1523-E1523),0)</f>
        <v>0</v>
      </c>
      <c r="J1523" s="3179" t="n">
        <f aca="false">G1523-I1523</f>
        <v>0</v>
      </c>
    </row>
    <row r="1524" customFormat="false" ht="15" hidden="false" customHeight="true" outlineLevel="0" collapsed="false">
      <c r="B1524" s="1551" t="str">
        <f aca="false">'Смета Внутр'!B1524</f>
        <v>карнизная планка</v>
      </c>
      <c r="C1524" s="1551" t="str">
        <f aca="false">'Смета Внутр'!C1524</f>
        <v>м.п.</v>
      </c>
      <c r="D1524" s="1551" t="n">
        <f aca="false">'Смета Внутр'!D1524</f>
        <v>0</v>
      </c>
      <c r="F1524" s="1551" t="n">
        <f aca="false">'Смета Внутр'!E1524</f>
        <v>200</v>
      </c>
      <c r="G1524" s="1551" t="n">
        <f aca="false">'Смета Внутр'!H1524</f>
        <v>0</v>
      </c>
      <c r="I1524" s="3179" t="n">
        <f aca="false">IF(F1524&lt;H1524,F1524*(D1524-E1524),0)+IF(H1524=0,(D1524-E1524)*F1524,0)+IF(H1524&lt;F1524,H1524*(D1524-E1524),0)</f>
        <v>0</v>
      </c>
      <c r="J1524" s="3179" t="n">
        <f aca="false">G1524-I1524</f>
        <v>0</v>
      </c>
    </row>
    <row r="1525" customFormat="false" ht="15" hidden="false" customHeight="true" outlineLevel="0" collapsed="false">
      <c r="B1525" s="1551" t="str">
        <f aca="false">'Смета Внутр'!B1525</f>
        <v>торцевая планка</v>
      </c>
      <c r="C1525" s="1551" t="str">
        <f aca="false">'Смета Внутр'!C1525</f>
        <v>м.п.</v>
      </c>
      <c r="D1525" s="1551" t="n">
        <f aca="false">'Смета Внутр'!D1525</f>
        <v>0</v>
      </c>
      <c r="F1525" s="1551" t="n">
        <f aca="false">'Смета Внутр'!E1525</f>
        <v>200</v>
      </c>
      <c r="G1525" s="1551" t="n">
        <f aca="false">'Смета Внутр'!H1525</f>
        <v>0</v>
      </c>
      <c r="I1525" s="3179" t="n">
        <f aca="false">IF(F1525&lt;H1525,F1525*(D1525-E1525),0)+IF(H1525=0,(D1525-E1525)*F1525,0)+IF(H1525&lt;F1525,H1525*(D1525-E1525),0)</f>
        <v>0</v>
      </c>
      <c r="J1525" s="3179" t="n">
        <f aca="false">G1525-I1525</f>
        <v>0</v>
      </c>
    </row>
    <row r="1526" customFormat="false" ht="15" hidden="false" customHeight="true" outlineLevel="0" collapsed="false">
      <c r="B1526" s="1551" t="str">
        <f aca="false">'Смета Внутр'!B1526</f>
        <v>конек</v>
      </c>
      <c r="C1526" s="1551" t="str">
        <f aca="false">'Смета Внутр'!C1526</f>
        <v>м.п.</v>
      </c>
      <c r="D1526" s="1551" t="n">
        <f aca="false">'Смета Внутр'!D1526</f>
        <v>0</v>
      </c>
      <c r="F1526" s="1551" t="n">
        <f aca="false">'Смета Внутр'!E1526</f>
        <v>230</v>
      </c>
      <c r="G1526" s="1551" t="n">
        <f aca="false">'Смета Внутр'!H1526</f>
        <v>0</v>
      </c>
      <c r="I1526" s="3179" t="n">
        <f aca="false">IF(F1526&lt;H1526,F1526*(D1526-E1526),0)+IF(H1526=0,(D1526-E1526)*F1526,0)+IF(H1526&lt;F1526,H1526*(D1526-E1526),0)</f>
        <v>0</v>
      </c>
      <c r="J1526" s="3179" t="n">
        <f aca="false">G1526-I1526</f>
        <v>0</v>
      </c>
    </row>
    <row r="1527" customFormat="false" ht="15" hidden="false" customHeight="true" outlineLevel="0" collapsed="false">
      <c r="B1527" s="1551" t="str">
        <f aca="false">'Смета Внутр'!B1527</f>
        <v>ондулин</v>
      </c>
      <c r="C1527" s="1551" t="str">
        <f aca="false">'Смета Внутр'!C1527</f>
        <v>м2</v>
      </c>
      <c r="D1527" s="1551" t="n">
        <f aca="false">'Смета Внутр'!D1527</f>
        <v>0</v>
      </c>
      <c r="F1527" s="1551" t="n">
        <f aca="false">'Смета Внутр'!E1527</f>
        <v>180</v>
      </c>
      <c r="G1527" s="1551" t="n">
        <f aca="false">'Смета Внутр'!H1527</f>
        <v>0</v>
      </c>
      <c r="I1527" s="3179" t="n">
        <f aca="false">IF(F1527&lt;H1527,F1527*(D1527-E1527),0)+IF(H1527=0,(D1527-E1527)*F1527,0)+IF(H1527&lt;F1527,H1527*(D1527-E1527),0)</f>
        <v>0</v>
      </c>
      <c r="J1527" s="3179" t="n">
        <f aca="false">G1527-I1527</f>
        <v>0</v>
      </c>
    </row>
    <row r="1528" customFormat="false" ht="15" hidden="false" customHeight="true" outlineLevel="0" collapsed="false">
      <c r="B1528" s="1551" t="str">
        <f aca="false">'Смета Внутр'!B1528</f>
        <v>Карнизная планка</v>
      </c>
      <c r="C1528" s="1551" t="str">
        <f aca="false">'Смета Внутр'!C1528</f>
        <v>м.п.</v>
      </c>
      <c r="D1528" s="1551" t="n">
        <f aca="false">'Смета Внутр'!D1528</f>
        <v>0</v>
      </c>
      <c r="F1528" s="1551" t="n">
        <f aca="false">'Смета Внутр'!E1528</f>
        <v>190</v>
      </c>
      <c r="G1528" s="1551" t="n">
        <f aca="false">'Смета Внутр'!H1528</f>
        <v>0</v>
      </c>
      <c r="I1528" s="3179" t="n">
        <f aca="false">IF(F1528&lt;H1528,F1528*(D1528-E1528),0)+IF(H1528=0,(D1528-E1528)*F1528,0)+IF(H1528&lt;F1528,H1528*(D1528-E1528),0)</f>
        <v>0</v>
      </c>
      <c r="J1528" s="3179" t="n">
        <f aca="false">G1528-I1528</f>
        <v>0</v>
      </c>
    </row>
    <row r="1529" customFormat="false" ht="15" hidden="false" customHeight="true" outlineLevel="0" collapsed="false">
      <c r="B1529" s="1551" t="str">
        <f aca="false">'Смета Внутр'!B1529</f>
        <v>Торцевая планка</v>
      </c>
      <c r="C1529" s="1551" t="str">
        <f aca="false">'Смета Внутр'!C1529</f>
        <v>м.п.</v>
      </c>
      <c r="D1529" s="1551" t="n">
        <f aca="false">'Смета Внутр'!D1529</f>
        <v>0</v>
      </c>
      <c r="F1529" s="1551" t="n">
        <f aca="false">'Смета Внутр'!E1529</f>
        <v>190</v>
      </c>
      <c r="G1529" s="1551" t="n">
        <f aca="false">'Смета Внутр'!H1529</f>
        <v>0</v>
      </c>
      <c r="I1529" s="3179" t="n">
        <f aca="false">IF(F1529&lt;H1529,F1529*(D1529-E1529),0)+IF(H1529=0,(D1529-E1529)*F1529,0)+IF(H1529&lt;F1529,H1529*(D1529-E1529),0)</f>
        <v>0</v>
      </c>
      <c r="J1529" s="3179" t="n">
        <f aca="false">G1529-I1529</f>
        <v>0</v>
      </c>
    </row>
    <row r="1530" customFormat="false" ht="15" hidden="false" customHeight="true" outlineLevel="0" collapsed="false">
      <c r="B1530" s="1551" t="str">
        <f aca="false">'Смета Внутр'!B1530</f>
        <v>Конек</v>
      </c>
      <c r="C1530" s="1551" t="str">
        <f aca="false">'Смета Внутр'!C1530</f>
        <v>м.п.</v>
      </c>
      <c r="D1530" s="1551" t="n">
        <f aca="false">'Смета Внутр'!D1530</f>
        <v>0</v>
      </c>
      <c r="F1530" s="1551" t="n">
        <f aca="false">'Смета Внутр'!E1530</f>
        <v>200</v>
      </c>
      <c r="G1530" s="1551" t="n">
        <f aca="false">'Смета Внутр'!H1530</f>
        <v>0</v>
      </c>
      <c r="I1530" s="3179" t="n">
        <f aca="false">IF(F1530&lt;H1530,F1530*(D1530-E1530),0)+IF(H1530=0,(D1530-E1530)*F1530,0)+IF(H1530&lt;F1530,H1530*(D1530-E1530),0)</f>
        <v>0</v>
      </c>
      <c r="J1530" s="3179" t="n">
        <f aca="false">G1530-I1530</f>
        <v>0</v>
      </c>
    </row>
    <row r="1531" customFormat="false" ht="15" hidden="false" customHeight="true" outlineLevel="0" collapsed="false">
      <c r="B1531" s="1551" t="str">
        <f aca="false">'Смета Внутр'!B1531</f>
        <v>Ендова нижняя</v>
      </c>
      <c r="C1531" s="1551" t="str">
        <f aca="false">'Смета Внутр'!C1531</f>
        <v>м.п.</v>
      </c>
      <c r="D1531" s="1551" t="n">
        <f aca="false">'Смета Внутр'!D1531</f>
        <v>0</v>
      </c>
      <c r="F1531" s="1551" t="n">
        <f aca="false">'Смета Внутр'!E1531</f>
        <v>160</v>
      </c>
      <c r="G1531" s="1551" t="n">
        <f aca="false">'Смета Внутр'!H1531</f>
        <v>0</v>
      </c>
      <c r="I1531" s="3179" t="n">
        <f aca="false">IF(F1531&lt;H1531,F1531*(D1531-E1531),0)+IF(H1531=0,(D1531-E1531)*F1531,0)+IF(H1531&lt;F1531,H1531*(D1531-E1531),0)</f>
        <v>0</v>
      </c>
      <c r="J1531" s="3179" t="n">
        <f aca="false">G1531-I1531</f>
        <v>0</v>
      </c>
    </row>
    <row r="1532" customFormat="false" ht="15" hidden="false" customHeight="true" outlineLevel="0" collapsed="false">
      <c r="B1532" s="1551" t="str">
        <f aca="false">'Смета Внутр'!B1532</f>
        <v>Ендова верхняя</v>
      </c>
      <c r="C1532" s="1551" t="str">
        <f aca="false">'Смета Внутр'!C1532</f>
        <v>м.п.</v>
      </c>
      <c r="D1532" s="1551" t="n">
        <f aca="false">'Смета Внутр'!D1532</f>
        <v>0</v>
      </c>
      <c r="F1532" s="1551" t="n">
        <f aca="false">'Смета Внутр'!E1532</f>
        <v>190</v>
      </c>
      <c r="G1532" s="1551" t="n">
        <f aca="false">'Смета Внутр'!H1532</f>
        <v>0</v>
      </c>
      <c r="I1532" s="3179" t="n">
        <f aca="false">IF(F1532&lt;H1532,F1532*(D1532-E1532),0)+IF(H1532=0,(D1532-E1532)*F1532,0)+IF(H1532&lt;F1532,H1532*(D1532-E1532),0)</f>
        <v>0</v>
      </c>
      <c r="J1532" s="3179" t="n">
        <f aca="false">G1532-I1532</f>
        <v>0</v>
      </c>
    </row>
    <row r="1533" customFormat="false" ht="15" hidden="false" customHeight="true" outlineLevel="0" collapsed="false">
      <c r="B1533" s="1551" t="str">
        <f aca="false">'Смета Внутр'!B1533</f>
        <v>Планка примыкания</v>
      </c>
      <c r="C1533" s="1551" t="str">
        <f aca="false">'Смета Внутр'!C1533</f>
        <v>м.п.</v>
      </c>
      <c r="D1533" s="1551" t="n">
        <f aca="false">'Смета Внутр'!D1533</f>
        <v>0</v>
      </c>
      <c r="F1533" s="1551" t="n">
        <f aca="false">'Смета Внутр'!E1533</f>
        <v>190</v>
      </c>
      <c r="G1533" s="1551" t="n">
        <f aca="false">'Смета Внутр'!H1533</f>
        <v>0</v>
      </c>
      <c r="I1533" s="3179" t="n">
        <f aca="false">IF(F1533&lt;H1533,F1533*(D1533-E1533),0)+IF(H1533=0,(D1533-E1533)*F1533,0)+IF(H1533&lt;F1533,H1533*(D1533-E1533),0)</f>
        <v>0</v>
      </c>
      <c r="J1533" s="3179" t="n">
        <f aca="false">G1533-I1533</f>
        <v>0</v>
      </c>
    </row>
    <row r="1534" customFormat="false" ht="15" hidden="false" customHeight="true" outlineLevel="0" collapsed="false">
      <c r="B1534" s="1551" t="str">
        <f aca="false">'Смета Внутр'!B1534</f>
        <v>Крепеж для ондулина</v>
      </c>
      <c r="C1534" s="1551" t="str">
        <f aca="false">'Смета Внутр'!C1534</f>
        <v>шт</v>
      </c>
      <c r="D1534" s="1551" t="n">
        <f aca="false">'Смета Внутр'!D1534</f>
        <v>0</v>
      </c>
      <c r="F1534" s="1551" t="n">
        <f aca="false">'Смета Внутр'!E1534</f>
        <v>4.5</v>
      </c>
      <c r="G1534" s="1551" t="n">
        <f aca="false">'Смета Внутр'!H1534</f>
        <v>0</v>
      </c>
      <c r="I1534" s="3179" t="n">
        <f aca="false">IF(F1534&lt;H1534,F1534*(D1534-E1534),0)+IF(H1534=0,(D1534-E1534)*F1534,0)+IF(H1534&lt;F1534,H1534*(D1534-E1534),0)</f>
        <v>0</v>
      </c>
      <c r="J1534" s="3179" t="n">
        <f aca="false">G1534-I1534</f>
        <v>0</v>
      </c>
    </row>
    <row r="1535" customFormat="false" ht="15" hidden="false" customHeight="true" outlineLevel="0" collapsed="false">
      <c r="B1535" s="1551" t="str">
        <f aca="false">'Смета Внутр'!B1535</f>
        <v>нет</v>
      </c>
      <c r="C1535" s="1551" t="str">
        <f aca="false">'Смета Внутр'!C1535</f>
        <v>м2</v>
      </c>
      <c r="D1535" s="1551" t="n">
        <f aca="false">'Смета Внутр'!D1535</f>
        <v>21.4120474499754</v>
      </c>
      <c r="F1535" s="1551" t="n">
        <f aca="false">'Смета Внутр'!E1535</f>
        <v>0</v>
      </c>
      <c r="G1535" s="1551" t="n">
        <f aca="false">'Смета Внутр'!H1535</f>
        <v>0</v>
      </c>
      <c r="I1535" s="3179" t="n">
        <f aca="false">IF(F1535&lt;H1535,F1535*(D1535-E1535),0)+IF(H1535=0,(D1535-E1535)*F1535,0)+IF(H1535&lt;F1535,H1535*(D1535-E1535),0)</f>
        <v>0</v>
      </c>
      <c r="J1535" s="3179" t="n">
        <f aca="false">G1535-I1535</f>
        <v>0</v>
      </c>
    </row>
    <row r="1536" customFormat="false" ht="15" hidden="false" customHeight="true" outlineLevel="0" collapsed="false">
      <c r="B1536" s="1551" t="str">
        <f aca="false">'Смета Внутр'!B1536</f>
        <v>Рядовая черепица</v>
      </c>
      <c r="C1536" s="1551" t="str">
        <f aca="false">'Смета Внутр'!C1536</f>
        <v>м2</v>
      </c>
      <c r="D1536" s="1551" t="n">
        <f aca="false">'Смета Внутр'!D1536</f>
        <v>0</v>
      </c>
      <c r="F1536" s="1551" t="n">
        <f aca="false">'Смета Внутр'!E1536</f>
        <v>360</v>
      </c>
      <c r="G1536" s="1551" t="n">
        <f aca="false">'Смета Внутр'!H1536</f>
        <v>0</v>
      </c>
      <c r="I1536" s="3179" t="n">
        <f aca="false">IF(F1536&lt;H1536,F1536*(D1536-E1536),0)+IF(H1536=0,(D1536-E1536)*F1536,0)+IF(H1536&lt;F1536,H1536*(D1536-E1536),0)</f>
        <v>0</v>
      </c>
      <c r="J1536" s="3179" t="n">
        <f aca="false">G1536-I1536</f>
        <v>0</v>
      </c>
    </row>
    <row r="1537" customFormat="false" ht="15" hidden="false" customHeight="true" outlineLevel="0" collapsed="false">
      <c r="B1537" s="1551" t="str">
        <f aca="false">'Смета Внутр'!B1537</f>
        <v>Металл оцинк защита (карниз)</v>
      </c>
      <c r="C1537" s="1551" t="str">
        <f aca="false">'Смета Внутр'!C1537</f>
        <v>м.п.</v>
      </c>
      <c r="D1537" s="1551" t="n">
        <f aca="false">'Смета Внутр'!D1537</f>
        <v>0</v>
      </c>
      <c r="F1537" s="1551" t="n">
        <f aca="false">'Смета Внутр'!E1537</f>
        <v>200</v>
      </c>
      <c r="G1537" s="1551" t="n">
        <f aca="false">'Смета Внутр'!H1537</f>
        <v>0</v>
      </c>
      <c r="I1537" s="3179" t="n">
        <f aca="false">IF(F1537&lt;H1537,F1537*(D1537-E1537),0)+IF(H1537=0,(D1537-E1537)*F1537,0)+IF(H1537&lt;F1537,H1537*(D1537-E1537),0)</f>
        <v>0</v>
      </c>
      <c r="J1537" s="3179" t="n">
        <f aca="false">G1537-I1537</f>
        <v>0</v>
      </c>
    </row>
    <row r="1538" customFormat="false" ht="15" hidden="false" customHeight="true" outlineLevel="0" collapsed="false">
      <c r="B1538" s="1551" t="str">
        <f aca="false">'Смета Внутр'!B1538</f>
        <v>Подкладочный ковер</v>
      </c>
      <c r="C1538" s="1551" t="str">
        <f aca="false">'Смета Внутр'!C1538</f>
        <v>м.п.</v>
      </c>
      <c r="D1538" s="1551" t="n">
        <f aca="false">'Смета Внутр'!D1538</f>
        <v>0</v>
      </c>
      <c r="F1538" s="1551" t="n">
        <f aca="false">'Смета Внутр'!E1538</f>
        <v>220</v>
      </c>
      <c r="G1538" s="1551" t="n">
        <f aca="false">'Смета Внутр'!H1538</f>
        <v>0</v>
      </c>
      <c r="I1538" s="3179" t="n">
        <f aca="false">IF(F1538&lt;H1538,F1538*(D1538-E1538),0)+IF(H1538=0,(D1538-E1538)*F1538,0)+IF(H1538&lt;F1538,H1538*(D1538-E1538),0)</f>
        <v>0</v>
      </c>
      <c r="J1538" s="3179" t="n">
        <f aca="false">G1538-I1538</f>
        <v>0</v>
      </c>
    </row>
    <row r="1539" customFormat="false" ht="15" hidden="false" customHeight="true" outlineLevel="0" collapsed="false">
      <c r="B1539" s="1551" t="str">
        <f aca="false">'Смета Внутр'!B1539</f>
        <v>Карнизная самоклеющаяся черепица</v>
      </c>
      <c r="C1539" s="1551" t="str">
        <f aca="false">'Смета Внутр'!C1539</f>
        <v>м.п.</v>
      </c>
      <c r="D1539" s="1551" t="n">
        <f aca="false">'Смета Внутр'!D1539</f>
        <v>0</v>
      </c>
      <c r="F1539" s="1551" t="n">
        <f aca="false">'Смета Внутр'!E1539</f>
        <v>220</v>
      </c>
      <c r="G1539" s="1551" t="n">
        <f aca="false">'Смета Внутр'!H1539</f>
        <v>0</v>
      </c>
      <c r="I1539" s="3179" t="n">
        <f aca="false">IF(F1539&lt;H1539,F1539*(D1539-E1539),0)+IF(H1539=0,(D1539-E1539)*F1539,0)+IF(H1539&lt;F1539,H1539*(D1539-E1539),0)</f>
        <v>0</v>
      </c>
      <c r="J1539" s="3179" t="n">
        <f aca="false">G1539-I1539</f>
        <v>0</v>
      </c>
    </row>
    <row r="1540" customFormat="false" ht="15" hidden="false" customHeight="true" outlineLevel="0" collapsed="false">
      <c r="B1540" s="1551" t="str">
        <f aca="false">'Смета Внутр'!B1540</f>
        <v>Спец ковер ендова нижняя</v>
      </c>
      <c r="C1540" s="1551" t="str">
        <f aca="false">'Смета Внутр'!C1540</f>
        <v>м.п.</v>
      </c>
      <c r="D1540" s="1551" t="n">
        <f aca="false">'Смета Внутр'!D1540</f>
        <v>0</v>
      </c>
      <c r="F1540" s="1551" t="n">
        <f aca="false">'Смета Внутр'!E1540</f>
        <v>200</v>
      </c>
      <c r="G1540" s="1551" t="n">
        <f aca="false">'Смета Внутр'!H1540</f>
        <v>0</v>
      </c>
      <c r="I1540" s="3179" t="n">
        <f aca="false">IF(F1540&lt;H1540,F1540*(D1540-E1540),0)+IF(H1540=0,(D1540-E1540)*F1540,0)+IF(H1540&lt;F1540,H1540*(D1540-E1540),0)</f>
        <v>0</v>
      </c>
      <c r="J1540" s="3179" t="n">
        <f aca="false">G1540-I1540</f>
        <v>0</v>
      </c>
    </row>
    <row r="1541" customFormat="false" ht="15" hidden="false" customHeight="true" outlineLevel="0" collapsed="false">
      <c r="B1541" s="1551" t="str">
        <f aca="false">'Смета Внутр'!B1541</f>
        <v>Коньковой элемент</v>
      </c>
      <c r="C1541" s="1551" t="str">
        <f aca="false">'Смета Внутр'!C1541</f>
        <v>м.п.</v>
      </c>
      <c r="D1541" s="1551" t="n">
        <f aca="false">'Смета Внутр'!D1541</f>
        <v>0</v>
      </c>
      <c r="F1541" s="1551" t="n">
        <f aca="false">'Смета Внутр'!E1541</f>
        <v>250</v>
      </c>
      <c r="G1541" s="1551" t="n">
        <f aca="false">'Смета Внутр'!H1541</f>
        <v>0</v>
      </c>
      <c r="I1541" s="3179" t="n">
        <f aca="false">IF(F1541&lt;H1541,F1541*(D1541-E1541),0)+IF(H1541=0,(D1541-E1541)*F1541,0)+IF(H1541&lt;F1541,H1541*(D1541-E1541),0)</f>
        <v>0</v>
      </c>
      <c r="J1541" s="3179" t="n">
        <f aca="false">G1541-I1541</f>
        <v>0</v>
      </c>
    </row>
    <row r="1542" customFormat="false" ht="15" hidden="false" customHeight="true" outlineLevel="0" collapsed="false">
      <c r="B1542" s="1551" t="str">
        <f aca="false">'Смета Внутр'!B1542</f>
        <v>Планка премыкания</v>
      </c>
      <c r="C1542" s="1551" t="str">
        <f aca="false">'Смета Внутр'!C1542</f>
        <v>м.п.</v>
      </c>
      <c r="D1542" s="1551" t="n">
        <f aca="false">'Смета Внутр'!D1542</f>
        <v>0</v>
      </c>
      <c r="F1542" s="1551" t="n">
        <f aca="false">'Смета Внутр'!E1542</f>
        <v>200</v>
      </c>
      <c r="G1542" s="1551" t="n">
        <f aca="false">'Смета Внутр'!H1542</f>
        <v>0</v>
      </c>
      <c r="I1542" s="3179" t="n">
        <f aca="false">IF(F1542&lt;H1542,F1542*(D1542-E1542),0)+IF(H1542=0,(D1542-E1542)*F1542,0)+IF(H1542&lt;F1542,H1542*(D1542-E1542),0)</f>
        <v>0</v>
      </c>
      <c r="J1542" s="3179" t="n">
        <f aca="false">G1542-I1542</f>
        <v>0</v>
      </c>
    </row>
    <row r="1543" customFormat="false" ht="15" hidden="false" customHeight="true" outlineLevel="0" collapsed="false">
      <c r="B1543" s="1551" t="str">
        <f aca="false">'Смета Внутр'!B1543</f>
        <v>Гвозди для крепления подкладочного ковра</v>
      </c>
      <c r="C1543" s="1551" t="str">
        <f aca="false">'Смета Внутр'!C1543</f>
        <v>шт</v>
      </c>
      <c r="D1543" s="1551" t="n">
        <f aca="false">'Смета Внутр'!D1543</f>
        <v>0</v>
      </c>
      <c r="F1543" s="1551" t="n">
        <f aca="false">'Смета Внутр'!E1543</f>
        <v>0.012</v>
      </c>
      <c r="G1543" s="1551" t="n">
        <f aca="false">'Смета Внутр'!H1543</f>
        <v>0</v>
      </c>
      <c r="I1543" s="3179" t="n">
        <f aca="false">IF(F1543&lt;H1543,F1543*(D1543-E1543),0)+IF(H1543=0,(D1543-E1543)*F1543,0)+IF(H1543&lt;F1543,H1543*(D1543-E1543),0)</f>
        <v>0</v>
      </c>
      <c r="J1543" s="3179" t="n">
        <f aca="false">G1543-I1543</f>
        <v>0</v>
      </c>
    </row>
    <row r="1544" customFormat="false" ht="15" hidden="false" customHeight="true" outlineLevel="0" collapsed="false">
      <c r="B1544" s="1551" t="str">
        <f aca="false">'Смета Внутр'!B1544</f>
        <v>Гвозди для крепления черепицы</v>
      </c>
      <c r="C1544" s="1551" t="str">
        <f aca="false">'Смета Внутр'!C1544</f>
        <v>шт</v>
      </c>
      <c r="D1544" s="1551" t="n">
        <f aca="false">'Смета Внутр'!D1544</f>
        <v>0</v>
      </c>
      <c r="F1544" s="1551" t="n">
        <f aca="false">'Смета Внутр'!E1544</f>
        <v>0.25</v>
      </c>
      <c r="G1544" s="1551" t="n">
        <f aca="false">'Смета Внутр'!H1544</f>
        <v>0</v>
      </c>
      <c r="I1544" s="3179" t="n">
        <f aca="false">IF(F1544&lt;H1544,F1544*(D1544-E1544),0)+IF(H1544=0,(D1544-E1544)*F1544,0)+IF(H1544&lt;F1544,H1544*(D1544-E1544),0)</f>
        <v>0</v>
      </c>
      <c r="J1544" s="3179" t="n">
        <f aca="false">G1544-I1544</f>
        <v>0</v>
      </c>
    </row>
    <row r="1545" customFormat="false" ht="15" hidden="false" customHeight="true" outlineLevel="0" collapsed="false">
      <c r="B1545" s="1551" t="str">
        <f aca="false">'Смета Внутр'!B1545</f>
        <v>Клей для монтажа черепицы</v>
      </c>
      <c r="C1545" s="1551" t="str">
        <f aca="false">'Смета Внутр'!C1545</f>
        <v>кг</v>
      </c>
      <c r="D1545" s="1551" t="n">
        <f aca="false">'Смета Внутр'!D1545</f>
        <v>0</v>
      </c>
      <c r="F1545" s="1551" t="n">
        <f aca="false">'Смета Внутр'!E1545</f>
        <v>250</v>
      </c>
      <c r="G1545" s="1551" t="n">
        <f aca="false">'Смета Внутр'!H1545</f>
        <v>0</v>
      </c>
      <c r="I1545" s="3179" t="n">
        <f aca="false">IF(F1545&lt;H1545,F1545*(D1545-E1545),0)+IF(H1545=0,(D1545-E1545)*F1545,0)+IF(H1545&lt;F1545,H1545*(D1545-E1545),0)</f>
        <v>0</v>
      </c>
      <c r="J1545" s="3179" t="n">
        <f aca="false">G1545-I1545</f>
        <v>0</v>
      </c>
    </row>
    <row r="1546" customFormat="false" ht="15" hidden="false" customHeight="true" outlineLevel="0" collapsed="false">
      <c r="B1546" s="1551" t="str">
        <f aca="false">'Смета Внутр'!B1546</f>
        <v>желоб</v>
      </c>
      <c r="C1546" s="1551" t="str">
        <f aca="false">'Смета Внутр'!C1546</f>
        <v>м.п</v>
      </c>
      <c r="D1546" s="1551" t="n">
        <f aca="false">'Смета Внутр'!D1546</f>
        <v>7.6</v>
      </c>
      <c r="F1546" s="1551" t="n">
        <f aca="false">'Смета Внутр'!E1546</f>
        <v>300</v>
      </c>
      <c r="G1546" s="1551" t="n">
        <f aca="false">'Смета Внутр'!H1546</f>
        <v>0</v>
      </c>
      <c r="I1546" s="3179" t="n">
        <f aca="false">IF(F1546&lt;H1546,F1546*(D1546-E1546),0)+IF(H1546=0,(D1546-E1546)*F1546,0)+IF(H1546&lt;F1546,H1546*(D1546-E1546),0)</f>
        <v>2280</v>
      </c>
      <c r="J1546" s="3179" t="n">
        <f aca="false">G1546-I1546</f>
        <v>-2280</v>
      </c>
    </row>
    <row r="1547" customFormat="false" ht="15" hidden="false" customHeight="true" outlineLevel="0" collapsed="false">
      <c r="B1547" s="1551" t="str">
        <f aca="false">'Смета Внутр'!B1547</f>
        <v>отвод</v>
      </c>
      <c r="C1547" s="1551" t="str">
        <f aca="false">'Смета Внутр'!C1547</f>
        <v>шт</v>
      </c>
      <c r="D1547" s="1551" t="n">
        <f aca="false">'Смета Внутр'!D1547</f>
        <v>0</v>
      </c>
      <c r="F1547" s="1551" t="n">
        <f aca="false">'Смета Внутр'!E1547</f>
        <v>250</v>
      </c>
      <c r="G1547" s="1551" t="n">
        <f aca="false">'Смета Внутр'!H1547</f>
        <v>0</v>
      </c>
      <c r="I1547" s="3179" t="n">
        <f aca="false">IF(F1547&lt;H1547,F1547*(D1547-E1547),0)+IF(H1547=0,(D1547-E1547)*F1547,0)+IF(H1547&lt;F1547,H1547*(D1547-E1547),0)</f>
        <v>0</v>
      </c>
      <c r="J1547" s="3179" t="n">
        <f aca="false">G1547-I1547</f>
        <v>0</v>
      </c>
    </row>
    <row r="1548" customFormat="false" ht="15" hidden="false" customHeight="true" outlineLevel="0" collapsed="false">
      <c r="B1548" s="1551" t="str">
        <f aca="false">'Смета Внутр'!B1548</f>
        <v>труба водосточная</v>
      </c>
      <c r="C1548" s="1551" t="str">
        <f aca="false">'Смета Внутр'!C1548</f>
        <v>м.п.</v>
      </c>
      <c r="D1548" s="1551" t="n">
        <f aca="false">'Смета Внутр'!D1548</f>
        <v>3.7</v>
      </c>
      <c r="F1548" s="1551" t="n">
        <f aca="false">'Смета Внутр'!E1548</f>
        <v>300</v>
      </c>
      <c r="G1548" s="1551" t="n">
        <f aca="false">'Смета Внутр'!H1548</f>
        <v>0</v>
      </c>
      <c r="I1548" s="3179" t="n">
        <f aca="false">IF(F1548&lt;H1548,F1548*(D1548-E1548),0)+IF(H1548=0,(D1548-E1548)*F1548,0)+IF(H1548&lt;F1548,H1548*(D1548-E1548),0)</f>
        <v>1110</v>
      </c>
      <c r="J1548" s="3179" t="n">
        <f aca="false">G1548-I1548</f>
        <v>-1110</v>
      </c>
    </row>
    <row r="1549" customFormat="false" ht="15" hidden="false" customHeight="true" outlineLevel="0" collapsed="false">
      <c r="B1549" s="1551" t="str">
        <f aca="false">'Смета Внутр'!B1549</f>
        <v>заглушка для желоба</v>
      </c>
      <c r="C1549" s="1551" t="str">
        <f aca="false">'Смета Внутр'!C1549</f>
        <v>шт</v>
      </c>
      <c r="D1549" s="1551" t="n">
        <f aca="false">'Смета Внутр'!D1549</f>
        <v>0</v>
      </c>
      <c r="F1549" s="1551" t="n">
        <f aca="false">'Смета Внутр'!E1549</f>
        <v>190</v>
      </c>
      <c r="G1549" s="1551" t="n">
        <f aca="false">'Смета Внутр'!H1549</f>
        <v>0</v>
      </c>
      <c r="I1549" s="3179" t="n">
        <f aca="false">IF(F1549&lt;H1549,F1549*(D1549-E1549),0)+IF(H1549=0,(D1549-E1549)*F1549,0)+IF(H1549&lt;F1549,H1549*(D1549-E1549),0)</f>
        <v>0</v>
      </c>
      <c r="J1549" s="3179" t="n">
        <f aca="false">G1549-I1549</f>
        <v>0</v>
      </c>
    </row>
    <row r="1550" customFormat="false" ht="15" hidden="false" customHeight="true" outlineLevel="0" collapsed="false">
      <c r="B1550" s="1551" t="str">
        <f aca="false">'Смета Внутр'!B1550</f>
        <v>соеденитель для желоба</v>
      </c>
      <c r="C1550" s="1551" t="str">
        <f aca="false">'Смета Внутр'!C1550</f>
        <v>шт</v>
      </c>
      <c r="D1550" s="1551" t="n">
        <f aca="false">'Смета Внутр'!D1550</f>
        <v>0</v>
      </c>
      <c r="F1550" s="1551" t="n">
        <f aca="false">'Смета Внутр'!E1550</f>
        <v>180</v>
      </c>
      <c r="G1550" s="1551" t="n">
        <f aca="false">'Смета Внутр'!H1550</f>
        <v>0</v>
      </c>
      <c r="I1550" s="3179" t="n">
        <f aca="false">IF(F1550&lt;H1550,F1550*(D1550-E1550),0)+IF(H1550=0,(D1550-E1550)*F1550,0)+IF(H1550&lt;F1550,H1550*(D1550-E1550),0)</f>
        <v>0</v>
      </c>
      <c r="J1550" s="3179" t="n">
        <f aca="false">G1550-I1550</f>
        <v>0</v>
      </c>
    </row>
    <row r="1551" customFormat="false" ht="15" hidden="false" customHeight="true" outlineLevel="0" collapsed="false">
      <c r="B1551" s="1551" t="str">
        <f aca="false">'Смета Внутр'!B1551</f>
        <v>кронштейн для желоба</v>
      </c>
      <c r="C1551" s="1551" t="str">
        <f aca="false">'Смета Внутр'!C1551</f>
        <v>шт</v>
      </c>
      <c r="D1551" s="1551" t="n">
        <f aca="false">'Смета Внутр'!D1551</f>
        <v>0</v>
      </c>
      <c r="F1551" s="1551" t="n">
        <f aca="false">'Смета Внутр'!E1551</f>
        <v>130</v>
      </c>
      <c r="G1551" s="1551" t="n">
        <f aca="false">'Смета Внутр'!H1551</f>
        <v>0</v>
      </c>
      <c r="I1551" s="3179" t="n">
        <f aca="false">IF(F1551&lt;H1551,F1551*(D1551-E1551),0)+IF(H1551=0,(D1551-E1551)*F1551,0)+IF(H1551&lt;F1551,H1551*(D1551-E1551),0)</f>
        <v>0</v>
      </c>
      <c r="J1551" s="3179" t="n">
        <f aca="false">G1551-I1551</f>
        <v>0</v>
      </c>
    </row>
    <row r="1552" customFormat="false" ht="15" hidden="false" customHeight="true" outlineLevel="0" collapsed="false">
      <c r="B1552" s="1551" t="str">
        <f aca="false">'Смета Внутр'!B1552</f>
        <v>переход из желоба в трубу</v>
      </c>
      <c r="C1552" s="1551" t="str">
        <f aca="false">'Смета Внутр'!C1552</f>
        <v>шт</v>
      </c>
      <c r="D1552" s="1551" t="n">
        <f aca="false">'Смета Внутр'!D1552</f>
        <v>0</v>
      </c>
      <c r="F1552" s="1551" t="n">
        <f aca="false">'Смета Внутр'!E1552</f>
        <v>350</v>
      </c>
      <c r="G1552" s="1551" t="n">
        <f aca="false">'Смета Внутр'!H1552</f>
        <v>0</v>
      </c>
      <c r="I1552" s="3179" t="n">
        <f aca="false">IF(F1552&lt;H1552,F1552*(D1552-E1552),0)+IF(H1552=0,(D1552-E1552)*F1552,0)+IF(H1552&lt;F1552,H1552*(D1552-E1552),0)</f>
        <v>0</v>
      </c>
      <c r="J1552" s="3179" t="n">
        <f aca="false">G1552-I1552</f>
        <v>0</v>
      </c>
    </row>
    <row r="1553" customFormat="false" ht="15" hidden="false" customHeight="true" outlineLevel="0" collapsed="false">
      <c r="B1553" s="1551" t="str">
        <f aca="false">'Смета Внутр'!B1553</f>
        <v>лента дельта мульти бэнд</v>
      </c>
      <c r="C1553" s="1551" t="str">
        <f aca="false">'Смета Внутр'!C1553</f>
        <v>шт</v>
      </c>
      <c r="D1553" s="1551" t="n">
        <f aca="false">'Смета Внутр'!D1553</f>
        <v>0</v>
      </c>
      <c r="F1553" s="1551" t="n">
        <f aca="false">'Смета Внутр'!E1553</f>
        <v>1200</v>
      </c>
      <c r="G1553" s="1551" t="n">
        <f aca="false">'Смета Внутр'!H1553</f>
        <v>0</v>
      </c>
      <c r="I1553" s="3179" t="n">
        <f aca="false">IF(F1553&lt;H1553,F1553*(D1553-E1553),0)+IF(H1553=0,(D1553-E1553)*F1553,0)+IF(H1553&lt;F1553,H1553*(D1553-E1553),0)</f>
        <v>0</v>
      </c>
      <c r="J1553" s="3179" t="n">
        <f aca="false">G1553-I1553</f>
        <v>0</v>
      </c>
    </row>
    <row r="1554" customFormat="false" ht="15" hidden="false" customHeight="true" outlineLevel="0" collapsed="false">
      <c r="B1554" s="1551" t="str">
        <f aca="false">'Смета Внутр'!B1554</f>
        <v>лента дельта sb-60</v>
      </c>
      <c r="C1554" s="1551" t="str">
        <f aca="false">'Смета Внутр'!C1554</f>
        <v>шт</v>
      </c>
      <c r="D1554" s="1551" t="n">
        <f aca="false">'Смета Внутр'!D1554</f>
        <v>0</v>
      </c>
      <c r="F1554" s="1551" t="n">
        <f aca="false">'Смета Внутр'!E1554</f>
        <v>1100</v>
      </c>
      <c r="G1554" s="1551" t="n">
        <f aca="false">'Смета Внутр'!H1554</f>
        <v>0</v>
      </c>
      <c r="I1554" s="3179" t="n">
        <f aca="false">IF(F1554&lt;H1554,F1554*(D1554-E1554),0)+IF(H1554=0,(D1554-E1554)*F1554,0)+IF(H1554&lt;F1554,H1554*(D1554-E1554),0)</f>
        <v>0</v>
      </c>
      <c r="J1554" s="3179" t="n">
        <f aca="false">G1554-I1554</f>
        <v>0</v>
      </c>
    </row>
    <row r="1555" customFormat="false" ht="15" hidden="false" customHeight="true" outlineLevel="0" collapsed="false">
      <c r="B1555" s="1551" t="str">
        <f aca="false">'Смета Внутр'!B1555</f>
        <v>Кровельный саморез</v>
      </c>
      <c r="C1555" s="1551" t="str">
        <f aca="false">'Смета Внутр'!C1555</f>
        <v>шт</v>
      </c>
      <c r="D1555" s="1551" t="n">
        <f aca="false">'Смета Внутр'!D1555</f>
        <v>0</v>
      </c>
      <c r="F1555" s="1551" t="n">
        <f aca="false">'Смета Внутр'!E1555</f>
        <v>2</v>
      </c>
      <c r="G1555" s="1551" t="n">
        <f aca="false">'Смета Внутр'!H1555</f>
        <v>0</v>
      </c>
      <c r="I1555" s="3179" t="n">
        <f aca="false">IF(F1555&lt;H1555,F1555*(D1555-E1555),0)+IF(H1555=0,(D1555-E1555)*F1555,0)+IF(H1555&lt;F1555,H1555*(D1555-E1555),0)</f>
        <v>0</v>
      </c>
      <c r="J1555" s="3179" t="n">
        <f aca="false">G1555-I1555</f>
        <v>0</v>
      </c>
    </row>
    <row r="1556" customFormat="false" ht="15" hidden="false" customHeight="true" outlineLevel="0" collapsed="false">
      <c r="B1556" s="1551" t="str">
        <f aca="false">'Смета Внутр'!B1556</f>
        <v>Гвозди ершоные 3,4 x 60            </v>
      </c>
      <c r="C1556" s="1551" t="str">
        <f aca="false">'Смета Внутр'!C1556</f>
        <v>кг</v>
      </c>
      <c r="D1556" s="1551" t="n">
        <f aca="false">'Смета Внутр'!D1556</f>
        <v>0</v>
      </c>
      <c r="F1556" s="1551" t="n">
        <f aca="false">'Смета Внутр'!E1556</f>
        <v>75.51</v>
      </c>
      <c r="G1556" s="1551" t="n">
        <f aca="false">'Смета Внутр'!H1556</f>
        <v>0</v>
      </c>
      <c r="I1556" s="3179" t="n">
        <f aca="false">IF(F1556&lt;H1556,F1556*(D1556-E1556),0)+IF(H1556=0,(D1556-E1556)*F1556,0)+IF(H1556&lt;F1556,H1556*(D1556-E1556),0)</f>
        <v>0</v>
      </c>
      <c r="J1556" s="3179" t="n">
        <f aca="false">G1556-I1556</f>
        <v>0</v>
      </c>
    </row>
    <row r="1557" customFormat="false" ht="15" hidden="false" customHeight="true" outlineLevel="0" collapsed="false">
      <c r="B1557" s="1551" t="str">
        <f aca="false">'Смета Внутр'!B1557</f>
        <v>Гвозди ершоные 2,8 х 90            </v>
      </c>
      <c r="C1557" s="1551" t="str">
        <f aca="false">'Смета Внутр'!C1557</f>
        <v>шт</v>
      </c>
      <c r="D1557" s="1551" t="n">
        <f aca="false">'Смета Внутр'!D1557</f>
        <v>0</v>
      </c>
      <c r="F1557" s="1551" t="n">
        <f aca="false">'Смета Внутр'!E1557</f>
        <v>76.49</v>
      </c>
      <c r="G1557" s="1551" t="n">
        <f aca="false">'Смета Внутр'!H1557</f>
        <v>0</v>
      </c>
      <c r="I1557" s="3179" t="n">
        <f aca="false">IF(F1557&lt;H1557,F1557*(D1557-E1557),0)+IF(H1557=0,(D1557-E1557)*F1557,0)+IF(H1557&lt;F1557,H1557*(D1557-E1557),0)</f>
        <v>0</v>
      </c>
      <c r="J1557" s="3179" t="n">
        <f aca="false">G1557-I1557</f>
        <v>0</v>
      </c>
    </row>
    <row r="1558" customFormat="false" ht="15" hidden="false" customHeight="true" outlineLevel="0" collapsed="false">
      <c r="B1558" s="1551" t="str">
        <f aca="false">'Смета Внутр'!B1558</f>
        <v>Пластина соеденительная 100х240х2           </v>
      </c>
      <c r="C1558" s="1551" t="str">
        <f aca="false">'Смета Внутр'!C1558</f>
        <v>шт</v>
      </c>
      <c r="D1558" s="1551" t="n">
        <f aca="false">'Смета Внутр'!D1558</f>
        <v>0</v>
      </c>
      <c r="F1558" s="1551" t="n">
        <f aca="false">'Смета Внутр'!E1558</f>
        <v>31.54</v>
      </c>
      <c r="G1558" s="1551" t="n">
        <f aca="false">'Смета Внутр'!H1558</f>
        <v>0</v>
      </c>
      <c r="I1558" s="3179" t="n">
        <f aca="false">IF(F1558&lt;H1558,F1558*(D1558-E1558),0)+IF(H1558=0,(D1558-E1558)*F1558,0)+IF(H1558&lt;F1558,H1558*(D1558-E1558),0)</f>
        <v>0</v>
      </c>
      <c r="J1558" s="3179" t="n">
        <f aca="false">G1558-I1558</f>
        <v>0</v>
      </c>
    </row>
    <row r="1559" customFormat="false" ht="15" hidden="false" customHeight="true" outlineLevel="0" collapsed="false">
      <c r="B1559" s="1551" t="str">
        <f aca="false">'Смета Внутр'!B1559</f>
        <v>Уголок усиленный 90х70х55х2,5        </v>
      </c>
      <c r="C1559" s="1551" t="str">
        <f aca="false">'Смета Внутр'!C1559</f>
        <v>шт</v>
      </c>
      <c r="D1559" s="1551" t="n">
        <f aca="false">'Смета Внутр'!D1559</f>
        <v>0</v>
      </c>
      <c r="F1559" s="1551" t="n">
        <f aca="false">'Смета Внутр'!E1559</f>
        <v>30</v>
      </c>
      <c r="G1559" s="1551" t="n">
        <f aca="false">'Смета Внутр'!H1559</f>
        <v>0</v>
      </c>
      <c r="I1559" s="3179" t="n">
        <f aca="false">IF(F1559&lt;H1559,F1559*(D1559-E1559),0)+IF(H1559=0,(D1559-E1559)*F1559,0)+IF(H1559&lt;F1559,H1559*(D1559-E1559),0)</f>
        <v>0</v>
      </c>
      <c r="J1559" s="3179" t="n">
        <f aca="false">G1559-I1559</f>
        <v>0</v>
      </c>
    </row>
    <row r="1560" customFormat="false" ht="15" hidden="false" customHeight="true" outlineLevel="0" collapsed="false">
      <c r="B1560" s="1692" t="s">
        <v>4332</v>
      </c>
      <c r="C1560" s="1692"/>
      <c r="D1560" s="1692"/>
      <c r="E1560" s="1692"/>
      <c r="F1560" s="1692"/>
      <c r="G1560" s="1551" t="n">
        <f aca="false">'Смета Внутр'!H1560</f>
        <v>0</v>
      </c>
      <c r="H1560" s="3184"/>
      <c r="I1560" s="3179" t="n">
        <f aca="false">IF(F1560&lt;H1560,F1560*(D1560-E1560),0)+IF(H1560=0,(D1560-E1560)*F1560,0)+IF(H1560&lt;F1560,H1560*(D1560-E1560),0)</f>
        <v>0</v>
      </c>
      <c r="J1560" s="3179" t="n">
        <f aca="false">G1560-I1560</f>
        <v>0</v>
      </c>
    </row>
    <row r="1561" customFormat="false" ht="15" hidden="false" customHeight="true" outlineLevel="0" collapsed="false">
      <c r="B1561" s="1268" t="str">
        <f aca="false">'Смета Внутр'!B1561</f>
        <v>Работы</v>
      </c>
      <c r="C1561" s="1268"/>
      <c r="D1561" s="1268"/>
      <c r="E1561" s="1268"/>
      <c r="F1561" s="1268"/>
      <c r="G1561" s="1551" t="n">
        <f aca="false">'Смета Внутр'!H1561</f>
        <v>0</v>
      </c>
      <c r="H1561" s="3175"/>
      <c r="I1561" s="3179" t="n">
        <f aca="false">IF(F1561&lt;H1561,F1561*(D1561-E1561),0)+IF(H1561=0,(D1561-E1561)*F1561,0)+IF(H1561&lt;F1561,H1561*(D1561-E1561),0)</f>
        <v>0</v>
      </c>
      <c r="J1561" s="3179" t="n">
        <f aca="false">G1561-I1561</f>
        <v>0</v>
      </c>
    </row>
    <row r="1562" customFormat="false" ht="15" hidden="false" customHeight="true" outlineLevel="0" collapsed="false">
      <c r="B1562" s="1551" t="str">
        <f aca="false">'Смета Внутр'!B1562</f>
        <v>монтаж стропил</v>
      </c>
      <c r="C1562" s="1551" t="str">
        <f aca="false">'Смета Внутр'!C1562</f>
        <v>м2</v>
      </c>
      <c r="D1562" s="1551" t="n">
        <f aca="false">'Смета Внутр'!D1562</f>
        <v>0</v>
      </c>
      <c r="F1562" s="1551" t="n">
        <f aca="false">'Смета Внутр'!E1562</f>
        <v>450</v>
      </c>
      <c r="G1562" s="1551" t="n">
        <f aca="false">'Смета Внутр'!H1562</f>
        <v>0</v>
      </c>
      <c r="I1562" s="3179" t="n">
        <f aca="false">IF(F1562&lt;H1562,F1562*(D1562-E1562),0)+IF(H1562=0,(D1562-E1562)*F1562,0)+IF(H1562&lt;F1562,H1562*(D1562-E1562),0)</f>
        <v>0</v>
      </c>
      <c r="J1562" s="3179" t="n">
        <f aca="false">G1562-I1562</f>
        <v>0</v>
      </c>
    </row>
    <row r="1563" customFormat="false" ht="15" hidden="false" customHeight="true" outlineLevel="0" collapsed="false">
      <c r="B1563" s="1551" t="str">
        <f aca="false">'Смета Внутр'!B1563</f>
        <v>обрешетка</v>
      </c>
      <c r="C1563" s="1551" t="str">
        <f aca="false">'Смета Внутр'!C1563</f>
        <v>м2</v>
      </c>
      <c r="D1563" s="1551" t="n">
        <f aca="false">'Смета Внутр'!D1563</f>
        <v>0</v>
      </c>
      <c r="F1563" s="1551" t="n">
        <f aca="false">'Смета Внутр'!E1563</f>
        <v>100</v>
      </c>
      <c r="G1563" s="1551" t="n">
        <f aca="false">'Смета Внутр'!H1563</f>
        <v>0</v>
      </c>
      <c r="I1563" s="3179" t="n">
        <f aca="false">IF(F1563&lt;H1563,F1563*(D1563-E1563),0)+IF(H1563=0,(D1563-E1563)*F1563,0)+IF(H1563&lt;F1563,H1563*(D1563-E1563),0)</f>
        <v>0</v>
      </c>
      <c r="J1563" s="3179" t="n">
        <f aca="false">G1563-I1563</f>
        <v>0</v>
      </c>
    </row>
    <row r="1564" customFormat="false" ht="15" hidden="false" customHeight="true" outlineLevel="0" collapsed="false">
      <c r="B1564" s="1551" t="str">
        <f aca="false">'Смета Внутр'!B1564</f>
        <v>контробеш</v>
      </c>
      <c r="C1564" s="1551" t="str">
        <f aca="false">'Смета Внутр'!C1564</f>
        <v>м2</v>
      </c>
      <c r="D1564" s="1551" t="n">
        <f aca="false">'Смета Внутр'!D1564</f>
        <v>0</v>
      </c>
      <c r="F1564" s="1551" t="n">
        <f aca="false">'Смета Внутр'!E1564</f>
        <v>100</v>
      </c>
      <c r="G1564" s="1551" t="n">
        <f aca="false">'Смета Внутр'!H1564</f>
        <v>0</v>
      </c>
      <c r="I1564" s="3179" t="n">
        <f aca="false">IF(F1564&lt;H1564,F1564*(D1564-E1564),0)+IF(H1564=0,(D1564-E1564)*F1564,0)+IF(H1564&lt;F1564,H1564*(D1564-E1564),0)</f>
        <v>0</v>
      </c>
      <c r="J1564" s="3179" t="n">
        <f aca="false">G1564-I1564</f>
        <v>0</v>
      </c>
    </row>
    <row r="1565" customFormat="false" ht="15" hidden="false" customHeight="true" outlineLevel="0" collapsed="false">
      <c r="B1565" s="1551" t="str">
        <f aca="false">'Смета Внутр'!B1565</f>
        <v>мембрана</v>
      </c>
      <c r="C1565" s="1551" t="str">
        <f aca="false">'Смета Внутр'!C1565</f>
        <v>м2</v>
      </c>
      <c r="D1565" s="1551" t="n">
        <f aca="false">'Смета Внутр'!D1565</f>
        <v>0</v>
      </c>
      <c r="F1565" s="1551" t="n">
        <f aca="false">'Смета Внутр'!E1565</f>
        <v>100</v>
      </c>
      <c r="G1565" s="1551" t="n">
        <f aca="false">'Смета Внутр'!H1565</f>
        <v>0</v>
      </c>
      <c r="I1565" s="3179" t="n">
        <f aca="false">IF(F1565&lt;H1565,F1565*(D1565-E1565),0)+IF(H1565=0,(D1565-E1565)*F1565,0)+IF(H1565&lt;F1565,H1565*(D1565-E1565),0)</f>
        <v>0</v>
      </c>
      <c r="J1565" s="3179" t="n">
        <f aca="false">G1565-I1565</f>
        <v>0</v>
      </c>
    </row>
    <row r="1566" customFormat="false" ht="15" hidden="false" customHeight="true" outlineLevel="0" collapsed="false">
      <c r="B1566" s="1551" t="str">
        <f aca="false">'Смета Внутр'!B1566</f>
        <v>Монтаж металлочерепицы</v>
      </c>
      <c r="C1566" s="1551" t="str">
        <f aca="false">'Смета Внутр'!C1566</f>
        <v>м2</v>
      </c>
      <c r="D1566" s="1551" t="n">
        <f aca="false">'Смета Внутр'!D1566</f>
        <v>0</v>
      </c>
      <c r="F1566" s="1551" t="n">
        <f aca="false">'Смета Внутр'!E1566</f>
        <v>300</v>
      </c>
      <c r="G1566" s="1551" t="n">
        <f aca="false">'Смета Внутр'!H1566</f>
        <v>0</v>
      </c>
      <c r="I1566" s="3179" t="n">
        <f aca="false">IF(F1566&lt;H1566,F1566*(D1566-E1566),0)+IF(H1566=0,(D1566-E1566)*F1566,0)+IF(H1566&lt;F1566,H1566*(D1566-E1566),0)</f>
        <v>0</v>
      </c>
      <c r="J1566" s="3179" t="n">
        <f aca="false">G1566-I1566</f>
        <v>0</v>
      </c>
    </row>
    <row r="1567" customFormat="false" ht="15" hidden="false" customHeight="true" outlineLevel="0" collapsed="false">
      <c r="B1567" s="1551" t="str">
        <f aca="false">'Смета Внутр'!B1567</f>
        <v>карнизная планка</v>
      </c>
      <c r="C1567" s="1551" t="str">
        <f aca="false">'Смета Внутр'!C1567</f>
        <v>м2</v>
      </c>
      <c r="D1567" s="1551" t="n">
        <f aca="false">'Смета Внутр'!D1567</f>
        <v>0</v>
      </c>
      <c r="F1567" s="1551" t="n">
        <f aca="false">'Смета Внутр'!E1567</f>
        <v>100</v>
      </c>
      <c r="G1567" s="1551" t="n">
        <f aca="false">'Смета Внутр'!H1567</f>
        <v>0</v>
      </c>
      <c r="I1567" s="3179" t="n">
        <f aca="false">IF(F1567&lt;H1567,F1567*(D1567-E1567),0)+IF(H1567=0,(D1567-E1567)*F1567,0)+IF(H1567&lt;F1567,H1567*(D1567-E1567),0)</f>
        <v>0</v>
      </c>
      <c r="J1567" s="3179" t="n">
        <f aca="false">G1567-I1567</f>
        <v>0</v>
      </c>
    </row>
    <row r="1568" customFormat="false" ht="15" hidden="false" customHeight="true" outlineLevel="0" collapsed="false">
      <c r="B1568" s="1551" t="str">
        <f aca="false">'Смета Внутр'!B1568</f>
        <v>торцевая планка</v>
      </c>
      <c r="C1568" s="1551" t="str">
        <f aca="false">'Смета Внутр'!C1568</f>
        <v>м2</v>
      </c>
      <c r="D1568" s="1551" t="n">
        <f aca="false">'Смета Внутр'!D1568</f>
        <v>0</v>
      </c>
      <c r="F1568" s="1551" t="n">
        <f aca="false">'Смета Внутр'!E1568</f>
        <v>100</v>
      </c>
      <c r="G1568" s="1551" t="n">
        <f aca="false">'Смета Внутр'!H1568</f>
        <v>0</v>
      </c>
      <c r="I1568" s="3179" t="n">
        <f aca="false">IF(F1568&lt;H1568,F1568*(D1568-E1568),0)+IF(H1568=0,(D1568-E1568)*F1568,0)+IF(H1568&lt;F1568,H1568*(D1568-E1568),0)</f>
        <v>0</v>
      </c>
      <c r="J1568" s="3179" t="n">
        <f aca="false">G1568-I1568</f>
        <v>0</v>
      </c>
    </row>
    <row r="1569" customFormat="false" ht="15" hidden="false" customHeight="true" outlineLevel="0" collapsed="false">
      <c r="B1569" s="1551" t="str">
        <f aca="false">'Смета Внутр'!B1569</f>
        <v>желоб водосточный</v>
      </c>
      <c r="C1569" s="1551" t="str">
        <f aca="false">'Смета Внутр'!C1569</f>
        <v>м.п.</v>
      </c>
      <c r="D1569" s="1551" t="n">
        <f aca="false">'Смета Внутр'!D1569</f>
        <v>0</v>
      </c>
      <c r="F1569" s="1551" t="n">
        <f aca="false">'Смета Внутр'!E1569</f>
        <v>300</v>
      </c>
      <c r="G1569" s="1551" t="n">
        <f aca="false">'Смета Внутр'!H1569</f>
        <v>0</v>
      </c>
      <c r="I1569" s="3179" t="n">
        <f aca="false">IF(F1569&lt;H1569,F1569*(D1569-E1569),0)+IF(H1569=0,(D1569-E1569)*F1569,0)+IF(H1569&lt;F1569,H1569*(D1569-E1569),0)</f>
        <v>0</v>
      </c>
      <c r="J1569" s="3179" t="n">
        <f aca="false">G1569-I1569</f>
        <v>0</v>
      </c>
    </row>
    <row r="1570" customFormat="false" ht="15" hidden="false" customHeight="true" outlineLevel="0" collapsed="false">
      <c r="B1570" s="1551" t="str">
        <f aca="false">'Смета Внутр'!B1570</f>
        <v>труба водосточная</v>
      </c>
      <c r="C1570" s="1551" t="str">
        <f aca="false">'Смета Внутр'!C1570</f>
        <v>м.п.</v>
      </c>
      <c r="D1570" s="1551" t="n">
        <f aca="false">'Смета Внутр'!D1570</f>
        <v>0</v>
      </c>
      <c r="F1570" s="1551" t="n">
        <f aca="false">'Смета Внутр'!E1570</f>
        <v>300</v>
      </c>
      <c r="G1570" s="1551" t="n">
        <f aca="false">'Смета Внутр'!H1570</f>
        <v>0</v>
      </c>
      <c r="I1570" s="3179" t="n">
        <f aca="false">IF(F1570&lt;H1570,F1570*(D1570-E1570),0)+IF(H1570=0,(D1570-E1570)*F1570,0)+IF(H1570&lt;F1570,H1570*(D1570-E1570),0)</f>
        <v>0</v>
      </c>
      <c r="J1570" s="3179" t="n">
        <f aca="false">G1570-I1570</f>
        <v>0</v>
      </c>
    </row>
    <row r="1571" customFormat="false" ht="15" hidden="false" customHeight="true" outlineLevel="0" collapsed="false">
      <c r="B1571" s="1551" t="str">
        <f aca="false">'Смета Внутр'!B1571</f>
        <v>Монтаж ондулина</v>
      </c>
      <c r="C1571" s="1551" t="str">
        <f aca="false">'Смета Внутр'!C1571</f>
        <v>м2</v>
      </c>
      <c r="D1571" s="1551" t="n">
        <f aca="false">'Смета Внутр'!D1571</f>
        <v>0</v>
      </c>
      <c r="F1571" s="1551" t="n">
        <f aca="false">'Смета Внутр'!E1571</f>
        <v>300</v>
      </c>
      <c r="G1571" s="1551" t="n">
        <f aca="false">'Смета Внутр'!H1571</f>
        <v>0</v>
      </c>
      <c r="I1571" s="3179" t="n">
        <f aca="false">IF(F1571&lt;H1571,F1571*(D1571-E1571),0)+IF(H1571=0,(D1571-E1571)*F1571,0)+IF(H1571&lt;F1571,H1571*(D1571-E1571),0)</f>
        <v>0</v>
      </c>
      <c r="J1571" s="3179" t="n">
        <f aca="false">G1571-I1571</f>
        <v>0</v>
      </c>
    </row>
    <row r="1572" customFormat="false" ht="15" hidden="false" customHeight="true" outlineLevel="0" collapsed="false">
      <c r="B1572" s="1551" t="str">
        <f aca="false">'Смета Внутр'!B1572</f>
        <v>Монтаж фанеры/osb</v>
      </c>
      <c r="C1572" s="1551" t="str">
        <f aca="false">'Смета Внутр'!C1572</f>
        <v>м2</v>
      </c>
      <c r="D1572" s="1551" t="n">
        <f aca="false">'Смета Внутр'!D1572</f>
        <v>0</v>
      </c>
      <c r="F1572" s="1551" t="n">
        <f aca="false">'Смета Внутр'!E1572</f>
        <v>200</v>
      </c>
      <c r="G1572" s="1551" t="n">
        <f aca="false">'Смета Внутр'!H1572</f>
        <v>0</v>
      </c>
      <c r="I1572" s="3179" t="n">
        <f aca="false">IF(F1572&lt;H1572,F1572*(D1572-E1572),0)+IF(H1572=0,(D1572-E1572)*F1572,0)+IF(H1572&lt;F1572,H1572*(D1572-E1572),0)</f>
        <v>0</v>
      </c>
      <c r="J1572" s="3179" t="n">
        <f aca="false">G1572-I1572</f>
        <v>0</v>
      </c>
    </row>
    <row r="1573" customFormat="false" ht="15" hidden="false" customHeight="true" outlineLevel="0" collapsed="false">
      <c r="B1573" s="1551" t="str">
        <f aca="false">'Смета Внутр'!B1573</f>
        <v>монтаж подкладочного ковра</v>
      </c>
      <c r="C1573" s="1551" t="str">
        <f aca="false">'Смета Внутр'!C1573</f>
        <v>м2</v>
      </c>
      <c r="D1573" s="1551" t="n">
        <f aca="false">'Смета Внутр'!D1573</f>
        <v>0</v>
      </c>
      <c r="F1573" s="1551" t="n">
        <f aca="false">'Смета Внутр'!E1573</f>
        <v>150</v>
      </c>
      <c r="G1573" s="1551" t="n">
        <f aca="false">'Смета Внутр'!H1573</f>
        <v>0</v>
      </c>
      <c r="I1573" s="3179" t="n">
        <f aca="false">IF(F1573&lt;H1573,F1573*(D1573-E1573),0)+IF(H1573=0,(D1573-E1573)*F1573,0)+IF(H1573&lt;F1573,H1573*(D1573-E1573),0)</f>
        <v>0</v>
      </c>
      <c r="J1573" s="3179" t="n">
        <f aca="false">G1573-I1573</f>
        <v>0</v>
      </c>
    </row>
    <row r="1574" customFormat="false" ht="15" hidden="false" customHeight="true" outlineLevel="0" collapsed="false">
      <c r="B1574" s="1551" t="str">
        <f aca="false">'Смета Внутр'!B1574</f>
        <v>Монтаж мягкой кровли</v>
      </c>
      <c r="C1574" s="1551" t="str">
        <f aca="false">'Смета Внутр'!C1574</f>
        <v>м2</v>
      </c>
      <c r="D1574" s="1551" t="n">
        <f aca="false">'Смета Внутр'!D1574</f>
        <v>0</v>
      </c>
      <c r="F1574" s="1551" t="n">
        <f aca="false">'Смета Внутр'!E1574</f>
        <v>350</v>
      </c>
      <c r="G1574" s="1551" t="n">
        <f aca="false">'Смета Внутр'!H1574</f>
        <v>0</v>
      </c>
      <c r="I1574" s="3179" t="n">
        <f aca="false">IF(F1574&lt;H1574,F1574*(D1574-E1574),0)+IF(H1574=0,(D1574-E1574)*F1574,0)+IF(H1574&lt;F1574,H1574*(D1574-E1574),0)</f>
        <v>0</v>
      </c>
      <c r="J1574" s="3179" t="n">
        <f aca="false">G1574-I1574</f>
        <v>0</v>
      </c>
    </row>
    <row r="1575" customFormat="false" ht="15" hidden="false" customHeight="false" outlineLevel="0" collapsed="false">
      <c r="B1575" s="1692" t="s">
        <v>4333</v>
      </c>
      <c r="C1575" s="1692"/>
      <c r="D1575" s="1692"/>
      <c r="E1575" s="1692"/>
      <c r="F1575" s="1692"/>
      <c r="G1575" s="1551" t="n">
        <f aca="false">'Смета Внутр'!H1575</f>
        <v>0</v>
      </c>
      <c r="H1575" s="1584"/>
      <c r="I1575" s="3179" t="n">
        <f aca="false">IF(F1575&lt;H1575,F1575*(D1575-E1575),0)+IF(H1575=0,(D1575-E1575)*F1575,0)+IF(H1575&lt;F1575,H1575*(D1575-E1575),0)</f>
        <v>0</v>
      </c>
      <c r="J1575" s="3179" t="n">
        <f aca="false">G1575-I1575</f>
        <v>0</v>
      </c>
    </row>
    <row r="1576" customFormat="false" ht="15" hidden="false" customHeight="true" outlineLevel="0" collapsed="false">
      <c r="B1576" s="1551" t="str">
        <f aca="false">'Смета Внутр'!B1576</f>
        <v>Кровля на крыльцо</v>
      </c>
      <c r="C1576" s="1551" t="n">
        <f aca="false">'Смета Внутр'!C1576</f>
        <v>0</v>
      </c>
      <c r="D1576" s="1551" t="n">
        <f aca="false">'Смета Внутр'!D1576</f>
        <v>0</v>
      </c>
      <c r="F1576" s="1551" t="n">
        <f aca="false">'Смета Внутр'!E1576</f>
        <v>0</v>
      </c>
      <c r="G1576" s="1551" t="n">
        <f aca="false">'Смета Внутр'!H1576</f>
        <v>0</v>
      </c>
      <c r="I1576" s="3179" t="n">
        <f aca="false">IF(F1576&lt;H1576,F1576*(D1576-E1576),0)+IF(H1576=0,(D1576-E1576)*F1576,0)+IF(H1576&lt;F1576,H1576*(D1576-E1576),0)</f>
        <v>0</v>
      </c>
      <c r="J1576" s="3179" t="n">
        <f aca="false">G1576-I1576</f>
        <v>0</v>
      </c>
    </row>
    <row r="1577" customFormat="false" ht="15" hidden="false" customHeight="true" outlineLevel="0" collapsed="false">
      <c r="B1577" s="1268" t="str">
        <f aca="false">'Смета Внутр'!B1577</f>
        <v>Материалы</v>
      </c>
      <c r="C1577" s="1268"/>
      <c r="D1577" s="1268"/>
      <c r="E1577" s="1268"/>
      <c r="F1577" s="1268"/>
      <c r="G1577" s="1551" t="n">
        <f aca="false">'Смета Внутр'!H1577</f>
        <v>0</v>
      </c>
      <c r="H1577" s="3175"/>
      <c r="I1577" s="3179" t="n">
        <f aca="false">IF(F1577&lt;H1577,F1577*(D1577-E1577),0)+IF(H1577=0,(D1577-E1577)*F1577,0)+IF(H1577&lt;F1577,H1577*(D1577-E1577),0)</f>
        <v>0</v>
      </c>
      <c r="J1577" s="3179" t="n">
        <f aca="false">G1577-I1577</f>
        <v>0</v>
      </c>
    </row>
    <row r="1578" customFormat="false" ht="15" hidden="false" customHeight="true" outlineLevel="0" collapsed="false">
      <c r="B1578" s="1551" t="str">
        <f aca="false">'Смета Внутр'!B1578</f>
        <v>Доска сухая, 150*50мм</v>
      </c>
      <c r="C1578" s="1551" t="str">
        <f aca="false">'Смета Внутр'!C1578</f>
        <v>м3</v>
      </c>
      <c r="D1578" s="1551" t="n">
        <f aca="false">'Смета Внутр'!D1578</f>
        <v>0.205269268270725</v>
      </c>
      <c r="F1578" s="1551" t="n">
        <f aca="false">'Смета Внутр'!E1578</f>
        <v>9000</v>
      </c>
      <c r="G1578" s="1551" t="n">
        <f aca="false">'Смета Внутр'!H1578</f>
        <v>0</v>
      </c>
      <c r="I1578" s="3179" t="n">
        <f aca="false">IF(F1578&lt;H1578,F1578*(D1578-E1578),0)+IF(H1578=0,(D1578-E1578)*F1578,0)+IF(H1578&lt;F1578,H1578*(D1578-E1578),0)</f>
        <v>1847.42341443653</v>
      </c>
      <c r="J1578" s="3179" t="n">
        <f aca="false">G1578-I1578</f>
        <v>-1847.42341443653</v>
      </c>
    </row>
    <row r="1579" customFormat="false" ht="15" hidden="false" customHeight="true" outlineLevel="0" collapsed="false">
      <c r="B1579" s="1551" t="str">
        <f aca="false">'Смета Внутр'!B1579</f>
        <v>Сосна влаж,100*25мм</v>
      </c>
      <c r="C1579" s="1551" t="str">
        <f aca="false">'Смета Внутр'!C1579</f>
        <v>м3</v>
      </c>
      <c r="D1579" s="1551" t="n">
        <f aca="false">'Смета Внутр'!D1579</f>
        <v>0.0676107863314507</v>
      </c>
      <c r="F1579" s="1551" t="n">
        <f aca="false">'Смета Внутр'!E1579</f>
        <v>6500</v>
      </c>
      <c r="G1579" s="1551" t="n">
        <f aca="false">'Смета Внутр'!H1579</f>
        <v>0</v>
      </c>
      <c r="I1579" s="3179" t="n">
        <f aca="false">IF(F1579&lt;H1579,F1579*(D1579-E1579),0)+IF(H1579=0,(D1579-E1579)*F1579,0)+IF(H1579&lt;F1579,H1579*(D1579-E1579),0)</f>
        <v>439.470111154429</v>
      </c>
      <c r="J1579" s="3179" t="n">
        <f aca="false">G1579-I1579</f>
        <v>-439.470111154429</v>
      </c>
    </row>
    <row r="1580" customFormat="false" ht="15" hidden="false" customHeight="true" outlineLevel="0" collapsed="false">
      <c r="B1580" s="1551" t="str">
        <f aca="false">'Смета Внутр'!B1580</f>
        <v>нет</v>
      </c>
      <c r="C1580" s="1551" t="str">
        <f aca="false">'Смета Внутр'!C1580</f>
        <v>м2</v>
      </c>
      <c r="D1580" s="1551" t="n">
        <f aca="false">'Смета Внутр'!D1580</f>
        <v>0</v>
      </c>
      <c r="F1580" s="1551" t="n">
        <f aca="false">'Смета Внутр'!E1580</f>
        <v>0</v>
      </c>
      <c r="G1580" s="1551" t="n">
        <f aca="false">'Смета Внутр'!H1580</f>
        <v>0</v>
      </c>
      <c r="I1580" s="3179" t="n">
        <f aca="false">IF(F1580&lt;H1580,F1580*(D1580-E1580),0)+IF(H1580=0,(D1580-E1580)*F1580,0)+IF(H1580&lt;F1580,H1580*(D1580-E1580),0)</f>
        <v>0</v>
      </c>
      <c r="J1580" s="3179" t="n">
        <f aca="false">G1580-I1580</f>
        <v>0</v>
      </c>
    </row>
    <row r="1581" customFormat="false" ht="15" hidden="false" customHeight="true" outlineLevel="0" collapsed="false">
      <c r="B1581" s="1551" t="str">
        <f aca="false">'Смета Внутр'!B1581</f>
        <v>нет</v>
      </c>
      <c r="C1581" s="1551" t="str">
        <f aca="false">'Смета Внутр'!C1581</f>
        <v>м2</v>
      </c>
      <c r="D1581" s="1551" t="n">
        <f aca="false">'Смета Внутр'!D1581</f>
        <v>10.8177258130321</v>
      </c>
      <c r="F1581" s="1551" t="n">
        <f aca="false">'Смета Внутр'!E1581</f>
        <v>0</v>
      </c>
      <c r="G1581" s="1551" t="n">
        <f aca="false">'Смета Внутр'!H1581</f>
        <v>0</v>
      </c>
      <c r="I1581" s="3179" t="n">
        <f aca="false">IF(F1581&lt;H1581,F1581*(D1581-E1581),0)+IF(H1581=0,(D1581-E1581)*F1581,0)+IF(H1581&lt;F1581,H1581*(D1581-E1581),0)</f>
        <v>0</v>
      </c>
      <c r="J1581" s="3179" t="n">
        <f aca="false">G1581-I1581</f>
        <v>0</v>
      </c>
    </row>
    <row r="1582" customFormat="false" ht="15" hidden="false" customHeight="true" outlineLevel="0" collapsed="false">
      <c r="B1582" s="1551" t="str">
        <f aca="false">'Смета Внутр'!B1582</f>
        <v>Мембраны Tyvek Solid</v>
      </c>
      <c r="C1582" s="1551" t="str">
        <f aca="false">'Смета Внутр'!C1582</f>
        <v>м2</v>
      </c>
      <c r="D1582" s="1551" t="n">
        <f aca="false">'Смета Внутр'!D1582</f>
        <v>10.8177258130321</v>
      </c>
      <c r="F1582" s="1551" t="n">
        <f aca="false">'Смета Внутр'!E1582</f>
        <v>99</v>
      </c>
      <c r="G1582" s="1551" t="n">
        <f aca="false">'Смета Внутр'!H1582</f>
        <v>0</v>
      </c>
      <c r="I1582" s="3179" t="n">
        <f aca="false">IF(F1582&lt;H1582,F1582*(D1582-E1582),0)+IF(H1582=0,(D1582-E1582)*F1582,0)+IF(H1582&lt;F1582,H1582*(D1582-E1582),0)</f>
        <v>1070.95485549018</v>
      </c>
      <c r="J1582" s="3179" t="n">
        <f aca="false">G1582-I1582</f>
        <v>-1070.95485549018</v>
      </c>
    </row>
    <row r="1583" customFormat="false" ht="15" hidden="false" customHeight="true" outlineLevel="0" collapsed="false">
      <c r="B1583" s="1551" t="str">
        <f aca="false">'Смета Внутр'!B1583</f>
        <v>металлочерепица</v>
      </c>
      <c r="C1583" s="1551" t="str">
        <f aca="false">'Смета Внутр'!C1583</f>
        <v>м2</v>
      </c>
      <c r="D1583" s="1551" t="n">
        <f aca="false">'Смета Внутр'!D1583</f>
        <v>10.8177258130321</v>
      </c>
      <c r="F1583" s="1551" t="n">
        <f aca="false">'Смета Внутр'!E1583</f>
        <v>250</v>
      </c>
      <c r="G1583" s="1551" t="n">
        <f aca="false">'Смета Внутр'!H1583</f>
        <v>0</v>
      </c>
      <c r="I1583" s="3179" t="n">
        <f aca="false">IF(F1583&lt;H1583,F1583*(D1583-E1583),0)+IF(H1583=0,(D1583-E1583)*F1583,0)+IF(H1583&lt;F1583,H1583*(D1583-E1583),0)</f>
        <v>2704.43145325803</v>
      </c>
      <c r="J1583" s="3179" t="n">
        <f aca="false">G1583-I1583</f>
        <v>-2704.43145325803</v>
      </c>
    </row>
    <row r="1584" customFormat="false" ht="15" hidden="false" customHeight="true" outlineLevel="0" collapsed="false">
      <c r="B1584" s="1551" t="str">
        <f aca="false">'Смета Внутр'!B1584</f>
        <v>карнизная планка</v>
      </c>
      <c r="C1584" s="1551" t="str">
        <f aca="false">'Смета Внутр'!C1584</f>
        <v>м.п.</v>
      </c>
      <c r="D1584" s="1551" t="n">
        <f aca="false">'Смета Внутр'!D1584</f>
        <v>4.18</v>
      </c>
      <c r="F1584" s="1551" t="n">
        <f aca="false">'Смета Внутр'!E1584</f>
        <v>200</v>
      </c>
      <c r="G1584" s="1551" t="n">
        <f aca="false">'Смета Внутр'!H1584</f>
        <v>0</v>
      </c>
      <c r="I1584" s="3179" t="n">
        <f aca="false">IF(F1584&lt;H1584,F1584*(D1584-E1584),0)+IF(H1584=0,(D1584-E1584)*F1584,0)+IF(H1584&lt;F1584,H1584*(D1584-E1584),0)</f>
        <v>836</v>
      </c>
      <c r="J1584" s="3179" t="n">
        <f aca="false">G1584-I1584</f>
        <v>-836</v>
      </c>
    </row>
    <row r="1585" customFormat="false" ht="15" hidden="false" customHeight="true" outlineLevel="0" collapsed="false">
      <c r="B1585" s="1551" t="str">
        <f aca="false">'Смета Внутр'!B1585</f>
        <v>торцевая планка</v>
      </c>
      <c r="C1585" s="1551" t="str">
        <f aca="false">'Смета Внутр'!C1585</f>
        <v>м.п.</v>
      </c>
      <c r="D1585" s="1551" t="n">
        <f aca="false">'Смета Внутр'!D1585</f>
        <v>5.21907824312953</v>
      </c>
      <c r="F1585" s="1551" t="n">
        <f aca="false">'Смета Внутр'!E1585</f>
        <v>200</v>
      </c>
      <c r="G1585" s="1551" t="n">
        <f aca="false">'Смета Внутр'!H1585</f>
        <v>0</v>
      </c>
      <c r="I1585" s="3179" t="n">
        <f aca="false">IF(F1585&lt;H1585,F1585*(D1585-E1585),0)+IF(H1585=0,(D1585-E1585)*F1585,0)+IF(H1585&lt;F1585,H1585*(D1585-E1585),0)</f>
        <v>1043.81564862591</v>
      </c>
      <c r="J1585" s="3179" t="n">
        <f aca="false">G1585-I1585</f>
        <v>-1043.81564862591</v>
      </c>
    </row>
    <row r="1586" customFormat="false" ht="15" hidden="false" customHeight="true" outlineLevel="0" collapsed="false">
      <c r="B1586" s="1551" t="str">
        <f aca="false">'Смета Внутр'!B1586</f>
        <v>конек</v>
      </c>
      <c r="C1586" s="1551" t="str">
        <f aca="false">'Смета Внутр'!C1586</f>
        <v>м.п.</v>
      </c>
      <c r="D1586" s="1551" t="n">
        <f aca="false">'Смета Внутр'!D1586</f>
        <v>0</v>
      </c>
      <c r="F1586" s="1551" t="n">
        <f aca="false">'Смета Внутр'!E1586</f>
        <v>230</v>
      </c>
      <c r="G1586" s="1551" t="n">
        <f aca="false">'Смета Внутр'!H1586</f>
        <v>0</v>
      </c>
      <c r="I1586" s="3179" t="n">
        <f aca="false">IF(F1586&lt;H1586,F1586*(D1586-E1586),0)+IF(H1586=0,(D1586-E1586)*F1586,0)+IF(H1586&lt;F1586,H1586*(D1586-E1586),0)</f>
        <v>0</v>
      </c>
      <c r="J1586" s="3179" t="n">
        <f aca="false">G1586-I1586</f>
        <v>0</v>
      </c>
    </row>
    <row r="1587" customFormat="false" ht="15" hidden="false" customHeight="true" outlineLevel="0" collapsed="false">
      <c r="B1587" s="1551" t="str">
        <f aca="false">'Смета Внутр'!B1587</f>
        <v>ондулин</v>
      </c>
      <c r="C1587" s="1551" t="str">
        <f aca="false">'Смета Внутр'!C1587</f>
        <v>м2</v>
      </c>
      <c r="D1587" s="1551" t="n">
        <f aca="false">'Смета Внутр'!D1587</f>
        <v>0</v>
      </c>
      <c r="F1587" s="1551" t="n">
        <f aca="false">'Смета Внутр'!E1587</f>
        <v>180</v>
      </c>
      <c r="G1587" s="1551" t="n">
        <f aca="false">'Смета Внутр'!H1587</f>
        <v>0</v>
      </c>
      <c r="I1587" s="3179" t="n">
        <f aca="false">IF(F1587&lt;H1587,F1587*(D1587-E1587),0)+IF(H1587=0,(D1587-E1587)*F1587,0)+IF(H1587&lt;F1587,H1587*(D1587-E1587),0)</f>
        <v>0</v>
      </c>
      <c r="J1587" s="3179" t="n">
        <f aca="false">G1587-I1587</f>
        <v>0</v>
      </c>
    </row>
    <row r="1588" customFormat="false" ht="15" hidden="false" customHeight="true" outlineLevel="0" collapsed="false">
      <c r="B1588" s="1551" t="str">
        <f aca="false">'Смета Внутр'!B1588</f>
        <v>Карнизная планка</v>
      </c>
      <c r="C1588" s="1551" t="str">
        <f aca="false">'Смета Внутр'!C1588</f>
        <v>м.п.</v>
      </c>
      <c r="D1588" s="1551" t="n">
        <f aca="false">'Смета Внутр'!D1588</f>
        <v>0</v>
      </c>
      <c r="F1588" s="1551" t="n">
        <f aca="false">'Смета Внутр'!E1588</f>
        <v>190</v>
      </c>
      <c r="G1588" s="1551" t="n">
        <f aca="false">'Смета Внутр'!H1588</f>
        <v>0</v>
      </c>
      <c r="I1588" s="3179" t="n">
        <f aca="false">IF(F1588&lt;H1588,F1588*(D1588-E1588),0)+IF(H1588=0,(D1588-E1588)*F1588,0)+IF(H1588&lt;F1588,H1588*(D1588-E1588),0)</f>
        <v>0</v>
      </c>
      <c r="J1588" s="3179" t="n">
        <f aca="false">G1588-I1588</f>
        <v>0</v>
      </c>
    </row>
    <row r="1589" customFormat="false" ht="15" hidden="false" customHeight="true" outlineLevel="0" collapsed="false">
      <c r="B1589" s="1551" t="str">
        <f aca="false">'Смета Внутр'!B1589</f>
        <v>Торцевая планка</v>
      </c>
      <c r="C1589" s="1551" t="str">
        <f aca="false">'Смета Внутр'!C1589</f>
        <v>м.п.</v>
      </c>
      <c r="D1589" s="1551" t="n">
        <f aca="false">'Смета Внутр'!D1589</f>
        <v>0</v>
      </c>
      <c r="F1589" s="1551" t="n">
        <f aca="false">'Смета Внутр'!E1589</f>
        <v>190</v>
      </c>
      <c r="G1589" s="1551" t="n">
        <f aca="false">'Смета Внутр'!H1589</f>
        <v>0</v>
      </c>
      <c r="I1589" s="3179" t="n">
        <f aca="false">IF(F1589&lt;H1589,F1589*(D1589-E1589),0)+IF(H1589=0,(D1589-E1589)*F1589,0)+IF(H1589&lt;F1589,H1589*(D1589-E1589),0)</f>
        <v>0</v>
      </c>
      <c r="J1589" s="3179" t="n">
        <f aca="false">G1589-I1589</f>
        <v>0</v>
      </c>
    </row>
    <row r="1590" customFormat="false" ht="15" hidden="false" customHeight="true" outlineLevel="0" collapsed="false">
      <c r="B1590" s="1551" t="str">
        <f aca="false">'Смета Внутр'!B1590</f>
        <v>Конек</v>
      </c>
      <c r="C1590" s="1551" t="str">
        <f aca="false">'Смета Внутр'!C1590</f>
        <v>м.п.</v>
      </c>
      <c r="D1590" s="1551" t="n">
        <f aca="false">'Смета Внутр'!D1590</f>
        <v>0</v>
      </c>
      <c r="F1590" s="1551" t="n">
        <f aca="false">'Смета Внутр'!E1590</f>
        <v>200</v>
      </c>
      <c r="G1590" s="1551" t="n">
        <f aca="false">'Смета Внутр'!H1590</f>
        <v>0</v>
      </c>
      <c r="I1590" s="3179" t="n">
        <f aca="false">IF(F1590&lt;H1590,F1590*(D1590-E1590),0)+IF(H1590=0,(D1590-E1590)*F1590,0)+IF(H1590&lt;F1590,H1590*(D1590-E1590),0)</f>
        <v>0</v>
      </c>
      <c r="J1590" s="3179" t="n">
        <f aca="false">G1590-I1590</f>
        <v>0</v>
      </c>
    </row>
    <row r="1591" customFormat="false" ht="15" hidden="false" customHeight="true" outlineLevel="0" collapsed="false">
      <c r="B1591" s="1551" t="str">
        <f aca="false">'Смета Внутр'!B1591</f>
        <v>Ендова нижняя</v>
      </c>
      <c r="C1591" s="1551" t="str">
        <f aca="false">'Смета Внутр'!C1591</f>
        <v>м.п.</v>
      </c>
      <c r="D1591" s="1551" t="n">
        <f aca="false">'Смета Внутр'!D1591</f>
        <v>0</v>
      </c>
      <c r="F1591" s="1551" t="n">
        <f aca="false">'Смета Внутр'!E1591</f>
        <v>160</v>
      </c>
      <c r="G1591" s="1551" t="n">
        <f aca="false">'Смета Внутр'!H1591</f>
        <v>0</v>
      </c>
      <c r="I1591" s="3179" t="n">
        <f aca="false">IF(F1591&lt;H1591,F1591*(D1591-E1591),0)+IF(H1591=0,(D1591-E1591)*F1591,0)+IF(H1591&lt;F1591,H1591*(D1591-E1591),0)</f>
        <v>0</v>
      </c>
      <c r="J1591" s="3179" t="n">
        <f aca="false">G1591-I1591</f>
        <v>0</v>
      </c>
    </row>
    <row r="1592" customFormat="false" ht="15" hidden="false" customHeight="true" outlineLevel="0" collapsed="false">
      <c r="B1592" s="1551" t="str">
        <f aca="false">'Смета Внутр'!B1592</f>
        <v>Ендова верхняя</v>
      </c>
      <c r="C1592" s="1551" t="str">
        <f aca="false">'Смета Внутр'!C1592</f>
        <v>м.п.</v>
      </c>
      <c r="D1592" s="1551" t="n">
        <f aca="false">'Смета Внутр'!D1592</f>
        <v>0</v>
      </c>
      <c r="F1592" s="1551" t="n">
        <f aca="false">'Смета Внутр'!E1592</f>
        <v>190</v>
      </c>
      <c r="G1592" s="1551" t="n">
        <f aca="false">'Смета Внутр'!H1592</f>
        <v>0</v>
      </c>
      <c r="I1592" s="3179" t="n">
        <f aca="false">IF(F1592&lt;H1592,F1592*(D1592-E1592),0)+IF(H1592=0,(D1592-E1592)*F1592,0)+IF(H1592&lt;F1592,H1592*(D1592-E1592),0)</f>
        <v>0</v>
      </c>
      <c r="J1592" s="3179" t="n">
        <f aca="false">G1592-I1592</f>
        <v>0</v>
      </c>
    </row>
    <row r="1593" customFormat="false" ht="15" hidden="false" customHeight="true" outlineLevel="0" collapsed="false">
      <c r="B1593" s="1551" t="str">
        <f aca="false">'Смета Внутр'!B1593</f>
        <v>Планка примыкания</v>
      </c>
      <c r="C1593" s="1551" t="str">
        <f aca="false">'Смета Внутр'!C1593</f>
        <v>м.п.</v>
      </c>
      <c r="D1593" s="1551" t="n">
        <f aca="false">'Смета Внутр'!D1593</f>
        <v>0</v>
      </c>
      <c r="F1593" s="1551" t="n">
        <f aca="false">'Смета Внутр'!E1593</f>
        <v>190</v>
      </c>
      <c r="G1593" s="1551" t="n">
        <f aca="false">'Смета Внутр'!H1593</f>
        <v>0</v>
      </c>
      <c r="I1593" s="3179" t="n">
        <f aca="false">IF(F1593&lt;H1593,F1593*(D1593-E1593),0)+IF(H1593=0,(D1593-E1593)*F1593,0)+IF(H1593&lt;F1593,H1593*(D1593-E1593),0)</f>
        <v>0</v>
      </c>
      <c r="J1593" s="3179" t="n">
        <f aca="false">G1593-I1593</f>
        <v>0</v>
      </c>
    </row>
    <row r="1594" customFormat="false" ht="15" hidden="false" customHeight="true" outlineLevel="0" collapsed="false">
      <c r="B1594" s="1551" t="str">
        <f aca="false">'Смета Внутр'!B1594</f>
        <v>Крепеж для ондулина</v>
      </c>
      <c r="C1594" s="1551" t="str">
        <f aca="false">'Смета Внутр'!C1594</f>
        <v>шт</v>
      </c>
      <c r="D1594" s="1551" t="n">
        <f aca="false">'Смета Внутр'!D1594</f>
        <v>0</v>
      </c>
      <c r="F1594" s="1551" t="n">
        <f aca="false">'Смета Внутр'!E1594</f>
        <v>4.5</v>
      </c>
      <c r="G1594" s="1551" t="n">
        <f aca="false">'Смета Внутр'!H1594</f>
        <v>0</v>
      </c>
      <c r="I1594" s="3179" t="n">
        <f aca="false">IF(F1594&lt;H1594,F1594*(D1594-E1594),0)+IF(H1594=0,(D1594-E1594)*F1594,0)+IF(H1594&lt;F1594,H1594*(D1594-E1594),0)</f>
        <v>0</v>
      </c>
      <c r="J1594" s="3179" t="n">
        <f aca="false">G1594-I1594</f>
        <v>0</v>
      </c>
    </row>
    <row r="1595" customFormat="false" ht="15" hidden="false" customHeight="true" outlineLevel="0" collapsed="false">
      <c r="B1595" s="1551" t="str">
        <f aca="false">'Смета Внутр'!B1595</f>
        <v>Рядовая черепица</v>
      </c>
      <c r="C1595" s="1551" t="str">
        <f aca="false">'Смета Внутр'!C1595</f>
        <v>м2</v>
      </c>
      <c r="D1595" s="1551" t="n">
        <f aca="false">'Смета Внутр'!D1595</f>
        <v>0</v>
      </c>
      <c r="F1595" s="1551" t="n">
        <f aca="false">'Смета Внутр'!E1595</f>
        <v>360</v>
      </c>
      <c r="G1595" s="1551" t="n">
        <f aca="false">'Смета Внутр'!H1595</f>
        <v>0</v>
      </c>
      <c r="I1595" s="3179" t="n">
        <f aca="false">IF(F1595&lt;H1595,F1595*(D1595-E1595),0)+IF(H1595=0,(D1595-E1595)*F1595,0)+IF(H1595&lt;F1595,H1595*(D1595-E1595),0)</f>
        <v>0</v>
      </c>
      <c r="J1595" s="3179" t="n">
        <f aca="false">G1595-I1595</f>
        <v>0</v>
      </c>
    </row>
    <row r="1596" customFormat="false" ht="15" hidden="false" customHeight="true" outlineLevel="0" collapsed="false">
      <c r="B1596" s="1551" t="str">
        <f aca="false">'Смета Внутр'!B1596</f>
        <v>Металл оцинк защита (карниз)</v>
      </c>
      <c r="C1596" s="1551" t="str">
        <f aca="false">'Смета Внутр'!C1596</f>
        <v>м.п.</v>
      </c>
      <c r="D1596" s="1551" t="n">
        <f aca="false">'Смета Внутр'!D1596</f>
        <v>0</v>
      </c>
      <c r="F1596" s="1551" t="n">
        <f aca="false">'Смета Внутр'!E1596</f>
        <v>200</v>
      </c>
      <c r="G1596" s="1551" t="n">
        <f aca="false">'Смета Внутр'!H1596</f>
        <v>0</v>
      </c>
      <c r="I1596" s="3179" t="n">
        <f aca="false">IF(F1596&lt;H1596,F1596*(D1596-E1596),0)+IF(H1596=0,(D1596-E1596)*F1596,0)+IF(H1596&lt;F1596,H1596*(D1596-E1596),0)</f>
        <v>0</v>
      </c>
      <c r="J1596" s="3179" t="n">
        <f aca="false">G1596-I1596</f>
        <v>0</v>
      </c>
    </row>
    <row r="1597" customFormat="false" ht="15" hidden="false" customHeight="true" outlineLevel="0" collapsed="false">
      <c r="B1597" s="1551" t="str">
        <f aca="false">'Смета Внутр'!B1597</f>
        <v>Подкладочный ковер</v>
      </c>
      <c r="C1597" s="1551" t="str">
        <f aca="false">'Смета Внутр'!C1597</f>
        <v>м.п.</v>
      </c>
      <c r="D1597" s="1551" t="n">
        <f aca="false">'Смета Внутр'!D1597</f>
        <v>0</v>
      </c>
      <c r="F1597" s="1551" t="n">
        <f aca="false">'Смета Внутр'!E1597</f>
        <v>220</v>
      </c>
      <c r="G1597" s="1551" t="n">
        <f aca="false">'Смета Внутр'!H1597</f>
        <v>0</v>
      </c>
      <c r="I1597" s="3179" t="n">
        <f aca="false">IF(F1597&lt;H1597,F1597*(D1597-E1597),0)+IF(H1597=0,(D1597-E1597)*F1597,0)+IF(H1597&lt;F1597,H1597*(D1597-E1597),0)</f>
        <v>0</v>
      </c>
      <c r="J1597" s="3179" t="n">
        <f aca="false">G1597-I1597</f>
        <v>0</v>
      </c>
    </row>
    <row r="1598" customFormat="false" ht="15" hidden="false" customHeight="true" outlineLevel="0" collapsed="false">
      <c r="B1598" s="1551" t="str">
        <f aca="false">'Смета Внутр'!B1598</f>
        <v>Карнизная самоклеющаяся черепица</v>
      </c>
      <c r="C1598" s="1551" t="str">
        <f aca="false">'Смета Внутр'!C1598</f>
        <v>м.п.</v>
      </c>
      <c r="D1598" s="1551" t="n">
        <f aca="false">'Смета Внутр'!D1598</f>
        <v>0</v>
      </c>
      <c r="F1598" s="1551" t="n">
        <f aca="false">'Смета Внутр'!E1598</f>
        <v>220</v>
      </c>
      <c r="G1598" s="1551" t="n">
        <f aca="false">'Смета Внутр'!H1598</f>
        <v>0</v>
      </c>
      <c r="I1598" s="3179" t="n">
        <f aca="false">IF(F1598&lt;H1598,F1598*(D1598-E1598),0)+IF(H1598=0,(D1598-E1598)*F1598,0)+IF(H1598&lt;F1598,H1598*(D1598-E1598),0)</f>
        <v>0</v>
      </c>
      <c r="J1598" s="3179" t="n">
        <f aca="false">G1598-I1598</f>
        <v>0</v>
      </c>
    </row>
    <row r="1599" customFormat="false" ht="15" hidden="false" customHeight="true" outlineLevel="0" collapsed="false">
      <c r="B1599" s="1551" t="str">
        <f aca="false">'Смета Внутр'!B1599</f>
        <v>Спец ковер ендова нижняя</v>
      </c>
      <c r="C1599" s="1551" t="str">
        <f aca="false">'Смета Внутр'!C1599</f>
        <v>м.п.</v>
      </c>
      <c r="D1599" s="1551" t="n">
        <f aca="false">'Смета Внутр'!D1599</f>
        <v>0</v>
      </c>
      <c r="F1599" s="1551" t="n">
        <f aca="false">'Смета Внутр'!E1599</f>
        <v>200</v>
      </c>
      <c r="G1599" s="1551" t="n">
        <f aca="false">'Смета Внутр'!H1599</f>
        <v>0</v>
      </c>
      <c r="I1599" s="3179" t="n">
        <f aca="false">IF(F1599&lt;H1599,F1599*(D1599-E1599),0)+IF(H1599=0,(D1599-E1599)*F1599,0)+IF(H1599&lt;F1599,H1599*(D1599-E1599),0)</f>
        <v>0</v>
      </c>
      <c r="J1599" s="3179" t="n">
        <f aca="false">G1599-I1599</f>
        <v>0</v>
      </c>
    </row>
    <row r="1600" customFormat="false" ht="15" hidden="false" customHeight="true" outlineLevel="0" collapsed="false">
      <c r="B1600" s="1551" t="str">
        <f aca="false">'Смета Внутр'!B1600</f>
        <v>Коньковой элемент</v>
      </c>
      <c r="C1600" s="1551" t="str">
        <f aca="false">'Смета Внутр'!C1600</f>
        <v>м.п.</v>
      </c>
      <c r="D1600" s="1551" t="n">
        <f aca="false">'Смета Внутр'!D1600</f>
        <v>0</v>
      </c>
      <c r="F1600" s="1551" t="n">
        <f aca="false">'Смета Внутр'!E1600</f>
        <v>250</v>
      </c>
      <c r="G1600" s="1551" t="n">
        <f aca="false">'Смета Внутр'!H1600</f>
        <v>0</v>
      </c>
      <c r="I1600" s="3179" t="n">
        <f aca="false">IF(F1600&lt;H1600,F1600*(D1600-E1600),0)+IF(H1600=0,(D1600-E1600)*F1600,0)+IF(H1600&lt;F1600,H1600*(D1600-E1600),0)</f>
        <v>0</v>
      </c>
      <c r="J1600" s="3179" t="n">
        <f aca="false">G1600-I1600</f>
        <v>0</v>
      </c>
    </row>
    <row r="1601" customFormat="false" ht="15" hidden="false" customHeight="true" outlineLevel="0" collapsed="false">
      <c r="B1601" s="1551" t="str">
        <f aca="false">'Смета Внутр'!B1601</f>
        <v>Планка премыкания</v>
      </c>
      <c r="C1601" s="1551" t="str">
        <f aca="false">'Смета Внутр'!C1601</f>
        <v>м.п.</v>
      </c>
      <c r="D1601" s="1551" t="n">
        <f aca="false">'Смета Внутр'!D1601</f>
        <v>0</v>
      </c>
      <c r="F1601" s="1551" t="n">
        <f aca="false">'Смета Внутр'!E1601</f>
        <v>200</v>
      </c>
      <c r="G1601" s="1551" t="n">
        <f aca="false">'Смета Внутр'!H1601</f>
        <v>0</v>
      </c>
      <c r="I1601" s="3179" t="n">
        <f aca="false">IF(F1601&lt;H1601,F1601*(D1601-E1601),0)+IF(H1601=0,(D1601-E1601)*F1601,0)+IF(H1601&lt;F1601,H1601*(D1601-E1601),0)</f>
        <v>0</v>
      </c>
      <c r="J1601" s="3179" t="n">
        <f aca="false">G1601-I1601</f>
        <v>0</v>
      </c>
    </row>
    <row r="1602" customFormat="false" ht="15" hidden="false" customHeight="true" outlineLevel="0" collapsed="false">
      <c r="B1602" s="1551" t="str">
        <f aca="false">'Смета Внутр'!B1602</f>
        <v>Гвозди для крепления подкладочного ковра</v>
      </c>
      <c r="C1602" s="1551" t="str">
        <f aca="false">'Смета Внутр'!C1602</f>
        <v>шт</v>
      </c>
      <c r="D1602" s="1551" t="n">
        <f aca="false">'Смета Внутр'!D1602</f>
        <v>0</v>
      </c>
      <c r="F1602" s="1551" t="n">
        <f aca="false">'Смета Внутр'!E1602</f>
        <v>0.012</v>
      </c>
      <c r="G1602" s="1551" t="n">
        <f aca="false">'Смета Внутр'!H1602</f>
        <v>0</v>
      </c>
      <c r="I1602" s="3179" t="n">
        <f aca="false">IF(F1602&lt;H1602,F1602*(D1602-E1602),0)+IF(H1602=0,(D1602-E1602)*F1602,0)+IF(H1602&lt;F1602,H1602*(D1602-E1602),0)</f>
        <v>0</v>
      </c>
      <c r="J1602" s="3179" t="n">
        <f aca="false">G1602-I1602</f>
        <v>0</v>
      </c>
    </row>
    <row r="1603" customFormat="false" ht="15" hidden="false" customHeight="true" outlineLevel="0" collapsed="false">
      <c r="B1603" s="1551" t="str">
        <f aca="false">'Смета Внутр'!B1603</f>
        <v>Гвозди для крепления черепицы</v>
      </c>
      <c r="C1603" s="1551" t="str">
        <f aca="false">'Смета Внутр'!C1603</f>
        <v>шт</v>
      </c>
      <c r="D1603" s="1551" t="n">
        <f aca="false">'Смета Внутр'!D1603</f>
        <v>0</v>
      </c>
      <c r="F1603" s="1551" t="n">
        <f aca="false">'Смета Внутр'!E1603</f>
        <v>0.25</v>
      </c>
      <c r="G1603" s="1551" t="n">
        <f aca="false">'Смета Внутр'!H1603</f>
        <v>0</v>
      </c>
      <c r="I1603" s="3179" t="n">
        <f aca="false">IF(F1603&lt;H1603,F1603*(D1603-E1603),0)+IF(H1603=0,(D1603-E1603)*F1603,0)+IF(H1603&lt;F1603,H1603*(D1603-E1603),0)</f>
        <v>0</v>
      </c>
      <c r="J1603" s="3179" t="n">
        <f aca="false">G1603-I1603</f>
        <v>0</v>
      </c>
    </row>
    <row r="1604" customFormat="false" ht="15" hidden="false" customHeight="true" outlineLevel="0" collapsed="false">
      <c r="B1604" s="1551" t="str">
        <f aca="false">'Смета Внутр'!B1604</f>
        <v>Клей для монтажа черепицы</v>
      </c>
      <c r="C1604" s="1551" t="str">
        <f aca="false">'Смета Внутр'!C1604</f>
        <v>кг</v>
      </c>
      <c r="D1604" s="1551" t="n">
        <f aca="false">'Смета Внутр'!D1604</f>
        <v>0</v>
      </c>
      <c r="F1604" s="1551" t="n">
        <f aca="false">'Смета Внутр'!E1604</f>
        <v>250</v>
      </c>
      <c r="G1604" s="1551" t="n">
        <f aca="false">'Смета Внутр'!H1604</f>
        <v>0</v>
      </c>
      <c r="I1604" s="3179" t="n">
        <f aca="false">IF(F1604&lt;H1604,F1604*(D1604-E1604),0)+IF(H1604=0,(D1604-E1604)*F1604,0)+IF(H1604&lt;F1604,H1604*(D1604-E1604),0)</f>
        <v>0</v>
      </c>
      <c r="J1604" s="3179" t="n">
        <f aca="false">G1604-I1604</f>
        <v>0</v>
      </c>
    </row>
    <row r="1605" customFormat="false" ht="15" hidden="false" customHeight="true" outlineLevel="0" collapsed="false">
      <c r="B1605" s="1551" t="str">
        <f aca="false">'Смета Внутр'!B1605</f>
        <v>желоб</v>
      </c>
      <c r="C1605" s="1551" t="str">
        <f aca="false">'Смета Внутр'!C1605</f>
        <v>м.п</v>
      </c>
      <c r="D1605" s="1551" t="n">
        <f aca="false">'Смета Внутр'!D1605</f>
        <v>4.18</v>
      </c>
      <c r="F1605" s="1551" t="n">
        <f aca="false">'Смета Внутр'!E1605</f>
        <v>300</v>
      </c>
      <c r="G1605" s="1551" t="n">
        <f aca="false">'Смета Внутр'!H1605</f>
        <v>0</v>
      </c>
      <c r="I1605" s="3179" t="n">
        <f aca="false">IF(F1605&lt;H1605,F1605*(D1605-E1605),0)+IF(H1605=0,(D1605-E1605)*F1605,0)+IF(H1605&lt;F1605,H1605*(D1605-E1605),0)</f>
        <v>1254</v>
      </c>
      <c r="J1605" s="3179" t="n">
        <f aca="false">G1605-I1605</f>
        <v>-1254</v>
      </c>
    </row>
    <row r="1606" customFormat="false" ht="15" hidden="false" customHeight="true" outlineLevel="0" collapsed="false">
      <c r="B1606" s="1551" t="str">
        <f aca="false">'Смета Внутр'!B1606</f>
        <v>отвод</v>
      </c>
      <c r="C1606" s="1551" t="str">
        <f aca="false">'Смета Внутр'!C1606</f>
        <v>шт</v>
      </c>
      <c r="D1606" s="1551" t="n">
        <f aca="false">'Смета Внутр'!D1606</f>
        <v>2</v>
      </c>
      <c r="F1606" s="1551" t="n">
        <f aca="false">'Смета Внутр'!E1606</f>
        <v>250</v>
      </c>
      <c r="G1606" s="1551" t="n">
        <f aca="false">'Смета Внутр'!H1606</f>
        <v>0</v>
      </c>
      <c r="I1606" s="3179" t="n">
        <f aca="false">IF(F1606&lt;H1606,F1606*(D1606-E1606),0)+IF(H1606=0,(D1606-E1606)*F1606,0)+IF(H1606&lt;F1606,H1606*(D1606-E1606),0)</f>
        <v>500</v>
      </c>
      <c r="J1606" s="3179" t="n">
        <f aca="false">G1606-I1606</f>
        <v>-500</v>
      </c>
    </row>
    <row r="1607" customFormat="false" ht="15" hidden="false" customHeight="true" outlineLevel="0" collapsed="false">
      <c r="B1607" s="1551" t="str">
        <f aca="false">'Смета Внутр'!B1607</f>
        <v>труба водосточная</v>
      </c>
      <c r="C1607" s="1551" t="str">
        <f aca="false">'Смета Внутр'!C1607</f>
        <v>м.п.</v>
      </c>
      <c r="D1607" s="1551" t="n">
        <f aca="false">'Смета Внутр'!D1607</f>
        <v>0</v>
      </c>
      <c r="F1607" s="1551" t="n">
        <f aca="false">'Смета Внутр'!E1607</f>
        <v>300</v>
      </c>
      <c r="G1607" s="1551" t="n">
        <f aca="false">'Смета Внутр'!H1607</f>
        <v>0</v>
      </c>
      <c r="I1607" s="3179" t="n">
        <f aca="false">IF(F1607&lt;H1607,F1607*(D1607-E1607),0)+IF(H1607=0,(D1607-E1607)*F1607,0)+IF(H1607&lt;F1607,H1607*(D1607-E1607),0)</f>
        <v>0</v>
      </c>
      <c r="J1607" s="3179" t="n">
        <f aca="false">G1607-I1607</f>
        <v>0</v>
      </c>
    </row>
    <row r="1608" customFormat="false" ht="15" hidden="false" customHeight="true" outlineLevel="0" collapsed="false">
      <c r="B1608" s="1551" t="str">
        <f aca="false">'Смета Внутр'!B1608</f>
        <v>заглушка для желоба</v>
      </c>
      <c r="C1608" s="1551" t="str">
        <f aca="false">'Смета Внутр'!C1608</f>
        <v>шт</v>
      </c>
      <c r="D1608" s="1551" t="n">
        <f aca="false">'Смета Внутр'!D1608</f>
        <v>2</v>
      </c>
      <c r="F1608" s="1551" t="n">
        <f aca="false">'Смета Внутр'!E1608</f>
        <v>190</v>
      </c>
      <c r="G1608" s="1551" t="n">
        <f aca="false">'Смета Внутр'!H1608</f>
        <v>0</v>
      </c>
      <c r="I1608" s="3179" t="n">
        <f aca="false">IF(F1608&lt;H1608,F1608*(D1608-E1608),0)+IF(H1608=0,(D1608-E1608)*F1608,0)+IF(H1608&lt;F1608,H1608*(D1608-E1608),0)</f>
        <v>380</v>
      </c>
      <c r="J1608" s="3179" t="n">
        <f aca="false">G1608-I1608</f>
        <v>-380</v>
      </c>
    </row>
    <row r="1609" customFormat="false" ht="15" hidden="false" customHeight="true" outlineLevel="0" collapsed="false">
      <c r="B1609" s="1551" t="str">
        <f aca="false">'Смета Внутр'!B1609</f>
        <v>соеденитель для желоба</v>
      </c>
      <c r="C1609" s="1551" t="str">
        <f aca="false">'Смета Внутр'!C1609</f>
        <v>шт</v>
      </c>
      <c r="D1609" s="1551" t="n">
        <f aca="false">'Смета Внутр'!D1609</f>
        <v>2</v>
      </c>
      <c r="F1609" s="1551" t="n">
        <f aca="false">'Смета Внутр'!E1609</f>
        <v>180</v>
      </c>
      <c r="G1609" s="1551" t="n">
        <f aca="false">'Смета Внутр'!H1609</f>
        <v>0</v>
      </c>
      <c r="I1609" s="3179" t="n">
        <f aca="false">IF(F1609&lt;H1609,F1609*(D1609-E1609),0)+IF(H1609=0,(D1609-E1609)*F1609,0)+IF(H1609&lt;F1609,H1609*(D1609-E1609),0)</f>
        <v>360</v>
      </c>
      <c r="J1609" s="3179" t="n">
        <f aca="false">G1609-I1609</f>
        <v>-360</v>
      </c>
    </row>
    <row r="1610" customFormat="false" ht="15" hidden="false" customHeight="true" outlineLevel="0" collapsed="false">
      <c r="B1610" s="1551" t="str">
        <f aca="false">'Смета Внутр'!B1610</f>
        <v>кронштейн для желоба</v>
      </c>
      <c r="C1610" s="1551" t="str">
        <f aca="false">'Смета Внутр'!C1610</f>
        <v>шт</v>
      </c>
      <c r="D1610" s="1551" t="n">
        <f aca="false">'Смета Внутр'!D1610</f>
        <v>10.45</v>
      </c>
      <c r="F1610" s="1551" t="n">
        <f aca="false">'Смета Внутр'!E1610</f>
        <v>130</v>
      </c>
      <c r="G1610" s="1551" t="n">
        <f aca="false">'Смета Внутр'!H1610</f>
        <v>0</v>
      </c>
      <c r="I1610" s="3179" t="n">
        <f aca="false">IF(F1610&lt;H1610,F1610*(D1610-E1610),0)+IF(H1610=0,(D1610-E1610)*F1610,0)+IF(H1610&lt;F1610,H1610*(D1610-E1610),0)</f>
        <v>1358.5</v>
      </c>
      <c r="J1610" s="3179" t="n">
        <f aca="false">G1610-I1610</f>
        <v>-1358.5</v>
      </c>
    </row>
    <row r="1611" customFormat="false" ht="15" hidden="false" customHeight="true" outlineLevel="0" collapsed="false">
      <c r="B1611" s="1551" t="str">
        <f aca="false">'Смета Внутр'!B1611</f>
        <v>переход из желоба в трубу</v>
      </c>
      <c r="C1611" s="1551" t="str">
        <f aca="false">'Смета Внутр'!C1611</f>
        <v>шт</v>
      </c>
      <c r="D1611" s="1551" t="n">
        <f aca="false">'Смета Внутр'!D1611</f>
        <v>2</v>
      </c>
      <c r="F1611" s="1551" t="n">
        <f aca="false">'Смета Внутр'!E1611</f>
        <v>350</v>
      </c>
      <c r="G1611" s="1551" t="n">
        <f aca="false">'Смета Внутр'!H1611</f>
        <v>0</v>
      </c>
      <c r="I1611" s="3179" t="n">
        <f aca="false">IF(F1611&lt;H1611,F1611*(D1611-E1611),0)+IF(H1611=0,(D1611-E1611)*F1611,0)+IF(H1611&lt;F1611,H1611*(D1611-E1611),0)</f>
        <v>700</v>
      </c>
      <c r="J1611" s="3179" t="n">
        <f aca="false">G1611-I1611</f>
        <v>-700</v>
      </c>
    </row>
    <row r="1612" customFormat="false" ht="15" hidden="false" customHeight="true" outlineLevel="0" collapsed="false">
      <c r="B1612" s="1551" t="str">
        <f aca="false">'Смета Внутр'!B1612</f>
        <v>лента дельта мульти бэнд</v>
      </c>
      <c r="C1612" s="1551" t="str">
        <f aca="false">'Смета Внутр'!C1612</f>
        <v>шт</v>
      </c>
      <c r="D1612" s="1551" t="n">
        <f aca="false">'Смета Внутр'!D1612</f>
        <v>0.257564900310288</v>
      </c>
      <c r="F1612" s="1551" t="n">
        <f aca="false">'Смета Внутр'!E1612</f>
        <v>1200</v>
      </c>
      <c r="G1612" s="1551" t="n">
        <f aca="false">'Смета Внутр'!H1612</f>
        <v>0</v>
      </c>
      <c r="I1612" s="3179" t="n">
        <f aca="false">IF(F1612&lt;H1612,F1612*(D1612-E1612),0)+IF(H1612=0,(D1612-E1612)*F1612,0)+IF(H1612&lt;F1612,H1612*(D1612-E1612),0)</f>
        <v>309.077880372346</v>
      </c>
      <c r="J1612" s="3179" t="n">
        <f aca="false">G1612-I1612</f>
        <v>-309.077880372346</v>
      </c>
    </row>
    <row r="1613" customFormat="false" ht="15" hidden="false" customHeight="true" outlineLevel="0" collapsed="false">
      <c r="B1613" s="1551" t="str">
        <f aca="false">'Смета Внутр'!B1613</f>
        <v>лента дельта sb-60</v>
      </c>
      <c r="C1613" s="1551" t="str">
        <f aca="false">'Смета Внутр'!C1613</f>
        <v>шт</v>
      </c>
      <c r="D1613" s="1551" t="n">
        <f aca="false">'Смета Внутр'!D1613</f>
        <v>0.200328255796891</v>
      </c>
      <c r="F1613" s="1551" t="n">
        <f aca="false">'Смета Внутр'!E1613</f>
        <v>1100</v>
      </c>
      <c r="G1613" s="1551" t="n">
        <f aca="false">'Смета Внутр'!H1613</f>
        <v>0</v>
      </c>
      <c r="I1613" s="3179" t="n">
        <f aca="false">IF(F1613&lt;H1613,F1613*(D1613-E1613),0)+IF(H1613=0,(D1613-E1613)*F1613,0)+IF(H1613&lt;F1613,H1613*(D1613-E1613),0)</f>
        <v>220.36108137658</v>
      </c>
      <c r="J1613" s="3179" t="n">
        <f aca="false">G1613-I1613</f>
        <v>-220.36108137658</v>
      </c>
    </row>
    <row r="1614" customFormat="false" ht="15" hidden="false" customHeight="true" outlineLevel="0" collapsed="false">
      <c r="B1614" s="1551" t="str">
        <f aca="false">'Смета Внутр'!B1614</f>
        <v>Кровельный саморез</v>
      </c>
      <c r="C1614" s="1551" t="str">
        <f aca="false">'Смета Внутр'!C1614</f>
        <v>шт</v>
      </c>
      <c r="D1614" s="1551" t="n">
        <f aca="false">'Смета Внутр'!D1614</f>
        <v>108.177258130321</v>
      </c>
      <c r="F1614" s="1551" t="n">
        <f aca="false">'Смета Внутр'!E1614</f>
        <v>2</v>
      </c>
      <c r="G1614" s="1551" t="n">
        <f aca="false">'Смета Внутр'!H1614</f>
        <v>0</v>
      </c>
      <c r="I1614" s="3179" t="n">
        <f aca="false">IF(F1614&lt;H1614,F1614*(D1614-E1614),0)+IF(H1614=0,(D1614-E1614)*F1614,0)+IF(H1614&lt;F1614,H1614*(D1614-E1614),0)</f>
        <v>216.354516260642</v>
      </c>
      <c r="J1614" s="3179" t="n">
        <f aca="false">G1614-I1614</f>
        <v>-216.354516260642</v>
      </c>
    </row>
    <row r="1615" customFormat="false" ht="15" hidden="false" customHeight="true" outlineLevel="0" collapsed="false">
      <c r="B1615" s="1692" t="s">
        <v>4332</v>
      </c>
      <c r="C1615" s="1692"/>
      <c r="D1615" s="1692"/>
      <c r="E1615" s="1692"/>
      <c r="F1615" s="1692"/>
      <c r="G1615" s="1551" t="n">
        <f aca="false">'Смета Внутр'!H1615</f>
        <v>0</v>
      </c>
      <c r="H1615" s="3184"/>
      <c r="I1615" s="3179" t="n">
        <f aca="false">IF(F1615&lt;H1615,F1615*(D1615-E1615),0)+IF(H1615=0,(D1615-E1615)*F1615,0)+IF(H1615&lt;F1615,H1615*(D1615-E1615),0)</f>
        <v>0</v>
      </c>
      <c r="J1615" s="3179" t="n">
        <f aca="false">G1615-I1615</f>
        <v>0</v>
      </c>
    </row>
    <row r="1616" customFormat="false" ht="15" hidden="false" customHeight="true" outlineLevel="0" collapsed="false">
      <c r="B1616" s="1268" t="str">
        <f aca="false">'Смета Внутр'!B1616</f>
        <v>Работы</v>
      </c>
      <c r="C1616" s="1268"/>
      <c r="D1616" s="1268"/>
      <c r="E1616" s="1268"/>
      <c r="F1616" s="1268"/>
      <c r="G1616" s="1551" t="n">
        <f aca="false">'Смета Внутр'!H1616</f>
        <v>0</v>
      </c>
      <c r="H1616" s="3175"/>
      <c r="I1616" s="3179" t="n">
        <f aca="false">IF(F1616&lt;H1616,F1616*(D1616-E1616),0)+IF(H1616=0,(D1616-E1616)*F1616,0)+IF(H1616&lt;F1616,H1616*(D1616-E1616),0)</f>
        <v>0</v>
      </c>
      <c r="J1616" s="3179" t="n">
        <f aca="false">G1616-I1616</f>
        <v>0</v>
      </c>
    </row>
    <row r="1617" customFormat="false" ht="15" hidden="false" customHeight="true" outlineLevel="0" collapsed="false">
      <c r="B1617" s="1551" t="str">
        <f aca="false">'Смета Внутр'!B1617</f>
        <v>монтаж стропил</v>
      </c>
      <c r="C1617" s="1551" t="str">
        <f aca="false">'Смета Внутр'!C1617</f>
        <v>м2</v>
      </c>
      <c r="D1617" s="1551" t="n">
        <f aca="false">'Смета Внутр'!D1617</f>
        <v>9.01477151086009</v>
      </c>
      <c r="F1617" s="1551" t="n">
        <f aca="false">'Смета Внутр'!E1617</f>
        <v>450</v>
      </c>
      <c r="G1617" s="1551" t="n">
        <f aca="false">'Смета Внутр'!H1617</f>
        <v>0</v>
      </c>
      <c r="I1617" s="3179" t="n">
        <f aca="false">IF(F1617&lt;H1617,F1617*(D1617-E1617),0)+IF(H1617=0,(D1617-E1617)*F1617,0)+IF(H1617&lt;F1617,H1617*(D1617-E1617),0)</f>
        <v>4056.64717988704</v>
      </c>
      <c r="J1617" s="3179" t="n">
        <f aca="false">G1617-I1617</f>
        <v>-4056.64717988704</v>
      </c>
    </row>
    <row r="1618" customFormat="false" ht="15" hidden="false" customHeight="true" outlineLevel="0" collapsed="false">
      <c r="B1618" s="1551" t="str">
        <f aca="false">'Смета Внутр'!B1618</f>
        <v>обрешетка</v>
      </c>
      <c r="C1618" s="1551" t="str">
        <f aca="false">'Смета Внутр'!C1618</f>
        <v>м2</v>
      </c>
      <c r="D1618" s="1551" t="n">
        <f aca="false">'Смета Внутр'!D1618</f>
        <v>9.01477151086009</v>
      </c>
      <c r="F1618" s="1551" t="n">
        <f aca="false">'Смета Внутр'!E1618</f>
        <v>100</v>
      </c>
      <c r="G1618" s="1551" t="n">
        <f aca="false">'Смета Внутр'!H1618</f>
        <v>0</v>
      </c>
      <c r="I1618" s="3179" t="n">
        <f aca="false">IF(F1618&lt;H1618,F1618*(D1618-E1618),0)+IF(H1618=0,(D1618-E1618)*F1618,0)+IF(H1618&lt;F1618,H1618*(D1618-E1618),0)</f>
        <v>901.477151086009</v>
      </c>
      <c r="J1618" s="3179" t="n">
        <f aca="false">G1618-I1618</f>
        <v>-901.477151086009</v>
      </c>
    </row>
    <row r="1619" customFormat="false" ht="15" hidden="false" customHeight="true" outlineLevel="0" collapsed="false">
      <c r="B1619" s="1551" t="str">
        <f aca="false">'Смета Внутр'!B1619</f>
        <v>контробеш</v>
      </c>
      <c r="C1619" s="1551" t="str">
        <f aca="false">'Смета Внутр'!C1619</f>
        <v>м2</v>
      </c>
      <c r="D1619" s="1551" t="n">
        <f aca="false">'Смета Внутр'!D1619</f>
        <v>0</v>
      </c>
      <c r="F1619" s="1551" t="n">
        <f aca="false">'Смета Внутр'!E1619</f>
        <v>100</v>
      </c>
      <c r="G1619" s="1551" t="n">
        <f aca="false">'Смета Внутр'!H1619</f>
        <v>0</v>
      </c>
      <c r="I1619" s="3179" t="n">
        <f aca="false">IF(F1619&lt;H1619,F1619*(D1619-E1619),0)+IF(H1619=0,(D1619-E1619)*F1619,0)+IF(H1619&lt;F1619,H1619*(D1619-E1619),0)</f>
        <v>0</v>
      </c>
      <c r="J1619" s="3179" t="n">
        <f aca="false">G1619-I1619</f>
        <v>0</v>
      </c>
    </row>
    <row r="1620" customFormat="false" ht="15" hidden="false" customHeight="true" outlineLevel="0" collapsed="false">
      <c r="B1620" s="1551" t="str">
        <f aca="false">'Смета Внутр'!B1620</f>
        <v>мембрана</v>
      </c>
      <c r="C1620" s="1551" t="str">
        <f aca="false">'Смета Внутр'!C1620</f>
        <v>м2</v>
      </c>
      <c r="D1620" s="1551" t="n">
        <f aca="false">'Смета Внутр'!D1620</f>
        <v>9.01477151086009</v>
      </c>
      <c r="F1620" s="1551" t="n">
        <f aca="false">'Смета Внутр'!E1620</f>
        <v>100</v>
      </c>
      <c r="G1620" s="1551" t="n">
        <f aca="false">'Смета Внутр'!H1620</f>
        <v>0</v>
      </c>
      <c r="I1620" s="3179" t="n">
        <f aca="false">IF(F1620&lt;H1620,F1620*(D1620-E1620),0)+IF(H1620=0,(D1620-E1620)*F1620,0)+IF(H1620&lt;F1620,H1620*(D1620-E1620),0)</f>
        <v>901.477151086009</v>
      </c>
      <c r="J1620" s="3179" t="n">
        <f aca="false">G1620-I1620</f>
        <v>-901.477151086009</v>
      </c>
    </row>
    <row r="1621" customFormat="false" ht="15" hidden="false" customHeight="true" outlineLevel="0" collapsed="false">
      <c r="B1621" s="1551" t="str">
        <f aca="false">'Смета Внутр'!B1621</f>
        <v>Монтаж металлочерепицы</v>
      </c>
      <c r="C1621" s="1551" t="str">
        <f aca="false">'Смета Внутр'!C1621</f>
        <v>м2</v>
      </c>
      <c r="D1621" s="1551" t="n">
        <f aca="false">'Смета Внутр'!D1621</f>
        <v>9.01477151086009</v>
      </c>
      <c r="F1621" s="1551" t="n">
        <f aca="false">'Смета Внутр'!E1621</f>
        <v>300</v>
      </c>
      <c r="G1621" s="1551" t="n">
        <f aca="false">'Смета Внутр'!H1621</f>
        <v>0</v>
      </c>
      <c r="I1621" s="3179" t="n">
        <f aca="false">IF(F1621&lt;H1621,F1621*(D1621-E1621),0)+IF(H1621=0,(D1621-E1621)*F1621,0)+IF(H1621&lt;F1621,H1621*(D1621-E1621),0)</f>
        <v>2704.43145325803</v>
      </c>
      <c r="J1621" s="3179" t="n">
        <f aca="false">G1621-I1621</f>
        <v>-2704.43145325803</v>
      </c>
    </row>
    <row r="1622" customFormat="false" ht="15" hidden="false" customHeight="true" outlineLevel="0" collapsed="false">
      <c r="B1622" s="1551" t="str">
        <f aca="false">'Смета Внутр'!B1622</f>
        <v>карнизная планка</v>
      </c>
      <c r="C1622" s="1551" t="str">
        <f aca="false">'Смета Внутр'!C1622</f>
        <v>м2</v>
      </c>
      <c r="D1622" s="1551" t="n">
        <f aca="false">'Смета Внутр'!D1622</f>
        <v>4.18</v>
      </c>
      <c r="F1622" s="1551" t="n">
        <f aca="false">'Смета Внутр'!E1622</f>
        <v>100</v>
      </c>
      <c r="G1622" s="1551" t="n">
        <f aca="false">'Смета Внутр'!H1622</f>
        <v>0</v>
      </c>
      <c r="I1622" s="3179" t="n">
        <f aca="false">IF(F1622&lt;H1622,F1622*(D1622-E1622),0)+IF(H1622=0,(D1622-E1622)*F1622,0)+IF(H1622&lt;F1622,H1622*(D1622-E1622),0)</f>
        <v>418</v>
      </c>
      <c r="J1622" s="3179" t="n">
        <f aca="false">G1622-I1622</f>
        <v>-418</v>
      </c>
    </row>
    <row r="1623" customFormat="false" ht="15" hidden="false" customHeight="true" outlineLevel="0" collapsed="false">
      <c r="B1623" s="1551" t="str">
        <f aca="false">'Смета Внутр'!B1623</f>
        <v>торцевая планка</v>
      </c>
      <c r="C1623" s="1551" t="str">
        <f aca="false">'Смета Внутр'!C1623</f>
        <v>м2</v>
      </c>
      <c r="D1623" s="1551" t="n">
        <f aca="false">'Смета Внутр'!D1623</f>
        <v>5.21907824312953</v>
      </c>
      <c r="F1623" s="1551" t="n">
        <f aca="false">'Смета Внутр'!E1623</f>
        <v>100</v>
      </c>
      <c r="G1623" s="1551" t="n">
        <f aca="false">'Смета Внутр'!H1623</f>
        <v>0</v>
      </c>
      <c r="I1623" s="3179" t="n">
        <f aca="false">IF(F1623&lt;H1623,F1623*(D1623-E1623),0)+IF(H1623=0,(D1623-E1623)*F1623,0)+IF(H1623&lt;F1623,H1623*(D1623-E1623),0)</f>
        <v>521.907824312953</v>
      </c>
      <c r="J1623" s="3179" t="n">
        <f aca="false">G1623-I1623</f>
        <v>-521.907824312953</v>
      </c>
    </row>
    <row r="1624" customFormat="false" ht="15" hidden="false" customHeight="true" outlineLevel="0" collapsed="false">
      <c r="B1624" s="1551" t="str">
        <f aca="false">'Смета Внутр'!B1624</f>
        <v>желоб водосточный</v>
      </c>
      <c r="C1624" s="1551" t="str">
        <f aca="false">'Смета Внутр'!C1624</f>
        <v>м.п.</v>
      </c>
      <c r="D1624" s="1551" t="n">
        <f aca="false">'Смета Внутр'!D1624</f>
        <v>4.18</v>
      </c>
      <c r="F1624" s="1551" t="n">
        <f aca="false">'Смета Внутр'!E1624</f>
        <v>300</v>
      </c>
      <c r="G1624" s="1551" t="n">
        <f aca="false">'Смета Внутр'!H1624</f>
        <v>0</v>
      </c>
      <c r="I1624" s="3179" t="n">
        <f aca="false">IF(F1624&lt;H1624,F1624*(D1624-E1624),0)+IF(H1624=0,(D1624-E1624)*F1624,0)+IF(H1624&lt;F1624,H1624*(D1624-E1624),0)</f>
        <v>1254</v>
      </c>
      <c r="J1624" s="3179" t="n">
        <f aca="false">G1624-I1624</f>
        <v>-1254</v>
      </c>
    </row>
    <row r="1625" customFormat="false" ht="15" hidden="false" customHeight="true" outlineLevel="0" collapsed="false">
      <c r="B1625" s="1551" t="str">
        <f aca="false">'Смета Внутр'!B1625</f>
        <v>труба водосточная</v>
      </c>
      <c r="C1625" s="1551" t="str">
        <f aca="false">'Смета Внутр'!C1625</f>
        <v>м.п.</v>
      </c>
      <c r="D1625" s="1551" t="n">
        <f aca="false">'Смета Внутр'!D1625</f>
        <v>0</v>
      </c>
      <c r="F1625" s="1551" t="n">
        <f aca="false">'Смета Внутр'!E1625</f>
        <v>300</v>
      </c>
      <c r="G1625" s="1551" t="n">
        <f aca="false">'Смета Внутр'!H1625</f>
        <v>0</v>
      </c>
      <c r="I1625" s="3179" t="n">
        <f aca="false">IF(F1625&lt;H1625,F1625*(D1625-E1625),0)+IF(H1625=0,(D1625-E1625)*F1625,0)+IF(H1625&lt;F1625,H1625*(D1625-E1625),0)</f>
        <v>0</v>
      </c>
      <c r="J1625" s="3179" t="n">
        <f aca="false">G1625-I1625</f>
        <v>0</v>
      </c>
    </row>
    <row r="1626" customFormat="false" ht="15" hidden="false" customHeight="true" outlineLevel="0" collapsed="false">
      <c r="B1626" s="1551" t="str">
        <f aca="false">'Смета Внутр'!B1626</f>
        <v>Монтаж ондулина</v>
      </c>
      <c r="C1626" s="1551" t="str">
        <f aca="false">'Смета Внутр'!C1626</f>
        <v>м2</v>
      </c>
      <c r="D1626" s="1551" t="n">
        <f aca="false">'Смета Внутр'!D1626</f>
        <v>0</v>
      </c>
      <c r="F1626" s="1551" t="n">
        <f aca="false">'Смета Внутр'!E1626</f>
        <v>300</v>
      </c>
      <c r="G1626" s="1551" t="n">
        <f aca="false">'Смета Внутр'!H1626</f>
        <v>0</v>
      </c>
      <c r="I1626" s="3179" t="n">
        <f aca="false">IF(F1626&lt;H1626,F1626*(D1626-E1626),0)+IF(H1626=0,(D1626-E1626)*F1626,0)+IF(H1626&lt;F1626,H1626*(D1626-E1626),0)</f>
        <v>0</v>
      </c>
      <c r="J1626" s="3179" t="n">
        <f aca="false">G1626-I1626</f>
        <v>0</v>
      </c>
    </row>
    <row r="1627" customFormat="false" ht="15" hidden="false" customHeight="true" outlineLevel="0" collapsed="false">
      <c r="B1627" s="1551" t="str">
        <f aca="false">'Смета Внутр'!B1627</f>
        <v>Монтаж фанеры/osb</v>
      </c>
      <c r="C1627" s="1551" t="str">
        <f aca="false">'Смета Внутр'!C1627</f>
        <v>м2</v>
      </c>
      <c r="D1627" s="1551" t="n">
        <f aca="false">'Смета Внутр'!D1627</f>
        <v>0</v>
      </c>
      <c r="F1627" s="1551" t="n">
        <f aca="false">'Смета Внутр'!E1627</f>
        <v>200</v>
      </c>
      <c r="G1627" s="1551" t="n">
        <f aca="false">'Смета Внутр'!H1627</f>
        <v>0</v>
      </c>
      <c r="I1627" s="3179" t="n">
        <f aca="false">IF(F1627&lt;H1627,F1627*(D1627-E1627),0)+IF(H1627=0,(D1627-E1627)*F1627,0)+IF(H1627&lt;F1627,H1627*(D1627-E1627),0)</f>
        <v>0</v>
      </c>
      <c r="J1627" s="3179" t="n">
        <f aca="false">G1627-I1627</f>
        <v>0</v>
      </c>
    </row>
    <row r="1628" customFormat="false" ht="15" hidden="false" customHeight="true" outlineLevel="0" collapsed="false">
      <c r="B1628" s="1551" t="str">
        <f aca="false">'Смета Внутр'!B1628</f>
        <v>монтаж подкладочного ковра</v>
      </c>
      <c r="C1628" s="1551" t="str">
        <f aca="false">'Смета Внутр'!C1628</f>
        <v>м2</v>
      </c>
      <c r="D1628" s="1551" t="n">
        <f aca="false">'Смета Внутр'!D1628</f>
        <v>0</v>
      </c>
      <c r="F1628" s="1551" t="n">
        <f aca="false">'Смета Внутр'!E1628</f>
        <v>150</v>
      </c>
      <c r="G1628" s="1551" t="n">
        <f aca="false">'Смета Внутр'!H1628</f>
        <v>0</v>
      </c>
      <c r="I1628" s="3179" t="n">
        <f aca="false">IF(F1628&lt;H1628,F1628*(D1628-E1628),0)+IF(H1628=0,(D1628-E1628)*F1628,0)+IF(H1628&lt;F1628,H1628*(D1628-E1628),0)</f>
        <v>0</v>
      </c>
      <c r="J1628" s="3179" t="n">
        <f aca="false">G1628-I1628</f>
        <v>0</v>
      </c>
    </row>
    <row r="1629" customFormat="false" ht="15" hidden="false" customHeight="true" outlineLevel="0" collapsed="false">
      <c r="B1629" s="1551" t="str">
        <f aca="false">'Смета Внутр'!B1629</f>
        <v>Монтаж мягкой кровли</v>
      </c>
      <c r="C1629" s="1551" t="str">
        <f aca="false">'Смета Внутр'!C1629</f>
        <v>м2</v>
      </c>
      <c r="D1629" s="1551" t="n">
        <f aca="false">'Смета Внутр'!D1629</f>
        <v>0</v>
      </c>
      <c r="F1629" s="1551" t="n">
        <f aca="false">'Смета Внутр'!E1629</f>
        <v>350</v>
      </c>
      <c r="G1629" s="1551" t="n">
        <f aca="false">'Смета Внутр'!H1629</f>
        <v>0</v>
      </c>
      <c r="I1629" s="3179" t="n">
        <f aca="false">IF(F1629&lt;H1629,F1629*(D1629-E1629),0)+IF(H1629=0,(D1629-E1629)*F1629,0)+IF(H1629&lt;F1629,H1629*(D1629-E1629),0)</f>
        <v>0</v>
      </c>
      <c r="J1629" s="3179" t="n">
        <f aca="false">G1629-I1629</f>
        <v>0</v>
      </c>
    </row>
    <row r="1630" customFormat="false" ht="15" hidden="false" customHeight="true" outlineLevel="0" collapsed="false">
      <c r="B1630" s="1551" t="str">
        <f aca="false">'Смета Внутр'!B1630</f>
        <v>Монтаж планки примыкания</v>
      </c>
      <c r="C1630" s="1551" t="str">
        <f aca="false">'Смета Внутр'!C1630</f>
        <v>м.п.</v>
      </c>
      <c r="D1630" s="1551" t="n">
        <f aca="false">'Смета Внутр'!D1630</f>
        <v>0</v>
      </c>
      <c r="F1630" s="1551" t="n">
        <f aca="false">'Смета Внутр'!E1630</f>
        <v>200</v>
      </c>
      <c r="G1630" s="1551" t="n">
        <f aca="false">'Смета Внутр'!H1630</f>
        <v>0</v>
      </c>
      <c r="I1630" s="3179" t="n">
        <f aca="false">IF(F1630&lt;H1630,F1630*(D1630-E1630),0)+IF(H1630=0,(D1630-E1630)*F1630,0)+IF(H1630&lt;F1630,H1630*(D1630-E1630),0)</f>
        <v>0</v>
      </c>
      <c r="J1630" s="3179" t="n">
        <f aca="false">G1630-I1630</f>
        <v>0</v>
      </c>
    </row>
    <row r="1631" customFormat="false" ht="15" hidden="false" customHeight="false" outlineLevel="0" collapsed="false">
      <c r="B1631" s="1692" t="s">
        <v>4333</v>
      </c>
      <c r="C1631" s="1692"/>
      <c r="D1631" s="1692"/>
      <c r="E1631" s="1692"/>
      <c r="F1631" s="1692"/>
      <c r="G1631" s="1551" t="n">
        <f aca="false">'Смета Внутр'!H1631</f>
        <v>0</v>
      </c>
      <c r="H1631" s="1584"/>
      <c r="I1631" s="3179" t="n">
        <f aca="false">IF(F1631&lt;H1631,F1631*(D1631-E1631),0)+IF(H1631=0,(D1631-E1631)*F1631,0)+IF(H1631&lt;F1631,H1631*(D1631-E1631),0)</f>
        <v>0</v>
      </c>
      <c r="J1631" s="3179" t="n">
        <f aca="false">G1631-I1631</f>
        <v>0</v>
      </c>
    </row>
    <row r="1632" customFormat="false" ht="15" hidden="false" customHeight="true" outlineLevel="0" collapsed="false">
      <c r="B1632" s="1551" t="str">
        <f aca="false">'Смета Внутр'!B1632</f>
        <v>Окна и двери</v>
      </c>
      <c r="C1632" s="1551" t="n">
        <f aca="false">'Смета Внутр'!C1632</f>
        <v>0</v>
      </c>
      <c r="D1632" s="1551" t="n">
        <f aca="false">'Смета Внутр'!D1632</f>
        <v>0</v>
      </c>
      <c r="F1632" s="1551" t="n">
        <f aca="false">'Смета Внутр'!E1632</f>
        <v>0</v>
      </c>
      <c r="G1632" s="1551" t="n">
        <f aca="false">'Смета Внутр'!H1632</f>
        <v>0</v>
      </c>
      <c r="I1632" s="3179" t="n">
        <f aca="false">IF(F1632&lt;H1632,F1632*(D1632-E1632),0)+IF(H1632=0,(D1632-E1632)*F1632,0)+IF(H1632&lt;F1632,H1632*(D1632-E1632),0)</f>
        <v>0</v>
      </c>
      <c r="J1632" s="3179" t="n">
        <f aca="false">G1632-I1632</f>
        <v>0</v>
      </c>
    </row>
    <row r="1633" customFormat="false" ht="15" hidden="false" customHeight="true" outlineLevel="0" collapsed="false">
      <c r="B1633" s="1268" t="str">
        <f aca="false">'Смета Внутр'!B1633</f>
        <v>Материалы</v>
      </c>
      <c r="C1633" s="1268"/>
      <c r="D1633" s="1268"/>
      <c r="E1633" s="1268"/>
      <c r="F1633" s="1268"/>
      <c r="G1633" s="1551" t="n">
        <f aca="false">'Смета Внутр'!H1633</f>
        <v>0</v>
      </c>
      <c r="H1633" s="3175"/>
      <c r="I1633" s="3179" t="n">
        <f aca="false">IF(F1633&lt;H1633,F1633*(D1633-E1633),0)+IF(H1633=0,(D1633-E1633)*F1633,0)+IF(H1633&lt;F1633,H1633*(D1633-E1633),0)</f>
        <v>0</v>
      </c>
      <c r="J1633" s="3179" t="n">
        <f aca="false">G1633-I1633</f>
        <v>0</v>
      </c>
    </row>
    <row r="1634" customFormat="false" ht="15" hidden="false" customHeight="true" outlineLevel="0" collapsed="false">
      <c r="B1634" s="1551" t="str">
        <f aca="false">'Смета Внутр'!B1634</f>
        <v>окна   </v>
      </c>
      <c r="C1634" s="1551" t="str">
        <f aca="false">'Смета Внутр'!C1634</f>
        <v>м2</v>
      </c>
      <c r="D1634" s="1551" t="n">
        <f aca="false">'Смета Внутр'!D1634</f>
        <v>1.2</v>
      </c>
      <c r="F1634" s="1551" t="n">
        <f aca="false">'Смета Внутр'!E1634</f>
        <v>3500</v>
      </c>
      <c r="G1634" s="1551" t="n">
        <f aca="false">'Смета Внутр'!H1634</f>
        <v>0</v>
      </c>
      <c r="I1634" s="3179" t="n">
        <f aca="false">IF(F1634&lt;H1634,F1634*(D1634-E1634),0)+IF(H1634=0,(D1634-E1634)*F1634,0)+IF(H1634&lt;F1634,H1634*(D1634-E1634),0)</f>
        <v>4200</v>
      </c>
      <c r="J1634" s="3179" t="n">
        <f aca="false">G1634-I1634</f>
        <v>-4200</v>
      </c>
    </row>
    <row r="1635" customFormat="false" ht="15" hidden="false" customHeight="true" outlineLevel="0" collapsed="false">
      <c r="B1635" s="1551" t="str">
        <f aca="false">'Смета Внутр'!B1635</f>
        <v>подоконник</v>
      </c>
      <c r="C1635" s="1551" t="str">
        <f aca="false">'Смета Внутр'!C1635</f>
        <v>м.п.</v>
      </c>
      <c r="D1635" s="1551" t="n">
        <f aca="false">'Смета Внутр'!D1635</f>
        <v>1</v>
      </c>
      <c r="F1635" s="1551" t="n">
        <f aca="false">'Смета Внутр'!E1635</f>
        <v>200</v>
      </c>
      <c r="G1635" s="1551" t="n">
        <f aca="false">'Смета Внутр'!H1635</f>
        <v>0</v>
      </c>
      <c r="I1635" s="3179" t="n">
        <f aca="false">IF(F1635&lt;H1635,F1635*(D1635-E1635),0)+IF(H1635=0,(D1635-E1635)*F1635,0)+IF(H1635&lt;F1635,H1635*(D1635-E1635),0)</f>
        <v>200</v>
      </c>
      <c r="J1635" s="3179" t="n">
        <f aca="false">G1635-I1635</f>
        <v>-200</v>
      </c>
    </row>
    <row r="1636" customFormat="false" ht="15" hidden="false" customHeight="true" outlineLevel="0" collapsed="false">
      <c r="B1636" s="1551" t="str">
        <f aca="false">'Смета Внутр'!B1636</f>
        <v>направляющие для откосов внутр</v>
      </c>
      <c r="C1636" s="1551" t="str">
        <f aca="false">'Смета Внутр'!C1636</f>
        <v>шт</v>
      </c>
      <c r="D1636" s="1551" t="n">
        <f aca="false">'Смета Внутр'!D1636</f>
        <v>3.4</v>
      </c>
      <c r="F1636" s="1551" t="n">
        <f aca="false">'Смета Внутр'!E1636</f>
        <v>50</v>
      </c>
      <c r="G1636" s="1551" t="n">
        <f aca="false">'Смета Внутр'!H1636</f>
        <v>0</v>
      </c>
      <c r="I1636" s="3179" t="n">
        <f aca="false">IF(F1636&lt;H1636,F1636*(D1636-E1636),0)+IF(H1636=0,(D1636-E1636)*F1636,0)+IF(H1636&lt;F1636,H1636*(D1636-E1636),0)</f>
        <v>170</v>
      </c>
      <c r="J1636" s="3179" t="n">
        <f aca="false">G1636-I1636</f>
        <v>-170</v>
      </c>
    </row>
    <row r="1637" customFormat="false" ht="15" hidden="false" customHeight="true" outlineLevel="0" collapsed="false">
      <c r="B1637" s="1551" t="str">
        <f aca="false">'Смета Внутр'!B1637</f>
        <v>откосы внутр</v>
      </c>
      <c r="C1637" s="1551" t="str">
        <f aca="false">'Смета Внутр'!C1637</f>
        <v>шт</v>
      </c>
      <c r="D1637" s="1551" t="n">
        <f aca="false">'Смета Внутр'!D1637</f>
        <v>3.4</v>
      </c>
      <c r="F1637" s="1551" t="n">
        <f aca="false">'Смета Внутр'!E1637</f>
        <v>100</v>
      </c>
      <c r="G1637" s="1551" t="n">
        <f aca="false">'Смета Внутр'!H1637</f>
        <v>0</v>
      </c>
      <c r="I1637" s="3179" t="n">
        <f aca="false">IF(F1637&lt;H1637,F1637*(D1637-E1637),0)+IF(H1637=0,(D1637-E1637)*F1637,0)+IF(H1637&lt;F1637,H1637*(D1637-E1637),0)</f>
        <v>340</v>
      </c>
      <c r="J1637" s="3179" t="n">
        <f aca="false">G1637-I1637</f>
        <v>-340</v>
      </c>
    </row>
    <row r="1638" customFormat="false" ht="15" hidden="false" customHeight="true" outlineLevel="0" collapsed="false">
      <c r="B1638" s="1551" t="str">
        <f aca="false">'Смета Внутр'!B1638</f>
        <v>уголок для откосов внутр</v>
      </c>
      <c r="C1638" s="1551" t="str">
        <f aca="false">'Смета Внутр'!C1638</f>
        <v>шт</v>
      </c>
      <c r="D1638" s="1551" t="n">
        <f aca="false">'Смета Внутр'!D1638</f>
        <v>3.4</v>
      </c>
      <c r="F1638" s="1551" t="n">
        <f aca="false">'Смета Внутр'!E1638</f>
        <v>50</v>
      </c>
      <c r="G1638" s="1551" t="n">
        <f aca="false">'Смета Внутр'!H1638</f>
        <v>0</v>
      </c>
      <c r="I1638" s="3179" t="n">
        <f aca="false">IF(F1638&lt;H1638,F1638*(D1638-E1638),0)+IF(H1638=0,(D1638-E1638)*F1638,0)+IF(H1638&lt;F1638,H1638*(D1638-E1638),0)</f>
        <v>170</v>
      </c>
      <c r="J1638" s="3179" t="n">
        <f aca="false">G1638-I1638</f>
        <v>-170</v>
      </c>
    </row>
    <row r="1639" customFormat="false" ht="15" hidden="false" customHeight="true" outlineLevel="0" collapsed="false">
      <c r="B1639" s="1551" t="str">
        <f aca="false">'Смета Внутр'!B1639</f>
        <v>отлив</v>
      </c>
      <c r="C1639" s="1551" t="str">
        <f aca="false">'Смета Внутр'!C1639</f>
        <v>шт</v>
      </c>
      <c r="D1639" s="1551" t="n">
        <f aca="false">'Смета Внутр'!D1639</f>
        <v>0</v>
      </c>
      <c r="F1639" s="1551" t="n">
        <f aca="false">'Смета Внутр'!E1639</f>
        <v>130</v>
      </c>
      <c r="G1639" s="1551" t="n">
        <f aca="false">'Смета Внутр'!H1639</f>
        <v>0</v>
      </c>
      <c r="I1639" s="3179" t="n">
        <f aca="false">IF(F1639&lt;H1639,F1639*(D1639-E1639),0)+IF(H1639=0,(D1639-E1639)*F1639,0)+IF(H1639&lt;F1639,H1639*(D1639-E1639),0)</f>
        <v>0</v>
      </c>
      <c r="J1639" s="3179" t="n">
        <f aca="false">G1639-I1639</f>
        <v>0</v>
      </c>
    </row>
    <row r="1640" customFormat="false" ht="15" hidden="false" customHeight="true" outlineLevel="0" collapsed="false">
      <c r="B1640" s="1551" t="str">
        <f aca="false">'Смета Внутр'!B1640</f>
        <v>откосы нар</v>
      </c>
      <c r="C1640" s="1551" t="str">
        <f aca="false">'Смета Внутр'!C1640</f>
        <v>шт</v>
      </c>
      <c r="D1640" s="1551" t="n">
        <f aca="false">'Смета Внутр'!D1640</f>
        <v>0</v>
      </c>
      <c r="F1640" s="1551" t="n">
        <f aca="false">'Смета Внутр'!E1640</f>
        <v>150</v>
      </c>
      <c r="G1640" s="1551" t="n">
        <f aca="false">'Смета Внутр'!H1640</f>
        <v>0</v>
      </c>
      <c r="I1640" s="3179" t="n">
        <f aca="false">IF(F1640&lt;H1640,F1640*(D1640-E1640),0)+IF(H1640=0,(D1640-E1640)*F1640,0)+IF(H1640&lt;F1640,H1640*(D1640-E1640),0)</f>
        <v>0</v>
      </c>
      <c r="J1640" s="3179" t="n">
        <f aca="false">G1640-I1640</f>
        <v>0</v>
      </c>
    </row>
    <row r="1641" customFormat="false" ht="15" hidden="false" customHeight="true" outlineLevel="0" collapsed="false">
      <c r="B1641" s="1551" t="str">
        <f aca="false">'Смета Внутр'!B1641</f>
        <v>направляющие для откосов нар</v>
      </c>
      <c r="C1641" s="1551" t="str">
        <f aca="false">'Смета Внутр'!C1641</f>
        <v>шт</v>
      </c>
      <c r="D1641" s="1551" t="n">
        <f aca="false">'Смета Внутр'!D1641</f>
        <v>0</v>
      </c>
      <c r="F1641" s="1551" t="n">
        <f aca="false">'Смета Внутр'!E1641</f>
        <v>80</v>
      </c>
      <c r="G1641" s="1551" t="n">
        <f aca="false">'Смета Внутр'!H1641</f>
        <v>0</v>
      </c>
      <c r="I1641" s="3179" t="n">
        <f aca="false">IF(F1641&lt;H1641,F1641*(D1641-E1641),0)+IF(H1641=0,(D1641-E1641)*F1641,0)+IF(H1641&lt;F1641,H1641*(D1641-E1641),0)</f>
        <v>0</v>
      </c>
      <c r="J1641" s="3179" t="n">
        <f aca="false">G1641-I1641</f>
        <v>0</v>
      </c>
    </row>
    <row r="1642" customFormat="false" ht="15" hidden="false" customHeight="true" outlineLevel="0" collapsed="false">
      <c r="B1642" s="1551" t="str">
        <f aca="false">'Смета Внутр'!B1642</f>
        <v>уголок для откосов нар</v>
      </c>
      <c r="C1642" s="1551" t="str">
        <f aca="false">'Смета Внутр'!C1642</f>
        <v>шт</v>
      </c>
      <c r="D1642" s="1551" t="n">
        <f aca="false">'Смета Внутр'!D1642</f>
        <v>0</v>
      </c>
      <c r="F1642" s="1551" t="n">
        <f aca="false">'Смета Внутр'!E1642</f>
        <v>60</v>
      </c>
      <c r="G1642" s="1551" t="n">
        <f aca="false">'Смета Внутр'!H1642</f>
        <v>0</v>
      </c>
      <c r="I1642" s="3179" t="n">
        <f aca="false">IF(F1642&lt;H1642,F1642*(D1642-E1642),0)+IF(H1642=0,(D1642-E1642)*F1642,0)+IF(H1642&lt;F1642,H1642*(D1642-E1642),0)</f>
        <v>0</v>
      </c>
      <c r="J1642" s="3179" t="n">
        <f aca="false">G1642-I1642</f>
        <v>0</v>
      </c>
    </row>
    <row r="1643" customFormat="false" ht="15" hidden="false" customHeight="true" outlineLevel="0" collapsed="false">
      <c r="B1643" s="1551" t="str">
        <f aca="false">'Смета Внутр'!B1643</f>
        <v>ветроизоляция окон</v>
      </c>
      <c r="C1643" s="1551" t="str">
        <f aca="false">'Смета Внутр'!C1643</f>
        <v>м.п.</v>
      </c>
      <c r="D1643" s="1551" t="n">
        <f aca="false">'Смета Внутр'!D1643</f>
        <v>0</v>
      </c>
      <c r="F1643" s="1551" t="n">
        <f aca="false">'Смета Внутр'!E1643</f>
        <v>40</v>
      </c>
      <c r="G1643" s="1551" t="n">
        <f aca="false">'Смета Внутр'!H1643</f>
        <v>0</v>
      </c>
      <c r="I1643" s="3179" t="n">
        <f aca="false">IF(F1643&lt;H1643,F1643*(D1643-E1643),0)+IF(H1643=0,(D1643-E1643)*F1643,0)+IF(H1643&lt;F1643,H1643*(D1643-E1643),0)</f>
        <v>0</v>
      </c>
      <c r="J1643" s="3179" t="n">
        <f aca="false">G1643-I1643</f>
        <v>0</v>
      </c>
    </row>
    <row r="1644" customFormat="false" ht="15" hidden="false" customHeight="true" outlineLevel="0" collapsed="false">
      <c r="B1644" s="1551" t="str">
        <f aca="false">'Смета Внутр'!B1644</f>
        <v>пароизоляция окон</v>
      </c>
      <c r="C1644" s="1551" t="str">
        <f aca="false">'Смета Внутр'!C1644</f>
        <v>шт</v>
      </c>
      <c r="D1644" s="1551" t="n">
        <f aca="false">'Смета Внутр'!D1644</f>
        <v>3.4</v>
      </c>
      <c r="F1644" s="1551" t="n">
        <f aca="false">'Смета Внутр'!E1644</f>
        <v>40</v>
      </c>
      <c r="G1644" s="1551" t="n">
        <f aca="false">'Смета Внутр'!H1644</f>
        <v>0</v>
      </c>
      <c r="I1644" s="3179" t="n">
        <f aca="false">IF(F1644&lt;H1644,F1644*(D1644-E1644),0)+IF(H1644=0,(D1644-E1644)*F1644,0)+IF(H1644&lt;F1644,H1644*(D1644-E1644),0)</f>
        <v>136</v>
      </c>
      <c r="J1644" s="3179" t="n">
        <f aca="false">G1644-I1644</f>
        <v>-136</v>
      </c>
    </row>
    <row r="1645" customFormat="false" ht="15" hidden="false" customHeight="true" outlineLevel="0" collapsed="false">
      <c r="B1645" s="1551" t="str">
        <f aca="false">'Смета Внутр'!B1645</f>
        <v>крепления</v>
      </c>
      <c r="C1645" s="1551" t="str">
        <f aca="false">'Смета Внутр'!C1645</f>
        <v>шт</v>
      </c>
      <c r="D1645" s="1551" t="n">
        <f aca="false">'Смета Внутр'!D1645</f>
        <v>8</v>
      </c>
      <c r="F1645" s="1551" t="n">
        <f aca="false">'Смета Внутр'!E1645</f>
        <v>15</v>
      </c>
      <c r="G1645" s="1551" t="n">
        <f aca="false">'Смета Внутр'!H1645</f>
        <v>0</v>
      </c>
      <c r="I1645" s="3179" t="n">
        <f aca="false">IF(F1645&lt;H1645,F1645*(D1645-E1645),0)+IF(H1645=0,(D1645-E1645)*F1645,0)+IF(H1645&lt;F1645,H1645*(D1645-E1645),0)</f>
        <v>120</v>
      </c>
      <c r="J1645" s="3179" t="n">
        <f aca="false">G1645-I1645</f>
        <v>-120</v>
      </c>
    </row>
    <row r="1646" customFormat="false" ht="15" hidden="false" customHeight="true" outlineLevel="0" collapsed="false">
      <c r="B1646" s="1551" t="str">
        <f aca="false">'Смета Внутр'!B1646</f>
        <v>Пена монтажная, всесезонняя 800мл</v>
      </c>
      <c r="C1646" s="1551" t="str">
        <f aca="false">'Смета Внутр'!C1646</f>
        <v>шт</v>
      </c>
      <c r="D1646" s="1551" t="n">
        <f aca="false">'Смета Внутр'!D1646</f>
        <v>1</v>
      </c>
      <c r="F1646" s="1551" t="n">
        <f aca="false">'Смета Внутр'!E1646</f>
        <v>300</v>
      </c>
      <c r="G1646" s="1551" t="n">
        <f aca="false">'Смета Внутр'!H1646</f>
        <v>0</v>
      </c>
      <c r="I1646" s="3179" t="n">
        <f aca="false">IF(F1646&lt;H1646,F1646*(D1646-E1646),0)+IF(H1646=0,(D1646-E1646)*F1646,0)+IF(H1646&lt;F1646,H1646*(D1646-E1646),0)</f>
        <v>300</v>
      </c>
      <c r="J1646" s="3179" t="n">
        <f aca="false">G1646-I1646</f>
        <v>-300</v>
      </c>
    </row>
    <row r="1647" customFormat="false" ht="15" hidden="false" customHeight="true" outlineLevel="0" collapsed="false">
      <c r="B1647" s="1551" t="str">
        <f aca="false">'Смета Внутр'!B1647</f>
        <v>Французские окна</v>
      </c>
      <c r="C1647" s="1551" t="str">
        <f aca="false">'Смета Внутр'!C1647</f>
        <v>м2</v>
      </c>
      <c r="D1647" s="1551" t="n">
        <f aca="false">'Смета Внутр'!D1647</f>
        <v>0</v>
      </c>
      <c r="F1647" s="1551" t="n">
        <f aca="false">'Смета Внутр'!E1647</f>
        <v>6000</v>
      </c>
      <c r="G1647" s="1551" t="n">
        <f aca="false">'Смета Внутр'!H1647</f>
        <v>0</v>
      </c>
      <c r="I1647" s="3179" t="n">
        <f aca="false">IF(F1647&lt;H1647,F1647*(D1647-E1647),0)+IF(H1647=0,(D1647-E1647)*F1647,0)+IF(H1647&lt;F1647,H1647*(D1647-E1647),0)</f>
        <v>0</v>
      </c>
      <c r="J1647" s="3179" t="n">
        <f aca="false">G1647-I1647</f>
        <v>0</v>
      </c>
    </row>
    <row r="1648" customFormat="false" ht="15" hidden="false" customHeight="true" outlineLevel="0" collapsed="false">
      <c r="B1648" s="1551" t="str">
        <f aca="false">'Смета Внутр'!B1648</f>
        <v>анкерный болт для крепления окно фр</v>
      </c>
      <c r="C1648" s="1551" t="str">
        <f aca="false">'Смета Внутр'!C1648</f>
        <v>шт</v>
      </c>
      <c r="D1648" s="1551" t="n">
        <f aca="false">'Смета Внутр'!D1648</f>
        <v>0</v>
      </c>
      <c r="F1648" s="1551" t="n">
        <f aca="false">'Смета Внутр'!E1648</f>
        <v>20</v>
      </c>
      <c r="G1648" s="1551" t="n">
        <f aca="false">'Смета Внутр'!H1648</f>
        <v>0</v>
      </c>
      <c r="I1648" s="3179" t="n">
        <f aca="false">IF(F1648&lt;H1648,F1648*(D1648-E1648),0)+IF(H1648=0,(D1648-E1648)*F1648,0)+IF(H1648&lt;F1648,H1648*(D1648-E1648),0)</f>
        <v>0</v>
      </c>
      <c r="J1648" s="3179" t="n">
        <f aca="false">G1648-I1648</f>
        <v>0</v>
      </c>
    </row>
    <row r="1649" customFormat="false" ht="15" hidden="false" customHeight="true" outlineLevel="0" collapsed="false">
      <c r="B1649" s="1551" t="str">
        <f aca="false">'Смета Внутр'!B1649</f>
        <v>Пена монтажная, всесезонняя 800мл</v>
      </c>
      <c r="C1649" s="1551" t="str">
        <f aca="false">'Смета Внутр'!C1649</f>
        <v>шт</v>
      </c>
      <c r="D1649" s="1551" t="n">
        <f aca="false">'Смета Внутр'!D1649</f>
        <v>0</v>
      </c>
      <c r="F1649" s="1551" t="n">
        <f aca="false">'Смета Внутр'!E1649</f>
        <v>300</v>
      </c>
      <c r="G1649" s="1551" t="n">
        <f aca="false">'Смета Внутр'!H1649</f>
        <v>0</v>
      </c>
      <c r="I1649" s="3179" t="n">
        <f aca="false">IF(F1649&lt;H1649,F1649*(D1649-E1649),0)+IF(H1649=0,(D1649-E1649)*F1649,0)+IF(H1649&lt;F1649,H1649*(D1649-E1649),0)</f>
        <v>0</v>
      </c>
      <c r="J1649" s="3179" t="n">
        <f aca="false">G1649-I1649</f>
        <v>0</v>
      </c>
    </row>
    <row r="1650" customFormat="false" ht="15" hidden="false" customHeight="true" outlineLevel="0" collapsed="false">
      <c r="B1650" s="1551" t="str">
        <f aca="false">'Смета Внутр'!B1650</f>
        <v>пластины для крепления</v>
      </c>
      <c r="C1650" s="1551" t="str">
        <f aca="false">'Смета Внутр'!C1650</f>
        <v>шт</v>
      </c>
      <c r="D1650" s="1551" t="n">
        <f aca="false">'Смета Внутр'!D1650</f>
        <v>0</v>
      </c>
      <c r="F1650" s="1551" t="n">
        <f aca="false">'Смета Внутр'!E1650</f>
        <v>25</v>
      </c>
      <c r="G1650" s="1551" t="n">
        <f aca="false">'Смета Внутр'!H1650</f>
        <v>0</v>
      </c>
      <c r="I1650" s="3179" t="n">
        <f aca="false">IF(F1650&lt;H1650,F1650*(D1650-E1650),0)+IF(H1650=0,(D1650-E1650)*F1650,0)+IF(H1650&lt;F1650,H1650*(D1650-E1650),0)</f>
        <v>0</v>
      </c>
      <c r="J1650" s="3179" t="n">
        <f aca="false">G1650-I1650</f>
        <v>0</v>
      </c>
    </row>
    <row r="1651" customFormat="false" ht="15" hidden="false" customHeight="true" outlineLevel="0" collapsed="false">
      <c r="B1651" s="1551" t="str">
        <f aca="false">'Смета Внутр'!B1651</f>
        <v>Двери входные</v>
      </c>
      <c r="C1651" s="1551" t="str">
        <f aca="false">'Смета Внутр'!C1651</f>
        <v>шт</v>
      </c>
      <c r="D1651" s="1551" t="n">
        <f aca="false">'Смета Внутр'!D1651</f>
        <v>1</v>
      </c>
      <c r="F1651" s="1551" t="n">
        <f aca="false">'Смета Внутр'!E1651</f>
        <v>12000</v>
      </c>
      <c r="G1651" s="1551" t="n">
        <f aca="false">'Смета Внутр'!H1651</f>
        <v>0</v>
      </c>
      <c r="I1651" s="3179" t="n">
        <f aca="false">IF(F1651&lt;H1651,F1651*(D1651-E1651),0)+IF(H1651=0,(D1651-E1651)*F1651,0)+IF(H1651&lt;F1651,H1651*(D1651-E1651),0)</f>
        <v>12000</v>
      </c>
      <c r="J1651" s="3179" t="n">
        <f aca="false">G1651-I1651</f>
        <v>-12000</v>
      </c>
    </row>
    <row r="1652" customFormat="false" ht="15" hidden="false" customHeight="true" outlineLevel="0" collapsed="false">
      <c r="B1652" s="1551" t="str">
        <f aca="false">'Смета Внутр'!B1652</f>
        <v>Анкер болт, 12*200</v>
      </c>
      <c r="C1652" s="1551" t="str">
        <f aca="false">'Смета Внутр'!C1652</f>
        <v>шт</v>
      </c>
      <c r="D1652" s="1551" t="n">
        <f aca="false">'Смета Внутр'!D1652</f>
        <v>6</v>
      </c>
      <c r="F1652" s="1551" t="n">
        <f aca="false">'Смета Внутр'!E1652</f>
        <v>0</v>
      </c>
      <c r="G1652" s="1551" t="n">
        <f aca="false">'Смета Внутр'!H1652</f>
        <v>0</v>
      </c>
      <c r="I1652" s="3179" t="n">
        <f aca="false">IF(F1652&lt;H1652,F1652*(D1652-E1652),0)+IF(H1652=0,(D1652-E1652)*F1652,0)+IF(H1652&lt;F1652,H1652*(D1652-E1652),0)</f>
        <v>0</v>
      </c>
      <c r="J1652" s="3179" t="n">
        <f aca="false">G1652-I1652</f>
        <v>0</v>
      </c>
    </row>
    <row r="1653" customFormat="false" ht="15" hidden="false" customHeight="true" outlineLevel="0" collapsed="false">
      <c r="B1653" s="1551" t="str">
        <f aca="false">'Смета Внутр'!B1653</f>
        <v>Пена монтажная</v>
      </c>
      <c r="C1653" s="1551" t="str">
        <f aca="false">'Смета Внутр'!C1653</f>
        <v>шт</v>
      </c>
      <c r="D1653" s="1551" t="n">
        <f aca="false">'Смета Внутр'!D1653</f>
        <v>1</v>
      </c>
      <c r="F1653" s="1551" t="n">
        <f aca="false">'Смета Внутр'!E1653</f>
        <v>0</v>
      </c>
      <c r="G1653" s="1551" t="n">
        <f aca="false">'Смета Внутр'!H1653</f>
        <v>0</v>
      </c>
      <c r="I1653" s="3179" t="n">
        <f aca="false">IF(F1653&lt;H1653,F1653*(D1653-E1653),0)+IF(H1653=0,(D1653-E1653)*F1653,0)+IF(H1653&lt;F1653,H1653*(D1653-E1653),0)</f>
        <v>0</v>
      </c>
      <c r="J1653" s="3179" t="n">
        <f aca="false">G1653-I1653</f>
        <v>0</v>
      </c>
    </row>
    <row r="1654" customFormat="false" ht="15" hidden="false" customHeight="true" outlineLevel="0" collapsed="false">
      <c r="B1654" s="1692" t="s">
        <v>4332</v>
      </c>
      <c r="C1654" s="1692"/>
      <c r="D1654" s="1692"/>
      <c r="E1654" s="1692"/>
      <c r="F1654" s="1692"/>
      <c r="G1654" s="1551" t="n">
        <f aca="false">'Смета Внутр'!H1654</f>
        <v>0</v>
      </c>
      <c r="H1654" s="3184"/>
      <c r="I1654" s="3179" t="n">
        <f aca="false">IF(F1654&lt;H1654,F1654*(D1654-E1654),0)+IF(H1654=0,(D1654-E1654)*F1654,0)+IF(H1654&lt;F1654,H1654*(D1654-E1654),0)</f>
        <v>0</v>
      </c>
      <c r="J1654" s="3179" t="n">
        <f aca="false">G1654-I1654</f>
        <v>0</v>
      </c>
    </row>
    <row r="1655" customFormat="false" ht="15" hidden="false" customHeight="true" outlineLevel="0" collapsed="false">
      <c r="B1655" s="1268" t="str">
        <f aca="false">'Смета Внутр'!B1655</f>
        <v>Работы</v>
      </c>
      <c r="C1655" s="1268"/>
      <c r="D1655" s="1268"/>
      <c r="E1655" s="1268"/>
      <c r="F1655" s="1268"/>
      <c r="G1655" s="1551" t="n">
        <f aca="false">'Смета Внутр'!H1655</f>
        <v>0</v>
      </c>
      <c r="H1655" s="3175"/>
      <c r="I1655" s="3179" t="n">
        <f aca="false">IF(F1655&lt;H1655,F1655*(D1655-E1655),0)+IF(H1655=0,(D1655-E1655)*F1655,0)+IF(H1655&lt;F1655,H1655*(D1655-E1655),0)</f>
        <v>0</v>
      </c>
      <c r="J1655" s="3179" t="n">
        <f aca="false">G1655-I1655</f>
        <v>0</v>
      </c>
    </row>
    <row r="1656" customFormat="false" ht="15" hidden="false" customHeight="true" outlineLevel="0" collapsed="false">
      <c r="B1656" s="1551" t="str">
        <f aca="false">'Смета Внутр'!B1656</f>
        <v>монтаж окон</v>
      </c>
      <c r="C1656" s="1551" t="str">
        <f aca="false">'Смета Внутр'!C1656</f>
        <v>шт</v>
      </c>
      <c r="D1656" s="1551" t="n">
        <f aca="false">'Смета Внутр'!D1656</f>
        <v>1</v>
      </c>
      <c r="F1656" s="1551" t="n">
        <f aca="false">'Смета Внутр'!E1656</f>
        <v>1000</v>
      </c>
      <c r="G1656" s="1551" t="n">
        <f aca="false">'Смета Внутр'!H1656</f>
        <v>0</v>
      </c>
      <c r="I1656" s="3179" t="n">
        <f aca="false">IF(F1656&lt;H1656,F1656*(D1656-E1656),0)+IF(H1656=0,(D1656-E1656)*F1656,0)+IF(H1656&lt;F1656,H1656*(D1656-E1656),0)</f>
        <v>1000</v>
      </c>
      <c r="J1656" s="3179" t="n">
        <f aca="false">G1656-I1656</f>
        <v>-1000</v>
      </c>
    </row>
    <row r="1657" customFormat="false" ht="15" hidden="false" customHeight="true" outlineLevel="0" collapsed="false">
      <c r="B1657" s="1551" t="str">
        <f aca="false">'Смета Внутр'!B1657</f>
        <v>монтаж подоконника</v>
      </c>
      <c r="C1657" s="1551" t="str">
        <f aca="false">'Смета Внутр'!C1657</f>
        <v>шт</v>
      </c>
      <c r="D1657" s="1551" t="n">
        <f aca="false">'Смета Внутр'!D1657</f>
        <v>1</v>
      </c>
      <c r="F1657" s="1551" t="n">
        <f aca="false">'Смета Внутр'!E1657</f>
        <v>400</v>
      </c>
      <c r="G1657" s="1551" t="n">
        <f aca="false">'Смета Внутр'!H1657</f>
        <v>0</v>
      </c>
      <c r="I1657" s="3179" t="n">
        <f aca="false">IF(F1657&lt;H1657,F1657*(D1657-E1657),0)+IF(H1657=0,(D1657-E1657)*F1657,0)+IF(H1657&lt;F1657,H1657*(D1657-E1657),0)</f>
        <v>400</v>
      </c>
      <c r="J1657" s="3179" t="n">
        <f aca="false">G1657-I1657</f>
        <v>-400</v>
      </c>
    </row>
    <row r="1658" customFormat="false" ht="15" hidden="false" customHeight="true" outlineLevel="0" collapsed="false">
      <c r="B1658" s="1551" t="str">
        <f aca="false">'Смета Внутр'!B1658</f>
        <v>монтаж откосов вн</v>
      </c>
      <c r="C1658" s="1551" t="str">
        <f aca="false">'Смета Внутр'!C1658</f>
        <v>шт</v>
      </c>
      <c r="D1658" s="1551" t="n">
        <f aca="false">'Смета Внутр'!D1658</f>
        <v>3.4</v>
      </c>
      <c r="F1658" s="1551" t="n">
        <f aca="false">'Смета Внутр'!E1658</f>
        <v>150</v>
      </c>
      <c r="G1658" s="1551" t="n">
        <f aca="false">'Смета Внутр'!H1658</f>
        <v>0</v>
      </c>
      <c r="I1658" s="3179" t="n">
        <f aca="false">IF(F1658&lt;H1658,F1658*(D1658-E1658),0)+IF(H1658=0,(D1658-E1658)*F1658,0)+IF(H1658&lt;F1658,H1658*(D1658-E1658),0)</f>
        <v>510</v>
      </c>
      <c r="J1658" s="3179" t="n">
        <f aca="false">G1658-I1658</f>
        <v>-510</v>
      </c>
    </row>
    <row r="1659" customFormat="false" ht="15" hidden="false" customHeight="true" outlineLevel="0" collapsed="false">
      <c r="B1659" s="1551" t="str">
        <f aca="false">'Смета Внутр'!B1659</f>
        <v>монтаж направл вн</v>
      </c>
      <c r="C1659" s="1551" t="str">
        <f aca="false">'Смета Внутр'!C1659</f>
        <v>шт</v>
      </c>
      <c r="D1659" s="1551" t="n">
        <f aca="false">'Смета Внутр'!D1659</f>
        <v>3.4</v>
      </c>
      <c r="F1659" s="1551" t="n">
        <f aca="false">'Смета Внутр'!E1659</f>
        <v>50</v>
      </c>
      <c r="G1659" s="1551" t="n">
        <f aca="false">'Смета Внутр'!H1659</f>
        <v>0</v>
      </c>
      <c r="I1659" s="3179" t="n">
        <f aca="false">IF(F1659&lt;H1659,F1659*(D1659-E1659),0)+IF(H1659=0,(D1659-E1659)*F1659,0)+IF(H1659&lt;F1659,H1659*(D1659-E1659),0)</f>
        <v>170</v>
      </c>
      <c r="J1659" s="3179" t="n">
        <f aca="false">G1659-I1659</f>
        <v>-170</v>
      </c>
    </row>
    <row r="1660" customFormat="false" ht="15" hidden="false" customHeight="true" outlineLevel="0" collapsed="false">
      <c r="B1660" s="1551" t="str">
        <f aca="false">'Смета Внутр'!B1660</f>
        <v>монтаж уголков вн</v>
      </c>
      <c r="C1660" s="1551" t="str">
        <f aca="false">'Смета Внутр'!C1660</f>
        <v>шт</v>
      </c>
      <c r="D1660" s="1551" t="n">
        <f aca="false">'Смета Внутр'!D1660</f>
        <v>3.4</v>
      </c>
      <c r="F1660" s="1551" t="n">
        <f aca="false">'Смета Внутр'!E1660</f>
        <v>50</v>
      </c>
      <c r="G1660" s="1551" t="n">
        <f aca="false">'Смета Внутр'!H1660</f>
        <v>0</v>
      </c>
      <c r="I1660" s="3179" t="n">
        <f aca="false">IF(F1660&lt;H1660,F1660*(D1660-E1660),0)+IF(H1660=0,(D1660-E1660)*F1660,0)+IF(H1660&lt;F1660,H1660*(D1660-E1660),0)</f>
        <v>170</v>
      </c>
      <c r="J1660" s="3179" t="n">
        <f aca="false">G1660-I1660</f>
        <v>-170</v>
      </c>
    </row>
    <row r="1661" customFormat="false" ht="15" hidden="false" customHeight="true" outlineLevel="0" collapsed="false">
      <c r="B1661" s="1551" t="str">
        <f aca="false">'Смета Внутр'!B1661</f>
        <v>монтаж отлива</v>
      </c>
      <c r="C1661" s="1551" t="str">
        <f aca="false">'Смета Внутр'!C1661</f>
        <v>шт</v>
      </c>
      <c r="D1661" s="1551" t="n">
        <f aca="false">'Смета Внутр'!D1661</f>
        <v>0</v>
      </c>
      <c r="F1661" s="1551" t="n">
        <f aca="false">'Смета Внутр'!E1661</f>
        <v>150</v>
      </c>
      <c r="G1661" s="1551" t="n">
        <f aca="false">'Смета Внутр'!H1661</f>
        <v>0</v>
      </c>
      <c r="I1661" s="3179" t="n">
        <f aca="false">IF(F1661&lt;H1661,F1661*(D1661-E1661),0)+IF(H1661=0,(D1661-E1661)*F1661,0)+IF(H1661&lt;F1661,H1661*(D1661-E1661),0)</f>
        <v>0</v>
      </c>
      <c r="J1661" s="3179" t="n">
        <f aca="false">G1661-I1661</f>
        <v>0</v>
      </c>
    </row>
    <row r="1662" customFormat="false" ht="15" hidden="false" customHeight="true" outlineLevel="0" collapsed="false">
      <c r="B1662" s="1551" t="str">
        <f aca="false">'Смета Внутр'!B1662</f>
        <v>монтаж откосов</v>
      </c>
      <c r="C1662" s="1551" t="str">
        <f aca="false">'Смета Внутр'!C1662</f>
        <v>шт</v>
      </c>
      <c r="D1662" s="1551" t="n">
        <f aca="false">'Смета Внутр'!D1662</f>
        <v>0</v>
      </c>
      <c r="F1662" s="1551" t="n">
        <f aca="false">'Смета Внутр'!E1662</f>
        <v>250</v>
      </c>
      <c r="G1662" s="1551" t="n">
        <f aca="false">'Смета Внутр'!H1662</f>
        <v>0</v>
      </c>
      <c r="I1662" s="3179" t="n">
        <f aca="false">IF(F1662&lt;H1662,F1662*(D1662-E1662),0)+IF(H1662=0,(D1662-E1662)*F1662,0)+IF(H1662&lt;F1662,H1662*(D1662-E1662),0)</f>
        <v>0</v>
      </c>
      <c r="J1662" s="3179" t="n">
        <f aca="false">G1662-I1662</f>
        <v>0</v>
      </c>
    </row>
    <row r="1663" customFormat="false" ht="15" hidden="false" customHeight="true" outlineLevel="0" collapsed="false">
      <c r="B1663" s="1551" t="str">
        <f aca="false">'Смета Внутр'!B1663</f>
        <v>монтаж направляющ</v>
      </c>
      <c r="C1663" s="1551" t="str">
        <f aca="false">'Смета Внутр'!C1663</f>
        <v>шт</v>
      </c>
      <c r="D1663" s="1551" t="n">
        <f aca="false">'Смета Внутр'!D1663</f>
        <v>0</v>
      </c>
      <c r="F1663" s="1551" t="n">
        <f aca="false">'Смета Внутр'!E1663</f>
        <v>50</v>
      </c>
      <c r="G1663" s="1551" t="n">
        <f aca="false">'Смета Внутр'!H1663</f>
        <v>0</v>
      </c>
      <c r="I1663" s="3179" t="n">
        <f aca="false">IF(F1663&lt;H1663,F1663*(D1663-E1663),0)+IF(H1663=0,(D1663-E1663)*F1663,0)+IF(H1663&lt;F1663,H1663*(D1663-E1663),0)</f>
        <v>0</v>
      </c>
      <c r="J1663" s="3179" t="n">
        <f aca="false">G1663-I1663</f>
        <v>0</v>
      </c>
    </row>
    <row r="1664" customFormat="false" ht="15" hidden="false" customHeight="true" outlineLevel="0" collapsed="false">
      <c r="B1664" s="1551" t="str">
        <f aca="false">'Смета Внутр'!B1664</f>
        <v>монтаж уголков</v>
      </c>
      <c r="C1664" s="1551" t="str">
        <f aca="false">'Смета Внутр'!C1664</f>
        <v>шт</v>
      </c>
      <c r="D1664" s="1551" t="n">
        <f aca="false">'Смета Внутр'!D1664</f>
        <v>0</v>
      </c>
      <c r="F1664" s="1551" t="n">
        <f aca="false">'Смета Внутр'!E1664</f>
        <v>50</v>
      </c>
      <c r="G1664" s="1551" t="n">
        <f aca="false">'Смета Внутр'!H1664</f>
        <v>0</v>
      </c>
      <c r="I1664" s="3179" t="n">
        <f aca="false">IF(F1664&lt;H1664,F1664*(D1664-E1664),0)+IF(H1664=0,(D1664-E1664)*F1664,0)+IF(H1664&lt;F1664,H1664*(D1664-E1664),0)</f>
        <v>0</v>
      </c>
      <c r="J1664" s="3179" t="n">
        <f aca="false">G1664-I1664</f>
        <v>0</v>
      </c>
    </row>
    <row r="1665" customFormat="false" ht="15" hidden="false" customHeight="true" outlineLevel="0" collapsed="false">
      <c r="B1665" s="1551" t="str">
        <f aca="false">'Смета Внутр'!B1665</f>
        <v>монтаж ветроизоляции</v>
      </c>
      <c r="C1665" s="1551" t="str">
        <f aca="false">'Смета Внутр'!C1665</f>
        <v>м.п.</v>
      </c>
      <c r="D1665" s="1551" t="n">
        <f aca="false">'Смета Внутр'!D1665</f>
        <v>0</v>
      </c>
      <c r="F1665" s="1551" t="n">
        <f aca="false">'Смета Внутр'!E1665</f>
        <v>50</v>
      </c>
      <c r="G1665" s="1551" t="n">
        <f aca="false">'Смета Внутр'!H1665</f>
        <v>0</v>
      </c>
      <c r="I1665" s="3179" t="n">
        <f aca="false">IF(F1665&lt;H1665,F1665*(D1665-E1665),0)+IF(H1665=0,(D1665-E1665)*F1665,0)+IF(H1665&lt;F1665,H1665*(D1665-E1665),0)</f>
        <v>0</v>
      </c>
      <c r="J1665" s="3179" t="n">
        <f aca="false">G1665-I1665</f>
        <v>0</v>
      </c>
    </row>
    <row r="1666" customFormat="false" ht="15" hidden="false" customHeight="true" outlineLevel="0" collapsed="false">
      <c r="B1666" s="1551" t="str">
        <f aca="false">'Смета Внутр'!B1666</f>
        <v>монтаж пароизоляции</v>
      </c>
      <c r="C1666" s="1551" t="str">
        <f aca="false">'Смета Внутр'!C1666</f>
        <v>м.п.</v>
      </c>
      <c r="D1666" s="1551" t="n">
        <f aca="false">'Смета Внутр'!D1666</f>
        <v>3.4</v>
      </c>
      <c r="F1666" s="1551" t="n">
        <f aca="false">'Смета Внутр'!E1666</f>
        <v>50</v>
      </c>
      <c r="G1666" s="1551" t="n">
        <f aca="false">'Смета Внутр'!H1666</f>
        <v>0</v>
      </c>
      <c r="I1666" s="3179" t="n">
        <f aca="false">IF(F1666&lt;H1666,F1666*(D1666-E1666),0)+IF(H1666=0,(D1666-E1666)*F1666,0)+IF(H1666&lt;F1666,H1666*(D1666-E1666),0)</f>
        <v>170</v>
      </c>
      <c r="J1666" s="3179" t="n">
        <f aca="false">G1666-I1666</f>
        <v>-170</v>
      </c>
    </row>
    <row r="1667" customFormat="false" ht="15" hidden="false" customHeight="true" outlineLevel="0" collapsed="false">
      <c r="B1667" s="1551" t="str">
        <f aca="false">'Смета Внутр'!B1667</f>
        <v>Двери входные</v>
      </c>
      <c r="C1667" s="1551" t="str">
        <f aca="false">'Смета Внутр'!C1667</f>
        <v>шт</v>
      </c>
      <c r="D1667" s="1551" t="n">
        <f aca="false">'Смета Внутр'!D1667</f>
        <v>1</v>
      </c>
      <c r="F1667" s="1551" t="n">
        <f aca="false">'Смета Внутр'!E1667</f>
        <v>2000</v>
      </c>
      <c r="G1667" s="1551" t="n">
        <f aca="false">'Смета Внутр'!H1667</f>
        <v>0</v>
      </c>
      <c r="I1667" s="3179" t="n">
        <f aca="false">IF(F1667&lt;H1667,F1667*(D1667-E1667),0)+IF(H1667=0,(D1667-E1667)*F1667,0)+IF(H1667&lt;F1667,H1667*(D1667-E1667),0)</f>
        <v>2000</v>
      </c>
      <c r="J1667" s="3179" t="n">
        <f aca="false">G1667-I1667</f>
        <v>-2000</v>
      </c>
    </row>
    <row r="1668" customFormat="false" ht="15" hidden="false" customHeight="true" outlineLevel="0" collapsed="false">
      <c r="B1668" s="1551" t="str">
        <f aca="false">'Смета Внутр'!B1668</f>
        <v>монтаж франццзских окон</v>
      </c>
      <c r="C1668" s="1551" t="str">
        <f aca="false">'Смета Внутр'!C1668</f>
        <v>шт</v>
      </c>
      <c r="D1668" s="1551" t="n">
        <f aca="false">'Смета Внутр'!D1668</f>
        <v>0</v>
      </c>
      <c r="F1668" s="1551" t="n">
        <f aca="false">'Смета Внутр'!E1668</f>
        <v>4500</v>
      </c>
      <c r="G1668" s="1551" t="n">
        <f aca="false">'Смета Внутр'!H1668</f>
        <v>0</v>
      </c>
      <c r="I1668" s="3179" t="n">
        <f aca="false">IF(F1668&lt;H1668,F1668*(D1668-E1668),0)+IF(H1668=0,(D1668-E1668)*F1668,0)+IF(H1668&lt;F1668,H1668*(D1668-E1668),0)</f>
        <v>0</v>
      </c>
      <c r="J1668" s="3179" t="n">
        <f aca="false">G1668-I1668</f>
        <v>0</v>
      </c>
    </row>
    <row r="1669" customFormat="false" ht="15" hidden="false" customHeight="false" outlineLevel="0" collapsed="false">
      <c r="B1669" s="1692" t="s">
        <v>4333</v>
      </c>
      <c r="C1669" s="1692"/>
      <c r="D1669" s="1692"/>
      <c r="E1669" s="1692"/>
      <c r="F1669" s="1692"/>
      <c r="G1669" s="1551" t="n">
        <f aca="false">'Смета Внутр'!H1669</f>
        <v>0</v>
      </c>
      <c r="H1669" s="1584"/>
      <c r="I1669" s="3179" t="n">
        <f aca="false">IF(F1669&lt;H1669,F1669*(D1669-E1669),0)+IF(H1669=0,(D1669-E1669)*F1669,0)+IF(H1669&lt;F1669,H1669*(D1669-E1669),0)</f>
        <v>0</v>
      </c>
      <c r="J1669" s="3179" t="n">
        <f aca="false">G1669-I1669</f>
        <v>0</v>
      </c>
    </row>
    <row r="1670" customFormat="false" ht="15" hidden="false" customHeight="true" outlineLevel="0" collapsed="false">
      <c r="B1670" s="1551" t="str">
        <f aca="false">'Смета Внутр'!B1670</f>
        <v>Лестница двухмаршевая</v>
      </c>
      <c r="C1670" s="1551" t="n">
        <f aca="false">'Смета Внутр'!C1670</f>
        <v>0</v>
      </c>
      <c r="D1670" s="1551" t="n">
        <f aca="false">'Смета Внутр'!D1670</f>
        <v>0</v>
      </c>
      <c r="F1670" s="1551" t="n">
        <f aca="false">'Смета Внутр'!E1670</f>
        <v>0</v>
      </c>
      <c r="G1670" s="1551" t="n">
        <f aca="false">'Смета Внутр'!H1670</f>
        <v>0</v>
      </c>
      <c r="I1670" s="3179" t="n">
        <f aca="false">IF(F1670&lt;H1670,F1670*(D1670-E1670),0)+IF(H1670=0,(D1670-E1670)*F1670,0)+IF(H1670&lt;F1670,H1670*(D1670-E1670),0)</f>
        <v>0</v>
      </c>
      <c r="J1670" s="3179" t="n">
        <f aca="false">G1670-I1670</f>
        <v>0</v>
      </c>
    </row>
    <row r="1671" customFormat="false" ht="15" hidden="false" customHeight="true" outlineLevel="0" collapsed="false">
      <c r="B1671" s="1268" t="str">
        <f aca="false">'Смета Внутр'!B1671</f>
        <v>Материалы</v>
      </c>
      <c r="C1671" s="1268"/>
      <c r="D1671" s="1268"/>
      <c r="E1671" s="1268"/>
      <c r="F1671" s="1268"/>
      <c r="G1671" s="1551" t="n">
        <f aca="false">'Смета Внутр'!H1671</f>
        <v>0</v>
      </c>
      <c r="H1671" s="3175"/>
      <c r="I1671" s="3179" t="n">
        <f aca="false">IF(F1671&lt;H1671,F1671*(D1671-E1671),0)+IF(H1671=0,(D1671-E1671)*F1671,0)+IF(H1671&lt;F1671,H1671*(D1671-E1671),0)</f>
        <v>0</v>
      </c>
      <c r="J1671" s="3179" t="n">
        <f aca="false">G1671-I1671</f>
        <v>0</v>
      </c>
    </row>
    <row r="1672" customFormat="false" ht="15" hidden="false" customHeight="true" outlineLevel="0" collapsed="false">
      <c r="B1672" s="1551" t="str">
        <f aca="false">'Смета Внутр'!B1672</f>
        <v>ступени хвоя</v>
      </c>
      <c r="C1672" s="1551" t="str">
        <f aca="false">'Смета Внутр'!C1672</f>
        <v>шт</v>
      </c>
      <c r="D1672" s="1551" t="n">
        <f aca="false">'Смета Внутр'!D1672</f>
        <v>18</v>
      </c>
      <c r="F1672" s="1551" t="n">
        <f aca="false">'Смета Внутр'!E1672</f>
        <v>400</v>
      </c>
      <c r="G1672" s="1551" t="n">
        <f aca="false">'Смета Внутр'!H1672</f>
        <v>0</v>
      </c>
      <c r="I1672" s="3179" t="n">
        <f aca="false">IF(F1672&lt;H1672,F1672*(D1672-E1672),0)+IF(H1672=0,(D1672-E1672)*F1672,0)+IF(H1672&lt;F1672,H1672*(D1672-E1672),0)</f>
        <v>7200</v>
      </c>
      <c r="J1672" s="3179" t="n">
        <f aca="false">G1672-I1672</f>
        <v>-7200</v>
      </c>
    </row>
    <row r="1673" customFormat="false" ht="15" hidden="false" customHeight="true" outlineLevel="0" collapsed="false">
      <c r="B1673" s="1551" t="str">
        <f aca="false">'Смета Внутр'!B1673</f>
        <v>площадка хвоя</v>
      </c>
      <c r="C1673" s="1551" t="str">
        <f aca="false">'Смета Внутр'!C1673</f>
        <v>шт</v>
      </c>
      <c r="D1673" s="1551" t="n">
        <f aca="false">'Смета Внутр'!D1673</f>
        <v>1</v>
      </c>
      <c r="F1673" s="1551" t="n">
        <f aca="false">'Смета Внутр'!E1673</f>
        <v>2000</v>
      </c>
      <c r="G1673" s="1551" t="n">
        <f aca="false">'Смета Внутр'!H1673</f>
        <v>0</v>
      </c>
      <c r="I1673" s="3179" t="n">
        <f aca="false">IF(F1673&lt;H1673,F1673*(D1673-E1673),0)+IF(H1673=0,(D1673-E1673)*F1673,0)+IF(H1673&lt;F1673,H1673*(D1673-E1673),0)</f>
        <v>2000</v>
      </c>
      <c r="J1673" s="3179" t="n">
        <f aca="false">G1673-I1673</f>
        <v>-2000</v>
      </c>
    </row>
    <row r="1674" customFormat="false" ht="15" hidden="false" customHeight="true" outlineLevel="0" collapsed="false">
      <c r="B1674" s="1551" t="str">
        <f aca="false">'Смета Внутр'!B1674</f>
        <v>столб под площадку, 2м</v>
      </c>
      <c r="C1674" s="1551" t="str">
        <f aca="false">'Смета Внутр'!C1674</f>
        <v>шт</v>
      </c>
      <c r="D1674" s="1551" t="n">
        <f aca="false">'Смета Внутр'!D1674</f>
        <v>4</v>
      </c>
      <c r="F1674" s="1551" t="n">
        <f aca="false">'Смета Внутр'!E1674</f>
        <v>1000</v>
      </c>
      <c r="G1674" s="1551" t="n">
        <f aca="false">'Смета Внутр'!H1674</f>
        <v>0</v>
      </c>
      <c r="I1674" s="3179" t="n">
        <f aca="false">IF(F1674&lt;H1674,F1674*(D1674-E1674),0)+IF(H1674=0,(D1674-E1674)*F1674,0)+IF(H1674&lt;F1674,H1674*(D1674-E1674),0)</f>
        <v>4000</v>
      </c>
      <c r="J1674" s="3179" t="n">
        <f aca="false">G1674-I1674</f>
        <v>-4000</v>
      </c>
    </row>
    <row r="1675" customFormat="false" ht="15" hidden="false" customHeight="true" outlineLevel="0" collapsed="false">
      <c r="B1675" s="1551" t="str">
        <f aca="false">'Смета Внутр'!B1675</f>
        <v>столб обвязка перил 1 и 2 этажа</v>
      </c>
      <c r="C1675" s="1551" t="str">
        <f aca="false">'Смета Внутр'!C1675</f>
        <v>шт</v>
      </c>
      <c r="D1675" s="1551" t="n">
        <f aca="false">'Смета Внутр'!D1675</f>
        <v>1</v>
      </c>
      <c r="F1675" s="1551" t="n">
        <f aca="false">'Смета Внутр'!E1675</f>
        <v>900</v>
      </c>
      <c r="G1675" s="1551" t="n">
        <f aca="false">'Смета Внутр'!H1675</f>
        <v>0</v>
      </c>
      <c r="I1675" s="3179" t="n">
        <f aca="false">IF(F1675&lt;H1675,F1675*(D1675-E1675),0)+IF(H1675=0,(D1675-E1675)*F1675,0)+IF(H1675&lt;F1675,H1675*(D1675-E1675),0)</f>
        <v>900</v>
      </c>
      <c r="J1675" s="3179" t="n">
        <f aca="false">G1675-I1675</f>
        <v>-900</v>
      </c>
    </row>
    <row r="1676" customFormat="false" ht="15" hidden="false" customHeight="true" outlineLevel="0" collapsed="false">
      <c r="B1676" s="1551" t="str">
        <f aca="false">'Смета Внутр'!B1676</f>
        <v>балясина 80*80, первая</v>
      </c>
      <c r="C1676" s="1551" t="str">
        <f aca="false">'Смета Внутр'!C1676</f>
        <v>шт</v>
      </c>
      <c r="D1676" s="1551" t="n">
        <f aca="false">'Смета Внутр'!D1676</f>
        <v>2</v>
      </c>
      <c r="F1676" s="1551" t="n">
        <f aca="false">'Смета Внутр'!E1676</f>
        <v>500</v>
      </c>
      <c r="G1676" s="1551" t="n">
        <f aca="false">'Смета Внутр'!H1676</f>
        <v>0</v>
      </c>
      <c r="I1676" s="3179" t="n">
        <f aca="false">IF(F1676&lt;H1676,F1676*(D1676-E1676),0)+IF(H1676=0,(D1676-E1676)*F1676,0)+IF(H1676&lt;F1676,H1676*(D1676-E1676),0)</f>
        <v>1000</v>
      </c>
      <c r="J1676" s="3179" t="n">
        <f aca="false">G1676-I1676</f>
        <v>-1000</v>
      </c>
    </row>
    <row r="1677" customFormat="false" ht="15" hidden="false" customHeight="true" outlineLevel="0" collapsed="false">
      <c r="B1677" s="1551" t="str">
        <f aca="false">'Смета Внутр'!B1677</f>
        <v>тетева, 3м.п.</v>
      </c>
      <c r="C1677" s="1551" t="str">
        <f aca="false">'Смета Внутр'!C1677</f>
        <v>шт</v>
      </c>
      <c r="D1677" s="1551" t="n">
        <f aca="false">'Смета Внутр'!D1677</f>
        <v>4</v>
      </c>
      <c r="F1677" s="1551" t="n">
        <f aca="false">'Смета Внутр'!E1677</f>
        <v>1500</v>
      </c>
      <c r="G1677" s="1551" t="n">
        <f aca="false">'Смета Внутр'!H1677</f>
        <v>0</v>
      </c>
      <c r="I1677" s="3179" t="n">
        <f aca="false">IF(F1677&lt;H1677,F1677*(D1677-E1677),0)+IF(H1677=0,(D1677-E1677)*F1677,0)+IF(H1677&lt;F1677,H1677*(D1677-E1677),0)</f>
        <v>6000</v>
      </c>
      <c r="J1677" s="3179" t="n">
        <f aca="false">G1677-I1677</f>
        <v>-6000</v>
      </c>
    </row>
    <row r="1678" customFormat="false" ht="15" hidden="false" customHeight="true" outlineLevel="0" collapsed="false">
      <c r="B1678" s="1551" t="str">
        <f aca="false">'Смета Внутр'!B1678</f>
        <v>крепления для ступеней, болт</v>
      </c>
      <c r="C1678" s="1551" t="str">
        <f aca="false">'Смета Внутр'!C1678</f>
        <v>шт</v>
      </c>
      <c r="D1678" s="1551" t="n">
        <f aca="false">'Смета Внутр'!D1678</f>
        <v>108</v>
      </c>
      <c r="F1678" s="1551" t="n">
        <f aca="false">'Смета Внутр'!E1678</f>
        <v>15</v>
      </c>
      <c r="G1678" s="1551" t="n">
        <f aca="false">'Смета Внутр'!H1678</f>
        <v>0</v>
      </c>
      <c r="I1678" s="3179" t="n">
        <f aca="false">IF(F1678&lt;H1678,F1678*(D1678-E1678),0)+IF(H1678=0,(D1678-E1678)*F1678,0)+IF(H1678&lt;F1678,H1678*(D1678-E1678),0)</f>
        <v>1620</v>
      </c>
      <c r="J1678" s="3179" t="n">
        <f aca="false">G1678-I1678</f>
        <v>-1620</v>
      </c>
    </row>
    <row r="1679" customFormat="false" ht="15" hidden="false" customHeight="true" outlineLevel="0" collapsed="false">
      <c r="B1679" s="1551" t="str">
        <f aca="false">'Смета Внутр'!B1679</f>
        <v>крепления для площадки</v>
      </c>
      <c r="C1679" s="1551" t="str">
        <f aca="false">'Смета Внутр'!C1679</f>
        <v>шт</v>
      </c>
      <c r="D1679" s="1551" t="n">
        <f aca="false">'Смета Внутр'!D1679</f>
        <v>8</v>
      </c>
      <c r="F1679" s="1551" t="n">
        <f aca="false">'Смета Внутр'!E1679</f>
        <v>20</v>
      </c>
      <c r="G1679" s="1551" t="n">
        <f aca="false">'Смета Внутр'!H1679</f>
        <v>0</v>
      </c>
      <c r="I1679" s="3179" t="n">
        <f aca="false">IF(F1679&lt;H1679,F1679*(D1679-E1679),0)+IF(H1679=0,(D1679-E1679)*F1679,0)+IF(H1679&lt;F1679,H1679*(D1679-E1679),0)</f>
        <v>160</v>
      </c>
      <c r="J1679" s="3179" t="n">
        <f aca="false">G1679-I1679</f>
        <v>-160</v>
      </c>
    </row>
    <row r="1680" customFormat="false" ht="15" hidden="false" customHeight="true" outlineLevel="0" collapsed="false">
      <c r="B1680" s="1551" t="str">
        <f aca="false">'Смета Внутр'!B1680</f>
        <v>поручни</v>
      </c>
      <c r="C1680" s="1551" t="str">
        <f aca="false">'Смета Внутр'!C1680</f>
        <v>шт</v>
      </c>
      <c r="D1680" s="1551" t="n">
        <f aca="false">'Смета Внутр'!D1680</f>
        <v>4</v>
      </c>
      <c r="F1680" s="1551" t="n">
        <f aca="false">'Смета Внутр'!E1680</f>
        <v>200</v>
      </c>
      <c r="G1680" s="1551" t="n">
        <f aca="false">'Смета Внутр'!H1680</f>
        <v>0</v>
      </c>
      <c r="I1680" s="3179" t="n">
        <f aca="false">IF(F1680&lt;H1680,F1680*(D1680-E1680),0)+IF(H1680=0,(D1680-E1680)*F1680,0)+IF(H1680&lt;F1680,H1680*(D1680-E1680),0)</f>
        <v>800</v>
      </c>
      <c r="J1680" s="3179" t="n">
        <f aca="false">G1680-I1680</f>
        <v>-800</v>
      </c>
    </row>
    <row r="1681" customFormat="false" ht="15" hidden="false" customHeight="true" outlineLevel="0" collapsed="false">
      <c r="B1681" s="1551" t="str">
        <f aca="false">'Смета Внутр'!B1681</f>
        <v>балясины</v>
      </c>
      <c r="C1681" s="1551" t="str">
        <f aca="false">'Смета Внутр'!C1681</f>
        <v>шт</v>
      </c>
      <c r="D1681" s="1551" t="n">
        <f aca="false">'Смета Внутр'!D1681</f>
        <v>25</v>
      </c>
      <c r="F1681" s="1551" t="n">
        <f aca="false">'Смета Внутр'!E1681</f>
        <v>100</v>
      </c>
      <c r="G1681" s="1551" t="n">
        <f aca="false">'Смета Внутр'!H1681</f>
        <v>0</v>
      </c>
      <c r="I1681" s="3179" t="n">
        <f aca="false">IF(F1681&lt;H1681,F1681*(D1681-E1681),0)+IF(H1681=0,(D1681-E1681)*F1681,0)+IF(H1681&lt;F1681,H1681*(D1681-E1681),0)</f>
        <v>2500</v>
      </c>
      <c r="J1681" s="3179" t="n">
        <f aca="false">G1681-I1681</f>
        <v>-2500</v>
      </c>
    </row>
    <row r="1682" customFormat="false" ht="15" hidden="false" customHeight="true" outlineLevel="0" collapsed="false">
      <c r="B1682" s="1692" t="s">
        <v>4332</v>
      </c>
      <c r="C1682" s="1692"/>
      <c r="D1682" s="1692"/>
      <c r="E1682" s="1692"/>
      <c r="F1682" s="1692"/>
      <c r="G1682" s="1551" t="n">
        <f aca="false">'Смета Внутр'!H1682</f>
        <v>0</v>
      </c>
      <c r="H1682" s="3184"/>
      <c r="I1682" s="3179" t="n">
        <f aca="false">IF(F1682&lt;H1682,F1682*(D1682-E1682),0)+IF(H1682=0,(D1682-E1682)*F1682,0)+IF(H1682&lt;F1682,H1682*(D1682-E1682),0)</f>
        <v>0</v>
      </c>
      <c r="J1682" s="3179" t="n">
        <f aca="false">G1682-I1682</f>
        <v>0</v>
      </c>
    </row>
    <row r="1683" customFormat="false" ht="15" hidden="false" customHeight="true" outlineLevel="0" collapsed="false">
      <c r="B1683" s="1268" t="str">
        <f aca="false">'Смета Внутр'!B1683</f>
        <v>Работы</v>
      </c>
      <c r="C1683" s="1268"/>
      <c r="D1683" s="1268"/>
      <c r="E1683" s="1268"/>
      <c r="F1683" s="1268"/>
      <c r="G1683" s="1551" t="n">
        <f aca="false">'Смета Внутр'!H1683</f>
        <v>0</v>
      </c>
      <c r="H1683" s="3175"/>
      <c r="I1683" s="3179" t="n">
        <f aca="false">IF(F1683&lt;H1683,F1683*(D1683-E1683),0)+IF(H1683=0,(D1683-E1683)*F1683,0)+IF(H1683&lt;F1683,H1683*(D1683-E1683),0)</f>
        <v>0</v>
      </c>
      <c r="J1683" s="3179" t="n">
        <f aca="false">G1683-I1683</f>
        <v>0</v>
      </c>
    </row>
    <row r="1684" customFormat="false" ht="15" hidden="false" customHeight="true" outlineLevel="0" collapsed="false">
      <c r="B1684" s="1551" t="str">
        <f aca="false">'Смета Внутр'!B1684</f>
        <v>сборка лестницы</v>
      </c>
      <c r="C1684" s="1551" t="str">
        <f aca="false">'Смета Внутр'!C1684</f>
        <v>шт</v>
      </c>
      <c r="D1684" s="1551" t="n">
        <f aca="false">'Смета Внутр'!D1684</f>
        <v>1</v>
      </c>
      <c r="F1684" s="1551" t="n">
        <f aca="false">'Смета Внутр'!E1684</f>
        <v>20000</v>
      </c>
      <c r="G1684" s="1551" t="n">
        <f aca="false">'Смета Внутр'!H1684</f>
        <v>0</v>
      </c>
      <c r="I1684" s="3179" t="n">
        <f aca="false">IF(F1684&lt;H1684,F1684*(D1684-E1684),0)+IF(H1684=0,(D1684-E1684)*F1684,0)+IF(H1684&lt;F1684,H1684*(D1684-E1684),0)</f>
        <v>20000</v>
      </c>
      <c r="J1684" s="3179" t="n">
        <f aca="false">G1684-I1684</f>
        <v>-20000</v>
      </c>
    </row>
    <row r="1685" customFormat="false" ht="15" hidden="false" customHeight="false" outlineLevel="0" collapsed="false">
      <c r="B1685" s="1692" t="s">
        <v>4333</v>
      </c>
      <c r="C1685" s="1692"/>
      <c r="D1685" s="1692"/>
      <c r="E1685" s="1692"/>
      <c r="F1685" s="1692"/>
      <c r="G1685" s="1551" t="n">
        <f aca="false">'Смета Внутр'!H1685</f>
        <v>0</v>
      </c>
      <c r="H1685" s="1584"/>
      <c r="I1685" s="3179" t="n">
        <f aca="false">IF(F1685&lt;H1685,F1685*(D1685-E1685),0)+IF(H1685=0,(D1685-E1685)*F1685,0)+IF(H1685&lt;F1685,H1685*(D1685-E1685),0)</f>
        <v>0</v>
      </c>
      <c r="J1685" s="3179" t="n">
        <f aca="false">G1685-I1685</f>
        <v>0</v>
      </c>
    </row>
    <row r="1686" customFormat="false" ht="15" hidden="false" customHeight="true" outlineLevel="0" collapsed="false">
      <c r="B1686" s="1551" t="str">
        <f aca="false">'Смета Внутр'!B1686</f>
        <v>Мансардные окна</v>
      </c>
      <c r="C1686" s="1551" t="n">
        <f aca="false">'Смета Внутр'!C1686</f>
        <v>0</v>
      </c>
      <c r="D1686" s="1551" t="n">
        <f aca="false">'Смета Внутр'!D1686</f>
        <v>0</v>
      </c>
      <c r="F1686" s="1551" t="n">
        <f aca="false">'Смета Внутр'!E1686</f>
        <v>0</v>
      </c>
      <c r="G1686" s="1551" t="n">
        <f aca="false">'Смета Внутр'!H1686</f>
        <v>0</v>
      </c>
      <c r="I1686" s="3179" t="n">
        <f aca="false">IF(F1686&lt;H1686,F1686*(D1686-E1686),0)+IF(H1686=0,(D1686-E1686)*F1686,0)+IF(H1686&lt;F1686,H1686*(D1686-E1686),0)</f>
        <v>0</v>
      </c>
      <c r="J1686" s="3179" t="n">
        <f aca="false">G1686-I1686</f>
        <v>0</v>
      </c>
    </row>
    <row r="1687" customFormat="false" ht="15" hidden="false" customHeight="true" outlineLevel="0" collapsed="false">
      <c r="B1687" s="1268" t="str">
        <f aca="false">'Смета Внутр'!B1687</f>
        <v>Материалы</v>
      </c>
      <c r="C1687" s="1268"/>
      <c r="D1687" s="1268"/>
      <c r="E1687" s="1268"/>
      <c r="F1687" s="1268"/>
      <c r="G1687" s="1551" t="n">
        <f aca="false">'Смета Внутр'!H1687</f>
        <v>0</v>
      </c>
      <c r="H1687" s="3175"/>
      <c r="I1687" s="3179" t="n">
        <f aca="false">IF(F1687&lt;H1687,F1687*(D1687-E1687),0)+IF(H1687=0,(D1687-E1687)*F1687,0)+IF(H1687&lt;F1687,H1687*(D1687-E1687),0)</f>
        <v>0</v>
      </c>
      <c r="J1687" s="3179" t="n">
        <f aca="false">G1687-I1687</f>
        <v>0</v>
      </c>
    </row>
    <row r="1688" customFormat="false" ht="15" hidden="false" customHeight="true" outlineLevel="0" collapsed="false">
      <c r="B1688" s="1551" t="str">
        <f aca="false">'Смета Внутр'!B1688</f>
        <v>MR10 78X160</v>
      </c>
      <c r="C1688" s="1551" t="str">
        <f aca="false">'Смета Внутр'!C1688</f>
        <v>шт</v>
      </c>
      <c r="D1688" s="1551" t="n">
        <f aca="false">'Смета Внутр'!D1688</f>
        <v>1</v>
      </c>
      <c r="F1688" s="1551" t="n">
        <f aca="false">'Смета Внутр'!E1688</f>
        <v>22353</v>
      </c>
      <c r="G1688" s="1551" t="n">
        <f aca="false">'Смета Внутр'!H1688</f>
        <v>0</v>
      </c>
      <c r="I1688" s="3179" t="n">
        <f aca="false">IF(F1688&lt;H1688,F1688*(D1688-E1688),0)+IF(H1688=0,(D1688-E1688)*F1688,0)+IF(H1688&lt;F1688,H1688*(D1688-E1688),0)</f>
        <v>22353</v>
      </c>
      <c r="J1688" s="3179" t="n">
        <f aca="false">G1688-I1688</f>
        <v>-22353</v>
      </c>
    </row>
    <row r="1689" customFormat="false" ht="15" hidden="false" customHeight="true" outlineLevel="0" collapsed="false">
      <c r="B1689" s="1551" t="str">
        <f aca="false">'Смета Внутр'!B1689</f>
        <v>MR08 78X140</v>
      </c>
      <c r="C1689" s="1551" t="str">
        <f aca="false">'Смета Внутр'!C1689</f>
        <v>шт</v>
      </c>
      <c r="D1689" s="1551" t="n">
        <f aca="false">'Смета Внутр'!D1689</f>
        <v>2</v>
      </c>
      <c r="F1689" s="1551" t="n">
        <f aca="false">'Смета Внутр'!E1689</f>
        <v>21506</v>
      </c>
      <c r="G1689" s="1551" t="n">
        <f aca="false">'Смета Внутр'!H1689</f>
        <v>0</v>
      </c>
      <c r="I1689" s="3179" t="n">
        <f aca="false">IF(F1689&lt;H1689,F1689*(D1689-E1689),0)+IF(H1689=0,(D1689-E1689)*F1689,0)+IF(H1689&lt;F1689,H1689*(D1689-E1689),0)</f>
        <v>43012</v>
      </c>
      <c r="J1689" s="3179" t="n">
        <f aca="false">G1689-I1689</f>
        <v>-43012</v>
      </c>
    </row>
    <row r="1690" customFormat="false" ht="15" hidden="false" customHeight="true" outlineLevel="0" collapsed="false">
      <c r="B1690" s="1551" t="str">
        <f aca="false">'Смета Внутр'!B1690</f>
        <v>MR10 78X160</v>
      </c>
      <c r="C1690" s="1551" t="str">
        <f aca="false">'Смета Внутр'!C1690</f>
        <v>шт</v>
      </c>
      <c r="D1690" s="1551" t="n">
        <f aca="false">'Смета Внутр'!D1690</f>
        <v>5</v>
      </c>
      <c r="F1690" s="1551" t="n">
        <f aca="false">'Смета Внутр'!E1690</f>
        <v>22353</v>
      </c>
      <c r="G1690" s="1551" t="n">
        <f aca="false">'Смета Внутр'!H1690</f>
        <v>0</v>
      </c>
      <c r="I1690" s="3179" t="n">
        <f aca="false">IF(F1690&lt;H1690,F1690*(D1690-E1690),0)+IF(H1690=0,(D1690-E1690)*F1690,0)+IF(H1690&lt;F1690,H1690*(D1690-E1690),0)</f>
        <v>111765</v>
      </c>
      <c r="J1690" s="3179" t="n">
        <f aca="false">G1690-I1690</f>
        <v>-111765</v>
      </c>
    </row>
    <row r="1691" customFormat="false" ht="15" hidden="false" customHeight="true" outlineLevel="0" collapsed="false">
      <c r="B1691" s="1551" t="str">
        <f aca="false">'Смета Внутр'!B1691</f>
        <v>MR04 78X98</v>
      </c>
      <c r="C1691" s="1551" t="str">
        <f aca="false">'Смета Внутр'!C1691</f>
        <v>шт</v>
      </c>
      <c r="D1691" s="1551" t="n">
        <f aca="false">'Смета Внутр'!D1691</f>
        <v>0</v>
      </c>
      <c r="F1691" s="1551" t="n">
        <f aca="false">'Смета Внутр'!E1691</f>
        <v>18658</v>
      </c>
      <c r="G1691" s="1551" t="n">
        <f aca="false">'Смета Внутр'!H1691</f>
        <v>0</v>
      </c>
      <c r="I1691" s="3179" t="n">
        <f aca="false">IF(F1691&lt;H1691,F1691*(D1691-E1691),0)+IF(H1691=0,(D1691-E1691)*F1691,0)+IF(H1691&lt;F1691,H1691*(D1691-E1691),0)</f>
        <v>0</v>
      </c>
      <c r="J1691" s="3179" t="n">
        <f aca="false">G1691-I1691</f>
        <v>0</v>
      </c>
    </row>
    <row r="1692" customFormat="false" ht="15" hidden="false" customHeight="true" outlineLevel="0" collapsed="false">
      <c r="B1692" s="1692" t="s">
        <v>4332</v>
      </c>
      <c r="C1692" s="1692"/>
      <c r="D1692" s="1692"/>
      <c r="E1692" s="1692"/>
      <c r="F1692" s="1692"/>
      <c r="G1692" s="1551" t="n">
        <f aca="false">'Смета Внутр'!H1692</f>
        <v>0</v>
      </c>
      <c r="H1692" s="3184"/>
      <c r="I1692" s="3179" t="n">
        <f aca="false">IF(F1692&lt;H1692,F1692*(D1692-E1692),0)+IF(H1692=0,(D1692-E1692)*F1692,0)+IF(H1692&lt;F1692,H1692*(D1692-E1692),0)</f>
        <v>0</v>
      </c>
      <c r="J1692" s="3179" t="n">
        <f aca="false">G1692-I1692</f>
        <v>0</v>
      </c>
    </row>
    <row r="1693" customFormat="false" ht="15" hidden="false" customHeight="true" outlineLevel="0" collapsed="false">
      <c r="B1693" s="1268" t="str">
        <f aca="false">'Смета Внутр'!B1693</f>
        <v>Работы</v>
      </c>
      <c r="C1693" s="1268"/>
      <c r="D1693" s="1268"/>
      <c r="E1693" s="1268"/>
      <c r="F1693" s="1268"/>
      <c r="G1693" s="1551" t="n">
        <f aca="false">'Смета Внутр'!H1693</f>
        <v>0</v>
      </c>
      <c r="H1693" s="3175"/>
      <c r="I1693" s="3179" t="n">
        <f aca="false">IF(F1693&lt;H1693,F1693*(D1693-E1693),0)+IF(H1693=0,(D1693-E1693)*F1693,0)+IF(H1693&lt;F1693,H1693*(D1693-E1693),0)</f>
        <v>0</v>
      </c>
      <c r="J1693" s="3179" t="n">
        <f aca="false">G1693-I1693</f>
        <v>0</v>
      </c>
    </row>
    <row r="1694" customFormat="false" ht="15" hidden="false" customHeight="true" outlineLevel="0" collapsed="false">
      <c r="B1694" s="1551" t="str">
        <f aca="false">'Смета Внутр'!B1694</f>
        <v>MR10 78X160</v>
      </c>
      <c r="C1694" s="1551" t="str">
        <f aca="false">'Смета Внутр'!C1694</f>
        <v>шт</v>
      </c>
      <c r="D1694" s="1551" t="n">
        <f aca="false">'Смета Внутр'!D1694</f>
        <v>1</v>
      </c>
      <c r="F1694" s="1551" t="n">
        <f aca="false">'Смета Внутр'!E1694</f>
        <v>4200</v>
      </c>
      <c r="G1694" s="1551" t="n">
        <f aca="false">'Смета Внутр'!H1694</f>
        <v>0</v>
      </c>
      <c r="I1694" s="3179" t="n">
        <f aca="false">IF(F1694&lt;H1694,F1694*(D1694-E1694),0)+IF(H1694=0,(D1694-E1694)*F1694,0)+IF(H1694&lt;F1694,H1694*(D1694-E1694),0)</f>
        <v>4200</v>
      </c>
      <c r="J1694" s="3179" t="n">
        <f aca="false">G1694-I1694</f>
        <v>-4200</v>
      </c>
    </row>
    <row r="1695" customFormat="false" ht="15" hidden="false" customHeight="true" outlineLevel="0" collapsed="false">
      <c r="B1695" s="1551" t="str">
        <f aca="false">'Смета Внутр'!B1695</f>
        <v>MR08 78X140</v>
      </c>
      <c r="C1695" s="1551" t="str">
        <f aca="false">'Смета Внутр'!C1695</f>
        <v>шт</v>
      </c>
      <c r="D1695" s="1551" t="n">
        <f aca="false">'Смета Внутр'!D1695</f>
        <v>2</v>
      </c>
      <c r="F1695" s="1551" t="n">
        <f aca="false">'Смета Внутр'!E1695</f>
        <v>4000</v>
      </c>
      <c r="G1695" s="1551" t="n">
        <f aca="false">'Смета Внутр'!H1695</f>
        <v>0</v>
      </c>
      <c r="I1695" s="3179" t="n">
        <f aca="false">IF(F1695&lt;H1695,F1695*(D1695-E1695),0)+IF(H1695=0,(D1695-E1695)*F1695,0)+IF(H1695&lt;F1695,H1695*(D1695-E1695),0)</f>
        <v>8000</v>
      </c>
      <c r="J1695" s="3179" t="n">
        <f aca="false">G1695-I1695</f>
        <v>-8000</v>
      </c>
    </row>
    <row r="1696" customFormat="false" ht="15" hidden="false" customHeight="true" outlineLevel="0" collapsed="false">
      <c r="B1696" s="1551" t="str">
        <f aca="false">'Смета Внутр'!B1696</f>
        <v>MR10 78X160</v>
      </c>
      <c r="C1696" s="1551" t="str">
        <f aca="false">'Смета Внутр'!C1696</f>
        <v>шт</v>
      </c>
      <c r="D1696" s="1551" t="n">
        <f aca="false">'Смета Внутр'!D1696</f>
        <v>5</v>
      </c>
      <c r="F1696" s="1551" t="n">
        <f aca="false">'Смета Внутр'!E1696</f>
        <v>4200</v>
      </c>
      <c r="G1696" s="1551" t="n">
        <f aca="false">'Смета Внутр'!H1696</f>
        <v>0</v>
      </c>
      <c r="I1696" s="3179" t="n">
        <f aca="false">IF(F1696&lt;H1696,F1696*(D1696-E1696),0)+IF(H1696=0,(D1696-E1696)*F1696,0)+IF(H1696&lt;F1696,H1696*(D1696-E1696),0)</f>
        <v>21000</v>
      </c>
      <c r="J1696" s="3179" t="n">
        <f aca="false">G1696-I1696</f>
        <v>-21000</v>
      </c>
    </row>
    <row r="1697" customFormat="false" ht="15" hidden="false" customHeight="true" outlineLevel="0" collapsed="false">
      <c r="B1697" s="1551" t="str">
        <f aca="false">'Смета Внутр'!B1697</f>
        <v>MR04 78X98</v>
      </c>
      <c r="C1697" s="1551" t="str">
        <f aca="false">'Смета Внутр'!C1697</f>
        <v>шт</v>
      </c>
      <c r="D1697" s="1551" t="n">
        <f aca="false">'Смета Внутр'!D1697</f>
        <v>0</v>
      </c>
      <c r="F1697" s="1551" t="n">
        <f aca="false">'Смета Внутр'!E1697</f>
        <v>3700</v>
      </c>
      <c r="G1697" s="1551" t="n">
        <f aca="false">'Смета Внутр'!H1697</f>
        <v>0</v>
      </c>
      <c r="I1697" s="3179" t="n">
        <f aca="false">IF(F1697&lt;H1697,F1697*(D1697-E1697),0)+IF(H1697=0,(D1697-E1697)*F1697,0)+IF(H1697&lt;F1697,H1697*(D1697-E1697),0)</f>
        <v>0</v>
      </c>
      <c r="J1697" s="3179" t="n">
        <f aca="false">G1697-I1697</f>
        <v>0</v>
      </c>
    </row>
    <row r="1698" customFormat="false" ht="15" hidden="false" customHeight="false" outlineLevel="0" collapsed="false">
      <c r="B1698" s="1692" t="s">
        <v>4333</v>
      </c>
      <c r="C1698" s="1692"/>
      <c r="D1698" s="1692"/>
      <c r="E1698" s="1692"/>
      <c r="F1698" s="1692"/>
      <c r="G1698" s="1551" t="n">
        <f aca="false">'Смета Внутр'!H1698</f>
        <v>0</v>
      </c>
      <c r="H1698" s="1584"/>
      <c r="I1698" s="3179" t="n">
        <f aca="false">IF(F1698&lt;H1698,F1698*(D1698-E1698),0)+IF(H1698=0,(D1698-E1698)*F1698,0)+IF(H1698&lt;F1698,H1698*(D1698-E1698),0)</f>
        <v>0</v>
      </c>
      <c r="J1698" s="3179" t="n">
        <f aca="false">G1698-I1698</f>
        <v>0</v>
      </c>
    </row>
    <row r="1699" customFormat="false" ht="15" hidden="false" customHeight="true" outlineLevel="0" collapsed="false">
      <c r="B1699" s="1551" t="str">
        <f aca="false">'Смета Внутр'!B1699</f>
        <v>Отделка внешняя</v>
      </c>
      <c r="C1699" s="1551" t="n">
        <f aca="false">'Смета Внутр'!C1699</f>
        <v>0</v>
      </c>
      <c r="D1699" s="1551" t="n">
        <f aca="false">'Смета Внутр'!D1699</f>
        <v>0</v>
      </c>
      <c r="F1699" s="1551" t="n">
        <f aca="false">'Смета Внутр'!E1699</f>
        <v>0</v>
      </c>
      <c r="G1699" s="1551" t="n">
        <f aca="false">'Смета Внутр'!H1699</f>
        <v>1</v>
      </c>
      <c r="I1699" s="3179" t="n">
        <f aca="false">IF(F1699&lt;H1699,F1699*(D1699-E1699),0)+IF(H1699=0,(D1699-E1699)*F1699,0)+IF(H1699&lt;F1699,H1699*(D1699-E1699),0)</f>
        <v>0</v>
      </c>
      <c r="J1699" s="3179" t="n">
        <f aca="false">G1699-I1699</f>
        <v>1</v>
      </c>
    </row>
    <row r="1700" customFormat="false" ht="15" hidden="false" customHeight="true" outlineLevel="0" collapsed="false">
      <c r="B1700" s="1268" t="str">
        <f aca="false">'Смета Внутр'!B1700</f>
        <v>Материалы</v>
      </c>
      <c r="C1700" s="1268"/>
      <c r="D1700" s="1268"/>
      <c r="E1700" s="1268"/>
      <c r="F1700" s="1268"/>
      <c r="G1700" s="1551" t="n">
        <f aca="false">'Смета Внутр'!H1700</f>
        <v>1</v>
      </c>
      <c r="H1700" s="3175"/>
      <c r="I1700" s="3179" t="n">
        <f aca="false">IF(F1700&lt;H1700,F1700*(D1700-E1700),0)+IF(H1700=0,(D1700-E1700)*F1700,0)+IF(H1700&lt;F1700,H1700*(D1700-E1700),0)</f>
        <v>0</v>
      </c>
      <c r="J1700" s="3179" t="n">
        <f aca="false">G1700-I1700</f>
        <v>1</v>
      </c>
    </row>
    <row r="1701" customFormat="false" ht="15" hidden="false" customHeight="true" outlineLevel="0" collapsed="false">
      <c r="B1701" s="1551" t="str">
        <f aca="false">'Смета Внутр'!B1701</f>
        <v>дом, стены</v>
      </c>
      <c r="C1701" s="1551" t="n">
        <f aca="false">'Смета Внутр'!C1701</f>
        <v>0</v>
      </c>
      <c r="D1701" s="1551" t="n">
        <f aca="false">'Смета Внутр'!D1701</f>
        <v>0</v>
      </c>
      <c r="F1701" s="1551" t="n">
        <f aca="false">'Смета Внутр'!E1701</f>
        <v>0</v>
      </c>
      <c r="G1701" s="1551" t="n">
        <f aca="false">'Смета Внутр'!H1701</f>
        <v>1</v>
      </c>
      <c r="I1701" s="3179" t="n">
        <f aca="false">IF(F1701&lt;H1701,F1701*(D1701-E1701),0)+IF(H1701=0,(D1701-E1701)*F1701,0)+IF(H1701&lt;F1701,H1701*(D1701-E1701),0)</f>
        <v>0</v>
      </c>
      <c r="J1701" s="3179" t="n">
        <f aca="false">G1701-I1701</f>
        <v>1</v>
      </c>
    </row>
    <row r="1702" customFormat="false" ht="15" hidden="false" customHeight="true" outlineLevel="0" collapsed="false">
      <c r="B1702" s="1551" t="str">
        <f aca="false">'Смета Внутр'!B1702</f>
        <v>нет</v>
      </c>
      <c r="C1702" s="1551" t="str">
        <f aca="false">'Смета Внутр'!C1702</f>
        <v>м.п.</v>
      </c>
      <c r="D1702" s="1551" t="n">
        <f aca="false">'Смета Внутр'!D1702</f>
        <v>357.5815</v>
      </c>
      <c r="F1702" s="1551" t="n">
        <f aca="false">'Смета Внутр'!E1702</f>
        <v>0</v>
      </c>
      <c r="G1702" s="1551" t="n">
        <f aca="false">'Смета Внутр'!H1702</f>
        <v>0</v>
      </c>
      <c r="I1702" s="3179" t="n">
        <f aca="false">IF(F1702&lt;H1702,F1702*(D1702-E1702),0)+IF(H1702=0,(D1702-E1702)*F1702,0)+IF(H1702&lt;F1702,H1702*(D1702-E1702),0)</f>
        <v>0</v>
      </c>
      <c r="J1702" s="3179" t="n">
        <f aca="false">G1702-I1702</f>
        <v>0</v>
      </c>
    </row>
    <row r="1703" customFormat="false" ht="15" hidden="false" customHeight="true" outlineLevel="0" collapsed="false">
      <c r="B1703" s="1551" t="str">
        <f aca="false">'Смета Внутр'!B1703</f>
        <v>Нет кронштейна</v>
      </c>
      <c r="C1703" s="1551" t="str">
        <f aca="false">'Смета Внутр'!C1703</f>
        <v>шт</v>
      </c>
      <c r="D1703" s="1551" t="n">
        <f aca="false">'Смета Внутр'!D1703</f>
        <v>858.1956</v>
      </c>
      <c r="F1703" s="1551" t="n">
        <f aca="false">'Смета Внутр'!E1703</f>
        <v>0</v>
      </c>
      <c r="G1703" s="1551" t="n">
        <f aca="false">'Смета Внутр'!H1703</f>
        <v>0</v>
      </c>
      <c r="I1703" s="3179" t="n">
        <f aca="false">IF(F1703&lt;H1703,F1703*(D1703-E1703),0)+IF(H1703=0,(D1703-E1703)*F1703,0)+IF(H1703&lt;F1703,H1703*(D1703-E1703),0)</f>
        <v>0</v>
      </c>
      <c r="J1703" s="3179" t="n">
        <f aca="false">G1703-I1703</f>
        <v>0</v>
      </c>
    </row>
    <row r="1704" customFormat="false" ht="15" hidden="false" customHeight="true" outlineLevel="0" collapsed="false">
      <c r="B1704" s="1551" t="str">
        <f aca="false">'Смета Внутр'!B1704</f>
        <v>Саморезы 3,5 x 45            </v>
      </c>
      <c r="C1704" s="1551" t="str">
        <f aca="false">'Смета Внутр'!C1704</f>
        <v>шт</v>
      </c>
      <c r="D1704" s="1551" t="n">
        <f aca="false">'Смета Внутр'!D1704</f>
        <v>0</v>
      </c>
      <c r="F1704" s="1551" t="n">
        <f aca="false">'Смета Внутр'!E1704</f>
        <v>0.25</v>
      </c>
      <c r="G1704" s="1551" t="n">
        <f aca="false">'Смета Внутр'!H1704</f>
        <v>0</v>
      </c>
      <c r="I1704" s="3179" t="n">
        <f aca="false">IF(F1704&lt;H1704,F1704*(D1704-E1704),0)+IF(H1704=0,(D1704-E1704)*F1704,0)+IF(H1704&lt;F1704,H1704*(D1704-E1704),0)</f>
        <v>0</v>
      </c>
      <c r="J1704" s="3179" t="n">
        <f aca="false">G1704-I1704</f>
        <v>0</v>
      </c>
    </row>
    <row r="1705" customFormat="false" ht="15" hidden="false" customHeight="true" outlineLevel="0" collapsed="false">
      <c r="B1705" s="1551" t="str">
        <f aca="false">'Смета Внутр'!B1705</f>
        <v>Болты анкерные с гайкой 10,0 х 97           </v>
      </c>
      <c r="C1705" s="1551" t="str">
        <f aca="false">'Смета Внутр'!C1705</f>
        <v>шт</v>
      </c>
      <c r="D1705" s="1551" t="n">
        <f aca="false">'Смета Внутр'!D1705</f>
        <v>0</v>
      </c>
      <c r="F1705" s="1551" t="n">
        <f aca="false">'Смета Внутр'!E1705</f>
        <v>7.4</v>
      </c>
      <c r="G1705" s="1551" t="n">
        <f aca="false">'Смета Внутр'!H1705</f>
        <v>0</v>
      </c>
      <c r="I1705" s="3179" t="n">
        <f aca="false">IF(F1705&lt;H1705,F1705*(D1705-E1705),0)+IF(H1705=0,(D1705-E1705)*F1705,0)+IF(H1705&lt;F1705,H1705*(D1705-E1705),0)</f>
        <v>0</v>
      </c>
      <c r="J1705" s="3179" t="n">
        <f aca="false">G1705-I1705</f>
        <v>0</v>
      </c>
    </row>
    <row r="1706" customFormat="false" ht="15" hidden="false" customHeight="true" outlineLevel="0" collapsed="false">
      <c r="B1706" s="1551" t="n">
        <f aca="false">'Смета Внутр'!B1706</f>
        <v>0</v>
      </c>
      <c r="C1706" s="1551" t="str">
        <f aca="false">'Смета Внутр'!C1706</f>
        <v>м2</v>
      </c>
      <c r="D1706" s="1551" t="n">
        <f aca="false">'Смета Внутр'!D1706</f>
        <v>0</v>
      </c>
      <c r="F1706" s="1551" t="n">
        <f aca="false">'Смета Внутр'!E1706</f>
        <v>0</v>
      </c>
      <c r="G1706" s="1551" t="n">
        <f aca="false">'Смета Внутр'!H1706</f>
        <v>0</v>
      </c>
      <c r="I1706" s="3179" t="n">
        <f aca="false">IF(F1706&lt;H1706,F1706*(D1706-E1706),0)+IF(H1706=0,(D1706-E1706)*F1706,0)+IF(H1706&lt;F1706,H1706*(D1706-E1706),0)</f>
        <v>0</v>
      </c>
      <c r="J1706" s="3179" t="n">
        <f aca="false">G1706-I1706</f>
        <v>0</v>
      </c>
    </row>
    <row r="1707" customFormat="false" ht="15" hidden="false" customHeight="true" outlineLevel="0" collapsed="false">
      <c r="B1707" s="1551" t="str">
        <f aca="false">'Смета Внутр'!B1707</f>
        <v>Цемент, мешок, 50кг</v>
      </c>
      <c r="C1707" s="1551" t="str">
        <f aca="false">'Смета Внутр'!C1707</f>
        <v>меш</v>
      </c>
      <c r="D1707" s="1551" t="n">
        <f aca="false">'Смета Внутр'!D1707</f>
        <v>0</v>
      </c>
      <c r="F1707" s="1551" t="n">
        <f aca="false">'Смета Внутр'!E1707</f>
        <v>250</v>
      </c>
      <c r="G1707" s="1551" t="n">
        <f aca="false">'Смета Внутр'!H1707</f>
        <v>0</v>
      </c>
      <c r="I1707" s="3179" t="n">
        <f aca="false">IF(F1707&lt;H1707,F1707*(D1707-E1707),0)+IF(H1707=0,(D1707-E1707)*F1707,0)+IF(H1707&lt;F1707,H1707*(D1707-E1707),0)</f>
        <v>0</v>
      </c>
      <c r="J1707" s="3179" t="n">
        <f aca="false">G1707-I1707</f>
        <v>0</v>
      </c>
    </row>
    <row r="1708" customFormat="false" ht="15" hidden="false" customHeight="true" outlineLevel="0" collapsed="false">
      <c r="B1708" s="1551" t="str">
        <f aca="false">'Смета Внутр'!B1708</f>
        <v>Песок, м3</v>
      </c>
      <c r="C1708" s="1551" t="str">
        <f aca="false">'Смета Внутр'!C1708</f>
        <v>м3</v>
      </c>
      <c r="D1708" s="1551" t="n">
        <f aca="false">'Смета Внутр'!D1708</f>
        <v>0</v>
      </c>
      <c r="F1708" s="1551" t="n">
        <f aca="false">'Смета Внутр'!E1708</f>
        <v>250</v>
      </c>
      <c r="G1708" s="1551" t="n">
        <f aca="false">'Смета Внутр'!H1708</f>
        <v>0</v>
      </c>
      <c r="I1708" s="3179" t="n">
        <f aca="false">IF(F1708&lt;H1708,F1708*(D1708-E1708),0)+IF(H1708=0,(D1708-E1708)*F1708,0)+IF(H1708&lt;F1708,H1708*(D1708-E1708),0)</f>
        <v>0</v>
      </c>
      <c r="J1708" s="3179" t="n">
        <f aca="false">G1708-I1708</f>
        <v>0</v>
      </c>
    </row>
    <row r="1709" customFormat="false" ht="15" hidden="false" customHeight="true" outlineLevel="0" collapsed="false">
      <c r="B1709" s="1551" t="str">
        <f aca="false">'Смета Внутр'!B1709</f>
        <v>Кладочная сетка, 100*100/150*150/200*200мм</v>
      </c>
      <c r="C1709" s="1551" t="str">
        <f aca="false">'Смета Внутр'!C1709</f>
        <v>м2</v>
      </c>
      <c r="D1709" s="1551" t="n">
        <f aca="false">'Смета Внутр'!D1709</f>
        <v>0</v>
      </c>
      <c r="F1709" s="1551" t="n">
        <f aca="false">'Смета Внутр'!E1709</f>
        <v>70</v>
      </c>
      <c r="G1709" s="1551" t="n">
        <f aca="false">'Смета Внутр'!H1709</f>
        <v>0</v>
      </c>
      <c r="I1709" s="3179" t="n">
        <f aca="false">IF(F1709&lt;H1709,F1709*(D1709-E1709),0)+IF(H1709=0,(D1709-E1709)*F1709,0)+IF(H1709&lt;F1709,H1709*(D1709-E1709),0)</f>
        <v>0</v>
      </c>
      <c r="J1709" s="3179" t="n">
        <f aca="false">G1709-I1709</f>
        <v>0</v>
      </c>
    </row>
    <row r="1710" customFormat="false" ht="15" hidden="false" customHeight="true" outlineLevel="0" collapsed="false">
      <c r="B1710" s="1551" t="str">
        <f aca="false">'Смета Внутр'!B1710</f>
        <v>сайдинг виниловый</v>
      </c>
      <c r="C1710" s="1551" t="str">
        <f aca="false">'Смета Внутр'!C1710</f>
        <v>м2</v>
      </c>
      <c r="D1710" s="1551" t="n">
        <f aca="false">'Смета Внутр'!D1710</f>
        <v>0</v>
      </c>
      <c r="F1710" s="1551" t="n">
        <f aca="false">'Смета Внутр'!E1710</f>
        <v>350</v>
      </c>
      <c r="G1710" s="1551" t="n">
        <f aca="false">'Смета Внутр'!H1710</f>
        <v>0</v>
      </c>
      <c r="I1710" s="3179" t="n">
        <f aca="false">IF(F1710&lt;H1710,F1710*(D1710-E1710),0)+IF(H1710=0,(D1710-E1710)*F1710,0)+IF(H1710&lt;F1710,H1710*(D1710-E1710),0)</f>
        <v>0</v>
      </c>
      <c r="J1710" s="3179" t="n">
        <f aca="false">G1710-I1710</f>
        <v>0</v>
      </c>
    </row>
    <row r="1711" customFormat="false" ht="15" hidden="false" customHeight="true" outlineLevel="0" collapsed="false">
      <c r="B1711" s="1551" t="str">
        <f aca="false">'Смета Внутр'!B1711</f>
        <v>доборные элементы для винил сайдинга</v>
      </c>
      <c r="C1711" s="1551" t="str">
        <f aca="false">'Смета Внутр'!C1711</f>
        <v>шт</v>
      </c>
      <c r="D1711" s="1551" t="n">
        <f aca="false">'Смета Внутр'!D1711</f>
        <v>0</v>
      </c>
      <c r="F1711" s="1551" t="n">
        <f aca="false">'Смета Внутр'!E1711</f>
        <v>300</v>
      </c>
      <c r="G1711" s="1551" t="n">
        <f aca="false">'Смета Внутр'!H1711</f>
        <v>0</v>
      </c>
      <c r="I1711" s="3179" t="n">
        <f aca="false">IF(F1711&lt;H1711,F1711*(D1711-E1711),0)+IF(H1711=0,(D1711-E1711)*F1711,0)+IF(H1711&lt;F1711,H1711*(D1711-E1711),0)</f>
        <v>0</v>
      </c>
      <c r="J1711" s="3179" t="n">
        <f aca="false">G1711-I1711</f>
        <v>0</v>
      </c>
    </row>
    <row r="1712" customFormat="false" ht="15" hidden="false" customHeight="true" outlineLevel="0" collapsed="false">
      <c r="B1712" s="1551" t="str">
        <f aca="false">'Смета Внутр'!B1712</f>
        <v>сайдинг металлический</v>
      </c>
      <c r="C1712" s="1551" t="str">
        <f aca="false">'Смета Внутр'!C1712</f>
        <v>м2</v>
      </c>
      <c r="D1712" s="1551" t="n">
        <f aca="false">'Смета Внутр'!D1712</f>
        <v>0</v>
      </c>
      <c r="F1712" s="1551" t="n">
        <f aca="false">'Смета Внутр'!E1712</f>
        <v>550</v>
      </c>
      <c r="G1712" s="1551" t="n">
        <f aca="false">'Смета Внутр'!H1712</f>
        <v>0</v>
      </c>
      <c r="I1712" s="3179" t="n">
        <f aca="false">IF(F1712&lt;H1712,F1712*(D1712-E1712),0)+IF(H1712=0,(D1712-E1712)*F1712,0)+IF(H1712&lt;F1712,H1712*(D1712-E1712),0)</f>
        <v>0</v>
      </c>
      <c r="J1712" s="3179" t="n">
        <f aca="false">G1712-I1712</f>
        <v>0</v>
      </c>
    </row>
    <row r="1713" customFormat="false" ht="15" hidden="false" customHeight="true" outlineLevel="0" collapsed="false">
      <c r="B1713" s="1551" t="str">
        <f aca="false">'Смета Внутр'!B1713</f>
        <v>доборные элементы для метал сайдинга</v>
      </c>
      <c r="C1713" s="1551" t="str">
        <f aca="false">'Смета Внутр'!C1713</f>
        <v>шт</v>
      </c>
      <c r="D1713" s="1551" t="n">
        <f aca="false">'Смета Внутр'!D1713</f>
        <v>0</v>
      </c>
      <c r="F1713" s="1551" t="n">
        <f aca="false">'Смета Внутр'!E1713</f>
        <v>350</v>
      </c>
      <c r="G1713" s="1551" t="n">
        <f aca="false">'Смета Внутр'!H1713</f>
        <v>0</v>
      </c>
      <c r="I1713" s="3179" t="n">
        <f aca="false">IF(F1713&lt;H1713,F1713*(D1713-E1713),0)+IF(H1713=0,(D1713-E1713)*F1713,0)+IF(H1713&lt;F1713,H1713*(D1713-E1713),0)</f>
        <v>0</v>
      </c>
      <c r="J1713" s="3179" t="n">
        <f aca="false">G1713-I1713</f>
        <v>0</v>
      </c>
    </row>
    <row r="1714" customFormat="false" ht="15" hidden="false" customHeight="true" outlineLevel="0" collapsed="false">
      <c r="B1714" s="1551" t="n">
        <f aca="false">'Смета Внутр'!B1714</f>
        <v>0</v>
      </c>
      <c r="C1714" s="1551" t="str">
        <f aca="false">'Смета Внутр'!C1714</f>
        <v>м2</v>
      </c>
      <c r="D1714" s="1551" t="n">
        <f aca="false">'Смета Внутр'!D1714</f>
        <v>0</v>
      </c>
      <c r="F1714" s="1551" t="n">
        <f aca="false">'Смета Внутр'!E1714</f>
        <v>0</v>
      </c>
      <c r="G1714" s="1551" t="n">
        <f aca="false">'Смета Внутр'!H1714</f>
        <v>0</v>
      </c>
      <c r="I1714" s="3179" t="n">
        <f aca="false">IF(F1714&lt;H1714,F1714*(D1714-E1714),0)+IF(H1714=0,(D1714-E1714)*F1714,0)+IF(H1714&lt;F1714,H1714*(D1714-E1714),0)</f>
        <v>0</v>
      </c>
      <c r="J1714" s="3179" t="n">
        <f aca="false">G1714-I1714</f>
        <v>0</v>
      </c>
    </row>
    <row r="1715" customFormat="false" ht="15" hidden="false" customHeight="true" outlineLevel="0" collapsed="false">
      <c r="B1715" s="1551" t="str">
        <f aca="false">'Смета Внутр'!B1715</f>
        <v>крепления для планкена, змейка</v>
      </c>
      <c r="C1715" s="1551" t="str">
        <f aca="false">'Смета Внутр'!C1715</f>
        <v>шт</v>
      </c>
      <c r="D1715" s="1551" t="n">
        <f aca="false">'Смета Внутр'!D1715</f>
        <v>0</v>
      </c>
      <c r="F1715" s="1551" t="n">
        <f aca="false">'Смета Внутр'!E1715</f>
        <v>15</v>
      </c>
      <c r="G1715" s="1551" t="n">
        <f aca="false">'Смета Внутр'!H1715</f>
        <v>0</v>
      </c>
      <c r="I1715" s="3179" t="n">
        <f aca="false">IF(F1715&lt;H1715,F1715*(D1715-E1715),0)+IF(H1715=0,(D1715-E1715)*F1715,0)+IF(H1715&lt;F1715,H1715*(D1715-E1715),0)</f>
        <v>0</v>
      </c>
      <c r="J1715" s="3179" t="n">
        <f aca="false">G1715-I1715</f>
        <v>0</v>
      </c>
    </row>
    <row r="1716" customFormat="false" ht="15" hidden="false" customHeight="true" outlineLevel="0" collapsed="false">
      <c r="B1716" s="1551" t="n">
        <f aca="false">'Смета Внутр'!B1716</f>
        <v>0</v>
      </c>
      <c r="C1716" s="1551" t="str">
        <f aca="false">'Смета Внутр'!C1716</f>
        <v>м2</v>
      </c>
      <c r="D1716" s="1551" t="n">
        <f aca="false">'Смета Внутр'!D1716</f>
        <v>0</v>
      </c>
      <c r="F1716" s="1551" t="n">
        <f aca="false">'Смета Внутр'!E1716</f>
        <v>1000</v>
      </c>
      <c r="G1716" s="1551" t="n">
        <f aca="false">'Смета Внутр'!H1716</f>
        <v>0</v>
      </c>
      <c r="I1716" s="3179" t="n">
        <f aca="false">IF(F1716&lt;H1716,F1716*(D1716-E1716),0)+IF(H1716=0,(D1716-E1716)*F1716,0)+IF(H1716&lt;F1716,H1716*(D1716-E1716),0)</f>
        <v>0</v>
      </c>
      <c r="J1716" s="3179" t="n">
        <f aca="false">G1716-I1716</f>
        <v>0</v>
      </c>
    </row>
    <row r="1717" customFormat="false" ht="15" hidden="false" customHeight="true" outlineLevel="0" collapsed="false">
      <c r="B1717" s="1551" t="n">
        <f aca="false">'Смета Внутр'!B1717</f>
        <v>0</v>
      </c>
      <c r="C1717" s="1551" t="str">
        <f aca="false">'Смета Внутр'!C1717</f>
        <v>м2</v>
      </c>
      <c r="D1717" s="1551" t="n">
        <f aca="false">'Смета Внутр'!D1717</f>
        <v>0</v>
      </c>
      <c r="F1717" s="1551" t="n">
        <f aca="false">'Смета Внутр'!E1717</f>
        <v>0</v>
      </c>
      <c r="G1717" s="1551" t="n">
        <f aca="false">'Смета Внутр'!H1717</f>
        <v>0</v>
      </c>
      <c r="I1717" s="3179" t="n">
        <f aca="false">IF(F1717&lt;H1717,F1717*(D1717-E1717),0)+IF(H1717=0,(D1717-E1717)*F1717,0)+IF(H1717&lt;F1717,H1717*(D1717-E1717),0)</f>
        <v>0</v>
      </c>
      <c r="J1717" s="3179" t="n">
        <f aca="false">G1717-I1717</f>
        <v>0</v>
      </c>
    </row>
    <row r="1718" customFormat="false" ht="15" hidden="false" customHeight="true" outlineLevel="0" collapsed="false">
      <c r="B1718" s="1551" t="str">
        <f aca="false">'Смета Внутр'!B1718</f>
        <v>клей для камня </v>
      </c>
      <c r="C1718" s="1551" t="str">
        <f aca="false">'Смета Внутр'!C1718</f>
        <v>меш</v>
      </c>
      <c r="D1718" s="1551" t="n">
        <f aca="false">'Смета Внутр'!D1718</f>
        <v>0</v>
      </c>
      <c r="F1718" s="1551" t="n">
        <f aca="false">'Смета Внутр'!E1718</f>
        <v>250</v>
      </c>
      <c r="G1718" s="1551" t="n">
        <f aca="false">'Смета Внутр'!H1718</f>
        <v>0</v>
      </c>
      <c r="I1718" s="3179" t="n">
        <f aca="false">IF(F1718&lt;H1718,F1718*(D1718-E1718),0)+IF(H1718=0,(D1718-E1718)*F1718,0)+IF(H1718&lt;F1718,H1718*(D1718-E1718),0)</f>
        <v>0</v>
      </c>
      <c r="J1718" s="3179" t="n">
        <f aca="false">G1718-I1718</f>
        <v>0</v>
      </c>
    </row>
    <row r="1719" customFormat="false" ht="15" hidden="false" customHeight="true" outlineLevel="0" collapsed="false">
      <c r="B1719" s="1551" t="str">
        <f aca="false">'Смета Внутр'!B1719</f>
        <v>Нет грунтовки</v>
      </c>
      <c r="C1719" s="1551" t="str">
        <f aca="false">'Смета Внутр'!C1719</f>
        <v>л</v>
      </c>
      <c r="D1719" s="1551" t="n">
        <f aca="false">'Смета Внутр'!D1719</f>
        <v>0</v>
      </c>
      <c r="F1719" s="1551" t="n">
        <f aca="false">'Смета Внутр'!E1719</f>
        <v>0</v>
      </c>
      <c r="G1719" s="1551" t="n">
        <f aca="false">'Смета Внутр'!H1719</f>
        <v>0</v>
      </c>
      <c r="I1719" s="3179" t="n">
        <f aca="false">IF(F1719&lt;H1719,F1719*(D1719-E1719),0)+IF(H1719=0,(D1719-E1719)*F1719,0)+IF(H1719&lt;F1719,H1719*(D1719-E1719),0)</f>
        <v>0</v>
      </c>
      <c r="J1719" s="3179" t="n">
        <f aca="false">G1719-I1719</f>
        <v>0</v>
      </c>
    </row>
    <row r="1720" customFormat="false" ht="15" hidden="false" customHeight="true" outlineLevel="0" collapsed="false">
      <c r="B1720" s="1551" t="str">
        <f aca="false">'Смета Внутр'!B1720</f>
        <v>Нет пропитки</v>
      </c>
      <c r="C1720" s="1551" t="str">
        <f aca="false">'Смета Внутр'!C1720</f>
        <v>л</v>
      </c>
      <c r="D1720" s="1551" t="n">
        <f aca="false">'Смета Внутр'!D1720</f>
        <v>0</v>
      </c>
      <c r="F1720" s="1551" t="n">
        <f aca="false">'Смета Внутр'!E1720</f>
        <v>0</v>
      </c>
      <c r="G1720" s="1551" t="n">
        <f aca="false">'Смета Внутр'!H1720</f>
        <v>0</v>
      </c>
      <c r="I1720" s="3179" t="n">
        <f aca="false">IF(F1720&lt;H1720,F1720*(D1720-E1720),0)+IF(H1720=0,(D1720-E1720)*F1720,0)+IF(H1720&lt;F1720,H1720*(D1720-E1720),0)</f>
        <v>0</v>
      </c>
      <c r="J1720" s="3179" t="n">
        <f aca="false">G1720-I1720</f>
        <v>0</v>
      </c>
    </row>
    <row r="1721" customFormat="false" ht="15" hidden="false" customHeight="true" outlineLevel="0" collapsed="false">
      <c r="B1721" s="1551" t="str">
        <f aca="false">'Смета Внутр'!B1721</f>
        <v>Нет лака</v>
      </c>
      <c r="C1721" s="1551" t="str">
        <f aca="false">'Смета Внутр'!C1721</f>
        <v>л</v>
      </c>
      <c r="D1721" s="1551" t="n">
        <f aca="false">'Смета Внутр'!D1721</f>
        <v>0</v>
      </c>
      <c r="F1721" s="1551" t="n">
        <f aca="false">'Смета Внутр'!E1721</f>
        <v>0</v>
      </c>
      <c r="G1721" s="1551" t="n">
        <f aca="false">'Смета Внутр'!H1721</f>
        <v>0</v>
      </c>
      <c r="I1721" s="3179" t="n">
        <f aca="false">IF(F1721&lt;H1721,F1721*(D1721-E1721),0)+IF(H1721=0,(D1721-E1721)*F1721,0)+IF(H1721&lt;F1721,H1721*(D1721-E1721),0)</f>
        <v>0</v>
      </c>
      <c r="J1721" s="3179" t="n">
        <f aca="false">G1721-I1721</f>
        <v>0</v>
      </c>
    </row>
    <row r="1722" customFormat="false" ht="15" hidden="false" customHeight="true" outlineLevel="0" collapsed="false">
      <c r="B1722" s="1551" t="str">
        <f aca="false">'Смета Внутр'!B1722</f>
        <v>Нет</v>
      </c>
      <c r="C1722" s="1551" t="str">
        <f aca="false">'Смета Внутр'!C1722</f>
        <v>м3</v>
      </c>
      <c r="D1722" s="1551" t="n">
        <f aca="false">'Смета Внутр'!D1722</f>
        <v>0</v>
      </c>
      <c r="F1722" s="1551" t="n">
        <f aca="false">'Смета Внутр'!E1722</f>
        <v>0</v>
      </c>
      <c r="G1722" s="1551" t="n">
        <f aca="false">'Смета Внутр'!H1722</f>
        <v>0</v>
      </c>
      <c r="I1722" s="3179" t="n">
        <f aca="false">IF(F1722&lt;H1722,F1722*(D1722-E1722),0)+IF(H1722=0,(D1722-E1722)*F1722,0)+IF(H1722&lt;F1722,H1722*(D1722-E1722),0)</f>
        <v>0</v>
      </c>
      <c r="J1722" s="3179" t="n">
        <f aca="false">G1722-I1722</f>
        <v>0</v>
      </c>
    </row>
    <row r="1723" customFormat="false" ht="15" hidden="false" customHeight="true" outlineLevel="0" collapsed="false">
      <c r="B1723" s="1551" t="str">
        <f aca="false">'Смета Внутр'!B1723</f>
        <v>Декоративная штукатурка кароед 2 мм</v>
      </c>
      <c r="C1723" s="1551" t="str">
        <f aca="false">'Смета Внутр'!C1723</f>
        <v>меш</v>
      </c>
      <c r="D1723" s="1551" t="n">
        <f aca="false">'Смета Внутр'!D1723</f>
        <v>23</v>
      </c>
      <c r="F1723" s="1551" t="n">
        <f aca="false">'Смета Внутр'!E1723</f>
        <v>470</v>
      </c>
      <c r="G1723" s="1551" t="n">
        <f aca="false">'Смета Внутр'!H1723</f>
        <v>10810</v>
      </c>
      <c r="I1723" s="3179" t="n">
        <f aca="false">IF(F1723&lt;H1723,F1723*(D1723-E1723),0)+IF(H1723=0,(D1723-E1723)*F1723,0)+IF(H1723&lt;F1723,H1723*(D1723-E1723),0)</f>
        <v>10810</v>
      </c>
      <c r="J1723" s="3179" t="n">
        <f aca="false">G1723-I1723</f>
        <v>0</v>
      </c>
    </row>
    <row r="1724" customFormat="false" ht="15" hidden="false" customHeight="true" outlineLevel="0" collapsed="false">
      <c r="B1724" s="1551" t="str">
        <f aca="false">'Смета Внутр'!B1724</f>
        <v>Сетка штукатурная ПВС 40 Оцинкованная рулон</v>
      </c>
      <c r="C1724" s="1551" t="str">
        <f aca="false">'Смета Внутр'!C1724</f>
        <v>м2</v>
      </c>
      <c r="D1724" s="1551" t="n">
        <f aca="false">'Смета Внутр'!D1724</f>
        <v>226.759</v>
      </c>
      <c r="F1724" s="1551" t="n">
        <f aca="false">'Смета Внутр'!E1724</f>
        <v>15</v>
      </c>
      <c r="G1724" s="1551" t="n">
        <f aca="false">'Смета Внутр'!H1724</f>
        <v>3401.385</v>
      </c>
      <c r="I1724" s="3179" t="n">
        <f aca="false">IF(F1724&lt;H1724,F1724*(D1724-E1724),0)+IF(H1724=0,(D1724-E1724)*F1724,0)+IF(H1724&lt;F1724,H1724*(D1724-E1724),0)</f>
        <v>3401.385</v>
      </c>
      <c r="J1724" s="3179" t="n">
        <f aca="false">G1724-I1724</f>
        <v>0</v>
      </c>
    </row>
    <row r="1725" customFormat="false" ht="15" hidden="false" customHeight="true" outlineLevel="0" collapsed="false">
      <c r="B1725" s="1551" t="str">
        <f aca="false">'Смета Внутр'!B1725</f>
        <v>Штукатурка для наружних работ</v>
      </c>
      <c r="C1725" s="1551" t="str">
        <f aca="false">'Смета Внутр'!C1725</f>
        <v>м2</v>
      </c>
      <c r="D1725" s="1551" t="n">
        <f aca="false">'Смета Внутр'!D1725</f>
        <v>23</v>
      </c>
      <c r="F1725" s="1551" t="n">
        <f aca="false">'Смета Внутр'!E1725</f>
        <v>390</v>
      </c>
      <c r="G1725" s="1551" t="n">
        <f aca="false">'Смета Внутр'!H1725</f>
        <v>8970</v>
      </c>
      <c r="I1725" s="3179" t="n">
        <f aca="false">IF(F1725&lt;H1725,F1725*(D1725-E1725),0)+IF(H1725=0,(D1725-E1725)*F1725,0)+IF(H1725&lt;F1725,H1725*(D1725-E1725),0)</f>
        <v>8970</v>
      </c>
      <c r="J1725" s="3179" t="n">
        <f aca="false">G1725-I1725</f>
        <v>0</v>
      </c>
    </row>
    <row r="1726" customFormat="false" ht="15" hidden="false" customHeight="true" outlineLevel="0" collapsed="false">
      <c r="B1726" s="1551" t="str">
        <f aca="false">'Смета Внутр'!B1726</f>
        <v>цоколь</v>
      </c>
      <c r="C1726" s="1551" t="n">
        <f aca="false">'Смета Внутр'!C1726</f>
        <v>0</v>
      </c>
      <c r="D1726" s="1551" t="n">
        <f aca="false">'Смета Внутр'!D1726</f>
        <v>0</v>
      </c>
      <c r="F1726" s="1551" t="n">
        <f aca="false">'Смета Внутр'!E1726</f>
        <v>0</v>
      </c>
      <c r="G1726" s="1551" t="n">
        <f aca="false">'Смета Внутр'!H1726</f>
        <v>0</v>
      </c>
      <c r="I1726" s="3179" t="n">
        <f aca="false">IF(F1726&lt;H1726,F1726*(D1726-E1726),0)+IF(H1726=0,(D1726-E1726)*F1726,0)+IF(H1726&lt;F1726,H1726*(D1726-E1726),0)</f>
        <v>0</v>
      </c>
      <c r="J1726" s="3179" t="n">
        <f aca="false">G1726-I1726</f>
        <v>0</v>
      </c>
    </row>
    <row r="1727" customFormat="false" ht="15" hidden="false" customHeight="true" outlineLevel="0" collapsed="false">
      <c r="B1727" s="1551" t="str">
        <f aca="false">'Смета Внутр'!B1727</f>
        <v>отлив металлический</v>
      </c>
      <c r="C1727" s="1551" t="str">
        <f aca="false">'Смета Внутр'!C1727</f>
        <v>м.п.</v>
      </c>
      <c r="D1727" s="1551" t="n">
        <f aca="false">'Смета Внутр'!D1727</f>
        <v>0</v>
      </c>
      <c r="F1727" s="1551" t="n">
        <f aca="false">'Смета Внутр'!E1727</f>
        <v>100</v>
      </c>
      <c r="G1727" s="1551" t="n">
        <f aca="false">'Смета Внутр'!H1727</f>
        <v>0</v>
      </c>
      <c r="I1727" s="3179" t="n">
        <f aca="false">IF(F1727&lt;H1727,F1727*(D1727-E1727),0)+IF(H1727=0,(D1727-E1727)*F1727,0)+IF(H1727&lt;F1727,H1727*(D1727-E1727),0)</f>
        <v>0</v>
      </c>
      <c r="J1727" s="3179" t="n">
        <f aca="false">G1727-I1727</f>
        <v>0</v>
      </c>
    </row>
    <row r="1728" customFormat="false" ht="15" hidden="false" customHeight="true" outlineLevel="0" collapsed="false">
      <c r="B1728" s="1551" t="str">
        <f aca="false">'Смета Внутр'!B1728</f>
        <v>сайдинг металлический</v>
      </c>
      <c r="C1728" s="1551" t="str">
        <f aca="false">'Смета Внутр'!C1728</f>
        <v>м2</v>
      </c>
      <c r="D1728" s="1551" t="n">
        <f aca="false">'Смета Внутр'!D1728</f>
        <v>0</v>
      </c>
      <c r="F1728" s="1551" t="n">
        <f aca="false">'Смета Внутр'!E1728</f>
        <v>550</v>
      </c>
      <c r="G1728" s="1551" t="n">
        <f aca="false">'Смета Внутр'!H1728</f>
        <v>0</v>
      </c>
      <c r="I1728" s="3179" t="n">
        <f aca="false">IF(F1728&lt;H1728,F1728*(D1728-E1728),0)+IF(H1728=0,(D1728-E1728)*F1728,0)+IF(H1728&lt;F1728,H1728*(D1728-E1728),0)</f>
        <v>0</v>
      </c>
      <c r="J1728" s="3179" t="n">
        <f aca="false">G1728-I1728</f>
        <v>0</v>
      </c>
    </row>
    <row r="1729" customFormat="false" ht="15" hidden="false" customHeight="true" outlineLevel="0" collapsed="false">
      <c r="B1729" s="1551" t="str">
        <f aca="false">'Смета Внутр'!B1729</f>
        <v>камень природный</v>
      </c>
      <c r="C1729" s="1551" t="str">
        <f aca="false">'Смета Внутр'!C1729</f>
        <v>м2</v>
      </c>
      <c r="D1729" s="1551" t="n">
        <f aca="false">'Смета Внутр'!D1729</f>
        <v>0</v>
      </c>
      <c r="F1729" s="1551" t="n">
        <f aca="false">'Смета Внутр'!E1729</f>
        <v>600</v>
      </c>
      <c r="G1729" s="1551" t="n">
        <f aca="false">'Смета Внутр'!H1729</f>
        <v>0</v>
      </c>
      <c r="I1729" s="3179" t="n">
        <f aca="false">IF(F1729&lt;H1729,F1729*(D1729-E1729),0)+IF(H1729=0,(D1729-E1729)*F1729,0)+IF(H1729&lt;F1729,H1729*(D1729-E1729),0)</f>
        <v>0</v>
      </c>
      <c r="J1729" s="3179" t="n">
        <f aca="false">G1729-I1729</f>
        <v>0</v>
      </c>
    </row>
    <row r="1730" customFormat="false" ht="15" hidden="false" customHeight="true" outlineLevel="0" collapsed="false">
      <c r="B1730" s="1551" t="str">
        <f aca="false">'Смета Внутр'!B1730</f>
        <v>камень искуственный</v>
      </c>
      <c r="C1730" s="1551" t="str">
        <f aca="false">'Смета Внутр'!C1730</f>
        <v>м2</v>
      </c>
      <c r="D1730" s="1551" t="n">
        <f aca="false">'Смета Внутр'!D1730</f>
        <v>0</v>
      </c>
      <c r="F1730" s="1551" t="n">
        <f aca="false">'Смета Внутр'!E1730</f>
        <v>1000</v>
      </c>
      <c r="G1730" s="1551" t="n">
        <f aca="false">'Смета Внутр'!H1730</f>
        <v>0</v>
      </c>
      <c r="I1730" s="3179" t="n">
        <f aca="false">IF(F1730&lt;H1730,F1730*(D1730-E1730),0)+IF(H1730=0,(D1730-E1730)*F1730,0)+IF(H1730&lt;F1730,H1730*(D1730-E1730),0)</f>
        <v>0</v>
      </c>
      <c r="J1730" s="3179" t="n">
        <f aca="false">G1730-I1730</f>
        <v>0</v>
      </c>
    </row>
    <row r="1731" customFormat="false" ht="15" hidden="false" customHeight="true" outlineLevel="0" collapsed="false">
      <c r="B1731" s="1551" t="str">
        <f aca="false">'Смета Внутр'!B1731</f>
        <v>клей для камня </v>
      </c>
      <c r="C1731" s="1551" t="str">
        <f aca="false">'Смета Внутр'!C1731</f>
        <v>меш</v>
      </c>
      <c r="D1731" s="1551" t="n">
        <f aca="false">'Смета Внутр'!D1731</f>
        <v>0</v>
      </c>
      <c r="F1731" s="1551" t="n">
        <f aca="false">'Смета Внутр'!E1731</f>
        <v>250</v>
      </c>
      <c r="G1731" s="1551" t="n">
        <f aca="false">'Смета Внутр'!H1731</f>
        <v>0</v>
      </c>
      <c r="I1731" s="3179" t="n">
        <f aca="false">IF(F1731&lt;H1731,F1731*(D1731-E1731),0)+IF(H1731=0,(D1731-E1731)*F1731,0)+IF(H1731&lt;F1731,H1731*(D1731-E1731),0)</f>
        <v>0</v>
      </c>
      <c r="J1731" s="3179" t="n">
        <f aca="false">G1731-I1731</f>
        <v>0</v>
      </c>
    </row>
    <row r="1732" customFormat="false" ht="15" hidden="false" customHeight="true" outlineLevel="0" collapsed="false">
      <c r="B1732" s="1551" t="str">
        <f aca="false">'Смета Внутр'!B1732</f>
        <v>Нет грунтовки</v>
      </c>
      <c r="C1732" s="1551" t="str">
        <f aca="false">'Смета Внутр'!C1732</f>
        <v>л</v>
      </c>
      <c r="D1732" s="1551" t="n">
        <f aca="false">'Смета Внутр'!D1732</f>
        <v>0</v>
      </c>
      <c r="F1732" s="1551" t="n">
        <f aca="false">'Смета Внутр'!E1732</f>
        <v>0</v>
      </c>
      <c r="G1732" s="1551" t="n">
        <f aca="false">'Смета Внутр'!H1732</f>
        <v>0</v>
      </c>
      <c r="I1732" s="3179" t="n">
        <f aca="false">IF(F1732&lt;H1732,F1732*(D1732-E1732),0)+IF(H1732=0,(D1732-E1732)*F1732,0)+IF(H1732&lt;F1732,H1732*(D1732-E1732),0)</f>
        <v>0</v>
      </c>
      <c r="J1732" s="3179" t="n">
        <f aca="false">G1732-I1732</f>
        <v>0</v>
      </c>
    </row>
    <row r="1733" customFormat="false" ht="15" hidden="false" customHeight="true" outlineLevel="0" collapsed="false">
      <c r="B1733" s="1551" t="str">
        <f aca="false">'Смета Внутр'!B1733</f>
        <v>нет</v>
      </c>
      <c r="C1733" s="1551" t="str">
        <f aca="false">'Смета Внутр'!C1733</f>
        <v>м.п.</v>
      </c>
      <c r="D1733" s="1551" t="n">
        <f aca="false">'Смета Внутр'!D1733</f>
        <v>38.88</v>
      </c>
      <c r="F1733" s="1551" t="n">
        <f aca="false">'Смета Внутр'!E1733</f>
        <v>0</v>
      </c>
      <c r="G1733" s="1551" t="n">
        <f aca="false">'Смета Внутр'!H1733</f>
        <v>0</v>
      </c>
      <c r="I1733" s="3179" t="n">
        <f aca="false">IF(F1733&lt;H1733,F1733*(D1733-E1733),0)+IF(H1733=0,(D1733-E1733)*F1733,0)+IF(H1733&lt;F1733,H1733*(D1733-E1733),0)</f>
        <v>0</v>
      </c>
      <c r="J1733" s="3179" t="n">
        <f aca="false">G1733-I1733</f>
        <v>0</v>
      </c>
    </row>
    <row r="1734" customFormat="false" ht="15" hidden="false" customHeight="true" outlineLevel="0" collapsed="false">
      <c r="B1734" s="1551" t="str">
        <f aca="false">'Смета Внутр'!B1734</f>
        <v>Фасадный кронштейн КК 120</v>
      </c>
      <c r="C1734" s="1551" t="str">
        <f aca="false">'Смета Внутр'!C1734</f>
        <v>шт</v>
      </c>
      <c r="D1734" s="1551" t="n">
        <f aca="false">'Смета Внутр'!D1734</f>
        <v>0</v>
      </c>
      <c r="F1734" s="1551" t="n">
        <f aca="false">'Смета Внутр'!E1734</f>
        <v>19</v>
      </c>
      <c r="G1734" s="1551" t="n">
        <f aca="false">'Смета Внутр'!H1734</f>
        <v>0</v>
      </c>
      <c r="I1734" s="3179" t="n">
        <f aca="false">IF(F1734&lt;H1734,F1734*(D1734-E1734),0)+IF(H1734=0,(D1734-E1734)*F1734,0)+IF(H1734&lt;F1734,H1734*(D1734-E1734),0)</f>
        <v>0</v>
      </c>
      <c r="J1734" s="3179" t="n">
        <f aca="false">G1734-I1734</f>
        <v>0</v>
      </c>
    </row>
    <row r="1735" customFormat="false" ht="15" hidden="false" customHeight="true" outlineLevel="0" collapsed="false">
      <c r="B1735" s="1551" t="str">
        <f aca="false">'Смета Внутр'!B1735</f>
        <v>Болты анкерные с гайкой 10,0 х 97           </v>
      </c>
      <c r="C1735" s="1551" t="str">
        <f aca="false">'Смета Внутр'!C1735</f>
        <v>шт</v>
      </c>
      <c r="D1735" s="1551" t="n">
        <f aca="false">'Смета Внутр'!D1735</f>
        <v>0</v>
      </c>
      <c r="F1735" s="1551" t="n">
        <f aca="false">'Смета Внутр'!E1735</f>
        <v>7.4</v>
      </c>
      <c r="G1735" s="1551" t="n">
        <f aca="false">'Смета Внутр'!H1735</f>
        <v>0</v>
      </c>
      <c r="I1735" s="3179" t="n">
        <f aca="false">IF(F1735&lt;H1735,F1735*(D1735-E1735),0)+IF(H1735=0,(D1735-E1735)*F1735,0)+IF(H1735&lt;F1735,H1735*(D1735-E1735),0)</f>
        <v>0</v>
      </c>
      <c r="J1735" s="3179" t="n">
        <f aca="false">G1735-I1735</f>
        <v>0</v>
      </c>
    </row>
    <row r="1736" customFormat="false" ht="15" hidden="false" customHeight="true" outlineLevel="0" collapsed="false">
      <c r="B1736" s="1551" t="str">
        <f aca="false">'Смета Внутр'!B1736</f>
        <v>Саморезы 3,5 x 45            </v>
      </c>
      <c r="C1736" s="1551" t="str">
        <f aca="false">'Смета Внутр'!C1736</f>
        <v>шт</v>
      </c>
      <c r="D1736" s="1551" t="n">
        <f aca="false">'Смета Внутр'!D1736</f>
        <v>0</v>
      </c>
      <c r="F1736" s="1551" t="n">
        <f aca="false">'Смета Внутр'!E1736</f>
        <v>0.25</v>
      </c>
      <c r="G1736" s="1551" t="n">
        <f aca="false">'Смета Внутр'!H1736</f>
        <v>0</v>
      </c>
      <c r="I1736" s="3179" t="n">
        <f aca="false">IF(F1736&lt;H1736,F1736*(D1736-E1736),0)+IF(H1736=0,(D1736-E1736)*F1736,0)+IF(H1736&lt;F1736,H1736*(D1736-E1736),0)</f>
        <v>0</v>
      </c>
      <c r="J1736" s="3179" t="n">
        <f aca="false">G1736-I1736</f>
        <v>0</v>
      </c>
    </row>
    <row r="1737" customFormat="false" ht="15" hidden="false" customHeight="true" outlineLevel="0" collapsed="false">
      <c r="B1737" s="1551" t="str">
        <f aca="false">'Смета Внутр'!B1737</f>
        <v>Плоский шифер 8 мм</v>
      </c>
      <c r="C1737" s="1551" t="str">
        <f aca="false">'Смета Внутр'!C1737</f>
        <v>м2</v>
      </c>
      <c r="D1737" s="1551" t="n">
        <f aca="false">'Смета Внутр'!D1737</f>
        <v>0</v>
      </c>
      <c r="F1737" s="1551" t="n">
        <f aca="false">'Смета Внутр'!E1737</f>
        <v>85</v>
      </c>
      <c r="G1737" s="1551" t="n">
        <f aca="false">'Смета Внутр'!H1737</f>
        <v>0</v>
      </c>
      <c r="I1737" s="3179" t="n">
        <f aca="false">IF(F1737&lt;H1737,F1737*(D1737-E1737),0)+IF(H1737=0,(D1737-E1737)*F1737,0)+IF(H1737&lt;F1737,H1737*(D1737-E1737),0)</f>
        <v>0</v>
      </c>
      <c r="J1737" s="3179" t="n">
        <f aca="false">G1737-I1737</f>
        <v>0</v>
      </c>
    </row>
    <row r="1738" customFormat="false" ht="15" hidden="false" customHeight="true" outlineLevel="0" collapsed="false">
      <c r="B1738" s="1551" t="str">
        <f aca="false">'Смета Внутр'!B1738</f>
        <v>кровля, подшивка свесов</v>
      </c>
      <c r="C1738" s="1551" t="n">
        <f aca="false">'Смета Внутр'!C1738</f>
        <v>0</v>
      </c>
      <c r="D1738" s="1551" t="n">
        <f aca="false">'Смета Внутр'!D1738</f>
        <v>0</v>
      </c>
      <c r="F1738" s="1551" t="n">
        <f aca="false">'Смета Внутр'!E1738</f>
        <v>0</v>
      </c>
      <c r="G1738" s="1551" t="n">
        <f aca="false">'Смета Внутр'!H1738</f>
        <v>0</v>
      </c>
      <c r="I1738" s="3179" t="n">
        <f aca="false">IF(F1738&lt;H1738,F1738*(D1738-E1738),0)+IF(H1738=0,(D1738-E1738)*F1738,0)+IF(H1738&lt;F1738,H1738*(D1738-E1738),0)</f>
        <v>0</v>
      </c>
      <c r="J1738" s="3179" t="n">
        <f aca="false">G1738-I1738</f>
        <v>0</v>
      </c>
    </row>
    <row r="1739" customFormat="false" ht="15" hidden="false" customHeight="true" outlineLevel="0" collapsed="false">
      <c r="B1739" s="1551" t="str">
        <f aca="false">'Смета Внутр'!B1739</f>
        <v>планкен</v>
      </c>
      <c r="C1739" s="1551" t="str">
        <f aca="false">'Смета Внутр'!C1739</f>
        <v>м2</v>
      </c>
      <c r="D1739" s="1551" t="n">
        <f aca="false">'Смета Внутр'!D1739</f>
        <v>0</v>
      </c>
      <c r="F1739" s="1551" t="n">
        <f aca="false">'Смета Внутр'!E1739</f>
        <v>0</v>
      </c>
      <c r="G1739" s="1551" t="n">
        <f aca="false">'Смета Внутр'!H1739</f>
        <v>0</v>
      </c>
      <c r="I1739" s="3179" t="n">
        <f aca="false">IF(F1739&lt;H1739,F1739*(D1739-E1739),0)+IF(H1739=0,(D1739-E1739)*F1739,0)+IF(H1739&lt;F1739,H1739*(D1739-E1739),0)</f>
        <v>0</v>
      </c>
      <c r="J1739" s="3179" t="n">
        <f aca="false">G1739-I1739</f>
        <v>0</v>
      </c>
    </row>
    <row r="1740" customFormat="false" ht="15" hidden="false" customHeight="true" outlineLevel="0" collapsed="false">
      <c r="B1740" s="1551" t="str">
        <f aca="false">'Смета Внутр'!B1740</f>
        <v>Доска сухая, калибр., 35*45мм</v>
      </c>
      <c r="C1740" s="1551" t="str">
        <f aca="false">'Смета Внутр'!C1740</f>
        <v>м.п.</v>
      </c>
      <c r="D1740" s="1551" t="n">
        <f aca="false">'Смета Внутр'!D1740</f>
        <v>0</v>
      </c>
      <c r="F1740" s="1551" t="n">
        <f aca="false">'Смета Внутр'!E1740</f>
        <v>19.6875</v>
      </c>
      <c r="G1740" s="1551" t="n">
        <f aca="false">'Смета Внутр'!H1740</f>
        <v>0</v>
      </c>
      <c r="I1740" s="3179" t="n">
        <f aca="false">IF(F1740&lt;H1740,F1740*(D1740-E1740),0)+IF(H1740=0,(D1740-E1740)*F1740,0)+IF(H1740&lt;F1740,H1740*(D1740-E1740),0)</f>
        <v>0</v>
      </c>
      <c r="J1740" s="3179" t="n">
        <f aca="false">G1740-I1740</f>
        <v>0</v>
      </c>
    </row>
    <row r="1741" customFormat="false" ht="15" hidden="false" customHeight="true" outlineLevel="0" collapsed="false">
      <c r="B1741" s="1551" t="str">
        <f aca="false">'Смета Внутр'!B1741</f>
        <v>сайдинг</v>
      </c>
      <c r="C1741" s="1551" t="str">
        <f aca="false">'Смета Внутр'!C1741</f>
        <v>м2</v>
      </c>
      <c r="D1741" s="1551" t="n">
        <f aca="false">'Смета Внутр'!D1741</f>
        <v>0</v>
      </c>
      <c r="F1741" s="1551" t="n">
        <f aca="false">'Смета Внутр'!E1741</f>
        <v>350</v>
      </c>
      <c r="G1741" s="1551" t="n">
        <f aca="false">'Смета Внутр'!H1741</f>
        <v>0</v>
      </c>
      <c r="I1741" s="3179" t="n">
        <f aca="false">IF(F1741&lt;H1741,F1741*(D1741-E1741),0)+IF(H1741=0,(D1741-E1741)*F1741,0)+IF(H1741&lt;F1741,H1741*(D1741-E1741),0)</f>
        <v>0</v>
      </c>
      <c r="J1741" s="3179" t="n">
        <f aca="false">G1741-I1741</f>
        <v>0</v>
      </c>
    </row>
    <row r="1742" customFormat="false" ht="15" hidden="false" customHeight="true" outlineLevel="0" collapsed="false">
      <c r="B1742" s="1551" t="str">
        <f aca="false">'Смета Внутр'!B1742</f>
        <v>торцевая планка винил</v>
      </c>
      <c r="C1742" s="1551" t="str">
        <f aca="false">'Смета Внутр'!C1742</f>
        <v>м.п.</v>
      </c>
      <c r="D1742" s="1551" t="n">
        <f aca="false">'Смета Внутр'!D1742</f>
        <v>0</v>
      </c>
      <c r="F1742" s="1551" t="n">
        <f aca="false">'Смета Внутр'!E1742</f>
        <v>60</v>
      </c>
      <c r="G1742" s="1551" t="n">
        <f aca="false">'Смета Внутр'!H1742</f>
        <v>0</v>
      </c>
      <c r="I1742" s="3179" t="n">
        <f aca="false">IF(F1742&lt;H1742,F1742*(D1742-E1742),0)+IF(H1742=0,(D1742-E1742)*F1742,0)+IF(H1742&lt;F1742,H1742*(D1742-E1742),0)</f>
        <v>0</v>
      </c>
      <c r="J1742" s="3179" t="n">
        <f aca="false">G1742-I1742</f>
        <v>0</v>
      </c>
    </row>
    <row r="1743" customFormat="false" ht="15" hidden="false" customHeight="true" outlineLevel="0" collapsed="false">
      <c r="B1743" s="1551" t="str">
        <f aca="false">'Смета Внутр'!B1743</f>
        <v>стартовый профиль для сайдинга</v>
      </c>
      <c r="C1743" s="1551" t="str">
        <f aca="false">'Смета Внутр'!C1743</f>
        <v>м.п.</v>
      </c>
      <c r="D1743" s="1551" t="n">
        <f aca="false">'Смета Внутр'!D1743</f>
        <v>0</v>
      </c>
      <c r="F1743" s="1551" t="n">
        <f aca="false">'Смета Внутр'!E1743</f>
        <v>40</v>
      </c>
      <c r="G1743" s="1551" t="n">
        <f aca="false">'Смета Внутр'!H1743</f>
        <v>0</v>
      </c>
      <c r="I1743" s="3179" t="n">
        <f aca="false">IF(F1743&lt;H1743,F1743*(D1743-E1743),0)+IF(H1743=0,(D1743-E1743)*F1743,0)+IF(H1743&lt;F1743,H1743*(D1743-E1743),0)</f>
        <v>0</v>
      </c>
      <c r="J1743" s="3179" t="n">
        <f aca="false">G1743-I1743</f>
        <v>0</v>
      </c>
    </row>
    <row r="1744" customFormat="false" ht="15" hidden="false" customHeight="true" outlineLevel="0" collapsed="false">
      <c r="B1744" s="1551" t="str">
        <f aca="false">'Смета Внутр'!B1744</f>
        <v>Саморезы 3,5 x 45            </v>
      </c>
      <c r="C1744" s="1551" t="str">
        <f aca="false">'Смета Внутр'!C1744</f>
        <v>шт</v>
      </c>
      <c r="D1744" s="1551" t="n">
        <f aca="false">'Смета Внутр'!D1744</f>
        <v>0</v>
      </c>
      <c r="F1744" s="1551" t="n">
        <f aca="false">'Смета Внутр'!E1744</f>
        <v>0.25</v>
      </c>
      <c r="G1744" s="1551" t="n">
        <f aca="false">'Смета Внутр'!H1744</f>
        <v>0</v>
      </c>
      <c r="I1744" s="3179" t="n">
        <f aca="false">IF(F1744&lt;H1744,F1744*(D1744-E1744),0)+IF(H1744=0,(D1744-E1744)*F1744,0)+IF(H1744&lt;F1744,H1744*(D1744-E1744),0)</f>
        <v>0</v>
      </c>
      <c r="J1744" s="3179" t="n">
        <f aca="false">G1744-I1744</f>
        <v>0</v>
      </c>
    </row>
    <row r="1745" customFormat="false" ht="15" hidden="false" customHeight="true" outlineLevel="0" collapsed="false">
      <c r="B1745" s="1551" t="str">
        <f aca="false">'Смета Внутр'!B1745</f>
        <v>Саморезы 4,2 х 75            </v>
      </c>
      <c r="C1745" s="1551" t="str">
        <f aca="false">'Смета Внутр'!C1745</f>
        <v>шт</v>
      </c>
      <c r="D1745" s="1551" t="n">
        <f aca="false">'Смета Внутр'!D1745</f>
        <v>0</v>
      </c>
      <c r="F1745" s="1551" t="n">
        <f aca="false">'Смета Внутр'!E1745</f>
        <v>0.45</v>
      </c>
      <c r="G1745" s="1551" t="n">
        <f aca="false">'Смета Внутр'!H1745</f>
        <v>0</v>
      </c>
      <c r="I1745" s="3179" t="n">
        <f aca="false">IF(F1745&lt;H1745,F1745*(D1745-E1745),0)+IF(H1745=0,(D1745-E1745)*F1745,0)+IF(H1745&lt;F1745,H1745*(D1745-E1745),0)</f>
        <v>0</v>
      </c>
      <c r="J1745" s="3179" t="n">
        <f aca="false">G1745-I1745</f>
        <v>0</v>
      </c>
    </row>
    <row r="1746" customFormat="false" ht="15" hidden="false" customHeight="true" outlineLevel="0" collapsed="false">
      <c r="B1746" s="1692" t="s">
        <v>4332</v>
      </c>
      <c r="C1746" s="1692"/>
      <c r="D1746" s="1692"/>
      <c r="E1746" s="1692"/>
      <c r="F1746" s="1692"/>
      <c r="G1746" s="1551" t="n">
        <f aca="false">'Смета Внутр'!H1746</f>
        <v>23181.385</v>
      </c>
      <c r="H1746" s="3184"/>
      <c r="I1746" s="3179" t="n">
        <f aca="false">IF(F1746&lt;H1746,F1746*(D1746-E1746),0)+IF(H1746=0,(D1746-E1746)*F1746,0)+IF(H1746&lt;F1746,H1746*(D1746-E1746),0)</f>
        <v>0</v>
      </c>
      <c r="J1746" s="3179" t="n">
        <f aca="false">G1746-I1746</f>
        <v>23181.385</v>
      </c>
    </row>
    <row r="1747" customFormat="false" ht="15" hidden="false" customHeight="true" outlineLevel="0" collapsed="false">
      <c r="B1747" s="1268" t="str">
        <f aca="false">'Смета Внутр'!B1747</f>
        <v>Работы</v>
      </c>
      <c r="C1747" s="1268"/>
      <c r="D1747" s="1268"/>
      <c r="E1747" s="1268"/>
      <c r="F1747" s="1268"/>
      <c r="G1747" s="1551" t="n">
        <f aca="false">'Смета Внутр'!H1747</f>
        <v>1</v>
      </c>
      <c r="H1747" s="3175"/>
      <c r="I1747" s="3179" t="n">
        <f aca="false">IF(F1747&lt;H1747,F1747*(D1747-E1747),0)+IF(H1747=0,(D1747-E1747)*F1747,0)+IF(H1747&lt;F1747,H1747*(D1747-E1747),0)</f>
        <v>0</v>
      </c>
      <c r="J1747" s="3179" t="n">
        <f aca="false">G1747-I1747</f>
        <v>1</v>
      </c>
    </row>
    <row r="1748" customFormat="false" ht="15" hidden="false" customHeight="true" outlineLevel="0" collapsed="false">
      <c r="B1748" s="1551" t="str">
        <f aca="false">'Смета Внутр'!B1748</f>
        <v>стены</v>
      </c>
      <c r="C1748" s="1551" t="n">
        <f aca="false">'Смета Внутр'!C1748</f>
        <v>0</v>
      </c>
      <c r="D1748" s="1551" t="n">
        <f aca="false">'Смета Внутр'!D1748</f>
        <v>0</v>
      </c>
      <c r="F1748" s="1551" t="n">
        <f aca="false">'Смета Внутр'!E1748</f>
        <v>0</v>
      </c>
      <c r="G1748" s="1551" t="n">
        <f aca="false">'Смета Внутр'!H1748</f>
        <v>1</v>
      </c>
      <c r="I1748" s="3179" t="n">
        <f aca="false">IF(F1748&lt;H1748,F1748*(D1748-E1748),0)+IF(H1748=0,(D1748-E1748)*F1748,0)+IF(H1748&lt;F1748,H1748*(D1748-E1748),0)</f>
        <v>0</v>
      </c>
      <c r="J1748" s="3179" t="n">
        <f aca="false">G1748-I1748</f>
        <v>1</v>
      </c>
    </row>
    <row r="1749" customFormat="false" ht="15" hidden="false" customHeight="true" outlineLevel="0" collapsed="false">
      <c r="B1749" s="1551" t="str">
        <f aca="false">'Смета Внутр'!B1749</f>
        <v>кладка кирпича облицов</v>
      </c>
      <c r="C1749" s="1551" t="str">
        <f aca="false">'Смета Внутр'!C1749</f>
        <v>м2</v>
      </c>
      <c r="D1749" s="1551" t="n">
        <f aca="false">'Смета Внутр'!D1749</f>
        <v>0</v>
      </c>
      <c r="F1749" s="1551" t="n">
        <f aca="false">'Смета Внутр'!E1749</f>
        <v>500</v>
      </c>
      <c r="G1749" s="1551" t="n">
        <f aca="false">'Смета Внутр'!H1749</f>
        <v>0</v>
      </c>
      <c r="I1749" s="3179" t="n">
        <f aca="false">IF(F1749&lt;H1749,F1749*(D1749-E1749),0)+IF(H1749=0,(D1749-E1749)*F1749,0)+IF(H1749&lt;F1749,H1749*(D1749-E1749),0)</f>
        <v>0</v>
      </c>
      <c r="J1749" s="3179" t="n">
        <f aca="false">G1749-I1749</f>
        <v>0</v>
      </c>
    </row>
    <row r="1750" customFormat="false" ht="15" hidden="false" customHeight="true" outlineLevel="0" collapsed="false">
      <c r="B1750" s="1551" t="str">
        <f aca="false">'Смета Внутр'!B1750</f>
        <v>монтаж подсистемы</v>
      </c>
      <c r="C1750" s="1551" t="str">
        <f aca="false">'Смета Внутр'!C1750</f>
        <v>м2</v>
      </c>
      <c r="D1750" s="1551" t="n">
        <f aca="false">'Смета Внутр'!D1750</f>
        <v>0</v>
      </c>
      <c r="F1750" s="1551" t="n">
        <f aca="false">'Смета Внутр'!E1750</f>
        <v>200</v>
      </c>
      <c r="G1750" s="1551" t="n">
        <f aca="false">'Смета Внутр'!H1750</f>
        <v>0</v>
      </c>
      <c r="I1750" s="3179" t="n">
        <f aca="false">IF(F1750&lt;H1750,F1750*(D1750-E1750),0)+IF(H1750=0,(D1750-E1750)*F1750,0)+IF(H1750&lt;F1750,H1750*(D1750-E1750),0)</f>
        <v>0</v>
      </c>
      <c r="J1750" s="3179" t="n">
        <f aca="false">G1750-I1750</f>
        <v>0</v>
      </c>
    </row>
    <row r="1751" customFormat="false" ht="15" hidden="false" customHeight="true" outlineLevel="0" collapsed="false">
      <c r="B1751" s="1551" t="str">
        <f aca="false">'Смета Внутр'!B1751</f>
        <v>сайдинг виниловый</v>
      </c>
      <c r="C1751" s="1551" t="str">
        <f aca="false">'Смета Внутр'!C1751</f>
        <v>м2</v>
      </c>
      <c r="D1751" s="1551" t="n">
        <f aca="false">'Смета Внутр'!D1751</f>
        <v>0</v>
      </c>
      <c r="F1751" s="1551" t="n">
        <f aca="false">'Смета Внутр'!E1751</f>
        <v>300</v>
      </c>
      <c r="G1751" s="1551" t="n">
        <f aca="false">'Смета Внутр'!H1751</f>
        <v>0</v>
      </c>
      <c r="I1751" s="3179" t="n">
        <f aca="false">IF(F1751&lt;H1751,F1751*(D1751-E1751),0)+IF(H1751=0,(D1751-E1751)*F1751,0)+IF(H1751&lt;F1751,H1751*(D1751-E1751),0)</f>
        <v>0</v>
      </c>
      <c r="J1751" s="3179" t="n">
        <f aca="false">G1751-I1751</f>
        <v>0</v>
      </c>
    </row>
    <row r="1752" customFormat="false" ht="15" hidden="false" customHeight="true" outlineLevel="0" collapsed="false">
      <c r="B1752" s="1551" t="str">
        <f aca="false">'Смета Внутр'!B1752</f>
        <v>сайдинг металл</v>
      </c>
      <c r="C1752" s="1551" t="str">
        <f aca="false">'Смета Внутр'!C1752</f>
        <v>м2</v>
      </c>
      <c r="D1752" s="1551" t="n">
        <f aca="false">'Смета Внутр'!D1752</f>
        <v>0</v>
      </c>
      <c r="F1752" s="1551" t="n">
        <f aca="false">'Смета Внутр'!E1752</f>
        <v>350</v>
      </c>
      <c r="G1752" s="1551" t="n">
        <f aca="false">'Смета Внутр'!H1752</f>
        <v>0</v>
      </c>
      <c r="I1752" s="3179" t="n">
        <f aca="false">IF(F1752&lt;H1752,F1752*(D1752-E1752),0)+IF(H1752=0,(D1752-E1752)*F1752,0)+IF(H1752&lt;F1752,H1752*(D1752-E1752),0)</f>
        <v>0</v>
      </c>
      <c r="J1752" s="3179" t="n">
        <f aca="false">G1752-I1752</f>
        <v>0</v>
      </c>
    </row>
    <row r="1753" customFormat="false" ht="15" hidden="false" customHeight="true" outlineLevel="0" collapsed="false">
      <c r="B1753" s="1551" t="str">
        <f aca="false">'Смета Внутр'!B1753</f>
        <v>планкен</v>
      </c>
      <c r="C1753" s="1551" t="str">
        <f aca="false">'Смета Внутр'!C1753</f>
        <v>м2</v>
      </c>
      <c r="D1753" s="1551" t="n">
        <f aca="false">'Смета Внутр'!D1753</f>
        <v>0</v>
      </c>
      <c r="F1753" s="1551" t="n">
        <f aca="false">'Смета Внутр'!E1753</f>
        <v>500</v>
      </c>
      <c r="G1753" s="1551" t="n">
        <f aca="false">'Смета Внутр'!H1753</f>
        <v>0</v>
      </c>
      <c r="I1753" s="3179" t="n">
        <f aca="false">IF(F1753&lt;H1753,F1753*(D1753-E1753),0)+IF(H1753=0,(D1753-E1753)*F1753,0)+IF(H1753&lt;F1753,H1753*(D1753-E1753),0)</f>
        <v>0</v>
      </c>
      <c r="J1753" s="3179" t="n">
        <f aca="false">G1753-I1753</f>
        <v>0</v>
      </c>
    </row>
    <row r="1754" customFormat="false" ht="15" hidden="false" customHeight="true" outlineLevel="0" collapsed="false">
      <c r="B1754" s="1551" t="str">
        <f aca="false">'Смета Внутр'!B1754</f>
        <v>камень</v>
      </c>
      <c r="C1754" s="1551" t="str">
        <f aca="false">'Смета Внутр'!C1754</f>
        <v>м2</v>
      </c>
      <c r="D1754" s="1551" t="n">
        <f aca="false">'Смета Внутр'!D1754</f>
        <v>0</v>
      </c>
      <c r="F1754" s="1551" t="n">
        <f aca="false">'Смета Внутр'!E1754</f>
        <v>600</v>
      </c>
      <c r="G1754" s="1551" t="n">
        <f aca="false">'Смета Внутр'!H1754</f>
        <v>0</v>
      </c>
      <c r="I1754" s="3179" t="n">
        <f aca="false">IF(F1754&lt;H1754,F1754*(D1754-E1754),0)+IF(H1754=0,(D1754-E1754)*F1754,0)+IF(H1754&lt;F1754,H1754*(D1754-E1754),0)</f>
        <v>0</v>
      </c>
      <c r="J1754" s="3179" t="n">
        <f aca="false">G1754-I1754</f>
        <v>0</v>
      </c>
    </row>
    <row r="1755" customFormat="false" ht="15" hidden="false" customHeight="true" outlineLevel="0" collapsed="false">
      <c r="B1755" s="1551" t="str">
        <f aca="false">'Смета Внутр'!B1755</f>
        <v>окрашивание поверхности</v>
      </c>
      <c r="C1755" s="1551" t="str">
        <f aca="false">'Смета Внутр'!C1755</f>
        <v>м2</v>
      </c>
      <c r="D1755" s="1551" t="n">
        <f aca="false">'Смета Внутр'!D1755</f>
        <v>0</v>
      </c>
      <c r="F1755" s="1551" t="n">
        <f aca="false">'Смета Внутр'!E1755</f>
        <v>200</v>
      </c>
      <c r="G1755" s="1551" t="n">
        <f aca="false">'Смета Внутр'!H1755</f>
        <v>0</v>
      </c>
      <c r="I1755" s="3179" t="n">
        <f aca="false">IF(F1755&lt;H1755,F1755*(D1755-E1755),0)+IF(H1755=0,(D1755-E1755)*F1755,0)+IF(H1755&lt;F1755,H1755*(D1755-E1755),0)</f>
        <v>0</v>
      </c>
      <c r="J1755" s="3179" t="n">
        <f aca="false">G1755-I1755</f>
        <v>0</v>
      </c>
    </row>
    <row r="1756" customFormat="false" ht="15" hidden="false" customHeight="true" outlineLevel="0" collapsed="false">
      <c r="B1756" s="1551" t="str">
        <f aca="false">'Смета Внутр'!B1756</f>
        <v>лакирование пов-ти</v>
      </c>
      <c r="C1756" s="1551" t="str">
        <f aca="false">'Смета Внутр'!C1756</f>
        <v>м2</v>
      </c>
      <c r="D1756" s="1551" t="n">
        <f aca="false">'Смета Внутр'!D1756</f>
        <v>0</v>
      </c>
      <c r="F1756" s="1551" t="n">
        <f aca="false">'Смета Внутр'!E1756</f>
        <v>300</v>
      </c>
      <c r="G1756" s="1551" t="n">
        <f aca="false">'Смета Внутр'!H1756</f>
        <v>0</v>
      </c>
      <c r="I1756" s="3179" t="n">
        <f aca="false">IF(F1756&lt;H1756,F1756*(D1756-E1756),0)+IF(H1756=0,(D1756-E1756)*F1756,0)+IF(H1756&lt;F1756,H1756*(D1756-E1756),0)</f>
        <v>0</v>
      </c>
      <c r="J1756" s="3179" t="n">
        <f aca="false">G1756-I1756</f>
        <v>0</v>
      </c>
    </row>
    <row r="1757" customFormat="false" ht="15" hidden="false" customHeight="true" outlineLevel="0" collapsed="false">
      <c r="B1757" s="1551" t="str">
        <f aca="false">'Смета Внутр'!B1757</f>
        <v>монтаж плоский шифер</v>
      </c>
      <c r="C1757" s="1551" t="str">
        <f aca="false">'Смета Внутр'!C1757</f>
        <v>м2</v>
      </c>
      <c r="D1757" s="1551" t="n">
        <f aca="false">'Смета Внутр'!D1757</f>
        <v>0</v>
      </c>
      <c r="F1757" s="1551" t="n">
        <f aca="false">'Смета Внутр'!E1757</f>
        <v>120</v>
      </c>
      <c r="G1757" s="1551" t="n">
        <f aca="false">'Смета Внутр'!H1757</f>
        <v>0</v>
      </c>
      <c r="I1757" s="3179" t="n">
        <f aca="false">IF(F1757&lt;H1757,F1757*(D1757-E1757),0)+IF(H1757=0,(D1757-E1757)*F1757,0)+IF(H1757&lt;F1757,H1757*(D1757-E1757),0)</f>
        <v>0</v>
      </c>
      <c r="J1757" s="3179" t="n">
        <f aca="false">G1757-I1757</f>
        <v>0</v>
      </c>
    </row>
    <row r="1758" customFormat="false" ht="15" hidden="false" customHeight="true" outlineLevel="0" collapsed="false">
      <c r="B1758" s="1551" t="str">
        <f aca="false">'Смета Внутр'!B1758</f>
        <v>имитация бруса</v>
      </c>
      <c r="C1758" s="1551" t="str">
        <f aca="false">'Смета Внутр'!C1758</f>
        <v>м2</v>
      </c>
      <c r="D1758" s="1551" t="n">
        <f aca="false">'Смета Внутр'!D1758</f>
        <v>0</v>
      </c>
      <c r="F1758" s="1551" t="n">
        <f aca="false">'Смета Внутр'!E1758</f>
        <v>400</v>
      </c>
      <c r="G1758" s="1551" t="n">
        <f aca="false">'Смета Внутр'!H1758</f>
        <v>0</v>
      </c>
      <c r="I1758" s="3179" t="n">
        <f aca="false">IF(F1758&lt;H1758,F1758*(D1758-E1758),0)+IF(H1758=0,(D1758-E1758)*F1758,0)+IF(H1758&lt;F1758,H1758*(D1758-E1758),0)</f>
        <v>0</v>
      </c>
      <c r="J1758" s="3179" t="n">
        <f aca="false">G1758-I1758</f>
        <v>0</v>
      </c>
    </row>
    <row r="1759" customFormat="false" ht="15" hidden="false" customHeight="true" outlineLevel="0" collapsed="false">
      <c r="B1759" s="1551" t="str">
        <f aca="false">'Смета Внутр'!B1759</f>
        <v>Утепление наружних стен</v>
      </c>
      <c r="C1759" s="1551" t="str">
        <f aca="false">'Смета Внутр'!C1759</f>
        <v>м2</v>
      </c>
      <c r="D1759" s="1551" t="n">
        <f aca="false">'Смета Внутр'!D1759</f>
        <v>0</v>
      </c>
      <c r="F1759" s="1551" t="n">
        <f aca="false">'Смета Внутр'!E1759</f>
        <v>200</v>
      </c>
      <c r="G1759" s="1551" t="n">
        <f aca="false">'Смета Внутр'!H1759</f>
        <v>0</v>
      </c>
      <c r="I1759" s="3179" t="n">
        <f aca="false">IF(F1759&lt;H1759,F1759*(D1759-E1759),0)+IF(H1759=0,(D1759-E1759)*F1759,0)+IF(H1759&lt;F1759,H1759*(D1759-E1759),0)</f>
        <v>0</v>
      </c>
      <c r="J1759" s="3179" t="n">
        <f aca="false">G1759-I1759</f>
        <v>0</v>
      </c>
    </row>
    <row r="1760" customFormat="false" ht="15" hidden="false" customHeight="true" outlineLevel="0" collapsed="false">
      <c r="B1760" s="1551" t="str">
        <f aca="false">'Смета Внутр'!B1760</f>
        <v>Оштукатуривание поверхности, подготовка</v>
      </c>
      <c r="C1760" s="1551" t="str">
        <f aca="false">'Смета Внутр'!C1760</f>
        <v>м2</v>
      </c>
      <c r="D1760" s="1551" t="n">
        <f aca="false">'Смета Внутр'!D1760</f>
        <v>174.43</v>
      </c>
      <c r="F1760" s="1551" t="n">
        <f aca="false">'Смета Внутр'!E1760</f>
        <v>400</v>
      </c>
      <c r="G1760" s="1551" t="n">
        <f aca="false">'Смета Внутр'!H1760</f>
        <v>69772</v>
      </c>
      <c r="I1760" s="3179" t="n">
        <f aca="false">IF(F1760&lt;H1760,F1760*(D1760-E1760),0)+IF(H1760=0,(D1760-E1760)*F1760,0)+IF(H1760&lt;F1760,H1760*(D1760-E1760),0)</f>
        <v>69772</v>
      </c>
      <c r="J1760" s="3179" t="n">
        <f aca="false">G1760-I1760</f>
        <v>0</v>
      </c>
    </row>
    <row r="1761" customFormat="false" ht="15" hidden="false" customHeight="true" outlineLevel="0" collapsed="false">
      <c r="B1761" s="1551" t="str">
        <f aca="false">'Смета Внутр'!B1761</f>
        <v>Наклейка сетки</v>
      </c>
      <c r="C1761" s="1551" t="str">
        <f aca="false">'Смета Внутр'!C1761</f>
        <v>м2</v>
      </c>
      <c r="D1761" s="1551" t="n">
        <f aca="false">'Смета Внутр'!D1761</f>
        <v>174.43</v>
      </c>
      <c r="F1761" s="1551" t="n">
        <f aca="false">'Смета Внутр'!E1761</f>
        <v>200</v>
      </c>
      <c r="G1761" s="1551" t="n">
        <f aca="false">'Смета Внутр'!H1761</f>
        <v>34886</v>
      </c>
      <c r="I1761" s="3179" t="n">
        <f aca="false">IF(F1761&lt;H1761,F1761*(D1761-E1761),0)+IF(H1761=0,(D1761-E1761)*F1761,0)+IF(H1761&lt;F1761,H1761*(D1761-E1761),0)</f>
        <v>34886</v>
      </c>
      <c r="J1761" s="3179" t="n">
        <f aca="false">G1761-I1761</f>
        <v>0</v>
      </c>
    </row>
    <row r="1762" customFormat="false" ht="15" hidden="false" customHeight="true" outlineLevel="0" collapsed="false">
      <c r="B1762" s="1551" t="str">
        <f aca="false">'Смета Внутр'!B1762</f>
        <v>Нанесение декоративной штукатурки</v>
      </c>
      <c r="C1762" s="1551" t="str">
        <f aca="false">'Смета Внутр'!C1762</f>
        <v>м2</v>
      </c>
      <c r="D1762" s="1551" t="n">
        <f aca="false">'Смета Внутр'!D1762</f>
        <v>174.43</v>
      </c>
      <c r="F1762" s="1551" t="n">
        <f aca="false">'Смета Внутр'!E1762</f>
        <v>600</v>
      </c>
      <c r="G1762" s="1551" t="n">
        <f aca="false">'Смета Внутр'!H1762</f>
        <v>104658</v>
      </c>
      <c r="I1762" s="3179" t="n">
        <f aca="false">IF(F1762&lt;H1762,F1762*(D1762-E1762),0)+IF(H1762=0,(D1762-E1762)*F1762,0)+IF(H1762&lt;F1762,H1762*(D1762-E1762),0)</f>
        <v>104658</v>
      </c>
      <c r="J1762" s="3179" t="n">
        <f aca="false">G1762-I1762</f>
        <v>0</v>
      </c>
    </row>
    <row r="1763" customFormat="false" ht="15" hidden="false" customHeight="true" outlineLevel="0" collapsed="false">
      <c r="B1763" s="1551" t="str">
        <f aca="false">'Смета Внутр'!B1763</f>
        <v>цоколь</v>
      </c>
      <c r="C1763" s="1551" t="n">
        <f aca="false">'Смета Внутр'!C1763</f>
        <v>0</v>
      </c>
      <c r="D1763" s="1551" t="n">
        <f aca="false">'Смета Внутр'!D1763</f>
        <v>0</v>
      </c>
      <c r="F1763" s="1551" t="n">
        <f aca="false">'Смета Внутр'!E1763</f>
        <v>0</v>
      </c>
      <c r="G1763" s="1551" t="n">
        <f aca="false">'Смета Внутр'!H1763</f>
        <v>0</v>
      </c>
      <c r="I1763" s="3179" t="n">
        <f aca="false">IF(F1763&lt;H1763,F1763*(D1763-E1763),0)+IF(H1763=0,(D1763-E1763)*F1763,0)+IF(H1763&lt;F1763,H1763*(D1763-E1763),0)</f>
        <v>0</v>
      </c>
      <c r="J1763" s="3179" t="n">
        <f aca="false">G1763-I1763</f>
        <v>0</v>
      </c>
    </row>
    <row r="1764" customFormat="false" ht="15" hidden="false" customHeight="true" outlineLevel="0" collapsed="false">
      <c r="B1764" s="1551" t="str">
        <f aca="false">'Смета Внутр'!B1764</f>
        <v>монтаж подсистемы</v>
      </c>
      <c r="C1764" s="1551" t="str">
        <f aca="false">'Смета Внутр'!C1764</f>
        <v>м2</v>
      </c>
      <c r="D1764" s="1551" t="n">
        <f aca="false">'Смета Внутр'!D1764</f>
        <v>0</v>
      </c>
      <c r="F1764" s="1551" t="n">
        <f aca="false">'Смета Внутр'!E1764</f>
        <v>200</v>
      </c>
      <c r="G1764" s="1551" t="n">
        <f aca="false">'Смета Внутр'!H1764</f>
        <v>0</v>
      </c>
      <c r="I1764" s="3179" t="n">
        <f aca="false">IF(F1764&lt;H1764,F1764*(D1764-E1764),0)+IF(H1764=0,(D1764-E1764)*F1764,0)+IF(H1764&lt;F1764,H1764*(D1764-E1764),0)</f>
        <v>0</v>
      </c>
      <c r="J1764" s="3179" t="n">
        <f aca="false">G1764-I1764</f>
        <v>0</v>
      </c>
    </row>
    <row r="1765" customFormat="false" ht="15" hidden="false" customHeight="true" outlineLevel="0" collapsed="false">
      <c r="B1765" s="1551" t="str">
        <f aca="false">'Смета Внутр'!B1765</f>
        <v>монтаж отлив</v>
      </c>
      <c r="C1765" s="1551" t="str">
        <f aca="false">'Смета Внутр'!C1765</f>
        <v>м.п.</v>
      </c>
      <c r="D1765" s="1551" t="n">
        <f aca="false">'Смета Внутр'!D1765</f>
        <v>0</v>
      </c>
      <c r="F1765" s="1551" t="n">
        <f aca="false">'Смета Внутр'!E1765</f>
        <v>120</v>
      </c>
      <c r="G1765" s="1551" t="n">
        <f aca="false">'Смета Внутр'!H1765</f>
        <v>0</v>
      </c>
      <c r="I1765" s="3179" t="n">
        <f aca="false">IF(F1765&lt;H1765,F1765*(D1765-E1765),0)+IF(H1765=0,(D1765-E1765)*F1765,0)+IF(H1765&lt;F1765,H1765*(D1765-E1765),0)</f>
        <v>0</v>
      </c>
      <c r="J1765" s="3179" t="n">
        <f aca="false">G1765-I1765</f>
        <v>0</v>
      </c>
    </row>
    <row r="1766" customFormat="false" ht="15" hidden="false" customHeight="true" outlineLevel="0" collapsed="false">
      <c r="B1766" s="1551" t="str">
        <f aca="false">'Смета Внутр'!B1766</f>
        <v>монтаж плоский шифер</v>
      </c>
      <c r="C1766" s="1551" t="str">
        <f aca="false">'Смета Внутр'!C1766</f>
        <v>м2</v>
      </c>
      <c r="D1766" s="1551" t="n">
        <f aca="false">'Смета Внутр'!D1766</f>
        <v>0</v>
      </c>
      <c r="F1766" s="1551" t="n">
        <f aca="false">'Смета Внутр'!E1766</f>
        <v>120</v>
      </c>
      <c r="G1766" s="1551" t="n">
        <f aca="false">'Смета Внутр'!H1766</f>
        <v>0</v>
      </c>
      <c r="I1766" s="3179" t="n">
        <f aca="false">IF(F1766&lt;H1766,F1766*(D1766-E1766),0)+IF(H1766=0,(D1766-E1766)*F1766,0)+IF(H1766&lt;F1766,H1766*(D1766-E1766),0)</f>
        <v>0</v>
      </c>
      <c r="J1766" s="3179" t="n">
        <f aca="false">G1766-I1766</f>
        <v>0</v>
      </c>
    </row>
    <row r="1767" customFormat="false" ht="15" hidden="false" customHeight="true" outlineLevel="0" collapsed="false">
      <c r="B1767" s="1551" t="str">
        <f aca="false">'Смета Внутр'!B1767</f>
        <v>сайдинг металл сайдинг</v>
      </c>
      <c r="C1767" s="1551" t="str">
        <f aca="false">'Смета Внутр'!C1767</f>
        <v>м2</v>
      </c>
      <c r="D1767" s="1551" t="n">
        <f aca="false">'Смета Внутр'!D1767</f>
        <v>0</v>
      </c>
      <c r="F1767" s="1551" t="n">
        <f aca="false">'Смета Внутр'!E1767</f>
        <v>350</v>
      </c>
      <c r="G1767" s="1551" t="n">
        <f aca="false">'Смета Внутр'!H1767</f>
        <v>0</v>
      </c>
      <c r="I1767" s="3179" t="n">
        <f aca="false">IF(F1767&lt;H1767,F1767*(D1767-E1767),0)+IF(H1767=0,(D1767-E1767)*F1767,0)+IF(H1767&lt;F1767,H1767*(D1767-E1767),0)</f>
        <v>0</v>
      </c>
      <c r="J1767" s="3179" t="n">
        <f aca="false">G1767-I1767</f>
        <v>0</v>
      </c>
    </row>
    <row r="1768" customFormat="false" ht="15" hidden="false" customHeight="true" outlineLevel="0" collapsed="false">
      <c r="B1768" s="1551" t="str">
        <f aca="false">'Смета Внутр'!B1768</f>
        <v>монтаж камень природ</v>
      </c>
      <c r="C1768" s="1551" t="str">
        <f aca="false">'Смета Внутр'!C1768</f>
        <v>м2</v>
      </c>
      <c r="D1768" s="1551" t="n">
        <f aca="false">'Смета Внутр'!D1768</f>
        <v>0</v>
      </c>
      <c r="F1768" s="1551" t="n">
        <f aca="false">'Смета Внутр'!E1768</f>
        <v>900</v>
      </c>
      <c r="G1768" s="1551" t="n">
        <f aca="false">'Смета Внутр'!H1768</f>
        <v>0</v>
      </c>
      <c r="I1768" s="3179" t="n">
        <f aca="false">IF(F1768&lt;H1768,F1768*(D1768-E1768),0)+IF(H1768=0,(D1768-E1768)*F1768,0)+IF(H1768&lt;F1768,H1768*(D1768-E1768),0)</f>
        <v>0</v>
      </c>
      <c r="J1768" s="3179" t="n">
        <f aca="false">G1768-I1768</f>
        <v>0</v>
      </c>
    </row>
    <row r="1769" customFormat="false" ht="15" hidden="false" customHeight="true" outlineLevel="0" collapsed="false">
      <c r="B1769" s="1551" t="str">
        <f aca="false">'Смета Внутр'!B1769</f>
        <v>монтаж камень искуст-ый</v>
      </c>
      <c r="C1769" s="1551" t="str">
        <f aca="false">'Смета Внутр'!C1769</f>
        <v>м2</v>
      </c>
      <c r="D1769" s="1551" t="n">
        <f aca="false">'Смета Внутр'!D1769</f>
        <v>0</v>
      </c>
      <c r="F1769" s="1551" t="n">
        <f aca="false">'Смета Внутр'!E1769</f>
        <v>800</v>
      </c>
      <c r="G1769" s="1551" t="n">
        <f aca="false">'Смета Внутр'!H1769</f>
        <v>0</v>
      </c>
      <c r="I1769" s="3179" t="n">
        <f aca="false">IF(F1769&lt;H1769,F1769*(D1769-E1769),0)+IF(H1769=0,(D1769-E1769)*F1769,0)+IF(H1769&lt;F1769,H1769*(D1769-E1769),0)</f>
        <v>0</v>
      </c>
      <c r="J1769" s="3179" t="n">
        <f aca="false">G1769-I1769</f>
        <v>0</v>
      </c>
    </row>
    <row r="1770" customFormat="false" ht="15" hidden="false" customHeight="true" outlineLevel="0" collapsed="false">
      <c r="B1770" s="1551" t="str">
        <f aca="false">'Смета Внутр'!B1770</f>
        <v>карнизы</v>
      </c>
      <c r="C1770" s="1551" t="n">
        <f aca="false">'Смета Внутр'!C1770</f>
        <v>0</v>
      </c>
      <c r="D1770" s="1551" t="n">
        <f aca="false">'Смета Внутр'!D1770</f>
        <v>0</v>
      </c>
      <c r="F1770" s="1551" t="n">
        <f aca="false">'Смета Внутр'!E1770</f>
        <v>0</v>
      </c>
      <c r="G1770" s="1551" t="n">
        <f aca="false">'Смета Внутр'!H1770</f>
        <v>0</v>
      </c>
      <c r="I1770" s="3179" t="n">
        <f aca="false">IF(F1770&lt;H1770,F1770*(D1770-E1770),0)+IF(H1770=0,(D1770-E1770)*F1770,0)+IF(H1770&lt;F1770,H1770*(D1770-E1770),0)</f>
        <v>0</v>
      </c>
      <c r="J1770" s="3179" t="n">
        <f aca="false">G1770-I1770</f>
        <v>0</v>
      </c>
    </row>
    <row r="1771" customFormat="false" ht="15" hidden="false" customHeight="true" outlineLevel="0" collapsed="false">
      <c r="B1771" s="1551" t="str">
        <f aca="false">'Смета Внутр'!B1771</f>
        <v>планкен</v>
      </c>
      <c r="C1771" s="1551" t="str">
        <f aca="false">'Смета Внутр'!C1771</f>
        <v>м2</v>
      </c>
      <c r="D1771" s="1551" t="n">
        <f aca="false">'Смета Внутр'!D1771</f>
        <v>0</v>
      </c>
      <c r="F1771" s="1551" t="n">
        <f aca="false">'Смета Внутр'!E1771</f>
        <v>600</v>
      </c>
      <c r="G1771" s="1551" t="n">
        <f aca="false">'Смета Внутр'!H1771</f>
        <v>0</v>
      </c>
      <c r="I1771" s="3179" t="n">
        <f aca="false">IF(F1771&lt;H1771,F1771*(D1771-E1771),0)+IF(H1771=0,(D1771-E1771)*F1771,0)+IF(H1771&lt;F1771,H1771*(D1771-E1771),0)</f>
        <v>0</v>
      </c>
      <c r="J1771" s="3179" t="n">
        <f aca="false">G1771-I1771</f>
        <v>0</v>
      </c>
    </row>
    <row r="1772" customFormat="false" ht="15" hidden="false" customHeight="true" outlineLevel="0" collapsed="false">
      <c r="B1772" s="1551" t="str">
        <f aca="false">'Смета Внутр'!B1772</f>
        <v>сайдинг</v>
      </c>
      <c r="C1772" s="1551" t="str">
        <f aca="false">'Смета Внутр'!C1772</f>
        <v>м2</v>
      </c>
      <c r="D1772" s="1551" t="n">
        <f aca="false">'Смета Внутр'!D1772</f>
        <v>0</v>
      </c>
      <c r="F1772" s="1551" t="n">
        <f aca="false">'Смета Внутр'!E1772</f>
        <v>500</v>
      </c>
      <c r="G1772" s="1551" t="n">
        <f aca="false">'Смета Внутр'!H1772</f>
        <v>0</v>
      </c>
      <c r="I1772" s="3179" t="n">
        <f aca="false">IF(F1772&lt;H1772,F1772*(D1772-E1772),0)+IF(H1772=0,(D1772-E1772)*F1772,0)+IF(H1772&lt;F1772,H1772*(D1772-E1772),0)</f>
        <v>0</v>
      </c>
      <c r="J1772" s="3179" t="n">
        <f aca="false">G1772-I1772</f>
        <v>0</v>
      </c>
    </row>
    <row r="1773" customFormat="false" ht="15" hidden="false" customHeight="true" outlineLevel="0" collapsed="false">
      <c r="B1773" s="1551" t="str">
        <f aca="false">'Смета Внутр'!B1773</f>
        <v>монтаж леса стрительные</v>
      </c>
      <c r="C1773" s="1551" t="str">
        <f aca="false">'Смета Внутр'!C1773</f>
        <v>м2</v>
      </c>
      <c r="D1773" s="1551" t="n">
        <f aca="false">'Смета Внутр'!D1773</f>
        <v>0</v>
      </c>
      <c r="F1773" s="1551" t="n">
        <f aca="false">'Смета Внутр'!E1773</f>
        <v>100</v>
      </c>
      <c r="G1773" s="1551" t="n">
        <f aca="false">'Смета Внутр'!H1773</f>
        <v>0</v>
      </c>
      <c r="I1773" s="3179" t="n">
        <f aca="false">IF(F1773&lt;H1773,F1773*(D1773-E1773),0)+IF(H1773=0,(D1773-E1773)*F1773,0)+IF(H1773&lt;F1773,H1773*(D1773-E1773),0)</f>
        <v>0</v>
      </c>
      <c r="J1773" s="3179" t="n">
        <f aca="false">G1773-I1773</f>
        <v>0</v>
      </c>
    </row>
    <row r="1774" customFormat="false" ht="15" hidden="false" customHeight="false" outlineLevel="0" collapsed="false">
      <c r="B1774" s="1692" t="s">
        <v>4333</v>
      </c>
      <c r="C1774" s="1692"/>
      <c r="D1774" s="1692"/>
      <c r="E1774" s="1692"/>
      <c r="F1774" s="1692"/>
      <c r="G1774" s="1551" t="n">
        <f aca="false">'Смета Внутр'!H1774</f>
        <v>209317</v>
      </c>
      <c r="H1774" s="1584"/>
      <c r="I1774" s="3179" t="n">
        <f aca="false">IF(F1774&lt;H1774,F1774*(D1774-E1774),0)+IF(H1774=0,(D1774-E1774)*F1774,0)+IF(H1774&lt;F1774,H1774*(D1774-E1774),0)</f>
        <v>0</v>
      </c>
      <c r="J1774" s="3179" t="n">
        <f aca="false">G1774-I1774</f>
        <v>209317</v>
      </c>
    </row>
    <row r="1775" customFormat="false" ht="15" hidden="false" customHeight="true" outlineLevel="0" collapsed="false">
      <c r="B1775" s="1551" t="str">
        <f aca="false">'Смета Внутр'!B1775</f>
        <v>Чистовая отделка</v>
      </c>
      <c r="C1775" s="1551" t="n">
        <f aca="false">'Смета Внутр'!C1775</f>
        <v>0</v>
      </c>
      <c r="D1775" s="1551" t="n">
        <f aca="false">'Смета Внутр'!D1775</f>
        <v>0</v>
      </c>
      <c r="F1775" s="1551" t="n">
        <f aca="false">'Смета Внутр'!E1775</f>
        <v>0</v>
      </c>
      <c r="G1775" s="1551" t="n">
        <f aca="false">'Смета Внутр'!H1775</f>
        <v>1</v>
      </c>
      <c r="I1775" s="3179" t="n">
        <f aca="false">IF(F1775&lt;H1775,F1775*(D1775-E1775),0)+IF(H1775=0,(D1775-E1775)*F1775,0)+IF(H1775&lt;F1775,H1775*(D1775-E1775),0)</f>
        <v>0</v>
      </c>
      <c r="J1775" s="3179" t="n">
        <f aca="false">G1775-I1775</f>
        <v>1</v>
      </c>
    </row>
    <row r="1776" customFormat="false" ht="15" hidden="false" customHeight="true" outlineLevel="0" collapsed="false">
      <c r="B1776" s="1268" t="str">
        <f aca="false">'Смета Внутр'!B1776</f>
        <v>Материалы</v>
      </c>
      <c r="C1776" s="1268"/>
      <c r="D1776" s="1268"/>
      <c r="E1776" s="1268"/>
      <c r="F1776" s="1268"/>
      <c r="G1776" s="1551" t="n">
        <f aca="false">'Смета Внутр'!H1776</f>
        <v>1</v>
      </c>
      <c r="H1776" s="3175"/>
      <c r="I1776" s="3179" t="n">
        <f aca="false">IF(F1776&lt;H1776,F1776*(D1776-E1776),0)+IF(H1776=0,(D1776-E1776)*F1776,0)+IF(H1776&lt;F1776,H1776*(D1776-E1776),0)</f>
        <v>0</v>
      </c>
      <c r="J1776" s="3179" t="n">
        <f aca="false">G1776-I1776</f>
        <v>1</v>
      </c>
    </row>
    <row r="1777" customFormat="false" ht="15" hidden="false" customHeight="true" outlineLevel="0" collapsed="false">
      <c r="B1777" s="1551" t="str">
        <f aca="false">'Смета Внутр'!B1777</f>
        <v>Стены</v>
      </c>
      <c r="C1777" s="1551" t="n">
        <f aca="false">'Смета Внутр'!C1777</f>
        <v>0</v>
      </c>
      <c r="D1777" s="1551" t="n">
        <f aca="false">'Смета Внутр'!D1777</f>
        <v>0</v>
      </c>
      <c r="F1777" s="1551" t="n">
        <f aca="false">'Смета Внутр'!E1777</f>
        <v>0</v>
      </c>
      <c r="G1777" s="1551" t="n">
        <f aca="false">'Смета Внутр'!H1777</f>
        <v>1</v>
      </c>
      <c r="I1777" s="3179" t="n">
        <f aca="false">IF(F1777&lt;H1777,F1777*(D1777-E1777),0)+IF(H1777=0,(D1777-E1777)*F1777,0)+IF(H1777&lt;F1777,H1777*(D1777-E1777),0)</f>
        <v>0</v>
      </c>
      <c r="J1777" s="3179" t="n">
        <f aca="false">G1777-I1777</f>
        <v>1</v>
      </c>
    </row>
    <row r="1778" customFormat="false" ht="15" hidden="false" customHeight="true" outlineLevel="0" collapsed="false">
      <c r="B1778" s="1551" t="str">
        <f aca="false">'Смета Внутр'!B1778</f>
        <v>ГКЛ, 12мм</v>
      </c>
      <c r="C1778" s="1551" t="str">
        <f aca="false">'Смета Внутр'!C1778</f>
        <v>м2</v>
      </c>
      <c r="D1778" s="1551" t="n">
        <f aca="false">'Смета Внутр'!D1778</f>
        <v>0</v>
      </c>
      <c r="F1778" s="1551" t="n">
        <f aca="false">'Смета Внутр'!E1778</f>
        <v>90</v>
      </c>
      <c r="G1778" s="1551" t="n">
        <f aca="false">'Смета Внутр'!H1778</f>
        <v>0</v>
      </c>
      <c r="I1778" s="3179" t="n">
        <f aca="false">IF(F1778&lt;H1778,F1778*(D1778-E1778),0)+IF(H1778=0,(D1778-E1778)*F1778,0)+IF(H1778&lt;F1778,H1778*(D1778-E1778),0)</f>
        <v>0</v>
      </c>
      <c r="J1778" s="3179" t="n">
        <f aca="false">G1778-I1778</f>
        <v>0</v>
      </c>
    </row>
    <row r="1779" customFormat="false" ht="15" hidden="false" customHeight="true" outlineLevel="0" collapsed="false">
      <c r="B1779" s="1551" t="str">
        <f aca="false">'Смета Внутр'!B1779</f>
        <v>профиль 60/27/3000</v>
      </c>
      <c r="C1779" s="1551" t="str">
        <f aca="false">'Смета Внутр'!C1779</f>
        <v>шт</v>
      </c>
      <c r="D1779" s="1551" t="n">
        <f aca="false">'Смета Внутр'!D1779</f>
        <v>0</v>
      </c>
      <c r="F1779" s="1551" t="n">
        <f aca="false">'Смета Внутр'!E1779</f>
        <v>100</v>
      </c>
      <c r="G1779" s="1551" t="n">
        <f aca="false">'Смета Внутр'!H1779</f>
        <v>0</v>
      </c>
      <c r="I1779" s="3179" t="n">
        <f aca="false">IF(F1779&lt;H1779,F1779*(D1779-E1779),0)+IF(H1779=0,(D1779-E1779)*F1779,0)+IF(H1779&lt;F1779,H1779*(D1779-E1779),0)</f>
        <v>0</v>
      </c>
      <c r="J1779" s="3179" t="n">
        <f aca="false">G1779-I1779</f>
        <v>0</v>
      </c>
    </row>
    <row r="1780" customFormat="false" ht="15" hidden="false" customHeight="true" outlineLevel="0" collapsed="false">
      <c r="B1780" s="1551" t="str">
        <f aca="false">'Смета Внутр'!B1780</f>
        <v>профиль 27/28/3000</v>
      </c>
      <c r="C1780" s="1551" t="str">
        <f aca="false">'Смета Внутр'!C1780</f>
        <v>шт</v>
      </c>
      <c r="D1780" s="1551" t="n">
        <f aca="false">'Смета Внутр'!D1780</f>
        <v>0</v>
      </c>
      <c r="F1780" s="1551" t="n">
        <f aca="false">'Смета Внутр'!E1780</f>
        <v>100</v>
      </c>
      <c r="G1780" s="1551" t="n">
        <f aca="false">'Смета Внутр'!H1780</f>
        <v>0</v>
      </c>
      <c r="I1780" s="3179" t="n">
        <f aca="false">IF(F1780&lt;H1780,F1780*(D1780-E1780),0)+IF(H1780=0,(D1780-E1780)*F1780,0)+IF(H1780&lt;F1780,H1780*(D1780-E1780),0)</f>
        <v>0</v>
      </c>
      <c r="J1780" s="3179" t="n">
        <f aca="false">G1780-I1780</f>
        <v>0</v>
      </c>
    </row>
    <row r="1781" customFormat="false" ht="15" hidden="false" customHeight="true" outlineLevel="0" collapsed="false">
      <c r="B1781" s="1551" t="str">
        <f aca="false">'Смета Внутр'!B1781</f>
        <v>подвес прямой</v>
      </c>
      <c r="C1781" s="1551" t="str">
        <f aca="false">'Смета Внутр'!C1781</f>
        <v>шт</v>
      </c>
      <c r="D1781" s="1551" t="n">
        <f aca="false">'Смета Внутр'!D1781</f>
        <v>0</v>
      </c>
      <c r="F1781" s="1551" t="n">
        <f aca="false">'Смета Внутр'!E1781</f>
        <v>9</v>
      </c>
      <c r="G1781" s="1551" t="n">
        <f aca="false">'Смета Внутр'!H1781</f>
        <v>0</v>
      </c>
      <c r="I1781" s="3179" t="n">
        <f aca="false">IF(F1781&lt;H1781,F1781*(D1781-E1781),0)+IF(H1781=0,(D1781-E1781)*F1781,0)+IF(H1781&lt;F1781,H1781*(D1781-E1781),0)</f>
        <v>0</v>
      </c>
      <c r="J1781" s="3179" t="n">
        <f aca="false">G1781-I1781</f>
        <v>0</v>
      </c>
    </row>
    <row r="1782" customFormat="false" ht="15" hidden="false" customHeight="true" outlineLevel="0" collapsed="false">
      <c r="B1782" s="1551" t="str">
        <f aca="false">'Смета Внутр'!B1782</f>
        <v>саморез металл/металл, 13мм</v>
      </c>
      <c r="C1782" s="1551" t="str">
        <f aca="false">'Смета Внутр'!C1782</f>
        <v>шт</v>
      </c>
      <c r="D1782" s="1551" t="n">
        <f aca="false">'Смета Внутр'!D1782</f>
        <v>0</v>
      </c>
      <c r="F1782" s="1551" t="n">
        <f aca="false">'Смета Внутр'!E1782</f>
        <v>0.025</v>
      </c>
      <c r="G1782" s="1551" t="n">
        <f aca="false">'Смета Внутр'!H1782</f>
        <v>0</v>
      </c>
      <c r="I1782" s="3179" t="n">
        <f aca="false">IF(F1782&lt;H1782,F1782*(D1782-E1782),0)+IF(H1782=0,(D1782-E1782)*F1782,0)+IF(H1782&lt;F1782,H1782*(D1782-E1782),0)</f>
        <v>0</v>
      </c>
      <c r="J1782" s="3179" t="n">
        <f aca="false">G1782-I1782</f>
        <v>0</v>
      </c>
    </row>
    <row r="1783" customFormat="false" ht="15" hidden="false" customHeight="true" outlineLevel="0" collapsed="false">
      <c r="B1783" s="1551" t="str">
        <f aca="false">'Смета Внутр'!B1783</f>
        <v>саморез гкл/металл, 25мм</v>
      </c>
      <c r="C1783" s="1551" t="str">
        <f aca="false">'Смета Внутр'!C1783</f>
        <v>шт</v>
      </c>
      <c r="D1783" s="1551" t="n">
        <f aca="false">'Смета Внутр'!D1783</f>
        <v>0</v>
      </c>
      <c r="F1783" s="1551" t="n">
        <f aca="false">'Смета Внутр'!E1783</f>
        <v>0.025</v>
      </c>
      <c r="G1783" s="1551" t="n">
        <f aca="false">'Смета Внутр'!H1783</f>
        <v>0</v>
      </c>
      <c r="I1783" s="3179" t="n">
        <f aca="false">IF(F1783&lt;H1783,F1783*(D1783-E1783),0)+IF(H1783=0,(D1783-E1783)*F1783,0)+IF(H1783&lt;F1783,H1783*(D1783-E1783),0)</f>
        <v>0</v>
      </c>
      <c r="J1783" s="3179" t="n">
        <f aca="false">G1783-I1783</f>
        <v>0</v>
      </c>
    </row>
    <row r="1784" customFormat="false" ht="15" hidden="false" customHeight="true" outlineLevel="0" collapsed="false">
      <c r="B1784" s="1551" t="str">
        <f aca="false">'Смета Внутр'!B1784</f>
        <v>грунтовка, 10л</v>
      </c>
      <c r="C1784" s="1551" t="str">
        <f aca="false">'Смета Внутр'!C1784</f>
        <v>шт</v>
      </c>
      <c r="D1784" s="1551" t="n">
        <f aca="false">'Смета Внутр'!D1784</f>
        <v>0</v>
      </c>
      <c r="F1784" s="1551" t="n">
        <f aca="false">'Смета Внутр'!E1784</f>
        <v>500</v>
      </c>
      <c r="G1784" s="1551" t="n">
        <f aca="false">'Смета Внутр'!H1784</f>
        <v>0</v>
      </c>
      <c r="I1784" s="3179" t="n">
        <f aca="false">IF(F1784&lt;H1784,F1784*(D1784-E1784),0)+IF(H1784=0,(D1784-E1784)*F1784,0)+IF(H1784&lt;F1784,H1784*(D1784-E1784),0)</f>
        <v>0</v>
      </c>
      <c r="J1784" s="3179" t="n">
        <f aca="false">G1784-I1784</f>
        <v>0</v>
      </c>
    </row>
    <row r="1785" customFormat="false" ht="15" hidden="false" customHeight="true" outlineLevel="0" collapsed="false">
      <c r="B1785" s="1551" t="str">
        <f aca="false">'Смета Внутр'!B1785</f>
        <v>шпаклевка для швов, 25кг</v>
      </c>
      <c r="C1785" s="1551" t="str">
        <f aca="false">'Смета Внутр'!C1785</f>
        <v>шт</v>
      </c>
      <c r="D1785" s="1551" t="n">
        <f aca="false">'Смета Внутр'!D1785</f>
        <v>0</v>
      </c>
      <c r="F1785" s="1551" t="n">
        <f aca="false">'Смета Внутр'!E1785</f>
        <v>500</v>
      </c>
      <c r="G1785" s="1551" t="n">
        <f aca="false">'Смета Внутр'!H1785</f>
        <v>0</v>
      </c>
      <c r="I1785" s="3179" t="n">
        <f aca="false">IF(F1785&lt;H1785,F1785*(D1785-E1785),0)+IF(H1785=0,(D1785-E1785)*F1785,0)+IF(H1785&lt;F1785,H1785*(D1785-E1785),0)</f>
        <v>0</v>
      </c>
      <c r="J1785" s="3179" t="n">
        <f aca="false">G1785-I1785</f>
        <v>0</v>
      </c>
    </row>
    <row r="1786" customFormat="false" ht="15" hidden="false" customHeight="true" outlineLevel="0" collapsed="false">
      <c r="B1786" s="1551" t="str">
        <f aca="false">'Смета Внутр'!B1786</f>
        <v>шпаклевка финишная, 25кг</v>
      </c>
      <c r="C1786" s="1551" t="str">
        <f aca="false">'Смета Внутр'!C1786</f>
        <v>шт</v>
      </c>
      <c r="D1786" s="1551" t="n">
        <f aca="false">'Смета Внутр'!D1786</f>
        <v>0</v>
      </c>
      <c r="F1786" s="1551" t="n">
        <f aca="false">'Смета Внутр'!E1786</f>
        <v>400</v>
      </c>
      <c r="G1786" s="1551" t="n">
        <f aca="false">'Смета Внутр'!H1786</f>
        <v>0</v>
      </c>
      <c r="I1786" s="3179" t="n">
        <f aca="false">IF(F1786&lt;H1786,F1786*(D1786-E1786),0)+IF(H1786=0,(D1786-E1786)*F1786,0)+IF(H1786&lt;F1786,H1786*(D1786-E1786),0)</f>
        <v>0</v>
      </c>
      <c r="J1786" s="3179" t="n">
        <f aca="false">G1786-I1786</f>
        <v>0</v>
      </c>
    </row>
    <row r="1787" customFormat="false" ht="15" hidden="false" customHeight="true" outlineLevel="0" collapsed="false">
      <c r="B1787" s="1551" t="str">
        <f aca="false">'Смета Внутр'!B1787</f>
        <v>серпянка для швов, 50м.п.</v>
      </c>
      <c r="C1787" s="1551" t="str">
        <f aca="false">'Смета Внутр'!C1787</f>
        <v>шт</v>
      </c>
      <c r="D1787" s="1551" t="n">
        <f aca="false">'Смета Внутр'!D1787</f>
        <v>0</v>
      </c>
      <c r="F1787" s="1551" t="n">
        <f aca="false">'Смета Внутр'!E1787</f>
        <v>100</v>
      </c>
      <c r="G1787" s="1551" t="n">
        <f aca="false">'Смета Внутр'!H1787</f>
        <v>0</v>
      </c>
      <c r="I1787" s="3179" t="n">
        <f aca="false">IF(F1787&lt;H1787,F1787*(D1787-E1787),0)+IF(H1787=0,(D1787-E1787)*F1787,0)+IF(H1787&lt;F1787,H1787*(D1787-E1787),0)</f>
        <v>0</v>
      </c>
      <c r="J1787" s="3179" t="n">
        <f aca="false">G1787-I1787</f>
        <v>0</v>
      </c>
    </row>
    <row r="1788" customFormat="false" ht="15" hidden="false" customHeight="true" outlineLevel="0" collapsed="false">
      <c r="B1788" s="1551" t="str">
        <f aca="false">'Смета Внутр'!B1788</f>
        <v>обои</v>
      </c>
      <c r="C1788" s="1551" t="str">
        <f aca="false">'Смета Внутр'!C1788</f>
        <v>м2</v>
      </c>
      <c r="D1788" s="1551" t="n">
        <f aca="false">'Смета Внутр'!D1788</f>
        <v>0</v>
      </c>
      <c r="F1788" s="1551" t="n">
        <f aca="false">'Смета Внутр'!E1788</f>
        <v>30</v>
      </c>
      <c r="G1788" s="1551" t="n">
        <f aca="false">'Смета Внутр'!H1788</f>
        <v>0</v>
      </c>
      <c r="I1788" s="3179" t="n">
        <f aca="false">IF(F1788&lt;H1788,F1788*(D1788-E1788),0)+IF(H1788=0,(D1788-E1788)*F1788,0)+IF(H1788&lt;F1788,H1788*(D1788-E1788),0)</f>
        <v>0</v>
      </c>
      <c r="J1788" s="3179" t="n">
        <f aca="false">G1788-I1788</f>
        <v>0</v>
      </c>
    </row>
    <row r="1789" customFormat="false" ht="15" hidden="false" customHeight="true" outlineLevel="0" collapsed="false">
      <c r="B1789" s="1551" t="str">
        <f aca="false">'Смета Внутр'!B1789</f>
        <v>клей обойный</v>
      </c>
      <c r="C1789" s="1551" t="str">
        <f aca="false">'Смета Внутр'!C1789</f>
        <v>шт</v>
      </c>
      <c r="D1789" s="1551" t="n">
        <f aca="false">'Смета Внутр'!D1789</f>
        <v>0</v>
      </c>
      <c r="F1789" s="1551" t="n">
        <f aca="false">'Смета Внутр'!E1789</f>
        <v>120</v>
      </c>
      <c r="G1789" s="1551" t="n">
        <f aca="false">'Смета Внутр'!H1789</f>
        <v>0</v>
      </c>
      <c r="I1789" s="3179" t="n">
        <f aca="false">IF(F1789&lt;H1789,F1789*(D1789-E1789),0)+IF(H1789=0,(D1789-E1789)*F1789,0)+IF(H1789&lt;F1789,H1789*(D1789-E1789),0)</f>
        <v>0</v>
      </c>
      <c r="J1789" s="3179" t="n">
        <f aca="false">G1789-I1789</f>
        <v>0</v>
      </c>
    </row>
    <row r="1790" customFormat="false" ht="15" hidden="false" customHeight="true" outlineLevel="0" collapsed="false">
      <c r="B1790" s="1551" t="str">
        <f aca="false">'Смета Внутр'!B1790</f>
        <v>краска для стен, 10л</v>
      </c>
      <c r="C1790" s="1551" t="str">
        <f aca="false">'Смета Внутр'!C1790</f>
        <v>шт</v>
      </c>
      <c r="D1790" s="1551" t="n">
        <f aca="false">'Смета Внутр'!D1790</f>
        <v>0</v>
      </c>
      <c r="F1790" s="1551" t="n">
        <f aca="false">'Смета Внутр'!E1790</f>
        <v>900</v>
      </c>
      <c r="G1790" s="1551" t="n">
        <f aca="false">'Смета Внутр'!H1790</f>
        <v>0</v>
      </c>
      <c r="I1790" s="3179" t="n">
        <f aca="false">IF(F1790&lt;H1790,F1790*(D1790-E1790),0)+IF(H1790=0,(D1790-E1790)*F1790,0)+IF(H1790&lt;F1790,H1790*(D1790-E1790),0)</f>
        <v>0</v>
      </c>
      <c r="J1790" s="3179" t="n">
        <f aca="false">G1790-I1790</f>
        <v>0</v>
      </c>
    </row>
    <row r="1791" customFormat="false" ht="15" hidden="false" customHeight="true" outlineLevel="0" collapsed="false">
      <c r="B1791" s="1551" t="str">
        <f aca="false">'Смета Внутр'!B1791</f>
        <v>имитация бруса</v>
      </c>
      <c r="C1791" s="1551" t="str">
        <f aca="false">'Смета Внутр'!C1791</f>
        <v>м2</v>
      </c>
      <c r="D1791" s="1551" t="n">
        <f aca="false">'Смета Внутр'!D1791</f>
        <v>263.26</v>
      </c>
      <c r="F1791" s="1551" t="n">
        <f aca="false">'Смета Внутр'!E1791</f>
        <v>350</v>
      </c>
      <c r="G1791" s="1551" t="n">
        <f aca="false">'Смета Внутр'!H1791</f>
        <v>92141</v>
      </c>
      <c r="I1791" s="3179" t="n">
        <f aca="false">IF(F1791&lt;H1791,F1791*(D1791-E1791),0)+IF(H1791=0,(D1791-E1791)*F1791,0)+IF(H1791&lt;F1791,H1791*(D1791-E1791),0)</f>
        <v>92141</v>
      </c>
      <c r="J1791" s="3179" t="n">
        <f aca="false">G1791-I1791</f>
        <v>0</v>
      </c>
    </row>
    <row r="1792" customFormat="false" ht="15" hidden="false" customHeight="true" outlineLevel="0" collapsed="false">
      <c r="B1792" s="1551" t="str">
        <f aca="false">'Смета Внутр'!B1792</f>
        <v>блокхаус</v>
      </c>
      <c r="C1792" s="1551" t="str">
        <f aca="false">'Смета Внутр'!C1792</f>
        <v>м2</v>
      </c>
      <c r="D1792" s="1551" t="n">
        <f aca="false">'Смета Внутр'!D1792</f>
        <v>0</v>
      </c>
      <c r="F1792" s="1551" t="n">
        <f aca="false">'Смета Внутр'!E1792</f>
        <v>500</v>
      </c>
      <c r="G1792" s="1551" t="n">
        <f aca="false">'Смета Внутр'!H1792</f>
        <v>0</v>
      </c>
      <c r="I1792" s="3179" t="n">
        <f aca="false">IF(F1792&lt;H1792,F1792*(D1792-E1792),0)+IF(H1792=0,(D1792-E1792)*F1792,0)+IF(H1792&lt;F1792,H1792*(D1792-E1792),0)</f>
        <v>0</v>
      </c>
      <c r="J1792" s="3179" t="n">
        <f aca="false">G1792-I1792</f>
        <v>0</v>
      </c>
    </row>
    <row r="1793" customFormat="false" ht="15" hidden="false" customHeight="true" outlineLevel="0" collapsed="false">
      <c r="B1793" s="1551" t="str">
        <f aca="false">'Смета Внутр'!B1793</f>
        <v>вагонка</v>
      </c>
      <c r="C1793" s="1551" t="str">
        <f aca="false">'Смета Внутр'!C1793</f>
        <v>м2</v>
      </c>
      <c r="D1793" s="1551" t="n">
        <f aca="false">'Смета Внутр'!D1793</f>
        <v>0</v>
      </c>
      <c r="F1793" s="1551" t="n">
        <f aca="false">'Смета Внутр'!E1793</f>
        <v>250</v>
      </c>
      <c r="G1793" s="1551" t="n">
        <f aca="false">'Смета Внутр'!H1793</f>
        <v>0</v>
      </c>
      <c r="I1793" s="3179" t="n">
        <f aca="false">IF(F1793&lt;H1793,F1793*(D1793-E1793),0)+IF(H1793=0,(D1793-E1793)*F1793,0)+IF(H1793&lt;F1793,H1793*(D1793-E1793),0)</f>
        <v>0</v>
      </c>
      <c r="J1793" s="3179" t="n">
        <f aca="false">G1793-I1793</f>
        <v>0</v>
      </c>
    </row>
    <row r="1794" customFormat="false" ht="15" hidden="false" customHeight="true" outlineLevel="0" collapsed="false">
      <c r="B1794" s="1551" t="str">
        <f aca="false">'Смета Внутр'!B1794</f>
        <v>подсистема, брусок</v>
      </c>
      <c r="C1794" s="1551" t="str">
        <f aca="false">'Смета Внутр'!C1794</f>
        <v>м.п.</v>
      </c>
      <c r="D1794" s="1551" t="n">
        <f aca="false">'Смета Внутр'!D1794</f>
        <v>0</v>
      </c>
      <c r="F1794" s="1551" t="n">
        <f aca="false">'Смета Внутр'!E1794</f>
        <v>6</v>
      </c>
      <c r="G1794" s="1551" t="n">
        <f aca="false">'Смета Внутр'!H1794</f>
        <v>0</v>
      </c>
      <c r="I1794" s="3179" t="n">
        <f aca="false">IF(F1794&lt;H1794,F1794*(D1794-E1794),0)+IF(H1794=0,(D1794-E1794)*F1794,0)+IF(H1794&lt;F1794,H1794*(D1794-E1794),0)</f>
        <v>0</v>
      </c>
      <c r="J1794" s="3179" t="n">
        <f aca="false">G1794-I1794</f>
        <v>0</v>
      </c>
    </row>
    <row r="1795" customFormat="false" ht="15" hidden="false" customHeight="true" outlineLevel="0" collapsed="false">
      <c r="B1795" s="1551" t="str">
        <f aca="false">'Смета Внутр'!B1795</f>
        <v>уголок крепежный</v>
      </c>
      <c r="C1795" s="1551" t="str">
        <f aca="false">'Смета Внутр'!C1795</f>
        <v>шт</v>
      </c>
      <c r="D1795" s="1551" t="n">
        <f aca="false">'Смета Внутр'!D1795</f>
        <v>0</v>
      </c>
      <c r="F1795" s="1551" t="n">
        <f aca="false">'Смета Внутр'!E1795</f>
        <v>8</v>
      </c>
      <c r="G1795" s="1551" t="n">
        <f aca="false">'Смета Внутр'!H1795</f>
        <v>0</v>
      </c>
      <c r="I1795" s="3179" t="n">
        <f aca="false">IF(F1795&lt;H1795,F1795*(D1795-E1795),0)+IF(H1795=0,(D1795-E1795)*F1795,0)+IF(H1795&lt;F1795,H1795*(D1795-E1795),0)</f>
        <v>0</v>
      </c>
      <c r="J1795" s="3179" t="n">
        <f aca="false">G1795-I1795</f>
        <v>0</v>
      </c>
    </row>
    <row r="1796" customFormat="false" ht="15" hidden="false" customHeight="true" outlineLevel="0" collapsed="false">
      <c r="B1796" s="1551" t="str">
        <f aca="false">'Смета Внутр'!B1796</f>
        <v>гвозди/саморезы для крепления подсистемы</v>
      </c>
      <c r="C1796" s="1551" t="str">
        <f aca="false">'Смета Внутр'!C1796</f>
        <v>шт</v>
      </c>
      <c r="D1796" s="1551" t="n">
        <f aca="false">'Смета Внутр'!D1796</f>
        <v>0</v>
      </c>
      <c r="F1796" s="1551" t="n">
        <f aca="false">'Смета Внутр'!E1796</f>
        <v>0.02</v>
      </c>
      <c r="G1796" s="1551" t="n">
        <f aca="false">'Смета Внутр'!H1796</f>
        <v>0</v>
      </c>
      <c r="I1796" s="3179" t="n">
        <f aca="false">IF(F1796&lt;H1796,F1796*(D1796-E1796),0)+IF(H1796=0,(D1796-E1796)*F1796,0)+IF(H1796&lt;F1796,H1796*(D1796-E1796),0)</f>
        <v>0</v>
      </c>
      <c r="J1796" s="3179" t="n">
        <f aca="false">G1796-I1796</f>
        <v>0</v>
      </c>
    </row>
    <row r="1797" customFormat="false" ht="15" hidden="false" customHeight="true" outlineLevel="0" collapsed="false">
      <c r="B1797" s="1551" t="str">
        <f aca="false">'Смета Внутр'!B1797</f>
        <v>гвозди/саморезы для крепления</v>
      </c>
      <c r="C1797" s="1551" t="str">
        <f aca="false">'Смета Внутр'!C1797</f>
        <v>шт</v>
      </c>
      <c r="D1797" s="1551" t="n">
        <f aca="false">'Смета Внутр'!D1797</f>
        <v>5265.2</v>
      </c>
      <c r="F1797" s="1551" t="n">
        <f aca="false">'Смета Внутр'!E1797</f>
        <v>0.02</v>
      </c>
      <c r="G1797" s="1551" t="n">
        <f aca="false">'Смета Внутр'!H1797</f>
        <v>105.304</v>
      </c>
      <c r="I1797" s="3179" t="n">
        <f aca="false">IF(F1797&lt;H1797,F1797*(D1797-E1797),0)+IF(H1797=0,(D1797-E1797)*F1797,0)+IF(H1797&lt;F1797,H1797*(D1797-E1797),0)</f>
        <v>105.304</v>
      </c>
      <c r="J1797" s="3179" t="n">
        <f aca="false">G1797-I1797</f>
        <v>0</v>
      </c>
    </row>
    <row r="1798" customFormat="false" ht="15" hidden="false" customHeight="true" outlineLevel="0" collapsed="false">
      <c r="B1798" s="1551" t="str">
        <f aca="false">'Смета Внутр'!B1798</f>
        <v>Монтаж евровагонка</v>
      </c>
      <c r="C1798" s="1551" t="str">
        <f aca="false">'Смета Внутр'!C1798</f>
        <v>м2</v>
      </c>
      <c r="D1798" s="1551" t="n">
        <f aca="false">'Смета Внутр'!D1798</f>
        <v>0</v>
      </c>
      <c r="F1798" s="1551" t="n">
        <f aca="false">'Смета Внутр'!E1798</f>
        <v>400</v>
      </c>
      <c r="G1798" s="1551" t="n">
        <f aca="false">'Смета Внутр'!H1798</f>
        <v>0</v>
      </c>
      <c r="I1798" s="3179" t="n">
        <f aca="false">IF(F1798&lt;H1798,F1798*(D1798-E1798),0)+IF(H1798=0,(D1798-E1798)*F1798,0)+IF(H1798&lt;F1798,H1798*(D1798-E1798),0)</f>
        <v>0</v>
      </c>
      <c r="J1798" s="3179" t="n">
        <f aca="false">G1798-I1798</f>
        <v>0</v>
      </c>
    </row>
    <row r="1799" customFormat="false" ht="15" hidden="false" customHeight="true" outlineLevel="0" collapsed="false">
      <c r="B1799" s="1551" t="str">
        <f aca="false">'Смета Внутр'!B1799</f>
        <v>Монтаж вагонка штиль</v>
      </c>
      <c r="C1799" s="1551" t="str">
        <f aca="false">'Смета Внутр'!C1799</f>
        <v>м2</v>
      </c>
      <c r="D1799" s="1551" t="n">
        <f aca="false">'Смета Внутр'!D1799</f>
        <v>0</v>
      </c>
      <c r="F1799" s="1551" t="n">
        <f aca="false">'Смета Внутр'!E1799</f>
        <v>400</v>
      </c>
      <c r="G1799" s="1551" t="n">
        <f aca="false">'Смета Внутр'!H1799</f>
        <v>0</v>
      </c>
      <c r="I1799" s="3179" t="n">
        <f aca="false">IF(F1799&lt;H1799,F1799*(D1799-E1799),0)+IF(H1799=0,(D1799-E1799)*F1799,0)+IF(H1799&lt;F1799,H1799*(D1799-E1799),0)</f>
        <v>0</v>
      </c>
      <c r="J1799" s="3179" t="n">
        <f aca="false">G1799-I1799</f>
        <v>0</v>
      </c>
    </row>
    <row r="1800" customFormat="false" ht="15" hidden="false" customHeight="true" outlineLevel="0" collapsed="false">
      <c r="B1800" s="1551" t="str">
        <f aca="false">'Смета Внутр'!B1800</f>
        <v>Монтаж софт лайн</v>
      </c>
      <c r="C1800" s="1551" t="str">
        <f aca="false">'Смета Внутр'!C1800</f>
        <v>м2</v>
      </c>
      <c r="D1800" s="1551" t="n">
        <f aca="false">'Смета Внутр'!D1800</f>
        <v>0</v>
      </c>
      <c r="F1800" s="1551" t="n">
        <f aca="false">'Смета Внутр'!E1800</f>
        <v>400</v>
      </c>
      <c r="G1800" s="1551" t="n">
        <f aca="false">'Смета Внутр'!H1800</f>
        <v>0</v>
      </c>
      <c r="I1800" s="3179" t="n">
        <f aca="false">IF(F1800&lt;H1800,F1800*(D1800-E1800),0)+IF(H1800=0,(D1800-E1800)*F1800,0)+IF(H1800&lt;F1800,H1800*(D1800-E1800),0)</f>
        <v>0</v>
      </c>
      <c r="J1800" s="3179" t="n">
        <f aca="false">G1800-I1800</f>
        <v>0</v>
      </c>
    </row>
    <row r="1801" customFormat="false" ht="15" hidden="false" customHeight="true" outlineLevel="0" collapsed="false">
      <c r="B1801" s="1551" t="str">
        <f aca="false">'Смета Внутр'!B1801</f>
        <v>Монтаж блокхаус</v>
      </c>
      <c r="C1801" s="1551" t="str">
        <f aca="false">'Смета Внутр'!C1801</f>
        <v>м2</v>
      </c>
      <c r="D1801" s="1551" t="n">
        <f aca="false">'Смета Внутр'!D1801</f>
        <v>0</v>
      </c>
      <c r="F1801" s="1551" t="n">
        <f aca="false">'Смета Внутр'!E1801</f>
        <v>400</v>
      </c>
      <c r="G1801" s="1551" t="n">
        <f aca="false">'Смета Внутр'!H1801</f>
        <v>0</v>
      </c>
      <c r="I1801" s="3179" t="n">
        <f aca="false">IF(F1801&lt;H1801,F1801*(D1801-E1801),0)+IF(H1801=0,(D1801-E1801)*F1801,0)+IF(H1801&lt;F1801,H1801*(D1801-E1801),0)</f>
        <v>0</v>
      </c>
      <c r="J1801" s="3179" t="n">
        <f aca="false">G1801-I1801</f>
        <v>0</v>
      </c>
    </row>
    <row r="1802" customFormat="false" ht="15" hidden="false" customHeight="true" outlineLevel="0" collapsed="false">
      <c r="B1802" s="1551" t="str">
        <f aca="false">'Смета Внутр'!B1802</f>
        <v>Потолок</v>
      </c>
      <c r="C1802" s="1551" t="n">
        <f aca="false">'Смета Внутр'!C1802</f>
        <v>0</v>
      </c>
      <c r="D1802" s="1551" t="n">
        <f aca="false">'Смета Внутр'!D1802</f>
        <v>0</v>
      </c>
      <c r="F1802" s="1551" t="n">
        <f aca="false">'Смета Внутр'!E1802</f>
        <v>0</v>
      </c>
      <c r="G1802" s="1551" t="n">
        <f aca="false">'Смета Внутр'!H1802</f>
        <v>1</v>
      </c>
      <c r="I1802" s="3179" t="n">
        <f aca="false">IF(F1802&lt;H1802,F1802*(D1802-E1802),0)+IF(H1802=0,(D1802-E1802)*F1802,0)+IF(H1802&lt;F1802,H1802*(D1802-E1802),0)</f>
        <v>0</v>
      </c>
      <c r="J1802" s="3179" t="n">
        <f aca="false">G1802-I1802</f>
        <v>1</v>
      </c>
    </row>
    <row r="1803" customFormat="false" ht="15" hidden="false" customHeight="true" outlineLevel="0" collapsed="false">
      <c r="B1803" s="1551" t="str">
        <f aca="false">'Смета Внутр'!B1803</f>
        <v>ГКЛ, 9мм</v>
      </c>
      <c r="C1803" s="1551" t="str">
        <f aca="false">'Смета Внутр'!C1803</f>
        <v>м2</v>
      </c>
      <c r="D1803" s="1551" t="n">
        <f aca="false">'Смета Внутр'!D1803</f>
        <v>0</v>
      </c>
      <c r="F1803" s="1551" t="n">
        <f aca="false">'Смета Внутр'!E1803</f>
        <v>80</v>
      </c>
      <c r="G1803" s="1551" t="n">
        <f aca="false">'Смета Внутр'!H1803</f>
        <v>0</v>
      </c>
      <c r="I1803" s="3179" t="n">
        <f aca="false">IF(F1803&lt;H1803,F1803*(D1803-E1803),0)+IF(H1803=0,(D1803-E1803)*F1803,0)+IF(H1803&lt;F1803,H1803*(D1803-E1803),0)</f>
        <v>0</v>
      </c>
      <c r="J1803" s="3179" t="n">
        <f aca="false">G1803-I1803</f>
        <v>0</v>
      </c>
    </row>
    <row r="1804" customFormat="false" ht="15" hidden="false" customHeight="true" outlineLevel="0" collapsed="false">
      <c r="B1804" s="1551" t="str">
        <f aca="false">'Смета Внутр'!B1804</f>
        <v>профиль 60/27/3000</v>
      </c>
      <c r="C1804" s="1551" t="str">
        <f aca="false">'Смета Внутр'!C1804</f>
        <v>шт</v>
      </c>
      <c r="D1804" s="1551" t="n">
        <f aca="false">'Смета Внутр'!D1804</f>
        <v>0</v>
      </c>
      <c r="F1804" s="1551" t="n">
        <f aca="false">'Смета Внутр'!E1804</f>
        <v>100</v>
      </c>
      <c r="G1804" s="1551" t="n">
        <f aca="false">'Смета Внутр'!H1804</f>
        <v>0</v>
      </c>
      <c r="I1804" s="3179" t="n">
        <f aca="false">IF(F1804&lt;H1804,F1804*(D1804-E1804),0)+IF(H1804=0,(D1804-E1804)*F1804,0)+IF(H1804&lt;F1804,H1804*(D1804-E1804),0)</f>
        <v>0</v>
      </c>
      <c r="J1804" s="3179" t="n">
        <f aca="false">G1804-I1804</f>
        <v>0</v>
      </c>
    </row>
    <row r="1805" customFormat="false" ht="15" hidden="false" customHeight="true" outlineLevel="0" collapsed="false">
      <c r="B1805" s="1551" t="str">
        <f aca="false">'Смета Внутр'!B1805</f>
        <v>профиль 27/28/3000</v>
      </c>
      <c r="C1805" s="1551" t="str">
        <f aca="false">'Смета Внутр'!C1805</f>
        <v>шт</v>
      </c>
      <c r="D1805" s="1551" t="n">
        <f aca="false">'Смета Внутр'!D1805</f>
        <v>0</v>
      </c>
      <c r="F1805" s="1551" t="n">
        <f aca="false">'Смета Внутр'!E1805</f>
        <v>100</v>
      </c>
      <c r="G1805" s="1551" t="n">
        <f aca="false">'Смета Внутр'!H1805</f>
        <v>0</v>
      </c>
      <c r="I1805" s="3179" t="n">
        <f aca="false">IF(F1805&lt;H1805,F1805*(D1805-E1805),0)+IF(H1805=0,(D1805-E1805)*F1805,0)+IF(H1805&lt;F1805,H1805*(D1805-E1805),0)</f>
        <v>0</v>
      </c>
      <c r="J1805" s="3179" t="n">
        <f aca="false">G1805-I1805</f>
        <v>0</v>
      </c>
    </row>
    <row r="1806" customFormat="false" ht="15" hidden="false" customHeight="true" outlineLevel="0" collapsed="false">
      <c r="B1806" s="1551" t="str">
        <f aca="false">'Смета Внутр'!B1806</f>
        <v>подвес прямой</v>
      </c>
      <c r="C1806" s="1551" t="str">
        <f aca="false">'Смета Внутр'!C1806</f>
        <v>шт</v>
      </c>
      <c r="D1806" s="1551" t="n">
        <f aca="false">'Смета Внутр'!D1806</f>
        <v>0</v>
      </c>
      <c r="F1806" s="1551" t="n">
        <f aca="false">'Смета Внутр'!E1806</f>
        <v>9</v>
      </c>
      <c r="G1806" s="1551" t="n">
        <f aca="false">'Смета Внутр'!H1806</f>
        <v>0</v>
      </c>
      <c r="I1806" s="3179" t="n">
        <f aca="false">IF(F1806&lt;H1806,F1806*(D1806-E1806),0)+IF(H1806=0,(D1806-E1806)*F1806,0)+IF(H1806&lt;F1806,H1806*(D1806-E1806),0)</f>
        <v>0</v>
      </c>
      <c r="J1806" s="3179" t="n">
        <f aca="false">G1806-I1806</f>
        <v>0</v>
      </c>
    </row>
    <row r="1807" customFormat="false" ht="15" hidden="false" customHeight="true" outlineLevel="0" collapsed="false">
      <c r="B1807" s="1551" t="str">
        <f aca="false">'Смета Внутр'!B1807</f>
        <v>саморез металл/металл, 13мм</v>
      </c>
      <c r="C1807" s="1551" t="str">
        <f aca="false">'Смета Внутр'!C1807</f>
        <v>шт</v>
      </c>
      <c r="D1807" s="1551" t="n">
        <f aca="false">'Смета Внутр'!D1807</f>
        <v>0</v>
      </c>
      <c r="F1807" s="1551" t="n">
        <f aca="false">'Смета Внутр'!E1807</f>
        <v>0.025</v>
      </c>
      <c r="G1807" s="1551" t="n">
        <f aca="false">'Смета Внутр'!H1807</f>
        <v>0</v>
      </c>
      <c r="I1807" s="3179" t="n">
        <f aca="false">IF(F1807&lt;H1807,F1807*(D1807-E1807),0)+IF(H1807=0,(D1807-E1807)*F1807,0)+IF(H1807&lt;F1807,H1807*(D1807-E1807),0)</f>
        <v>0</v>
      </c>
      <c r="J1807" s="3179" t="n">
        <f aca="false">G1807-I1807</f>
        <v>0</v>
      </c>
    </row>
    <row r="1808" customFormat="false" ht="15" hidden="false" customHeight="true" outlineLevel="0" collapsed="false">
      <c r="B1808" s="1551" t="str">
        <f aca="false">'Смета Внутр'!B1808</f>
        <v>саморез гкл/металл, 25мм</v>
      </c>
      <c r="C1808" s="1551" t="str">
        <f aca="false">'Смета Внутр'!C1808</f>
        <v>шт</v>
      </c>
      <c r="D1808" s="1551" t="n">
        <f aca="false">'Смета Внутр'!D1808</f>
        <v>0</v>
      </c>
      <c r="F1808" s="1551" t="n">
        <f aca="false">'Смета Внутр'!E1808</f>
        <v>0.025</v>
      </c>
      <c r="G1808" s="1551" t="n">
        <f aca="false">'Смета Внутр'!H1808</f>
        <v>0</v>
      </c>
      <c r="I1808" s="3179" t="n">
        <f aca="false">IF(F1808&lt;H1808,F1808*(D1808-E1808),0)+IF(H1808=0,(D1808-E1808)*F1808,0)+IF(H1808&lt;F1808,H1808*(D1808-E1808),0)</f>
        <v>0</v>
      </c>
      <c r="J1808" s="3179" t="n">
        <f aca="false">G1808-I1808</f>
        <v>0</v>
      </c>
    </row>
    <row r="1809" customFormat="false" ht="15" hidden="false" customHeight="true" outlineLevel="0" collapsed="false">
      <c r="B1809" s="1551" t="str">
        <f aca="false">'Смета Внутр'!B1809</f>
        <v>грунтовка, 10л</v>
      </c>
      <c r="C1809" s="1551" t="str">
        <f aca="false">'Смета Внутр'!C1809</f>
        <v>шт</v>
      </c>
      <c r="D1809" s="1551" t="n">
        <f aca="false">'Смета Внутр'!D1809</f>
        <v>0</v>
      </c>
      <c r="F1809" s="1551" t="n">
        <f aca="false">'Смета Внутр'!E1809</f>
        <v>500</v>
      </c>
      <c r="G1809" s="1551" t="n">
        <f aca="false">'Смета Внутр'!H1809</f>
        <v>0</v>
      </c>
      <c r="I1809" s="3179" t="n">
        <f aca="false">IF(F1809&lt;H1809,F1809*(D1809-E1809),0)+IF(H1809=0,(D1809-E1809)*F1809,0)+IF(H1809&lt;F1809,H1809*(D1809-E1809),0)</f>
        <v>0</v>
      </c>
      <c r="J1809" s="3179" t="n">
        <f aca="false">G1809-I1809</f>
        <v>0</v>
      </c>
    </row>
    <row r="1810" customFormat="false" ht="15" hidden="false" customHeight="true" outlineLevel="0" collapsed="false">
      <c r="B1810" s="1551" t="str">
        <f aca="false">'Смета Внутр'!B1810</f>
        <v>шпаклевка для швов, 25кг</v>
      </c>
      <c r="C1810" s="1551" t="str">
        <f aca="false">'Смета Внутр'!C1810</f>
        <v>шт</v>
      </c>
      <c r="D1810" s="1551" t="n">
        <f aca="false">'Смета Внутр'!D1810</f>
        <v>0</v>
      </c>
      <c r="F1810" s="1551" t="n">
        <f aca="false">'Смета Внутр'!E1810</f>
        <v>500</v>
      </c>
      <c r="G1810" s="1551" t="n">
        <f aca="false">'Смета Внутр'!H1810</f>
        <v>0</v>
      </c>
      <c r="I1810" s="3179" t="n">
        <f aca="false">IF(F1810&lt;H1810,F1810*(D1810-E1810),0)+IF(H1810=0,(D1810-E1810)*F1810,0)+IF(H1810&lt;F1810,H1810*(D1810-E1810),0)</f>
        <v>0</v>
      </c>
      <c r="J1810" s="3179" t="n">
        <f aca="false">G1810-I1810</f>
        <v>0</v>
      </c>
    </row>
    <row r="1811" customFormat="false" ht="15" hidden="false" customHeight="true" outlineLevel="0" collapsed="false">
      <c r="B1811" s="1551" t="str">
        <f aca="false">'Смета Внутр'!B1811</f>
        <v>шпаклевка финишная, 25кг</v>
      </c>
      <c r="C1811" s="1551" t="str">
        <f aca="false">'Смета Внутр'!C1811</f>
        <v>шт</v>
      </c>
      <c r="D1811" s="1551" t="n">
        <f aca="false">'Смета Внутр'!D1811</f>
        <v>0</v>
      </c>
      <c r="F1811" s="1551" t="n">
        <f aca="false">'Смета Внутр'!E1811</f>
        <v>400</v>
      </c>
      <c r="G1811" s="1551" t="n">
        <f aca="false">'Смета Внутр'!H1811</f>
        <v>0</v>
      </c>
      <c r="I1811" s="3179" t="n">
        <f aca="false">IF(F1811&lt;H1811,F1811*(D1811-E1811),0)+IF(H1811=0,(D1811-E1811)*F1811,0)+IF(H1811&lt;F1811,H1811*(D1811-E1811),0)</f>
        <v>0</v>
      </c>
      <c r="J1811" s="3179" t="n">
        <f aca="false">G1811-I1811</f>
        <v>0</v>
      </c>
    </row>
    <row r="1812" customFormat="false" ht="15" hidden="false" customHeight="true" outlineLevel="0" collapsed="false">
      <c r="B1812" s="1551" t="str">
        <f aca="false">'Смета Внутр'!B1812</f>
        <v>серпянка для швов, 50м.п.</v>
      </c>
      <c r="C1812" s="1551" t="str">
        <f aca="false">'Смета Внутр'!C1812</f>
        <v>шт</v>
      </c>
      <c r="D1812" s="1551" t="n">
        <f aca="false">'Смета Внутр'!D1812</f>
        <v>0</v>
      </c>
      <c r="F1812" s="1551" t="n">
        <f aca="false">'Смета Внутр'!E1812</f>
        <v>100</v>
      </c>
      <c r="G1812" s="1551" t="n">
        <f aca="false">'Смета Внутр'!H1812</f>
        <v>0</v>
      </c>
      <c r="I1812" s="3179" t="n">
        <f aca="false">IF(F1812&lt;H1812,F1812*(D1812-E1812),0)+IF(H1812=0,(D1812-E1812)*F1812,0)+IF(H1812&lt;F1812,H1812*(D1812-E1812),0)</f>
        <v>0</v>
      </c>
      <c r="J1812" s="3179" t="n">
        <f aca="false">G1812-I1812</f>
        <v>0</v>
      </c>
    </row>
    <row r="1813" customFormat="false" ht="15" hidden="false" customHeight="true" outlineLevel="0" collapsed="false">
      <c r="B1813" s="1551" t="str">
        <f aca="false">'Смета Внутр'!B1813</f>
        <v>краска для потолков, 10л</v>
      </c>
      <c r="C1813" s="1551" t="str">
        <f aca="false">'Смета Внутр'!C1813</f>
        <v>шт</v>
      </c>
      <c r="D1813" s="1551" t="n">
        <f aca="false">'Смета Внутр'!D1813</f>
        <v>0</v>
      </c>
      <c r="F1813" s="1551" t="n">
        <f aca="false">'Смета Внутр'!E1813</f>
        <v>1200</v>
      </c>
      <c r="G1813" s="1551" t="n">
        <f aca="false">'Смета Внутр'!H1813</f>
        <v>0</v>
      </c>
      <c r="I1813" s="3179" t="n">
        <f aca="false">IF(F1813&lt;H1813,F1813*(D1813-E1813),0)+IF(H1813=0,(D1813-E1813)*F1813,0)+IF(H1813&lt;F1813,H1813*(D1813-E1813),0)</f>
        <v>0</v>
      </c>
      <c r="J1813" s="3179" t="n">
        <f aca="false">G1813-I1813</f>
        <v>0</v>
      </c>
    </row>
    <row r="1814" customFormat="false" ht="15" hidden="false" customHeight="true" outlineLevel="0" collapsed="false">
      <c r="B1814" s="1551" t="str">
        <f aca="false">'Смета Внутр'!B1814</f>
        <v>багет 1мп</v>
      </c>
      <c r="C1814" s="1551" t="str">
        <f aca="false">'Смета Внутр'!C1814</f>
        <v>м.п.</v>
      </c>
      <c r="D1814" s="1551" t="n">
        <f aca="false">'Смета Внутр'!D1814</f>
        <v>0</v>
      </c>
      <c r="F1814" s="1551" t="n">
        <f aca="false">'Смета Внутр'!E1814</f>
        <v>10</v>
      </c>
      <c r="G1814" s="1551" t="n">
        <f aca="false">'Смета Внутр'!H1814</f>
        <v>0</v>
      </c>
      <c r="I1814" s="3179" t="n">
        <f aca="false">IF(F1814&lt;H1814,F1814*(D1814-E1814),0)+IF(H1814=0,(D1814-E1814)*F1814,0)+IF(H1814&lt;F1814,H1814*(D1814-E1814),0)</f>
        <v>0</v>
      </c>
      <c r="J1814" s="3179" t="n">
        <f aca="false">G1814-I1814</f>
        <v>0</v>
      </c>
    </row>
    <row r="1815" customFormat="false" ht="15" hidden="false" customHeight="true" outlineLevel="0" collapsed="false">
      <c r="B1815" s="1551" t="str">
        <f aca="false">'Смета Внутр'!B1815</f>
        <v>шпаклевка для багета, 5 кг</v>
      </c>
      <c r="C1815" s="1551" t="str">
        <f aca="false">'Смета Внутр'!C1815</f>
        <v>шт</v>
      </c>
      <c r="D1815" s="1551" t="n">
        <f aca="false">'Смета Внутр'!D1815</f>
        <v>0</v>
      </c>
      <c r="F1815" s="1551" t="n">
        <f aca="false">'Смета Внутр'!E1815</f>
        <v>100</v>
      </c>
      <c r="G1815" s="1551" t="n">
        <f aca="false">'Смета Внутр'!H1815</f>
        <v>0</v>
      </c>
      <c r="I1815" s="3179" t="n">
        <f aca="false">IF(F1815&lt;H1815,F1815*(D1815-E1815),0)+IF(H1815=0,(D1815-E1815)*F1815,0)+IF(H1815&lt;F1815,H1815*(D1815-E1815),0)</f>
        <v>0</v>
      </c>
      <c r="J1815" s="3179" t="n">
        <f aca="false">G1815-I1815</f>
        <v>0</v>
      </c>
    </row>
    <row r="1816" customFormat="false" ht="15" hidden="false" customHeight="true" outlineLevel="0" collapsed="false">
      <c r="B1816" s="1551" t="str">
        <f aca="false">'Смета Внутр'!B1816</f>
        <v>краска для багета, 5 л</v>
      </c>
      <c r="C1816" s="1551" t="str">
        <f aca="false">'Смета Внутр'!C1816</f>
        <v>шт</v>
      </c>
      <c r="D1816" s="1551" t="n">
        <f aca="false">'Смета Внутр'!D1816</f>
        <v>0</v>
      </c>
      <c r="F1816" s="1551" t="n">
        <f aca="false">'Смета Внутр'!E1816</f>
        <v>190</v>
      </c>
      <c r="G1816" s="1551" t="n">
        <f aca="false">'Смета Внутр'!H1816</f>
        <v>0</v>
      </c>
      <c r="I1816" s="3179" t="n">
        <f aca="false">IF(F1816&lt;H1816,F1816*(D1816-E1816),0)+IF(H1816=0,(D1816-E1816)*F1816,0)+IF(H1816&lt;F1816,H1816*(D1816-E1816),0)</f>
        <v>0</v>
      </c>
      <c r="J1816" s="3179" t="n">
        <f aca="false">G1816-I1816</f>
        <v>0</v>
      </c>
    </row>
    <row r="1817" customFormat="false" ht="15" hidden="false" customHeight="true" outlineLevel="0" collapsed="false">
      <c r="B1817" s="1551" t="str">
        <f aca="false">'Смета Внутр'!B1817</f>
        <v>наждачная бумага финишная</v>
      </c>
      <c r="C1817" s="1551" t="str">
        <f aca="false">'Смета Внутр'!C1817</f>
        <v>м2</v>
      </c>
      <c r="D1817" s="1551" t="n">
        <f aca="false">'Смета Внутр'!D1817</f>
        <v>0</v>
      </c>
      <c r="F1817" s="1551" t="n">
        <f aca="false">'Смета Внутр'!E1817</f>
        <v>120</v>
      </c>
      <c r="G1817" s="1551" t="n">
        <f aca="false">'Смета Внутр'!H1817</f>
        <v>0</v>
      </c>
      <c r="I1817" s="3179" t="n">
        <f aca="false">IF(F1817&lt;H1817,F1817*(D1817-E1817),0)+IF(H1817=0,(D1817-E1817)*F1817,0)+IF(H1817&lt;F1817,H1817*(D1817-E1817),0)</f>
        <v>0</v>
      </c>
      <c r="J1817" s="3179" t="n">
        <f aca="false">G1817-I1817</f>
        <v>0</v>
      </c>
    </row>
    <row r="1818" customFormat="false" ht="15" hidden="false" customHeight="true" outlineLevel="0" collapsed="false">
      <c r="B1818" s="1551" t="str">
        <f aca="false">'Смета Внутр'!B1818</f>
        <v>натяжной потолок</v>
      </c>
      <c r="C1818" s="1551" t="str">
        <f aca="false">'Смета Внутр'!C1818</f>
        <v>м2</v>
      </c>
      <c r="D1818" s="1551" t="n">
        <f aca="false">'Смета Внутр'!D1818</f>
        <v>0</v>
      </c>
      <c r="F1818" s="1551" t="n">
        <f aca="false">'Смета Внутр'!E1818</f>
        <v>400</v>
      </c>
      <c r="G1818" s="1551" t="n">
        <f aca="false">'Смета Внутр'!H1818</f>
        <v>0</v>
      </c>
      <c r="I1818" s="3179" t="n">
        <f aca="false">IF(F1818&lt;H1818,F1818*(D1818-E1818),0)+IF(H1818=0,(D1818-E1818)*F1818,0)+IF(H1818&lt;F1818,H1818*(D1818-E1818),0)</f>
        <v>0</v>
      </c>
      <c r="J1818" s="3179" t="n">
        <f aca="false">G1818-I1818</f>
        <v>0</v>
      </c>
    </row>
    <row r="1819" customFormat="false" ht="15" hidden="false" customHeight="true" outlineLevel="0" collapsed="false">
      <c r="B1819" s="1551" t="str">
        <f aca="false">'Смета Внутр'!B1819</f>
        <v>имитация бруса</v>
      </c>
      <c r="C1819" s="1551" t="str">
        <f aca="false">'Смета Внутр'!C1819</f>
        <v>м2</v>
      </c>
      <c r="D1819" s="1551" t="n">
        <f aca="false">'Смета Внутр'!D1819</f>
        <v>0</v>
      </c>
      <c r="F1819" s="1551" t="n">
        <f aca="false">'Смета Внутр'!E1819</f>
        <v>350</v>
      </c>
      <c r="G1819" s="1551" t="n">
        <f aca="false">'Смета Внутр'!H1819</f>
        <v>0</v>
      </c>
      <c r="I1819" s="3179" t="n">
        <f aca="false">IF(F1819&lt;H1819,F1819*(D1819-E1819),0)+IF(H1819=0,(D1819-E1819)*F1819,0)+IF(H1819&lt;F1819,H1819*(D1819-E1819),0)</f>
        <v>0</v>
      </c>
      <c r="J1819" s="3179" t="n">
        <f aca="false">G1819-I1819</f>
        <v>0</v>
      </c>
    </row>
    <row r="1820" customFormat="false" ht="15" hidden="false" customHeight="true" outlineLevel="0" collapsed="false">
      <c r="B1820" s="1551" t="str">
        <f aca="false">'Смета Внутр'!B1820</f>
        <v>блокхаус</v>
      </c>
      <c r="C1820" s="1551" t="str">
        <f aca="false">'Смета Внутр'!C1820</f>
        <v>м2</v>
      </c>
      <c r="D1820" s="1551" t="n">
        <f aca="false">'Смета Внутр'!D1820</f>
        <v>0</v>
      </c>
      <c r="F1820" s="1551" t="n">
        <f aca="false">'Смета Внутр'!E1820</f>
        <v>500</v>
      </c>
      <c r="G1820" s="1551" t="n">
        <f aca="false">'Смета Внутр'!H1820</f>
        <v>0</v>
      </c>
      <c r="I1820" s="3179" t="n">
        <f aca="false">IF(F1820&lt;H1820,F1820*(D1820-E1820),0)+IF(H1820=0,(D1820-E1820)*F1820,0)+IF(H1820&lt;F1820,H1820*(D1820-E1820),0)</f>
        <v>0</v>
      </c>
      <c r="J1820" s="3179" t="n">
        <f aca="false">G1820-I1820</f>
        <v>0</v>
      </c>
    </row>
    <row r="1821" customFormat="false" ht="15" hidden="false" customHeight="true" outlineLevel="0" collapsed="false">
      <c r="B1821" s="1551" t="str">
        <f aca="false">'Смета Внутр'!B1821</f>
        <v>вагонка</v>
      </c>
      <c r="C1821" s="1551" t="str">
        <f aca="false">'Смета Внутр'!C1821</f>
        <v>м2</v>
      </c>
      <c r="D1821" s="1551" t="n">
        <f aca="false">'Смета Внутр'!D1821</f>
        <v>88.7321893085902</v>
      </c>
      <c r="F1821" s="1551" t="n">
        <f aca="false">'Смета Внутр'!E1821</f>
        <v>250</v>
      </c>
      <c r="G1821" s="1551" t="n">
        <f aca="false">'Смета Внутр'!H1821</f>
        <v>22183.0473271476</v>
      </c>
      <c r="I1821" s="3179" t="n">
        <f aca="false">IF(F1821&lt;H1821,F1821*(D1821-E1821),0)+IF(H1821=0,(D1821-E1821)*F1821,0)+IF(H1821&lt;F1821,H1821*(D1821-E1821),0)</f>
        <v>22183.0473271476</v>
      </c>
      <c r="J1821" s="3179" t="n">
        <f aca="false">G1821-I1821</f>
        <v>0</v>
      </c>
    </row>
    <row r="1822" customFormat="false" ht="15" hidden="false" customHeight="true" outlineLevel="0" collapsed="false">
      <c r="B1822" s="1551" t="str">
        <f aca="false">'Смета Внутр'!B1822</f>
        <v>подсистема, брусок</v>
      </c>
      <c r="C1822" s="1551" t="str">
        <f aca="false">'Смета Внутр'!C1822</f>
        <v>м.п.</v>
      </c>
      <c r="D1822" s="1551" t="n">
        <f aca="false">'Смета Внутр'!D1822</f>
        <v>0</v>
      </c>
      <c r="F1822" s="1551" t="n">
        <f aca="false">'Смета Внутр'!E1822</f>
        <v>6</v>
      </c>
      <c r="G1822" s="1551" t="n">
        <f aca="false">'Смета Внутр'!H1822</f>
        <v>0</v>
      </c>
      <c r="I1822" s="3179" t="n">
        <f aca="false">IF(F1822&lt;H1822,F1822*(D1822-E1822),0)+IF(H1822=0,(D1822-E1822)*F1822,0)+IF(H1822&lt;F1822,H1822*(D1822-E1822),0)</f>
        <v>0</v>
      </c>
      <c r="J1822" s="3179" t="n">
        <f aca="false">G1822-I1822</f>
        <v>0</v>
      </c>
    </row>
    <row r="1823" customFormat="false" ht="15" hidden="false" customHeight="true" outlineLevel="0" collapsed="false">
      <c r="B1823" s="1551" t="str">
        <f aca="false">'Смета Внутр'!B1823</f>
        <v>уголок крепежный</v>
      </c>
      <c r="C1823" s="1551" t="str">
        <f aca="false">'Смета Внутр'!C1823</f>
        <v>шт</v>
      </c>
      <c r="D1823" s="1551" t="n">
        <f aca="false">'Смета Внутр'!D1823</f>
        <v>0</v>
      </c>
      <c r="F1823" s="1551" t="n">
        <f aca="false">'Смета Внутр'!E1823</f>
        <v>8</v>
      </c>
      <c r="G1823" s="1551" t="n">
        <f aca="false">'Смета Внутр'!H1823</f>
        <v>0</v>
      </c>
      <c r="I1823" s="3179" t="n">
        <f aca="false">IF(F1823&lt;H1823,F1823*(D1823-E1823),0)+IF(H1823=0,(D1823-E1823)*F1823,0)+IF(H1823&lt;F1823,H1823*(D1823-E1823),0)</f>
        <v>0</v>
      </c>
      <c r="J1823" s="3179" t="n">
        <f aca="false">G1823-I1823</f>
        <v>0</v>
      </c>
    </row>
    <row r="1824" customFormat="false" ht="15" hidden="false" customHeight="true" outlineLevel="0" collapsed="false">
      <c r="B1824" s="1551" t="str">
        <f aca="false">'Смета Внутр'!B1824</f>
        <v>гвозди/саморезы для крепления подсистемы</v>
      </c>
      <c r="C1824" s="1551" t="str">
        <f aca="false">'Смета Внутр'!C1824</f>
        <v>шт</v>
      </c>
      <c r="D1824" s="1551" t="n">
        <f aca="false">'Смета Внутр'!D1824</f>
        <v>0</v>
      </c>
      <c r="F1824" s="1551" t="n">
        <f aca="false">'Смета Внутр'!E1824</f>
        <v>0.02</v>
      </c>
      <c r="G1824" s="1551" t="n">
        <f aca="false">'Смета Внутр'!H1824</f>
        <v>0</v>
      </c>
      <c r="I1824" s="3179" t="n">
        <f aca="false">IF(F1824&lt;H1824,F1824*(D1824-E1824),0)+IF(H1824=0,(D1824-E1824)*F1824,0)+IF(H1824&lt;F1824,H1824*(D1824-E1824),0)</f>
        <v>0</v>
      </c>
      <c r="J1824" s="3179" t="n">
        <f aca="false">G1824-I1824</f>
        <v>0</v>
      </c>
    </row>
    <row r="1825" customFormat="false" ht="15" hidden="false" customHeight="true" outlineLevel="0" collapsed="false">
      <c r="B1825" s="1551" t="str">
        <f aca="false">'Смета Внутр'!B1825</f>
        <v>гвозди/саморезы для крепления</v>
      </c>
      <c r="C1825" s="1551" t="str">
        <f aca="false">'Смета Внутр'!C1825</f>
        <v>шт</v>
      </c>
      <c r="D1825" s="1551" t="n">
        <f aca="false">'Смета Внутр'!D1825</f>
        <v>1774.6437861718</v>
      </c>
      <c r="F1825" s="1551" t="n">
        <f aca="false">'Смета Внутр'!E1825</f>
        <v>0.02</v>
      </c>
      <c r="G1825" s="1551" t="n">
        <f aca="false">'Смета Внутр'!H1825</f>
        <v>35.4928757234361</v>
      </c>
      <c r="I1825" s="3179" t="n">
        <f aca="false">IF(F1825&lt;H1825,F1825*(D1825-E1825),0)+IF(H1825=0,(D1825-E1825)*F1825,0)+IF(H1825&lt;F1825,H1825*(D1825-E1825),0)</f>
        <v>35.4928757234361</v>
      </c>
      <c r="J1825" s="3179" t="n">
        <f aca="false">G1825-I1825</f>
        <v>0</v>
      </c>
    </row>
    <row r="1826" customFormat="false" ht="15" hidden="false" customHeight="true" outlineLevel="0" collapsed="false">
      <c r="B1826" s="1551" t="str">
        <f aca="false">'Смета Внутр'!B1826</f>
        <v>Пол</v>
      </c>
      <c r="C1826" s="1551" t="n">
        <f aca="false">'Смета Внутр'!C1826</f>
        <v>0</v>
      </c>
      <c r="D1826" s="1551" t="n">
        <f aca="false">'Смета Внутр'!D1826</f>
        <v>0</v>
      </c>
      <c r="F1826" s="1551" t="n">
        <f aca="false">'Смета Внутр'!E1826</f>
        <v>0</v>
      </c>
      <c r="G1826" s="1551" t="n">
        <f aca="false">'Смета Внутр'!H1826</f>
        <v>0</v>
      </c>
      <c r="I1826" s="3179" t="n">
        <f aca="false">IF(F1826&lt;H1826,F1826*(D1826-E1826),0)+IF(H1826=0,(D1826-E1826)*F1826,0)+IF(H1826&lt;F1826,H1826*(D1826-E1826),0)</f>
        <v>0</v>
      </c>
      <c r="J1826" s="3179" t="n">
        <f aca="false">G1826-I1826</f>
        <v>0</v>
      </c>
    </row>
    <row r="1827" customFormat="false" ht="15" hidden="false" customHeight="true" outlineLevel="0" collapsed="false">
      <c r="B1827" s="1551" t="str">
        <f aca="false">'Смета Внутр'!B1827</f>
        <v>подложка под покрытие</v>
      </c>
      <c r="C1827" s="1551" t="str">
        <f aca="false">'Смета Внутр'!C1827</f>
        <v>м2</v>
      </c>
      <c r="D1827" s="1551" t="n">
        <f aca="false">'Смета Внутр'!D1827</f>
        <v>0</v>
      </c>
      <c r="F1827" s="1551" t="n">
        <f aca="false">'Смета Внутр'!E1827</f>
        <v>50</v>
      </c>
      <c r="G1827" s="1551" t="n">
        <f aca="false">'Смета Внутр'!H1827</f>
        <v>0</v>
      </c>
      <c r="I1827" s="3179" t="n">
        <f aca="false">IF(F1827&lt;H1827,F1827*(D1827-E1827),0)+IF(H1827=0,(D1827-E1827)*F1827,0)+IF(H1827&lt;F1827,H1827*(D1827-E1827),0)</f>
        <v>0</v>
      </c>
      <c r="J1827" s="3179" t="n">
        <f aca="false">G1827-I1827</f>
        <v>0</v>
      </c>
    </row>
    <row r="1828" customFormat="false" ht="15" hidden="false" customHeight="true" outlineLevel="0" collapsed="false">
      <c r="B1828" s="1551" t="str">
        <f aca="false">'Смета Внутр'!B1828</f>
        <v>линолеум</v>
      </c>
      <c r="C1828" s="1551" t="str">
        <f aca="false">'Смета Внутр'!C1828</f>
        <v>м2</v>
      </c>
      <c r="D1828" s="1551" t="n">
        <f aca="false">'Смета Внутр'!D1828</f>
        <v>0</v>
      </c>
      <c r="F1828" s="1551" t="n">
        <f aca="false">'Смета Внутр'!E1828</f>
        <v>350</v>
      </c>
      <c r="G1828" s="1551" t="n">
        <f aca="false">'Смета Внутр'!H1828</f>
        <v>0</v>
      </c>
      <c r="I1828" s="3179" t="n">
        <f aca="false">IF(F1828&lt;H1828,F1828*(D1828-E1828),0)+IF(H1828=0,(D1828-E1828)*F1828,0)+IF(H1828&lt;F1828,H1828*(D1828-E1828),0)</f>
        <v>0</v>
      </c>
      <c r="J1828" s="3179" t="n">
        <f aca="false">G1828-I1828</f>
        <v>0</v>
      </c>
    </row>
    <row r="1829" customFormat="false" ht="15" hidden="false" customHeight="true" outlineLevel="0" collapsed="false">
      <c r="B1829" s="1551" t="str">
        <f aca="false">'Смета Внутр'!B1829</f>
        <v>ламинат</v>
      </c>
      <c r="C1829" s="1551" t="str">
        <f aca="false">'Смета Внутр'!C1829</f>
        <v>м2</v>
      </c>
      <c r="D1829" s="1551" t="n">
        <f aca="false">'Смета Внутр'!D1829</f>
        <v>0</v>
      </c>
      <c r="F1829" s="1551" t="n">
        <f aca="false">'Смета Внутр'!E1829</f>
        <v>450</v>
      </c>
      <c r="G1829" s="1551" t="n">
        <f aca="false">'Смета Внутр'!H1829</f>
        <v>0</v>
      </c>
      <c r="I1829" s="3179" t="n">
        <f aca="false">IF(F1829&lt;H1829,F1829*(D1829-E1829),0)+IF(H1829=0,(D1829-E1829)*F1829,0)+IF(H1829&lt;F1829,H1829*(D1829-E1829),0)</f>
        <v>0</v>
      </c>
      <c r="J1829" s="3179" t="n">
        <f aca="false">G1829-I1829</f>
        <v>0</v>
      </c>
    </row>
    <row r="1830" customFormat="false" ht="15" hidden="false" customHeight="true" outlineLevel="0" collapsed="false">
      <c r="B1830" s="1551" t="str">
        <f aca="false">'Смета Внутр'!B1830</f>
        <v>уголки, расходные материалы</v>
      </c>
      <c r="C1830" s="1551" t="str">
        <f aca="false">'Смета Внутр'!C1830</f>
        <v>шт</v>
      </c>
      <c r="D1830" s="1551" t="n">
        <f aca="false">'Смета Внутр'!D1830</f>
        <v>0</v>
      </c>
      <c r="F1830" s="1551" t="n">
        <f aca="false">'Смета Внутр'!E1830</f>
        <v>35</v>
      </c>
      <c r="G1830" s="1551" t="n">
        <f aca="false">'Смета Внутр'!H1830</f>
        <v>0</v>
      </c>
      <c r="I1830" s="3179" t="n">
        <f aca="false">IF(F1830&lt;H1830,F1830*(D1830-E1830),0)+IF(H1830=0,(D1830-E1830)*F1830,0)+IF(H1830&lt;F1830,H1830*(D1830-E1830),0)</f>
        <v>0</v>
      </c>
      <c r="J1830" s="3179" t="n">
        <f aca="false">G1830-I1830</f>
        <v>0</v>
      </c>
    </row>
    <row r="1831" customFormat="false" ht="15" hidden="false" customHeight="true" outlineLevel="0" collapsed="false">
      <c r="B1831" s="1551" t="str">
        <f aca="false">'Смета Внутр'!B1831</f>
        <v>плинтус</v>
      </c>
      <c r="C1831" s="1551" t="str">
        <f aca="false">'Смета Внутр'!C1831</f>
        <v>м.п.</v>
      </c>
      <c r="D1831" s="1551" t="n">
        <f aca="false">'Смета Внутр'!D1831</f>
        <v>0</v>
      </c>
      <c r="F1831" s="1551" t="n">
        <f aca="false">'Смета Внутр'!E1831</f>
        <v>35</v>
      </c>
      <c r="G1831" s="1551" t="n">
        <f aca="false">'Смета Внутр'!H1831</f>
        <v>0</v>
      </c>
      <c r="I1831" s="3179" t="n">
        <f aca="false">IF(F1831&lt;H1831,F1831*(D1831-E1831),0)+IF(H1831=0,(D1831-E1831)*F1831,0)+IF(H1831&lt;F1831,H1831*(D1831-E1831),0)</f>
        <v>0</v>
      </c>
      <c r="J1831" s="3179" t="n">
        <f aca="false">G1831-I1831</f>
        <v>0</v>
      </c>
    </row>
    <row r="1832" customFormat="false" ht="15" hidden="false" customHeight="true" outlineLevel="0" collapsed="false">
      <c r="B1832" s="1551" t="str">
        <f aca="false">'Смета Внутр'!B1832</f>
        <v>кафель</v>
      </c>
      <c r="C1832" s="1551" t="str">
        <f aca="false">'Смета Внутр'!C1832</f>
        <v>м2</v>
      </c>
      <c r="D1832" s="1551" t="n">
        <f aca="false">'Смета Внутр'!D1832</f>
        <v>0</v>
      </c>
      <c r="F1832" s="1551" t="n">
        <f aca="false">'Смета Внутр'!E1832</f>
        <v>500</v>
      </c>
      <c r="G1832" s="1551" t="n">
        <f aca="false">'Смета Внутр'!H1832</f>
        <v>0</v>
      </c>
      <c r="I1832" s="3179" t="n">
        <f aca="false">IF(F1832&lt;H1832,F1832*(D1832-E1832),0)+IF(H1832=0,(D1832-E1832)*F1832,0)+IF(H1832&lt;F1832,H1832*(D1832-E1832),0)</f>
        <v>0</v>
      </c>
      <c r="J1832" s="3179" t="n">
        <f aca="false">G1832-I1832</f>
        <v>0</v>
      </c>
    </row>
    <row r="1833" customFormat="false" ht="15" hidden="false" customHeight="true" outlineLevel="0" collapsed="false">
      <c r="B1833" s="1551" t="str">
        <f aca="false">'Смета Внутр'!B1833</f>
        <v>клей для кафеля, 25кг</v>
      </c>
      <c r="C1833" s="1551" t="str">
        <f aca="false">'Смета Внутр'!C1833</f>
        <v>шт</v>
      </c>
      <c r="D1833" s="1551" t="n">
        <f aca="false">'Смета Внутр'!D1833</f>
        <v>0</v>
      </c>
      <c r="F1833" s="1551" t="n">
        <f aca="false">'Смета Внутр'!E1833</f>
        <v>250</v>
      </c>
      <c r="G1833" s="1551" t="n">
        <f aca="false">'Смета Внутр'!H1833</f>
        <v>0</v>
      </c>
      <c r="I1833" s="3179" t="n">
        <f aca="false">IF(F1833&lt;H1833,F1833*(D1833-E1833),0)+IF(H1833=0,(D1833-E1833)*F1833,0)+IF(H1833&lt;F1833,H1833*(D1833-E1833),0)</f>
        <v>0</v>
      </c>
      <c r="J1833" s="3179" t="n">
        <f aca="false">G1833-I1833</f>
        <v>0</v>
      </c>
    </row>
    <row r="1834" customFormat="false" ht="15" hidden="false" customHeight="true" outlineLevel="0" collapsed="false">
      <c r="B1834" s="1551" t="str">
        <f aca="false">'Смета Внутр'!B1834</f>
        <v>грунтовка, 10л</v>
      </c>
      <c r="C1834" s="1551" t="str">
        <f aca="false">'Смета Внутр'!C1834</f>
        <v>шт</v>
      </c>
      <c r="D1834" s="1551" t="n">
        <f aca="false">'Смета Внутр'!D1834</f>
        <v>0</v>
      </c>
      <c r="F1834" s="1551" t="n">
        <f aca="false">'Смета Внутр'!E1834</f>
        <v>500</v>
      </c>
      <c r="G1834" s="1551" t="n">
        <f aca="false">'Смета Внутр'!H1834</f>
        <v>0</v>
      </c>
      <c r="I1834" s="3179" t="n">
        <f aca="false">IF(F1834&lt;H1834,F1834*(D1834-E1834),0)+IF(H1834=0,(D1834-E1834)*F1834,0)+IF(H1834&lt;F1834,H1834*(D1834-E1834),0)</f>
        <v>0</v>
      </c>
      <c r="J1834" s="3179" t="n">
        <f aca="false">G1834-I1834</f>
        <v>0</v>
      </c>
    </row>
    <row r="1835" customFormat="false" ht="15" hidden="false" customHeight="true" outlineLevel="0" collapsed="false">
      <c r="B1835" s="1551" t="str">
        <f aca="false">'Смета Внутр'!B1835</f>
        <v>крестики, 100шт</v>
      </c>
      <c r="C1835" s="1551" t="str">
        <f aca="false">'Смета Внутр'!C1835</f>
        <v>шт</v>
      </c>
      <c r="D1835" s="1551" t="n">
        <f aca="false">'Смета Внутр'!D1835</f>
        <v>0</v>
      </c>
      <c r="F1835" s="1551" t="n">
        <f aca="false">'Смета Внутр'!E1835</f>
        <v>200</v>
      </c>
      <c r="G1835" s="1551" t="n">
        <f aca="false">'Смета Внутр'!H1835</f>
        <v>0</v>
      </c>
      <c r="I1835" s="3179" t="n">
        <f aca="false">IF(F1835&lt;H1835,F1835*(D1835-E1835),0)+IF(H1835=0,(D1835-E1835)*F1835,0)+IF(H1835&lt;F1835,H1835*(D1835-E1835),0)</f>
        <v>0</v>
      </c>
      <c r="J1835" s="3179" t="n">
        <f aca="false">G1835-I1835</f>
        <v>0</v>
      </c>
    </row>
    <row r="1836" customFormat="false" ht="15" hidden="false" customHeight="true" outlineLevel="0" collapsed="false">
      <c r="B1836" s="1551" t="str">
        <f aca="false">'Смета Внутр'!B1836</f>
        <v>затирка для швов</v>
      </c>
      <c r="C1836" s="1551" t="str">
        <f aca="false">'Смета Внутр'!C1836</f>
        <v>шт</v>
      </c>
      <c r="D1836" s="1551" t="n">
        <f aca="false">'Смета Внутр'!D1836</f>
        <v>0</v>
      </c>
      <c r="F1836" s="1551" t="n">
        <f aca="false">'Смета Внутр'!E1836</f>
        <v>400</v>
      </c>
      <c r="G1836" s="1551" t="n">
        <f aca="false">'Смета Внутр'!H1836</f>
        <v>0</v>
      </c>
      <c r="I1836" s="3179" t="n">
        <f aca="false">IF(F1836&lt;H1836,F1836*(D1836-E1836),0)+IF(H1836=0,(D1836-E1836)*F1836,0)+IF(H1836&lt;F1836,H1836*(D1836-E1836),0)</f>
        <v>0</v>
      </c>
      <c r="J1836" s="3179" t="n">
        <f aca="false">G1836-I1836</f>
        <v>0</v>
      </c>
    </row>
    <row r="1837" customFormat="false" ht="15" hidden="false" customHeight="true" outlineLevel="0" collapsed="false">
      <c r="B1837" s="1551" t="str">
        <f aca="false">'Смета Внутр'!B1837</f>
        <v>санузел/ванная</v>
      </c>
      <c r="C1837" s="1551" t="n">
        <f aca="false">'Смета Внутр'!C1837</f>
        <v>0</v>
      </c>
      <c r="D1837" s="1551" t="n">
        <f aca="false">'Смета Внутр'!D1837</f>
        <v>0</v>
      </c>
      <c r="F1837" s="1551" t="n">
        <f aca="false">'Смета Внутр'!E1837</f>
        <v>0</v>
      </c>
      <c r="G1837" s="1551" t="n">
        <f aca="false">'Смета Внутр'!H1837</f>
        <v>0</v>
      </c>
      <c r="I1837" s="3179" t="n">
        <f aca="false">IF(F1837&lt;H1837,F1837*(D1837-E1837),0)+IF(H1837=0,(D1837-E1837)*F1837,0)+IF(H1837&lt;F1837,H1837*(D1837-E1837),0)</f>
        <v>0</v>
      </c>
      <c r="J1837" s="3179" t="n">
        <f aca="false">G1837-I1837</f>
        <v>0</v>
      </c>
    </row>
    <row r="1838" customFormat="false" ht="15" hidden="false" customHeight="true" outlineLevel="0" collapsed="false">
      <c r="B1838" s="1551" t="str">
        <f aca="false">'Смета Внутр'!B1838</f>
        <v>кафель стены</v>
      </c>
      <c r="C1838" s="1551" t="str">
        <f aca="false">'Смета Внутр'!C1838</f>
        <v>м2</v>
      </c>
      <c r="D1838" s="1551" t="n">
        <f aca="false">'Смета Внутр'!D1838</f>
        <v>0</v>
      </c>
      <c r="F1838" s="1551" t="n">
        <f aca="false">'Смета Внутр'!E1838</f>
        <v>500</v>
      </c>
      <c r="G1838" s="1551" t="n">
        <f aca="false">'Смета Внутр'!H1838</f>
        <v>0</v>
      </c>
      <c r="I1838" s="3179" t="n">
        <f aca="false">IF(F1838&lt;H1838,F1838*(D1838-E1838),0)+IF(H1838=0,(D1838-E1838)*F1838,0)+IF(H1838&lt;F1838,H1838*(D1838-E1838),0)</f>
        <v>0</v>
      </c>
      <c r="J1838" s="3179" t="n">
        <f aca="false">G1838-I1838</f>
        <v>0</v>
      </c>
    </row>
    <row r="1839" customFormat="false" ht="15" hidden="false" customHeight="true" outlineLevel="0" collapsed="false">
      <c r="B1839" s="1551" t="str">
        <f aca="false">'Смета Внутр'!B1839</f>
        <v>кафель потолок</v>
      </c>
      <c r="C1839" s="1551" t="str">
        <f aca="false">'Смета Внутр'!C1839</f>
        <v>м2</v>
      </c>
      <c r="D1839" s="1551" t="n">
        <f aca="false">'Смета Внутр'!D1839</f>
        <v>0</v>
      </c>
      <c r="F1839" s="1551" t="n">
        <f aca="false">'Смета Внутр'!E1839</f>
        <v>500</v>
      </c>
      <c r="G1839" s="1551" t="n">
        <f aca="false">'Смета Внутр'!H1839</f>
        <v>0</v>
      </c>
      <c r="I1839" s="3179" t="n">
        <f aca="false">IF(F1839&lt;H1839,F1839*(D1839-E1839),0)+IF(H1839=0,(D1839-E1839)*F1839,0)+IF(H1839&lt;F1839,H1839*(D1839-E1839),0)</f>
        <v>0</v>
      </c>
      <c r="J1839" s="3179" t="n">
        <f aca="false">G1839-I1839</f>
        <v>0</v>
      </c>
    </row>
    <row r="1840" customFormat="false" ht="15" hidden="false" customHeight="true" outlineLevel="0" collapsed="false">
      <c r="B1840" s="1551" t="str">
        <f aca="false">'Смета Внутр'!B1840</f>
        <v>кафель пол</v>
      </c>
      <c r="C1840" s="1551" t="str">
        <f aca="false">'Смета Внутр'!C1840</f>
        <v>м2</v>
      </c>
      <c r="D1840" s="1551" t="n">
        <f aca="false">'Смета Внутр'!D1840</f>
        <v>0</v>
      </c>
      <c r="F1840" s="1551" t="n">
        <f aca="false">'Смета Внутр'!E1840</f>
        <v>500</v>
      </c>
      <c r="G1840" s="1551" t="n">
        <f aca="false">'Смета Внутр'!H1840</f>
        <v>0</v>
      </c>
      <c r="I1840" s="3179" t="n">
        <f aca="false">IF(F1840&lt;H1840,F1840*(D1840-E1840),0)+IF(H1840=0,(D1840-E1840)*F1840,0)+IF(H1840&lt;F1840,H1840*(D1840-E1840),0)</f>
        <v>0</v>
      </c>
      <c r="J1840" s="3179" t="n">
        <f aca="false">G1840-I1840</f>
        <v>0</v>
      </c>
    </row>
    <row r="1841" customFormat="false" ht="15" hidden="false" customHeight="true" outlineLevel="0" collapsed="false">
      <c r="B1841" s="1551" t="str">
        <f aca="false">'Смета Внутр'!B1841</f>
        <v>клей для кафеля, 25кг</v>
      </c>
      <c r="C1841" s="1551" t="str">
        <f aca="false">'Смета Внутр'!C1841</f>
        <v>шт</v>
      </c>
      <c r="D1841" s="1551" t="n">
        <f aca="false">'Смета Внутр'!D1841</f>
        <v>0</v>
      </c>
      <c r="F1841" s="1551" t="n">
        <f aca="false">'Смета Внутр'!E1841</f>
        <v>250</v>
      </c>
      <c r="G1841" s="1551" t="n">
        <f aca="false">'Смета Внутр'!H1841</f>
        <v>0</v>
      </c>
      <c r="I1841" s="3179" t="n">
        <f aca="false">IF(F1841&lt;H1841,F1841*(D1841-E1841),0)+IF(H1841=0,(D1841-E1841)*F1841,0)+IF(H1841&lt;F1841,H1841*(D1841-E1841),0)</f>
        <v>0</v>
      </c>
      <c r="J1841" s="3179" t="n">
        <f aca="false">G1841-I1841</f>
        <v>0</v>
      </c>
    </row>
    <row r="1842" customFormat="false" ht="15" hidden="false" customHeight="true" outlineLevel="0" collapsed="false">
      <c r="B1842" s="1551" t="str">
        <f aca="false">'Смета Внутр'!B1842</f>
        <v>грунтовка, 10л</v>
      </c>
      <c r="C1842" s="1551" t="str">
        <f aca="false">'Смета Внутр'!C1842</f>
        <v>шт</v>
      </c>
      <c r="D1842" s="1551" t="n">
        <f aca="false">'Смета Внутр'!D1842</f>
        <v>0</v>
      </c>
      <c r="F1842" s="1551" t="n">
        <f aca="false">'Смета Внутр'!E1842</f>
        <v>500</v>
      </c>
      <c r="G1842" s="1551" t="n">
        <f aca="false">'Смета Внутр'!H1842</f>
        <v>0</v>
      </c>
      <c r="I1842" s="3179" t="n">
        <f aca="false">IF(F1842&lt;H1842,F1842*(D1842-E1842),0)+IF(H1842=0,(D1842-E1842)*F1842,0)+IF(H1842&lt;F1842,H1842*(D1842-E1842),0)</f>
        <v>0</v>
      </c>
      <c r="J1842" s="3179" t="n">
        <f aca="false">G1842-I1842</f>
        <v>0</v>
      </c>
    </row>
    <row r="1843" customFormat="false" ht="15" hidden="false" customHeight="true" outlineLevel="0" collapsed="false">
      <c r="B1843" s="1551" t="str">
        <f aca="false">'Смета Внутр'!B1843</f>
        <v>крестики, 100 шт</v>
      </c>
      <c r="C1843" s="1551" t="str">
        <f aca="false">'Смета Внутр'!C1843</f>
        <v>шт</v>
      </c>
      <c r="D1843" s="1551" t="n">
        <f aca="false">'Смета Внутр'!D1843</f>
        <v>0</v>
      </c>
      <c r="F1843" s="1551" t="n">
        <f aca="false">'Смета Внутр'!E1843</f>
        <v>200</v>
      </c>
      <c r="G1843" s="1551" t="n">
        <f aca="false">'Смета Внутр'!H1843</f>
        <v>0</v>
      </c>
      <c r="I1843" s="3179" t="n">
        <f aca="false">IF(F1843&lt;H1843,F1843*(D1843-E1843),0)+IF(H1843=0,(D1843-E1843)*F1843,0)+IF(H1843&lt;F1843,H1843*(D1843-E1843),0)</f>
        <v>0</v>
      </c>
      <c r="J1843" s="3179" t="n">
        <f aca="false">G1843-I1843</f>
        <v>0</v>
      </c>
    </row>
    <row r="1844" customFormat="false" ht="15" hidden="false" customHeight="true" outlineLevel="0" collapsed="false">
      <c r="B1844" s="1551" t="str">
        <f aca="false">'Смета Внутр'!B1844</f>
        <v>затирка для швов</v>
      </c>
      <c r="C1844" s="1551" t="str">
        <f aca="false">'Смета Внутр'!C1844</f>
        <v>шт</v>
      </c>
      <c r="D1844" s="1551" t="n">
        <f aca="false">'Смета Внутр'!D1844</f>
        <v>0</v>
      </c>
      <c r="F1844" s="1551" t="n">
        <f aca="false">'Смета Внутр'!E1844</f>
        <v>400</v>
      </c>
      <c r="G1844" s="1551" t="n">
        <f aca="false">'Смета Внутр'!H1844</f>
        <v>0</v>
      </c>
      <c r="I1844" s="3179" t="n">
        <f aca="false">IF(F1844&lt;H1844,F1844*(D1844-E1844),0)+IF(H1844=0,(D1844-E1844)*F1844,0)+IF(H1844&lt;F1844,H1844*(D1844-E1844),0)</f>
        <v>0</v>
      </c>
      <c r="J1844" s="3179" t="n">
        <f aca="false">G1844-I1844</f>
        <v>0</v>
      </c>
    </row>
    <row r="1845" customFormat="false" ht="15" hidden="false" customHeight="true" outlineLevel="0" collapsed="false">
      <c r="B1845" s="1551" t="str">
        <f aca="false">'Смета Внутр'!B1845</f>
        <v>стеновые панели пластик стены</v>
      </c>
      <c r="C1845" s="1551" t="str">
        <f aca="false">'Смета Внутр'!C1845</f>
        <v>м2</v>
      </c>
      <c r="D1845" s="1551" t="n">
        <f aca="false">'Смета Внутр'!D1845</f>
        <v>0</v>
      </c>
      <c r="F1845" s="1551" t="n">
        <f aca="false">'Смета Внутр'!E1845</f>
        <v>250</v>
      </c>
      <c r="G1845" s="1551" t="n">
        <f aca="false">'Смета Внутр'!H1845</f>
        <v>0</v>
      </c>
      <c r="I1845" s="3179" t="n">
        <f aca="false">IF(F1845&lt;H1845,F1845*(D1845-E1845),0)+IF(H1845=0,(D1845-E1845)*F1845,0)+IF(H1845&lt;F1845,H1845*(D1845-E1845),0)</f>
        <v>0</v>
      </c>
      <c r="J1845" s="3179" t="n">
        <f aca="false">G1845-I1845</f>
        <v>0</v>
      </c>
    </row>
    <row r="1846" customFormat="false" ht="15" hidden="false" customHeight="true" outlineLevel="0" collapsed="false">
      <c r="B1846" s="1551" t="str">
        <f aca="false">'Смета Внутр'!B1846</f>
        <v>стеновые панели пластик потолок</v>
      </c>
      <c r="C1846" s="1551" t="str">
        <f aca="false">'Смета Внутр'!C1846</f>
        <v>м2</v>
      </c>
      <c r="D1846" s="1551" t="n">
        <f aca="false">'Смета Внутр'!D1846</f>
        <v>0</v>
      </c>
      <c r="F1846" s="1551" t="n">
        <f aca="false">'Смета Внутр'!E1846</f>
        <v>250</v>
      </c>
      <c r="G1846" s="1551" t="n">
        <f aca="false">'Смета Внутр'!H1846</f>
        <v>0</v>
      </c>
      <c r="I1846" s="3179" t="n">
        <f aca="false">IF(F1846&lt;H1846,F1846*(D1846-E1846),0)+IF(H1846=0,(D1846-E1846)*F1846,0)+IF(H1846&lt;F1846,H1846*(D1846-E1846),0)</f>
        <v>0</v>
      </c>
      <c r="J1846" s="3179" t="n">
        <f aca="false">G1846-I1846</f>
        <v>0</v>
      </c>
    </row>
    <row r="1847" customFormat="false" ht="15" hidden="false" customHeight="true" outlineLevel="0" collapsed="false">
      <c r="B1847" s="1551" t="str">
        <f aca="false">'Смета Внутр'!B1847</f>
        <v>скобы для крепления панелей, 1000шт/уп</v>
      </c>
      <c r="C1847" s="1551" t="str">
        <f aca="false">'Смета Внутр'!C1847</f>
        <v>шт</v>
      </c>
      <c r="D1847" s="1551" t="n">
        <f aca="false">'Смета Внутр'!D1847</f>
        <v>0</v>
      </c>
      <c r="F1847" s="1551" t="n">
        <f aca="false">'Смета Внутр'!E1847</f>
        <v>120</v>
      </c>
      <c r="G1847" s="1551" t="n">
        <f aca="false">'Смета Внутр'!H1847</f>
        <v>0</v>
      </c>
      <c r="I1847" s="3179" t="n">
        <f aca="false">IF(F1847&lt;H1847,F1847*(D1847-E1847),0)+IF(H1847=0,(D1847-E1847)*F1847,0)+IF(H1847&lt;F1847,H1847*(D1847-E1847),0)</f>
        <v>0</v>
      </c>
      <c r="J1847" s="3179" t="n">
        <f aca="false">G1847-I1847</f>
        <v>0</v>
      </c>
    </row>
    <row r="1848" customFormat="false" ht="15" hidden="false" customHeight="true" outlineLevel="0" collapsed="false">
      <c r="B1848" s="1551" t="str">
        <f aca="false">'Смета Внутр'!B1848</f>
        <v>натяжной потолок</v>
      </c>
      <c r="C1848" s="1551" t="str">
        <f aca="false">'Смета Внутр'!C1848</f>
        <v>м2</v>
      </c>
      <c r="D1848" s="1551" t="n">
        <f aca="false">'Смета Внутр'!D1848</f>
        <v>0</v>
      </c>
      <c r="F1848" s="1551" t="n">
        <f aca="false">'Смета Внутр'!E1848</f>
        <v>400</v>
      </c>
      <c r="G1848" s="1551" t="n">
        <f aca="false">'Смета Внутр'!H1848</f>
        <v>0</v>
      </c>
      <c r="I1848" s="3179" t="n">
        <f aca="false">IF(F1848&lt;H1848,F1848*(D1848-E1848),0)+IF(H1848=0,(D1848-E1848)*F1848,0)+IF(H1848&lt;F1848,H1848*(D1848-E1848),0)</f>
        <v>0</v>
      </c>
      <c r="J1848" s="3179" t="n">
        <f aca="false">G1848-I1848</f>
        <v>0</v>
      </c>
    </row>
    <row r="1849" customFormat="false" ht="15" hidden="false" customHeight="true" outlineLevel="0" collapsed="false">
      <c r="B1849" s="1551" t="str">
        <f aca="false">'Смета Внутр'!B1849</f>
        <v>Двери межкомнатные </v>
      </c>
      <c r="C1849" s="1551" t="n">
        <f aca="false">'Смета Внутр'!C1849</f>
        <v>0</v>
      </c>
      <c r="D1849" s="1551" t="n">
        <f aca="false">'Смета Внутр'!D1849</f>
        <v>0</v>
      </c>
      <c r="F1849" s="1551" t="n">
        <f aca="false">'Смета Внутр'!E1849</f>
        <v>0</v>
      </c>
      <c r="G1849" s="1551" t="n">
        <f aca="false">'Смета Внутр'!H1849</f>
        <v>0</v>
      </c>
      <c r="I1849" s="3179" t="n">
        <f aca="false">IF(F1849&lt;H1849,F1849*(D1849-E1849),0)+IF(H1849=0,(D1849-E1849)*F1849,0)+IF(H1849&lt;F1849,H1849*(D1849-E1849),0)</f>
        <v>0</v>
      </c>
      <c r="J1849" s="3179" t="n">
        <f aca="false">G1849-I1849</f>
        <v>0</v>
      </c>
    </row>
    <row r="1850" customFormat="false" ht="15" hidden="false" customHeight="true" outlineLevel="0" collapsed="false">
      <c r="B1850" s="1551" t="str">
        <f aca="false">'Смета Внутр'!B1850</f>
        <v>двери межкомнатные </v>
      </c>
      <c r="C1850" s="1551" t="str">
        <f aca="false">'Смета Внутр'!C1850</f>
        <v>шт</v>
      </c>
      <c r="D1850" s="1551" t="n">
        <f aca="false">'Смета Внутр'!D1850</f>
        <v>0</v>
      </c>
      <c r="F1850" s="1551" t="n">
        <f aca="false">'Смета Внутр'!E1850</f>
        <v>1900</v>
      </c>
      <c r="G1850" s="1551" t="n">
        <f aca="false">'Смета Внутр'!H1850</f>
        <v>0</v>
      </c>
      <c r="I1850" s="3179" t="n">
        <f aca="false">IF(F1850&lt;H1850,F1850*(D1850-E1850),0)+IF(H1850=0,(D1850-E1850)*F1850,0)+IF(H1850&lt;F1850,H1850*(D1850-E1850),0)</f>
        <v>0</v>
      </c>
      <c r="J1850" s="3179" t="n">
        <f aca="false">G1850-I1850</f>
        <v>0</v>
      </c>
    </row>
    <row r="1851" customFormat="false" ht="15" hidden="false" customHeight="true" outlineLevel="0" collapsed="false">
      <c r="B1851" s="1551" t="str">
        <f aca="false">'Смета Внутр'!B1851</f>
        <v>пена монтажная для дверей</v>
      </c>
      <c r="C1851" s="1551" t="str">
        <f aca="false">'Смета Внутр'!C1851</f>
        <v>шт</v>
      </c>
      <c r="D1851" s="1551" t="n">
        <f aca="false">'Смета Внутр'!D1851</f>
        <v>0</v>
      </c>
      <c r="F1851" s="1551" t="n">
        <f aca="false">'Смета Внутр'!E1851</f>
        <v>250</v>
      </c>
      <c r="G1851" s="1551" t="n">
        <f aca="false">'Смета Внутр'!H1851</f>
        <v>0</v>
      </c>
      <c r="I1851" s="3179" t="n">
        <f aca="false">IF(F1851&lt;H1851,F1851*(D1851-E1851),0)+IF(H1851=0,(D1851-E1851)*F1851,0)+IF(H1851&lt;F1851,H1851*(D1851-E1851),0)</f>
        <v>0</v>
      </c>
      <c r="J1851" s="3179" t="n">
        <f aca="false">G1851-I1851</f>
        <v>0</v>
      </c>
    </row>
    <row r="1852" customFormat="false" ht="15" hidden="false" customHeight="true" outlineLevel="0" collapsed="false">
      <c r="B1852" s="1551" t="str">
        <f aca="false">'Смета Внутр'!B1852</f>
        <v>порожки металлические </v>
      </c>
      <c r="C1852" s="1551" t="str">
        <f aca="false">'Смета Внутр'!C1852</f>
        <v>шт</v>
      </c>
      <c r="D1852" s="1551" t="n">
        <f aca="false">'Смета Внутр'!D1852</f>
        <v>0</v>
      </c>
      <c r="F1852" s="1551" t="n">
        <f aca="false">'Смета Внутр'!E1852</f>
        <v>100</v>
      </c>
      <c r="G1852" s="1551" t="n">
        <f aca="false">'Смета Внутр'!H1852</f>
        <v>0</v>
      </c>
      <c r="I1852" s="3179" t="n">
        <f aca="false">IF(F1852&lt;H1852,F1852*(D1852-E1852),0)+IF(H1852=0,(D1852-E1852)*F1852,0)+IF(H1852&lt;F1852,H1852*(D1852-E1852),0)</f>
        <v>0</v>
      </c>
      <c r="J1852" s="3179" t="n">
        <f aca="false">G1852-I1852</f>
        <v>0</v>
      </c>
    </row>
    <row r="1853" customFormat="false" ht="15" hidden="false" customHeight="true" outlineLevel="0" collapsed="false">
      <c r="B1853" s="1551" t="str">
        <f aca="false">'Смета Внутр'!B1853</f>
        <v>отбойник для дверей</v>
      </c>
      <c r="C1853" s="1551" t="str">
        <f aca="false">'Смета Внутр'!C1853</f>
        <v>шт</v>
      </c>
      <c r="D1853" s="1551" t="n">
        <f aca="false">'Смета Внутр'!D1853</f>
        <v>0</v>
      </c>
      <c r="F1853" s="1551" t="n">
        <f aca="false">'Смета Внутр'!E1853</f>
        <v>100</v>
      </c>
      <c r="G1853" s="1551" t="n">
        <f aca="false">'Смета Внутр'!H1853</f>
        <v>0</v>
      </c>
      <c r="I1853" s="3179" t="n">
        <f aca="false">IF(F1853&lt;H1853,F1853*(D1853-E1853),0)+IF(H1853=0,(D1853-E1853)*F1853,0)+IF(H1853&lt;F1853,H1853*(D1853-E1853),0)</f>
        <v>0</v>
      </c>
      <c r="J1853" s="3179" t="n">
        <f aca="false">G1853-I1853</f>
        <v>0</v>
      </c>
    </row>
    <row r="1854" customFormat="false" ht="15" hidden="false" customHeight="true" outlineLevel="0" collapsed="false">
      <c r="B1854" s="1551" t="str">
        <f aca="false">'Смета Внутр'!B1854</f>
        <v>коробка для дверей</v>
      </c>
      <c r="C1854" s="1551" t="str">
        <f aca="false">'Смета Внутр'!C1854</f>
        <v>шт</v>
      </c>
      <c r="D1854" s="1551" t="n">
        <f aca="false">'Смета Внутр'!D1854</f>
        <v>0</v>
      </c>
      <c r="F1854" s="1551" t="n">
        <f aca="false">'Смета Внутр'!E1854</f>
        <v>250</v>
      </c>
      <c r="G1854" s="1551" t="n">
        <f aca="false">'Смета Внутр'!H1854</f>
        <v>0</v>
      </c>
      <c r="I1854" s="3179" t="n">
        <f aca="false">IF(F1854&lt;H1854,F1854*(D1854-E1854),0)+IF(H1854=0,(D1854-E1854)*F1854,0)+IF(H1854&lt;F1854,H1854*(D1854-E1854),0)</f>
        <v>0</v>
      </c>
      <c r="J1854" s="3179" t="n">
        <f aca="false">G1854-I1854</f>
        <v>0</v>
      </c>
    </row>
    <row r="1855" customFormat="false" ht="15" hidden="false" customHeight="true" outlineLevel="0" collapsed="false">
      <c r="B1855" s="1551" t="str">
        <f aca="false">'Смета Внутр'!B1855</f>
        <v>наличник на дверь, комплект</v>
      </c>
      <c r="C1855" s="1551" t="str">
        <f aca="false">'Смета Внутр'!C1855</f>
        <v>шт</v>
      </c>
      <c r="D1855" s="1551" t="n">
        <f aca="false">'Смета Внутр'!D1855</f>
        <v>0</v>
      </c>
      <c r="F1855" s="1551" t="n">
        <f aca="false">'Смета Внутр'!E1855</f>
        <v>500</v>
      </c>
      <c r="G1855" s="1551" t="n">
        <f aca="false">'Смета Внутр'!H1855</f>
        <v>0</v>
      </c>
      <c r="I1855" s="3179" t="n">
        <f aca="false">IF(F1855&lt;H1855,F1855*(D1855-E1855),0)+IF(H1855=0,(D1855-E1855)*F1855,0)+IF(H1855&lt;F1855,H1855*(D1855-E1855),0)</f>
        <v>0</v>
      </c>
      <c r="J1855" s="3179" t="n">
        <f aca="false">G1855-I1855</f>
        <v>0</v>
      </c>
    </row>
    <row r="1856" customFormat="false" ht="15" hidden="false" customHeight="true" outlineLevel="0" collapsed="false">
      <c r="B1856" s="1692" t="s">
        <v>4332</v>
      </c>
      <c r="C1856" s="1692"/>
      <c r="D1856" s="1692"/>
      <c r="E1856" s="1692"/>
      <c r="F1856" s="1692"/>
      <c r="G1856" s="1551" t="n">
        <f aca="false">'Смета Внутр'!H1856</f>
        <v>114465.844202871</v>
      </c>
      <c r="H1856" s="3184"/>
      <c r="I1856" s="3179" t="n">
        <f aca="false">IF(F1856&lt;H1856,F1856*(D1856-E1856),0)+IF(H1856=0,(D1856-E1856)*F1856,0)+IF(H1856&lt;F1856,H1856*(D1856-E1856),0)</f>
        <v>0</v>
      </c>
      <c r="J1856" s="3179" t="n">
        <f aca="false">G1856-I1856</f>
        <v>114465.844202871</v>
      </c>
    </row>
    <row r="1857" customFormat="false" ht="15" hidden="false" customHeight="true" outlineLevel="0" collapsed="false">
      <c r="B1857" s="1268" t="str">
        <f aca="false">'Смета Внутр'!B1857</f>
        <v>Работы</v>
      </c>
      <c r="C1857" s="1268"/>
      <c r="D1857" s="1268"/>
      <c r="E1857" s="1268"/>
      <c r="F1857" s="1268"/>
      <c r="G1857" s="1551" t="n">
        <f aca="false">'Смета Внутр'!H1857</f>
        <v>1</v>
      </c>
      <c r="H1857" s="3175"/>
      <c r="I1857" s="3179" t="n">
        <f aca="false">IF(F1857&lt;H1857,F1857*(D1857-E1857),0)+IF(H1857=0,(D1857-E1857)*F1857,0)+IF(H1857&lt;F1857,H1857*(D1857-E1857),0)</f>
        <v>0</v>
      </c>
      <c r="J1857" s="3179" t="n">
        <f aca="false">G1857-I1857</f>
        <v>1</v>
      </c>
    </row>
    <row r="1858" customFormat="false" ht="15" hidden="false" customHeight="true" outlineLevel="0" collapsed="false">
      <c r="B1858" s="1551" t="str">
        <f aca="false">'Смета Внутр'!B1858</f>
        <v>стены</v>
      </c>
      <c r="C1858" s="1551" t="n">
        <f aca="false">'Смета Внутр'!C1858</f>
        <v>0</v>
      </c>
      <c r="D1858" s="1551" t="n">
        <f aca="false">'Смета Внутр'!D1858</f>
        <v>0</v>
      </c>
      <c r="F1858" s="1551" t="n">
        <f aca="false">'Смета Внутр'!E1858</f>
        <v>0</v>
      </c>
      <c r="G1858" s="1551" t="n">
        <f aca="false">'Смета Внутр'!H1858</f>
        <v>1</v>
      </c>
      <c r="I1858" s="3179" t="n">
        <f aca="false">IF(F1858&lt;H1858,F1858*(D1858-E1858),0)+IF(H1858=0,(D1858-E1858)*F1858,0)+IF(H1858&lt;F1858,H1858*(D1858-E1858),0)</f>
        <v>0</v>
      </c>
      <c r="J1858" s="3179" t="n">
        <f aca="false">G1858-I1858</f>
        <v>1</v>
      </c>
    </row>
    <row r="1859" customFormat="false" ht="15" hidden="false" customHeight="true" outlineLevel="0" collapsed="false">
      <c r="B1859" s="1551" t="str">
        <f aca="false">'Смета Внутр'!B1859</f>
        <v>монтаж гкл стены</v>
      </c>
      <c r="C1859" s="1551" t="str">
        <f aca="false">'Смета Внутр'!C1859</f>
        <v>м2</v>
      </c>
      <c r="D1859" s="1551" t="n">
        <f aca="false">'Смета Внутр'!D1859</f>
        <v>0</v>
      </c>
      <c r="F1859" s="1551" t="n">
        <f aca="false">'Смета Внутр'!E1859</f>
        <v>100</v>
      </c>
      <c r="G1859" s="1551" t="n">
        <f aca="false">'Смета Внутр'!H1859</f>
        <v>0</v>
      </c>
      <c r="I1859" s="3179" t="n">
        <f aca="false">IF(F1859&lt;H1859,F1859*(D1859-E1859),0)+IF(H1859=0,(D1859-E1859)*F1859,0)+IF(H1859&lt;F1859,H1859*(D1859-E1859),0)</f>
        <v>0</v>
      </c>
      <c r="J1859" s="3179" t="n">
        <f aca="false">G1859-I1859</f>
        <v>0</v>
      </c>
    </row>
    <row r="1860" customFormat="false" ht="15" hidden="false" customHeight="true" outlineLevel="0" collapsed="false">
      <c r="B1860" s="1551" t="str">
        <f aca="false">'Смета Внутр'!B1860</f>
        <v>монтаж подсистемы</v>
      </c>
      <c r="C1860" s="1551" t="str">
        <f aca="false">'Смета Внутр'!C1860</f>
        <v>м2</v>
      </c>
      <c r="D1860" s="1551" t="n">
        <f aca="false">'Смета Внутр'!D1860</f>
        <v>0</v>
      </c>
      <c r="F1860" s="1551" t="n">
        <f aca="false">'Смета Внутр'!E1860</f>
        <v>90</v>
      </c>
      <c r="G1860" s="1551" t="n">
        <f aca="false">'Смета Внутр'!H1860</f>
        <v>0</v>
      </c>
      <c r="I1860" s="3179" t="n">
        <f aca="false">IF(F1860&lt;H1860,F1860*(D1860-E1860),0)+IF(H1860=0,(D1860-E1860)*F1860,0)+IF(H1860&lt;F1860,H1860*(D1860-E1860),0)</f>
        <v>0</v>
      </c>
      <c r="J1860" s="3179" t="n">
        <f aca="false">G1860-I1860</f>
        <v>0</v>
      </c>
    </row>
    <row r="1861" customFormat="false" ht="15" hidden="false" customHeight="true" outlineLevel="0" collapsed="false">
      <c r="B1861" s="1551" t="str">
        <f aca="false">'Смета Внутр'!B1861</f>
        <v>шпаклевка швов стены</v>
      </c>
      <c r="C1861" s="1551" t="str">
        <f aca="false">'Смета Внутр'!C1861</f>
        <v>м2</v>
      </c>
      <c r="D1861" s="1551" t="n">
        <f aca="false">'Смета Внутр'!D1861</f>
        <v>0</v>
      </c>
      <c r="F1861" s="1551" t="n">
        <f aca="false">'Смета Внутр'!E1861</f>
        <v>50</v>
      </c>
      <c r="G1861" s="1551" t="n">
        <f aca="false">'Смета Внутр'!H1861</f>
        <v>0</v>
      </c>
      <c r="I1861" s="3179" t="n">
        <f aca="false">IF(F1861&lt;H1861,F1861*(D1861-E1861),0)+IF(H1861=0,(D1861-E1861)*F1861,0)+IF(H1861&lt;F1861,H1861*(D1861-E1861),0)</f>
        <v>0</v>
      </c>
      <c r="J1861" s="3179" t="n">
        <f aca="false">G1861-I1861</f>
        <v>0</v>
      </c>
    </row>
    <row r="1862" customFormat="false" ht="15" hidden="false" customHeight="true" outlineLevel="0" collapsed="false">
      <c r="B1862" s="1551" t="str">
        <f aca="false">'Смета Внутр'!B1862</f>
        <v>шпаклевка финишная стены</v>
      </c>
      <c r="C1862" s="1551" t="str">
        <f aca="false">'Смета Внутр'!C1862</f>
        <v>м2</v>
      </c>
      <c r="D1862" s="1551" t="n">
        <f aca="false">'Смета Внутр'!D1862</f>
        <v>0</v>
      </c>
      <c r="F1862" s="1551" t="n">
        <f aca="false">'Смета Внутр'!E1862</f>
        <v>100</v>
      </c>
      <c r="G1862" s="1551" t="n">
        <f aca="false">'Смета Внутр'!H1862</f>
        <v>0</v>
      </c>
      <c r="I1862" s="3179" t="n">
        <f aca="false">IF(F1862&lt;H1862,F1862*(D1862-E1862),0)+IF(H1862=0,(D1862-E1862)*F1862,0)+IF(H1862&lt;F1862,H1862*(D1862-E1862),0)</f>
        <v>0</v>
      </c>
      <c r="J1862" s="3179" t="n">
        <f aca="false">G1862-I1862</f>
        <v>0</v>
      </c>
    </row>
    <row r="1863" customFormat="false" ht="15" hidden="false" customHeight="true" outlineLevel="0" collapsed="false">
      <c r="B1863" s="1551" t="str">
        <f aca="false">'Смета Внутр'!B1863</f>
        <v>оклейка обои</v>
      </c>
      <c r="C1863" s="1551" t="str">
        <f aca="false">'Смета Внутр'!C1863</f>
        <v>м2</v>
      </c>
      <c r="D1863" s="1551" t="n">
        <f aca="false">'Смета Внутр'!D1863</f>
        <v>0</v>
      </c>
      <c r="F1863" s="1551" t="n">
        <f aca="false">'Смета Внутр'!E1863</f>
        <v>120</v>
      </c>
      <c r="G1863" s="1551" t="n">
        <f aca="false">'Смета Внутр'!H1863</f>
        <v>0</v>
      </c>
      <c r="I1863" s="3179" t="n">
        <f aca="false">IF(F1863&lt;H1863,F1863*(D1863-E1863),0)+IF(H1863=0,(D1863-E1863)*F1863,0)+IF(H1863&lt;F1863,H1863*(D1863-E1863),0)</f>
        <v>0</v>
      </c>
      <c r="J1863" s="3179" t="n">
        <f aca="false">G1863-I1863</f>
        <v>0</v>
      </c>
    </row>
    <row r="1864" customFormat="false" ht="15" hidden="false" customHeight="true" outlineLevel="0" collapsed="false">
      <c r="B1864" s="1551" t="str">
        <f aca="false">'Смета Внутр'!B1864</f>
        <v>покраска стен</v>
      </c>
      <c r="C1864" s="1551" t="str">
        <f aca="false">'Смета Внутр'!C1864</f>
        <v>м2</v>
      </c>
      <c r="D1864" s="1551" t="n">
        <f aca="false">'Смета Внутр'!D1864</f>
        <v>0</v>
      </c>
      <c r="F1864" s="1551" t="n">
        <f aca="false">'Смета Внутр'!E1864</f>
        <v>100</v>
      </c>
      <c r="G1864" s="1551" t="n">
        <f aca="false">'Смета Внутр'!H1864</f>
        <v>0</v>
      </c>
      <c r="I1864" s="3179" t="n">
        <f aca="false">IF(F1864&lt;H1864,F1864*(D1864-E1864),0)+IF(H1864=0,(D1864-E1864)*F1864,0)+IF(H1864&lt;F1864,H1864*(D1864-E1864),0)</f>
        <v>0</v>
      </c>
      <c r="J1864" s="3179" t="n">
        <f aca="false">G1864-I1864</f>
        <v>0</v>
      </c>
    </row>
    <row r="1865" customFormat="false" ht="15" hidden="false" customHeight="true" outlineLevel="0" collapsed="false">
      <c r="B1865" s="1551" t="str">
        <f aca="false">'Смета Внутр'!B1865</f>
        <v>имитация бруса</v>
      </c>
      <c r="C1865" s="1551" t="str">
        <f aca="false">'Смета Внутр'!C1865</f>
        <v>м2</v>
      </c>
      <c r="D1865" s="1551" t="n">
        <f aca="false">'Смета Внутр'!D1865</f>
        <v>263.26</v>
      </c>
      <c r="F1865" s="1551" t="n">
        <f aca="false">'Смета Внутр'!E1865</f>
        <v>400</v>
      </c>
      <c r="G1865" s="1551" t="n">
        <f aca="false">'Смета Внутр'!H1865</f>
        <v>105304</v>
      </c>
      <c r="I1865" s="3179" t="n">
        <f aca="false">IF(F1865&lt;H1865,F1865*(D1865-E1865),0)+IF(H1865=0,(D1865-E1865)*F1865,0)+IF(H1865&lt;F1865,H1865*(D1865-E1865),0)</f>
        <v>105304</v>
      </c>
      <c r="J1865" s="3179" t="n">
        <f aca="false">G1865-I1865</f>
        <v>0</v>
      </c>
    </row>
    <row r="1866" customFormat="false" ht="15" hidden="false" customHeight="true" outlineLevel="0" collapsed="false">
      <c r="B1866" s="1551" t="str">
        <f aca="false">'Смета Внутр'!B1866</f>
        <v>блокхаус</v>
      </c>
      <c r="C1866" s="1551" t="str">
        <f aca="false">'Смета Внутр'!C1866</f>
        <v>м2</v>
      </c>
      <c r="D1866" s="1551" t="n">
        <f aca="false">'Смета Внутр'!D1866</f>
        <v>0</v>
      </c>
      <c r="F1866" s="1551" t="n">
        <f aca="false">'Смета Внутр'!E1866</f>
        <v>400</v>
      </c>
      <c r="G1866" s="1551" t="n">
        <f aca="false">'Смета Внутр'!H1866</f>
        <v>0</v>
      </c>
      <c r="I1866" s="3179" t="n">
        <f aca="false">IF(F1866&lt;H1866,F1866*(D1866-E1866),0)+IF(H1866=0,(D1866-E1866)*F1866,0)+IF(H1866&lt;F1866,H1866*(D1866-E1866),0)</f>
        <v>0</v>
      </c>
      <c r="J1866" s="3179" t="n">
        <f aca="false">G1866-I1866</f>
        <v>0</v>
      </c>
    </row>
    <row r="1867" customFormat="false" ht="15" hidden="false" customHeight="true" outlineLevel="0" collapsed="false">
      <c r="B1867" s="1551" t="str">
        <f aca="false">'Смета Внутр'!B1867</f>
        <v>вагонка</v>
      </c>
      <c r="C1867" s="1551" t="str">
        <f aca="false">'Смета Внутр'!C1867</f>
        <v>м2</v>
      </c>
      <c r="D1867" s="1551" t="n">
        <f aca="false">'Смета Внутр'!D1867</f>
        <v>0</v>
      </c>
      <c r="F1867" s="1551" t="n">
        <f aca="false">'Смета Внутр'!E1867</f>
        <v>400</v>
      </c>
      <c r="G1867" s="1551" t="n">
        <f aca="false">'Смета Внутр'!H1867</f>
        <v>0</v>
      </c>
      <c r="I1867" s="3179" t="n">
        <f aca="false">IF(F1867&lt;H1867,F1867*(D1867-E1867),0)+IF(H1867=0,(D1867-E1867)*F1867,0)+IF(H1867&lt;F1867,H1867*(D1867-E1867),0)</f>
        <v>0</v>
      </c>
      <c r="J1867" s="3179" t="n">
        <f aca="false">G1867-I1867</f>
        <v>0</v>
      </c>
    </row>
    <row r="1868" customFormat="false" ht="15" hidden="false" customHeight="true" outlineLevel="0" collapsed="false">
      <c r="B1868" s="1551" t="str">
        <f aca="false">'Смета Внутр'!B1868</f>
        <v>подсистема, брусок</v>
      </c>
      <c r="C1868" s="1551" t="str">
        <f aca="false">'Смета Внутр'!C1868</f>
        <v>м2</v>
      </c>
      <c r="D1868" s="1551" t="n">
        <f aca="false">'Смета Внутр'!D1868</f>
        <v>0</v>
      </c>
      <c r="F1868" s="1551" t="n">
        <f aca="false">'Смета Внутр'!E1868</f>
        <v>100</v>
      </c>
      <c r="G1868" s="1551" t="n">
        <f aca="false">'Смета Внутр'!H1868</f>
        <v>0</v>
      </c>
      <c r="I1868" s="3179" t="n">
        <f aca="false">IF(F1868&lt;H1868,F1868*(D1868-E1868),0)+IF(H1868=0,(D1868-E1868)*F1868,0)+IF(H1868&lt;F1868,H1868*(D1868-E1868),0)</f>
        <v>0</v>
      </c>
      <c r="J1868" s="3179" t="n">
        <f aca="false">G1868-I1868</f>
        <v>0</v>
      </c>
    </row>
    <row r="1869" customFormat="false" ht="15" hidden="false" customHeight="true" outlineLevel="0" collapsed="false">
      <c r="B1869" s="1551" t="str">
        <f aca="false">'Смета Внутр'!B1869</f>
        <v>потолок</v>
      </c>
      <c r="C1869" s="1551" t="n">
        <f aca="false">'Смета Внутр'!C1869</f>
        <v>0</v>
      </c>
      <c r="D1869" s="1551" t="n">
        <f aca="false">'Смета Внутр'!D1869</f>
        <v>0</v>
      </c>
      <c r="F1869" s="1551" t="n">
        <f aca="false">'Смета Внутр'!E1869</f>
        <v>0</v>
      </c>
      <c r="G1869" s="1551" t="n">
        <f aca="false">'Смета Внутр'!H1869</f>
        <v>1</v>
      </c>
      <c r="I1869" s="3179" t="n">
        <f aca="false">IF(F1869&lt;H1869,F1869*(D1869-E1869),0)+IF(H1869=0,(D1869-E1869)*F1869,0)+IF(H1869&lt;F1869,H1869*(D1869-E1869),0)</f>
        <v>0</v>
      </c>
      <c r="J1869" s="3179" t="n">
        <f aca="false">G1869-I1869</f>
        <v>1</v>
      </c>
    </row>
    <row r="1870" customFormat="false" ht="15" hidden="false" customHeight="true" outlineLevel="0" collapsed="false">
      <c r="B1870" s="1551" t="str">
        <f aca="false">'Смета Внутр'!B1870</f>
        <v>монтаж гкл потолок</v>
      </c>
      <c r="C1870" s="1551" t="str">
        <f aca="false">'Смета Внутр'!C1870</f>
        <v>м2</v>
      </c>
      <c r="D1870" s="1551" t="n">
        <f aca="false">'Смета Внутр'!D1870</f>
        <v>0</v>
      </c>
      <c r="F1870" s="1551" t="n">
        <f aca="false">'Смета Внутр'!E1870</f>
        <v>150</v>
      </c>
      <c r="G1870" s="1551" t="n">
        <f aca="false">'Смета Внутр'!H1870</f>
        <v>0</v>
      </c>
      <c r="I1870" s="3179" t="n">
        <f aca="false">IF(F1870&lt;H1870,F1870*(D1870-E1870),0)+IF(H1870=0,(D1870-E1870)*F1870,0)+IF(H1870&lt;F1870,H1870*(D1870-E1870),0)</f>
        <v>0</v>
      </c>
      <c r="J1870" s="3179" t="n">
        <f aca="false">G1870-I1870</f>
        <v>0</v>
      </c>
    </row>
    <row r="1871" customFormat="false" ht="15" hidden="false" customHeight="true" outlineLevel="0" collapsed="false">
      <c r="B1871" s="1551" t="str">
        <f aca="false">'Смета Внутр'!B1871</f>
        <v>монтаж подсистемы</v>
      </c>
      <c r="C1871" s="1551" t="str">
        <f aca="false">'Смета Внутр'!C1871</f>
        <v>м2</v>
      </c>
      <c r="D1871" s="1551" t="n">
        <f aca="false">'Смета Внутр'!D1871</f>
        <v>0</v>
      </c>
      <c r="F1871" s="1551" t="n">
        <f aca="false">'Смета Внутр'!E1871</f>
        <v>120</v>
      </c>
      <c r="G1871" s="1551" t="n">
        <f aca="false">'Смета Внутр'!H1871</f>
        <v>0</v>
      </c>
      <c r="I1871" s="3179" t="n">
        <f aca="false">IF(F1871&lt;H1871,F1871*(D1871-E1871),0)+IF(H1871=0,(D1871-E1871)*F1871,0)+IF(H1871&lt;F1871,H1871*(D1871-E1871),0)</f>
        <v>0</v>
      </c>
      <c r="J1871" s="3179" t="n">
        <f aca="false">G1871-I1871</f>
        <v>0</v>
      </c>
    </row>
    <row r="1872" customFormat="false" ht="15" hidden="false" customHeight="true" outlineLevel="0" collapsed="false">
      <c r="B1872" s="1551" t="str">
        <f aca="false">'Смета Внутр'!B1872</f>
        <v>шпаклевка швов потолок</v>
      </c>
      <c r="C1872" s="1551" t="str">
        <f aca="false">'Смета Внутр'!C1872</f>
        <v>м2</v>
      </c>
      <c r="D1872" s="1551" t="n">
        <f aca="false">'Смета Внутр'!D1872</f>
        <v>0</v>
      </c>
      <c r="F1872" s="1551" t="n">
        <f aca="false">'Смета Внутр'!E1872</f>
        <v>80</v>
      </c>
      <c r="G1872" s="1551" t="n">
        <f aca="false">'Смета Внутр'!H1872</f>
        <v>0</v>
      </c>
      <c r="I1872" s="3179" t="n">
        <f aca="false">IF(F1872&lt;H1872,F1872*(D1872-E1872),0)+IF(H1872=0,(D1872-E1872)*F1872,0)+IF(H1872&lt;F1872,H1872*(D1872-E1872),0)</f>
        <v>0</v>
      </c>
      <c r="J1872" s="3179" t="n">
        <f aca="false">G1872-I1872</f>
        <v>0</v>
      </c>
    </row>
    <row r="1873" customFormat="false" ht="15" hidden="false" customHeight="true" outlineLevel="0" collapsed="false">
      <c r="B1873" s="1551" t="str">
        <f aca="false">'Смета Внутр'!B1873</f>
        <v>шпаклевка финишная пот</v>
      </c>
      <c r="C1873" s="1551" t="str">
        <f aca="false">'Смета Внутр'!C1873</f>
        <v>м2</v>
      </c>
      <c r="D1873" s="1551" t="n">
        <f aca="false">'Смета Внутр'!D1873</f>
        <v>0</v>
      </c>
      <c r="F1873" s="1551" t="n">
        <f aca="false">'Смета Внутр'!E1873</f>
        <v>100</v>
      </c>
      <c r="G1873" s="1551" t="n">
        <f aca="false">'Смета Внутр'!H1873</f>
        <v>0</v>
      </c>
      <c r="I1873" s="3179" t="n">
        <f aca="false">IF(F1873&lt;H1873,F1873*(D1873-E1873),0)+IF(H1873=0,(D1873-E1873)*F1873,0)+IF(H1873&lt;F1873,H1873*(D1873-E1873),0)</f>
        <v>0</v>
      </c>
      <c r="J1873" s="3179" t="n">
        <f aca="false">G1873-I1873</f>
        <v>0</v>
      </c>
    </row>
    <row r="1874" customFormat="false" ht="15" hidden="false" customHeight="true" outlineLevel="0" collapsed="false">
      <c r="B1874" s="1551" t="str">
        <f aca="false">'Смета Внутр'!B1874</f>
        <v>окраска потолка</v>
      </c>
      <c r="C1874" s="1551" t="str">
        <f aca="false">'Смета Внутр'!C1874</f>
        <v>м2</v>
      </c>
      <c r="D1874" s="1551" t="n">
        <f aca="false">'Смета Внутр'!D1874</f>
        <v>0</v>
      </c>
      <c r="F1874" s="1551" t="n">
        <f aca="false">'Смета Внутр'!E1874</f>
        <v>150</v>
      </c>
      <c r="G1874" s="1551" t="n">
        <f aca="false">'Смета Внутр'!H1874</f>
        <v>0</v>
      </c>
      <c r="I1874" s="3179" t="n">
        <f aca="false">IF(F1874&lt;H1874,F1874*(D1874-E1874),0)+IF(H1874=0,(D1874-E1874)*F1874,0)+IF(H1874&lt;F1874,H1874*(D1874-E1874),0)</f>
        <v>0</v>
      </c>
      <c r="J1874" s="3179" t="n">
        <f aca="false">G1874-I1874</f>
        <v>0</v>
      </c>
    </row>
    <row r="1875" customFormat="false" ht="15" hidden="false" customHeight="true" outlineLevel="0" collapsed="false">
      <c r="B1875" s="1551" t="str">
        <f aca="false">'Смета Внутр'!B1875</f>
        <v>натяжной потолок</v>
      </c>
      <c r="C1875" s="1551" t="str">
        <f aca="false">'Смета Внутр'!C1875</f>
        <v>м2</v>
      </c>
      <c r="D1875" s="1551" t="n">
        <f aca="false">'Смета Внутр'!D1875</f>
        <v>0</v>
      </c>
      <c r="F1875" s="1551" t="n">
        <f aca="false">'Смета Внутр'!E1875</f>
        <v>300</v>
      </c>
      <c r="G1875" s="1551" t="n">
        <f aca="false">'Смета Внутр'!H1875</f>
        <v>0</v>
      </c>
      <c r="I1875" s="3179" t="n">
        <f aca="false">IF(F1875&lt;H1875,F1875*(D1875-E1875),0)+IF(H1875=0,(D1875-E1875)*F1875,0)+IF(H1875&lt;F1875,H1875*(D1875-E1875),0)</f>
        <v>0</v>
      </c>
      <c r="J1875" s="3179" t="n">
        <f aca="false">G1875-I1875</f>
        <v>0</v>
      </c>
    </row>
    <row r="1876" customFormat="false" ht="15" hidden="false" customHeight="true" outlineLevel="0" collapsed="false">
      <c r="B1876" s="1551" t="str">
        <f aca="false">'Смета Внутр'!B1876</f>
        <v>багем монтаж</v>
      </c>
      <c r="C1876" s="1551" t="str">
        <f aca="false">'Смета Внутр'!C1876</f>
        <v>м.п.</v>
      </c>
      <c r="D1876" s="1551" t="n">
        <f aca="false">'Смета Внутр'!D1876</f>
        <v>0</v>
      </c>
      <c r="F1876" s="1551" t="n">
        <f aca="false">'Смета Внутр'!E1876</f>
        <v>50</v>
      </c>
      <c r="G1876" s="1551" t="n">
        <f aca="false">'Смета Внутр'!H1876</f>
        <v>0</v>
      </c>
      <c r="I1876" s="3179" t="n">
        <f aca="false">IF(F1876&lt;H1876,F1876*(D1876-E1876),0)+IF(H1876=0,(D1876-E1876)*F1876,0)+IF(H1876&lt;F1876,H1876*(D1876-E1876),0)</f>
        <v>0</v>
      </c>
      <c r="J1876" s="3179" t="n">
        <f aca="false">G1876-I1876</f>
        <v>0</v>
      </c>
    </row>
    <row r="1877" customFormat="false" ht="15" hidden="false" customHeight="true" outlineLevel="0" collapsed="false">
      <c r="B1877" s="1551" t="str">
        <f aca="false">'Смета Внутр'!B1877</f>
        <v>багет шпаклевка</v>
      </c>
      <c r="C1877" s="1551" t="str">
        <f aca="false">'Смета Внутр'!C1877</f>
        <v>м.п.</v>
      </c>
      <c r="D1877" s="1551" t="n">
        <f aca="false">'Смета Внутр'!D1877</f>
        <v>0</v>
      </c>
      <c r="F1877" s="1551" t="n">
        <f aca="false">'Смета Внутр'!E1877</f>
        <v>50</v>
      </c>
      <c r="G1877" s="1551" t="n">
        <f aca="false">'Смета Внутр'!H1877</f>
        <v>0</v>
      </c>
      <c r="I1877" s="3179" t="n">
        <f aca="false">IF(F1877&lt;H1877,F1877*(D1877-E1877),0)+IF(H1877=0,(D1877-E1877)*F1877,0)+IF(H1877&lt;F1877,H1877*(D1877-E1877),0)</f>
        <v>0</v>
      </c>
      <c r="J1877" s="3179" t="n">
        <f aca="false">G1877-I1877</f>
        <v>0</v>
      </c>
    </row>
    <row r="1878" customFormat="false" ht="15" hidden="false" customHeight="true" outlineLevel="0" collapsed="false">
      <c r="B1878" s="1551" t="str">
        <f aca="false">'Смета Внутр'!B1878</f>
        <v>багет покраска</v>
      </c>
      <c r="C1878" s="1551" t="str">
        <f aca="false">'Смета Внутр'!C1878</f>
        <v>м.п.</v>
      </c>
      <c r="D1878" s="1551" t="n">
        <f aca="false">'Смета Внутр'!D1878</f>
        <v>0</v>
      </c>
      <c r="F1878" s="1551" t="n">
        <f aca="false">'Смета Внутр'!E1878</f>
        <v>50</v>
      </c>
      <c r="G1878" s="1551" t="n">
        <f aca="false">'Смета Внутр'!H1878</f>
        <v>0</v>
      </c>
      <c r="I1878" s="3179" t="n">
        <f aca="false">IF(F1878&lt;H1878,F1878*(D1878-E1878),0)+IF(H1878=0,(D1878-E1878)*F1878,0)+IF(H1878&lt;F1878,H1878*(D1878-E1878),0)</f>
        <v>0</v>
      </c>
      <c r="J1878" s="3179" t="n">
        <f aca="false">G1878-I1878</f>
        <v>0</v>
      </c>
    </row>
    <row r="1879" customFormat="false" ht="15" hidden="false" customHeight="true" outlineLevel="0" collapsed="false">
      <c r="B1879" s="1551" t="str">
        <f aca="false">'Смета Внутр'!B1879</f>
        <v>имитация бруса</v>
      </c>
      <c r="C1879" s="1551" t="str">
        <f aca="false">'Смета Внутр'!C1879</f>
        <v>м2</v>
      </c>
      <c r="D1879" s="1551" t="n">
        <f aca="false">'Смета Внутр'!D1879</f>
        <v>0</v>
      </c>
      <c r="F1879" s="1551" t="n">
        <f aca="false">'Смета Внутр'!E1879</f>
        <v>400</v>
      </c>
      <c r="G1879" s="1551" t="n">
        <f aca="false">'Смета Внутр'!H1879</f>
        <v>0</v>
      </c>
      <c r="I1879" s="3179" t="n">
        <f aca="false">IF(F1879&lt;H1879,F1879*(D1879-E1879),0)+IF(H1879=0,(D1879-E1879)*F1879,0)+IF(H1879&lt;F1879,H1879*(D1879-E1879),0)</f>
        <v>0</v>
      </c>
      <c r="J1879" s="3179" t="n">
        <f aca="false">G1879-I1879</f>
        <v>0</v>
      </c>
    </row>
    <row r="1880" customFormat="false" ht="15" hidden="false" customHeight="true" outlineLevel="0" collapsed="false">
      <c r="B1880" s="1551" t="str">
        <f aca="false">'Смета Внутр'!B1880</f>
        <v>блокхаус</v>
      </c>
      <c r="C1880" s="1551" t="str">
        <f aca="false">'Смета Внутр'!C1880</f>
        <v>м2</v>
      </c>
      <c r="D1880" s="1551" t="n">
        <f aca="false">'Смета Внутр'!D1880</f>
        <v>0</v>
      </c>
      <c r="F1880" s="1551" t="n">
        <f aca="false">'Смета Внутр'!E1880</f>
        <v>400</v>
      </c>
      <c r="G1880" s="1551" t="n">
        <f aca="false">'Смета Внутр'!H1880</f>
        <v>0</v>
      </c>
      <c r="I1880" s="3179" t="n">
        <f aca="false">IF(F1880&lt;H1880,F1880*(D1880-E1880),0)+IF(H1880=0,(D1880-E1880)*F1880,0)+IF(H1880&lt;F1880,H1880*(D1880-E1880),0)</f>
        <v>0</v>
      </c>
      <c r="J1880" s="3179" t="n">
        <f aca="false">G1880-I1880</f>
        <v>0</v>
      </c>
    </row>
    <row r="1881" customFormat="false" ht="15" hidden="false" customHeight="true" outlineLevel="0" collapsed="false">
      <c r="B1881" s="1551" t="str">
        <f aca="false">'Смета Внутр'!B1881</f>
        <v>вагонка</v>
      </c>
      <c r="C1881" s="1551" t="str">
        <f aca="false">'Смета Внутр'!C1881</f>
        <v>м2</v>
      </c>
      <c r="D1881" s="1551" t="n">
        <f aca="false">'Смета Внутр'!D1881</f>
        <v>88.7321893085902</v>
      </c>
      <c r="F1881" s="1551" t="n">
        <f aca="false">'Смета Внутр'!E1881</f>
        <v>400</v>
      </c>
      <c r="G1881" s="1551" t="n">
        <f aca="false">'Смета Внутр'!H1881</f>
        <v>35492.8757234361</v>
      </c>
      <c r="I1881" s="3179" t="n">
        <f aca="false">IF(F1881&lt;H1881,F1881*(D1881-E1881),0)+IF(H1881=0,(D1881-E1881)*F1881,0)+IF(H1881&lt;F1881,H1881*(D1881-E1881),0)</f>
        <v>35492.8757234361</v>
      </c>
      <c r="J1881" s="3179" t="n">
        <f aca="false">G1881-I1881</f>
        <v>0</v>
      </c>
    </row>
    <row r="1882" customFormat="false" ht="15" hidden="false" customHeight="true" outlineLevel="0" collapsed="false">
      <c r="B1882" s="1551" t="str">
        <f aca="false">'Смета Внутр'!B1882</f>
        <v>подсистема, брусок</v>
      </c>
      <c r="C1882" s="1551" t="str">
        <f aca="false">'Смета Внутр'!C1882</f>
        <v>м2</v>
      </c>
      <c r="D1882" s="1551" t="n">
        <f aca="false">'Смета Внутр'!D1882</f>
        <v>0</v>
      </c>
      <c r="F1882" s="1551" t="n">
        <f aca="false">'Смета Внутр'!E1882</f>
        <v>100</v>
      </c>
      <c r="G1882" s="1551" t="n">
        <f aca="false">'Смета Внутр'!H1882</f>
        <v>0</v>
      </c>
      <c r="I1882" s="3179" t="n">
        <f aca="false">IF(F1882&lt;H1882,F1882*(D1882-E1882),0)+IF(H1882=0,(D1882-E1882)*F1882,0)+IF(H1882&lt;F1882,H1882*(D1882-E1882),0)</f>
        <v>0</v>
      </c>
      <c r="J1882" s="3179" t="n">
        <f aca="false">G1882-I1882</f>
        <v>0</v>
      </c>
    </row>
    <row r="1883" customFormat="false" ht="15" hidden="false" customHeight="true" outlineLevel="0" collapsed="false">
      <c r="B1883" s="1551" t="str">
        <f aca="false">'Смета Внутр'!B1883</f>
        <v>пол</v>
      </c>
      <c r="C1883" s="1551" t="n">
        <f aca="false">'Смета Внутр'!C1883</f>
        <v>0</v>
      </c>
      <c r="D1883" s="1551" t="n">
        <f aca="false">'Смета Внутр'!D1883</f>
        <v>0</v>
      </c>
      <c r="F1883" s="1551" t="n">
        <f aca="false">'Смета Внутр'!E1883</f>
        <v>0</v>
      </c>
      <c r="G1883" s="1551" t="n">
        <f aca="false">'Смета Внутр'!H1883</f>
        <v>0</v>
      </c>
      <c r="I1883" s="3179" t="n">
        <f aca="false">IF(F1883&lt;H1883,F1883*(D1883-E1883),0)+IF(H1883=0,(D1883-E1883)*F1883,0)+IF(H1883&lt;F1883,H1883*(D1883-E1883),0)</f>
        <v>0</v>
      </c>
      <c r="J1883" s="3179" t="n">
        <f aca="false">G1883-I1883</f>
        <v>0</v>
      </c>
    </row>
    <row r="1884" customFormat="false" ht="15" hidden="false" customHeight="true" outlineLevel="0" collapsed="false">
      <c r="B1884" s="1551" t="str">
        <f aca="false">'Смета Внутр'!B1884</f>
        <v>подложка</v>
      </c>
      <c r="C1884" s="1551" t="str">
        <f aca="false">'Смета Внутр'!C1884</f>
        <v>м2</v>
      </c>
      <c r="D1884" s="1551" t="n">
        <f aca="false">'Смета Внутр'!D1884</f>
        <v>0</v>
      </c>
      <c r="F1884" s="1551" t="n">
        <f aca="false">'Смета Внутр'!E1884</f>
        <v>30</v>
      </c>
      <c r="G1884" s="1551" t="n">
        <f aca="false">'Смета Внутр'!H1884</f>
        <v>0</v>
      </c>
      <c r="I1884" s="3179" t="n">
        <f aca="false">IF(F1884&lt;H1884,F1884*(D1884-E1884),0)+IF(H1884=0,(D1884-E1884)*F1884,0)+IF(H1884&lt;F1884,H1884*(D1884-E1884),0)</f>
        <v>0</v>
      </c>
      <c r="J1884" s="3179" t="n">
        <f aca="false">G1884-I1884</f>
        <v>0</v>
      </c>
    </row>
    <row r="1885" customFormat="false" ht="15" hidden="false" customHeight="true" outlineLevel="0" collapsed="false">
      <c r="B1885" s="1551" t="str">
        <f aca="false">'Смета Внутр'!B1885</f>
        <v>линолеум</v>
      </c>
      <c r="C1885" s="1551" t="str">
        <f aca="false">'Смета Внутр'!C1885</f>
        <v>м2</v>
      </c>
      <c r="D1885" s="1551" t="n">
        <f aca="false">'Смета Внутр'!D1885</f>
        <v>0</v>
      </c>
      <c r="F1885" s="1551" t="n">
        <f aca="false">'Смета Внутр'!E1885</f>
        <v>150</v>
      </c>
      <c r="G1885" s="1551" t="n">
        <f aca="false">'Смета Внутр'!H1885</f>
        <v>0</v>
      </c>
      <c r="I1885" s="3179" t="n">
        <f aca="false">IF(F1885&lt;H1885,F1885*(D1885-E1885),0)+IF(H1885=0,(D1885-E1885)*F1885,0)+IF(H1885&lt;F1885,H1885*(D1885-E1885),0)</f>
        <v>0</v>
      </c>
      <c r="J1885" s="3179" t="n">
        <f aca="false">G1885-I1885</f>
        <v>0</v>
      </c>
    </row>
    <row r="1886" customFormat="false" ht="15" hidden="false" customHeight="true" outlineLevel="0" collapsed="false">
      <c r="B1886" s="1551" t="str">
        <f aca="false">'Смета Внутр'!B1886</f>
        <v>ламинат</v>
      </c>
      <c r="C1886" s="1551" t="str">
        <f aca="false">'Смета Внутр'!C1886</f>
        <v>м2</v>
      </c>
      <c r="D1886" s="1551" t="n">
        <f aca="false">'Смета Внутр'!D1886</f>
        <v>0</v>
      </c>
      <c r="F1886" s="1551" t="n">
        <f aca="false">'Смета Внутр'!E1886</f>
        <v>150</v>
      </c>
      <c r="G1886" s="1551" t="n">
        <f aca="false">'Смета Внутр'!H1886</f>
        <v>0</v>
      </c>
      <c r="I1886" s="3179" t="n">
        <f aca="false">IF(F1886&lt;H1886,F1886*(D1886-E1886),0)+IF(H1886=0,(D1886-E1886)*F1886,0)+IF(H1886&lt;F1886,H1886*(D1886-E1886),0)</f>
        <v>0</v>
      </c>
      <c r="J1886" s="3179" t="n">
        <f aca="false">G1886-I1886</f>
        <v>0</v>
      </c>
    </row>
    <row r="1887" customFormat="false" ht="15" hidden="false" customHeight="true" outlineLevel="0" collapsed="false">
      <c r="B1887" s="1551" t="str">
        <f aca="false">'Смета Внутр'!B1887</f>
        <v>плинтус</v>
      </c>
      <c r="C1887" s="1551" t="str">
        <f aca="false">'Смета Внутр'!C1887</f>
        <v>м.п.</v>
      </c>
      <c r="D1887" s="1551" t="n">
        <f aca="false">'Смета Внутр'!D1887</f>
        <v>0</v>
      </c>
      <c r="F1887" s="1551" t="n">
        <f aca="false">'Смета Внутр'!E1887</f>
        <v>150</v>
      </c>
      <c r="G1887" s="1551" t="n">
        <f aca="false">'Смета Внутр'!H1887</f>
        <v>0</v>
      </c>
      <c r="I1887" s="3179" t="n">
        <f aca="false">IF(F1887&lt;H1887,F1887*(D1887-E1887),0)+IF(H1887=0,(D1887-E1887)*F1887,0)+IF(H1887&lt;F1887,H1887*(D1887-E1887),0)</f>
        <v>0</v>
      </c>
      <c r="J1887" s="3179" t="n">
        <f aca="false">G1887-I1887</f>
        <v>0</v>
      </c>
    </row>
    <row r="1888" customFormat="false" ht="15" hidden="false" customHeight="true" outlineLevel="0" collapsed="false">
      <c r="B1888" s="1551" t="str">
        <f aca="false">'Смета Внутр'!B1888</f>
        <v>кафель</v>
      </c>
      <c r="C1888" s="1551" t="str">
        <f aca="false">'Смета Внутр'!C1888</f>
        <v>м2</v>
      </c>
      <c r="D1888" s="1551" t="n">
        <f aca="false">'Смета Внутр'!D1888</f>
        <v>0</v>
      </c>
      <c r="F1888" s="1551" t="n">
        <f aca="false">'Смета Внутр'!E1888</f>
        <v>600</v>
      </c>
      <c r="G1888" s="1551" t="n">
        <f aca="false">'Смета Внутр'!H1888</f>
        <v>0</v>
      </c>
      <c r="I1888" s="3179" t="n">
        <f aca="false">IF(F1888&lt;H1888,F1888*(D1888-E1888),0)+IF(H1888=0,(D1888-E1888)*F1888,0)+IF(H1888&lt;F1888,H1888*(D1888-E1888),0)</f>
        <v>0</v>
      </c>
      <c r="J1888" s="3179" t="n">
        <f aca="false">G1888-I1888</f>
        <v>0</v>
      </c>
    </row>
    <row r="1889" customFormat="false" ht="15" hidden="false" customHeight="true" outlineLevel="0" collapsed="false">
      <c r="B1889" s="1551" t="str">
        <f aca="false">'Смета Внутр'!B1889</f>
        <v>санузел/ванная</v>
      </c>
      <c r="C1889" s="1551" t="n">
        <f aca="false">'Смета Внутр'!C1889</f>
        <v>0</v>
      </c>
      <c r="D1889" s="1551" t="n">
        <f aca="false">'Смета Внутр'!D1889</f>
        <v>0</v>
      </c>
      <c r="F1889" s="1551" t="n">
        <f aca="false">'Смета Внутр'!E1889</f>
        <v>0</v>
      </c>
      <c r="G1889" s="1551" t="n">
        <f aca="false">'Смета Внутр'!H1889</f>
        <v>0</v>
      </c>
      <c r="I1889" s="3179" t="n">
        <f aca="false">IF(F1889&lt;H1889,F1889*(D1889-E1889),0)+IF(H1889=0,(D1889-E1889)*F1889,0)+IF(H1889&lt;F1889,H1889*(D1889-E1889),0)</f>
        <v>0</v>
      </c>
      <c r="J1889" s="3179" t="n">
        <f aca="false">G1889-I1889</f>
        <v>0</v>
      </c>
    </row>
    <row r="1890" customFormat="false" ht="15" hidden="false" customHeight="true" outlineLevel="0" collapsed="false">
      <c r="B1890" s="1551" t="str">
        <f aca="false">'Смета Внутр'!B1890</f>
        <v>кафель стены</v>
      </c>
      <c r="C1890" s="1551" t="str">
        <f aca="false">'Смета Внутр'!C1890</f>
        <v>м2</v>
      </c>
      <c r="D1890" s="1551" t="n">
        <f aca="false">'Смета Внутр'!D1890</f>
        <v>0</v>
      </c>
      <c r="F1890" s="1551" t="n">
        <f aca="false">'Смета Внутр'!E1890</f>
        <v>600</v>
      </c>
      <c r="G1890" s="1551" t="n">
        <f aca="false">'Смета Внутр'!H1890</f>
        <v>0</v>
      </c>
      <c r="I1890" s="3179" t="n">
        <f aca="false">IF(F1890&lt;H1890,F1890*(D1890-E1890),0)+IF(H1890=0,(D1890-E1890)*F1890,0)+IF(H1890&lt;F1890,H1890*(D1890-E1890),0)</f>
        <v>0</v>
      </c>
      <c r="J1890" s="3179" t="n">
        <f aca="false">G1890-I1890</f>
        <v>0</v>
      </c>
    </row>
    <row r="1891" customFormat="false" ht="15" hidden="false" customHeight="true" outlineLevel="0" collapsed="false">
      <c r="B1891" s="1551" t="str">
        <f aca="false">'Смета Внутр'!B1891</f>
        <v>кафель потолок</v>
      </c>
      <c r="C1891" s="1551" t="str">
        <f aca="false">'Смета Внутр'!C1891</f>
        <v>м2</v>
      </c>
      <c r="D1891" s="1551" t="n">
        <f aca="false">'Смета Внутр'!D1891</f>
        <v>0</v>
      </c>
      <c r="F1891" s="1551" t="n">
        <f aca="false">'Смета Внутр'!E1891</f>
        <v>600</v>
      </c>
      <c r="G1891" s="1551" t="n">
        <f aca="false">'Смета Внутр'!H1891</f>
        <v>0</v>
      </c>
      <c r="I1891" s="3179" t="n">
        <f aca="false">IF(F1891&lt;H1891,F1891*(D1891-E1891),0)+IF(H1891=0,(D1891-E1891)*F1891,0)+IF(H1891&lt;F1891,H1891*(D1891-E1891),0)</f>
        <v>0</v>
      </c>
      <c r="J1891" s="3179" t="n">
        <f aca="false">G1891-I1891</f>
        <v>0</v>
      </c>
    </row>
    <row r="1892" customFormat="false" ht="15" hidden="false" customHeight="true" outlineLevel="0" collapsed="false">
      <c r="B1892" s="1551" t="str">
        <f aca="false">'Смета Внутр'!B1892</f>
        <v>кафель пол</v>
      </c>
      <c r="C1892" s="1551" t="str">
        <f aca="false">'Смета Внутр'!C1892</f>
        <v>м2</v>
      </c>
      <c r="D1892" s="1551" t="n">
        <f aca="false">'Смета Внутр'!D1892</f>
        <v>0</v>
      </c>
      <c r="F1892" s="1551" t="n">
        <f aca="false">'Смета Внутр'!E1892</f>
        <v>600</v>
      </c>
      <c r="G1892" s="1551" t="n">
        <f aca="false">'Смета Внутр'!H1892</f>
        <v>0</v>
      </c>
      <c r="I1892" s="3179" t="n">
        <f aca="false">IF(F1892&lt;H1892,F1892*(D1892-E1892),0)+IF(H1892=0,(D1892-E1892)*F1892,0)+IF(H1892&lt;F1892,H1892*(D1892-E1892),0)</f>
        <v>0</v>
      </c>
      <c r="J1892" s="3179" t="n">
        <f aca="false">G1892-I1892</f>
        <v>0</v>
      </c>
    </row>
    <row r="1893" customFormat="false" ht="15" hidden="false" customHeight="true" outlineLevel="0" collapsed="false">
      <c r="B1893" s="1551" t="str">
        <f aca="false">'Смета Внутр'!B1893</f>
        <v>панели пластик стены</v>
      </c>
      <c r="C1893" s="1551" t="str">
        <f aca="false">'Смета Внутр'!C1893</f>
        <v>м2</v>
      </c>
      <c r="D1893" s="1551" t="n">
        <f aca="false">'Смета Внутр'!D1893</f>
        <v>0</v>
      </c>
      <c r="F1893" s="1551" t="n">
        <f aca="false">'Смета Внутр'!E1893</f>
        <v>150</v>
      </c>
      <c r="G1893" s="1551" t="n">
        <f aca="false">'Смета Внутр'!H1893</f>
        <v>0</v>
      </c>
      <c r="I1893" s="3179" t="n">
        <f aca="false">IF(F1893&lt;H1893,F1893*(D1893-E1893),0)+IF(H1893=0,(D1893-E1893)*F1893,0)+IF(H1893&lt;F1893,H1893*(D1893-E1893),0)</f>
        <v>0</v>
      </c>
      <c r="J1893" s="3179" t="n">
        <f aca="false">G1893-I1893</f>
        <v>0</v>
      </c>
    </row>
    <row r="1894" customFormat="false" ht="15" hidden="false" customHeight="true" outlineLevel="0" collapsed="false">
      <c r="B1894" s="1551" t="str">
        <f aca="false">'Смета Внутр'!B1894</f>
        <v>панели пластик потолок</v>
      </c>
      <c r="C1894" s="1551" t="str">
        <f aca="false">'Смета Внутр'!C1894</f>
        <v>м2</v>
      </c>
      <c r="D1894" s="1551" t="n">
        <f aca="false">'Смета Внутр'!D1894</f>
        <v>0</v>
      </c>
      <c r="F1894" s="1551" t="n">
        <f aca="false">'Смета Внутр'!E1894</f>
        <v>150</v>
      </c>
      <c r="G1894" s="1551" t="n">
        <f aca="false">'Смета Внутр'!H1894</f>
        <v>0</v>
      </c>
      <c r="I1894" s="3179" t="n">
        <f aca="false">IF(F1894&lt;H1894,F1894*(D1894-E1894),0)+IF(H1894=0,(D1894-E1894)*F1894,0)+IF(H1894&lt;F1894,H1894*(D1894-E1894),0)</f>
        <v>0</v>
      </c>
      <c r="J1894" s="3179" t="n">
        <f aca="false">G1894-I1894</f>
        <v>0</v>
      </c>
    </row>
    <row r="1895" customFormat="false" ht="15" hidden="false" customHeight="true" outlineLevel="0" collapsed="false">
      <c r="B1895" s="1551" t="str">
        <f aca="false">'Смета Внутр'!B1895</f>
        <v>натяжной потолок</v>
      </c>
      <c r="C1895" s="1551" t="str">
        <f aca="false">'Смета Внутр'!C1895</f>
        <v>м2</v>
      </c>
      <c r="D1895" s="1551" t="n">
        <f aca="false">'Смета Внутр'!D1895</f>
        <v>0</v>
      </c>
      <c r="F1895" s="1551" t="n">
        <f aca="false">'Смета Внутр'!E1895</f>
        <v>300</v>
      </c>
      <c r="G1895" s="1551" t="n">
        <f aca="false">'Смета Внутр'!H1895</f>
        <v>0</v>
      </c>
      <c r="I1895" s="3179" t="n">
        <f aca="false">IF(F1895&lt;H1895,F1895*(D1895-E1895),0)+IF(H1895=0,(D1895-E1895)*F1895,0)+IF(H1895&lt;F1895,H1895*(D1895-E1895),0)</f>
        <v>0</v>
      </c>
      <c r="J1895" s="3179" t="n">
        <f aca="false">G1895-I1895</f>
        <v>0</v>
      </c>
    </row>
    <row r="1896" customFormat="false" ht="15" hidden="false" customHeight="true" outlineLevel="0" collapsed="false">
      <c r="B1896" s="1551" t="str">
        <f aca="false">'Смета Внутр'!B1896</f>
        <v>Двери межкомнатные </v>
      </c>
      <c r="C1896" s="1551" t="n">
        <f aca="false">'Смета Внутр'!C1896</f>
        <v>0</v>
      </c>
      <c r="D1896" s="1551" t="n">
        <f aca="false">'Смета Внутр'!D1896</f>
        <v>0</v>
      </c>
      <c r="F1896" s="1551" t="n">
        <f aca="false">'Смета Внутр'!E1896</f>
        <v>0</v>
      </c>
      <c r="G1896" s="1551" t="n">
        <f aca="false">'Смета Внутр'!H1896</f>
        <v>0</v>
      </c>
      <c r="I1896" s="3179" t="n">
        <f aca="false">IF(F1896&lt;H1896,F1896*(D1896-E1896),0)+IF(H1896=0,(D1896-E1896)*F1896,0)+IF(H1896&lt;F1896,H1896*(D1896-E1896),0)</f>
        <v>0</v>
      </c>
      <c r="J1896" s="3179" t="n">
        <f aca="false">G1896-I1896</f>
        <v>0</v>
      </c>
    </row>
    <row r="1897" customFormat="false" ht="15" hidden="false" customHeight="true" outlineLevel="0" collapsed="false">
      <c r="B1897" s="1551" t="str">
        <f aca="false">'Смета Внутр'!B1897</f>
        <v>устанвка дверей</v>
      </c>
      <c r="C1897" s="1551" t="str">
        <f aca="false">'Смета Внутр'!C1897</f>
        <v>шт</v>
      </c>
      <c r="D1897" s="1551" t="n">
        <f aca="false">'Смета Внутр'!D1897</f>
        <v>0</v>
      </c>
      <c r="F1897" s="1551" t="n">
        <f aca="false">'Смета Внутр'!E1897</f>
        <v>1200</v>
      </c>
      <c r="G1897" s="1551" t="n">
        <f aca="false">'Смета Внутр'!H1897</f>
        <v>0</v>
      </c>
      <c r="I1897" s="3179" t="n">
        <f aca="false">IF(F1897&lt;H1897,F1897*(D1897-E1897),0)+IF(H1897=0,(D1897-E1897)*F1897,0)+IF(H1897&lt;F1897,H1897*(D1897-E1897),0)</f>
        <v>0</v>
      </c>
      <c r="J1897" s="3179" t="n">
        <f aca="false">G1897-I1897</f>
        <v>0</v>
      </c>
    </row>
    <row r="1898" customFormat="false" ht="15" hidden="false" customHeight="true" outlineLevel="0" collapsed="false">
      <c r="B1898" s="1551" t="str">
        <f aca="false">'Смета Внутр'!B1898</f>
        <v>монтаж коробки</v>
      </c>
      <c r="C1898" s="1551" t="str">
        <f aca="false">'Смета Внутр'!C1898</f>
        <v>шт</v>
      </c>
      <c r="D1898" s="1551" t="n">
        <f aca="false">'Смета Внутр'!D1898</f>
        <v>0</v>
      </c>
      <c r="F1898" s="1551" t="n">
        <f aca="false">'Смета Внутр'!E1898</f>
        <v>250</v>
      </c>
      <c r="G1898" s="1551" t="n">
        <f aca="false">'Смета Внутр'!H1898</f>
        <v>0</v>
      </c>
      <c r="I1898" s="3179" t="n">
        <f aca="false">IF(F1898&lt;H1898,F1898*(D1898-E1898),0)+IF(H1898=0,(D1898-E1898)*F1898,0)+IF(H1898&lt;F1898,H1898*(D1898-E1898),0)</f>
        <v>0</v>
      </c>
      <c r="J1898" s="3179" t="n">
        <f aca="false">G1898-I1898</f>
        <v>0</v>
      </c>
    </row>
    <row r="1899" customFormat="false" ht="15" hidden="false" customHeight="true" outlineLevel="0" collapsed="false">
      <c r="B1899" s="1551" t="str">
        <f aca="false">'Смета Внутр'!B1899</f>
        <v>монтаж наличников</v>
      </c>
      <c r="C1899" s="1551" t="str">
        <f aca="false">'Смета Внутр'!C1899</f>
        <v>шт</v>
      </c>
      <c r="D1899" s="1551" t="n">
        <f aca="false">'Смета Внутр'!D1899</f>
        <v>0</v>
      </c>
      <c r="F1899" s="1551" t="n">
        <f aca="false">'Смета Внутр'!E1899</f>
        <v>250</v>
      </c>
      <c r="G1899" s="1551" t="n">
        <f aca="false">'Смета Внутр'!H1899</f>
        <v>0</v>
      </c>
      <c r="I1899" s="3179" t="n">
        <f aca="false">IF(F1899&lt;H1899,F1899*(D1899-E1899),0)+IF(H1899=0,(D1899-E1899)*F1899,0)+IF(H1899&lt;F1899,H1899*(D1899-E1899),0)</f>
        <v>0</v>
      </c>
      <c r="J1899" s="3179" t="n">
        <f aca="false">G1899-I1899</f>
        <v>0</v>
      </c>
    </row>
    <row r="1900" customFormat="false" ht="15" hidden="false" customHeight="true" outlineLevel="0" collapsed="false">
      <c r="B1900" s="1551" t="str">
        <f aca="false">'Смета Внутр'!B1900</f>
        <v>монтаж порожков</v>
      </c>
      <c r="C1900" s="1551" t="str">
        <f aca="false">'Смета Внутр'!C1900</f>
        <v>шт</v>
      </c>
      <c r="D1900" s="1551" t="n">
        <f aca="false">'Смета Внутр'!D1900</f>
        <v>0</v>
      </c>
      <c r="F1900" s="1551" t="n">
        <f aca="false">'Смета Внутр'!E1900</f>
        <v>100</v>
      </c>
      <c r="G1900" s="1551" t="n">
        <f aca="false">'Смета Внутр'!H1900</f>
        <v>0</v>
      </c>
      <c r="I1900" s="3179" t="n">
        <f aca="false">IF(F1900&lt;H1900,F1900*(D1900-E1900),0)+IF(H1900=0,(D1900-E1900)*F1900,0)+IF(H1900&lt;F1900,H1900*(D1900-E1900),0)</f>
        <v>0</v>
      </c>
      <c r="J1900" s="3179" t="n">
        <f aca="false">G1900-I1900</f>
        <v>0</v>
      </c>
    </row>
    <row r="1901" customFormat="false" ht="15" hidden="false" customHeight="true" outlineLevel="0" collapsed="false">
      <c r="B1901" s="1551" t="str">
        <f aca="false">'Смета Внутр'!B1901</f>
        <v>монтаж отбойников</v>
      </c>
      <c r="C1901" s="1551" t="str">
        <f aca="false">'Смета Внутр'!C1901</f>
        <v>шт</v>
      </c>
      <c r="D1901" s="1551" t="n">
        <f aca="false">'Смета Внутр'!D1901</f>
        <v>0</v>
      </c>
      <c r="F1901" s="1551" t="n">
        <f aca="false">'Смета Внутр'!E1901</f>
        <v>80</v>
      </c>
      <c r="G1901" s="1551" t="n">
        <f aca="false">'Смета Внутр'!H1901</f>
        <v>0</v>
      </c>
      <c r="I1901" s="3179" t="n">
        <f aca="false">IF(F1901&lt;H1901,F1901*(D1901-E1901),0)+IF(H1901=0,(D1901-E1901)*F1901,0)+IF(H1901&lt;F1901,H1901*(D1901-E1901),0)</f>
        <v>0</v>
      </c>
      <c r="J1901" s="3179" t="n">
        <f aca="false">G1901-I1901</f>
        <v>0</v>
      </c>
    </row>
    <row r="1902" customFormat="false" ht="15" hidden="false" customHeight="false" outlineLevel="0" collapsed="false">
      <c r="B1902" s="1692" t="s">
        <v>4333</v>
      </c>
      <c r="C1902" s="1692"/>
      <c r="D1902" s="1692"/>
      <c r="E1902" s="1692"/>
      <c r="F1902" s="1692"/>
      <c r="G1902" s="1551" t="n">
        <f aca="false">'Смета Внутр'!H1902</f>
        <v>140797.875723436</v>
      </c>
      <c r="H1902" s="1584"/>
      <c r="I1902" s="3179" t="n">
        <f aca="false">IF(F1902&lt;H1902,F1902*(D1902-E1902),0)+IF(H1902=0,(D1902-E1902)*F1902,0)+IF(H1902&lt;F1902,H1902*(D1902-E1902),0)</f>
        <v>0</v>
      </c>
      <c r="J1902" s="3179" t="n">
        <f aca="false">G1902-I1902</f>
        <v>140797.875723436</v>
      </c>
    </row>
    <row r="1903" customFormat="false" ht="15" hidden="false" customHeight="true" outlineLevel="0" collapsed="false">
      <c r="B1903" s="1551" t="str">
        <f aca="false">'Смета Внутр'!B1903</f>
        <v>Электрика</v>
      </c>
      <c r="C1903" s="1551" t="n">
        <f aca="false">'Смета Внутр'!C1903</f>
        <v>0</v>
      </c>
      <c r="D1903" s="1551" t="n">
        <f aca="false">'Смета Внутр'!D1903</f>
        <v>0</v>
      </c>
      <c r="F1903" s="1551" t="n">
        <f aca="false">'Смета Внутр'!E1903</f>
        <v>0</v>
      </c>
      <c r="G1903" s="1551" t="n">
        <f aca="false">'Смета Внутр'!H1903</f>
        <v>0</v>
      </c>
      <c r="I1903" s="3179" t="n">
        <f aca="false">IF(F1903&lt;H1903,F1903*(D1903-E1903),0)+IF(H1903=0,(D1903-E1903)*F1903,0)+IF(H1903&lt;F1903,H1903*(D1903-E1903),0)</f>
        <v>0</v>
      </c>
      <c r="J1903" s="3179" t="n">
        <f aca="false">G1903-I1903</f>
        <v>0</v>
      </c>
    </row>
    <row r="1904" customFormat="false" ht="15" hidden="false" customHeight="true" outlineLevel="0" collapsed="false">
      <c r="B1904" s="1268" t="str">
        <f aca="false">'Смета Внутр'!B1904</f>
        <v>Материалы</v>
      </c>
      <c r="C1904" s="1268"/>
      <c r="D1904" s="1268"/>
      <c r="E1904" s="1268"/>
      <c r="F1904" s="1268"/>
      <c r="G1904" s="1551" t="n">
        <f aca="false">'Смета Внутр'!H1904</f>
        <v>0</v>
      </c>
      <c r="H1904" s="3175"/>
      <c r="I1904" s="3179" t="n">
        <f aca="false">IF(F1904&lt;H1904,F1904*(D1904-E1904),0)+IF(H1904=0,(D1904-E1904)*F1904,0)+IF(H1904&lt;F1904,H1904*(D1904-E1904),0)</f>
        <v>0</v>
      </c>
      <c r="J1904" s="3179" t="n">
        <f aca="false">G1904-I1904</f>
        <v>0</v>
      </c>
    </row>
    <row r="1905" customFormat="false" ht="15" hidden="false" customHeight="true" outlineLevel="0" collapsed="false">
      <c r="B1905" s="1551" t="str">
        <f aca="false">'Смета Внутр'!B1905</f>
        <v>Кабель ВВГнг(А)-LS 3х2,5 0,66</v>
      </c>
      <c r="C1905" s="1551" t="str">
        <f aca="false">'Смета Внутр'!C1905</f>
        <v>м.п.</v>
      </c>
      <c r="D1905" s="1551" t="n">
        <f aca="false">'Смета Внутр'!D1905</f>
        <v>180.64</v>
      </c>
      <c r="F1905" s="1551" t="n">
        <f aca="false">'Смета Внутр'!E1905</f>
        <v>47.36</v>
      </c>
      <c r="G1905" s="1551" t="n">
        <f aca="false">'Смета Внутр'!H1905</f>
        <v>0</v>
      </c>
      <c r="I1905" s="3179" t="n">
        <f aca="false">IF(F1905&lt;H1905,F1905*(D1905-E1905),0)+IF(H1905=0,(D1905-E1905)*F1905,0)+IF(H1905&lt;F1905,H1905*(D1905-E1905),0)</f>
        <v>8555.1104</v>
      </c>
      <c r="J1905" s="3179" t="n">
        <f aca="false">G1905-I1905</f>
        <v>-8555.1104</v>
      </c>
    </row>
    <row r="1906" customFormat="false" ht="15" hidden="false" customHeight="true" outlineLevel="0" collapsed="false">
      <c r="B1906" s="1551" t="str">
        <f aca="false">'Смета Внутр'!B1906</f>
        <v>Труба ПВХ гофрировонная гибкая 20</v>
      </c>
      <c r="C1906" s="1551" t="str">
        <f aca="false">'Смета Внутр'!C1906</f>
        <v>м.п.</v>
      </c>
      <c r="D1906" s="1551" t="n">
        <f aca="false">'Смета Внутр'!D1906</f>
        <v>198.704</v>
      </c>
      <c r="F1906" s="1551" t="n">
        <f aca="false">'Смета Внутр'!E1906</f>
        <v>5.02</v>
      </c>
      <c r="G1906" s="1551" t="n">
        <f aca="false">'Смета Внутр'!H1906</f>
        <v>0</v>
      </c>
      <c r="I1906" s="3179" t="n">
        <f aca="false">IF(F1906&lt;H1906,F1906*(D1906-E1906),0)+IF(H1906=0,(D1906-E1906)*F1906,0)+IF(H1906&lt;F1906,H1906*(D1906-E1906),0)</f>
        <v>997.49408</v>
      </c>
      <c r="J1906" s="3179" t="n">
        <f aca="false">G1906-I1906</f>
        <v>-997.49408</v>
      </c>
    </row>
    <row r="1907" customFormat="false" ht="15" hidden="false" customHeight="true" outlineLevel="0" collapsed="false">
      <c r="B1907" s="1551" t="str">
        <f aca="false">'Смета Внутр'!B1907</f>
        <v>Кабель ВВГнг(А)-LS 3х1,5 0,66</v>
      </c>
      <c r="C1907" s="1551" t="str">
        <f aca="false">'Смета Внутр'!C1907</f>
        <v>м.п.</v>
      </c>
      <c r="D1907" s="1551" t="n">
        <f aca="false">'Смета Внутр'!D1907</f>
        <v>327.36</v>
      </c>
      <c r="F1907" s="1551" t="n">
        <f aca="false">'Смета Внутр'!E1907</f>
        <v>29.81</v>
      </c>
      <c r="G1907" s="1551" t="n">
        <f aca="false">'Смета Внутр'!H1907</f>
        <v>0</v>
      </c>
      <c r="I1907" s="3179" t="n">
        <f aca="false">IF(F1907&lt;H1907,F1907*(D1907-E1907),0)+IF(H1907=0,(D1907-E1907)*F1907,0)+IF(H1907&lt;F1907,H1907*(D1907-E1907),0)</f>
        <v>9758.6016</v>
      </c>
      <c r="J1907" s="3179" t="n">
        <f aca="false">G1907-I1907</f>
        <v>-9758.6016</v>
      </c>
    </row>
    <row r="1908" customFormat="false" ht="15" hidden="false" customHeight="true" outlineLevel="0" collapsed="false">
      <c r="B1908" s="1551" t="str">
        <f aca="false">'Смета Внутр'!B1908</f>
        <v>Труба ПВХ гофрировонная гибкая 25</v>
      </c>
      <c r="C1908" s="1551" t="str">
        <f aca="false">'Смета Внутр'!C1908</f>
        <v>м.п.</v>
      </c>
      <c r="D1908" s="1551" t="n">
        <f aca="false">'Смета Внутр'!D1908</f>
        <v>360.096</v>
      </c>
      <c r="F1908" s="1551" t="n">
        <f aca="false">'Смета Внутр'!E1908</f>
        <v>6.38</v>
      </c>
      <c r="G1908" s="1551" t="n">
        <f aca="false">'Смета Внутр'!H1908</f>
        <v>0</v>
      </c>
      <c r="I1908" s="3179" t="n">
        <f aca="false">IF(F1908&lt;H1908,F1908*(D1908-E1908),0)+IF(H1908=0,(D1908-E1908)*F1908,0)+IF(H1908&lt;F1908,H1908*(D1908-E1908),0)</f>
        <v>2297.41248</v>
      </c>
      <c r="J1908" s="3179" t="n">
        <f aca="false">G1908-I1908</f>
        <v>-2297.41248</v>
      </c>
    </row>
    <row r="1909" customFormat="false" ht="15" hidden="false" customHeight="true" outlineLevel="0" collapsed="false">
      <c r="B1909" s="1551" t="str">
        <f aca="false">'Смета Внутр'!B1909</f>
        <v>Кабель ВВГнг(А)-LS 3х4 0,66</v>
      </c>
      <c r="C1909" s="1551" t="str">
        <f aca="false">'Смета Внутр'!C1909</f>
        <v>м.п.</v>
      </c>
      <c r="D1909" s="1551" t="n">
        <f aca="false">'Смета Внутр'!D1909</f>
        <v>60</v>
      </c>
      <c r="F1909" s="1551" t="n">
        <f aca="false">'Смета Внутр'!E1909</f>
        <v>68</v>
      </c>
      <c r="G1909" s="1551" t="n">
        <f aca="false">'Смета Внутр'!H1909</f>
        <v>0</v>
      </c>
      <c r="I1909" s="3179" t="n">
        <f aca="false">IF(F1909&lt;H1909,F1909*(D1909-E1909),0)+IF(H1909=0,(D1909-E1909)*F1909,0)+IF(H1909&lt;F1909,H1909*(D1909-E1909),0)</f>
        <v>4080</v>
      </c>
      <c r="J1909" s="3179" t="n">
        <f aca="false">G1909-I1909</f>
        <v>-4080</v>
      </c>
    </row>
    <row r="1910" customFormat="false" ht="15" hidden="false" customHeight="true" outlineLevel="0" collapsed="false">
      <c r="B1910" s="1551" t="str">
        <f aca="false">'Смета Внутр'!B1910</f>
        <v>Труба ПВХ гофрировонная гибкая 32</v>
      </c>
      <c r="C1910" s="1551" t="str">
        <f aca="false">'Смета Внутр'!C1910</f>
        <v>м.п.</v>
      </c>
      <c r="D1910" s="1551" t="n">
        <f aca="false">'Смета Внутр'!D1910</f>
        <v>66</v>
      </c>
      <c r="F1910" s="1551" t="n">
        <f aca="false">'Смета Внутр'!E1910</f>
        <v>6.38</v>
      </c>
      <c r="G1910" s="1551" t="n">
        <f aca="false">'Смета Внутр'!H1910</f>
        <v>0</v>
      </c>
      <c r="I1910" s="3179" t="n">
        <f aca="false">IF(F1910&lt;H1910,F1910*(D1910-E1910),0)+IF(H1910=0,(D1910-E1910)*F1910,0)+IF(H1910&lt;F1910,H1910*(D1910-E1910),0)</f>
        <v>421.08</v>
      </c>
      <c r="J1910" s="3179" t="n">
        <f aca="false">G1910-I1910</f>
        <v>-421.08</v>
      </c>
    </row>
    <row r="1911" customFormat="false" ht="15" hidden="false" customHeight="true" outlineLevel="0" collapsed="false">
      <c r="B1911" s="1551" t="str">
        <f aca="false">'Смета Внутр'!B1911</f>
        <v>крепления для гофры</v>
      </c>
      <c r="C1911" s="1551" t="str">
        <f aca="false">'Смета Внутр'!C1911</f>
        <v>шт</v>
      </c>
      <c r="D1911" s="1551" t="n">
        <f aca="false">'Смета Внутр'!D1911</f>
        <v>607</v>
      </c>
      <c r="F1911" s="1551" t="n">
        <f aca="false">'Смета Внутр'!E1911</f>
        <v>1</v>
      </c>
      <c r="G1911" s="1551" t="n">
        <f aca="false">'Смета Внутр'!H1911</f>
        <v>0</v>
      </c>
      <c r="I1911" s="3179" t="n">
        <f aca="false">IF(F1911&lt;H1911,F1911*(D1911-E1911),0)+IF(H1911=0,(D1911-E1911)*F1911,0)+IF(H1911&lt;F1911,H1911*(D1911-E1911),0)</f>
        <v>607</v>
      </c>
      <c r="J1911" s="3179" t="n">
        <f aca="false">G1911-I1911</f>
        <v>-607</v>
      </c>
    </row>
    <row r="1912" customFormat="false" ht="15" hidden="false" customHeight="true" outlineLevel="0" collapsed="false">
      <c r="B1912" s="1551" t="str">
        <f aca="false">'Смета Внутр'!B1912</f>
        <v>саморез для крепления гофры</v>
      </c>
      <c r="C1912" s="1551" t="str">
        <f aca="false">'Смета Внутр'!C1912</f>
        <v>шт</v>
      </c>
      <c r="D1912" s="1551" t="n">
        <f aca="false">'Смета Внутр'!D1912</f>
        <v>1214</v>
      </c>
      <c r="F1912" s="1551" t="n">
        <f aca="false">'Смета Внутр'!E1912</f>
        <v>0.25</v>
      </c>
      <c r="G1912" s="1551" t="n">
        <f aca="false">'Смета Внутр'!H1912</f>
        <v>0</v>
      </c>
      <c r="I1912" s="3179" t="n">
        <f aca="false">IF(F1912&lt;H1912,F1912*(D1912-E1912),0)+IF(H1912=0,(D1912-E1912)*F1912,0)+IF(H1912&lt;F1912,H1912*(D1912-E1912),0)</f>
        <v>303.5</v>
      </c>
      <c r="J1912" s="3179" t="n">
        <f aca="false">G1912-I1912</f>
        <v>-303.5</v>
      </c>
    </row>
    <row r="1913" customFormat="false" ht="15" hidden="false" customHeight="true" outlineLevel="0" collapsed="false">
      <c r="B1913" s="1551" t="str">
        <f aca="false">'Смета Внутр'!B1913</f>
        <v>Коробка распределения</v>
      </c>
      <c r="C1913" s="1551" t="str">
        <f aca="false">'Смета Внутр'!C1913</f>
        <v>шт</v>
      </c>
      <c r="D1913" s="1551" t="n">
        <f aca="false">'Смета Внутр'!D1913</f>
        <v>12</v>
      </c>
      <c r="F1913" s="1551" t="n">
        <f aca="false">'Смета Внутр'!E1913</f>
        <v>20</v>
      </c>
      <c r="G1913" s="1551" t="n">
        <f aca="false">'Смета Внутр'!H1913</f>
        <v>0</v>
      </c>
      <c r="I1913" s="3179" t="n">
        <f aca="false">IF(F1913&lt;H1913,F1913*(D1913-E1913),0)+IF(H1913=0,(D1913-E1913)*F1913,0)+IF(H1913&lt;F1913,H1913*(D1913-E1913),0)</f>
        <v>240</v>
      </c>
      <c r="J1913" s="3179" t="n">
        <f aca="false">G1913-I1913</f>
        <v>-240</v>
      </c>
    </row>
    <row r="1914" customFormat="false" ht="15" hidden="false" customHeight="true" outlineLevel="0" collapsed="false">
      <c r="B1914" s="1551" t="str">
        <f aca="false">'Смета Внутр'!B1914</f>
        <v>Вага</v>
      </c>
      <c r="C1914" s="1551" t="str">
        <f aca="false">'Смета Внутр'!C1914</f>
        <v>шт</v>
      </c>
      <c r="D1914" s="1551" t="n">
        <f aca="false">'Смета Внутр'!D1914</f>
        <v>480</v>
      </c>
      <c r="F1914" s="1551" t="n">
        <f aca="false">'Смета Внутр'!E1914</f>
        <v>10</v>
      </c>
      <c r="G1914" s="1551" t="n">
        <f aca="false">'Смета Внутр'!H1914</f>
        <v>0</v>
      </c>
      <c r="I1914" s="3179" t="n">
        <f aca="false">IF(F1914&lt;H1914,F1914*(D1914-E1914),0)+IF(H1914=0,(D1914-E1914)*F1914,0)+IF(H1914&lt;F1914,H1914*(D1914-E1914),0)</f>
        <v>4800</v>
      </c>
      <c r="J1914" s="3179" t="n">
        <f aca="false">G1914-I1914</f>
        <v>-4800</v>
      </c>
    </row>
    <row r="1915" customFormat="false" ht="15" hidden="false" customHeight="true" outlineLevel="0" collapsed="false">
      <c r="B1915" s="1551" t="str">
        <f aca="false">'Смета Внутр'!B1915</f>
        <v>Щиток электрический</v>
      </c>
      <c r="C1915" s="1551" t="str">
        <f aca="false">'Смета Внутр'!C1915</f>
        <v>шт</v>
      </c>
      <c r="D1915" s="1551" t="n">
        <f aca="false">'Смета Внутр'!D1915</f>
        <v>1</v>
      </c>
      <c r="F1915" s="1551" t="n">
        <f aca="false">'Смета Внутр'!E1915</f>
        <v>1200</v>
      </c>
      <c r="G1915" s="1551" t="n">
        <f aca="false">'Смета Внутр'!H1915</f>
        <v>0</v>
      </c>
      <c r="I1915" s="3179" t="n">
        <f aca="false">IF(F1915&lt;H1915,F1915*(D1915-E1915),0)+IF(H1915=0,(D1915-E1915)*F1915,0)+IF(H1915&lt;F1915,H1915*(D1915-E1915),0)</f>
        <v>1200</v>
      </c>
      <c r="J1915" s="3179" t="n">
        <f aca="false">G1915-I1915</f>
        <v>-1200</v>
      </c>
    </row>
    <row r="1916" customFormat="false" ht="15" hidden="false" customHeight="true" outlineLevel="0" collapsed="false">
      <c r="B1916" s="1551" t="str">
        <f aca="false">'Смета Внутр'!B1916</f>
        <v>автомат, 3 полюса, 32амп</v>
      </c>
      <c r="C1916" s="1551" t="str">
        <f aca="false">'Смета Внутр'!C1916</f>
        <v>шт</v>
      </c>
      <c r="D1916" s="1551" t="n">
        <f aca="false">'Смета Внутр'!D1916</f>
        <v>2</v>
      </c>
      <c r="F1916" s="1551" t="n">
        <f aca="false">'Смета Внутр'!E1916</f>
        <v>180</v>
      </c>
      <c r="G1916" s="1551" t="n">
        <f aca="false">'Смета Внутр'!H1916</f>
        <v>0</v>
      </c>
      <c r="I1916" s="3179" t="n">
        <f aca="false">IF(F1916&lt;H1916,F1916*(D1916-E1916),0)+IF(H1916=0,(D1916-E1916)*F1916,0)+IF(H1916&lt;F1916,H1916*(D1916-E1916),0)</f>
        <v>360</v>
      </c>
      <c r="J1916" s="3179" t="n">
        <f aca="false">G1916-I1916</f>
        <v>-360</v>
      </c>
    </row>
    <row r="1917" customFormat="false" ht="15" hidden="false" customHeight="true" outlineLevel="0" collapsed="false">
      <c r="B1917" s="1551" t="str">
        <f aca="false">'Смета Внутр'!B1917</f>
        <v>автомат, 1 полюс, 16амп</v>
      </c>
      <c r="C1917" s="1551" t="str">
        <f aca="false">'Смета Внутр'!C1917</f>
        <v>шт</v>
      </c>
      <c r="D1917" s="1551" t="n">
        <f aca="false">'Смета Внутр'!D1917</f>
        <v>20</v>
      </c>
      <c r="F1917" s="1551" t="n">
        <f aca="false">'Смета Внутр'!E1917</f>
        <v>70</v>
      </c>
      <c r="G1917" s="1551" t="n">
        <f aca="false">'Смета Внутр'!H1917</f>
        <v>0</v>
      </c>
      <c r="I1917" s="3179" t="n">
        <f aca="false">IF(F1917&lt;H1917,F1917*(D1917-E1917),0)+IF(H1917=0,(D1917-E1917)*F1917,0)+IF(H1917&lt;F1917,H1917*(D1917-E1917),0)</f>
        <v>1400</v>
      </c>
      <c r="J1917" s="3179" t="n">
        <f aca="false">G1917-I1917</f>
        <v>-1400</v>
      </c>
    </row>
    <row r="1918" customFormat="false" ht="15" hidden="false" customHeight="true" outlineLevel="0" collapsed="false">
      <c r="B1918" s="1551" t="str">
        <f aca="false">'Смета Внутр'!B1918</f>
        <v>автомат, 1 полюс, 25 амп</v>
      </c>
      <c r="C1918" s="1551" t="str">
        <f aca="false">'Смета Внутр'!C1918</f>
        <v>шт</v>
      </c>
      <c r="D1918" s="1551" t="n">
        <f aca="false">'Смета Внутр'!D1918</f>
        <v>2</v>
      </c>
      <c r="F1918" s="1551" t="n">
        <f aca="false">'Смета Внутр'!E1918</f>
        <v>167</v>
      </c>
      <c r="G1918" s="1551" t="n">
        <f aca="false">'Смета Внутр'!H1918</f>
        <v>0</v>
      </c>
      <c r="I1918" s="3179" t="n">
        <f aca="false">IF(F1918&lt;H1918,F1918*(D1918-E1918),0)+IF(H1918=0,(D1918-E1918)*F1918,0)+IF(H1918&lt;F1918,H1918*(D1918-E1918),0)</f>
        <v>334</v>
      </c>
      <c r="J1918" s="3179" t="n">
        <f aca="false">G1918-I1918</f>
        <v>-334</v>
      </c>
    </row>
    <row r="1919" customFormat="false" ht="15" hidden="false" customHeight="true" outlineLevel="0" collapsed="false">
      <c r="B1919" s="1551" t="str">
        <f aca="false">'Смета Внутр'!B1919</f>
        <v>Коробка электрическая</v>
      </c>
      <c r="C1919" s="1551" t="str">
        <f aca="false">'Смета Внутр'!C1919</f>
        <v>шт</v>
      </c>
      <c r="D1919" s="1551" t="n">
        <f aca="false">'Смета Внутр'!D1919</f>
        <v>60</v>
      </c>
      <c r="F1919" s="1551" t="n">
        <f aca="false">'Смета Внутр'!E1919</f>
        <v>6</v>
      </c>
      <c r="G1919" s="1551" t="n">
        <f aca="false">'Смета Внутр'!H1919</f>
        <v>0</v>
      </c>
      <c r="I1919" s="3179" t="n">
        <f aca="false">IF(F1919&lt;H1919,F1919*(D1919-E1919),0)+IF(H1919=0,(D1919-E1919)*F1919,0)+IF(H1919&lt;F1919,H1919*(D1919-E1919),0)</f>
        <v>360</v>
      </c>
      <c r="J1919" s="3179" t="n">
        <f aca="false">G1919-I1919</f>
        <v>-360</v>
      </c>
    </row>
    <row r="1920" customFormat="false" ht="15" hidden="false" customHeight="true" outlineLevel="0" collapsed="false">
      <c r="B1920" s="1551" t="str">
        <f aca="false">'Смета Внутр'!B1920</f>
        <v>Розетка 2</v>
      </c>
      <c r="C1920" s="1551" t="str">
        <f aca="false">'Смета Внутр'!C1920</f>
        <v>шт</v>
      </c>
      <c r="D1920" s="1551" t="n">
        <f aca="false">'Смета Внутр'!D1920</f>
        <v>40</v>
      </c>
      <c r="F1920" s="1551" t="n">
        <f aca="false">'Смета Внутр'!E1920</f>
        <v>100</v>
      </c>
      <c r="G1920" s="1551" t="n">
        <f aca="false">'Смета Внутр'!H1920</f>
        <v>0</v>
      </c>
      <c r="I1920" s="3179" t="n">
        <f aca="false">IF(F1920&lt;H1920,F1920*(D1920-E1920),0)+IF(H1920=0,(D1920-E1920)*F1920,0)+IF(H1920&lt;F1920,H1920*(D1920-E1920),0)</f>
        <v>4000</v>
      </c>
      <c r="J1920" s="3179" t="n">
        <f aca="false">G1920-I1920</f>
        <v>-4000</v>
      </c>
    </row>
    <row r="1921" customFormat="false" ht="15" hidden="false" customHeight="true" outlineLevel="0" collapsed="false">
      <c r="B1921" s="1551" t="str">
        <f aca="false">'Смета Внутр'!B1921</f>
        <v>Выключатель 3</v>
      </c>
      <c r="C1921" s="1551" t="str">
        <f aca="false">'Смета Внутр'!C1921</f>
        <v>шт</v>
      </c>
      <c r="D1921" s="1551" t="n">
        <f aca="false">'Смета Внутр'!D1921</f>
        <v>20</v>
      </c>
      <c r="F1921" s="1551" t="n">
        <f aca="false">'Смета Внутр'!E1921</f>
        <v>100</v>
      </c>
      <c r="G1921" s="1551" t="n">
        <f aca="false">'Смета Внутр'!H1921</f>
        <v>0</v>
      </c>
      <c r="I1921" s="3179" t="n">
        <f aca="false">IF(F1921&lt;H1921,F1921*(D1921-E1921),0)+IF(H1921=0,(D1921-E1921)*F1921,0)+IF(H1921&lt;F1921,H1921*(D1921-E1921),0)</f>
        <v>2000</v>
      </c>
      <c r="J1921" s="3179" t="n">
        <f aca="false">G1921-I1921</f>
        <v>-2000</v>
      </c>
    </row>
    <row r="1922" customFormat="false" ht="15" hidden="false" customHeight="true" outlineLevel="0" collapsed="false">
      <c r="B1922" s="1692" t="s">
        <v>4332</v>
      </c>
      <c r="C1922" s="1692"/>
      <c r="D1922" s="1692"/>
      <c r="E1922" s="1692"/>
      <c r="F1922" s="1692"/>
      <c r="G1922" s="1551" t="n">
        <f aca="false">'Смета Внутр'!H1922</f>
        <v>0</v>
      </c>
      <c r="H1922" s="3184"/>
      <c r="I1922" s="3179" t="n">
        <f aca="false">IF(F1922&lt;H1922,F1922*(D1922-E1922),0)+IF(H1922=0,(D1922-E1922)*F1922,0)+IF(H1922&lt;F1922,H1922*(D1922-E1922),0)</f>
        <v>0</v>
      </c>
      <c r="J1922" s="3179" t="n">
        <f aca="false">G1922-I1922</f>
        <v>0</v>
      </c>
    </row>
    <row r="1923" customFormat="false" ht="15" hidden="false" customHeight="true" outlineLevel="0" collapsed="false">
      <c r="B1923" s="1268" t="str">
        <f aca="false">'Смета Внутр'!B1923</f>
        <v>Работы</v>
      </c>
      <c r="C1923" s="1268"/>
      <c r="D1923" s="1268"/>
      <c r="E1923" s="1268"/>
      <c r="F1923" s="1268"/>
      <c r="G1923" s="1551" t="n">
        <f aca="false">'Смета Внутр'!H1923</f>
        <v>0</v>
      </c>
      <c r="H1923" s="3175"/>
      <c r="I1923" s="3179" t="n">
        <f aca="false">IF(F1923&lt;H1923,F1923*(D1923-E1923),0)+IF(H1923=0,(D1923-E1923)*F1923,0)+IF(H1923&lt;F1923,H1923*(D1923-E1923),0)</f>
        <v>0</v>
      </c>
      <c r="J1923" s="3179" t="n">
        <f aca="false">G1923-I1923</f>
        <v>0</v>
      </c>
    </row>
    <row r="1924" customFormat="false" ht="15" hidden="false" customHeight="true" outlineLevel="0" collapsed="false">
      <c r="B1924" s="1551" t="str">
        <f aca="false">'Смета Внутр'!B1924</f>
        <v>монтаж кабеля</v>
      </c>
      <c r="C1924" s="1551" t="str">
        <f aca="false">'Смета Внутр'!C1924</f>
        <v>м.п.</v>
      </c>
      <c r="D1924" s="1551" t="n">
        <f aca="false">'Смета Внутр'!D1924</f>
        <v>568</v>
      </c>
      <c r="F1924" s="1551" t="n">
        <f aca="false">'Смета Внутр'!E1924</f>
        <v>100</v>
      </c>
      <c r="G1924" s="1551" t="n">
        <f aca="false">'Смета Внутр'!H1924</f>
        <v>0</v>
      </c>
      <c r="I1924" s="3179" t="n">
        <f aca="false">IF(F1924&lt;H1924,F1924*(D1924-E1924),0)+IF(H1924=0,(D1924-E1924)*F1924,0)+IF(H1924&lt;F1924,H1924*(D1924-E1924),0)</f>
        <v>56800</v>
      </c>
      <c r="J1924" s="3179" t="n">
        <f aca="false">G1924-I1924</f>
        <v>-56800</v>
      </c>
    </row>
    <row r="1925" customFormat="false" ht="15" hidden="false" customHeight="true" outlineLevel="0" collapsed="false">
      <c r="B1925" s="1551" t="str">
        <f aca="false">'Смета Внутр'!B1925</f>
        <v>монтаж гофры</v>
      </c>
      <c r="C1925" s="1551" t="str">
        <f aca="false">'Смета Внутр'!C1925</f>
        <v>м.п.</v>
      </c>
      <c r="D1925" s="1551" t="n">
        <f aca="false">'Смета Внутр'!D1925</f>
        <v>568</v>
      </c>
      <c r="F1925" s="1551" t="n">
        <f aca="false">'Смета Внутр'!E1925</f>
        <v>50</v>
      </c>
      <c r="G1925" s="1551" t="n">
        <f aca="false">'Смета Внутр'!H1925</f>
        <v>0</v>
      </c>
      <c r="I1925" s="3179" t="n">
        <f aca="false">IF(F1925&lt;H1925,F1925*(D1925-E1925),0)+IF(H1925=0,(D1925-E1925)*F1925,0)+IF(H1925&lt;F1925,H1925*(D1925-E1925),0)</f>
        <v>28400</v>
      </c>
      <c r="J1925" s="3179" t="n">
        <f aca="false">G1925-I1925</f>
        <v>-28400</v>
      </c>
    </row>
    <row r="1926" customFormat="false" ht="15" hidden="false" customHeight="true" outlineLevel="0" collapsed="false">
      <c r="B1926" s="1551" t="str">
        <f aca="false">'Смета Внутр'!B1926</f>
        <v>монтаж коробок распр</v>
      </c>
      <c r="C1926" s="1551" t="str">
        <f aca="false">'Смета Внутр'!C1926</f>
        <v>шт.</v>
      </c>
      <c r="D1926" s="1551" t="n">
        <f aca="false">'Смета Внутр'!D1926</f>
        <v>12</v>
      </c>
      <c r="F1926" s="1551" t="n">
        <f aca="false">'Смета Внутр'!E1926</f>
        <v>500</v>
      </c>
      <c r="G1926" s="1551" t="n">
        <f aca="false">'Смета Внутр'!H1926</f>
        <v>0</v>
      </c>
      <c r="I1926" s="3179" t="n">
        <f aca="false">IF(F1926&lt;H1926,F1926*(D1926-E1926),0)+IF(H1926=0,(D1926-E1926)*F1926,0)+IF(H1926&lt;F1926,H1926*(D1926-E1926),0)</f>
        <v>6000</v>
      </c>
      <c r="J1926" s="3179" t="n">
        <f aca="false">G1926-I1926</f>
        <v>-6000</v>
      </c>
    </row>
    <row r="1927" customFormat="false" ht="15" hidden="false" customHeight="true" outlineLevel="0" collapsed="false">
      <c r="B1927" s="1551" t="str">
        <f aca="false">'Смета Внутр'!B1927</f>
        <v>монтаж коробок роз</v>
      </c>
      <c r="C1927" s="1551" t="str">
        <f aca="false">'Смета Внутр'!C1927</f>
        <v>шт.</v>
      </c>
      <c r="D1927" s="1551" t="n">
        <f aca="false">'Смета Внутр'!D1927</f>
        <v>40</v>
      </c>
      <c r="F1927" s="1551" t="n">
        <f aca="false">'Смета Внутр'!E1927</f>
        <v>200</v>
      </c>
      <c r="G1927" s="1551" t="n">
        <f aca="false">'Смета Внутр'!H1927</f>
        <v>0</v>
      </c>
      <c r="I1927" s="3179" t="n">
        <f aca="false">IF(F1927&lt;H1927,F1927*(D1927-E1927),0)+IF(H1927=0,(D1927-E1927)*F1927,0)+IF(H1927&lt;F1927,H1927*(D1927-E1927),0)</f>
        <v>8000</v>
      </c>
      <c r="J1927" s="3179" t="n">
        <f aca="false">G1927-I1927</f>
        <v>-8000</v>
      </c>
    </row>
    <row r="1928" customFormat="false" ht="15" hidden="false" customHeight="true" outlineLevel="0" collapsed="false">
      <c r="B1928" s="1551" t="str">
        <f aca="false">'Смета Внутр'!B1928</f>
        <v>монтаж коробок выкл</v>
      </c>
      <c r="C1928" s="1551" t="str">
        <f aca="false">'Смета Внутр'!C1928</f>
        <v>шт.</v>
      </c>
      <c r="D1928" s="1551" t="n">
        <f aca="false">'Смета Внутр'!D1928</f>
        <v>20</v>
      </c>
      <c r="F1928" s="1551" t="n">
        <f aca="false">'Смета Внутр'!E1928</f>
        <v>200</v>
      </c>
      <c r="G1928" s="1551" t="n">
        <f aca="false">'Смета Внутр'!H1928</f>
        <v>0</v>
      </c>
      <c r="I1928" s="3179" t="n">
        <f aca="false">IF(F1928&lt;H1928,F1928*(D1928-E1928),0)+IF(H1928=0,(D1928-E1928)*F1928,0)+IF(H1928&lt;F1928,H1928*(D1928-E1928),0)</f>
        <v>4000</v>
      </c>
      <c r="J1928" s="3179" t="n">
        <f aca="false">G1928-I1928</f>
        <v>-4000</v>
      </c>
    </row>
    <row r="1929" customFormat="false" ht="15" hidden="false" customHeight="true" outlineLevel="0" collapsed="false">
      <c r="B1929" s="1551" t="str">
        <f aca="false">'Смета Внутр'!B1929</f>
        <v>монтаж щитка</v>
      </c>
      <c r="C1929" s="1551" t="str">
        <f aca="false">'Смета Внутр'!C1929</f>
        <v>шт.</v>
      </c>
      <c r="D1929" s="1551" t="n">
        <f aca="false">'Смета Внутр'!D1929</f>
        <v>1</v>
      </c>
      <c r="F1929" s="1551" t="n">
        <f aca="false">'Смета Внутр'!E1929</f>
        <v>6000</v>
      </c>
      <c r="G1929" s="1551" t="n">
        <f aca="false">'Смета Внутр'!H1929</f>
        <v>0</v>
      </c>
      <c r="I1929" s="3179" t="n">
        <f aca="false">IF(F1929&lt;H1929,F1929*(D1929-E1929),0)+IF(H1929=0,(D1929-E1929)*F1929,0)+IF(H1929&lt;F1929,H1929*(D1929-E1929),0)</f>
        <v>6000</v>
      </c>
      <c r="J1929" s="3179" t="n">
        <f aca="false">G1929-I1929</f>
        <v>-6000</v>
      </c>
    </row>
    <row r="1930" customFormat="false" ht="15" hidden="false" customHeight="true" outlineLevel="0" collapsed="false">
      <c r="B1930" s="1551" t="str">
        <f aca="false">'Смета Внутр'!B1930</f>
        <v>установка розеток</v>
      </c>
      <c r="C1930" s="1551" t="str">
        <f aca="false">'Смета Внутр'!C1930</f>
        <v>шт.</v>
      </c>
      <c r="D1930" s="1551" t="n">
        <f aca="false">'Смета Внутр'!D1930</f>
        <v>40</v>
      </c>
      <c r="F1930" s="1551" t="n">
        <f aca="false">'Смета Внутр'!E1930</f>
        <v>250</v>
      </c>
      <c r="G1930" s="1551" t="n">
        <f aca="false">'Смета Внутр'!H1930</f>
        <v>0</v>
      </c>
      <c r="I1930" s="3179" t="n">
        <f aca="false">IF(F1930&lt;H1930,F1930*(D1930-E1930),0)+IF(H1930=0,(D1930-E1930)*F1930,0)+IF(H1930&lt;F1930,H1930*(D1930-E1930),0)</f>
        <v>10000</v>
      </c>
      <c r="J1930" s="3179" t="n">
        <f aca="false">G1930-I1930</f>
        <v>-10000</v>
      </c>
    </row>
    <row r="1931" customFormat="false" ht="15" hidden="false" customHeight="true" outlineLevel="0" collapsed="false">
      <c r="B1931" s="1551" t="str">
        <f aca="false">'Смета Внутр'!B1931</f>
        <v>установка выключателей</v>
      </c>
      <c r="C1931" s="1551" t="str">
        <f aca="false">'Смета Внутр'!C1931</f>
        <v>шт.</v>
      </c>
      <c r="D1931" s="1551" t="n">
        <f aca="false">'Смета Внутр'!D1931</f>
        <v>20</v>
      </c>
      <c r="F1931" s="1551" t="n">
        <f aca="false">'Смета Внутр'!E1931</f>
        <v>250</v>
      </c>
      <c r="G1931" s="1551" t="n">
        <f aca="false">'Смета Внутр'!H1931</f>
        <v>0</v>
      </c>
      <c r="I1931" s="3179" t="n">
        <f aca="false">IF(F1931&lt;H1931,F1931*(D1931-E1931),0)+IF(H1931=0,(D1931-E1931)*F1931,0)+IF(H1931&lt;F1931,H1931*(D1931-E1931),0)</f>
        <v>5000</v>
      </c>
      <c r="J1931" s="3179" t="n">
        <f aca="false">G1931-I1931</f>
        <v>-5000</v>
      </c>
    </row>
    <row r="1932" customFormat="false" ht="15" hidden="false" customHeight="false" outlineLevel="0" collapsed="false">
      <c r="B1932" s="1692" t="s">
        <v>4333</v>
      </c>
      <c r="C1932" s="1692"/>
      <c r="D1932" s="1692"/>
      <c r="E1932" s="1692"/>
      <c r="F1932" s="1692"/>
      <c r="G1932" s="1551" t="n">
        <f aca="false">'Смета Внутр'!H1932</f>
        <v>0</v>
      </c>
      <c r="H1932" s="1584"/>
      <c r="I1932" s="3179" t="n">
        <f aca="false">IF(F1932&lt;H1932,F1932*(D1932-E1932),0)+IF(H1932=0,(D1932-E1932)*F1932,0)+IF(H1932&lt;F1932,H1932*(D1932-E1932),0)</f>
        <v>0</v>
      </c>
      <c r="J1932" s="3179" t="n">
        <f aca="false">G1932-I1932</f>
        <v>0</v>
      </c>
    </row>
    <row r="1933" customFormat="false" ht="15" hidden="false" customHeight="true" outlineLevel="0" collapsed="false">
      <c r="B1933" s="1551" t="str">
        <f aca="false">'Смета Внутр'!B1933</f>
        <v>Отопление радиаторное, холодное и горячее водоснабжение</v>
      </c>
      <c r="C1933" s="1551" t="n">
        <f aca="false">'Смета Внутр'!C1933</f>
        <v>0</v>
      </c>
      <c r="D1933" s="1551" t="n">
        <f aca="false">'Смета Внутр'!D1933</f>
        <v>0</v>
      </c>
      <c r="F1933" s="1551" t="n">
        <f aca="false">'Смета Внутр'!E1933</f>
        <v>0</v>
      </c>
      <c r="G1933" s="1551" t="n">
        <f aca="false">'Смета Внутр'!H1933</f>
        <v>0</v>
      </c>
      <c r="I1933" s="3179" t="n">
        <f aca="false">IF(F1933&lt;H1933,F1933*(D1933-E1933),0)+IF(H1933=0,(D1933-E1933)*F1933,0)+IF(H1933&lt;F1933,H1933*(D1933-E1933),0)</f>
        <v>0</v>
      </c>
      <c r="J1933" s="3179" t="n">
        <f aca="false">G1933-I1933</f>
        <v>0</v>
      </c>
    </row>
    <row r="1934" customFormat="false" ht="15" hidden="false" customHeight="true" outlineLevel="0" collapsed="false">
      <c r="B1934" s="1268" t="str">
        <f aca="false">'Смета Внутр'!B1934</f>
        <v>Материалы</v>
      </c>
      <c r="C1934" s="1268"/>
      <c r="D1934" s="1268"/>
      <c r="E1934" s="1268"/>
      <c r="F1934" s="1268"/>
      <c r="G1934" s="1551" t="n">
        <f aca="false">'Смета Внутр'!H1934</f>
        <v>0</v>
      </c>
      <c r="H1934" s="3175"/>
      <c r="I1934" s="3179" t="n">
        <f aca="false">IF(F1934&lt;H1934,F1934*(D1934-E1934),0)+IF(H1934=0,(D1934-E1934)*F1934,0)+IF(H1934&lt;F1934,H1934*(D1934-E1934),0)</f>
        <v>0</v>
      </c>
      <c r="J1934" s="3179" t="n">
        <f aca="false">G1934-I1934</f>
        <v>0</v>
      </c>
    </row>
    <row r="1935" customFormat="false" ht="15" hidden="false" customHeight="true" outlineLevel="0" collapsed="false">
      <c r="B1935" s="1551" t="str">
        <f aca="false">'Смета Внутр'!B1935</f>
        <v>труба диам 25/32 отопление</v>
      </c>
      <c r="C1935" s="1551" t="str">
        <f aca="false">'Смета Внутр'!C1935</f>
        <v>м.п.</v>
      </c>
      <c r="D1935" s="1551" t="n">
        <f aca="false">'Смета Внутр'!D1935</f>
        <v>210.08</v>
      </c>
      <c r="F1935" s="1551" t="n">
        <f aca="false">'Смета Внутр'!E1935</f>
        <v>40</v>
      </c>
      <c r="G1935" s="1551" t="n">
        <f aca="false">'Смета Внутр'!H1935</f>
        <v>0</v>
      </c>
      <c r="I1935" s="3179" t="n">
        <f aca="false">IF(F1935&lt;H1935,F1935*(D1935-E1935),0)+IF(H1935=0,(D1935-E1935)*F1935,0)+IF(H1935&lt;F1935,H1935*(D1935-E1935),0)</f>
        <v>8403.2</v>
      </c>
      <c r="J1935" s="3179" t="n">
        <f aca="false">G1935-I1935</f>
        <v>-8403.2</v>
      </c>
    </row>
    <row r="1936" customFormat="false" ht="15" hidden="false" customHeight="true" outlineLevel="0" collapsed="false">
      <c r="B1936" s="1551" t="str">
        <f aca="false">'Смета Внутр'!B1936</f>
        <v>соеденители для трубы</v>
      </c>
      <c r="C1936" s="1551" t="str">
        <f aca="false">'Смета Внутр'!C1936</f>
        <v>шт</v>
      </c>
      <c r="D1936" s="1551" t="n">
        <f aca="false">'Смета Внутр'!D1936</f>
        <v>70.0266666666667</v>
      </c>
      <c r="F1936" s="1551" t="n">
        <f aca="false">'Смета Внутр'!E1936</f>
        <v>10</v>
      </c>
      <c r="G1936" s="1551" t="n">
        <f aca="false">'Смета Внутр'!H1936</f>
        <v>0</v>
      </c>
      <c r="I1936" s="3179" t="n">
        <f aca="false">IF(F1936&lt;H1936,F1936*(D1936-E1936),0)+IF(H1936=0,(D1936-E1936)*F1936,0)+IF(H1936&lt;F1936,H1936*(D1936-E1936),0)</f>
        <v>700.266666666667</v>
      </c>
      <c r="J1936" s="3179" t="n">
        <f aca="false">G1936-I1936</f>
        <v>-700.266666666667</v>
      </c>
    </row>
    <row r="1937" customFormat="false" ht="15" hidden="false" customHeight="true" outlineLevel="0" collapsed="false">
      <c r="B1937" s="1551" t="str">
        <f aca="false">'Смета Внутр'!B1937</f>
        <v>уголок 90 град</v>
      </c>
      <c r="C1937" s="1551" t="str">
        <f aca="false">'Смета Внутр'!C1937</f>
        <v>шт</v>
      </c>
      <c r="D1937" s="1551" t="n">
        <f aca="false">'Смета Внутр'!D1937</f>
        <v>84.032</v>
      </c>
      <c r="F1937" s="1551" t="n">
        <f aca="false">'Смета Внутр'!E1937</f>
        <v>10</v>
      </c>
      <c r="G1937" s="1551" t="n">
        <f aca="false">'Смета Внутр'!H1937</f>
        <v>0</v>
      </c>
      <c r="I1937" s="3179" t="n">
        <f aca="false">IF(F1937&lt;H1937,F1937*(D1937-E1937),0)+IF(H1937=0,(D1937-E1937)*F1937,0)+IF(H1937&lt;F1937,H1937*(D1937-E1937),0)</f>
        <v>840.32</v>
      </c>
      <c r="J1937" s="3179" t="n">
        <f aca="false">G1937-I1937</f>
        <v>-840.32</v>
      </c>
    </row>
    <row r="1938" customFormat="false" ht="15" hidden="false" customHeight="true" outlineLevel="0" collapsed="false">
      <c r="B1938" s="1551" t="str">
        <f aca="false">'Смета Внутр'!B1938</f>
        <v>радиаторы, 1 секция</v>
      </c>
      <c r="C1938" s="1551" t="str">
        <f aca="false">'Смета Внутр'!C1938</f>
        <v>шт</v>
      </c>
      <c r="D1938" s="1551" t="n">
        <f aca="false">'Смета Внутр'!D1938</f>
        <v>64</v>
      </c>
      <c r="F1938" s="1551" t="n">
        <f aca="false">'Смета Внутр'!E1938</f>
        <v>300</v>
      </c>
      <c r="G1938" s="1551" t="n">
        <f aca="false">'Смета Внутр'!H1938</f>
        <v>0</v>
      </c>
      <c r="I1938" s="3179" t="n">
        <f aca="false">IF(F1938&lt;H1938,F1938*(D1938-E1938),0)+IF(H1938=0,(D1938-E1938)*F1938,0)+IF(H1938&lt;F1938,H1938*(D1938-E1938),0)</f>
        <v>19200</v>
      </c>
      <c r="J1938" s="3179" t="n">
        <f aca="false">G1938-I1938</f>
        <v>-19200</v>
      </c>
    </row>
    <row r="1939" customFormat="false" ht="15" hidden="false" customHeight="true" outlineLevel="0" collapsed="false">
      <c r="B1939" s="1551" t="str">
        <f aca="false">'Смета Внутр'!B1939</f>
        <v>комплектующие для радиаторов</v>
      </c>
      <c r="C1939" s="1551" t="str">
        <f aca="false">'Смета Внутр'!C1939</f>
        <v>шт</v>
      </c>
      <c r="D1939" s="1551" t="n">
        <f aca="false">'Смета Внутр'!D1939</f>
        <v>64</v>
      </c>
      <c r="F1939" s="1551" t="n">
        <f aca="false">'Смета Внутр'!E1939</f>
        <v>250</v>
      </c>
      <c r="G1939" s="1551" t="n">
        <f aca="false">'Смета Внутр'!H1939</f>
        <v>0</v>
      </c>
      <c r="I1939" s="3179" t="n">
        <f aca="false">IF(F1939&lt;H1939,F1939*(D1939-E1939),0)+IF(H1939=0,(D1939-E1939)*F1939,0)+IF(H1939&lt;F1939,H1939*(D1939-E1939),0)</f>
        <v>16000</v>
      </c>
      <c r="J1939" s="3179" t="n">
        <f aca="false">G1939-I1939</f>
        <v>-16000</v>
      </c>
    </row>
    <row r="1940" customFormat="false" ht="15" hidden="false" customHeight="true" outlineLevel="0" collapsed="false">
      <c r="B1940" s="1551" t="str">
        <f aca="false">'Смета Внутр'!B1940</f>
        <v>кран американка ду 25/32 для радиаторов</v>
      </c>
      <c r="C1940" s="1551" t="str">
        <f aca="false">'Смета Внутр'!C1940</f>
        <v>шт</v>
      </c>
      <c r="D1940" s="1551" t="n">
        <f aca="false">'Смета Внутр'!D1940</f>
        <v>128</v>
      </c>
      <c r="F1940" s="1551" t="n">
        <f aca="false">'Смета Внутр'!E1940</f>
        <v>300</v>
      </c>
      <c r="G1940" s="1551" t="n">
        <f aca="false">'Смета Внутр'!H1940</f>
        <v>0</v>
      </c>
      <c r="I1940" s="3179" t="n">
        <f aca="false">IF(F1940&lt;H1940,F1940*(D1940-E1940),0)+IF(H1940=0,(D1940-E1940)*F1940,0)+IF(H1940&lt;F1940,H1940*(D1940-E1940),0)</f>
        <v>38400</v>
      </c>
      <c r="J1940" s="3179" t="n">
        <f aca="false">G1940-I1940</f>
        <v>-38400</v>
      </c>
    </row>
    <row r="1941" customFormat="false" ht="15" hidden="false" customHeight="true" outlineLevel="0" collapsed="false">
      <c r="B1941" s="1551" t="str">
        <f aca="false">'Смета Внутр'!B1941</f>
        <v>кран гайка/резьба ду 25/32</v>
      </c>
      <c r="C1941" s="1551" t="str">
        <f aca="false">'Смета Внутр'!C1941</f>
        <v>шт</v>
      </c>
      <c r="D1941" s="1551" t="n">
        <f aca="false">'Смета Внутр'!D1941</f>
        <v>128</v>
      </c>
      <c r="F1941" s="1551" t="n">
        <f aca="false">'Смета Внутр'!E1941</f>
        <v>200</v>
      </c>
      <c r="G1941" s="1551" t="n">
        <f aca="false">'Смета Внутр'!H1941</f>
        <v>0</v>
      </c>
      <c r="I1941" s="3179" t="n">
        <f aca="false">IF(F1941&lt;H1941,F1941*(D1941-E1941),0)+IF(H1941=0,(D1941-E1941)*F1941,0)+IF(H1941&lt;F1941,H1941*(D1941-E1941),0)</f>
        <v>25600</v>
      </c>
      <c r="J1941" s="3179" t="n">
        <f aca="false">G1941-I1941</f>
        <v>-25600</v>
      </c>
    </row>
    <row r="1942" customFormat="false" ht="15" hidden="false" customHeight="true" outlineLevel="0" collapsed="false">
      <c r="B1942" s="1551" t="str">
        <f aca="false">'Смета Внутр'!B1942</f>
        <v>труба диам 20 вода</v>
      </c>
      <c r="C1942" s="1551" t="str">
        <f aca="false">'Смета Внутр'!C1942</f>
        <v>м.п.</v>
      </c>
      <c r="D1942" s="1551" t="n">
        <f aca="false">'Смета Внутр'!D1942</f>
        <v>30</v>
      </c>
      <c r="F1942" s="1551" t="n">
        <f aca="false">'Смета Внутр'!E1942</f>
        <v>36</v>
      </c>
      <c r="G1942" s="1551" t="n">
        <f aca="false">'Смета Внутр'!H1942</f>
        <v>0</v>
      </c>
      <c r="I1942" s="3179" t="n">
        <f aca="false">IF(F1942&lt;H1942,F1942*(D1942-E1942),0)+IF(H1942=0,(D1942-E1942)*F1942,0)+IF(H1942&lt;F1942,H1942*(D1942-E1942),0)</f>
        <v>1080</v>
      </c>
      <c r="J1942" s="3179" t="n">
        <f aca="false">G1942-I1942</f>
        <v>-1080</v>
      </c>
    </row>
    <row r="1943" customFormat="false" ht="15" hidden="false" customHeight="true" outlineLevel="0" collapsed="false">
      <c r="B1943" s="1551" t="str">
        <f aca="false">'Смета Внутр'!B1943</f>
        <v>комплектующие для хол и гор водоснаб</v>
      </c>
      <c r="C1943" s="1551" t="str">
        <f aca="false">'Смета Внутр'!C1943</f>
        <v>шт</v>
      </c>
      <c r="D1943" s="1551" t="n">
        <f aca="false">'Смета Внутр'!D1943</f>
        <v>1</v>
      </c>
      <c r="F1943" s="1551" t="n">
        <f aca="false">'Смета Внутр'!E1943</f>
        <v>100</v>
      </c>
      <c r="G1943" s="1551" t="n">
        <f aca="false">'Смета Внутр'!H1943</f>
        <v>0</v>
      </c>
      <c r="I1943" s="3179" t="n">
        <f aca="false">IF(F1943&lt;H1943,F1943*(D1943-E1943),0)+IF(H1943=0,(D1943-E1943)*F1943,0)+IF(H1943&lt;F1943,H1943*(D1943-E1943),0)</f>
        <v>100</v>
      </c>
      <c r="J1943" s="3179" t="n">
        <f aca="false">G1943-I1943</f>
        <v>-100</v>
      </c>
    </row>
    <row r="1944" customFormat="false" ht="15" hidden="false" customHeight="true" outlineLevel="0" collapsed="false">
      <c r="B1944" s="1551" t="str">
        <f aca="false">'Смета Внутр'!B1944</f>
        <v>соеденители для трубы</v>
      </c>
      <c r="C1944" s="1551" t="str">
        <f aca="false">'Смета Внутр'!C1944</f>
        <v>шт</v>
      </c>
      <c r="D1944" s="1551" t="n">
        <f aca="false">'Смета Внутр'!D1944</f>
        <v>10</v>
      </c>
      <c r="F1944" s="1551" t="n">
        <f aca="false">'Смета Внутр'!E1944</f>
        <v>10</v>
      </c>
      <c r="G1944" s="1551" t="n">
        <f aca="false">'Смета Внутр'!H1944</f>
        <v>0</v>
      </c>
      <c r="I1944" s="3179" t="n">
        <f aca="false">IF(F1944&lt;H1944,F1944*(D1944-E1944),0)+IF(H1944=0,(D1944-E1944)*F1944,0)+IF(H1944&lt;F1944,H1944*(D1944-E1944),0)</f>
        <v>100</v>
      </c>
      <c r="J1944" s="3179" t="n">
        <f aca="false">G1944-I1944</f>
        <v>-100</v>
      </c>
    </row>
    <row r="1945" customFormat="false" ht="15" hidden="false" customHeight="true" outlineLevel="0" collapsed="false">
      <c r="B1945" s="1551" t="str">
        <f aca="false">'Смета Внутр'!B1945</f>
        <v>уголок 90 град</v>
      </c>
      <c r="C1945" s="1551" t="str">
        <f aca="false">'Смета Внутр'!C1945</f>
        <v>шт</v>
      </c>
      <c r="D1945" s="1551" t="n">
        <f aca="false">'Смета Внутр'!D1945</f>
        <v>15</v>
      </c>
      <c r="F1945" s="1551" t="n">
        <f aca="false">'Смета Внутр'!E1945</f>
        <v>10</v>
      </c>
      <c r="G1945" s="1551" t="n">
        <f aca="false">'Смета Внутр'!H1945</f>
        <v>0</v>
      </c>
      <c r="I1945" s="3179" t="n">
        <f aca="false">IF(F1945&lt;H1945,F1945*(D1945-E1945),0)+IF(H1945=0,(D1945-E1945)*F1945,0)+IF(H1945&lt;F1945,H1945*(D1945-E1945),0)</f>
        <v>150</v>
      </c>
      <c r="J1945" s="3179" t="n">
        <f aca="false">G1945-I1945</f>
        <v>-150</v>
      </c>
    </row>
    <row r="1946" customFormat="false" ht="15" hidden="false" customHeight="true" outlineLevel="0" collapsed="false">
      <c r="B1946" s="1692" t="s">
        <v>4332</v>
      </c>
      <c r="C1946" s="1692"/>
      <c r="D1946" s="1692"/>
      <c r="E1946" s="1692"/>
      <c r="F1946" s="1692"/>
      <c r="G1946" s="1551" t="n">
        <f aca="false">'Смета Внутр'!H1946</f>
        <v>0</v>
      </c>
      <c r="H1946" s="3184"/>
      <c r="I1946" s="3179" t="n">
        <f aca="false">IF(F1946&lt;H1946,F1946*(D1946-E1946),0)+IF(H1946=0,(D1946-E1946)*F1946,0)+IF(H1946&lt;F1946,H1946*(D1946-E1946),0)</f>
        <v>0</v>
      </c>
      <c r="J1946" s="3179" t="n">
        <f aca="false">G1946-I1946</f>
        <v>0</v>
      </c>
    </row>
    <row r="1947" customFormat="false" ht="15" hidden="false" customHeight="true" outlineLevel="0" collapsed="false">
      <c r="B1947" s="1268" t="str">
        <f aca="false">'Смета Внутр'!B1947</f>
        <v>Работы</v>
      </c>
      <c r="C1947" s="1268"/>
      <c r="D1947" s="1268"/>
      <c r="E1947" s="1268"/>
      <c r="F1947" s="1268"/>
      <c r="G1947" s="1551" t="n">
        <f aca="false">'Смета Внутр'!H1947</f>
        <v>0</v>
      </c>
      <c r="H1947" s="3175"/>
      <c r="I1947" s="3179" t="n">
        <f aca="false">IF(F1947&lt;H1947,F1947*(D1947-E1947),0)+IF(H1947=0,(D1947-E1947)*F1947,0)+IF(H1947&lt;F1947,H1947*(D1947-E1947),0)</f>
        <v>0</v>
      </c>
      <c r="J1947" s="3179" t="n">
        <f aca="false">G1947-I1947</f>
        <v>0</v>
      </c>
    </row>
    <row r="1948" customFormat="false" ht="15" hidden="false" customHeight="true" outlineLevel="0" collapsed="false">
      <c r="B1948" s="1551" t="str">
        <f aca="false">'Смета Внутр'!B1948</f>
        <v>монтаж трубы</v>
      </c>
      <c r="C1948" s="1551" t="str">
        <f aca="false">'Смета Внутр'!C1948</f>
        <v>м.п.</v>
      </c>
      <c r="D1948" s="1551" t="n">
        <f aca="false">'Смета Внутр'!D1948</f>
        <v>240.08</v>
      </c>
      <c r="F1948" s="1551" t="n">
        <f aca="false">'Смета Внутр'!E1948</f>
        <v>200</v>
      </c>
      <c r="G1948" s="1551" t="n">
        <f aca="false">'Смета Внутр'!H1948</f>
        <v>0</v>
      </c>
      <c r="I1948" s="3179" t="n">
        <f aca="false">IF(F1948&lt;H1948,F1948*(D1948-E1948),0)+IF(H1948=0,(D1948-E1948)*F1948,0)+IF(H1948&lt;F1948,H1948*(D1948-E1948),0)</f>
        <v>48016</v>
      </c>
      <c r="J1948" s="3179" t="n">
        <f aca="false">G1948-I1948</f>
        <v>-48016</v>
      </c>
    </row>
    <row r="1949" customFormat="false" ht="15" hidden="false" customHeight="true" outlineLevel="0" collapsed="false">
      <c r="B1949" s="1551" t="str">
        <f aca="false">'Смета Внутр'!B1949</f>
        <v>установка радиаторов</v>
      </c>
      <c r="C1949" s="1551" t="str">
        <f aca="false">'Смета Внутр'!C1949</f>
        <v>шт</v>
      </c>
      <c r="D1949" s="1551" t="n">
        <f aca="false">'Смета Внутр'!D1949</f>
        <v>5</v>
      </c>
      <c r="F1949" s="1551" t="n">
        <f aca="false">'Смета Внутр'!E1949</f>
        <v>1000</v>
      </c>
      <c r="G1949" s="1551" t="n">
        <f aca="false">'Смета Внутр'!H1949</f>
        <v>0</v>
      </c>
      <c r="I1949" s="3179" t="n">
        <f aca="false">IF(F1949&lt;H1949,F1949*(D1949-E1949),0)+IF(H1949=0,(D1949-E1949)*F1949,0)+IF(H1949&lt;F1949,H1949*(D1949-E1949),0)</f>
        <v>5000</v>
      </c>
      <c r="J1949" s="3179" t="n">
        <f aca="false">G1949-I1949</f>
        <v>-5000</v>
      </c>
    </row>
    <row r="1950" customFormat="false" ht="15" hidden="false" customHeight="true" outlineLevel="0" collapsed="false">
      <c r="B1950" s="1551" t="str">
        <f aca="false">'Смета Внутр'!B1950</f>
        <v>монтаж трубы</v>
      </c>
      <c r="C1950" s="1551" t="str">
        <f aca="false">'Смета Внутр'!C1950</f>
        <v>м.п.</v>
      </c>
      <c r="D1950" s="1551" t="n">
        <f aca="false">'Смета Внутр'!D1950</f>
        <v>30</v>
      </c>
      <c r="F1950" s="1551" t="n">
        <f aca="false">'Смета Внутр'!E1950</f>
        <v>200</v>
      </c>
      <c r="G1950" s="1551" t="n">
        <f aca="false">'Смета Внутр'!H1950</f>
        <v>0</v>
      </c>
      <c r="I1950" s="3179" t="n">
        <f aca="false">IF(F1950&lt;H1950,F1950*(D1950-E1950),0)+IF(H1950=0,(D1950-E1950)*F1950,0)+IF(H1950&lt;F1950,H1950*(D1950-E1950),0)</f>
        <v>6000</v>
      </c>
      <c r="J1950" s="3179" t="n">
        <f aca="false">G1950-I1950</f>
        <v>-6000</v>
      </c>
    </row>
    <row r="1951" customFormat="false" ht="15" hidden="false" customHeight="false" outlineLevel="0" collapsed="false">
      <c r="B1951" s="1692" t="s">
        <v>4333</v>
      </c>
      <c r="C1951" s="1692"/>
      <c r="D1951" s="1692"/>
      <c r="E1951" s="1692"/>
      <c r="F1951" s="1692"/>
      <c r="G1951" s="1551" t="n">
        <f aca="false">'Смета Внутр'!H1951</f>
        <v>0</v>
      </c>
      <c r="H1951" s="1584"/>
      <c r="I1951" s="3179" t="n">
        <f aca="false">IF(F1951&lt;H1951,F1951*(D1951-E1951),0)+IF(H1951=0,(D1951-E1951)*F1951,0)+IF(H1951&lt;F1951,H1951*(D1951-E1951),0)</f>
        <v>0</v>
      </c>
      <c r="J1951" s="3179" t="n">
        <f aca="false">G1951-I1951</f>
        <v>0</v>
      </c>
    </row>
    <row r="1952" customFormat="false" ht="15" hidden="false" customHeight="true" outlineLevel="0" collapsed="false">
      <c r="B1952" s="1551" t="str">
        <f aca="false">'Смета Внутр'!B1952</f>
        <v>Скважина</v>
      </c>
      <c r="C1952" s="1551" t="n">
        <f aca="false">'Смета Внутр'!C1952</f>
        <v>0</v>
      </c>
      <c r="D1952" s="1551" t="n">
        <f aca="false">'Смета Внутр'!D1952</f>
        <v>0</v>
      </c>
      <c r="F1952" s="1551" t="n">
        <f aca="false">'Смета Внутр'!E1952</f>
        <v>0</v>
      </c>
      <c r="G1952" s="1551" t="n">
        <f aca="false">'Смета Внутр'!H1952</f>
        <v>0</v>
      </c>
      <c r="I1952" s="3179" t="n">
        <f aca="false">IF(F1952&lt;H1952,F1952*(D1952-E1952),0)+IF(H1952=0,(D1952-E1952)*F1952,0)+IF(H1952&lt;F1952,H1952*(D1952-E1952),0)</f>
        <v>0</v>
      </c>
      <c r="J1952" s="3179" t="n">
        <f aca="false">G1952-I1952</f>
        <v>0</v>
      </c>
    </row>
    <row r="1953" customFormat="false" ht="15" hidden="false" customHeight="true" outlineLevel="0" collapsed="false">
      <c r="B1953" s="1268" t="str">
        <f aca="false">'Смета Внутр'!B1953</f>
        <v>Материалы</v>
      </c>
      <c r="C1953" s="1268"/>
      <c r="D1953" s="1268"/>
      <c r="E1953" s="1268"/>
      <c r="F1953" s="1268"/>
      <c r="G1953" s="1551" t="n">
        <f aca="false">'Смета Внутр'!H1953</f>
        <v>0</v>
      </c>
      <c r="H1953" s="3175"/>
      <c r="I1953" s="3179" t="n">
        <f aca="false">IF(F1953&lt;H1953,F1953*(D1953-E1953),0)+IF(H1953=0,(D1953-E1953)*F1953,0)+IF(H1953&lt;F1953,H1953*(D1953-E1953),0)</f>
        <v>0</v>
      </c>
      <c r="J1953" s="3179" t="n">
        <f aca="false">G1953-I1953</f>
        <v>0</v>
      </c>
    </row>
    <row r="1954" customFormat="false" ht="15" hidden="false" customHeight="true" outlineLevel="0" collapsed="false">
      <c r="B1954" s="1551" t="str">
        <f aca="false">'Смета Внутр'!B1954</f>
        <v>насос малыш</v>
      </c>
      <c r="C1954" s="1551" t="str">
        <f aca="false">'Смета Внутр'!C1954</f>
        <v>шт</v>
      </c>
      <c r="D1954" s="1551" t="n">
        <f aca="false">'Смета Внутр'!D1954</f>
        <v>1</v>
      </c>
      <c r="F1954" s="1551" t="n">
        <f aca="false">'Смета Внутр'!E1954</f>
        <v>2500</v>
      </c>
      <c r="G1954" s="1551" t="n">
        <f aca="false">'Смета Внутр'!H1954</f>
        <v>0</v>
      </c>
      <c r="I1954" s="3179" t="n">
        <f aca="false">IF(F1954&lt;H1954,F1954*(D1954-E1954),0)+IF(H1954=0,(D1954-E1954)*F1954,0)+IF(H1954&lt;F1954,H1954*(D1954-E1954),0)</f>
        <v>2500</v>
      </c>
      <c r="J1954" s="3179" t="n">
        <f aca="false">G1954-I1954</f>
        <v>-2500</v>
      </c>
    </row>
    <row r="1955" customFormat="false" ht="15" hidden="false" customHeight="true" outlineLevel="0" collapsed="false">
      <c r="B1955" s="1551" t="str">
        <f aca="false">'Смета Внутр'!B1955</f>
        <v>шланг для насоса</v>
      </c>
      <c r="C1955" s="1551" t="str">
        <f aca="false">'Смета Внутр'!C1955</f>
        <v>м.п.</v>
      </c>
      <c r="D1955" s="1551" t="n">
        <f aca="false">'Смета Внутр'!D1955</f>
        <v>50.4</v>
      </c>
      <c r="F1955" s="1551" t="n">
        <f aca="false">'Смета Внутр'!E1955</f>
        <v>19</v>
      </c>
      <c r="G1955" s="1551" t="n">
        <f aca="false">'Смета Внутр'!H1955</f>
        <v>0</v>
      </c>
      <c r="I1955" s="3179" t="n">
        <f aca="false">IF(F1955&lt;H1955,F1955*(D1955-E1955),0)+IF(H1955=0,(D1955-E1955)*F1955,0)+IF(H1955&lt;F1955,H1955*(D1955-E1955),0)</f>
        <v>957.6</v>
      </c>
      <c r="J1955" s="3179" t="n">
        <f aca="false">G1955-I1955</f>
        <v>-957.6</v>
      </c>
    </row>
    <row r="1956" customFormat="false" ht="15" hidden="false" customHeight="true" outlineLevel="0" collapsed="false">
      <c r="B1956" s="1551" t="str">
        <f aca="false">'Смета Внутр'!B1956</f>
        <v>тросик для насоса</v>
      </c>
      <c r="C1956" s="1551" t="str">
        <f aca="false">'Смета Внутр'!C1956</f>
        <v>м.п.</v>
      </c>
      <c r="D1956" s="1551" t="n">
        <f aca="false">'Смета Внутр'!D1956</f>
        <v>50.4</v>
      </c>
      <c r="F1956" s="1551" t="n">
        <f aca="false">'Смета Внутр'!E1956</f>
        <v>5</v>
      </c>
      <c r="G1956" s="1551" t="n">
        <f aca="false">'Смета Внутр'!H1956</f>
        <v>0</v>
      </c>
      <c r="I1956" s="3179" t="n">
        <f aca="false">IF(F1956&lt;H1956,F1956*(D1956-E1956),0)+IF(H1956=0,(D1956-E1956)*F1956,0)+IF(H1956&lt;F1956,H1956*(D1956-E1956),0)</f>
        <v>252</v>
      </c>
      <c r="J1956" s="3179" t="n">
        <f aca="false">G1956-I1956</f>
        <v>-252</v>
      </c>
    </row>
    <row r="1957" customFormat="false" ht="15" hidden="false" customHeight="true" outlineLevel="0" collapsed="false">
      <c r="B1957" s="1551" t="str">
        <f aca="false">'Смета Внутр'!B1957</f>
        <v>изолента</v>
      </c>
      <c r="C1957" s="1551" t="str">
        <f aca="false">'Смета Внутр'!C1957</f>
        <v>рул</v>
      </c>
      <c r="D1957" s="1551" t="n">
        <f aca="false">'Смета Внутр'!D1957</f>
        <v>1</v>
      </c>
      <c r="F1957" s="1551" t="n">
        <f aca="false">'Смета Внутр'!E1957</f>
        <v>100</v>
      </c>
      <c r="G1957" s="1551" t="n">
        <f aca="false">'Смета Внутр'!H1957</f>
        <v>0</v>
      </c>
      <c r="I1957" s="3179" t="n">
        <f aca="false">IF(F1957&lt;H1957,F1957*(D1957-E1957),0)+IF(H1957=0,(D1957-E1957)*F1957,0)+IF(H1957&lt;F1957,H1957*(D1957-E1957),0)</f>
        <v>100</v>
      </c>
      <c r="J1957" s="3179" t="n">
        <f aca="false">G1957-I1957</f>
        <v>-100</v>
      </c>
    </row>
    <row r="1958" customFormat="false" ht="15" hidden="false" customHeight="true" outlineLevel="0" collapsed="false">
      <c r="B1958" s="1551" t="str">
        <f aca="false">'Смета Внутр'!B1958</f>
        <v>гидроаккумулятор, 80л</v>
      </c>
      <c r="C1958" s="1551" t="str">
        <f aca="false">'Смета Внутр'!C1958</f>
        <v>шт</v>
      </c>
      <c r="D1958" s="1551" t="n">
        <f aca="false">'Смета Внутр'!D1958</f>
        <v>1</v>
      </c>
      <c r="F1958" s="1551" t="n">
        <f aca="false">'Смета Внутр'!E1958</f>
        <v>8000</v>
      </c>
      <c r="G1958" s="1551" t="n">
        <f aca="false">'Смета Внутр'!H1958</f>
        <v>0</v>
      </c>
      <c r="I1958" s="3179" t="n">
        <f aca="false">IF(F1958&lt;H1958,F1958*(D1958-E1958),0)+IF(H1958=0,(D1958-E1958)*F1958,0)+IF(H1958&lt;F1958,H1958*(D1958-E1958),0)</f>
        <v>8000</v>
      </c>
      <c r="J1958" s="3179" t="n">
        <f aca="false">G1958-I1958</f>
        <v>-8000</v>
      </c>
    </row>
    <row r="1959" customFormat="false" ht="15" hidden="false" customHeight="true" outlineLevel="0" collapsed="false">
      <c r="B1959" s="1551" t="str">
        <f aca="false">'Смета Внутр'!B1959</f>
        <v>автоматика</v>
      </c>
      <c r="C1959" s="1551" t="str">
        <f aca="false">'Смета Внутр'!C1959</f>
        <v>шт</v>
      </c>
      <c r="D1959" s="1551" t="n">
        <f aca="false">'Смета Внутр'!D1959</f>
        <v>1</v>
      </c>
      <c r="F1959" s="1551" t="n">
        <f aca="false">'Смета Внутр'!E1959</f>
        <v>10000</v>
      </c>
      <c r="G1959" s="1551" t="n">
        <f aca="false">'Смета Внутр'!H1959</f>
        <v>0</v>
      </c>
      <c r="I1959" s="3179" t="n">
        <f aca="false">IF(F1959&lt;H1959,F1959*(D1959-E1959),0)+IF(H1959=0,(D1959-E1959)*F1959,0)+IF(H1959&lt;F1959,H1959*(D1959-E1959),0)</f>
        <v>10000</v>
      </c>
      <c r="J1959" s="3179" t="n">
        <f aca="false">G1959-I1959</f>
        <v>-10000</v>
      </c>
    </row>
    <row r="1960" customFormat="false" ht="15" hidden="false" customHeight="true" outlineLevel="0" collapsed="false">
      <c r="B1960" s="1551" t="str">
        <f aca="false">'Смета Внутр'!B1960</f>
        <v>пнд труба</v>
      </c>
      <c r="C1960" s="1551" t="str">
        <f aca="false">'Смета Внутр'!C1960</f>
        <v>м.п.</v>
      </c>
      <c r="D1960" s="1551" t="n">
        <f aca="false">'Смета Внутр'!D1960</f>
        <v>50.4</v>
      </c>
      <c r="F1960" s="1551" t="n">
        <f aca="false">'Смета Внутр'!E1960</f>
        <v>35</v>
      </c>
      <c r="G1960" s="1551" t="n">
        <f aca="false">'Смета Внутр'!H1960</f>
        <v>0</v>
      </c>
      <c r="I1960" s="3179" t="n">
        <f aca="false">IF(F1960&lt;H1960,F1960*(D1960-E1960),0)+IF(H1960=0,(D1960-E1960)*F1960,0)+IF(H1960&lt;F1960,H1960*(D1960-E1960),0)</f>
        <v>1764</v>
      </c>
      <c r="J1960" s="3179" t="n">
        <f aca="false">G1960-I1960</f>
        <v>-1764</v>
      </c>
    </row>
    <row r="1961" customFormat="false" ht="15" hidden="false" customHeight="true" outlineLevel="0" collapsed="false">
      <c r="B1961" s="1551" t="str">
        <f aca="false">'Смета Внутр'!B1961</f>
        <v>скорлупа утепления двойная</v>
      </c>
      <c r="C1961" s="1551" t="str">
        <f aca="false">'Смета Внутр'!C1961</f>
        <v>м.п.</v>
      </c>
      <c r="D1961" s="1551" t="n">
        <f aca="false">'Смета Внутр'!D1961</f>
        <v>10</v>
      </c>
      <c r="F1961" s="1551" t="n">
        <f aca="false">'Смета Внутр'!E1961</f>
        <v>500</v>
      </c>
      <c r="G1961" s="1551" t="n">
        <f aca="false">'Смета Внутр'!H1961</f>
        <v>0</v>
      </c>
      <c r="I1961" s="3179" t="n">
        <f aca="false">IF(F1961&lt;H1961,F1961*(D1961-E1961),0)+IF(H1961=0,(D1961-E1961)*F1961,0)+IF(H1961&lt;F1961,H1961*(D1961-E1961),0)</f>
        <v>5000</v>
      </c>
      <c r="J1961" s="3179" t="n">
        <f aca="false">G1961-I1961</f>
        <v>-5000</v>
      </c>
    </row>
    <row r="1962" customFormat="false" ht="15" hidden="false" customHeight="true" outlineLevel="0" collapsed="false">
      <c r="B1962" s="1551" t="str">
        <f aca="false">'Смета Внутр'!B1962</f>
        <v>скважинный адаптер</v>
      </c>
      <c r="C1962" s="1551" t="str">
        <f aca="false">'Смета Внутр'!C1962</f>
        <v>шт</v>
      </c>
      <c r="D1962" s="1551" t="n">
        <f aca="false">'Смета Внутр'!D1962</f>
        <v>1</v>
      </c>
      <c r="F1962" s="1551" t="n">
        <f aca="false">'Смета Внутр'!E1962</f>
        <v>3000</v>
      </c>
      <c r="G1962" s="1551" t="n">
        <f aca="false">'Смета Внутр'!H1962</f>
        <v>0</v>
      </c>
      <c r="I1962" s="3179" t="n">
        <f aca="false">IF(F1962&lt;H1962,F1962*(D1962-E1962),0)+IF(H1962=0,(D1962-E1962)*F1962,0)+IF(H1962&lt;F1962,H1962*(D1962-E1962),0)</f>
        <v>3000</v>
      </c>
      <c r="J1962" s="3179" t="n">
        <f aca="false">G1962-I1962</f>
        <v>-3000</v>
      </c>
    </row>
    <row r="1963" customFormat="false" ht="15" hidden="false" customHeight="true" outlineLevel="0" collapsed="false">
      <c r="B1963" s="1692" t="s">
        <v>4332</v>
      </c>
      <c r="C1963" s="1692"/>
      <c r="D1963" s="1692"/>
      <c r="E1963" s="1692"/>
      <c r="F1963" s="1692"/>
      <c r="G1963" s="1551" t="n">
        <f aca="false">'Смета Внутр'!H1963</f>
        <v>0</v>
      </c>
      <c r="H1963" s="3184"/>
      <c r="I1963" s="3179" t="n">
        <f aca="false">IF(F1963&lt;H1963,F1963*(D1963-E1963),0)+IF(H1963=0,(D1963-E1963)*F1963,0)+IF(H1963&lt;F1963,H1963*(D1963-E1963),0)</f>
        <v>0</v>
      </c>
      <c r="J1963" s="3179" t="n">
        <f aca="false">G1963-I1963</f>
        <v>0</v>
      </c>
    </row>
    <row r="1964" customFormat="false" ht="15" hidden="false" customHeight="true" outlineLevel="0" collapsed="false">
      <c r="B1964" s="1268" t="str">
        <f aca="false">'Смета Внутр'!B1964</f>
        <v>Работы</v>
      </c>
      <c r="C1964" s="1268"/>
      <c r="D1964" s="1268"/>
      <c r="E1964" s="1268"/>
      <c r="F1964" s="1268"/>
      <c r="G1964" s="1551" t="n">
        <f aca="false">'Смета Внутр'!H1964</f>
        <v>0</v>
      </c>
      <c r="H1964" s="3175"/>
      <c r="I1964" s="3179" t="n">
        <f aca="false">IF(F1964&lt;H1964,F1964*(D1964-E1964),0)+IF(H1964=0,(D1964-E1964)*F1964,0)+IF(H1964&lt;F1964,H1964*(D1964-E1964),0)</f>
        <v>0</v>
      </c>
      <c r="J1964" s="3179" t="n">
        <f aca="false">G1964-I1964</f>
        <v>0</v>
      </c>
    </row>
    <row r="1965" customFormat="false" ht="15" hidden="false" customHeight="true" outlineLevel="0" collapsed="false">
      <c r="B1965" s="1551" t="str">
        <f aca="false">'Смета Внутр'!B1965</f>
        <v>контроль за земляными </v>
      </c>
      <c r="C1965" s="1551" t="str">
        <f aca="false">'Смета Внутр'!C1965</f>
        <v>шт</v>
      </c>
      <c r="D1965" s="1551" t="n">
        <f aca="false">'Смета Внутр'!D1965</f>
        <v>1</v>
      </c>
      <c r="F1965" s="1551" t="n">
        <f aca="false">'Смета Внутр'!E1965</f>
        <v>1500</v>
      </c>
      <c r="G1965" s="1551" t="n">
        <f aca="false">'Смета Внутр'!H1965</f>
        <v>0</v>
      </c>
      <c r="I1965" s="3179" t="n">
        <f aca="false">IF(F1965&lt;H1965,F1965*(D1965-E1965),0)+IF(H1965=0,(D1965-E1965)*F1965,0)+IF(H1965&lt;F1965,H1965*(D1965-E1965),0)</f>
        <v>1500</v>
      </c>
      <c r="J1965" s="3179" t="n">
        <f aca="false">G1965-I1965</f>
        <v>-1500</v>
      </c>
    </row>
    <row r="1966" customFormat="false" ht="15" hidden="false" customHeight="true" outlineLevel="0" collapsed="false">
      <c r="B1966" s="1551" t="str">
        <f aca="false">'Смета Внутр'!B1966</f>
        <v>контроль за бурением</v>
      </c>
      <c r="C1966" s="1551" t="str">
        <f aca="false">'Смета Внутр'!C1966</f>
        <v>шт</v>
      </c>
      <c r="D1966" s="1551" t="n">
        <f aca="false">'Смета Внутр'!D1966</f>
        <v>1</v>
      </c>
      <c r="F1966" s="1551" t="n">
        <f aca="false">'Смета Внутр'!E1966</f>
        <v>1500</v>
      </c>
      <c r="G1966" s="1551" t="n">
        <f aca="false">'Смета Внутр'!H1966</f>
        <v>0</v>
      </c>
      <c r="I1966" s="3179" t="n">
        <f aca="false">IF(F1966&lt;H1966,F1966*(D1966-E1966),0)+IF(H1966=0,(D1966-E1966)*F1966,0)+IF(H1966&lt;F1966,H1966*(D1966-E1966),0)</f>
        <v>1500</v>
      </c>
      <c r="J1966" s="3179" t="n">
        <f aca="false">G1966-I1966</f>
        <v>-1500</v>
      </c>
    </row>
    <row r="1967" customFormat="false" ht="15" hidden="false" customHeight="true" outlineLevel="0" collapsed="false">
      <c r="B1967" s="1551" t="str">
        <f aca="false">'Смета Внутр'!B1967</f>
        <v>установка скваж адап</v>
      </c>
      <c r="C1967" s="1551" t="str">
        <f aca="false">'Смета Внутр'!C1967</f>
        <v>шт</v>
      </c>
      <c r="D1967" s="1551" t="n">
        <f aca="false">'Смета Внутр'!D1967</f>
        <v>1</v>
      </c>
      <c r="F1967" s="1551" t="n">
        <f aca="false">'Смета Внутр'!E1967</f>
        <v>3000</v>
      </c>
      <c r="G1967" s="1551" t="n">
        <f aca="false">'Смета Внутр'!H1967</f>
        <v>0</v>
      </c>
      <c r="I1967" s="3179" t="n">
        <f aca="false">IF(F1967&lt;H1967,F1967*(D1967-E1967),0)+IF(H1967=0,(D1967-E1967)*F1967,0)+IF(H1967&lt;F1967,H1967*(D1967-E1967),0)</f>
        <v>3000</v>
      </c>
      <c r="J1967" s="3179" t="n">
        <f aca="false">G1967-I1967</f>
        <v>-3000</v>
      </c>
    </row>
    <row r="1968" customFormat="false" ht="15" hidden="false" customHeight="true" outlineLevel="0" collapsed="false">
      <c r="B1968" s="1551" t="str">
        <f aca="false">'Смета Внутр'!B1968</f>
        <v>установка гидроаккум</v>
      </c>
      <c r="C1968" s="1551" t="str">
        <f aca="false">'Смета Внутр'!C1968</f>
        <v>шт</v>
      </c>
      <c r="D1968" s="1551" t="n">
        <f aca="false">'Смета Внутр'!D1968</f>
        <v>1</v>
      </c>
      <c r="F1968" s="1551" t="n">
        <f aca="false">'Смета Внутр'!E1968</f>
        <v>2500</v>
      </c>
      <c r="G1968" s="1551" t="n">
        <f aca="false">'Смета Внутр'!H1968</f>
        <v>0</v>
      </c>
      <c r="I1968" s="3179" t="n">
        <f aca="false">IF(F1968&lt;H1968,F1968*(D1968-E1968),0)+IF(H1968=0,(D1968-E1968)*F1968,0)+IF(H1968&lt;F1968,H1968*(D1968-E1968),0)</f>
        <v>2500</v>
      </c>
      <c r="J1968" s="3179" t="n">
        <f aca="false">G1968-I1968</f>
        <v>-2500</v>
      </c>
    </row>
    <row r="1969" customFormat="false" ht="15" hidden="false" customHeight="true" outlineLevel="0" collapsed="false">
      <c r="B1969" s="1551" t="str">
        <f aca="false">'Смета Внутр'!B1969</f>
        <v>монтаж автоматики</v>
      </c>
      <c r="C1969" s="1551" t="str">
        <f aca="false">'Смета Внутр'!C1969</f>
        <v>шт</v>
      </c>
      <c r="D1969" s="1551" t="n">
        <f aca="false">'Смета Внутр'!D1969</f>
        <v>1</v>
      </c>
      <c r="F1969" s="1551" t="n">
        <f aca="false">'Смета Внутр'!E1969</f>
        <v>4000</v>
      </c>
      <c r="G1969" s="1551" t="n">
        <f aca="false">'Смета Внутр'!H1969</f>
        <v>0</v>
      </c>
      <c r="I1969" s="3179" t="n">
        <f aca="false">IF(F1969&lt;H1969,F1969*(D1969-E1969),0)+IF(H1969=0,(D1969-E1969)*F1969,0)+IF(H1969&lt;F1969,H1969*(D1969-E1969),0)</f>
        <v>4000</v>
      </c>
      <c r="J1969" s="3179" t="n">
        <f aca="false">G1969-I1969</f>
        <v>-4000</v>
      </c>
    </row>
    <row r="1970" customFormat="false" ht="15" hidden="false" customHeight="true" outlineLevel="0" collapsed="false">
      <c r="B1970" s="1551" t="str">
        <f aca="false">'Смета Внутр'!B1970</f>
        <v>прокладка пнд с утепл</v>
      </c>
      <c r="C1970" s="1551" t="str">
        <f aca="false">'Смета Внутр'!C1970</f>
        <v>м.п.</v>
      </c>
      <c r="D1970" s="1551" t="n">
        <f aca="false">'Смета Внутр'!D1970</f>
        <v>10</v>
      </c>
      <c r="F1970" s="1551" t="n">
        <f aca="false">'Смета Внутр'!E1970</f>
        <v>500</v>
      </c>
      <c r="G1970" s="1551" t="n">
        <f aca="false">'Смета Внутр'!H1970</f>
        <v>0</v>
      </c>
      <c r="I1970" s="3179" t="n">
        <f aca="false">IF(F1970&lt;H1970,F1970*(D1970-E1970),0)+IF(H1970=0,(D1970-E1970)*F1970,0)+IF(H1970&lt;F1970,H1970*(D1970-E1970),0)</f>
        <v>5000</v>
      </c>
      <c r="J1970" s="3179" t="n">
        <f aca="false">G1970-I1970</f>
        <v>-5000</v>
      </c>
    </row>
    <row r="1971" customFormat="false" ht="15" hidden="false" customHeight="false" outlineLevel="0" collapsed="false">
      <c r="B1971" s="1692" t="s">
        <v>4333</v>
      </c>
      <c r="C1971" s="1692"/>
      <c r="D1971" s="1692"/>
      <c r="E1971" s="1692"/>
      <c r="F1971" s="1692"/>
      <c r="G1971" s="1551" t="n">
        <f aca="false">'Смета Внутр'!H1971</f>
        <v>0</v>
      </c>
      <c r="H1971" s="1584"/>
      <c r="I1971" s="3179" t="n">
        <f aca="false">IF(F1971&lt;H1971,F1971*(D1971-E1971),0)+IF(H1971=0,(D1971-E1971)*F1971,0)+IF(H1971&lt;F1971,H1971*(D1971-E1971),0)</f>
        <v>0</v>
      </c>
      <c r="J1971" s="3179" t="n">
        <f aca="false">G1971-I1971</f>
        <v>0</v>
      </c>
    </row>
    <row r="1972" customFormat="false" ht="15" hidden="false" customHeight="true" outlineLevel="0" collapsed="false">
      <c r="B1972" s="1551" t="str">
        <f aca="false">'Смета Внутр'!B1972</f>
        <v>Септик с утепленной канализацией</v>
      </c>
      <c r="C1972" s="1551" t="n">
        <f aca="false">'Смета Внутр'!C1972</f>
        <v>0</v>
      </c>
      <c r="D1972" s="1551" t="n">
        <f aca="false">'Смета Внутр'!D1972</f>
        <v>0</v>
      </c>
      <c r="F1972" s="1551" t="n">
        <f aca="false">'Смета Внутр'!E1972</f>
        <v>0</v>
      </c>
      <c r="G1972" s="1551" t="n">
        <f aca="false">'Смета Внутр'!H1972</f>
        <v>0</v>
      </c>
      <c r="I1972" s="3179" t="n">
        <f aca="false">IF(F1972&lt;H1972,F1972*(D1972-E1972),0)+IF(H1972=0,(D1972-E1972)*F1972,0)+IF(H1972&lt;F1972,H1972*(D1972-E1972),0)</f>
        <v>0</v>
      </c>
      <c r="J1972" s="3179" t="n">
        <f aca="false">G1972-I1972</f>
        <v>0</v>
      </c>
    </row>
    <row r="1973" customFormat="false" ht="15" hidden="false" customHeight="true" outlineLevel="0" collapsed="false">
      <c r="B1973" s="1268" t="str">
        <f aca="false">'Смета Внутр'!B1973</f>
        <v>Материалы</v>
      </c>
      <c r="C1973" s="1268"/>
      <c r="D1973" s="1268"/>
      <c r="E1973" s="1268"/>
      <c r="F1973" s="1268"/>
      <c r="G1973" s="1551" t="n">
        <f aca="false">'Смета Внутр'!H1973</f>
        <v>0</v>
      </c>
      <c r="H1973" s="3175"/>
      <c r="I1973" s="3179" t="n">
        <f aca="false">IF(F1973&lt;H1973,F1973*(D1973-E1973),0)+IF(H1973=0,(D1973-E1973)*F1973,0)+IF(H1973&lt;F1973,H1973*(D1973-E1973),0)</f>
        <v>0</v>
      </c>
      <c r="J1973" s="3179" t="n">
        <f aca="false">G1973-I1973</f>
        <v>0</v>
      </c>
    </row>
    <row r="1974" customFormat="false" ht="15" hidden="false" customHeight="true" outlineLevel="0" collapsed="false">
      <c r="B1974" s="1551" t="str">
        <f aca="false">'Смета Внутр'!B1974</f>
        <v>дно бетонное, диаметр 1,5м.п.</v>
      </c>
      <c r="C1974" s="1551" t="str">
        <f aca="false">'Смета Внутр'!C1974</f>
        <v>шт</v>
      </c>
      <c r="D1974" s="1551" t="n">
        <f aca="false">'Смета Внутр'!D1974</f>
        <v>1</v>
      </c>
      <c r="F1974" s="1551" t="n">
        <f aca="false">'Смета Внутр'!E1974</f>
        <v>2000</v>
      </c>
      <c r="G1974" s="1551" t="n">
        <f aca="false">'Смета Внутр'!H1974</f>
        <v>0</v>
      </c>
      <c r="I1974" s="3179" t="n">
        <f aca="false">IF(F1974&lt;H1974,F1974*(D1974-E1974),0)+IF(H1974=0,(D1974-E1974)*F1974,0)+IF(H1974&lt;F1974,H1974*(D1974-E1974),0)</f>
        <v>2000</v>
      </c>
      <c r="J1974" s="3179" t="n">
        <f aca="false">G1974-I1974</f>
        <v>-2000</v>
      </c>
    </row>
    <row r="1975" customFormat="false" ht="15" hidden="false" customHeight="true" outlineLevel="0" collapsed="false">
      <c r="B1975" s="1551" t="str">
        <f aca="false">'Смета Внутр'!B1975</f>
        <v>кольцо бетонное, диаметр 1,5м.п.</v>
      </c>
      <c r="C1975" s="1551" t="str">
        <f aca="false">'Смета Внутр'!C1975</f>
        <v>шт</v>
      </c>
      <c r="D1975" s="1551" t="n">
        <f aca="false">'Смета Внутр'!D1975</f>
        <v>3</v>
      </c>
      <c r="F1975" s="1551" t="n">
        <f aca="false">'Смета Внутр'!E1975</f>
        <v>2800</v>
      </c>
      <c r="G1975" s="1551" t="n">
        <f aca="false">'Смета Внутр'!H1975</f>
        <v>0</v>
      </c>
      <c r="I1975" s="3179" t="n">
        <f aca="false">IF(F1975&lt;H1975,F1975*(D1975-E1975),0)+IF(H1975=0,(D1975-E1975)*F1975,0)+IF(H1975&lt;F1975,H1975*(D1975-E1975),0)</f>
        <v>8400</v>
      </c>
      <c r="J1975" s="3179" t="n">
        <f aca="false">G1975-I1975</f>
        <v>-8400</v>
      </c>
    </row>
    <row r="1976" customFormat="false" ht="15" hidden="false" customHeight="true" outlineLevel="0" collapsed="false">
      <c r="B1976" s="1551" t="str">
        <f aca="false">'Смета Внутр'!B1976</f>
        <v>крышка бетонная, диаметр 1,5м.п.</v>
      </c>
      <c r="C1976" s="1551" t="str">
        <f aca="false">'Смета Внутр'!C1976</f>
        <v>шт</v>
      </c>
      <c r="D1976" s="1551" t="n">
        <f aca="false">'Смета Внутр'!D1976</f>
        <v>1</v>
      </c>
      <c r="F1976" s="1551" t="n">
        <f aca="false">'Смета Внутр'!E1976</f>
        <v>4000</v>
      </c>
      <c r="G1976" s="1551" t="n">
        <f aca="false">'Смета Внутр'!H1976</f>
        <v>0</v>
      </c>
      <c r="I1976" s="3179" t="n">
        <f aca="false">IF(F1976&lt;H1976,F1976*(D1976-E1976),0)+IF(H1976=0,(D1976-E1976)*F1976,0)+IF(H1976&lt;F1976,H1976*(D1976-E1976),0)</f>
        <v>4000</v>
      </c>
      <c r="J1976" s="3179" t="n">
        <f aca="false">G1976-I1976</f>
        <v>-4000</v>
      </c>
    </row>
    <row r="1977" customFormat="false" ht="15" hidden="false" customHeight="true" outlineLevel="0" collapsed="false">
      <c r="B1977" s="1551" t="str">
        <f aca="false">'Смета Внутр'!B1977</f>
        <v>Нет люка для крышки</v>
      </c>
      <c r="C1977" s="1551" t="str">
        <f aca="false">'Смета Внутр'!C1977</f>
        <v>шт</v>
      </c>
      <c r="D1977" s="1551" t="n">
        <f aca="false">'Смета Внутр'!D1977</f>
        <v>0</v>
      </c>
      <c r="F1977" s="1551" t="n">
        <f aca="false">'Смета Внутр'!E1977</f>
        <v>0</v>
      </c>
      <c r="G1977" s="1551" t="n">
        <f aca="false">'Смета Внутр'!H1977</f>
        <v>0</v>
      </c>
      <c r="I1977" s="3179" t="n">
        <f aca="false">IF(F1977&lt;H1977,F1977*(D1977-E1977),0)+IF(H1977=0,(D1977-E1977)*F1977,0)+IF(H1977&lt;F1977,H1977*(D1977-E1977),0)</f>
        <v>0</v>
      </c>
      <c r="J1977" s="3179" t="n">
        <f aca="false">G1977-I1977</f>
        <v>0</v>
      </c>
    </row>
    <row r="1978" customFormat="false" ht="15" hidden="false" customHeight="true" outlineLevel="0" collapsed="false">
      <c r="B1978" s="1551" t="str">
        <f aca="false">'Смета Внутр'!B1978</f>
        <v>Горловина для септика бетонная</v>
      </c>
      <c r="C1978" s="1551" t="str">
        <f aca="false">'Смета Внутр'!C1978</f>
        <v>шт</v>
      </c>
      <c r="D1978" s="1551" t="n">
        <f aca="false">'Смета Внутр'!D1978</f>
        <v>1</v>
      </c>
      <c r="F1978" s="1551" t="n">
        <f aca="false">'Смета Внутр'!E1978</f>
        <v>1000</v>
      </c>
      <c r="G1978" s="1551" t="n">
        <f aca="false">'Смета Внутр'!H1978</f>
        <v>0</v>
      </c>
      <c r="I1978" s="3179" t="n">
        <f aca="false">IF(F1978&lt;H1978,F1978*(D1978-E1978),0)+IF(H1978=0,(D1978-E1978)*F1978,0)+IF(H1978&lt;F1978,H1978*(D1978-E1978),0)</f>
        <v>1000</v>
      </c>
      <c r="J1978" s="3179" t="n">
        <f aca="false">G1978-I1978</f>
        <v>-1000</v>
      </c>
    </row>
    <row r="1979" customFormat="false" ht="15" hidden="false" customHeight="true" outlineLevel="0" collapsed="false">
      <c r="B1979" s="1551" t="str">
        <f aca="false">'Смета Внутр'!B1979</f>
        <v>Труба канализационная D110</v>
      </c>
      <c r="C1979" s="1551" t="str">
        <f aca="false">'Смета Внутр'!C1979</f>
        <v>м.п.</v>
      </c>
      <c r="D1979" s="1551" t="n">
        <f aca="false">'Смета Внутр'!D1979</f>
        <v>10</v>
      </c>
      <c r="F1979" s="1551" t="n">
        <f aca="false">'Смета Внутр'!E1979</f>
        <v>70</v>
      </c>
      <c r="G1979" s="1551" t="n">
        <f aca="false">'Смета Внутр'!H1979</f>
        <v>0</v>
      </c>
      <c r="I1979" s="3179" t="n">
        <f aca="false">IF(F1979&lt;H1979,F1979*(D1979-E1979),0)+IF(H1979=0,(D1979-E1979)*F1979,0)+IF(H1979&lt;F1979,H1979*(D1979-E1979),0)</f>
        <v>700</v>
      </c>
      <c r="J1979" s="3179" t="n">
        <f aca="false">G1979-I1979</f>
        <v>-700</v>
      </c>
    </row>
    <row r="1980" customFormat="false" ht="15" hidden="false" customHeight="true" outlineLevel="0" collapsed="false">
      <c r="B1980" s="1551" t="str">
        <f aca="false">'Смета Внутр'!B1980</f>
        <v>утепление для канализационной трубы</v>
      </c>
      <c r="C1980" s="1551" t="str">
        <f aca="false">'Смета Внутр'!C1980</f>
        <v>м.п.</v>
      </c>
      <c r="D1980" s="1551" t="n">
        <f aca="false">'Смета Внутр'!D1980</f>
        <v>8</v>
      </c>
      <c r="F1980" s="1551" t="n">
        <f aca="false">'Смета Внутр'!E1980</f>
        <v>300</v>
      </c>
      <c r="G1980" s="1551" t="n">
        <f aca="false">'Смета Внутр'!H1980</f>
        <v>0</v>
      </c>
      <c r="I1980" s="3179" t="n">
        <f aca="false">IF(F1980&lt;H1980,F1980*(D1980-E1980),0)+IF(H1980=0,(D1980-E1980)*F1980,0)+IF(H1980&lt;F1980,H1980*(D1980-E1980),0)</f>
        <v>2400</v>
      </c>
      <c r="J1980" s="3179" t="n">
        <f aca="false">G1980-I1980</f>
        <v>-2400</v>
      </c>
    </row>
    <row r="1981" customFormat="false" ht="15" hidden="false" customHeight="true" outlineLevel="0" collapsed="false">
      <c r="B1981" s="1551" t="str">
        <f aca="false">'Смета Внутр'!B1981</f>
        <v>раствор для бетонирования</v>
      </c>
      <c r="C1981" s="1551" t="str">
        <f aca="false">'Смета Внутр'!C1981</f>
        <v>шт</v>
      </c>
      <c r="D1981" s="1551" t="n">
        <f aca="false">'Смета Внутр'!D1981</f>
        <v>3</v>
      </c>
      <c r="F1981" s="1551" t="n">
        <f aca="false">'Смета Внутр'!E1981</f>
        <v>100</v>
      </c>
      <c r="G1981" s="1551" t="n">
        <f aca="false">'Смета Внутр'!H1981</f>
        <v>0</v>
      </c>
      <c r="I1981" s="3179" t="n">
        <f aca="false">IF(F1981&lt;H1981,F1981*(D1981-E1981),0)+IF(H1981=0,(D1981-E1981)*F1981,0)+IF(H1981&lt;F1981,H1981*(D1981-E1981),0)</f>
        <v>300</v>
      </c>
      <c r="J1981" s="3179" t="n">
        <f aca="false">G1981-I1981</f>
        <v>-300</v>
      </c>
    </row>
    <row r="1982" customFormat="false" ht="15" hidden="false" customHeight="true" outlineLevel="0" collapsed="false">
      <c r="B1982" s="1551" t="str">
        <f aca="false">'Смета Внутр'!B1982</f>
        <v>скотч для скорлупы утепления</v>
      </c>
      <c r="C1982" s="1551" t="str">
        <f aca="false">'Смета Внутр'!C1982</f>
        <v>шт</v>
      </c>
      <c r="D1982" s="1551" t="n">
        <f aca="false">'Смета Внутр'!D1982</f>
        <v>3</v>
      </c>
      <c r="F1982" s="1551" t="n">
        <f aca="false">'Смета Внутр'!E1982</f>
        <v>100</v>
      </c>
      <c r="G1982" s="1551" t="n">
        <f aca="false">'Смета Внутр'!H1982</f>
        <v>0</v>
      </c>
      <c r="I1982" s="3179" t="n">
        <f aca="false">IF(F1982&lt;H1982,F1982*(D1982-E1982),0)+IF(H1982=0,(D1982-E1982)*F1982,0)+IF(H1982&lt;F1982,H1982*(D1982-E1982),0)</f>
        <v>300</v>
      </c>
      <c r="J1982" s="3179" t="n">
        <f aca="false">G1982-I1982</f>
        <v>-300</v>
      </c>
    </row>
    <row r="1983" customFormat="false" ht="15" hidden="false" customHeight="true" outlineLevel="0" collapsed="false">
      <c r="B1983" s="1551" t="str">
        <f aca="false">'Смета Внутр'!B1983</f>
        <v>дно бетонное, диаметр 2м.п.</v>
      </c>
      <c r="C1983" s="1551" t="str">
        <f aca="false">'Смета Внутр'!C1983</f>
        <v>шт</v>
      </c>
      <c r="D1983" s="1551" t="n">
        <f aca="false">'Смета Внутр'!D1983</f>
        <v>1</v>
      </c>
      <c r="F1983" s="1551" t="n">
        <f aca="false">'Смета Внутр'!E1983</f>
        <v>2000</v>
      </c>
      <c r="G1983" s="1551" t="n">
        <f aca="false">'Смета Внутр'!H1983</f>
        <v>0</v>
      </c>
      <c r="I1983" s="3179" t="n">
        <f aca="false">IF(F1983&lt;H1983,F1983*(D1983-E1983),0)+IF(H1983=0,(D1983-E1983)*F1983,0)+IF(H1983&lt;F1983,H1983*(D1983-E1983),0)</f>
        <v>2000</v>
      </c>
      <c r="J1983" s="3179" t="n">
        <f aca="false">G1983-I1983</f>
        <v>-2000</v>
      </c>
    </row>
    <row r="1984" customFormat="false" ht="15" hidden="false" customHeight="true" outlineLevel="0" collapsed="false">
      <c r="B1984" s="1551" t="str">
        <f aca="false">'Смета Внутр'!B1984</f>
        <v>кольцо бетонное, диаметр 2м.п.</v>
      </c>
      <c r="C1984" s="1551" t="str">
        <f aca="false">'Смета Внутр'!C1984</f>
        <v>шт</v>
      </c>
      <c r="D1984" s="1551" t="n">
        <f aca="false">'Смета Внутр'!D1984</f>
        <v>3</v>
      </c>
      <c r="F1984" s="1551" t="n">
        <f aca="false">'Смета Внутр'!E1984</f>
        <v>3300</v>
      </c>
      <c r="G1984" s="1551" t="n">
        <f aca="false">'Смета Внутр'!H1984</f>
        <v>0</v>
      </c>
      <c r="I1984" s="3179" t="n">
        <f aca="false">IF(F1984&lt;H1984,F1984*(D1984-E1984),0)+IF(H1984=0,(D1984-E1984)*F1984,0)+IF(H1984&lt;F1984,H1984*(D1984-E1984),0)</f>
        <v>9900</v>
      </c>
      <c r="J1984" s="3179" t="n">
        <f aca="false">G1984-I1984</f>
        <v>-9900</v>
      </c>
    </row>
    <row r="1985" customFormat="false" ht="15" hidden="false" customHeight="true" outlineLevel="0" collapsed="false">
      <c r="B1985" s="1551" t="str">
        <f aca="false">'Смета Внутр'!B1985</f>
        <v>крышка бетонная, диаметр 2м.п.</v>
      </c>
      <c r="C1985" s="1551" t="str">
        <f aca="false">'Смета Внутр'!C1985</f>
        <v>шт</v>
      </c>
      <c r="D1985" s="1551" t="n">
        <f aca="false">'Смета Внутр'!D1985</f>
        <v>1</v>
      </c>
      <c r="F1985" s="1551" t="n">
        <f aca="false">'Смета Внутр'!E1985</f>
        <v>4000</v>
      </c>
      <c r="G1985" s="1551" t="n">
        <f aca="false">'Смета Внутр'!H1985</f>
        <v>0</v>
      </c>
      <c r="I1985" s="3179" t="n">
        <f aca="false">IF(F1985&lt;H1985,F1985*(D1985-E1985),0)+IF(H1985=0,(D1985-E1985)*F1985,0)+IF(H1985&lt;F1985,H1985*(D1985-E1985),0)</f>
        <v>4000</v>
      </c>
      <c r="J1985" s="3179" t="n">
        <f aca="false">G1985-I1985</f>
        <v>-4000</v>
      </c>
    </row>
    <row r="1986" customFormat="false" ht="15" hidden="false" customHeight="true" outlineLevel="0" collapsed="false">
      <c r="B1986" s="1551" t="str">
        <f aca="false">'Смета Внутр'!B1986</f>
        <v>Нет люка для крышки</v>
      </c>
      <c r="C1986" s="1551" t="str">
        <f aca="false">'Смета Внутр'!C1986</f>
        <v>шт</v>
      </c>
      <c r="D1986" s="1551" t="n">
        <f aca="false">'Смета Внутр'!D1986</f>
        <v>0</v>
      </c>
      <c r="F1986" s="1551" t="n">
        <f aca="false">'Смета Внутр'!E1986</f>
        <v>0</v>
      </c>
      <c r="G1986" s="1551" t="n">
        <f aca="false">'Смета Внутр'!H1986</f>
        <v>0</v>
      </c>
      <c r="I1986" s="3179" t="n">
        <f aca="false">IF(F1986&lt;H1986,F1986*(D1986-E1986),0)+IF(H1986=0,(D1986-E1986)*F1986,0)+IF(H1986&lt;F1986,H1986*(D1986-E1986),0)</f>
        <v>0</v>
      </c>
      <c r="J1986" s="3179" t="n">
        <f aca="false">G1986-I1986</f>
        <v>0</v>
      </c>
    </row>
    <row r="1987" customFormat="false" ht="15" hidden="false" customHeight="true" outlineLevel="0" collapsed="false">
      <c r="B1987" s="1692" t="s">
        <v>4332</v>
      </c>
      <c r="C1987" s="1692"/>
      <c r="D1987" s="1692"/>
      <c r="E1987" s="1692"/>
      <c r="F1987" s="1692"/>
      <c r="G1987" s="1551" t="n">
        <f aca="false">'Смета Внутр'!H1987</f>
        <v>0</v>
      </c>
      <c r="H1987" s="3184"/>
      <c r="I1987" s="3179" t="n">
        <f aca="false">IF(F1987&lt;H1987,F1987*(D1987-E1987),0)+IF(H1987=0,(D1987-E1987)*F1987,0)+IF(H1987&lt;F1987,H1987*(D1987-E1987),0)</f>
        <v>0</v>
      </c>
      <c r="J1987" s="3179" t="n">
        <f aca="false">G1987-I1987</f>
        <v>0</v>
      </c>
    </row>
    <row r="1988" customFormat="false" ht="15" hidden="false" customHeight="true" outlineLevel="0" collapsed="false">
      <c r="B1988" s="1268" t="str">
        <f aca="false">'Смета Внутр'!B1988</f>
        <v>Работы</v>
      </c>
      <c r="C1988" s="1268"/>
      <c r="D1988" s="1268"/>
      <c r="E1988" s="1268"/>
      <c r="F1988" s="1268"/>
      <c r="G1988" s="1551" t="n">
        <f aca="false">'Смета Внутр'!H1988</f>
        <v>0</v>
      </c>
      <c r="H1988" s="3175"/>
      <c r="I1988" s="3179" t="n">
        <f aca="false">IF(F1988&lt;H1988,F1988*(D1988-E1988),0)+IF(H1988=0,(D1988-E1988)*F1988,0)+IF(H1988&lt;F1988,H1988*(D1988-E1988),0)</f>
        <v>0</v>
      </c>
      <c r="J1988" s="3179" t="n">
        <f aca="false">G1988-I1988</f>
        <v>0</v>
      </c>
    </row>
    <row r="1989" customFormat="false" ht="15" hidden="false" customHeight="true" outlineLevel="0" collapsed="false">
      <c r="B1989" s="1551" t="str">
        <f aca="false">'Смета Внутр'!B1989</f>
        <v>монтаж дна</v>
      </c>
      <c r="C1989" s="1551" t="str">
        <f aca="false">'Смета Внутр'!C1989</f>
        <v>шт</v>
      </c>
      <c r="D1989" s="1551" t="n">
        <f aca="false">'Смета Внутр'!D1989</f>
        <v>2</v>
      </c>
      <c r="F1989" s="1551" t="n">
        <f aca="false">'Смета Внутр'!E1989</f>
        <v>1000</v>
      </c>
      <c r="G1989" s="1551" t="n">
        <f aca="false">'Смета Внутр'!H1989</f>
        <v>0</v>
      </c>
      <c r="I1989" s="3179" t="n">
        <f aca="false">IF(F1989&lt;H1989,F1989*(D1989-E1989),0)+IF(H1989=0,(D1989-E1989)*F1989,0)+IF(H1989&lt;F1989,H1989*(D1989-E1989),0)</f>
        <v>2000</v>
      </c>
      <c r="J1989" s="3179" t="n">
        <f aca="false">G1989-I1989</f>
        <v>-2000</v>
      </c>
    </row>
    <row r="1990" customFormat="false" ht="15" hidden="false" customHeight="true" outlineLevel="0" collapsed="false">
      <c r="B1990" s="1551" t="str">
        <f aca="false">'Смета Внутр'!B1990</f>
        <v>монтаж колец</v>
      </c>
      <c r="C1990" s="1551" t="str">
        <f aca="false">'Смета Внутр'!C1990</f>
        <v>шт</v>
      </c>
      <c r="D1990" s="1551" t="n">
        <f aca="false">'Смета Внутр'!D1990</f>
        <v>6</v>
      </c>
      <c r="F1990" s="1551" t="n">
        <f aca="false">'Смета Внутр'!E1990</f>
        <v>1000</v>
      </c>
      <c r="G1990" s="1551" t="n">
        <f aca="false">'Смета Внутр'!H1990</f>
        <v>0</v>
      </c>
      <c r="I1990" s="3179" t="n">
        <f aca="false">IF(F1990&lt;H1990,F1990*(D1990-E1990),0)+IF(H1990=0,(D1990-E1990)*F1990,0)+IF(H1990&lt;F1990,H1990*(D1990-E1990),0)</f>
        <v>6000</v>
      </c>
      <c r="J1990" s="3179" t="n">
        <f aca="false">G1990-I1990</f>
        <v>-6000</v>
      </c>
    </row>
    <row r="1991" customFormat="false" ht="15" hidden="false" customHeight="true" outlineLevel="0" collapsed="false">
      <c r="B1991" s="1551" t="str">
        <f aca="false">'Смета Внутр'!B1991</f>
        <v>монтаж крышки</v>
      </c>
      <c r="C1991" s="1551" t="str">
        <f aca="false">'Смета Внутр'!C1991</f>
        <v>шт</v>
      </c>
      <c r="D1991" s="1551" t="n">
        <f aca="false">'Смета Внутр'!D1991</f>
        <v>2</v>
      </c>
      <c r="F1991" s="1551" t="n">
        <f aca="false">'Смета Внутр'!E1991</f>
        <v>1000</v>
      </c>
      <c r="G1991" s="1551" t="n">
        <f aca="false">'Смета Внутр'!H1991</f>
        <v>0</v>
      </c>
      <c r="I1991" s="3179" t="n">
        <f aca="false">IF(F1991&lt;H1991,F1991*(D1991-E1991),0)+IF(H1991=0,(D1991-E1991)*F1991,0)+IF(H1991&lt;F1991,H1991*(D1991-E1991),0)</f>
        <v>2000</v>
      </c>
      <c r="J1991" s="3179" t="n">
        <f aca="false">G1991-I1991</f>
        <v>-2000</v>
      </c>
    </row>
    <row r="1992" customFormat="false" ht="15" hidden="false" customHeight="true" outlineLevel="0" collapsed="false">
      <c r="B1992" s="1551" t="str">
        <f aca="false">'Смета Внутр'!B1992</f>
        <v>монтаж люка</v>
      </c>
      <c r="C1992" s="1551" t="str">
        <f aca="false">'Смета Внутр'!C1992</f>
        <v>шт</v>
      </c>
      <c r="D1992" s="1551" t="n">
        <f aca="false">'Смета Внутр'!D1992</f>
        <v>0</v>
      </c>
      <c r="F1992" s="1551" t="n">
        <f aca="false">'Смета Внутр'!E1992</f>
        <v>1000</v>
      </c>
      <c r="G1992" s="1551" t="n">
        <f aca="false">'Смета Внутр'!H1992</f>
        <v>0</v>
      </c>
      <c r="I1992" s="3179" t="n">
        <f aca="false">IF(F1992&lt;H1992,F1992*(D1992-E1992),0)+IF(H1992=0,(D1992-E1992)*F1992,0)+IF(H1992&lt;F1992,H1992*(D1992-E1992),0)</f>
        <v>0</v>
      </c>
      <c r="J1992" s="3179" t="n">
        <f aca="false">G1992-I1992</f>
        <v>0</v>
      </c>
    </row>
    <row r="1993" customFormat="false" ht="15" hidden="false" customHeight="true" outlineLevel="0" collapsed="false">
      <c r="B1993" s="1551" t="str">
        <f aca="false">'Смета Внутр'!B1993</f>
        <v>монтаж горловины</v>
      </c>
      <c r="C1993" s="1551" t="str">
        <f aca="false">'Смета Внутр'!C1993</f>
        <v>м.п.</v>
      </c>
      <c r="D1993" s="1551" t="n">
        <f aca="false">'Смета Внутр'!D1993</f>
        <v>1</v>
      </c>
      <c r="F1993" s="1551" t="n">
        <f aca="false">'Смета Внутр'!E1993</f>
        <v>800</v>
      </c>
      <c r="G1993" s="1551" t="n">
        <f aca="false">'Смета Внутр'!H1993</f>
        <v>0</v>
      </c>
      <c r="I1993" s="3179" t="n">
        <f aca="false">IF(F1993&lt;H1993,F1993*(D1993-E1993),0)+IF(H1993=0,(D1993-E1993)*F1993,0)+IF(H1993&lt;F1993,H1993*(D1993-E1993),0)</f>
        <v>800</v>
      </c>
      <c r="J1993" s="3179" t="n">
        <f aca="false">G1993-I1993</f>
        <v>-800</v>
      </c>
    </row>
    <row r="1994" customFormat="false" ht="15" hidden="false" customHeight="true" outlineLevel="0" collapsed="false">
      <c r="B1994" s="1551" t="str">
        <f aca="false">'Смета Внутр'!B1994</f>
        <v>м/ж ут-ной канал</v>
      </c>
      <c r="C1994" s="1551" t="str">
        <f aca="false">'Смета Внутр'!C1994</f>
        <v>шт</v>
      </c>
      <c r="D1994" s="1551" t="n">
        <f aca="false">'Смета Внутр'!D1994</f>
        <v>10</v>
      </c>
      <c r="F1994" s="1551" t="n">
        <f aca="false">'Смета Внутр'!E1994</f>
        <v>500</v>
      </c>
      <c r="G1994" s="1551" t="n">
        <f aca="false">'Смета Внутр'!H1994</f>
        <v>0</v>
      </c>
      <c r="I1994" s="3179" t="n">
        <f aca="false">IF(F1994&lt;H1994,F1994*(D1994-E1994),0)+IF(H1994=0,(D1994-E1994)*F1994,0)+IF(H1994&lt;F1994,H1994*(D1994-E1994),0)</f>
        <v>5000</v>
      </c>
      <c r="J1994" s="3179" t="n">
        <f aca="false">G1994-I1994</f>
        <v>-5000</v>
      </c>
    </row>
    <row r="1995" customFormat="false" ht="15" hidden="false" customHeight="true" outlineLevel="0" collapsed="false">
      <c r="B1995" s="1551" t="str">
        <f aca="false">'Смета Внутр'!B1995</f>
        <v>бетонирование</v>
      </c>
      <c r="C1995" s="1551" t="str">
        <f aca="false">'Смета Внутр'!C1995</f>
        <v>шт</v>
      </c>
      <c r="D1995" s="1551" t="n">
        <f aca="false">'Смета Внутр'!D1995</f>
        <v>1</v>
      </c>
      <c r="F1995" s="1551" t="n">
        <f aca="false">'Смета Внутр'!E1995</f>
        <v>2500</v>
      </c>
      <c r="G1995" s="1551" t="n">
        <f aca="false">'Смета Внутр'!H1995</f>
        <v>0</v>
      </c>
      <c r="I1995" s="3179" t="n">
        <f aca="false">IF(F1995&lt;H1995,F1995*(D1995-E1995),0)+IF(H1995=0,(D1995-E1995)*F1995,0)+IF(H1995&lt;F1995,H1995*(D1995-E1995),0)</f>
        <v>2500</v>
      </c>
      <c r="J1995" s="3179" t="n">
        <f aca="false">G1995-I1995</f>
        <v>-2500</v>
      </c>
    </row>
    <row r="1996" customFormat="false" ht="15" hidden="false" customHeight="false" outlineLevel="0" collapsed="false">
      <c r="B1996" s="1692" t="s">
        <v>4333</v>
      </c>
      <c r="C1996" s="1692"/>
      <c r="D1996" s="1692"/>
      <c r="E1996" s="1692"/>
      <c r="F1996" s="1692"/>
      <c r="G1996" s="1551" t="n">
        <f aca="false">'Смета Внутр'!H1996</f>
        <v>0</v>
      </c>
      <c r="H1996" s="1584"/>
      <c r="I1996" s="3179" t="n">
        <f aca="false">IF(F1996&lt;H1996,F1996*(D1996-E1996),0)+IF(H1996=0,(D1996-E1996)*F1996,0)+IF(H1996&lt;F1996,H1996*(D1996-E1996),0)</f>
        <v>0</v>
      </c>
      <c r="J1996" s="3179" t="n">
        <f aca="false">G1996-I1996</f>
        <v>0</v>
      </c>
    </row>
    <row r="1997" customFormat="false" ht="15" hidden="false" customHeight="true" outlineLevel="0" collapsed="false">
      <c r="B1997" s="1551" t="str">
        <f aca="false">'Смета Внутр'!B1997</f>
        <v>Котельная</v>
      </c>
      <c r="C1997" s="1551" t="n">
        <f aca="false">'Смета Внутр'!C1997</f>
        <v>0</v>
      </c>
      <c r="D1997" s="1551" t="n">
        <f aca="false">'Смета Внутр'!D1997</f>
        <v>0</v>
      </c>
      <c r="F1997" s="1551" t="n">
        <f aca="false">'Смета Внутр'!E1997</f>
        <v>0</v>
      </c>
      <c r="G1997" s="1551" t="n">
        <f aca="false">'Смета Внутр'!H1997</f>
        <v>0</v>
      </c>
      <c r="I1997" s="3179" t="n">
        <f aca="false">IF(F1997&lt;H1997,F1997*(D1997-E1997),0)+IF(H1997=0,(D1997-E1997)*F1997,0)+IF(H1997&lt;F1997,H1997*(D1997-E1997),0)</f>
        <v>0</v>
      </c>
      <c r="J1997" s="3179" t="n">
        <f aca="false">G1997-I1997</f>
        <v>0</v>
      </c>
    </row>
    <row r="1998" customFormat="false" ht="15" hidden="false" customHeight="true" outlineLevel="0" collapsed="false">
      <c r="B1998" s="1268" t="str">
        <f aca="false">'Смета Внутр'!B1998</f>
        <v>Материалы</v>
      </c>
      <c r="C1998" s="1268"/>
      <c r="D1998" s="1268"/>
      <c r="E1998" s="1268"/>
      <c r="F1998" s="1268"/>
      <c r="G1998" s="1551" t="n">
        <f aca="false">'Смета Внутр'!H1998</f>
        <v>0</v>
      </c>
      <c r="H1998" s="3175"/>
      <c r="I1998" s="3179" t="n">
        <f aca="false">IF(F1998&lt;H1998,F1998*(D1998-E1998),0)+IF(H1998=0,(D1998-E1998)*F1998,0)+IF(H1998&lt;F1998,H1998*(D1998-E1998),0)</f>
        <v>0</v>
      </c>
      <c r="J1998" s="3179" t="n">
        <f aca="false">G1998-I1998</f>
        <v>0</v>
      </c>
    </row>
    <row r="1999" customFormat="false" ht="15" hidden="false" customHeight="true" outlineLevel="0" collapsed="false">
      <c r="B1999" s="1551" t="str">
        <f aca="false">'Смета Внутр'!B1999</f>
        <v>котел</v>
      </c>
      <c r="C1999" s="1551" t="str">
        <f aca="false">'Смета Внутр'!C1999</f>
        <v>шт</v>
      </c>
      <c r="D1999" s="1551" t="n">
        <f aca="false">'Смета Внутр'!D1999</f>
        <v>1</v>
      </c>
      <c r="F1999" s="1551" t="n">
        <f aca="false">'Смета Внутр'!E1999</f>
        <v>30000</v>
      </c>
      <c r="G1999" s="1551" t="n">
        <f aca="false">'Смета Внутр'!H1999</f>
        <v>0</v>
      </c>
      <c r="I1999" s="3179" t="n">
        <f aca="false">IF(F1999&lt;H1999,F1999*(D1999-E1999),0)+IF(H1999=0,(D1999-E1999)*F1999,0)+IF(H1999&lt;F1999,H1999*(D1999-E1999),0)</f>
        <v>30000</v>
      </c>
      <c r="J1999" s="3179" t="n">
        <f aca="false">G1999-I1999</f>
        <v>-30000</v>
      </c>
    </row>
    <row r="2000" customFormat="false" ht="15" hidden="false" customHeight="true" outlineLevel="0" collapsed="false">
      <c r="B2000" s="1551" t="str">
        <f aca="false">'Смета Внутр'!B2000</f>
        <v>бойлер</v>
      </c>
      <c r="C2000" s="1551" t="str">
        <f aca="false">'Смета Внутр'!C2000</f>
        <v>шт</v>
      </c>
      <c r="D2000" s="1551" t="n">
        <f aca="false">'Смета Внутр'!D2000</f>
        <v>1</v>
      </c>
      <c r="F2000" s="1551" t="n">
        <f aca="false">'Смета Внутр'!E2000</f>
        <v>10000</v>
      </c>
      <c r="G2000" s="1551" t="n">
        <f aca="false">'Смета Внутр'!H2000</f>
        <v>0</v>
      </c>
      <c r="I2000" s="3179" t="n">
        <f aca="false">IF(F2000&lt;H2000,F2000*(D2000-E2000),0)+IF(H2000=0,(D2000-E2000)*F2000,0)+IF(H2000&lt;F2000,H2000*(D2000-E2000),0)</f>
        <v>10000</v>
      </c>
      <c r="J2000" s="3179" t="n">
        <f aca="false">G2000-I2000</f>
        <v>-10000</v>
      </c>
    </row>
    <row r="2001" customFormat="false" ht="15" hidden="false" customHeight="true" outlineLevel="0" collapsed="false">
      <c r="B2001" s="1551" t="str">
        <f aca="false">'Смета Внутр'!B2001</f>
        <v>гребенка</v>
      </c>
      <c r="C2001" s="1551" t="str">
        <f aca="false">'Смета Внутр'!C2001</f>
        <v>шт</v>
      </c>
      <c r="D2001" s="1551" t="n">
        <f aca="false">'Смета Внутр'!D2001</f>
        <v>1</v>
      </c>
      <c r="F2001" s="1551" t="n">
        <f aca="false">'Смета Внутр'!E2001</f>
        <v>5000</v>
      </c>
      <c r="G2001" s="1551" t="n">
        <f aca="false">'Смета Внутр'!H2001</f>
        <v>0</v>
      </c>
      <c r="I2001" s="3179" t="n">
        <f aca="false">IF(F2001&lt;H2001,F2001*(D2001-E2001),0)+IF(H2001=0,(D2001-E2001)*F2001,0)+IF(H2001&lt;F2001,H2001*(D2001-E2001),0)</f>
        <v>5000</v>
      </c>
      <c r="J2001" s="3179" t="n">
        <f aca="false">G2001-I2001</f>
        <v>-5000</v>
      </c>
    </row>
    <row r="2002" customFormat="false" ht="15" hidden="false" customHeight="true" outlineLevel="0" collapsed="false">
      <c r="B2002" s="1551" t="str">
        <f aca="false">'Смета Внутр'!B2002</f>
        <v>насос на отопление</v>
      </c>
      <c r="C2002" s="1551" t="str">
        <f aca="false">'Смета Внутр'!C2002</f>
        <v>шт</v>
      </c>
      <c r="D2002" s="1551" t="n">
        <f aca="false">'Смета Внутр'!D2002</f>
        <v>1</v>
      </c>
      <c r="F2002" s="1551" t="n">
        <f aca="false">'Смета Внутр'!E2002</f>
        <v>3500</v>
      </c>
      <c r="G2002" s="1551" t="n">
        <f aca="false">'Смета Внутр'!H2002</f>
        <v>0</v>
      </c>
      <c r="I2002" s="3179" t="n">
        <f aca="false">IF(F2002&lt;H2002,F2002*(D2002-E2002),0)+IF(H2002=0,(D2002-E2002)*F2002,0)+IF(H2002&lt;F2002,H2002*(D2002-E2002),0)</f>
        <v>3500</v>
      </c>
      <c r="J2002" s="3179" t="n">
        <f aca="false">G2002-I2002</f>
        <v>-3500</v>
      </c>
    </row>
    <row r="2003" customFormat="false" ht="15" hidden="false" customHeight="true" outlineLevel="0" collapsed="false">
      <c r="B2003" s="1551" t="str">
        <f aca="false">'Смета Внутр'!B2003</f>
        <v>насос на горячее водоснабжение</v>
      </c>
      <c r="C2003" s="1551" t="str">
        <f aca="false">'Смета Внутр'!C2003</f>
        <v>шт</v>
      </c>
      <c r="D2003" s="1551" t="n">
        <f aca="false">'Смета Внутр'!D2003</f>
        <v>1</v>
      </c>
      <c r="F2003" s="1551" t="n">
        <f aca="false">'Смета Внутр'!E2003</f>
        <v>2500</v>
      </c>
      <c r="G2003" s="1551" t="n">
        <f aca="false">'Смета Внутр'!H2003</f>
        <v>0</v>
      </c>
      <c r="I2003" s="3179" t="n">
        <f aca="false">IF(F2003&lt;H2003,F2003*(D2003-E2003),0)+IF(H2003=0,(D2003-E2003)*F2003,0)+IF(H2003&lt;F2003,H2003*(D2003-E2003),0)</f>
        <v>2500</v>
      </c>
      <c r="J2003" s="3179" t="n">
        <f aca="false">G2003-I2003</f>
        <v>-2500</v>
      </c>
    </row>
    <row r="2004" customFormat="false" ht="15" hidden="false" customHeight="true" outlineLevel="0" collapsed="false">
      <c r="B2004" s="1551" t="str">
        <f aca="false">'Смета Внутр'!B2004</f>
        <v>датчик давления</v>
      </c>
      <c r="C2004" s="1551" t="str">
        <f aca="false">'Смета Внутр'!C2004</f>
        <v>шт</v>
      </c>
      <c r="D2004" s="1551" t="n">
        <f aca="false">'Смета Внутр'!D2004</f>
        <v>2</v>
      </c>
      <c r="F2004" s="1551" t="n">
        <f aca="false">'Смета Внутр'!E2004</f>
        <v>700</v>
      </c>
      <c r="G2004" s="1551" t="n">
        <f aca="false">'Смета Внутр'!H2004</f>
        <v>0</v>
      </c>
      <c r="I2004" s="3179" t="n">
        <f aca="false">IF(F2004&lt;H2004,F2004*(D2004-E2004),0)+IF(H2004=0,(D2004-E2004)*F2004,0)+IF(H2004&lt;F2004,H2004*(D2004-E2004),0)</f>
        <v>1400</v>
      </c>
      <c r="J2004" s="3179" t="n">
        <f aca="false">G2004-I2004</f>
        <v>-1400</v>
      </c>
    </row>
    <row r="2005" customFormat="false" ht="15" hidden="false" customHeight="true" outlineLevel="0" collapsed="false">
      <c r="B2005" s="1551" t="str">
        <f aca="false">'Смета Внутр'!B2005</f>
        <v>сбросной клапан</v>
      </c>
      <c r="C2005" s="1551" t="str">
        <f aca="false">'Смета Внутр'!C2005</f>
        <v>шт</v>
      </c>
      <c r="D2005" s="1551" t="n">
        <f aca="false">'Смета Внутр'!D2005</f>
        <v>1</v>
      </c>
      <c r="F2005" s="1551" t="n">
        <f aca="false">'Смета Внутр'!E2005</f>
        <v>1500</v>
      </c>
      <c r="G2005" s="1551" t="n">
        <f aca="false">'Смета Внутр'!H2005</f>
        <v>0</v>
      </c>
      <c r="I2005" s="3179" t="n">
        <f aca="false">IF(F2005&lt;H2005,F2005*(D2005-E2005),0)+IF(H2005=0,(D2005-E2005)*F2005,0)+IF(H2005&lt;F2005,H2005*(D2005-E2005),0)</f>
        <v>1500</v>
      </c>
      <c r="J2005" s="3179" t="n">
        <f aca="false">G2005-I2005</f>
        <v>-1500</v>
      </c>
    </row>
    <row r="2006" customFormat="false" ht="15" hidden="false" customHeight="true" outlineLevel="0" collapsed="false">
      <c r="B2006" s="1551" t="str">
        <f aca="false">'Смета Внутр'!B2006</f>
        <v>труба, черная ду 32</v>
      </c>
      <c r="C2006" s="1551" t="str">
        <f aca="false">'Смета Внутр'!C2006</f>
        <v>м.п.</v>
      </c>
      <c r="D2006" s="1551" t="n">
        <f aca="false">'Смета Внутр'!D2006</f>
        <v>20</v>
      </c>
      <c r="F2006" s="1551" t="n">
        <f aca="false">'Смета Внутр'!E2006</f>
        <v>100</v>
      </c>
      <c r="G2006" s="1551" t="n">
        <f aca="false">'Смета Внутр'!H2006</f>
        <v>0</v>
      </c>
      <c r="I2006" s="3179" t="n">
        <f aca="false">IF(F2006&lt;H2006,F2006*(D2006-E2006),0)+IF(H2006=0,(D2006-E2006)*F2006,0)+IF(H2006&lt;F2006,H2006*(D2006-E2006),0)</f>
        <v>2000</v>
      </c>
      <c r="J2006" s="3179" t="n">
        <f aca="false">G2006-I2006</f>
        <v>-2000</v>
      </c>
    </row>
    <row r="2007" customFormat="false" ht="15" hidden="false" customHeight="true" outlineLevel="0" collapsed="false">
      <c r="B2007" s="1551" t="str">
        <f aca="false">'Смета Внутр'!B2007</f>
        <v>угол ду 32</v>
      </c>
      <c r="C2007" s="1551" t="str">
        <f aca="false">'Смета Внутр'!C2007</f>
        <v>шт</v>
      </c>
      <c r="D2007" s="1551" t="n">
        <f aca="false">'Смета Внутр'!D2007</f>
        <v>10</v>
      </c>
      <c r="F2007" s="1551" t="n">
        <f aca="false">'Смета Внутр'!E2007</f>
        <v>12</v>
      </c>
      <c r="G2007" s="1551" t="n">
        <f aca="false">'Смета Внутр'!H2007</f>
        <v>0</v>
      </c>
      <c r="I2007" s="3179" t="n">
        <f aca="false">IF(F2007&lt;H2007,F2007*(D2007-E2007),0)+IF(H2007=0,(D2007-E2007)*F2007,0)+IF(H2007&lt;F2007,H2007*(D2007-E2007),0)</f>
        <v>120</v>
      </c>
      <c r="J2007" s="3179" t="n">
        <f aca="false">G2007-I2007</f>
        <v>-120</v>
      </c>
    </row>
    <row r="2008" customFormat="false" ht="15" hidden="false" customHeight="true" outlineLevel="0" collapsed="false">
      <c r="B2008" s="1551" t="str">
        <f aca="false">'Смета Внутр'!B2008</f>
        <v>бочонок ду 32</v>
      </c>
      <c r="C2008" s="1551" t="str">
        <f aca="false">'Смета Внутр'!C2008</f>
        <v>шт</v>
      </c>
      <c r="D2008" s="1551" t="n">
        <f aca="false">'Смета Внутр'!D2008</f>
        <v>10</v>
      </c>
      <c r="F2008" s="1551" t="n">
        <f aca="false">'Смета Внутр'!E2008</f>
        <v>16</v>
      </c>
      <c r="G2008" s="1551" t="n">
        <f aca="false">'Смета Внутр'!H2008</f>
        <v>0</v>
      </c>
      <c r="I2008" s="3179" t="n">
        <f aca="false">IF(F2008&lt;H2008,F2008*(D2008-E2008),0)+IF(H2008=0,(D2008-E2008)*F2008,0)+IF(H2008&lt;F2008,H2008*(D2008-E2008),0)</f>
        <v>160</v>
      </c>
      <c r="J2008" s="3179" t="n">
        <f aca="false">G2008-I2008</f>
        <v>-160</v>
      </c>
    </row>
    <row r="2009" customFormat="false" ht="15" hidden="false" customHeight="true" outlineLevel="0" collapsed="false">
      <c r="B2009" s="1551" t="str">
        <f aca="false">'Смета Внутр'!B2009</f>
        <v>резьба ду 32</v>
      </c>
      <c r="C2009" s="1551" t="str">
        <f aca="false">'Смета Внутр'!C2009</f>
        <v>шт</v>
      </c>
      <c r="D2009" s="1551" t="n">
        <f aca="false">'Смета Внутр'!D2009</f>
        <v>10</v>
      </c>
      <c r="F2009" s="1551" t="n">
        <f aca="false">'Смета Внутр'!E2009</f>
        <v>12</v>
      </c>
      <c r="G2009" s="1551" t="n">
        <f aca="false">'Смета Внутр'!H2009</f>
        <v>0</v>
      </c>
      <c r="I2009" s="3179" t="n">
        <f aca="false">IF(F2009&lt;H2009,F2009*(D2009-E2009),0)+IF(H2009=0,(D2009-E2009)*F2009,0)+IF(H2009&lt;F2009,H2009*(D2009-E2009),0)</f>
        <v>120</v>
      </c>
      <c r="J2009" s="3179" t="n">
        <f aca="false">G2009-I2009</f>
        <v>-120</v>
      </c>
    </row>
    <row r="2010" customFormat="false" ht="15" hidden="false" customHeight="true" outlineLevel="0" collapsed="false">
      <c r="B2010" s="1551" t="str">
        <f aca="false">'Смета Внутр'!B2010</f>
        <v>переод с ду 32на 20</v>
      </c>
      <c r="C2010" s="1551" t="str">
        <f aca="false">'Смета Внутр'!C2010</f>
        <v>шт</v>
      </c>
      <c r="D2010" s="1551" t="n">
        <f aca="false">'Смета Внутр'!D2010</f>
        <v>5</v>
      </c>
      <c r="F2010" s="1551" t="n">
        <f aca="false">'Смета Внутр'!E2010</f>
        <v>16</v>
      </c>
      <c r="G2010" s="1551" t="n">
        <f aca="false">'Смета Внутр'!H2010</f>
        <v>0</v>
      </c>
      <c r="I2010" s="3179" t="n">
        <f aca="false">IF(F2010&lt;H2010,F2010*(D2010-E2010),0)+IF(H2010=0,(D2010-E2010)*F2010,0)+IF(H2010&lt;F2010,H2010*(D2010-E2010),0)</f>
        <v>80</v>
      </c>
      <c r="J2010" s="3179" t="n">
        <f aca="false">G2010-I2010</f>
        <v>-80</v>
      </c>
    </row>
    <row r="2011" customFormat="false" ht="15" hidden="false" customHeight="true" outlineLevel="0" collapsed="false">
      <c r="B2011" s="1551" t="str">
        <f aca="false">'Смета Внутр'!B2011</f>
        <v>электроды, пачка</v>
      </c>
      <c r="C2011" s="1551" t="str">
        <f aca="false">'Смета Внутр'!C2011</f>
        <v>шт</v>
      </c>
      <c r="D2011" s="1551" t="n">
        <f aca="false">'Смета Внутр'!D2011</f>
        <v>1</v>
      </c>
      <c r="F2011" s="1551" t="n">
        <f aca="false">'Смета Внутр'!E2011</f>
        <v>800</v>
      </c>
      <c r="G2011" s="1551" t="n">
        <f aca="false">'Смета Внутр'!H2011</f>
        <v>0</v>
      </c>
      <c r="I2011" s="3179" t="n">
        <f aca="false">IF(F2011&lt;H2011,F2011*(D2011-E2011),0)+IF(H2011=0,(D2011-E2011)*F2011,0)+IF(H2011&lt;F2011,H2011*(D2011-E2011),0)</f>
        <v>800</v>
      </c>
      <c r="J2011" s="3179" t="n">
        <f aca="false">G2011-I2011</f>
        <v>-800</v>
      </c>
    </row>
    <row r="2012" customFormat="false" ht="15" hidden="false" customHeight="true" outlineLevel="0" collapsed="false">
      <c r="B2012" s="1551" t="str">
        <f aca="false">'Смета Внутр'!B2012</f>
        <v>лен</v>
      </c>
      <c r="C2012" s="1551" t="str">
        <f aca="false">'Смета Внутр'!C2012</f>
        <v>рулон</v>
      </c>
      <c r="D2012" s="1551" t="n">
        <f aca="false">'Смета Внутр'!D2012</f>
        <v>1</v>
      </c>
      <c r="F2012" s="1551" t="n">
        <f aca="false">'Смета Внутр'!E2012</f>
        <v>200</v>
      </c>
      <c r="G2012" s="1551" t="n">
        <f aca="false">'Смета Внутр'!H2012</f>
        <v>0</v>
      </c>
      <c r="I2012" s="3179" t="n">
        <f aca="false">IF(F2012&lt;H2012,F2012*(D2012-E2012),0)+IF(H2012=0,(D2012-E2012)*F2012,0)+IF(H2012&lt;F2012,H2012*(D2012-E2012),0)</f>
        <v>200</v>
      </c>
      <c r="J2012" s="3179" t="n">
        <f aca="false">G2012-I2012</f>
        <v>-200</v>
      </c>
    </row>
    <row r="2013" customFormat="false" ht="15" hidden="false" customHeight="true" outlineLevel="0" collapsed="false">
      <c r="B2013" s="1692" t="s">
        <v>4332</v>
      </c>
      <c r="C2013" s="1692"/>
      <c r="D2013" s="1692"/>
      <c r="E2013" s="1692"/>
      <c r="F2013" s="1692"/>
      <c r="G2013" s="1551" t="n">
        <f aca="false">'Смета Внутр'!H2013</f>
        <v>0</v>
      </c>
      <c r="H2013" s="3184"/>
      <c r="I2013" s="3179" t="n">
        <f aca="false">IF(F2013&lt;H2013,F2013*(D2013-E2013),0)+IF(H2013=0,(D2013-E2013)*F2013,0)+IF(H2013&lt;F2013,H2013*(D2013-E2013),0)</f>
        <v>0</v>
      </c>
      <c r="J2013" s="3179" t="n">
        <f aca="false">G2013-I2013</f>
        <v>0</v>
      </c>
    </row>
    <row r="2014" customFormat="false" ht="15" hidden="false" customHeight="true" outlineLevel="0" collapsed="false">
      <c r="B2014" s="1268" t="str">
        <f aca="false">'Смета Внутр'!B2014</f>
        <v>Работы</v>
      </c>
      <c r="C2014" s="1268"/>
      <c r="D2014" s="1268"/>
      <c r="E2014" s="1268"/>
      <c r="F2014" s="1268"/>
      <c r="G2014" s="1551" t="n">
        <f aca="false">'Смета Внутр'!H2014</f>
        <v>0</v>
      </c>
      <c r="H2014" s="3175"/>
      <c r="I2014" s="3179" t="n">
        <f aca="false">IF(F2014&lt;H2014,F2014*(D2014-E2014),0)+IF(H2014=0,(D2014-E2014)*F2014,0)+IF(H2014&lt;F2014,H2014*(D2014-E2014),0)</f>
        <v>0</v>
      </c>
      <c r="J2014" s="3179" t="n">
        <f aca="false">G2014-I2014</f>
        <v>0</v>
      </c>
    </row>
    <row r="2015" customFormat="false" ht="15" hidden="false" customHeight="true" outlineLevel="0" collapsed="false">
      <c r="B2015" s="1551" t="str">
        <f aca="false">'Смета Внутр'!B2015</f>
        <v>котел установка</v>
      </c>
      <c r="C2015" s="1551" t="str">
        <f aca="false">'Смета Внутр'!C2015</f>
        <v>шт</v>
      </c>
      <c r="D2015" s="1551" t="n">
        <f aca="false">'Смета Внутр'!D2015</f>
        <v>1</v>
      </c>
      <c r="F2015" s="1551" t="n">
        <f aca="false">'Смета Внутр'!E2015</f>
        <v>3500</v>
      </c>
      <c r="G2015" s="1551" t="n">
        <f aca="false">'Смета Внутр'!H2015</f>
        <v>0</v>
      </c>
      <c r="I2015" s="3179" t="n">
        <f aca="false">IF(F2015&lt;H2015,F2015*(D2015-E2015),0)+IF(H2015=0,(D2015-E2015)*F2015,0)+IF(H2015&lt;F2015,H2015*(D2015-E2015),0)</f>
        <v>3500</v>
      </c>
      <c r="J2015" s="3179" t="n">
        <f aca="false">G2015-I2015</f>
        <v>-3500</v>
      </c>
    </row>
    <row r="2016" customFormat="false" ht="15" hidden="false" customHeight="true" outlineLevel="0" collapsed="false">
      <c r="B2016" s="1551" t="str">
        <f aca="false">'Смета Внутр'!B2016</f>
        <v>бойлер установка</v>
      </c>
      <c r="C2016" s="1551" t="str">
        <f aca="false">'Смета Внутр'!C2016</f>
        <v>шт</v>
      </c>
      <c r="D2016" s="1551" t="n">
        <f aca="false">'Смета Внутр'!D2016</f>
        <v>1</v>
      </c>
      <c r="F2016" s="1551" t="n">
        <f aca="false">'Смета Внутр'!E2016</f>
        <v>2500</v>
      </c>
      <c r="G2016" s="1551" t="n">
        <f aca="false">'Смета Внутр'!H2016</f>
        <v>0</v>
      </c>
      <c r="I2016" s="3179" t="n">
        <f aca="false">IF(F2016&lt;H2016,F2016*(D2016-E2016),0)+IF(H2016=0,(D2016-E2016)*F2016,0)+IF(H2016&lt;F2016,H2016*(D2016-E2016),0)</f>
        <v>2500</v>
      </c>
      <c r="J2016" s="3179" t="n">
        <f aca="false">G2016-I2016</f>
        <v>-2500</v>
      </c>
    </row>
    <row r="2017" customFormat="false" ht="15" hidden="false" customHeight="true" outlineLevel="0" collapsed="false">
      <c r="B2017" s="1551" t="str">
        <f aca="false">'Смета Внутр'!B2017</f>
        <v>гребенка установка</v>
      </c>
      <c r="C2017" s="1551" t="str">
        <f aca="false">'Смета Внутр'!C2017</f>
        <v>шт</v>
      </c>
      <c r="D2017" s="1551" t="n">
        <f aca="false">'Смета Внутр'!D2017</f>
        <v>1</v>
      </c>
      <c r="F2017" s="1551" t="n">
        <f aca="false">'Смета Внутр'!E2017</f>
        <v>2000</v>
      </c>
      <c r="G2017" s="1551" t="n">
        <f aca="false">'Смета Внутр'!H2017</f>
        <v>0</v>
      </c>
      <c r="I2017" s="3179" t="n">
        <f aca="false">IF(F2017&lt;H2017,F2017*(D2017-E2017),0)+IF(H2017=0,(D2017-E2017)*F2017,0)+IF(H2017&lt;F2017,H2017*(D2017-E2017),0)</f>
        <v>2000</v>
      </c>
      <c r="J2017" s="3179" t="n">
        <f aca="false">G2017-I2017</f>
        <v>-2000</v>
      </c>
    </row>
    <row r="2018" customFormat="false" ht="15" hidden="false" customHeight="true" outlineLevel="0" collapsed="false">
      <c r="B2018" s="1551" t="str">
        <f aca="false">'Смета Внутр'!B2018</f>
        <v>насос установка на отопл</v>
      </c>
      <c r="C2018" s="1551" t="str">
        <f aca="false">'Смета Внутр'!C2018</f>
        <v>шт</v>
      </c>
      <c r="D2018" s="1551" t="n">
        <f aca="false">'Смета Внутр'!D2018</f>
        <v>1</v>
      </c>
      <c r="F2018" s="1551" t="n">
        <f aca="false">'Смета Внутр'!E2018</f>
        <v>1000</v>
      </c>
      <c r="G2018" s="1551" t="n">
        <f aca="false">'Смета Внутр'!H2018</f>
        <v>0</v>
      </c>
      <c r="I2018" s="3179" t="n">
        <f aca="false">IF(F2018&lt;H2018,F2018*(D2018-E2018),0)+IF(H2018=0,(D2018-E2018)*F2018,0)+IF(H2018&lt;F2018,H2018*(D2018-E2018),0)</f>
        <v>1000</v>
      </c>
      <c r="J2018" s="3179" t="n">
        <f aca="false">G2018-I2018</f>
        <v>-1000</v>
      </c>
    </row>
    <row r="2019" customFormat="false" ht="15" hidden="false" customHeight="true" outlineLevel="0" collapsed="false">
      <c r="B2019" s="1551" t="str">
        <f aca="false">'Смета Внутр'!B2019</f>
        <v>насос установка на гвс</v>
      </c>
      <c r="C2019" s="1551" t="str">
        <f aca="false">'Смета Внутр'!C2019</f>
        <v>шт</v>
      </c>
      <c r="D2019" s="1551" t="n">
        <f aca="false">'Смета Внутр'!D2019</f>
        <v>1</v>
      </c>
      <c r="F2019" s="1551" t="n">
        <f aca="false">'Смета Внутр'!E2019</f>
        <v>1000</v>
      </c>
      <c r="G2019" s="1551" t="n">
        <f aca="false">'Смета Внутр'!H2019</f>
        <v>0</v>
      </c>
      <c r="I2019" s="3179" t="n">
        <f aca="false">IF(F2019&lt;H2019,F2019*(D2019-E2019),0)+IF(H2019=0,(D2019-E2019)*F2019,0)+IF(H2019&lt;F2019,H2019*(D2019-E2019),0)</f>
        <v>1000</v>
      </c>
      <c r="J2019" s="3179" t="n">
        <f aca="false">G2019-I2019</f>
        <v>-1000</v>
      </c>
    </row>
    <row r="2020" customFormat="false" ht="15" hidden="false" customHeight="true" outlineLevel="0" collapsed="false">
      <c r="B2020" s="1551" t="str">
        <f aca="false">'Смета Внутр'!B2020</f>
        <v>монтаж сбросного клапана</v>
      </c>
      <c r="C2020" s="1551" t="str">
        <f aca="false">'Смета Внутр'!C2020</f>
        <v>шт</v>
      </c>
      <c r="D2020" s="1551" t="n">
        <f aca="false">'Смета Внутр'!D2020</f>
        <v>1</v>
      </c>
      <c r="F2020" s="1551" t="n">
        <f aca="false">'Смета Внутр'!E2020</f>
        <v>900</v>
      </c>
      <c r="G2020" s="1551" t="n">
        <f aca="false">'Смета Внутр'!H2020</f>
        <v>0</v>
      </c>
      <c r="I2020" s="3179" t="n">
        <f aca="false">IF(F2020&lt;H2020,F2020*(D2020-E2020),0)+IF(H2020=0,(D2020-E2020)*F2020,0)+IF(H2020&lt;F2020,H2020*(D2020-E2020),0)</f>
        <v>900</v>
      </c>
      <c r="J2020" s="3179" t="n">
        <f aca="false">G2020-I2020</f>
        <v>-900</v>
      </c>
    </row>
    <row r="2021" customFormat="false" ht="15" hidden="false" customHeight="true" outlineLevel="0" collapsed="false">
      <c r="B2021" s="1551" t="str">
        <f aca="false">'Смета Внутр'!B2021</f>
        <v>монтаж датчика</v>
      </c>
      <c r="C2021" s="1551" t="str">
        <f aca="false">'Смета Внутр'!C2021</f>
        <v>шт</v>
      </c>
      <c r="D2021" s="1551" t="n">
        <f aca="false">'Смета Внутр'!D2021</f>
        <v>2</v>
      </c>
      <c r="F2021" s="1551" t="n">
        <f aca="false">'Смета Внутр'!E2021</f>
        <v>700</v>
      </c>
      <c r="G2021" s="1551" t="n">
        <f aca="false">'Смета Внутр'!H2021</f>
        <v>0</v>
      </c>
      <c r="I2021" s="3179" t="n">
        <f aca="false">IF(F2021&lt;H2021,F2021*(D2021-E2021),0)+IF(H2021=0,(D2021-E2021)*F2021,0)+IF(H2021&lt;F2021,H2021*(D2021-E2021),0)</f>
        <v>1400</v>
      </c>
      <c r="J2021" s="3179" t="n">
        <f aca="false">G2021-I2021</f>
        <v>-1400</v>
      </c>
    </row>
    <row r="2022" customFormat="false" ht="15" hidden="false" customHeight="true" outlineLevel="0" collapsed="false">
      <c r="B2022" s="1551" t="str">
        <f aca="false">'Смета Внутр'!B2022</f>
        <v>труба обвязка</v>
      </c>
      <c r="C2022" s="1551" t="str">
        <f aca="false">'Смета Внутр'!C2022</f>
        <v>м.п.</v>
      </c>
      <c r="D2022" s="1551" t="n">
        <f aca="false">'Смета Внутр'!D2022</f>
        <v>20</v>
      </c>
      <c r="F2022" s="1551" t="n">
        <f aca="false">'Смета Внутр'!E2022</f>
        <v>500</v>
      </c>
      <c r="G2022" s="1551" t="n">
        <f aca="false">'Смета Внутр'!H2022</f>
        <v>0</v>
      </c>
      <c r="I2022" s="3179" t="n">
        <f aca="false">IF(F2022&lt;H2022,F2022*(D2022-E2022),0)+IF(H2022=0,(D2022-E2022)*F2022,0)+IF(H2022&lt;F2022,H2022*(D2022-E2022),0)</f>
        <v>10000</v>
      </c>
      <c r="J2022" s="3179" t="n">
        <f aca="false">G2022-I2022</f>
        <v>-10000</v>
      </c>
    </row>
    <row r="2023" customFormat="false" ht="15" hidden="false" customHeight="false" outlineLevel="0" collapsed="false">
      <c r="B2023" s="1692" t="s">
        <v>4333</v>
      </c>
      <c r="C2023" s="1692"/>
      <c r="D2023" s="1692"/>
      <c r="E2023" s="1692"/>
      <c r="F2023" s="1692"/>
      <c r="G2023" s="1551" t="n">
        <f aca="false">'Смета Внутр'!H2023</f>
        <v>0</v>
      </c>
      <c r="H2023" s="1584"/>
      <c r="I2023" s="3179" t="n">
        <f aca="false">IF(F2023&lt;H2023,F2023*(D2023-E2023),0)+IF(H2023=0,(D2023-E2023)*F2023,0)+IF(H2023&lt;F2023,H2023*(D2023-E2023),0)</f>
        <v>0</v>
      </c>
      <c r="J2023" s="3179" t="n">
        <f aca="false">G2023-I2023</f>
        <v>0</v>
      </c>
    </row>
    <row r="2024" customFormat="false" ht="15" hidden="false" customHeight="false" outlineLevel="0" collapsed="false">
      <c r="B2024" s="1551" t="str">
        <f aca="false">'Смета Внутр'!B2024</f>
        <v>Транспорт</v>
      </c>
      <c r="C2024" s="1551" t="n">
        <f aca="false">'Смета Внутр'!C2024</f>
        <v>0</v>
      </c>
      <c r="D2024" s="1551" t="n">
        <f aca="false">'Смета Внутр'!D2024</f>
        <v>0</v>
      </c>
      <c r="F2024" s="1551" t="n">
        <f aca="false">'Смета Внутр'!E2024</f>
        <v>0</v>
      </c>
      <c r="G2024" s="1551" t="n">
        <f aca="false">'Смета Внутр'!H2024</f>
        <v>0</v>
      </c>
      <c r="I2024" s="3179" t="n">
        <f aca="false">IF(F2024&lt;H2024,F2024*(D2024-E2024),0)+IF(H2024=0,(D2024-E2024)*F2024,0)+IF(H2024&lt;F2024,H2024*(D2024-E2024),0)</f>
        <v>0</v>
      </c>
      <c r="J2024" s="3179" t="n">
        <f aca="false">G2024-I2024</f>
        <v>0</v>
      </c>
    </row>
    <row r="2025" customFormat="false" ht="15" hidden="false" customHeight="false" outlineLevel="0" collapsed="false">
      <c r="B2025" s="1551" t="str">
        <f aca="false">'Смета Внутр'!B2025</f>
        <v>Нет техники</v>
      </c>
      <c r="C2025" s="1551" t="str">
        <f aca="false">'Смета Внутр'!C2025</f>
        <v>ед.</v>
      </c>
      <c r="D2025" s="1551" t="n">
        <f aca="false">'Смета Внутр'!D2025</f>
        <v>0</v>
      </c>
      <c r="F2025" s="1551" t="n">
        <f aca="false">'Смета Внутр'!E2025</f>
        <v>0</v>
      </c>
      <c r="G2025" s="1551" t="n">
        <f aca="false">'Смета Внутр'!H2025</f>
        <v>0</v>
      </c>
      <c r="I2025" s="3179" t="n">
        <f aca="false">IF(F2025&lt;H2025,F2025*(D2025-E2025),0)+IF(H2025=0,(D2025-E2025)*F2025,0)+IF(H2025&lt;F2025,H2025*(D2025-E2025),0)</f>
        <v>0</v>
      </c>
      <c r="J2025" s="3179" t="n">
        <f aca="false">G2025-I2025</f>
        <v>0</v>
      </c>
    </row>
    <row r="2026" customFormat="false" ht="15" hidden="false" customHeight="false" outlineLevel="0" collapsed="false">
      <c r="B2026" s="1551" t="str">
        <f aca="false">'Смета Внутр'!B2026</f>
        <v>Нет техники</v>
      </c>
      <c r="C2026" s="1551" t="str">
        <f aca="false">'Смета Внутр'!C2026</f>
        <v>ед.</v>
      </c>
      <c r="D2026" s="1551" t="n">
        <f aca="false">'Смета Внутр'!D2026</f>
        <v>0</v>
      </c>
      <c r="F2026" s="1551" t="n">
        <f aca="false">'Смета Внутр'!E2026</f>
        <v>0</v>
      </c>
      <c r="G2026" s="1551" t="n">
        <f aca="false">'Смета Внутр'!H2026</f>
        <v>0</v>
      </c>
      <c r="I2026" s="3179" t="n">
        <f aca="false">IF(F2026&lt;H2026,F2026*(D2026-E2026),0)+IF(H2026=0,(D2026-E2026)*F2026,0)+IF(H2026&lt;F2026,H2026*(D2026-E2026),0)</f>
        <v>0</v>
      </c>
      <c r="J2026" s="3179" t="n">
        <f aca="false">G2026-I2026</f>
        <v>0</v>
      </c>
    </row>
    <row r="2027" customFormat="false" ht="15" hidden="false" customHeight="false" outlineLevel="0" collapsed="false">
      <c r="B2027" s="1551" t="str">
        <f aca="false">'Смета Внутр'!B2027</f>
        <v>Нет техники</v>
      </c>
      <c r="C2027" s="1551" t="str">
        <f aca="false">'Смета Внутр'!C2027</f>
        <v>ед.</v>
      </c>
      <c r="D2027" s="1551" t="n">
        <f aca="false">'Смета Внутр'!D2027</f>
        <v>0</v>
      </c>
      <c r="F2027" s="1551" t="n">
        <f aca="false">'Смета Внутр'!E2027</f>
        <v>0</v>
      </c>
      <c r="G2027" s="1551" t="n">
        <f aca="false">'Смета Внутр'!H2027</f>
        <v>0</v>
      </c>
      <c r="I2027" s="3179" t="n">
        <f aca="false">IF(F2027&lt;H2027,F2027*(D2027-E2027),0)+IF(H2027=0,(D2027-E2027)*F2027,0)+IF(H2027&lt;F2027,H2027*(D2027-E2027),0)</f>
        <v>0</v>
      </c>
      <c r="J2027" s="3179" t="n">
        <f aca="false">G2027-I2027</f>
        <v>0</v>
      </c>
    </row>
    <row r="2028" customFormat="false" ht="15" hidden="false" customHeight="false" outlineLevel="0" collapsed="false">
      <c r="B2028" s="1551" t="str">
        <f aca="false">'Смета Внутр'!B2028</f>
        <v>Нет техники</v>
      </c>
      <c r="C2028" s="1551" t="str">
        <f aca="false">'Смета Внутр'!C2028</f>
        <v>ед.</v>
      </c>
      <c r="D2028" s="1551" t="n">
        <f aca="false">'Смета Внутр'!D2028</f>
        <v>0</v>
      </c>
      <c r="F2028" s="1551" t="n">
        <f aca="false">'Смета Внутр'!E2028</f>
        <v>0</v>
      </c>
      <c r="G2028" s="1551" t="n">
        <f aca="false">'Смета Внутр'!H2028</f>
        <v>0</v>
      </c>
      <c r="I2028" s="3179" t="n">
        <f aca="false">IF(F2028&lt;H2028,F2028*(D2028-E2028),0)+IF(H2028=0,(D2028-E2028)*F2028,0)+IF(H2028&lt;F2028,H2028*(D2028-E2028),0)</f>
        <v>0</v>
      </c>
      <c r="J2028" s="3179" t="n">
        <f aca="false">G2028-I2028</f>
        <v>0</v>
      </c>
    </row>
    <row r="2029" customFormat="false" ht="15" hidden="false" customHeight="false" outlineLevel="0" collapsed="false">
      <c r="B2029" s="1551" t="str">
        <f aca="false">'Смета Внутр'!B2029</f>
        <v>Нет техники</v>
      </c>
      <c r="C2029" s="1551" t="str">
        <f aca="false">'Смета Внутр'!C2029</f>
        <v>ед.</v>
      </c>
      <c r="D2029" s="1551" t="n">
        <f aca="false">'Смета Внутр'!D2029</f>
        <v>4</v>
      </c>
      <c r="F2029" s="1551" t="n">
        <f aca="false">'Смета Внутр'!E2029</f>
        <v>0</v>
      </c>
      <c r="G2029" s="1551" t="n">
        <f aca="false">'Смета Внутр'!H2029</f>
        <v>0</v>
      </c>
      <c r="I2029" s="3179" t="n">
        <f aca="false">IF(F2029&lt;H2029,F2029*(D2029-E2029),0)+IF(H2029=0,(D2029-E2029)*F2029,0)+IF(H2029&lt;F2029,H2029*(D2029-E2029),0)</f>
        <v>0</v>
      </c>
      <c r="J2029" s="3179" t="n">
        <f aca="false">G2029-I2029</f>
        <v>0</v>
      </c>
    </row>
    <row r="2030" customFormat="false" ht="15" hidden="false" customHeight="false" outlineLevel="0" collapsed="false">
      <c r="B2030" s="1551" t="str">
        <f aca="false">'Смета Внутр'!B2030</f>
        <v>Нет техники</v>
      </c>
      <c r="C2030" s="1551" t="str">
        <f aca="false">'Смета Внутр'!C2030</f>
        <v>ед.</v>
      </c>
      <c r="D2030" s="1551" t="n">
        <f aca="false">'Смета Внутр'!D2030</f>
        <v>4</v>
      </c>
      <c r="F2030" s="1551" t="n">
        <f aca="false">'Смета Внутр'!E2030</f>
        <v>0</v>
      </c>
      <c r="G2030" s="1551" t="n">
        <f aca="false">'Смета Внутр'!H2030</f>
        <v>0</v>
      </c>
      <c r="I2030" s="3179" t="n">
        <f aca="false">IF(F2030&lt;H2030,F2030*(D2030-E2030),0)+IF(H2030=0,(D2030-E2030)*F2030,0)+IF(H2030&lt;F2030,H2030*(D2030-E2030),0)</f>
        <v>0</v>
      </c>
      <c r="J2030" s="3179" t="n">
        <f aca="false">G2030-I2030</f>
        <v>0</v>
      </c>
    </row>
    <row r="2031" customFormat="false" ht="15" hidden="false" customHeight="false" outlineLevel="0" collapsed="false">
      <c r="B2031" s="1551" t="str">
        <f aca="false">'Смета Внутр'!B2031</f>
        <v>Нет техники</v>
      </c>
      <c r="C2031" s="1551" t="str">
        <f aca="false">'Смета Внутр'!C2031</f>
        <v>ед.</v>
      </c>
      <c r="D2031" s="1551" t="n">
        <f aca="false">'Смета Внутр'!D2031</f>
        <v>6</v>
      </c>
      <c r="F2031" s="1551" t="n">
        <f aca="false">'Смета Внутр'!E2031</f>
        <v>0</v>
      </c>
      <c r="G2031" s="1551" t="n">
        <f aca="false">'Смета Внутр'!H2031</f>
        <v>0</v>
      </c>
      <c r="I2031" s="3179" t="n">
        <f aca="false">IF(F2031&lt;H2031,F2031*(D2031-E2031),0)+IF(H2031=0,(D2031-E2031)*F2031,0)+IF(H2031&lt;F2031,H2031*(D2031-E2031),0)</f>
        <v>0</v>
      </c>
      <c r="J2031" s="3179" t="n">
        <f aca="false">G2031-I2031</f>
        <v>0</v>
      </c>
    </row>
    <row r="2032" customFormat="false" ht="15" hidden="false" customHeight="false" outlineLevel="0" collapsed="false">
      <c r="B2032" s="1551" t="str">
        <f aca="false">'Смета Внутр'!B2032</f>
        <v>Нет техники</v>
      </c>
      <c r="C2032" s="1551" t="str">
        <f aca="false">'Смета Внутр'!C2032</f>
        <v>ед.</v>
      </c>
      <c r="D2032" s="1551" t="n">
        <f aca="false">'Смета Внутр'!D2032</f>
        <v>4</v>
      </c>
      <c r="F2032" s="1551" t="n">
        <f aca="false">'Смета Внутр'!E2032</f>
        <v>0</v>
      </c>
      <c r="G2032" s="1551" t="n">
        <f aca="false">'Смета Внутр'!H2032</f>
        <v>0</v>
      </c>
      <c r="I2032" s="3179" t="n">
        <f aca="false">IF(F2032&lt;H2032,F2032*(D2032-E2032),0)+IF(H2032=0,(D2032-E2032)*F2032,0)+IF(H2032&lt;F2032,H2032*(D2032-E2032),0)</f>
        <v>0</v>
      </c>
      <c r="J2032" s="3179" t="n">
        <f aca="false">G2032-I2032</f>
        <v>0</v>
      </c>
    </row>
    <row r="2033" customFormat="false" ht="15" hidden="false" customHeight="false" outlineLevel="0" collapsed="false">
      <c r="B2033" s="1551" t="str">
        <f aca="false">'Смета Внутр'!B2033</f>
        <v>Нет техники</v>
      </c>
      <c r="C2033" s="1551" t="str">
        <f aca="false">'Смета Внутр'!C2033</f>
        <v>ед.</v>
      </c>
      <c r="D2033" s="1551" t="n">
        <f aca="false">'Смета Внутр'!D2033</f>
        <v>0</v>
      </c>
      <c r="F2033" s="1551" t="n">
        <f aca="false">'Смета Внутр'!E2033</f>
        <v>0</v>
      </c>
      <c r="G2033" s="1551" t="n">
        <f aca="false">'Смета Внутр'!H2033</f>
        <v>0</v>
      </c>
      <c r="I2033" s="3179" t="n">
        <f aca="false">IF(F2033&lt;H2033,F2033*(D2033-E2033),0)+IF(H2033=0,(D2033-E2033)*F2033,0)+IF(H2033&lt;F2033,H2033*(D2033-E2033),0)</f>
        <v>0</v>
      </c>
      <c r="J2033" s="3179" t="n">
        <f aca="false">G2033-I2033</f>
        <v>0</v>
      </c>
    </row>
    <row r="2034" customFormat="false" ht="15" hidden="false" customHeight="false" outlineLevel="0" collapsed="false">
      <c r="B2034" s="1551" t="str">
        <f aca="false">'Смета Внутр'!B2034</f>
        <v>Нет техники</v>
      </c>
      <c r="C2034" s="1551" t="str">
        <f aca="false">'Смета Внутр'!C2034</f>
        <v>ед.</v>
      </c>
      <c r="D2034" s="1551" t="n">
        <f aca="false">'Смета Внутр'!D2034</f>
        <v>4</v>
      </c>
      <c r="F2034" s="1551" t="n">
        <f aca="false">'Смета Внутр'!E2034</f>
        <v>0</v>
      </c>
      <c r="G2034" s="1551" t="n">
        <f aca="false">'Смета Внутр'!H2034</f>
        <v>0</v>
      </c>
      <c r="I2034" s="3179" t="n">
        <f aca="false">IF(F2034&lt;H2034,F2034*(D2034-E2034),0)+IF(H2034=0,(D2034-E2034)*F2034,0)+IF(H2034&lt;F2034,H2034*(D2034-E2034),0)</f>
        <v>0</v>
      </c>
      <c r="J2034" s="3179" t="n">
        <f aca="false">G2034-I2034</f>
        <v>0</v>
      </c>
    </row>
    <row r="2035" customFormat="false" ht="15" hidden="false" customHeight="false" outlineLevel="0" collapsed="false">
      <c r="B2035" s="1551" t="str">
        <f aca="false">'Смета Внутр'!B2035</f>
        <v>Нет техники</v>
      </c>
      <c r="C2035" s="1551" t="str">
        <f aca="false">'Смета Внутр'!C2035</f>
        <v>ед.</v>
      </c>
      <c r="D2035" s="1551" t="n">
        <f aca="false">'Смета Внутр'!D2035</f>
        <v>4</v>
      </c>
      <c r="F2035" s="1551" t="n">
        <f aca="false">'Смета Внутр'!E2035</f>
        <v>0</v>
      </c>
      <c r="G2035" s="1551" t="n">
        <f aca="false">'Смета Внутр'!H2035</f>
        <v>0</v>
      </c>
      <c r="I2035" s="3179" t="n">
        <f aca="false">IF(F2035&lt;H2035,F2035*(D2035-E2035),0)+IF(H2035=0,(D2035-E2035)*F2035,0)+IF(H2035&lt;F2035,H2035*(D2035-E2035),0)</f>
        <v>0</v>
      </c>
      <c r="J2035" s="3179" t="n">
        <f aca="false">G2035-I2035</f>
        <v>0</v>
      </c>
    </row>
    <row r="2036" customFormat="false" ht="15" hidden="false" customHeight="false" outlineLevel="0" collapsed="false">
      <c r="B2036" s="1551" t="str">
        <f aca="false">'Смета Внутр'!B2036</f>
        <v>Нет техники</v>
      </c>
      <c r="C2036" s="1551" t="str">
        <f aca="false">'Смета Внутр'!C2036</f>
        <v>ед.</v>
      </c>
      <c r="D2036" s="1551" t="n">
        <f aca="false">'Смета Внутр'!D2036</f>
        <v>6</v>
      </c>
      <c r="F2036" s="1551" t="n">
        <f aca="false">'Смета Внутр'!E2036</f>
        <v>0</v>
      </c>
      <c r="G2036" s="1551" t="n">
        <f aca="false">'Смета Внутр'!H2036</f>
        <v>0</v>
      </c>
      <c r="I2036" s="3179" t="n">
        <f aca="false">IF(F2036&lt;H2036,F2036*(D2036-E2036),0)+IF(H2036=0,(D2036-E2036)*F2036,0)+IF(H2036&lt;F2036,H2036*(D2036-E2036),0)</f>
        <v>0</v>
      </c>
      <c r="J2036" s="3179" t="n">
        <f aca="false">G2036-I2036</f>
        <v>0</v>
      </c>
    </row>
    <row r="2037" customFormat="false" ht="15" hidden="false" customHeight="false" outlineLevel="0" collapsed="false">
      <c r="B2037" s="1551" t="str">
        <f aca="false">'Смета Внутр'!B2037</f>
        <v>Нет техники</v>
      </c>
      <c r="C2037" s="1551" t="str">
        <f aca="false">'Смета Внутр'!C2037</f>
        <v>ед.</v>
      </c>
      <c r="D2037" s="1551" t="n">
        <f aca="false">'Смета Внутр'!D2037</f>
        <v>4</v>
      </c>
      <c r="F2037" s="1551" t="n">
        <f aca="false">'Смета Внутр'!E2037</f>
        <v>0</v>
      </c>
      <c r="G2037" s="1551" t="n">
        <f aca="false">'Смета Внутр'!H2037</f>
        <v>0</v>
      </c>
      <c r="I2037" s="3179" t="n">
        <f aca="false">IF(F2037&lt;H2037,F2037*(D2037-E2037),0)+IF(H2037=0,(D2037-E2037)*F2037,0)+IF(H2037&lt;F2037,H2037*(D2037-E2037),0)</f>
        <v>0</v>
      </c>
      <c r="J2037" s="3179" t="n">
        <f aca="false">G2037-I2037</f>
        <v>0</v>
      </c>
    </row>
    <row r="2038" customFormat="false" ht="15" hidden="false" customHeight="false" outlineLevel="0" collapsed="false">
      <c r="B2038" s="1551" t="str">
        <f aca="false">'Смета Внутр'!B2038</f>
        <v>Нет техники</v>
      </c>
      <c r="C2038" s="1551" t="str">
        <f aca="false">'Смета Внутр'!C2038</f>
        <v>ед.</v>
      </c>
      <c r="D2038" s="1551" t="n">
        <f aca="false">'Смета Внутр'!D2038</f>
        <v>0</v>
      </c>
      <c r="F2038" s="1551" t="n">
        <f aca="false">'Смета Внутр'!E2038</f>
        <v>0</v>
      </c>
      <c r="G2038" s="1551" t="n">
        <f aca="false">'Смета Внутр'!H2038</f>
        <v>0</v>
      </c>
      <c r="I2038" s="3179" t="n">
        <f aca="false">IF(F2038&lt;H2038,F2038*(D2038-E2038),0)+IF(H2038=0,(D2038-E2038)*F2038,0)+IF(H2038&lt;F2038,H2038*(D2038-E2038),0)</f>
        <v>0</v>
      </c>
      <c r="J2038" s="3179" t="n">
        <f aca="false">G2038-I2038</f>
        <v>0</v>
      </c>
    </row>
    <row r="2039" customFormat="false" ht="15" hidden="false" customHeight="false" outlineLevel="0" collapsed="false">
      <c r="B2039" s="1551" t="str">
        <f aca="false">'Смета Внутр'!B2039</f>
        <v>Нет техники</v>
      </c>
      <c r="C2039" s="1551" t="str">
        <f aca="false">'Смета Внутр'!C2039</f>
        <v>ед.</v>
      </c>
      <c r="D2039" s="1551" t="n">
        <f aca="false">'Смета Внутр'!D2039</f>
        <v>3</v>
      </c>
      <c r="F2039" s="1551" t="n">
        <f aca="false">'Смета Внутр'!E2039</f>
        <v>0</v>
      </c>
      <c r="G2039" s="1551" t="n">
        <f aca="false">'Смета Внутр'!H2039</f>
        <v>0</v>
      </c>
      <c r="I2039" s="3179" t="n">
        <f aca="false">IF(F2039&lt;H2039,F2039*(D2039-E2039),0)+IF(H2039=0,(D2039-E2039)*F2039,0)+IF(H2039&lt;F2039,H2039*(D2039-E2039),0)</f>
        <v>0</v>
      </c>
      <c r="J2039" s="3179" t="n">
        <f aca="false">G2039-I2039</f>
        <v>0</v>
      </c>
    </row>
    <row r="2040" customFormat="false" ht="15" hidden="false" customHeight="false" outlineLevel="0" collapsed="false">
      <c r="B2040" s="1551" t="str">
        <f aca="false">'Смета Внутр'!B2040</f>
        <v>Нет техники</v>
      </c>
      <c r="C2040" s="1551" t="str">
        <f aca="false">'Смета Внутр'!C2040</f>
        <v>ед.</v>
      </c>
      <c r="D2040" s="1551" t="n">
        <f aca="false">'Смета Внутр'!D2040</f>
        <v>0</v>
      </c>
      <c r="F2040" s="1551" t="n">
        <f aca="false">'Смета Внутр'!E2040</f>
        <v>0</v>
      </c>
      <c r="G2040" s="1551" t="n">
        <f aca="false">'Смета Внутр'!H2040</f>
        <v>0</v>
      </c>
      <c r="I2040" s="3179" t="n">
        <f aca="false">IF(F2040&lt;H2040,F2040*(D2040-E2040),0)+IF(H2040=0,(D2040-E2040)*F2040,0)+IF(H2040&lt;F2040,H2040*(D2040-E2040),0)</f>
        <v>0</v>
      </c>
      <c r="J2040" s="3179" t="n">
        <f aca="false">G2040-I2040</f>
        <v>0</v>
      </c>
    </row>
    <row r="2041" customFormat="false" ht="15" hidden="false" customHeight="false" outlineLevel="0" collapsed="false">
      <c r="B2041" s="1551" t="str">
        <f aca="false">'Смета Внутр'!B2041</f>
        <v>Нет техники</v>
      </c>
      <c r="C2041" s="1551" t="str">
        <f aca="false">'Смета Внутр'!C2041</f>
        <v>ед.</v>
      </c>
      <c r="D2041" s="1551" t="n">
        <f aca="false">'Смета Внутр'!D2041</f>
        <v>0</v>
      </c>
      <c r="F2041" s="1551" t="n">
        <f aca="false">'Смета Внутр'!E2041</f>
        <v>0</v>
      </c>
      <c r="G2041" s="1551" t="n">
        <f aca="false">'Смета Внутр'!H2041</f>
        <v>0</v>
      </c>
      <c r="I2041" s="3179" t="n">
        <f aca="false">IF(F2041&lt;H2041,F2041*(D2041-E2041),0)+IF(H2041=0,(D2041-E2041)*F2041,0)+IF(H2041&lt;F2041,H2041*(D2041-E2041),0)</f>
        <v>0</v>
      </c>
      <c r="J2041" s="3179" t="n">
        <f aca="false">G2041-I2041</f>
        <v>0</v>
      </c>
    </row>
    <row r="2042" customFormat="false" ht="15" hidden="false" customHeight="false" outlineLevel="0" collapsed="false">
      <c r="B2042" s="1551" t="str">
        <f aca="false">'Смета Внутр'!B2042</f>
        <v>Нет техники</v>
      </c>
      <c r="C2042" s="1551" t="str">
        <f aca="false">'Смета Внутр'!C2042</f>
        <v>ед.</v>
      </c>
      <c r="D2042" s="1551" t="n">
        <f aca="false">'Смета Внутр'!D2042</f>
        <v>0</v>
      </c>
      <c r="F2042" s="1551" t="n">
        <f aca="false">'Смета Внутр'!E2042</f>
        <v>0</v>
      </c>
      <c r="G2042" s="1551" t="n">
        <f aca="false">'Смета Внутр'!H2042</f>
        <v>0</v>
      </c>
      <c r="I2042" s="3179" t="n">
        <f aca="false">IF(F2042&lt;H2042,F2042*(D2042-E2042),0)+IF(H2042=0,(D2042-E2042)*F2042,0)+IF(H2042&lt;F2042,H2042*(D2042-E2042),0)</f>
        <v>0</v>
      </c>
      <c r="J2042" s="3179" t="n">
        <f aca="false">G2042-I2042</f>
        <v>0</v>
      </c>
    </row>
    <row r="2043" customFormat="false" ht="15" hidden="false" customHeight="false" outlineLevel="0" collapsed="false">
      <c r="B2043" s="1551" t="str">
        <f aca="false">'Смета Внутр'!B2043</f>
        <v>Нет техники</v>
      </c>
      <c r="C2043" s="1551" t="str">
        <f aca="false">'Смета Внутр'!C2043</f>
        <v>ед.</v>
      </c>
      <c r="D2043" s="1551" t="n">
        <f aca="false">'Смета Внутр'!D2043</f>
        <v>0</v>
      </c>
      <c r="F2043" s="1551" t="n">
        <f aca="false">'Смета Внутр'!E2043</f>
        <v>0</v>
      </c>
      <c r="G2043" s="1551" t="n">
        <f aca="false">'Смета Внутр'!H2043</f>
        <v>0</v>
      </c>
      <c r="I2043" s="3179" t="n">
        <f aca="false">IF(F2043&lt;H2043,F2043*(D2043-E2043),0)+IF(H2043=0,(D2043-E2043)*F2043,0)+IF(H2043&lt;F2043,H2043*(D2043-E2043),0)</f>
        <v>0</v>
      </c>
      <c r="J2043" s="3179" t="n">
        <f aca="false">G2043-I2043</f>
        <v>0</v>
      </c>
    </row>
    <row r="2044" customFormat="false" ht="15" hidden="false" customHeight="false" outlineLevel="0" collapsed="false">
      <c r="B2044" s="1551" t="str">
        <f aca="false">'Смета Внутр'!B2044</f>
        <v>Нет техники</v>
      </c>
      <c r="C2044" s="1551" t="str">
        <f aca="false">'Смета Внутр'!C2044</f>
        <v>ед.</v>
      </c>
      <c r="D2044" s="1551" t="n">
        <f aca="false">'Смета Внутр'!D2044</f>
        <v>0</v>
      </c>
      <c r="F2044" s="1551" t="n">
        <f aca="false">'Смета Внутр'!E2044</f>
        <v>0</v>
      </c>
      <c r="G2044" s="1551" t="n">
        <f aca="false">'Смета Внутр'!H2044</f>
        <v>0</v>
      </c>
      <c r="I2044" s="3179" t="n">
        <f aca="false">IF(F2044&lt;H2044,F2044*(D2044-E2044),0)+IF(H2044=0,(D2044-E2044)*F2044,0)+IF(H2044&lt;F2044,H2044*(D2044-E2044),0)</f>
        <v>0</v>
      </c>
      <c r="J2044" s="3179" t="n">
        <f aca="false">G2044-I2044</f>
        <v>0</v>
      </c>
    </row>
    <row r="2045" customFormat="false" ht="15" hidden="false" customHeight="false" outlineLevel="0" collapsed="false">
      <c r="B2045" s="1551" t="str">
        <f aca="false">'Смета Внутр'!B2045</f>
        <v>Газель</v>
      </c>
      <c r="C2045" s="1551" t="str">
        <f aca="false">'Смета Внутр'!C2045</f>
        <v>ед.</v>
      </c>
      <c r="D2045" s="1551" t="n">
        <f aca="false">'Смета Внутр'!D2045</f>
        <v>0</v>
      </c>
      <c r="F2045" s="1551" t="n">
        <f aca="false">'Смета Внутр'!E2045</f>
        <v>500</v>
      </c>
      <c r="G2045" s="1551" t="n">
        <f aca="false">'Смета Внутр'!H2045</f>
        <v>0</v>
      </c>
      <c r="I2045" s="3179" t="n">
        <f aca="false">IF(F2045&lt;H2045,F2045*(D2045-E2045),0)+IF(H2045=0,(D2045-E2045)*F2045,0)+IF(H2045&lt;F2045,H2045*(D2045-E2045),0)</f>
        <v>0</v>
      </c>
      <c r="J2045" s="3179" t="n">
        <f aca="false">G2045-I2045</f>
        <v>0</v>
      </c>
    </row>
    <row r="2046" customFormat="false" ht="15" hidden="false" customHeight="false" outlineLevel="0" collapsed="false">
      <c r="B2046" s="1551" t="str">
        <f aca="false">'Смета Внутр'!B2046</f>
        <v>Нет техники</v>
      </c>
      <c r="C2046" s="1551" t="str">
        <f aca="false">'Смета Внутр'!C2046</f>
        <v>ед.</v>
      </c>
      <c r="D2046" s="1551" t="n">
        <f aca="false">'Смета Внутр'!D2046</f>
        <v>0</v>
      </c>
      <c r="F2046" s="1551" t="n">
        <f aca="false">'Смета Внутр'!E2046</f>
        <v>0</v>
      </c>
      <c r="G2046" s="1551" t="n">
        <f aca="false">'Смета Внутр'!H2046</f>
        <v>0</v>
      </c>
      <c r="I2046" s="3179" t="n">
        <f aca="false">IF(F2046&lt;H2046,F2046*(D2046-E2046),0)+IF(H2046=0,(D2046-E2046)*F2046,0)+IF(H2046&lt;F2046,H2046*(D2046-E2046),0)</f>
        <v>0</v>
      </c>
      <c r="J2046" s="3179" t="n">
        <f aca="false">G2046-I2046</f>
        <v>0</v>
      </c>
    </row>
    <row r="2047" customFormat="false" ht="15" hidden="false" customHeight="false" outlineLevel="0" collapsed="false">
      <c r="B2047" s="1551" t="str">
        <f aca="false">'Смета Внутр'!B2047</f>
        <v>Нет техники</v>
      </c>
      <c r="C2047" s="1551" t="str">
        <f aca="false">'Смета Внутр'!C2047</f>
        <v>ед.</v>
      </c>
      <c r="D2047" s="1551" t="n">
        <f aca="false">'Смета Внутр'!D2047</f>
        <v>0</v>
      </c>
      <c r="F2047" s="1551" t="n">
        <f aca="false">'Смета Внутр'!E2047</f>
        <v>0</v>
      </c>
      <c r="G2047" s="1551" t="n">
        <f aca="false">'Смета Внутр'!H2047</f>
        <v>0</v>
      </c>
      <c r="I2047" s="3179" t="n">
        <f aca="false">IF(F2047&lt;H2047,F2047*(D2047-E2047),0)+IF(H2047=0,(D2047-E2047)*F2047,0)+IF(H2047&lt;F2047,H2047*(D2047-E2047),0)</f>
        <v>0</v>
      </c>
      <c r="J2047" s="3179" t="n">
        <f aca="false">G2047-I2047</f>
        <v>0</v>
      </c>
    </row>
    <row r="2048" customFormat="false" ht="15" hidden="false" customHeight="false" outlineLevel="0" collapsed="false">
      <c r="B2048" s="1551" t="str">
        <f aca="false">'Смета Внутр'!B2048</f>
        <v>Нет техники</v>
      </c>
      <c r="C2048" s="1551" t="str">
        <f aca="false">'Смета Внутр'!C2048</f>
        <v>ед.</v>
      </c>
      <c r="D2048" s="1551" t="n">
        <f aca="false">'Смета Внутр'!D2048</f>
        <v>0</v>
      </c>
      <c r="F2048" s="1551" t="n">
        <f aca="false">'Смета Внутр'!E2048</f>
        <v>0</v>
      </c>
      <c r="G2048" s="1551" t="n">
        <f aca="false">'Смета Внутр'!H2048</f>
        <v>0</v>
      </c>
      <c r="I2048" s="3179" t="n">
        <f aca="false">IF(F2048&lt;H2048,F2048*(D2048-E2048),0)+IF(H2048=0,(D2048-E2048)*F2048,0)+IF(H2048&lt;F2048,H2048*(D2048-E2048),0)</f>
        <v>0</v>
      </c>
      <c r="J2048" s="3179" t="n">
        <f aca="false">G2048-I2048</f>
        <v>0</v>
      </c>
    </row>
    <row r="2049" customFormat="false" ht="15" hidden="false" customHeight="false" outlineLevel="0" collapsed="false">
      <c r="B2049" s="1551" t="str">
        <f aca="false">'Смета Внутр'!B2049</f>
        <v>Нет техники</v>
      </c>
      <c r="C2049" s="1551" t="str">
        <f aca="false">'Смета Внутр'!C2049</f>
        <v>ед.</v>
      </c>
      <c r="D2049" s="1551" t="n">
        <f aca="false">'Смета Внутр'!D2049</f>
        <v>0</v>
      </c>
      <c r="F2049" s="1551" t="n">
        <f aca="false">'Смета Внутр'!E2049</f>
        <v>3000</v>
      </c>
      <c r="G2049" s="1551" t="n">
        <f aca="false">'Смета Внутр'!H2049</f>
        <v>0</v>
      </c>
      <c r="I2049" s="3179" t="n">
        <f aca="false">IF(F2049&lt;H2049,F2049*(D2049-E2049),0)+IF(H2049=0,(D2049-E2049)*F2049,0)+IF(H2049&lt;F2049,H2049*(D2049-E2049),0)</f>
        <v>0</v>
      </c>
      <c r="J2049" s="3179" t="n">
        <f aca="false">G2049-I2049</f>
        <v>0</v>
      </c>
    </row>
    <row r="2050" customFormat="false" ht="15" hidden="false" customHeight="false" outlineLevel="0" collapsed="false">
      <c r="B2050" s="1551" t="str">
        <f aca="false">'Смета Внутр'!B2050</f>
        <v>Нет техники</v>
      </c>
      <c r="C2050" s="1551" t="str">
        <f aca="false">'Смета Внутр'!C2050</f>
        <v>ед.</v>
      </c>
      <c r="D2050" s="1551" t="n">
        <f aca="false">'Смета Внутр'!D2050</f>
        <v>0</v>
      </c>
      <c r="F2050" s="1551" t="n">
        <f aca="false">'Смета Внутр'!E2050</f>
        <v>3000</v>
      </c>
      <c r="G2050" s="1551" t="n">
        <f aca="false">'Смета Внутр'!H2050</f>
        <v>0</v>
      </c>
      <c r="I2050" s="3179" t="n">
        <f aca="false">IF(F2050&lt;H2050,F2050*(D2050-E2050),0)+IF(H2050=0,(D2050-E2050)*F2050,0)+IF(H2050&lt;F2050,H2050*(D2050-E2050),0)</f>
        <v>0</v>
      </c>
      <c r="J2050" s="3179" t="n">
        <f aca="false">G2050-I2050</f>
        <v>0</v>
      </c>
    </row>
    <row r="2051" customFormat="false" ht="15" hidden="false" customHeight="false" outlineLevel="0" collapsed="false">
      <c r="B2051" s="1551" t="str">
        <f aca="false">'Смета Внутр'!B2051</f>
        <v>Нет техники</v>
      </c>
      <c r="C2051" s="1551" t="str">
        <f aca="false">'Смета Внутр'!C2051</f>
        <v>ед.</v>
      </c>
      <c r="D2051" s="1551" t="n">
        <f aca="false">'Смета Внутр'!D2051</f>
        <v>0</v>
      </c>
      <c r="F2051" s="1551" t="n">
        <f aca="false">'Смета Внутр'!E2051</f>
        <v>0</v>
      </c>
      <c r="G2051" s="1551" t="n">
        <f aca="false">'Смета Внутр'!H2051</f>
        <v>0</v>
      </c>
      <c r="I2051" s="3179" t="n">
        <f aca="false">IF(F2051&lt;H2051,F2051*(D2051-E2051),0)+IF(H2051=0,(D2051-E2051)*F2051,0)+IF(H2051&lt;F2051,H2051*(D2051-E2051),0)</f>
        <v>0</v>
      </c>
      <c r="J2051" s="3179" t="n">
        <f aca="false">G2051-I2051</f>
        <v>0</v>
      </c>
    </row>
    <row r="2052" customFormat="false" ht="15" hidden="false" customHeight="false" outlineLevel="0" collapsed="false">
      <c r="B2052" s="1551" t="str">
        <f aca="false">'Смета Внутр'!B2052</f>
        <v>Нет техники</v>
      </c>
      <c r="C2052" s="1551" t="str">
        <f aca="false">'Смета Внутр'!C2052</f>
        <v>ед.</v>
      </c>
      <c r="D2052" s="1551" t="n">
        <f aca="false">'Смета Внутр'!D2052</f>
        <v>0</v>
      </c>
      <c r="F2052" s="1551" t="n">
        <f aca="false">'Смета Внутр'!E2052</f>
        <v>0</v>
      </c>
      <c r="G2052" s="1551" t="n">
        <f aca="false">'Смета Внутр'!H2052</f>
        <v>0</v>
      </c>
      <c r="I2052" s="3179" t="n">
        <f aca="false">IF(F2052&lt;H2052,F2052*(D2052-E2052),0)+IF(H2052=0,(D2052-E2052)*F2052,0)+IF(H2052&lt;F2052,H2052*(D2052-E2052),0)</f>
        <v>0</v>
      </c>
      <c r="J2052" s="3179" t="n">
        <f aca="false">G2052-I2052</f>
        <v>0</v>
      </c>
    </row>
    <row r="2053" customFormat="false" ht="15" hidden="false" customHeight="false" outlineLevel="0" collapsed="false">
      <c r="B2053" s="1551" t="str">
        <f aca="false">'Смета Внутр'!B2053</f>
        <v>Нет техники</v>
      </c>
      <c r="C2053" s="1551" t="str">
        <f aca="false">'Смета Внутр'!C2053</f>
        <v>ед.</v>
      </c>
      <c r="D2053" s="1551" t="n">
        <f aca="false">'Смета Внутр'!D2053</f>
        <v>0</v>
      </c>
      <c r="F2053" s="1551" t="n">
        <f aca="false">'Смета Внутр'!E2053</f>
        <v>0</v>
      </c>
      <c r="G2053" s="1551" t="n">
        <f aca="false">'Смета Внутр'!H2053</f>
        <v>0</v>
      </c>
      <c r="I2053" s="3179" t="n">
        <f aca="false">IF(F2053&lt;H2053,F2053*(D2053-E2053),0)+IF(H2053=0,(D2053-E2053)*F2053,0)+IF(H2053&lt;F2053,H2053*(D2053-E2053),0)</f>
        <v>0</v>
      </c>
      <c r="J2053" s="3179" t="n">
        <f aca="false">G2053-I2053</f>
        <v>0</v>
      </c>
    </row>
    <row r="2054" customFormat="false" ht="15" hidden="false" customHeight="false" outlineLevel="0" collapsed="false">
      <c r="B2054" s="1551" t="str">
        <f aca="false">'Смета Внутр'!B2054</f>
        <v>Нет техники</v>
      </c>
      <c r="C2054" s="1551" t="str">
        <f aca="false">'Смета Внутр'!C2054</f>
        <v>ед.</v>
      </c>
      <c r="D2054" s="1551" t="n">
        <f aca="false">'Смета Внутр'!D2054</f>
        <v>0</v>
      </c>
      <c r="F2054" s="1551" t="n">
        <f aca="false">'Смета Внутр'!E2054</f>
        <v>0</v>
      </c>
      <c r="G2054" s="1551" t="n">
        <f aca="false">'Смета Внутр'!H2054</f>
        <v>0</v>
      </c>
      <c r="I2054" s="3179" t="n">
        <f aca="false">IF(F2054&lt;H2054,F2054*(D2054-E2054),0)+IF(H2054=0,(D2054-E2054)*F2054,0)+IF(H2054&lt;F2054,H2054*(D2054-E2054),0)</f>
        <v>0</v>
      </c>
      <c r="J2054" s="3179" t="n">
        <f aca="false">G2054-I2054</f>
        <v>0</v>
      </c>
    </row>
    <row r="2055" customFormat="false" ht="15" hidden="false" customHeight="false" outlineLevel="0" collapsed="false">
      <c r="B2055" s="1551" t="str">
        <f aca="false">'Смета Внутр'!B2055</f>
        <v>Нет техники</v>
      </c>
      <c r="C2055" s="1551" t="str">
        <f aca="false">'Смета Внутр'!C2055</f>
        <v>ед.</v>
      </c>
      <c r="D2055" s="1551" t="n">
        <f aca="false">'Смета Внутр'!D2055</f>
        <v>0</v>
      </c>
      <c r="F2055" s="1551" t="n">
        <f aca="false">'Смета Внутр'!E2055</f>
        <v>0</v>
      </c>
      <c r="G2055" s="1551" t="n">
        <f aca="false">'Смета Внутр'!H2055</f>
        <v>0</v>
      </c>
      <c r="I2055" s="3179" t="n">
        <f aca="false">IF(F2055&lt;H2055,F2055*(D2055-E2055),0)+IF(H2055=0,(D2055-E2055)*F2055,0)+IF(H2055&lt;F2055,H2055*(D2055-E2055),0)</f>
        <v>0</v>
      </c>
      <c r="J2055" s="3179" t="n">
        <f aca="false">G2055-I2055</f>
        <v>0</v>
      </c>
    </row>
    <row r="2056" customFormat="false" ht="15" hidden="false" customHeight="false" outlineLevel="0" collapsed="false">
      <c r="B2056" s="1551" t="str">
        <f aca="false">'Смета Внутр'!B2056</f>
        <v>Нет техники</v>
      </c>
      <c r="C2056" s="1551" t="str">
        <f aca="false">'Смета Внутр'!C2056</f>
        <v>ед.</v>
      </c>
      <c r="D2056" s="1551" t="n">
        <f aca="false">'Смета Внутр'!D2056</f>
        <v>0</v>
      </c>
      <c r="F2056" s="1551" t="n">
        <f aca="false">'Смета Внутр'!E2056</f>
        <v>0</v>
      </c>
      <c r="G2056" s="1551" t="n">
        <f aca="false">'Смета Внутр'!H2056</f>
        <v>0</v>
      </c>
      <c r="I2056" s="3179" t="n">
        <f aca="false">IF(F2056&lt;H2056,F2056*(D2056-E2056),0)+IF(H2056=0,(D2056-E2056)*F2056,0)+IF(H2056&lt;F2056,H2056*(D2056-E2056),0)</f>
        <v>0</v>
      </c>
      <c r="J2056" s="3179" t="n">
        <f aca="false">G2056-I2056</f>
        <v>0</v>
      </c>
    </row>
    <row r="2057" customFormat="false" ht="15" hidden="false" customHeight="false" outlineLevel="0" collapsed="false">
      <c r="B2057" s="1551" t="str">
        <f aca="false">'Смета Внутр'!B2057</f>
        <v>Нет техники</v>
      </c>
      <c r="C2057" s="1551" t="str">
        <f aca="false">'Смета Внутр'!C2057</f>
        <v>ед.</v>
      </c>
      <c r="D2057" s="1551" t="n">
        <f aca="false">'Смета Внутр'!D2057</f>
        <v>0</v>
      </c>
      <c r="F2057" s="1551" t="n">
        <f aca="false">'Смета Внутр'!E2057</f>
        <v>0</v>
      </c>
      <c r="G2057" s="1551" t="n">
        <f aca="false">'Смета Внутр'!H2057</f>
        <v>0</v>
      </c>
      <c r="I2057" s="3179" t="n">
        <f aca="false">IF(F2057&lt;H2057,F2057*(D2057-E2057),0)+IF(H2057=0,(D2057-E2057)*F2057,0)+IF(H2057&lt;F2057,H2057*(D2057-E2057),0)</f>
        <v>0</v>
      </c>
      <c r="J2057" s="3179" t="n">
        <f aca="false">G2057-I2057</f>
        <v>0</v>
      </c>
    </row>
    <row r="2058" customFormat="false" ht="15" hidden="false" customHeight="false" outlineLevel="0" collapsed="false">
      <c r="B2058" s="1551" t="str">
        <f aca="false">'Смета Внутр'!B2058</f>
        <v>Нет техники</v>
      </c>
      <c r="C2058" s="1551" t="str">
        <f aca="false">'Смета Внутр'!C2058</f>
        <v>ед.</v>
      </c>
      <c r="D2058" s="1551" t="n">
        <f aca="false">'Смета Внутр'!D2058</f>
        <v>0</v>
      </c>
      <c r="F2058" s="1551" t="n">
        <f aca="false">'Смета Внутр'!E2058</f>
        <v>0</v>
      </c>
      <c r="G2058" s="1551" t="n">
        <f aca="false">'Смета Внутр'!H2058</f>
        <v>0</v>
      </c>
      <c r="I2058" s="3179" t="n">
        <f aca="false">IF(F2058&lt;H2058,F2058*(D2058-E2058),0)+IF(H2058=0,(D2058-E2058)*F2058,0)+IF(H2058&lt;F2058,H2058*(D2058-E2058),0)</f>
        <v>0</v>
      </c>
      <c r="J2058" s="3179" t="n">
        <f aca="false">G2058-I2058</f>
        <v>0</v>
      </c>
    </row>
    <row r="2059" customFormat="false" ht="15" hidden="false" customHeight="false" outlineLevel="0" collapsed="false">
      <c r="B2059" s="1551" t="str">
        <f aca="false">'Смета Внутр'!B2059</f>
        <v>Нет техники</v>
      </c>
      <c r="C2059" s="1551" t="str">
        <f aca="false">'Смета Внутр'!C2059</f>
        <v>ед.</v>
      </c>
      <c r="D2059" s="1551" t="n">
        <f aca="false">'Смета Внутр'!D2059</f>
        <v>0</v>
      </c>
      <c r="F2059" s="1551" t="n">
        <f aca="false">'Смета Внутр'!E2059</f>
        <v>0</v>
      </c>
      <c r="G2059" s="1551" t="n">
        <f aca="false">'Смета Внутр'!H2059</f>
        <v>0</v>
      </c>
      <c r="I2059" s="3179" t="n">
        <f aca="false">IF(F2059&lt;H2059,F2059*(D2059-E2059),0)+IF(H2059=0,(D2059-E2059)*F2059,0)+IF(H2059&lt;F2059,H2059*(D2059-E2059),0)</f>
        <v>0</v>
      </c>
      <c r="J2059" s="3179" t="n">
        <f aca="false">G2059-I2059</f>
        <v>0</v>
      </c>
    </row>
    <row r="2060" customFormat="false" ht="15" hidden="false" customHeight="false" outlineLevel="0" collapsed="false">
      <c r="B2060" s="1551" t="str">
        <f aca="false">'Смета Внутр'!B2060</f>
        <v>Нет техники</v>
      </c>
      <c r="C2060" s="1551" t="str">
        <f aca="false">'Смета Внутр'!C2060</f>
        <v>ед.</v>
      </c>
      <c r="D2060" s="1551" t="n">
        <f aca="false">'Смета Внутр'!D2060</f>
        <v>0</v>
      </c>
      <c r="F2060" s="1551" t="n">
        <f aca="false">'Смета Внутр'!E2060</f>
        <v>0</v>
      </c>
      <c r="G2060" s="1551" t="n">
        <f aca="false">'Смета Внутр'!H2060</f>
        <v>0</v>
      </c>
      <c r="I2060" s="3179" t="n">
        <f aca="false">IF(F2060&lt;H2060,F2060*(D2060-E2060),0)+IF(H2060=0,(D2060-E2060)*F2060,0)+IF(H2060&lt;F2060,H2060*(D2060-E2060),0)</f>
        <v>0</v>
      </c>
      <c r="J2060" s="3179" t="n">
        <f aca="false">G2060-I2060</f>
        <v>0</v>
      </c>
    </row>
    <row r="2061" customFormat="false" ht="15" hidden="false" customHeight="false" outlineLevel="0" collapsed="false">
      <c r="B2061" s="1551" t="str">
        <f aca="false">'Смета Внутр'!B2061</f>
        <v>Нет техники</v>
      </c>
      <c r="C2061" s="1551" t="str">
        <f aca="false">'Смета Внутр'!C2061</f>
        <v>ед.</v>
      </c>
      <c r="D2061" s="1551" t="n">
        <f aca="false">'Смета Внутр'!D2061</f>
        <v>0</v>
      </c>
      <c r="F2061" s="1551" t="n">
        <f aca="false">'Смета Внутр'!E2061</f>
        <v>0</v>
      </c>
      <c r="G2061" s="1551" t="n">
        <f aca="false">'Смета Внутр'!H2061</f>
        <v>0</v>
      </c>
      <c r="I2061" s="3179" t="n">
        <f aca="false">IF(F2061&lt;H2061,F2061*(D2061-E2061),0)+IF(H2061=0,(D2061-E2061)*F2061,0)+IF(H2061&lt;F2061,H2061*(D2061-E2061),0)</f>
        <v>0</v>
      </c>
      <c r="J2061" s="3179" t="n">
        <f aca="false">G2061-I2061</f>
        <v>0</v>
      </c>
    </row>
    <row r="2062" customFormat="false" ht="15" hidden="false" customHeight="false" outlineLevel="0" collapsed="false">
      <c r="B2062" s="1551" t="str">
        <f aca="false">'Смета Внутр'!B2062</f>
        <v>Нет техники</v>
      </c>
      <c r="C2062" s="1551" t="str">
        <f aca="false">'Смета Внутр'!C2062</f>
        <v>ед.</v>
      </c>
      <c r="D2062" s="1551" t="n">
        <f aca="false">'Смета Внутр'!D2062</f>
        <v>0</v>
      </c>
      <c r="F2062" s="1551" t="n">
        <f aca="false">'Смета Внутр'!E2062</f>
        <v>0</v>
      </c>
      <c r="G2062" s="1551" t="n">
        <f aca="false">'Смета Внутр'!H2062</f>
        <v>0</v>
      </c>
      <c r="I2062" s="3179" t="n">
        <f aca="false">IF(F2062&lt;H2062,F2062*(D2062-E2062),0)+IF(H2062=0,(D2062-E2062)*F2062,0)+IF(H2062&lt;F2062,H2062*(D2062-E2062),0)</f>
        <v>0</v>
      </c>
      <c r="J2062" s="3179" t="n">
        <f aca="false">G2062-I2062</f>
        <v>0</v>
      </c>
    </row>
    <row r="2063" customFormat="false" ht="15" hidden="false" customHeight="false" outlineLevel="0" collapsed="false">
      <c r="B2063" s="1551" t="str">
        <f aca="false">'Смета Внутр'!B2063</f>
        <v>Нет техники</v>
      </c>
      <c r="C2063" s="1551" t="str">
        <f aca="false">'Смета Внутр'!C2063</f>
        <v>ед.</v>
      </c>
      <c r="D2063" s="1551" t="n">
        <f aca="false">'Смета Внутр'!D2063</f>
        <v>0</v>
      </c>
      <c r="F2063" s="1551" t="n">
        <f aca="false">'Смета Внутр'!E2063</f>
        <v>0</v>
      </c>
      <c r="G2063" s="1551" t="n">
        <f aca="false">'Смета Внутр'!H2063</f>
        <v>0</v>
      </c>
      <c r="I2063" s="3179" t="n">
        <f aca="false">IF(F2063&lt;H2063,F2063*(D2063-E2063),0)+IF(H2063=0,(D2063-E2063)*F2063,0)+IF(H2063&lt;F2063,H2063*(D2063-E2063),0)</f>
        <v>0</v>
      </c>
      <c r="J2063" s="3179" t="n">
        <f aca="false">G2063-I2063</f>
        <v>0</v>
      </c>
    </row>
    <row r="2064" customFormat="false" ht="15" hidden="false" customHeight="false" outlineLevel="0" collapsed="false">
      <c r="B2064" s="1551" t="str">
        <f aca="false">'Смета Внутр'!B2064</f>
        <v>Нет техники</v>
      </c>
      <c r="C2064" s="1551" t="str">
        <f aca="false">'Смета Внутр'!C2064</f>
        <v>ед.</v>
      </c>
      <c r="D2064" s="1551" t="n">
        <f aca="false">'Смета Внутр'!D2064</f>
        <v>0</v>
      </c>
      <c r="F2064" s="1551" t="n">
        <f aca="false">'Смета Внутр'!E2064</f>
        <v>0</v>
      </c>
      <c r="G2064" s="1551" t="n">
        <f aca="false">'Смета Внутр'!H2064</f>
        <v>0</v>
      </c>
      <c r="I2064" s="3179" t="n">
        <f aca="false">IF(F2064&lt;H2064,F2064*(D2064-E2064),0)+IF(H2064=0,(D2064-E2064)*F2064,0)+IF(H2064&lt;F2064,H2064*(D2064-E2064),0)</f>
        <v>0</v>
      </c>
      <c r="J2064" s="3179" t="n">
        <f aca="false">G2064-I2064</f>
        <v>0</v>
      </c>
    </row>
    <row r="2065" customFormat="false" ht="15" hidden="false" customHeight="false" outlineLevel="0" collapsed="false">
      <c r="B2065" s="1551" t="str">
        <f aca="false">'Смета Внутр'!B2065</f>
        <v>Газель</v>
      </c>
      <c r="C2065" s="1551" t="str">
        <f aca="false">'Смета Внутр'!C2065</f>
        <v>ед.</v>
      </c>
      <c r="D2065" s="1551" t="n">
        <f aca="false">'Смета Внутр'!D2065</f>
        <v>0</v>
      </c>
      <c r="F2065" s="1551" t="n">
        <f aca="false">'Смета Внутр'!E2065</f>
        <v>1700</v>
      </c>
      <c r="G2065" s="1551" t="n">
        <f aca="false">'Смета Внутр'!H2065</f>
        <v>0</v>
      </c>
      <c r="I2065" s="3179" t="n">
        <f aca="false">IF(F2065&lt;H2065,F2065*(D2065-E2065),0)+IF(H2065=0,(D2065-E2065)*F2065,0)+IF(H2065&lt;F2065,H2065*(D2065-E2065),0)</f>
        <v>0</v>
      </c>
      <c r="J2065" s="3179" t="n">
        <f aca="false">G2065-I2065</f>
        <v>0</v>
      </c>
    </row>
    <row r="2066" customFormat="false" ht="15" hidden="false" customHeight="false" outlineLevel="0" collapsed="false">
      <c r="B2066" s="1551" t="str">
        <f aca="false">'Смета Внутр'!B2066</f>
        <v>Доставка материала Фура</v>
      </c>
      <c r="C2066" s="1551" t="str">
        <f aca="false">'Смета Внутр'!C2066</f>
        <v>ед.</v>
      </c>
      <c r="D2066" s="1551" t="n">
        <f aca="false">'Смета Внутр'!D2066</f>
        <v>0</v>
      </c>
      <c r="F2066" s="1551" t="n">
        <f aca="false">'Смета Внутр'!E2066</f>
        <v>2500</v>
      </c>
      <c r="G2066" s="1551" t="n">
        <f aca="false">'Смета Внутр'!H2066</f>
        <v>0</v>
      </c>
      <c r="I2066" s="3179" t="n">
        <f aca="false">IF(F2066&lt;H2066,F2066*(D2066-E2066),0)+IF(H2066=0,(D2066-E2066)*F2066,0)+IF(H2066&lt;F2066,H2066*(D2066-E2066),0)</f>
        <v>0</v>
      </c>
      <c r="J2066" s="3179" t="n">
        <f aca="false">G2066-I2066</f>
        <v>0</v>
      </c>
    </row>
    <row r="2067" customFormat="false" ht="15" hidden="false" customHeight="false" outlineLevel="0" collapsed="false">
      <c r="B2067" s="1551" t="str">
        <f aca="false">'Смета Внутр'!B2067</f>
        <v>Воровайка</v>
      </c>
      <c r="C2067" s="1551" t="str">
        <f aca="false">'Смета Внутр'!C2067</f>
        <v>ед.</v>
      </c>
      <c r="D2067" s="1551" t="n">
        <f aca="false">'Смета Внутр'!D2067</f>
        <v>0</v>
      </c>
      <c r="F2067" s="1551" t="n">
        <f aca="false">'Смета Внутр'!E2067</f>
        <v>3500</v>
      </c>
      <c r="G2067" s="1551" t="n">
        <f aca="false">'Смета Внутр'!H2067</f>
        <v>0</v>
      </c>
      <c r="I2067" s="3179" t="n">
        <f aca="false">IF(F2067&lt;H2067,F2067*(D2067-E2067),0)+IF(H2067=0,(D2067-E2067)*F2067,0)+IF(H2067&lt;F2067,H2067*(D2067-E2067),0)</f>
        <v>0</v>
      </c>
      <c r="J2067" s="3179" t="n">
        <f aca="false">G2067-I2067</f>
        <v>0</v>
      </c>
    </row>
    <row r="2068" customFormat="false" ht="15" hidden="false" customHeight="false" outlineLevel="0" collapsed="false">
      <c r="B2068" s="1551" t="str">
        <f aca="false">'Смета Внутр'!B2068</f>
        <v>Нет техники</v>
      </c>
      <c r="C2068" s="1551" t="str">
        <f aca="false">'Смета Внутр'!C2068</f>
        <v>ед.</v>
      </c>
      <c r="D2068" s="1551" t="n">
        <f aca="false">'Смета Внутр'!D2068</f>
        <v>4</v>
      </c>
      <c r="F2068" s="1551" t="n">
        <f aca="false">'Смета Внутр'!E2068</f>
        <v>0</v>
      </c>
      <c r="G2068" s="1551" t="n">
        <f aca="false">'Смета Внутр'!H2068</f>
        <v>0</v>
      </c>
      <c r="I2068" s="3179" t="n">
        <f aca="false">IF(F2068&lt;H2068,F2068*(D2068-E2068),0)+IF(H2068=0,(D2068-E2068)*F2068,0)+IF(H2068&lt;F2068,H2068*(D2068-E2068),0)</f>
        <v>0</v>
      </c>
      <c r="J2068" s="3179" t="n">
        <f aca="false">G2068-I2068</f>
        <v>0</v>
      </c>
    </row>
    <row r="2069" customFormat="false" ht="15" hidden="false" customHeight="false" outlineLevel="0" collapsed="false">
      <c r="B2069" s="1551" t="str">
        <f aca="false">'Смета Внутр'!B2069</f>
        <v>Нет техники</v>
      </c>
      <c r="C2069" s="1551" t="str">
        <f aca="false">'Смета Внутр'!C2069</f>
        <v>ед.</v>
      </c>
      <c r="D2069" s="1551" t="n">
        <f aca="false">'Смета Внутр'!D2069</f>
        <v>0</v>
      </c>
      <c r="F2069" s="1551" t="n">
        <f aca="false">'Смета Внутр'!E2069</f>
        <v>0</v>
      </c>
      <c r="G2069" s="1551" t="n">
        <f aca="false">'Смета Внутр'!H2069</f>
        <v>0</v>
      </c>
      <c r="I2069" s="3179" t="n">
        <f aca="false">IF(F2069&lt;H2069,F2069*(D2069-E2069),0)+IF(H2069=0,(D2069-E2069)*F2069,0)+IF(H2069&lt;F2069,H2069*(D2069-E2069),0)</f>
        <v>0</v>
      </c>
      <c r="J2069" s="3179" t="n">
        <f aca="false">G2069-I2069</f>
        <v>0</v>
      </c>
    </row>
    <row r="2070" customFormat="false" ht="15" hidden="false" customHeight="false" outlineLevel="0" collapsed="false">
      <c r="B2070" s="1551" t="str">
        <f aca="false">'Смета Внутр'!B2070</f>
        <v>Нет техники</v>
      </c>
      <c r="C2070" s="1551" t="str">
        <f aca="false">'Смета Внутр'!C2070</f>
        <v>ед.</v>
      </c>
      <c r="D2070" s="1551" t="n">
        <f aca="false">'Смета Внутр'!D2070</f>
        <v>4</v>
      </c>
      <c r="F2070" s="1551" t="n">
        <f aca="false">'Смета Внутр'!E2070</f>
        <v>0</v>
      </c>
      <c r="G2070" s="1551" t="n">
        <f aca="false">'Смета Внутр'!H2070</f>
        <v>0</v>
      </c>
      <c r="I2070" s="3179" t="n">
        <f aca="false">IF(F2070&lt;H2070,F2070*(D2070-E2070),0)+IF(H2070=0,(D2070-E2070)*F2070,0)+IF(H2070&lt;F2070,H2070*(D2070-E2070),0)</f>
        <v>0</v>
      </c>
      <c r="J2070" s="3179" t="n">
        <f aca="false">G2070-I2070</f>
        <v>0</v>
      </c>
    </row>
    <row r="2071" customFormat="false" ht="15" hidden="false" customHeight="false" outlineLevel="0" collapsed="false">
      <c r="B2071" s="1551" t="str">
        <f aca="false">'Смета Внутр'!B2071</f>
        <v>Нет техники</v>
      </c>
      <c r="C2071" s="1551" t="str">
        <f aca="false">'Смета Внутр'!C2071</f>
        <v>ед.</v>
      </c>
      <c r="D2071" s="1551" t="n">
        <f aca="false">'Смета Внутр'!D2071</f>
        <v>0</v>
      </c>
      <c r="F2071" s="1551" t="n">
        <f aca="false">'Смета Внутр'!E2071</f>
        <v>0</v>
      </c>
      <c r="G2071" s="1551" t="n">
        <f aca="false">'Смета Внутр'!H2071</f>
        <v>0</v>
      </c>
      <c r="I2071" s="3179" t="n">
        <f aca="false">IF(F2071&lt;H2071,F2071*(D2071-E2071),0)+IF(H2071=0,(D2071-E2071)*F2071,0)+IF(H2071&lt;F2071,H2071*(D2071-E2071),0)</f>
        <v>0</v>
      </c>
      <c r="J2071" s="3179" t="n">
        <f aca="false">G2071-I2071</f>
        <v>0</v>
      </c>
    </row>
    <row r="2072" customFormat="false" ht="15" hidden="false" customHeight="false" outlineLevel="0" collapsed="false">
      <c r="B2072" s="1551" t="str">
        <f aca="false">'Смета Внутр'!B2072</f>
        <v>Нет техники</v>
      </c>
      <c r="C2072" s="1551" t="str">
        <f aca="false">'Смета Внутр'!C2072</f>
        <v>ед.</v>
      </c>
      <c r="D2072" s="1551" t="n">
        <f aca="false">'Смета Внутр'!D2072</f>
        <v>0</v>
      </c>
      <c r="F2072" s="1551" t="n">
        <f aca="false">'Смета Внутр'!E2072</f>
        <v>0</v>
      </c>
      <c r="G2072" s="1551" t="n">
        <f aca="false">'Смета Внутр'!H2072</f>
        <v>0</v>
      </c>
      <c r="I2072" s="3179" t="n">
        <f aca="false">IF(F2072&lt;H2072,F2072*(D2072-E2072),0)+IF(H2072=0,(D2072-E2072)*F2072,0)+IF(H2072&lt;F2072,H2072*(D2072-E2072),0)</f>
        <v>0</v>
      </c>
      <c r="J2072" s="3179" t="n">
        <f aca="false">G2072-I2072</f>
        <v>0</v>
      </c>
    </row>
    <row r="2073" customFormat="false" ht="15" hidden="false" customHeight="false" outlineLevel="0" collapsed="false">
      <c r="B2073" s="1551" t="str">
        <f aca="false">'Смета Внутр'!B2073</f>
        <v>Нет техники</v>
      </c>
      <c r="C2073" s="1551" t="str">
        <f aca="false">'Смета Внутр'!C2073</f>
        <v>ед.</v>
      </c>
      <c r="D2073" s="1551" t="n">
        <f aca="false">'Смета Внутр'!D2073</f>
        <v>0</v>
      </c>
      <c r="F2073" s="1551" t="n">
        <f aca="false">'Смета Внутр'!E2073</f>
        <v>0</v>
      </c>
      <c r="G2073" s="1551" t="n">
        <f aca="false">'Смета Внутр'!H2073</f>
        <v>0</v>
      </c>
      <c r="I2073" s="3179" t="n">
        <f aca="false">IF(F2073&lt;H2073,F2073*(D2073-E2073),0)+IF(H2073=0,(D2073-E2073)*F2073,0)+IF(H2073&lt;F2073,H2073*(D2073-E2073),0)</f>
        <v>0</v>
      </c>
      <c r="J2073" s="3179" t="n">
        <f aca="false">G2073-I2073</f>
        <v>0</v>
      </c>
    </row>
    <row r="2074" customFormat="false" ht="15" hidden="false" customHeight="false" outlineLevel="0" collapsed="false">
      <c r="B2074" s="1551" t="str">
        <f aca="false">'Смета Внутр'!B2074</f>
        <v>Нет техники</v>
      </c>
      <c r="C2074" s="1551" t="str">
        <f aca="false">'Смета Внутр'!C2074</f>
        <v>ед.</v>
      </c>
      <c r="D2074" s="1551" t="n">
        <f aca="false">'Смета Внутр'!D2074</f>
        <v>4</v>
      </c>
      <c r="F2074" s="1551" t="n">
        <f aca="false">'Смета Внутр'!E2074</f>
        <v>0</v>
      </c>
      <c r="G2074" s="1551" t="n">
        <f aca="false">'Смета Внутр'!H2074</f>
        <v>0</v>
      </c>
      <c r="I2074" s="3179" t="n">
        <f aca="false">IF(F2074&lt;H2074,F2074*(D2074-E2074),0)+IF(H2074=0,(D2074-E2074)*F2074,0)+IF(H2074&lt;F2074,H2074*(D2074-E2074),0)</f>
        <v>0</v>
      </c>
      <c r="J2074" s="3179" t="n">
        <f aca="false">G2074-I2074</f>
        <v>0</v>
      </c>
    </row>
    <row r="2075" customFormat="false" ht="15" hidden="false" customHeight="false" outlineLevel="0" collapsed="false">
      <c r="B2075" s="1551" t="str">
        <f aca="false">'Смета Внутр'!B2075</f>
        <v>Нет техники</v>
      </c>
      <c r="C2075" s="1551" t="str">
        <f aca="false">'Смета Внутр'!C2075</f>
        <v>ед.</v>
      </c>
      <c r="D2075" s="1551" t="n">
        <f aca="false">'Смета Внутр'!D2075</f>
        <v>0</v>
      </c>
      <c r="F2075" s="1551" t="n">
        <f aca="false">'Смета Внутр'!E2075</f>
        <v>0</v>
      </c>
      <c r="G2075" s="1551" t="n">
        <f aca="false">'Смета Внутр'!H2075</f>
        <v>0</v>
      </c>
      <c r="I2075" s="3179" t="n">
        <f aca="false">IF(F2075&lt;H2075,F2075*(D2075-E2075),0)+IF(H2075=0,(D2075-E2075)*F2075,0)+IF(H2075&lt;F2075,H2075*(D2075-E2075),0)</f>
        <v>0</v>
      </c>
      <c r="J2075" s="3179" t="n">
        <f aca="false">G2075-I2075</f>
        <v>0</v>
      </c>
    </row>
    <row r="2076" customFormat="false" ht="15" hidden="false" customHeight="false" outlineLevel="0" collapsed="false">
      <c r="B2076" s="1551" t="str">
        <f aca="false">'Смета Внутр'!B2076</f>
        <v>Нет техники</v>
      </c>
      <c r="C2076" s="1551" t="str">
        <f aca="false">'Смета Внутр'!C2076</f>
        <v>ед.</v>
      </c>
      <c r="D2076" s="1551" t="n">
        <f aca="false">'Смета Внутр'!D2076</f>
        <v>0</v>
      </c>
      <c r="F2076" s="1551" t="n">
        <f aca="false">'Смета Внутр'!E2076</f>
        <v>0</v>
      </c>
      <c r="G2076" s="1551" t="n">
        <f aca="false">'Смета Внутр'!H2076</f>
        <v>0</v>
      </c>
      <c r="I2076" s="3179" t="n">
        <f aca="false">IF(F2076&lt;H2076,F2076*(D2076-E2076),0)+IF(H2076=0,(D2076-E2076)*F2076,0)+IF(H2076&lt;F2076,H2076*(D2076-E2076),0)</f>
        <v>0</v>
      </c>
      <c r="J2076" s="3179" t="n">
        <f aca="false">G2076-I2076</f>
        <v>0</v>
      </c>
    </row>
    <row r="2077" customFormat="false" ht="15" hidden="false" customHeight="false" outlineLevel="0" collapsed="false">
      <c r="B2077" s="1551" t="str">
        <f aca="false">'Смета Внутр'!B2077</f>
        <v>Нет техники</v>
      </c>
      <c r="C2077" s="1551" t="str">
        <f aca="false">'Смета Внутр'!C2077</f>
        <v>ед.</v>
      </c>
      <c r="D2077" s="1551" t="n">
        <f aca="false">'Смета Внутр'!D2077</f>
        <v>0</v>
      </c>
      <c r="F2077" s="1551" t="n">
        <f aca="false">'Смета Внутр'!E2077</f>
        <v>0</v>
      </c>
      <c r="G2077" s="1551" t="n">
        <f aca="false">'Смета Внутр'!H2077</f>
        <v>0</v>
      </c>
      <c r="I2077" s="3179" t="n">
        <f aca="false">IF(F2077&lt;H2077,F2077*(D2077-E2077),0)+IF(H2077=0,(D2077-E2077)*F2077,0)+IF(H2077&lt;F2077,H2077*(D2077-E2077),0)</f>
        <v>0</v>
      </c>
      <c r="J2077" s="3179" t="n">
        <f aca="false">G2077-I2077</f>
        <v>0</v>
      </c>
    </row>
    <row r="2078" customFormat="false" ht="15" hidden="false" customHeight="false" outlineLevel="0" collapsed="false">
      <c r="B2078" s="1551" t="str">
        <f aca="false">'Смета Внутр'!B2078</f>
        <v>Нет техники</v>
      </c>
      <c r="C2078" s="1551" t="str">
        <f aca="false">'Смета Внутр'!C2078</f>
        <v>ед.</v>
      </c>
      <c r="D2078" s="1551" t="n">
        <f aca="false">'Смета Внутр'!D2078</f>
        <v>0</v>
      </c>
      <c r="F2078" s="1551" t="n">
        <f aca="false">'Смета Внутр'!E2078</f>
        <v>0</v>
      </c>
      <c r="G2078" s="1551" t="n">
        <f aca="false">'Смета Внутр'!H2078</f>
        <v>0</v>
      </c>
      <c r="I2078" s="3179" t="n">
        <f aca="false">IF(F2078&lt;H2078,F2078*(D2078-E2078),0)+IF(H2078=0,(D2078-E2078)*F2078,0)+IF(H2078&lt;F2078,H2078*(D2078-E2078),0)</f>
        <v>0</v>
      </c>
      <c r="J2078" s="3179" t="n">
        <f aca="false">G2078-I2078</f>
        <v>0</v>
      </c>
    </row>
    <row r="2079" customFormat="false" ht="15" hidden="false" customHeight="false" outlineLevel="0" collapsed="false">
      <c r="B2079" s="1551" t="str">
        <f aca="false">'Смета Внутр'!B2079</f>
        <v>Нет техники</v>
      </c>
      <c r="C2079" s="1551" t="str">
        <f aca="false">'Смета Внутр'!C2079</f>
        <v>ед.</v>
      </c>
      <c r="D2079" s="1551" t="n">
        <f aca="false">'Смета Внутр'!D2079</f>
        <v>0</v>
      </c>
      <c r="F2079" s="1551" t="n">
        <f aca="false">'Смета Внутр'!E2079</f>
        <v>0</v>
      </c>
      <c r="G2079" s="1551" t="n">
        <f aca="false">'Смета Внутр'!H2079</f>
        <v>0</v>
      </c>
      <c r="I2079" s="3179" t="n">
        <f aca="false">IF(F2079&lt;H2079,F2079*(D2079-E2079),0)+IF(H2079=0,(D2079-E2079)*F2079,0)+IF(H2079&lt;F2079,H2079*(D2079-E2079),0)</f>
        <v>0</v>
      </c>
      <c r="J2079" s="3179" t="n">
        <f aca="false">G2079-I2079</f>
        <v>0</v>
      </c>
    </row>
    <row r="2080" customFormat="false" ht="15" hidden="false" customHeight="false" outlineLevel="0" collapsed="false">
      <c r="B2080" s="1551" t="str">
        <f aca="false">'Смета Внутр'!B2080</f>
        <v>Нет техники</v>
      </c>
      <c r="C2080" s="1551" t="str">
        <f aca="false">'Смета Внутр'!C2080</f>
        <v>ед.</v>
      </c>
      <c r="D2080" s="1551" t="n">
        <f aca="false">'Смета Внутр'!D2080</f>
        <v>1</v>
      </c>
      <c r="F2080" s="1551" t="n">
        <f aca="false">'Смета Внутр'!E2080</f>
        <v>0</v>
      </c>
      <c r="G2080" s="1551" t="n">
        <f aca="false">'Смета Внутр'!H2080</f>
        <v>0</v>
      </c>
      <c r="I2080" s="3179" t="n">
        <f aca="false">IF(F2080&lt;H2080,F2080*(D2080-E2080),0)+IF(H2080=0,(D2080-E2080)*F2080,0)+IF(H2080&lt;F2080,H2080*(D2080-E2080),0)</f>
        <v>0</v>
      </c>
      <c r="J2080" s="3179" t="n">
        <f aca="false">G2080-I2080</f>
        <v>0</v>
      </c>
    </row>
    <row r="2081" customFormat="false" ht="15" hidden="false" customHeight="false" outlineLevel="0" collapsed="false">
      <c r="B2081" s="1551" t="str">
        <f aca="false">'Смета Внутр'!B2081</f>
        <v>Нет техники</v>
      </c>
      <c r="C2081" s="1551" t="str">
        <f aca="false">'Смета Внутр'!C2081</f>
        <v>ед.</v>
      </c>
      <c r="D2081" s="1551" t="n">
        <f aca="false">'Смета Внутр'!D2081</f>
        <v>0</v>
      </c>
      <c r="F2081" s="1551" t="n">
        <f aca="false">'Смета Внутр'!E2081</f>
        <v>0</v>
      </c>
      <c r="G2081" s="1551" t="n">
        <f aca="false">'Смета Внутр'!H2081</f>
        <v>0</v>
      </c>
      <c r="I2081" s="3179" t="n">
        <f aca="false">IF(F2081&lt;H2081,F2081*(D2081-E2081),0)+IF(H2081=0,(D2081-E2081)*F2081,0)+IF(H2081&lt;F2081,H2081*(D2081-E2081),0)</f>
        <v>0</v>
      </c>
      <c r="J2081" s="3179" t="n">
        <f aca="false">G2081-I2081</f>
        <v>0</v>
      </c>
    </row>
    <row r="2082" customFormat="false" ht="15" hidden="false" customHeight="false" outlineLevel="0" collapsed="false">
      <c r="B2082" s="1551" t="str">
        <f aca="false">'Смета Внутр'!B2082</f>
        <v>Нет техники</v>
      </c>
      <c r="C2082" s="1551" t="str">
        <f aca="false">'Смета Внутр'!C2082</f>
        <v>ед.</v>
      </c>
      <c r="D2082" s="1551" t="n">
        <f aca="false">'Смета Внутр'!D2082</f>
        <v>1</v>
      </c>
      <c r="F2082" s="1551" t="n">
        <f aca="false">'Смета Внутр'!E2082</f>
        <v>0</v>
      </c>
      <c r="G2082" s="1551" t="n">
        <f aca="false">'Смета Внутр'!H2082</f>
        <v>0</v>
      </c>
      <c r="I2082" s="3179" t="n">
        <f aca="false">IF(F2082&lt;H2082,F2082*(D2082-E2082),0)+IF(H2082=0,(D2082-E2082)*F2082,0)+IF(H2082&lt;F2082,H2082*(D2082-E2082),0)</f>
        <v>0</v>
      </c>
      <c r="J2082" s="3179" t="n">
        <f aca="false">G2082-I2082</f>
        <v>0</v>
      </c>
    </row>
    <row r="2083" customFormat="false" ht="15" hidden="false" customHeight="false" outlineLevel="0" collapsed="false">
      <c r="B2083" s="1551" t="str">
        <f aca="false">'Смета Внутр'!B2083</f>
        <v>Нет техники</v>
      </c>
      <c r="C2083" s="1551" t="str">
        <f aca="false">'Смета Внутр'!C2083</f>
        <v>ед.</v>
      </c>
      <c r="D2083" s="1551" t="n">
        <f aca="false">'Смета Внутр'!D2083</f>
        <v>0</v>
      </c>
      <c r="F2083" s="1551" t="n">
        <f aca="false">'Смета Внутр'!E2083</f>
        <v>0</v>
      </c>
      <c r="G2083" s="1551" t="n">
        <f aca="false">'Смета Внутр'!H2083</f>
        <v>0</v>
      </c>
      <c r="I2083" s="3179" t="n">
        <f aca="false">IF(F2083&lt;H2083,F2083*(D2083-E2083),0)+IF(H2083=0,(D2083-E2083)*F2083,0)+IF(H2083&lt;F2083,H2083*(D2083-E2083),0)</f>
        <v>0</v>
      </c>
      <c r="J2083" s="3179" t="n">
        <f aca="false">G2083-I2083</f>
        <v>0</v>
      </c>
    </row>
    <row r="2084" customFormat="false" ht="15" hidden="false" customHeight="false" outlineLevel="0" collapsed="false">
      <c r="B2084" s="1551" t="str">
        <f aca="false">'Смета Внутр'!B2084</f>
        <v>Экскаватор погрузчик</v>
      </c>
      <c r="C2084" s="1551" t="str">
        <f aca="false">'Смета Внутр'!C2084</f>
        <v>ед.</v>
      </c>
      <c r="D2084" s="1551" t="n">
        <f aca="false">'Смета Внутр'!D2084</f>
        <v>5</v>
      </c>
      <c r="F2084" s="1551" t="n">
        <f aca="false">'Смета Внутр'!E2084</f>
        <v>2200</v>
      </c>
      <c r="G2084" s="1551" t="n">
        <f aca="false">'Смета Внутр'!H2084</f>
        <v>0</v>
      </c>
      <c r="I2084" s="3179" t="n">
        <f aca="false">IF(F2084&lt;H2084,F2084*(D2084-E2084),0)+IF(H2084=0,(D2084-E2084)*F2084,0)+IF(H2084&lt;F2084,H2084*(D2084-E2084),0)</f>
        <v>11000</v>
      </c>
      <c r="J2084" s="3179" t="n">
        <f aca="false">G2084-I2084</f>
        <v>-11000</v>
      </c>
    </row>
    <row r="2085" customFormat="false" ht="15" hidden="false" customHeight="false" outlineLevel="0" collapsed="false">
      <c r="B2085" s="1551" t="str">
        <f aca="false">'Смета Внутр'!B2085</f>
        <v>Манипулятор 5т</v>
      </c>
      <c r="C2085" s="1551" t="str">
        <f aca="false">'Смета Внутр'!C2085</f>
        <v>ед.</v>
      </c>
      <c r="D2085" s="1551" t="n">
        <f aca="false">'Смета Внутр'!D2085</f>
        <v>3</v>
      </c>
      <c r="F2085" s="1551" t="n">
        <f aca="false">'Смета Внутр'!E2085</f>
        <v>2500</v>
      </c>
      <c r="G2085" s="1551" t="n">
        <f aca="false">'Смета Внутр'!H2085</f>
        <v>0</v>
      </c>
      <c r="I2085" s="3179" t="n">
        <f aca="false">IF(F2085&lt;H2085,F2085*(D2085-E2085),0)+IF(H2085=0,(D2085-E2085)*F2085,0)+IF(H2085&lt;F2085,H2085*(D2085-E2085),0)</f>
        <v>7500</v>
      </c>
      <c r="J2085" s="3179" t="n">
        <f aca="false">G2085-I2085</f>
        <v>-7500</v>
      </c>
    </row>
    <row r="2086" customFormat="false" ht="15" hidden="false" customHeight="false" outlineLevel="0" collapsed="false">
      <c r="B2086" s="1551" t="str">
        <f aca="false">'Смета Внутр'!B2086</f>
        <v>Нет техники</v>
      </c>
      <c r="C2086" s="1551" t="str">
        <f aca="false">'Смета Внутр'!C2086</f>
        <v>ед.</v>
      </c>
      <c r="D2086" s="1551" t="n">
        <f aca="false">'Смета Внутр'!D2086</f>
        <v>4</v>
      </c>
      <c r="F2086" s="1551" t="n">
        <f aca="false">'Смета Внутр'!E2086</f>
        <v>0</v>
      </c>
      <c r="G2086" s="1551" t="n">
        <f aca="false">'Смета Внутр'!H2086</f>
        <v>0</v>
      </c>
      <c r="I2086" s="3179" t="n">
        <f aca="false">IF(F2086&lt;H2086,F2086*(D2086-E2086),0)+IF(H2086=0,(D2086-E2086)*F2086,0)+IF(H2086&lt;F2086,H2086*(D2086-E2086),0)</f>
        <v>0</v>
      </c>
      <c r="J2086" s="3179" t="n">
        <f aca="false">G2086-I2086</f>
        <v>0</v>
      </c>
    </row>
    <row r="2087" customFormat="false" ht="15" hidden="false" customHeight="false" outlineLevel="0" collapsed="false">
      <c r="B2087" s="1551" t="str">
        <f aca="false">'Смета Внутр'!B2087</f>
        <v>Нет техники</v>
      </c>
      <c r="C2087" s="1551" t="str">
        <f aca="false">'Смета Внутр'!C2087</f>
        <v>ед.</v>
      </c>
      <c r="D2087" s="1551" t="n">
        <f aca="false">'Смета Внутр'!D2087</f>
        <v>0</v>
      </c>
      <c r="F2087" s="1551" t="n">
        <f aca="false">'Смета Внутр'!E2087</f>
        <v>0</v>
      </c>
      <c r="G2087" s="1551" t="n">
        <f aca="false">'Смета Внутр'!H2087</f>
        <v>0</v>
      </c>
      <c r="I2087" s="3179" t="n">
        <f aca="false">IF(F2087&lt;H2087,F2087*(D2087-E2087),0)+IF(H2087=0,(D2087-E2087)*F2087,0)+IF(H2087&lt;F2087,H2087*(D2087-E2087),0)</f>
        <v>0</v>
      </c>
      <c r="J2087" s="3179" t="n">
        <f aca="false">G2087-I2087</f>
        <v>0</v>
      </c>
    </row>
    <row r="2088" customFormat="false" ht="15" hidden="false" customHeight="false" outlineLevel="0" collapsed="false">
      <c r="B2088" s="1551" t="str">
        <f aca="false">'Смета Внутр'!B2088</f>
        <v>Нет техники</v>
      </c>
      <c r="C2088" s="1551" t="str">
        <f aca="false">'Смета Внутр'!C2088</f>
        <v>ед.</v>
      </c>
      <c r="D2088" s="1551" t="n">
        <f aca="false">'Смета Внутр'!D2088</f>
        <v>0</v>
      </c>
      <c r="F2088" s="1551" t="n">
        <f aca="false">'Смета Внутр'!E2088</f>
        <v>0</v>
      </c>
      <c r="G2088" s="1551" t="n">
        <f aca="false">'Смета Внутр'!H2088</f>
        <v>0</v>
      </c>
      <c r="I2088" s="3179" t="n">
        <f aca="false">IF(F2088&lt;H2088,F2088*(D2088-E2088),0)+IF(H2088=0,(D2088-E2088)*F2088,0)+IF(H2088&lt;F2088,H2088*(D2088-E2088),0)</f>
        <v>0</v>
      </c>
      <c r="J2088" s="3179" t="n">
        <f aca="false">G2088-I2088</f>
        <v>0</v>
      </c>
    </row>
    <row r="2089" customFormat="false" ht="15" hidden="false" customHeight="false" outlineLevel="0" collapsed="false">
      <c r="B2089" s="1551" t="str">
        <f aca="false">'Смета Внутр'!B2089</f>
        <v>Нет техники</v>
      </c>
      <c r="C2089" s="1551" t="str">
        <f aca="false">'Смета Внутр'!C2089</f>
        <v>ед.</v>
      </c>
      <c r="D2089" s="1551" t="n">
        <f aca="false">'Смета Внутр'!D2089</f>
        <v>0</v>
      </c>
      <c r="F2089" s="1551" t="n">
        <f aca="false">'Смета Внутр'!E2089</f>
        <v>0</v>
      </c>
      <c r="G2089" s="1551" t="n">
        <f aca="false">'Смета Внутр'!H2089</f>
        <v>0</v>
      </c>
      <c r="I2089" s="3179" t="n">
        <f aca="false">IF(F2089&lt;H2089,F2089*(D2089-E2089),0)+IF(H2089=0,(D2089-E2089)*F2089,0)+IF(H2089&lt;F2089,H2089*(D2089-E2089),0)</f>
        <v>0</v>
      </c>
      <c r="J2089" s="3179" t="n">
        <f aca="false">G2089-I2089</f>
        <v>0</v>
      </c>
    </row>
    <row r="2090" customFormat="false" ht="15" hidden="false" customHeight="false" outlineLevel="0" collapsed="false">
      <c r="B2090" s="1551" t="str">
        <f aca="false">'Смета Внутр'!B2090</f>
        <v>Нет техники</v>
      </c>
      <c r="C2090" s="1551" t="str">
        <f aca="false">'Смета Внутр'!C2090</f>
        <v>ед.</v>
      </c>
      <c r="D2090" s="1551" t="n">
        <f aca="false">'Смета Внутр'!D2090</f>
        <v>4</v>
      </c>
      <c r="F2090" s="1551" t="n">
        <f aca="false">'Смета Внутр'!E2090</f>
        <v>0</v>
      </c>
      <c r="G2090" s="1551" t="n">
        <f aca="false">'Смета Внутр'!H2090</f>
        <v>0</v>
      </c>
      <c r="I2090" s="3179" t="n">
        <f aca="false">IF(F2090&lt;H2090,F2090*(D2090-E2090),0)+IF(H2090=0,(D2090-E2090)*F2090,0)+IF(H2090&lt;F2090,H2090*(D2090-E2090),0)</f>
        <v>0</v>
      </c>
      <c r="J2090" s="3179" t="n">
        <f aca="false">G2090-I2090</f>
        <v>0</v>
      </c>
    </row>
    <row r="2091" customFormat="false" ht="15" hidden="false" customHeight="false" outlineLevel="0" collapsed="false">
      <c r="B2091" s="1551" t="str">
        <f aca="false">'Смета Внутр'!B2091</f>
        <v>Нет техники</v>
      </c>
      <c r="C2091" s="1551" t="str">
        <f aca="false">'Смета Внутр'!C2091</f>
        <v>ед.</v>
      </c>
      <c r="D2091" s="1551" t="n">
        <f aca="false">'Смета Внутр'!D2091</f>
        <v>0</v>
      </c>
      <c r="F2091" s="1551" t="n">
        <f aca="false">'Смета Внутр'!E2091</f>
        <v>0</v>
      </c>
      <c r="G2091" s="1551" t="n">
        <f aca="false">'Смета Внутр'!H2091</f>
        <v>0</v>
      </c>
      <c r="I2091" s="3179" t="n">
        <f aca="false">IF(F2091&lt;H2091,F2091*(D2091-E2091),0)+IF(H2091=0,(D2091-E2091)*F2091,0)+IF(H2091&lt;F2091,H2091*(D2091-E2091),0)</f>
        <v>0</v>
      </c>
      <c r="J2091" s="3179" t="n">
        <f aca="false">G2091-I2091</f>
        <v>0</v>
      </c>
    </row>
    <row r="2092" customFormat="false" ht="15" hidden="false" customHeight="false" outlineLevel="0" collapsed="false">
      <c r="B2092" s="1551" t="str">
        <f aca="false">'Смета Внутр'!B2092</f>
        <v>Нет техники</v>
      </c>
      <c r="C2092" s="1551" t="str">
        <f aca="false">'Смета Внутр'!C2092</f>
        <v>ед.</v>
      </c>
      <c r="D2092" s="1551" t="n">
        <f aca="false">'Смета Внутр'!D2092</f>
        <v>4</v>
      </c>
      <c r="F2092" s="1551" t="n">
        <f aca="false">'Смета Внутр'!E2092</f>
        <v>0</v>
      </c>
      <c r="G2092" s="1551" t="n">
        <f aca="false">'Смета Внутр'!H2092</f>
        <v>0</v>
      </c>
      <c r="I2092" s="3179" t="n">
        <f aca="false">IF(F2092&lt;H2092,F2092*(D2092-E2092),0)+IF(H2092=0,(D2092-E2092)*F2092,0)+IF(H2092&lt;F2092,H2092*(D2092-E2092),0)</f>
        <v>0</v>
      </c>
      <c r="J2092" s="3179" t="n">
        <f aca="false">G2092-I2092</f>
        <v>0</v>
      </c>
    </row>
    <row r="2093" customFormat="false" ht="15" hidden="false" customHeight="false" outlineLevel="0" collapsed="false">
      <c r="B2093" s="1551" t="str">
        <f aca="false">'Смета Внутр'!B2093</f>
        <v>Нет техники</v>
      </c>
      <c r="C2093" s="1551" t="str">
        <f aca="false">'Смета Внутр'!C2093</f>
        <v>ед.</v>
      </c>
      <c r="D2093" s="1551" t="n">
        <f aca="false">'Смета Внутр'!D2093</f>
        <v>0</v>
      </c>
      <c r="F2093" s="1551" t="n">
        <f aca="false">'Смета Внутр'!E2093</f>
        <v>0</v>
      </c>
      <c r="G2093" s="1551" t="n">
        <f aca="false">'Смета Внутр'!H2093</f>
        <v>0</v>
      </c>
      <c r="I2093" s="3179" t="n">
        <f aca="false">IF(F2093&lt;H2093,F2093*(D2093-E2093),0)+IF(H2093=0,(D2093-E2093)*F2093,0)+IF(H2093&lt;F2093,H2093*(D2093-E2093),0)</f>
        <v>0</v>
      </c>
      <c r="J2093" s="3179" t="n">
        <f aca="false">G2093-I2093</f>
        <v>0</v>
      </c>
    </row>
    <row r="2094" customFormat="false" ht="15" hidden="false" customHeight="false" outlineLevel="0" collapsed="false">
      <c r="B2094" s="1551" t="str">
        <f aca="false">'Смета Внутр'!B2094</f>
        <v>Нет техники</v>
      </c>
      <c r="C2094" s="1551" t="str">
        <f aca="false">'Смета Внутр'!C2094</f>
        <v>ед.</v>
      </c>
      <c r="D2094" s="1551" t="n">
        <f aca="false">'Смета Внутр'!D2094</f>
        <v>0</v>
      </c>
      <c r="F2094" s="1551" t="n">
        <f aca="false">'Смета Внутр'!E2094</f>
        <v>0</v>
      </c>
      <c r="G2094" s="1551" t="n">
        <f aca="false">'Смета Внутр'!H2094</f>
        <v>0</v>
      </c>
      <c r="I2094" s="3179" t="n">
        <f aca="false">IF(F2094&lt;H2094,F2094*(D2094-E2094),0)+IF(H2094=0,(D2094-E2094)*F2094,0)+IF(H2094&lt;F2094,H2094*(D2094-E2094),0)</f>
        <v>0</v>
      </c>
      <c r="J2094" s="3179" t="n">
        <f aca="false">G2094-I2094</f>
        <v>0</v>
      </c>
    </row>
    <row r="2095" customFormat="false" ht="15" hidden="false" customHeight="false" outlineLevel="0" collapsed="false">
      <c r="B2095" s="1551" t="str">
        <f aca="false">'Смета Внутр'!B2095</f>
        <v>Нет техники</v>
      </c>
      <c r="C2095" s="1551" t="str">
        <f aca="false">'Смета Внутр'!C2095</f>
        <v>ед.</v>
      </c>
      <c r="D2095" s="1551" t="n">
        <f aca="false">'Смета Внутр'!D2095</f>
        <v>0</v>
      </c>
      <c r="F2095" s="1551" t="n">
        <f aca="false">'Смета Внутр'!E2095</f>
        <v>0</v>
      </c>
      <c r="G2095" s="1551" t="n">
        <f aca="false">'Смета Внутр'!H2095</f>
        <v>0</v>
      </c>
      <c r="I2095" s="3179" t="n">
        <f aca="false">IF(F2095&lt;H2095,F2095*(D2095-E2095),0)+IF(H2095=0,(D2095-E2095)*F2095,0)+IF(H2095&lt;F2095,H2095*(D2095-E2095),0)</f>
        <v>0</v>
      </c>
      <c r="J2095" s="3179" t="n">
        <f aca="false">G2095-I2095</f>
        <v>0</v>
      </c>
    </row>
    <row r="2096" customFormat="false" ht="15" hidden="false" customHeight="false" outlineLevel="0" collapsed="false">
      <c r="B2096" s="1551" t="str">
        <f aca="false">'Смета Внутр'!B2096</f>
        <v>Нет техники</v>
      </c>
      <c r="C2096" s="1551" t="str">
        <f aca="false">'Смета Внутр'!C2096</f>
        <v>ед.</v>
      </c>
      <c r="D2096" s="1551" t="n">
        <f aca="false">'Смета Внутр'!D2096</f>
        <v>1</v>
      </c>
      <c r="F2096" s="1551" t="n">
        <f aca="false">'Смета Внутр'!E2096</f>
        <v>0</v>
      </c>
      <c r="G2096" s="1551" t="n">
        <f aca="false">'Смета Внутр'!H2096</f>
        <v>0</v>
      </c>
      <c r="I2096" s="3179" t="n">
        <f aca="false">IF(F2096&lt;H2096,F2096*(D2096-E2096),0)+IF(H2096=0,(D2096-E2096)*F2096,0)+IF(H2096&lt;F2096,H2096*(D2096-E2096),0)</f>
        <v>0</v>
      </c>
      <c r="J2096" s="3179" t="n">
        <f aca="false">G2096-I2096</f>
        <v>0</v>
      </c>
    </row>
    <row r="2097" customFormat="false" ht="15" hidden="false" customHeight="false" outlineLevel="0" collapsed="false">
      <c r="B2097" s="1551" t="str">
        <f aca="false">'Смета Внутр'!B2097</f>
        <v>Нет техники</v>
      </c>
      <c r="C2097" s="1551" t="str">
        <f aca="false">'Смета Внутр'!C2097</f>
        <v>ед.</v>
      </c>
      <c r="D2097" s="1551" t="n">
        <f aca="false">'Смета Внутр'!D2097</f>
        <v>0</v>
      </c>
      <c r="F2097" s="1551" t="n">
        <f aca="false">'Смета Внутр'!E2097</f>
        <v>0</v>
      </c>
      <c r="G2097" s="1551" t="n">
        <f aca="false">'Смета Внутр'!H2097</f>
        <v>0</v>
      </c>
      <c r="I2097" s="3179" t="n">
        <f aca="false">IF(F2097&lt;H2097,F2097*(D2097-E2097),0)+IF(H2097=0,(D2097-E2097)*F2097,0)+IF(H2097&lt;F2097,H2097*(D2097-E2097),0)</f>
        <v>0</v>
      </c>
      <c r="J2097" s="3179" t="n">
        <f aca="false">G2097-I2097</f>
        <v>0</v>
      </c>
    </row>
    <row r="2098" customFormat="false" ht="15" hidden="false" customHeight="false" outlineLevel="0" collapsed="false">
      <c r="B2098" s="1551" t="str">
        <f aca="false">'Смета Внутр'!B2098</f>
        <v>Нет техники</v>
      </c>
      <c r="C2098" s="1551" t="str">
        <f aca="false">'Смета Внутр'!C2098</f>
        <v>ед.</v>
      </c>
      <c r="D2098" s="1551" t="n">
        <f aca="false">'Смета Внутр'!D2098</f>
        <v>0</v>
      </c>
      <c r="F2098" s="1551" t="n">
        <f aca="false">'Смета Внутр'!E2098</f>
        <v>0</v>
      </c>
      <c r="G2098" s="1551" t="n">
        <f aca="false">'Смета Внутр'!H2098</f>
        <v>0</v>
      </c>
      <c r="I2098" s="3179" t="n">
        <f aca="false">IF(F2098&lt;H2098,F2098*(D2098-E2098),0)+IF(H2098=0,(D2098-E2098)*F2098,0)+IF(H2098&lt;F2098,H2098*(D2098-E2098),0)</f>
        <v>0</v>
      </c>
      <c r="J2098" s="3179" t="n">
        <f aca="false">G2098-I2098</f>
        <v>0</v>
      </c>
    </row>
    <row r="2099" customFormat="false" ht="15" hidden="false" customHeight="false" outlineLevel="0" collapsed="false">
      <c r="B2099" s="1551" t="str">
        <f aca="false">'Смета Внутр'!B2099</f>
        <v>Нет техники</v>
      </c>
      <c r="C2099" s="1551" t="str">
        <f aca="false">'Смета Внутр'!C2099</f>
        <v>ед.</v>
      </c>
      <c r="D2099" s="1551" t="n">
        <f aca="false">'Смета Внутр'!D2099</f>
        <v>0</v>
      </c>
      <c r="F2099" s="1551" t="n">
        <f aca="false">'Смета Внутр'!E2099</f>
        <v>0</v>
      </c>
      <c r="G2099" s="1551" t="n">
        <f aca="false">'Смета Внутр'!H2099</f>
        <v>0</v>
      </c>
      <c r="I2099" s="3179" t="n">
        <f aca="false">IF(F2099&lt;H2099,F2099*(D2099-E2099),0)+IF(H2099=0,(D2099-E2099)*F2099,0)+IF(H2099&lt;F2099,H2099*(D2099-E2099),0)</f>
        <v>0</v>
      </c>
      <c r="J2099" s="3179" t="n">
        <f aca="false">G2099-I2099</f>
        <v>0</v>
      </c>
    </row>
    <row r="2100" customFormat="false" ht="15" hidden="false" customHeight="false" outlineLevel="0" collapsed="false">
      <c r="B2100" s="1551" t="str">
        <f aca="false">'Смета Внутр'!B2100</f>
        <v>Нет техники</v>
      </c>
      <c r="C2100" s="1551" t="str">
        <f aca="false">'Смета Внутр'!C2100</f>
        <v>ед.</v>
      </c>
      <c r="D2100" s="1551" t="n">
        <f aca="false">'Смета Внутр'!D2100</f>
        <v>3</v>
      </c>
      <c r="F2100" s="1551" t="n">
        <f aca="false">'Смета Внутр'!E2100</f>
        <v>0</v>
      </c>
      <c r="G2100" s="1551" t="n">
        <f aca="false">'Смета Внутр'!H2100</f>
        <v>0</v>
      </c>
      <c r="I2100" s="3179" t="n">
        <f aca="false">IF(F2100&lt;H2100,F2100*(D2100-E2100),0)+IF(H2100=0,(D2100-E2100)*F2100,0)+IF(H2100&lt;F2100,H2100*(D2100-E2100),0)</f>
        <v>0</v>
      </c>
      <c r="J2100" s="3179" t="n">
        <f aca="false">G2100-I2100</f>
        <v>0</v>
      </c>
    </row>
    <row r="2101" customFormat="false" ht="15" hidden="false" customHeight="false" outlineLevel="0" collapsed="false">
      <c r="B2101" s="1551" t="str">
        <f aca="false">'Смета Внутр'!B2101</f>
        <v>Нет техники</v>
      </c>
      <c r="C2101" s="1551" t="str">
        <f aca="false">'Смета Внутр'!C2101</f>
        <v>ед.</v>
      </c>
      <c r="D2101" s="1551" t="n">
        <f aca="false">'Смета Внутр'!D2101</f>
        <v>0</v>
      </c>
      <c r="F2101" s="1551" t="n">
        <f aca="false">'Смета Внутр'!E2101</f>
        <v>0</v>
      </c>
      <c r="G2101" s="1551" t="n">
        <f aca="false">'Смета Внутр'!H2101</f>
        <v>0</v>
      </c>
      <c r="I2101" s="3179" t="n">
        <f aca="false">IF(F2101&lt;H2101,F2101*(D2101-E2101),0)+IF(H2101=0,(D2101-E2101)*F2101,0)+IF(H2101&lt;F2101,H2101*(D2101-E2101),0)</f>
        <v>0</v>
      </c>
      <c r="J2101" s="3179" t="n">
        <f aca="false">G2101-I2101</f>
        <v>0</v>
      </c>
    </row>
    <row r="2102" customFormat="false" ht="15" hidden="false" customHeight="false" outlineLevel="0" collapsed="false">
      <c r="B2102" s="1551" t="str">
        <f aca="false">'Смета Внутр'!B2102</f>
        <v>Нет техники</v>
      </c>
      <c r="C2102" s="1551" t="str">
        <f aca="false">'Смета Внутр'!C2102</f>
        <v>ед.</v>
      </c>
      <c r="D2102" s="1551" t="n">
        <f aca="false">'Смета Внутр'!D2102</f>
        <v>3</v>
      </c>
      <c r="F2102" s="1551" t="n">
        <f aca="false">'Смета Внутр'!E2102</f>
        <v>0</v>
      </c>
      <c r="G2102" s="1551" t="n">
        <f aca="false">'Смета Внутр'!H2102</f>
        <v>0</v>
      </c>
      <c r="I2102" s="3179" t="n">
        <f aca="false">IF(F2102&lt;H2102,F2102*(D2102-E2102),0)+IF(H2102=0,(D2102-E2102)*F2102,0)+IF(H2102&lt;F2102,H2102*(D2102-E2102),0)</f>
        <v>0</v>
      </c>
      <c r="J2102" s="3179" t="n">
        <f aca="false">G2102-I2102</f>
        <v>0</v>
      </c>
    </row>
    <row r="2103" customFormat="false" ht="15" hidden="false" customHeight="false" outlineLevel="0" collapsed="false">
      <c r="B2103" s="1551" t="str">
        <f aca="false">'Смета Внутр'!B2103</f>
        <v>Нет техники</v>
      </c>
      <c r="C2103" s="1551" t="str">
        <f aca="false">'Смета Внутр'!C2103</f>
        <v>ед.</v>
      </c>
      <c r="D2103" s="1551" t="n">
        <f aca="false">'Смета Внутр'!D2103</f>
        <v>0</v>
      </c>
      <c r="F2103" s="1551" t="n">
        <f aca="false">'Смета Внутр'!E2103</f>
        <v>0</v>
      </c>
      <c r="G2103" s="1551" t="n">
        <f aca="false">'Смета Внутр'!H2103</f>
        <v>0</v>
      </c>
      <c r="I2103" s="3179" t="n">
        <f aca="false">IF(F2103&lt;H2103,F2103*(D2103-E2103),0)+IF(H2103=0,(D2103-E2103)*F2103,0)+IF(H2103&lt;F2103,H2103*(D2103-E2103),0)</f>
        <v>0</v>
      </c>
      <c r="J2103" s="3179" t="n">
        <f aca="false">G2103-I2103</f>
        <v>0</v>
      </c>
    </row>
    <row r="2104" customFormat="false" ht="15" hidden="false" customHeight="false" outlineLevel="0" collapsed="false">
      <c r="B2104" s="1551" t="str">
        <f aca="false">'Смета Внутр'!B2104</f>
        <v>Нет техники</v>
      </c>
      <c r="C2104" s="1551" t="str">
        <f aca="false">'Смета Внутр'!C2104</f>
        <v>ед.</v>
      </c>
      <c r="D2104" s="1551" t="n">
        <f aca="false">'Смета Внутр'!D2104</f>
        <v>0</v>
      </c>
      <c r="F2104" s="1551" t="n">
        <f aca="false">'Смета Внутр'!E2104</f>
        <v>0</v>
      </c>
      <c r="G2104" s="1551" t="n">
        <f aca="false">'Смета Внутр'!H2104</f>
        <v>0</v>
      </c>
      <c r="I2104" s="3179" t="n">
        <f aca="false">IF(F2104&lt;H2104,F2104*(D2104-E2104),0)+IF(H2104=0,(D2104-E2104)*F2104,0)+IF(H2104&lt;F2104,H2104*(D2104-E2104),0)</f>
        <v>0</v>
      </c>
      <c r="J2104" s="3179" t="n">
        <f aca="false">G2104-I2104</f>
        <v>0</v>
      </c>
    </row>
    <row r="2105" customFormat="false" ht="15" hidden="false" customHeight="false" outlineLevel="0" collapsed="false">
      <c r="B2105" s="1551" t="str">
        <f aca="false">'Смета Внутр'!B2105</f>
        <v>Нет техники</v>
      </c>
      <c r="C2105" s="1551" t="str">
        <f aca="false">'Смета Внутр'!C2105</f>
        <v>ед.</v>
      </c>
      <c r="D2105" s="1551" t="n">
        <f aca="false">'Смета Внутр'!D2105</f>
        <v>0</v>
      </c>
      <c r="F2105" s="1551" t="n">
        <f aca="false">'Смета Внутр'!E2105</f>
        <v>0</v>
      </c>
      <c r="G2105" s="1551" t="n">
        <f aca="false">'Смета Внутр'!H2105</f>
        <v>0</v>
      </c>
      <c r="I2105" s="3179" t="n">
        <f aca="false">IF(F2105&lt;H2105,F2105*(D2105-E2105),0)+IF(H2105=0,(D2105-E2105)*F2105,0)+IF(H2105&lt;F2105,H2105*(D2105-E2105),0)</f>
        <v>0</v>
      </c>
      <c r="J2105" s="3179" t="n">
        <f aca="false">G2105-I2105</f>
        <v>0</v>
      </c>
    </row>
    <row r="2106" customFormat="false" ht="15" hidden="false" customHeight="false" outlineLevel="0" collapsed="false">
      <c r="B2106" s="1551" t="str">
        <f aca="false">'Смета Внутр'!B2106</f>
        <v>Нет техники</v>
      </c>
      <c r="C2106" s="1551" t="str">
        <f aca="false">'Смета Внутр'!C2106</f>
        <v>ед.</v>
      </c>
      <c r="D2106" s="1551" t="n">
        <f aca="false">'Смета Внутр'!D2106</f>
        <v>0</v>
      </c>
      <c r="F2106" s="1551" t="n">
        <f aca="false">'Смета Внутр'!E2106</f>
        <v>0</v>
      </c>
      <c r="G2106" s="1551" t="n">
        <f aca="false">'Смета Внутр'!H2106</f>
        <v>0</v>
      </c>
      <c r="I2106" s="3179" t="n">
        <f aca="false">IF(F2106&lt;H2106,F2106*(D2106-E2106),0)+IF(H2106=0,(D2106-E2106)*F2106,0)+IF(H2106&lt;F2106,H2106*(D2106-E2106),0)</f>
        <v>0</v>
      </c>
      <c r="J2106" s="3179" t="n">
        <f aca="false">G2106-I2106</f>
        <v>0</v>
      </c>
    </row>
    <row r="2107" customFormat="false" ht="15" hidden="false" customHeight="false" outlineLevel="0" collapsed="false">
      <c r="B2107" s="1551" t="str">
        <f aca="false">'Смета Внутр'!B2107</f>
        <v>Нет техники</v>
      </c>
      <c r="C2107" s="1551" t="str">
        <f aca="false">'Смета Внутр'!C2107</f>
        <v>ед.</v>
      </c>
      <c r="D2107" s="1551" t="n">
        <f aca="false">'Смета Внутр'!D2107</f>
        <v>0</v>
      </c>
      <c r="F2107" s="1551" t="n">
        <f aca="false">'Смета Внутр'!E2107</f>
        <v>0</v>
      </c>
      <c r="G2107" s="1551" t="n">
        <f aca="false">'Смета Внутр'!H2107</f>
        <v>0</v>
      </c>
      <c r="I2107" s="3179" t="n">
        <f aca="false">IF(F2107&lt;H2107,F2107*(D2107-E2107),0)+IF(H2107=0,(D2107-E2107)*F2107,0)+IF(H2107&lt;F2107,H2107*(D2107-E2107),0)</f>
        <v>0</v>
      </c>
      <c r="J2107" s="3179" t="n">
        <f aca="false">G2107-I2107</f>
        <v>0</v>
      </c>
    </row>
    <row r="2108" customFormat="false" ht="15" hidden="false" customHeight="false" outlineLevel="0" collapsed="false">
      <c r="B2108" s="1551" t="str">
        <f aca="false">'Смета Внутр'!B2108</f>
        <v>Нет техники</v>
      </c>
      <c r="C2108" s="1551" t="str">
        <f aca="false">'Смета Внутр'!C2108</f>
        <v>ед.</v>
      </c>
      <c r="D2108" s="1551" t="n">
        <f aca="false">'Смета Внутр'!D2108</f>
        <v>0</v>
      </c>
      <c r="F2108" s="1551" t="n">
        <f aca="false">'Смета Внутр'!E2108</f>
        <v>0</v>
      </c>
      <c r="G2108" s="1551" t="n">
        <f aca="false">'Смета Внутр'!H2108</f>
        <v>0</v>
      </c>
      <c r="I2108" s="3179" t="n">
        <f aca="false">IF(F2108&lt;H2108,F2108*(D2108-E2108),0)+IF(H2108=0,(D2108-E2108)*F2108,0)+IF(H2108&lt;F2108,H2108*(D2108-E2108),0)</f>
        <v>0</v>
      </c>
      <c r="J2108" s="3179" t="n">
        <f aca="false">G2108-I2108</f>
        <v>0</v>
      </c>
    </row>
    <row r="2109" customFormat="false" ht="15" hidden="false" customHeight="false" outlineLevel="0" collapsed="false">
      <c r="B2109" s="1551" t="str">
        <f aca="false">'Смета Внутр'!B2109</f>
        <v>Экскаватор погрузчик, бурение</v>
      </c>
      <c r="C2109" s="1551" t="str">
        <f aca="false">'Смета Внутр'!C2109</f>
        <v>ед.</v>
      </c>
      <c r="D2109" s="1551" t="n">
        <f aca="false">'Смета Внутр'!D2109</f>
        <v>0</v>
      </c>
      <c r="F2109" s="1551" t="n">
        <f aca="false">'Смета Внутр'!E2109</f>
        <v>300</v>
      </c>
      <c r="G2109" s="1551" t="n">
        <f aca="false">'Смета Внутр'!H2109</f>
        <v>0</v>
      </c>
      <c r="I2109" s="3179" t="n">
        <f aca="false">IF(F2109&lt;H2109,F2109*(D2109-E2109),0)+IF(H2109=0,(D2109-E2109)*F2109,0)+IF(H2109&lt;F2109,H2109*(D2109-E2109),0)</f>
        <v>0</v>
      </c>
      <c r="J2109" s="3179" t="n">
        <f aca="false">G2109-I2109</f>
        <v>0</v>
      </c>
    </row>
    <row r="2110" customFormat="false" ht="15" hidden="false" customHeight="false" outlineLevel="0" collapsed="false">
      <c r="B2110" s="1551" t="str">
        <f aca="false">'Смета Внутр'!B2110</f>
        <v>Нет техники</v>
      </c>
      <c r="C2110" s="1551" t="str">
        <f aca="false">'Смета Внутр'!C2110</f>
        <v>ед.</v>
      </c>
      <c r="D2110" s="1551" t="n">
        <f aca="false">'Смета Внутр'!D2110</f>
        <v>0</v>
      </c>
      <c r="F2110" s="1551" t="n">
        <f aca="false">'Смета Внутр'!E2110</f>
        <v>0</v>
      </c>
      <c r="G2110" s="1551" t="n">
        <f aca="false">'Смета Внутр'!H2110</f>
        <v>0</v>
      </c>
      <c r="I2110" s="3179" t="n">
        <f aca="false">IF(F2110&lt;H2110,F2110*(D2110-E2110),0)+IF(H2110=0,(D2110-E2110)*F2110,0)+IF(H2110&lt;F2110,H2110*(D2110-E2110),0)</f>
        <v>0</v>
      </c>
      <c r="J2110" s="3179" t="n">
        <f aca="false">G2110-I2110</f>
        <v>0</v>
      </c>
    </row>
    <row r="2111" customFormat="false" ht="15" hidden="false" customHeight="false" outlineLevel="0" collapsed="false">
      <c r="B2111" s="1551" t="str">
        <f aca="false">'Смета Внутр'!B2111</f>
        <v>Итого, рублей</v>
      </c>
      <c r="C2111" s="1551" t="n">
        <f aca="false">'Смета Внутр'!C2111</f>
        <v>0</v>
      </c>
      <c r="D2111" s="1551" t="n">
        <f aca="false">'Смета Внутр'!D2111</f>
        <v>0</v>
      </c>
      <c r="F2111" s="1551" t="n">
        <f aca="false">'Смета Внутр'!E2111</f>
        <v>0</v>
      </c>
      <c r="G2111" s="1551" t="n">
        <f aca="false">'Смета Внутр'!H2111</f>
        <v>0</v>
      </c>
      <c r="I2111" s="3179" t="n">
        <f aca="false">IF(F2111&lt;H2111,F2111*(D2111-E2111),0)+IF(H2111=0,(D2111-E2111)*F2111,0)+IF(H2111&lt;F2111,H2111*(D2111-E2111),0)</f>
        <v>0</v>
      </c>
      <c r="J2111" s="3179" t="n">
        <f aca="false">G2111-I2111</f>
        <v>0</v>
      </c>
    </row>
    <row r="2112" customFormat="false" ht="15" hidden="false" customHeight="false" outlineLevel="0" collapsed="false">
      <c r="B2112" s="1551" t="str">
        <f aca="false">'Смета Внутр'!B2112</f>
        <v>Расходные материалы</v>
      </c>
      <c r="C2112" s="1551" t="n">
        <f aca="false">'Смета Внутр'!C2112</f>
        <v>0</v>
      </c>
      <c r="D2112" s="1551" t="n">
        <f aca="false">'Смета Внутр'!D2112</f>
        <v>0</v>
      </c>
      <c r="F2112" s="1551" t="n">
        <f aca="false">'Смета Внутр'!E2112</f>
        <v>0</v>
      </c>
      <c r="G2112" s="1551" t="n">
        <f aca="false">'Смета Внутр'!H2112</f>
        <v>22000</v>
      </c>
      <c r="I2112" s="3179" t="n">
        <f aca="false">IF(F2112&lt;H2112,F2112*(D2112-E2112),0)+IF(H2112=0,(D2112-E2112)*F2112,0)+IF(H2112&lt;F2112,H2112*(D2112-E2112),0)</f>
        <v>0</v>
      </c>
      <c r="J2112" s="3179" t="n">
        <f aca="false">G2112-I2112</f>
        <v>22000</v>
      </c>
    </row>
    <row r="2113" customFormat="false" ht="15" hidden="false" customHeight="false" outlineLevel="0" collapsed="false">
      <c r="B2113" s="1551" t="str">
        <f aca="false">'Смета Внутр'!B2113</f>
        <v>расходные материалы котельная</v>
      </c>
      <c r="C2113" s="1551" t="str">
        <f aca="false">'Смета Внутр'!C2113</f>
        <v>рублей</v>
      </c>
      <c r="D2113" s="1551" t="n">
        <f aca="false">'Смета Внутр'!D2113</f>
        <v>1</v>
      </c>
      <c r="F2113" s="1551" t="n">
        <f aca="false">'Смета Внутр'!E2113</f>
        <v>5000</v>
      </c>
      <c r="G2113" s="1551" t="n">
        <f aca="false">'Смета Внутр'!H2113</f>
        <v>0</v>
      </c>
      <c r="I2113" s="3179" t="n">
        <f aca="false">IF(F2113&lt;H2113,F2113*(D2113-E2113),0)+IF(H2113=0,(D2113-E2113)*F2113,0)+IF(H2113&lt;F2113,H2113*(D2113-E2113),0)</f>
        <v>5000</v>
      </c>
      <c r="J2113" s="3179" t="n">
        <f aca="false">G2113-I2113</f>
        <v>-5000</v>
      </c>
    </row>
    <row r="2114" customFormat="false" ht="15" hidden="false" customHeight="false" outlineLevel="0" collapsed="false">
      <c r="B2114" s="1551" t="str">
        <f aca="false">'Смета Внутр'!B2114</f>
        <v>расходные материалы скважина</v>
      </c>
      <c r="C2114" s="1551" t="str">
        <f aca="false">'Смета Внутр'!C2114</f>
        <v>рублей</v>
      </c>
      <c r="D2114" s="1551" t="n">
        <f aca="false">'Смета Внутр'!D2114</f>
        <v>1</v>
      </c>
      <c r="F2114" s="1551" t="n">
        <f aca="false">'Смета Внутр'!E2114</f>
        <v>5000</v>
      </c>
      <c r="G2114" s="1551" t="n">
        <f aca="false">'Смета Внутр'!H2114</f>
        <v>0</v>
      </c>
      <c r="I2114" s="3179" t="n">
        <f aca="false">IF(F2114&lt;H2114,F2114*(D2114-E2114),0)+IF(H2114=0,(D2114-E2114)*F2114,0)+IF(H2114&lt;F2114,H2114*(D2114-E2114),0)</f>
        <v>5000</v>
      </c>
      <c r="J2114" s="3179" t="n">
        <f aca="false">G2114-I2114</f>
        <v>-5000</v>
      </c>
    </row>
    <row r="2115" customFormat="false" ht="15" hidden="false" customHeight="false" outlineLevel="0" collapsed="false">
      <c r="B2115" s="1551" t="str">
        <f aca="false">'Смета Внутр'!B2115</f>
        <v>расходные материалы для отопления</v>
      </c>
      <c r="C2115" s="1551" t="str">
        <f aca="false">'Смета Внутр'!C2115</f>
        <v>рублей</v>
      </c>
      <c r="D2115" s="1551" t="n">
        <f aca="false">'Смета Внутр'!D2115</f>
        <v>1</v>
      </c>
      <c r="F2115" s="1551" t="n">
        <f aca="false">'Смета Внутр'!E2115</f>
        <v>5000</v>
      </c>
      <c r="G2115" s="1551" t="n">
        <f aca="false">'Смета Внутр'!H2115</f>
        <v>0</v>
      </c>
      <c r="I2115" s="3179" t="n">
        <f aca="false">IF(F2115&lt;H2115,F2115*(D2115-E2115),0)+IF(H2115=0,(D2115-E2115)*F2115,0)+IF(H2115&lt;F2115,H2115*(D2115-E2115),0)</f>
        <v>5000</v>
      </c>
      <c r="J2115" s="3179" t="n">
        <f aca="false">G2115-I2115</f>
        <v>-5000</v>
      </c>
    </row>
    <row r="2116" customFormat="false" ht="15" hidden="false" customHeight="false" outlineLevel="0" collapsed="false">
      <c r="B2116" s="1551" t="str">
        <f aca="false">'Смета Внутр'!B2116</f>
        <v>расходные материалы для электрики</v>
      </c>
      <c r="C2116" s="1551" t="str">
        <f aca="false">'Смета Внутр'!C2116</f>
        <v>рублей</v>
      </c>
      <c r="D2116" s="1551" t="n">
        <f aca="false">'Смета Внутр'!D2116</f>
        <v>1</v>
      </c>
      <c r="F2116" s="1551" t="n">
        <f aca="false">'Смета Внутр'!E2116</f>
        <v>5000</v>
      </c>
      <c r="G2116" s="1551" t="n">
        <f aca="false">'Смета Внутр'!H2116</f>
        <v>0</v>
      </c>
      <c r="I2116" s="3179" t="n">
        <f aca="false">IF(F2116&lt;H2116,F2116*(D2116-E2116),0)+IF(H2116=0,(D2116-E2116)*F2116,0)+IF(H2116&lt;F2116,H2116*(D2116-E2116),0)</f>
        <v>5000</v>
      </c>
      <c r="J2116" s="3179" t="n">
        <f aca="false">G2116-I2116</f>
        <v>-5000</v>
      </c>
    </row>
    <row r="2117" customFormat="false" ht="15" hidden="false" customHeight="false" outlineLevel="0" collapsed="false">
      <c r="B2117" s="1551" t="str">
        <f aca="false">'Смета Внутр'!B2117</f>
        <v>расходные материалы плита ушп</v>
      </c>
      <c r="C2117" s="1551" t="str">
        <f aca="false">'Смета Внутр'!C2117</f>
        <v>рублей</v>
      </c>
      <c r="D2117" s="1551" t="n">
        <f aca="false">'Смета Внутр'!D2117</f>
        <v>1</v>
      </c>
      <c r="F2117" s="1551" t="n">
        <f aca="false">'Смета Внутр'!E2117</f>
        <v>12000</v>
      </c>
      <c r="G2117" s="1551" t="n">
        <f aca="false">'Смета Внутр'!H2117</f>
        <v>0</v>
      </c>
      <c r="I2117" s="3179" t="n">
        <f aca="false">IF(F2117&lt;H2117,F2117*(D2117-E2117),0)+IF(H2117=0,(D2117-E2117)*F2117,0)+IF(H2117&lt;F2117,H2117*(D2117-E2117),0)</f>
        <v>12000</v>
      </c>
      <c r="J2117" s="3179" t="n">
        <f aca="false">G2117-I2117</f>
        <v>-12000</v>
      </c>
    </row>
    <row r="2118" customFormat="false" ht="15" hidden="false" customHeight="false" outlineLevel="0" collapsed="false">
      <c r="B2118" s="1551" t="str">
        <f aca="false">'Смета Внутр'!B2118</f>
        <v>расходные материалы свайноростверковый фундамент</v>
      </c>
      <c r="C2118" s="1551" t="str">
        <f aca="false">'Смета Внутр'!C2118</f>
        <v>рублей</v>
      </c>
      <c r="D2118" s="1551" t="n">
        <f aca="false">'Смета Внутр'!D2118</f>
        <v>1</v>
      </c>
      <c r="F2118" s="1551" t="n">
        <f aca="false">'Смета Внутр'!E2118</f>
        <v>8000</v>
      </c>
      <c r="G2118" s="1551" t="n">
        <f aca="false">'Смета Внутр'!H2118</f>
        <v>0</v>
      </c>
      <c r="I2118" s="3179" t="n">
        <f aca="false">IF(F2118&lt;H2118,F2118*(D2118-E2118),0)+IF(H2118=0,(D2118-E2118)*F2118,0)+IF(H2118&lt;F2118,H2118*(D2118-E2118),0)</f>
        <v>8000</v>
      </c>
      <c r="J2118" s="3179" t="n">
        <f aca="false">G2118-I2118</f>
        <v>-8000</v>
      </c>
    </row>
    <row r="2119" customFormat="false" ht="15" hidden="false" customHeight="false" outlineLevel="0" collapsed="false">
      <c r="B2119" s="1551" t="str">
        <f aca="false">'Смета Внутр'!B2119</f>
        <v>расходные материалы свайноростверковый фундамент</v>
      </c>
      <c r="C2119" s="1551" t="str">
        <f aca="false">'Смета Внутр'!C2119</f>
        <v>рублей</v>
      </c>
      <c r="D2119" s="1551" t="n">
        <f aca="false">'Смета Внутр'!D2119</f>
        <v>1</v>
      </c>
      <c r="F2119" s="1551" t="n">
        <f aca="false">'Смета Внутр'!E2119</f>
        <v>8000</v>
      </c>
      <c r="G2119" s="1551" t="n">
        <f aca="false">'Смета Внутр'!H2119</f>
        <v>8000</v>
      </c>
      <c r="I2119" s="3179" t="n">
        <f aca="false">IF(F2119&lt;H2119,F2119*(D2119-E2119),0)+IF(H2119=0,(D2119-E2119)*F2119,0)+IF(H2119&lt;F2119,H2119*(D2119-E2119),0)</f>
        <v>8000</v>
      </c>
      <c r="J2119" s="3179" t="n">
        <f aca="false">G2119-I2119</f>
        <v>0</v>
      </c>
    </row>
    <row r="2120" customFormat="false" ht="15" hidden="false" customHeight="false" outlineLevel="0" collapsed="false">
      <c r="B2120" s="1551" t="str">
        <f aca="false">'Смета Внутр'!B2120</f>
        <v>расходные материалы сип панели</v>
      </c>
      <c r="C2120" s="1551" t="str">
        <f aca="false">'Смета Внутр'!C2120</f>
        <v>рублей</v>
      </c>
      <c r="D2120" s="1551" t="n">
        <f aca="false">'Смета Внутр'!D2120</f>
        <v>1</v>
      </c>
      <c r="F2120" s="1551" t="n">
        <f aca="false">'Смета Внутр'!E2120</f>
        <v>3000</v>
      </c>
      <c r="G2120" s="1551" t="n">
        <f aca="false">'Смета Внутр'!H2120</f>
        <v>0</v>
      </c>
      <c r="I2120" s="3179" t="n">
        <f aca="false">IF(F2120&lt;H2120,F2120*(D2120-E2120),0)+IF(H2120=0,(D2120-E2120)*F2120,0)+IF(H2120&lt;F2120,H2120*(D2120-E2120),0)</f>
        <v>3000</v>
      </c>
      <c r="J2120" s="3179" t="n">
        <f aca="false">G2120-I2120</f>
        <v>-3000</v>
      </c>
    </row>
    <row r="2121" customFormat="false" ht="15" hidden="false" customHeight="false" outlineLevel="0" collapsed="false">
      <c r="B2121" s="1551" t="str">
        <f aca="false">'Смета Внутр'!B2121</f>
        <v>расходные материалы каркасный дом</v>
      </c>
      <c r="C2121" s="1551" t="str">
        <f aca="false">'Смета Внутр'!C2121</f>
        <v>рублей</v>
      </c>
      <c r="D2121" s="1551" t="n">
        <f aca="false">'Смета Внутр'!D2121</f>
        <v>1</v>
      </c>
      <c r="F2121" s="1551" t="n">
        <f aca="false">'Смета Внутр'!E2121</f>
        <v>3000</v>
      </c>
      <c r="G2121" s="1551" t="n">
        <f aca="false">'Смета Внутр'!H2121</f>
        <v>0</v>
      </c>
      <c r="I2121" s="3179" t="n">
        <f aca="false">IF(F2121&lt;H2121,F2121*(D2121-E2121),0)+IF(H2121=0,(D2121-E2121)*F2121,0)+IF(H2121&lt;F2121,H2121*(D2121-E2121),0)</f>
        <v>3000</v>
      </c>
      <c r="J2121" s="3179" t="n">
        <f aca="false">G2121-I2121</f>
        <v>-3000</v>
      </c>
    </row>
    <row r="2122" customFormat="false" ht="15" hidden="false" customHeight="false" outlineLevel="0" collapsed="false">
      <c r="B2122" s="1551" t="str">
        <f aca="false">'Смета Внутр'!B2122</f>
        <v>расходные материалы каменные дома</v>
      </c>
      <c r="C2122" s="1551" t="str">
        <f aca="false">'Смета Внутр'!C2122</f>
        <v>рублей</v>
      </c>
      <c r="D2122" s="1551" t="n">
        <f aca="false">'Смета Внутр'!D2122</f>
        <v>1</v>
      </c>
      <c r="F2122" s="1551" t="n">
        <f aca="false">'Смета Внутр'!E2122</f>
        <v>3000</v>
      </c>
      <c r="G2122" s="1551" t="n">
        <f aca="false">'Смета Внутр'!H2122</f>
        <v>0</v>
      </c>
      <c r="I2122" s="3179" t="n">
        <f aca="false">IF(F2122&lt;H2122,F2122*(D2122-E2122),0)+IF(H2122=0,(D2122-E2122)*F2122,0)+IF(H2122&lt;F2122,H2122*(D2122-E2122),0)</f>
        <v>3000</v>
      </c>
      <c r="J2122" s="3179" t="n">
        <f aca="false">G2122-I2122</f>
        <v>-3000</v>
      </c>
    </row>
    <row r="2123" customFormat="false" ht="15" hidden="false" customHeight="false" outlineLevel="0" collapsed="false">
      <c r="B2123" s="1551" t="str">
        <f aca="false">'Смета Внутр'!B2123</f>
        <v>расходные материалы каменные дома</v>
      </c>
      <c r="C2123" s="1551" t="str">
        <f aca="false">'Смета Внутр'!C2123</f>
        <v>рублей</v>
      </c>
      <c r="D2123" s="1551" t="n">
        <f aca="false">'Смета Внутр'!D2123</f>
        <v>1</v>
      </c>
      <c r="F2123" s="1551" t="n">
        <f aca="false">'Смета Внутр'!E2123</f>
        <v>0</v>
      </c>
      <c r="G2123" s="1551" t="n">
        <f aca="false">'Смета Внутр'!H2123</f>
        <v>0</v>
      </c>
      <c r="I2123" s="3179" t="n">
        <f aca="false">IF(F2123&lt;H2123,F2123*(D2123-E2123),0)+IF(H2123=0,(D2123-E2123)*F2123,0)+IF(H2123&lt;F2123,H2123*(D2123-E2123),0)</f>
        <v>0</v>
      </c>
      <c r="J2123" s="3179" t="n">
        <f aca="false">G2123-I2123</f>
        <v>0</v>
      </c>
    </row>
    <row r="2124" customFormat="false" ht="15" hidden="false" customHeight="false" outlineLevel="0" collapsed="false">
      <c r="B2124" s="1551" t="str">
        <f aca="false">'Смета Внутр'!B2124</f>
        <v>расходные материалы каменные дома</v>
      </c>
      <c r="C2124" s="1551" t="str">
        <f aca="false">'Смета Внутр'!C2124</f>
        <v>рублей</v>
      </c>
      <c r="D2124" s="1551" t="n">
        <f aca="false">'Смета Внутр'!D2124</f>
        <v>1</v>
      </c>
      <c r="F2124" s="1551" t="n">
        <f aca="false">'Смета Внутр'!E2124</f>
        <v>3000</v>
      </c>
      <c r="G2124" s="1551" t="n">
        <f aca="false">'Смета Внутр'!H2124</f>
        <v>3000</v>
      </c>
      <c r="I2124" s="3179" t="n">
        <f aca="false">IF(F2124&lt;H2124,F2124*(D2124-E2124),0)+IF(H2124=0,(D2124-E2124)*F2124,0)+IF(H2124&lt;F2124,H2124*(D2124-E2124),0)</f>
        <v>3000</v>
      </c>
      <c r="J2124" s="3179" t="n">
        <f aca="false">G2124-I2124</f>
        <v>0</v>
      </c>
    </row>
    <row r="2125" customFormat="false" ht="15" hidden="false" customHeight="false" outlineLevel="0" collapsed="false">
      <c r="B2125" s="1551" t="str">
        <f aca="false">'Смета Внутр'!B2125</f>
        <v>расходные материалы дома из леса</v>
      </c>
      <c r="C2125" s="1551" t="str">
        <f aca="false">'Смета Внутр'!C2125</f>
        <v>рублей</v>
      </c>
      <c r="D2125" s="1551" t="n">
        <f aca="false">'Смета Внутр'!D2125</f>
        <v>1</v>
      </c>
      <c r="F2125" s="1551" t="n">
        <f aca="false">'Смета Внутр'!E2125</f>
        <v>3000</v>
      </c>
      <c r="G2125" s="1551" t="n">
        <f aca="false">'Смета Внутр'!H2125</f>
        <v>0</v>
      </c>
      <c r="I2125" s="3179" t="n">
        <f aca="false">IF(F2125&lt;H2125,F2125*(D2125-E2125),0)+IF(H2125=0,(D2125-E2125)*F2125,0)+IF(H2125&lt;F2125,H2125*(D2125-E2125),0)</f>
        <v>3000</v>
      </c>
      <c r="J2125" s="3179" t="n">
        <f aca="false">G2125-I2125</f>
        <v>-3000</v>
      </c>
    </row>
    <row r="2126" customFormat="false" ht="15" hidden="false" customHeight="false" outlineLevel="0" collapsed="false">
      <c r="B2126" s="1551" t="str">
        <f aca="false">'Смета Внутр'!B2126</f>
        <v>расходные материалы дома из леса</v>
      </c>
      <c r="C2126" s="1551" t="str">
        <f aca="false">'Смета Внутр'!C2126</f>
        <v>рублей</v>
      </c>
      <c r="D2126" s="1551" t="n">
        <f aca="false">'Смета Внутр'!D2126</f>
        <v>1</v>
      </c>
      <c r="F2126" s="1551" t="n">
        <f aca="false">'Смета Внутр'!E2126</f>
        <v>3000</v>
      </c>
      <c r="G2126" s="1551" t="n">
        <f aca="false">'Смета Внутр'!H2126</f>
        <v>0</v>
      </c>
      <c r="I2126" s="3179" t="n">
        <f aca="false">IF(F2126&lt;H2126,F2126*(D2126-E2126),0)+IF(H2126=0,(D2126-E2126)*F2126,0)+IF(H2126&lt;F2126,H2126*(D2126-E2126),0)</f>
        <v>3000</v>
      </c>
      <c r="J2126" s="3179" t="n">
        <f aca="false">G2126-I2126</f>
        <v>-3000</v>
      </c>
    </row>
    <row r="2127" customFormat="false" ht="15" hidden="false" customHeight="false" outlineLevel="0" collapsed="false">
      <c r="B2127" s="1551" t="str">
        <f aca="false">'Смета Внутр'!B2127</f>
        <v>расходные материалы дома из леса</v>
      </c>
      <c r="C2127" s="1551" t="str">
        <f aca="false">'Смета Внутр'!C2127</f>
        <v>рублей</v>
      </c>
      <c r="D2127" s="1551" t="n">
        <f aca="false">'Смета Внутр'!D2127</f>
        <v>1</v>
      </c>
      <c r="F2127" s="1551" t="n">
        <f aca="false">'Смета Внутр'!E2127</f>
        <v>3000</v>
      </c>
      <c r="G2127" s="1551" t="n">
        <f aca="false">'Смета Внутр'!H2127</f>
        <v>0</v>
      </c>
      <c r="I2127" s="3179" t="n">
        <f aca="false">IF(F2127&lt;H2127,F2127*(D2127-E2127),0)+IF(H2127=0,(D2127-E2127)*F2127,0)+IF(H2127&lt;F2127,H2127*(D2127-E2127),0)</f>
        <v>3000</v>
      </c>
      <c r="J2127" s="3179" t="n">
        <f aca="false">G2127-I2127</f>
        <v>-3000</v>
      </c>
    </row>
    <row r="2128" customFormat="false" ht="15" hidden="false" customHeight="false" outlineLevel="0" collapsed="false">
      <c r="B2128" s="1551" t="str">
        <f aca="false">'Смета Внутр'!B2128</f>
        <v>расходные материалы дома из леса</v>
      </c>
      <c r="C2128" s="1551" t="str">
        <f aca="false">'Смета Внутр'!C2128</f>
        <v>рублей</v>
      </c>
      <c r="D2128" s="1551" t="n">
        <f aca="false">'Смета Внутр'!D2128</f>
        <v>1</v>
      </c>
      <c r="F2128" s="1551" t="n">
        <f aca="false">'Смета Внутр'!E2128</f>
        <v>3000</v>
      </c>
      <c r="G2128" s="1551" t="n">
        <f aca="false">'Смета Внутр'!H2128</f>
        <v>0</v>
      </c>
      <c r="I2128" s="3179" t="n">
        <f aca="false">IF(F2128&lt;H2128,F2128*(D2128-E2128),0)+IF(H2128=0,(D2128-E2128)*F2128,0)+IF(H2128&lt;F2128,H2128*(D2128-E2128),0)</f>
        <v>3000</v>
      </c>
      <c r="J2128" s="3179" t="n">
        <f aca="false">G2128-I2128</f>
        <v>-3000</v>
      </c>
    </row>
    <row r="2129" customFormat="false" ht="15" hidden="false" customHeight="false" outlineLevel="0" collapsed="false">
      <c r="B2129" s="1551" t="str">
        <f aca="false">'Смета Внутр'!B2129</f>
        <v>расходные материалы дома из леса</v>
      </c>
      <c r="C2129" s="1551" t="str">
        <f aca="false">'Смета Внутр'!C2129</f>
        <v>рублей</v>
      </c>
      <c r="D2129" s="1551" t="n">
        <f aca="false">'Смета Внутр'!D2129</f>
        <v>1</v>
      </c>
      <c r="F2129" s="1551" t="n">
        <f aca="false">'Смета Внутр'!E2129</f>
        <v>3000</v>
      </c>
      <c r="G2129" s="1551" t="n">
        <f aca="false">'Смета Внутр'!H2129</f>
        <v>0</v>
      </c>
      <c r="I2129" s="3179" t="n">
        <f aca="false">IF(F2129&lt;H2129,F2129*(D2129-E2129),0)+IF(H2129=0,(D2129-E2129)*F2129,0)+IF(H2129&lt;F2129,H2129*(D2129-E2129),0)</f>
        <v>3000</v>
      </c>
      <c r="J2129" s="3179" t="n">
        <f aca="false">G2129-I2129</f>
        <v>-3000</v>
      </c>
    </row>
    <row r="2130" customFormat="false" ht="15" hidden="false" customHeight="false" outlineLevel="0" collapsed="false">
      <c r="B2130" s="1551" t="str">
        <f aca="false">'Смета Внутр'!B2130</f>
        <v>расходные материалы эркер</v>
      </c>
      <c r="C2130" s="1551" t="str">
        <f aca="false">'Смета Внутр'!C2130</f>
        <v>рублей</v>
      </c>
      <c r="D2130" s="1551" t="n">
        <f aca="false">'Смета Внутр'!D2130</f>
        <v>1</v>
      </c>
      <c r="F2130" s="1551" t="n">
        <f aca="false">'Смета Внутр'!E2130</f>
        <v>0</v>
      </c>
      <c r="G2130" s="1551" t="n">
        <f aca="false">'Смета Внутр'!H2130</f>
        <v>0</v>
      </c>
      <c r="I2130" s="3179" t="n">
        <f aca="false">IF(F2130&lt;H2130,F2130*(D2130-E2130),0)+IF(H2130=0,(D2130-E2130)*F2130,0)+IF(H2130&lt;F2130,H2130*(D2130-E2130),0)</f>
        <v>0</v>
      </c>
      <c r="J2130" s="3179" t="n">
        <f aca="false">G2130-I2130</f>
        <v>0</v>
      </c>
    </row>
    <row r="2131" customFormat="false" ht="15" hidden="false" customHeight="false" outlineLevel="0" collapsed="false">
      <c r="B2131" s="1551" t="str">
        <f aca="false">'Смета Внутр'!B2131</f>
        <v>расходные материалы двускатная кровля</v>
      </c>
      <c r="C2131" s="1551" t="str">
        <f aca="false">'Смета Внутр'!C2131</f>
        <v>рублей</v>
      </c>
      <c r="D2131" s="1551" t="n">
        <f aca="false">'Смета Внутр'!D2131</f>
        <v>1</v>
      </c>
      <c r="F2131" s="1551" t="n">
        <f aca="false">'Смета Внутр'!E2131</f>
        <v>3000</v>
      </c>
      <c r="G2131" s="1551" t="n">
        <f aca="false">'Смета Внутр'!H2131</f>
        <v>3000</v>
      </c>
      <c r="I2131" s="3179" t="n">
        <f aca="false">IF(F2131&lt;H2131,F2131*(D2131-E2131),0)+IF(H2131=0,(D2131-E2131)*F2131,0)+IF(H2131&lt;F2131,H2131*(D2131-E2131),0)</f>
        <v>3000</v>
      </c>
      <c r="J2131" s="3179" t="n">
        <f aca="false">G2131-I2131</f>
        <v>0</v>
      </c>
    </row>
    <row r="2132" customFormat="false" ht="15" hidden="false" customHeight="false" outlineLevel="0" collapsed="false">
      <c r="B2132" s="1551" t="str">
        <f aca="false">'Смета Внутр'!B2132</f>
        <v>расходные материалы вальмовая кровля</v>
      </c>
      <c r="C2132" s="1551" t="str">
        <f aca="false">'Смета Внутр'!C2132</f>
        <v>рублей</v>
      </c>
      <c r="D2132" s="1551" t="n">
        <f aca="false">'Смета Внутр'!D2132</f>
        <v>1</v>
      </c>
      <c r="F2132" s="1551" t="n">
        <f aca="false">'Смета Внутр'!E2132</f>
        <v>3000</v>
      </c>
      <c r="G2132" s="1551" t="n">
        <f aca="false">'Смета Внутр'!H2132</f>
        <v>0</v>
      </c>
      <c r="I2132" s="3179" t="n">
        <f aca="false">IF(F2132&lt;H2132,F2132*(D2132-E2132),0)+IF(H2132=0,(D2132-E2132)*F2132,0)+IF(H2132&lt;F2132,H2132*(D2132-E2132),0)</f>
        <v>3000</v>
      </c>
      <c r="J2132" s="3179" t="n">
        <f aca="false">G2132-I2132</f>
        <v>-3000</v>
      </c>
    </row>
    <row r="2133" customFormat="false" ht="15" hidden="false" customHeight="false" outlineLevel="0" collapsed="false">
      <c r="B2133" s="1551" t="str">
        <f aca="false">'Смета Внутр'!B2133</f>
        <v>расходные материалы полувальмовая кровля</v>
      </c>
      <c r="C2133" s="1551" t="str">
        <f aca="false">'Смета Внутр'!C2133</f>
        <v>рублей</v>
      </c>
      <c r="D2133" s="1551" t="n">
        <f aca="false">'Смета Внутр'!D2133</f>
        <v>1</v>
      </c>
      <c r="F2133" s="1551" t="n">
        <f aca="false">'Смета Внутр'!E2133</f>
        <v>3000</v>
      </c>
      <c r="G2133" s="1551" t="n">
        <f aca="false">'Смета Внутр'!H2133</f>
        <v>0</v>
      </c>
      <c r="I2133" s="3179" t="n">
        <f aca="false">IF(F2133&lt;H2133,F2133*(D2133-E2133),0)+IF(H2133=0,(D2133-E2133)*F2133,0)+IF(H2133&lt;F2133,H2133*(D2133-E2133),0)</f>
        <v>3000</v>
      </c>
      <c r="J2133" s="3179" t="n">
        <f aca="false">G2133-I2133</f>
        <v>-3000</v>
      </c>
    </row>
    <row r="2134" customFormat="false" ht="15" hidden="false" customHeight="false" outlineLevel="0" collapsed="false">
      <c r="B2134" s="1551" t="str">
        <f aca="false">'Смета Внутр'!B2134</f>
        <v>расходные материалы элементы кровель</v>
      </c>
      <c r="C2134" s="1551" t="str">
        <f aca="false">'Смета Внутр'!C2134</f>
        <v>рублей</v>
      </c>
      <c r="D2134" s="1551" t="n">
        <f aca="false">'Смета Внутр'!D2134</f>
        <v>1</v>
      </c>
      <c r="F2134" s="1551" t="n">
        <f aca="false">'Смета Внутр'!E2134</f>
        <v>10000</v>
      </c>
      <c r="G2134" s="1551" t="n">
        <f aca="false">'Смета Внутр'!H2134</f>
        <v>0</v>
      </c>
      <c r="I2134" s="3179" t="n">
        <f aca="false">IF(F2134&lt;H2134,F2134*(D2134-E2134),0)+IF(H2134=0,(D2134-E2134)*F2134,0)+IF(H2134&lt;F2134,H2134*(D2134-E2134),0)</f>
        <v>10000</v>
      </c>
      <c r="J2134" s="3179" t="n">
        <f aca="false">G2134-I2134</f>
        <v>-10000</v>
      </c>
    </row>
    <row r="2135" customFormat="false" ht="15" hidden="false" customHeight="false" outlineLevel="0" collapsed="false">
      <c r="B2135" s="1551" t="str">
        <f aca="false">'Смета Внутр'!B2135</f>
        <v>расходные материалы пристройки</v>
      </c>
      <c r="C2135" s="1551" t="str">
        <f aca="false">'Смета Внутр'!C2135</f>
        <v>рублей</v>
      </c>
      <c r="D2135" s="1551" t="n">
        <f aca="false">'Смета Внутр'!D2135</f>
        <v>1</v>
      </c>
      <c r="F2135" s="1551" t="n">
        <f aca="false">'Смета Внутр'!E2135</f>
        <v>3000</v>
      </c>
      <c r="G2135" s="1551" t="n">
        <f aca="false">'Смета Внутр'!H2135</f>
        <v>0</v>
      </c>
      <c r="I2135" s="3179" t="n">
        <f aca="false">IF(F2135&lt;H2135,F2135*(D2135-E2135),0)+IF(H2135=0,(D2135-E2135)*F2135,0)+IF(H2135&lt;F2135,H2135*(D2135-E2135),0)</f>
        <v>3000</v>
      </c>
      <c r="J2135" s="3179" t="n">
        <f aca="false">G2135-I2135</f>
        <v>-3000</v>
      </c>
    </row>
    <row r="2136" customFormat="false" ht="15" hidden="false" customHeight="false" outlineLevel="0" collapsed="false">
      <c r="B2136" s="1551" t="str">
        <f aca="false">'Смета Внутр'!B2136</f>
        <v>расходные материалы веранда</v>
      </c>
      <c r="C2136" s="1551" t="str">
        <f aca="false">'Смета Внутр'!C2136</f>
        <v>рублей</v>
      </c>
      <c r="D2136" s="1551" t="n">
        <f aca="false">'Смета Внутр'!D2136</f>
        <v>1</v>
      </c>
      <c r="F2136" s="1551" t="n">
        <f aca="false">'Смета Внутр'!E2136</f>
        <v>0</v>
      </c>
      <c r="G2136" s="1551" t="n">
        <f aca="false">'Смета Внутр'!H2136</f>
        <v>0</v>
      </c>
      <c r="I2136" s="3179" t="n">
        <f aca="false">IF(F2136&lt;H2136,F2136*(D2136-E2136),0)+IF(H2136=0,(D2136-E2136)*F2136,0)+IF(H2136&lt;F2136,H2136*(D2136-E2136),0)</f>
        <v>0</v>
      </c>
      <c r="J2136" s="3179" t="n">
        <f aca="false">G2136-I2136</f>
        <v>0</v>
      </c>
    </row>
    <row r="2137" customFormat="false" ht="15" hidden="false" customHeight="false" outlineLevel="0" collapsed="false">
      <c r="B2137" s="1551" t="str">
        <f aca="false">'Смета Внутр'!B2137</f>
        <v>расходные материалы для септика</v>
      </c>
      <c r="C2137" s="1551" t="str">
        <f aca="false">'Смета Внутр'!C2137</f>
        <v>рублей</v>
      </c>
      <c r="D2137" s="1551" t="n">
        <f aca="false">'Смета Внутр'!D2137</f>
        <v>1</v>
      </c>
      <c r="F2137" s="1551" t="n">
        <f aca="false">'Смета Внутр'!E2137</f>
        <v>5000</v>
      </c>
      <c r="G2137" s="1551" t="n">
        <f aca="false">'Смета Внутр'!H2137</f>
        <v>0</v>
      </c>
      <c r="I2137" s="3179" t="n">
        <f aca="false">IF(F2137&lt;H2137,F2137*(D2137-E2137),0)+IF(H2137=0,(D2137-E2137)*F2137,0)+IF(H2137&lt;F2137,H2137*(D2137-E2137),0)</f>
        <v>5000</v>
      </c>
      <c r="J2137" s="3179" t="n">
        <f aca="false">G2137-I2137</f>
        <v>-5000</v>
      </c>
    </row>
    <row r="2138" customFormat="false" ht="15" hidden="false" customHeight="false" outlineLevel="0" collapsed="false">
      <c r="B2138" s="1551" t="str">
        <f aca="false">'Смета Внутр'!B2138</f>
        <v>расходные материалы односкатная кровля</v>
      </c>
      <c r="C2138" s="1551" t="str">
        <f aca="false">'Смета Внутр'!C2138</f>
        <v>рублей</v>
      </c>
      <c r="D2138" s="1551" t="n">
        <f aca="false">'Смета Внутр'!D2138</f>
        <v>1</v>
      </c>
      <c r="F2138" s="1551" t="n">
        <f aca="false">'Смета Внутр'!E2138</f>
        <v>3000</v>
      </c>
      <c r="G2138" s="1551" t="n">
        <f aca="false">'Смета Внутр'!H2138</f>
        <v>0</v>
      </c>
      <c r="I2138" s="3179" t="n">
        <f aca="false">IF(F2138&lt;H2138,F2138*(D2138-E2138),0)+IF(H2138=0,(D2138-E2138)*F2138,0)+IF(H2138&lt;F2138,H2138*(D2138-E2138),0)</f>
        <v>3000</v>
      </c>
      <c r="J2138" s="3179" t="n">
        <f aca="false">G2138-I2138</f>
        <v>-3000</v>
      </c>
    </row>
    <row r="2139" customFormat="false" ht="15" hidden="false" customHeight="false" outlineLevel="0" collapsed="false">
      <c r="B2139" s="1551" t="str">
        <f aca="false">'Смета Внутр'!B2139</f>
        <v>Расходные материалы винтовые сваи</v>
      </c>
      <c r="C2139" s="1551" t="str">
        <f aca="false">'Смета Внутр'!C2139</f>
        <v>рублей</v>
      </c>
      <c r="D2139" s="1551" t="n">
        <f aca="false">'Смета Внутр'!D2139</f>
        <v>1</v>
      </c>
      <c r="F2139" s="1551" t="n">
        <f aca="false">'Смета Внутр'!E2139</f>
        <v>6000</v>
      </c>
      <c r="G2139" s="1551" t="n">
        <f aca="false">'Смета Внутр'!H2139</f>
        <v>0</v>
      </c>
      <c r="I2139" s="3179" t="n">
        <f aca="false">IF(F2139&lt;H2139,F2139*(D2139-E2139),0)+IF(H2139=0,(D2139-E2139)*F2139,0)+IF(H2139&lt;F2139,H2139*(D2139-E2139),0)</f>
        <v>6000</v>
      </c>
      <c r="J2139" s="3179" t="n">
        <f aca="false">G2139-I2139</f>
        <v>-6000</v>
      </c>
    </row>
    <row r="2140" customFormat="false" ht="15" hidden="false" customHeight="false" outlineLevel="0" collapsed="false">
      <c r="B2140" s="1551" t="str">
        <f aca="false">'Смета Внутр'!B2140</f>
        <v>расходные материалы окна</v>
      </c>
      <c r="C2140" s="1551" t="str">
        <f aca="false">'Смета Внутр'!C2140</f>
        <v>рублей</v>
      </c>
      <c r="D2140" s="1551" t="n">
        <f aca="false">'Смета Внутр'!D2140</f>
        <v>1</v>
      </c>
      <c r="F2140" s="1551" t="n">
        <f aca="false">'Смета Внутр'!E2140</f>
        <v>5000</v>
      </c>
      <c r="G2140" s="1551" t="n">
        <f aca="false">'Смета Внутр'!H2140</f>
        <v>0</v>
      </c>
      <c r="I2140" s="3179" t="n">
        <f aca="false">IF(F2140&lt;H2140,F2140*(D2140-E2140),0)+IF(H2140=0,(D2140-E2140)*F2140,0)+IF(H2140&lt;F2140,H2140*(D2140-E2140),0)</f>
        <v>5000</v>
      </c>
      <c r="J2140" s="3179" t="n">
        <f aca="false">G2140-I2140</f>
        <v>-5000</v>
      </c>
    </row>
    <row r="2141" customFormat="false" ht="15" hidden="false" customHeight="false" outlineLevel="0" collapsed="false">
      <c r="B2141" s="1551" t="str">
        <f aca="false">'Смета Внутр'!B2141</f>
        <v>расходные материалы лестница</v>
      </c>
      <c r="C2141" s="1551" t="str">
        <f aca="false">'Смета Внутр'!C2141</f>
        <v>рублей</v>
      </c>
      <c r="D2141" s="1551" t="n">
        <f aca="false">'Смета Внутр'!D2141</f>
        <v>1</v>
      </c>
      <c r="F2141" s="1551" t="n">
        <f aca="false">'Смета Внутр'!E2141</f>
        <v>5000</v>
      </c>
      <c r="G2141" s="1551" t="n">
        <f aca="false">'Смета Внутр'!H2141</f>
        <v>0</v>
      </c>
      <c r="I2141" s="3179" t="n">
        <f aca="false">IF(F2141&lt;H2141,F2141*(D2141-E2141),0)+IF(H2141=0,(D2141-E2141)*F2141,0)+IF(H2141&lt;F2141,H2141*(D2141-E2141),0)</f>
        <v>5000</v>
      </c>
      <c r="J2141" s="3179" t="n">
        <f aca="false">G2141-I2141</f>
        <v>-5000</v>
      </c>
    </row>
    <row r="2142" customFormat="false" ht="15" hidden="false" customHeight="false" outlineLevel="0" collapsed="false">
      <c r="B2142" s="1551" t="str">
        <f aca="false">'Смета Внутр'!B2142</f>
        <v>расходные материалы отделка внешняя</v>
      </c>
      <c r="C2142" s="1551" t="str">
        <f aca="false">'Смета Внутр'!C2142</f>
        <v>рублей</v>
      </c>
      <c r="D2142" s="1551" t="n">
        <f aca="false">'Смета Внутр'!D2142</f>
        <v>1</v>
      </c>
      <c r="F2142" s="1551" t="n">
        <f aca="false">'Смета Внутр'!E2142</f>
        <v>3000</v>
      </c>
      <c r="G2142" s="1551" t="n">
        <f aca="false">'Смета Внутр'!H2142</f>
        <v>3000</v>
      </c>
      <c r="I2142" s="3179" t="n">
        <f aca="false">IF(F2142&lt;H2142,F2142*(D2142-E2142),0)+IF(H2142=0,(D2142-E2142)*F2142,0)+IF(H2142&lt;F2142,H2142*(D2142-E2142),0)</f>
        <v>3000</v>
      </c>
      <c r="J2142" s="3179" t="n">
        <f aca="false">G2142-I2142</f>
        <v>0</v>
      </c>
    </row>
    <row r="2143" customFormat="false" ht="15" hidden="false" customHeight="false" outlineLevel="0" collapsed="false">
      <c r="B2143" s="1551" t="str">
        <f aca="false">'Смета Внутр'!B2143</f>
        <v>расходные материалы чистовая отделка</v>
      </c>
      <c r="C2143" s="1551" t="str">
        <f aca="false">'Смета Внутр'!C2143</f>
        <v>рублей</v>
      </c>
      <c r="D2143" s="1551" t="n">
        <f aca="false">'Смета Внутр'!D2143</f>
        <v>1</v>
      </c>
      <c r="F2143" s="1551" t="n">
        <f aca="false">'Смета Внутр'!E2143</f>
        <v>5000</v>
      </c>
      <c r="G2143" s="1551" t="n">
        <f aca="false">'Смета Внутр'!H2143</f>
        <v>5000</v>
      </c>
      <c r="I2143" s="3179" t="n">
        <f aca="false">IF(F2143&lt;H2143,F2143*(D2143-E2143),0)+IF(H2143=0,(D2143-E2143)*F2143,0)+IF(H2143&lt;F2143,H2143*(D2143-E2143),0)</f>
        <v>5000</v>
      </c>
      <c r="J2143" s="3179" t="n">
        <f aca="false">G2143-I2143</f>
        <v>0</v>
      </c>
    </row>
    <row r="2144" customFormat="false" ht="15" hidden="false" customHeight="false" outlineLevel="0" collapsed="false">
      <c r="B2144" s="1551" t="str">
        <f aca="false">'Смета Внутр'!B2144</f>
        <v>расходные материалы балкон</v>
      </c>
      <c r="C2144" s="1551" t="str">
        <f aca="false">'Смета Внутр'!C2144</f>
        <v>рублей</v>
      </c>
      <c r="D2144" s="1551" t="n">
        <f aca="false">'Смета Внутр'!D2144</f>
        <v>0</v>
      </c>
      <c r="F2144" s="1551" t="n">
        <f aca="false">'Смета Внутр'!E2144</f>
        <v>0</v>
      </c>
      <c r="G2144" s="1551" t="n">
        <f aca="false">'Смета Внутр'!H2144</f>
        <v>0</v>
      </c>
      <c r="I2144" s="3179" t="n">
        <f aca="false">IF(F2144&lt;H2144,F2144*(D2144-E2144),0)+IF(H2144=0,(D2144-E2144)*F2144,0)+IF(H2144&lt;F2144,H2144*(D2144-E2144),0)</f>
        <v>0</v>
      </c>
      <c r="J2144" s="3179" t="n">
        <f aca="false">G2144-I2144</f>
        <v>0</v>
      </c>
    </row>
    <row r="2145" customFormat="false" ht="15" hidden="false" customHeight="false" outlineLevel="0" collapsed="false">
      <c r="B2145" s="1551" t="str">
        <f aca="false">'Смета Внутр'!B2145</f>
        <v>расходные материалы перекрытие</v>
      </c>
      <c r="C2145" s="1551" t="str">
        <f aca="false">'Смета Внутр'!C2145</f>
        <v>рублей</v>
      </c>
      <c r="D2145" s="1551" t="n">
        <f aca="false">'Смета Внутр'!D2145</f>
        <v>1</v>
      </c>
      <c r="F2145" s="1551" t="n">
        <f aca="false">'Смета Внутр'!E2145</f>
        <v>0</v>
      </c>
      <c r="G2145" s="1551" t="n">
        <f aca="false">'Смета Внутр'!H2145</f>
        <v>0</v>
      </c>
      <c r="I2145" s="3179" t="n">
        <f aca="false">IF(F2145&lt;H2145,F2145*(D2145-E2145),0)+IF(H2145=0,(D2145-E2145)*F2145,0)+IF(H2145&lt;F2145,H2145*(D2145-E2145),0)</f>
        <v>0</v>
      </c>
      <c r="J2145" s="3179" t="n">
        <f aca="false">G2145-I2145</f>
        <v>0</v>
      </c>
    </row>
    <row r="2146" customFormat="false" ht="15" hidden="false" customHeight="false" outlineLevel="0" collapsed="false">
      <c r="B2146" s="1551" t="str">
        <f aca="false">'Смета Внутр'!B2146</f>
        <v>расходные материалы цокольный этаж</v>
      </c>
      <c r="C2146" s="1551" t="str">
        <f aca="false">'Смета Внутр'!C2146</f>
        <v>рублей</v>
      </c>
      <c r="D2146" s="1551" t="n">
        <f aca="false">'Смета Внутр'!D2146</f>
        <v>0</v>
      </c>
      <c r="F2146" s="1551" t="n">
        <f aca="false">'Смета Внутр'!E2146</f>
        <v>5000</v>
      </c>
      <c r="G2146" s="1551" t="n">
        <f aca="false">'Смета Внутр'!H2146</f>
        <v>0</v>
      </c>
      <c r="I2146" s="3179" t="n">
        <f aca="false">IF(F2146&lt;H2146,F2146*(D2146-E2146),0)+IF(H2146=0,(D2146-E2146)*F2146,0)+IF(H2146&lt;F2146,H2146*(D2146-E2146),0)</f>
        <v>0</v>
      </c>
      <c r="J2146" s="3179" t="n">
        <f aca="false">G2146-I2146</f>
        <v>0</v>
      </c>
    </row>
    <row r="2147" customFormat="false" ht="15" hidden="false" customHeight="false" outlineLevel="0" collapsed="false">
      <c r="B2147" s="1551" t="str">
        <f aca="false">'Смета Внутр'!B2147</f>
        <v>Расходные материалы крыльцо</v>
      </c>
      <c r="C2147" s="1551" t="str">
        <f aca="false">'Смета Внутр'!C2147</f>
        <v>рублей</v>
      </c>
      <c r="D2147" s="1551" t="n">
        <f aca="false">'Смета Внутр'!D2147</f>
        <v>1</v>
      </c>
      <c r="F2147" s="1551" t="n">
        <f aca="false">'Смета Внутр'!E2147</f>
        <v>1000</v>
      </c>
      <c r="G2147" s="1551" t="n">
        <f aca="false">'Смета Внутр'!H2147</f>
        <v>0</v>
      </c>
      <c r="I2147" s="3179" t="n">
        <f aca="false">IF(F2147&lt;H2147,F2147*(D2147-E2147),0)+IF(H2147=0,(D2147-E2147)*F2147,0)+IF(H2147&lt;F2147,H2147*(D2147-E2147),0)</f>
        <v>1000</v>
      </c>
      <c r="J2147" s="3179" t="n">
        <f aca="false">G2147-I2147</f>
        <v>-1000</v>
      </c>
    </row>
    <row r="2148" customFormat="false" ht="15" hidden="false" customHeight="false" outlineLevel="0" collapsed="false">
      <c r="B2148" s="1551" t="str">
        <f aca="false">'Смета Внутр'!B2148</f>
        <v>Итого, рублей</v>
      </c>
      <c r="C2148" s="1551" t="n">
        <f aca="false">'Смета Внутр'!C2148</f>
        <v>0</v>
      </c>
      <c r="D2148" s="1551" t="n">
        <f aca="false">'Смета Внутр'!D2148</f>
        <v>0</v>
      </c>
      <c r="F2148" s="1551" t="n">
        <f aca="false">'Смета Внутр'!E2148</f>
        <v>0</v>
      </c>
      <c r="G2148" s="1551" t="n">
        <f aca="false">'Смета Внутр'!H2148</f>
        <v>22000</v>
      </c>
      <c r="I2148" s="3179" t="n">
        <f aca="false">IF(F2148&lt;H2148,F2148*(D2148-E2148),0)+IF(H2148=0,(D2148-E2148)*F2148,0)+IF(H2148&lt;F2148,H2148*(D2148-E2148),0)</f>
        <v>0</v>
      </c>
      <c r="J2148" s="3179" t="n">
        <f aca="false">G2148-I2148</f>
        <v>22000</v>
      </c>
    </row>
    <row r="2149" customFormat="false" ht="15" hidden="false" customHeight="false" outlineLevel="0" collapsed="false">
      <c r="B2149" s="1551" t="str">
        <f aca="false">'Смета Внутр'!B2149</f>
        <v>Командировочные расходы</v>
      </c>
      <c r="C2149" s="1551" t="n">
        <f aca="false">'Смета Внутр'!C2149</f>
        <v>0</v>
      </c>
      <c r="D2149" s="1551" t="n">
        <f aca="false">'Смета Внутр'!D2149</f>
        <v>0</v>
      </c>
      <c r="F2149" s="1551" t="n">
        <f aca="false">'Смета Внутр'!E2149</f>
        <v>0</v>
      </c>
      <c r="G2149" s="1551" t="n">
        <f aca="false">'Смета Внутр'!H2149</f>
        <v>0</v>
      </c>
      <c r="I2149" s="3179" t="n">
        <f aca="false">IF(F2149&lt;H2149,F2149*(D2149-E2149),0)+IF(H2149=0,(D2149-E2149)*F2149,0)+IF(H2149&lt;F2149,H2149*(D2149-E2149),0)</f>
        <v>0</v>
      </c>
      <c r="J2149" s="3179" t="n">
        <f aca="false">G2149-I2149</f>
        <v>0</v>
      </c>
    </row>
    <row r="2150" customFormat="false" ht="15" hidden="false" customHeight="false" outlineLevel="0" collapsed="false">
      <c r="B2150" s="1551" t="str">
        <f aca="false">'Смета Внутр'!B2150</f>
        <v>Командировочные расходы</v>
      </c>
      <c r="C2150" s="1551" t="str">
        <f aca="false">'Смета Внутр'!C2150</f>
        <v>рублей</v>
      </c>
      <c r="D2150" s="1551" t="n">
        <f aca="false">'Смета Внутр'!D2150</f>
        <v>1</v>
      </c>
      <c r="F2150" s="1551" t="n">
        <f aca="false">'Смета Внутр'!E2150</f>
        <v>0</v>
      </c>
      <c r="G2150" s="1551" t="n">
        <f aca="false">'Смета Внутр'!H2150</f>
        <v>0</v>
      </c>
      <c r="I2150" s="3179" t="n">
        <f aca="false">IF(F2150&lt;H2150,F2150*(D2150-E2150),0)+IF(H2150=0,(D2150-E2150)*F2150,0)+IF(H2150&lt;F2150,H2150*(D2150-E2150),0)</f>
        <v>0</v>
      </c>
      <c r="J2150" s="3179" t="n">
        <f aca="false">G2150-I2150</f>
        <v>0</v>
      </c>
    </row>
    <row r="2151" customFormat="false" ht="15" hidden="false" customHeight="false" outlineLevel="0" collapsed="false">
      <c r="B2151" s="1551" t="str">
        <f aca="false">'Смета Внутр'!B2151</f>
        <v>Командировочные расходы</v>
      </c>
      <c r="C2151" s="1551" t="str">
        <f aca="false">'Смета Внутр'!C2151</f>
        <v>рублей</v>
      </c>
      <c r="D2151" s="1551" t="n">
        <f aca="false">'Смета Внутр'!D2151</f>
        <v>1</v>
      </c>
      <c r="F2151" s="1551" t="n">
        <f aca="false">'Смета Внутр'!E2151</f>
        <v>0</v>
      </c>
      <c r="G2151" s="1551" t="n">
        <f aca="false">'Смета Внутр'!H2151</f>
        <v>0</v>
      </c>
      <c r="I2151" s="3179" t="n">
        <f aca="false">IF(F2151&lt;H2151,F2151*(D2151-E2151),0)+IF(H2151=0,(D2151-E2151)*F2151,0)+IF(H2151&lt;F2151,H2151*(D2151-E2151),0)</f>
        <v>0</v>
      </c>
      <c r="J2151" s="3179" t="n">
        <f aca="false">G2151-I2151</f>
        <v>0</v>
      </c>
    </row>
    <row r="2152" customFormat="false" ht="15" hidden="false" customHeight="false" outlineLevel="0" collapsed="false">
      <c r="B2152" s="1551" t="str">
        <f aca="false">'Смета Внутр'!B2152</f>
        <v>Командировочные расходы</v>
      </c>
      <c r="C2152" s="1551" t="str">
        <f aca="false">'Смета Внутр'!C2152</f>
        <v>рублей</v>
      </c>
      <c r="D2152" s="1551" t="n">
        <f aca="false">'Смета Внутр'!D2152</f>
        <v>1</v>
      </c>
      <c r="F2152" s="1551" t="n">
        <f aca="false">'Смета Внутр'!E2152</f>
        <v>0</v>
      </c>
      <c r="G2152" s="1551" t="n">
        <f aca="false">'Смета Внутр'!H2152</f>
        <v>0</v>
      </c>
      <c r="I2152" s="3179" t="n">
        <f aca="false">IF(F2152&lt;H2152,F2152*(D2152-E2152),0)+IF(H2152=0,(D2152-E2152)*F2152,0)+IF(H2152&lt;F2152,H2152*(D2152-E2152),0)</f>
        <v>0</v>
      </c>
      <c r="J2152" s="3179" t="n">
        <f aca="false">G2152-I2152</f>
        <v>0</v>
      </c>
    </row>
    <row r="2153" customFormat="false" ht="15" hidden="false" customHeight="false" outlineLevel="0" collapsed="false">
      <c r="B2153" s="1551" t="str">
        <f aca="false">'Смета Внутр'!B2153</f>
        <v>Командировочные расходы</v>
      </c>
      <c r="C2153" s="1551" t="str">
        <f aca="false">'Смета Внутр'!C2153</f>
        <v>рублей</v>
      </c>
      <c r="D2153" s="1551" t="n">
        <f aca="false">'Смета Внутр'!D2153</f>
        <v>1</v>
      </c>
      <c r="F2153" s="1551" t="n">
        <f aca="false">'Смета Внутр'!E2153</f>
        <v>0</v>
      </c>
      <c r="G2153" s="1551" t="n">
        <f aca="false">'Смета Внутр'!H2153</f>
        <v>0</v>
      </c>
      <c r="I2153" s="3179" t="n">
        <f aca="false">IF(F2153&lt;H2153,F2153*(D2153-E2153),0)+IF(H2153=0,(D2153-E2153)*F2153,0)+IF(H2153&lt;F2153,H2153*(D2153-E2153),0)</f>
        <v>0</v>
      </c>
      <c r="J2153" s="3179" t="n">
        <f aca="false">G2153-I2153</f>
        <v>0</v>
      </c>
    </row>
    <row r="2154" customFormat="false" ht="15" hidden="false" customHeight="false" outlineLevel="0" collapsed="false">
      <c r="B2154" s="1551" t="str">
        <f aca="false">'Смета Внутр'!B2154</f>
        <v>Командировочные расходы</v>
      </c>
      <c r="C2154" s="1551" t="str">
        <f aca="false">'Смета Внутр'!C2154</f>
        <v>рублей</v>
      </c>
      <c r="D2154" s="1551" t="n">
        <f aca="false">'Смета Внутр'!D2154</f>
        <v>1</v>
      </c>
      <c r="F2154" s="1551" t="n">
        <f aca="false">'Смета Внутр'!E2154</f>
        <v>0</v>
      </c>
      <c r="G2154" s="1551" t="n">
        <f aca="false">'Смета Внутр'!H2154</f>
        <v>0</v>
      </c>
      <c r="I2154" s="3179" t="n">
        <f aca="false">IF(F2154&lt;H2154,F2154*(D2154-E2154),0)+IF(H2154=0,(D2154-E2154)*F2154,0)+IF(H2154&lt;F2154,H2154*(D2154-E2154),0)</f>
        <v>0</v>
      </c>
      <c r="J2154" s="3179" t="n">
        <f aca="false">G2154-I2154</f>
        <v>0</v>
      </c>
    </row>
    <row r="2155" customFormat="false" ht="15" hidden="false" customHeight="false" outlineLevel="0" collapsed="false">
      <c r="B2155" s="1551" t="str">
        <f aca="false">'Смета Внутр'!B2155</f>
        <v>Командировочные расходы</v>
      </c>
      <c r="C2155" s="1551" t="str">
        <f aca="false">'Смета Внутр'!C2155</f>
        <v>рублей</v>
      </c>
      <c r="D2155" s="1551" t="n">
        <f aca="false">'Смета Внутр'!D2155</f>
        <v>1</v>
      </c>
      <c r="F2155" s="1551" t="n">
        <f aca="false">'Смета Внутр'!E2155</f>
        <v>0</v>
      </c>
      <c r="G2155" s="1551" t="n">
        <f aca="false">'Смета Внутр'!H2155</f>
        <v>0</v>
      </c>
      <c r="I2155" s="3179" t="n">
        <f aca="false">IF(F2155&lt;H2155,F2155*(D2155-E2155),0)+IF(H2155=0,(D2155-E2155)*F2155,0)+IF(H2155&lt;F2155,H2155*(D2155-E2155),0)</f>
        <v>0</v>
      </c>
      <c r="J2155" s="3179" t="n">
        <f aca="false">G2155-I2155</f>
        <v>0</v>
      </c>
    </row>
    <row r="2156" customFormat="false" ht="15" hidden="false" customHeight="false" outlineLevel="0" collapsed="false">
      <c r="B2156" s="1551" t="str">
        <f aca="false">'Смета Внутр'!B2156</f>
        <v>Командировочные расходы</v>
      </c>
      <c r="C2156" s="1551" t="str">
        <f aca="false">'Смета Внутр'!C2156</f>
        <v>рублей</v>
      </c>
      <c r="D2156" s="1551" t="n">
        <f aca="false">'Смета Внутр'!D2156</f>
        <v>1</v>
      </c>
      <c r="F2156" s="1551" t="n">
        <f aca="false">'Смета Внутр'!E2156</f>
        <v>0</v>
      </c>
      <c r="G2156" s="1551" t="n">
        <f aca="false">'Смета Внутр'!H2156</f>
        <v>0</v>
      </c>
      <c r="I2156" s="3179" t="n">
        <f aca="false">IF(F2156&lt;H2156,F2156*(D2156-E2156),0)+IF(H2156=0,(D2156-E2156)*F2156,0)+IF(H2156&lt;F2156,H2156*(D2156-E2156),0)</f>
        <v>0</v>
      </c>
      <c r="J2156" s="3179" t="n">
        <f aca="false">G2156-I2156</f>
        <v>0</v>
      </c>
    </row>
    <row r="2157" customFormat="false" ht="15" hidden="false" customHeight="false" outlineLevel="0" collapsed="false">
      <c r="B2157" s="1551" t="str">
        <f aca="false">'Смета Внутр'!B2157</f>
        <v>Командировочные расходы</v>
      </c>
      <c r="C2157" s="1551" t="str">
        <f aca="false">'Смета Внутр'!C2157</f>
        <v>рублей</v>
      </c>
      <c r="D2157" s="1551" t="n">
        <f aca="false">'Смета Внутр'!D2157</f>
        <v>1</v>
      </c>
      <c r="F2157" s="1551" t="n">
        <f aca="false">'Смета Внутр'!E2157</f>
        <v>0</v>
      </c>
      <c r="G2157" s="1551" t="n">
        <f aca="false">'Смета Внутр'!H2157</f>
        <v>0</v>
      </c>
      <c r="I2157" s="3179" t="n">
        <f aca="false">IF(F2157&lt;H2157,F2157*(D2157-E2157),0)+IF(H2157=0,(D2157-E2157)*F2157,0)+IF(H2157&lt;F2157,H2157*(D2157-E2157),0)</f>
        <v>0</v>
      </c>
      <c r="J2157" s="3179" t="n">
        <f aca="false">G2157-I2157</f>
        <v>0</v>
      </c>
    </row>
    <row r="2158" customFormat="false" ht="15" hidden="false" customHeight="false" outlineLevel="0" collapsed="false">
      <c r="B2158" s="1551" t="str">
        <f aca="false">'Смета Внутр'!B2158</f>
        <v>Командировочные расходы</v>
      </c>
      <c r="C2158" s="1551" t="str">
        <f aca="false">'Смета Внутр'!C2158</f>
        <v>рублей</v>
      </c>
      <c r="D2158" s="1551" t="n">
        <f aca="false">'Смета Внутр'!D2158</f>
        <v>1</v>
      </c>
      <c r="F2158" s="1551" t="n">
        <f aca="false">'Смета Внутр'!E2158</f>
        <v>0</v>
      </c>
      <c r="G2158" s="1551" t="n">
        <f aca="false">'Смета Внутр'!H2158</f>
        <v>0</v>
      </c>
      <c r="I2158" s="3179" t="n">
        <f aca="false">IF(F2158&lt;H2158,F2158*(D2158-E2158),0)+IF(H2158=0,(D2158-E2158)*F2158,0)+IF(H2158&lt;F2158,H2158*(D2158-E2158),0)</f>
        <v>0</v>
      </c>
      <c r="J2158" s="3179" t="n">
        <f aca="false">G2158-I2158</f>
        <v>0</v>
      </c>
    </row>
    <row r="2159" customFormat="false" ht="15" hidden="false" customHeight="false" outlineLevel="0" collapsed="false">
      <c r="B2159" s="1551" t="str">
        <f aca="false">'Смета Внутр'!B2159</f>
        <v>Командировочные расходы</v>
      </c>
      <c r="C2159" s="1551" t="str">
        <f aca="false">'Смета Внутр'!C2159</f>
        <v>рублей</v>
      </c>
      <c r="D2159" s="1551" t="n">
        <f aca="false">'Смета Внутр'!D2159</f>
        <v>1</v>
      </c>
      <c r="F2159" s="1551" t="n">
        <f aca="false">'Смета Внутр'!E2159</f>
        <v>0</v>
      </c>
      <c r="G2159" s="1551" t="n">
        <f aca="false">'Смета Внутр'!H2159</f>
        <v>0</v>
      </c>
      <c r="I2159" s="3179" t="n">
        <f aca="false">IF(F2159&lt;H2159,F2159*(D2159-E2159),0)+IF(H2159=0,(D2159-E2159)*F2159,0)+IF(H2159&lt;F2159,H2159*(D2159-E2159),0)</f>
        <v>0</v>
      </c>
      <c r="J2159" s="3179" t="n">
        <f aca="false">G2159-I2159</f>
        <v>0</v>
      </c>
    </row>
    <row r="2160" customFormat="false" ht="15" hidden="false" customHeight="false" outlineLevel="0" collapsed="false">
      <c r="B2160" s="1551" t="str">
        <f aca="false">'Смета Внутр'!B2160</f>
        <v>Итого, рублей</v>
      </c>
      <c r="C2160" s="1551" t="n">
        <f aca="false">'Смета Внутр'!C2160</f>
        <v>0</v>
      </c>
      <c r="D2160" s="1551" t="n">
        <f aca="false">'Смета Внутр'!D2160</f>
        <v>0</v>
      </c>
      <c r="F2160" s="1551" t="n">
        <f aca="false">'Смета Внутр'!E2160</f>
        <v>0</v>
      </c>
      <c r="G2160" s="1551" t="n">
        <f aca="false">'Смета Внутр'!H2160</f>
        <v>0</v>
      </c>
    </row>
    <row r="2161" customFormat="false" ht="15" hidden="false" customHeight="false" outlineLevel="0" collapsed="false">
      <c r="B2161" s="1551" t="n">
        <f aca="false">'Смета Внутр'!B2161</f>
        <v>0</v>
      </c>
      <c r="C2161" s="1551" t="n">
        <f aca="false">'Смета Внутр'!C2161</f>
        <v>0</v>
      </c>
      <c r="D2161" s="1551" t="n">
        <f aca="false">'Смета Внутр'!D2161</f>
        <v>0</v>
      </c>
      <c r="F2161" s="1551" t="n">
        <f aca="false">'Смета Внутр'!E2161</f>
        <v>0</v>
      </c>
      <c r="G2161" s="1551" t="n">
        <f aca="false">'Смета Внутр'!H2161</f>
        <v>0</v>
      </c>
    </row>
    <row r="2162" customFormat="false" ht="15" hidden="false" customHeight="false" outlineLevel="0" collapsed="false">
      <c r="B2162" s="1551" t="str">
        <f aca="false">'Смета Внутр'!B2162</f>
        <v>Всего материалов, рублей</v>
      </c>
      <c r="C2162" s="1551" t="n">
        <f aca="false">'Смета Внутр'!C2162</f>
        <v>0</v>
      </c>
      <c r="D2162" s="1551" t="n">
        <f aca="false">'Смета Внутр'!D2162</f>
        <v>0</v>
      </c>
      <c r="F2162" s="1551" t="n">
        <f aca="false">'Смета Внутр'!E2162</f>
        <v>0</v>
      </c>
      <c r="G2162" s="1551" t="n">
        <f aca="false">'Смета Внутр'!H2162</f>
        <v>1428060.26070287</v>
      </c>
    </row>
    <row r="2163" customFormat="false" ht="15" hidden="false" customHeight="false" outlineLevel="0" collapsed="false">
      <c r="B2163" s="1551" t="str">
        <f aca="false">'Смета Внутр'!B2163</f>
        <v>Всего работы, рублей</v>
      </c>
      <c r="C2163" s="1551" t="n">
        <f aca="false">'Смета Внутр'!C2163</f>
        <v>0</v>
      </c>
      <c r="D2163" s="1551" t="n">
        <f aca="false">'Смета Внутр'!D2163</f>
        <v>0</v>
      </c>
      <c r="F2163" s="1551" t="n">
        <f aca="false">'Смета Внутр'!E2163</f>
        <v>0</v>
      </c>
      <c r="G2163" s="1551" t="n">
        <f aca="false">'Смета Внутр'!H2163</f>
        <v>1074456.29690744</v>
      </c>
    </row>
    <row r="2164" customFormat="false" ht="15" hidden="false" customHeight="false" outlineLevel="0" collapsed="false">
      <c r="B2164" s="1551" t="n">
        <f aca="false">'Смета Внутр'!B2164</f>
        <v>0</v>
      </c>
      <c r="C2164" s="1551" t="n">
        <f aca="false">'Смета Внутр'!C2164</f>
        <v>0</v>
      </c>
      <c r="D2164" s="1551" t="n">
        <f aca="false">'Смета Внутр'!D2164</f>
        <v>0</v>
      </c>
      <c r="F2164" s="1551" t="str">
        <f aca="false">'Смета Внутр'!E2164</f>
        <v>Всего транспортные расходы, рублей</v>
      </c>
      <c r="G2164" s="1551" t="n">
        <f aca="false">'Смета Внутр'!H2164</f>
        <v>0</v>
      </c>
    </row>
    <row r="2165" customFormat="false" ht="15" hidden="false" customHeight="false" outlineLevel="0" collapsed="false">
      <c r="B2165" s="1551" t="n">
        <f aca="false">'Смета Внутр'!B2165</f>
        <v>0</v>
      </c>
      <c r="C2165" s="1551" t="str">
        <f aca="false">'Смета Внутр'!C2165</f>
        <v>Всего, командировочные расходы, рублей</v>
      </c>
      <c r="D2165" s="1551" t="n">
        <f aca="false">'Смета Внутр'!D2165</f>
        <v>0</v>
      </c>
      <c r="F2165" s="1551" t="n">
        <f aca="false">'Смета Внутр'!E2165</f>
        <v>0</v>
      </c>
      <c r="G2165" s="1551" t="n">
        <f aca="false">'Смета Внутр'!H2165</f>
        <v>0</v>
      </c>
    </row>
    <row r="2166" customFormat="false" ht="15" hidden="false" customHeight="false" outlineLevel="0" collapsed="false">
      <c r="B2166" s="1551" t="str">
        <f aca="false">'Смета Внутр'!B2166</f>
        <v>Всего работ и материалов, рублей</v>
      </c>
      <c r="C2166" s="1551" t="n">
        <f aca="false">'Смета Внутр'!C2166</f>
        <v>0</v>
      </c>
      <c r="D2166" s="1551" t="n">
        <f aca="false">'Смета Внутр'!D2166</f>
        <v>0</v>
      </c>
      <c r="F2166" s="1551" t="n">
        <f aca="false">'Смета Внутр'!E2166</f>
        <v>0</v>
      </c>
      <c r="G2166" s="1551" t="n">
        <f aca="false">'Смета Внутр'!H2166</f>
        <v>2502516.55761031</v>
      </c>
    </row>
    <row r="2167" customFormat="false" ht="15" hidden="false" customHeight="false" outlineLevel="0" collapsed="false">
      <c r="B2167" s="1551" t="str">
        <f aca="false">'Смета Внутр'!B2167</f>
        <v>Составил: Инженер             _________________</v>
      </c>
      <c r="C2167" s="1551" t="n">
        <f aca="false">'Смета Внутр'!C2167</f>
        <v>0</v>
      </c>
      <c r="D2167" s="1551" t="n">
        <f aca="false">'Смета Внутр'!D2167</f>
        <v>0</v>
      </c>
      <c r="F2167" s="1551" t="n">
        <f aca="false">'Смета Внутр'!E2167</f>
        <v>0</v>
      </c>
      <c r="G2167" s="1551" t="n">
        <f aca="false">'Смета Внутр'!H2167</f>
        <v>0</v>
      </c>
    </row>
    <row r="2168" customFormat="false" ht="15" hidden="false" customHeight="false" outlineLevel="0" collapsed="false">
      <c r="B2168" s="1551" t="str">
        <f aca="false">'Смета Внутр'!B2168</f>
        <v>С перечнем работ и материалов, ознакомлен, с итоговой стоимостью согласен.</v>
      </c>
      <c r="C2168" s="1551" t="n">
        <f aca="false">'Смета Внутр'!C2168</f>
        <v>0</v>
      </c>
      <c r="D2168" s="1551" t="n">
        <f aca="false">'Смета Внутр'!D2168</f>
        <v>0</v>
      </c>
      <c r="F2168" s="1551" t="n">
        <f aca="false">'Смета Внутр'!E2168</f>
        <v>0</v>
      </c>
      <c r="G2168" s="1551" t="n">
        <f aca="false">'Смета Внутр'!H2168</f>
        <v>0</v>
      </c>
    </row>
    <row r="2169" customFormat="false" ht="15" hidden="false" customHeight="false" outlineLevel="0" collapsed="false">
      <c r="B2169" s="1551" t="str">
        <f aca="false">'Смета Внутр'!B2169</f>
        <v>Подпись Заказчика              _________________</v>
      </c>
      <c r="C2169" s="1551" t="n">
        <f aca="false">'Смета Внутр'!C2169</f>
        <v>0</v>
      </c>
      <c r="D2169" s="1551" t="n">
        <f aca="false">'Смета Внутр'!D2169</f>
        <v>0</v>
      </c>
      <c r="F2169" s="1551" t="n">
        <f aca="false">'Смета Внутр'!E2169</f>
        <v>0</v>
      </c>
      <c r="G2169" s="1551" t="n">
        <f aca="false">'Смета Внутр'!H2169</f>
        <v>0</v>
      </c>
    </row>
    <row r="2170" customFormat="false" ht="15" hidden="false" customHeight="false" outlineLevel="0" collapsed="false">
      <c r="B2170" s="1551" t="str">
        <f aca="false">'Смета Внутр'!B2170</f>
        <v>Подпись Подрядчика          _________________</v>
      </c>
      <c r="C2170" s="1551" t="n">
        <f aca="false">'Смета Внутр'!C2170</f>
        <v>0</v>
      </c>
      <c r="D2170" s="1551" t="n">
        <f aca="false">'Смета Внутр'!D2170</f>
        <v>0</v>
      </c>
      <c r="F2170" s="1551" t="n">
        <f aca="false">'Смета Внутр'!E2170</f>
        <v>0</v>
      </c>
      <c r="G2170" s="1551" t="n">
        <f aca="false">'Смета Внутр'!H2170</f>
        <v>0</v>
      </c>
    </row>
  </sheetData>
  <autoFilter ref="B1:B2262"/>
  <mergeCells count="104">
    <mergeCell ref="B13:F13"/>
    <mergeCell ref="B24:F24"/>
    <mergeCell ref="B34:F34"/>
    <mergeCell ref="B35:F35"/>
    <mergeCell ref="B55:F55"/>
    <mergeCell ref="B71:F71"/>
    <mergeCell ref="B72:F72"/>
    <mergeCell ref="B88:F88"/>
    <mergeCell ref="B99:F99"/>
    <mergeCell ref="B100:F100"/>
    <mergeCell ref="B113:F113"/>
    <mergeCell ref="B123:F123"/>
    <mergeCell ref="B124:F124"/>
    <mergeCell ref="B132:F132"/>
    <mergeCell ref="B141:F141"/>
    <mergeCell ref="B142:F142"/>
    <mergeCell ref="B150:F150"/>
    <mergeCell ref="B159:F159"/>
    <mergeCell ref="B160:F160"/>
    <mergeCell ref="B168:F168"/>
    <mergeCell ref="B177:F177"/>
    <mergeCell ref="B178:F178"/>
    <mergeCell ref="B195:F195"/>
    <mergeCell ref="B211:F211"/>
    <mergeCell ref="B212:F212"/>
    <mergeCell ref="B232:F232"/>
    <mergeCell ref="B250:F250"/>
    <mergeCell ref="B251:F251"/>
    <mergeCell ref="B276:F276"/>
    <mergeCell ref="B296:F296"/>
    <mergeCell ref="B297:F297"/>
    <mergeCell ref="B317:F317"/>
    <mergeCell ref="B325:F325"/>
    <mergeCell ref="B326:F326"/>
    <mergeCell ref="B346:F346"/>
    <mergeCell ref="B362:F362"/>
    <mergeCell ref="B363:F363"/>
    <mergeCell ref="B414:F414"/>
    <mergeCell ref="B427:F427"/>
    <mergeCell ref="B428:F428"/>
    <mergeCell ref="B474:F474"/>
    <mergeCell ref="B487:F487"/>
    <mergeCell ref="B488:F488"/>
    <mergeCell ref="B530:F530"/>
    <mergeCell ref="B539:F539"/>
    <mergeCell ref="B540:F540"/>
    <mergeCell ref="B565:F565"/>
    <mergeCell ref="B576:F576"/>
    <mergeCell ref="B577:F577"/>
    <mergeCell ref="B602:F602"/>
    <mergeCell ref="B613:F613"/>
    <mergeCell ref="B614:F614"/>
    <mergeCell ref="B639:F639"/>
    <mergeCell ref="B650:F650"/>
    <mergeCell ref="B676:F676"/>
    <mergeCell ref="B687:F687"/>
    <mergeCell ref="B713:F713"/>
    <mergeCell ref="B724:F724"/>
    <mergeCell ref="B907:F907"/>
    <mergeCell ref="B950:F950"/>
    <mergeCell ref="B979:F979"/>
    <mergeCell ref="B990:F990"/>
    <mergeCell ref="B1011:F1011"/>
    <mergeCell ref="B1014:F1014"/>
    <mergeCell ref="B1028:F1028"/>
    <mergeCell ref="B1036:F1036"/>
    <mergeCell ref="B1091:F1091"/>
    <mergeCell ref="B1110:F1110"/>
    <mergeCell ref="B1165:F1165"/>
    <mergeCell ref="B1184:F1184"/>
    <mergeCell ref="B1232:F1232"/>
    <mergeCell ref="B1250:F1250"/>
    <mergeCell ref="B1303:F1303"/>
    <mergeCell ref="B1323:F1323"/>
    <mergeCell ref="B1366:F1366"/>
    <mergeCell ref="B1381:F1381"/>
    <mergeCell ref="B1431:F1431"/>
    <mergeCell ref="B1450:F1450"/>
    <mergeCell ref="B1499:F1499"/>
    <mergeCell ref="B1516:F1516"/>
    <mergeCell ref="B1560:F1560"/>
    <mergeCell ref="B1575:F1575"/>
    <mergeCell ref="B1615:F1615"/>
    <mergeCell ref="B1631:F1631"/>
    <mergeCell ref="B1654:F1654"/>
    <mergeCell ref="B1669:F1669"/>
    <mergeCell ref="B1682:F1682"/>
    <mergeCell ref="B1685:F1685"/>
    <mergeCell ref="B1692:F1692"/>
    <mergeCell ref="B1698:F1698"/>
    <mergeCell ref="B1746:F1746"/>
    <mergeCell ref="B1774:F1774"/>
    <mergeCell ref="B1856:F1856"/>
    <mergeCell ref="B1902:F1902"/>
    <mergeCell ref="B1922:F1922"/>
    <mergeCell ref="B1932:F1932"/>
    <mergeCell ref="B1946:F1946"/>
    <mergeCell ref="B1951:F1951"/>
    <mergeCell ref="B1963:F1963"/>
    <mergeCell ref="B1971:F1971"/>
    <mergeCell ref="B1987:F1987"/>
    <mergeCell ref="B1996:F1996"/>
    <mergeCell ref="B2013:F2013"/>
    <mergeCell ref="B2023:F2023"/>
  </mergeCells>
  <printOptions headings="false" gridLines="false" gridLinesSet="true" horizontalCentered="false" verticalCentered="false"/>
  <pageMargins left="0.708333333333333" right="0.708333333333333" top="0.747916666666667" bottom="0.747916666666667" header="0.511805555555555" footer="0.511805555555555"/>
  <pageSetup paperSize="9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LibreOffice/7.1.0.3$Windows_X86_64 LibreOffice_project/f6099ecf3d29644b5008cc8f48f42f4a40986e4c</Application>
  <AppVersion>15.0000</AppVersion>
  <DocSecurity>1</DocSecurity>
  <Company>Krokoz™ Inc.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2017-06-24T17:02:23Z</dcterms:created>
  <dc:creator>ELENA</dc:creator>
  <dc:description/>
  <dc:language>ru-RU</dc:language>
  <cp:lastModifiedBy>User</cp:lastModifiedBy>
  <cp:lastPrinted>2017-10-07T14:28:52Z</cp:lastPrinted>
  <dcterms:modified xsi:type="dcterms:W3CDTF">2020-01-16T18:24:15Z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